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filterPrivacy="1" codeName="ThisWorkbook"/>
  <xr:revisionPtr revIDLastSave="0" documentId="8_{B1A33E4E-1906-4F02-B9F7-CCEA0EA5C06C}" xr6:coauthVersionLast="43" xr6:coauthVersionMax="43" xr10:uidLastSave="{00000000-0000-0000-0000-000000000000}"/>
  <workbookProtection workbookAlgorithmName="SHA-512" workbookHashValue="nmey6hYrwsNoRqMMp3LWFyKWXGUhm6w09pp6IvLIjgFSiviDzMisYRS78vgDynoSCt6/IwOmMCl4KtdAdphiAg==" workbookSaltValue="uKqcqugmPtPj7I0+DwcH5A==" workbookSpinCount="100000" lockStructure="1"/>
  <bookViews>
    <workbookView xWindow="-120" yWindow="-120" windowWidth="29040" windowHeight="16440" tabRatio="805" activeTab="13" xr2:uid="{00000000-000D-0000-FFFF-FFFF00000000}"/>
  </bookViews>
  <sheets>
    <sheet name="首页" sheetId="15" r:id="rId1"/>
    <sheet name="属性导入" sheetId="17" r:id="rId2"/>
    <sheet name="分析模式" sheetId="1" r:id="rId3"/>
    <sheet name="分析-属性加成" sheetId="11" state="hidden" r:id="rId4"/>
    <sheet name="分析-单技能数据" sheetId="2" state="hidden" r:id="rId5"/>
    <sheet name="分析-循环与收益" sheetId="7" state="hidden" r:id="rId6"/>
    <sheet name="模拟模式" sheetId="3" r:id="rId7"/>
    <sheet name="模拟-单技能数据" sheetId="4" state="hidden" r:id="rId8"/>
    <sheet name="模拟-全程加成" sheetId="14" state="hidden" r:id="rId9"/>
    <sheet name="模拟-模拟计算" sheetId="5" r:id="rId10"/>
    <sheet name="模拟-模拟结果" sheetId="6" r:id="rId11"/>
    <sheet name="系数" sheetId="8" state="hidden" r:id="rId12"/>
    <sheet name="数据记录" sheetId="9" state="hidden" r:id="rId13"/>
    <sheet name="日志" sheetId="12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A79" i="7" l="1"/>
  <c r="X79" i="7"/>
  <c r="U79" i="7"/>
  <c r="R79" i="7"/>
  <c r="O79" i="7"/>
  <c r="L79" i="7"/>
  <c r="I79" i="7"/>
  <c r="F79" i="7"/>
  <c r="AA42" i="7"/>
  <c r="X42" i="7"/>
  <c r="U42" i="7"/>
  <c r="R42" i="7"/>
  <c r="O42" i="7"/>
  <c r="L42" i="7"/>
  <c r="I42" i="7"/>
  <c r="F42" i="7"/>
  <c r="BQ29" i="5" l="1"/>
  <c r="BQ30" i="5"/>
  <c r="BQ31" i="5"/>
  <c r="BQ32" i="5"/>
  <c r="BQ33" i="5"/>
  <c r="BQ34" i="5"/>
  <c r="BQ35" i="5"/>
  <c r="BQ36" i="5"/>
  <c r="BQ37" i="5"/>
  <c r="BQ38" i="5"/>
  <c r="BQ39" i="5"/>
  <c r="BQ40" i="5"/>
  <c r="BQ41" i="5"/>
  <c r="BQ42" i="5"/>
  <c r="BQ43" i="5"/>
  <c r="BQ44" i="5"/>
  <c r="BQ45" i="5"/>
  <c r="BQ46" i="5"/>
  <c r="BQ47" i="5"/>
  <c r="BQ48" i="5"/>
  <c r="BQ49" i="5"/>
  <c r="BQ50" i="5"/>
  <c r="BQ51" i="5"/>
  <c r="BQ52" i="5"/>
  <c r="BQ53" i="5"/>
  <c r="BQ54" i="5"/>
  <c r="BQ55" i="5"/>
  <c r="BQ56" i="5"/>
  <c r="BQ57" i="5"/>
  <c r="BQ58" i="5"/>
  <c r="BQ59" i="5"/>
  <c r="BQ60" i="5"/>
  <c r="BQ61" i="5"/>
  <c r="BQ62" i="5"/>
  <c r="BQ63" i="5"/>
  <c r="BQ64" i="5"/>
  <c r="BQ65" i="5"/>
  <c r="BQ66" i="5"/>
  <c r="BQ67" i="5"/>
  <c r="BQ68" i="5"/>
  <c r="BQ69" i="5"/>
  <c r="BQ70" i="5"/>
  <c r="BQ71" i="5"/>
  <c r="BQ72" i="5"/>
  <c r="BQ73" i="5"/>
  <c r="BQ74" i="5"/>
  <c r="BQ75" i="5"/>
  <c r="BQ76" i="5"/>
  <c r="BQ77" i="5"/>
  <c r="BQ78" i="5"/>
  <c r="BQ79" i="5"/>
  <c r="BQ80" i="5"/>
  <c r="BQ81" i="5"/>
  <c r="BQ82" i="5"/>
  <c r="BQ83" i="5"/>
  <c r="BQ84" i="5"/>
  <c r="BQ85" i="5"/>
  <c r="BQ86" i="5"/>
  <c r="BQ87" i="5"/>
  <c r="BQ88" i="5"/>
  <c r="BQ89" i="5"/>
  <c r="BQ90" i="5"/>
  <c r="BQ91" i="5"/>
  <c r="BQ92" i="5"/>
  <c r="BQ93" i="5"/>
  <c r="BQ94" i="5"/>
  <c r="BQ95" i="5"/>
  <c r="BQ96" i="5"/>
  <c r="BQ97" i="5"/>
  <c r="BQ98" i="5"/>
  <c r="BQ99" i="5"/>
  <c r="BQ100" i="5"/>
  <c r="BQ101" i="5"/>
  <c r="BQ102" i="5"/>
  <c r="BQ103" i="5"/>
  <c r="BQ104" i="5"/>
  <c r="BQ105" i="5"/>
  <c r="BQ106" i="5"/>
  <c r="BQ107" i="5"/>
  <c r="BQ108" i="5"/>
  <c r="BQ109" i="5"/>
  <c r="BQ110" i="5"/>
  <c r="BQ111" i="5"/>
  <c r="BQ112" i="5"/>
  <c r="BQ113" i="5"/>
  <c r="BQ114" i="5"/>
  <c r="BQ115" i="5"/>
  <c r="BQ116" i="5"/>
  <c r="BQ117" i="5"/>
  <c r="BQ118" i="5"/>
  <c r="BQ119" i="5"/>
  <c r="BQ120" i="5"/>
  <c r="BQ121" i="5"/>
  <c r="BQ122" i="5"/>
  <c r="BQ123" i="5"/>
  <c r="BQ124" i="5"/>
  <c r="BQ125" i="5"/>
  <c r="BQ126" i="5"/>
  <c r="BQ127" i="5"/>
  <c r="BQ128" i="5"/>
  <c r="BQ129" i="5"/>
  <c r="BQ130" i="5"/>
  <c r="BQ131" i="5"/>
  <c r="BQ132" i="5"/>
  <c r="BQ133" i="5"/>
  <c r="BQ134" i="5"/>
  <c r="BQ135" i="5"/>
  <c r="BQ136" i="5"/>
  <c r="BQ137" i="5"/>
  <c r="BQ138" i="5"/>
  <c r="BQ139" i="5"/>
  <c r="BQ140" i="5"/>
  <c r="BQ141" i="5"/>
  <c r="BQ142" i="5"/>
  <c r="BQ143" i="5"/>
  <c r="BQ144" i="5"/>
  <c r="BQ145" i="5"/>
  <c r="BQ146" i="5"/>
  <c r="BQ147" i="5"/>
  <c r="BQ148" i="5"/>
  <c r="BQ149" i="5"/>
  <c r="BQ150" i="5"/>
  <c r="BQ151" i="5"/>
  <c r="BQ152" i="5"/>
  <c r="BQ153" i="5"/>
  <c r="BQ154" i="5"/>
  <c r="BQ155" i="5"/>
  <c r="BQ156" i="5"/>
  <c r="BQ157" i="5"/>
  <c r="BQ158" i="5"/>
  <c r="BQ159" i="5"/>
  <c r="BQ160" i="5"/>
  <c r="BQ161" i="5"/>
  <c r="BQ162" i="5"/>
  <c r="BQ163" i="5"/>
  <c r="BQ164" i="5"/>
  <c r="BQ165" i="5"/>
  <c r="BQ166" i="5"/>
  <c r="BQ167" i="5"/>
  <c r="BQ168" i="5"/>
  <c r="BQ169" i="5"/>
  <c r="BQ170" i="5"/>
  <c r="BQ171" i="5"/>
  <c r="BQ172" i="5"/>
  <c r="BQ173" i="5"/>
  <c r="BQ174" i="5"/>
  <c r="BQ175" i="5"/>
  <c r="BQ176" i="5"/>
  <c r="BQ177" i="5"/>
  <c r="BQ178" i="5"/>
  <c r="BQ179" i="5"/>
  <c r="BQ180" i="5"/>
  <c r="BQ181" i="5"/>
  <c r="BQ182" i="5"/>
  <c r="BQ183" i="5"/>
  <c r="BQ184" i="5"/>
  <c r="BQ185" i="5"/>
  <c r="BQ186" i="5"/>
  <c r="BQ187" i="5"/>
  <c r="BQ188" i="5"/>
  <c r="BQ189" i="5"/>
  <c r="BQ190" i="5"/>
  <c r="BQ191" i="5"/>
  <c r="BQ192" i="5"/>
  <c r="BQ193" i="5"/>
  <c r="BQ194" i="5"/>
  <c r="BQ195" i="5"/>
  <c r="BQ196" i="5"/>
  <c r="BQ197" i="5"/>
  <c r="BQ198" i="5"/>
  <c r="BQ199" i="5"/>
  <c r="BQ200" i="5"/>
  <c r="BQ201" i="5"/>
  <c r="BQ202" i="5"/>
  <c r="BQ203" i="5"/>
  <c r="BQ204" i="5"/>
  <c r="BQ205" i="5"/>
  <c r="BQ206" i="5"/>
  <c r="BQ207" i="5"/>
  <c r="BQ208" i="5"/>
  <c r="BQ209" i="5"/>
  <c r="BQ210" i="5"/>
  <c r="BQ211" i="5"/>
  <c r="BQ212" i="5"/>
  <c r="BQ213" i="5"/>
  <c r="BQ214" i="5"/>
  <c r="BQ215" i="5"/>
  <c r="BQ216" i="5"/>
  <c r="BQ217" i="5"/>
  <c r="BQ218" i="5"/>
  <c r="BQ219" i="5"/>
  <c r="BQ220" i="5"/>
  <c r="BQ221" i="5"/>
  <c r="BQ222" i="5"/>
  <c r="BQ223" i="5"/>
  <c r="BQ224" i="5"/>
  <c r="BQ225" i="5"/>
  <c r="BQ226" i="5"/>
  <c r="BQ227" i="5"/>
  <c r="BQ228" i="5"/>
  <c r="BQ229" i="5"/>
  <c r="BQ230" i="5"/>
  <c r="BQ231" i="5"/>
  <c r="BQ232" i="5"/>
  <c r="BQ233" i="5"/>
  <c r="BQ234" i="5"/>
  <c r="BQ235" i="5"/>
  <c r="BQ236" i="5"/>
  <c r="BQ237" i="5"/>
  <c r="BQ238" i="5"/>
  <c r="BQ239" i="5"/>
  <c r="BQ240" i="5"/>
  <c r="BQ241" i="5"/>
  <c r="BQ242" i="5"/>
  <c r="BQ243" i="5"/>
  <c r="BQ244" i="5"/>
  <c r="BQ245" i="5"/>
  <c r="BQ246" i="5"/>
  <c r="BQ247" i="5"/>
  <c r="BQ248" i="5"/>
  <c r="BQ249" i="5"/>
  <c r="BQ250" i="5"/>
  <c r="BQ251" i="5"/>
  <c r="BQ252" i="5"/>
  <c r="BQ253" i="5"/>
  <c r="BQ254" i="5"/>
  <c r="BQ255" i="5"/>
  <c r="BQ256" i="5"/>
  <c r="BQ257" i="5"/>
  <c r="BQ258" i="5"/>
  <c r="BQ259" i="5"/>
  <c r="BQ260" i="5"/>
  <c r="BQ261" i="5"/>
  <c r="BQ262" i="5"/>
  <c r="BQ263" i="5"/>
  <c r="BQ264" i="5"/>
  <c r="BQ265" i="5"/>
  <c r="BQ266" i="5"/>
  <c r="BQ267" i="5"/>
  <c r="BQ268" i="5"/>
  <c r="BQ269" i="5"/>
  <c r="BQ270" i="5"/>
  <c r="BQ271" i="5"/>
  <c r="BQ272" i="5"/>
  <c r="BQ273" i="5"/>
  <c r="BQ274" i="5"/>
  <c r="BQ275" i="5"/>
  <c r="BQ276" i="5"/>
  <c r="BQ277" i="5"/>
  <c r="BQ278" i="5"/>
  <c r="BQ279" i="5"/>
  <c r="BQ280" i="5"/>
  <c r="BQ281" i="5"/>
  <c r="BQ282" i="5"/>
  <c r="BQ283" i="5"/>
  <c r="BQ284" i="5"/>
  <c r="BQ285" i="5"/>
  <c r="BQ286" i="5"/>
  <c r="BQ287" i="5"/>
  <c r="BQ288" i="5"/>
  <c r="BQ289" i="5"/>
  <c r="BQ290" i="5"/>
  <c r="BQ291" i="5"/>
  <c r="BQ292" i="5"/>
  <c r="BQ293" i="5"/>
  <c r="BQ294" i="5"/>
  <c r="BQ295" i="5"/>
  <c r="BQ296" i="5"/>
  <c r="BQ297" i="5"/>
  <c r="BQ298" i="5"/>
  <c r="BQ299" i="5"/>
  <c r="BQ300" i="5"/>
  <c r="BQ301" i="5"/>
  <c r="BQ302" i="5"/>
  <c r="BQ303" i="5"/>
  <c r="BQ304" i="5"/>
  <c r="BQ305" i="5"/>
  <c r="BQ306" i="5"/>
  <c r="BQ307" i="5"/>
  <c r="BQ308" i="5"/>
  <c r="BQ309" i="5"/>
  <c r="BQ310" i="5"/>
  <c r="BQ311" i="5"/>
  <c r="BQ312" i="5"/>
  <c r="BQ313" i="5"/>
  <c r="BQ314" i="5"/>
  <c r="BQ315" i="5"/>
  <c r="BQ316" i="5"/>
  <c r="BQ317" i="5"/>
  <c r="BQ318" i="5"/>
  <c r="BQ319" i="5"/>
  <c r="BQ320" i="5"/>
  <c r="BQ321" i="5"/>
  <c r="BQ322" i="5"/>
  <c r="BQ323" i="5"/>
  <c r="BQ324" i="5"/>
  <c r="BQ325" i="5"/>
  <c r="BQ326" i="5"/>
  <c r="BQ327" i="5"/>
  <c r="BQ328" i="5"/>
  <c r="BQ329" i="5"/>
  <c r="BQ330" i="5"/>
  <c r="BQ331" i="5"/>
  <c r="BQ332" i="5"/>
  <c r="BQ333" i="5"/>
  <c r="BQ334" i="5"/>
  <c r="BQ335" i="5"/>
  <c r="BQ336" i="5"/>
  <c r="BQ337" i="5"/>
  <c r="BQ338" i="5"/>
  <c r="BQ339" i="5"/>
  <c r="BQ340" i="5"/>
  <c r="BQ341" i="5"/>
  <c r="BQ342" i="5"/>
  <c r="BQ343" i="5"/>
  <c r="BQ344" i="5"/>
  <c r="BQ345" i="5"/>
  <c r="BQ346" i="5"/>
  <c r="BQ347" i="5"/>
  <c r="BQ348" i="5"/>
  <c r="BQ349" i="5"/>
  <c r="BQ350" i="5"/>
  <c r="BQ351" i="5"/>
  <c r="BQ352" i="5"/>
  <c r="BQ353" i="5"/>
  <c r="BQ354" i="5"/>
  <c r="BQ355" i="5"/>
  <c r="BQ356" i="5"/>
  <c r="BQ357" i="5"/>
  <c r="BQ358" i="5"/>
  <c r="BQ359" i="5"/>
  <c r="BQ360" i="5"/>
  <c r="BQ361" i="5"/>
  <c r="BQ362" i="5"/>
  <c r="BQ363" i="5"/>
  <c r="BQ364" i="5"/>
  <c r="BQ365" i="5"/>
  <c r="BQ366" i="5"/>
  <c r="BQ367" i="5"/>
  <c r="BQ368" i="5"/>
  <c r="BQ369" i="5"/>
  <c r="BQ370" i="5"/>
  <c r="BQ371" i="5"/>
  <c r="BQ372" i="5"/>
  <c r="BQ373" i="5"/>
  <c r="BQ374" i="5"/>
  <c r="BQ375" i="5"/>
  <c r="BQ376" i="5"/>
  <c r="BQ377" i="5"/>
  <c r="BQ378" i="5"/>
  <c r="BQ379" i="5"/>
  <c r="BQ380" i="5"/>
  <c r="BQ381" i="5"/>
  <c r="BQ382" i="5"/>
  <c r="BQ383" i="5"/>
  <c r="BQ384" i="5"/>
  <c r="BQ385" i="5"/>
  <c r="BQ386" i="5"/>
  <c r="BQ387" i="5"/>
  <c r="BQ388" i="5"/>
  <c r="BQ389" i="5"/>
  <c r="BQ390" i="5"/>
  <c r="BQ391" i="5"/>
  <c r="BQ392" i="5"/>
  <c r="BQ393" i="5"/>
  <c r="BQ394" i="5"/>
  <c r="BQ395" i="5"/>
  <c r="BQ396" i="5"/>
  <c r="BQ397" i="5"/>
  <c r="BQ398" i="5"/>
  <c r="BQ399" i="5"/>
  <c r="BQ400" i="5"/>
  <c r="BQ401" i="5"/>
  <c r="BQ402" i="5"/>
  <c r="BQ403" i="5"/>
  <c r="BQ404" i="5"/>
  <c r="BQ405" i="5"/>
  <c r="BQ406" i="5"/>
  <c r="BQ407" i="5"/>
  <c r="BQ408" i="5"/>
  <c r="BQ409" i="5"/>
  <c r="BQ410" i="5"/>
  <c r="BQ411" i="5"/>
  <c r="BQ412" i="5"/>
  <c r="BQ413" i="5"/>
  <c r="BQ414" i="5"/>
  <c r="BQ415" i="5"/>
  <c r="BQ416" i="5"/>
  <c r="BQ417" i="5"/>
  <c r="BQ418" i="5"/>
  <c r="BQ419" i="5"/>
  <c r="BQ420" i="5"/>
  <c r="BQ421" i="5"/>
  <c r="BQ422" i="5"/>
  <c r="BQ423" i="5"/>
  <c r="BQ424" i="5"/>
  <c r="BQ425" i="5"/>
  <c r="BQ426" i="5"/>
  <c r="BQ427" i="5"/>
  <c r="BQ428" i="5"/>
  <c r="BQ429" i="5"/>
  <c r="BQ430" i="5"/>
  <c r="BQ431" i="5"/>
  <c r="BQ432" i="5"/>
  <c r="BQ433" i="5"/>
  <c r="BQ434" i="5"/>
  <c r="BQ435" i="5"/>
  <c r="BQ436" i="5"/>
  <c r="BQ437" i="5"/>
  <c r="BQ438" i="5"/>
  <c r="BQ439" i="5"/>
  <c r="BQ440" i="5"/>
  <c r="BQ441" i="5"/>
  <c r="BQ442" i="5"/>
  <c r="BQ443" i="5"/>
  <c r="BQ444" i="5"/>
  <c r="BQ445" i="5"/>
  <c r="BQ446" i="5"/>
  <c r="BQ447" i="5"/>
  <c r="BQ448" i="5"/>
  <c r="BQ449" i="5"/>
  <c r="BQ450" i="5"/>
  <c r="BQ451" i="5"/>
  <c r="BQ452" i="5"/>
  <c r="BQ453" i="5"/>
  <c r="BQ454" i="5"/>
  <c r="BQ455" i="5"/>
  <c r="BQ456" i="5"/>
  <c r="BQ457" i="5"/>
  <c r="BQ458" i="5"/>
  <c r="BQ459" i="5"/>
  <c r="BQ460" i="5"/>
  <c r="BQ461" i="5"/>
  <c r="BQ462" i="5"/>
  <c r="BQ463" i="5"/>
  <c r="BQ464" i="5"/>
  <c r="BQ465" i="5"/>
  <c r="BQ466" i="5"/>
  <c r="BQ467" i="5"/>
  <c r="BQ468" i="5"/>
  <c r="BQ469" i="5"/>
  <c r="BQ470" i="5"/>
  <c r="BQ471" i="5"/>
  <c r="BQ472" i="5"/>
  <c r="BQ473" i="5"/>
  <c r="BQ474" i="5"/>
  <c r="BQ475" i="5"/>
  <c r="BQ476" i="5"/>
  <c r="BQ477" i="5"/>
  <c r="BQ478" i="5"/>
  <c r="BQ479" i="5"/>
  <c r="BQ480" i="5"/>
  <c r="BQ481" i="5"/>
  <c r="BQ482" i="5"/>
  <c r="BQ483" i="5"/>
  <c r="BQ484" i="5"/>
  <c r="BQ485" i="5"/>
  <c r="BQ486" i="5"/>
  <c r="BQ487" i="5"/>
  <c r="BQ488" i="5"/>
  <c r="BQ489" i="5"/>
  <c r="BQ490" i="5"/>
  <c r="BQ491" i="5"/>
  <c r="BQ492" i="5"/>
  <c r="BQ493" i="5"/>
  <c r="BQ494" i="5"/>
  <c r="BQ495" i="5"/>
  <c r="BQ496" i="5"/>
  <c r="BQ497" i="5"/>
  <c r="BQ498" i="5"/>
  <c r="BQ499" i="5"/>
  <c r="BQ500" i="5"/>
  <c r="BQ501" i="5"/>
  <c r="BQ502" i="5"/>
  <c r="BQ503" i="5"/>
  <c r="BQ504" i="5"/>
  <c r="BQ505" i="5"/>
  <c r="BQ506" i="5"/>
  <c r="BQ507" i="5"/>
  <c r="BQ508" i="5"/>
  <c r="BQ509" i="5"/>
  <c r="BQ510" i="5"/>
  <c r="BQ511" i="5"/>
  <c r="BQ512" i="5"/>
  <c r="BQ513" i="5"/>
  <c r="BQ514" i="5"/>
  <c r="BQ515" i="5"/>
  <c r="BQ516" i="5"/>
  <c r="BQ517" i="5"/>
  <c r="BQ518" i="5"/>
  <c r="BQ519" i="5"/>
  <c r="BQ520" i="5"/>
  <c r="BQ521" i="5"/>
  <c r="BQ522" i="5"/>
  <c r="BQ523" i="5"/>
  <c r="BQ524" i="5"/>
  <c r="BQ525" i="5"/>
  <c r="BQ526" i="5"/>
  <c r="BQ527" i="5"/>
  <c r="BQ528" i="5"/>
  <c r="BQ529" i="5"/>
  <c r="BQ530" i="5"/>
  <c r="BQ531" i="5"/>
  <c r="BQ532" i="5"/>
  <c r="BQ533" i="5"/>
  <c r="BQ534" i="5"/>
  <c r="BQ535" i="5"/>
  <c r="BQ536" i="5"/>
  <c r="BQ537" i="5"/>
  <c r="BQ538" i="5"/>
  <c r="BQ539" i="5"/>
  <c r="BQ540" i="5"/>
  <c r="BQ541" i="5"/>
  <c r="BQ542" i="5"/>
  <c r="BQ543" i="5"/>
  <c r="BQ544" i="5"/>
  <c r="BQ545" i="5"/>
  <c r="BQ546" i="5"/>
  <c r="BQ547" i="5"/>
  <c r="BQ548" i="5"/>
  <c r="BQ549" i="5"/>
  <c r="BQ550" i="5"/>
  <c r="BQ551" i="5"/>
  <c r="BQ552" i="5"/>
  <c r="BQ553" i="5"/>
  <c r="BQ554" i="5"/>
  <c r="BQ555" i="5"/>
  <c r="BQ556" i="5"/>
  <c r="BQ557" i="5"/>
  <c r="BQ558" i="5"/>
  <c r="BQ559" i="5"/>
  <c r="BQ560" i="5"/>
  <c r="BQ561" i="5"/>
  <c r="BQ562" i="5"/>
  <c r="BQ563" i="5"/>
  <c r="BQ564" i="5"/>
  <c r="BQ565" i="5"/>
  <c r="BQ566" i="5"/>
  <c r="BQ567" i="5"/>
  <c r="BQ568" i="5"/>
  <c r="BQ569" i="5"/>
  <c r="BQ570" i="5"/>
  <c r="BQ571" i="5"/>
  <c r="BQ572" i="5"/>
  <c r="BQ573" i="5"/>
  <c r="BQ574" i="5"/>
  <c r="BQ575" i="5"/>
  <c r="BQ576" i="5"/>
  <c r="BQ577" i="5"/>
  <c r="BQ578" i="5"/>
  <c r="BQ579" i="5"/>
  <c r="BQ580" i="5"/>
  <c r="BQ581" i="5"/>
  <c r="BQ582" i="5"/>
  <c r="BQ583" i="5"/>
  <c r="BQ584" i="5"/>
  <c r="BQ585" i="5"/>
  <c r="BQ586" i="5"/>
  <c r="BQ587" i="5"/>
  <c r="BQ588" i="5"/>
  <c r="BQ589" i="5"/>
  <c r="BQ590" i="5"/>
  <c r="BQ591" i="5"/>
  <c r="BQ592" i="5"/>
  <c r="BQ593" i="5"/>
  <c r="BQ594" i="5"/>
  <c r="BQ595" i="5"/>
  <c r="BQ596" i="5"/>
  <c r="BQ597" i="5"/>
  <c r="BQ598" i="5"/>
  <c r="BQ599" i="5"/>
  <c r="BQ600" i="5"/>
  <c r="BQ601" i="5"/>
  <c r="BQ602" i="5"/>
  <c r="BQ603" i="5"/>
  <c r="BQ604" i="5"/>
  <c r="BQ605" i="5"/>
  <c r="BQ606" i="5"/>
  <c r="BQ607" i="5"/>
  <c r="BQ608" i="5"/>
  <c r="BQ609" i="5"/>
  <c r="BQ610" i="5"/>
  <c r="BQ611" i="5"/>
  <c r="BQ612" i="5"/>
  <c r="BQ613" i="5"/>
  <c r="BQ614" i="5"/>
  <c r="BQ615" i="5"/>
  <c r="BQ616" i="5"/>
  <c r="BQ617" i="5"/>
  <c r="BQ618" i="5"/>
  <c r="BQ619" i="5"/>
  <c r="BQ620" i="5"/>
  <c r="BQ621" i="5"/>
  <c r="BQ622" i="5"/>
  <c r="BQ623" i="5"/>
  <c r="BQ624" i="5"/>
  <c r="BQ625" i="5"/>
  <c r="BQ626" i="5"/>
  <c r="BQ627" i="5"/>
  <c r="BQ628" i="5"/>
  <c r="BQ629" i="5"/>
  <c r="BQ630" i="5"/>
  <c r="BQ631" i="5"/>
  <c r="BQ632" i="5"/>
  <c r="BQ633" i="5"/>
  <c r="BQ634" i="5"/>
  <c r="BQ635" i="5"/>
  <c r="BQ636" i="5"/>
  <c r="BQ637" i="5"/>
  <c r="BQ638" i="5"/>
  <c r="BQ639" i="5"/>
  <c r="BQ640" i="5"/>
  <c r="BQ641" i="5"/>
  <c r="BQ642" i="5"/>
  <c r="BQ643" i="5"/>
  <c r="BQ644" i="5"/>
  <c r="BQ645" i="5"/>
  <c r="BQ646" i="5"/>
  <c r="BQ647" i="5"/>
  <c r="BQ648" i="5"/>
  <c r="BQ649" i="5"/>
  <c r="BQ650" i="5"/>
  <c r="BQ651" i="5"/>
  <c r="BQ652" i="5"/>
  <c r="BQ653" i="5"/>
  <c r="BQ654" i="5"/>
  <c r="BQ655" i="5"/>
  <c r="BQ656" i="5"/>
  <c r="BQ657" i="5"/>
  <c r="BQ658" i="5"/>
  <c r="BQ659" i="5"/>
  <c r="BQ660" i="5"/>
  <c r="BQ661" i="5"/>
  <c r="BQ662" i="5"/>
  <c r="BQ663" i="5"/>
  <c r="BQ664" i="5"/>
  <c r="BQ665" i="5"/>
  <c r="BQ666" i="5"/>
  <c r="BQ667" i="5"/>
  <c r="BQ668" i="5"/>
  <c r="BQ669" i="5"/>
  <c r="BQ670" i="5"/>
  <c r="BQ671" i="5"/>
  <c r="BQ672" i="5"/>
  <c r="BQ673" i="5"/>
  <c r="BQ674" i="5"/>
  <c r="BQ675" i="5"/>
  <c r="BQ676" i="5"/>
  <c r="BQ677" i="5"/>
  <c r="BQ678" i="5"/>
  <c r="BQ679" i="5"/>
  <c r="BQ680" i="5"/>
  <c r="BQ681" i="5"/>
  <c r="BQ682" i="5"/>
  <c r="BQ683" i="5"/>
  <c r="BQ684" i="5"/>
  <c r="BQ685" i="5"/>
  <c r="BQ686" i="5"/>
  <c r="BQ687" i="5"/>
  <c r="BQ688" i="5"/>
  <c r="BQ689" i="5"/>
  <c r="BQ690" i="5"/>
  <c r="BQ691" i="5"/>
  <c r="BQ692" i="5"/>
  <c r="BQ693" i="5"/>
  <c r="BQ694" i="5"/>
  <c r="BQ695" i="5"/>
  <c r="BQ696" i="5"/>
  <c r="BQ697" i="5"/>
  <c r="BQ698" i="5"/>
  <c r="BQ699" i="5"/>
  <c r="BQ700" i="5"/>
  <c r="BQ701" i="5"/>
  <c r="BQ702" i="5"/>
  <c r="BQ703" i="5"/>
  <c r="BQ704" i="5"/>
  <c r="BQ705" i="5"/>
  <c r="BQ706" i="5"/>
  <c r="BQ707" i="5"/>
  <c r="BQ708" i="5"/>
  <c r="BQ709" i="5"/>
  <c r="BQ710" i="5"/>
  <c r="BQ711" i="5"/>
  <c r="BQ712" i="5"/>
  <c r="BQ713" i="5"/>
  <c r="BQ714" i="5"/>
  <c r="BQ715" i="5"/>
  <c r="BQ716" i="5"/>
  <c r="BQ717" i="5"/>
  <c r="BQ718" i="5"/>
  <c r="BQ719" i="5"/>
  <c r="BQ720" i="5"/>
  <c r="BQ721" i="5"/>
  <c r="BQ722" i="5"/>
  <c r="BQ723" i="5"/>
  <c r="BQ724" i="5"/>
  <c r="BQ725" i="5"/>
  <c r="BQ726" i="5"/>
  <c r="BQ727" i="5"/>
  <c r="BQ728" i="5"/>
  <c r="BQ729" i="5"/>
  <c r="BQ730" i="5"/>
  <c r="BQ731" i="5"/>
  <c r="BQ732" i="5"/>
  <c r="BQ733" i="5"/>
  <c r="BQ734" i="5"/>
  <c r="BQ735" i="5"/>
  <c r="BQ736" i="5"/>
  <c r="BQ737" i="5"/>
  <c r="BQ738" i="5"/>
  <c r="BQ739" i="5"/>
  <c r="BQ740" i="5"/>
  <c r="BQ741" i="5"/>
  <c r="BQ742" i="5"/>
  <c r="BQ743" i="5"/>
  <c r="BQ744" i="5"/>
  <c r="BQ745" i="5"/>
  <c r="BQ746" i="5"/>
  <c r="BQ747" i="5"/>
  <c r="BQ748" i="5"/>
  <c r="BQ749" i="5"/>
  <c r="BQ750" i="5"/>
  <c r="BQ751" i="5"/>
  <c r="BQ752" i="5"/>
  <c r="BQ753" i="5"/>
  <c r="BQ28" i="5"/>
  <c r="B16" i="14"/>
  <c r="B15" i="14"/>
  <c r="BA28" i="5"/>
  <c r="N23" i="2" l="1"/>
  <c r="L23" i="2"/>
  <c r="M23" i="2" s="1"/>
  <c r="C23" i="2"/>
  <c r="N22" i="2"/>
  <c r="AL24" i="2"/>
  <c r="AI24" i="2"/>
  <c r="AF24" i="2"/>
  <c r="AC24" i="2"/>
  <c r="Z24" i="2"/>
  <c r="W24" i="2"/>
  <c r="T24" i="2"/>
  <c r="C28" i="1"/>
  <c r="L22" i="2"/>
  <c r="M22" i="2" s="1"/>
  <c r="C22" i="2"/>
  <c r="B21" i="11"/>
  <c r="B20" i="11"/>
  <c r="C22" i="7"/>
  <c r="B19" i="11" l="1"/>
  <c r="K19" i="11"/>
  <c r="B18" i="11"/>
  <c r="B17" i="11"/>
  <c r="C2" i="5" l="1"/>
  <c r="C5" i="5"/>
  <c r="C6" i="5"/>
  <c r="C7" i="5"/>
  <c r="C8" i="5"/>
  <c r="C9" i="5"/>
  <c r="C10" i="5"/>
  <c r="C11" i="5"/>
  <c r="C28" i="5"/>
  <c r="CU28" i="5" s="1"/>
  <c r="BX28" i="5" s="1"/>
  <c r="BU28" i="5" l="1"/>
  <c r="CI28" i="5"/>
  <c r="BH28" i="5"/>
  <c r="AX28" i="5"/>
  <c r="AW28" i="5" s="1"/>
  <c r="I10" i="4"/>
  <c r="D28" i="5" l="1"/>
  <c r="L9" i="2" l="1"/>
  <c r="L18" i="2"/>
  <c r="L17" i="2"/>
  <c r="L16" i="2"/>
  <c r="L15" i="2"/>
  <c r="L14" i="2"/>
  <c r="L13" i="2"/>
  <c r="L12" i="2"/>
  <c r="F19" i="4"/>
  <c r="F18" i="4"/>
  <c r="F17" i="4"/>
  <c r="F16" i="4"/>
  <c r="F15" i="4"/>
  <c r="F14" i="4"/>
  <c r="F13" i="4"/>
  <c r="F12" i="4"/>
  <c r="F11" i="4"/>
  <c r="F10" i="4"/>
  <c r="F23" i="4" l="1"/>
  <c r="F22" i="4"/>
  <c r="J9" i="4"/>
  <c r="J8" i="4"/>
  <c r="V4" i="17" l="1"/>
  <c r="V5" i="17" s="1"/>
  <c r="V6" i="17" s="1"/>
  <c r="V3" i="17"/>
  <c r="B36" i="14" l="1"/>
  <c r="B47" i="11"/>
  <c r="F77" i="7" l="1"/>
  <c r="I77" i="7"/>
  <c r="C9" i="7"/>
  <c r="C7" i="7"/>
  <c r="C6" i="7"/>
  <c r="C8" i="7"/>
  <c r="C4" i="7"/>
  <c r="C5" i="7"/>
  <c r="J19" i="4" l="1"/>
  <c r="J18" i="4"/>
  <c r="J17" i="4"/>
  <c r="J16" i="4"/>
  <c r="J15" i="4"/>
  <c r="J14" i="4"/>
  <c r="J13" i="4"/>
  <c r="J12" i="4"/>
  <c r="J11" i="4"/>
  <c r="J10" i="4"/>
  <c r="C19" i="7" l="1"/>
  <c r="O704" i="5" l="1"/>
  <c r="AI704" i="5"/>
  <c r="AQ704" i="5"/>
  <c r="AU704" i="5"/>
  <c r="BZ704" i="5"/>
  <c r="CD704" i="5"/>
  <c r="O705" i="5"/>
  <c r="AI705" i="5"/>
  <c r="AQ705" i="5"/>
  <c r="AU705" i="5"/>
  <c r="BZ705" i="5"/>
  <c r="CD705" i="5"/>
  <c r="O706" i="5"/>
  <c r="AI706" i="5"/>
  <c r="AQ706" i="5"/>
  <c r="AU706" i="5"/>
  <c r="BZ706" i="5"/>
  <c r="CD706" i="5"/>
  <c r="O707" i="5"/>
  <c r="AI707" i="5"/>
  <c r="AQ707" i="5"/>
  <c r="AU707" i="5"/>
  <c r="BZ707" i="5"/>
  <c r="CD707" i="5"/>
  <c r="O708" i="5"/>
  <c r="AI708" i="5"/>
  <c r="AQ708" i="5"/>
  <c r="AU708" i="5"/>
  <c r="BZ708" i="5"/>
  <c r="CD708" i="5"/>
  <c r="O709" i="5"/>
  <c r="AI709" i="5"/>
  <c r="AQ709" i="5"/>
  <c r="AU709" i="5"/>
  <c r="BZ709" i="5"/>
  <c r="CD709" i="5"/>
  <c r="O710" i="5"/>
  <c r="AI710" i="5"/>
  <c r="AQ710" i="5"/>
  <c r="AU710" i="5"/>
  <c r="BZ710" i="5"/>
  <c r="CD710" i="5"/>
  <c r="O711" i="5"/>
  <c r="AI711" i="5"/>
  <c r="AQ711" i="5"/>
  <c r="AU711" i="5"/>
  <c r="BZ711" i="5"/>
  <c r="CD711" i="5"/>
  <c r="O712" i="5"/>
  <c r="AI712" i="5"/>
  <c r="AQ712" i="5"/>
  <c r="AU712" i="5"/>
  <c r="BZ712" i="5"/>
  <c r="CD712" i="5"/>
  <c r="O713" i="5"/>
  <c r="AI713" i="5"/>
  <c r="AQ713" i="5"/>
  <c r="AU713" i="5"/>
  <c r="BZ713" i="5"/>
  <c r="CD713" i="5"/>
  <c r="O714" i="5"/>
  <c r="AI714" i="5"/>
  <c r="AQ714" i="5"/>
  <c r="AU714" i="5"/>
  <c r="BZ714" i="5"/>
  <c r="CD714" i="5"/>
  <c r="O715" i="5"/>
  <c r="AI715" i="5"/>
  <c r="AQ715" i="5"/>
  <c r="AU715" i="5"/>
  <c r="BZ715" i="5"/>
  <c r="CD715" i="5"/>
  <c r="O716" i="5"/>
  <c r="AI716" i="5"/>
  <c r="AQ716" i="5"/>
  <c r="AU716" i="5"/>
  <c r="BZ716" i="5"/>
  <c r="CD716" i="5"/>
  <c r="O717" i="5"/>
  <c r="AI717" i="5"/>
  <c r="AQ717" i="5"/>
  <c r="AU717" i="5"/>
  <c r="BZ717" i="5"/>
  <c r="CD717" i="5"/>
  <c r="O718" i="5"/>
  <c r="AI718" i="5"/>
  <c r="AQ718" i="5"/>
  <c r="AU718" i="5"/>
  <c r="BZ718" i="5"/>
  <c r="CD718" i="5"/>
  <c r="O719" i="5"/>
  <c r="AI719" i="5"/>
  <c r="AQ719" i="5"/>
  <c r="AU719" i="5"/>
  <c r="BZ719" i="5"/>
  <c r="CD719" i="5"/>
  <c r="O720" i="5"/>
  <c r="AI720" i="5"/>
  <c r="AQ720" i="5"/>
  <c r="AU720" i="5"/>
  <c r="BZ720" i="5"/>
  <c r="CD720" i="5"/>
  <c r="O721" i="5"/>
  <c r="AI721" i="5"/>
  <c r="AQ721" i="5"/>
  <c r="AU721" i="5"/>
  <c r="BZ721" i="5"/>
  <c r="CD721" i="5"/>
  <c r="O722" i="5"/>
  <c r="AI722" i="5"/>
  <c r="AQ722" i="5"/>
  <c r="AU722" i="5"/>
  <c r="BZ722" i="5"/>
  <c r="CD722" i="5"/>
  <c r="O723" i="5"/>
  <c r="AI723" i="5"/>
  <c r="AQ723" i="5"/>
  <c r="AU723" i="5"/>
  <c r="BZ723" i="5"/>
  <c r="CD723" i="5"/>
  <c r="O724" i="5"/>
  <c r="AI724" i="5"/>
  <c r="AQ724" i="5"/>
  <c r="AU724" i="5"/>
  <c r="BZ724" i="5"/>
  <c r="CD724" i="5"/>
  <c r="O725" i="5"/>
  <c r="AI725" i="5"/>
  <c r="AQ725" i="5"/>
  <c r="AU725" i="5"/>
  <c r="BZ725" i="5"/>
  <c r="CD725" i="5"/>
  <c r="O726" i="5"/>
  <c r="AI726" i="5"/>
  <c r="AQ726" i="5"/>
  <c r="AU726" i="5"/>
  <c r="BZ726" i="5"/>
  <c r="CD726" i="5"/>
  <c r="O727" i="5"/>
  <c r="AI727" i="5"/>
  <c r="AQ727" i="5"/>
  <c r="AU727" i="5"/>
  <c r="BZ727" i="5"/>
  <c r="CD727" i="5"/>
  <c r="O728" i="5"/>
  <c r="AI728" i="5"/>
  <c r="AQ728" i="5"/>
  <c r="AU728" i="5"/>
  <c r="BZ728" i="5"/>
  <c r="CD728" i="5"/>
  <c r="O729" i="5"/>
  <c r="AI729" i="5"/>
  <c r="AQ729" i="5"/>
  <c r="AU729" i="5"/>
  <c r="BZ729" i="5"/>
  <c r="CD729" i="5"/>
  <c r="O730" i="5"/>
  <c r="AI730" i="5"/>
  <c r="AQ730" i="5"/>
  <c r="AU730" i="5"/>
  <c r="BZ730" i="5"/>
  <c r="CD730" i="5"/>
  <c r="O731" i="5"/>
  <c r="AI731" i="5"/>
  <c r="AQ731" i="5"/>
  <c r="AU731" i="5"/>
  <c r="BZ731" i="5"/>
  <c r="CD731" i="5"/>
  <c r="O732" i="5"/>
  <c r="AI732" i="5"/>
  <c r="AQ732" i="5"/>
  <c r="AU732" i="5"/>
  <c r="BZ732" i="5"/>
  <c r="CD732" i="5"/>
  <c r="O733" i="5"/>
  <c r="AI733" i="5"/>
  <c r="AQ733" i="5"/>
  <c r="AU733" i="5"/>
  <c r="BZ733" i="5"/>
  <c r="CD733" i="5"/>
  <c r="O734" i="5"/>
  <c r="AI734" i="5"/>
  <c r="AQ734" i="5"/>
  <c r="AU734" i="5"/>
  <c r="BZ734" i="5"/>
  <c r="CD734" i="5"/>
  <c r="O735" i="5"/>
  <c r="AI735" i="5"/>
  <c r="AQ735" i="5"/>
  <c r="AU735" i="5"/>
  <c r="BZ735" i="5"/>
  <c r="CD735" i="5"/>
  <c r="O736" i="5"/>
  <c r="AI736" i="5"/>
  <c r="AQ736" i="5"/>
  <c r="AU736" i="5"/>
  <c r="BZ736" i="5"/>
  <c r="CD736" i="5"/>
  <c r="O737" i="5"/>
  <c r="AI737" i="5"/>
  <c r="AQ737" i="5"/>
  <c r="AU737" i="5"/>
  <c r="BZ737" i="5"/>
  <c r="CD737" i="5"/>
  <c r="O738" i="5"/>
  <c r="AI738" i="5"/>
  <c r="AQ738" i="5"/>
  <c r="AU738" i="5"/>
  <c r="BZ738" i="5"/>
  <c r="CD738" i="5"/>
  <c r="O739" i="5"/>
  <c r="AI739" i="5"/>
  <c r="AQ739" i="5"/>
  <c r="AU739" i="5"/>
  <c r="BZ739" i="5"/>
  <c r="CD739" i="5"/>
  <c r="O740" i="5"/>
  <c r="AI740" i="5"/>
  <c r="AQ740" i="5"/>
  <c r="AU740" i="5"/>
  <c r="BZ740" i="5"/>
  <c r="CD740" i="5"/>
  <c r="O741" i="5"/>
  <c r="AI741" i="5"/>
  <c r="AQ741" i="5"/>
  <c r="AU741" i="5"/>
  <c r="BZ741" i="5"/>
  <c r="CD741" i="5"/>
  <c r="O742" i="5"/>
  <c r="AI742" i="5"/>
  <c r="AQ742" i="5"/>
  <c r="AU742" i="5"/>
  <c r="BZ742" i="5"/>
  <c r="CD742" i="5"/>
  <c r="O743" i="5"/>
  <c r="AI743" i="5"/>
  <c r="AQ743" i="5"/>
  <c r="AU743" i="5"/>
  <c r="BZ743" i="5"/>
  <c r="CD743" i="5"/>
  <c r="O744" i="5"/>
  <c r="AI744" i="5"/>
  <c r="AQ744" i="5"/>
  <c r="AU744" i="5"/>
  <c r="BZ744" i="5"/>
  <c r="CD744" i="5"/>
  <c r="O745" i="5"/>
  <c r="AI745" i="5"/>
  <c r="AQ745" i="5"/>
  <c r="AU745" i="5"/>
  <c r="BZ745" i="5"/>
  <c r="CD745" i="5"/>
  <c r="O746" i="5"/>
  <c r="AI746" i="5"/>
  <c r="AQ746" i="5"/>
  <c r="AU746" i="5"/>
  <c r="BZ746" i="5"/>
  <c r="CD746" i="5"/>
  <c r="O747" i="5"/>
  <c r="AI747" i="5"/>
  <c r="AQ747" i="5"/>
  <c r="AU747" i="5"/>
  <c r="BZ747" i="5"/>
  <c r="CD747" i="5"/>
  <c r="O748" i="5"/>
  <c r="AI748" i="5"/>
  <c r="AQ748" i="5"/>
  <c r="AU748" i="5"/>
  <c r="BZ748" i="5"/>
  <c r="CD748" i="5"/>
  <c r="O749" i="5"/>
  <c r="AI749" i="5"/>
  <c r="AQ749" i="5"/>
  <c r="AU749" i="5"/>
  <c r="BZ749" i="5"/>
  <c r="CD749" i="5"/>
  <c r="O750" i="5"/>
  <c r="AI750" i="5"/>
  <c r="AQ750" i="5"/>
  <c r="AU750" i="5"/>
  <c r="BZ750" i="5"/>
  <c r="CD750" i="5"/>
  <c r="O751" i="5"/>
  <c r="AI751" i="5"/>
  <c r="AQ751" i="5"/>
  <c r="AU751" i="5"/>
  <c r="BZ751" i="5"/>
  <c r="CD751" i="5"/>
  <c r="O752" i="5"/>
  <c r="AI752" i="5"/>
  <c r="AQ752" i="5"/>
  <c r="AU752" i="5"/>
  <c r="BZ752" i="5"/>
  <c r="CD752" i="5"/>
  <c r="O753" i="5"/>
  <c r="AI753" i="5"/>
  <c r="AQ753" i="5"/>
  <c r="AU753" i="5"/>
  <c r="BZ753" i="5"/>
  <c r="CD753" i="5"/>
  <c r="O604" i="5"/>
  <c r="AI604" i="5"/>
  <c r="AQ604" i="5"/>
  <c r="AU604" i="5"/>
  <c r="BZ604" i="5"/>
  <c r="CD604" i="5"/>
  <c r="O605" i="5"/>
  <c r="AI605" i="5"/>
  <c r="AQ605" i="5"/>
  <c r="AU605" i="5"/>
  <c r="BZ605" i="5"/>
  <c r="CD605" i="5"/>
  <c r="O606" i="5"/>
  <c r="AI606" i="5"/>
  <c r="AQ606" i="5"/>
  <c r="AU606" i="5"/>
  <c r="BZ606" i="5"/>
  <c r="CD606" i="5"/>
  <c r="O607" i="5"/>
  <c r="AI607" i="5"/>
  <c r="AQ607" i="5"/>
  <c r="AU607" i="5"/>
  <c r="BZ607" i="5"/>
  <c r="CD607" i="5"/>
  <c r="O608" i="5"/>
  <c r="AI608" i="5"/>
  <c r="AQ608" i="5"/>
  <c r="AU608" i="5"/>
  <c r="BZ608" i="5"/>
  <c r="CD608" i="5"/>
  <c r="O609" i="5"/>
  <c r="AI609" i="5"/>
  <c r="AQ609" i="5"/>
  <c r="AU609" i="5"/>
  <c r="BZ609" i="5"/>
  <c r="CD609" i="5"/>
  <c r="O610" i="5"/>
  <c r="AI610" i="5"/>
  <c r="AQ610" i="5"/>
  <c r="AU610" i="5"/>
  <c r="BZ610" i="5"/>
  <c r="CD610" i="5"/>
  <c r="O611" i="5"/>
  <c r="AI611" i="5"/>
  <c r="AQ611" i="5"/>
  <c r="AU611" i="5"/>
  <c r="BZ611" i="5"/>
  <c r="CD611" i="5"/>
  <c r="O612" i="5"/>
  <c r="AI612" i="5"/>
  <c r="AQ612" i="5"/>
  <c r="AU612" i="5"/>
  <c r="BZ612" i="5"/>
  <c r="CD612" i="5"/>
  <c r="O613" i="5"/>
  <c r="AI613" i="5"/>
  <c r="AQ613" i="5"/>
  <c r="AU613" i="5"/>
  <c r="BZ613" i="5"/>
  <c r="CD613" i="5"/>
  <c r="O614" i="5"/>
  <c r="AI614" i="5"/>
  <c r="AQ614" i="5"/>
  <c r="AU614" i="5"/>
  <c r="BZ614" i="5"/>
  <c r="CD614" i="5"/>
  <c r="O615" i="5"/>
  <c r="AI615" i="5"/>
  <c r="AQ615" i="5"/>
  <c r="AU615" i="5"/>
  <c r="BZ615" i="5"/>
  <c r="CD615" i="5"/>
  <c r="O616" i="5"/>
  <c r="AI616" i="5"/>
  <c r="AQ616" i="5"/>
  <c r="AU616" i="5"/>
  <c r="BZ616" i="5"/>
  <c r="CD616" i="5"/>
  <c r="O617" i="5"/>
  <c r="AI617" i="5"/>
  <c r="AQ617" i="5"/>
  <c r="AU617" i="5"/>
  <c r="BZ617" i="5"/>
  <c r="CD617" i="5"/>
  <c r="O618" i="5"/>
  <c r="AI618" i="5"/>
  <c r="AQ618" i="5"/>
  <c r="AU618" i="5"/>
  <c r="BZ618" i="5"/>
  <c r="CD618" i="5"/>
  <c r="O619" i="5"/>
  <c r="AI619" i="5"/>
  <c r="AQ619" i="5"/>
  <c r="AU619" i="5"/>
  <c r="BZ619" i="5"/>
  <c r="CD619" i="5"/>
  <c r="O620" i="5"/>
  <c r="AI620" i="5"/>
  <c r="AQ620" i="5"/>
  <c r="AU620" i="5"/>
  <c r="BZ620" i="5"/>
  <c r="CD620" i="5"/>
  <c r="O621" i="5"/>
  <c r="AI621" i="5"/>
  <c r="AQ621" i="5"/>
  <c r="AU621" i="5"/>
  <c r="BZ621" i="5"/>
  <c r="CD621" i="5"/>
  <c r="O622" i="5"/>
  <c r="AI622" i="5"/>
  <c r="AQ622" i="5"/>
  <c r="AU622" i="5"/>
  <c r="BZ622" i="5"/>
  <c r="CD622" i="5"/>
  <c r="O623" i="5"/>
  <c r="AI623" i="5"/>
  <c r="AQ623" i="5"/>
  <c r="AU623" i="5"/>
  <c r="BZ623" i="5"/>
  <c r="CD623" i="5"/>
  <c r="O624" i="5"/>
  <c r="AI624" i="5"/>
  <c r="AQ624" i="5"/>
  <c r="AU624" i="5"/>
  <c r="BZ624" i="5"/>
  <c r="CD624" i="5"/>
  <c r="O625" i="5"/>
  <c r="AI625" i="5"/>
  <c r="AQ625" i="5"/>
  <c r="AU625" i="5"/>
  <c r="BZ625" i="5"/>
  <c r="CD625" i="5"/>
  <c r="O626" i="5"/>
  <c r="AI626" i="5"/>
  <c r="AQ626" i="5"/>
  <c r="AU626" i="5"/>
  <c r="BZ626" i="5"/>
  <c r="CD626" i="5"/>
  <c r="O627" i="5"/>
  <c r="AI627" i="5"/>
  <c r="AQ627" i="5"/>
  <c r="AU627" i="5"/>
  <c r="BZ627" i="5"/>
  <c r="CD627" i="5"/>
  <c r="O628" i="5"/>
  <c r="AI628" i="5"/>
  <c r="AQ628" i="5"/>
  <c r="AU628" i="5"/>
  <c r="BZ628" i="5"/>
  <c r="CD628" i="5"/>
  <c r="O629" i="5"/>
  <c r="AI629" i="5"/>
  <c r="AQ629" i="5"/>
  <c r="AU629" i="5"/>
  <c r="BZ629" i="5"/>
  <c r="CD629" i="5"/>
  <c r="O630" i="5"/>
  <c r="AI630" i="5"/>
  <c r="AQ630" i="5"/>
  <c r="AU630" i="5"/>
  <c r="BZ630" i="5"/>
  <c r="CD630" i="5"/>
  <c r="O631" i="5"/>
  <c r="AI631" i="5"/>
  <c r="AQ631" i="5"/>
  <c r="AU631" i="5"/>
  <c r="BZ631" i="5"/>
  <c r="CD631" i="5"/>
  <c r="O632" i="5"/>
  <c r="AI632" i="5"/>
  <c r="AQ632" i="5"/>
  <c r="AU632" i="5"/>
  <c r="BZ632" i="5"/>
  <c r="CD632" i="5"/>
  <c r="O633" i="5"/>
  <c r="AI633" i="5"/>
  <c r="AQ633" i="5"/>
  <c r="AU633" i="5"/>
  <c r="BZ633" i="5"/>
  <c r="CD633" i="5"/>
  <c r="O634" i="5"/>
  <c r="AI634" i="5"/>
  <c r="AQ634" i="5"/>
  <c r="AU634" i="5"/>
  <c r="BZ634" i="5"/>
  <c r="CD634" i="5"/>
  <c r="O635" i="5"/>
  <c r="AI635" i="5"/>
  <c r="AQ635" i="5"/>
  <c r="AU635" i="5"/>
  <c r="BZ635" i="5"/>
  <c r="CD635" i="5"/>
  <c r="O636" i="5"/>
  <c r="AI636" i="5"/>
  <c r="AQ636" i="5"/>
  <c r="AU636" i="5"/>
  <c r="BZ636" i="5"/>
  <c r="CD636" i="5"/>
  <c r="O637" i="5"/>
  <c r="AI637" i="5"/>
  <c r="AQ637" i="5"/>
  <c r="AU637" i="5"/>
  <c r="BZ637" i="5"/>
  <c r="CD637" i="5"/>
  <c r="O638" i="5"/>
  <c r="AI638" i="5"/>
  <c r="AQ638" i="5"/>
  <c r="AU638" i="5"/>
  <c r="BZ638" i="5"/>
  <c r="CD638" i="5"/>
  <c r="O639" i="5"/>
  <c r="AI639" i="5"/>
  <c r="AQ639" i="5"/>
  <c r="AU639" i="5"/>
  <c r="BZ639" i="5"/>
  <c r="CD639" i="5"/>
  <c r="O640" i="5"/>
  <c r="AI640" i="5"/>
  <c r="AQ640" i="5"/>
  <c r="AU640" i="5"/>
  <c r="BZ640" i="5"/>
  <c r="CD640" i="5"/>
  <c r="O641" i="5"/>
  <c r="AI641" i="5"/>
  <c r="AQ641" i="5"/>
  <c r="AU641" i="5"/>
  <c r="BZ641" i="5"/>
  <c r="CD641" i="5"/>
  <c r="O642" i="5"/>
  <c r="AI642" i="5"/>
  <c r="AQ642" i="5"/>
  <c r="AU642" i="5"/>
  <c r="BZ642" i="5"/>
  <c r="CD642" i="5"/>
  <c r="O643" i="5"/>
  <c r="AI643" i="5"/>
  <c r="AQ643" i="5"/>
  <c r="AU643" i="5"/>
  <c r="BZ643" i="5"/>
  <c r="CD643" i="5"/>
  <c r="O644" i="5"/>
  <c r="AI644" i="5"/>
  <c r="AQ644" i="5"/>
  <c r="AU644" i="5"/>
  <c r="BZ644" i="5"/>
  <c r="CD644" i="5"/>
  <c r="O645" i="5"/>
  <c r="AI645" i="5"/>
  <c r="AQ645" i="5"/>
  <c r="AU645" i="5"/>
  <c r="BZ645" i="5"/>
  <c r="CD645" i="5"/>
  <c r="O646" i="5"/>
  <c r="AI646" i="5"/>
  <c r="AQ646" i="5"/>
  <c r="AU646" i="5"/>
  <c r="BZ646" i="5"/>
  <c r="CD646" i="5"/>
  <c r="O647" i="5"/>
  <c r="AI647" i="5"/>
  <c r="AQ647" i="5"/>
  <c r="AU647" i="5"/>
  <c r="BZ647" i="5"/>
  <c r="CD647" i="5"/>
  <c r="O648" i="5"/>
  <c r="AI648" i="5"/>
  <c r="AQ648" i="5"/>
  <c r="AU648" i="5"/>
  <c r="BZ648" i="5"/>
  <c r="CD648" i="5"/>
  <c r="O649" i="5"/>
  <c r="AI649" i="5"/>
  <c r="AQ649" i="5"/>
  <c r="AU649" i="5"/>
  <c r="BZ649" i="5"/>
  <c r="CD649" i="5"/>
  <c r="O650" i="5"/>
  <c r="AI650" i="5"/>
  <c r="AQ650" i="5"/>
  <c r="AU650" i="5"/>
  <c r="BZ650" i="5"/>
  <c r="CD650" i="5"/>
  <c r="O651" i="5"/>
  <c r="AI651" i="5"/>
  <c r="AQ651" i="5"/>
  <c r="AU651" i="5"/>
  <c r="BZ651" i="5"/>
  <c r="CD651" i="5"/>
  <c r="O652" i="5"/>
  <c r="AI652" i="5"/>
  <c r="AQ652" i="5"/>
  <c r="AU652" i="5"/>
  <c r="BZ652" i="5"/>
  <c r="CD652" i="5"/>
  <c r="O653" i="5"/>
  <c r="AI653" i="5"/>
  <c r="AQ653" i="5"/>
  <c r="AU653" i="5"/>
  <c r="BZ653" i="5"/>
  <c r="CD653" i="5"/>
  <c r="O654" i="5"/>
  <c r="AI654" i="5"/>
  <c r="AQ654" i="5"/>
  <c r="AU654" i="5"/>
  <c r="BZ654" i="5"/>
  <c r="CD654" i="5"/>
  <c r="O655" i="5"/>
  <c r="AI655" i="5"/>
  <c r="AQ655" i="5"/>
  <c r="AU655" i="5"/>
  <c r="BZ655" i="5"/>
  <c r="CD655" i="5"/>
  <c r="O656" i="5"/>
  <c r="AI656" i="5"/>
  <c r="AQ656" i="5"/>
  <c r="AU656" i="5"/>
  <c r="BZ656" i="5"/>
  <c r="CD656" i="5"/>
  <c r="O657" i="5"/>
  <c r="AI657" i="5"/>
  <c r="AQ657" i="5"/>
  <c r="AU657" i="5"/>
  <c r="BZ657" i="5"/>
  <c r="CD657" i="5"/>
  <c r="O658" i="5"/>
  <c r="AI658" i="5"/>
  <c r="AQ658" i="5"/>
  <c r="AU658" i="5"/>
  <c r="BZ658" i="5"/>
  <c r="CD658" i="5"/>
  <c r="O659" i="5"/>
  <c r="AI659" i="5"/>
  <c r="AQ659" i="5"/>
  <c r="AU659" i="5"/>
  <c r="BZ659" i="5"/>
  <c r="CD659" i="5"/>
  <c r="O660" i="5"/>
  <c r="AI660" i="5"/>
  <c r="AQ660" i="5"/>
  <c r="AU660" i="5"/>
  <c r="BZ660" i="5"/>
  <c r="CD660" i="5"/>
  <c r="O661" i="5"/>
  <c r="AI661" i="5"/>
  <c r="AQ661" i="5"/>
  <c r="AU661" i="5"/>
  <c r="BZ661" i="5"/>
  <c r="CD661" i="5"/>
  <c r="O662" i="5"/>
  <c r="AI662" i="5"/>
  <c r="AQ662" i="5"/>
  <c r="AU662" i="5"/>
  <c r="BZ662" i="5"/>
  <c r="CD662" i="5"/>
  <c r="O663" i="5"/>
  <c r="AI663" i="5"/>
  <c r="AQ663" i="5"/>
  <c r="AU663" i="5"/>
  <c r="BZ663" i="5"/>
  <c r="CD663" i="5"/>
  <c r="O664" i="5"/>
  <c r="AI664" i="5"/>
  <c r="AQ664" i="5"/>
  <c r="AU664" i="5"/>
  <c r="BZ664" i="5"/>
  <c r="CD664" i="5"/>
  <c r="O665" i="5"/>
  <c r="AI665" i="5"/>
  <c r="AQ665" i="5"/>
  <c r="AU665" i="5"/>
  <c r="BZ665" i="5"/>
  <c r="CD665" i="5"/>
  <c r="O666" i="5"/>
  <c r="AI666" i="5"/>
  <c r="AQ666" i="5"/>
  <c r="AU666" i="5"/>
  <c r="BZ666" i="5"/>
  <c r="CD666" i="5"/>
  <c r="O667" i="5"/>
  <c r="AI667" i="5"/>
  <c r="AQ667" i="5"/>
  <c r="AU667" i="5"/>
  <c r="BZ667" i="5"/>
  <c r="CD667" i="5"/>
  <c r="O668" i="5"/>
  <c r="AI668" i="5"/>
  <c r="AQ668" i="5"/>
  <c r="AU668" i="5"/>
  <c r="BZ668" i="5"/>
  <c r="CD668" i="5"/>
  <c r="O669" i="5"/>
  <c r="AI669" i="5"/>
  <c r="AQ669" i="5"/>
  <c r="AU669" i="5"/>
  <c r="BZ669" i="5"/>
  <c r="CD669" i="5"/>
  <c r="O670" i="5"/>
  <c r="AI670" i="5"/>
  <c r="AQ670" i="5"/>
  <c r="AU670" i="5"/>
  <c r="BZ670" i="5"/>
  <c r="CD670" i="5"/>
  <c r="O671" i="5"/>
  <c r="AI671" i="5"/>
  <c r="AQ671" i="5"/>
  <c r="AU671" i="5"/>
  <c r="BZ671" i="5"/>
  <c r="CD671" i="5"/>
  <c r="O672" i="5"/>
  <c r="AI672" i="5"/>
  <c r="AQ672" i="5"/>
  <c r="AU672" i="5"/>
  <c r="BZ672" i="5"/>
  <c r="CD672" i="5"/>
  <c r="O673" i="5"/>
  <c r="AI673" i="5"/>
  <c r="AQ673" i="5"/>
  <c r="AU673" i="5"/>
  <c r="BZ673" i="5"/>
  <c r="CD673" i="5"/>
  <c r="O674" i="5"/>
  <c r="AI674" i="5"/>
  <c r="AQ674" i="5"/>
  <c r="AU674" i="5"/>
  <c r="BZ674" i="5"/>
  <c r="CD674" i="5"/>
  <c r="O675" i="5"/>
  <c r="AI675" i="5"/>
  <c r="AQ675" i="5"/>
  <c r="AU675" i="5"/>
  <c r="BZ675" i="5"/>
  <c r="CD675" i="5"/>
  <c r="O676" i="5"/>
  <c r="AI676" i="5"/>
  <c r="AQ676" i="5"/>
  <c r="AU676" i="5"/>
  <c r="BZ676" i="5"/>
  <c r="CD676" i="5"/>
  <c r="O677" i="5"/>
  <c r="AI677" i="5"/>
  <c r="AQ677" i="5"/>
  <c r="AU677" i="5"/>
  <c r="BZ677" i="5"/>
  <c r="CD677" i="5"/>
  <c r="O678" i="5"/>
  <c r="AI678" i="5"/>
  <c r="AQ678" i="5"/>
  <c r="AU678" i="5"/>
  <c r="BZ678" i="5"/>
  <c r="CD678" i="5"/>
  <c r="O679" i="5"/>
  <c r="AI679" i="5"/>
  <c r="AQ679" i="5"/>
  <c r="AU679" i="5"/>
  <c r="BZ679" i="5"/>
  <c r="CD679" i="5"/>
  <c r="O680" i="5"/>
  <c r="AI680" i="5"/>
  <c r="AQ680" i="5"/>
  <c r="AU680" i="5"/>
  <c r="BZ680" i="5"/>
  <c r="CD680" i="5"/>
  <c r="O681" i="5"/>
  <c r="AI681" i="5"/>
  <c r="AQ681" i="5"/>
  <c r="AU681" i="5"/>
  <c r="BZ681" i="5"/>
  <c r="CD681" i="5"/>
  <c r="O682" i="5"/>
  <c r="AI682" i="5"/>
  <c r="AQ682" i="5"/>
  <c r="AU682" i="5"/>
  <c r="BZ682" i="5"/>
  <c r="CD682" i="5"/>
  <c r="O683" i="5"/>
  <c r="AI683" i="5"/>
  <c r="AQ683" i="5"/>
  <c r="AU683" i="5"/>
  <c r="BZ683" i="5"/>
  <c r="CD683" i="5"/>
  <c r="O684" i="5"/>
  <c r="AI684" i="5"/>
  <c r="AQ684" i="5"/>
  <c r="AU684" i="5"/>
  <c r="BZ684" i="5"/>
  <c r="CD684" i="5"/>
  <c r="O685" i="5"/>
  <c r="AI685" i="5"/>
  <c r="AQ685" i="5"/>
  <c r="AU685" i="5"/>
  <c r="BZ685" i="5"/>
  <c r="CD685" i="5"/>
  <c r="O686" i="5"/>
  <c r="AI686" i="5"/>
  <c r="AQ686" i="5"/>
  <c r="AU686" i="5"/>
  <c r="BZ686" i="5"/>
  <c r="CD686" i="5"/>
  <c r="O687" i="5"/>
  <c r="AI687" i="5"/>
  <c r="AQ687" i="5"/>
  <c r="AU687" i="5"/>
  <c r="BZ687" i="5"/>
  <c r="CD687" i="5"/>
  <c r="O688" i="5"/>
  <c r="AI688" i="5"/>
  <c r="AQ688" i="5"/>
  <c r="AU688" i="5"/>
  <c r="BZ688" i="5"/>
  <c r="CD688" i="5"/>
  <c r="O689" i="5"/>
  <c r="AI689" i="5"/>
  <c r="AQ689" i="5"/>
  <c r="AU689" i="5"/>
  <c r="BZ689" i="5"/>
  <c r="CD689" i="5"/>
  <c r="O690" i="5"/>
  <c r="AI690" i="5"/>
  <c r="AQ690" i="5"/>
  <c r="AU690" i="5"/>
  <c r="BZ690" i="5"/>
  <c r="CD690" i="5"/>
  <c r="O691" i="5"/>
  <c r="AI691" i="5"/>
  <c r="AQ691" i="5"/>
  <c r="AU691" i="5"/>
  <c r="BZ691" i="5"/>
  <c r="CD691" i="5"/>
  <c r="O692" i="5"/>
  <c r="AI692" i="5"/>
  <c r="AQ692" i="5"/>
  <c r="AU692" i="5"/>
  <c r="BZ692" i="5"/>
  <c r="CD692" i="5"/>
  <c r="O693" i="5"/>
  <c r="AI693" i="5"/>
  <c r="AQ693" i="5"/>
  <c r="AU693" i="5"/>
  <c r="BZ693" i="5"/>
  <c r="CD693" i="5"/>
  <c r="O694" i="5"/>
  <c r="AI694" i="5"/>
  <c r="AQ694" i="5"/>
  <c r="AU694" i="5"/>
  <c r="BZ694" i="5"/>
  <c r="CD694" i="5"/>
  <c r="O695" i="5"/>
  <c r="AI695" i="5"/>
  <c r="AQ695" i="5"/>
  <c r="AU695" i="5"/>
  <c r="BZ695" i="5"/>
  <c r="CD695" i="5"/>
  <c r="O696" i="5"/>
  <c r="AI696" i="5"/>
  <c r="AQ696" i="5"/>
  <c r="AU696" i="5"/>
  <c r="BZ696" i="5"/>
  <c r="CD696" i="5"/>
  <c r="O697" i="5"/>
  <c r="AI697" i="5"/>
  <c r="AQ697" i="5"/>
  <c r="AU697" i="5"/>
  <c r="BZ697" i="5"/>
  <c r="CD697" i="5"/>
  <c r="O698" i="5"/>
  <c r="AI698" i="5"/>
  <c r="AQ698" i="5"/>
  <c r="AU698" i="5"/>
  <c r="BZ698" i="5"/>
  <c r="CD698" i="5"/>
  <c r="O699" i="5"/>
  <c r="AI699" i="5"/>
  <c r="AQ699" i="5"/>
  <c r="AU699" i="5"/>
  <c r="BZ699" i="5"/>
  <c r="CD699" i="5"/>
  <c r="O700" i="5"/>
  <c r="AI700" i="5"/>
  <c r="AQ700" i="5"/>
  <c r="AU700" i="5"/>
  <c r="BZ700" i="5"/>
  <c r="CD700" i="5"/>
  <c r="O701" i="5"/>
  <c r="AI701" i="5"/>
  <c r="AQ701" i="5"/>
  <c r="AU701" i="5"/>
  <c r="BZ701" i="5"/>
  <c r="CD701" i="5"/>
  <c r="O702" i="5"/>
  <c r="AI702" i="5"/>
  <c r="AQ702" i="5"/>
  <c r="AU702" i="5"/>
  <c r="BZ702" i="5"/>
  <c r="CD702" i="5"/>
  <c r="O703" i="5"/>
  <c r="AI703" i="5"/>
  <c r="AQ703" i="5"/>
  <c r="AU703" i="5"/>
  <c r="BZ703" i="5"/>
  <c r="CD703" i="5"/>
  <c r="N9" i="2" l="1"/>
  <c r="M9" i="2"/>
  <c r="K9" i="2"/>
  <c r="J9" i="2"/>
  <c r="H9" i="2"/>
  <c r="C9" i="2"/>
  <c r="I23" i="4" l="1"/>
  <c r="I22" i="4"/>
  <c r="I21" i="4"/>
  <c r="I20" i="4"/>
  <c r="G18" i="4"/>
  <c r="D18" i="4"/>
  <c r="I9" i="4"/>
  <c r="I8" i="4"/>
  <c r="AU29" i="5"/>
  <c r="AU30" i="5"/>
  <c r="AU31" i="5"/>
  <c r="AU32" i="5"/>
  <c r="AU33" i="5"/>
  <c r="AU34" i="5"/>
  <c r="AU35" i="5"/>
  <c r="AU36" i="5"/>
  <c r="AU37" i="5"/>
  <c r="AU38" i="5"/>
  <c r="AU39" i="5"/>
  <c r="AU40" i="5"/>
  <c r="AU41" i="5"/>
  <c r="AU42" i="5"/>
  <c r="AU43" i="5"/>
  <c r="AU44" i="5"/>
  <c r="AU45" i="5"/>
  <c r="AU46" i="5"/>
  <c r="AU47" i="5"/>
  <c r="AU48" i="5"/>
  <c r="AU49" i="5"/>
  <c r="AU50" i="5"/>
  <c r="AU51" i="5"/>
  <c r="AU52" i="5"/>
  <c r="AU53" i="5"/>
  <c r="AU54" i="5"/>
  <c r="AU55" i="5"/>
  <c r="AU56" i="5"/>
  <c r="AU57" i="5"/>
  <c r="AU58" i="5"/>
  <c r="AU59" i="5"/>
  <c r="AU60" i="5"/>
  <c r="AU61" i="5"/>
  <c r="AU62" i="5"/>
  <c r="AU63" i="5"/>
  <c r="AU64" i="5"/>
  <c r="AU65" i="5"/>
  <c r="AU66" i="5"/>
  <c r="AU67" i="5"/>
  <c r="AU68" i="5"/>
  <c r="AU69" i="5"/>
  <c r="AU70" i="5"/>
  <c r="AU71" i="5"/>
  <c r="AU72" i="5"/>
  <c r="AU73" i="5"/>
  <c r="AU74" i="5"/>
  <c r="AU75" i="5"/>
  <c r="AU76" i="5"/>
  <c r="AU77" i="5"/>
  <c r="AU78" i="5"/>
  <c r="AU79" i="5"/>
  <c r="AU80" i="5"/>
  <c r="AU81" i="5"/>
  <c r="AU82" i="5"/>
  <c r="AU83" i="5"/>
  <c r="AU84" i="5"/>
  <c r="AU85" i="5"/>
  <c r="AU86" i="5"/>
  <c r="AU87" i="5"/>
  <c r="AU88" i="5"/>
  <c r="AU89" i="5"/>
  <c r="AU90" i="5"/>
  <c r="AU91" i="5"/>
  <c r="AU92" i="5"/>
  <c r="AU93" i="5"/>
  <c r="AU94" i="5"/>
  <c r="AU95" i="5"/>
  <c r="AU96" i="5"/>
  <c r="AU97" i="5"/>
  <c r="AU98" i="5"/>
  <c r="AU99" i="5"/>
  <c r="AU100" i="5"/>
  <c r="AU101" i="5"/>
  <c r="AU102" i="5"/>
  <c r="AU103" i="5"/>
  <c r="AU104" i="5"/>
  <c r="AU105" i="5"/>
  <c r="AU106" i="5"/>
  <c r="AU107" i="5"/>
  <c r="AU108" i="5"/>
  <c r="AU109" i="5"/>
  <c r="AU110" i="5"/>
  <c r="AU111" i="5"/>
  <c r="AU112" i="5"/>
  <c r="AU113" i="5"/>
  <c r="AU114" i="5"/>
  <c r="AU115" i="5"/>
  <c r="AU116" i="5"/>
  <c r="AU117" i="5"/>
  <c r="AU118" i="5"/>
  <c r="AU119" i="5"/>
  <c r="AU120" i="5"/>
  <c r="AU121" i="5"/>
  <c r="AU122" i="5"/>
  <c r="AU123" i="5"/>
  <c r="AU124" i="5"/>
  <c r="AU125" i="5"/>
  <c r="AU126" i="5"/>
  <c r="AU127" i="5"/>
  <c r="AU128" i="5"/>
  <c r="AU129" i="5"/>
  <c r="AU130" i="5"/>
  <c r="AU131" i="5"/>
  <c r="AU132" i="5"/>
  <c r="AU133" i="5"/>
  <c r="AU134" i="5"/>
  <c r="AU135" i="5"/>
  <c r="AU136" i="5"/>
  <c r="AU137" i="5"/>
  <c r="AU138" i="5"/>
  <c r="AU139" i="5"/>
  <c r="AU140" i="5"/>
  <c r="AU141" i="5"/>
  <c r="AU142" i="5"/>
  <c r="AU143" i="5"/>
  <c r="AU144" i="5"/>
  <c r="AU145" i="5"/>
  <c r="AU146" i="5"/>
  <c r="AU147" i="5"/>
  <c r="AU148" i="5"/>
  <c r="AU149" i="5"/>
  <c r="AU150" i="5"/>
  <c r="AU151" i="5"/>
  <c r="AU152" i="5"/>
  <c r="AU153" i="5"/>
  <c r="AU154" i="5"/>
  <c r="AU155" i="5"/>
  <c r="AU156" i="5"/>
  <c r="AU157" i="5"/>
  <c r="AU158" i="5"/>
  <c r="AU159" i="5"/>
  <c r="AU160" i="5"/>
  <c r="AU161" i="5"/>
  <c r="AU162" i="5"/>
  <c r="AU163" i="5"/>
  <c r="AU164" i="5"/>
  <c r="AU165" i="5"/>
  <c r="AU166" i="5"/>
  <c r="AU167" i="5"/>
  <c r="AU168" i="5"/>
  <c r="AU169" i="5"/>
  <c r="AU170" i="5"/>
  <c r="AU171" i="5"/>
  <c r="AU172" i="5"/>
  <c r="AU173" i="5"/>
  <c r="AU174" i="5"/>
  <c r="AU175" i="5"/>
  <c r="AU176" i="5"/>
  <c r="AU177" i="5"/>
  <c r="AU178" i="5"/>
  <c r="AU179" i="5"/>
  <c r="AU180" i="5"/>
  <c r="AU181" i="5"/>
  <c r="AU182" i="5"/>
  <c r="AU183" i="5"/>
  <c r="AU184" i="5"/>
  <c r="AU185" i="5"/>
  <c r="AU186" i="5"/>
  <c r="AU187" i="5"/>
  <c r="AU188" i="5"/>
  <c r="AU189" i="5"/>
  <c r="AU190" i="5"/>
  <c r="AU191" i="5"/>
  <c r="AU192" i="5"/>
  <c r="AU193" i="5"/>
  <c r="AU194" i="5"/>
  <c r="AU195" i="5"/>
  <c r="AU196" i="5"/>
  <c r="AU197" i="5"/>
  <c r="AU198" i="5"/>
  <c r="AU199" i="5"/>
  <c r="AU200" i="5"/>
  <c r="AU201" i="5"/>
  <c r="AU202" i="5"/>
  <c r="AU203" i="5"/>
  <c r="AU204" i="5"/>
  <c r="AU205" i="5"/>
  <c r="AU206" i="5"/>
  <c r="AU207" i="5"/>
  <c r="AU208" i="5"/>
  <c r="AU209" i="5"/>
  <c r="AU210" i="5"/>
  <c r="AU211" i="5"/>
  <c r="AU212" i="5"/>
  <c r="AU213" i="5"/>
  <c r="AU214" i="5"/>
  <c r="AU215" i="5"/>
  <c r="AU216" i="5"/>
  <c r="AU217" i="5"/>
  <c r="AU218" i="5"/>
  <c r="AU219" i="5"/>
  <c r="AU220" i="5"/>
  <c r="AU221" i="5"/>
  <c r="AU222" i="5"/>
  <c r="AU223" i="5"/>
  <c r="AU224" i="5"/>
  <c r="AU225" i="5"/>
  <c r="AU226" i="5"/>
  <c r="AU227" i="5"/>
  <c r="AU228" i="5"/>
  <c r="AU229" i="5"/>
  <c r="AU230" i="5"/>
  <c r="AU231" i="5"/>
  <c r="AU232" i="5"/>
  <c r="AU233" i="5"/>
  <c r="AU234" i="5"/>
  <c r="AU235" i="5"/>
  <c r="AU236" i="5"/>
  <c r="AU237" i="5"/>
  <c r="AU238" i="5"/>
  <c r="AU239" i="5"/>
  <c r="AU240" i="5"/>
  <c r="AU241" i="5"/>
  <c r="AU242" i="5"/>
  <c r="AU243" i="5"/>
  <c r="AU244" i="5"/>
  <c r="AU245" i="5"/>
  <c r="AU246" i="5"/>
  <c r="AU247" i="5"/>
  <c r="AU248" i="5"/>
  <c r="AU249" i="5"/>
  <c r="AU250" i="5"/>
  <c r="AU251" i="5"/>
  <c r="AU252" i="5"/>
  <c r="AU253" i="5"/>
  <c r="AU254" i="5"/>
  <c r="AU255" i="5"/>
  <c r="AU256" i="5"/>
  <c r="AU257" i="5"/>
  <c r="AU258" i="5"/>
  <c r="AU259" i="5"/>
  <c r="AU260" i="5"/>
  <c r="AU261" i="5"/>
  <c r="AU262" i="5"/>
  <c r="AU263" i="5"/>
  <c r="AU264" i="5"/>
  <c r="AU265" i="5"/>
  <c r="AU266" i="5"/>
  <c r="AU267" i="5"/>
  <c r="AU268" i="5"/>
  <c r="AU269" i="5"/>
  <c r="AU270" i="5"/>
  <c r="AU271" i="5"/>
  <c r="AU272" i="5"/>
  <c r="AU273" i="5"/>
  <c r="AU274" i="5"/>
  <c r="AU275" i="5"/>
  <c r="AU276" i="5"/>
  <c r="AU277" i="5"/>
  <c r="AU278" i="5"/>
  <c r="AU279" i="5"/>
  <c r="AU280" i="5"/>
  <c r="AU281" i="5"/>
  <c r="AU282" i="5"/>
  <c r="AU283" i="5"/>
  <c r="AU284" i="5"/>
  <c r="AU285" i="5"/>
  <c r="AU286" i="5"/>
  <c r="AU287" i="5"/>
  <c r="AU288" i="5"/>
  <c r="AU289" i="5"/>
  <c r="AU290" i="5"/>
  <c r="AU291" i="5"/>
  <c r="AU292" i="5"/>
  <c r="AU293" i="5"/>
  <c r="AU294" i="5"/>
  <c r="AU295" i="5"/>
  <c r="AU296" i="5"/>
  <c r="AU297" i="5"/>
  <c r="AU298" i="5"/>
  <c r="AU299" i="5"/>
  <c r="AU300" i="5"/>
  <c r="AU301" i="5"/>
  <c r="AU302" i="5"/>
  <c r="AU303" i="5"/>
  <c r="AU304" i="5"/>
  <c r="AU305" i="5"/>
  <c r="AU306" i="5"/>
  <c r="AU307" i="5"/>
  <c r="AU308" i="5"/>
  <c r="AU309" i="5"/>
  <c r="AU310" i="5"/>
  <c r="AU311" i="5"/>
  <c r="AU312" i="5"/>
  <c r="AU313" i="5"/>
  <c r="AU314" i="5"/>
  <c r="AU315" i="5"/>
  <c r="AU316" i="5"/>
  <c r="AU317" i="5"/>
  <c r="AU318" i="5"/>
  <c r="AU319" i="5"/>
  <c r="AU320" i="5"/>
  <c r="AU321" i="5"/>
  <c r="AU322" i="5"/>
  <c r="AU323" i="5"/>
  <c r="AU324" i="5"/>
  <c r="AU325" i="5"/>
  <c r="AU326" i="5"/>
  <c r="AU327" i="5"/>
  <c r="AU328" i="5"/>
  <c r="AU329" i="5"/>
  <c r="AU330" i="5"/>
  <c r="AU331" i="5"/>
  <c r="AU332" i="5"/>
  <c r="AU333" i="5"/>
  <c r="AU334" i="5"/>
  <c r="AU335" i="5"/>
  <c r="AU336" i="5"/>
  <c r="AU337" i="5"/>
  <c r="AU338" i="5"/>
  <c r="AU339" i="5"/>
  <c r="AU340" i="5"/>
  <c r="AU341" i="5"/>
  <c r="AU342" i="5"/>
  <c r="AU343" i="5"/>
  <c r="AU344" i="5"/>
  <c r="AU345" i="5"/>
  <c r="AU346" i="5"/>
  <c r="AU347" i="5"/>
  <c r="AU348" i="5"/>
  <c r="AU349" i="5"/>
  <c r="AU350" i="5"/>
  <c r="AU351" i="5"/>
  <c r="AU352" i="5"/>
  <c r="AU353" i="5"/>
  <c r="AU354" i="5"/>
  <c r="AU355" i="5"/>
  <c r="AU356" i="5"/>
  <c r="AU357" i="5"/>
  <c r="AU358" i="5"/>
  <c r="AU359" i="5"/>
  <c r="AU360" i="5"/>
  <c r="AU361" i="5"/>
  <c r="AU362" i="5"/>
  <c r="AU363" i="5"/>
  <c r="AU364" i="5"/>
  <c r="AU365" i="5"/>
  <c r="AU366" i="5"/>
  <c r="AU367" i="5"/>
  <c r="AU368" i="5"/>
  <c r="AU369" i="5"/>
  <c r="AU370" i="5"/>
  <c r="AU371" i="5"/>
  <c r="AU372" i="5"/>
  <c r="AU373" i="5"/>
  <c r="AU374" i="5"/>
  <c r="AU375" i="5"/>
  <c r="AU376" i="5"/>
  <c r="AU377" i="5"/>
  <c r="AU378" i="5"/>
  <c r="AU379" i="5"/>
  <c r="AU380" i="5"/>
  <c r="AU381" i="5"/>
  <c r="AU382" i="5"/>
  <c r="AU383" i="5"/>
  <c r="AU384" i="5"/>
  <c r="AU385" i="5"/>
  <c r="AU386" i="5"/>
  <c r="AU387" i="5"/>
  <c r="AU388" i="5"/>
  <c r="AU389" i="5"/>
  <c r="AU390" i="5"/>
  <c r="AU391" i="5"/>
  <c r="AU392" i="5"/>
  <c r="AU393" i="5"/>
  <c r="AU394" i="5"/>
  <c r="AU395" i="5"/>
  <c r="AU396" i="5"/>
  <c r="AU397" i="5"/>
  <c r="AU398" i="5"/>
  <c r="AU399" i="5"/>
  <c r="AU400" i="5"/>
  <c r="AU401" i="5"/>
  <c r="AU402" i="5"/>
  <c r="AU403" i="5"/>
  <c r="AU404" i="5"/>
  <c r="AU405" i="5"/>
  <c r="AU406" i="5"/>
  <c r="AU407" i="5"/>
  <c r="AU408" i="5"/>
  <c r="AU409" i="5"/>
  <c r="AU410" i="5"/>
  <c r="AU411" i="5"/>
  <c r="AU412" i="5"/>
  <c r="AU413" i="5"/>
  <c r="AU414" i="5"/>
  <c r="AU415" i="5"/>
  <c r="AU416" i="5"/>
  <c r="AU417" i="5"/>
  <c r="AU418" i="5"/>
  <c r="AU419" i="5"/>
  <c r="AU420" i="5"/>
  <c r="AU421" i="5"/>
  <c r="AU422" i="5"/>
  <c r="AU423" i="5"/>
  <c r="AU424" i="5"/>
  <c r="AU425" i="5"/>
  <c r="AU426" i="5"/>
  <c r="AU427" i="5"/>
  <c r="AU428" i="5"/>
  <c r="AU429" i="5"/>
  <c r="AU430" i="5"/>
  <c r="AU431" i="5"/>
  <c r="AU432" i="5"/>
  <c r="AU433" i="5"/>
  <c r="AU434" i="5"/>
  <c r="AU435" i="5"/>
  <c r="AU436" i="5"/>
  <c r="AU437" i="5"/>
  <c r="AU438" i="5"/>
  <c r="AU439" i="5"/>
  <c r="AU440" i="5"/>
  <c r="AU441" i="5"/>
  <c r="AU442" i="5"/>
  <c r="AU443" i="5"/>
  <c r="AU444" i="5"/>
  <c r="AU445" i="5"/>
  <c r="AU446" i="5"/>
  <c r="AU447" i="5"/>
  <c r="AU448" i="5"/>
  <c r="AU449" i="5"/>
  <c r="AU450" i="5"/>
  <c r="AU451" i="5"/>
  <c r="AU452" i="5"/>
  <c r="AU453" i="5"/>
  <c r="AU454" i="5"/>
  <c r="AU455" i="5"/>
  <c r="AU456" i="5"/>
  <c r="AU457" i="5"/>
  <c r="AU458" i="5"/>
  <c r="AU459" i="5"/>
  <c r="AU460" i="5"/>
  <c r="AU461" i="5"/>
  <c r="AU462" i="5"/>
  <c r="AU463" i="5"/>
  <c r="AU464" i="5"/>
  <c r="AU465" i="5"/>
  <c r="AU466" i="5"/>
  <c r="AU467" i="5"/>
  <c r="AU468" i="5"/>
  <c r="AU469" i="5"/>
  <c r="AU470" i="5"/>
  <c r="AU471" i="5"/>
  <c r="AU472" i="5"/>
  <c r="AU473" i="5"/>
  <c r="AU474" i="5"/>
  <c r="AU475" i="5"/>
  <c r="AU476" i="5"/>
  <c r="AU477" i="5"/>
  <c r="AU478" i="5"/>
  <c r="AU479" i="5"/>
  <c r="AU480" i="5"/>
  <c r="AU481" i="5"/>
  <c r="AU482" i="5"/>
  <c r="AU483" i="5"/>
  <c r="AU484" i="5"/>
  <c r="AU485" i="5"/>
  <c r="AU486" i="5"/>
  <c r="AU487" i="5"/>
  <c r="AU488" i="5"/>
  <c r="AU489" i="5"/>
  <c r="AU490" i="5"/>
  <c r="AU491" i="5"/>
  <c r="AU492" i="5"/>
  <c r="AU493" i="5"/>
  <c r="AU494" i="5"/>
  <c r="AU495" i="5"/>
  <c r="AU496" i="5"/>
  <c r="AU497" i="5"/>
  <c r="AU498" i="5"/>
  <c r="AU499" i="5"/>
  <c r="AU500" i="5"/>
  <c r="AU501" i="5"/>
  <c r="AU502" i="5"/>
  <c r="AU503" i="5"/>
  <c r="AU504" i="5"/>
  <c r="AU505" i="5"/>
  <c r="AU506" i="5"/>
  <c r="AU507" i="5"/>
  <c r="AU508" i="5"/>
  <c r="AU509" i="5"/>
  <c r="AU510" i="5"/>
  <c r="AU511" i="5"/>
  <c r="AU512" i="5"/>
  <c r="AU513" i="5"/>
  <c r="AU514" i="5"/>
  <c r="AU515" i="5"/>
  <c r="AU516" i="5"/>
  <c r="AU517" i="5"/>
  <c r="AU518" i="5"/>
  <c r="AU519" i="5"/>
  <c r="AU520" i="5"/>
  <c r="AU521" i="5"/>
  <c r="AU522" i="5"/>
  <c r="AU523" i="5"/>
  <c r="AU524" i="5"/>
  <c r="AU525" i="5"/>
  <c r="AU526" i="5"/>
  <c r="AU527" i="5"/>
  <c r="AU528" i="5"/>
  <c r="AU529" i="5"/>
  <c r="AU530" i="5"/>
  <c r="AU531" i="5"/>
  <c r="AU532" i="5"/>
  <c r="AU533" i="5"/>
  <c r="AU534" i="5"/>
  <c r="AU535" i="5"/>
  <c r="AU536" i="5"/>
  <c r="AU537" i="5"/>
  <c r="AU538" i="5"/>
  <c r="AU539" i="5"/>
  <c r="AU540" i="5"/>
  <c r="AU541" i="5"/>
  <c r="AU542" i="5"/>
  <c r="AU543" i="5"/>
  <c r="AU544" i="5"/>
  <c r="AU545" i="5"/>
  <c r="AU546" i="5"/>
  <c r="AU547" i="5"/>
  <c r="AU548" i="5"/>
  <c r="AU549" i="5"/>
  <c r="AU550" i="5"/>
  <c r="AU551" i="5"/>
  <c r="AU552" i="5"/>
  <c r="AU553" i="5"/>
  <c r="AU554" i="5"/>
  <c r="AU555" i="5"/>
  <c r="AU556" i="5"/>
  <c r="AU557" i="5"/>
  <c r="AU558" i="5"/>
  <c r="AU559" i="5"/>
  <c r="AU560" i="5"/>
  <c r="AU561" i="5"/>
  <c r="AU562" i="5"/>
  <c r="AU563" i="5"/>
  <c r="AU564" i="5"/>
  <c r="AU565" i="5"/>
  <c r="AU566" i="5"/>
  <c r="AU567" i="5"/>
  <c r="AU568" i="5"/>
  <c r="AU569" i="5"/>
  <c r="AU570" i="5"/>
  <c r="AU571" i="5"/>
  <c r="AU572" i="5"/>
  <c r="AU573" i="5"/>
  <c r="AU574" i="5"/>
  <c r="AU575" i="5"/>
  <c r="AU576" i="5"/>
  <c r="AU577" i="5"/>
  <c r="AU578" i="5"/>
  <c r="AU579" i="5"/>
  <c r="AU580" i="5"/>
  <c r="AU581" i="5"/>
  <c r="AU582" i="5"/>
  <c r="AU583" i="5"/>
  <c r="AU584" i="5"/>
  <c r="AU585" i="5"/>
  <c r="AU586" i="5"/>
  <c r="AU587" i="5"/>
  <c r="AU588" i="5"/>
  <c r="AU589" i="5"/>
  <c r="AU590" i="5"/>
  <c r="AU591" i="5"/>
  <c r="AU592" i="5"/>
  <c r="AU593" i="5"/>
  <c r="AU594" i="5"/>
  <c r="AU595" i="5"/>
  <c r="AU596" i="5"/>
  <c r="AU597" i="5"/>
  <c r="AU598" i="5"/>
  <c r="AU599" i="5"/>
  <c r="AU600" i="5"/>
  <c r="AU601" i="5"/>
  <c r="AU602" i="5"/>
  <c r="AU603" i="5"/>
  <c r="AU28" i="5"/>
  <c r="D11" i="4" l="1"/>
  <c r="D12" i="4"/>
  <c r="D13" i="4"/>
  <c r="D14" i="4"/>
  <c r="D15" i="4"/>
  <c r="D16" i="4"/>
  <c r="D17" i="4"/>
  <c r="D10" i="4"/>
  <c r="O123" i="5" l="1"/>
  <c r="AI123" i="5"/>
  <c r="AQ123" i="5"/>
  <c r="BZ123" i="5"/>
  <c r="CD123" i="5"/>
  <c r="O124" i="5"/>
  <c r="AI124" i="5"/>
  <c r="AQ124" i="5"/>
  <c r="BZ124" i="5"/>
  <c r="CD124" i="5"/>
  <c r="O125" i="5"/>
  <c r="AI125" i="5"/>
  <c r="AQ125" i="5"/>
  <c r="BZ125" i="5"/>
  <c r="CD125" i="5"/>
  <c r="O126" i="5"/>
  <c r="AI126" i="5"/>
  <c r="AQ126" i="5"/>
  <c r="BZ126" i="5"/>
  <c r="CD126" i="5"/>
  <c r="O127" i="5"/>
  <c r="AI127" i="5"/>
  <c r="AQ127" i="5"/>
  <c r="BZ127" i="5"/>
  <c r="CD127" i="5"/>
  <c r="O128" i="5"/>
  <c r="AI128" i="5"/>
  <c r="AQ128" i="5"/>
  <c r="BZ128" i="5"/>
  <c r="CD128" i="5"/>
  <c r="O129" i="5"/>
  <c r="AI129" i="5"/>
  <c r="AQ129" i="5"/>
  <c r="BZ129" i="5"/>
  <c r="CD129" i="5"/>
  <c r="O130" i="5"/>
  <c r="AI130" i="5"/>
  <c r="AQ130" i="5"/>
  <c r="BZ130" i="5"/>
  <c r="CD130" i="5"/>
  <c r="O131" i="5"/>
  <c r="AI131" i="5"/>
  <c r="AQ131" i="5"/>
  <c r="BZ131" i="5"/>
  <c r="CD131" i="5"/>
  <c r="O132" i="5"/>
  <c r="AI132" i="5"/>
  <c r="AQ132" i="5"/>
  <c r="BZ132" i="5"/>
  <c r="CD132" i="5"/>
  <c r="O133" i="5"/>
  <c r="AI133" i="5"/>
  <c r="AQ133" i="5"/>
  <c r="BZ133" i="5"/>
  <c r="CD133" i="5"/>
  <c r="O134" i="5"/>
  <c r="AI134" i="5"/>
  <c r="AQ134" i="5"/>
  <c r="BZ134" i="5"/>
  <c r="CD134" i="5"/>
  <c r="O135" i="5"/>
  <c r="AI135" i="5"/>
  <c r="AQ135" i="5"/>
  <c r="BZ135" i="5"/>
  <c r="CD135" i="5"/>
  <c r="O136" i="5"/>
  <c r="AI136" i="5"/>
  <c r="AQ136" i="5"/>
  <c r="BZ136" i="5"/>
  <c r="CD136" i="5"/>
  <c r="O137" i="5"/>
  <c r="AI137" i="5"/>
  <c r="AQ137" i="5"/>
  <c r="BZ137" i="5"/>
  <c r="CD137" i="5"/>
  <c r="O138" i="5"/>
  <c r="AI138" i="5"/>
  <c r="AQ138" i="5"/>
  <c r="BZ138" i="5"/>
  <c r="CD138" i="5"/>
  <c r="O139" i="5"/>
  <c r="AI139" i="5"/>
  <c r="AQ139" i="5"/>
  <c r="BZ139" i="5"/>
  <c r="CD139" i="5"/>
  <c r="O140" i="5"/>
  <c r="AI140" i="5"/>
  <c r="AQ140" i="5"/>
  <c r="BZ140" i="5"/>
  <c r="CD140" i="5"/>
  <c r="O141" i="5"/>
  <c r="AI141" i="5"/>
  <c r="AQ141" i="5"/>
  <c r="BZ141" i="5"/>
  <c r="CD141" i="5"/>
  <c r="O142" i="5"/>
  <c r="AI142" i="5"/>
  <c r="AQ142" i="5"/>
  <c r="BZ142" i="5"/>
  <c r="CD142" i="5"/>
  <c r="O143" i="5"/>
  <c r="AI143" i="5"/>
  <c r="AQ143" i="5"/>
  <c r="BZ143" i="5"/>
  <c r="CD143" i="5"/>
  <c r="O144" i="5"/>
  <c r="AI144" i="5"/>
  <c r="AQ144" i="5"/>
  <c r="BZ144" i="5"/>
  <c r="CD144" i="5"/>
  <c r="O145" i="5"/>
  <c r="AI145" i="5"/>
  <c r="AQ145" i="5"/>
  <c r="BZ145" i="5"/>
  <c r="CD145" i="5"/>
  <c r="O146" i="5"/>
  <c r="AI146" i="5"/>
  <c r="AQ146" i="5"/>
  <c r="BZ146" i="5"/>
  <c r="CD146" i="5"/>
  <c r="O147" i="5"/>
  <c r="AI147" i="5"/>
  <c r="AQ147" i="5"/>
  <c r="BZ147" i="5"/>
  <c r="CD147" i="5"/>
  <c r="O148" i="5"/>
  <c r="AI148" i="5"/>
  <c r="AQ148" i="5"/>
  <c r="BZ148" i="5"/>
  <c r="CD148" i="5"/>
  <c r="O149" i="5"/>
  <c r="AI149" i="5"/>
  <c r="AQ149" i="5"/>
  <c r="BZ149" i="5"/>
  <c r="CD149" i="5"/>
  <c r="O150" i="5"/>
  <c r="AI150" i="5"/>
  <c r="AQ150" i="5"/>
  <c r="BZ150" i="5"/>
  <c r="CD150" i="5"/>
  <c r="O151" i="5"/>
  <c r="AI151" i="5"/>
  <c r="AQ151" i="5"/>
  <c r="BZ151" i="5"/>
  <c r="CD151" i="5"/>
  <c r="O152" i="5"/>
  <c r="AI152" i="5"/>
  <c r="AQ152" i="5"/>
  <c r="BZ152" i="5"/>
  <c r="CD152" i="5"/>
  <c r="O153" i="5"/>
  <c r="AI153" i="5"/>
  <c r="AQ153" i="5"/>
  <c r="BZ153" i="5"/>
  <c r="CD153" i="5"/>
  <c r="O154" i="5"/>
  <c r="AI154" i="5"/>
  <c r="AQ154" i="5"/>
  <c r="BZ154" i="5"/>
  <c r="CD154" i="5"/>
  <c r="O155" i="5"/>
  <c r="AI155" i="5"/>
  <c r="AQ155" i="5"/>
  <c r="BZ155" i="5"/>
  <c r="CD155" i="5"/>
  <c r="O156" i="5"/>
  <c r="AI156" i="5"/>
  <c r="AQ156" i="5"/>
  <c r="BZ156" i="5"/>
  <c r="CD156" i="5"/>
  <c r="O157" i="5"/>
  <c r="AI157" i="5"/>
  <c r="AQ157" i="5"/>
  <c r="BZ157" i="5"/>
  <c r="CD157" i="5"/>
  <c r="O158" i="5"/>
  <c r="AI158" i="5"/>
  <c r="AQ158" i="5"/>
  <c r="BZ158" i="5"/>
  <c r="CD158" i="5"/>
  <c r="O159" i="5"/>
  <c r="AI159" i="5"/>
  <c r="AQ159" i="5"/>
  <c r="BZ159" i="5"/>
  <c r="CD159" i="5"/>
  <c r="O160" i="5"/>
  <c r="AI160" i="5"/>
  <c r="AQ160" i="5"/>
  <c r="BZ160" i="5"/>
  <c r="CD160" i="5"/>
  <c r="O161" i="5"/>
  <c r="AI161" i="5"/>
  <c r="AQ161" i="5"/>
  <c r="BZ161" i="5"/>
  <c r="CD161" i="5"/>
  <c r="O162" i="5"/>
  <c r="AI162" i="5"/>
  <c r="AQ162" i="5"/>
  <c r="BZ162" i="5"/>
  <c r="CD162" i="5"/>
  <c r="O163" i="5"/>
  <c r="AI163" i="5"/>
  <c r="AQ163" i="5"/>
  <c r="BZ163" i="5"/>
  <c r="CD163" i="5"/>
  <c r="O164" i="5"/>
  <c r="AI164" i="5"/>
  <c r="AQ164" i="5"/>
  <c r="BZ164" i="5"/>
  <c r="CD164" i="5"/>
  <c r="O165" i="5"/>
  <c r="AI165" i="5"/>
  <c r="AQ165" i="5"/>
  <c r="BZ165" i="5"/>
  <c r="CD165" i="5"/>
  <c r="O166" i="5"/>
  <c r="AI166" i="5"/>
  <c r="AQ166" i="5"/>
  <c r="BZ166" i="5"/>
  <c r="CD166" i="5"/>
  <c r="O167" i="5"/>
  <c r="AI167" i="5"/>
  <c r="AQ167" i="5"/>
  <c r="BZ167" i="5"/>
  <c r="CD167" i="5"/>
  <c r="O168" i="5"/>
  <c r="AI168" i="5"/>
  <c r="AQ168" i="5"/>
  <c r="BZ168" i="5"/>
  <c r="CD168" i="5"/>
  <c r="O169" i="5"/>
  <c r="AI169" i="5"/>
  <c r="AQ169" i="5"/>
  <c r="BZ169" i="5"/>
  <c r="CD169" i="5"/>
  <c r="O170" i="5"/>
  <c r="AI170" i="5"/>
  <c r="AQ170" i="5"/>
  <c r="BZ170" i="5"/>
  <c r="CD170" i="5"/>
  <c r="O171" i="5"/>
  <c r="AI171" i="5"/>
  <c r="AQ171" i="5"/>
  <c r="BZ171" i="5"/>
  <c r="CD171" i="5"/>
  <c r="O172" i="5"/>
  <c r="AI172" i="5"/>
  <c r="AQ172" i="5"/>
  <c r="BZ172" i="5"/>
  <c r="CD172" i="5"/>
  <c r="O173" i="5"/>
  <c r="AI173" i="5"/>
  <c r="AQ173" i="5"/>
  <c r="BZ173" i="5"/>
  <c r="CD173" i="5"/>
  <c r="O174" i="5"/>
  <c r="AI174" i="5"/>
  <c r="AQ174" i="5"/>
  <c r="BZ174" i="5"/>
  <c r="CD174" i="5"/>
  <c r="O175" i="5"/>
  <c r="AI175" i="5"/>
  <c r="AQ175" i="5"/>
  <c r="BZ175" i="5"/>
  <c r="CD175" i="5"/>
  <c r="O176" i="5"/>
  <c r="AI176" i="5"/>
  <c r="AQ176" i="5"/>
  <c r="BZ176" i="5"/>
  <c r="CD176" i="5"/>
  <c r="O177" i="5"/>
  <c r="AI177" i="5"/>
  <c r="AQ177" i="5"/>
  <c r="BZ177" i="5"/>
  <c r="CD177" i="5"/>
  <c r="O178" i="5"/>
  <c r="AI178" i="5"/>
  <c r="AQ178" i="5"/>
  <c r="BZ178" i="5"/>
  <c r="CD178" i="5"/>
  <c r="O179" i="5"/>
  <c r="AI179" i="5"/>
  <c r="AQ179" i="5"/>
  <c r="BZ179" i="5"/>
  <c r="CD179" i="5"/>
  <c r="O180" i="5"/>
  <c r="AI180" i="5"/>
  <c r="AQ180" i="5"/>
  <c r="BZ180" i="5"/>
  <c r="CD180" i="5"/>
  <c r="O181" i="5"/>
  <c r="AI181" i="5"/>
  <c r="AQ181" i="5"/>
  <c r="BZ181" i="5"/>
  <c r="CD181" i="5"/>
  <c r="O182" i="5"/>
  <c r="AI182" i="5"/>
  <c r="AQ182" i="5"/>
  <c r="BZ182" i="5"/>
  <c r="CD182" i="5"/>
  <c r="O183" i="5"/>
  <c r="AI183" i="5"/>
  <c r="AQ183" i="5"/>
  <c r="BZ183" i="5"/>
  <c r="CD183" i="5"/>
  <c r="O184" i="5"/>
  <c r="AI184" i="5"/>
  <c r="AQ184" i="5"/>
  <c r="BZ184" i="5"/>
  <c r="CD184" i="5"/>
  <c r="O185" i="5"/>
  <c r="AI185" i="5"/>
  <c r="AQ185" i="5"/>
  <c r="BZ185" i="5"/>
  <c r="CD185" i="5"/>
  <c r="O186" i="5"/>
  <c r="AI186" i="5"/>
  <c r="AQ186" i="5"/>
  <c r="BZ186" i="5"/>
  <c r="CD186" i="5"/>
  <c r="O187" i="5"/>
  <c r="AI187" i="5"/>
  <c r="AQ187" i="5"/>
  <c r="BZ187" i="5"/>
  <c r="CD187" i="5"/>
  <c r="O188" i="5"/>
  <c r="AI188" i="5"/>
  <c r="AQ188" i="5"/>
  <c r="BZ188" i="5"/>
  <c r="CD188" i="5"/>
  <c r="O189" i="5"/>
  <c r="AI189" i="5"/>
  <c r="AQ189" i="5"/>
  <c r="BZ189" i="5"/>
  <c r="CD189" i="5"/>
  <c r="O190" i="5"/>
  <c r="AI190" i="5"/>
  <c r="AQ190" i="5"/>
  <c r="BZ190" i="5"/>
  <c r="CD190" i="5"/>
  <c r="O191" i="5"/>
  <c r="AI191" i="5"/>
  <c r="AQ191" i="5"/>
  <c r="BZ191" i="5"/>
  <c r="CD191" i="5"/>
  <c r="O192" i="5"/>
  <c r="AI192" i="5"/>
  <c r="AQ192" i="5"/>
  <c r="BZ192" i="5"/>
  <c r="CD192" i="5"/>
  <c r="O193" i="5"/>
  <c r="AI193" i="5"/>
  <c r="AQ193" i="5"/>
  <c r="BZ193" i="5"/>
  <c r="CD193" i="5"/>
  <c r="O194" i="5"/>
  <c r="AI194" i="5"/>
  <c r="AQ194" i="5"/>
  <c r="BZ194" i="5"/>
  <c r="CD194" i="5"/>
  <c r="O195" i="5"/>
  <c r="AI195" i="5"/>
  <c r="AQ195" i="5"/>
  <c r="BZ195" i="5"/>
  <c r="CD195" i="5"/>
  <c r="O196" i="5"/>
  <c r="AI196" i="5"/>
  <c r="AQ196" i="5"/>
  <c r="BZ196" i="5"/>
  <c r="CD196" i="5"/>
  <c r="O197" i="5"/>
  <c r="AI197" i="5"/>
  <c r="AQ197" i="5"/>
  <c r="BZ197" i="5"/>
  <c r="CD197" i="5"/>
  <c r="O198" i="5"/>
  <c r="AI198" i="5"/>
  <c r="AQ198" i="5"/>
  <c r="BZ198" i="5"/>
  <c r="CD198" i="5"/>
  <c r="O199" i="5"/>
  <c r="AI199" i="5"/>
  <c r="AQ199" i="5"/>
  <c r="BZ199" i="5"/>
  <c r="CD199" i="5"/>
  <c r="O200" i="5"/>
  <c r="AI200" i="5"/>
  <c r="AQ200" i="5"/>
  <c r="BZ200" i="5"/>
  <c r="CD200" i="5"/>
  <c r="O201" i="5"/>
  <c r="AI201" i="5"/>
  <c r="AQ201" i="5"/>
  <c r="BZ201" i="5"/>
  <c r="CD201" i="5"/>
  <c r="O202" i="5"/>
  <c r="AI202" i="5"/>
  <c r="AQ202" i="5"/>
  <c r="BZ202" i="5"/>
  <c r="CD202" i="5"/>
  <c r="O203" i="5"/>
  <c r="AI203" i="5"/>
  <c r="AQ203" i="5"/>
  <c r="BZ203" i="5"/>
  <c r="CD203" i="5"/>
  <c r="O204" i="5"/>
  <c r="AI204" i="5"/>
  <c r="AQ204" i="5"/>
  <c r="BZ204" i="5"/>
  <c r="CD204" i="5"/>
  <c r="O205" i="5"/>
  <c r="AI205" i="5"/>
  <c r="AQ205" i="5"/>
  <c r="BZ205" i="5"/>
  <c r="CD205" i="5"/>
  <c r="O206" i="5"/>
  <c r="AI206" i="5"/>
  <c r="AQ206" i="5"/>
  <c r="BZ206" i="5"/>
  <c r="CD206" i="5"/>
  <c r="O207" i="5"/>
  <c r="AI207" i="5"/>
  <c r="AQ207" i="5"/>
  <c r="BZ207" i="5"/>
  <c r="CD207" i="5"/>
  <c r="O208" i="5"/>
  <c r="AI208" i="5"/>
  <c r="AQ208" i="5"/>
  <c r="BZ208" i="5"/>
  <c r="CD208" i="5"/>
  <c r="O209" i="5"/>
  <c r="AI209" i="5"/>
  <c r="AQ209" i="5"/>
  <c r="BZ209" i="5"/>
  <c r="CD209" i="5"/>
  <c r="O210" i="5"/>
  <c r="AI210" i="5"/>
  <c r="AQ210" i="5"/>
  <c r="BZ210" i="5"/>
  <c r="CD210" i="5"/>
  <c r="O211" i="5"/>
  <c r="AI211" i="5"/>
  <c r="AQ211" i="5"/>
  <c r="BZ211" i="5"/>
  <c r="CD211" i="5"/>
  <c r="O212" i="5"/>
  <c r="AI212" i="5"/>
  <c r="AQ212" i="5"/>
  <c r="BZ212" i="5"/>
  <c r="CD212" i="5"/>
  <c r="O213" i="5"/>
  <c r="AI213" i="5"/>
  <c r="AQ213" i="5"/>
  <c r="BZ213" i="5"/>
  <c r="CD213" i="5"/>
  <c r="O214" i="5"/>
  <c r="AI214" i="5"/>
  <c r="AQ214" i="5"/>
  <c r="BZ214" i="5"/>
  <c r="CD214" i="5"/>
  <c r="O215" i="5"/>
  <c r="AI215" i="5"/>
  <c r="AQ215" i="5"/>
  <c r="BZ215" i="5"/>
  <c r="CD215" i="5"/>
  <c r="O216" i="5"/>
  <c r="AI216" i="5"/>
  <c r="AQ216" i="5"/>
  <c r="BZ216" i="5"/>
  <c r="CD216" i="5"/>
  <c r="O217" i="5"/>
  <c r="AI217" i="5"/>
  <c r="AQ217" i="5"/>
  <c r="BZ217" i="5"/>
  <c r="CD217" i="5"/>
  <c r="O218" i="5"/>
  <c r="AI218" i="5"/>
  <c r="AQ218" i="5"/>
  <c r="BZ218" i="5"/>
  <c r="CD218" i="5"/>
  <c r="O219" i="5"/>
  <c r="AI219" i="5"/>
  <c r="AQ219" i="5"/>
  <c r="BZ219" i="5"/>
  <c r="CD219" i="5"/>
  <c r="O220" i="5"/>
  <c r="AI220" i="5"/>
  <c r="AQ220" i="5"/>
  <c r="BZ220" i="5"/>
  <c r="CD220" i="5"/>
  <c r="O221" i="5"/>
  <c r="AI221" i="5"/>
  <c r="AQ221" i="5"/>
  <c r="BZ221" i="5"/>
  <c r="CD221" i="5"/>
  <c r="O222" i="5"/>
  <c r="AI222" i="5"/>
  <c r="AQ222" i="5"/>
  <c r="BZ222" i="5"/>
  <c r="CD222" i="5"/>
  <c r="O223" i="5"/>
  <c r="AI223" i="5"/>
  <c r="AQ223" i="5"/>
  <c r="BZ223" i="5"/>
  <c r="CD223" i="5"/>
  <c r="O224" i="5"/>
  <c r="AI224" i="5"/>
  <c r="AQ224" i="5"/>
  <c r="BZ224" i="5"/>
  <c r="CD224" i="5"/>
  <c r="O225" i="5"/>
  <c r="AI225" i="5"/>
  <c r="AQ225" i="5"/>
  <c r="BZ225" i="5"/>
  <c r="CD225" i="5"/>
  <c r="O226" i="5"/>
  <c r="AI226" i="5"/>
  <c r="AQ226" i="5"/>
  <c r="BZ226" i="5"/>
  <c r="CD226" i="5"/>
  <c r="O227" i="5"/>
  <c r="AI227" i="5"/>
  <c r="AQ227" i="5"/>
  <c r="BZ227" i="5"/>
  <c r="CD227" i="5"/>
  <c r="O228" i="5"/>
  <c r="AI228" i="5"/>
  <c r="AQ228" i="5"/>
  <c r="BZ228" i="5"/>
  <c r="CD228" i="5"/>
  <c r="O229" i="5"/>
  <c r="AI229" i="5"/>
  <c r="AQ229" i="5"/>
  <c r="BZ229" i="5"/>
  <c r="CD229" i="5"/>
  <c r="O230" i="5"/>
  <c r="AI230" i="5"/>
  <c r="AQ230" i="5"/>
  <c r="BZ230" i="5"/>
  <c r="CD230" i="5"/>
  <c r="O231" i="5"/>
  <c r="AI231" i="5"/>
  <c r="AQ231" i="5"/>
  <c r="BZ231" i="5"/>
  <c r="CD231" i="5"/>
  <c r="O232" i="5"/>
  <c r="AI232" i="5"/>
  <c r="AQ232" i="5"/>
  <c r="BZ232" i="5"/>
  <c r="CD232" i="5"/>
  <c r="O233" i="5"/>
  <c r="AI233" i="5"/>
  <c r="AQ233" i="5"/>
  <c r="BZ233" i="5"/>
  <c r="CD233" i="5"/>
  <c r="O234" i="5"/>
  <c r="AI234" i="5"/>
  <c r="AQ234" i="5"/>
  <c r="BZ234" i="5"/>
  <c r="CD234" i="5"/>
  <c r="O235" i="5"/>
  <c r="AI235" i="5"/>
  <c r="AQ235" i="5"/>
  <c r="BZ235" i="5"/>
  <c r="CD235" i="5"/>
  <c r="O236" i="5"/>
  <c r="AI236" i="5"/>
  <c r="AQ236" i="5"/>
  <c r="BZ236" i="5"/>
  <c r="CD236" i="5"/>
  <c r="O237" i="5"/>
  <c r="AI237" i="5"/>
  <c r="AQ237" i="5"/>
  <c r="BZ237" i="5"/>
  <c r="CD237" i="5"/>
  <c r="O238" i="5"/>
  <c r="AI238" i="5"/>
  <c r="AQ238" i="5"/>
  <c r="BZ238" i="5"/>
  <c r="CD238" i="5"/>
  <c r="O239" i="5"/>
  <c r="AI239" i="5"/>
  <c r="AQ239" i="5"/>
  <c r="BZ239" i="5"/>
  <c r="CD239" i="5"/>
  <c r="O240" i="5"/>
  <c r="AI240" i="5"/>
  <c r="AQ240" i="5"/>
  <c r="BZ240" i="5"/>
  <c r="CD240" i="5"/>
  <c r="O241" i="5"/>
  <c r="AI241" i="5"/>
  <c r="AQ241" i="5"/>
  <c r="BZ241" i="5"/>
  <c r="CD241" i="5"/>
  <c r="O242" i="5"/>
  <c r="AI242" i="5"/>
  <c r="AQ242" i="5"/>
  <c r="BZ242" i="5"/>
  <c r="CD242" i="5"/>
  <c r="O243" i="5"/>
  <c r="AI243" i="5"/>
  <c r="AQ243" i="5"/>
  <c r="BZ243" i="5"/>
  <c r="CD243" i="5"/>
  <c r="O244" i="5"/>
  <c r="AI244" i="5"/>
  <c r="AQ244" i="5"/>
  <c r="BZ244" i="5"/>
  <c r="CD244" i="5"/>
  <c r="O245" i="5"/>
  <c r="AI245" i="5"/>
  <c r="AQ245" i="5"/>
  <c r="BZ245" i="5"/>
  <c r="CD245" i="5"/>
  <c r="O246" i="5"/>
  <c r="AI246" i="5"/>
  <c r="AQ246" i="5"/>
  <c r="BZ246" i="5"/>
  <c r="CD246" i="5"/>
  <c r="O247" i="5"/>
  <c r="AI247" i="5"/>
  <c r="AQ247" i="5"/>
  <c r="BZ247" i="5"/>
  <c r="CD247" i="5"/>
  <c r="O248" i="5"/>
  <c r="AI248" i="5"/>
  <c r="AQ248" i="5"/>
  <c r="BZ248" i="5"/>
  <c r="CD248" i="5"/>
  <c r="O249" i="5"/>
  <c r="AI249" i="5"/>
  <c r="AQ249" i="5"/>
  <c r="BZ249" i="5"/>
  <c r="CD249" i="5"/>
  <c r="O250" i="5"/>
  <c r="AI250" i="5"/>
  <c r="AQ250" i="5"/>
  <c r="BZ250" i="5"/>
  <c r="CD250" i="5"/>
  <c r="O251" i="5"/>
  <c r="AI251" i="5"/>
  <c r="AQ251" i="5"/>
  <c r="BZ251" i="5"/>
  <c r="CD251" i="5"/>
  <c r="O252" i="5"/>
  <c r="AI252" i="5"/>
  <c r="AQ252" i="5"/>
  <c r="BZ252" i="5"/>
  <c r="CD252" i="5"/>
  <c r="O253" i="5"/>
  <c r="AI253" i="5"/>
  <c r="AQ253" i="5"/>
  <c r="BZ253" i="5"/>
  <c r="CD253" i="5"/>
  <c r="O254" i="5"/>
  <c r="AI254" i="5"/>
  <c r="AQ254" i="5"/>
  <c r="BZ254" i="5"/>
  <c r="CD254" i="5"/>
  <c r="O255" i="5"/>
  <c r="AI255" i="5"/>
  <c r="AQ255" i="5"/>
  <c r="BZ255" i="5"/>
  <c r="CD255" i="5"/>
  <c r="O256" i="5"/>
  <c r="AI256" i="5"/>
  <c r="AQ256" i="5"/>
  <c r="BZ256" i="5"/>
  <c r="CD256" i="5"/>
  <c r="O257" i="5"/>
  <c r="AI257" i="5"/>
  <c r="AQ257" i="5"/>
  <c r="BZ257" i="5"/>
  <c r="CD257" i="5"/>
  <c r="O258" i="5"/>
  <c r="AI258" i="5"/>
  <c r="AQ258" i="5"/>
  <c r="BZ258" i="5"/>
  <c r="CD258" i="5"/>
  <c r="O259" i="5"/>
  <c r="AI259" i="5"/>
  <c r="AQ259" i="5"/>
  <c r="BZ259" i="5"/>
  <c r="CD259" i="5"/>
  <c r="O260" i="5"/>
  <c r="AI260" i="5"/>
  <c r="AQ260" i="5"/>
  <c r="BZ260" i="5"/>
  <c r="CD260" i="5"/>
  <c r="O261" i="5"/>
  <c r="AI261" i="5"/>
  <c r="AQ261" i="5"/>
  <c r="BZ261" i="5"/>
  <c r="CD261" i="5"/>
  <c r="O262" i="5"/>
  <c r="AI262" i="5"/>
  <c r="AQ262" i="5"/>
  <c r="BZ262" i="5"/>
  <c r="CD262" i="5"/>
  <c r="O263" i="5"/>
  <c r="AI263" i="5"/>
  <c r="AQ263" i="5"/>
  <c r="BZ263" i="5"/>
  <c r="CD263" i="5"/>
  <c r="O264" i="5"/>
  <c r="AI264" i="5"/>
  <c r="AQ264" i="5"/>
  <c r="BZ264" i="5"/>
  <c r="CD264" i="5"/>
  <c r="O265" i="5"/>
  <c r="AI265" i="5"/>
  <c r="AQ265" i="5"/>
  <c r="BZ265" i="5"/>
  <c r="CD265" i="5"/>
  <c r="O266" i="5"/>
  <c r="AI266" i="5"/>
  <c r="AQ266" i="5"/>
  <c r="BZ266" i="5"/>
  <c r="CD266" i="5"/>
  <c r="O267" i="5"/>
  <c r="AI267" i="5"/>
  <c r="AQ267" i="5"/>
  <c r="BZ267" i="5"/>
  <c r="CD267" i="5"/>
  <c r="O268" i="5"/>
  <c r="AI268" i="5"/>
  <c r="AQ268" i="5"/>
  <c r="BZ268" i="5"/>
  <c r="CD268" i="5"/>
  <c r="O269" i="5"/>
  <c r="AI269" i="5"/>
  <c r="AQ269" i="5"/>
  <c r="BZ269" i="5"/>
  <c r="CD269" i="5"/>
  <c r="O270" i="5"/>
  <c r="AI270" i="5"/>
  <c r="AQ270" i="5"/>
  <c r="BZ270" i="5"/>
  <c r="CD270" i="5"/>
  <c r="O271" i="5"/>
  <c r="AI271" i="5"/>
  <c r="AQ271" i="5"/>
  <c r="BZ271" i="5"/>
  <c r="CD271" i="5"/>
  <c r="O272" i="5"/>
  <c r="AI272" i="5"/>
  <c r="AQ272" i="5"/>
  <c r="BZ272" i="5"/>
  <c r="CD272" i="5"/>
  <c r="O273" i="5"/>
  <c r="AI273" i="5"/>
  <c r="AQ273" i="5"/>
  <c r="BZ273" i="5"/>
  <c r="CD273" i="5"/>
  <c r="O274" i="5"/>
  <c r="AI274" i="5"/>
  <c r="AQ274" i="5"/>
  <c r="BZ274" i="5"/>
  <c r="CD274" i="5"/>
  <c r="O275" i="5"/>
  <c r="AI275" i="5"/>
  <c r="AQ275" i="5"/>
  <c r="BZ275" i="5"/>
  <c r="CD275" i="5"/>
  <c r="O276" i="5"/>
  <c r="AI276" i="5"/>
  <c r="AQ276" i="5"/>
  <c r="BZ276" i="5"/>
  <c r="CD276" i="5"/>
  <c r="O277" i="5"/>
  <c r="AI277" i="5"/>
  <c r="AQ277" i="5"/>
  <c r="BZ277" i="5"/>
  <c r="CD277" i="5"/>
  <c r="O278" i="5"/>
  <c r="AI278" i="5"/>
  <c r="AQ278" i="5"/>
  <c r="BZ278" i="5"/>
  <c r="CD278" i="5"/>
  <c r="O279" i="5"/>
  <c r="AI279" i="5"/>
  <c r="AQ279" i="5"/>
  <c r="BZ279" i="5"/>
  <c r="CD279" i="5"/>
  <c r="O280" i="5"/>
  <c r="AI280" i="5"/>
  <c r="AQ280" i="5"/>
  <c r="BZ280" i="5"/>
  <c r="CD280" i="5"/>
  <c r="O281" i="5"/>
  <c r="AI281" i="5"/>
  <c r="AQ281" i="5"/>
  <c r="BZ281" i="5"/>
  <c r="CD281" i="5"/>
  <c r="O282" i="5"/>
  <c r="AI282" i="5"/>
  <c r="AQ282" i="5"/>
  <c r="BZ282" i="5"/>
  <c r="CD282" i="5"/>
  <c r="O283" i="5"/>
  <c r="AI283" i="5"/>
  <c r="AQ283" i="5"/>
  <c r="BZ283" i="5"/>
  <c r="CD283" i="5"/>
  <c r="O284" i="5"/>
  <c r="AI284" i="5"/>
  <c r="AQ284" i="5"/>
  <c r="BZ284" i="5"/>
  <c r="CD284" i="5"/>
  <c r="O285" i="5"/>
  <c r="AI285" i="5"/>
  <c r="AQ285" i="5"/>
  <c r="BZ285" i="5"/>
  <c r="CD285" i="5"/>
  <c r="O286" i="5"/>
  <c r="AI286" i="5"/>
  <c r="AQ286" i="5"/>
  <c r="BZ286" i="5"/>
  <c r="CD286" i="5"/>
  <c r="O287" i="5"/>
  <c r="AI287" i="5"/>
  <c r="AQ287" i="5"/>
  <c r="BZ287" i="5"/>
  <c r="CD287" i="5"/>
  <c r="O288" i="5"/>
  <c r="AI288" i="5"/>
  <c r="AQ288" i="5"/>
  <c r="BZ288" i="5"/>
  <c r="CD288" i="5"/>
  <c r="O289" i="5"/>
  <c r="AI289" i="5"/>
  <c r="AQ289" i="5"/>
  <c r="BZ289" i="5"/>
  <c r="CD289" i="5"/>
  <c r="O290" i="5"/>
  <c r="AI290" i="5"/>
  <c r="AQ290" i="5"/>
  <c r="BZ290" i="5"/>
  <c r="CD290" i="5"/>
  <c r="O291" i="5"/>
  <c r="AI291" i="5"/>
  <c r="AQ291" i="5"/>
  <c r="BZ291" i="5"/>
  <c r="CD291" i="5"/>
  <c r="O292" i="5"/>
  <c r="AI292" i="5"/>
  <c r="AQ292" i="5"/>
  <c r="BZ292" i="5"/>
  <c r="CD292" i="5"/>
  <c r="O293" i="5"/>
  <c r="AI293" i="5"/>
  <c r="AQ293" i="5"/>
  <c r="BZ293" i="5"/>
  <c r="CD293" i="5"/>
  <c r="O294" i="5"/>
  <c r="AI294" i="5"/>
  <c r="AQ294" i="5"/>
  <c r="BZ294" i="5"/>
  <c r="CD294" i="5"/>
  <c r="O295" i="5"/>
  <c r="AI295" i="5"/>
  <c r="AQ295" i="5"/>
  <c r="BZ295" i="5"/>
  <c r="CD295" i="5"/>
  <c r="O296" i="5"/>
  <c r="AI296" i="5"/>
  <c r="AQ296" i="5"/>
  <c r="BZ296" i="5"/>
  <c r="CD296" i="5"/>
  <c r="O297" i="5"/>
  <c r="AI297" i="5"/>
  <c r="AQ297" i="5"/>
  <c r="BZ297" i="5"/>
  <c r="CD297" i="5"/>
  <c r="O298" i="5"/>
  <c r="AI298" i="5"/>
  <c r="AQ298" i="5"/>
  <c r="BZ298" i="5"/>
  <c r="CD298" i="5"/>
  <c r="O299" i="5"/>
  <c r="AI299" i="5"/>
  <c r="AQ299" i="5"/>
  <c r="BZ299" i="5"/>
  <c r="CD299" i="5"/>
  <c r="O300" i="5"/>
  <c r="AI300" i="5"/>
  <c r="AQ300" i="5"/>
  <c r="BZ300" i="5"/>
  <c r="CD300" i="5"/>
  <c r="O301" i="5"/>
  <c r="AI301" i="5"/>
  <c r="AQ301" i="5"/>
  <c r="BZ301" i="5"/>
  <c r="CD301" i="5"/>
  <c r="O302" i="5"/>
  <c r="AI302" i="5"/>
  <c r="AQ302" i="5"/>
  <c r="BZ302" i="5"/>
  <c r="CD302" i="5"/>
  <c r="O303" i="5"/>
  <c r="AI303" i="5"/>
  <c r="AQ303" i="5"/>
  <c r="BZ303" i="5"/>
  <c r="CD303" i="5"/>
  <c r="O304" i="5"/>
  <c r="AI304" i="5"/>
  <c r="AQ304" i="5"/>
  <c r="BZ304" i="5"/>
  <c r="CD304" i="5"/>
  <c r="O305" i="5"/>
  <c r="AI305" i="5"/>
  <c r="AQ305" i="5"/>
  <c r="BZ305" i="5"/>
  <c r="CD305" i="5"/>
  <c r="O306" i="5"/>
  <c r="AI306" i="5"/>
  <c r="AQ306" i="5"/>
  <c r="BZ306" i="5"/>
  <c r="CD306" i="5"/>
  <c r="O307" i="5"/>
  <c r="AI307" i="5"/>
  <c r="AQ307" i="5"/>
  <c r="BZ307" i="5"/>
  <c r="CD307" i="5"/>
  <c r="O308" i="5"/>
  <c r="AI308" i="5"/>
  <c r="AQ308" i="5"/>
  <c r="BZ308" i="5"/>
  <c r="CD308" i="5"/>
  <c r="O309" i="5"/>
  <c r="AI309" i="5"/>
  <c r="AQ309" i="5"/>
  <c r="BZ309" i="5"/>
  <c r="CD309" i="5"/>
  <c r="O310" i="5"/>
  <c r="AI310" i="5"/>
  <c r="AQ310" i="5"/>
  <c r="BZ310" i="5"/>
  <c r="CD310" i="5"/>
  <c r="O311" i="5"/>
  <c r="AI311" i="5"/>
  <c r="AQ311" i="5"/>
  <c r="BZ311" i="5"/>
  <c r="CD311" i="5"/>
  <c r="O312" i="5"/>
  <c r="AI312" i="5"/>
  <c r="AQ312" i="5"/>
  <c r="BZ312" i="5"/>
  <c r="CD312" i="5"/>
  <c r="O313" i="5"/>
  <c r="AI313" i="5"/>
  <c r="AQ313" i="5"/>
  <c r="BZ313" i="5"/>
  <c r="CD313" i="5"/>
  <c r="O314" i="5"/>
  <c r="AI314" i="5"/>
  <c r="AQ314" i="5"/>
  <c r="BZ314" i="5"/>
  <c r="CD314" i="5"/>
  <c r="O315" i="5"/>
  <c r="AI315" i="5"/>
  <c r="AQ315" i="5"/>
  <c r="BZ315" i="5"/>
  <c r="CD315" i="5"/>
  <c r="O316" i="5"/>
  <c r="AI316" i="5"/>
  <c r="AQ316" i="5"/>
  <c r="BZ316" i="5"/>
  <c r="CD316" i="5"/>
  <c r="O317" i="5"/>
  <c r="AI317" i="5"/>
  <c r="AQ317" i="5"/>
  <c r="BZ317" i="5"/>
  <c r="CD317" i="5"/>
  <c r="O318" i="5"/>
  <c r="AI318" i="5"/>
  <c r="AQ318" i="5"/>
  <c r="BZ318" i="5"/>
  <c r="CD318" i="5"/>
  <c r="O319" i="5"/>
  <c r="AI319" i="5"/>
  <c r="AQ319" i="5"/>
  <c r="BZ319" i="5"/>
  <c r="CD319" i="5"/>
  <c r="O320" i="5"/>
  <c r="AI320" i="5"/>
  <c r="AQ320" i="5"/>
  <c r="BZ320" i="5"/>
  <c r="CD320" i="5"/>
  <c r="O321" i="5"/>
  <c r="AI321" i="5"/>
  <c r="AQ321" i="5"/>
  <c r="BZ321" i="5"/>
  <c r="CD321" i="5"/>
  <c r="O322" i="5"/>
  <c r="AI322" i="5"/>
  <c r="AQ322" i="5"/>
  <c r="BZ322" i="5"/>
  <c r="CD322" i="5"/>
  <c r="O323" i="5"/>
  <c r="AI323" i="5"/>
  <c r="AQ323" i="5"/>
  <c r="BZ323" i="5"/>
  <c r="CD323" i="5"/>
  <c r="O324" i="5"/>
  <c r="AI324" i="5"/>
  <c r="AQ324" i="5"/>
  <c r="BZ324" i="5"/>
  <c r="CD324" i="5"/>
  <c r="O325" i="5"/>
  <c r="AI325" i="5"/>
  <c r="AQ325" i="5"/>
  <c r="BZ325" i="5"/>
  <c r="CD325" i="5"/>
  <c r="O326" i="5"/>
  <c r="AI326" i="5"/>
  <c r="AQ326" i="5"/>
  <c r="BZ326" i="5"/>
  <c r="CD326" i="5"/>
  <c r="O327" i="5"/>
  <c r="AI327" i="5"/>
  <c r="AQ327" i="5"/>
  <c r="BZ327" i="5"/>
  <c r="CD327" i="5"/>
  <c r="O328" i="5"/>
  <c r="AI328" i="5"/>
  <c r="AQ328" i="5"/>
  <c r="BZ328" i="5"/>
  <c r="CD328" i="5"/>
  <c r="O329" i="5"/>
  <c r="AI329" i="5"/>
  <c r="AQ329" i="5"/>
  <c r="BZ329" i="5"/>
  <c r="CD329" i="5"/>
  <c r="O330" i="5"/>
  <c r="AI330" i="5"/>
  <c r="AQ330" i="5"/>
  <c r="BZ330" i="5"/>
  <c r="CD330" i="5"/>
  <c r="O331" i="5"/>
  <c r="AI331" i="5"/>
  <c r="AQ331" i="5"/>
  <c r="BZ331" i="5"/>
  <c r="CD331" i="5"/>
  <c r="O332" i="5"/>
  <c r="AI332" i="5"/>
  <c r="AQ332" i="5"/>
  <c r="BZ332" i="5"/>
  <c r="CD332" i="5"/>
  <c r="O333" i="5"/>
  <c r="AI333" i="5"/>
  <c r="AQ333" i="5"/>
  <c r="BZ333" i="5"/>
  <c r="CD333" i="5"/>
  <c r="O334" i="5"/>
  <c r="AI334" i="5"/>
  <c r="AQ334" i="5"/>
  <c r="BZ334" i="5"/>
  <c r="CD334" i="5"/>
  <c r="O335" i="5"/>
  <c r="AI335" i="5"/>
  <c r="AQ335" i="5"/>
  <c r="BZ335" i="5"/>
  <c r="CD335" i="5"/>
  <c r="O336" i="5"/>
  <c r="AI336" i="5"/>
  <c r="AQ336" i="5"/>
  <c r="BZ336" i="5"/>
  <c r="CD336" i="5"/>
  <c r="O337" i="5"/>
  <c r="AI337" i="5"/>
  <c r="AQ337" i="5"/>
  <c r="BZ337" i="5"/>
  <c r="CD337" i="5"/>
  <c r="O338" i="5"/>
  <c r="AI338" i="5"/>
  <c r="AQ338" i="5"/>
  <c r="BZ338" i="5"/>
  <c r="CD338" i="5"/>
  <c r="O339" i="5"/>
  <c r="AI339" i="5"/>
  <c r="AQ339" i="5"/>
  <c r="BZ339" i="5"/>
  <c r="CD339" i="5"/>
  <c r="O340" i="5"/>
  <c r="AI340" i="5"/>
  <c r="AQ340" i="5"/>
  <c r="BZ340" i="5"/>
  <c r="CD340" i="5"/>
  <c r="O341" i="5"/>
  <c r="AI341" i="5"/>
  <c r="AQ341" i="5"/>
  <c r="BZ341" i="5"/>
  <c r="CD341" i="5"/>
  <c r="O342" i="5"/>
  <c r="AI342" i="5"/>
  <c r="AQ342" i="5"/>
  <c r="BZ342" i="5"/>
  <c r="CD342" i="5"/>
  <c r="O343" i="5"/>
  <c r="AI343" i="5"/>
  <c r="AQ343" i="5"/>
  <c r="BZ343" i="5"/>
  <c r="CD343" i="5"/>
  <c r="O344" i="5"/>
  <c r="AI344" i="5"/>
  <c r="AQ344" i="5"/>
  <c r="BZ344" i="5"/>
  <c r="CD344" i="5"/>
  <c r="O345" i="5"/>
  <c r="AI345" i="5"/>
  <c r="AQ345" i="5"/>
  <c r="BZ345" i="5"/>
  <c r="CD345" i="5"/>
  <c r="O346" i="5"/>
  <c r="AI346" i="5"/>
  <c r="AQ346" i="5"/>
  <c r="BZ346" i="5"/>
  <c r="CD346" i="5"/>
  <c r="O347" i="5"/>
  <c r="AI347" i="5"/>
  <c r="AQ347" i="5"/>
  <c r="BZ347" i="5"/>
  <c r="CD347" i="5"/>
  <c r="O348" i="5"/>
  <c r="AI348" i="5"/>
  <c r="AQ348" i="5"/>
  <c r="BZ348" i="5"/>
  <c r="CD348" i="5"/>
  <c r="O349" i="5"/>
  <c r="AI349" i="5"/>
  <c r="AQ349" i="5"/>
  <c r="BZ349" i="5"/>
  <c r="CD349" i="5"/>
  <c r="O350" i="5"/>
  <c r="AI350" i="5"/>
  <c r="AQ350" i="5"/>
  <c r="BZ350" i="5"/>
  <c r="CD350" i="5"/>
  <c r="O351" i="5"/>
  <c r="AI351" i="5"/>
  <c r="AQ351" i="5"/>
  <c r="BZ351" i="5"/>
  <c r="CD351" i="5"/>
  <c r="O352" i="5"/>
  <c r="AI352" i="5"/>
  <c r="AQ352" i="5"/>
  <c r="BZ352" i="5"/>
  <c r="CD352" i="5"/>
  <c r="O353" i="5"/>
  <c r="AI353" i="5"/>
  <c r="AQ353" i="5"/>
  <c r="BZ353" i="5"/>
  <c r="CD353" i="5"/>
  <c r="O354" i="5"/>
  <c r="AI354" i="5"/>
  <c r="AQ354" i="5"/>
  <c r="BZ354" i="5"/>
  <c r="CD354" i="5"/>
  <c r="O355" i="5"/>
  <c r="AI355" i="5"/>
  <c r="AQ355" i="5"/>
  <c r="BZ355" i="5"/>
  <c r="CD355" i="5"/>
  <c r="O356" i="5"/>
  <c r="AI356" i="5"/>
  <c r="AQ356" i="5"/>
  <c r="BZ356" i="5"/>
  <c r="CD356" i="5"/>
  <c r="O357" i="5"/>
  <c r="AI357" i="5"/>
  <c r="AQ357" i="5"/>
  <c r="BZ357" i="5"/>
  <c r="CD357" i="5"/>
  <c r="O358" i="5"/>
  <c r="AI358" i="5"/>
  <c r="AQ358" i="5"/>
  <c r="BZ358" i="5"/>
  <c r="CD358" i="5"/>
  <c r="O359" i="5"/>
  <c r="AI359" i="5"/>
  <c r="AQ359" i="5"/>
  <c r="BZ359" i="5"/>
  <c r="CD359" i="5"/>
  <c r="O360" i="5"/>
  <c r="AI360" i="5"/>
  <c r="AQ360" i="5"/>
  <c r="BZ360" i="5"/>
  <c r="CD360" i="5"/>
  <c r="O361" i="5"/>
  <c r="AI361" i="5"/>
  <c r="AQ361" i="5"/>
  <c r="BZ361" i="5"/>
  <c r="CD361" i="5"/>
  <c r="O362" i="5"/>
  <c r="AI362" i="5"/>
  <c r="AQ362" i="5"/>
  <c r="BZ362" i="5"/>
  <c r="CD362" i="5"/>
  <c r="O363" i="5"/>
  <c r="AI363" i="5"/>
  <c r="AQ363" i="5"/>
  <c r="BZ363" i="5"/>
  <c r="CD363" i="5"/>
  <c r="O364" i="5"/>
  <c r="AI364" i="5"/>
  <c r="AQ364" i="5"/>
  <c r="BZ364" i="5"/>
  <c r="CD364" i="5"/>
  <c r="O365" i="5"/>
  <c r="AI365" i="5"/>
  <c r="AQ365" i="5"/>
  <c r="BZ365" i="5"/>
  <c r="CD365" i="5"/>
  <c r="O366" i="5"/>
  <c r="AI366" i="5"/>
  <c r="AQ366" i="5"/>
  <c r="BZ366" i="5"/>
  <c r="CD366" i="5"/>
  <c r="O367" i="5"/>
  <c r="AI367" i="5"/>
  <c r="AQ367" i="5"/>
  <c r="BZ367" i="5"/>
  <c r="CD367" i="5"/>
  <c r="O368" i="5"/>
  <c r="AI368" i="5"/>
  <c r="AQ368" i="5"/>
  <c r="BZ368" i="5"/>
  <c r="CD368" i="5"/>
  <c r="O369" i="5"/>
  <c r="AI369" i="5"/>
  <c r="AQ369" i="5"/>
  <c r="BZ369" i="5"/>
  <c r="CD369" i="5"/>
  <c r="O370" i="5"/>
  <c r="AI370" i="5"/>
  <c r="AQ370" i="5"/>
  <c r="BZ370" i="5"/>
  <c r="CD370" i="5"/>
  <c r="O371" i="5"/>
  <c r="AI371" i="5"/>
  <c r="AQ371" i="5"/>
  <c r="BZ371" i="5"/>
  <c r="CD371" i="5"/>
  <c r="O372" i="5"/>
  <c r="AI372" i="5"/>
  <c r="AQ372" i="5"/>
  <c r="BZ372" i="5"/>
  <c r="CD372" i="5"/>
  <c r="O373" i="5"/>
  <c r="AI373" i="5"/>
  <c r="AQ373" i="5"/>
  <c r="BZ373" i="5"/>
  <c r="CD373" i="5"/>
  <c r="O374" i="5"/>
  <c r="AI374" i="5"/>
  <c r="AQ374" i="5"/>
  <c r="BZ374" i="5"/>
  <c r="CD374" i="5"/>
  <c r="O375" i="5"/>
  <c r="AI375" i="5"/>
  <c r="AQ375" i="5"/>
  <c r="BZ375" i="5"/>
  <c r="CD375" i="5"/>
  <c r="O376" i="5"/>
  <c r="AI376" i="5"/>
  <c r="AQ376" i="5"/>
  <c r="BZ376" i="5"/>
  <c r="CD376" i="5"/>
  <c r="O377" i="5"/>
  <c r="AI377" i="5"/>
  <c r="AQ377" i="5"/>
  <c r="BZ377" i="5"/>
  <c r="CD377" i="5"/>
  <c r="O378" i="5"/>
  <c r="AI378" i="5"/>
  <c r="AQ378" i="5"/>
  <c r="BZ378" i="5"/>
  <c r="CD378" i="5"/>
  <c r="O379" i="5"/>
  <c r="AI379" i="5"/>
  <c r="AQ379" i="5"/>
  <c r="BZ379" i="5"/>
  <c r="CD379" i="5"/>
  <c r="O380" i="5"/>
  <c r="AI380" i="5"/>
  <c r="AQ380" i="5"/>
  <c r="BZ380" i="5"/>
  <c r="CD380" i="5"/>
  <c r="O381" i="5"/>
  <c r="AI381" i="5"/>
  <c r="AQ381" i="5"/>
  <c r="BZ381" i="5"/>
  <c r="CD381" i="5"/>
  <c r="O382" i="5"/>
  <c r="AI382" i="5"/>
  <c r="AQ382" i="5"/>
  <c r="BZ382" i="5"/>
  <c r="CD382" i="5"/>
  <c r="O383" i="5"/>
  <c r="AI383" i="5"/>
  <c r="AQ383" i="5"/>
  <c r="BZ383" i="5"/>
  <c r="CD383" i="5"/>
  <c r="O384" i="5"/>
  <c r="AI384" i="5"/>
  <c r="AQ384" i="5"/>
  <c r="BZ384" i="5"/>
  <c r="CD384" i="5"/>
  <c r="O385" i="5"/>
  <c r="AI385" i="5"/>
  <c r="AQ385" i="5"/>
  <c r="BZ385" i="5"/>
  <c r="CD385" i="5"/>
  <c r="O386" i="5"/>
  <c r="AI386" i="5"/>
  <c r="AQ386" i="5"/>
  <c r="BZ386" i="5"/>
  <c r="CD386" i="5"/>
  <c r="O387" i="5"/>
  <c r="AI387" i="5"/>
  <c r="AQ387" i="5"/>
  <c r="BZ387" i="5"/>
  <c r="CD387" i="5"/>
  <c r="O388" i="5"/>
  <c r="AI388" i="5"/>
  <c r="AQ388" i="5"/>
  <c r="BZ388" i="5"/>
  <c r="CD388" i="5"/>
  <c r="O389" i="5"/>
  <c r="AI389" i="5"/>
  <c r="AQ389" i="5"/>
  <c r="BZ389" i="5"/>
  <c r="CD389" i="5"/>
  <c r="O390" i="5"/>
  <c r="AI390" i="5"/>
  <c r="AQ390" i="5"/>
  <c r="BZ390" i="5"/>
  <c r="CD390" i="5"/>
  <c r="O391" i="5"/>
  <c r="AI391" i="5"/>
  <c r="AQ391" i="5"/>
  <c r="BZ391" i="5"/>
  <c r="CD391" i="5"/>
  <c r="O392" i="5"/>
  <c r="AI392" i="5"/>
  <c r="AQ392" i="5"/>
  <c r="BZ392" i="5"/>
  <c r="CD392" i="5"/>
  <c r="O393" i="5"/>
  <c r="AI393" i="5"/>
  <c r="AQ393" i="5"/>
  <c r="BZ393" i="5"/>
  <c r="CD393" i="5"/>
  <c r="O394" i="5"/>
  <c r="AI394" i="5"/>
  <c r="AQ394" i="5"/>
  <c r="BZ394" i="5"/>
  <c r="CD394" i="5"/>
  <c r="O395" i="5"/>
  <c r="AI395" i="5"/>
  <c r="AQ395" i="5"/>
  <c r="BZ395" i="5"/>
  <c r="CD395" i="5"/>
  <c r="O396" i="5"/>
  <c r="AI396" i="5"/>
  <c r="AQ396" i="5"/>
  <c r="BZ396" i="5"/>
  <c r="CD396" i="5"/>
  <c r="O397" i="5"/>
  <c r="AI397" i="5"/>
  <c r="AQ397" i="5"/>
  <c r="BZ397" i="5"/>
  <c r="CD397" i="5"/>
  <c r="O398" i="5"/>
  <c r="AI398" i="5"/>
  <c r="AQ398" i="5"/>
  <c r="BZ398" i="5"/>
  <c r="CD398" i="5"/>
  <c r="O399" i="5"/>
  <c r="AI399" i="5"/>
  <c r="AQ399" i="5"/>
  <c r="BZ399" i="5"/>
  <c r="CD399" i="5"/>
  <c r="O400" i="5"/>
  <c r="AI400" i="5"/>
  <c r="AQ400" i="5"/>
  <c r="BZ400" i="5"/>
  <c r="CD400" i="5"/>
  <c r="O401" i="5"/>
  <c r="AI401" i="5"/>
  <c r="AQ401" i="5"/>
  <c r="BZ401" i="5"/>
  <c r="CD401" i="5"/>
  <c r="O402" i="5"/>
  <c r="AI402" i="5"/>
  <c r="AQ402" i="5"/>
  <c r="BZ402" i="5"/>
  <c r="CD402" i="5"/>
  <c r="O403" i="5"/>
  <c r="AI403" i="5"/>
  <c r="AQ403" i="5"/>
  <c r="BZ403" i="5"/>
  <c r="CD403" i="5"/>
  <c r="O404" i="5"/>
  <c r="AI404" i="5"/>
  <c r="AQ404" i="5"/>
  <c r="BZ404" i="5"/>
  <c r="CD404" i="5"/>
  <c r="O405" i="5"/>
  <c r="AI405" i="5"/>
  <c r="AQ405" i="5"/>
  <c r="BZ405" i="5"/>
  <c r="CD405" i="5"/>
  <c r="O406" i="5"/>
  <c r="AI406" i="5"/>
  <c r="AQ406" i="5"/>
  <c r="BZ406" i="5"/>
  <c r="CD406" i="5"/>
  <c r="O407" i="5"/>
  <c r="AI407" i="5"/>
  <c r="AQ407" i="5"/>
  <c r="BZ407" i="5"/>
  <c r="CD407" i="5"/>
  <c r="O408" i="5"/>
  <c r="AI408" i="5"/>
  <c r="AQ408" i="5"/>
  <c r="BZ408" i="5"/>
  <c r="CD408" i="5"/>
  <c r="O409" i="5"/>
  <c r="AI409" i="5"/>
  <c r="AQ409" i="5"/>
  <c r="BZ409" i="5"/>
  <c r="CD409" i="5"/>
  <c r="O410" i="5"/>
  <c r="AI410" i="5"/>
  <c r="AQ410" i="5"/>
  <c r="BZ410" i="5"/>
  <c r="CD410" i="5"/>
  <c r="O411" i="5"/>
  <c r="AI411" i="5"/>
  <c r="AQ411" i="5"/>
  <c r="BZ411" i="5"/>
  <c r="CD411" i="5"/>
  <c r="O412" i="5"/>
  <c r="AI412" i="5"/>
  <c r="AQ412" i="5"/>
  <c r="BZ412" i="5"/>
  <c r="CD412" i="5"/>
  <c r="O413" i="5"/>
  <c r="AI413" i="5"/>
  <c r="AQ413" i="5"/>
  <c r="BZ413" i="5"/>
  <c r="CD413" i="5"/>
  <c r="O414" i="5"/>
  <c r="AI414" i="5"/>
  <c r="AQ414" i="5"/>
  <c r="BZ414" i="5"/>
  <c r="CD414" i="5"/>
  <c r="O415" i="5"/>
  <c r="AI415" i="5"/>
  <c r="AQ415" i="5"/>
  <c r="BZ415" i="5"/>
  <c r="CD415" i="5"/>
  <c r="O416" i="5"/>
  <c r="AI416" i="5"/>
  <c r="AQ416" i="5"/>
  <c r="BZ416" i="5"/>
  <c r="CD416" i="5"/>
  <c r="O417" i="5"/>
  <c r="AI417" i="5"/>
  <c r="AQ417" i="5"/>
  <c r="BZ417" i="5"/>
  <c r="CD417" i="5"/>
  <c r="O418" i="5"/>
  <c r="AI418" i="5"/>
  <c r="AQ418" i="5"/>
  <c r="BZ418" i="5"/>
  <c r="CD418" i="5"/>
  <c r="O419" i="5"/>
  <c r="AI419" i="5"/>
  <c r="AQ419" i="5"/>
  <c r="BZ419" i="5"/>
  <c r="CD419" i="5"/>
  <c r="O420" i="5"/>
  <c r="AI420" i="5"/>
  <c r="AQ420" i="5"/>
  <c r="BZ420" i="5"/>
  <c r="CD420" i="5"/>
  <c r="O421" i="5"/>
  <c r="AI421" i="5"/>
  <c r="AQ421" i="5"/>
  <c r="BZ421" i="5"/>
  <c r="CD421" i="5"/>
  <c r="O422" i="5"/>
  <c r="AI422" i="5"/>
  <c r="AQ422" i="5"/>
  <c r="BZ422" i="5"/>
  <c r="CD422" i="5"/>
  <c r="O423" i="5"/>
  <c r="AI423" i="5"/>
  <c r="AQ423" i="5"/>
  <c r="BZ423" i="5"/>
  <c r="CD423" i="5"/>
  <c r="O424" i="5"/>
  <c r="AI424" i="5"/>
  <c r="AQ424" i="5"/>
  <c r="BZ424" i="5"/>
  <c r="CD424" i="5"/>
  <c r="O425" i="5"/>
  <c r="AI425" i="5"/>
  <c r="AQ425" i="5"/>
  <c r="BZ425" i="5"/>
  <c r="CD425" i="5"/>
  <c r="O426" i="5"/>
  <c r="AI426" i="5"/>
  <c r="AQ426" i="5"/>
  <c r="BZ426" i="5"/>
  <c r="CD426" i="5"/>
  <c r="O427" i="5"/>
  <c r="AI427" i="5"/>
  <c r="AQ427" i="5"/>
  <c r="BZ427" i="5"/>
  <c r="CD427" i="5"/>
  <c r="O428" i="5"/>
  <c r="AI428" i="5"/>
  <c r="AQ428" i="5"/>
  <c r="BZ428" i="5"/>
  <c r="CD428" i="5"/>
  <c r="O429" i="5"/>
  <c r="AI429" i="5"/>
  <c r="AQ429" i="5"/>
  <c r="BZ429" i="5"/>
  <c r="CD429" i="5"/>
  <c r="O430" i="5"/>
  <c r="AI430" i="5"/>
  <c r="AQ430" i="5"/>
  <c r="BZ430" i="5"/>
  <c r="CD430" i="5"/>
  <c r="O431" i="5"/>
  <c r="AI431" i="5"/>
  <c r="AQ431" i="5"/>
  <c r="BZ431" i="5"/>
  <c r="CD431" i="5"/>
  <c r="O432" i="5"/>
  <c r="AI432" i="5"/>
  <c r="AQ432" i="5"/>
  <c r="BZ432" i="5"/>
  <c r="CD432" i="5"/>
  <c r="O433" i="5"/>
  <c r="AI433" i="5"/>
  <c r="AQ433" i="5"/>
  <c r="BZ433" i="5"/>
  <c r="CD433" i="5"/>
  <c r="O434" i="5"/>
  <c r="AI434" i="5"/>
  <c r="AQ434" i="5"/>
  <c r="BZ434" i="5"/>
  <c r="CD434" i="5"/>
  <c r="O435" i="5"/>
  <c r="AI435" i="5"/>
  <c r="AQ435" i="5"/>
  <c r="BZ435" i="5"/>
  <c r="CD435" i="5"/>
  <c r="O436" i="5"/>
  <c r="AI436" i="5"/>
  <c r="AQ436" i="5"/>
  <c r="BZ436" i="5"/>
  <c r="CD436" i="5"/>
  <c r="O437" i="5"/>
  <c r="AI437" i="5"/>
  <c r="AQ437" i="5"/>
  <c r="BZ437" i="5"/>
  <c r="CD437" i="5"/>
  <c r="O438" i="5"/>
  <c r="AI438" i="5"/>
  <c r="AQ438" i="5"/>
  <c r="BZ438" i="5"/>
  <c r="CD438" i="5"/>
  <c r="O439" i="5"/>
  <c r="AI439" i="5"/>
  <c r="AQ439" i="5"/>
  <c r="BZ439" i="5"/>
  <c r="CD439" i="5"/>
  <c r="O440" i="5"/>
  <c r="AI440" i="5"/>
  <c r="AQ440" i="5"/>
  <c r="BZ440" i="5"/>
  <c r="CD440" i="5"/>
  <c r="O441" i="5"/>
  <c r="AI441" i="5"/>
  <c r="AQ441" i="5"/>
  <c r="BZ441" i="5"/>
  <c r="CD441" i="5"/>
  <c r="O442" i="5"/>
  <c r="AI442" i="5"/>
  <c r="AQ442" i="5"/>
  <c r="BZ442" i="5"/>
  <c r="CD442" i="5"/>
  <c r="O443" i="5"/>
  <c r="AI443" i="5"/>
  <c r="AQ443" i="5"/>
  <c r="BZ443" i="5"/>
  <c r="CD443" i="5"/>
  <c r="O444" i="5"/>
  <c r="AI444" i="5"/>
  <c r="AQ444" i="5"/>
  <c r="BZ444" i="5"/>
  <c r="CD444" i="5"/>
  <c r="O445" i="5"/>
  <c r="AI445" i="5"/>
  <c r="AQ445" i="5"/>
  <c r="BZ445" i="5"/>
  <c r="CD445" i="5"/>
  <c r="O446" i="5"/>
  <c r="AI446" i="5"/>
  <c r="AQ446" i="5"/>
  <c r="BZ446" i="5"/>
  <c r="CD446" i="5"/>
  <c r="O447" i="5"/>
  <c r="AI447" i="5"/>
  <c r="AQ447" i="5"/>
  <c r="BZ447" i="5"/>
  <c r="CD447" i="5"/>
  <c r="O448" i="5"/>
  <c r="AI448" i="5"/>
  <c r="AQ448" i="5"/>
  <c r="BZ448" i="5"/>
  <c r="CD448" i="5"/>
  <c r="O449" i="5"/>
  <c r="AI449" i="5"/>
  <c r="AQ449" i="5"/>
  <c r="BZ449" i="5"/>
  <c r="CD449" i="5"/>
  <c r="O450" i="5"/>
  <c r="AI450" i="5"/>
  <c r="AQ450" i="5"/>
  <c r="BZ450" i="5"/>
  <c r="CD450" i="5"/>
  <c r="O451" i="5"/>
  <c r="AI451" i="5"/>
  <c r="AQ451" i="5"/>
  <c r="BZ451" i="5"/>
  <c r="CD451" i="5"/>
  <c r="O452" i="5"/>
  <c r="AI452" i="5"/>
  <c r="AQ452" i="5"/>
  <c r="BZ452" i="5"/>
  <c r="CD452" i="5"/>
  <c r="O453" i="5"/>
  <c r="AI453" i="5"/>
  <c r="AQ453" i="5"/>
  <c r="BZ453" i="5"/>
  <c r="CD453" i="5"/>
  <c r="O454" i="5"/>
  <c r="AI454" i="5"/>
  <c r="AQ454" i="5"/>
  <c r="BZ454" i="5"/>
  <c r="CD454" i="5"/>
  <c r="O455" i="5"/>
  <c r="AI455" i="5"/>
  <c r="AQ455" i="5"/>
  <c r="BZ455" i="5"/>
  <c r="CD455" i="5"/>
  <c r="O456" i="5"/>
  <c r="AI456" i="5"/>
  <c r="AQ456" i="5"/>
  <c r="BZ456" i="5"/>
  <c r="CD456" i="5"/>
  <c r="O457" i="5"/>
  <c r="AI457" i="5"/>
  <c r="AQ457" i="5"/>
  <c r="BZ457" i="5"/>
  <c r="CD457" i="5"/>
  <c r="O458" i="5"/>
  <c r="AI458" i="5"/>
  <c r="AQ458" i="5"/>
  <c r="BZ458" i="5"/>
  <c r="CD458" i="5"/>
  <c r="O459" i="5"/>
  <c r="AI459" i="5"/>
  <c r="AQ459" i="5"/>
  <c r="BZ459" i="5"/>
  <c r="CD459" i="5"/>
  <c r="O460" i="5"/>
  <c r="AI460" i="5"/>
  <c r="AQ460" i="5"/>
  <c r="BZ460" i="5"/>
  <c r="CD460" i="5"/>
  <c r="O461" i="5"/>
  <c r="AI461" i="5"/>
  <c r="AQ461" i="5"/>
  <c r="BZ461" i="5"/>
  <c r="CD461" i="5"/>
  <c r="O462" i="5"/>
  <c r="AI462" i="5"/>
  <c r="AQ462" i="5"/>
  <c r="BZ462" i="5"/>
  <c r="CD462" i="5"/>
  <c r="O463" i="5"/>
  <c r="AI463" i="5"/>
  <c r="AQ463" i="5"/>
  <c r="BZ463" i="5"/>
  <c r="CD463" i="5"/>
  <c r="O464" i="5"/>
  <c r="AI464" i="5"/>
  <c r="AQ464" i="5"/>
  <c r="BZ464" i="5"/>
  <c r="CD464" i="5"/>
  <c r="O465" i="5"/>
  <c r="AI465" i="5"/>
  <c r="AQ465" i="5"/>
  <c r="BZ465" i="5"/>
  <c r="CD465" i="5"/>
  <c r="O466" i="5"/>
  <c r="AI466" i="5"/>
  <c r="AQ466" i="5"/>
  <c r="BZ466" i="5"/>
  <c r="CD466" i="5"/>
  <c r="O467" i="5"/>
  <c r="AI467" i="5"/>
  <c r="AQ467" i="5"/>
  <c r="BZ467" i="5"/>
  <c r="CD467" i="5"/>
  <c r="O468" i="5"/>
  <c r="AI468" i="5"/>
  <c r="AQ468" i="5"/>
  <c r="BZ468" i="5"/>
  <c r="CD468" i="5"/>
  <c r="O469" i="5"/>
  <c r="AI469" i="5"/>
  <c r="AQ469" i="5"/>
  <c r="BZ469" i="5"/>
  <c r="CD469" i="5"/>
  <c r="O470" i="5"/>
  <c r="AI470" i="5"/>
  <c r="AQ470" i="5"/>
  <c r="BZ470" i="5"/>
  <c r="CD470" i="5"/>
  <c r="O471" i="5"/>
  <c r="AI471" i="5"/>
  <c r="AQ471" i="5"/>
  <c r="BZ471" i="5"/>
  <c r="CD471" i="5"/>
  <c r="O472" i="5"/>
  <c r="AI472" i="5"/>
  <c r="AQ472" i="5"/>
  <c r="BZ472" i="5"/>
  <c r="CD472" i="5"/>
  <c r="O473" i="5"/>
  <c r="AI473" i="5"/>
  <c r="AQ473" i="5"/>
  <c r="BZ473" i="5"/>
  <c r="CD473" i="5"/>
  <c r="O474" i="5"/>
  <c r="AI474" i="5"/>
  <c r="AQ474" i="5"/>
  <c r="BZ474" i="5"/>
  <c r="CD474" i="5"/>
  <c r="O475" i="5"/>
  <c r="AI475" i="5"/>
  <c r="AQ475" i="5"/>
  <c r="BZ475" i="5"/>
  <c r="CD475" i="5"/>
  <c r="O476" i="5"/>
  <c r="AI476" i="5"/>
  <c r="AQ476" i="5"/>
  <c r="BZ476" i="5"/>
  <c r="CD476" i="5"/>
  <c r="O477" i="5"/>
  <c r="AI477" i="5"/>
  <c r="AQ477" i="5"/>
  <c r="BZ477" i="5"/>
  <c r="CD477" i="5"/>
  <c r="O478" i="5"/>
  <c r="AI478" i="5"/>
  <c r="AQ478" i="5"/>
  <c r="BZ478" i="5"/>
  <c r="CD478" i="5"/>
  <c r="O479" i="5"/>
  <c r="AI479" i="5"/>
  <c r="AQ479" i="5"/>
  <c r="BZ479" i="5"/>
  <c r="CD479" i="5"/>
  <c r="O480" i="5"/>
  <c r="AI480" i="5"/>
  <c r="AQ480" i="5"/>
  <c r="BZ480" i="5"/>
  <c r="CD480" i="5"/>
  <c r="O481" i="5"/>
  <c r="AI481" i="5"/>
  <c r="AQ481" i="5"/>
  <c r="BZ481" i="5"/>
  <c r="CD481" i="5"/>
  <c r="O482" i="5"/>
  <c r="AI482" i="5"/>
  <c r="AQ482" i="5"/>
  <c r="BZ482" i="5"/>
  <c r="CD482" i="5"/>
  <c r="O483" i="5"/>
  <c r="AI483" i="5"/>
  <c r="AQ483" i="5"/>
  <c r="BZ483" i="5"/>
  <c r="CD483" i="5"/>
  <c r="O484" i="5"/>
  <c r="AI484" i="5"/>
  <c r="AQ484" i="5"/>
  <c r="BZ484" i="5"/>
  <c r="CD484" i="5"/>
  <c r="O485" i="5"/>
  <c r="AI485" i="5"/>
  <c r="AQ485" i="5"/>
  <c r="BZ485" i="5"/>
  <c r="CD485" i="5"/>
  <c r="O486" i="5"/>
  <c r="AI486" i="5"/>
  <c r="AQ486" i="5"/>
  <c r="BZ486" i="5"/>
  <c r="CD486" i="5"/>
  <c r="O487" i="5"/>
  <c r="AI487" i="5"/>
  <c r="AQ487" i="5"/>
  <c r="BZ487" i="5"/>
  <c r="CD487" i="5"/>
  <c r="O488" i="5"/>
  <c r="AI488" i="5"/>
  <c r="AQ488" i="5"/>
  <c r="BZ488" i="5"/>
  <c r="CD488" i="5"/>
  <c r="O489" i="5"/>
  <c r="AI489" i="5"/>
  <c r="AQ489" i="5"/>
  <c r="BZ489" i="5"/>
  <c r="CD489" i="5"/>
  <c r="O490" i="5"/>
  <c r="AI490" i="5"/>
  <c r="AQ490" i="5"/>
  <c r="BZ490" i="5"/>
  <c r="CD490" i="5"/>
  <c r="O491" i="5"/>
  <c r="AI491" i="5"/>
  <c r="AQ491" i="5"/>
  <c r="BZ491" i="5"/>
  <c r="CD491" i="5"/>
  <c r="O492" i="5"/>
  <c r="AI492" i="5"/>
  <c r="AQ492" i="5"/>
  <c r="BZ492" i="5"/>
  <c r="CD492" i="5"/>
  <c r="O493" i="5"/>
  <c r="AI493" i="5"/>
  <c r="AQ493" i="5"/>
  <c r="BZ493" i="5"/>
  <c r="CD493" i="5"/>
  <c r="O494" i="5"/>
  <c r="AI494" i="5"/>
  <c r="AQ494" i="5"/>
  <c r="BZ494" i="5"/>
  <c r="CD494" i="5"/>
  <c r="O495" i="5"/>
  <c r="AI495" i="5"/>
  <c r="AQ495" i="5"/>
  <c r="BZ495" i="5"/>
  <c r="CD495" i="5"/>
  <c r="O496" i="5"/>
  <c r="AI496" i="5"/>
  <c r="AQ496" i="5"/>
  <c r="BZ496" i="5"/>
  <c r="CD496" i="5"/>
  <c r="O497" i="5"/>
  <c r="AI497" i="5"/>
  <c r="AQ497" i="5"/>
  <c r="BZ497" i="5"/>
  <c r="CD497" i="5"/>
  <c r="O498" i="5"/>
  <c r="AI498" i="5"/>
  <c r="AQ498" i="5"/>
  <c r="BZ498" i="5"/>
  <c r="CD498" i="5"/>
  <c r="O499" i="5"/>
  <c r="AI499" i="5"/>
  <c r="AQ499" i="5"/>
  <c r="BZ499" i="5"/>
  <c r="CD499" i="5"/>
  <c r="O500" i="5"/>
  <c r="AI500" i="5"/>
  <c r="AQ500" i="5"/>
  <c r="BZ500" i="5"/>
  <c r="CD500" i="5"/>
  <c r="O501" i="5"/>
  <c r="AI501" i="5"/>
  <c r="AQ501" i="5"/>
  <c r="BZ501" i="5"/>
  <c r="CD501" i="5"/>
  <c r="O502" i="5"/>
  <c r="AI502" i="5"/>
  <c r="AQ502" i="5"/>
  <c r="BZ502" i="5"/>
  <c r="CD502" i="5"/>
  <c r="O503" i="5"/>
  <c r="AI503" i="5"/>
  <c r="AQ503" i="5"/>
  <c r="BZ503" i="5"/>
  <c r="CD503" i="5"/>
  <c r="O504" i="5"/>
  <c r="AI504" i="5"/>
  <c r="AQ504" i="5"/>
  <c r="BZ504" i="5"/>
  <c r="CD504" i="5"/>
  <c r="O505" i="5"/>
  <c r="AI505" i="5"/>
  <c r="AQ505" i="5"/>
  <c r="BZ505" i="5"/>
  <c r="CD505" i="5"/>
  <c r="O506" i="5"/>
  <c r="AI506" i="5"/>
  <c r="AQ506" i="5"/>
  <c r="BZ506" i="5"/>
  <c r="CD506" i="5"/>
  <c r="O507" i="5"/>
  <c r="AI507" i="5"/>
  <c r="AQ507" i="5"/>
  <c r="BZ507" i="5"/>
  <c r="CD507" i="5"/>
  <c r="O508" i="5"/>
  <c r="AI508" i="5"/>
  <c r="AQ508" i="5"/>
  <c r="BZ508" i="5"/>
  <c r="CD508" i="5"/>
  <c r="O509" i="5"/>
  <c r="AI509" i="5"/>
  <c r="AQ509" i="5"/>
  <c r="BZ509" i="5"/>
  <c r="CD509" i="5"/>
  <c r="O510" i="5"/>
  <c r="AI510" i="5"/>
  <c r="AQ510" i="5"/>
  <c r="BZ510" i="5"/>
  <c r="CD510" i="5"/>
  <c r="O511" i="5"/>
  <c r="AI511" i="5"/>
  <c r="AQ511" i="5"/>
  <c r="BZ511" i="5"/>
  <c r="CD511" i="5"/>
  <c r="O512" i="5"/>
  <c r="AI512" i="5"/>
  <c r="AQ512" i="5"/>
  <c r="BZ512" i="5"/>
  <c r="CD512" i="5"/>
  <c r="O513" i="5"/>
  <c r="AI513" i="5"/>
  <c r="AQ513" i="5"/>
  <c r="BZ513" i="5"/>
  <c r="CD513" i="5"/>
  <c r="O514" i="5"/>
  <c r="AI514" i="5"/>
  <c r="AQ514" i="5"/>
  <c r="BZ514" i="5"/>
  <c r="CD514" i="5"/>
  <c r="O515" i="5"/>
  <c r="AI515" i="5"/>
  <c r="AQ515" i="5"/>
  <c r="BZ515" i="5"/>
  <c r="CD515" i="5"/>
  <c r="O516" i="5"/>
  <c r="AI516" i="5"/>
  <c r="AQ516" i="5"/>
  <c r="BZ516" i="5"/>
  <c r="CD516" i="5"/>
  <c r="O517" i="5"/>
  <c r="AI517" i="5"/>
  <c r="AQ517" i="5"/>
  <c r="BZ517" i="5"/>
  <c r="CD517" i="5"/>
  <c r="O518" i="5"/>
  <c r="AI518" i="5"/>
  <c r="AQ518" i="5"/>
  <c r="BZ518" i="5"/>
  <c r="CD518" i="5"/>
  <c r="O519" i="5"/>
  <c r="AI519" i="5"/>
  <c r="AQ519" i="5"/>
  <c r="BZ519" i="5"/>
  <c r="CD519" i="5"/>
  <c r="O520" i="5"/>
  <c r="AI520" i="5"/>
  <c r="AQ520" i="5"/>
  <c r="BZ520" i="5"/>
  <c r="CD520" i="5"/>
  <c r="O521" i="5"/>
  <c r="AI521" i="5"/>
  <c r="AQ521" i="5"/>
  <c r="BZ521" i="5"/>
  <c r="CD521" i="5"/>
  <c r="O522" i="5"/>
  <c r="AI522" i="5"/>
  <c r="AQ522" i="5"/>
  <c r="BZ522" i="5"/>
  <c r="CD522" i="5"/>
  <c r="O523" i="5"/>
  <c r="AI523" i="5"/>
  <c r="AQ523" i="5"/>
  <c r="BZ523" i="5"/>
  <c r="CD523" i="5"/>
  <c r="O524" i="5"/>
  <c r="AI524" i="5"/>
  <c r="AQ524" i="5"/>
  <c r="BZ524" i="5"/>
  <c r="CD524" i="5"/>
  <c r="O525" i="5"/>
  <c r="AI525" i="5"/>
  <c r="AQ525" i="5"/>
  <c r="BZ525" i="5"/>
  <c r="CD525" i="5"/>
  <c r="O526" i="5"/>
  <c r="AI526" i="5"/>
  <c r="AQ526" i="5"/>
  <c r="BZ526" i="5"/>
  <c r="CD526" i="5"/>
  <c r="O527" i="5"/>
  <c r="AI527" i="5"/>
  <c r="AQ527" i="5"/>
  <c r="BZ527" i="5"/>
  <c r="CD527" i="5"/>
  <c r="O528" i="5"/>
  <c r="AI528" i="5"/>
  <c r="AQ528" i="5"/>
  <c r="BZ528" i="5"/>
  <c r="CD528" i="5"/>
  <c r="O529" i="5"/>
  <c r="AI529" i="5"/>
  <c r="AQ529" i="5"/>
  <c r="BZ529" i="5"/>
  <c r="CD529" i="5"/>
  <c r="O530" i="5"/>
  <c r="AI530" i="5"/>
  <c r="AQ530" i="5"/>
  <c r="BZ530" i="5"/>
  <c r="CD530" i="5"/>
  <c r="O531" i="5"/>
  <c r="AI531" i="5"/>
  <c r="AQ531" i="5"/>
  <c r="BZ531" i="5"/>
  <c r="CD531" i="5"/>
  <c r="O532" i="5"/>
  <c r="AI532" i="5"/>
  <c r="AQ532" i="5"/>
  <c r="BZ532" i="5"/>
  <c r="CD532" i="5"/>
  <c r="O533" i="5"/>
  <c r="AI533" i="5"/>
  <c r="AQ533" i="5"/>
  <c r="BZ533" i="5"/>
  <c r="CD533" i="5"/>
  <c r="O534" i="5"/>
  <c r="AI534" i="5"/>
  <c r="AQ534" i="5"/>
  <c r="BZ534" i="5"/>
  <c r="CD534" i="5"/>
  <c r="O535" i="5"/>
  <c r="AI535" i="5"/>
  <c r="AQ535" i="5"/>
  <c r="BZ535" i="5"/>
  <c r="CD535" i="5"/>
  <c r="O536" i="5"/>
  <c r="AI536" i="5"/>
  <c r="AQ536" i="5"/>
  <c r="BZ536" i="5"/>
  <c r="CD536" i="5"/>
  <c r="O537" i="5"/>
  <c r="AI537" i="5"/>
  <c r="AQ537" i="5"/>
  <c r="BZ537" i="5"/>
  <c r="CD537" i="5"/>
  <c r="O538" i="5"/>
  <c r="AI538" i="5"/>
  <c r="AQ538" i="5"/>
  <c r="BZ538" i="5"/>
  <c r="CD538" i="5"/>
  <c r="O539" i="5"/>
  <c r="AI539" i="5"/>
  <c r="AQ539" i="5"/>
  <c r="BZ539" i="5"/>
  <c r="CD539" i="5"/>
  <c r="O540" i="5"/>
  <c r="AI540" i="5"/>
  <c r="AQ540" i="5"/>
  <c r="BZ540" i="5"/>
  <c r="CD540" i="5"/>
  <c r="O541" i="5"/>
  <c r="AI541" i="5"/>
  <c r="AQ541" i="5"/>
  <c r="BZ541" i="5"/>
  <c r="CD541" i="5"/>
  <c r="O542" i="5"/>
  <c r="AI542" i="5"/>
  <c r="AQ542" i="5"/>
  <c r="BZ542" i="5"/>
  <c r="CD542" i="5"/>
  <c r="O543" i="5"/>
  <c r="AI543" i="5"/>
  <c r="AQ543" i="5"/>
  <c r="BZ543" i="5"/>
  <c r="CD543" i="5"/>
  <c r="O544" i="5"/>
  <c r="AI544" i="5"/>
  <c r="AQ544" i="5"/>
  <c r="BZ544" i="5"/>
  <c r="CD544" i="5"/>
  <c r="O545" i="5"/>
  <c r="AI545" i="5"/>
  <c r="AQ545" i="5"/>
  <c r="BZ545" i="5"/>
  <c r="CD545" i="5"/>
  <c r="O546" i="5"/>
  <c r="AI546" i="5"/>
  <c r="AQ546" i="5"/>
  <c r="BZ546" i="5"/>
  <c r="CD546" i="5"/>
  <c r="O547" i="5"/>
  <c r="AI547" i="5"/>
  <c r="AQ547" i="5"/>
  <c r="BZ547" i="5"/>
  <c r="CD547" i="5"/>
  <c r="O548" i="5"/>
  <c r="AI548" i="5"/>
  <c r="AQ548" i="5"/>
  <c r="BZ548" i="5"/>
  <c r="CD548" i="5"/>
  <c r="O549" i="5"/>
  <c r="AI549" i="5"/>
  <c r="AQ549" i="5"/>
  <c r="BZ549" i="5"/>
  <c r="CD549" i="5"/>
  <c r="O550" i="5"/>
  <c r="AI550" i="5"/>
  <c r="AQ550" i="5"/>
  <c r="BZ550" i="5"/>
  <c r="CD550" i="5"/>
  <c r="O551" i="5"/>
  <c r="AI551" i="5"/>
  <c r="AQ551" i="5"/>
  <c r="BZ551" i="5"/>
  <c r="CD551" i="5"/>
  <c r="O552" i="5"/>
  <c r="AI552" i="5"/>
  <c r="AQ552" i="5"/>
  <c r="BZ552" i="5"/>
  <c r="CD552" i="5"/>
  <c r="O553" i="5"/>
  <c r="AI553" i="5"/>
  <c r="AQ553" i="5"/>
  <c r="BZ553" i="5"/>
  <c r="CD553" i="5"/>
  <c r="O554" i="5"/>
  <c r="AI554" i="5"/>
  <c r="AQ554" i="5"/>
  <c r="BZ554" i="5"/>
  <c r="CD554" i="5"/>
  <c r="O555" i="5"/>
  <c r="AI555" i="5"/>
  <c r="AQ555" i="5"/>
  <c r="BZ555" i="5"/>
  <c r="CD555" i="5"/>
  <c r="O556" i="5"/>
  <c r="AI556" i="5"/>
  <c r="AQ556" i="5"/>
  <c r="BZ556" i="5"/>
  <c r="CD556" i="5"/>
  <c r="O557" i="5"/>
  <c r="AI557" i="5"/>
  <c r="AQ557" i="5"/>
  <c r="BZ557" i="5"/>
  <c r="CD557" i="5"/>
  <c r="O558" i="5"/>
  <c r="AI558" i="5"/>
  <c r="AQ558" i="5"/>
  <c r="BZ558" i="5"/>
  <c r="CD558" i="5"/>
  <c r="O559" i="5"/>
  <c r="AI559" i="5"/>
  <c r="AQ559" i="5"/>
  <c r="BZ559" i="5"/>
  <c r="CD559" i="5"/>
  <c r="O560" i="5"/>
  <c r="AI560" i="5"/>
  <c r="AQ560" i="5"/>
  <c r="BZ560" i="5"/>
  <c r="CD560" i="5"/>
  <c r="O561" i="5"/>
  <c r="AI561" i="5"/>
  <c r="AQ561" i="5"/>
  <c r="BZ561" i="5"/>
  <c r="CD561" i="5"/>
  <c r="O562" i="5"/>
  <c r="AI562" i="5"/>
  <c r="AQ562" i="5"/>
  <c r="BZ562" i="5"/>
  <c r="CD562" i="5"/>
  <c r="O563" i="5"/>
  <c r="AI563" i="5"/>
  <c r="AQ563" i="5"/>
  <c r="BZ563" i="5"/>
  <c r="CD563" i="5"/>
  <c r="O564" i="5"/>
  <c r="AI564" i="5"/>
  <c r="AQ564" i="5"/>
  <c r="BZ564" i="5"/>
  <c r="CD564" i="5"/>
  <c r="O565" i="5"/>
  <c r="AI565" i="5"/>
  <c r="AQ565" i="5"/>
  <c r="BZ565" i="5"/>
  <c r="CD565" i="5"/>
  <c r="O566" i="5"/>
  <c r="AI566" i="5"/>
  <c r="AQ566" i="5"/>
  <c r="BZ566" i="5"/>
  <c r="CD566" i="5"/>
  <c r="O567" i="5"/>
  <c r="AI567" i="5"/>
  <c r="AQ567" i="5"/>
  <c r="BZ567" i="5"/>
  <c r="CD567" i="5"/>
  <c r="O568" i="5"/>
  <c r="AI568" i="5"/>
  <c r="AQ568" i="5"/>
  <c r="BZ568" i="5"/>
  <c r="CD568" i="5"/>
  <c r="O569" i="5"/>
  <c r="AI569" i="5"/>
  <c r="AQ569" i="5"/>
  <c r="BZ569" i="5"/>
  <c r="CD569" i="5"/>
  <c r="O570" i="5"/>
  <c r="AI570" i="5"/>
  <c r="AQ570" i="5"/>
  <c r="BZ570" i="5"/>
  <c r="CD570" i="5"/>
  <c r="O571" i="5"/>
  <c r="AI571" i="5"/>
  <c r="AQ571" i="5"/>
  <c r="BZ571" i="5"/>
  <c r="CD571" i="5"/>
  <c r="O572" i="5"/>
  <c r="AI572" i="5"/>
  <c r="AQ572" i="5"/>
  <c r="BZ572" i="5"/>
  <c r="CD572" i="5"/>
  <c r="O573" i="5"/>
  <c r="AI573" i="5"/>
  <c r="AQ573" i="5"/>
  <c r="BZ573" i="5"/>
  <c r="CD573" i="5"/>
  <c r="O574" i="5"/>
  <c r="AI574" i="5"/>
  <c r="AQ574" i="5"/>
  <c r="BZ574" i="5"/>
  <c r="CD574" i="5"/>
  <c r="O575" i="5"/>
  <c r="AI575" i="5"/>
  <c r="AQ575" i="5"/>
  <c r="BZ575" i="5"/>
  <c r="CD575" i="5"/>
  <c r="O576" i="5"/>
  <c r="AI576" i="5"/>
  <c r="AQ576" i="5"/>
  <c r="BZ576" i="5"/>
  <c r="CD576" i="5"/>
  <c r="O577" i="5"/>
  <c r="AI577" i="5"/>
  <c r="AQ577" i="5"/>
  <c r="BZ577" i="5"/>
  <c r="CD577" i="5"/>
  <c r="O578" i="5"/>
  <c r="AI578" i="5"/>
  <c r="AQ578" i="5"/>
  <c r="BZ578" i="5"/>
  <c r="CD578" i="5"/>
  <c r="O579" i="5"/>
  <c r="AI579" i="5"/>
  <c r="AQ579" i="5"/>
  <c r="BZ579" i="5"/>
  <c r="CD579" i="5"/>
  <c r="O580" i="5"/>
  <c r="AI580" i="5"/>
  <c r="AQ580" i="5"/>
  <c r="BZ580" i="5"/>
  <c r="CD580" i="5"/>
  <c r="O581" i="5"/>
  <c r="AI581" i="5"/>
  <c r="AQ581" i="5"/>
  <c r="BZ581" i="5"/>
  <c r="CD581" i="5"/>
  <c r="O582" i="5"/>
  <c r="AI582" i="5"/>
  <c r="AQ582" i="5"/>
  <c r="BZ582" i="5"/>
  <c r="CD582" i="5"/>
  <c r="O583" i="5"/>
  <c r="AI583" i="5"/>
  <c r="AQ583" i="5"/>
  <c r="BZ583" i="5"/>
  <c r="CD583" i="5"/>
  <c r="O584" i="5"/>
  <c r="AI584" i="5"/>
  <c r="AQ584" i="5"/>
  <c r="BZ584" i="5"/>
  <c r="CD584" i="5"/>
  <c r="O585" i="5"/>
  <c r="AI585" i="5"/>
  <c r="AQ585" i="5"/>
  <c r="BZ585" i="5"/>
  <c r="CD585" i="5"/>
  <c r="O586" i="5"/>
  <c r="AI586" i="5"/>
  <c r="AQ586" i="5"/>
  <c r="BZ586" i="5"/>
  <c r="CD586" i="5"/>
  <c r="O587" i="5"/>
  <c r="AI587" i="5"/>
  <c r="AQ587" i="5"/>
  <c r="BZ587" i="5"/>
  <c r="CD587" i="5"/>
  <c r="O588" i="5"/>
  <c r="AI588" i="5"/>
  <c r="AQ588" i="5"/>
  <c r="BZ588" i="5"/>
  <c r="CD588" i="5"/>
  <c r="O589" i="5"/>
  <c r="AI589" i="5"/>
  <c r="AQ589" i="5"/>
  <c r="BZ589" i="5"/>
  <c r="CD589" i="5"/>
  <c r="O590" i="5"/>
  <c r="AI590" i="5"/>
  <c r="AQ590" i="5"/>
  <c r="BZ590" i="5"/>
  <c r="CD590" i="5"/>
  <c r="O591" i="5"/>
  <c r="AI591" i="5"/>
  <c r="AQ591" i="5"/>
  <c r="BZ591" i="5"/>
  <c r="CD591" i="5"/>
  <c r="O592" i="5"/>
  <c r="AI592" i="5"/>
  <c r="AQ592" i="5"/>
  <c r="BZ592" i="5"/>
  <c r="CD592" i="5"/>
  <c r="O593" i="5"/>
  <c r="AI593" i="5"/>
  <c r="AQ593" i="5"/>
  <c r="BZ593" i="5"/>
  <c r="CD593" i="5"/>
  <c r="O594" i="5"/>
  <c r="AI594" i="5"/>
  <c r="AQ594" i="5"/>
  <c r="BZ594" i="5"/>
  <c r="CD594" i="5"/>
  <c r="O595" i="5"/>
  <c r="AI595" i="5"/>
  <c r="AQ595" i="5"/>
  <c r="BZ595" i="5"/>
  <c r="CD595" i="5"/>
  <c r="O596" i="5"/>
  <c r="AI596" i="5"/>
  <c r="AQ596" i="5"/>
  <c r="BZ596" i="5"/>
  <c r="CD596" i="5"/>
  <c r="O597" i="5"/>
  <c r="AI597" i="5"/>
  <c r="AQ597" i="5"/>
  <c r="BZ597" i="5"/>
  <c r="CD597" i="5"/>
  <c r="O598" i="5"/>
  <c r="AI598" i="5"/>
  <c r="AQ598" i="5"/>
  <c r="BZ598" i="5"/>
  <c r="CD598" i="5"/>
  <c r="O599" i="5"/>
  <c r="AI599" i="5"/>
  <c r="AQ599" i="5"/>
  <c r="BZ599" i="5"/>
  <c r="CD599" i="5"/>
  <c r="O600" i="5"/>
  <c r="AI600" i="5"/>
  <c r="AQ600" i="5"/>
  <c r="BZ600" i="5"/>
  <c r="CD600" i="5"/>
  <c r="O601" i="5"/>
  <c r="AI601" i="5"/>
  <c r="AQ601" i="5"/>
  <c r="BZ601" i="5"/>
  <c r="CD601" i="5"/>
  <c r="O602" i="5"/>
  <c r="AI602" i="5"/>
  <c r="AQ602" i="5"/>
  <c r="BZ602" i="5"/>
  <c r="CD602" i="5"/>
  <c r="O603" i="5"/>
  <c r="AI603" i="5"/>
  <c r="AQ603" i="5"/>
  <c r="BZ603" i="5"/>
  <c r="CD603" i="5"/>
  <c r="AQ29" i="5"/>
  <c r="AQ30" i="5"/>
  <c r="AQ31" i="5"/>
  <c r="AQ32" i="5"/>
  <c r="AQ33" i="5"/>
  <c r="AQ34" i="5"/>
  <c r="AQ35" i="5"/>
  <c r="AQ36" i="5"/>
  <c r="AQ37" i="5"/>
  <c r="AQ38" i="5"/>
  <c r="AQ39" i="5"/>
  <c r="AQ40" i="5"/>
  <c r="AQ41" i="5"/>
  <c r="AQ42" i="5"/>
  <c r="AQ43" i="5"/>
  <c r="AQ44" i="5"/>
  <c r="AQ45" i="5"/>
  <c r="AQ46" i="5"/>
  <c r="AQ47" i="5"/>
  <c r="AQ48" i="5"/>
  <c r="AQ49" i="5"/>
  <c r="AQ50" i="5"/>
  <c r="AQ51" i="5"/>
  <c r="AQ52" i="5"/>
  <c r="AQ53" i="5"/>
  <c r="AQ54" i="5"/>
  <c r="AQ55" i="5"/>
  <c r="AQ56" i="5"/>
  <c r="AQ57" i="5"/>
  <c r="AQ58" i="5"/>
  <c r="AQ59" i="5"/>
  <c r="AQ60" i="5"/>
  <c r="AQ61" i="5"/>
  <c r="AQ62" i="5"/>
  <c r="AQ63" i="5"/>
  <c r="AQ64" i="5"/>
  <c r="AQ65" i="5"/>
  <c r="AQ66" i="5"/>
  <c r="AQ67" i="5"/>
  <c r="AQ68" i="5"/>
  <c r="AQ69" i="5"/>
  <c r="AQ70" i="5"/>
  <c r="AQ71" i="5"/>
  <c r="AQ72" i="5"/>
  <c r="AQ73" i="5"/>
  <c r="AQ74" i="5"/>
  <c r="AQ75" i="5"/>
  <c r="AQ76" i="5"/>
  <c r="AQ77" i="5"/>
  <c r="AQ78" i="5"/>
  <c r="AQ79" i="5"/>
  <c r="AQ80" i="5"/>
  <c r="AQ81" i="5"/>
  <c r="AQ82" i="5"/>
  <c r="AQ83" i="5"/>
  <c r="AQ84" i="5"/>
  <c r="AQ85" i="5"/>
  <c r="AQ86" i="5"/>
  <c r="AQ87" i="5"/>
  <c r="AQ88" i="5"/>
  <c r="AQ89" i="5"/>
  <c r="AQ90" i="5"/>
  <c r="AQ91" i="5"/>
  <c r="AQ92" i="5"/>
  <c r="AQ93" i="5"/>
  <c r="AQ94" i="5"/>
  <c r="AQ95" i="5"/>
  <c r="AQ96" i="5"/>
  <c r="AQ97" i="5"/>
  <c r="AQ98" i="5"/>
  <c r="AQ99" i="5"/>
  <c r="AQ100" i="5"/>
  <c r="AQ101" i="5"/>
  <c r="AQ102" i="5"/>
  <c r="AQ103" i="5"/>
  <c r="AQ104" i="5"/>
  <c r="AQ105" i="5"/>
  <c r="AQ106" i="5"/>
  <c r="AQ107" i="5"/>
  <c r="AQ108" i="5"/>
  <c r="AQ109" i="5"/>
  <c r="AQ110" i="5"/>
  <c r="AQ111" i="5"/>
  <c r="AQ112" i="5"/>
  <c r="AQ113" i="5"/>
  <c r="AQ114" i="5"/>
  <c r="AQ115" i="5"/>
  <c r="AQ116" i="5"/>
  <c r="AQ117" i="5"/>
  <c r="AQ118" i="5"/>
  <c r="AQ119" i="5"/>
  <c r="AQ120" i="5"/>
  <c r="AQ121" i="5"/>
  <c r="AQ122" i="5"/>
  <c r="AQ28" i="5"/>
  <c r="AI29" i="5" l="1"/>
  <c r="AI30" i="5"/>
  <c r="AI31" i="5"/>
  <c r="AI32" i="5"/>
  <c r="AI33" i="5"/>
  <c r="AI34" i="5"/>
  <c r="AI35" i="5"/>
  <c r="AI36" i="5"/>
  <c r="AI37" i="5"/>
  <c r="AI38" i="5"/>
  <c r="AI39" i="5"/>
  <c r="AI40" i="5"/>
  <c r="AI41" i="5"/>
  <c r="AI42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1" i="5"/>
  <c r="AI92" i="5"/>
  <c r="AI93" i="5"/>
  <c r="AI94" i="5"/>
  <c r="AI95" i="5"/>
  <c r="AI96" i="5"/>
  <c r="AI97" i="5"/>
  <c r="AI98" i="5"/>
  <c r="AI99" i="5"/>
  <c r="AI100" i="5"/>
  <c r="AI101" i="5"/>
  <c r="AI102" i="5"/>
  <c r="AI103" i="5"/>
  <c r="AI104" i="5"/>
  <c r="AI105" i="5"/>
  <c r="AI106" i="5"/>
  <c r="AI107" i="5"/>
  <c r="AI108" i="5"/>
  <c r="AI109" i="5"/>
  <c r="AI110" i="5"/>
  <c r="AI111" i="5"/>
  <c r="AI112" i="5"/>
  <c r="AI113" i="5"/>
  <c r="AI114" i="5"/>
  <c r="AI115" i="5"/>
  <c r="AI116" i="5"/>
  <c r="AI117" i="5"/>
  <c r="AI118" i="5"/>
  <c r="AI119" i="5"/>
  <c r="AI120" i="5"/>
  <c r="AI121" i="5"/>
  <c r="AI122" i="5"/>
  <c r="AI28" i="5"/>
  <c r="I9" i="5"/>
  <c r="I5" i="5" l="1"/>
  <c r="I4" i="5"/>
  <c r="I3" i="5"/>
  <c r="O29" i="5" l="1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28" i="5"/>
  <c r="L20" i="4" l="1"/>
  <c r="L9" i="4"/>
  <c r="L8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J20" i="4"/>
  <c r="J7" i="4"/>
  <c r="J6" i="4"/>
  <c r="J5" i="4"/>
  <c r="J4" i="4"/>
  <c r="J3" i="4"/>
  <c r="J2" i="4"/>
  <c r="B48" i="14" l="1"/>
  <c r="B47" i="14"/>
  <c r="B46" i="14"/>
  <c r="B45" i="14"/>
  <c r="B44" i="14"/>
  <c r="B43" i="14"/>
  <c r="B42" i="14"/>
  <c r="B41" i="14"/>
  <c r="B40" i="14"/>
  <c r="B39" i="14"/>
  <c r="B38" i="14"/>
  <c r="B37" i="14"/>
  <c r="B34" i="14"/>
  <c r="B33" i="14"/>
  <c r="B32" i="14"/>
  <c r="B31" i="14"/>
  <c r="B30" i="14"/>
  <c r="B29" i="14"/>
  <c r="B28" i="14"/>
  <c r="B27" i="14"/>
  <c r="B26" i="14"/>
  <c r="B24" i="14"/>
  <c r="B23" i="14"/>
  <c r="B22" i="14"/>
  <c r="B21" i="14"/>
  <c r="B20" i="14"/>
  <c r="B19" i="14"/>
  <c r="B18" i="14"/>
  <c r="B14" i="14"/>
  <c r="B13" i="14"/>
  <c r="F2" i="5"/>
  <c r="E3" i="14"/>
  <c r="H3" i="14"/>
  <c r="J3" i="14"/>
  <c r="N3" i="14"/>
  <c r="P3" i="14"/>
  <c r="C3" i="14"/>
  <c r="K3" i="14"/>
  <c r="I7" i="5" l="1"/>
  <c r="BZ28" i="5" l="1"/>
  <c r="CA28" i="5" s="1"/>
  <c r="BZ29" i="5" s="1"/>
  <c r="Y14" i="3"/>
  <c r="Y13" i="3"/>
  <c r="Y12" i="3"/>
  <c r="Y11" i="3"/>
  <c r="Y10" i="3"/>
  <c r="Y9" i="3"/>
  <c r="X7" i="3" s="1"/>
  <c r="CD28" i="5"/>
  <c r="CE28" i="5" l="1"/>
  <c r="CD29" i="5" s="1"/>
  <c r="H32" i="14"/>
  <c r="D5" i="14" l="1"/>
  <c r="L5" i="14"/>
  <c r="E5" i="14"/>
  <c r="F5" i="14"/>
  <c r="N5" i="14"/>
  <c r="O5" i="14"/>
  <c r="G5" i="14"/>
  <c r="H5" i="14"/>
  <c r="P5" i="14"/>
  <c r="M5" i="14"/>
  <c r="I5" i="14"/>
  <c r="J5" i="14"/>
  <c r="C5" i="14"/>
  <c r="K5" i="14"/>
  <c r="B59" i="11"/>
  <c r="B58" i="11"/>
  <c r="B57" i="11"/>
  <c r="B54" i="11"/>
  <c r="B55" i="11"/>
  <c r="B56" i="11"/>
  <c r="B53" i="11"/>
  <c r="B52" i="11"/>
  <c r="B49" i="11"/>
  <c r="B50" i="11"/>
  <c r="B51" i="11"/>
  <c r="B48" i="11"/>
  <c r="X19" i="1"/>
  <c r="Y10" i="1"/>
  <c r="Y11" i="1"/>
  <c r="Y12" i="1"/>
  <c r="Y13" i="1"/>
  <c r="Y14" i="1"/>
  <c r="Y9" i="1"/>
  <c r="X7" i="1" l="1"/>
  <c r="F9" i="5"/>
  <c r="F8" i="5"/>
  <c r="C6" i="14"/>
  <c r="G6" i="14" s="1"/>
  <c r="F7" i="5"/>
  <c r="CE29" i="5"/>
  <c r="CD30" i="5" s="1"/>
  <c r="M7" i="14"/>
  <c r="N7" i="14" s="1"/>
  <c r="O7" i="14"/>
  <c r="P7" i="14" s="1"/>
  <c r="I6" i="14"/>
  <c r="F10" i="5" l="1"/>
  <c r="E8" i="3"/>
  <c r="F11" i="5"/>
  <c r="E11" i="3" s="1"/>
  <c r="E9" i="3"/>
  <c r="E7" i="14"/>
  <c r="F7" i="14" s="1"/>
  <c r="K6" i="14"/>
  <c r="I10" i="5" l="1"/>
  <c r="I11" i="5" s="1"/>
  <c r="E10" i="3"/>
  <c r="CE30" i="5"/>
  <c r="CD31" i="5" s="1"/>
  <c r="C3" i="7"/>
  <c r="E26" i="1" l="1"/>
  <c r="E25" i="1"/>
  <c r="E24" i="1"/>
  <c r="M25" i="2"/>
  <c r="C20" i="7"/>
  <c r="R23" i="2" l="1"/>
  <c r="R10" i="1"/>
  <c r="R22" i="2"/>
  <c r="F16" i="11"/>
  <c r="G17" i="11"/>
  <c r="K17" i="11"/>
  <c r="F40" i="7"/>
  <c r="I40" i="7"/>
  <c r="CE31" i="5"/>
  <c r="CD32" i="5" s="1"/>
  <c r="L40" i="7"/>
  <c r="AA40" i="7"/>
  <c r="X40" i="7"/>
  <c r="O40" i="7"/>
  <c r="U40" i="7"/>
  <c r="R40" i="7"/>
  <c r="X77" i="7"/>
  <c r="U77" i="7"/>
  <c r="R77" i="7"/>
  <c r="O77" i="7"/>
  <c r="L77" i="7"/>
  <c r="AA77" i="7"/>
  <c r="P3" i="11"/>
  <c r="I17" i="2" l="1"/>
  <c r="I9" i="2"/>
  <c r="I21" i="2"/>
  <c r="I16" i="2"/>
  <c r="I8" i="2"/>
  <c r="I3" i="2"/>
  <c r="I22" i="2"/>
  <c r="I15" i="2"/>
  <c r="I7" i="2"/>
  <c r="I20" i="2"/>
  <c r="I14" i="2"/>
  <c r="I6" i="2"/>
  <c r="I18" i="2"/>
  <c r="I19" i="2"/>
  <c r="I13" i="2"/>
  <c r="I5" i="2"/>
  <c r="I24" i="2"/>
  <c r="I10" i="2"/>
  <c r="I2" i="2"/>
  <c r="I23" i="2"/>
  <c r="I12" i="2"/>
  <c r="I4" i="2"/>
  <c r="I11" i="2"/>
  <c r="C3" i="11"/>
  <c r="H3" i="11"/>
  <c r="K3" i="11"/>
  <c r="N3" i="11"/>
  <c r="J3" i="11"/>
  <c r="E3" i="11"/>
  <c r="AT28" i="5" l="1"/>
  <c r="AS28" i="5"/>
  <c r="AV28" i="5" s="1"/>
  <c r="CS28" i="5"/>
  <c r="CR28" i="5"/>
  <c r="CL28" i="5"/>
  <c r="CM28" i="5" s="1"/>
  <c r="BK28" i="5"/>
  <c r="CE32" i="5"/>
  <c r="CD33" i="5" s="1"/>
  <c r="AK28" i="5"/>
  <c r="AN28" i="5" s="1"/>
  <c r="AC28" i="5"/>
  <c r="AB28" i="5"/>
  <c r="F4" i="5"/>
  <c r="BR28" i="5" l="1"/>
  <c r="BT28" i="5"/>
  <c r="BV28" i="5"/>
  <c r="AZ28" i="5"/>
  <c r="BA29" i="5" s="1"/>
  <c r="BB29" i="5" s="1"/>
  <c r="CH28" i="5"/>
  <c r="CK28" i="5"/>
  <c r="CJ28" i="5" s="1"/>
  <c r="CV28" i="5"/>
  <c r="B28" i="5"/>
  <c r="A3" i="6" s="1"/>
  <c r="CT28" i="5"/>
  <c r="CP28" i="5"/>
  <c r="CQ28" i="5" s="1"/>
  <c r="R28" i="5" s="1"/>
  <c r="S28" i="5" s="1"/>
  <c r="DA28" i="5"/>
  <c r="DB28" i="5" s="1"/>
  <c r="K28" i="5" s="1"/>
  <c r="AP28" i="5"/>
  <c r="AO28" i="5"/>
  <c r="T28" i="5"/>
  <c r="U28" i="5" s="1"/>
  <c r="W28" i="5"/>
  <c r="L28" i="5"/>
  <c r="BN28" i="5"/>
  <c r="BO28" i="5" s="1"/>
  <c r="BP28" i="5" s="1"/>
  <c r="BI28" i="5"/>
  <c r="BJ28" i="5" s="1"/>
  <c r="BL28" i="5"/>
  <c r="BM28" i="5" s="1"/>
  <c r="BE28" i="5"/>
  <c r="CF28" i="5"/>
  <c r="CG28" i="5" s="1"/>
  <c r="CB28" i="5"/>
  <c r="CB29" i="5" s="1"/>
  <c r="CY28" i="5"/>
  <c r="AL28" i="5"/>
  <c r="AM28" i="5" s="1"/>
  <c r="AD28" i="5"/>
  <c r="CW28" i="5"/>
  <c r="CX28" i="5"/>
  <c r="AZ29" i="5" l="1"/>
  <c r="BA30" i="5" s="1"/>
  <c r="BR29" i="5"/>
  <c r="BR30" i="5" s="1"/>
  <c r="BR31" i="5" s="1"/>
  <c r="BR32" i="5" s="1"/>
  <c r="BR33" i="5" s="1"/>
  <c r="BR34" i="5" s="1"/>
  <c r="BR35" i="5" s="1"/>
  <c r="BR36" i="5" s="1"/>
  <c r="BR37" i="5" s="1"/>
  <c r="BR38" i="5" s="1"/>
  <c r="BR39" i="5" s="1"/>
  <c r="BR40" i="5" s="1"/>
  <c r="BR41" i="5" s="1"/>
  <c r="BR42" i="5" s="1"/>
  <c r="BR43" i="5" s="1"/>
  <c r="BR44" i="5" s="1"/>
  <c r="BR45" i="5" s="1"/>
  <c r="BR46" i="5" s="1"/>
  <c r="BR47" i="5" s="1"/>
  <c r="BR48" i="5" s="1"/>
  <c r="BR49" i="5" s="1"/>
  <c r="BR50" i="5" s="1"/>
  <c r="BR51" i="5" s="1"/>
  <c r="BR52" i="5" s="1"/>
  <c r="BR53" i="5" s="1"/>
  <c r="BR54" i="5" s="1"/>
  <c r="BR55" i="5" s="1"/>
  <c r="BR56" i="5" s="1"/>
  <c r="BR57" i="5" s="1"/>
  <c r="BR58" i="5" s="1"/>
  <c r="BR59" i="5" s="1"/>
  <c r="BR60" i="5" s="1"/>
  <c r="BR61" i="5" s="1"/>
  <c r="BR62" i="5" s="1"/>
  <c r="BR63" i="5" s="1"/>
  <c r="BR64" i="5" s="1"/>
  <c r="BS28" i="5"/>
  <c r="G28" i="5"/>
  <c r="B29" i="5"/>
  <c r="B30" i="5" s="1"/>
  <c r="B5" i="6" s="1"/>
  <c r="C3" i="6"/>
  <c r="B3" i="6"/>
  <c r="AZ30" i="5"/>
  <c r="BA31" i="5" s="1"/>
  <c r="BB30" i="5"/>
  <c r="CN28" i="5"/>
  <c r="E28" i="5" s="1"/>
  <c r="CO28" i="5"/>
  <c r="F28" i="5" s="1"/>
  <c r="E3" i="6" s="1"/>
  <c r="AJ28" i="5"/>
  <c r="AR28" i="5"/>
  <c r="CF29" i="5"/>
  <c r="CG29" i="5" s="1"/>
  <c r="CC28" i="5"/>
  <c r="CE33" i="5"/>
  <c r="CD34" i="5" s="1"/>
  <c r="AE28" i="5"/>
  <c r="AA32" i="7"/>
  <c r="X32" i="7"/>
  <c r="U32" i="7"/>
  <c r="R32" i="7"/>
  <c r="O32" i="7"/>
  <c r="L32" i="7"/>
  <c r="I32" i="7"/>
  <c r="Q24" i="2"/>
  <c r="F32" i="7" s="1"/>
  <c r="D3" i="6" l="1"/>
  <c r="A4" i="6"/>
  <c r="B4" i="6"/>
  <c r="BR65" i="5"/>
  <c r="AZ31" i="5"/>
  <c r="BA32" i="5" s="1"/>
  <c r="BB31" i="5"/>
  <c r="C29" i="5"/>
  <c r="BU29" i="5" s="1"/>
  <c r="A5" i="6"/>
  <c r="AF28" i="5"/>
  <c r="CF30" i="5"/>
  <c r="CF31" i="5" s="1"/>
  <c r="CA29" i="5"/>
  <c r="BZ30" i="5" s="1"/>
  <c r="CB30" i="5" s="1"/>
  <c r="CC29" i="5"/>
  <c r="B31" i="5"/>
  <c r="B6" i="6" s="1"/>
  <c r="BW28" i="5" l="1"/>
  <c r="BY28" i="5"/>
  <c r="J28" i="5" s="1"/>
  <c r="BT29" i="5"/>
  <c r="BV29" i="5"/>
  <c r="BS29" i="5"/>
  <c r="CI29" i="5"/>
  <c r="BR66" i="5"/>
  <c r="BH29" i="5"/>
  <c r="AZ32" i="5"/>
  <c r="BA33" i="5" s="1"/>
  <c r="BB32" i="5"/>
  <c r="CU29" i="5"/>
  <c r="CV29" i="5" s="1"/>
  <c r="AX29" i="5"/>
  <c r="AW29" i="5" s="1"/>
  <c r="C4" i="6"/>
  <c r="D29" i="5"/>
  <c r="A6" i="6"/>
  <c r="CG30" i="5"/>
  <c r="CG31" i="5"/>
  <c r="CF32" i="5"/>
  <c r="CE34" i="5"/>
  <c r="CD35" i="5" s="1"/>
  <c r="CA30" i="5"/>
  <c r="BZ31" i="5" s="1"/>
  <c r="CB31" i="5" s="1"/>
  <c r="CC30" i="5"/>
  <c r="B32" i="5"/>
  <c r="B7" i="6" s="1"/>
  <c r="N3" i="2"/>
  <c r="N4" i="2"/>
  <c r="N5" i="2"/>
  <c r="N6" i="2"/>
  <c r="N7" i="2"/>
  <c r="N8" i="2"/>
  <c r="N10" i="2"/>
  <c r="N11" i="2"/>
  <c r="N12" i="2"/>
  <c r="N13" i="2"/>
  <c r="N14" i="2"/>
  <c r="N15" i="2"/>
  <c r="N16" i="2"/>
  <c r="N17" i="2"/>
  <c r="N18" i="2"/>
  <c r="N19" i="2"/>
  <c r="N20" i="2"/>
  <c r="N21" i="2"/>
  <c r="N24" i="2"/>
  <c r="N25" i="2"/>
  <c r="N2" i="2"/>
  <c r="BX29" i="5" l="1"/>
  <c r="BR67" i="5"/>
  <c r="CH29" i="5"/>
  <c r="CK29" i="5"/>
  <c r="CJ29" i="5" s="1"/>
  <c r="AZ33" i="5"/>
  <c r="BA34" i="5" s="1"/>
  <c r="BB33" i="5"/>
  <c r="CT29" i="5"/>
  <c r="A7" i="6"/>
  <c r="CG32" i="5"/>
  <c r="CF33" i="5"/>
  <c r="CA31" i="5"/>
  <c r="BZ32" i="5" s="1"/>
  <c r="CB32" i="5" s="1"/>
  <c r="CC31" i="5"/>
  <c r="B33" i="5"/>
  <c r="B8" i="6" s="1"/>
  <c r="L24" i="2"/>
  <c r="M24" i="2" s="1"/>
  <c r="L21" i="2"/>
  <c r="M21" i="2" s="1"/>
  <c r="BR68" i="5" l="1"/>
  <c r="AZ34" i="5"/>
  <c r="BA35" i="5" s="1"/>
  <c r="BB34" i="5"/>
  <c r="A8" i="6"/>
  <c r="CG33" i="5"/>
  <c r="CF34" i="5"/>
  <c r="CE35" i="5"/>
  <c r="CD36" i="5" s="1"/>
  <c r="CA32" i="5"/>
  <c r="BZ33" i="5" s="1"/>
  <c r="CB33" i="5" s="1"/>
  <c r="CC32" i="5"/>
  <c r="B34" i="5"/>
  <c r="B9" i="6" s="1"/>
  <c r="L20" i="2"/>
  <c r="M20" i="2" s="1"/>
  <c r="L19" i="2"/>
  <c r="M19" i="2" s="1"/>
  <c r="L11" i="2"/>
  <c r="M11" i="2" s="1"/>
  <c r="L10" i="2"/>
  <c r="M10" i="2" s="1"/>
  <c r="L8" i="2"/>
  <c r="M8" i="2" s="1"/>
  <c r="L7" i="2"/>
  <c r="M7" i="2" s="1"/>
  <c r="L6" i="2"/>
  <c r="M6" i="2" s="1"/>
  <c r="L5" i="2"/>
  <c r="M5" i="2" s="1"/>
  <c r="L4" i="2"/>
  <c r="M4" i="2" s="1"/>
  <c r="L3" i="2"/>
  <c r="M3" i="2" s="1"/>
  <c r="L2" i="2"/>
  <c r="M2" i="2" s="1"/>
  <c r="C26" i="1" s="1"/>
  <c r="M18" i="2"/>
  <c r="M17" i="2"/>
  <c r="M16" i="2"/>
  <c r="M15" i="2"/>
  <c r="M14" i="2"/>
  <c r="M13" i="2"/>
  <c r="M12" i="2"/>
  <c r="C27" i="1" s="1"/>
  <c r="J18" i="2"/>
  <c r="J17" i="2"/>
  <c r="J16" i="2"/>
  <c r="J15" i="2"/>
  <c r="J12" i="2"/>
  <c r="J14" i="2"/>
  <c r="J13" i="2"/>
  <c r="K11" i="2"/>
  <c r="K10" i="2"/>
  <c r="J11" i="2"/>
  <c r="J10" i="2"/>
  <c r="K8" i="2"/>
  <c r="J8" i="2"/>
  <c r="J7" i="2"/>
  <c r="J6" i="2"/>
  <c r="J5" i="2"/>
  <c r="J4" i="2"/>
  <c r="J3" i="2"/>
  <c r="J2" i="2"/>
  <c r="BR69" i="5" l="1"/>
  <c r="AZ35" i="5"/>
  <c r="BA36" i="5" s="1"/>
  <c r="BB35" i="5"/>
  <c r="A9" i="6"/>
  <c r="CG34" i="5"/>
  <c r="CF35" i="5"/>
  <c r="CG35" i="5" s="1"/>
  <c r="CA33" i="5"/>
  <c r="BZ34" i="5" s="1"/>
  <c r="CB34" i="5" s="1"/>
  <c r="CC33" i="5"/>
  <c r="B35" i="5"/>
  <c r="B10" i="6" s="1"/>
  <c r="H8" i="2"/>
  <c r="BR70" i="5" l="1"/>
  <c r="AZ36" i="5"/>
  <c r="BA37" i="5" s="1"/>
  <c r="BB36" i="5"/>
  <c r="A10" i="6"/>
  <c r="CF36" i="5"/>
  <c r="CG36" i="5" s="1"/>
  <c r="CE36" i="5"/>
  <c r="CD37" i="5" s="1"/>
  <c r="CA34" i="5"/>
  <c r="BZ35" i="5" s="1"/>
  <c r="CB35" i="5" s="1"/>
  <c r="CC34" i="5"/>
  <c r="B36" i="5"/>
  <c r="B11" i="6" s="1"/>
  <c r="B37" i="11"/>
  <c r="B38" i="11"/>
  <c r="B39" i="11"/>
  <c r="B40" i="11"/>
  <c r="B41" i="11"/>
  <c r="B42" i="11"/>
  <c r="B43" i="11"/>
  <c r="B44" i="11"/>
  <c r="B45" i="11"/>
  <c r="B36" i="11"/>
  <c r="B34" i="11"/>
  <c r="B33" i="11"/>
  <c r="B32" i="11"/>
  <c r="B31" i="11"/>
  <c r="B30" i="11"/>
  <c r="B29" i="11"/>
  <c r="B28" i="11"/>
  <c r="B27" i="11"/>
  <c r="B26" i="11"/>
  <c r="B25" i="11"/>
  <c r="B23" i="11"/>
  <c r="B22" i="11"/>
  <c r="B16" i="11"/>
  <c r="B15" i="11"/>
  <c r="B14" i="11"/>
  <c r="B13" i="11"/>
  <c r="BR71" i="5" l="1"/>
  <c r="AZ37" i="5"/>
  <c r="BA38" i="5" s="1"/>
  <c r="BB37" i="5"/>
  <c r="A11" i="6"/>
  <c r="CF37" i="5"/>
  <c r="CA35" i="5"/>
  <c r="BZ36" i="5" s="1"/>
  <c r="CB36" i="5" s="1"/>
  <c r="CC35" i="5"/>
  <c r="B37" i="5"/>
  <c r="B12" i="6" s="1"/>
  <c r="J5" i="11"/>
  <c r="U5" i="11"/>
  <c r="W5" i="11"/>
  <c r="R5" i="11"/>
  <c r="Z5" i="11"/>
  <c r="K5" i="11"/>
  <c r="O5" i="11"/>
  <c r="C5" i="11"/>
  <c r="S5" i="11"/>
  <c r="G5" i="11"/>
  <c r="AA5" i="11"/>
  <c r="L5" i="11"/>
  <c r="D5" i="11"/>
  <c r="T5" i="11"/>
  <c r="X5" i="11"/>
  <c r="F5" i="11"/>
  <c r="AB5" i="11"/>
  <c r="E5" i="11"/>
  <c r="N5" i="11"/>
  <c r="I5" i="11"/>
  <c r="P5" i="11"/>
  <c r="M5" i="11"/>
  <c r="V5" i="11"/>
  <c r="Q5" i="11"/>
  <c r="Y5" i="11"/>
  <c r="H43" i="11"/>
  <c r="H42" i="11"/>
  <c r="BR72" i="5" l="1"/>
  <c r="AZ38" i="5"/>
  <c r="BA39" i="5" s="1"/>
  <c r="BB38" i="5"/>
  <c r="H5" i="11"/>
  <c r="A12" i="6"/>
  <c r="CG37" i="5"/>
  <c r="CE37" i="5"/>
  <c r="CD38" i="5" s="1"/>
  <c r="CF38" i="5" s="1"/>
  <c r="CC36" i="5"/>
  <c r="B38" i="5"/>
  <c r="B13" i="6" s="1"/>
  <c r="CA36" i="5"/>
  <c r="BZ37" i="5" s="1"/>
  <c r="CB37" i="5" s="1"/>
  <c r="V3" i="11"/>
  <c r="U6" i="11" s="1"/>
  <c r="X3" i="11"/>
  <c r="W6" i="11" s="1"/>
  <c r="AB3" i="11"/>
  <c r="AA7" i="11" s="1"/>
  <c r="AB7" i="11" s="1"/>
  <c r="C29" i="1" s="1"/>
  <c r="BR73" i="5" l="1"/>
  <c r="AZ39" i="5"/>
  <c r="BA40" i="5" s="1"/>
  <c r="BB39" i="5"/>
  <c r="A13" i="6"/>
  <c r="CA37" i="5"/>
  <c r="BZ38" i="5" s="1"/>
  <c r="CB38" i="5" s="1"/>
  <c r="CC37" i="5"/>
  <c r="B39" i="5"/>
  <c r="B14" i="6" s="1"/>
  <c r="O7" i="11"/>
  <c r="O10" i="11"/>
  <c r="P10" i="11" s="1"/>
  <c r="I6" i="11"/>
  <c r="I9" i="11"/>
  <c r="I10" i="11"/>
  <c r="M7" i="11"/>
  <c r="M10" i="11"/>
  <c r="N10" i="11" s="1"/>
  <c r="Y3" i="11"/>
  <c r="Y6" i="11" s="1"/>
  <c r="S3" i="11"/>
  <c r="S6" i="11" s="1"/>
  <c r="Q3" i="11"/>
  <c r="Q6" i="11" s="1"/>
  <c r="E15" i="1" s="1"/>
  <c r="AL25" i="2" l="1"/>
  <c r="BR74" i="5"/>
  <c r="AZ40" i="5"/>
  <c r="BA41" i="5" s="1"/>
  <c r="BB40" i="5"/>
  <c r="A14" i="6"/>
  <c r="E11" i="1"/>
  <c r="CG38" i="5"/>
  <c r="CE38" i="5"/>
  <c r="CD39" i="5" s="1"/>
  <c r="CF39" i="5" s="1"/>
  <c r="CA38" i="5"/>
  <c r="BZ39" i="5" s="1"/>
  <c r="CB39" i="5" s="1"/>
  <c r="CC38" i="5"/>
  <c r="B40" i="5"/>
  <c r="B15" i="6" s="1"/>
  <c r="P7" i="11"/>
  <c r="E14" i="1"/>
  <c r="N7" i="11"/>
  <c r="E13" i="1"/>
  <c r="C6" i="11"/>
  <c r="E10" i="11" s="1"/>
  <c r="C9" i="11"/>
  <c r="E9" i="11" s="1"/>
  <c r="BR75" i="5" l="1"/>
  <c r="AZ41" i="5"/>
  <c r="BA42" i="5" s="1"/>
  <c r="BB41" i="5"/>
  <c r="P4" i="2"/>
  <c r="P22" i="2"/>
  <c r="P17" i="2"/>
  <c r="P7" i="2"/>
  <c r="P25" i="2"/>
  <c r="Q25" i="2" s="1"/>
  <c r="P16" i="2"/>
  <c r="AC25" i="2"/>
  <c r="P12" i="2"/>
  <c r="P18" i="2"/>
  <c r="P10" i="2"/>
  <c r="P20" i="2"/>
  <c r="P13" i="2"/>
  <c r="P21" i="2"/>
  <c r="P6" i="2"/>
  <c r="P14" i="2"/>
  <c r="P9" i="2"/>
  <c r="W25" i="2"/>
  <c r="AF25" i="2"/>
  <c r="P24" i="2"/>
  <c r="P2" i="2"/>
  <c r="T25" i="2"/>
  <c r="Z25" i="2"/>
  <c r="P5" i="2"/>
  <c r="P15" i="2"/>
  <c r="AI25" i="2"/>
  <c r="P23" i="2"/>
  <c r="P3" i="2"/>
  <c r="P11" i="2"/>
  <c r="P19" i="2"/>
  <c r="P8" i="2"/>
  <c r="AA74" i="7"/>
  <c r="AA37" i="7"/>
  <c r="C24" i="1"/>
  <c r="A15" i="6"/>
  <c r="CA39" i="5"/>
  <c r="BZ40" i="5" s="1"/>
  <c r="CB40" i="5" s="1"/>
  <c r="CC39" i="5"/>
  <c r="B41" i="5"/>
  <c r="B16" i="6" s="1"/>
  <c r="E7" i="11"/>
  <c r="F7" i="11" s="1"/>
  <c r="F10" i="11"/>
  <c r="G9" i="11"/>
  <c r="F9" i="11"/>
  <c r="C25" i="1"/>
  <c r="K6" i="11"/>
  <c r="E8" i="1"/>
  <c r="G10" i="11"/>
  <c r="K10" i="11"/>
  <c r="G6" i="11"/>
  <c r="K9" i="11"/>
  <c r="D25" i="4"/>
  <c r="D24" i="4"/>
  <c r="D19" i="4"/>
  <c r="D23" i="4"/>
  <c r="D22" i="4"/>
  <c r="D21" i="4"/>
  <c r="D20" i="4"/>
  <c r="D9" i="4"/>
  <c r="D8" i="4"/>
  <c r="D7" i="4"/>
  <c r="D6" i="4"/>
  <c r="D5" i="4"/>
  <c r="D4" i="4"/>
  <c r="D3" i="4"/>
  <c r="D2" i="4"/>
  <c r="BR76" i="5" l="1"/>
  <c r="AZ42" i="5"/>
  <c r="BA43" i="5" s="1"/>
  <c r="BB42" i="5"/>
  <c r="W22" i="2"/>
  <c r="W23" i="2"/>
  <c r="W9" i="2"/>
  <c r="O23" i="2"/>
  <c r="Q23" i="2" s="1"/>
  <c r="O22" i="2"/>
  <c r="Q22" i="2" s="1"/>
  <c r="AC22" i="2"/>
  <c r="AL22" i="2"/>
  <c r="AI9" i="2"/>
  <c r="AL23" i="2"/>
  <c r="AF22" i="2"/>
  <c r="AL9" i="2"/>
  <c r="Z23" i="2"/>
  <c r="AI23" i="2"/>
  <c r="Z22" i="2"/>
  <c r="Z9" i="2"/>
  <c r="AI22" i="2"/>
  <c r="AC9" i="2"/>
  <c r="AF23" i="2"/>
  <c r="AF9" i="2"/>
  <c r="AC23" i="2"/>
  <c r="T22" i="2"/>
  <c r="T9" i="2"/>
  <c r="T23" i="2"/>
  <c r="O37" i="7"/>
  <c r="O74" i="7"/>
  <c r="X74" i="7"/>
  <c r="X37" i="7"/>
  <c r="L74" i="7"/>
  <c r="L37" i="7"/>
  <c r="I37" i="7"/>
  <c r="I74" i="7"/>
  <c r="F37" i="7"/>
  <c r="F74" i="7"/>
  <c r="U37" i="7"/>
  <c r="U74" i="7"/>
  <c r="R74" i="7"/>
  <c r="R37" i="7"/>
  <c r="E9" i="1"/>
  <c r="E10" i="1"/>
  <c r="A16" i="6"/>
  <c r="O9" i="2"/>
  <c r="Q9" i="2" s="1"/>
  <c r="E12" i="1"/>
  <c r="CE39" i="5"/>
  <c r="CD40" i="5" s="1"/>
  <c r="CF40" i="5" s="1"/>
  <c r="CG39" i="5"/>
  <c r="CA40" i="5"/>
  <c r="BZ41" i="5" s="1"/>
  <c r="CB41" i="5" s="1"/>
  <c r="CC40" i="5"/>
  <c r="B42" i="5"/>
  <c r="B17" i="6" s="1"/>
  <c r="C3" i="2"/>
  <c r="C4" i="2"/>
  <c r="C5" i="2"/>
  <c r="C6" i="2"/>
  <c r="C7" i="2"/>
  <c r="C8" i="2"/>
  <c r="C10" i="2"/>
  <c r="C11" i="2"/>
  <c r="C12" i="2"/>
  <c r="C13" i="2"/>
  <c r="C14" i="2"/>
  <c r="C19" i="2"/>
  <c r="C15" i="2"/>
  <c r="C16" i="2"/>
  <c r="C17" i="2"/>
  <c r="C20" i="2"/>
  <c r="C21" i="2"/>
  <c r="C18" i="2"/>
  <c r="C24" i="2"/>
  <c r="O24" i="2" s="1"/>
  <c r="C25" i="2"/>
  <c r="C2" i="2"/>
  <c r="BR77" i="5" l="1"/>
  <c r="AZ43" i="5"/>
  <c r="BA44" i="5" s="1"/>
  <c r="BB43" i="5"/>
  <c r="AF11" i="2"/>
  <c r="AI11" i="2"/>
  <c r="W11" i="2"/>
  <c r="L71" i="7" s="1"/>
  <c r="T11" i="2"/>
  <c r="I71" i="7" s="1"/>
  <c r="AL11" i="2"/>
  <c r="AA71" i="7" s="1"/>
  <c r="Z11" i="2"/>
  <c r="O71" i="7" s="1"/>
  <c r="AC11" i="2"/>
  <c r="R71" i="7" s="1"/>
  <c r="AF20" i="2"/>
  <c r="U72" i="7" s="1"/>
  <c r="AI20" i="2"/>
  <c r="W20" i="2"/>
  <c r="T20" i="2"/>
  <c r="I72" i="7" s="1"/>
  <c r="AL20" i="2"/>
  <c r="AA72" i="7" s="1"/>
  <c r="Z20" i="2"/>
  <c r="AC20" i="2"/>
  <c r="R72" i="7" s="1"/>
  <c r="AL7" i="2"/>
  <c r="AA59" i="7" s="1"/>
  <c r="Z7" i="2"/>
  <c r="O59" i="7" s="1"/>
  <c r="AC7" i="2"/>
  <c r="R59" i="7" s="1"/>
  <c r="AI7" i="2"/>
  <c r="AF7" i="2"/>
  <c r="U59" i="7" s="1"/>
  <c r="W7" i="2"/>
  <c r="L59" i="7" s="1"/>
  <c r="T7" i="2"/>
  <c r="I59" i="7" s="1"/>
  <c r="AI10" i="2"/>
  <c r="W10" i="2"/>
  <c r="L51" i="7" s="1"/>
  <c r="T10" i="2"/>
  <c r="I51" i="7" s="1"/>
  <c r="AL10" i="2"/>
  <c r="Z10" i="2"/>
  <c r="AC10" i="2"/>
  <c r="AF10" i="2"/>
  <c r="AL15" i="2"/>
  <c r="AA68" i="7" s="1"/>
  <c r="Z15" i="2"/>
  <c r="O68" i="7" s="1"/>
  <c r="W15" i="2"/>
  <c r="L31" i="7" s="1"/>
  <c r="AC15" i="2"/>
  <c r="AF15" i="2"/>
  <c r="AI15" i="2"/>
  <c r="T15" i="2"/>
  <c r="I68" i="7" s="1"/>
  <c r="AF19" i="2"/>
  <c r="U70" i="7" s="1"/>
  <c r="AI19" i="2"/>
  <c r="W19" i="2"/>
  <c r="L70" i="7" s="1"/>
  <c r="T19" i="2"/>
  <c r="AL19" i="2"/>
  <c r="Z19" i="2"/>
  <c r="AC19" i="2"/>
  <c r="T6" i="2"/>
  <c r="I58" i="7" s="1"/>
  <c r="AC6" i="2"/>
  <c r="R58" i="7" s="1"/>
  <c r="AF6" i="2"/>
  <c r="U58" i="7" s="1"/>
  <c r="AI6" i="2"/>
  <c r="X58" i="7" s="1"/>
  <c r="W6" i="2"/>
  <c r="L58" i="7" s="1"/>
  <c r="AL6" i="2"/>
  <c r="AA58" i="7" s="1"/>
  <c r="Z6" i="2"/>
  <c r="AI17" i="2"/>
  <c r="W17" i="2"/>
  <c r="L29" i="7" s="1"/>
  <c r="AF17" i="2"/>
  <c r="U66" i="7" s="1"/>
  <c r="T17" i="2"/>
  <c r="I66" i="7" s="1"/>
  <c r="AL17" i="2"/>
  <c r="AA66" i="7" s="1"/>
  <c r="Z17" i="2"/>
  <c r="O66" i="7" s="1"/>
  <c r="AC17" i="2"/>
  <c r="R66" i="7" s="1"/>
  <c r="AL8" i="2"/>
  <c r="AC8" i="2"/>
  <c r="T8" i="2"/>
  <c r="Z8" i="2"/>
  <c r="AF8" i="2"/>
  <c r="AF26" i="2" s="1"/>
  <c r="W8" i="2"/>
  <c r="AI8" i="2"/>
  <c r="AC14" i="2"/>
  <c r="R67" i="7" s="1"/>
  <c r="AF14" i="2"/>
  <c r="U30" i="7" s="1"/>
  <c r="T14" i="2"/>
  <c r="AI14" i="2"/>
  <c r="W14" i="2"/>
  <c r="L30" i="7" s="1"/>
  <c r="AL14" i="2"/>
  <c r="Z14" i="2"/>
  <c r="AC5" i="2"/>
  <c r="AF5" i="2"/>
  <c r="AL5" i="2"/>
  <c r="AI5" i="2"/>
  <c r="X20" i="7" s="1"/>
  <c r="W5" i="2"/>
  <c r="L13" i="7" s="1"/>
  <c r="Z5" i="2"/>
  <c r="T5" i="2"/>
  <c r="I20" i="7" s="1"/>
  <c r="T16" i="2"/>
  <c r="I8" i="7" s="1"/>
  <c r="AL16" i="2"/>
  <c r="Z16" i="2"/>
  <c r="AC16" i="2"/>
  <c r="AF16" i="2"/>
  <c r="AI16" i="2"/>
  <c r="W16" i="2"/>
  <c r="L15" i="7" s="1"/>
  <c r="T2" i="2"/>
  <c r="I54" i="7" s="1"/>
  <c r="AL2" i="2"/>
  <c r="AA54" i="7" s="1"/>
  <c r="Z2" i="2"/>
  <c r="O54" i="7" s="1"/>
  <c r="AC2" i="2"/>
  <c r="R54" i="7" s="1"/>
  <c r="AF2" i="2"/>
  <c r="U54" i="7" s="1"/>
  <c r="AI2" i="2"/>
  <c r="X54" i="7" s="1"/>
  <c r="W2" i="2"/>
  <c r="L10" i="7" s="1"/>
  <c r="AC13" i="2"/>
  <c r="R53" i="7" s="1"/>
  <c r="AF13" i="2"/>
  <c r="AI13" i="2"/>
  <c r="W13" i="2"/>
  <c r="L61" i="7" s="1"/>
  <c r="T13" i="2"/>
  <c r="I9" i="7" s="1"/>
  <c r="AL13" i="2"/>
  <c r="AA53" i="7" s="1"/>
  <c r="Z13" i="2"/>
  <c r="AF4" i="2"/>
  <c r="AI4" i="2"/>
  <c r="W4" i="2"/>
  <c r="T4" i="2"/>
  <c r="AL4" i="2"/>
  <c r="Z4" i="2"/>
  <c r="AC4" i="2"/>
  <c r="AI18" i="2"/>
  <c r="W18" i="2"/>
  <c r="L63" i="7" s="1"/>
  <c r="T18" i="2"/>
  <c r="I12" i="7" s="1"/>
  <c r="AL18" i="2"/>
  <c r="Z18" i="2"/>
  <c r="O26" i="7" s="1"/>
  <c r="AC18" i="2"/>
  <c r="AF18" i="2"/>
  <c r="O21" i="2"/>
  <c r="Q21" i="2" s="1"/>
  <c r="AC21" i="2"/>
  <c r="Z21" i="2"/>
  <c r="AF21" i="2"/>
  <c r="U73" i="7" s="1"/>
  <c r="AI21" i="2"/>
  <c r="W21" i="2"/>
  <c r="L73" i="7" s="1"/>
  <c r="T21" i="2"/>
  <c r="I73" i="7" s="1"/>
  <c r="AL21" i="2"/>
  <c r="AF12" i="2"/>
  <c r="AI12" i="2"/>
  <c r="W12" i="2"/>
  <c r="T12" i="2"/>
  <c r="AL12" i="2"/>
  <c r="Z12" i="2"/>
  <c r="AC12" i="2"/>
  <c r="AF3" i="2"/>
  <c r="AI3" i="2"/>
  <c r="W3" i="2"/>
  <c r="T3" i="2"/>
  <c r="AL3" i="2"/>
  <c r="Z3" i="2"/>
  <c r="AC3" i="2"/>
  <c r="O15" i="2"/>
  <c r="Q15" i="2" s="1"/>
  <c r="F31" i="7" s="1"/>
  <c r="O13" i="2"/>
  <c r="Q13" i="2" s="1"/>
  <c r="F9" i="7" s="1"/>
  <c r="O12" i="2"/>
  <c r="Q12" i="2" s="1"/>
  <c r="X59" i="7"/>
  <c r="O4" i="2"/>
  <c r="Q4" i="2" s="1"/>
  <c r="O2" i="2"/>
  <c r="Q2" i="2" s="1"/>
  <c r="F24" i="7" s="1"/>
  <c r="O18" i="2"/>
  <c r="Q18" i="2" s="1"/>
  <c r="F5" i="7" s="1"/>
  <c r="A17" i="6"/>
  <c r="CG40" i="5"/>
  <c r="CE40" i="5"/>
  <c r="CD41" i="5" s="1"/>
  <c r="CF41" i="5" s="1"/>
  <c r="CA41" i="5"/>
  <c r="BZ42" i="5" s="1"/>
  <c r="CB42" i="5" s="1"/>
  <c r="CC41" i="5"/>
  <c r="B43" i="5"/>
  <c r="B18" i="6" s="1"/>
  <c r="X72" i="7"/>
  <c r="O14" i="2"/>
  <c r="Q14" i="2" s="1"/>
  <c r="F67" i="7" s="1"/>
  <c r="O6" i="2"/>
  <c r="Q6" i="2" s="1"/>
  <c r="F58" i="7" s="1"/>
  <c r="U71" i="7"/>
  <c r="O20" i="2"/>
  <c r="Q20" i="2" s="1"/>
  <c r="F72" i="7" s="1"/>
  <c r="O10" i="2"/>
  <c r="Q10" i="2" s="1"/>
  <c r="F51" i="7" s="1"/>
  <c r="O16" i="2"/>
  <c r="Q16" i="2" s="1"/>
  <c r="F22" i="7" s="1"/>
  <c r="O7" i="2"/>
  <c r="Q7" i="2" s="1"/>
  <c r="F59" i="7" s="1"/>
  <c r="X71" i="7"/>
  <c r="O3" i="2"/>
  <c r="Q3" i="2" s="1"/>
  <c r="R70" i="7"/>
  <c r="O19" i="2"/>
  <c r="Q19" i="2" s="1"/>
  <c r="F70" i="7" s="1"/>
  <c r="O5" i="2"/>
  <c r="Q5" i="2" s="1"/>
  <c r="F6" i="7" s="1"/>
  <c r="I30" i="7"/>
  <c r="O11" i="2"/>
  <c r="Q11" i="2" s="1"/>
  <c r="F71" i="7" s="1"/>
  <c r="O58" i="7"/>
  <c r="O17" i="2"/>
  <c r="Q17" i="2" s="1"/>
  <c r="F29" i="7" s="1"/>
  <c r="O8" i="2"/>
  <c r="Q8" i="2" s="1"/>
  <c r="L35" i="7"/>
  <c r="L72" i="7"/>
  <c r="I31" i="7" l="1"/>
  <c r="U67" i="7"/>
  <c r="X57" i="7"/>
  <c r="BR78" i="5"/>
  <c r="AZ44" i="5"/>
  <c r="BA45" i="5" s="1"/>
  <c r="BB44" i="5"/>
  <c r="X50" i="7"/>
  <c r="X6" i="7"/>
  <c r="I21" i="7"/>
  <c r="X13" i="7"/>
  <c r="I65" i="7"/>
  <c r="I28" i="7"/>
  <c r="O63" i="7"/>
  <c r="I14" i="7"/>
  <c r="L33" i="7"/>
  <c r="I7" i="7"/>
  <c r="O49" i="7"/>
  <c r="O56" i="7"/>
  <c r="O19" i="7"/>
  <c r="O12" i="7"/>
  <c r="O5" i="7"/>
  <c r="L8" i="7"/>
  <c r="U29" i="7"/>
  <c r="R34" i="7"/>
  <c r="R16" i="7"/>
  <c r="R61" i="7"/>
  <c r="X64" i="7"/>
  <c r="R23" i="7"/>
  <c r="R9" i="7"/>
  <c r="L54" i="7"/>
  <c r="X27" i="7"/>
  <c r="L22" i="7"/>
  <c r="L24" i="7"/>
  <c r="L60" i="7"/>
  <c r="L17" i="7"/>
  <c r="L52" i="7"/>
  <c r="AA23" i="7"/>
  <c r="AA16" i="7"/>
  <c r="AA9" i="7"/>
  <c r="AA61" i="7"/>
  <c r="AA33" i="7"/>
  <c r="AA70" i="7"/>
  <c r="AA30" i="7"/>
  <c r="AA67" i="7"/>
  <c r="AA60" i="7"/>
  <c r="AA52" i="7"/>
  <c r="AA64" i="7"/>
  <c r="AA50" i="7"/>
  <c r="AA57" i="7"/>
  <c r="AA51" i="7"/>
  <c r="AA65" i="7"/>
  <c r="AA36" i="7"/>
  <c r="AA73" i="7"/>
  <c r="AA56" i="7"/>
  <c r="AA49" i="7"/>
  <c r="AA63" i="7"/>
  <c r="X29" i="7"/>
  <c r="X66" i="7"/>
  <c r="X61" i="7"/>
  <c r="X53" i="7"/>
  <c r="X60" i="7"/>
  <c r="X52" i="7"/>
  <c r="X56" i="7"/>
  <c r="X63" i="7"/>
  <c r="X49" i="7"/>
  <c r="X33" i="7"/>
  <c r="X70" i="7"/>
  <c r="X36" i="7"/>
  <c r="X73" i="7"/>
  <c r="X31" i="7"/>
  <c r="X68" i="7"/>
  <c r="X30" i="7"/>
  <c r="X67" i="7"/>
  <c r="X51" i="7"/>
  <c r="X65" i="7"/>
  <c r="U60" i="7"/>
  <c r="U52" i="7"/>
  <c r="U53" i="7"/>
  <c r="U61" i="7"/>
  <c r="U56" i="7"/>
  <c r="U63" i="7"/>
  <c r="U49" i="7"/>
  <c r="U31" i="7"/>
  <c r="U68" i="7"/>
  <c r="U64" i="7"/>
  <c r="U50" i="7"/>
  <c r="U57" i="7"/>
  <c r="U51" i="7"/>
  <c r="U65" i="7"/>
  <c r="U48" i="7"/>
  <c r="U55" i="7"/>
  <c r="U62" i="7"/>
  <c r="R49" i="7"/>
  <c r="R56" i="7"/>
  <c r="R63" i="7"/>
  <c r="R52" i="7"/>
  <c r="R60" i="7"/>
  <c r="R65" i="7"/>
  <c r="R51" i="7"/>
  <c r="R31" i="7"/>
  <c r="R68" i="7"/>
  <c r="R57" i="7"/>
  <c r="R50" i="7"/>
  <c r="R64" i="7"/>
  <c r="R36" i="7"/>
  <c r="R73" i="7"/>
  <c r="O53" i="7"/>
  <c r="O61" i="7"/>
  <c r="O33" i="7"/>
  <c r="O70" i="7"/>
  <c r="O30" i="7"/>
  <c r="O67" i="7"/>
  <c r="O60" i="7"/>
  <c r="O52" i="7"/>
  <c r="O35" i="7"/>
  <c r="O72" i="7"/>
  <c r="O57" i="7"/>
  <c r="O64" i="7"/>
  <c r="O50" i="7"/>
  <c r="O65" i="7"/>
  <c r="O51" i="7"/>
  <c r="O36" i="7"/>
  <c r="O73" i="7"/>
  <c r="AA13" i="7"/>
  <c r="AA20" i="7"/>
  <c r="AA27" i="7"/>
  <c r="AA6" i="7"/>
  <c r="AA17" i="7"/>
  <c r="AA24" i="7"/>
  <c r="AA10" i="7"/>
  <c r="AA21" i="7"/>
  <c r="AA28" i="7"/>
  <c r="AA7" i="7"/>
  <c r="AA14" i="7"/>
  <c r="AA34" i="7"/>
  <c r="AA35" i="7"/>
  <c r="AA5" i="7"/>
  <c r="AA12" i="7"/>
  <c r="AA19" i="7"/>
  <c r="AA26" i="7"/>
  <c r="AA29" i="7"/>
  <c r="AA31" i="7"/>
  <c r="AA22" i="7"/>
  <c r="AA8" i="7"/>
  <c r="AA15" i="7"/>
  <c r="X5" i="7"/>
  <c r="X12" i="7"/>
  <c r="X19" i="7"/>
  <c r="X26" i="7"/>
  <c r="X35" i="7"/>
  <c r="X17" i="7"/>
  <c r="X10" i="7"/>
  <c r="X24" i="7"/>
  <c r="X34" i="7"/>
  <c r="X21" i="7"/>
  <c r="X7" i="7"/>
  <c r="X28" i="7"/>
  <c r="X14" i="7"/>
  <c r="X23" i="7"/>
  <c r="X9" i="7"/>
  <c r="X16" i="7"/>
  <c r="I57" i="7"/>
  <c r="X15" i="7"/>
  <c r="X8" i="7"/>
  <c r="X22" i="7"/>
  <c r="U33" i="7"/>
  <c r="U34" i="7"/>
  <c r="U35" i="7"/>
  <c r="U16" i="7"/>
  <c r="U9" i="7"/>
  <c r="U23" i="7"/>
  <c r="U5" i="7"/>
  <c r="U12" i="7"/>
  <c r="U26" i="7"/>
  <c r="U19" i="7"/>
  <c r="U13" i="7"/>
  <c r="U6" i="7"/>
  <c r="U20" i="7"/>
  <c r="U27" i="7"/>
  <c r="U21" i="7"/>
  <c r="U7" i="7"/>
  <c r="U28" i="7"/>
  <c r="U14" i="7"/>
  <c r="U17" i="7"/>
  <c r="U10" i="7"/>
  <c r="U24" i="7"/>
  <c r="U4" i="7"/>
  <c r="U25" i="7"/>
  <c r="U11" i="7"/>
  <c r="U18" i="7"/>
  <c r="U36" i="7"/>
  <c r="U22" i="7"/>
  <c r="U8" i="7"/>
  <c r="U15" i="7"/>
  <c r="R17" i="7"/>
  <c r="R10" i="7"/>
  <c r="R24" i="7"/>
  <c r="R30" i="7"/>
  <c r="R35" i="7"/>
  <c r="R33" i="7"/>
  <c r="R13" i="7"/>
  <c r="R20" i="7"/>
  <c r="R27" i="7"/>
  <c r="R6" i="7"/>
  <c r="R5" i="7"/>
  <c r="R12" i="7"/>
  <c r="R26" i="7"/>
  <c r="R19" i="7"/>
  <c r="R15" i="7"/>
  <c r="R8" i="7"/>
  <c r="R22" i="7"/>
  <c r="R29" i="7"/>
  <c r="R21" i="7"/>
  <c r="R14" i="7"/>
  <c r="R28" i="7"/>
  <c r="R7" i="7"/>
  <c r="I6" i="7"/>
  <c r="O34" i="7"/>
  <c r="O10" i="7"/>
  <c r="O24" i="7"/>
  <c r="O17" i="7"/>
  <c r="F26" i="7"/>
  <c r="O29" i="7"/>
  <c r="O23" i="7"/>
  <c r="O9" i="7"/>
  <c r="O16" i="7"/>
  <c r="O22" i="7"/>
  <c r="O15" i="7"/>
  <c r="O8" i="7"/>
  <c r="O31" i="7"/>
  <c r="O6" i="7"/>
  <c r="O13" i="7"/>
  <c r="O27" i="7"/>
  <c r="O20" i="7"/>
  <c r="O14" i="7"/>
  <c r="O21" i="7"/>
  <c r="O28" i="7"/>
  <c r="O7" i="7"/>
  <c r="I27" i="7"/>
  <c r="I50" i="7"/>
  <c r="L6" i="7"/>
  <c r="I13" i="7"/>
  <c r="I64" i="7"/>
  <c r="L50" i="7"/>
  <c r="L64" i="7"/>
  <c r="L20" i="7"/>
  <c r="L27" i="7"/>
  <c r="L57" i="7"/>
  <c r="F56" i="7"/>
  <c r="AL26" i="2"/>
  <c r="AI26" i="2"/>
  <c r="L36" i="7"/>
  <c r="AC26" i="2"/>
  <c r="Z26" i="2"/>
  <c r="W26" i="2"/>
  <c r="T26" i="2"/>
  <c r="I62" i="7" s="1"/>
  <c r="Q26" i="2"/>
  <c r="F62" i="7" s="1"/>
  <c r="I17" i="7"/>
  <c r="I24" i="7"/>
  <c r="F68" i="7"/>
  <c r="I10" i="7"/>
  <c r="F17" i="7"/>
  <c r="F10" i="7"/>
  <c r="F54" i="7"/>
  <c r="F16" i="7"/>
  <c r="F23" i="7"/>
  <c r="F53" i="7"/>
  <c r="F61" i="7"/>
  <c r="F19" i="7"/>
  <c r="L68" i="7"/>
  <c r="F63" i="7"/>
  <c r="F12" i="7"/>
  <c r="F49" i="7"/>
  <c r="A18" i="6"/>
  <c r="CA42" i="5"/>
  <c r="BZ43" i="5" s="1"/>
  <c r="CB43" i="5" s="1"/>
  <c r="CC42" i="5"/>
  <c r="B44" i="5"/>
  <c r="B19" i="6" s="1"/>
  <c r="I33" i="7"/>
  <c r="I70" i="7"/>
  <c r="I22" i="7"/>
  <c r="I15" i="7"/>
  <c r="I60" i="7"/>
  <c r="I52" i="7"/>
  <c r="L56" i="7"/>
  <c r="L12" i="7"/>
  <c r="L49" i="7"/>
  <c r="L67" i="7"/>
  <c r="L28" i="7"/>
  <c r="I29" i="7"/>
  <c r="L14" i="7"/>
  <c r="L16" i="7"/>
  <c r="F34" i="7"/>
  <c r="F13" i="7"/>
  <c r="F64" i="7"/>
  <c r="L23" i="7"/>
  <c r="L65" i="7"/>
  <c r="L21" i="7"/>
  <c r="I34" i="7"/>
  <c r="I63" i="7"/>
  <c r="F66" i="7"/>
  <c r="I26" i="7"/>
  <c r="I5" i="7"/>
  <c r="I49" i="7"/>
  <c r="I19" i="7"/>
  <c r="I56" i="7"/>
  <c r="F15" i="7"/>
  <c r="F27" i="7"/>
  <c r="L26" i="7"/>
  <c r="F60" i="7"/>
  <c r="F20" i="7"/>
  <c r="L53" i="7"/>
  <c r="L19" i="7"/>
  <c r="F57" i="7"/>
  <c r="L9" i="7"/>
  <c r="L34" i="7"/>
  <c r="F8" i="7"/>
  <c r="F50" i="7"/>
  <c r="F52" i="7"/>
  <c r="L7" i="7"/>
  <c r="L5" i="7"/>
  <c r="I53" i="7"/>
  <c r="I36" i="7"/>
  <c r="I67" i="7"/>
  <c r="L66" i="7"/>
  <c r="I35" i="7"/>
  <c r="I61" i="7"/>
  <c r="F21" i="7"/>
  <c r="I23" i="7"/>
  <c r="F30" i="7"/>
  <c r="F65" i="7"/>
  <c r="I16" i="7"/>
  <c r="F28" i="7"/>
  <c r="F7" i="7"/>
  <c r="F14" i="7"/>
  <c r="F36" i="7"/>
  <c r="F73" i="7"/>
  <c r="F33" i="7"/>
  <c r="F35" i="7"/>
  <c r="BR79" i="5" l="1"/>
  <c r="AZ45" i="5"/>
  <c r="BA46" i="5" s="1"/>
  <c r="BB45" i="5"/>
  <c r="AA48" i="7"/>
  <c r="AA55" i="7"/>
  <c r="AA62" i="7"/>
  <c r="X48" i="7"/>
  <c r="X62" i="7"/>
  <c r="X55" i="7"/>
  <c r="R48" i="7"/>
  <c r="R55" i="7"/>
  <c r="R62" i="7"/>
  <c r="O48" i="7"/>
  <c r="O55" i="7"/>
  <c r="O62" i="7"/>
  <c r="L55" i="7"/>
  <c r="L62" i="7"/>
  <c r="L18" i="7"/>
  <c r="L48" i="7"/>
  <c r="AA4" i="7"/>
  <c r="AA25" i="7"/>
  <c r="AA11" i="7"/>
  <c r="AA18" i="7"/>
  <c r="X4" i="7"/>
  <c r="X11" i="7"/>
  <c r="X18" i="7"/>
  <c r="X25" i="7"/>
  <c r="R4" i="7"/>
  <c r="R11" i="7"/>
  <c r="R18" i="7"/>
  <c r="R25" i="7"/>
  <c r="O11" i="7"/>
  <c r="O4" i="7"/>
  <c r="O18" i="7"/>
  <c r="O25" i="7"/>
  <c r="L25" i="7"/>
  <c r="L4" i="7"/>
  <c r="L11" i="7"/>
  <c r="I48" i="7"/>
  <c r="I55" i="7"/>
  <c r="F48" i="7"/>
  <c r="F55" i="7"/>
  <c r="I18" i="7"/>
  <c r="I25" i="7"/>
  <c r="I4" i="7"/>
  <c r="I11" i="7"/>
  <c r="F18" i="7"/>
  <c r="F25" i="7"/>
  <c r="F4" i="7"/>
  <c r="F11" i="7"/>
  <c r="A19" i="6"/>
  <c r="CE41" i="5"/>
  <c r="CD42" i="5" s="1"/>
  <c r="CF42" i="5" s="1"/>
  <c r="CG41" i="5"/>
  <c r="CA43" i="5"/>
  <c r="BZ44" i="5" s="1"/>
  <c r="CB44" i="5" s="1"/>
  <c r="CC43" i="5"/>
  <c r="B45" i="5"/>
  <c r="B20" i="6" s="1"/>
  <c r="U76" i="7"/>
  <c r="U78" i="7" s="1"/>
  <c r="U80" i="7" s="1"/>
  <c r="U39" i="7"/>
  <c r="U41" i="7" s="1"/>
  <c r="U43" i="7" s="1"/>
  <c r="BR80" i="5" l="1"/>
  <c r="AZ46" i="5"/>
  <c r="BA47" i="5" s="1"/>
  <c r="BB46" i="5"/>
  <c r="R76" i="7"/>
  <c r="R78" i="7" s="1"/>
  <c r="R80" i="7" s="1"/>
  <c r="I76" i="7"/>
  <c r="I78" i="7" s="1"/>
  <c r="I80" i="7" s="1"/>
  <c r="F39" i="7"/>
  <c r="F41" i="7" s="1"/>
  <c r="F43" i="7" s="1"/>
  <c r="F76" i="7"/>
  <c r="F78" i="7" s="1"/>
  <c r="F80" i="7" s="1"/>
  <c r="F81" i="7" s="1"/>
  <c r="I39" i="7"/>
  <c r="I41" i="7" s="1"/>
  <c r="I43" i="7" s="1"/>
  <c r="AA76" i="7"/>
  <c r="AA78" i="7" s="1"/>
  <c r="AA80" i="7" s="1"/>
  <c r="X76" i="7"/>
  <c r="X78" i="7" s="1"/>
  <c r="X80" i="7" s="1"/>
  <c r="O76" i="7"/>
  <c r="O78" i="7" s="1"/>
  <c r="O80" i="7" s="1"/>
  <c r="L76" i="7"/>
  <c r="L78" i="7" s="1"/>
  <c r="L80" i="7" s="1"/>
  <c r="X39" i="7"/>
  <c r="X41" i="7" s="1"/>
  <c r="X43" i="7" s="1"/>
  <c r="R39" i="7"/>
  <c r="R41" i="7" s="1"/>
  <c r="R43" i="7" s="1"/>
  <c r="AA39" i="7"/>
  <c r="AA41" i="7" s="1"/>
  <c r="AA43" i="7" s="1"/>
  <c r="L39" i="7"/>
  <c r="L41" i="7" s="1"/>
  <c r="L43" i="7" s="1"/>
  <c r="O39" i="7"/>
  <c r="O41" i="7" s="1"/>
  <c r="O43" i="7" s="1"/>
  <c r="A20" i="6"/>
  <c r="CE42" i="5"/>
  <c r="CD43" i="5" s="1"/>
  <c r="CF43" i="5" s="1"/>
  <c r="CA44" i="5"/>
  <c r="BZ45" i="5" s="1"/>
  <c r="CB45" i="5" s="1"/>
  <c r="CC44" i="5"/>
  <c r="B46" i="5"/>
  <c r="B21" i="6" s="1"/>
  <c r="L44" i="7" l="1"/>
  <c r="V19" i="1" s="1"/>
  <c r="Y19" i="1" s="1"/>
  <c r="O44" i="7"/>
  <c r="BR81" i="5"/>
  <c r="AZ47" i="5"/>
  <c r="BA48" i="5" s="1"/>
  <c r="BB47" i="5"/>
  <c r="I44" i="7"/>
  <c r="V18" i="1" s="1"/>
  <c r="X44" i="7"/>
  <c r="V23" i="1" s="1"/>
  <c r="AA81" i="7"/>
  <c r="O25" i="1"/>
  <c r="F44" i="7"/>
  <c r="AA44" i="7"/>
  <c r="V24" i="1" s="1"/>
  <c r="R81" i="7"/>
  <c r="L81" i="7"/>
  <c r="O81" i="7"/>
  <c r="U44" i="7"/>
  <c r="V22" i="1" s="1"/>
  <c r="R44" i="7"/>
  <c r="V21" i="1" s="1"/>
  <c r="I81" i="7"/>
  <c r="X81" i="7"/>
  <c r="U81" i="7"/>
  <c r="V20" i="1"/>
  <c r="A21" i="6"/>
  <c r="CE43" i="5"/>
  <c r="CD44" i="5" s="1"/>
  <c r="CF44" i="5" s="1"/>
  <c r="CG42" i="5"/>
  <c r="CA45" i="5"/>
  <c r="BZ46" i="5" s="1"/>
  <c r="CB46" i="5" s="1"/>
  <c r="CC45" i="5"/>
  <c r="B47" i="5"/>
  <c r="B22" i="6" s="1"/>
  <c r="BR82" i="5" l="1"/>
  <c r="AZ48" i="5"/>
  <c r="BA49" i="5" s="1"/>
  <c r="BB48" i="5"/>
  <c r="Y22" i="1"/>
  <c r="Y24" i="1"/>
  <c r="Y23" i="1"/>
  <c r="Y20" i="1"/>
  <c r="Y21" i="1"/>
  <c r="Y18" i="1"/>
  <c r="X18" i="1"/>
  <c r="A22" i="6"/>
  <c r="CE44" i="5"/>
  <c r="CD45" i="5" s="1"/>
  <c r="CF45" i="5" s="1"/>
  <c r="CG43" i="5"/>
  <c r="CA46" i="5"/>
  <c r="BZ47" i="5" s="1"/>
  <c r="CB47" i="5" s="1"/>
  <c r="CC46" i="5"/>
  <c r="B48" i="5"/>
  <c r="B23" i="6" s="1"/>
  <c r="X24" i="1"/>
  <c r="X22" i="1"/>
  <c r="X21" i="1"/>
  <c r="X23" i="1"/>
  <c r="X20" i="1"/>
  <c r="BR83" i="5" l="1"/>
  <c r="AZ49" i="5"/>
  <c r="BA50" i="5" s="1"/>
  <c r="AZ50" i="5" s="1"/>
  <c r="BA51" i="5" s="1"/>
  <c r="BB49" i="5"/>
  <c r="A23" i="6"/>
  <c r="CE45" i="5"/>
  <c r="CD46" i="5" s="1"/>
  <c r="CF46" i="5" s="1"/>
  <c r="CG44" i="5"/>
  <c r="CA47" i="5"/>
  <c r="BZ48" i="5" s="1"/>
  <c r="CB48" i="5" s="1"/>
  <c r="CC47" i="5"/>
  <c r="B49" i="5"/>
  <c r="B24" i="6" s="1"/>
  <c r="BR84" i="5" l="1"/>
  <c r="AZ51" i="5"/>
  <c r="BA52" i="5" s="1"/>
  <c r="BB51" i="5"/>
  <c r="A24" i="6"/>
  <c r="CE46" i="5"/>
  <c r="CD47" i="5" s="1"/>
  <c r="CF47" i="5" s="1"/>
  <c r="CG45" i="5"/>
  <c r="B50" i="5"/>
  <c r="B25" i="6" s="1"/>
  <c r="CA48" i="5"/>
  <c r="BZ49" i="5" s="1"/>
  <c r="CB49" i="5" s="1"/>
  <c r="CC48" i="5"/>
  <c r="BR85" i="5" l="1"/>
  <c r="AZ52" i="5"/>
  <c r="BA53" i="5" s="1"/>
  <c r="BB52" i="5"/>
  <c r="A25" i="6"/>
  <c r="CE47" i="5"/>
  <c r="CD48" i="5" s="1"/>
  <c r="CF48" i="5" s="1"/>
  <c r="CG46" i="5"/>
  <c r="CA49" i="5"/>
  <c r="BZ50" i="5" s="1"/>
  <c r="CB50" i="5" s="1"/>
  <c r="CC49" i="5"/>
  <c r="B51" i="5"/>
  <c r="B26" i="6" s="1"/>
  <c r="BR86" i="5" l="1"/>
  <c r="AZ53" i="5"/>
  <c r="BA54" i="5" s="1"/>
  <c r="BB53" i="5"/>
  <c r="A26" i="6"/>
  <c r="CE48" i="5"/>
  <c r="CD49" i="5" s="1"/>
  <c r="CF49" i="5" s="1"/>
  <c r="CG47" i="5"/>
  <c r="CA50" i="5"/>
  <c r="BZ51" i="5" s="1"/>
  <c r="CB51" i="5" s="1"/>
  <c r="CC50" i="5"/>
  <c r="B52" i="5"/>
  <c r="B27" i="6" s="1"/>
  <c r="BR87" i="5" l="1"/>
  <c r="AZ54" i="5"/>
  <c r="BA55" i="5" s="1"/>
  <c r="BB54" i="5"/>
  <c r="A27" i="6"/>
  <c r="CE49" i="5"/>
  <c r="CD50" i="5" s="1"/>
  <c r="CF50" i="5" s="1"/>
  <c r="CG48" i="5"/>
  <c r="CA51" i="5"/>
  <c r="BZ52" i="5" s="1"/>
  <c r="CB52" i="5" s="1"/>
  <c r="CC51" i="5"/>
  <c r="B53" i="5"/>
  <c r="B28" i="6" s="1"/>
  <c r="BR88" i="5" l="1"/>
  <c r="AZ55" i="5"/>
  <c r="BA56" i="5" s="1"/>
  <c r="BB55" i="5"/>
  <c r="A28" i="6"/>
  <c r="CE50" i="5"/>
  <c r="CD51" i="5" s="1"/>
  <c r="CF51" i="5" s="1"/>
  <c r="CG49" i="5"/>
  <c r="CA52" i="5"/>
  <c r="BZ53" i="5" s="1"/>
  <c r="CB53" i="5" s="1"/>
  <c r="CC52" i="5"/>
  <c r="B54" i="5"/>
  <c r="B29" i="6" s="1"/>
  <c r="BR89" i="5" l="1"/>
  <c r="AZ56" i="5"/>
  <c r="BA57" i="5" s="1"/>
  <c r="BB56" i="5"/>
  <c r="A29" i="6"/>
  <c r="CE51" i="5"/>
  <c r="CD52" i="5" s="1"/>
  <c r="CF52" i="5" s="1"/>
  <c r="CG50" i="5"/>
  <c r="CA53" i="5"/>
  <c r="BZ54" i="5" s="1"/>
  <c r="CB54" i="5" s="1"/>
  <c r="CC53" i="5"/>
  <c r="B55" i="5"/>
  <c r="B30" i="6" s="1"/>
  <c r="BR90" i="5" l="1"/>
  <c r="AZ57" i="5"/>
  <c r="BA58" i="5" s="1"/>
  <c r="BB57" i="5"/>
  <c r="A30" i="6"/>
  <c r="CE52" i="5"/>
  <c r="CD53" i="5" s="1"/>
  <c r="CF53" i="5" s="1"/>
  <c r="CG51" i="5"/>
  <c r="CA54" i="5"/>
  <c r="BZ55" i="5" s="1"/>
  <c r="CB55" i="5" s="1"/>
  <c r="CC54" i="5"/>
  <c r="B56" i="5"/>
  <c r="B31" i="6" s="1"/>
  <c r="BR91" i="5" l="1"/>
  <c r="AZ58" i="5"/>
  <c r="BA59" i="5" s="1"/>
  <c r="BB58" i="5"/>
  <c r="A31" i="6"/>
  <c r="CE53" i="5"/>
  <c r="CD54" i="5" s="1"/>
  <c r="CF54" i="5" s="1"/>
  <c r="CG52" i="5"/>
  <c r="CA55" i="5"/>
  <c r="BZ56" i="5" s="1"/>
  <c r="CB56" i="5" s="1"/>
  <c r="CC55" i="5"/>
  <c r="B57" i="5"/>
  <c r="B32" i="6" s="1"/>
  <c r="BR92" i="5" l="1"/>
  <c r="AZ59" i="5"/>
  <c r="BA60" i="5" s="1"/>
  <c r="BB59" i="5"/>
  <c r="A32" i="6"/>
  <c r="CE54" i="5"/>
  <c r="CD55" i="5" s="1"/>
  <c r="CF55" i="5" s="1"/>
  <c r="CG53" i="5"/>
  <c r="CC56" i="5"/>
  <c r="B58" i="5"/>
  <c r="B33" i="6" s="1"/>
  <c r="CA56" i="5"/>
  <c r="BZ57" i="5" s="1"/>
  <c r="CB57" i="5" s="1"/>
  <c r="BR93" i="5" l="1"/>
  <c r="AZ60" i="5"/>
  <c r="BA61" i="5" s="1"/>
  <c r="BB60" i="5"/>
  <c r="A33" i="6"/>
  <c r="CE55" i="5"/>
  <c r="CD56" i="5" s="1"/>
  <c r="CF56" i="5" s="1"/>
  <c r="CG54" i="5"/>
  <c r="CC57" i="5"/>
  <c r="CA57" i="5"/>
  <c r="BZ58" i="5" s="1"/>
  <c r="CB58" i="5" s="1"/>
  <c r="B59" i="5"/>
  <c r="B34" i="6" s="1"/>
  <c r="BR94" i="5" l="1"/>
  <c r="AZ61" i="5"/>
  <c r="BA62" i="5" s="1"/>
  <c r="BB61" i="5"/>
  <c r="A34" i="6"/>
  <c r="CE56" i="5"/>
  <c r="CD57" i="5" s="1"/>
  <c r="CF57" i="5" s="1"/>
  <c r="CG55" i="5"/>
  <c r="CC58" i="5"/>
  <c r="B60" i="5"/>
  <c r="B35" i="6" s="1"/>
  <c r="CA58" i="5"/>
  <c r="BZ59" i="5" s="1"/>
  <c r="CB59" i="5" s="1"/>
  <c r="BR95" i="5" l="1"/>
  <c r="AZ62" i="5"/>
  <c r="BA63" i="5" s="1"/>
  <c r="BB62" i="5"/>
  <c r="A35" i="6"/>
  <c r="B61" i="5"/>
  <c r="B36" i="6" s="1"/>
  <c r="CE57" i="5"/>
  <c r="CD58" i="5" s="1"/>
  <c r="CF58" i="5" s="1"/>
  <c r="CG56" i="5"/>
  <c r="CC59" i="5"/>
  <c r="CA59" i="5"/>
  <c r="BZ60" i="5" s="1"/>
  <c r="CB60" i="5" s="1"/>
  <c r="BR96" i="5" l="1"/>
  <c r="AZ63" i="5"/>
  <c r="BA64" i="5" s="1"/>
  <c r="BB63" i="5"/>
  <c r="A36" i="6"/>
  <c r="B62" i="5"/>
  <c r="B37" i="6" s="1"/>
  <c r="CE58" i="5"/>
  <c r="CD59" i="5" s="1"/>
  <c r="CF59" i="5" s="1"/>
  <c r="CG57" i="5"/>
  <c r="CC60" i="5"/>
  <c r="BR97" i="5" l="1"/>
  <c r="AZ64" i="5"/>
  <c r="BA65" i="5" s="1"/>
  <c r="BB64" i="5"/>
  <c r="A37" i="6"/>
  <c r="B63" i="5"/>
  <c r="B38" i="6" s="1"/>
  <c r="CE59" i="5"/>
  <c r="CD60" i="5" s="1"/>
  <c r="CF60" i="5" s="1"/>
  <c r="CG58" i="5"/>
  <c r="CA60" i="5"/>
  <c r="BZ61" i="5" s="1"/>
  <c r="CB61" i="5" s="1"/>
  <c r="BR98" i="5" l="1"/>
  <c r="AZ65" i="5"/>
  <c r="BA66" i="5" s="1"/>
  <c r="BB65" i="5"/>
  <c r="A38" i="6"/>
  <c r="B64" i="5"/>
  <c r="B39" i="6" s="1"/>
  <c r="CE60" i="5"/>
  <c r="CD61" i="5" s="1"/>
  <c r="CF61" i="5" s="1"/>
  <c r="CG59" i="5"/>
  <c r="CC61" i="5"/>
  <c r="BR99" i="5" l="1"/>
  <c r="AZ66" i="5"/>
  <c r="BA67" i="5" s="1"/>
  <c r="BB66" i="5"/>
  <c r="A39" i="6"/>
  <c r="B65" i="5"/>
  <c r="B40" i="6" s="1"/>
  <c r="CE61" i="5"/>
  <c r="CD62" i="5" s="1"/>
  <c r="CF62" i="5" s="1"/>
  <c r="CG60" i="5"/>
  <c r="CA61" i="5"/>
  <c r="BZ62" i="5" s="1"/>
  <c r="CB62" i="5" s="1"/>
  <c r="BR100" i="5" l="1"/>
  <c r="AZ67" i="5"/>
  <c r="BA68" i="5" s="1"/>
  <c r="BB67" i="5"/>
  <c r="B66" i="5"/>
  <c r="B41" i="6" s="1"/>
  <c r="A40" i="6"/>
  <c r="CE62" i="5"/>
  <c r="CD63" i="5" s="1"/>
  <c r="CF63" i="5" s="1"/>
  <c r="CG61" i="5"/>
  <c r="CC62" i="5"/>
  <c r="BR101" i="5" l="1"/>
  <c r="AZ68" i="5"/>
  <c r="BA69" i="5" s="1"/>
  <c r="BB68" i="5"/>
  <c r="B67" i="5"/>
  <c r="B42" i="6" s="1"/>
  <c r="A41" i="6"/>
  <c r="CE63" i="5"/>
  <c r="CD64" i="5" s="1"/>
  <c r="CF64" i="5" s="1"/>
  <c r="CG62" i="5"/>
  <c r="CA62" i="5"/>
  <c r="BZ63" i="5" s="1"/>
  <c r="CB63" i="5" s="1"/>
  <c r="BR102" i="5" l="1"/>
  <c r="AZ69" i="5"/>
  <c r="BA70" i="5" s="1"/>
  <c r="BB69" i="5"/>
  <c r="B68" i="5"/>
  <c r="B43" i="6" s="1"/>
  <c r="A42" i="6"/>
  <c r="CE64" i="5"/>
  <c r="CD65" i="5" s="1"/>
  <c r="CF65" i="5" s="1"/>
  <c r="CG63" i="5"/>
  <c r="CC63" i="5"/>
  <c r="BR103" i="5" l="1"/>
  <c r="AZ70" i="5"/>
  <c r="BA71" i="5" s="1"/>
  <c r="BB70" i="5"/>
  <c r="B69" i="5"/>
  <c r="B44" i="6" s="1"/>
  <c r="A43" i="6"/>
  <c r="CE65" i="5"/>
  <c r="CD66" i="5" s="1"/>
  <c r="CF66" i="5" s="1"/>
  <c r="CG64" i="5"/>
  <c r="CA63" i="5"/>
  <c r="BZ64" i="5" s="1"/>
  <c r="CB64" i="5" s="1"/>
  <c r="BR104" i="5" l="1"/>
  <c r="AZ71" i="5"/>
  <c r="BA72" i="5" s="1"/>
  <c r="AZ72" i="5" s="1"/>
  <c r="BA73" i="5" s="1"/>
  <c r="BB71" i="5"/>
  <c r="B70" i="5"/>
  <c r="B45" i="6" s="1"/>
  <c r="A44" i="6"/>
  <c r="CE66" i="5"/>
  <c r="CD67" i="5" s="1"/>
  <c r="CF67" i="5" s="1"/>
  <c r="CG65" i="5"/>
  <c r="CC64" i="5"/>
  <c r="BR105" i="5" l="1"/>
  <c r="AZ73" i="5"/>
  <c r="BA74" i="5" s="1"/>
  <c r="BB73" i="5"/>
  <c r="A45" i="6"/>
  <c r="B71" i="5"/>
  <c r="B46" i="6" s="1"/>
  <c r="CE67" i="5"/>
  <c r="CD68" i="5" s="1"/>
  <c r="CF68" i="5" s="1"/>
  <c r="CG66" i="5"/>
  <c r="CA64" i="5"/>
  <c r="BZ65" i="5" s="1"/>
  <c r="CB65" i="5" s="1"/>
  <c r="BR106" i="5" l="1"/>
  <c r="AZ74" i="5"/>
  <c r="BA75" i="5" s="1"/>
  <c r="BB74" i="5"/>
  <c r="B72" i="5"/>
  <c r="B47" i="6" s="1"/>
  <c r="A46" i="6"/>
  <c r="CE68" i="5"/>
  <c r="CD69" i="5" s="1"/>
  <c r="CF69" i="5" s="1"/>
  <c r="CG67" i="5"/>
  <c r="CC65" i="5"/>
  <c r="BR107" i="5" l="1"/>
  <c r="AZ75" i="5"/>
  <c r="BA76" i="5" s="1"/>
  <c r="BB75" i="5"/>
  <c r="A47" i="6"/>
  <c r="B73" i="5"/>
  <c r="B48" i="6" s="1"/>
  <c r="CE69" i="5"/>
  <c r="CD70" i="5" s="1"/>
  <c r="CF70" i="5" s="1"/>
  <c r="CG68" i="5"/>
  <c r="CA65" i="5"/>
  <c r="BZ66" i="5" s="1"/>
  <c r="CB66" i="5" s="1"/>
  <c r="BR108" i="5" l="1"/>
  <c r="AZ76" i="5"/>
  <c r="BA77" i="5" s="1"/>
  <c r="BB76" i="5"/>
  <c r="B74" i="5"/>
  <c r="B49" i="6" s="1"/>
  <c r="A48" i="6"/>
  <c r="CE70" i="5"/>
  <c r="CD71" i="5" s="1"/>
  <c r="CF71" i="5" s="1"/>
  <c r="CG69" i="5"/>
  <c r="CC66" i="5"/>
  <c r="BR109" i="5" l="1"/>
  <c r="AZ77" i="5"/>
  <c r="BA78" i="5" s="1"/>
  <c r="BB77" i="5"/>
  <c r="B75" i="5"/>
  <c r="B50" i="6" s="1"/>
  <c r="A49" i="6"/>
  <c r="CE71" i="5"/>
  <c r="CD72" i="5" s="1"/>
  <c r="CF72" i="5" s="1"/>
  <c r="CG70" i="5"/>
  <c r="CA66" i="5"/>
  <c r="BZ67" i="5" s="1"/>
  <c r="CB67" i="5" s="1"/>
  <c r="BR110" i="5" l="1"/>
  <c r="AZ78" i="5"/>
  <c r="BA79" i="5" s="1"/>
  <c r="BB78" i="5"/>
  <c r="A50" i="6"/>
  <c r="B76" i="5"/>
  <c r="B51" i="6" s="1"/>
  <c r="CE72" i="5"/>
  <c r="CD73" i="5" s="1"/>
  <c r="CF73" i="5" s="1"/>
  <c r="CG71" i="5"/>
  <c r="CC67" i="5"/>
  <c r="BR111" i="5" l="1"/>
  <c r="AZ79" i="5"/>
  <c r="BA80" i="5" s="1"/>
  <c r="BB79" i="5"/>
  <c r="B77" i="5"/>
  <c r="B52" i="6" s="1"/>
  <c r="A51" i="6"/>
  <c r="CE73" i="5"/>
  <c r="CD74" i="5" s="1"/>
  <c r="CF74" i="5" s="1"/>
  <c r="CG72" i="5"/>
  <c r="CA67" i="5"/>
  <c r="BZ68" i="5" s="1"/>
  <c r="CB68" i="5" s="1"/>
  <c r="BR112" i="5" l="1"/>
  <c r="AZ80" i="5"/>
  <c r="BA81" i="5" s="1"/>
  <c r="BB80" i="5"/>
  <c r="B78" i="5"/>
  <c r="B53" i="6" s="1"/>
  <c r="A52" i="6"/>
  <c r="A53" i="6"/>
  <c r="B79" i="5"/>
  <c r="B54" i="6" s="1"/>
  <c r="CE74" i="5"/>
  <c r="CD75" i="5" s="1"/>
  <c r="CF75" i="5" s="1"/>
  <c r="CG73" i="5"/>
  <c r="CC68" i="5"/>
  <c r="BR113" i="5" l="1"/>
  <c r="AZ81" i="5"/>
  <c r="BA82" i="5" s="1"/>
  <c r="BB81" i="5"/>
  <c r="A54" i="6"/>
  <c r="B80" i="5"/>
  <c r="B55" i="6" s="1"/>
  <c r="CE75" i="5"/>
  <c r="CD76" i="5" s="1"/>
  <c r="CF76" i="5" s="1"/>
  <c r="CG74" i="5"/>
  <c r="CA68" i="5"/>
  <c r="BZ69" i="5" s="1"/>
  <c r="CB69" i="5" s="1"/>
  <c r="BR114" i="5" l="1"/>
  <c r="AZ82" i="5"/>
  <c r="BA83" i="5" s="1"/>
  <c r="BB82" i="5"/>
  <c r="A55" i="6"/>
  <c r="B81" i="5"/>
  <c r="B56" i="6" s="1"/>
  <c r="CE76" i="5"/>
  <c r="CD77" i="5" s="1"/>
  <c r="CF77" i="5" s="1"/>
  <c r="CG75" i="5"/>
  <c r="CC69" i="5"/>
  <c r="BR115" i="5" l="1"/>
  <c r="AZ83" i="5"/>
  <c r="BA84" i="5" s="1"/>
  <c r="BB83" i="5"/>
  <c r="A56" i="6"/>
  <c r="B82" i="5"/>
  <c r="B57" i="6" s="1"/>
  <c r="CE77" i="5"/>
  <c r="CD78" i="5" s="1"/>
  <c r="CF78" i="5" s="1"/>
  <c r="CG76" i="5"/>
  <c r="CA69" i="5"/>
  <c r="BZ70" i="5" s="1"/>
  <c r="CB70" i="5" s="1"/>
  <c r="BR116" i="5" l="1"/>
  <c r="AZ84" i="5"/>
  <c r="BA85" i="5" s="1"/>
  <c r="BB84" i="5"/>
  <c r="A57" i="6"/>
  <c r="B83" i="5"/>
  <c r="B58" i="6" s="1"/>
  <c r="CE78" i="5"/>
  <c r="CD79" i="5" s="1"/>
  <c r="CF79" i="5" s="1"/>
  <c r="CG77" i="5"/>
  <c r="CC70" i="5"/>
  <c r="BR117" i="5" l="1"/>
  <c r="AZ85" i="5"/>
  <c r="BA86" i="5" s="1"/>
  <c r="BB85" i="5"/>
  <c r="A58" i="6"/>
  <c r="B84" i="5"/>
  <c r="B59" i="6" s="1"/>
  <c r="CE79" i="5"/>
  <c r="CD80" i="5" s="1"/>
  <c r="CF80" i="5" s="1"/>
  <c r="CG78" i="5"/>
  <c r="CA70" i="5"/>
  <c r="BZ71" i="5" s="1"/>
  <c r="CB71" i="5" s="1"/>
  <c r="BR118" i="5" l="1"/>
  <c r="AZ86" i="5"/>
  <c r="BA87" i="5" s="1"/>
  <c r="BB86" i="5"/>
  <c r="A59" i="6"/>
  <c r="B85" i="5"/>
  <c r="B60" i="6" s="1"/>
  <c r="CE80" i="5"/>
  <c r="CD81" i="5" s="1"/>
  <c r="CF81" i="5" s="1"/>
  <c r="CG79" i="5"/>
  <c r="CC71" i="5"/>
  <c r="BR119" i="5" l="1"/>
  <c r="AZ87" i="5"/>
  <c r="BA88" i="5" s="1"/>
  <c r="BB87" i="5"/>
  <c r="A60" i="6"/>
  <c r="B86" i="5"/>
  <c r="B61" i="6" s="1"/>
  <c r="CE81" i="5"/>
  <c r="CD82" i="5" s="1"/>
  <c r="CF82" i="5" s="1"/>
  <c r="CG80" i="5"/>
  <c r="CA71" i="5"/>
  <c r="BZ72" i="5" s="1"/>
  <c r="CB72" i="5" s="1"/>
  <c r="BR120" i="5" l="1"/>
  <c r="AZ88" i="5"/>
  <c r="BA89" i="5" s="1"/>
  <c r="BB88" i="5"/>
  <c r="A61" i="6"/>
  <c r="B87" i="5"/>
  <c r="B62" i="6" s="1"/>
  <c r="CE82" i="5"/>
  <c r="CD83" i="5" s="1"/>
  <c r="CF83" i="5" s="1"/>
  <c r="CG81" i="5"/>
  <c r="CC72" i="5"/>
  <c r="BR121" i="5" l="1"/>
  <c r="AZ89" i="5"/>
  <c r="BA90" i="5" s="1"/>
  <c r="BB89" i="5"/>
  <c r="A62" i="6"/>
  <c r="B88" i="5"/>
  <c r="B63" i="6" s="1"/>
  <c r="CE83" i="5"/>
  <c r="CD84" i="5" s="1"/>
  <c r="CF84" i="5" s="1"/>
  <c r="CG82" i="5"/>
  <c r="CA72" i="5"/>
  <c r="BZ73" i="5" s="1"/>
  <c r="CB73" i="5" s="1"/>
  <c r="BR122" i="5" l="1"/>
  <c r="AZ90" i="5"/>
  <c r="BA91" i="5" s="1"/>
  <c r="BB90" i="5"/>
  <c r="A63" i="6"/>
  <c r="B89" i="5"/>
  <c r="B64" i="6" s="1"/>
  <c r="CE84" i="5"/>
  <c r="CD85" i="5" s="1"/>
  <c r="CF85" i="5" s="1"/>
  <c r="CG83" i="5"/>
  <c r="CC73" i="5"/>
  <c r="BR123" i="5" l="1"/>
  <c r="AZ91" i="5"/>
  <c r="BA92" i="5" s="1"/>
  <c r="BB91" i="5"/>
  <c r="A64" i="6"/>
  <c r="B90" i="5"/>
  <c r="B65" i="6" s="1"/>
  <c r="CE85" i="5"/>
  <c r="CD86" i="5" s="1"/>
  <c r="CF86" i="5" s="1"/>
  <c r="CG84" i="5"/>
  <c r="CA73" i="5"/>
  <c r="BZ74" i="5" s="1"/>
  <c r="CB74" i="5" s="1"/>
  <c r="BR124" i="5" l="1"/>
  <c r="AZ92" i="5"/>
  <c r="BA93" i="5" s="1"/>
  <c r="BB92" i="5"/>
  <c r="A65" i="6"/>
  <c r="B91" i="5"/>
  <c r="B66" i="6" s="1"/>
  <c r="CC74" i="5"/>
  <c r="CE86" i="5"/>
  <c r="CD87" i="5" s="1"/>
  <c r="CF87" i="5" s="1"/>
  <c r="CG85" i="5"/>
  <c r="BR125" i="5" l="1"/>
  <c r="AZ93" i="5"/>
  <c r="BA94" i="5" s="1"/>
  <c r="AZ94" i="5" s="1"/>
  <c r="BA95" i="5" s="1"/>
  <c r="BB93" i="5"/>
  <c r="A66" i="6"/>
  <c r="B92" i="5"/>
  <c r="B67" i="6" s="1"/>
  <c r="CA74" i="5"/>
  <c r="BZ75" i="5" s="1"/>
  <c r="CB75" i="5" s="1"/>
  <c r="CE87" i="5"/>
  <c r="CD88" i="5" s="1"/>
  <c r="CF88" i="5" s="1"/>
  <c r="CG86" i="5"/>
  <c r="BR126" i="5" l="1"/>
  <c r="AZ95" i="5"/>
  <c r="BA96" i="5" s="1"/>
  <c r="BB95" i="5"/>
  <c r="A67" i="6"/>
  <c r="B93" i="5"/>
  <c r="B68" i="6" s="1"/>
  <c r="CA75" i="5"/>
  <c r="BZ76" i="5" s="1"/>
  <c r="CB76" i="5" s="1"/>
  <c r="CE88" i="5"/>
  <c r="CD89" i="5" s="1"/>
  <c r="CF89" i="5" s="1"/>
  <c r="CG87" i="5"/>
  <c r="BR127" i="5" l="1"/>
  <c r="AZ96" i="5"/>
  <c r="BA97" i="5" s="1"/>
  <c r="BB96" i="5"/>
  <c r="A68" i="6"/>
  <c r="B94" i="5"/>
  <c r="B69" i="6" s="1"/>
  <c r="CC75" i="5"/>
  <c r="CE89" i="5"/>
  <c r="CD90" i="5" s="1"/>
  <c r="CF90" i="5" s="1"/>
  <c r="CG88" i="5"/>
  <c r="CA76" i="5"/>
  <c r="BZ77" i="5" s="1"/>
  <c r="CB77" i="5" s="1"/>
  <c r="BR128" i="5" l="1"/>
  <c r="AZ97" i="5"/>
  <c r="BA98" i="5" s="1"/>
  <c r="BB97" i="5"/>
  <c r="A69" i="6"/>
  <c r="B95" i="5"/>
  <c r="B70" i="6" s="1"/>
  <c r="CC76" i="5"/>
  <c r="CE90" i="5"/>
  <c r="CD91" i="5" s="1"/>
  <c r="CF91" i="5" s="1"/>
  <c r="CG89" i="5"/>
  <c r="BR129" i="5" l="1"/>
  <c r="AZ98" i="5"/>
  <c r="BA99" i="5" s="1"/>
  <c r="BB98" i="5"/>
  <c r="A70" i="6"/>
  <c r="B96" i="5"/>
  <c r="B71" i="6" s="1"/>
  <c r="CC77" i="5"/>
  <c r="CE91" i="5"/>
  <c r="CD92" i="5" s="1"/>
  <c r="CF92" i="5" s="1"/>
  <c r="CG90" i="5"/>
  <c r="CA77" i="5"/>
  <c r="BZ78" i="5" s="1"/>
  <c r="CB78" i="5" s="1"/>
  <c r="BR130" i="5" l="1"/>
  <c r="AZ99" i="5"/>
  <c r="BA100" i="5" s="1"/>
  <c r="BB99" i="5"/>
  <c r="A71" i="6"/>
  <c r="B97" i="5"/>
  <c r="B72" i="6" s="1"/>
  <c r="CC78" i="5"/>
  <c r="CE92" i="5"/>
  <c r="CD93" i="5" s="1"/>
  <c r="CF93" i="5" s="1"/>
  <c r="CG91" i="5"/>
  <c r="BR131" i="5" l="1"/>
  <c r="AZ100" i="5"/>
  <c r="BA101" i="5" s="1"/>
  <c r="BB100" i="5"/>
  <c r="A72" i="6"/>
  <c r="B98" i="5"/>
  <c r="B73" i="6" s="1"/>
  <c r="CA78" i="5"/>
  <c r="BZ79" i="5" s="1"/>
  <c r="CB79" i="5" s="1"/>
  <c r="CE93" i="5"/>
  <c r="CD94" i="5" s="1"/>
  <c r="CF94" i="5" s="1"/>
  <c r="CG92" i="5"/>
  <c r="BR132" i="5" l="1"/>
  <c r="AZ101" i="5"/>
  <c r="BA102" i="5" s="1"/>
  <c r="BB101" i="5"/>
  <c r="A73" i="6"/>
  <c r="B99" i="5"/>
  <c r="B74" i="6" s="1"/>
  <c r="CC79" i="5"/>
  <c r="CE94" i="5"/>
  <c r="CD95" i="5" s="1"/>
  <c r="CF95" i="5" s="1"/>
  <c r="CG93" i="5"/>
  <c r="BR133" i="5" l="1"/>
  <c r="AZ102" i="5"/>
  <c r="BA103" i="5" s="1"/>
  <c r="BB102" i="5"/>
  <c r="A74" i="6"/>
  <c r="B100" i="5"/>
  <c r="B75" i="6" s="1"/>
  <c r="CA79" i="5"/>
  <c r="CE95" i="5"/>
  <c r="CD96" i="5" s="1"/>
  <c r="CF96" i="5" s="1"/>
  <c r="CG94" i="5"/>
  <c r="BR134" i="5" l="1"/>
  <c r="AZ103" i="5"/>
  <c r="BA104" i="5" s="1"/>
  <c r="BB103" i="5"/>
  <c r="A75" i="6"/>
  <c r="B101" i="5"/>
  <c r="B76" i="6" s="1"/>
  <c r="BZ80" i="5"/>
  <c r="CA80" i="5" s="1"/>
  <c r="BZ81" i="5" s="1"/>
  <c r="CE96" i="5"/>
  <c r="CD97" i="5" s="1"/>
  <c r="CF97" i="5" s="1"/>
  <c r="CG95" i="5"/>
  <c r="BR135" i="5" l="1"/>
  <c r="AZ104" i="5"/>
  <c r="BA105" i="5" s="1"/>
  <c r="BB104" i="5"/>
  <c r="A76" i="6"/>
  <c r="B102" i="5"/>
  <c r="B77" i="6" s="1"/>
  <c r="CB80" i="5"/>
  <c r="CB81" i="5" s="1"/>
  <c r="CC81" i="5" s="1"/>
  <c r="CE97" i="5"/>
  <c r="CD98" i="5" s="1"/>
  <c r="CF98" i="5" s="1"/>
  <c r="CG96" i="5"/>
  <c r="BR136" i="5" l="1"/>
  <c r="AZ105" i="5"/>
  <c r="BA106" i="5" s="1"/>
  <c r="BB105" i="5"/>
  <c r="A77" i="6"/>
  <c r="B103" i="5"/>
  <c r="B78" i="6" s="1"/>
  <c r="CC80" i="5"/>
  <c r="CE98" i="5"/>
  <c r="CD99" i="5" s="1"/>
  <c r="CF99" i="5" s="1"/>
  <c r="CG97" i="5"/>
  <c r="CA81" i="5"/>
  <c r="BZ82" i="5" s="1"/>
  <c r="CB82" i="5" s="1"/>
  <c r="BR137" i="5" l="1"/>
  <c r="AZ106" i="5"/>
  <c r="BA107" i="5" s="1"/>
  <c r="BB106" i="5"/>
  <c r="A78" i="6"/>
  <c r="B104" i="5"/>
  <c r="B79" i="6" s="1"/>
  <c r="CE99" i="5"/>
  <c r="CD100" i="5" s="1"/>
  <c r="CF100" i="5" s="1"/>
  <c r="CG98" i="5"/>
  <c r="CC82" i="5"/>
  <c r="BR138" i="5" l="1"/>
  <c r="AZ107" i="5"/>
  <c r="BA108" i="5" s="1"/>
  <c r="BB107" i="5"/>
  <c r="A79" i="6"/>
  <c r="B105" i="5"/>
  <c r="B80" i="6" s="1"/>
  <c r="CE100" i="5"/>
  <c r="CD101" i="5" s="1"/>
  <c r="CF101" i="5" s="1"/>
  <c r="CG99" i="5"/>
  <c r="CA82" i="5"/>
  <c r="BZ83" i="5" s="1"/>
  <c r="CB83" i="5" s="1"/>
  <c r="BR139" i="5" l="1"/>
  <c r="AZ108" i="5"/>
  <c r="BA109" i="5" s="1"/>
  <c r="BB108" i="5"/>
  <c r="A80" i="6"/>
  <c r="B106" i="5"/>
  <c r="B81" i="6" s="1"/>
  <c r="CE101" i="5"/>
  <c r="CD102" i="5" s="1"/>
  <c r="CF102" i="5" s="1"/>
  <c r="CG100" i="5"/>
  <c r="CC83" i="5"/>
  <c r="BR140" i="5" l="1"/>
  <c r="AZ109" i="5"/>
  <c r="BA110" i="5" s="1"/>
  <c r="BB109" i="5"/>
  <c r="A81" i="6"/>
  <c r="B107" i="5"/>
  <c r="B82" i="6" s="1"/>
  <c r="CE102" i="5"/>
  <c r="CD103" i="5" s="1"/>
  <c r="CF103" i="5" s="1"/>
  <c r="CG101" i="5"/>
  <c r="CA83" i="5"/>
  <c r="BZ84" i="5" s="1"/>
  <c r="CB84" i="5" s="1"/>
  <c r="BR141" i="5" l="1"/>
  <c r="AZ110" i="5"/>
  <c r="BA111" i="5" s="1"/>
  <c r="BB110" i="5"/>
  <c r="A82" i="6"/>
  <c r="B108" i="5"/>
  <c r="B83" i="6" s="1"/>
  <c r="CE103" i="5"/>
  <c r="CD104" i="5" s="1"/>
  <c r="CF104" i="5" s="1"/>
  <c r="CG102" i="5"/>
  <c r="CC84" i="5"/>
  <c r="BR142" i="5" l="1"/>
  <c r="AZ111" i="5"/>
  <c r="BA112" i="5" s="1"/>
  <c r="BB111" i="5"/>
  <c r="A83" i="6"/>
  <c r="B109" i="5"/>
  <c r="B84" i="6" s="1"/>
  <c r="CE104" i="5"/>
  <c r="CD105" i="5" s="1"/>
  <c r="CF105" i="5" s="1"/>
  <c r="CG103" i="5"/>
  <c r="CA84" i="5"/>
  <c r="BZ85" i="5" s="1"/>
  <c r="CB85" i="5" s="1"/>
  <c r="BR143" i="5" l="1"/>
  <c r="AZ112" i="5"/>
  <c r="BA113" i="5" s="1"/>
  <c r="BB112" i="5"/>
  <c r="A84" i="6"/>
  <c r="B110" i="5"/>
  <c r="B85" i="6" s="1"/>
  <c r="CE105" i="5"/>
  <c r="CD106" i="5" s="1"/>
  <c r="CF106" i="5" s="1"/>
  <c r="CC85" i="5"/>
  <c r="CG104" i="5"/>
  <c r="BR144" i="5" l="1"/>
  <c r="AZ113" i="5"/>
  <c r="BA114" i="5" s="1"/>
  <c r="BB113" i="5"/>
  <c r="A85" i="6"/>
  <c r="B111" i="5"/>
  <c r="B86" i="6" s="1"/>
  <c r="CE106" i="5"/>
  <c r="CD107" i="5" s="1"/>
  <c r="CF107" i="5" s="1"/>
  <c r="CA85" i="5"/>
  <c r="BZ86" i="5" s="1"/>
  <c r="CB86" i="5" s="1"/>
  <c r="CG105" i="5"/>
  <c r="BR145" i="5" l="1"/>
  <c r="AZ114" i="5"/>
  <c r="BA115" i="5" s="1"/>
  <c r="BB114" i="5"/>
  <c r="A86" i="6"/>
  <c r="B112" i="5"/>
  <c r="B87" i="6" s="1"/>
  <c r="CE107" i="5"/>
  <c r="CD108" i="5" s="1"/>
  <c r="CF108" i="5" s="1"/>
  <c r="CC86" i="5"/>
  <c r="CG106" i="5"/>
  <c r="BR146" i="5" l="1"/>
  <c r="AZ115" i="5"/>
  <c r="BA116" i="5" s="1"/>
  <c r="AZ116" i="5" s="1"/>
  <c r="BA117" i="5" s="1"/>
  <c r="BB115" i="5"/>
  <c r="A87" i="6"/>
  <c r="B113" i="5"/>
  <c r="B88" i="6" s="1"/>
  <c r="CE108" i="5"/>
  <c r="CD109" i="5" s="1"/>
  <c r="CF109" i="5" s="1"/>
  <c r="CA86" i="5"/>
  <c r="CG107" i="5"/>
  <c r="BR147" i="5" l="1"/>
  <c r="AZ117" i="5"/>
  <c r="BA118" i="5" s="1"/>
  <c r="BB117" i="5"/>
  <c r="A88" i="6"/>
  <c r="B114" i="5"/>
  <c r="B89" i="6" s="1"/>
  <c r="CE109" i="5"/>
  <c r="CD110" i="5" s="1"/>
  <c r="CF110" i="5" s="1"/>
  <c r="BZ87" i="5"/>
  <c r="CG108" i="5"/>
  <c r="BR148" i="5" l="1"/>
  <c r="AZ118" i="5"/>
  <c r="BA119" i="5" s="1"/>
  <c r="BB118" i="5"/>
  <c r="A89" i="6"/>
  <c r="B115" i="5"/>
  <c r="B90" i="6" s="1"/>
  <c r="CE110" i="5"/>
  <c r="CD111" i="5" s="1"/>
  <c r="CF111" i="5" s="1"/>
  <c r="CB87" i="5"/>
  <c r="CA87" i="5"/>
  <c r="BZ88" i="5" s="1"/>
  <c r="CG109" i="5"/>
  <c r="BR149" i="5" l="1"/>
  <c r="AZ119" i="5"/>
  <c r="BA120" i="5" s="1"/>
  <c r="BB119" i="5"/>
  <c r="A90" i="6"/>
  <c r="B116" i="5"/>
  <c r="B91" i="6" s="1"/>
  <c r="CE111" i="5"/>
  <c r="CD112" i="5" s="1"/>
  <c r="CF112" i="5" s="1"/>
  <c r="CB88" i="5"/>
  <c r="CC87" i="5"/>
  <c r="CG110" i="5"/>
  <c r="CA88" i="5"/>
  <c r="BZ89" i="5" s="1"/>
  <c r="BR150" i="5" l="1"/>
  <c r="AZ120" i="5"/>
  <c r="BA121" i="5" s="1"/>
  <c r="BB120" i="5"/>
  <c r="A91" i="6"/>
  <c r="B117" i="5"/>
  <c r="B92" i="6" s="1"/>
  <c r="CE112" i="5"/>
  <c r="CD113" i="5" s="1"/>
  <c r="CF113" i="5" s="1"/>
  <c r="CB89" i="5"/>
  <c r="CC89" i="5" s="1"/>
  <c r="CC88" i="5"/>
  <c r="CG111" i="5"/>
  <c r="BR151" i="5" l="1"/>
  <c r="AZ121" i="5"/>
  <c r="BA122" i="5" s="1"/>
  <c r="BB121" i="5"/>
  <c r="A92" i="6"/>
  <c r="B118" i="5"/>
  <c r="B93" i="6" s="1"/>
  <c r="CE113" i="5"/>
  <c r="CD114" i="5" s="1"/>
  <c r="CF114" i="5" s="1"/>
  <c r="CG112" i="5"/>
  <c r="CA89" i="5"/>
  <c r="BZ90" i="5" s="1"/>
  <c r="CB90" i="5" s="1"/>
  <c r="BR152" i="5" l="1"/>
  <c r="AZ122" i="5"/>
  <c r="BA123" i="5" s="1"/>
  <c r="BB122" i="5"/>
  <c r="A93" i="6"/>
  <c r="B119" i="5"/>
  <c r="B94" i="6" s="1"/>
  <c r="CE114" i="5"/>
  <c r="CD115" i="5" s="1"/>
  <c r="CF115" i="5" s="1"/>
  <c r="CG113" i="5"/>
  <c r="CC90" i="5"/>
  <c r="BR153" i="5" l="1"/>
  <c r="AZ123" i="5"/>
  <c r="BA124" i="5" s="1"/>
  <c r="BB123" i="5"/>
  <c r="A94" i="6"/>
  <c r="B120" i="5"/>
  <c r="B95" i="6" s="1"/>
  <c r="CE115" i="5"/>
  <c r="CD116" i="5" s="1"/>
  <c r="CF116" i="5" s="1"/>
  <c r="CG114" i="5"/>
  <c r="CA90" i="5"/>
  <c r="BZ91" i="5" s="1"/>
  <c r="CB91" i="5" s="1"/>
  <c r="BR154" i="5" l="1"/>
  <c r="AZ124" i="5"/>
  <c r="BA125" i="5" s="1"/>
  <c r="BB124" i="5"/>
  <c r="A95" i="6"/>
  <c r="B121" i="5"/>
  <c r="B96" i="6" s="1"/>
  <c r="CE116" i="5"/>
  <c r="CD117" i="5" s="1"/>
  <c r="CF117" i="5" s="1"/>
  <c r="CG115" i="5"/>
  <c r="CC91" i="5"/>
  <c r="BR155" i="5" l="1"/>
  <c r="AZ125" i="5"/>
  <c r="BA126" i="5" s="1"/>
  <c r="BB125" i="5"/>
  <c r="A96" i="6"/>
  <c r="B122" i="5"/>
  <c r="B97" i="6" s="1"/>
  <c r="CE117" i="5"/>
  <c r="CD118" i="5" s="1"/>
  <c r="CF118" i="5" s="1"/>
  <c r="CG116" i="5"/>
  <c r="CA91" i="5"/>
  <c r="BZ92" i="5" s="1"/>
  <c r="CB92" i="5" s="1"/>
  <c r="BR156" i="5" l="1"/>
  <c r="AZ126" i="5"/>
  <c r="BA127" i="5" s="1"/>
  <c r="BB126" i="5"/>
  <c r="A97" i="6"/>
  <c r="B123" i="5"/>
  <c r="B98" i="6" s="1"/>
  <c r="CE118" i="5"/>
  <c r="CD119" i="5" s="1"/>
  <c r="CF119" i="5" s="1"/>
  <c r="CG117" i="5"/>
  <c r="CC92" i="5"/>
  <c r="BR157" i="5" l="1"/>
  <c r="AZ127" i="5"/>
  <c r="BA128" i="5" s="1"/>
  <c r="BB127" i="5"/>
  <c r="A98" i="6"/>
  <c r="B124" i="5"/>
  <c r="B99" i="6" s="1"/>
  <c r="CE119" i="5"/>
  <c r="CD120" i="5" s="1"/>
  <c r="CF120" i="5" s="1"/>
  <c r="CG118" i="5"/>
  <c r="CA92" i="5"/>
  <c r="BZ93" i="5" s="1"/>
  <c r="CB93" i="5" s="1"/>
  <c r="BR158" i="5" l="1"/>
  <c r="AZ128" i="5"/>
  <c r="BA129" i="5" s="1"/>
  <c r="BB128" i="5"/>
  <c r="A99" i="6"/>
  <c r="B125" i="5"/>
  <c r="B100" i="6" s="1"/>
  <c r="CE120" i="5"/>
  <c r="CD121" i="5" s="1"/>
  <c r="CF121" i="5" s="1"/>
  <c r="CG119" i="5"/>
  <c r="CC93" i="5"/>
  <c r="BR159" i="5" l="1"/>
  <c r="AZ129" i="5"/>
  <c r="BA130" i="5" s="1"/>
  <c r="BB129" i="5"/>
  <c r="A100" i="6"/>
  <c r="B126" i="5"/>
  <c r="B101" i="6" s="1"/>
  <c r="CE121" i="5"/>
  <c r="CD122" i="5" s="1"/>
  <c r="CF122" i="5" s="1"/>
  <c r="CF123" i="5" s="1"/>
  <c r="CG120" i="5"/>
  <c r="CA93" i="5"/>
  <c r="BZ94" i="5" s="1"/>
  <c r="CB94" i="5" s="1"/>
  <c r="BR160" i="5" l="1"/>
  <c r="AZ130" i="5"/>
  <c r="BA131" i="5" s="1"/>
  <c r="BB130" i="5"/>
  <c r="A101" i="6"/>
  <c r="B127" i="5"/>
  <c r="B102" i="6" s="1"/>
  <c r="CF124" i="5"/>
  <c r="CG123" i="5"/>
  <c r="CE122" i="5"/>
  <c r="CE123" i="5" s="1"/>
  <c r="CE124" i="5" s="1"/>
  <c r="CE125" i="5" s="1"/>
  <c r="CE126" i="5" s="1"/>
  <c r="CE127" i="5" s="1"/>
  <c r="CE128" i="5" s="1"/>
  <c r="CE129" i="5" s="1"/>
  <c r="CE130" i="5" s="1"/>
  <c r="CE131" i="5" s="1"/>
  <c r="CE132" i="5" s="1"/>
  <c r="CE133" i="5" s="1"/>
  <c r="CE134" i="5" s="1"/>
  <c r="CE135" i="5" s="1"/>
  <c r="CE136" i="5" s="1"/>
  <c r="CE137" i="5" s="1"/>
  <c r="CE138" i="5" s="1"/>
  <c r="CE139" i="5" s="1"/>
  <c r="CE140" i="5" s="1"/>
  <c r="CE141" i="5" s="1"/>
  <c r="CE142" i="5" s="1"/>
  <c r="CE143" i="5" s="1"/>
  <c r="CE144" i="5" s="1"/>
  <c r="CE145" i="5" s="1"/>
  <c r="CE146" i="5" s="1"/>
  <c r="CE147" i="5" s="1"/>
  <c r="CE148" i="5" s="1"/>
  <c r="CE149" i="5" s="1"/>
  <c r="CE150" i="5" s="1"/>
  <c r="CE151" i="5" s="1"/>
  <c r="CE152" i="5" s="1"/>
  <c r="CE153" i="5" s="1"/>
  <c r="CE154" i="5" s="1"/>
  <c r="CE155" i="5" s="1"/>
  <c r="CE156" i="5" s="1"/>
  <c r="CE157" i="5" s="1"/>
  <c r="CE158" i="5" s="1"/>
  <c r="CE159" i="5" s="1"/>
  <c r="CE160" i="5" s="1"/>
  <c r="CE161" i="5" s="1"/>
  <c r="CE162" i="5" s="1"/>
  <c r="CE163" i="5" s="1"/>
  <c r="CE164" i="5" s="1"/>
  <c r="CE165" i="5" s="1"/>
  <c r="CE166" i="5" s="1"/>
  <c r="CE167" i="5" s="1"/>
  <c r="CE168" i="5" s="1"/>
  <c r="CE169" i="5" s="1"/>
  <c r="CE170" i="5" s="1"/>
  <c r="CE171" i="5" s="1"/>
  <c r="CE172" i="5" s="1"/>
  <c r="CE173" i="5" s="1"/>
  <c r="CE174" i="5" s="1"/>
  <c r="CE175" i="5" s="1"/>
  <c r="CE176" i="5" s="1"/>
  <c r="CE177" i="5" s="1"/>
  <c r="CE178" i="5" s="1"/>
  <c r="CE179" i="5" s="1"/>
  <c r="CE180" i="5" s="1"/>
  <c r="CE181" i="5" s="1"/>
  <c r="CE182" i="5" s="1"/>
  <c r="CE183" i="5" s="1"/>
  <c r="CE184" i="5" s="1"/>
  <c r="CE185" i="5" s="1"/>
  <c r="CE186" i="5" s="1"/>
  <c r="CE187" i="5" s="1"/>
  <c r="CE188" i="5" s="1"/>
  <c r="CE189" i="5" s="1"/>
  <c r="CE190" i="5" s="1"/>
  <c r="CE191" i="5" s="1"/>
  <c r="CE192" i="5" s="1"/>
  <c r="CE193" i="5" s="1"/>
  <c r="CE194" i="5" s="1"/>
  <c r="CE195" i="5" s="1"/>
  <c r="CE196" i="5" s="1"/>
  <c r="CE197" i="5" s="1"/>
  <c r="CE198" i="5" s="1"/>
  <c r="CE199" i="5" s="1"/>
  <c r="CE200" i="5" s="1"/>
  <c r="CE201" i="5" s="1"/>
  <c r="CE202" i="5" s="1"/>
  <c r="CE203" i="5" s="1"/>
  <c r="CE204" i="5" s="1"/>
  <c r="CE205" i="5" s="1"/>
  <c r="CE206" i="5" s="1"/>
  <c r="CE207" i="5" s="1"/>
  <c r="CE208" i="5" s="1"/>
  <c r="CE209" i="5" s="1"/>
  <c r="CE210" i="5" s="1"/>
  <c r="CE211" i="5" s="1"/>
  <c r="CE212" i="5" s="1"/>
  <c r="CE213" i="5" s="1"/>
  <c r="CE214" i="5" s="1"/>
  <c r="CE215" i="5" s="1"/>
  <c r="CE216" i="5" s="1"/>
  <c r="CE217" i="5" s="1"/>
  <c r="CE218" i="5" s="1"/>
  <c r="CE219" i="5" s="1"/>
  <c r="CE220" i="5" s="1"/>
  <c r="CE221" i="5" s="1"/>
  <c r="CE222" i="5" s="1"/>
  <c r="CE223" i="5" s="1"/>
  <c r="CE224" i="5" s="1"/>
  <c r="CE225" i="5" s="1"/>
  <c r="CE226" i="5" s="1"/>
  <c r="CE227" i="5" s="1"/>
  <c r="CE228" i="5" s="1"/>
  <c r="CE229" i="5" s="1"/>
  <c r="CE230" i="5" s="1"/>
  <c r="CE231" i="5" s="1"/>
  <c r="CE232" i="5" s="1"/>
  <c r="CE233" i="5" s="1"/>
  <c r="CE234" i="5" s="1"/>
  <c r="CE235" i="5" s="1"/>
  <c r="CE236" i="5" s="1"/>
  <c r="CE237" i="5" s="1"/>
  <c r="CE238" i="5" s="1"/>
  <c r="CE239" i="5" s="1"/>
  <c r="CE240" i="5" s="1"/>
  <c r="CE241" i="5" s="1"/>
  <c r="CE242" i="5" s="1"/>
  <c r="CE243" i="5" s="1"/>
  <c r="CE244" i="5" s="1"/>
  <c r="CE245" i="5" s="1"/>
  <c r="CE246" i="5" s="1"/>
  <c r="CE247" i="5" s="1"/>
  <c r="CE248" i="5" s="1"/>
  <c r="CE249" i="5" s="1"/>
  <c r="CE250" i="5" s="1"/>
  <c r="CE251" i="5" s="1"/>
  <c r="CE252" i="5" s="1"/>
  <c r="CE253" i="5" s="1"/>
  <c r="CE254" i="5" s="1"/>
  <c r="CE255" i="5" s="1"/>
  <c r="CE256" i="5" s="1"/>
  <c r="CE257" i="5" s="1"/>
  <c r="CE258" i="5" s="1"/>
  <c r="CE259" i="5" s="1"/>
  <c r="CE260" i="5" s="1"/>
  <c r="CE261" i="5" s="1"/>
  <c r="CE262" i="5" s="1"/>
  <c r="CE263" i="5" s="1"/>
  <c r="CE264" i="5" s="1"/>
  <c r="CE265" i="5" s="1"/>
  <c r="CE266" i="5" s="1"/>
  <c r="CE267" i="5" s="1"/>
  <c r="CE268" i="5" s="1"/>
  <c r="CE269" i="5" s="1"/>
  <c r="CE270" i="5" s="1"/>
  <c r="CE271" i="5" s="1"/>
  <c r="CE272" i="5" s="1"/>
  <c r="CE273" i="5" s="1"/>
  <c r="CE274" i="5" s="1"/>
  <c r="CE275" i="5" s="1"/>
  <c r="CE276" i="5" s="1"/>
  <c r="CE277" i="5" s="1"/>
  <c r="CE278" i="5" s="1"/>
  <c r="CE279" i="5" s="1"/>
  <c r="CE280" i="5" s="1"/>
  <c r="CE281" i="5" s="1"/>
  <c r="CE282" i="5" s="1"/>
  <c r="CE283" i="5" s="1"/>
  <c r="CE284" i="5" s="1"/>
  <c r="CE285" i="5" s="1"/>
  <c r="CE286" i="5" s="1"/>
  <c r="CE287" i="5" s="1"/>
  <c r="CE288" i="5" s="1"/>
  <c r="CE289" i="5" s="1"/>
  <c r="CE290" i="5" s="1"/>
  <c r="CE291" i="5" s="1"/>
  <c r="CE292" i="5" s="1"/>
  <c r="CE293" i="5" s="1"/>
  <c r="CE294" i="5" s="1"/>
  <c r="CE295" i="5" s="1"/>
  <c r="CE296" i="5" s="1"/>
  <c r="CE297" i="5" s="1"/>
  <c r="CE298" i="5" s="1"/>
  <c r="CE299" i="5" s="1"/>
  <c r="CE300" i="5" s="1"/>
  <c r="CE301" i="5" s="1"/>
  <c r="CE302" i="5" s="1"/>
  <c r="CE303" i="5" s="1"/>
  <c r="CE304" i="5" s="1"/>
  <c r="CE305" i="5" s="1"/>
  <c r="CE306" i="5" s="1"/>
  <c r="CE307" i="5" s="1"/>
  <c r="CE308" i="5" s="1"/>
  <c r="CE309" i="5" s="1"/>
  <c r="CE310" i="5" s="1"/>
  <c r="CE311" i="5" s="1"/>
  <c r="CE312" i="5" s="1"/>
  <c r="CE313" i="5" s="1"/>
  <c r="CE314" i="5" s="1"/>
  <c r="CE315" i="5" s="1"/>
  <c r="CE316" i="5" s="1"/>
  <c r="CE317" i="5" s="1"/>
  <c r="CE318" i="5" s="1"/>
  <c r="CE319" i="5" s="1"/>
  <c r="CE320" i="5" s="1"/>
  <c r="CE321" i="5" s="1"/>
  <c r="CE322" i="5" s="1"/>
  <c r="CE323" i="5" s="1"/>
  <c r="CE324" i="5" s="1"/>
  <c r="CE325" i="5" s="1"/>
  <c r="CE326" i="5" s="1"/>
  <c r="CE327" i="5" s="1"/>
  <c r="CE328" i="5" s="1"/>
  <c r="CE329" i="5" s="1"/>
  <c r="CE330" i="5" s="1"/>
  <c r="CE331" i="5" s="1"/>
  <c r="CE332" i="5" s="1"/>
  <c r="CE333" i="5" s="1"/>
  <c r="CE334" i="5" s="1"/>
  <c r="CE335" i="5" s="1"/>
  <c r="CE336" i="5" s="1"/>
  <c r="CE337" i="5" s="1"/>
  <c r="CE338" i="5" s="1"/>
  <c r="CE339" i="5" s="1"/>
  <c r="CE340" i="5" s="1"/>
  <c r="CE341" i="5" s="1"/>
  <c r="CE342" i="5" s="1"/>
  <c r="CE343" i="5" s="1"/>
  <c r="CE344" i="5" s="1"/>
  <c r="CE345" i="5" s="1"/>
  <c r="CE346" i="5" s="1"/>
  <c r="CE347" i="5" s="1"/>
  <c r="CE348" i="5" s="1"/>
  <c r="CE349" i="5" s="1"/>
  <c r="CE350" i="5" s="1"/>
  <c r="CE351" i="5" s="1"/>
  <c r="CE352" i="5" s="1"/>
  <c r="CE353" i="5" s="1"/>
  <c r="CE354" i="5" s="1"/>
  <c r="CE355" i="5" s="1"/>
  <c r="CE356" i="5" s="1"/>
  <c r="CE357" i="5" s="1"/>
  <c r="CE358" i="5" s="1"/>
  <c r="CE359" i="5" s="1"/>
  <c r="CE360" i="5" s="1"/>
  <c r="CE361" i="5" s="1"/>
  <c r="CE362" i="5" s="1"/>
  <c r="CE363" i="5" s="1"/>
  <c r="CE364" i="5" s="1"/>
  <c r="CE365" i="5" s="1"/>
  <c r="CE366" i="5" s="1"/>
  <c r="CE367" i="5" s="1"/>
  <c r="CE368" i="5" s="1"/>
  <c r="CE369" i="5" s="1"/>
  <c r="CE370" i="5" s="1"/>
  <c r="CE371" i="5" s="1"/>
  <c r="CE372" i="5" s="1"/>
  <c r="CE373" i="5" s="1"/>
  <c r="CE374" i="5" s="1"/>
  <c r="CE375" i="5" s="1"/>
  <c r="CE376" i="5" s="1"/>
  <c r="CE377" i="5" s="1"/>
  <c r="CE378" i="5" s="1"/>
  <c r="CE379" i="5" s="1"/>
  <c r="CE380" i="5" s="1"/>
  <c r="CE381" i="5" s="1"/>
  <c r="CE382" i="5" s="1"/>
  <c r="CE383" i="5" s="1"/>
  <c r="CE384" i="5" s="1"/>
  <c r="CE385" i="5" s="1"/>
  <c r="CE386" i="5" s="1"/>
  <c r="CE387" i="5" s="1"/>
  <c r="CE388" i="5" s="1"/>
  <c r="CE389" i="5" s="1"/>
  <c r="CE390" i="5" s="1"/>
  <c r="CE391" i="5" s="1"/>
  <c r="CE392" i="5" s="1"/>
  <c r="CE393" i="5" s="1"/>
  <c r="CE394" i="5" s="1"/>
  <c r="CE395" i="5" s="1"/>
  <c r="CE396" i="5" s="1"/>
  <c r="CE397" i="5" s="1"/>
  <c r="CE398" i="5" s="1"/>
  <c r="CE399" i="5" s="1"/>
  <c r="CE400" i="5" s="1"/>
  <c r="CE401" i="5" s="1"/>
  <c r="CE402" i="5" s="1"/>
  <c r="CE403" i="5" s="1"/>
  <c r="CE404" i="5" s="1"/>
  <c r="CE405" i="5" s="1"/>
  <c r="CE406" i="5" s="1"/>
  <c r="CE407" i="5" s="1"/>
  <c r="CE408" i="5" s="1"/>
  <c r="CE409" i="5" s="1"/>
  <c r="CE410" i="5" s="1"/>
  <c r="CE411" i="5" s="1"/>
  <c r="CE412" i="5" s="1"/>
  <c r="CE413" i="5" s="1"/>
  <c r="CE414" i="5" s="1"/>
  <c r="CE415" i="5" s="1"/>
  <c r="CE416" i="5" s="1"/>
  <c r="CE417" i="5" s="1"/>
  <c r="CE418" i="5" s="1"/>
  <c r="CE419" i="5" s="1"/>
  <c r="CE420" i="5" s="1"/>
  <c r="CE421" i="5" s="1"/>
  <c r="CE422" i="5" s="1"/>
  <c r="CE423" i="5" s="1"/>
  <c r="CE424" i="5" s="1"/>
  <c r="CE425" i="5" s="1"/>
  <c r="CE426" i="5" s="1"/>
  <c r="CE427" i="5" s="1"/>
  <c r="CE428" i="5" s="1"/>
  <c r="CE429" i="5" s="1"/>
  <c r="CE430" i="5" s="1"/>
  <c r="CE431" i="5" s="1"/>
  <c r="CE432" i="5" s="1"/>
  <c r="CE433" i="5" s="1"/>
  <c r="CE434" i="5" s="1"/>
  <c r="CE435" i="5" s="1"/>
  <c r="CE436" i="5" s="1"/>
  <c r="CE437" i="5" s="1"/>
  <c r="CE438" i="5" s="1"/>
  <c r="CE439" i="5" s="1"/>
  <c r="CE440" i="5" s="1"/>
  <c r="CE441" i="5" s="1"/>
  <c r="CE442" i="5" s="1"/>
  <c r="CE443" i="5" s="1"/>
  <c r="CE444" i="5" s="1"/>
  <c r="CE445" i="5" s="1"/>
  <c r="CE446" i="5" s="1"/>
  <c r="CE447" i="5" s="1"/>
  <c r="CE448" i="5" s="1"/>
  <c r="CE449" i="5" s="1"/>
  <c r="CE450" i="5" s="1"/>
  <c r="CE451" i="5" s="1"/>
  <c r="CE452" i="5" s="1"/>
  <c r="CE453" i="5" s="1"/>
  <c r="CE454" i="5" s="1"/>
  <c r="CE455" i="5" s="1"/>
  <c r="CE456" i="5" s="1"/>
  <c r="CE457" i="5" s="1"/>
  <c r="CE458" i="5" s="1"/>
  <c r="CE459" i="5" s="1"/>
  <c r="CE460" i="5" s="1"/>
  <c r="CE461" i="5" s="1"/>
  <c r="CE462" i="5" s="1"/>
  <c r="CE463" i="5" s="1"/>
  <c r="CE464" i="5" s="1"/>
  <c r="CE465" i="5" s="1"/>
  <c r="CE466" i="5" s="1"/>
  <c r="CE467" i="5" s="1"/>
  <c r="CE468" i="5" s="1"/>
  <c r="CE469" i="5" s="1"/>
  <c r="CE470" i="5" s="1"/>
  <c r="CE471" i="5" s="1"/>
  <c r="CE472" i="5" s="1"/>
  <c r="CE473" i="5" s="1"/>
  <c r="CE474" i="5" s="1"/>
  <c r="CE475" i="5" s="1"/>
  <c r="CE476" i="5" s="1"/>
  <c r="CE477" i="5" s="1"/>
  <c r="CE478" i="5" s="1"/>
  <c r="CE479" i="5" s="1"/>
  <c r="CE480" i="5" s="1"/>
  <c r="CE481" i="5" s="1"/>
  <c r="CE482" i="5" s="1"/>
  <c r="CE483" i="5" s="1"/>
  <c r="CE484" i="5" s="1"/>
  <c r="CE485" i="5" s="1"/>
  <c r="CE486" i="5" s="1"/>
  <c r="CE487" i="5" s="1"/>
  <c r="CE488" i="5" s="1"/>
  <c r="CE489" i="5" s="1"/>
  <c r="CE490" i="5" s="1"/>
  <c r="CE491" i="5" s="1"/>
  <c r="CE492" i="5" s="1"/>
  <c r="CE493" i="5" s="1"/>
  <c r="CE494" i="5" s="1"/>
  <c r="CE495" i="5" s="1"/>
  <c r="CE496" i="5" s="1"/>
  <c r="CE497" i="5" s="1"/>
  <c r="CE498" i="5" s="1"/>
  <c r="CE499" i="5" s="1"/>
  <c r="CE500" i="5" s="1"/>
  <c r="CE501" i="5" s="1"/>
  <c r="CE502" i="5" s="1"/>
  <c r="CE503" i="5" s="1"/>
  <c r="CE504" i="5" s="1"/>
  <c r="CE505" i="5" s="1"/>
  <c r="CE506" i="5" s="1"/>
  <c r="CE507" i="5" s="1"/>
  <c r="CE508" i="5" s="1"/>
  <c r="CE509" i="5" s="1"/>
  <c r="CE510" i="5" s="1"/>
  <c r="CE511" i="5" s="1"/>
  <c r="CE512" i="5" s="1"/>
  <c r="CE513" i="5" s="1"/>
  <c r="CE514" i="5" s="1"/>
  <c r="CE515" i="5" s="1"/>
  <c r="CE516" i="5" s="1"/>
  <c r="CE517" i="5" s="1"/>
  <c r="CE518" i="5" s="1"/>
  <c r="CE519" i="5" s="1"/>
  <c r="CE520" i="5" s="1"/>
  <c r="CE521" i="5" s="1"/>
  <c r="CE522" i="5" s="1"/>
  <c r="CE523" i="5" s="1"/>
  <c r="CE524" i="5" s="1"/>
  <c r="CE525" i="5" s="1"/>
  <c r="CE526" i="5" s="1"/>
  <c r="CE527" i="5" s="1"/>
  <c r="CE528" i="5" s="1"/>
  <c r="CE529" i="5" s="1"/>
  <c r="CE530" i="5" s="1"/>
  <c r="CE531" i="5" s="1"/>
  <c r="CE532" i="5" s="1"/>
  <c r="CE533" i="5" s="1"/>
  <c r="CE534" i="5" s="1"/>
  <c r="CE535" i="5" s="1"/>
  <c r="CE536" i="5" s="1"/>
  <c r="CE537" i="5" s="1"/>
  <c r="CE538" i="5" s="1"/>
  <c r="CE539" i="5" s="1"/>
  <c r="CE540" i="5" s="1"/>
  <c r="CE541" i="5" s="1"/>
  <c r="CE542" i="5" s="1"/>
  <c r="CE543" i="5" s="1"/>
  <c r="CE544" i="5" s="1"/>
  <c r="CE545" i="5" s="1"/>
  <c r="CE546" i="5" s="1"/>
  <c r="CE547" i="5" s="1"/>
  <c r="CE548" i="5" s="1"/>
  <c r="CE549" i="5" s="1"/>
  <c r="CE550" i="5" s="1"/>
  <c r="CE551" i="5" s="1"/>
  <c r="CE552" i="5" s="1"/>
  <c r="CE553" i="5" s="1"/>
  <c r="CE554" i="5" s="1"/>
  <c r="CE555" i="5" s="1"/>
  <c r="CE556" i="5" s="1"/>
  <c r="CE557" i="5" s="1"/>
  <c r="CE558" i="5" s="1"/>
  <c r="CE559" i="5" s="1"/>
  <c r="CE560" i="5" s="1"/>
  <c r="CE561" i="5" s="1"/>
  <c r="CE562" i="5" s="1"/>
  <c r="CE563" i="5" s="1"/>
  <c r="CE564" i="5" s="1"/>
  <c r="CE565" i="5" s="1"/>
  <c r="CE566" i="5" s="1"/>
  <c r="CE567" i="5" s="1"/>
  <c r="CE568" i="5" s="1"/>
  <c r="CE569" i="5" s="1"/>
  <c r="CE570" i="5" s="1"/>
  <c r="CE571" i="5" s="1"/>
  <c r="CE572" i="5" s="1"/>
  <c r="CE573" i="5" s="1"/>
  <c r="CE574" i="5" s="1"/>
  <c r="CE575" i="5" s="1"/>
  <c r="CE576" i="5" s="1"/>
  <c r="CE577" i="5" s="1"/>
  <c r="CE578" i="5" s="1"/>
  <c r="CE579" i="5" s="1"/>
  <c r="CE580" i="5" s="1"/>
  <c r="CE581" i="5" s="1"/>
  <c r="CE582" i="5" s="1"/>
  <c r="CE583" i="5" s="1"/>
  <c r="CE584" i="5" s="1"/>
  <c r="CE585" i="5" s="1"/>
  <c r="CE586" i="5" s="1"/>
  <c r="CE587" i="5" s="1"/>
  <c r="CE588" i="5" s="1"/>
  <c r="CE589" i="5" s="1"/>
  <c r="CE590" i="5" s="1"/>
  <c r="CE591" i="5" s="1"/>
  <c r="CE592" i="5" s="1"/>
  <c r="CE593" i="5" s="1"/>
  <c r="CE594" i="5" s="1"/>
  <c r="CE595" i="5" s="1"/>
  <c r="CE596" i="5" s="1"/>
  <c r="CE597" i="5" s="1"/>
  <c r="CE598" i="5" s="1"/>
  <c r="CE599" i="5" s="1"/>
  <c r="CE600" i="5" s="1"/>
  <c r="CE601" i="5" s="1"/>
  <c r="CE602" i="5" s="1"/>
  <c r="CE603" i="5" s="1"/>
  <c r="CE604" i="5" s="1"/>
  <c r="CE605" i="5" s="1"/>
  <c r="CE606" i="5" s="1"/>
  <c r="CE607" i="5" s="1"/>
  <c r="CE608" i="5" s="1"/>
  <c r="CE609" i="5" s="1"/>
  <c r="CE610" i="5" s="1"/>
  <c r="CE611" i="5" s="1"/>
  <c r="CE612" i="5" s="1"/>
  <c r="CE613" i="5" s="1"/>
  <c r="CE614" i="5" s="1"/>
  <c r="CE615" i="5" s="1"/>
  <c r="CE616" i="5" s="1"/>
  <c r="CE617" i="5" s="1"/>
  <c r="CE618" i="5" s="1"/>
  <c r="CE619" i="5" s="1"/>
  <c r="CE620" i="5" s="1"/>
  <c r="CE621" i="5" s="1"/>
  <c r="CE622" i="5" s="1"/>
  <c r="CE623" i="5" s="1"/>
  <c r="CE624" i="5" s="1"/>
  <c r="CE625" i="5" s="1"/>
  <c r="CE626" i="5" s="1"/>
  <c r="CE627" i="5" s="1"/>
  <c r="CE628" i="5" s="1"/>
  <c r="CE629" i="5" s="1"/>
  <c r="CE630" i="5" s="1"/>
  <c r="CE631" i="5" s="1"/>
  <c r="CE632" i="5" s="1"/>
  <c r="CE633" i="5" s="1"/>
  <c r="CE634" i="5" s="1"/>
  <c r="CE635" i="5" s="1"/>
  <c r="CE636" i="5" s="1"/>
  <c r="CE637" i="5" s="1"/>
  <c r="CE638" i="5" s="1"/>
  <c r="CE639" i="5" s="1"/>
  <c r="CE640" i="5" s="1"/>
  <c r="CE641" i="5" s="1"/>
  <c r="CE642" i="5" s="1"/>
  <c r="CE643" i="5" s="1"/>
  <c r="CE644" i="5" s="1"/>
  <c r="CE645" i="5" s="1"/>
  <c r="CE646" i="5" s="1"/>
  <c r="CE647" i="5" s="1"/>
  <c r="CE648" i="5" s="1"/>
  <c r="CE649" i="5" s="1"/>
  <c r="CE650" i="5" s="1"/>
  <c r="CE651" i="5" s="1"/>
  <c r="CE652" i="5" s="1"/>
  <c r="CE653" i="5" s="1"/>
  <c r="CE654" i="5" s="1"/>
  <c r="CE655" i="5" s="1"/>
  <c r="CE656" i="5" s="1"/>
  <c r="CE657" i="5" s="1"/>
  <c r="CE658" i="5" s="1"/>
  <c r="CE659" i="5" s="1"/>
  <c r="CE660" i="5" s="1"/>
  <c r="CE661" i="5" s="1"/>
  <c r="CE662" i="5" s="1"/>
  <c r="CE663" i="5" s="1"/>
  <c r="CE664" i="5" s="1"/>
  <c r="CE665" i="5" s="1"/>
  <c r="CE666" i="5" s="1"/>
  <c r="CE667" i="5" s="1"/>
  <c r="CE668" i="5" s="1"/>
  <c r="CE669" i="5" s="1"/>
  <c r="CE670" i="5" s="1"/>
  <c r="CE671" i="5" s="1"/>
  <c r="CE672" i="5" s="1"/>
  <c r="CE673" i="5" s="1"/>
  <c r="CE674" i="5" s="1"/>
  <c r="CE675" i="5" s="1"/>
  <c r="CE676" i="5" s="1"/>
  <c r="CE677" i="5" s="1"/>
  <c r="CE678" i="5" s="1"/>
  <c r="CE679" i="5" s="1"/>
  <c r="CE680" i="5" s="1"/>
  <c r="CE681" i="5" s="1"/>
  <c r="CE682" i="5" s="1"/>
  <c r="CE683" i="5" s="1"/>
  <c r="CE684" i="5" s="1"/>
  <c r="CE685" i="5" s="1"/>
  <c r="CE686" i="5" s="1"/>
  <c r="CE687" i="5" s="1"/>
  <c r="CE688" i="5" s="1"/>
  <c r="CE689" i="5" s="1"/>
  <c r="CE690" i="5" s="1"/>
  <c r="CE691" i="5" s="1"/>
  <c r="CE692" i="5" s="1"/>
  <c r="CE693" i="5" s="1"/>
  <c r="CE694" i="5" s="1"/>
  <c r="CE695" i="5" s="1"/>
  <c r="CE696" i="5" s="1"/>
  <c r="CE697" i="5" s="1"/>
  <c r="CE698" i="5" s="1"/>
  <c r="CE699" i="5" s="1"/>
  <c r="CE700" i="5" s="1"/>
  <c r="CE701" i="5" s="1"/>
  <c r="CE702" i="5" s="1"/>
  <c r="CE703" i="5" s="1"/>
  <c r="CE704" i="5" s="1"/>
  <c r="CE705" i="5" s="1"/>
  <c r="CE706" i="5" s="1"/>
  <c r="CE707" i="5" s="1"/>
  <c r="CE708" i="5" s="1"/>
  <c r="CE709" i="5" s="1"/>
  <c r="CE710" i="5" s="1"/>
  <c r="CE711" i="5" s="1"/>
  <c r="CE712" i="5" s="1"/>
  <c r="CE713" i="5" s="1"/>
  <c r="CE714" i="5" s="1"/>
  <c r="CE715" i="5" s="1"/>
  <c r="CE716" i="5" s="1"/>
  <c r="CE717" i="5" s="1"/>
  <c r="CE718" i="5" s="1"/>
  <c r="CE719" i="5" s="1"/>
  <c r="CE720" i="5" s="1"/>
  <c r="CE721" i="5" s="1"/>
  <c r="CE722" i="5" s="1"/>
  <c r="CE723" i="5" s="1"/>
  <c r="CE724" i="5" s="1"/>
  <c r="CE725" i="5" s="1"/>
  <c r="CE726" i="5" s="1"/>
  <c r="CE727" i="5" s="1"/>
  <c r="CE728" i="5" s="1"/>
  <c r="CE729" i="5" s="1"/>
  <c r="CE730" i="5" s="1"/>
  <c r="CE731" i="5" s="1"/>
  <c r="CE732" i="5" s="1"/>
  <c r="CE733" i="5" s="1"/>
  <c r="CE734" i="5" s="1"/>
  <c r="CE735" i="5" s="1"/>
  <c r="CE736" i="5" s="1"/>
  <c r="CE737" i="5" s="1"/>
  <c r="CE738" i="5" s="1"/>
  <c r="CE739" i="5" s="1"/>
  <c r="CE740" i="5" s="1"/>
  <c r="CE741" i="5" s="1"/>
  <c r="CE742" i="5" s="1"/>
  <c r="CE743" i="5" s="1"/>
  <c r="CE744" i="5" s="1"/>
  <c r="CE745" i="5" s="1"/>
  <c r="CE746" i="5" s="1"/>
  <c r="CE747" i="5" s="1"/>
  <c r="CE748" i="5" s="1"/>
  <c r="CE749" i="5" s="1"/>
  <c r="CE750" i="5" s="1"/>
  <c r="CE751" i="5" s="1"/>
  <c r="CE752" i="5" s="1"/>
  <c r="CE753" i="5" s="1"/>
  <c r="CG122" i="5"/>
  <c r="CG121" i="5"/>
  <c r="CC94" i="5"/>
  <c r="BR161" i="5" l="1"/>
  <c r="AZ131" i="5"/>
  <c r="BA132" i="5" s="1"/>
  <c r="BB131" i="5"/>
  <c r="A102" i="6"/>
  <c r="B128" i="5"/>
  <c r="B103" i="6" s="1"/>
  <c r="CG124" i="5"/>
  <c r="CF125" i="5"/>
  <c r="CA94" i="5"/>
  <c r="BZ95" i="5" s="1"/>
  <c r="CB95" i="5" s="1"/>
  <c r="BR162" i="5" l="1"/>
  <c r="AZ132" i="5"/>
  <c r="BA133" i="5" s="1"/>
  <c r="BB132" i="5"/>
  <c r="A103" i="6"/>
  <c r="B129" i="5"/>
  <c r="B104" i="6" s="1"/>
  <c r="CG125" i="5"/>
  <c r="CF126" i="5"/>
  <c r="CC95" i="5"/>
  <c r="BR163" i="5" l="1"/>
  <c r="AZ133" i="5"/>
  <c r="BA134" i="5" s="1"/>
  <c r="BB133" i="5"/>
  <c r="A104" i="6"/>
  <c r="B130" i="5"/>
  <c r="B105" i="6" s="1"/>
  <c r="CG126" i="5"/>
  <c r="CF127" i="5"/>
  <c r="CA95" i="5"/>
  <c r="BZ96" i="5" s="1"/>
  <c r="CB96" i="5" s="1"/>
  <c r="BR164" i="5" l="1"/>
  <c r="AZ134" i="5"/>
  <c r="BA135" i="5" s="1"/>
  <c r="BB134" i="5"/>
  <c r="A105" i="6"/>
  <c r="B131" i="5"/>
  <c r="B106" i="6" s="1"/>
  <c r="CF128" i="5"/>
  <c r="CG127" i="5"/>
  <c r="CC96" i="5"/>
  <c r="BR165" i="5" l="1"/>
  <c r="AZ135" i="5"/>
  <c r="BA136" i="5" s="1"/>
  <c r="BB135" i="5"/>
  <c r="A106" i="6"/>
  <c r="B132" i="5"/>
  <c r="B107" i="6" s="1"/>
  <c r="CG128" i="5"/>
  <c r="CF129" i="5"/>
  <c r="CA96" i="5"/>
  <c r="BZ97" i="5" s="1"/>
  <c r="CB97" i="5" s="1"/>
  <c r="BR166" i="5" l="1"/>
  <c r="AZ136" i="5"/>
  <c r="BA137" i="5" s="1"/>
  <c r="BB136" i="5"/>
  <c r="A107" i="6"/>
  <c r="B133" i="5"/>
  <c r="B108" i="6" s="1"/>
  <c r="CG129" i="5"/>
  <c r="CF130" i="5"/>
  <c r="CC97" i="5"/>
  <c r="BR167" i="5" l="1"/>
  <c r="AZ137" i="5"/>
  <c r="BA138" i="5" s="1"/>
  <c r="AZ138" i="5" s="1"/>
  <c r="BA139" i="5" s="1"/>
  <c r="BB137" i="5"/>
  <c r="A108" i="6"/>
  <c r="B134" i="5"/>
  <c r="B109" i="6" s="1"/>
  <c r="CG130" i="5"/>
  <c r="CF131" i="5"/>
  <c r="CA97" i="5"/>
  <c r="BZ98" i="5" s="1"/>
  <c r="CB98" i="5" s="1"/>
  <c r="BR168" i="5" l="1"/>
  <c r="AZ139" i="5"/>
  <c r="BA140" i="5" s="1"/>
  <c r="BB139" i="5"/>
  <c r="A109" i="6"/>
  <c r="B135" i="5"/>
  <c r="B110" i="6" s="1"/>
  <c r="CG131" i="5"/>
  <c r="CF132" i="5"/>
  <c r="CC98" i="5"/>
  <c r="BR169" i="5" l="1"/>
  <c r="AZ140" i="5"/>
  <c r="BA141" i="5" s="1"/>
  <c r="BB140" i="5"/>
  <c r="A110" i="6"/>
  <c r="B136" i="5"/>
  <c r="B111" i="6" s="1"/>
  <c r="CF133" i="5"/>
  <c r="CG132" i="5"/>
  <c r="CA98" i="5"/>
  <c r="BZ99" i="5" s="1"/>
  <c r="CB99" i="5" s="1"/>
  <c r="BR170" i="5" l="1"/>
  <c r="AZ141" i="5"/>
  <c r="BA142" i="5" s="1"/>
  <c r="BB141" i="5"/>
  <c r="A111" i="6"/>
  <c r="B137" i="5"/>
  <c r="B112" i="6" s="1"/>
  <c r="CG133" i="5"/>
  <c r="CF134" i="5"/>
  <c r="CC99" i="5"/>
  <c r="BR171" i="5" l="1"/>
  <c r="AZ142" i="5"/>
  <c r="BA143" i="5" s="1"/>
  <c r="BB142" i="5"/>
  <c r="A112" i="6"/>
  <c r="B138" i="5"/>
  <c r="B113" i="6" s="1"/>
  <c r="CG134" i="5"/>
  <c r="CF135" i="5"/>
  <c r="CA99" i="5"/>
  <c r="BZ100" i="5" s="1"/>
  <c r="CB100" i="5" s="1"/>
  <c r="BR172" i="5" l="1"/>
  <c r="AZ143" i="5"/>
  <c r="BA144" i="5" s="1"/>
  <c r="BB143" i="5"/>
  <c r="A113" i="6"/>
  <c r="B139" i="5"/>
  <c r="B114" i="6" s="1"/>
  <c r="CG135" i="5"/>
  <c r="CF136" i="5"/>
  <c r="CC100" i="5"/>
  <c r="BR173" i="5" l="1"/>
  <c r="AZ144" i="5"/>
  <c r="BA145" i="5" s="1"/>
  <c r="BB144" i="5"/>
  <c r="A114" i="6"/>
  <c r="B140" i="5"/>
  <c r="B115" i="6" s="1"/>
  <c r="CF137" i="5"/>
  <c r="CG136" i="5"/>
  <c r="CA100" i="5"/>
  <c r="BZ101" i="5" s="1"/>
  <c r="CB101" i="5" s="1"/>
  <c r="BR174" i="5" l="1"/>
  <c r="AZ145" i="5"/>
  <c r="BA146" i="5" s="1"/>
  <c r="BB145" i="5"/>
  <c r="A115" i="6"/>
  <c r="B141" i="5"/>
  <c r="B116" i="6" s="1"/>
  <c r="CF138" i="5"/>
  <c r="CG137" i="5"/>
  <c r="CC101" i="5"/>
  <c r="BR175" i="5" l="1"/>
  <c r="AZ146" i="5"/>
  <c r="BA147" i="5" s="1"/>
  <c r="BB146" i="5"/>
  <c r="A116" i="6"/>
  <c r="B142" i="5"/>
  <c r="B117" i="6" s="1"/>
  <c r="CG138" i="5"/>
  <c r="CF139" i="5"/>
  <c r="CA101" i="5"/>
  <c r="BZ102" i="5" s="1"/>
  <c r="CB102" i="5" s="1"/>
  <c r="BR176" i="5" l="1"/>
  <c r="AZ147" i="5"/>
  <c r="BA148" i="5" s="1"/>
  <c r="BB147" i="5"/>
  <c r="A117" i="6"/>
  <c r="B143" i="5"/>
  <c r="B118" i="6" s="1"/>
  <c r="CG139" i="5"/>
  <c r="CF140" i="5"/>
  <c r="CC102" i="5"/>
  <c r="BR177" i="5" l="1"/>
  <c r="AZ148" i="5"/>
  <c r="BA149" i="5" s="1"/>
  <c r="BB148" i="5"/>
  <c r="A118" i="6"/>
  <c r="B144" i="5"/>
  <c r="B119" i="6" s="1"/>
  <c r="CF141" i="5"/>
  <c r="CG140" i="5"/>
  <c r="CA102" i="5"/>
  <c r="BZ103" i="5" s="1"/>
  <c r="CB103" i="5" s="1"/>
  <c r="BR178" i="5" l="1"/>
  <c r="AZ149" i="5"/>
  <c r="BA150" i="5" s="1"/>
  <c r="BB149" i="5"/>
  <c r="A119" i="6"/>
  <c r="B145" i="5"/>
  <c r="B120" i="6" s="1"/>
  <c r="CG141" i="5"/>
  <c r="CF142" i="5"/>
  <c r="CC103" i="5"/>
  <c r="BR179" i="5" l="1"/>
  <c r="AZ150" i="5"/>
  <c r="BA151" i="5" s="1"/>
  <c r="BB150" i="5"/>
  <c r="A120" i="6"/>
  <c r="B146" i="5"/>
  <c r="B121" i="6" s="1"/>
  <c r="CG142" i="5"/>
  <c r="CF143" i="5"/>
  <c r="CA103" i="5"/>
  <c r="BZ104" i="5" s="1"/>
  <c r="CB104" i="5" s="1"/>
  <c r="BR180" i="5" l="1"/>
  <c r="AZ151" i="5"/>
  <c r="BA152" i="5" s="1"/>
  <c r="BB151" i="5"/>
  <c r="A121" i="6"/>
  <c r="B147" i="5"/>
  <c r="B122" i="6" s="1"/>
  <c r="CG143" i="5"/>
  <c r="CF144" i="5"/>
  <c r="CC104" i="5"/>
  <c r="BR181" i="5" l="1"/>
  <c r="AZ152" i="5"/>
  <c r="BA153" i="5" s="1"/>
  <c r="BB152" i="5"/>
  <c r="A122" i="6"/>
  <c r="B148" i="5"/>
  <c r="B123" i="6" s="1"/>
  <c r="CG144" i="5"/>
  <c r="CF145" i="5"/>
  <c r="CA104" i="5"/>
  <c r="BZ105" i="5" s="1"/>
  <c r="CB105" i="5" s="1"/>
  <c r="BR182" i="5" l="1"/>
  <c r="AZ153" i="5"/>
  <c r="BA154" i="5" s="1"/>
  <c r="BB153" i="5"/>
  <c r="A123" i="6"/>
  <c r="B149" i="5"/>
  <c r="B124" i="6" s="1"/>
  <c r="CG145" i="5"/>
  <c r="CF146" i="5"/>
  <c r="CC105" i="5"/>
  <c r="BR183" i="5" l="1"/>
  <c r="AZ154" i="5"/>
  <c r="BA155" i="5" s="1"/>
  <c r="BB154" i="5"/>
  <c r="A124" i="6"/>
  <c r="B150" i="5"/>
  <c r="B125" i="6" s="1"/>
  <c r="CF147" i="5"/>
  <c r="CG146" i="5"/>
  <c r="CA105" i="5"/>
  <c r="BZ106" i="5" s="1"/>
  <c r="CB106" i="5" s="1"/>
  <c r="BR184" i="5" l="1"/>
  <c r="AZ155" i="5"/>
  <c r="BA156" i="5" s="1"/>
  <c r="BB155" i="5"/>
  <c r="A125" i="6"/>
  <c r="B151" i="5"/>
  <c r="B126" i="6" s="1"/>
  <c r="CG147" i="5"/>
  <c r="CF148" i="5"/>
  <c r="CC106" i="5"/>
  <c r="BR185" i="5" l="1"/>
  <c r="AZ156" i="5"/>
  <c r="BA157" i="5" s="1"/>
  <c r="BB156" i="5"/>
  <c r="A126" i="6"/>
  <c r="B152" i="5"/>
  <c r="B127" i="6" s="1"/>
  <c r="CG148" i="5"/>
  <c r="CF149" i="5"/>
  <c r="CA106" i="5"/>
  <c r="BZ107" i="5" s="1"/>
  <c r="CB107" i="5" s="1"/>
  <c r="BR186" i="5" l="1"/>
  <c r="AZ157" i="5"/>
  <c r="BA158" i="5" s="1"/>
  <c r="BB157" i="5"/>
  <c r="A127" i="6"/>
  <c r="B153" i="5"/>
  <c r="B128" i="6" s="1"/>
  <c r="CG149" i="5"/>
  <c r="CF150" i="5"/>
  <c r="CC107" i="5"/>
  <c r="BR187" i="5" l="1"/>
  <c r="AZ158" i="5"/>
  <c r="BA159" i="5" s="1"/>
  <c r="BB158" i="5"/>
  <c r="A128" i="6"/>
  <c r="B154" i="5"/>
  <c r="B129" i="6" s="1"/>
  <c r="CG150" i="5"/>
  <c r="CF151" i="5"/>
  <c r="CA107" i="5"/>
  <c r="BZ108" i="5" s="1"/>
  <c r="CB108" i="5" s="1"/>
  <c r="BR188" i="5" l="1"/>
  <c r="AZ159" i="5"/>
  <c r="BA160" i="5" s="1"/>
  <c r="AZ160" i="5" s="1"/>
  <c r="BA161" i="5" s="1"/>
  <c r="BB159" i="5"/>
  <c r="A129" i="6"/>
  <c r="B155" i="5"/>
  <c r="B130" i="6" s="1"/>
  <c r="CG151" i="5"/>
  <c r="CF152" i="5"/>
  <c r="CC108" i="5"/>
  <c r="BR189" i="5" l="1"/>
  <c r="AZ161" i="5"/>
  <c r="BA162" i="5" s="1"/>
  <c r="BB161" i="5"/>
  <c r="A130" i="6"/>
  <c r="B156" i="5"/>
  <c r="B131" i="6" s="1"/>
  <c r="CG152" i="5"/>
  <c r="CF153" i="5"/>
  <c r="CA108" i="5"/>
  <c r="BZ109" i="5" s="1"/>
  <c r="CB109" i="5" s="1"/>
  <c r="BR190" i="5" l="1"/>
  <c r="AZ162" i="5"/>
  <c r="BA163" i="5" s="1"/>
  <c r="BB162" i="5"/>
  <c r="A131" i="6"/>
  <c r="B157" i="5"/>
  <c r="B132" i="6" s="1"/>
  <c r="CF154" i="5"/>
  <c r="CG153" i="5"/>
  <c r="CC109" i="5"/>
  <c r="BR191" i="5" l="1"/>
  <c r="AZ163" i="5"/>
  <c r="BA164" i="5" s="1"/>
  <c r="BB163" i="5"/>
  <c r="A132" i="6"/>
  <c r="B158" i="5"/>
  <c r="B133" i="6" s="1"/>
  <c r="CF155" i="5"/>
  <c r="CG154" i="5"/>
  <c r="CA109" i="5"/>
  <c r="BZ110" i="5" s="1"/>
  <c r="CB110" i="5" s="1"/>
  <c r="BR192" i="5" l="1"/>
  <c r="AZ164" i="5"/>
  <c r="BA165" i="5" s="1"/>
  <c r="BB164" i="5"/>
  <c r="A133" i="6"/>
  <c r="B159" i="5"/>
  <c r="B134" i="6" s="1"/>
  <c r="CG155" i="5"/>
  <c r="CF156" i="5"/>
  <c r="CC110" i="5"/>
  <c r="BR193" i="5" l="1"/>
  <c r="AZ165" i="5"/>
  <c r="BA166" i="5" s="1"/>
  <c r="BB165" i="5"/>
  <c r="A134" i="6"/>
  <c r="B160" i="5"/>
  <c r="B135" i="6" s="1"/>
  <c r="CG156" i="5"/>
  <c r="CF157" i="5"/>
  <c r="CA110" i="5"/>
  <c r="BZ111" i="5" s="1"/>
  <c r="CB111" i="5" s="1"/>
  <c r="BR194" i="5" l="1"/>
  <c r="AZ166" i="5"/>
  <c r="BA167" i="5" s="1"/>
  <c r="BB166" i="5"/>
  <c r="A135" i="6"/>
  <c r="B161" i="5"/>
  <c r="B136" i="6" s="1"/>
  <c r="CG157" i="5"/>
  <c r="CF158" i="5"/>
  <c r="CC111" i="5"/>
  <c r="BR195" i="5" l="1"/>
  <c r="AZ167" i="5"/>
  <c r="BA168" i="5" s="1"/>
  <c r="BB167" i="5"/>
  <c r="A136" i="6"/>
  <c r="B162" i="5"/>
  <c r="B137" i="6" s="1"/>
  <c r="CF159" i="5"/>
  <c r="CG158" i="5"/>
  <c r="CA111" i="5"/>
  <c r="BZ112" i="5" s="1"/>
  <c r="CB112" i="5" s="1"/>
  <c r="BR196" i="5" l="1"/>
  <c r="AZ168" i="5"/>
  <c r="BA169" i="5" s="1"/>
  <c r="BB168" i="5"/>
  <c r="A137" i="6"/>
  <c r="B163" i="5"/>
  <c r="B138" i="6" s="1"/>
  <c r="CG159" i="5"/>
  <c r="CF160" i="5"/>
  <c r="CC112" i="5"/>
  <c r="BR197" i="5" l="1"/>
  <c r="AZ169" i="5"/>
  <c r="BA170" i="5" s="1"/>
  <c r="BB169" i="5"/>
  <c r="A138" i="6"/>
  <c r="B164" i="5"/>
  <c r="B139" i="6" s="1"/>
  <c r="CG160" i="5"/>
  <c r="CF161" i="5"/>
  <c r="CA112" i="5"/>
  <c r="BZ113" i="5" s="1"/>
  <c r="CB113" i="5" s="1"/>
  <c r="BR198" i="5" l="1"/>
  <c r="AZ170" i="5"/>
  <c r="BA171" i="5" s="1"/>
  <c r="BB170" i="5"/>
  <c r="A139" i="6"/>
  <c r="B165" i="5"/>
  <c r="B140" i="6" s="1"/>
  <c r="CF162" i="5"/>
  <c r="CG161" i="5"/>
  <c r="CC113" i="5"/>
  <c r="BR199" i="5" l="1"/>
  <c r="AZ171" i="5"/>
  <c r="BA172" i="5" s="1"/>
  <c r="BB171" i="5"/>
  <c r="A140" i="6"/>
  <c r="B166" i="5"/>
  <c r="B141" i="6" s="1"/>
  <c r="CG162" i="5"/>
  <c r="CF163" i="5"/>
  <c r="CA113" i="5"/>
  <c r="BZ114" i="5" s="1"/>
  <c r="CB114" i="5" s="1"/>
  <c r="BR200" i="5" l="1"/>
  <c r="AZ172" i="5"/>
  <c r="BA173" i="5" s="1"/>
  <c r="BB172" i="5"/>
  <c r="A141" i="6"/>
  <c r="B167" i="5"/>
  <c r="B142" i="6" s="1"/>
  <c r="CG163" i="5"/>
  <c r="CF164" i="5"/>
  <c r="CC114" i="5"/>
  <c r="BR201" i="5" l="1"/>
  <c r="AZ173" i="5"/>
  <c r="BA174" i="5" s="1"/>
  <c r="BB173" i="5"/>
  <c r="A142" i="6"/>
  <c r="B168" i="5"/>
  <c r="B143" i="6" s="1"/>
  <c r="CG164" i="5"/>
  <c r="CF165" i="5"/>
  <c r="CA114" i="5"/>
  <c r="BZ115" i="5" s="1"/>
  <c r="CB115" i="5" s="1"/>
  <c r="BR202" i="5" l="1"/>
  <c r="AZ174" i="5"/>
  <c r="BA175" i="5" s="1"/>
  <c r="BB174" i="5"/>
  <c r="A143" i="6"/>
  <c r="B169" i="5"/>
  <c r="B144" i="6" s="1"/>
  <c r="CF166" i="5"/>
  <c r="CG165" i="5"/>
  <c r="CC115" i="5"/>
  <c r="BR203" i="5" l="1"/>
  <c r="AZ175" i="5"/>
  <c r="BA176" i="5" s="1"/>
  <c r="BB175" i="5"/>
  <c r="A144" i="6"/>
  <c r="B170" i="5"/>
  <c r="B145" i="6" s="1"/>
  <c r="CG166" i="5"/>
  <c r="CF167" i="5"/>
  <c r="CA115" i="5"/>
  <c r="BZ116" i="5" s="1"/>
  <c r="CB116" i="5" s="1"/>
  <c r="BR204" i="5" l="1"/>
  <c r="AZ176" i="5"/>
  <c r="BA177" i="5" s="1"/>
  <c r="BB176" i="5"/>
  <c r="A145" i="6"/>
  <c r="B171" i="5"/>
  <c r="B146" i="6" s="1"/>
  <c r="CG167" i="5"/>
  <c r="CF168" i="5"/>
  <c r="CC116" i="5"/>
  <c r="BR205" i="5" l="1"/>
  <c r="AZ177" i="5"/>
  <c r="BA178" i="5" s="1"/>
  <c r="BB177" i="5"/>
  <c r="A146" i="6"/>
  <c r="B172" i="5"/>
  <c r="B147" i="6" s="1"/>
  <c r="CG168" i="5"/>
  <c r="CF169" i="5"/>
  <c r="CA116" i="5"/>
  <c r="BZ117" i="5" s="1"/>
  <c r="CB117" i="5" s="1"/>
  <c r="BR206" i="5" l="1"/>
  <c r="AZ178" i="5"/>
  <c r="BA179" i="5" s="1"/>
  <c r="BB178" i="5"/>
  <c r="A147" i="6"/>
  <c r="B173" i="5"/>
  <c r="B148" i="6" s="1"/>
  <c r="CG169" i="5"/>
  <c r="CF170" i="5"/>
  <c r="CC117" i="5"/>
  <c r="BR207" i="5" l="1"/>
  <c r="AZ179" i="5"/>
  <c r="BA180" i="5" s="1"/>
  <c r="BB179" i="5"/>
  <c r="A148" i="6"/>
  <c r="B174" i="5"/>
  <c r="B149" i="6" s="1"/>
  <c r="CG170" i="5"/>
  <c r="CF171" i="5"/>
  <c r="CA117" i="5"/>
  <c r="BZ118" i="5" s="1"/>
  <c r="CB118" i="5" s="1"/>
  <c r="BR208" i="5" l="1"/>
  <c r="AZ180" i="5"/>
  <c r="BA181" i="5" s="1"/>
  <c r="BB180" i="5"/>
  <c r="A149" i="6"/>
  <c r="B175" i="5"/>
  <c r="B150" i="6" s="1"/>
  <c r="CF172" i="5"/>
  <c r="CG171" i="5"/>
  <c r="CC118" i="5"/>
  <c r="BR209" i="5" l="1"/>
  <c r="AZ181" i="5"/>
  <c r="BA182" i="5" s="1"/>
  <c r="AZ182" i="5" s="1"/>
  <c r="BA183" i="5" s="1"/>
  <c r="BB181" i="5"/>
  <c r="A150" i="6"/>
  <c r="B176" i="5"/>
  <c r="B151" i="6" s="1"/>
  <c r="CG172" i="5"/>
  <c r="CF173" i="5"/>
  <c r="CA118" i="5"/>
  <c r="BZ119" i="5" s="1"/>
  <c r="CB119" i="5" s="1"/>
  <c r="BR210" i="5" l="1"/>
  <c r="AZ183" i="5"/>
  <c r="BA184" i="5" s="1"/>
  <c r="BB183" i="5"/>
  <c r="A151" i="6"/>
  <c r="B177" i="5"/>
  <c r="B152" i="6" s="1"/>
  <c r="CG173" i="5"/>
  <c r="CF174" i="5"/>
  <c r="CC119" i="5"/>
  <c r="BR211" i="5" l="1"/>
  <c r="AZ184" i="5"/>
  <c r="BA185" i="5" s="1"/>
  <c r="BB184" i="5"/>
  <c r="A152" i="6"/>
  <c r="B178" i="5"/>
  <c r="B153" i="6" s="1"/>
  <c r="CF175" i="5"/>
  <c r="CG174" i="5"/>
  <c r="CA119" i="5"/>
  <c r="BZ120" i="5" s="1"/>
  <c r="CB120" i="5" s="1"/>
  <c r="BR212" i="5" l="1"/>
  <c r="AZ185" i="5"/>
  <c r="BA186" i="5" s="1"/>
  <c r="BB185" i="5"/>
  <c r="A153" i="6"/>
  <c r="B179" i="5"/>
  <c r="B154" i="6" s="1"/>
  <c r="CG175" i="5"/>
  <c r="CF176" i="5"/>
  <c r="CC120" i="5"/>
  <c r="BR213" i="5" l="1"/>
  <c r="AZ186" i="5"/>
  <c r="BA187" i="5" s="1"/>
  <c r="BB186" i="5"/>
  <c r="A154" i="6"/>
  <c r="B180" i="5"/>
  <c r="B155" i="6" s="1"/>
  <c r="CG176" i="5"/>
  <c r="CF177" i="5"/>
  <c r="CA120" i="5"/>
  <c r="BZ121" i="5" s="1"/>
  <c r="CB121" i="5" s="1"/>
  <c r="BR214" i="5" l="1"/>
  <c r="AZ187" i="5"/>
  <c r="BA188" i="5" s="1"/>
  <c r="BB187" i="5"/>
  <c r="A155" i="6"/>
  <c r="B181" i="5"/>
  <c r="B156" i="6" s="1"/>
  <c r="CG177" i="5"/>
  <c r="CF178" i="5"/>
  <c r="CC121" i="5"/>
  <c r="BR215" i="5" l="1"/>
  <c r="AZ188" i="5"/>
  <c r="BA189" i="5" s="1"/>
  <c r="BB188" i="5"/>
  <c r="A156" i="6"/>
  <c r="B182" i="5"/>
  <c r="B157" i="6" s="1"/>
  <c r="CG178" i="5"/>
  <c r="CF179" i="5"/>
  <c r="CA121" i="5"/>
  <c r="BZ122" i="5" s="1"/>
  <c r="CB122" i="5" s="1"/>
  <c r="CB123" i="5" s="1"/>
  <c r="BR216" i="5" l="1"/>
  <c r="AZ189" i="5"/>
  <c r="BA190" i="5" s="1"/>
  <c r="BB189" i="5"/>
  <c r="A157" i="6"/>
  <c r="B183" i="5"/>
  <c r="B158" i="6" s="1"/>
  <c r="CG179" i="5"/>
  <c r="CF180" i="5"/>
  <c r="CC123" i="5"/>
  <c r="CB124" i="5"/>
  <c r="CC122" i="5"/>
  <c r="BR217" i="5" l="1"/>
  <c r="AZ190" i="5"/>
  <c r="BA191" i="5" s="1"/>
  <c r="BB190" i="5"/>
  <c r="A158" i="6"/>
  <c r="B184" i="5"/>
  <c r="B159" i="6" s="1"/>
  <c r="CF181" i="5"/>
  <c r="CG180" i="5"/>
  <c r="CC124" i="5"/>
  <c r="CB125" i="5"/>
  <c r="CA122" i="5"/>
  <c r="CA123" i="5" s="1"/>
  <c r="CA124" i="5" s="1"/>
  <c r="CA125" i="5" s="1"/>
  <c r="CA126" i="5" s="1"/>
  <c r="CA127" i="5" s="1"/>
  <c r="CA128" i="5" s="1"/>
  <c r="CA129" i="5" s="1"/>
  <c r="CA130" i="5" s="1"/>
  <c r="CA131" i="5" s="1"/>
  <c r="CA132" i="5" s="1"/>
  <c r="CA133" i="5" s="1"/>
  <c r="CA134" i="5" s="1"/>
  <c r="CA135" i="5" s="1"/>
  <c r="CA136" i="5" s="1"/>
  <c r="CA137" i="5" s="1"/>
  <c r="CA138" i="5" s="1"/>
  <c r="CA139" i="5" s="1"/>
  <c r="CA140" i="5" s="1"/>
  <c r="CA141" i="5" s="1"/>
  <c r="CA142" i="5" s="1"/>
  <c r="CA143" i="5" s="1"/>
  <c r="CA144" i="5" s="1"/>
  <c r="CA145" i="5" s="1"/>
  <c r="CA146" i="5" s="1"/>
  <c r="CA147" i="5" s="1"/>
  <c r="CA148" i="5" s="1"/>
  <c r="CA149" i="5" s="1"/>
  <c r="CA150" i="5" s="1"/>
  <c r="CA151" i="5" s="1"/>
  <c r="CA152" i="5" s="1"/>
  <c r="CA153" i="5" s="1"/>
  <c r="CA154" i="5" s="1"/>
  <c r="CA155" i="5" s="1"/>
  <c r="CA156" i="5" s="1"/>
  <c r="CA157" i="5" s="1"/>
  <c r="CA158" i="5" s="1"/>
  <c r="CA159" i="5" s="1"/>
  <c r="CA160" i="5" s="1"/>
  <c r="CA161" i="5" s="1"/>
  <c r="CA162" i="5" s="1"/>
  <c r="CA163" i="5" s="1"/>
  <c r="CA164" i="5" s="1"/>
  <c r="CA165" i="5" s="1"/>
  <c r="CA166" i="5" s="1"/>
  <c r="CA167" i="5" s="1"/>
  <c r="CA168" i="5" s="1"/>
  <c r="CA169" i="5" s="1"/>
  <c r="CA170" i="5" s="1"/>
  <c r="CA171" i="5" s="1"/>
  <c r="CA172" i="5" s="1"/>
  <c r="CA173" i="5" s="1"/>
  <c r="CA174" i="5" s="1"/>
  <c r="CA175" i="5" s="1"/>
  <c r="CA176" i="5" s="1"/>
  <c r="CA177" i="5" s="1"/>
  <c r="CA178" i="5" s="1"/>
  <c r="CA179" i="5" s="1"/>
  <c r="CA180" i="5" s="1"/>
  <c r="CA181" i="5" s="1"/>
  <c r="CA182" i="5" s="1"/>
  <c r="CA183" i="5" s="1"/>
  <c r="CA184" i="5" s="1"/>
  <c r="CA185" i="5" s="1"/>
  <c r="CA186" i="5" s="1"/>
  <c r="CA187" i="5" s="1"/>
  <c r="CA188" i="5" s="1"/>
  <c r="CA189" i="5" s="1"/>
  <c r="CA190" i="5" s="1"/>
  <c r="CA191" i="5" s="1"/>
  <c r="CA192" i="5" s="1"/>
  <c r="CA193" i="5" s="1"/>
  <c r="CA194" i="5" s="1"/>
  <c r="CA195" i="5" s="1"/>
  <c r="CA196" i="5" s="1"/>
  <c r="CA197" i="5" s="1"/>
  <c r="CA198" i="5" s="1"/>
  <c r="CA199" i="5" s="1"/>
  <c r="CA200" i="5" s="1"/>
  <c r="CA201" i="5" s="1"/>
  <c r="CA202" i="5" s="1"/>
  <c r="CA203" i="5" s="1"/>
  <c r="CA204" i="5" s="1"/>
  <c r="CA205" i="5" s="1"/>
  <c r="CA206" i="5" s="1"/>
  <c r="CA207" i="5" s="1"/>
  <c r="CA208" i="5" s="1"/>
  <c r="CA209" i="5" s="1"/>
  <c r="CA210" i="5" s="1"/>
  <c r="CA211" i="5" s="1"/>
  <c r="CA212" i="5" s="1"/>
  <c r="CA213" i="5" s="1"/>
  <c r="CA214" i="5" s="1"/>
  <c r="CA215" i="5" s="1"/>
  <c r="CA216" i="5" s="1"/>
  <c r="CA217" i="5" s="1"/>
  <c r="CA218" i="5" s="1"/>
  <c r="CA219" i="5" s="1"/>
  <c r="CA220" i="5" s="1"/>
  <c r="CA221" i="5" s="1"/>
  <c r="CA222" i="5" s="1"/>
  <c r="CA223" i="5" s="1"/>
  <c r="CA224" i="5" s="1"/>
  <c r="CA225" i="5" s="1"/>
  <c r="CA226" i="5" s="1"/>
  <c r="CA227" i="5" s="1"/>
  <c r="CA228" i="5" s="1"/>
  <c r="CA229" i="5" s="1"/>
  <c r="CA230" i="5" s="1"/>
  <c r="CA231" i="5" s="1"/>
  <c r="CA232" i="5" s="1"/>
  <c r="CA233" i="5" s="1"/>
  <c r="CA234" i="5" s="1"/>
  <c r="CA235" i="5" s="1"/>
  <c r="CA236" i="5" s="1"/>
  <c r="CA237" i="5" s="1"/>
  <c r="CA238" i="5" s="1"/>
  <c r="CA239" i="5" s="1"/>
  <c r="CA240" i="5" s="1"/>
  <c r="CA241" i="5" s="1"/>
  <c r="CA242" i="5" s="1"/>
  <c r="CA243" i="5" s="1"/>
  <c r="CA244" i="5" s="1"/>
  <c r="CA245" i="5" s="1"/>
  <c r="CA246" i="5" s="1"/>
  <c r="CA247" i="5" s="1"/>
  <c r="CA248" i="5" s="1"/>
  <c r="CA249" i="5" s="1"/>
  <c r="CA250" i="5" s="1"/>
  <c r="CA251" i="5" s="1"/>
  <c r="CA252" i="5" s="1"/>
  <c r="CA253" i="5" s="1"/>
  <c r="CA254" i="5" s="1"/>
  <c r="CA255" i="5" s="1"/>
  <c r="CA256" i="5" s="1"/>
  <c r="CA257" i="5" s="1"/>
  <c r="CA258" i="5" s="1"/>
  <c r="CA259" i="5" s="1"/>
  <c r="CA260" i="5" s="1"/>
  <c r="CA261" i="5" s="1"/>
  <c r="CA262" i="5" s="1"/>
  <c r="CA263" i="5" s="1"/>
  <c r="CA264" i="5" s="1"/>
  <c r="CA265" i="5" s="1"/>
  <c r="CA266" i="5" s="1"/>
  <c r="CA267" i="5" s="1"/>
  <c r="CA268" i="5" s="1"/>
  <c r="CA269" i="5" s="1"/>
  <c r="CA270" i="5" s="1"/>
  <c r="CA271" i="5" s="1"/>
  <c r="CA272" i="5" s="1"/>
  <c r="CA273" i="5" s="1"/>
  <c r="CA274" i="5" s="1"/>
  <c r="CA275" i="5" s="1"/>
  <c r="CA276" i="5" s="1"/>
  <c r="CA277" i="5" s="1"/>
  <c r="CA278" i="5" s="1"/>
  <c r="CA279" i="5" s="1"/>
  <c r="CA280" i="5" s="1"/>
  <c r="CA281" i="5" s="1"/>
  <c r="CA282" i="5" s="1"/>
  <c r="CA283" i="5" s="1"/>
  <c r="CA284" i="5" s="1"/>
  <c r="CA285" i="5" s="1"/>
  <c r="CA286" i="5" s="1"/>
  <c r="CA287" i="5" s="1"/>
  <c r="CA288" i="5" s="1"/>
  <c r="CA289" i="5" s="1"/>
  <c r="CA290" i="5" s="1"/>
  <c r="CA291" i="5" s="1"/>
  <c r="CA292" i="5" s="1"/>
  <c r="CA293" i="5" s="1"/>
  <c r="CA294" i="5" s="1"/>
  <c r="CA295" i="5" s="1"/>
  <c r="CA296" i="5" s="1"/>
  <c r="CA297" i="5" s="1"/>
  <c r="CA298" i="5" s="1"/>
  <c r="CA299" i="5" s="1"/>
  <c r="CA300" i="5" s="1"/>
  <c r="CA301" i="5" s="1"/>
  <c r="CA302" i="5" s="1"/>
  <c r="CA303" i="5" s="1"/>
  <c r="CA304" i="5" s="1"/>
  <c r="CA305" i="5" s="1"/>
  <c r="CA306" i="5" s="1"/>
  <c r="CA307" i="5" s="1"/>
  <c r="CA308" i="5" s="1"/>
  <c r="CA309" i="5" s="1"/>
  <c r="CA310" i="5" s="1"/>
  <c r="CA311" i="5" s="1"/>
  <c r="CA312" i="5" s="1"/>
  <c r="CA313" i="5" s="1"/>
  <c r="CA314" i="5" s="1"/>
  <c r="CA315" i="5" s="1"/>
  <c r="CA316" i="5" s="1"/>
  <c r="CA317" i="5" s="1"/>
  <c r="CA318" i="5" s="1"/>
  <c r="CA319" i="5" s="1"/>
  <c r="CA320" i="5" s="1"/>
  <c r="CA321" i="5" s="1"/>
  <c r="CA322" i="5" s="1"/>
  <c r="CA323" i="5" s="1"/>
  <c r="CA324" i="5" s="1"/>
  <c r="CA325" i="5" s="1"/>
  <c r="CA326" i="5" s="1"/>
  <c r="CA327" i="5" s="1"/>
  <c r="CA328" i="5" s="1"/>
  <c r="CA329" i="5" s="1"/>
  <c r="CA330" i="5" s="1"/>
  <c r="CA331" i="5" s="1"/>
  <c r="CA332" i="5" s="1"/>
  <c r="CA333" i="5" s="1"/>
  <c r="CA334" i="5" s="1"/>
  <c r="CA335" i="5" s="1"/>
  <c r="CA336" i="5" s="1"/>
  <c r="CA337" i="5" s="1"/>
  <c r="CA338" i="5" s="1"/>
  <c r="CA339" i="5" s="1"/>
  <c r="CA340" i="5" s="1"/>
  <c r="CA341" i="5" s="1"/>
  <c r="CA342" i="5" s="1"/>
  <c r="CA343" i="5" s="1"/>
  <c r="CA344" i="5" s="1"/>
  <c r="CA345" i="5" s="1"/>
  <c r="CA346" i="5" s="1"/>
  <c r="CA347" i="5" s="1"/>
  <c r="CA348" i="5" s="1"/>
  <c r="CA349" i="5" s="1"/>
  <c r="CA350" i="5" s="1"/>
  <c r="CA351" i="5" s="1"/>
  <c r="CA352" i="5" s="1"/>
  <c r="CA353" i="5" s="1"/>
  <c r="CA354" i="5" s="1"/>
  <c r="CA355" i="5" s="1"/>
  <c r="CA356" i="5" s="1"/>
  <c r="CA357" i="5" s="1"/>
  <c r="CA358" i="5" s="1"/>
  <c r="CA359" i="5" s="1"/>
  <c r="CA360" i="5" s="1"/>
  <c r="CA361" i="5" s="1"/>
  <c r="CA362" i="5" s="1"/>
  <c r="CA363" i="5" s="1"/>
  <c r="CA364" i="5" s="1"/>
  <c r="CA365" i="5" s="1"/>
  <c r="CA366" i="5" s="1"/>
  <c r="CA367" i="5" s="1"/>
  <c r="CA368" i="5" s="1"/>
  <c r="CA369" i="5" s="1"/>
  <c r="CA370" i="5" s="1"/>
  <c r="CA371" i="5" s="1"/>
  <c r="CA372" i="5" s="1"/>
  <c r="CA373" i="5" s="1"/>
  <c r="CA374" i="5" s="1"/>
  <c r="CA375" i="5" s="1"/>
  <c r="CA376" i="5" s="1"/>
  <c r="CA377" i="5" s="1"/>
  <c r="CA378" i="5" s="1"/>
  <c r="CA379" i="5" s="1"/>
  <c r="CA380" i="5" s="1"/>
  <c r="CA381" i="5" s="1"/>
  <c r="CA382" i="5" s="1"/>
  <c r="CA383" i="5" s="1"/>
  <c r="CA384" i="5" s="1"/>
  <c r="CA385" i="5" s="1"/>
  <c r="CA386" i="5" s="1"/>
  <c r="CA387" i="5" s="1"/>
  <c r="CA388" i="5" s="1"/>
  <c r="CA389" i="5" s="1"/>
  <c r="CA390" i="5" s="1"/>
  <c r="CA391" i="5" s="1"/>
  <c r="CA392" i="5" s="1"/>
  <c r="CA393" i="5" s="1"/>
  <c r="CA394" i="5" s="1"/>
  <c r="CA395" i="5" s="1"/>
  <c r="CA396" i="5" s="1"/>
  <c r="CA397" i="5" s="1"/>
  <c r="CA398" i="5" s="1"/>
  <c r="CA399" i="5" s="1"/>
  <c r="CA400" i="5" s="1"/>
  <c r="CA401" i="5" s="1"/>
  <c r="CA402" i="5" s="1"/>
  <c r="CA403" i="5" s="1"/>
  <c r="CA404" i="5" s="1"/>
  <c r="CA405" i="5" s="1"/>
  <c r="CA406" i="5" s="1"/>
  <c r="CA407" i="5" s="1"/>
  <c r="CA408" i="5" s="1"/>
  <c r="CA409" i="5" s="1"/>
  <c r="CA410" i="5" s="1"/>
  <c r="CA411" i="5" s="1"/>
  <c r="CA412" i="5" s="1"/>
  <c r="CA413" i="5" s="1"/>
  <c r="CA414" i="5" s="1"/>
  <c r="CA415" i="5" s="1"/>
  <c r="CA416" i="5" s="1"/>
  <c r="CA417" i="5" s="1"/>
  <c r="CA418" i="5" s="1"/>
  <c r="CA419" i="5" s="1"/>
  <c r="CA420" i="5" s="1"/>
  <c r="CA421" i="5" s="1"/>
  <c r="CA422" i="5" s="1"/>
  <c r="CA423" i="5" s="1"/>
  <c r="CA424" i="5" s="1"/>
  <c r="CA425" i="5" s="1"/>
  <c r="CA426" i="5" s="1"/>
  <c r="CA427" i="5" s="1"/>
  <c r="CA428" i="5" s="1"/>
  <c r="CA429" i="5" s="1"/>
  <c r="CA430" i="5" s="1"/>
  <c r="CA431" i="5" s="1"/>
  <c r="CA432" i="5" s="1"/>
  <c r="CA433" i="5" s="1"/>
  <c r="CA434" i="5" s="1"/>
  <c r="CA435" i="5" s="1"/>
  <c r="CA436" i="5" s="1"/>
  <c r="CA437" i="5" s="1"/>
  <c r="CA438" i="5" s="1"/>
  <c r="CA439" i="5" s="1"/>
  <c r="CA440" i="5" s="1"/>
  <c r="CA441" i="5" s="1"/>
  <c r="CA442" i="5" s="1"/>
  <c r="CA443" i="5" s="1"/>
  <c r="CA444" i="5" s="1"/>
  <c r="CA445" i="5" s="1"/>
  <c r="CA446" i="5" s="1"/>
  <c r="CA447" i="5" s="1"/>
  <c r="CA448" i="5" s="1"/>
  <c r="CA449" i="5" s="1"/>
  <c r="CA450" i="5" s="1"/>
  <c r="CA451" i="5" s="1"/>
  <c r="CA452" i="5" s="1"/>
  <c r="CA453" i="5" s="1"/>
  <c r="CA454" i="5" s="1"/>
  <c r="CA455" i="5" s="1"/>
  <c r="CA456" i="5" s="1"/>
  <c r="CA457" i="5" s="1"/>
  <c r="CA458" i="5" s="1"/>
  <c r="CA459" i="5" s="1"/>
  <c r="CA460" i="5" s="1"/>
  <c r="CA461" i="5" s="1"/>
  <c r="CA462" i="5" s="1"/>
  <c r="CA463" i="5" s="1"/>
  <c r="CA464" i="5" s="1"/>
  <c r="CA465" i="5" s="1"/>
  <c r="CA466" i="5" s="1"/>
  <c r="CA467" i="5" s="1"/>
  <c r="CA468" i="5" s="1"/>
  <c r="CA469" i="5" s="1"/>
  <c r="CA470" i="5" s="1"/>
  <c r="CA471" i="5" s="1"/>
  <c r="CA472" i="5" s="1"/>
  <c r="CA473" i="5" s="1"/>
  <c r="CA474" i="5" s="1"/>
  <c r="CA475" i="5" s="1"/>
  <c r="CA476" i="5" s="1"/>
  <c r="CA477" i="5" s="1"/>
  <c r="CA478" i="5" s="1"/>
  <c r="CA479" i="5" s="1"/>
  <c r="CA480" i="5" s="1"/>
  <c r="CA481" i="5" s="1"/>
  <c r="CA482" i="5" s="1"/>
  <c r="CA483" i="5" s="1"/>
  <c r="CA484" i="5" s="1"/>
  <c r="CA485" i="5" s="1"/>
  <c r="CA486" i="5" s="1"/>
  <c r="CA487" i="5" s="1"/>
  <c r="CA488" i="5" s="1"/>
  <c r="CA489" i="5" s="1"/>
  <c r="CA490" i="5" s="1"/>
  <c r="CA491" i="5" s="1"/>
  <c r="CA492" i="5" s="1"/>
  <c r="CA493" i="5" s="1"/>
  <c r="CA494" i="5" s="1"/>
  <c r="CA495" i="5" s="1"/>
  <c r="CA496" i="5" s="1"/>
  <c r="CA497" i="5" s="1"/>
  <c r="CA498" i="5" s="1"/>
  <c r="CA499" i="5" s="1"/>
  <c r="CA500" i="5" s="1"/>
  <c r="CA501" i="5" s="1"/>
  <c r="CA502" i="5" s="1"/>
  <c r="CA503" i="5" s="1"/>
  <c r="CA504" i="5" s="1"/>
  <c r="CA505" i="5" s="1"/>
  <c r="CA506" i="5" s="1"/>
  <c r="CA507" i="5" s="1"/>
  <c r="CA508" i="5" s="1"/>
  <c r="CA509" i="5" s="1"/>
  <c r="CA510" i="5" s="1"/>
  <c r="CA511" i="5" s="1"/>
  <c r="CA512" i="5" s="1"/>
  <c r="CA513" i="5" s="1"/>
  <c r="CA514" i="5" s="1"/>
  <c r="CA515" i="5" s="1"/>
  <c r="CA516" i="5" s="1"/>
  <c r="CA517" i="5" s="1"/>
  <c r="CA518" i="5" s="1"/>
  <c r="CA519" i="5" s="1"/>
  <c r="CA520" i="5" s="1"/>
  <c r="CA521" i="5" s="1"/>
  <c r="CA522" i="5" s="1"/>
  <c r="CA523" i="5" s="1"/>
  <c r="CA524" i="5" s="1"/>
  <c r="CA525" i="5" s="1"/>
  <c r="CA526" i="5" s="1"/>
  <c r="CA527" i="5" s="1"/>
  <c r="CA528" i="5" s="1"/>
  <c r="CA529" i="5" s="1"/>
  <c r="CA530" i="5" s="1"/>
  <c r="CA531" i="5" s="1"/>
  <c r="CA532" i="5" s="1"/>
  <c r="CA533" i="5" s="1"/>
  <c r="CA534" i="5" s="1"/>
  <c r="CA535" i="5" s="1"/>
  <c r="CA536" i="5" s="1"/>
  <c r="CA537" i="5" s="1"/>
  <c r="CA538" i="5" s="1"/>
  <c r="CA539" i="5" s="1"/>
  <c r="CA540" i="5" s="1"/>
  <c r="CA541" i="5" s="1"/>
  <c r="CA542" i="5" s="1"/>
  <c r="CA543" i="5" s="1"/>
  <c r="CA544" i="5" s="1"/>
  <c r="CA545" i="5" s="1"/>
  <c r="CA546" i="5" s="1"/>
  <c r="CA547" i="5" s="1"/>
  <c r="CA548" i="5" s="1"/>
  <c r="CA549" i="5" s="1"/>
  <c r="CA550" i="5" s="1"/>
  <c r="CA551" i="5" s="1"/>
  <c r="CA552" i="5" s="1"/>
  <c r="CA553" i="5" s="1"/>
  <c r="CA554" i="5" s="1"/>
  <c r="CA555" i="5" s="1"/>
  <c r="CA556" i="5" s="1"/>
  <c r="CA557" i="5" s="1"/>
  <c r="CA558" i="5" s="1"/>
  <c r="CA559" i="5" s="1"/>
  <c r="CA560" i="5" s="1"/>
  <c r="CA561" i="5" s="1"/>
  <c r="CA562" i="5" s="1"/>
  <c r="CA563" i="5" s="1"/>
  <c r="CA564" i="5" s="1"/>
  <c r="CA565" i="5" s="1"/>
  <c r="CA566" i="5" s="1"/>
  <c r="CA567" i="5" s="1"/>
  <c r="CA568" i="5" s="1"/>
  <c r="CA569" i="5" s="1"/>
  <c r="CA570" i="5" s="1"/>
  <c r="CA571" i="5" s="1"/>
  <c r="CA572" i="5" s="1"/>
  <c r="CA573" i="5" s="1"/>
  <c r="CA574" i="5" s="1"/>
  <c r="CA575" i="5" s="1"/>
  <c r="CA576" i="5" s="1"/>
  <c r="CA577" i="5" s="1"/>
  <c r="CA578" i="5" s="1"/>
  <c r="CA579" i="5" s="1"/>
  <c r="CA580" i="5" s="1"/>
  <c r="CA581" i="5" s="1"/>
  <c r="CA582" i="5" s="1"/>
  <c r="CA583" i="5" s="1"/>
  <c r="CA584" i="5" s="1"/>
  <c r="CA585" i="5" s="1"/>
  <c r="CA586" i="5" s="1"/>
  <c r="CA587" i="5" s="1"/>
  <c r="CA588" i="5" s="1"/>
  <c r="CA589" i="5" s="1"/>
  <c r="CA590" i="5" s="1"/>
  <c r="CA591" i="5" s="1"/>
  <c r="CA592" i="5" s="1"/>
  <c r="CA593" i="5" s="1"/>
  <c r="CA594" i="5" s="1"/>
  <c r="CA595" i="5" s="1"/>
  <c r="CA596" i="5" s="1"/>
  <c r="CA597" i="5" s="1"/>
  <c r="CA598" i="5" s="1"/>
  <c r="CA599" i="5" s="1"/>
  <c r="CA600" i="5" s="1"/>
  <c r="CA601" i="5" s="1"/>
  <c r="CA602" i="5" s="1"/>
  <c r="CA603" i="5" s="1"/>
  <c r="CA604" i="5" s="1"/>
  <c r="CA605" i="5" s="1"/>
  <c r="CA606" i="5" s="1"/>
  <c r="CA607" i="5" s="1"/>
  <c r="CA608" i="5" s="1"/>
  <c r="CA609" i="5" s="1"/>
  <c r="CA610" i="5" s="1"/>
  <c r="CA611" i="5" s="1"/>
  <c r="CA612" i="5" s="1"/>
  <c r="CA613" i="5" s="1"/>
  <c r="CA614" i="5" s="1"/>
  <c r="CA615" i="5" s="1"/>
  <c r="CA616" i="5" s="1"/>
  <c r="CA617" i="5" s="1"/>
  <c r="CA618" i="5" s="1"/>
  <c r="CA619" i="5" s="1"/>
  <c r="CA620" i="5" s="1"/>
  <c r="CA621" i="5" s="1"/>
  <c r="CA622" i="5" s="1"/>
  <c r="CA623" i="5" s="1"/>
  <c r="CA624" i="5" s="1"/>
  <c r="CA625" i="5" s="1"/>
  <c r="CA626" i="5" s="1"/>
  <c r="CA627" i="5" s="1"/>
  <c r="CA628" i="5" s="1"/>
  <c r="CA629" i="5" s="1"/>
  <c r="CA630" i="5" s="1"/>
  <c r="CA631" i="5" s="1"/>
  <c r="CA632" i="5" s="1"/>
  <c r="CA633" i="5" s="1"/>
  <c r="CA634" i="5" s="1"/>
  <c r="CA635" i="5" s="1"/>
  <c r="CA636" i="5" s="1"/>
  <c r="CA637" i="5" s="1"/>
  <c r="CA638" i="5" s="1"/>
  <c r="CA639" i="5" s="1"/>
  <c r="CA640" i="5" s="1"/>
  <c r="CA641" i="5" s="1"/>
  <c r="CA642" i="5" s="1"/>
  <c r="CA643" i="5" s="1"/>
  <c r="CA644" i="5" s="1"/>
  <c r="CA645" i="5" s="1"/>
  <c r="CA646" i="5" s="1"/>
  <c r="CA647" i="5" s="1"/>
  <c r="CA648" i="5" s="1"/>
  <c r="CA649" i="5" s="1"/>
  <c r="CA650" i="5" s="1"/>
  <c r="CA651" i="5" s="1"/>
  <c r="CA652" i="5" s="1"/>
  <c r="CA653" i="5" s="1"/>
  <c r="CA654" i="5" s="1"/>
  <c r="CA655" i="5" s="1"/>
  <c r="CA656" i="5" s="1"/>
  <c r="CA657" i="5" s="1"/>
  <c r="CA658" i="5" s="1"/>
  <c r="CA659" i="5" s="1"/>
  <c r="CA660" i="5" s="1"/>
  <c r="CA661" i="5" s="1"/>
  <c r="CA662" i="5" s="1"/>
  <c r="CA663" i="5" s="1"/>
  <c r="CA664" i="5" s="1"/>
  <c r="CA665" i="5" s="1"/>
  <c r="CA666" i="5" s="1"/>
  <c r="CA667" i="5" s="1"/>
  <c r="CA668" i="5" s="1"/>
  <c r="CA669" i="5" s="1"/>
  <c r="CA670" i="5" s="1"/>
  <c r="CA671" i="5" s="1"/>
  <c r="CA672" i="5" s="1"/>
  <c r="CA673" i="5" s="1"/>
  <c r="CA674" i="5" s="1"/>
  <c r="CA675" i="5" s="1"/>
  <c r="CA676" i="5" s="1"/>
  <c r="CA677" i="5" s="1"/>
  <c r="CA678" i="5" s="1"/>
  <c r="CA679" i="5" s="1"/>
  <c r="CA680" i="5" s="1"/>
  <c r="CA681" i="5" s="1"/>
  <c r="CA682" i="5" s="1"/>
  <c r="CA683" i="5" s="1"/>
  <c r="CA684" i="5" s="1"/>
  <c r="CA685" i="5" s="1"/>
  <c r="CA686" i="5" s="1"/>
  <c r="CA687" i="5" s="1"/>
  <c r="CA688" i="5" s="1"/>
  <c r="CA689" i="5" s="1"/>
  <c r="CA690" i="5" s="1"/>
  <c r="CA691" i="5" s="1"/>
  <c r="CA692" i="5" s="1"/>
  <c r="CA693" i="5" s="1"/>
  <c r="CA694" i="5" s="1"/>
  <c r="CA695" i="5" s="1"/>
  <c r="CA696" i="5" s="1"/>
  <c r="CA697" i="5" s="1"/>
  <c r="CA698" i="5" s="1"/>
  <c r="CA699" i="5" s="1"/>
  <c r="CA700" i="5" s="1"/>
  <c r="CA701" i="5" s="1"/>
  <c r="CA702" i="5" s="1"/>
  <c r="CA703" i="5" s="1"/>
  <c r="CA704" i="5" s="1"/>
  <c r="CA705" i="5" s="1"/>
  <c r="CA706" i="5" s="1"/>
  <c r="CA707" i="5" s="1"/>
  <c r="CA708" i="5" s="1"/>
  <c r="CA709" i="5" s="1"/>
  <c r="CA710" i="5" s="1"/>
  <c r="CA711" i="5" s="1"/>
  <c r="CA712" i="5" s="1"/>
  <c r="CA713" i="5" s="1"/>
  <c r="CA714" i="5" s="1"/>
  <c r="CA715" i="5" s="1"/>
  <c r="CA716" i="5" s="1"/>
  <c r="CA717" i="5" s="1"/>
  <c r="CA718" i="5" s="1"/>
  <c r="CA719" i="5" s="1"/>
  <c r="CA720" i="5" s="1"/>
  <c r="CA721" i="5" s="1"/>
  <c r="CA722" i="5" s="1"/>
  <c r="CA723" i="5" s="1"/>
  <c r="CA724" i="5" s="1"/>
  <c r="CA725" i="5" s="1"/>
  <c r="CA726" i="5" s="1"/>
  <c r="CA727" i="5" s="1"/>
  <c r="CA728" i="5" s="1"/>
  <c r="CA729" i="5" s="1"/>
  <c r="CA730" i="5" s="1"/>
  <c r="CA731" i="5" s="1"/>
  <c r="CA732" i="5" s="1"/>
  <c r="CA733" i="5" s="1"/>
  <c r="CA734" i="5" s="1"/>
  <c r="CA735" i="5" s="1"/>
  <c r="CA736" i="5" s="1"/>
  <c r="CA737" i="5" s="1"/>
  <c r="CA738" i="5" s="1"/>
  <c r="CA739" i="5" s="1"/>
  <c r="CA740" i="5" s="1"/>
  <c r="CA741" i="5" s="1"/>
  <c r="CA742" i="5" s="1"/>
  <c r="CA743" i="5" s="1"/>
  <c r="CA744" i="5" s="1"/>
  <c r="CA745" i="5" s="1"/>
  <c r="CA746" i="5" s="1"/>
  <c r="CA747" i="5" s="1"/>
  <c r="CA748" i="5" s="1"/>
  <c r="CA749" i="5" s="1"/>
  <c r="CA750" i="5" s="1"/>
  <c r="CA751" i="5" s="1"/>
  <c r="CA752" i="5" s="1"/>
  <c r="CA753" i="5" s="1"/>
  <c r="BC28" i="5"/>
  <c r="BF28" i="5" s="1"/>
  <c r="BR218" i="5" l="1"/>
  <c r="AZ191" i="5"/>
  <c r="BA192" i="5" s="1"/>
  <c r="BB191" i="5"/>
  <c r="A159" i="6"/>
  <c r="B185" i="5"/>
  <c r="B160" i="6" s="1"/>
  <c r="BG28" i="5"/>
  <c r="H28" i="5" s="1"/>
  <c r="CG181" i="5"/>
  <c r="CF182" i="5"/>
  <c r="CB126" i="5"/>
  <c r="CC125" i="5"/>
  <c r="CL29" i="5"/>
  <c r="CS29" i="5"/>
  <c r="CR29" i="5"/>
  <c r="AC29" i="5"/>
  <c r="BI29" i="5"/>
  <c r="BJ29" i="5" s="1"/>
  <c r="CZ28" i="5"/>
  <c r="BD28" i="5"/>
  <c r="BE29" i="5" s="1"/>
  <c r="CY29" i="5"/>
  <c r="AB29" i="5"/>
  <c r="CW29" i="5"/>
  <c r="CX29" i="5"/>
  <c r="BK29" i="5"/>
  <c r="BL29" i="5" s="1"/>
  <c r="BM29" i="5" s="1"/>
  <c r="AK29" i="5"/>
  <c r="BR219" i="5" l="1"/>
  <c r="AZ192" i="5"/>
  <c r="BA193" i="5" s="1"/>
  <c r="BB192" i="5"/>
  <c r="CN29" i="5"/>
  <c r="E29" i="5" s="1"/>
  <c r="CO29" i="5"/>
  <c r="F29" i="5" s="1"/>
  <c r="E4" i="6" s="1"/>
  <c r="CP29" i="5"/>
  <c r="DA29" i="5"/>
  <c r="DB29" i="5" s="1"/>
  <c r="A160" i="6"/>
  <c r="B186" i="5"/>
  <c r="B161" i="6" s="1"/>
  <c r="CG182" i="5"/>
  <c r="CF183" i="5"/>
  <c r="CC126" i="5"/>
  <c r="CB127" i="5"/>
  <c r="AD29" i="5"/>
  <c r="AE29" i="5" s="1"/>
  <c r="T29" i="5"/>
  <c r="U29" i="5" s="1"/>
  <c r="W29" i="5"/>
  <c r="L29" i="5"/>
  <c r="P28" i="5"/>
  <c r="I28" i="5"/>
  <c r="AH28" i="5" s="1"/>
  <c r="BN29" i="5"/>
  <c r="BO29" i="5" s="1"/>
  <c r="BP29" i="5" s="1"/>
  <c r="G29" i="5" s="1"/>
  <c r="CM29" i="5"/>
  <c r="AL29" i="5"/>
  <c r="AM29" i="5" s="1"/>
  <c r="BR220" i="5" l="1"/>
  <c r="K29" i="5"/>
  <c r="AZ193" i="5"/>
  <c r="BA194" i="5" s="1"/>
  <c r="BB193" i="5"/>
  <c r="AY28" i="5"/>
  <c r="BB28" i="5"/>
  <c r="F3" i="6"/>
  <c r="D4" i="6"/>
  <c r="A161" i="6"/>
  <c r="B187" i="5"/>
  <c r="B162" i="6" s="1"/>
  <c r="Q28" i="5"/>
  <c r="CG183" i="5"/>
  <c r="CF184" i="5"/>
  <c r="AN29" i="5"/>
  <c r="CC127" i="5"/>
  <c r="CB128" i="5"/>
  <c r="CQ29" i="5"/>
  <c r="R29" i="5" s="1"/>
  <c r="S29" i="5" s="1"/>
  <c r="M28" i="5"/>
  <c r="BW29" i="5" l="1"/>
  <c r="BY29" i="5"/>
  <c r="J29" i="5" s="1"/>
  <c r="AF29" i="5" s="1"/>
  <c r="BR221" i="5"/>
  <c r="AZ194" i="5"/>
  <c r="BA195" i="5" s="1"/>
  <c r="BB194" i="5"/>
  <c r="X28" i="5"/>
  <c r="V28" i="5"/>
  <c r="G3" i="6" s="1"/>
  <c r="BC29" i="5"/>
  <c r="BF29" i="5" s="1"/>
  <c r="C30" i="5"/>
  <c r="BU30" i="5" s="1"/>
  <c r="A162" i="6"/>
  <c r="AR29" i="5"/>
  <c r="B188" i="5"/>
  <c r="B163" i="6" s="1"/>
  <c r="CF185" i="5"/>
  <c r="CG184" i="5"/>
  <c r="N28" i="5"/>
  <c r="AG28" i="5"/>
  <c r="CC128" i="5"/>
  <c r="CB129" i="5"/>
  <c r="BV30" i="5" l="1"/>
  <c r="BT30" i="5"/>
  <c r="BS30" i="5"/>
  <c r="CI30" i="5"/>
  <c r="BR222" i="5"/>
  <c r="BH30" i="5"/>
  <c r="BI30" i="5" s="1"/>
  <c r="BJ30" i="5" s="1"/>
  <c r="AZ195" i="5"/>
  <c r="BA196" i="5" s="1"/>
  <c r="BB195" i="5"/>
  <c r="CU30" i="5"/>
  <c r="CV30" i="5" s="1"/>
  <c r="AX30" i="5"/>
  <c r="AW30" i="5" s="1"/>
  <c r="CL30" i="5"/>
  <c r="BG29" i="5"/>
  <c r="CR30" i="5"/>
  <c r="BK30" i="5"/>
  <c r="BL30" i="5" s="1"/>
  <c r="BM30" i="5" s="1"/>
  <c r="CS30" i="5"/>
  <c r="AC30" i="5"/>
  <c r="AF30" i="5" s="1"/>
  <c r="BD29" i="5"/>
  <c r="BE30" i="5" s="1"/>
  <c r="CZ29" i="5"/>
  <c r="AK30" i="5"/>
  <c r="AL30" i="5" s="1"/>
  <c r="C5" i="6"/>
  <c r="CX30" i="5"/>
  <c r="CW30" i="5"/>
  <c r="AB30" i="5"/>
  <c r="DA30" i="5" s="1"/>
  <c r="DB30" i="5" s="1"/>
  <c r="CY30" i="5"/>
  <c r="D30" i="5"/>
  <c r="A163" i="6"/>
  <c r="B189" i="5"/>
  <c r="B164" i="6" s="1"/>
  <c r="CG185" i="5"/>
  <c r="CF186" i="5"/>
  <c r="AP29" i="5"/>
  <c r="Y28" i="5"/>
  <c r="H3" i="6" s="1"/>
  <c r="CC129" i="5"/>
  <c r="CB130" i="5"/>
  <c r="AD30" i="5" l="1"/>
  <c r="AE30" i="5" s="1"/>
  <c r="BX30" i="5"/>
  <c r="I29" i="5"/>
  <c r="AH29" i="5" s="1"/>
  <c r="AH30" i="5" s="1"/>
  <c r="H29" i="5"/>
  <c r="P29" i="5" s="1"/>
  <c r="BR223" i="5"/>
  <c r="T30" i="5"/>
  <c r="U30" i="5" s="1"/>
  <c r="CH30" i="5"/>
  <c r="CK30" i="5"/>
  <c r="CJ30" i="5" s="1"/>
  <c r="AZ196" i="5"/>
  <c r="BA197" i="5" s="1"/>
  <c r="BB196" i="5"/>
  <c r="CO30" i="5"/>
  <c r="F30" i="5" s="1"/>
  <c r="E5" i="6" s="1"/>
  <c r="CT30" i="5"/>
  <c r="CM30" i="5"/>
  <c r="CN30" i="5"/>
  <c r="E30" i="5" s="1"/>
  <c r="L30" i="5"/>
  <c r="BN30" i="5"/>
  <c r="BO30" i="5" s="1"/>
  <c r="BP30" i="5" s="1"/>
  <c r="G30" i="5" s="1"/>
  <c r="CP30" i="5"/>
  <c r="CQ30" i="5" s="1"/>
  <c r="R30" i="5" s="1"/>
  <c r="S30" i="5" s="1"/>
  <c r="W30" i="5"/>
  <c r="A164" i="6"/>
  <c r="B190" i="5"/>
  <c r="B165" i="6" s="1"/>
  <c r="Z28" i="5"/>
  <c r="AA28" i="5" s="1"/>
  <c r="I3" i="6" s="1"/>
  <c r="CG186" i="5"/>
  <c r="CF187" i="5"/>
  <c r="CC130" i="5"/>
  <c r="CB131" i="5"/>
  <c r="AM30" i="5"/>
  <c r="AT29" i="5" l="1"/>
  <c r="BW30" i="5"/>
  <c r="BY30" i="5"/>
  <c r="J30" i="5" s="1"/>
  <c r="AN30" i="5" s="1"/>
  <c r="K30" i="5"/>
  <c r="BR224" i="5"/>
  <c r="AZ197" i="5"/>
  <c r="BA198" i="5" s="1"/>
  <c r="BB197" i="5"/>
  <c r="F4" i="6"/>
  <c r="AY29" i="5"/>
  <c r="Q29" i="5"/>
  <c r="V29" i="5" s="1"/>
  <c r="G4" i="6" s="1"/>
  <c r="M29" i="5"/>
  <c r="AS29" i="5" s="1"/>
  <c r="AV29" i="5" s="1"/>
  <c r="D5" i="6"/>
  <c r="C31" i="5"/>
  <c r="BU31" i="5" s="1"/>
  <c r="BC30" i="5"/>
  <c r="BF30" i="5" s="1"/>
  <c r="A165" i="6"/>
  <c r="AJ30" i="5"/>
  <c r="B191" i="5"/>
  <c r="B166" i="6" s="1"/>
  <c r="CG187" i="5"/>
  <c r="CF188" i="5"/>
  <c r="AO29" i="5"/>
  <c r="CC131" i="5"/>
  <c r="CB132" i="5"/>
  <c r="CI31" i="5" l="1"/>
  <c r="BH31" i="5"/>
  <c r="BI31" i="5" s="1"/>
  <c r="BJ31" i="5" s="1"/>
  <c r="BS31" i="5"/>
  <c r="BR225" i="5"/>
  <c r="AZ198" i="5"/>
  <c r="BA199" i="5" s="1"/>
  <c r="BB198" i="5"/>
  <c r="CU31" i="5"/>
  <c r="BX31" i="5" s="1"/>
  <c r="AX31" i="5"/>
  <c r="AW31" i="5" s="1"/>
  <c r="CY31" i="5"/>
  <c r="N29" i="5"/>
  <c r="AG29" i="5"/>
  <c r="AJ29" i="5" s="1"/>
  <c r="X29" i="5" s="1"/>
  <c r="BG30" i="5"/>
  <c r="CW31" i="5"/>
  <c r="BK31" i="5"/>
  <c r="BL31" i="5" s="1"/>
  <c r="BM31" i="5" s="1"/>
  <c r="AC31" i="5"/>
  <c r="CX31" i="5"/>
  <c r="AB31" i="5"/>
  <c r="CP31" i="5" s="1"/>
  <c r="CL31" i="5"/>
  <c r="CM31" i="5" s="1"/>
  <c r="BD30" i="5"/>
  <c r="BE31" i="5" s="1"/>
  <c r="CS31" i="5"/>
  <c r="AK31" i="5"/>
  <c r="C6" i="6"/>
  <c r="D31" i="5"/>
  <c r="CR31" i="5"/>
  <c r="CZ30" i="5"/>
  <c r="A166" i="6"/>
  <c r="B192" i="5"/>
  <c r="B167" i="6" s="1"/>
  <c r="CG188" i="5"/>
  <c r="CF189" i="5"/>
  <c r="CC132" i="5"/>
  <c r="CB133" i="5"/>
  <c r="AD31" i="5"/>
  <c r="H30" i="5" l="1"/>
  <c r="P30" i="5" s="1"/>
  <c r="F5" i="6" s="1"/>
  <c r="BV31" i="5"/>
  <c r="BT31" i="5"/>
  <c r="BR226" i="5"/>
  <c r="W31" i="5"/>
  <c r="CK31" i="5"/>
  <c r="CJ31" i="5" s="1"/>
  <c r="CH31" i="5"/>
  <c r="AZ199" i="5"/>
  <c r="BA200" i="5" s="1"/>
  <c r="BB199" i="5"/>
  <c r="AG30" i="5"/>
  <c r="I30" i="5"/>
  <c r="AT30" i="5" s="1"/>
  <c r="CV31" i="5"/>
  <c r="CN31" i="5" s="1"/>
  <c r="E31" i="5" s="1"/>
  <c r="CT31" i="5"/>
  <c r="DA31" i="5"/>
  <c r="DB31" i="5" s="1"/>
  <c r="K31" i="5" s="1"/>
  <c r="L31" i="5"/>
  <c r="BN31" i="5"/>
  <c r="BO31" i="5" s="1"/>
  <c r="BP31" i="5" s="1"/>
  <c r="G31" i="5" s="1"/>
  <c r="AL31" i="5"/>
  <c r="AM31" i="5" s="1"/>
  <c r="T31" i="5"/>
  <c r="U31" i="5" s="1"/>
  <c r="AP30" i="5"/>
  <c r="A167" i="6"/>
  <c r="B193" i="5"/>
  <c r="B168" i="6" s="1"/>
  <c r="Y29" i="5"/>
  <c r="H4" i="6" s="1"/>
  <c r="AF31" i="5"/>
  <c r="CG189" i="5"/>
  <c r="CF190" i="5"/>
  <c r="CC133" i="5"/>
  <c r="CB134" i="5"/>
  <c r="AE31" i="5"/>
  <c r="CQ31" i="5"/>
  <c r="R31" i="5" s="1"/>
  <c r="S31" i="5" s="1"/>
  <c r="D6" i="6" l="1"/>
  <c r="M30" i="5"/>
  <c r="N30" i="5" s="1"/>
  <c r="AY30" i="5"/>
  <c r="Q30" i="5"/>
  <c r="V30" i="5" s="1"/>
  <c r="G5" i="6" s="1"/>
  <c r="BR227" i="5"/>
  <c r="AZ200" i="5"/>
  <c r="BA201" i="5" s="1"/>
  <c r="BB200" i="5"/>
  <c r="CO31" i="5"/>
  <c r="F31" i="5" s="1"/>
  <c r="E6" i="6" s="1"/>
  <c r="AS30" i="5"/>
  <c r="AV30" i="5" s="1"/>
  <c r="AO30" i="5"/>
  <c r="A168" i="6"/>
  <c r="B194" i="5"/>
  <c r="B169" i="6" s="1"/>
  <c r="Z29" i="5"/>
  <c r="AA29" i="5" s="1"/>
  <c r="I4" i="6" s="1"/>
  <c r="CG190" i="5"/>
  <c r="CF191" i="5"/>
  <c r="CB135" i="5"/>
  <c r="CC134" i="5"/>
  <c r="BR228" i="5" l="1"/>
  <c r="AZ201" i="5"/>
  <c r="BA202" i="5" s="1"/>
  <c r="BB201" i="5"/>
  <c r="BC31" i="5"/>
  <c r="BF31" i="5" s="1"/>
  <c r="C32" i="5"/>
  <c r="BU32" i="5" s="1"/>
  <c r="AR30" i="5"/>
  <c r="AH31" i="5"/>
  <c r="A169" i="6"/>
  <c r="B195" i="5"/>
  <c r="B170" i="6" s="1"/>
  <c r="CG191" i="5"/>
  <c r="CF192" i="5"/>
  <c r="CB136" i="5"/>
  <c r="CC135" i="5"/>
  <c r="BY31" i="5" l="1"/>
  <c r="J31" i="5" s="1"/>
  <c r="AN31" i="5" s="1"/>
  <c r="BW31" i="5"/>
  <c r="CI32" i="5"/>
  <c r="CH32" i="5" s="1"/>
  <c r="BS32" i="5"/>
  <c r="BR229" i="5"/>
  <c r="CU32" i="5"/>
  <c r="CT32" i="5" s="1"/>
  <c r="BH32" i="5"/>
  <c r="BI32" i="5" s="1"/>
  <c r="BJ32" i="5" s="1"/>
  <c r="AZ202" i="5"/>
  <c r="BA203" i="5" s="1"/>
  <c r="BB202" i="5"/>
  <c r="X30" i="5"/>
  <c r="Y30" i="5" s="1"/>
  <c r="C7" i="6"/>
  <c r="CZ31" i="5"/>
  <c r="CL32" i="5"/>
  <c r="CM32" i="5" s="1"/>
  <c r="CR32" i="5"/>
  <c r="D32" i="5"/>
  <c r="BG31" i="5"/>
  <c r="CX32" i="5"/>
  <c r="AK32" i="5"/>
  <c r="AL32" i="5" s="1"/>
  <c r="BD31" i="5"/>
  <c r="BE32" i="5" s="1"/>
  <c r="CS32" i="5"/>
  <c r="CW32" i="5"/>
  <c r="AC32" i="5"/>
  <c r="AF32" i="5" s="1"/>
  <c r="AH32" i="5" s="1"/>
  <c r="AB32" i="5"/>
  <c r="CP32" i="5" s="1"/>
  <c r="CQ32" i="5" s="1"/>
  <c r="R32" i="5" s="1"/>
  <c r="S32" i="5" s="1"/>
  <c r="BK32" i="5"/>
  <c r="BL32" i="5" s="1"/>
  <c r="BM32" i="5" s="1"/>
  <c r="CY32" i="5"/>
  <c r="AX32" i="5"/>
  <c r="AW32" i="5" s="1"/>
  <c r="A170" i="6"/>
  <c r="B196" i="5"/>
  <c r="B171" i="6" s="1"/>
  <c r="CG192" i="5"/>
  <c r="CF193" i="5"/>
  <c r="CC136" i="5"/>
  <c r="CB137" i="5"/>
  <c r="BX32" i="5" l="1"/>
  <c r="I31" i="5"/>
  <c r="AP31" i="5" s="1"/>
  <c r="H31" i="5"/>
  <c r="P31" i="5" s="1"/>
  <c r="BT32" i="5"/>
  <c r="BV32" i="5"/>
  <c r="CK32" i="5"/>
  <c r="CJ32" i="5" s="1"/>
  <c r="BR230" i="5"/>
  <c r="W32" i="5"/>
  <c r="CV32" i="5"/>
  <c r="CO32" i="5" s="1"/>
  <c r="F32" i="5" s="1"/>
  <c r="E7" i="6" s="1"/>
  <c r="AZ203" i="5"/>
  <c r="BA204" i="5" s="1"/>
  <c r="AZ204" i="5" s="1"/>
  <c r="BA205" i="5" s="1"/>
  <c r="BB203" i="5"/>
  <c r="H5" i="6"/>
  <c r="Z30" i="5"/>
  <c r="AA30" i="5" s="1"/>
  <c r="I5" i="6" s="1"/>
  <c r="AM32" i="5"/>
  <c r="T32" i="5"/>
  <c r="U32" i="5" s="1"/>
  <c r="AD32" i="5"/>
  <c r="AE32" i="5" s="1"/>
  <c r="AT31" i="5"/>
  <c r="DA32" i="5"/>
  <c r="DB32" i="5" s="1"/>
  <c r="BN32" i="5"/>
  <c r="BO32" i="5" s="1"/>
  <c r="BP32" i="5" s="1"/>
  <c r="G32" i="5" s="1"/>
  <c r="L32" i="5"/>
  <c r="A171" i="6"/>
  <c r="B197" i="5"/>
  <c r="B172" i="6" s="1"/>
  <c r="CG193" i="5"/>
  <c r="CF194" i="5"/>
  <c r="CC137" i="5"/>
  <c r="CB138" i="5"/>
  <c r="AG31" i="5"/>
  <c r="AJ31" i="5" s="1"/>
  <c r="K32" i="5" l="1"/>
  <c r="CN32" i="5"/>
  <c r="E32" i="5" s="1"/>
  <c r="BR231" i="5"/>
  <c r="AJ32" i="5"/>
  <c r="AZ205" i="5"/>
  <c r="BA206" i="5" s="1"/>
  <c r="BB205" i="5"/>
  <c r="F6" i="6"/>
  <c r="AY31" i="5"/>
  <c r="M31" i="5"/>
  <c r="N31" i="5" s="1"/>
  <c r="Q31" i="5"/>
  <c r="V31" i="5" s="1"/>
  <c r="G6" i="6" s="1"/>
  <c r="A172" i="6"/>
  <c r="B198" i="5"/>
  <c r="B173" i="6" s="1"/>
  <c r="CG194" i="5"/>
  <c r="CF195" i="5"/>
  <c r="CB139" i="5"/>
  <c r="CC138" i="5"/>
  <c r="AG32" i="5"/>
  <c r="D7" i="6" l="1"/>
  <c r="BC32" i="5"/>
  <c r="CZ32" i="5" s="1"/>
  <c r="C33" i="5"/>
  <c r="BU33" i="5" s="1"/>
  <c r="BR232" i="5"/>
  <c r="AS31" i="5"/>
  <c r="AV31" i="5" s="1"/>
  <c r="AO31" i="5"/>
  <c r="AR31" i="5" s="1"/>
  <c r="AZ206" i="5"/>
  <c r="BA207" i="5" s="1"/>
  <c r="BB206" i="5"/>
  <c r="A173" i="6"/>
  <c r="B199" i="5"/>
  <c r="B174" i="6" s="1"/>
  <c r="CF196" i="5"/>
  <c r="CG195" i="5"/>
  <c r="CC139" i="5"/>
  <c r="CB140" i="5"/>
  <c r="BW32" i="5" l="1"/>
  <c r="BY32" i="5"/>
  <c r="J32" i="5" s="1"/>
  <c r="AN32" i="5" s="1"/>
  <c r="BV33" i="5"/>
  <c r="BT33" i="5"/>
  <c r="BS33" i="5"/>
  <c r="CI33" i="5"/>
  <c r="CK33" i="5" s="1"/>
  <c r="CJ33" i="5" s="1"/>
  <c r="BD32" i="5"/>
  <c r="BE33" i="5" s="1"/>
  <c r="BF32" i="5"/>
  <c r="CS33" i="5"/>
  <c r="AC33" i="5"/>
  <c r="AF33" i="5" s="1"/>
  <c r="CW33" i="5"/>
  <c r="CL33" i="5"/>
  <c r="CM33" i="5" s="1"/>
  <c r="D33" i="5"/>
  <c r="AK33" i="5"/>
  <c r="AL33" i="5" s="1"/>
  <c r="AM33" i="5" s="1"/>
  <c r="CR33" i="5"/>
  <c r="CX33" i="5"/>
  <c r="AB33" i="5"/>
  <c r="DA33" i="5" s="1"/>
  <c r="DB33" i="5" s="1"/>
  <c r="BG32" i="5"/>
  <c r="H32" i="5" s="1"/>
  <c r="CU33" i="5"/>
  <c r="CT33" i="5" s="1"/>
  <c r="BH33" i="5"/>
  <c r="BI33" i="5" s="1"/>
  <c r="BJ33" i="5" s="1"/>
  <c r="CY33" i="5"/>
  <c r="AX33" i="5"/>
  <c r="AW33" i="5" s="1"/>
  <c r="C8" i="6"/>
  <c r="BK33" i="5"/>
  <c r="BL33" i="5" s="1"/>
  <c r="BM33" i="5" s="1"/>
  <c r="BR233" i="5"/>
  <c r="X31" i="5"/>
  <c r="Y31" i="5" s="1"/>
  <c r="H6" i="6" s="1"/>
  <c r="AZ207" i="5"/>
  <c r="BA208" i="5" s="1"/>
  <c r="BB207" i="5"/>
  <c r="A174" i="6"/>
  <c r="B200" i="5"/>
  <c r="B175" i="6" s="1"/>
  <c r="CG196" i="5"/>
  <c r="CF197" i="5"/>
  <c r="CC140" i="5"/>
  <c r="CB141" i="5"/>
  <c r="BX33" i="5" l="1"/>
  <c r="AD33" i="5"/>
  <c r="AE33" i="5" s="1"/>
  <c r="W33" i="5"/>
  <c r="T33" i="5"/>
  <c r="U33" i="5" s="1"/>
  <c r="CH33" i="5"/>
  <c r="CP33" i="5"/>
  <c r="CQ33" i="5" s="1"/>
  <c r="R33" i="5" s="1"/>
  <c r="S33" i="5" s="1"/>
  <c r="BN33" i="5"/>
  <c r="BO33" i="5" s="1"/>
  <c r="BP33" i="5" s="1"/>
  <c r="G33" i="5" s="1"/>
  <c r="L33" i="5"/>
  <c r="I32" i="5"/>
  <c r="AT32" i="5" s="1"/>
  <c r="CV33" i="5"/>
  <c r="CN33" i="5" s="1"/>
  <c r="E33" i="5" s="1"/>
  <c r="BR234" i="5"/>
  <c r="Z31" i="5"/>
  <c r="AA31" i="5" s="1"/>
  <c r="I6" i="6" s="1"/>
  <c r="K33" i="5"/>
  <c r="AZ208" i="5"/>
  <c r="BA209" i="5" s="1"/>
  <c r="BB208" i="5"/>
  <c r="P32" i="5"/>
  <c r="AY32" i="5" s="1"/>
  <c r="M32" i="5"/>
  <c r="A175" i="6"/>
  <c r="B201" i="5"/>
  <c r="B176" i="6" s="1"/>
  <c r="CG197" i="5"/>
  <c r="CF198" i="5"/>
  <c r="CC141" i="5"/>
  <c r="CB142" i="5"/>
  <c r="AH33" i="5"/>
  <c r="AG33" i="5"/>
  <c r="AP32" i="5" l="1"/>
  <c r="D8" i="6"/>
  <c r="CO33" i="5"/>
  <c r="F33" i="5" s="1"/>
  <c r="E8" i="6" s="1"/>
  <c r="BR235" i="5"/>
  <c r="AZ209" i="5"/>
  <c r="BA210" i="5" s="1"/>
  <c r="BB209" i="5"/>
  <c r="N32" i="5"/>
  <c r="AS32" i="5"/>
  <c r="AV32" i="5" s="1"/>
  <c r="AO32" i="5"/>
  <c r="F7" i="6"/>
  <c r="Q32" i="5"/>
  <c r="V32" i="5" s="1"/>
  <c r="A176" i="6"/>
  <c r="B202" i="5"/>
  <c r="B177" i="6" s="1"/>
  <c r="AJ33" i="5"/>
  <c r="CG198" i="5"/>
  <c r="CF199" i="5"/>
  <c r="CC142" i="5"/>
  <c r="CB143" i="5"/>
  <c r="BC33" i="5" l="1"/>
  <c r="BD33" i="5" s="1"/>
  <c r="BE34" i="5" s="1"/>
  <c r="C34" i="5"/>
  <c r="BR236" i="5"/>
  <c r="AZ210" i="5"/>
  <c r="BA211" i="5" s="1"/>
  <c r="BB210" i="5"/>
  <c r="AR32" i="5"/>
  <c r="G7" i="6"/>
  <c r="A177" i="6"/>
  <c r="B203" i="5"/>
  <c r="B178" i="6" s="1"/>
  <c r="CF200" i="5"/>
  <c r="CG199" i="5"/>
  <c r="CC143" i="5"/>
  <c r="CB144" i="5"/>
  <c r="BW33" i="5" l="1"/>
  <c r="BY33" i="5"/>
  <c r="J33" i="5" s="1"/>
  <c r="AN33" i="5" s="1"/>
  <c r="C9" i="6"/>
  <c r="BU34" i="5"/>
  <c r="BF33" i="5"/>
  <c r="AC34" i="5"/>
  <c r="AD34" i="5" s="1"/>
  <c r="CY34" i="5"/>
  <c r="AX34" i="5"/>
  <c r="AW34" i="5" s="1"/>
  <c r="CU34" i="5"/>
  <c r="CV34" i="5" s="1"/>
  <c r="D34" i="5"/>
  <c r="BH34" i="5"/>
  <c r="BI34" i="5" s="1"/>
  <c r="BJ34" i="5" s="1"/>
  <c r="AK34" i="5"/>
  <c r="AL34" i="5" s="1"/>
  <c r="AM34" i="5" s="1"/>
  <c r="CL34" i="5"/>
  <c r="CM34" i="5" s="1"/>
  <c r="BG33" i="5"/>
  <c r="CI34" i="5"/>
  <c r="CK34" i="5" s="1"/>
  <c r="CJ34" i="5" s="1"/>
  <c r="AB34" i="5"/>
  <c r="CP34" i="5" s="1"/>
  <c r="CQ34" i="5" s="1"/>
  <c r="R34" i="5" s="1"/>
  <c r="S34" i="5" s="1"/>
  <c r="AJ34" i="5" s="1"/>
  <c r="CW34" i="5"/>
  <c r="CZ33" i="5"/>
  <c r="CS34" i="5"/>
  <c r="CX34" i="5"/>
  <c r="CR34" i="5"/>
  <c r="BK34" i="5"/>
  <c r="BL34" i="5" s="1"/>
  <c r="BM34" i="5" s="1"/>
  <c r="BS34" i="5"/>
  <c r="BR237" i="5"/>
  <c r="AZ211" i="5"/>
  <c r="BA212" i="5" s="1"/>
  <c r="BB211" i="5"/>
  <c r="X32" i="5"/>
  <c r="Y32" i="5" s="1"/>
  <c r="A178" i="6"/>
  <c r="B204" i="5"/>
  <c r="B179" i="6" s="1"/>
  <c r="CG200" i="5"/>
  <c r="CF201" i="5"/>
  <c r="CC144" i="5"/>
  <c r="CB145" i="5"/>
  <c r="BX34" i="5" l="1"/>
  <c r="AF34" i="5"/>
  <c r="AG34" i="5" s="1"/>
  <c r="AE34" i="5"/>
  <c r="W34" i="5"/>
  <c r="H33" i="5"/>
  <c r="P33" i="5" s="1"/>
  <c r="CH34" i="5"/>
  <c r="CT34" i="5"/>
  <c r="I33" i="5"/>
  <c r="T34" i="5"/>
  <c r="U34" i="5" s="1"/>
  <c r="BV34" i="5"/>
  <c r="BT34" i="5"/>
  <c r="BN34" i="5"/>
  <c r="BO34" i="5" s="1"/>
  <c r="BP34" i="5" s="1"/>
  <c r="G34" i="5" s="1"/>
  <c r="DA34" i="5"/>
  <c r="DB34" i="5" s="1"/>
  <c r="K34" i="5" s="1"/>
  <c r="L34" i="5"/>
  <c r="BR238" i="5"/>
  <c r="AZ212" i="5"/>
  <c r="BA213" i="5" s="1"/>
  <c r="BB212" i="5"/>
  <c r="Z32" i="5"/>
  <c r="AA32" i="5" s="1"/>
  <c r="I7" i="6" s="1"/>
  <c r="H7" i="6"/>
  <c r="CN34" i="5"/>
  <c r="E34" i="5" s="1"/>
  <c r="CO34" i="5"/>
  <c r="F34" i="5" s="1"/>
  <c r="A179" i="6"/>
  <c r="B205" i="5"/>
  <c r="B180" i="6" s="1"/>
  <c r="CG201" i="5"/>
  <c r="CF202" i="5"/>
  <c r="CC145" i="5"/>
  <c r="CB146" i="5"/>
  <c r="AH34" i="5" l="1"/>
  <c r="BY34" i="5"/>
  <c r="J34" i="5" s="1"/>
  <c r="AN34" i="5" s="1"/>
  <c r="AP33" i="5"/>
  <c r="AT33" i="5"/>
  <c r="AY33" i="5"/>
  <c r="F8" i="6"/>
  <c r="Q33" i="5"/>
  <c r="V33" i="5" s="1"/>
  <c r="M33" i="5"/>
  <c r="BR239" i="5"/>
  <c r="AZ213" i="5"/>
  <c r="BA214" i="5" s="1"/>
  <c r="BB213" i="5"/>
  <c r="E9" i="6"/>
  <c r="C35" i="5"/>
  <c r="BU35" i="5" s="1"/>
  <c r="BC34" i="5"/>
  <c r="D9" i="6"/>
  <c r="A180" i="6"/>
  <c r="B206" i="5"/>
  <c r="B181" i="6" s="1"/>
  <c r="CG202" i="5"/>
  <c r="CF203" i="5"/>
  <c r="CC146" i="5"/>
  <c r="CB147" i="5"/>
  <c r="BW34" i="5" l="1"/>
  <c r="AO33" i="5"/>
  <c r="AR33" i="5" s="1"/>
  <c r="AS33" i="5"/>
  <c r="AV33" i="5" s="1"/>
  <c r="N33" i="5"/>
  <c r="G8" i="6"/>
  <c r="BT35" i="5"/>
  <c r="BV35" i="5"/>
  <c r="BS35" i="5"/>
  <c r="CI35" i="5"/>
  <c r="BR240" i="5"/>
  <c r="BH35" i="5"/>
  <c r="BI35" i="5" s="1"/>
  <c r="BJ35" i="5" s="1"/>
  <c r="AZ214" i="5"/>
  <c r="BA215" i="5" s="1"/>
  <c r="BB214" i="5"/>
  <c r="BF34" i="5"/>
  <c r="BD34" i="5"/>
  <c r="BE35" i="5" s="1"/>
  <c r="CZ34" i="5"/>
  <c r="CU35" i="5"/>
  <c r="AX35" i="5"/>
  <c r="AW35" i="5" s="1"/>
  <c r="D35" i="5"/>
  <c r="BK35" i="5"/>
  <c r="BL35" i="5" s="1"/>
  <c r="BM35" i="5" s="1"/>
  <c r="BG34" i="5"/>
  <c r="H34" i="5" s="1"/>
  <c r="CW35" i="5"/>
  <c r="CY35" i="5"/>
  <c r="AB35" i="5"/>
  <c r="AC35" i="5"/>
  <c r="CR35" i="5"/>
  <c r="CX35" i="5"/>
  <c r="CS35" i="5"/>
  <c r="CL35" i="5"/>
  <c r="AK35" i="5"/>
  <c r="AL35" i="5" s="1"/>
  <c r="AM35" i="5" s="1"/>
  <c r="C10" i="6"/>
  <c r="A181" i="6"/>
  <c r="B207" i="5"/>
  <c r="B182" i="6" s="1"/>
  <c r="CF204" i="5"/>
  <c r="CG203" i="5"/>
  <c r="CC147" i="5"/>
  <c r="CB148" i="5"/>
  <c r="BX35" i="5" l="1"/>
  <c r="X33" i="5"/>
  <c r="Y33" i="5" s="1"/>
  <c r="H8" i="6" s="1"/>
  <c r="BR241" i="5"/>
  <c r="CH35" i="5"/>
  <c r="CK35" i="5"/>
  <c r="CJ35" i="5" s="1"/>
  <c r="AL36" i="5"/>
  <c r="AZ215" i="5"/>
  <c r="BA216" i="5" s="1"/>
  <c r="BB215" i="5"/>
  <c r="AD35" i="5"/>
  <c r="AE35" i="5" s="1"/>
  <c r="T35" i="5"/>
  <c r="U35" i="5" s="1"/>
  <c r="AF35" i="5" s="1"/>
  <c r="W35" i="5"/>
  <c r="CT35" i="5"/>
  <c r="CV35" i="5"/>
  <c r="CO35" i="5" s="1"/>
  <c r="F35" i="5" s="1"/>
  <c r="E10" i="6" s="1"/>
  <c r="L35" i="5"/>
  <c r="BN35" i="5"/>
  <c r="BO35" i="5" s="1"/>
  <c r="BP35" i="5" s="1"/>
  <c r="G35" i="5" s="1"/>
  <c r="DA35" i="5"/>
  <c r="DB35" i="5" s="1"/>
  <c r="CP35" i="5"/>
  <c r="CQ35" i="5" s="1"/>
  <c r="R35" i="5" s="1"/>
  <c r="S35" i="5" s="1"/>
  <c r="CM35" i="5"/>
  <c r="I34" i="5"/>
  <c r="A182" i="6"/>
  <c r="B208" i="5"/>
  <c r="B183" i="6" s="1"/>
  <c r="CG204" i="5"/>
  <c r="CF205" i="5"/>
  <c r="CB149" i="5"/>
  <c r="CC148" i="5"/>
  <c r="Z33" i="5" l="1"/>
  <c r="AA33" i="5" s="1"/>
  <c r="I8" i="6" s="1"/>
  <c r="BR242" i="5"/>
  <c r="K35" i="5"/>
  <c r="AZ216" i="5"/>
  <c r="BA217" i="5" s="1"/>
  <c r="BB216" i="5"/>
  <c r="AT34" i="5"/>
  <c r="AP34" i="5"/>
  <c r="CN35" i="5"/>
  <c r="E35" i="5" s="1"/>
  <c r="M34" i="5"/>
  <c r="N34" i="5" s="1"/>
  <c r="P34" i="5"/>
  <c r="AY34" i="5" s="1"/>
  <c r="AG35" i="5"/>
  <c r="AH35" i="5"/>
  <c r="A183" i="6"/>
  <c r="B209" i="5"/>
  <c r="B184" i="6" s="1"/>
  <c r="CG205" i="5"/>
  <c r="CF206" i="5"/>
  <c r="CC149" i="5"/>
  <c r="CB150" i="5"/>
  <c r="D10" i="6" l="1"/>
  <c r="BR243" i="5"/>
  <c r="AZ217" i="5"/>
  <c r="BA218" i="5" s="1"/>
  <c r="BB217" i="5"/>
  <c r="AJ35" i="5"/>
  <c r="BC35" i="5"/>
  <c r="CZ35" i="5" s="1"/>
  <c r="C36" i="5"/>
  <c r="BU36" i="5" s="1"/>
  <c r="Q34" i="5"/>
  <c r="V34" i="5" s="1"/>
  <c r="F9" i="6"/>
  <c r="AO34" i="5"/>
  <c r="AR34" i="5" s="1"/>
  <c r="AS34" i="5"/>
  <c r="AV34" i="5" s="1"/>
  <c r="A184" i="6"/>
  <c r="B210" i="5"/>
  <c r="B185" i="6" s="1"/>
  <c r="CG206" i="5"/>
  <c r="CF207" i="5"/>
  <c r="CC150" i="5"/>
  <c r="CB151" i="5"/>
  <c r="BW35" i="5" l="1"/>
  <c r="BY35" i="5"/>
  <c r="J35" i="5" s="1"/>
  <c r="AN35" i="5" s="1"/>
  <c r="CI36" i="5"/>
  <c r="CH36" i="5" s="1"/>
  <c r="BS36" i="5"/>
  <c r="BR244" i="5"/>
  <c r="CX36" i="5"/>
  <c r="BH36" i="5"/>
  <c r="BI36" i="5" s="1"/>
  <c r="BJ36" i="5" s="1"/>
  <c r="CU36" i="5"/>
  <c r="CT36" i="5" s="1"/>
  <c r="AZ218" i="5"/>
  <c r="BA219" i="5" s="1"/>
  <c r="BB218" i="5"/>
  <c r="X34" i="5"/>
  <c r="Y34" i="5" s="1"/>
  <c r="BG35" i="5"/>
  <c r="AC36" i="5"/>
  <c r="CY36" i="5"/>
  <c r="C11" i="6"/>
  <c r="CR36" i="5"/>
  <c r="CW36" i="5"/>
  <c r="D36" i="5"/>
  <c r="AK36" i="5"/>
  <c r="AN36" i="5" s="1"/>
  <c r="CL36" i="5"/>
  <c r="CM36" i="5" s="1"/>
  <c r="AX36" i="5"/>
  <c r="AW36" i="5" s="1"/>
  <c r="BK36" i="5"/>
  <c r="BL36" i="5" s="1"/>
  <c r="BM36" i="5" s="1"/>
  <c r="CS36" i="5"/>
  <c r="AB36" i="5"/>
  <c r="L36" i="5" s="1"/>
  <c r="BD35" i="5"/>
  <c r="BE36" i="5" s="1"/>
  <c r="BF35" i="5"/>
  <c r="G9" i="6"/>
  <c r="AD36" i="5"/>
  <c r="A185" i="6"/>
  <c r="B211" i="5"/>
  <c r="B186" i="6" s="1"/>
  <c r="CG207" i="5"/>
  <c r="CF208" i="5"/>
  <c r="CC151" i="5"/>
  <c r="CB152" i="5"/>
  <c r="BX36" i="5" l="1"/>
  <c r="I35" i="5"/>
  <c r="AT35" i="5" s="1"/>
  <c r="H35" i="5"/>
  <c r="P35" i="5" s="1"/>
  <c r="AY35" i="5" s="1"/>
  <c r="BT36" i="5"/>
  <c r="BV36" i="5"/>
  <c r="CK36" i="5"/>
  <c r="CJ36" i="5" s="1"/>
  <c r="BR245" i="5"/>
  <c r="T36" i="5"/>
  <c r="U36" i="5" s="1"/>
  <c r="CV36" i="5"/>
  <c r="CN36" i="5" s="1"/>
  <c r="E36" i="5" s="1"/>
  <c r="AZ219" i="5"/>
  <c r="BA220" i="5" s="1"/>
  <c r="BB219" i="5"/>
  <c r="DA36" i="5"/>
  <c r="DB36" i="5" s="1"/>
  <c r="CP36" i="5"/>
  <c r="CQ36" i="5" s="1"/>
  <c r="R36" i="5" s="1"/>
  <c r="S36" i="5" s="1"/>
  <c r="W36" i="5"/>
  <c r="BN36" i="5"/>
  <c r="BO36" i="5" s="1"/>
  <c r="BP36" i="5" s="1"/>
  <c r="G36" i="5" s="1"/>
  <c r="AM36" i="5"/>
  <c r="AL37" i="5" s="1"/>
  <c r="H9" i="6"/>
  <c r="Z34" i="5"/>
  <c r="AA34" i="5" s="1"/>
  <c r="I9" i="6" s="1"/>
  <c r="AE36" i="5"/>
  <c r="AD37" i="5" s="1"/>
  <c r="A186" i="6"/>
  <c r="B212" i="5"/>
  <c r="B187" i="6" s="1"/>
  <c r="CG208" i="5"/>
  <c r="CF209" i="5"/>
  <c r="CB153" i="5"/>
  <c r="CC152" i="5"/>
  <c r="K36" i="5" l="1"/>
  <c r="AP35" i="5"/>
  <c r="AP36" i="5" s="1"/>
  <c r="BR246" i="5"/>
  <c r="CO36" i="5"/>
  <c r="F36" i="5" s="1"/>
  <c r="BC36" i="5" s="1"/>
  <c r="AZ220" i="5"/>
  <c r="BA221" i="5" s="1"/>
  <c r="BB220" i="5"/>
  <c r="M35" i="5"/>
  <c r="AO35" i="5" s="1"/>
  <c r="F10" i="6"/>
  <c r="Q35" i="5"/>
  <c r="V35" i="5" s="1"/>
  <c r="G10" i="6" s="1"/>
  <c r="D11" i="6"/>
  <c r="A187" i="6"/>
  <c r="B213" i="5"/>
  <c r="B188" i="6" s="1"/>
  <c r="CG209" i="5"/>
  <c r="CF210" i="5"/>
  <c r="CC153" i="5"/>
  <c r="CB154" i="5"/>
  <c r="BR247" i="5" l="1"/>
  <c r="E11" i="6"/>
  <c r="C37" i="5"/>
  <c r="BU37" i="5" s="1"/>
  <c r="AZ221" i="5"/>
  <c r="BA222" i="5" s="1"/>
  <c r="BB221" i="5"/>
  <c r="AS35" i="5"/>
  <c r="AV35" i="5" s="1"/>
  <c r="N35" i="5"/>
  <c r="BF36" i="5"/>
  <c r="CZ36" i="5"/>
  <c r="BD36" i="5"/>
  <c r="BE37" i="5" s="1"/>
  <c r="AR35" i="5"/>
  <c r="AO36" i="5"/>
  <c r="AR36" i="5" s="1"/>
  <c r="A188" i="6"/>
  <c r="B214" i="5"/>
  <c r="B189" i="6" s="1"/>
  <c r="CG210" i="5"/>
  <c r="CF211" i="5"/>
  <c r="CC154" i="5"/>
  <c r="CB155" i="5"/>
  <c r="BW36" i="5" l="1"/>
  <c r="BY36" i="5"/>
  <c r="J36" i="5" s="1"/>
  <c r="AF36" i="5" s="1"/>
  <c r="CI37" i="5"/>
  <c r="AX37" i="5"/>
  <c r="AW37" i="5" s="1"/>
  <c r="BS37" i="5"/>
  <c r="BR248" i="5"/>
  <c r="CU37" i="5"/>
  <c r="CV37" i="5" s="1"/>
  <c r="AC37" i="5"/>
  <c r="AE37" i="5" s="1"/>
  <c r="AD38" i="5" s="1"/>
  <c r="BG36" i="5"/>
  <c r="CR37" i="5"/>
  <c r="BH37" i="5"/>
  <c r="BI37" i="5" s="1"/>
  <c r="BJ37" i="5" s="1"/>
  <c r="BK37" i="5"/>
  <c r="BL37" i="5" s="1"/>
  <c r="BM37" i="5" s="1"/>
  <c r="CS37" i="5"/>
  <c r="AB37" i="5"/>
  <c r="BN37" i="5" s="1"/>
  <c r="BO37" i="5" s="1"/>
  <c r="BP37" i="5" s="1"/>
  <c r="C12" i="6"/>
  <c r="AK37" i="5"/>
  <c r="AM37" i="5" s="1"/>
  <c r="AL38" i="5" s="1"/>
  <c r="D37" i="5"/>
  <c r="CL37" i="5"/>
  <c r="CM37" i="5" s="1"/>
  <c r="CW37" i="5"/>
  <c r="CX37" i="5"/>
  <c r="CY37" i="5"/>
  <c r="AZ222" i="5"/>
  <c r="BA223" i="5" s="1"/>
  <c r="BB222" i="5"/>
  <c r="X35" i="5"/>
  <c r="Y35" i="5" s="1"/>
  <c r="A189" i="6"/>
  <c r="B215" i="5"/>
  <c r="B190" i="6" s="1"/>
  <c r="CG211" i="5"/>
  <c r="CF212" i="5"/>
  <c r="CB156" i="5"/>
  <c r="CC155" i="5"/>
  <c r="BX37" i="5" l="1"/>
  <c r="I36" i="5"/>
  <c r="AT36" i="5" s="1"/>
  <c r="H36" i="5"/>
  <c r="P36" i="5" s="1"/>
  <c r="BT37" i="5"/>
  <c r="BV37" i="5"/>
  <c r="G37" i="5"/>
  <c r="BR249" i="5"/>
  <c r="CT37" i="5"/>
  <c r="T37" i="5"/>
  <c r="U37" i="5" s="1"/>
  <c r="L37" i="5"/>
  <c r="DA37" i="5"/>
  <c r="DB37" i="5" s="1"/>
  <c r="CH37" i="5"/>
  <c r="CK37" i="5"/>
  <c r="CJ37" i="5" s="1"/>
  <c r="CP37" i="5"/>
  <c r="CQ37" i="5" s="1"/>
  <c r="R37" i="5" s="1"/>
  <c r="S37" i="5" s="1"/>
  <c r="W37" i="5"/>
  <c r="AZ223" i="5"/>
  <c r="BA224" i="5" s="1"/>
  <c r="BB223" i="5"/>
  <c r="Z35" i="5"/>
  <c r="AA35" i="5" s="1"/>
  <c r="I10" i="6" s="1"/>
  <c r="H10" i="6"/>
  <c r="CO37" i="5"/>
  <c r="F37" i="5" s="1"/>
  <c r="CN37" i="5"/>
  <c r="E37" i="5" s="1"/>
  <c r="A190" i="6"/>
  <c r="B216" i="5"/>
  <c r="B191" i="6" s="1"/>
  <c r="CG212" i="5"/>
  <c r="CF213" i="5"/>
  <c r="CB157" i="5"/>
  <c r="CC156" i="5"/>
  <c r="AH36" i="5" l="1"/>
  <c r="K37" i="5"/>
  <c r="BW37" i="5"/>
  <c r="BY37" i="5"/>
  <c r="J37" i="5" s="1"/>
  <c r="M36" i="5"/>
  <c r="AG36" i="5" s="1"/>
  <c r="AJ36" i="5" s="1"/>
  <c r="BR250" i="5"/>
  <c r="AZ224" i="5"/>
  <c r="BA225" i="5" s="1"/>
  <c r="BB224" i="5"/>
  <c r="F11" i="6"/>
  <c r="AY36" i="5"/>
  <c r="D12" i="6"/>
  <c r="BC37" i="5"/>
  <c r="E12" i="6"/>
  <c r="C38" i="5"/>
  <c r="CI38" i="5" s="1"/>
  <c r="Q36" i="5"/>
  <c r="V36" i="5" s="1"/>
  <c r="A191" i="6"/>
  <c r="B217" i="5"/>
  <c r="B192" i="6" s="1"/>
  <c r="CG213" i="5"/>
  <c r="CF214" i="5"/>
  <c r="CC157" i="5"/>
  <c r="CB158" i="5"/>
  <c r="AS36" i="5" l="1"/>
  <c r="AV36" i="5" s="1"/>
  <c r="X36" i="5" s="1"/>
  <c r="Y36" i="5" s="1"/>
  <c r="AN37" i="5"/>
  <c r="AF37" i="5"/>
  <c r="BU38" i="5"/>
  <c r="N36" i="5"/>
  <c r="BH38" i="5"/>
  <c r="BI38" i="5" s="1"/>
  <c r="BJ38" i="5" s="1"/>
  <c r="BS38" i="5"/>
  <c r="BR251" i="5"/>
  <c r="AZ225" i="5"/>
  <c r="BA226" i="5" s="1"/>
  <c r="AZ226" i="5" s="1"/>
  <c r="BA227" i="5" s="1"/>
  <c r="BB225" i="5"/>
  <c r="G11" i="6"/>
  <c r="CU38" i="5"/>
  <c r="BX38" i="5" s="1"/>
  <c r="CW38" i="5"/>
  <c r="CY38" i="5"/>
  <c r="BK38" i="5"/>
  <c r="BL38" i="5" s="1"/>
  <c r="BM38" i="5" s="1"/>
  <c r="CS38" i="5"/>
  <c r="BG37" i="5"/>
  <c r="H37" i="5" s="1"/>
  <c r="AC38" i="5"/>
  <c r="AB38" i="5"/>
  <c r="L38" i="5" s="1"/>
  <c r="C13" i="6"/>
  <c r="AK38" i="5"/>
  <c r="AM38" i="5" s="1"/>
  <c r="AL39" i="5" s="1"/>
  <c r="CL38" i="5"/>
  <c r="CM38" i="5" s="1"/>
  <c r="D38" i="5"/>
  <c r="CR38" i="5"/>
  <c r="CX38" i="5"/>
  <c r="AX38" i="5"/>
  <c r="AW38" i="5" s="1"/>
  <c r="BF37" i="5"/>
  <c r="CZ37" i="5"/>
  <c r="BD37" i="5"/>
  <c r="BE38" i="5" s="1"/>
  <c r="A192" i="6"/>
  <c r="B218" i="5"/>
  <c r="B193" i="6" s="1"/>
  <c r="CG214" i="5"/>
  <c r="CF215" i="5"/>
  <c r="CC158" i="5"/>
  <c r="CB159" i="5"/>
  <c r="BV38" i="5" l="1"/>
  <c r="BT38" i="5"/>
  <c r="BR252" i="5"/>
  <c r="CH38" i="5"/>
  <c r="CK38" i="5"/>
  <c r="CJ38" i="5" s="1"/>
  <c r="AZ227" i="5"/>
  <c r="BA228" i="5" s="1"/>
  <c r="BB227" i="5"/>
  <c r="CP38" i="5"/>
  <c r="CQ38" i="5" s="1"/>
  <c r="R38" i="5" s="1"/>
  <c r="S38" i="5" s="1"/>
  <c r="I37" i="5"/>
  <c r="T38" i="5"/>
  <c r="U38" i="5" s="1"/>
  <c r="W38" i="5"/>
  <c r="DA38" i="5"/>
  <c r="DB38" i="5" s="1"/>
  <c r="BN38" i="5"/>
  <c r="BO38" i="5" s="1"/>
  <c r="BP38" i="5" s="1"/>
  <c r="G38" i="5" s="1"/>
  <c r="CV38" i="5"/>
  <c r="CT38" i="5"/>
  <c r="H11" i="6"/>
  <c r="Z36" i="5"/>
  <c r="AE38" i="5"/>
  <c r="AD39" i="5" s="1"/>
  <c r="AF38" i="5"/>
  <c r="A193" i="6"/>
  <c r="B219" i="5"/>
  <c r="B194" i="6" s="1"/>
  <c r="CG215" i="5"/>
  <c r="CF216" i="5"/>
  <c r="CC159" i="5"/>
  <c r="CB160" i="5"/>
  <c r="BR253" i="5" l="1"/>
  <c r="K38" i="5"/>
  <c r="AZ228" i="5"/>
  <c r="BA229" i="5" s="1"/>
  <c r="BB228" i="5"/>
  <c r="AH37" i="5"/>
  <c r="AH38" i="5" s="1"/>
  <c r="AP37" i="5"/>
  <c r="AT37" i="5"/>
  <c r="M37" i="5"/>
  <c r="P37" i="5"/>
  <c r="AY37" i="5" s="1"/>
  <c r="CO38" i="5"/>
  <c r="F38" i="5" s="1"/>
  <c r="CN38" i="5"/>
  <c r="E38" i="5" s="1"/>
  <c r="AA36" i="5"/>
  <c r="I11" i="6" s="1"/>
  <c r="A194" i="6"/>
  <c r="B220" i="5"/>
  <c r="B195" i="6" s="1"/>
  <c r="CF217" i="5"/>
  <c r="CG216" i="5"/>
  <c r="CC160" i="5"/>
  <c r="CB161" i="5"/>
  <c r="BW38" i="5" l="1"/>
  <c r="BY38" i="5"/>
  <c r="J38" i="5" s="1"/>
  <c r="AN38" i="5" s="1"/>
  <c r="BR254" i="5"/>
  <c r="AZ229" i="5"/>
  <c r="BA230" i="5" s="1"/>
  <c r="BB229" i="5"/>
  <c r="AS37" i="5"/>
  <c r="AV37" i="5" s="1"/>
  <c r="AO37" i="5"/>
  <c r="D13" i="6"/>
  <c r="BC38" i="5"/>
  <c r="E13" i="6"/>
  <c r="C39" i="5"/>
  <c r="BU39" i="5" s="1"/>
  <c r="F12" i="6"/>
  <c r="Q37" i="5"/>
  <c r="V37" i="5" s="1"/>
  <c r="G12" i="6" s="1"/>
  <c r="N37" i="5"/>
  <c r="AG37" i="5"/>
  <c r="A195" i="6"/>
  <c r="B221" i="5"/>
  <c r="B196" i="6" s="1"/>
  <c r="CG217" i="5"/>
  <c r="CF218" i="5"/>
  <c r="CC161" i="5"/>
  <c r="CB162" i="5"/>
  <c r="BV39" i="5" l="1"/>
  <c r="BT39" i="5"/>
  <c r="BS39" i="5"/>
  <c r="CI39" i="5"/>
  <c r="BR255" i="5"/>
  <c r="BH39" i="5"/>
  <c r="BI39" i="5" s="1"/>
  <c r="BJ39" i="5" s="1"/>
  <c r="AZ230" i="5"/>
  <c r="BA231" i="5" s="1"/>
  <c r="BB230" i="5"/>
  <c r="AR37" i="5"/>
  <c r="AJ37" i="5"/>
  <c r="AG38" i="5"/>
  <c r="AJ38" i="5" s="1"/>
  <c r="CU39" i="5"/>
  <c r="BX39" i="5" s="1"/>
  <c r="AK39" i="5"/>
  <c r="D39" i="5"/>
  <c r="BK39" i="5"/>
  <c r="BL39" i="5" s="1"/>
  <c r="BM39" i="5" s="1"/>
  <c r="CX39" i="5"/>
  <c r="CY39" i="5"/>
  <c r="AB39" i="5"/>
  <c r="L39" i="5" s="1"/>
  <c r="CL39" i="5"/>
  <c r="AC39" i="5"/>
  <c r="AE39" i="5" s="1"/>
  <c r="AD40" i="5" s="1"/>
  <c r="C14" i="6"/>
  <c r="CS39" i="5"/>
  <c r="CW39" i="5"/>
  <c r="CR39" i="5"/>
  <c r="BG38" i="5"/>
  <c r="H38" i="5" s="1"/>
  <c r="AX39" i="5"/>
  <c r="AW39" i="5" s="1"/>
  <c r="CZ38" i="5"/>
  <c r="BF38" i="5"/>
  <c r="BD38" i="5"/>
  <c r="BE39" i="5" s="1"/>
  <c r="A196" i="6"/>
  <c r="B222" i="5"/>
  <c r="B197" i="6" s="1"/>
  <c r="CG218" i="5"/>
  <c r="CF219" i="5"/>
  <c r="CC162" i="5"/>
  <c r="CB163" i="5"/>
  <c r="BR256" i="5" l="1"/>
  <c r="CK39" i="5"/>
  <c r="CJ39" i="5" s="1"/>
  <c r="CH39" i="5"/>
  <c r="AZ231" i="5"/>
  <c r="BA232" i="5" s="1"/>
  <c r="BB231" i="5"/>
  <c r="X37" i="5"/>
  <c r="Y37" i="5" s="1"/>
  <c r="I38" i="5"/>
  <c r="W39" i="5"/>
  <c r="T39" i="5"/>
  <c r="U39" i="5" s="1"/>
  <c r="BN39" i="5"/>
  <c r="BO39" i="5" s="1"/>
  <c r="BP39" i="5" s="1"/>
  <c r="G39" i="5" s="1"/>
  <c r="AM39" i="5"/>
  <c r="AL40" i="5" s="1"/>
  <c r="CP39" i="5"/>
  <c r="CQ39" i="5" s="1"/>
  <c r="R39" i="5" s="1"/>
  <c r="S39" i="5" s="1"/>
  <c r="CT39" i="5"/>
  <c r="CV39" i="5"/>
  <c r="CO39" i="5" s="1"/>
  <c r="F39" i="5" s="1"/>
  <c r="DA39" i="5"/>
  <c r="DB39" i="5" s="1"/>
  <c r="CM39" i="5"/>
  <c r="A197" i="6"/>
  <c r="B223" i="5"/>
  <c r="B198" i="6" s="1"/>
  <c r="CG219" i="5"/>
  <c r="CF220" i="5"/>
  <c r="CB164" i="5"/>
  <c r="CC163" i="5"/>
  <c r="BR257" i="5" l="1"/>
  <c r="AT38" i="5"/>
  <c r="AP38" i="5"/>
  <c r="K39" i="5"/>
  <c r="AZ232" i="5"/>
  <c r="BA233" i="5" s="1"/>
  <c r="BB232" i="5"/>
  <c r="Z37" i="5"/>
  <c r="AA37" i="5" s="1"/>
  <c r="I12" i="6" s="1"/>
  <c r="H12" i="6"/>
  <c r="CN39" i="5"/>
  <c r="E39" i="5" s="1"/>
  <c r="E14" i="6"/>
  <c r="M38" i="5"/>
  <c r="AO38" i="5" s="1"/>
  <c r="AR38" i="5" s="1"/>
  <c r="P38" i="5"/>
  <c r="AY38" i="5" s="1"/>
  <c r="A198" i="6"/>
  <c r="B224" i="5"/>
  <c r="B199" i="6" s="1"/>
  <c r="CG220" i="5"/>
  <c r="CF221" i="5"/>
  <c r="CC164" i="5"/>
  <c r="CB165" i="5"/>
  <c r="BC39" i="5" l="1"/>
  <c r="BF39" i="5" s="1"/>
  <c r="BR258" i="5"/>
  <c r="AZ233" i="5"/>
  <c r="BA234" i="5" s="1"/>
  <c r="BB233" i="5"/>
  <c r="D14" i="6"/>
  <c r="C40" i="5"/>
  <c r="BU40" i="5" s="1"/>
  <c r="N38" i="5"/>
  <c r="AS38" i="5"/>
  <c r="AV38" i="5" s="1"/>
  <c r="X38" i="5" s="1"/>
  <c r="F13" i="6"/>
  <c r="Q38" i="5"/>
  <c r="V38" i="5" s="1"/>
  <c r="A199" i="6"/>
  <c r="B225" i="5"/>
  <c r="B200" i="6" s="1"/>
  <c r="CF222" i="5"/>
  <c r="CG221" i="5"/>
  <c r="CC165" i="5"/>
  <c r="CB166" i="5"/>
  <c r="BD39" i="5" l="1"/>
  <c r="BE40" i="5" s="1"/>
  <c r="CZ39" i="5"/>
  <c r="BY39" i="5"/>
  <c r="J39" i="5" s="1"/>
  <c r="BW39" i="5"/>
  <c r="CI40" i="5"/>
  <c r="CH40" i="5" s="1"/>
  <c r="BS40" i="5"/>
  <c r="BR259" i="5"/>
  <c r="AC40" i="5"/>
  <c r="AE40" i="5" s="1"/>
  <c r="AD41" i="5" s="1"/>
  <c r="BH40" i="5"/>
  <c r="BI40" i="5" s="1"/>
  <c r="BJ40" i="5" s="1"/>
  <c r="AZ234" i="5"/>
  <c r="BA235" i="5" s="1"/>
  <c r="BB234" i="5"/>
  <c r="BG39" i="5"/>
  <c r="C15" i="6"/>
  <c r="CX40" i="5"/>
  <c r="AB40" i="5"/>
  <c r="L40" i="5" s="1"/>
  <c r="CR40" i="5"/>
  <c r="BK40" i="5"/>
  <c r="BL40" i="5" s="1"/>
  <c r="BM40" i="5" s="1"/>
  <c r="CU40" i="5"/>
  <c r="CV40" i="5" s="1"/>
  <c r="CY40" i="5"/>
  <c r="AK40" i="5"/>
  <c r="AM40" i="5" s="1"/>
  <c r="AL41" i="5" s="1"/>
  <c r="CW40" i="5"/>
  <c r="D40" i="5"/>
  <c r="CL40" i="5"/>
  <c r="CM40" i="5" s="1"/>
  <c r="CS40" i="5"/>
  <c r="AX40" i="5"/>
  <c r="AW40" i="5" s="1"/>
  <c r="G13" i="6"/>
  <c r="Y38" i="5"/>
  <c r="A200" i="6"/>
  <c r="B226" i="5"/>
  <c r="B201" i="6" s="1"/>
  <c r="CG222" i="5"/>
  <c r="CF223" i="5"/>
  <c r="CC166" i="5"/>
  <c r="CB167" i="5"/>
  <c r="AN39" i="5" l="1"/>
  <c r="AF39" i="5"/>
  <c r="BX40" i="5"/>
  <c r="I39" i="5"/>
  <c r="AH39" i="5" s="1"/>
  <c r="H39" i="5"/>
  <c r="P39" i="5" s="1"/>
  <c r="AY39" i="5" s="1"/>
  <c r="BT40" i="5"/>
  <c r="BV40" i="5"/>
  <c r="CK40" i="5"/>
  <c r="CJ40" i="5" s="1"/>
  <c r="BR260" i="5"/>
  <c r="W40" i="5"/>
  <c r="AF40" i="5"/>
  <c r="AZ235" i="5"/>
  <c r="BA236" i="5" s="1"/>
  <c r="BB235" i="5"/>
  <c r="BN40" i="5"/>
  <c r="BO40" i="5" s="1"/>
  <c r="BP40" i="5" s="1"/>
  <c r="G40" i="5" s="1"/>
  <c r="DA40" i="5"/>
  <c r="DB40" i="5" s="1"/>
  <c r="CP40" i="5"/>
  <c r="CQ40" i="5" s="1"/>
  <c r="R40" i="5" s="1"/>
  <c r="S40" i="5" s="1"/>
  <c r="CT40" i="5"/>
  <c r="T40" i="5"/>
  <c r="U40" i="5" s="1"/>
  <c r="CO40" i="5"/>
  <c r="F40" i="5" s="1"/>
  <c r="CN40" i="5"/>
  <c r="E40" i="5" s="1"/>
  <c r="H13" i="6"/>
  <c r="Z38" i="5"/>
  <c r="A201" i="6"/>
  <c r="B227" i="5"/>
  <c r="B202" i="6" s="1"/>
  <c r="CG223" i="5"/>
  <c r="CF224" i="5"/>
  <c r="CC167" i="5"/>
  <c r="CB168" i="5"/>
  <c r="AT39" i="5" l="1"/>
  <c r="AP39" i="5"/>
  <c r="K40" i="5"/>
  <c r="BW40" i="5"/>
  <c r="BY40" i="5"/>
  <c r="J40" i="5" s="1"/>
  <c r="AN40" i="5" s="1"/>
  <c r="AH40" i="5"/>
  <c r="BR261" i="5"/>
  <c r="M39" i="5"/>
  <c r="AG39" i="5" s="1"/>
  <c r="AJ39" i="5" s="1"/>
  <c r="AZ236" i="5"/>
  <c r="BA237" i="5" s="1"/>
  <c r="BB236" i="5"/>
  <c r="F14" i="6"/>
  <c r="Q39" i="5"/>
  <c r="V39" i="5" s="1"/>
  <c r="AA38" i="5"/>
  <c r="I13" i="6" s="1"/>
  <c r="D15" i="6"/>
  <c r="BC40" i="5"/>
  <c r="C41" i="5"/>
  <c r="BU41" i="5" s="1"/>
  <c r="E15" i="6"/>
  <c r="A202" i="6"/>
  <c r="B228" i="5"/>
  <c r="B203" i="6" s="1"/>
  <c r="CG224" i="5"/>
  <c r="CF225" i="5"/>
  <c r="CC168" i="5"/>
  <c r="CB169" i="5"/>
  <c r="AS39" i="5" l="1"/>
  <c r="AV39" i="5" s="1"/>
  <c r="AO39" i="5"/>
  <c r="AR39" i="5" s="1"/>
  <c r="BV41" i="5"/>
  <c r="BT41" i="5"/>
  <c r="BS41" i="5"/>
  <c r="CI41" i="5"/>
  <c r="BR262" i="5"/>
  <c r="N39" i="5"/>
  <c r="AG40" i="5"/>
  <c r="AJ40" i="5" s="1"/>
  <c r="BH41" i="5"/>
  <c r="BI41" i="5" s="1"/>
  <c r="BJ41" i="5" s="1"/>
  <c r="AZ237" i="5"/>
  <c r="BA238" i="5" s="1"/>
  <c r="BB237" i="5"/>
  <c r="BF40" i="5"/>
  <c r="CZ40" i="5"/>
  <c r="BD40" i="5"/>
  <c r="BE41" i="5" s="1"/>
  <c r="CU41" i="5"/>
  <c r="BX41" i="5" s="1"/>
  <c r="C16" i="6"/>
  <c r="D41" i="5"/>
  <c r="AC41" i="5"/>
  <c r="CR41" i="5"/>
  <c r="CL41" i="5"/>
  <c r="CM41" i="5" s="1"/>
  <c r="CX41" i="5"/>
  <c r="BK41" i="5"/>
  <c r="BL41" i="5" s="1"/>
  <c r="BM41" i="5" s="1"/>
  <c r="AB41" i="5"/>
  <c r="BN41" i="5" s="1"/>
  <c r="BO41" i="5" s="1"/>
  <c r="BP41" i="5" s="1"/>
  <c r="CY41" i="5"/>
  <c r="AK41" i="5"/>
  <c r="AM41" i="5" s="1"/>
  <c r="AL42" i="5" s="1"/>
  <c r="CS41" i="5"/>
  <c r="CW41" i="5"/>
  <c r="BG40" i="5"/>
  <c r="H40" i="5" s="1"/>
  <c r="AX41" i="5"/>
  <c r="AW41" i="5" s="1"/>
  <c r="G14" i="6"/>
  <c r="A203" i="6"/>
  <c r="B229" i="5"/>
  <c r="B204" i="6" s="1"/>
  <c r="CF226" i="5"/>
  <c r="CG225" i="5"/>
  <c r="CC169" i="5"/>
  <c r="CB170" i="5"/>
  <c r="X39" i="5" l="1"/>
  <c r="Y39" i="5" s="1"/>
  <c r="Z39" i="5" s="1"/>
  <c r="G41" i="5"/>
  <c r="BR263" i="5"/>
  <c r="CH41" i="5"/>
  <c r="CK41" i="5"/>
  <c r="CJ41" i="5" s="1"/>
  <c r="AZ238" i="5"/>
  <c r="BA239" i="5" s="1"/>
  <c r="BB238" i="5"/>
  <c r="I40" i="5"/>
  <c r="AE41" i="5"/>
  <c r="AD42" i="5" s="1"/>
  <c r="T41" i="5"/>
  <c r="U41" i="5" s="1"/>
  <c r="W41" i="5"/>
  <c r="L41" i="5"/>
  <c r="CT41" i="5"/>
  <c r="CV41" i="5"/>
  <c r="CO41" i="5" s="1"/>
  <c r="F41" i="5" s="1"/>
  <c r="CP41" i="5"/>
  <c r="CQ41" i="5" s="1"/>
  <c r="R41" i="5" s="1"/>
  <c r="S41" i="5" s="1"/>
  <c r="DA41" i="5"/>
  <c r="DB41" i="5" s="1"/>
  <c r="A204" i="6"/>
  <c r="B230" i="5"/>
  <c r="B205" i="6" s="1"/>
  <c r="CG226" i="5"/>
  <c r="CF227" i="5"/>
  <c r="CC170" i="5"/>
  <c r="CB171" i="5"/>
  <c r="K41" i="5" l="1"/>
  <c r="H14" i="6"/>
  <c r="BR264" i="5"/>
  <c r="AT40" i="5"/>
  <c r="AP40" i="5"/>
  <c r="AZ239" i="5"/>
  <c r="BA240" i="5" s="1"/>
  <c r="BB239" i="5"/>
  <c r="CN41" i="5"/>
  <c r="E41" i="5" s="1"/>
  <c r="AA39" i="5"/>
  <c r="I14" i="6" s="1"/>
  <c r="P40" i="5"/>
  <c r="AY40" i="5" s="1"/>
  <c r="M40" i="5"/>
  <c r="AS40" i="5" s="1"/>
  <c r="E16" i="6"/>
  <c r="A205" i="6"/>
  <c r="B231" i="5"/>
  <c r="B206" i="6" s="1"/>
  <c r="CG227" i="5"/>
  <c r="CF228" i="5"/>
  <c r="CC171" i="5"/>
  <c r="CB172" i="5"/>
  <c r="AV40" i="5" l="1"/>
  <c r="D16" i="6"/>
  <c r="BR265" i="5"/>
  <c r="AZ240" i="5"/>
  <c r="BA241" i="5" s="1"/>
  <c r="BB240" i="5"/>
  <c r="C42" i="5"/>
  <c r="BU42" i="5" s="1"/>
  <c r="BC41" i="5"/>
  <c r="BF41" i="5" s="1"/>
  <c r="AO40" i="5"/>
  <c r="N40" i="5"/>
  <c r="F15" i="6"/>
  <c r="Q40" i="5"/>
  <c r="V40" i="5" s="1"/>
  <c r="A206" i="6"/>
  <c r="B232" i="5"/>
  <c r="B207" i="6" s="1"/>
  <c r="CG228" i="5"/>
  <c r="CF229" i="5"/>
  <c r="CB173" i="5"/>
  <c r="CC172" i="5"/>
  <c r="BW41" i="5" l="1"/>
  <c r="BY41" i="5"/>
  <c r="J41" i="5" s="1"/>
  <c r="CI42" i="5"/>
  <c r="CK42" i="5" s="1"/>
  <c r="CJ42" i="5" s="1"/>
  <c r="BS42" i="5"/>
  <c r="BR266" i="5"/>
  <c r="BH42" i="5"/>
  <c r="BI42" i="5" s="1"/>
  <c r="BJ42" i="5" s="1"/>
  <c r="AZ241" i="5"/>
  <c r="BA242" i="5" s="1"/>
  <c r="BB241" i="5"/>
  <c r="BG41" i="5"/>
  <c r="H41" i="5" s="1"/>
  <c r="AX42" i="5"/>
  <c r="AW42" i="5" s="1"/>
  <c r="CW42" i="5"/>
  <c r="CL42" i="5"/>
  <c r="CM42" i="5" s="1"/>
  <c r="CR42" i="5"/>
  <c r="AB42" i="5"/>
  <c r="L42" i="5" s="1"/>
  <c r="D42" i="5"/>
  <c r="AK42" i="5"/>
  <c r="AM42" i="5" s="1"/>
  <c r="AL43" i="5" s="1"/>
  <c r="AC42" i="5"/>
  <c r="AF42" i="5" s="1"/>
  <c r="C17" i="6"/>
  <c r="CS42" i="5"/>
  <c r="CX42" i="5"/>
  <c r="BK42" i="5"/>
  <c r="BL42" i="5" s="1"/>
  <c r="BM42" i="5" s="1"/>
  <c r="CY42" i="5"/>
  <c r="CU42" i="5"/>
  <c r="CT42" i="5" s="1"/>
  <c r="BD41" i="5"/>
  <c r="BE42" i="5" s="1"/>
  <c r="CZ41" i="5"/>
  <c r="G15" i="6"/>
  <c r="AR40" i="5"/>
  <c r="A207" i="6"/>
  <c r="B233" i="5"/>
  <c r="B208" i="6" s="1"/>
  <c r="CG229" i="5"/>
  <c r="CF230" i="5"/>
  <c r="CC173" i="5"/>
  <c r="CB174" i="5"/>
  <c r="AN41" i="5" l="1"/>
  <c r="AF41" i="5"/>
  <c r="BX42" i="5"/>
  <c r="BV42" i="5"/>
  <c r="BT42" i="5"/>
  <c r="CH42" i="5"/>
  <c r="BR267" i="5"/>
  <c r="T42" i="5"/>
  <c r="U42" i="5" s="1"/>
  <c r="I41" i="5"/>
  <c r="AP41" i="5" s="1"/>
  <c r="AZ242" i="5"/>
  <c r="BA243" i="5" s="1"/>
  <c r="BB242" i="5"/>
  <c r="X40" i="5"/>
  <c r="Y40" i="5" s="1"/>
  <c r="CP42" i="5"/>
  <c r="CQ42" i="5" s="1"/>
  <c r="R42" i="5" s="1"/>
  <c r="S42" i="5" s="1"/>
  <c r="W42" i="5"/>
  <c r="BN42" i="5"/>
  <c r="BO42" i="5" s="1"/>
  <c r="BP42" i="5" s="1"/>
  <c r="G42" i="5" s="1"/>
  <c r="AE42" i="5"/>
  <c r="AD43" i="5" s="1"/>
  <c r="DA42" i="5"/>
  <c r="DB42" i="5" s="1"/>
  <c r="K42" i="5" s="1"/>
  <c r="CV42" i="5"/>
  <c r="CO42" i="5" s="1"/>
  <c r="F42" i="5" s="1"/>
  <c r="E17" i="6" s="1"/>
  <c r="M41" i="5"/>
  <c r="P41" i="5"/>
  <c r="AY41" i="5" s="1"/>
  <c r="A208" i="6"/>
  <c r="B234" i="5"/>
  <c r="B209" i="6" s="1"/>
  <c r="CG230" i="5"/>
  <c r="CF231" i="5"/>
  <c r="CC174" i="5"/>
  <c r="CB175" i="5"/>
  <c r="BR268" i="5" l="1"/>
  <c r="AH41" i="5"/>
  <c r="AH42" i="5" s="1"/>
  <c r="AT41" i="5"/>
  <c r="AZ243" i="5"/>
  <c r="BA244" i="5" s="1"/>
  <c r="BB243" i="5"/>
  <c r="H15" i="6"/>
  <c r="Z40" i="5"/>
  <c r="AA40" i="5" s="1"/>
  <c r="I15" i="6" s="1"/>
  <c r="AO41" i="5"/>
  <c r="AR41" i="5" s="1"/>
  <c r="AG41" i="5"/>
  <c r="AG42" i="5" s="1"/>
  <c r="CN42" i="5"/>
  <c r="E42" i="5" s="1"/>
  <c r="F16" i="6"/>
  <c r="Q41" i="5"/>
  <c r="V41" i="5" s="1"/>
  <c r="G16" i="6" s="1"/>
  <c r="AS41" i="5"/>
  <c r="N41" i="5"/>
  <c r="A209" i="6"/>
  <c r="B235" i="5"/>
  <c r="B210" i="6" s="1"/>
  <c r="CG231" i="5"/>
  <c r="CF232" i="5"/>
  <c r="CC175" i="5"/>
  <c r="CB176" i="5"/>
  <c r="C43" i="5" l="1"/>
  <c r="CI43" i="5" s="1"/>
  <c r="CH43" i="5" s="1"/>
  <c r="BS43" i="5"/>
  <c r="BR269" i="5"/>
  <c r="AV41" i="5"/>
  <c r="AZ244" i="5"/>
  <c r="BA245" i="5" s="1"/>
  <c r="BB244" i="5"/>
  <c r="AJ41" i="5"/>
  <c r="AJ42" i="5"/>
  <c r="BC42" i="5"/>
  <c r="CZ42" i="5" s="1"/>
  <c r="D17" i="6"/>
  <c r="A210" i="6"/>
  <c r="B236" i="5"/>
  <c r="B211" i="6" s="1"/>
  <c r="CG232" i="5"/>
  <c r="CF233" i="5"/>
  <c r="CC176" i="5"/>
  <c r="CB177" i="5"/>
  <c r="BG42" i="5" l="1"/>
  <c r="H42" i="5" s="1"/>
  <c r="P42" i="5" s="1"/>
  <c r="AY42" i="5" s="1"/>
  <c r="CW43" i="5"/>
  <c r="C18" i="6"/>
  <c r="CU43" i="5"/>
  <c r="CV43" i="5" s="1"/>
  <c r="BU43" i="5"/>
  <c r="BT43" i="5" s="1"/>
  <c r="BK43" i="5"/>
  <c r="BL43" i="5" s="1"/>
  <c r="BM43" i="5" s="1"/>
  <c r="CS43" i="5"/>
  <c r="BH43" i="5"/>
  <c r="BI43" i="5" s="1"/>
  <c r="BJ43" i="5" s="1"/>
  <c r="AK43" i="5"/>
  <c r="AM43" i="5" s="1"/>
  <c r="AL44" i="5" s="1"/>
  <c r="CX43" i="5"/>
  <c r="CY43" i="5"/>
  <c r="CL43" i="5"/>
  <c r="CM43" i="5" s="1"/>
  <c r="AX43" i="5"/>
  <c r="AW43" i="5" s="1"/>
  <c r="CR43" i="5"/>
  <c r="AB43" i="5"/>
  <c r="L43" i="5" s="1"/>
  <c r="AC43" i="5"/>
  <c r="AE43" i="5" s="1"/>
  <c r="D43" i="5"/>
  <c r="W43" i="5" s="1"/>
  <c r="BY42" i="5"/>
  <c r="J42" i="5" s="1"/>
  <c r="AN42" i="5" s="1"/>
  <c r="BW42" i="5"/>
  <c r="CK43" i="5"/>
  <c r="CJ43" i="5" s="1"/>
  <c r="BR270" i="5"/>
  <c r="X41" i="5"/>
  <c r="Y41" i="5" s="1"/>
  <c r="H16" i="6" s="1"/>
  <c r="AZ245" i="5"/>
  <c r="BA246" i="5" s="1"/>
  <c r="BB245" i="5"/>
  <c r="BD42" i="5"/>
  <c r="BE43" i="5" s="1"/>
  <c r="BF42" i="5"/>
  <c r="A211" i="6"/>
  <c r="B237" i="5"/>
  <c r="B212" i="6" s="1"/>
  <c r="CF234" i="5"/>
  <c r="CG233" i="5"/>
  <c r="CC177" i="5"/>
  <c r="CB178" i="5"/>
  <c r="M42" i="5" l="1"/>
  <c r="N42" i="5" s="1"/>
  <c r="I42" i="5"/>
  <c r="AP42" i="5" s="1"/>
  <c r="CO43" i="5"/>
  <c r="F43" i="5" s="1"/>
  <c r="E18" i="6" s="1"/>
  <c r="BX43" i="5"/>
  <c r="CT43" i="5"/>
  <c r="BV43" i="5"/>
  <c r="T43" i="5"/>
  <c r="U43" i="5" s="1"/>
  <c r="CP43" i="5"/>
  <c r="CQ43" i="5" s="1"/>
  <c r="R43" i="5" s="1"/>
  <c r="S43" i="5" s="1"/>
  <c r="BN43" i="5"/>
  <c r="BO43" i="5" s="1"/>
  <c r="BP43" i="5" s="1"/>
  <c r="G43" i="5" s="1"/>
  <c r="CN43" i="5"/>
  <c r="E43" i="5" s="1"/>
  <c r="DA43" i="5"/>
  <c r="DB43" i="5" s="1"/>
  <c r="K43" i="5" s="1"/>
  <c r="BR271" i="5"/>
  <c r="Z41" i="5"/>
  <c r="AA41" i="5" s="1"/>
  <c r="I16" i="6" s="1"/>
  <c r="AZ246" i="5"/>
  <c r="BA247" i="5" s="1"/>
  <c r="BB246" i="5"/>
  <c r="AS42" i="5"/>
  <c r="AO42" i="5"/>
  <c r="F17" i="6"/>
  <c r="A212" i="6"/>
  <c r="B238" i="5"/>
  <c r="B213" i="6" s="1"/>
  <c r="CG234" i="5"/>
  <c r="CF235" i="5"/>
  <c r="CB179" i="5"/>
  <c r="CC178" i="5"/>
  <c r="AT42" i="5" l="1"/>
  <c r="AV42" i="5" s="1"/>
  <c r="Q42" i="5"/>
  <c r="V42" i="5" s="1"/>
  <c r="G17" i="6" s="1"/>
  <c r="D18" i="6"/>
  <c r="BC43" i="5"/>
  <c r="CZ43" i="5" s="1"/>
  <c r="C44" i="5"/>
  <c r="BU44" i="5" s="1"/>
  <c r="BR272" i="5"/>
  <c r="AZ247" i="5"/>
  <c r="BA248" i="5" s="1"/>
  <c r="AZ248" i="5" s="1"/>
  <c r="BA249" i="5" s="1"/>
  <c r="BB247" i="5"/>
  <c r="AR42" i="5"/>
  <c r="A213" i="6"/>
  <c r="B239" i="5"/>
  <c r="B214" i="6" s="1"/>
  <c r="CG235" i="5"/>
  <c r="CF236" i="5"/>
  <c r="CC179" i="5"/>
  <c r="CB180" i="5"/>
  <c r="BW43" i="5" l="1"/>
  <c r="BY43" i="5"/>
  <c r="J43" i="5" s="1"/>
  <c r="AN43" i="5" s="1"/>
  <c r="CI44" i="5"/>
  <c r="CH44" i="5" s="1"/>
  <c r="CX44" i="5"/>
  <c r="BS44" i="5"/>
  <c r="AX44" i="5"/>
  <c r="AW44" i="5" s="1"/>
  <c r="BG43" i="5"/>
  <c r="H43" i="5" s="1"/>
  <c r="BD43" i="5"/>
  <c r="BE44" i="5" s="1"/>
  <c r="BF43" i="5"/>
  <c r="C19" i="6"/>
  <c r="CR44" i="5"/>
  <c r="AB44" i="5"/>
  <c r="CP44" i="5" s="1"/>
  <c r="CQ44" i="5" s="1"/>
  <c r="R44" i="5" s="1"/>
  <c r="S44" i="5" s="1"/>
  <c r="CL44" i="5"/>
  <c r="CM44" i="5" s="1"/>
  <c r="CS44" i="5"/>
  <c r="CU44" i="5"/>
  <c r="CT44" i="5" s="1"/>
  <c r="CW44" i="5"/>
  <c r="BK44" i="5"/>
  <c r="BL44" i="5" s="1"/>
  <c r="BM44" i="5" s="1"/>
  <c r="CY44" i="5"/>
  <c r="D44" i="5"/>
  <c r="AC44" i="5"/>
  <c r="AD44" i="5" s="1"/>
  <c r="AE44" i="5" s="1"/>
  <c r="BH44" i="5"/>
  <c r="BI44" i="5" s="1"/>
  <c r="BJ44" i="5" s="1"/>
  <c r="AK44" i="5"/>
  <c r="AM44" i="5" s="1"/>
  <c r="AL45" i="5" s="1"/>
  <c r="BR273" i="5"/>
  <c r="AZ249" i="5"/>
  <c r="BA250" i="5" s="1"/>
  <c r="BB249" i="5"/>
  <c r="X42" i="5"/>
  <c r="Y42" i="5" s="1"/>
  <c r="A214" i="6"/>
  <c r="B240" i="5"/>
  <c r="B215" i="6" s="1"/>
  <c r="CG236" i="5"/>
  <c r="CF237" i="5"/>
  <c r="CC180" i="5"/>
  <c r="CB181" i="5"/>
  <c r="AF43" i="5" l="1"/>
  <c r="BX44" i="5"/>
  <c r="I43" i="5"/>
  <c r="AP43" i="5" s="1"/>
  <c r="T44" i="5"/>
  <c r="U44" i="5" s="1"/>
  <c r="BT44" i="5"/>
  <c r="BV44" i="5"/>
  <c r="DA44" i="5"/>
  <c r="DB44" i="5" s="1"/>
  <c r="CV44" i="5"/>
  <c r="CO44" i="5" s="1"/>
  <c r="F44" i="5" s="1"/>
  <c r="L44" i="5"/>
  <c r="CK44" i="5"/>
  <c r="CJ44" i="5" s="1"/>
  <c r="BN44" i="5"/>
  <c r="BO44" i="5" s="1"/>
  <c r="BP44" i="5" s="1"/>
  <c r="W44" i="5"/>
  <c r="BR274" i="5"/>
  <c r="AZ250" i="5"/>
  <c r="BA251" i="5" s="1"/>
  <c r="BB250" i="5"/>
  <c r="Z42" i="5"/>
  <c r="AA42" i="5" s="1"/>
  <c r="I17" i="6" s="1"/>
  <c r="H17" i="6"/>
  <c r="P43" i="5"/>
  <c r="AY43" i="5" s="1"/>
  <c r="M43" i="5"/>
  <c r="A215" i="6"/>
  <c r="B241" i="5"/>
  <c r="B216" i="6" s="1"/>
  <c r="CF238" i="5"/>
  <c r="CG237" i="5"/>
  <c r="CC181" i="5"/>
  <c r="CB182" i="5"/>
  <c r="K44" i="5" l="1"/>
  <c r="AT43" i="5"/>
  <c r="AH43" i="5"/>
  <c r="G44" i="5"/>
  <c r="CN44" i="5"/>
  <c r="E44" i="5" s="1"/>
  <c r="BR275" i="5"/>
  <c r="AZ251" i="5"/>
  <c r="BA252" i="5" s="1"/>
  <c r="BB251" i="5"/>
  <c r="AS43" i="5"/>
  <c r="AV43" i="5" s="1"/>
  <c r="AO43" i="5"/>
  <c r="AR43" i="5" s="1"/>
  <c r="N43" i="5"/>
  <c r="AG43" i="5"/>
  <c r="F18" i="6"/>
  <c r="Q43" i="5"/>
  <c r="V43" i="5" s="1"/>
  <c r="E19" i="6"/>
  <c r="A216" i="6"/>
  <c r="B242" i="5"/>
  <c r="B217" i="6" s="1"/>
  <c r="CG238" i="5"/>
  <c r="CF239" i="5"/>
  <c r="CB183" i="5"/>
  <c r="CC182" i="5"/>
  <c r="AJ43" i="5" l="1"/>
  <c r="X43" i="5" s="1"/>
  <c r="Y43" i="5" s="1"/>
  <c r="C45" i="5"/>
  <c r="BU45" i="5" s="1"/>
  <c r="BT45" i="5" s="1"/>
  <c r="BS45" i="5"/>
  <c r="D19" i="6"/>
  <c r="BC44" i="5"/>
  <c r="CZ44" i="5" s="1"/>
  <c r="BR276" i="5"/>
  <c r="AZ252" i="5"/>
  <c r="BA253" i="5" s="1"/>
  <c r="BB252" i="5"/>
  <c r="G18" i="6"/>
  <c r="A217" i="6"/>
  <c r="B243" i="5"/>
  <c r="B218" i="6" s="1"/>
  <c r="CG239" i="5"/>
  <c r="CF240" i="5"/>
  <c r="CC183" i="5"/>
  <c r="CB184" i="5"/>
  <c r="CU45" i="5" l="1"/>
  <c r="CT45" i="5" s="1"/>
  <c r="AX45" i="5"/>
  <c r="AW45" i="5" s="1"/>
  <c r="BG44" i="5"/>
  <c r="H44" i="5" s="1"/>
  <c r="CR45" i="5"/>
  <c r="CW45" i="5"/>
  <c r="CX45" i="5"/>
  <c r="D45" i="5"/>
  <c r="W45" i="5" s="1"/>
  <c r="AC45" i="5"/>
  <c r="AD45" i="5" s="1"/>
  <c r="CY45" i="5"/>
  <c r="CI45" i="5"/>
  <c r="CH45" i="5" s="1"/>
  <c r="CL45" i="5"/>
  <c r="CM45" i="5" s="1"/>
  <c r="CS45" i="5"/>
  <c r="BK45" i="5"/>
  <c r="BL45" i="5" s="1"/>
  <c r="BM45" i="5" s="1"/>
  <c r="BV45" i="5"/>
  <c r="AB45" i="5"/>
  <c r="CP45" i="5" s="1"/>
  <c r="CQ45" i="5" s="1"/>
  <c r="R45" i="5" s="1"/>
  <c r="S45" i="5" s="1"/>
  <c r="AK45" i="5"/>
  <c r="AM45" i="5" s="1"/>
  <c r="AL46" i="5" s="1"/>
  <c r="BH45" i="5"/>
  <c r="BI45" i="5" s="1"/>
  <c r="BJ45" i="5" s="1"/>
  <c r="C20" i="6"/>
  <c r="BW44" i="5"/>
  <c r="BY44" i="5"/>
  <c r="J44" i="5" s="1"/>
  <c r="BF44" i="5"/>
  <c r="BD44" i="5"/>
  <c r="BE45" i="5" s="1"/>
  <c r="BR277" i="5"/>
  <c r="AZ253" i="5"/>
  <c r="BA254" i="5" s="1"/>
  <c r="BB253" i="5"/>
  <c r="Z43" i="5"/>
  <c r="H18" i="6"/>
  <c r="A218" i="6"/>
  <c r="B244" i="5"/>
  <c r="B219" i="6" s="1"/>
  <c r="CF241" i="5"/>
  <c r="CG240" i="5"/>
  <c r="CC184" i="5"/>
  <c r="CB185" i="5"/>
  <c r="BX45" i="5" l="1"/>
  <c r="CV45" i="5"/>
  <c r="CO45" i="5" s="1"/>
  <c r="F45" i="5" s="1"/>
  <c r="AE45" i="5"/>
  <c r="DA45" i="5"/>
  <c r="DB45" i="5" s="1"/>
  <c r="AF44" i="5"/>
  <c r="AN44" i="5"/>
  <c r="I44" i="5"/>
  <c r="T45" i="5"/>
  <c r="U45" i="5" s="1"/>
  <c r="CK45" i="5"/>
  <c r="CJ45" i="5" s="1"/>
  <c r="BN45" i="5"/>
  <c r="BO45" i="5" s="1"/>
  <c r="BP45" i="5" s="1"/>
  <c r="G45" i="5" s="1"/>
  <c r="L45" i="5"/>
  <c r="BR278" i="5"/>
  <c r="AZ254" i="5"/>
  <c r="BA255" i="5" s="1"/>
  <c r="BB254" i="5"/>
  <c r="P44" i="5"/>
  <c r="AY44" i="5" s="1"/>
  <c r="M44" i="5"/>
  <c r="AA43" i="5"/>
  <c r="I18" i="6" s="1"/>
  <c r="A219" i="6"/>
  <c r="B245" i="5"/>
  <c r="B220" i="6" s="1"/>
  <c r="CF242" i="5"/>
  <c r="CG241" i="5"/>
  <c r="CC185" i="5"/>
  <c r="CB186" i="5"/>
  <c r="CN45" i="5" l="1"/>
  <c r="E45" i="5" s="1"/>
  <c r="C46" i="5" s="1"/>
  <c r="BU46" i="5" s="1"/>
  <c r="AP44" i="5"/>
  <c r="AH44" i="5"/>
  <c r="AT44" i="5"/>
  <c r="K45" i="5"/>
  <c r="BW45" i="5"/>
  <c r="BY45" i="5"/>
  <c r="J45" i="5" s="1"/>
  <c r="AF45" i="5" s="1"/>
  <c r="BR279" i="5"/>
  <c r="AZ255" i="5"/>
  <c r="BA256" i="5" s="1"/>
  <c r="BB255" i="5"/>
  <c r="AS44" i="5"/>
  <c r="AO44" i="5"/>
  <c r="E20" i="6"/>
  <c r="AG44" i="5"/>
  <c r="N44" i="5"/>
  <c r="F19" i="6"/>
  <c r="Q44" i="5"/>
  <c r="V44" i="5" s="1"/>
  <c r="G19" i="6" s="1"/>
  <c r="A220" i="6"/>
  <c r="B246" i="5"/>
  <c r="B221" i="6" s="1"/>
  <c r="CG242" i="5"/>
  <c r="CF243" i="5"/>
  <c r="CB187" i="5"/>
  <c r="CC186" i="5"/>
  <c r="D20" i="6" l="1"/>
  <c r="BC45" i="5"/>
  <c r="CZ45" i="5" s="1"/>
  <c r="AV44" i="5"/>
  <c r="AN45" i="5"/>
  <c r="BV46" i="5"/>
  <c r="BT46" i="5"/>
  <c r="BS46" i="5"/>
  <c r="CI46" i="5"/>
  <c r="BR280" i="5"/>
  <c r="BH46" i="5"/>
  <c r="BI46" i="5" s="1"/>
  <c r="BJ46" i="5" s="1"/>
  <c r="AZ256" i="5"/>
  <c r="BA257" i="5" s="1"/>
  <c r="BB256" i="5"/>
  <c r="AR44" i="5"/>
  <c r="AJ44" i="5"/>
  <c r="CU46" i="5"/>
  <c r="BX46" i="5" s="1"/>
  <c r="CL46" i="5"/>
  <c r="CM46" i="5" s="1"/>
  <c r="CR46" i="5"/>
  <c r="D46" i="5"/>
  <c r="CW46" i="5"/>
  <c r="AC46" i="5"/>
  <c r="AD46" i="5" s="1"/>
  <c r="CY46" i="5"/>
  <c r="AK46" i="5"/>
  <c r="AM46" i="5" s="1"/>
  <c r="AL47" i="5" s="1"/>
  <c r="C21" i="6"/>
  <c r="BK46" i="5"/>
  <c r="BL46" i="5" s="1"/>
  <c r="BM46" i="5" s="1"/>
  <c r="CS46" i="5"/>
  <c r="AB46" i="5"/>
  <c r="CP46" i="5" s="1"/>
  <c r="CQ46" i="5" s="1"/>
  <c r="R46" i="5" s="1"/>
  <c r="S46" i="5" s="1"/>
  <c r="CX46" i="5"/>
  <c r="BG45" i="5"/>
  <c r="H45" i="5" s="1"/>
  <c r="AX46" i="5"/>
  <c r="AW46" i="5" s="1"/>
  <c r="A221" i="6"/>
  <c r="B247" i="5"/>
  <c r="B222" i="6" s="1"/>
  <c r="CG243" i="5"/>
  <c r="CF244" i="5"/>
  <c r="CC187" i="5"/>
  <c r="CB188" i="5"/>
  <c r="BD45" i="5" l="1"/>
  <c r="BE46" i="5" s="1"/>
  <c r="BF45" i="5"/>
  <c r="BR281" i="5"/>
  <c r="CH46" i="5"/>
  <c r="CK46" i="5"/>
  <c r="CJ46" i="5" s="1"/>
  <c r="AZ257" i="5"/>
  <c r="BA258" i="5" s="1"/>
  <c r="BB257" i="5"/>
  <c r="X44" i="5"/>
  <c r="Y44" i="5" s="1"/>
  <c r="DA46" i="5"/>
  <c r="DB46" i="5" s="1"/>
  <c r="K46" i="5" s="1"/>
  <c r="CT46" i="5"/>
  <c r="CV46" i="5"/>
  <c r="BN46" i="5"/>
  <c r="BO46" i="5" s="1"/>
  <c r="BP46" i="5" s="1"/>
  <c r="G46" i="5" s="1"/>
  <c r="L46" i="5"/>
  <c r="AE46" i="5"/>
  <c r="T46" i="5"/>
  <c r="U46" i="5" s="1"/>
  <c r="W46" i="5"/>
  <c r="I45" i="5"/>
  <c r="AP45" i="5" s="1"/>
  <c r="A222" i="6"/>
  <c r="B248" i="5"/>
  <c r="B223" i="6" s="1"/>
  <c r="CG244" i="5"/>
  <c r="CF245" i="5"/>
  <c r="CC188" i="5"/>
  <c r="CB189" i="5"/>
  <c r="BR282" i="5" l="1"/>
  <c r="AZ258" i="5"/>
  <c r="BA259" i="5" s="1"/>
  <c r="BB258" i="5"/>
  <c r="Z44" i="5"/>
  <c r="AA44" i="5" s="1"/>
  <c r="I19" i="6" s="1"/>
  <c r="H19" i="6"/>
  <c r="AT45" i="5"/>
  <c r="AH45" i="5"/>
  <c r="P45" i="5"/>
  <c r="AY45" i="5" s="1"/>
  <c r="M45" i="5"/>
  <c r="CO46" i="5"/>
  <c r="F46" i="5" s="1"/>
  <c r="CN46" i="5"/>
  <c r="E46" i="5" s="1"/>
  <c r="A223" i="6"/>
  <c r="B249" i="5"/>
  <c r="B224" i="6" s="1"/>
  <c r="CG245" i="5"/>
  <c r="CF246" i="5"/>
  <c r="CC189" i="5"/>
  <c r="CB190" i="5"/>
  <c r="BW46" i="5" l="1"/>
  <c r="BR283" i="5"/>
  <c r="AG45" i="5"/>
  <c r="AJ45" i="5" s="1"/>
  <c r="AO45" i="5"/>
  <c r="AR45" i="5" s="1"/>
  <c r="AZ259" i="5"/>
  <c r="BA260" i="5" s="1"/>
  <c r="BB259" i="5"/>
  <c r="N45" i="5"/>
  <c r="AS45" i="5"/>
  <c r="AV45" i="5" s="1"/>
  <c r="D21" i="6"/>
  <c r="BC46" i="5"/>
  <c r="C47" i="5"/>
  <c r="BU47" i="5" s="1"/>
  <c r="E21" i="6"/>
  <c r="F20" i="6"/>
  <c r="Q45" i="5"/>
  <c r="V45" i="5" s="1"/>
  <c r="A224" i="6"/>
  <c r="B250" i="5"/>
  <c r="B225" i="6" s="1"/>
  <c r="CG246" i="5"/>
  <c r="CF247" i="5"/>
  <c r="CC190" i="5"/>
  <c r="CB191" i="5"/>
  <c r="BY46" i="5" l="1"/>
  <c r="J46" i="5" s="1"/>
  <c r="BV47" i="5"/>
  <c r="BT47" i="5"/>
  <c r="BS47" i="5"/>
  <c r="CI47" i="5"/>
  <c r="BR284" i="5"/>
  <c r="BH47" i="5"/>
  <c r="BI47" i="5" s="1"/>
  <c r="BJ47" i="5" s="1"/>
  <c r="X45" i="5"/>
  <c r="Y45" i="5" s="1"/>
  <c r="AZ260" i="5"/>
  <c r="BA261" i="5" s="1"/>
  <c r="BB260" i="5"/>
  <c r="CU47" i="5"/>
  <c r="BX47" i="5" s="1"/>
  <c r="CY47" i="5"/>
  <c r="BK47" i="5"/>
  <c r="BL47" i="5" s="1"/>
  <c r="BM47" i="5" s="1"/>
  <c r="CR47" i="5"/>
  <c r="C22" i="6"/>
  <c r="CS47" i="5"/>
  <c r="AK47" i="5"/>
  <c r="AM47" i="5" s="1"/>
  <c r="AL48" i="5" s="1"/>
  <c r="D47" i="5"/>
  <c r="CW47" i="5"/>
  <c r="AC47" i="5"/>
  <c r="CX47" i="5"/>
  <c r="CL47" i="5"/>
  <c r="CM47" i="5" s="1"/>
  <c r="AB47" i="5"/>
  <c r="L47" i="5" s="1"/>
  <c r="BG46" i="5"/>
  <c r="H46" i="5" s="1"/>
  <c r="AX47" i="5"/>
  <c r="AW47" i="5" s="1"/>
  <c r="G20" i="6"/>
  <c r="BD46" i="5"/>
  <c r="BE47" i="5" s="1"/>
  <c r="BF46" i="5"/>
  <c r="CZ46" i="5"/>
  <c r="A225" i="6"/>
  <c r="B251" i="5"/>
  <c r="B226" i="6" s="1"/>
  <c r="CG247" i="5"/>
  <c r="CF248" i="5"/>
  <c r="CC191" i="5"/>
  <c r="CB192" i="5"/>
  <c r="AF46" i="5" l="1"/>
  <c r="AN46" i="5"/>
  <c r="BR285" i="5"/>
  <c r="CK47" i="5"/>
  <c r="CJ47" i="5" s="1"/>
  <c r="CH47" i="5"/>
  <c r="AZ261" i="5"/>
  <c r="BA262" i="5" s="1"/>
  <c r="BB261" i="5"/>
  <c r="CP47" i="5"/>
  <c r="CQ47" i="5" s="1"/>
  <c r="R47" i="5" s="1"/>
  <c r="S47" i="5" s="1"/>
  <c r="E13" i="3" s="1"/>
  <c r="AD47" i="5"/>
  <c r="AE47" i="5" s="1"/>
  <c r="DA47" i="5"/>
  <c r="DB47" i="5" s="1"/>
  <c r="H20" i="6"/>
  <c r="Z45" i="5"/>
  <c r="AA45" i="5" s="1"/>
  <c r="I20" i="6" s="1"/>
  <c r="BN47" i="5"/>
  <c r="BO47" i="5" s="1"/>
  <c r="BP47" i="5" s="1"/>
  <c r="G47" i="5" s="1"/>
  <c r="I46" i="5"/>
  <c r="W47" i="5"/>
  <c r="T47" i="5"/>
  <c r="U47" i="5" s="1"/>
  <c r="CT47" i="5"/>
  <c r="CV47" i="5"/>
  <c r="A226" i="6"/>
  <c r="B252" i="5"/>
  <c r="B227" i="6" s="1"/>
  <c r="CG248" i="5"/>
  <c r="CF249" i="5"/>
  <c r="CC192" i="5"/>
  <c r="CB193" i="5"/>
  <c r="BR286" i="5" l="1"/>
  <c r="K47" i="5"/>
  <c r="AZ262" i="5"/>
  <c r="BA263" i="5" s="1"/>
  <c r="BB262" i="5"/>
  <c r="AH46" i="5"/>
  <c r="AT46" i="5"/>
  <c r="AP46" i="5"/>
  <c r="E12" i="3"/>
  <c r="CO47" i="5"/>
  <c r="F47" i="5" s="1"/>
  <c r="CN47" i="5"/>
  <c r="E47" i="5" s="1"/>
  <c r="P46" i="5"/>
  <c r="AY46" i="5" s="1"/>
  <c r="M46" i="5"/>
  <c r="A227" i="6"/>
  <c r="B253" i="5"/>
  <c r="B228" i="6" s="1"/>
  <c r="CF250" i="5"/>
  <c r="CG249" i="5"/>
  <c r="CC193" i="5"/>
  <c r="CB194" i="5"/>
  <c r="BY47" i="5" l="1"/>
  <c r="J47" i="5" s="1"/>
  <c r="AN47" i="5" s="1"/>
  <c r="BW47" i="5"/>
  <c r="BR287" i="5"/>
  <c r="AZ263" i="5"/>
  <c r="BA264" i="5" s="1"/>
  <c r="BB263" i="5"/>
  <c r="AG46" i="5"/>
  <c r="AJ46" i="5" s="1"/>
  <c r="AS46" i="5"/>
  <c r="AV46" i="5" s="1"/>
  <c r="Q46" i="5"/>
  <c r="V46" i="5" s="1"/>
  <c r="F21" i="6"/>
  <c r="AO46" i="5"/>
  <c r="N46" i="5"/>
  <c r="D22" i="6"/>
  <c r="BC47" i="5"/>
  <c r="C48" i="5"/>
  <c r="BU48" i="5" s="1"/>
  <c r="E22" i="6"/>
  <c r="A228" i="6"/>
  <c r="B254" i="5"/>
  <c r="B229" i="6" s="1"/>
  <c r="CG250" i="5"/>
  <c r="CF251" i="5"/>
  <c r="CC194" i="5"/>
  <c r="CB195" i="5"/>
  <c r="AF47" i="5" l="1"/>
  <c r="BT48" i="5"/>
  <c r="BV48" i="5"/>
  <c r="BS48" i="5"/>
  <c r="CI48" i="5"/>
  <c r="BR288" i="5"/>
  <c r="BH48" i="5"/>
  <c r="BI48" i="5" s="1"/>
  <c r="BJ48" i="5" s="1"/>
  <c r="AZ264" i="5"/>
  <c r="BA265" i="5" s="1"/>
  <c r="BB264" i="5"/>
  <c r="CU48" i="5"/>
  <c r="BX48" i="5" s="1"/>
  <c r="CS48" i="5"/>
  <c r="CX48" i="5"/>
  <c r="C23" i="6"/>
  <c r="CW48" i="5"/>
  <c r="D48" i="5"/>
  <c r="BK48" i="5"/>
  <c r="BL48" i="5" s="1"/>
  <c r="BM48" i="5" s="1"/>
  <c r="AK48" i="5"/>
  <c r="AM48" i="5" s="1"/>
  <c r="AL49" i="5" s="1"/>
  <c r="AB48" i="5"/>
  <c r="L48" i="5" s="1"/>
  <c r="CR48" i="5"/>
  <c r="CY48" i="5"/>
  <c r="AC48" i="5"/>
  <c r="AD48" i="5" s="1"/>
  <c r="CL48" i="5"/>
  <c r="CM48" i="5" s="1"/>
  <c r="BG47" i="5"/>
  <c r="H47" i="5" s="1"/>
  <c r="AX48" i="5"/>
  <c r="AW48" i="5" s="1"/>
  <c r="BD47" i="5"/>
  <c r="BE48" i="5" s="1"/>
  <c r="BF47" i="5"/>
  <c r="CZ47" i="5"/>
  <c r="AR46" i="5"/>
  <c r="G21" i="6"/>
  <c r="A229" i="6"/>
  <c r="B255" i="5"/>
  <c r="B230" i="6" s="1"/>
  <c r="CG251" i="5"/>
  <c r="CF252" i="5"/>
  <c r="CC195" i="5"/>
  <c r="CB196" i="5"/>
  <c r="BR289" i="5" l="1"/>
  <c r="CH48" i="5"/>
  <c r="CK48" i="5"/>
  <c r="CJ48" i="5" s="1"/>
  <c r="AZ265" i="5"/>
  <c r="BA266" i="5" s="1"/>
  <c r="BB265" i="5"/>
  <c r="X46" i="5"/>
  <c r="Y46" i="5" s="1"/>
  <c r="DA48" i="5"/>
  <c r="DB48" i="5" s="1"/>
  <c r="K48" i="5" s="1"/>
  <c r="BN48" i="5"/>
  <c r="BO48" i="5" s="1"/>
  <c r="BP48" i="5" s="1"/>
  <c r="G48" i="5" s="1"/>
  <c r="CP48" i="5"/>
  <c r="CQ48" i="5" s="1"/>
  <c r="R48" i="5" s="1"/>
  <c r="S48" i="5" s="1"/>
  <c r="T48" i="5"/>
  <c r="U48" i="5" s="1"/>
  <c r="W48" i="5"/>
  <c r="AE48" i="5"/>
  <c r="I47" i="5"/>
  <c r="AH47" i="5" s="1"/>
  <c r="CT48" i="5"/>
  <c r="CV48" i="5"/>
  <c r="A230" i="6"/>
  <c r="B256" i="5"/>
  <c r="B231" i="6" s="1"/>
  <c r="CG252" i="5"/>
  <c r="CF253" i="5"/>
  <c r="CC196" i="5"/>
  <c r="CB197" i="5"/>
  <c r="BR290" i="5" l="1"/>
  <c r="AT47" i="5"/>
  <c r="AP47" i="5"/>
  <c r="AZ266" i="5"/>
  <c r="BA267" i="5" s="1"/>
  <c r="BB266" i="5"/>
  <c r="H21" i="6"/>
  <c r="Z46" i="5"/>
  <c r="AA46" i="5" s="1"/>
  <c r="I21" i="6" s="1"/>
  <c r="CO48" i="5"/>
  <c r="F48" i="5" s="1"/>
  <c r="CN48" i="5"/>
  <c r="E48" i="5" s="1"/>
  <c r="M47" i="5"/>
  <c r="P47" i="5"/>
  <c r="AY47" i="5" s="1"/>
  <c r="A231" i="6"/>
  <c r="B257" i="5"/>
  <c r="B232" i="6" s="1"/>
  <c r="CF254" i="5"/>
  <c r="CG253" i="5"/>
  <c r="CB198" i="5"/>
  <c r="CC197" i="5"/>
  <c r="AO47" i="5" l="1"/>
  <c r="AR47" i="5" s="1"/>
  <c r="AG47" i="5"/>
  <c r="AJ47" i="5" s="1"/>
  <c r="BR291" i="5"/>
  <c r="AZ267" i="5"/>
  <c r="BA268" i="5" s="1"/>
  <c r="BB267" i="5"/>
  <c r="N47" i="5"/>
  <c r="AS47" i="5"/>
  <c r="AV47" i="5" s="1"/>
  <c r="Q47" i="5"/>
  <c r="V47" i="5" s="1"/>
  <c r="F22" i="6"/>
  <c r="BC48" i="5"/>
  <c r="D23" i="6"/>
  <c r="E23" i="6"/>
  <c r="C49" i="5"/>
  <c r="BU49" i="5" s="1"/>
  <c r="A232" i="6"/>
  <c r="B258" i="5"/>
  <c r="B233" i="6" s="1"/>
  <c r="CG254" i="5"/>
  <c r="CF255" i="5"/>
  <c r="CC198" i="5"/>
  <c r="CB199" i="5"/>
  <c r="BW48" i="5" l="1"/>
  <c r="BY48" i="5"/>
  <c r="J48" i="5" s="1"/>
  <c r="BV49" i="5"/>
  <c r="BT49" i="5"/>
  <c r="BS49" i="5"/>
  <c r="CI49" i="5"/>
  <c r="X47" i="5"/>
  <c r="BR292" i="5"/>
  <c r="BH49" i="5"/>
  <c r="BI49" i="5" s="1"/>
  <c r="BJ49" i="5" s="1"/>
  <c r="AZ268" i="5"/>
  <c r="BA269" i="5" s="1"/>
  <c r="BB268" i="5"/>
  <c r="CU49" i="5"/>
  <c r="D49" i="5"/>
  <c r="CL49" i="5"/>
  <c r="CM49" i="5" s="1"/>
  <c r="CS49" i="5"/>
  <c r="AC49" i="5"/>
  <c r="AD49" i="5" s="1"/>
  <c r="CW49" i="5"/>
  <c r="CX49" i="5"/>
  <c r="BK49" i="5"/>
  <c r="BL49" i="5" s="1"/>
  <c r="BM49" i="5" s="1"/>
  <c r="AK49" i="5"/>
  <c r="AB49" i="5"/>
  <c r="BN49" i="5" s="1"/>
  <c r="BO49" i="5" s="1"/>
  <c r="BP49" i="5" s="1"/>
  <c r="CY49" i="5"/>
  <c r="CR49" i="5"/>
  <c r="C24" i="6"/>
  <c r="BG48" i="5"/>
  <c r="H48" i="5" s="1"/>
  <c r="AX49" i="5"/>
  <c r="AW49" i="5" s="1"/>
  <c r="BD48" i="5"/>
  <c r="BE49" i="5" s="1"/>
  <c r="CZ48" i="5"/>
  <c r="BF48" i="5"/>
  <c r="G22" i="6"/>
  <c r="Y47" i="5"/>
  <c r="A233" i="6"/>
  <c r="B259" i="5"/>
  <c r="B234" i="6" s="1"/>
  <c r="CG255" i="5"/>
  <c r="CF256" i="5"/>
  <c r="CC199" i="5"/>
  <c r="CB200" i="5"/>
  <c r="AN48" i="5" l="1"/>
  <c r="AF48" i="5"/>
  <c r="BX49" i="5"/>
  <c r="G49" i="5"/>
  <c r="BR293" i="5"/>
  <c r="CH49" i="5"/>
  <c r="CK49" i="5"/>
  <c r="CJ49" i="5" s="1"/>
  <c r="AZ269" i="5"/>
  <c r="BA270" i="5" s="1"/>
  <c r="AZ270" i="5" s="1"/>
  <c r="BA271" i="5" s="1"/>
  <c r="BB269" i="5"/>
  <c r="DA49" i="5"/>
  <c r="DB49" i="5" s="1"/>
  <c r="L49" i="5"/>
  <c r="H22" i="6"/>
  <c r="Z47" i="5"/>
  <c r="AA47" i="5" s="1"/>
  <c r="I22" i="6" s="1"/>
  <c r="CP49" i="5"/>
  <c r="CQ49" i="5" s="1"/>
  <c r="R49" i="5" s="1"/>
  <c r="S49" i="5" s="1"/>
  <c r="AE49" i="5"/>
  <c r="AF49" i="5"/>
  <c r="I48" i="5"/>
  <c r="AM49" i="5"/>
  <c r="AL50" i="5" s="1"/>
  <c r="W49" i="5"/>
  <c r="T49" i="5"/>
  <c r="U49" i="5" s="1"/>
  <c r="CT49" i="5"/>
  <c r="CV49" i="5"/>
  <c r="A234" i="6"/>
  <c r="B260" i="5"/>
  <c r="B235" i="6" s="1"/>
  <c r="CG256" i="5"/>
  <c r="CF257" i="5"/>
  <c r="CC200" i="5"/>
  <c r="CB201" i="5"/>
  <c r="AH48" i="5" l="1"/>
  <c r="K49" i="5"/>
  <c r="BR294" i="5"/>
  <c r="AZ271" i="5"/>
  <c r="BA272" i="5" s="1"/>
  <c r="BB271" i="5"/>
  <c r="AH49" i="5"/>
  <c r="AT48" i="5"/>
  <c r="AP48" i="5"/>
  <c r="M48" i="5"/>
  <c r="AO48" i="5" s="1"/>
  <c r="AR48" i="5" s="1"/>
  <c r="P48" i="5"/>
  <c r="AY48" i="5" s="1"/>
  <c r="CO49" i="5"/>
  <c r="F49" i="5" s="1"/>
  <c r="CN49" i="5"/>
  <c r="E49" i="5" s="1"/>
  <c r="A235" i="6"/>
  <c r="B261" i="5"/>
  <c r="B236" i="6" s="1"/>
  <c r="CG257" i="5"/>
  <c r="CF258" i="5"/>
  <c r="CB202" i="5"/>
  <c r="CC201" i="5"/>
  <c r="BW49" i="5" l="1"/>
  <c r="BY49" i="5"/>
  <c r="J49" i="5" s="1"/>
  <c r="AN49" i="5" s="1"/>
  <c r="BR295" i="5"/>
  <c r="AZ272" i="5"/>
  <c r="BA273" i="5" s="1"/>
  <c r="BB272" i="5"/>
  <c r="D24" i="6"/>
  <c r="BC49" i="5"/>
  <c r="Q48" i="5"/>
  <c r="V48" i="5" s="1"/>
  <c r="F23" i="6"/>
  <c r="C50" i="5"/>
  <c r="BU50" i="5" s="1"/>
  <c r="E24" i="6"/>
  <c r="AG48" i="5"/>
  <c r="N48" i="5"/>
  <c r="AS48" i="5"/>
  <c r="AV48" i="5" s="1"/>
  <c r="A236" i="6"/>
  <c r="B262" i="5"/>
  <c r="B237" i="6" s="1"/>
  <c r="CG258" i="5"/>
  <c r="CF259" i="5"/>
  <c r="CC202" i="5"/>
  <c r="CB203" i="5"/>
  <c r="BV50" i="5" l="1"/>
  <c r="BT50" i="5"/>
  <c r="BS50" i="5"/>
  <c r="CI50" i="5"/>
  <c r="BR296" i="5"/>
  <c r="BH50" i="5"/>
  <c r="BI50" i="5" s="1"/>
  <c r="BJ50" i="5" s="1"/>
  <c r="AZ273" i="5"/>
  <c r="BA274" i="5" s="1"/>
  <c r="BB273" i="5"/>
  <c r="AG49" i="5"/>
  <c r="AJ49" i="5" s="1"/>
  <c r="AJ48" i="5"/>
  <c r="CU50" i="5"/>
  <c r="BX50" i="5" s="1"/>
  <c r="AB50" i="5"/>
  <c r="BN50" i="5" s="1"/>
  <c r="BO50" i="5" s="1"/>
  <c r="BP50" i="5" s="1"/>
  <c r="CR50" i="5"/>
  <c r="CX50" i="5"/>
  <c r="CL50" i="5"/>
  <c r="CM50" i="5" s="1"/>
  <c r="D50" i="5"/>
  <c r="C25" i="6"/>
  <c r="CS50" i="5"/>
  <c r="CW50" i="5"/>
  <c r="CY50" i="5"/>
  <c r="BK50" i="5"/>
  <c r="BL50" i="5" s="1"/>
  <c r="BM50" i="5" s="1"/>
  <c r="AC50" i="5"/>
  <c r="AK50" i="5"/>
  <c r="BG49" i="5"/>
  <c r="H49" i="5" s="1"/>
  <c r="AX50" i="5"/>
  <c r="AW50" i="5" s="1"/>
  <c r="G23" i="6"/>
  <c r="BD49" i="5"/>
  <c r="BE50" i="5" s="1"/>
  <c r="CZ49" i="5"/>
  <c r="BF49" i="5"/>
  <c r="A237" i="6"/>
  <c r="B263" i="5"/>
  <c r="B238" i="6" s="1"/>
  <c r="CG259" i="5"/>
  <c r="CF260" i="5"/>
  <c r="CC203" i="5"/>
  <c r="CB204" i="5"/>
  <c r="G50" i="5" l="1"/>
  <c r="BR297" i="5"/>
  <c r="CK50" i="5"/>
  <c r="CJ50" i="5" s="1"/>
  <c r="CH50" i="5"/>
  <c r="AZ274" i="5"/>
  <c r="BA275" i="5" s="1"/>
  <c r="BB274" i="5"/>
  <c r="X48" i="5"/>
  <c r="Y48" i="5" s="1"/>
  <c r="AD50" i="5"/>
  <c r="AE50" i="5" s="1"/>
  <c r="CP50" i="5"/>
  <c r="CQ50" i="5" s="1"/>
  <c r="R50" i="5" s="1"/>
  <c r="S50" i="5" s="1"/>
  <c r="L50" i="5"/>
  <c r="DA50" i="5"/>
  <c r="DB50" i="5" s="1"/>
  <c r="K50" i="5" s="1"/>
  <c r="W50" i="5"/>
  <c r="T50" i="5"/>
  <c r="U50" i="5" s="1"/>
  <c r="AM50" i="5"/>
  <c r="AL51" i="5" s="1"/>
  <c r="I49" i="5"/>
  <c r="CV50" i="5"/>
  <c r="CT50" i="5"/>
  <c r="A238" i="6"/>
  <c r="B264" i="5"/>
  <c r="B239" i="6" s="1"/>
  <c r="CG260" i="5"/>
  <c r="CF261" i="5"/>
  <c r="CC204" i="5"/>
  <c r="CB205" i="5"/>
  <c r="BR298" i="5" l="1"/>
  <c r="AZ275" i="5"/>
  <c r="BA276" i="5" s="1"/>
  <c r="BB275" i="5"/>
  <c r="H23" i="6"/>
  <c r="Z48" i="5"/>
  <c r="AA48" i="5" s="1"/>
  <c r="I23" i="6" s="1"/>
  <c r="M49" i="5"/>
  <c r="P49" i="5"/>
  <c r="AY49" i="5" s="1"/>
  <c r="AT49" i="5"/>
  <c r="AP49" i="5"/>
  <c r="CO50" i="5"/>
  <c r="F50" i="5" s="1"/>
  <c r="CN50" i="5"/>
  <c r="E50" i="5" s="1"/>
  <c r="A239" i="6"/>
  <c r="B265" i="5"/>
  <c r="B240" i="6" s="1"/>
  <c r="CG261" i="5"/>
  <c r="CF262" i="5"/>
  <c r="CC205" i="5"/>
  <c r="CB206" i="5"/>
  <c r="BY50" i="5" l="1"/>
  <c r="J50" i="5" s="1"/>
  <c r="BW50" i="5"/>
  <c r="BR299" i="5"/>
  <c r="AZ276" i="5"/>
  <c r="BA277" i="5" s="1"/>
  <c r="BB276" i="5"/>
  <c r="D25" i="6"/>
  <c r="BC50" i="5"/>
  <c r="E25" i="6"/>
  <c r="C51" i="5"/>
  <c r="BU51" i="5" s="1"/>
  <c r="Q49" i="5"/>
  <c r="V49" i="5" s="1"/>
  <c r="G24" i="6" s="1"/>
  <c r="F24" i="6"/>
  <c r="N49" i="5"/>
  <c r="AS49" i="5"/>
  <c r="AV49" i="5" s="1"/>
  <c r="AO49" i="5"/>
  <c r="AR49" i="5" s="1"/>
  <c r="A240" i="6"/>
  <c r="B266" i="5"/>
  <c r="B241" i="6" s="1"/>
  <c r="CG262" i="5"/>
  <c r="CF263" i="5"/>
  <c r="CC206" i="5"/>
  <c r="CB207" i="5"/>
  <c r="AF50" i="5" l="1"/>
  <c r="AN50" i="5"/>
  <c r="BT51" i="5"/>
  <c r="BV51" i="5"/>
  <c r="BS51" i="5"/>
  <c r="CI51" i="5"/>
  <c r="BR300" i="5"/>
  <c r="BH51" i="5"/>
  <c r="BI51" i="5" s="1"/>
  <c r="BJ51" i="5" s="1"/>
  <c r="AZ277" i="5"/>
  <c r="BA278" i="5" s="1"/>
  <c r="BB277" i="5"/>
  <c r="X49" i="5"/>
  <c r="Y49" i="5" s="1"/>
  <c r="CU51" i="5"/>
  <c r="BX51" i="5" s="1"/>
  <c r="CW51" i="5"/>
  <c r="AC51" i="5"/>
  <c r="BK51" i="5"/>
  <c r="BL51" i="5" s="1"/>
  <c r="BM51" i="5" s="1"/>
  <c r="AK51" i="5"/>
  <c r="CY51" i="5"/>
  <c r="D51" i="5"/>
  <c r="CS51" i="5"/>
  <c r="CR51" i="5"/>
  <c r="C26" i="6"/>
  <c r="CL51" i="5"/>
  <c r="CM51" i="5" s="1"/>
  <c r="AB51" i="5"/>
  <c r="L51" i="5" s="1"/>
  <c r="CX51" i="5"/>
  <c r="BG50" i="5"/>
  <c r="H50" i="5" s="1"/>
  <c r="AX51" i="5"/>
  <c r="AW51" i="5" s="1"/>
  <c r="BF50" i="5"/>
  <c r="CZ50" i="5"/>
  <c r="BD50" i="5"/>
  <c r="BE51" i="5" s="1"/>
  <c r="A241" i="6"/>
  <c r="B267" i="5"/>
  <c r="B242" i="6" s="1"/>
  <c r="CF264" i="5"/>
  <c r="CG263" i="5"/>
  <c r="CC207" i="5"/>
  <c r="CB208" i="5"/>
  <c r="BR301" i="5" l="1"/>
  <c r="CH51" i="5"/>
  <c r="CK51" i="5"/>
  <c r="CJ51" i="5" s="1"/>
  <c r="AZ278" i="5"/>
  <c r="BA279" i="5" s="1"/>
  <c r="BB278" i="5"/>
  <c r="DA51" i="5"/>
  <c r="DB51" i="5" s="1"/>
  <c r="K51" i="5" s="1"/>
  <c r="I50" i="5"/>
  <c r="AP50" i="5" s="1"/>
  <c r="AM51" i="5"/>
  <c r="AL52" i="5" s="1"/>
  <c r="T51" i="5"/>
  <c r="U51" i="5" s="1"/>
  <c r="W51" i="5"/>
  <c r="H24" i="6"/>
  <c r="Z49" i="5"/>
  <c r="CP51" i="5"/>
  <c r="CQ51" i="5" s="1"/>
  <c r="R51" i="5" s="1"/>
  <c r="S51" i="5" s="1"/>
  <c r="AD51" i="5"/>
  <c r="BN51" i="5"/>
  <c r="BO51" i="5" s="1"/>
  <c r="BP51" i="5" s="1"/>
  <c r="G51" i="5" s="1"/>
  <c r="CT51" i="5"/>
  <c r="CV51" i="5"/>
  <c r="A242" i="6"/>
  <c r="B268" i="5"/>
  <c r="B243" i="6" s="1"/>
  <c r="CG264" i="5"/>
  <c r="CF265" i="5"/>
  <c r="CC208" i="5"/>
  <c r="CB209" i="5"/>
  <c r="BR302" i="5" l="1"/>
  <c r="AZ279" i="5"/>
  <c r="BA280" i="5" s="1"/>
  <c r="BB279" i="5"/>
  <c r="AT50" i="5"/>
  <c r="AH50" i="5"/>
  <c r="AE51" i="5"/>
  <c r="AD52" i="5" s="1"/>
  <c r="AA49" i="5"/>
  <c r="I24" i="6" s="1"/>
  <c r="CO51" i="5"/>
  <c r="F51" i="5" s="1"/>
  <c r="CN51" i="5"/>
  <c r="E51" i="5" s="1"/>
  <c r="P50" i="5"/>
  <c r="M50" i="5"/>
  <c r="AG50" i="5" s="1"/>
  <c r="A243" i="6"/>
  <c r="B269" i="5"/>
  <c r="B244" i="6" s="1"/>
  <c r="CF266" i="5"/>
  <c r="CG265" i="5"/>
  <c r="CC209" i="5"/>
  <c r="CB210" i="5"/>
  <c r="BR303" i="5" l="1"/>
  <c r="AJ50" i="5"/>
  <c r="BB50" i="5"/>
  <c r="AY50" i="5"/>
  <c r="AZ280" i="5"/>
  <c r="BA281" i="5" s="1"/>
  <c r="BB280" i="5"/>
  <c r="D26" i="6"/>
  <c r="BC51" i="5"/>
  <c r="AO50" i="5"/>
  <c r="AR50" i="5" s="1"/>
  <c r="N50" i="5"/>
  <c r="AS50" i="5"/>
  <c r="AV50" i="5" s="1"/>
  <c r="E26" i="6"/>
  <c r="C52" i="5"/>
  <c r="BU52" i="5" s="1"/>
  <c r="Q50" i="5"/>
  <c r="V50" i="5" s="1"/>
  <c r="F25" i="6"/>
  <c r="A244" i="6"/>
  <c r="B270" i="5"/>
  <c r="B245" i="6" s="1"/>
  <c r="CG266" i="5"/>
  <c r="CF267" i="5"/>
  <c r="CC210" i="5"/>
  <c r="CB211" i="5"/>
  <c r="BW51" i="5" l="1"/>
  <c r="BY51" i="5"/>
  <c r="J51" i="5" s="1"/>
  <c r="BT52" i="5"/>
  <c r="BV52" i="5"/>
  <c r="BS52" i="5"/>
  <c r="CI52" i="5"/>
  <c r="BR304" i="5"/>
  <c r="BH52" i="5"/>
  <c r="BI52" i="5" s="1"/>
  <c r="BJ52" i="5" s="1"/>
  <c r="AZ281" i="5"/>
  <c r="BA282" i="5" s="1"/>
  <c r="BB281" i="5"/>
  <c r="X50" i="5"/>
  <c r="Y50" i="5" s="1"/>
  <c r="CU52" i="5"/>
  <c r="D52" i="5"/>
  <c r="BK52" i="5"/>
  <c r="BL52" i="5" s="1"/>
  <c r="BM52" i="5" s="1"/>
  <c r="AB52" i="5"/>
  <c r="L52" i="5" s="1"/>
  <c r="C27" i="6"/>
  <c r="AK52" i="5"/>
  <c r="AM52" i="5" s="1"/>
  <c r="AL53" i="5" s="1"/>
  <c r="AC52" i="5"/>
  <c r="CS52" i="5"/>
  <c r="CY52" i="5"/>
  <c r="CX52" i="5"/>
  <c r="CR52" i="5"/>
  <c r="CL52" i="5"/>
  <c r="CM52" i="5" s="1"/>
  <c r="CW52" i="5"/>
  <c r="BG51" i="5"/>
  <c r="H51" i="5" s="1"/>
  <c r="AX52" i="5"/>
  <c r="AW52" i="5" s="1"/>
  <c r="BD51" i="5"/>
  <c r="BE52" i="5" s="1"/>
  <c r="BF51" i="5"/>
  <c r="CZ51" i="5"/>
  <c r="G25" i="6"/>
  <c r="A245" i="6"/>
  <c r="B271" i="5"/>
  <c r="B246" i="6" s="1"/>
  <c r="CG267" i="5"/>
  <c r="CF268" i="5"/>
  <c r="CC211" i="5"/>
  <c r="CB212" i="5"/>
  <c r="AN51" i="5" l="1"/>
  <c r="AF51" i="5"/>
  <c r="BX52" i="5"/>
  <c r="BR305" i="5"/>
  <c r="CH52" i="5"/>
  <c r="CK52" i="5"/>
  <c r="CJ52" i="5" s="1"/>
  <c r="AZ282" i="5"/>
  <c r="BA283" i="5" s="1"/>
  <c r="BB282" i="5"/>
  <c r="CP52" i="5"/>
  <c r="CQ52" i="5" s="1"/>
  <c r="R52" i="5" s="1"/>
  <c r="S52" i="5" s="1"/>
  <c r="BN52" i="5"/>
  <c r="BO52" i="5" s="1"/>
  <c r="BP52" i="5" s="1"/>
  <c r="G52" i="5" s="1"/>
  <c r="DA52" i="5"/>
  <c r="DB52" i="5" s="1"/>
  <c r="AE52" i="5"/>
  <c r="AD53" i="5" s="1"/>
  <c r="H25" i="6"/>
  <c r="Z50" i="5"/>
  <c r="T52" i="5"/>
  <c r="U52" i="5" s="1"/>
  <c r="W52" i="5"/>
  <c r="I51" i="5"/>
  <c r="CT52" i="5"/>
  <c r="CV52" i="5"/>
  <c r="A246" i="6"/>
  <c r="B272" i="5"/>
  <c r="B247" i="6" s="1"/>
  <c r="CG268" i="5"/>
  <c r="CF269" i="5"/>
  <c r="CC212" i="5"/>
  <c r="CB213" i="5"/>
  <c r="K52" i="5" l="1"/>
  <c r="BR306" i="5"/>
  <c r="AZ283" i="5"/>
  <c r="BA284" i="5" s="1"/>
  <c r="BB283" i="5"/>
  <c r="AH51" i="5"/>
  <c r="AT51" i="5"/>
  <c r="AP51" i="5"/>
  <c r="P51" i="5"/>
  <c r="AY51" i="5" s="1"/>
  <c r="M51" i="5"/>
  <c r="CO52" i="5"/>
  <c r="F52" i="5" s="1"/>
  <c r="CN52" i="5"/>
  <c r="E52" i="5" s="1"/>
  <c r="AA50" i="5"/>
  <c r="I25" i="6" s="1"/>
  <c r="A247" i="6"/>
  <c r="B273" i="5"/>
  <c r="B248" i="6" s="1"/>
  <c r="CF270" i="5"/>
  <c r="CG269" i="5"/>
  <c r="CC213" i="5"/>
  <c r="CB214" i="5"/>
  <c r="BW52" i="5" l="1"/>
  <c r="BY52" i="5"/>
  <c r="J52" i="5" s="1"/>
  <c r="AF52" i="5" s="1"/>
  <c r="BR307" i="5"/>
  <c r="AZ284" i="5"/>
  <c r="BA285" i="5" s="1"/>
  <c r="BB284" i="5"/>
  <c r="AS51" i="5"/>
  <c r="AV51" i="5" s="1"/>
  <c r="AO51" i="5"/>
  <c r="D27" i="6"/>
  <c r="BC52" i="5"/>
  <c r="N51" i="5"/>
  <c r="AG51" i="5"/>
  <c r="E27" i="6"/>
  <c r="C53" i="5"/>
  <c r="BU53" i="5" s="1"/>
  <c r="Q51" i="5"/>
  <c r="V51" i="5" s="1"/>
  <c r="G26" i="6" s="1"/>
  <c r="F26" i="6"/>
  <c r="A248" i="6"/>
  <c r="B274" i="5"/>
  <c r="B249" i="6" s="1"/>
  <c r="CG270" i="5"/>
  <c r="CF271" i="5"/>
  <c r="CC214" i="5"/>
  <c r="CB215" i="5"/>
  <c r="AN52" i="5" l="1"/>
  <c r="BT53" i="5"/>
  <c r="BV53" i="5"/>
  <c r="BS53" i="5"/>
  <c r="CI53" i="5"/>
  <c r="BR308" i="5"/>
  <c r="BH53" i="5"/>
  <c r="BI53" i="5" s="1"/>
  <c r="BJ53" i="5" s="1"/>
  <c r="AZ285" i="5"/>
  <c r="BA286" i="5" s="1"/>
  <c r="BB285" i="5"/>
  <c r="AR51" i="5"/>
  <c r="CU53" i="5"/>
  <c r="BX53" i="5" s="1"/>
  <c r="CY53" i="5"/>
  <c r="C28" i="6"/>
  <c r="CS53" i="5"/>
  <c r="CL53" i="5"/>
  <c r="CM53" i="5" s="1"/>
  <c r="AK53" i="5"/>
  <c r="AM53" i="5" s="1"/>
  <c r="AL54" i="5" s="1"/>
  <c r="CW53" i="5"/>
  <c r="CX53" i="5"/>
  <c r="AC53" i="5"/>
  <c r="CR53" i="5"/>
  <c r="D53" i="5"/>
  <c r="BK53" i="5"/>
  <c r="BL53" i="5" s="1"/>
  <c r="BM53" i="5" s="1"/>
  <c r="AB53" i="5"/>
  <c r="L53" i="5" s="1"/>
  <c r="BG52" i="5"/>
  <c r="H52" i="5" s="1"/>
  <c r="AX53" i="5"/>
  <c r="AW53" i="5" s="1"/>
  <c r="AJ51" i="5"/>
  <c r="BD52" i="5"/>
  <c r="BE53" i="5" s="1"/>
  <c r="BF52" i="5"/>
  <c r="CZ52" i="5"/>
  <c r="A249" i="6"/>
  <c r="B275" i="5"/>
  <c r="B250" i="6" s="1"/>
  <c r="CG271" i="5"/>
  <c r="CF272" i="5"/>
  <c r="CC215" i="5"/>
  <c r="CB216" i="5"/>
  <c r="BR309" i="5" l="1"/>
  <c r="CH53" i="5"/>
  <c r="CK53" i="5"/>
  <c r="CJ53" i="5" s="1"/>
  <c r="AZ286" i="5"/>
  <c r="BA287" i="5" s="1"/>
  <c r="BB286" i="5"/>
  <c r="X51" i="5"/>
  <c r="Y51" i="5" s="1"/>
  <c r="H26" i="6" s="1"/>
  <c r="BN53" i="5"/>
  <c r="BO53" i="5" s="1"/>
  <c r="BP53" i="5" s="1"/>
  <c r="G53" i="5" s="1"/>
  <c r="CP53" i="5"/>
  <c r="CQ53" i="5" s="1"/>
  <c r="R53" i="5" s="1"/>
  <c r="S53" i="5" s="1"/>
  <c r="DA53" i="5"/>
  <c r="DB53" i="5" s="1"/>
  <c r="T53" i="5"/>
  <c r="U53" i="5" s="1"/>
  <c r="W53" i="5"/>
  <c r="I52" i="5"/>
  <c r="AP52" i="5" s="1"/>
  <c r="AE53" i="5"/>
  <c r="AD54" i="5" s="1"/>
  <c r="CV53" i="5"/>
  <c r="CT53" i="5"/>
  <c r="A250" i="6"/>
  <c r="B276" i="5"/>
  <c r="B251" i="6" s="1"/>
  <c r="CG272" i="5"/>
  <c r="CF273" i="5"/>
  <c r="CC216" i="5"/>
  <c r="CB217" i="5"/>
  <c r="K53" i="5" l="1"/>
  <c r="BR310" i="5"/>
  <c r="AZ287" i="5"/>
  <c r="BA288" i="5" s="1"/>
  <c r="BB287" i="5"/>
  <c r="AT52" i="5"/>
  <c r="AH52" i="5"/>
  <c r="Z51" i="5"/>
  <c r="AA51" i="5" s="1"/>
  <c r="I26" i="6" s="1"/>
  <c r="M52" i="5"/>
  <c r="P52" i="5"/>
  <c r="AY52" i="5" s="1"/>
  <c r="CO53" i="5"/>
  <c r="F53" i="5" s="1"/>
  <c r="CN53" i="5"/>
  <c r="E53" i="5" s="1"/>
  <c r="A251" i="6"/>
  <c r="B277" i="5"/>
  <c r="B252" i="6" s="1"/>
  <c r="CF274" i="5"/>
  <c r="CG273" i="5"/>
  <c r="CC217" i="5"/>
  <c r="CB218" i="5"/>
  <c r="BR311" i="5" l="1"/>
  <c r="AG52" i="5"/>
  <c r="AJ52" i="5" s="1"/>
  <c r="AO52" i="5"/>
  <c r="AR52" i="5" s="1"/>
  <c r="AZ288" i="5"/>
  <c r="BA289" i="5" s="1"/>
  <c r="BB288" i="5"/>
  <c r="Q52" i="5"/>
  <c r="V52" i="5" s="1"/>
  <c r="F27" i="6"/>
  <c r="AS52" i="5"/>
  <c r="AV52" i="5" s="1"/>
  <c r="N52" i="5"/>
  <c r="D28" i="6"/>
  <c r="BC53" i="5"/>
  <c r="C54" i="5"/>
  <c r="BU54" i="5" s="1"/>
  <c r="E28" i="6"/>
  <c r="A252" i="6"/>
  <c r="B278" i="5"/>
  <c r="B253" i="6" s="1"/>
  <c r="CG274" i="5"/>
  <c r="CF275" i="5"/>
  <c r="CC218" i="5"/>
  <c r="CB219" i="5"/>
  <c r="BW53" i="5" l="1"/>
  <c r="BY53" i="5"/>
  <c r="J53" i="5" s="1"/>
  <c r="BV54" i="5"/>
  <c r="BT54" i="5"/>
  <c r="BS54" i="5"/>
  <c r="CI54" i="5"/>
  <c r="BR312" i="5"/>
  <c r="X52" i="5"/>
  <c r="Y52" i="5" s="1"/>
  <c r="BH54" i="5"/>
  <c r="BI54" i="5" s="1"/>
  <c r="BJ54" i="5" s="1"/>
  <c r="AZ289" i="5"/>
  <c r="BA290" i="5" s="1"/>
  <c r="BB289" i="5"/>
  <c r="CU54" i="5"/>
  <c r="CR54" i="5"/>
  <c r="AK54" i="5"/>
  <c r="CW54" i="5"/>
  <c r="C29" i="6"/>
  <c r="CL54" i="5"/>
  <c r="CM54" i="5" s="1"/>
  <c r="AB54" i="5"/>
  <c r="CP54" i="5" s="1"/>
  <c r="CQ54" i="5" s="1"/>
  <c r="R54" i="5" s="1"/>
  <c r="S54" i="5" s="1"/>
  <c r="BK54" i="5"/>
  <c r="BL54" i="5" s="1"/>
  <c r="BM54" i="5" s="1"/>
  <c r="AC54" i="5"/>
  <c r="AE54" i="5" s="1"/>
  <c r="AD55" i="5" s="1"/>
  <c r="D54" i="5"/>
  <c r="CY54" i="5"/>
  <c r="CS54" i="5"/>
  <c r="CX54" i="5"/>
  <c r="BG53" i="5"/>
  <c r="H53" i="5" s="1"/>
  <c r="AX54" i="5"/>
  <c r="AW54" i="5" s="1"/>
  <c r="CZ53" i="5"/>
  <c r="BF53" i="5"/>
  <c r="BD53" i="5"/>
  <c r="BE54" i="5" s="1"/>
  <c r="G27" i="6"/>
  <c r="A253" i="6"/>
  <c r="B279" i="5"/>
  <c r="B254" i="6" s="1"/>
  <c r="CG275" i="5"/>
  <c r="CF276" i="5"/>
  <c r="CB220" i="5"/>
  <c r="CC219" i="5"/>
  <c r="AN53" i="5" l="1"/>
  <c r="AF53" i="5"/>
  <c r="BX54" i="5"/>
  <c r="BR313" i="5"/>
  <c r="CH54" i="5"/>
  <c r="CK54" i="5"/>
  <c r="CJ54" i="5" s="1"/>
  <c r="AZ290" i="5"/>
  <c r="BA291" i="5" s="1"/>
  <c r="BB290" i="5"/>
  <c r="BN54" i="5"/>
  <c r="BO54" i="5" s="1"/>
  <c r="BP54" i="5" s="1"/>
  <c r="G54" i="5" s="1"/>
  <c r="DA54" i="5"/>
  <c r="DB54" i="5" s="1"/>
  <c r="K54" i="5" s="1"/>
  <c r="L54" i="5"/>
  <c r="H27" i="6"/>
  <c r="Z52" i="5"/>
  <c r="I53" i="5"/>
  <c r="T54" i="5"/>
  <c r="U54" i="5" s="1"/>
  <c r="W54" i="5"/>
  <c r="AM54" i="5"/>
  <c r="AL55" i="5" s="1"/>
  <c r="CV54" i="5"/>
  <c r="CT54" i="5"/>
  <c r="A254" i="6"/>
  <c r="B280" i="5"/>
  <c r="B255" i="6" s="1"/>
  <c r="CG276" i="5"/>
  <c r="CF277" i="5"/>
  <c r="CC220" i="5"/>
  <c r="CB221" i="5"/>
  <c r="AH53" i="5" l="1"/>
  <c r="BR314" i="5"/>
  <c r="AZ291" i="5"/>
  <c r="BA292" i="5" s="1"/>
  <c r="AZ292" i="5" s="1"/>
  <c r="BA293" i="5" s="1"/>
  <c r="BB291" i="5"/>
  <c r="AT53" i="5"/>
  <c r="AP53" i="5"/>
  <c r="AA52" i="5"/>
  <c r="I27" i="6" s="1"/>
  <c r="CO54" i="5"/>
  <c r="F54" i="5" s="1"/>
  <c r="CN54" i="5"/>
  <c r="E54" i="5" s="1"/>
  <c r="M53" i="5"/>
  <c r="AG53" i="5" s="1"/>
  <c r="AJ53" i="5" s="1"/>
  <c r="P53" i="5"/>
  <c r="AY53" i="5" s="1"/>
  <c r="A255" i="6"/>
  <c r="B281" i="5"/>
  <c r="B256" i="6" s="1"/>
  <c r="CF278" i="5"/>
  <c r="CG277" i="5"/>
  <c r="CC221" i="5"/>
  <c r="CB222" i="5"/>
  <c r="BW54" i="5" l="1"/>
  <c r="BY54" i="5"/>
  <c r="J54" i="5" s="1"/>
  <c r="AF54" i="5" s="1"/>
  <c r="BR315" i="5"/>
  <c r="AN54" i="5"/>
  <c r="AZ293" i="5"/>
  <c r="BA294" i="5" s="1"/>
  <c r="BB293" i="5"/>
  <c r="N53" i="5"/>
  <c r="AS53" i="5"/>
  <c r="AV53" i="5" s="1"/>
  <c r="AO53" i="5"/>
  <c r="D29" i="6"/>
  <c r="BC54" i="5"/>
  <c r="E29" i="6"/>
  <c r="C55" i="5"/>
  <c r="BU55" i="5" s="1"/>
  <c r="F28" i="6"/>
  <c r="Q53" i="5"/>
  <c r="V53" i="5" s="1"/>
  <c r="G28" i="6" s="1"/>
  <c r="A256" i="6"/>
  <c r="B282" i="5"/>
  <c r="B257" i="6" s="1"/>
  <c r="CG278" i="5"/>
  <c r="CF279" i="5"/>
  <c r="CC222" i="5"/>
  <c r="CB223" i="5"/>
  <c r="BV55" i="5" l="1"/>
  <c r="BT55" i="5"/>
  <c r="BS55" i="5"/>
  <c r="CI55" i="5"/>
  <c r="BR316" i="5"/>
  <c r="BH55" i="5"/>
  <c r="BI55" i="5" s="1"/>
  <c r="BJ55" i="5" s="1"/>
  <c r="AZ294" i="5"/>
  <c r="BA295" i="5" s="1"/>
  <c r="BB294" i="5"/>
  <c r="CU55" i="5"/>
  <c r="BX55" i="5" s="1"/>
  <c r="CX55" i="5"/>
  <c r="D55" i="5"/>
  <c r="BK55" i="5"/>
  <c r="BL55" i="5" s="1"/>
  <c r="BM55" i="5" s="1"/>
  <c r="AB55" i="5"/>
  <c r="BN55" i="5" s="1"/>
  <c r="BO55" i="5" s="1"/>
  <c r="BP55" i="5" s="1"/>
  <c r="CS55" i="5"/>
  <c r="CR55" i="5"/>
  <c r="CL55" i="5"/>
  <c r="CM55" i="5" s="1"/>
  <c r="CY55" i="5"/>
  <c r="AK55" i="5"/>
  <c r="AM55" i="5" s="1"/>
  <c r="AL56" i="5" s="1"/>
  <c r="AC55" i="5"/>
  <c r="CW55" i="5"/>
  <c r="C30" i="6"/>
  <c r="BG54" i="5"/>
  <c r="H54" i="5" s="1"/>
  <c r="AX55" i="5"/>
  <c r="AW55" i="5" s="1"/>
  <c r="BF54" i="5"/>
  <c r="CZ54" i="5"/>
  <c r="BD54" i="5"/>
  <c r="BE55" i="5" s="1"/>
  <c r="AR53" i="5"/>
  <c r="A257" i="6"/>
  <c r="B283" i="5"/>
  <c r="B258" i="6" s="1"/>
  <c r="CG279" i="5"/>
  <c r="CF280" i="5"/>
  <c r="CB224" i="5"/>
  <c r="CC223" i="5"/>
  <c r="G55" i="5" l="1"/>
  <c r="BR317" i="5"/>
  <c r="CK55" i="5"/>
  <c r="CJ55" i="5" s="1"/>
  <c r="CH55" i="5"/>
  <c r="AZ295" i="5"/>
  <c r="BA296" i="5" s="1"/>
  <c r="BB295" i="5"/>
  <c r="X53" i="5"/>
  <c r="Y53" i="5" s="1"/>
  <c r="CP55" i="5"/>
  <c r="CQ55" i="5" s="1"/>
  <c r="R55" i="5" s="1"/>
  <c r="S55" i="5" s="1"/>
  <c r="L55" i="5"/>
  <c r="DA55" i="5"/>
  <c r="DB55" i="5" s="1"/>
  <c r="K55" i="5" s="1"/>
  <c r="AE55" i="5"/>
  <c r="AD56" i="5" s="1"/>
  <c r="I54" i="5"/>
  <c r="AP54" i="5" s="1"/>
  <c r="W55" i="5"/>
  <c r="T55" i="5"/>
  <c r="U55" i="5" s="1"/>
  <c r="CV55" i="5"/>
  <c r="CT55" i="5"/>
  <c r="A258" i="6"/>
  <c r="B284" i="5"/>
  <c r="B259" i="6" s="1"/>
  <c r="CG280" i="5"/>
  <c r="CF281" i="5"/>
  <c r="CC224" i="5"/>
  <c r="CB225" i="5"/>
  <c r="BR318" i="5" l="1"/>
  <c r="AT54" i="5"/>
  <c r="AH54" i="5"/>
  <c r="AZ296" i="5"/>
  <c r="BA297" i="5" s="1"/>
  <c r="BB296" i="5"/>
  <c r="H28" i="6"/>
  <c r="Z53" i="5"/>
  <c r="AA53" i="5" s="1"/>
  <c r="I28" i="6" s="1"/>
  <c r="M54" i="5"/>
  <c r="P54" i="5"/>
  <c r="AY54" i="5" s="1"/>
  <c r="CO55" i="5"/>
  <c r="F55" i="5" s="1"/>
  <c r="CN55" i="5"/>
  <c r="E55" i="5" s="1"/>
  <c r="A259" i="6"/>
  <c r="B285" i="5"/>
  <c r="B260" i="6" s="1"/>
  <c r="CG281" i="5"/>
  <c r="CF282" i="5"/>
  <c r="CC225" i="5"/>
  <c r="CB226" i="5"/>
  <c r="BY55" i="5" l="1"/>
  <c r="J55" i="5" s="1"/>
  <c r="BR319" i="5"/>
  <c r="AG54" i="5"/>
  <c r="AJ54" i="5" s="1"/>
  <c r="AO54" i="5"/>
  <c r="AR54" i="5" s="1"/>
  <c r="AZ297" i="5"/>
  <c r="BA298" i="5" s="1"/>
  <c r="BB297" i="5"/>
  <c r="E30" i="6"/>
  <c r="C56" i="5"/>
  <c r="BU56" i="5" s="1"/>
  <c r="BC55" i="5"/>
  <c r="D30" i="6"/>
  <c r="F29" i="6"/>
  <c r="Q54" i="5"/>
  <c r="V54" i="5" s="1"/>
  <c r="N54" i="5"/>
  <c r="AS54" i="5"/>
  <c r="AV54" i="5" s="1"/>
  <c r="A260" i="6"/>
  <c r="B286" i="5"/>
  <c r="B261" i="6" s="1"/>
  <c r="CG282" i="5"/>
  <c r="CF283" i="5"/>
  <c r="CC226" i="5"/>
  <c r="CB227" i="5"/>
  <c r="AN55" i="5" l="1"/>
  <c r="AF55" i="5"/>
  <c r="BW55" i="5"/>
  <c r="BT56" i="5"/>
  <c r="BV56" i="5"/>
  <c r="BS56" i="5"/>
  <c r="CI56" i="5"/>
  <c r="X54" i="5"/>
  <c r="Y54" i="5" s="1"/>
  <c r="BR320" i="5"/>
  <c r="BH56" i="5"/>
  <c r="BI56" i="5" s="1"/>
  <c r="BJ56" i="5" s="1"/>
  <c r="AZ298" i="5"/>
  <c r="BA299" i="5" s="1"/>
  <c r="BB298" i="5"/>
  <c r="G29" i="6"/>
  <c r="CZ55" i="5"/>
  <c r="BD55" i="5"/>
  <c r="BE56" i="5" s="1"/>
  <c r="BF55" i="5"/>
  <c r="CU56" i="5"/>
  <c r="AK56" i="5"/>
  <c r="AC56" i="5"/>
  <c r="BK56" i="5"/>
  <c r="BL56" i="5" s="1"/>
  <c r="BM56" i="5" s="1"/>
  <c r="CY56" i="5"/>
  <c r="AB56" i="5"/>
  <c r="BN56" i="5" s="1"/>
  <c r="BO56" i="5" s="1"/>
  <c r="BP56" i="5" s="1"/>
  <c r="CL56" i="5"/>
  <c r="CM56" i="5" s="1"/>
  <c r="D56" i="5"/>
  <c r="CX56" i="5"/>
  <c r="C31" i="6"/>
  <c r="CW56" i="5"/>
  <c r="CS56" i="5"/>
  <c r="CR56" i="5"/>
  <c r="BG55" i="5"/>
  <c r="H55" i="5" s="1"/>
  <c r="AX56" i="5"/>
  <c r="AW56" i="5" s="1"/>
  <c r="A261" i="6"/>
  <c r="B287" i="5"/>
  <c r="B262" i="6" s="1"/>
  <c r="CG283" i="5"/>
  <c r="CF284" i="5"/>
  <c r="CB228" i="5"/>
  <c r="CC227" i="5"/>
  <c r="BX56" i="5" l="1"/>
  <c r="G56" i="5"/>
  <c r="BR321" i="5"/>
  <c r="CH56" i="5"/>
  <c r="CK56" i="5"/>
  <c r="CJ56" i="5" s="1"/>
  <c r="DA56" i="5"/>
  <c r="DB56" i="5" s="1"/>
  <c r="K56" i="5" s="1"/>
  <c r="AZ299" i="5"/>
  <c r="BA300" i="5" s="1"/>
  <c r="BB299" i="5"/>
  <c r="CP56" i="5"/>
  <c r="CQ56" i="5" s="1"/>
  <c r="R56" i="5" s="1"/>
  <c r="S56" i="5" s="1"/>
  <c r="I55" i="5"/>
  <c r="AH55" i="5" s="1"/>
  <c r="AE56" i="5"/>
  <c r="AD57" i="5" s="1"/>
  <c r="AF56" i="5"/>
  <c r="AM56" i="5"/>
  <c r="AL57" i="5" s="1"/>
  <c r="CT56" i="5"/>
  <c r="CV56" i="5"/>
  <c r="L56" i="5"/>
  <c r="T56" i="5"/>
  <c r="U56" i="5" s="1"/>
  <c r="W56" i="5"/>
  <c r="H29" i="6"/>
  <c r="Z54" i="5"/>
  <c r="A262" i="6"/>
  <c r="B288" i="5"/>
  <c r="B263" i="6" s="1"/>
  <c r="CF285" i="5"/>
  <c r="CG284" i="5"/>
  <c r="CC228" i="5"/>
  <c r="CB229" i="5"/>
  <c r="BR322" i="5" l="1"/>
  <c r="AZ300" i="5"/>
  <c r="BA301" i="5" s="1"/>
  <c r="BB300" i="5"/>
  <c r="AH56" i="5"/>
  <c r="CN56" i="5"/>
  <c r="E56" i="5" s="1"/>
  <c r="CO56" i="5"/>
  <c r="F56" i="5" s="1"/>
  <c r="P55" i="5"/>
  <c r="AY55" i="5" s="1"/>
  <c r="M55" i="5"/>
  <c r="AA54" i="5"/>
  <c r="I29" i="6" s="1"/>
  <c r="AT55" i="5"/>
  <c r="AP55" i="5"/>
  <c r="A263" i="6"/>
  <c r="B289" i="5"/>
  <c r="B264" i="6" s="1"/>
  <c r="CG285" i="5"/>
  <c r="CF286" i="5"/>
  <c r="CC229" i="5"/>
  <c r="CB230" i="5"/>
  <c r="D31" i="6" l="1"/>
  <c r="BR323" i="5"/>
  <c r="AZ301" i="5"/>
  <c r="BA302" i="5" s="1"/>
  <c r="BB301" i="5"/>
  <c r="AG55" i="5"/>
  <c r="N55" i="5"/>
  <c r="AS55" i="5"/>
  <c r="AV55" i="5" s="1"/>
  <c r="AO55" i="5"/>
  <c r="AR55" i="5" s="1"/>
  <c r="F30" i="6"/>
  <c r="Q55" i="5"/>
  <c r="V55" i="5" s="1"/>
  <c r="G30" i="6" s="1"/>
  <c r="BC56" i="5"/>
  <c r="C57" i="5"/>
  <c r="BU57" i="5" s="1"/>
  <c r="E31" i="6"/>
  <c r="A264" i="6"/>
  <c r="B290" i="5"/>
  <c r="B265" i="6" s="1"/>
  <c r="CG286" i="5"/>
  <c r="CF287" i="5"/>
  <c r="CC230" i="5"/>
  <c r="CB231" i="5"/>
  <c r="BW56" i="5" l="1"/>
  <c r="BY56" i="5"/>
  <c r="J56" i="5" s="1"/>
  <c r="AN56" i="5" s="1"/>
  <c r="BV57" i="5"/>
  <c r="BT57" i="5"/>
  <c r="BS57" i="5"/>
  <c r="CI57" i="5"/>
  <c r="BR324" i="5"/>
  <c r="BH57" i="5"/>
  <c r="BI57" i="5" s="1"/>
  <c r="BJ57" i="5" s="1"/>
  <c r="AZ302" i="5"/>
  <c r="BA303" i="5" s="1"/>
  <c r="BB302" i="5"/>
  <c r="C32" i="6"/>
  <c r="AK57" i="5"/>
  <c r="AC57" i="5"/>
  <c r="AE57" i="5" s="1"/>
  <c r="D57" i="5"/>
  <c r="BK57" i="5"/>
  <c r="BL57" i="5" s="1"/>
  <c r="BM57" i="5" s="1"/>
  <c r="CY57" i="5"/>
  <c r="CW57" i="5"/>
  <c r="CL57" i="5"/>
  <c r="CM57" i="5" s="1"/>
  <c r="CX57" i="5"/>
  <c r="CR57" i="5"/>
  <c r="AB57" i="5"/>
  <c r="BN57" i="5" s="1"/>
  <c r="BO57" i="5" s="1"/>
  <c r="BP57" i="5" s="1"/>
  <c r="CS57" i="5"/>
  <c r="BG56" i="5"/>
  <c r="H56" i="5" s="1"/>
  <c r="AX57" i="5"/>
  <c r="AW57" i="5" s="1"/>
  <c r="CU57" i="5"/>
  <c r="BD56" i="5"/>
  <c r="BE57" i="5" s="1"/>
  <c r="CZ56" i="5"/>
  <c r="BF56" i="5"/>
  <c r="AG56" i="5"/>
  <c r="AJ56" i="5" s="1"/>
  <c r="AJ55" i="5"/>
  <c r="A265" i="6"/>
  <c r="B291" i="5"/>
  <c r="B266" i="6" s="1"/>
  <c r="CG287" i="5"/>
  <c r="CF288" i="5"/>
  <c r="CC231" i="5"/>
  <c r="CB232" i="5"/>
  <c r="BX57" i="5" l="1"/>
  <c r="G57" i="5"/>
  <c r="BR325" i="5"/>
  <c r="CH57" i="5"/>
  <c r="CK57" i="5"/>
  <c r="CJ57" i="5" s="1"/>
  <c r="AZ303" i="5"/>
  <c r="BA304" i="5" s="1"/>
  <c r="BB303" i="5"/>
  <c r="X55" i="5"/>
  <c r="Y55" i="5" s="1"/>
  <c r="DA57" i="5"/>
  <c r="DB57" i="5" s="1"/>
  <c r="L57" i="5"/>
  <c r="CV57" i="5"/>
  <c r="CT57" i="5"/>
  <c r="CP57" i="5"/>
  <c r="CQ57" i="5" s="1"/>
  <c r="R57" i="5" s="1"/>
  <c r="S57" i="5" s="1"/>
  <c r="W57" i="5"/>
  <c r="T57" i="5"/>
  <c r="U57" i="5" s="1"/>
  <c r="AM57" i="5"/>
  <c r="AL58" i="5" s="1"/>
  <c r="I56" i="5"/>
  <c r="A266" i="6"/>
  <c r="B292" i="5"/>
  <c r="B267" i="6" s="1"/>
  <c r="CF289" i="5"/>
  <c r="CG288" i="5"/>
  <c r="CC232" i="5"/>
  <c r="CB233" i="5"/>
  <c r="K57" i="5" l="1"/>
  <c r="BR326" i="5"/>
  <c r="AZ304" i="5"/>
  <c r="BA305" i="5" s="1"/>
  <c r="BB304" i="5"/>
  <c r="H30" i="6"/>
  <c r="Z55" i="5"/>
  <c r="AA55" i="5" s="1"/>
  <c r="I30" i="6" s="1"/>
  <c r="AT56" i="5"/>
  <c r="AP56" i="5"/>
  <c r="CO57" i="5"/>
  <c r="F57" i="5" s="1"/>
  <c r="CN57" i="5"/>
  <c r="E57" i="5" s="1"/>
  <c r="M56" i="5"/>
  <c r="P56" i="5"/>
  <c r="AY56" i="5" s="1"/>
  <c r="A267" i="6"/>
  <c r="B293" i="5"/>
  <c r="B268" i="6" s="1"/>
  <c r="CG289" i="5"/>
  <c r="CF290" i="5"/>
  <c r="CC233" i="5"/>
  <c r="CB234" i="5"/>
  <c r="BR327" i="5" l="1"/>
  <c r="AZ305" i="5"/>
  <c r="BA306" i="5" s="1"/>
  <c r="BB305" i="5"/>
  <c r="F31" i="6"/>
  <c r="Q56" i="5"/>
  <c r="V56" i="5" s="1"/>
  <c r="AO56" i="5"/>
  <c r="AR56" i="5" s="1"/>
  <c r="N56" i="5"/>
  <c r="AS56" i="5"/>
  <c r="AV56" i="5" s="1"/>
  <c r="D32" i="6"/>
  <c r="BC57" i="5"/>
  <c r="E32" i="6"/>
  <c r="C58" i="5"/>
  <c r="BU58" i="5" s="1"/>
  <c r="A268" i="6"/>
  <c r="B294" i="5"/>
  <c r="B269" i="6" s="1"/>
  <c r="CG290" i="5"/>
  <c r="CF291" i="5"/>
  <c r="CC234" i="5"/>
  <c r="CB235" i="5"/>
  <c r="BW57" i="5" l="1"/>
  <c r="BY57" i="5"/>
  <c r="J57" i="5" s="1"/>
  <c r="BV58" i="5"/>
  <c r="BT58" i="5"/>
  <c r="BS58" i="5"/>
  <c r="CI58" i="5"/>
  <c r="BR328" i="5"/>
  <c r="BH58" i="5"/>
  <c r="BI58" i="5" s="1"/>
  <c r="BJ58" i="5" s="1"/>
  <c r="AZ306" i="5"/>
  <c r="BA307" i="5" s="1"/>
  <c r="BB306" i="5"/>
  <c r="X56" i="5"/>
  <c r="Y56" i="5" s="1"/>
  <c r="G31" i="6"/>
  <c r="CU58" i="5"/>
  <c r="CX58" i="5"/>
  <c r="CL58" i="5"/>
  <c r="BK58" i="5"/>
  <c r="BL58" i="5" s="1"/>
  <c r="BM58" i="5" s="1"/>
  <c r="C33" i="6"/>
  <c r="AB58" i="5"/>
  <c r="L58" i="5" s="1"/>
  <c r="CW58" i="5"/>
  <c r="CS58" i="5"/>
  <c r="D58" i="5"/>
  <c r="AK58" i="5"/>
  <c r="CY58" i="5"/>
  <c r="AC58" i="5"/>
  <c r="AD58" i="5" s="1"/>
  <c r="CR58" i="5"/>
  <c r="BG57" i="5"/>
  <c r="H57" i="5" s="1"/>
  <c r="AX58" i="5"/>
  <c r="AW58" i="5" s="1"/>
  <c r="CZ57" i="5"/>
  <c r="BD57" i="5"/>
  <c r="BE58" i="5" s="1"/>
  <c r="BF57" i="5"/>
  <c r="A269" i="6"/>
  <c r="B295" i="5"/>
  <c r="B270" i="6" s="1"/>
  <c r="CG291" i="5"/>
  <c r="CF292" i="5"/>
  <c r="CB236" i="5"/>
  <c r="CC235" i="5"/>
  <c r="AF57" i="5" l="1"/>
  <c r="AN57" i="5"/>
  <c r="BX58" i="5"/>
  <c r="BR329" i="5"/>
  <c r="CK58" i="5"/>
  <c r="CJ58" i="5" s="1"/>
  <c r="CH58" i="5"/>
  <c r="AZ307" i="5"/>
  <c r="BA308" i="5" s="1"/>
  <c r="BB307" i="5"/>
  <c r="I57" i="5"/>
  <c r="AE58" i="5"/>
  <c r="BN58" i="5"/>
  <c r="BO58" i="5" s="1"/>
  <c r="BP58" i="5" s="1"/>
  <c r="G58" i="5" s="1"/>
  <c r="AM58" i="5"/>
  <c r="AL59" i="5" s="1"/>
  <c r="T58" i="5"/>
  <c r="U58" i="5" s="1"/>
  <c r="W58" i="5"/>
  <c r="CT58" i="5"/>
  <c r="CV58" i="5"/>
  <c r="CO58" i="5" s="1"/>
  <c r="F58" i="5" s="1"/>
  <c r="DA58" i="5"/>
  <c r="DB58" i="5" s="1"/>
  <c r="CM58" i="5"/>
  <c r="H31" i="6"/>
  <c r="Z56" i="5"/>
  <c r="CP58" i="5"/>
  <c r="CQ58" i="5" s="1"/>
  <c r="R58" i="5" s="1"/>
  <c r="S58" i="5" s="1"/>
  <c r="A270" i="6"/>
  <c r="B296" i="5"/>
  <c r="B271" i="6" s="1"/>
  <c r="CG292" i="5"/>
  <c r="CF293" i="5"/>
  <c r="CC236" i="5"/>
  <c r="CB237" i="5"/>
  <c r="AH57" i="5" l="1"/>
  <c r="BR330" i="5"/>
  <c r="K58" i="5"/>
  <c r="AZ308" i="5"/>
  <c r="BA309" i="5" s="1"/>
  <c r="BB308" i="5"/>
  <c r="CN58" i="5"/>
  <c r="E58" i="5" s="1"/>
  <c r="E33" i="6"/>
  <c r="AA56" i="5"/>
  <c r="I31" i="6" s="1"/>
  <c r="P57" i="5"/>
  <c r="AY57" i="5" s="1"/>
  <c r="M57" i="5"/>
  <c r="AG57" i="5" s="1"/>
  <c r="AT57" i="5"/>
  <c r="AP57" i="5"/>
  <c r="A271" i="6"/>
  <c r="B297" i="5"/>
  <c r="B272" i="6" s="1"/>
  <c r="CG293" i="5"/>
  <c r="CF294" i="5"/>
  <c r="CC237" i="5"/>
  <c r="CB238" i="5"/>
  <c r="AJ57" i="5" l="1"/>
  <c r="C59" i="5"/>
  <c r="BU59" i="5" s="1"/>
  <c r="BS59" i="5"/>
  <c r="BR331" i="5"/>
  <c r="AZ309" i="5"/>
  <c r="BA310" i="5" s="1"/>
  <c r="BB309" i="5"/>
  <c r="BC58" i="5"/>
  <c r="BD58" i="5" s="1"/>
  <c r="BE59" i="5" s="1"/>
  <c r="D33" i="6"/>
  <c r="N57" i="5"/>
  <c r="AS57" i="5"/>
  <c r="AV57" i="5" s="1"/>
  <c r="AO57" i="5"/>
  <c r="Q57" i="5"/>
  <c r="V57" i="5" s="1"/>
  <c r="G32" i="6" s="1"/>
  <c r="F32" i="6"/>
  <c r="A272" i="6"/>
  <c r="B298" i="5"/>
  <c r="B273" i="6" s="1"/>
  <c r="CG294" i="5"/>
  <c r="CF295" i="5"/>
  <c r="CC238" i="5"/>
  <c r="CB239" i="5"/>
  <c r="BK59" i="5" l="1"/>
  <c r="BL59" i="5" s="1"/>
  <c r="BM59" i="5" s="1"/>
  <c r="CS59" i="5"/>
  <c r="CX59" i="5"/>
  <c r="CL59" i="5"/>
  <c r="C34" i="6"/>
  <c r="AX59" i="5"/>
  <c r="AW59" i="5" s="1"/>
  <c r="D59" i="5"/>
  <c r="W59" i="5" s="1"/>
  <c r="AB59" i="5"/>
  <c r="CP59" i="5" s="1"/>
  <c r="CQ59" i="5" s="1"/>
  <c r="R59" i="5" s="1"/>
  <c r="S59" i="5" s="1"/>
  <c r="AK59" i="5"/>
  <c r="AM59" i="5" s="1"/>
  <c r="AL60" i="5" s="1"/>
  <c r="CW59" i="5"/>
  <c r="CU59" i="5"/>
  <c r="CT59" i="5" s="1"/>
  <c r="CY59" i="5"/>
  <c r="AC59" i="5"/>
  <c r="AD59" i="5" s="1"/>
  <c r="BG58" i="5"/>
  <c r="H58" i="5" s="1"/>
  <c r="CR59" i="5"/>
  <c r="BH59" i="5"/>
  <c r="BI59" i="5" s="1"/>
  <c r="BJ59" i="5" s="1"/>
  <c r="CI59" i="5"/>
  <c r="CK59" i="5" s="1"/>
  <c r="CJ59" i="5" s="1"/>
  <c r="BY58" i="5"/>
  <c r="J58" i="5" s="1"/>
  <c r="BW58" i="5"/>
  <c r="BT59" i="5"/>
  <c r="BV59" i="5"/>
  <c r="BR332" i="5"/>
  <c r="AZ310" i="5"/>
  <c r="BA311" i="5" s="1"/>
  <c r="BB310" i="5"/>
  <c r="CZ58" i="5"/>
  <c r="BF58" i="5"/>
  <c r="AR57" i="5"/>
  <c r="CM59" i="5"/>
  <c r="A273" i="6"/>
  <c r="B299" i="5"/>
  <c r="B274" i="6" s="1"/>
  <c r="CG295" i="5"/>
  <c r="CF296" i="5"/>
  <c r="CB240" i="5"/>
  <c r="CC239" i="5"/>
  <c r="BX59" i="5" l="1"/>
  <c r="T59" i="5"/>
  <c r="U59" i="5" s="1"/>
  <c r="L59" i="5"/>
  <c r="BN59" i="5"/>
  <c r="BO59" i="5" s="1"/>
  <c r="BP59" i="5" s="1"/>
  <c r="G59" i="5" s="1"/>
  <c r="AE59" i="5"/>
  <c r="AF58" i="5"/>
  <c r="AN58" i="5"/>
  <c r="DA59" i="5"/>
  <c r="DB59" i="5" s="1"/>
  <c r="K59" i="5" s="1"/>
  <c r="CV59" i="5"/>
  <c r="CN59" i="5" s="1"/>
  <c r="E59" i="5" s="1"/>
  <c r="D34" i="6" s="1"/>
  <c r="CH59" i="5"/>
  <c r="I58" i="5"/>
  <c r="BR333" i="5"/>
  <c r="AZ311" i="5"/>
  <c r="BA312" i="5" s="1"/>
  <c r="BB311" i="5"/>
  <c r="X57" i="5"/>
  <c r="Y57" i="5" s="1"/>
  <c r="M58" i="5"/>
  <c r="P58" i="5"/>
  <c r="AY58" i="5" s="1"/>
  <c r="A274" i="6"/>
  <c r="B300" i="5"/>
  <c r="B275" i="6" s="1"/>
  <c r="CG296" i="5"/>
  <c r="CF297" i="5"/>
  <c r="CC240" i="5"/>
  <c r="CB241" i="5"/>
  <c r="AP58" i="5" l="1"/>
  <c r="AT58" i="5"/>
  <c r="CO59" i="5"/>
  <c r="F59" i="5" s="1"/>
  <c r="E34" i="6" s="1"/>
  <c r="AH58" i="5"/>
  <c r="BR334" i="5"/>
  <c r="AZ312" i="5"/>
  <c r="BA313" i="5" s="1"/>
  <c r="BB312" i="5"/>
  <c r="Z57" i="5"/>
  <c r="AA57" i="5" s="1"/>
  <c r="I32" i="6" s="1"/>
  <c r="H32" i="6"/>
  <c r="AG58" i="5"/>
  <c r="AO58" i="5"/>
  <c r="F33" i="6"/>
  <c r="Q58" i="5"/>
  <c r="V58" i="5" s="1"/>
  <c r="N58" i="5"/>
  <c r="AS58" i="5"/>
  <c r="AV58" i="5" s="1"/>
  <c r="A275" i="6"/>
  <c r="B301" i="5"/>
  <c r="B276" i="6" s="1"/>
  <c r="CF298" i="5"/>
  <c r="CG297" i="5"/>
  <c r="CC241" i="5"/>
  <c r="CB242" i="5"/>
  <c r="AJ58" i="5" l="1"/>
  <c r="C60" i="5"/>
  <c r="BU60" i="5" s="1"/>
  <c r="BC59" i="5"/>
  <c r="BF59" i="5" s="1"/>
  <c r="BW59" i="5"/>
  <c r="BY59" i="5"/>
  <c r="J59" i="5" s="1"/>
  <c r="AN59" i="5" s="1"/>
  <c r="BS60" i="5"/>
  <c r="BR335" i="5"/>
  <c r="AZ313" i="5"/>
  <c r="BA314" i="5" s="1"/>
  <c r="AZ314" i="5" s="1"/>
  <c r="BA315" i="5" s="1"/>
  <c r="BB313" i="5"/>
  <c r="AR58" i="5"/>
  <c r="G33" i="6"/>
  <c r="A276" i="6"/>
  <c r="B302" i="5"/>
  <c r="B277" i="6" s="1"/>
  <c r="CG298" i="5"/>
  <c r="CF299" i="5"/>
  <c r="CC242" i="5"/>
  <c r="CB243" i="5"/>
  <c r="BG59" i="5" l="1"/>
  <c r="H59" i="5" s="1"/>
  <c r="M59" i="5" s="1"/>
  <c r="AO59" i="5" s="1"/>
  <c r="CU60" i="5"/>
  <c r="CV60" i="5" s="1"/>
  <c r="AB60" i="5"/>
  <c r="BN60" i="5" s="1"/>
  <c r="BO60" i="5" s="1"/>
  <c r="BP60" i="5" s="1"/>
  <c r="C35" i="6"/>
  <c r="CL60" i="5"/>
  <c r="CM60" i="5" s="1"/>
  <c r="AC60" i="5"/>
  <c r="AD60" i="5" s="1"/>
  <c r="CW60" i="5"/>
  <c r="BH60" i="5"/>
  <c r="BI60" i="5" s="1"/>
  <c r="BJ60" i="5" s="1"/>
  <c r="CS60" i="5"/>
  <c r="CR60" i="5"/>
  <c r="AX60" i="5"/>
  <c r="AW60" i="5" s="1"/>
  <c r="BK60" i="5"/>
  <c r="BL60" i="5" s="1"/>
  <c r="BM60" i="5" s="1"/>
  <c r="CY60" i="5"/>
  <c r="D60" i="5"/>
  <c r="T60" i="5" s="1"/>
  <c r="U60" i="5" s="1"/>
  <c r="CX60" i="5"/>
  <c r="CI60" i="5"/>
  <c r="CH60" i="5" s="1"/>
  <c r="AK60" i="5"/>
  <c r="AM60" i="5" s="1"/>
  <c r="AL61" i="5" s="1"/>
  <c r="CZ59" i="5"/>
  <c r="BD59" i="5"/>
  <c r="BE60" i="5" s="1"/>
  <c r="AF59" i="5"/>
  <c r="BT60" i="5"/>
  <c r="BV60" i="5"/>
  <c r="BR336" i="5"/>
  <c r="AZ315" i="5"/>
  <c r="BA316" i="5" s="1"/>
  <c r="BB315" i="5"/>
  <c r="X58" i="5"/>
  <c r="Y58" i="5" s="1"/>
  <c r="L60" i="5"/>
  <c r="DA60" i="5"/>
  <c r="DB60" i="5" s="1"/>
  <c r="I59" i="5"/>
  <c r="AT59" i="5" s="1"/>
  <c r="A277" i="6"/>
  <c r="B303" i="5"/>
  <c r="B278" i="6" s="1"/>
  <c r="CG299" i="5"/>
  <c r="CF300" i="5"/>
  <c r="CB244" i="5"/>
  <c r="CC243" i="5"/>
  <c r="P59" i="5" l="1"/>
  <c r="AY59" i="5" s="1"/>
  <c r="CP60" i="5"/>
  <c r="CQ60" i="5" s="1"/>
  <c r="R60" i="5" s="1"/>
  <c r="S60" i="5" s="1"/>
  <c r="CT60" i="5"/>
  <c r="BX60" i="5"/>
  <c r="AE60" i="5"/>
  <c r="G60" i="5"/>
  <c r="CO60" i="5"/>
  <c r="F60" i="5" s="1"/>
  <c r="E35" i="6" s="1"/>
  <c r="CN60" i="5"/>
  <c r="E60" i="5" s="1"/>
  <c r="D35" i="6" s="1"/>
  <c r="CK60" i="5"/>
  <c r="CJ60" i="5" s="1"/>
  <c r="K60" i="5" s="1"/>
  <c r="W60" i="5"/>
  <c r="BR337" i="5"/>
  <c r="AH59" i="5"/>
  <c r="AP59" i="5"/>
  <c r="AR59" i="5" s="1"/>
  <c r="AZ316" i="5"/>
  <c r="BA317" i="5" s="1"/>
  <c r="BB316" i="5"/>
  <c r="Z58" i="5"/>
  <c r="AA58" i="5" s="1"/>
  <c r="I33" i="6" s="1"/>
  <c r="H33" i="6"/>
  <c r="AS59" i="5"/>
  <c r="AV59" i="5" s="1"/>
  <c r="N59" i="5"/>
  <c r="AG59" i="5"/>
  <c r="Q59" i="5"/>
  <c r="V59" i="5" s="1"/>
  <c r="G34" i="6" s="1"/>
  <c r="F34" i="6"/>
  <c r="A278" i="6"/>
  <c r="B304" i="5"/>
  <c r="B279" i="6" s="1"/>
  <c r="CG300" i="5"/>
  <c r="CF301" i="5"/>
  <c r="CC244" i="5"/>
  <c r="CB245" i="5"/>
  <c r="BC60" i="5" l="1"/>
  <c r="CZ60" i="5" s="1"/>
  <c r="C61" i="5"/>
  <c r="CI61" i="5" s="1"/>
  <c r="CH61" i="5" s="1"/>
  <c r="BW60" i="5"/>
  <c r="BY60" i="5"/>
  <c r="J60" i="5" s="1"/>
  <c r="BS61" i="5"/>
  <c r="BR338" i="5"/>
  <c r="AZ317" i="5"/>
  <c r="BA318" i="5" s="1"/>
  <c r="BB317" i="5"/>
  <c r="AJ59" i="5"/>
  <c r="A279" i="6"/>
  <c r="B305" i="5"/>
  <c r="B280" i="6" s="1"/>
  <c r="CG301" i="5"/>
  <c r="CF302" i="5"/>
  <c r="CC245" i="5"/>
  <c r="CB246" i="5"/>
  <c r="BD60" i="5" l="1"/>
  <c r="BE61" i="5" s="1"/>
  <c r="BF60" i="5"/>
  <c r="BU61" i="5"/>
  <c r="BT61" i="5" s="1"/>
  <c r="CY61" i="5"/>
  <c r="BH61" i="5"/>
  <c r="BI61" i="5" s="1"/>
  <c r="BJ61" i="5" s="1"/>
  <c r="AC61" i="5"/>
  <c r="AD61" i="5" s="1"/>
  <c r="AE61" i="5" s="1"/>
  <c r="AB61" i="5"/>
  <c r="BN61" i="5" s="1"/>
  <c r="BO61" i="5" s="1"/>
  <c r="BP61" i="5" s="1"/>
  <c r="D61" i="5"/>
  <c r="W61" i="5" s="1"/>
  <c r="C36" i="6"/>
  <c r="BG60" i="5"/>
  <c r="I60" i="5" s="1"/>
  <c r="CW61" i="5"/>
  <c r="AK61" i="5"/>
  <c r="AM61" i="5" s="1"/>
  <c r="AL62" i="5" s="1"/>
  <c r="CS61" i="5"/>
  <c r="CX61" i="5"/>
  <c r="CU61" i="5"/>
  <c r="CT61" i="5" s="1"/>
  <c r="CR61" i="5"/>
  <c r="CL61" i="5"/>
  <c r="CM61" i="5" s="1"/>
  <c r="BK61" i="5"/>
  <c r="BL61" i="5" s="1"/>
  <c r="BM61" i="5" s="1"/>
  <c r="AX61" i="5"/>
  <c r="AW61" i="5" s="1"/>
  <c r="AF60" i="5"/>
  <c r="AN60" i="5"/>
  <c r="CK61" i="5"/>
  <c r="CJ61" i="5" s="1"/>
  <c r="BR339" i="5"/>
  <c r="AZ318" i="5"/>
  <c r="BA319" i="5" s="1"/>
  <c r="BB318" i="5"/>
  <c r="X59" i="5"/>
  <c r="Y59" i="5" s="1"/>
  <c r="A280" i="6"/>
  <c r="B306" i="5"/>
  <c r="B281" i="6" s="1"/>
  <c r="CG302" i="5"/>
  <c r="CF303" i="5"/>
  <c r="CC246" i="5"/>
  <c r="CB247" i="5"/>
  <c r="BV61" i="5" l="1"/>
  <c r="L61" i="5"/>
  <c r="CP61" i="5"/>
  <c r="CQ61" i="5" s="1"/>
  <c r="R61" i="5" s="1"/>
  <c r="S61" i="5" s="1"/>
  <c r="DA61" i="5"/>
  <c r="DB61" i="5" s="1"/>
  <c r="K61" i="5" s="1"/>
  <c r="T61" i="5"/>
  <c r="U61" i="5" s="1"/>
  <c r="H60" i="5"/>
  <c r="M60" i="5" s="1"/>
  <c r="AS60" i="5" s="1"/>
  <c r="G61" i="5"/>
  <c r="CV61" i="5"/>
  <c r="CO61" i="5" s="1"/>
  <c r="F61" i="5" s="1"/>
  <c r="E36" i="6" s="1"/>
  <c r="AH60" i="5"/>
  <c r="BX61" i="5"/>
  <c r="AP60" i="5"/>
  <c r="AT60" i="5"/>
  <c r="BR340" i="5"/>
  <c r="AZ319" i="5"/>
  <c r="BA320" i="5" s="1"/>
  <c r="BB319" i="5"/>
  <c r="H34" i="6"/>
  <c r="Z59" i="5"/>
  <c r="AA59" i="5" s="1"/>
  <c r="I34" i="6" s="1"/>
  <c r="A281" i="6"/>
  <c r="B307" i="5"/>
  <c r="B282" i="6" s="1"/>
  <c r="CG303" i="5"/>
  <c r="CF304" i="5"/>
  <c r="CB248" i="5"/>
  <c r="CC247" i="5"/>
  <c r="AO60" i="5" l="1"/>
  <c r="AR60" i="5" s="1"/>
  <c r="CN61" i="5"/>
  <c r="E61" i="5" s="1"/>
  <c r="BC61" i="5" s="1"/>
  <c r="CZ61" i="5" s="1"/>
  <c r="P60" i="5"/>
  <c r="Q60" i="5" s="1"/>
  <c r="V60" i="5" s="1"/>
  <c r="G35" i="6" s="1"/>
  <c r="AG60" i="5"/>
  <c r="AJ60" i="5" s="1"/>
  <c r="N60" i="5"/>
  <c r="AV60" i="5"/>
  <c r="AY60" i="5"/>
  <c r="BR341" i="5"/>
  <c r="AZ320" i="5"/>
  <c r="BA321" i="5" s="1"/>
  <c r="BB320" i="5"/>
  <c r="A282" i="6"/>
  <c r="B308" i="5"/>
  <c r="B283" i="6" s="1"/>
  <c r="CG304" i="5"/>
  <c r="CF305" i="5"/>
  <c r="CC248" i="5"/>
  <c r="CB249" i="5"/>
  <c r="F35" i="6" l="1"/>
  <c r="C62" i="5"/>
  <c r="BU62" i="5" s="1"/>
  <c r="D36" i="6"/>
  <c r="X60" i="5"/>
  <c r="Y60" i="5" s="1"/>
  <c r="H35" i="6" s="1"/>
  <c r="BW61" i="5"/>
  <c r="BY61" i="5"/>
  <c r="J61" i="5" s="1"/>
  <c r="BS62" i="5"/>
  <c r="BR342" i="5"/>
  <c r="BD61" i="5"/>
  <c r="BE62" i="5" s="1"/>
  <c r="BF61" i="5"/>
  <c r="AZ321" i="5"/>
  <c r="BA322" i="5" s="1"/>
  <c r="BB321" i="5"/>
  <c r="A283" i="6"/>
  <c r="B309" i="5"/>
  <c r="B284" i="6" s="1"/>
  <c r="CG305" i="5"/>
  <c r="CF306" i="5"/>
  <c r="CC249" i="5"/>
  <c r="CB250" i="5"/>
  <c r="Z60" i="5" l="1"/>
  <c r="AA60" i="5" s="1"/>
  <c r="I35" i="6" s="1"/>
  <c r="CY62" i="5"/>
  <c r="AX62" i="5"/>
  <c r="AC62" i="5"/>
  <c r="CL62" i="5"/>
  <c r="CM62" i="5" s="1"/>
  <c r="BH62" i="5"/>
  <c r="BI62" i="5" s="1"/>
  <c r="BJ62" i="5" s="1"/>
  <c r="C37" i="6"/>
  <c r="D62" i="5"/>
  <c r="T62" i="5" s="1"/>
  <c r="U62" i="5" s="1"/>
  <c r="CI62" i="5"/>
  <c r="CS62" i="5"/>
  <c r="CX62" i="5"/>
  <c r="CR62" i="5"/>
  <c r="AK62" i="5"/>
  <c r="AM62" i="5" s="1"/>
  <c r="AL63" i="5" s="1"/>
  <c r="BG61" i="5"/>
  <c r="I61" i="5" s="1"/>
  <c r="CW62" i="5"/>
  <c r="BK62" i="5"/>
  <c r="BL62" i="5" s="1"/>
  <c r="BM62" i="5" s="1"/>
  <c r="AB62" i="5"/>
  <c r="BN62" i="5" s="1"/>
  <c r="BO62" i="5" s="1"/>
  <c r="BP62" i="5" s="1"/>
  <c r="CU62" i="5"/>
  <c r="CT62" i="5" s="1"/>
  <c r="AN61" i="5"/>
  <c r="AF61" i="5"/>
  <c r="BV62" i="5"/>
  <c r="BT62" i="5"/>
  <c r="BR343" i="5"/>
  <c r="AD62" i="5"/>
  <c r="AZ322" i="5"/>
  <c r="BA323" i="5" s="1"/>
  <c r="BB322" i="5"/>
  <c r="A284" i="6"/>
  <c r="B310" i="5"/>
  <c r="B285" i="6" s="1"/>
  <c r="CG306" i="5"/>
  <c r="CF307" i="5"/>
  <c r="CC250" i="5"/>
  <c r="CB251" i="5"/>
  <c r="AY62" i="5" l="1"/>
  <c r="AW62" i="5"/>
  <c r="G62" i="5"/>
  <c r="AE62" i="5"/>
  <c r="AP61" i="5"/>
  <c r="AT61" i="5"/>
  <c r="H61" i="5"/>
  <c r="M61" i="5" s="1"/>
  <c r="N61" i="5" s="1"/>
  <c r="W62" i="5"/>
  <c r="L62" i="5"/>
  <c r="CP62" i="5"/>
  <c r="CQ62" i="5" s="1"/>
  <c r="R62" i="5" s="1"/>
  <c r="S62" i="5" s="1"/>
  <c r="CH62" i="5"/>
  <c r="CK62" i="5"/>
  <c r="CJ62" i="5" s="1"/>
  <c r="CV62" i="5"/>
  <c r="CN62" i="5" s="1"/>
  <c r="E62" i="5" s="1"/>
  <c r="D37" i="6" s="1"/>
  <c r="BX62" i="5"/>
  <c r="DA62" i="5"/>
  <c r="DB62" i="5" s="1"/>
  <c r="K62" i="5" s="1"/>
  <c r="AH61" i="5"/>
  <c r="BR344" i="5"/>
  <c r="AY61" i="5"/>
  <c r="AZ323" i="5"/>
  <c r="BA324" i="5" s="1"/>
  <c r="BB323" i="5"/>
  <c r="A285" i="6"/>
  <c r="B311" i="5"/>
  <c r="B286" i="6" s="1"/>
  <c r="CF308" i="5"/>
  <c r="CG307" i="5"/>
  <c r="CB252" i="5"/>
  <c r="CC251" i="5"/>
  <c r="AG61" i="5" l="1"/>
  <c r="AJ61" i="5" s="1"/>
  <c r="P61" i="5"/>
  <c r="Q61" i="5" s="1"/>
  <c r="V61" i="5" s="1"/>
  <c r="G36" i="6" s="1"/>
  <c r="AO61" i="5"/>
  <c r="AR61" i="5" s="1"/>
  <c r="CO62" i="5"/>
  <c r="F62" i="5" s="1"/>
  <c r="C63" i="5" s="1"/>
  <c r="CI63" i="5" s="1"/>
  <c r="CK63" i="5" s="1"/>
  <c r="CJ63" i="5" s="1"/>
  <c r="AS61" i="5"/>
  <c r="AV61" i="5" s="1"/>
  <c r="BS63" i="5"/>
  <c r="BR345" i="5"/>
  <c r="AZ324" i="5"/>
  <c r="BA325" i="5" s="1"/>
  <c r="BB324" i="5"/>
  <c r="A286" i="6"/>
  <c r="B312" i="5"/>
  <c r="B287" i="6" s="1"/>
  <c r="CG308" i="5"/>
  <c r="CF309" i="5"/>
  <c r="CC252" i="5"/>
  <c r="CB253" i="5"/>
  <c r="F36" i="6" l="1"/>
  <c r="X61" i="5"/>
  <c r="Y61" i="5" s="1"/>
  <c r="BG62" i="5"/>
  <c r="H62" i="5" s="1"/>
  <c r="M62" i="5" s="1"/>
  <c r="BC62" i="5"/>
  <c r="BF62" i="5" s="1"/>
  <c r="AX63" i="5"/>
  <c r="E37" i="6"/>
  <c r="BH63" i="5"/>
  <c r="BI63" i="5" s="1"/>
  <c r="BJ63" i="5" s="1"/>
  <c r="CL63" i="5"/>
  <c r="CM63" i="5" s="1"/>
  <c r="BK63" i="5"/>
  <c r="BL63" i="5" s="1"/>
  <c r="BM63" i="5" s="1"/>
  <c r="CU63" i="5"/>
  <c r="CV63" i="5" s="1"/>
  <c r="CX63" i="5"/>
  <c r="CS63" i="5"/>
  <c r="AK63" i="5"/>
  <c r="AM63" i="5" s="1"/>
  <c r="AL64" i="5" s="1"/>
  <c r="D63" i="5"/>
  <c r="W63" i="5" s="1"/>
  <c r="C38" i="6"/>
  <c r="CW63" i="5"/>
  <c r="BU63" i="5"/>
  <c r="BV63" i="5" s="1"/>
  <c r="AB63" i="5"/>
  <c r="BN63" i="5" s="1"/>
  <c r="BO63" i="5" s="1"/>
  <c r="BP63" i="5" s="1"/>
  <c r="CY63" i="5"/>
  <c r="AC63" i="5"/>
  <c r="AD63" i="5" s="1"/>
  <c r="CR63" i="5"/>
  <c r="BW62" i="5"/>
  <c r="BY62" i="5"/>
  <c r="J62" i="5" s="1"/>
  <c r="BR346" i="5"/>
  <c r="CH63" i="5"/>
  <c r="AZ325" i="5"/>
  <c r="BA326" i="5" s="1"/>
  <c r="BB325" i="5"/>
  <c r="A287" i="6"/>
  <c r="B313" i="5"/>
  <c r="B288" i="6" s="1"/>
  <c r="CG309" i="5"/>
  <c r="CF310" i="5"/>
  <c r="CC253" i="5"/>
  <c r="CB254" i="5"/>
  <c r="AY63" i="5" l="1"/>
  <c r="AW63" i="5"/>
  <c r="BD62" i="5"/>
  <c r="BE63" i="5" s="1"/>
  <c r="CZ62" i="5"/>
  <c r="I62" i="5"/>
  <c r="AT62" i="5" s="1"/>
  <c r="H36" i="6"/>
  <c r="Z61" i="5"/>
  <c r="AA61" i="5" s="1"/>
  <c r="I36" i="6" s="1"/>
  <c r="G63" i="5"/>
  <c r="CO63" i="5"/>
  <c r="F63" i="5" s="1"/>
  <c r="E38" i="6" s="1"/>
  <c r="P62" i="5"/>
  <c r="F37" i="6" s="1"/>
  <c r="BT63" i="5"/>
  <c r="L63" i="5"/>
  <c r="CP63" i="5"/>
  <c r="CQ63" i="5" s="1"/>
  <c r="R63" i="5" s="1"/>
  <c r="S63" i="5" s="1"/>
  <c r="CT63" i="5"/>
  <c r="CN63" i="5"/>
  <c r="AF63" i="5"/>
  <c r="AE63" i="5"/>
  <c r="BX63" i="5"/>
  <c r="T63" i="5"/>
  <c r="U63" i="5" s="1"/>
  <c r="DA63" i="5"/>
  <c r="DB63" i="5" s="1"/>
  <c r="K63" i="5" s="1"/>
  <c r="AN62" i="5"/>
  <c r="AP62" i="5" s="1"/>
  <c r="AF62" i="5"/>
  <c r="BR347" i="5"/>
  <c r="AZ326" i="5"/>
  <c r="BA327" i="5" s="1"/>
  <c r="BB326" i="5"/>
  <c r="N62" i="5"/>
  <c r="AS62" i="5"/>
  <c r="A288" i="6"/>
  <c r="B314" i="5"/>
  <c r="B289" i="6" s="1"/>
  <c r="CF311" i="5"/>
  <c r="CG310" i="5"/>
  <c r="CC254" i="5"/>
  <c r="CB255" i="5"/>
  <c r="E63" i="5" l="1"/>
  <c r="D38" i="6" s="1"/>
  <c r="AH62" i="5"/>
  <c r="AH63" i="5" s="1"/>
  <c r="Q62" i="5"/>
  <c r="V62" i="5" s="1"/>
  <c r="G37" i="6" s="1"/>
  <c r="AO62" i="5"/>
  <c r="AR62" i="5" s="1"/>
  <c r="AG62" i="5"/>
  <c r="AG63" i="5" s="1"/>
  <c r="AJ63" i="5" s="1"/>
  <c r="BR348" i="5"/>
  <c r="AV62" i="5"/>
  <c r="AZ327" i="5"/>
  <c r="BA328" i="5" s="1"/>
  <c r="BB327" i="5"/>
  <c r="A289" i="6"/>
  <c r="B315" i="5"/>
  <c r="B290" i="6" s="1"/>
  <c r="CG311" i="5"/>
  <c r="CF312" i="5"/>
  <c r="CB256" i="5"/>
  <c r="CC255" i="5"/>
  <c r="AJ62" i="5" l="1"/>
  <c r="BC63" i="5"/>
  <c r="BF63" i="5" s="1"/>
  <c r="C64" i="5"/>
  <c r="BU64" i="5" s="1"/>
  <c r="BT64" i="5" s="1"/>
  <c r="BY63" i="5"/>
  <c r="J63" i="5" s="1"/>
  <c r="AN63" i="5" s="1"/>
  <c r="BW63" i="5"/>
  <c r="BS64" i="5"/>
  <c r="BG63" i="5"/>
  <c r="BR349" i="5"/>
  <c r="AZ328" i="5"/>
  <c r="BA329" i="5" s="1"/>
  <c r="BB328" i="5"/>
  <c r="X62" i="5"/>
  <c r="Y62" i="5" s="1"/>
  <c r="A290" i="6"/>
  <c r="B316" i="5"/>
  <c r="B291" i="6" s="1"/>
  <c r="CF313" i="5"/>
  <c r="CG312" i="5"/>
  <c r="CC256" i="5"/>
  <c r="CB257" i="5"/>
  <c r="CZ63" i="5" l="1"/>
  <c r="BD63" i="5"/>
  <c r="BE64" i="5" s="1"/>
  <c r="CR64" i="5"/>
  <c r="AX64" i="5"/>
  <c r="AW64" i="5" s="1"/>
  <c r="AC64" i="5"/>
  <c r="AD64" i="5" s="1"/>
  <c r="CY64" i="5"/>
  <c r="BH64" i="5"/>
  <c r="BI64" i="5" s="1"/>
  <c r="BJ64" i="5" s="1"/>
  <c r="CL64" i="5"/>
  <c r="CM64" i="5" s="1"/>
  <c r="CU64" i="5"/>
  <c r="CV64" i="5" s="1"/>
  <c r="BK64" i="5"/>
  <c r="BL64" i="5" s="1"/>
  <c r="BM64" i="5" s="1"/>
  <c r="CX64" i="5"/>
  <c r="CI64" i="5"/>
  <c r="CH64" i="5" s="1"/>
  <c r="CW64" i="5"/>
  <c r="D64" i="5"/>
  <c r="W64" i="5" s="1"/>
  <c r="CS64" i="5"/>
  <c r="C39" i="6"/>
  <c r="AK64" i="5"/>
  <c r="AM64" i="5" s="1"/>
  <c r="AL65" i="5" s="1"/>
  <c r="AB64" i="5"/>
  <c r="BN64" i="5" s="1"/>
  <c r="BO64" i="5" s="1"/>
  <c r="BP64" i="5" s="1"/>
  <c r="BV64" i="5"/>
  <c r="I63" i="5"/>
  <c r="AT63" i="5" s="1"/>
  <c r="H63" i="5"/>
  <c r="P63" i="5" s="1"/>
  <c r="T64" i="5"/>
  <c r="U64" i="5" s="1"/>
  <c r="CK64" i="5"/>
  <c r="CJ64" i="5" s="1"/>
  <c r="BR350" i="5"/>
  <c r="AZ329" i="5"/>
  <c r="BA330" i="5" s="1"/>
  <c r="BB329" i="5"/>
  <c r="Z62" i="5"/>
  <c r="AA62" i="5" s="1"/>
  <c r="I37" i="6" s="1"/>
  <c r="H37" i="6"/>
  <c r="A291" i="6"/>
  <c r="B317" i="5"/>
  <c r="B292" i="6" s="1"/>
  <c r="CG313" i="5"/>
  <c r="CF314" i="5"/>
  <c r="CC257" i="5"/>
  <c r="CB258" i="5"/>
  <c r="G64" i="5" l="1"/>
  <c r="CN64" i="5"/>
  <c r="E64" i="5" s="1"/>
  <c r="D39" i="6" s="1"/>
  <c r="L64" i="5"/>
  <c r="DA64" i="5"/>
  <c r="DB64" i="5" s="1"/>
  <c r="K64" i="5" s="1"/>
  <c r="AE64" i="5"/>
  <c r="BX64" i="5"/>
  <c r="CO64" i="5"/>
  <c r="F64" i="5" s="1"/>
  <c r="BC64" i="5" s="1"/>
  <c r="CT64" i="5"/>
  <c r="CP64" i="5"/>
  <c r="CQ64" i="5" s="1"/>
  <c r="R64" i="5" s="1"/>
  <c r="S64" i="5" s="1"/>
  <c r="AP63" i="5"/>
  <c r="M63" i="5"/>
  <c r="AO63" i="5" s="1"/>
  <c r="BR351" i="5"/>
  <c r="AZ330" i="5"/>
  <c r="BA331" i="5" s="1"/>
  <c r="BB330" i="5"/>
  <c r="F38" i="6"/>
  <c r="Q63" i="5"/>
  <c r="V63" i="5" s="1"/>
  <c r="G38" i="6" s="1"/>
  <c r="A292" i="6"/>
  <c r="B318" i="5"/>
  <c r="B293" i="6" s="1"/>
  <c r="CG314" i="5"/>
  <c r="CF315" i="5"/>
  <c r="CC258" i="5"/>
  <c r="CB259" i="5"/>
  <c r="E39" i="6" l="1"/>
  <c r="C65" i="5"/>
  <c r="BU65" i="5" s="1"/>
  <c r="BV65" i="5" s="1"/>
  <c r="AR63" i="5"/>
  <c r="BW64" i="5"/>
  <c r="BY64" i="5"/>
  <c r="J64" i="5" s="1"/>
  <c r="BS65" i="5"/>
  <c r="AS63" i="5"/>
  <c r="AV63" i="5" s="1"/>
  <c r="N63" i="5"/>
  <c r="BR352" i="5"/>
  <c r="AZ331" i="5"/>
  <c r="BA332" i="5" s="1"/>
  <c r="BB331" i="5"/>
  <c r="BF64" i="5"/>
  <c r="CZ64" i="5"/>
  <c r="BD64" i="5"/>
  <c r="BE65" i="5" s="1"/>
  <c r="CU65" i="5"/>
  <c r="BG64" i="5"/>
  <c r="H64" i="5" s="1"/>
  <c r="A293" i="6"/>
  <c r="B319" i="5"/>
  <c r="B294" i="6" s="1"/>
  <c r="CG315" i="5"/>
  <c r="CF316" i="5"/>
  <c r="CB260" i="5"/>
  <c r="CC259" i="5"/>
  <c r="AX65" i="5" l="1"/>
  <c r="AW65" i="5" s="1"/>
  <c r="CI65" i="5"/>
  <c r="CL65" i="5"/>
  <c r="CM65" i="5" s="1"/>
  <c r="BK65" i="5"/>
  <c r="BL65" i="5" s="1"/>
  <c r="BM65" i="5" s="1"/>
  <c r="AC65" i="5"/>
  <c r="AD65" i="5" s="1"/>
  <c r="CS65" i="5"/>
  <c r="BT65" i="5"/>
  <c r="AK65" i="5"/>
  <c r="AM65" i="5" s="1"/>
  <c r="AL66" i="5" s="1"/>
  <c r="CW65" i="5"/>
  <c r="CY65" i="5"/>
  <c r="CX65" i="5"/>
  <c r="AB65" i="5"/>
  <c r="BN65" i="5" s="1"/>
  <c r="BO65" i="5" s="1"/>
  <c r="BP65" i="5" s="1"/>
  <c r="G65" i="5" s="1"/>
  <c r="BH65" i="5"/>
  <c r="BI65" i="5" s="1"/>
  <c r="BJ65" i="5" s="1"/>
  <c r="C40" i="6"/>
  <c r="D65" i="5"/>
  <c r="T65" i="5" s="1"/>
  <c r="U65" i="5" s="1"/>
  <c r="CR65" i="5"/>
  <c r="X63" i="5"/>
  <c r="Y63" i="5" s="1"/>
  <c r="Z63" i="5" s="1"/>
  <c r="AF64" i="5"/>
  <c r="AN64" i="5"/>
  <c r="BX65" i="5"/>
  <c r="BR353" i="5"/>
  <c r="CH65" i="5"/>
  <c r="CK65" i="5"/>
  <c r="CJ65" i="5" s="1"/>
  <c r="AZ332" i="5"/>
  <c r="BA333" i="5" s="1"/>
  <c r="BB332" i="5"/>
  <c r="AY65" i="5"/>
  <c r="CV65" i="5"/>
  <c r="CT65" i="5"/>
  <c r="AE65" i="5"/>
  <c r="AD66" i="5" s="1"/>
  <c r="I64" i="5"/>
  <c r="AH64" i="5" s="1"/>
  <c r="H38" i="6"/>
  <c r="A294" i="6"/>
  <c r="B320" i="5"/>
  <c r="B295" i="6" s="1"/>
  <c r="CF317" i="5"/>
  <c r="CG316" i="5"/>
  <c r="CC260" i="5"/>
  <c r="CB261" i="5"/>
  <c r="L65" i="5" l="1"/>
  <c r="W65" i="5"/>
  <c r="DA65" i="5"/>
  <c r="DB65" i="5" s="1"/>
  <c r="K65" i="5" s="1"/>
  <c r="CP65" i="5"/>
  <c r="CQ65" i="5" s="1"/>
  <c r="R65" i="5" s="1"/>
  <c r="S65" i="5" s="1"/>
  <c r="BR354" i="5"/>
  <c r="AZ333" i="5"/>
  <c r="BA334" i="5" s="1"/>
  <c r="BB333" i="5"/>
  <c r="M64" i="5"/>
  <c r="AG64" i="5" s="1"/>
  <c r="AJ64" i="5" s="1"/>
  <c r="P64" i="5"/>
  <c r="AY64" i="5" s="1"/>
  <c r="CO65" i="5"/>
  <c r="F65" i="5" s="1"/>
  <c r="E40" i="6" s="1"/>
  <c r="CN65" i="5"/>
  <c r="E65" i="5" s="1"/>
  <c r="AA63" i="5"/>
  <c r="I38" i="6" s="1"/>
  <c r="AT64" i="5"/>
  <c r="AP64" i="5"/>
  <c r="A295" i="6"/>
  <c r="B321" i="5"/>
  <c r="B296" i="6" s="1"/>
  <c r="CF318" i="5"/>
  <c r="CG317" i="5"/>
  <c r="CC261" i="5"/>
  <c r="CB262" i="5"/>
  <c r="BR355" i="5" l="1"/>
  <c r="AZ334" i="5"/>
  <c r="BA335" i="5" s="1"/>
  <c r="BB334" i="5"/>
  <c r="C66" i="5"/>
  <c r="BU66" i="5" s="1"/>
  <c r="BC65" i="5"/>
  <c r="D40" i="6"/>
  <c r="Q64" i="5"/>
  <c r="V64" i="5" s="1"/>
  <c r="F39" i="6"/>
  <c r="AO64" i="5"/>
  <c r="AR64" i="5" s="1"/>
  <c r="N64" i="5"/>
  <c r="AS64" i="5"/>
  <c r="AV64" i="5" s="1"/>
  <c r="A296" i="6"/>
  <c r="B322" i="5"/>
  <c r="B297" i="6" s="1"/>
  <c r="CG318" i="5"/>
  <c r="CF319" i="5"/>
  <c r="CB263" i="5"/>
  <c r="CC262" i="5"/>
  <c r="BW65" i="5" l="1"/>
  <c r="BY65" i="5"/>
  <c r="J65" i="5" s="1"/>
  <c r="BV66" i="5"/>
  <c r="BT66" i="5"/>
  <c r="BS66" i="5"/>
  <c r="CI66" i="5"/>
  <c r="BR356" i="5"/>
  <c r="BH66" i="5"/>
  <c r="BI66" i="5" s="1"/>
  <c r="BJ66" i="5" s="1"/>
  <c r="AZ335" i="5"/>
  <c r="BA336" i="5" s="1"/>
  <c r="AZ336" i="5" s="1"/>
  <c r="BA337" i="5" s="1"/>
  <c r="BB335" i="5"/>
  <c r="X64" i="5"/>
  <c r="Y64" i="5" s="1"/>
  <c r="G39" i="6"/>
  <c r="BD65" i="5"/>
  <c r="BE66" i="5" s="1"/>
  <c r="BF65" i="5"/>
  <c r="CZ65" i="5"/>
  <c r="CU66" i="5"/>
  <c r="CW66" i="5"/>
  <c r="AC66" i="5"/>
  <c r="CX66" i="5"/>
  <c r="BK66" i="5"/>
  <c r="BL66" i="5" s="1"/>
  <c r="BM66" i="5" s="1"/>
  <c r="AK66" i="5"/>
  <c r="AM66" i="5" s="1"/>
  <c r="AL67" i="5" s="1"/>
  <c r="CY66" i="5"/>
  <c r="CL66" i="5"/>
  <c r="CM66" i="5" s="1"/>
  <c r="CS66" i="5"/>
  <c r="D66" i="5"/>
  <c r="AB66" i="5"/>
  <c r="CP66" i="5" s="1"/>
  <c r="CQ66" i="5" s="1"/>
  <c r="R66" i="5" s="1"/>
  <c r="S66" i="5" s="1"/>
  <c r="CR66" i="5"/>
  <c r="C41" i="6"/>
  <c r="BG65" i="5"/>
  <c r="H65" i="5" s="1"/>
  <c r="AX66" i="5"/>
  <c r="AW66" i="5" s="1"/>
  <c r="A297" i="6"/>
  <c r="B323" i="5"/>
  <c r="B298" i="6" s="1"/>
  <c r="CF320" i="5"/>
  <c r="CG319" i="5"/>
  <c r="CB264" i="5"/>
  <c r="CC263" i="5"/>
  <c r="AF65" i="5" l="1"/>
  <c r="AN65" i="5"/>
  <c r="BX66" i="5"/>
  <c r="BR357" i="5"/>
  <c r="CK66" i="5"/>
  <c r="CJ66" i="5" s="1"/>
  <c r="CH66" i="5"/>
  <c r="AZ337" i="5"/>
  <c r="BA338" i="5" s="1"/>
  <c r="BB337" i="5"/>
  <c r="DA66" i="5"/>
  <c r="DB66" i="5" s="1"/>
  <c r="BN66" i="5"/>
  <c r="BO66" i="5" s="1"/>
  <c r="BP66" i="5" s="1"/>
  <c r="G66" i="5" s="1"/>
  <c r="CV66" i="5"/>
  <c r="CT66" i="5"/>
  <c r="L66" i="5"/>
  <c r="I65" i="5"/>
  <c r="H39" i="6"/>
  <c r="Z64" i="5"/>
  <c r="T66" i="5"/>
  <c r="U66" i="5" s="1"/>
  <c r="W66" i="5"/>
  <c r="AE66" i="5"/>
  <c r="AD67" i="5" s="1"/>
  <c r="A298" i="6"/>
  <c r="B324" i="5"/>
  <c r="B299" i="6" s="1"/>
  <c r="CG320" i="5"/>
  <c r="CF321" i="5"/>
  <c r="CC264" i="5"/>
  <c r="CB265" i="5"/>
  <c r="K66" i="5" l="1"/>
  <c r="BR358" i="5"/>
  <c r="AZ338" i="5"/>
  <c r="BA339" i="5" s="1"/>
  <c r="BB338" i="5"/>
  <c r="AH65" i="5"/>
  <c r="AT65" i="5"/>
  <c r="AP65" i="5"/>
  <c r="AA64" i="5"/>
  <c r="I39" i="6" s="1"/>
  <c r="CN66" i="5"/>
  <c r="E66" i="5" s="1"/>
  <c r="CO66" i="5"/>
  <c r="F66" i="5" s="1"/>
  <c r="M65" i="5"/>
  <c r="P65" i="5"/>
  <c r="A299" i="6"/>
  <c r="B325" i="5"/>
  <c r="B300" i="6" s="1"/>
  <c r="CG321" i="5"/>
  <c r="CF322" i="5"/>
  <c r="CC265" i="5"/>
  <c r="CB266" i="5"/>
  <c r="BY66" i="5" l="1"/>
  <c r="J66" i="5" s="1"/>
  <c r="BW66" i="5"/>
  <c r="BR359" i="5"/>
  <c r="AZ339" i="5"/>
  <c r="BA340" i="5" s="1"/>
  <c r="BB339" i="5"/>
  <c r="AS65" i="5"/>
  <c r="AV65" i="5" s="1"/>
  <c r="AO65" i="5"/>
  <c r="N65" i="5"/>
  <c r="AG65" i="5"/>
  <c r="AJ65" i="5" s="1"/>
  <c r="C67" i="5"/>
  <c r="BU67" i="5" s="1"/>
  <c r="E41" i="6"/>
  <c r="BC66" i="5"/>
  <c r="D41" i="6"/>
  <c r="Q65" i="5"/>
  <c r="V65" i="5" s="1"/>
  <c r="F40" i="6"/>
  <c r="A300" i="6"/>
  <c r="B326" i="5"/>
  <c r="B301" i="6" s="1"/>
  <c r="CF323" i="5"/>
  <c r="CG322" i="5"/>
  <c r="CC266" i="5"/>
  <c r="CB267" i="5"/>
  <c r="AF66" i="5" l="1"/>
  <c r="AN66" i="5"/>
  <c r="BT67" i="5"/>
  <c r="BV67" i="5"/>
  <c r="BS67" i="5"/>
  <c r="CI67" i="5"/>
  <c r="BR360" i="5"/>
  <c r="BH67" i="5"/>
  <c r="BI67" i="5" s="1"/>
  <c r="BJ67" i="5" s="1"/>
  <c r="AZ340" i="5"/>
  <c r="BA341" i="5" s="1"/>
  <c r="BB340" i="5"/>
  <c r="AR65" i="5"/>
  <c r="G40" i="6"/>
  <c r="BF66" i="5"/>
  <c r="CZ66" i="5"/>
  <c r="BD66" i="5"/>
  <c r="BE67" i="5" s="1"/>
  <c r="AB67" i="5"/>
  <c r="L67" i="5" s="1"/>
  <c r="D67" i="5"/>
  <c r="CX67" i="5"/>
  <c r="CY67" i="5"/>
  <c r="AC67" i="5"/>
  <c r="CW67" i="5"/>
  <c r="C42" i="6"/>
  <c r="AK67" i="5"/>
  <c r="AM67" i="5" s="1"/>
  <c r="AL68" i="5" s="1"/>
  <c r="CL67" i="5"/>
  <c r="CM67" i="5" s="1"/>
  <c r="CR67" i="5"/>
  <c r="BK67" i="5"/>
  <c r="BL67" i="5" s="1"/>
  <c r="BM67" i="5" s="1"/>
  <c r="CS67" i="5"/>
  <c r="BG66" i="5"/>
  <c r="H66" i="5" s="1"/>
  <c r="AX67" i="5"/>
  <c r="AW67" i="5" s="1"/>
  <c r="CU67" i="5"/>
  <c r="BX67" i="5" s="1"/>
  <c r="A301" i="6"/>
  <c r="B327" i="5"/>
  <c r="B302" i="6" s="1"/>
  <c r="CG323" i="5"/>
  <c r="CF324" i="5"/>
  <c r="CB268" i="5"/>
  <c r="CC267" i="5"/>
  <c r="BR361" i="5" l="1"/>
  <c r="CH67" i="5"/>
  <c r="CK67" i="5"/>
  <c r="CJ67" i="5" s="1"/>
  <c r="AZ341" i="5"/>
  <c r="BA342" i="5" s="1"/>
  <c r="BB341" i="5"/>
  <c r="X65" i="5"/>
  <c r="Y65" i="5" s="1"/>
  <c r="AY67" i="5"/>
  <c r="DA67" i="5"/>
  <c r="DB67" i="5" s="1"/>
  <c r="W67" i="5"/>
  <c r="T67" i="5"/>
  <c r="U67" i="5" s="1"/>
  <c r="CT67" i="5"/>
  <c r="CV67" i="5"/>
  <c r="BN67" i="5"/>
  <c r="BO67" i="5" s="1"/>
  <c r="BP67" i="5" s="1"/>
  <c r="G67" i="5" s="1"/>
  <c r="CP67" i="5"/>
  <c r="CQ67" i="5" s="1"/>
  <c r="R67" i="5" s="1"/>
  <c r="S67" i="5" s="1"/>
  <c r="AE67" i="5"/>
  <c r="AD68" i="5" s="1"/>
  <c r="I66" i="5"/>
  <c r="AP66" i="5" s="1"/>
  <c r="A302" i="6"/>
  <c r="B328" i="5"/>
  <c r="B303" i="6" s="1"/>
  <c r="CF325" i="5"/>
  <c r="CG324" i="5"/>
  <c r="CC268" i="5"/>
  <c r="CB269" i="5"/>
  <c r="K67" i="5" l="1"/>
  <c r="BR362" i="5"/>
  <c r="AZ342" i="5"/>
  <c r="BA343" i="5" s="1"/>
  <c r="BB342" i="5"/>
  <c r="H40" i="6"/>
  <c r="Z65" i="5"/>
  <c r="AA65" i="5" s="1"/>
  <c r="I40" i="6" s="1"/>
  <c r="AH66" i="5"/>
  <c r="AT66" i="5"/>
  <c r="CN67" i="5"/>
  <c r="E67" i="5" s="1"/>
  <c r="CO67" i="5"/>
  <c r="F67" i="5" s="1"/>
  <c r="P66" i="5"/>
  <c r="AY66" i="5" s="1"/>
  <c r="M66" i="5"/>
  <c r="A303" i="6"/>
  <c r="B329" i="5"/>
  <c r="B304" i="6" s="1"/>
  <c r="CF326" i="5"/>
  <c r="CG325" i="5"/>
  <c r="CC269" i="5"/>
  <c r="CB270" i="5"/>
  <c r="BW67" i="5" l="1"/>
  <c r="BR363" i="5"/>
  <c r="AS66" i="5"/>
  <c r="AV66" i="5" s="1"/>
  <c r="AO66" i="5"/>
  <c r="AR66" i="5" s="1"/>
  <c r="AZ343" i="5"/>
  <c r="BA344" i="5" s="1"/>
  <c r="BB343" i="5"/>
  <c r="D42" i="6"/>
  <c r="BC67" i="5"/>
  <c r="AG66" i="5"/>
  <c r="N66" i="5"/>
  <c r="E42" i="6"/>
  <c r="C68" i="5"/>
  <c r="BU68" i="5" s="1"/>
  <c r="Q66" i="5"/>
  <c r="V66" i="5" s="1"/>
  <c r="F41" i="6"/>
  <c r="A304" i="6"/>
  <c r="B330" i="5"/>
  <c r="B305" i="6" s="1"/>
  <c r="CG326" i="5"/>
  <c r="CF327" i="5"/>
  <c r="CC270" i="5"/>
  <c r="CB271" i="5"/>
  <c r="BY67" i="5" l="1"/>
  <c r="J67" i="5" s="1"/>
  <c r="BT68" i="5"/>
  <c r="BV68" i="5"/>
  <c r="BS68" i="5"/>
  <c r="CI68" i="5"/>
  <c r="BR364" i="5"/>
  <c r="BH68" i="5"/>
  <c r="BI68" i="5" s="1"/>
  <c r="BJ68" i="5" s="1"/>
  <c r="AZ344" i="5"/>
  <c r="BA345" i="5" s="1"/>
  <c r="BB344" i="5"/>
  <c r="AJ66" i="5"/>
  <c r="X66" i="5" s="1"/>
  <c r="Y66" i="5" s="1"/>
  <c r="CU68" i="5"/>
  <c r="BX68" i="5" s="1"/>
  <c r="AB68" i="5"/>
  <c r="CP68" i="5" s="1"/>
  <c r="CQ68" i="5" s="1"/>
  <c r="R68" i="5" s="1"/>
  <c r="S68" i="5" s="1"/>
  <c r="CR68" i="5"/>
  <c r="BK68" i="5"/>
  <c r="BL68" i="5" s="1"/>
  <c r="BM68" i="5" s="1"/>
  <c r="CL68" i="5"/>
  <c r="CM68" i="5" s="1"/>
  <c r="C43" i="6"/>
  <c r="AK68" i="5"/>
  <c r="AM68" i="5" s="1"/>
  <c r="AL69" i="5" s="1"/>
  <c r="D68" i="5"/>
  <c r="AC68" i="5"/>
  <c r="CX68" i="5"/>
  <c r="CY68" i="5"/>
  <c r="CW68" i="5"/>
  <c r="CS68" i="5"/>
  <c r="BG67" i="5"/>
  <c r="H67" i="5" s="1"/>
  <c r="AX68" i="5"/>
  <c r="AW68" i="5" s="1"/>
  <c r="BF67" i="5"/>
  <c r="CZ67" i="5"/>
  <c r="BD67" i="5"/>
  <c r="BE68" i="5" s="1"/>
  <c r="G41" i="6"/>
  <c r="A305" i="6"/>
  <c r="B331" i="5"/>
  <c r="B306" i="6" s="1"/>
  <c r="CG327" i="5"/>
  <c r="CF328" i="5"/>
  <c r="CB272" i="5"/>
  <c r="CC271" i="5"/>
  <c r="AF67" i="5" l="1"/>
  <c r="AN67" i="5"/>
  <c r="BR365" i="5"/>
  <c r="CH68" i="5"/>
  <c r="CK68" i="5"/>
  <c r="CJ68" i="5" s="1"/>
  <c r="AZ345" i="5"/>
  <c r="BA346" i="5" s="1"/>
  <c r="BB345" i="5"/>
  <c r="DA68" i="5"/>
  <c r="DB68" i="5" s="1"/>
  <c r="K68" i="5" s="1"/>
  <c r="BN68" i="5"/>
  <c r="BO68" i="5" s="1"/>
  <c r="BP68" i="5" s="1"/>
  <c r="G68" i="5" s="1"/>
  <c r="I67" i="5"/>
  <c r="H41" i="6"/>
  <c r="Z66" i="5"/>
  <c r="W68" i="5"/>
  <c r="T68" i="5"/>
  <c r="U68" i="5" s="1"/>
  <c r="CT68" i="5"/>
  <c r="CV68" i="5"/>
  <c r="AE68" i="5"/>
  <c r="AD69" i="5" s="1"/>
  <c r="L68" i="5"/>
  <c r="A306" i="6"/>
  <c r="B332" i="5"/>
  <c r="B307" i="6" s="1"/>
  <c r="CF329" i="5"/>
  <c r="CG328" i="5"/>
  <c r="CC272" i="5"/>
  <c r="CB273" i="5"/>
  <c r="AH67" i="5" l="1"/>
  <c r="BR366" i="5"/>
  <c r="AZ346" i="5"/>
  <c r="BA347" i="5" s="1"/>
  <c r="BB346" i="5"/>
  <c r="AT67" i="5"/>
  <c r="AP67" i="5"/>
  <c r="AA66" i="5"/>
  <c r="I41" i="6" s="1"/>
  <c r="P67" i="5"/>
  <c r="M67" i="5"/>
  <c r="AG67" i="5" s="1"/>
  <c r="AJ67" i="5" s="1"/>
  <c r="CN68" i="5"/>
  <c r="E68" i="5" s="1"/>
  <c r="CO68" i="5"/>
  <c r="F68" i="5" s="1"/>
  <c r="A307" i="6"/>
  <c r="B333" i="5"/>
  <c r="B308" i="6" s="1"/>
  <c r="CF330" i="5"/>
  <c r="CG329" i="5"/>
  <c r="CC273" i="5"/>
  <c r="CB274" i="5"/>
  <c r="BW68" i="5" l="1"/>
  <c r="BY68" i="5"/>
  <c r="J68" i="5" s="1"/>
  <c r="BR367" i="5"/>
  <c r="AZ347" i="5"/>
  <c r="BA348" i="5" s="1"/>
  <c r="BB347" i="5"/>
  <c r="N67" i="5"/>
  <c r="AS67" i="5"/>
  <c r="AV67" i="5" s="1"/>
  <c r="AO67" i="5"/>
  <c r="E43" i="6"/>
  <c r="C69" i="5"/>
  <c r="BU69" i="5" s="1"/>
  <c r="Q67" i="5"/>
  <c r="V67" i="5" s="1"/>
  <c r="F42" i="6"/>
  <c r="D43" i="6"/>
  <c r="BC68" i="5"/>
  <c r="A308" i="6"/>
  <c r="B334" i="5"/>
  <c r="B309" i="6" s="1"/>
  <c r="CG330" i="5"/>
  <c r="CF331" i="5"/>
  <c r="CC274" i="5"/>
  <c r="CB275" i="5"/>
  <c r="AF68" i="5" l="1"/>
  <c r="AN68" i="5"/>
  <c r="BT69" i="5"/>
  <c r="BV69" i="5"/>
  <c r="BS69" i="5"/>
  <c r="CI69" i="5"/>
  <c r="BR368" i="5"/>
  <c r="BH69" i="5"/>
  <c r="BI69" i="5" s="1"/>
  <c r="BJ69" i="5" s="1"/>
  <c r="AZ348" i="5"/>
  <c r="BA349" i="5" s="1"/>
  <c r="BB348" i="5"/>
  <c r="AR67" i="5"/>
  <c r="X67" i="5" s="1"/>
  <c r="Y67" i="5" s="1"/>
  <c r="CZ68" i="5"/>
  <c r="BD68" i="5"/>
  <c r="BE69" i="5" s="1"/>
  <c r="BF68" i="5"/>
  <c r="G42" i="6"/>
  <c r="CX69" i="5"/>
  <c r="C44" i="6"/>
  <c r="CY69" i="5"/>
  <c r="AC69" i="5"/>
  <c r="AE69" i="5" s="1"/>
  <c r="AD70" i="5" s="1"/>
  <c r="CL69" i="5"/>
  <c r="CM69" i="5" s="1"/>
  <c r="AB69" i="5"/>
  <c r="CP69" i="5" s="1"/>
  <c r="CQ69" i="5" s="1"/>
  <c r="R69" i="5" s="1"/>
  <c r="S69" i="5" s="1"/>
  <c r="D69" i="5"/>
  <c r="CR69" i="5"/>
  <c r="CW69" i="5"/>
  <c r="AK69" i="5"/>
  <c r="CS69" i="5"/>
  <c r="BK69" i="5"/>
  <c r="BL69" i="5" s="1"/>
  <c r="BM69" i="5" s="1"/>
  <c r="BG68" i="5"/>
  <c r="H68" i="5" s="1"/>
  <c r="AX69" i="5"/>
  <c r="AW69" i="5" s="1"/>
  <c r="CU69" i="5"/>
  <c r="BX69" i="5" s="1"/>
  <c r="A309" i="6"/>
  <c r="B335" i="5"/>
  <c r="B310" i="6" s="1"/>
  <c r="CG331" i="5"/>
  <c r="CF332" i="5"/>
  <c r="CB276" i="5"/>
  <c r="CC275" i="5"/>
  <c r="BR369" i="5" l="1"/>
  <c r="CH69" i="5"/>
  <c r="CK69" i="5"/>
  <c r="CJ69" i="5" s="1"/>
  <c r="AZ349" i="5"/>
  <c r="BA350" i="5" s="1"/>
  <c r="BB349" i="5"/>
  <c r="AY69" i="5"/>
  <c r="L69" i="5"/>
  <c r="BN69" i="5"/>
  <c r="BO69" i="5" s="1"/>
  <c r="BP69" i="5" s="1"/>
  <c r="G69" i="5" s="1"/>
  <c r="DA69" i="5"/>
  <c r="DB69" i="5" s="1"/>
  <c r="AM69" i="5"/>
  <c r="AL70" i="5" s="1"/>
  <c r="CT69" i="5"/>
  <c r="CV69" i="5"/>
  <c r="H42" i="6"/>
  <c r="Z67" i="5"/>
  <c r="T69" i="5"/>
  <c r="U69" i="5" s="1"/>
  <c r="W69" i="5"/>
  <c r="I68" i="5"/>
  <c r="AP68" i="5" s="1"/>
  <c r="A310" i="6"/>
  <c r="B336" i="5"/>
  <c r="B311" i="6" s="1"/>
  <c r="CF333" i="5"/>
  <c r="CG332" i="5"/>
  <c r="CC276" i="5"/>
  <c r="CB277" i="5"/>
  <c r="K69" i="5" l="1"/>
  <c r="BR370" i="5"/>
  <c r="AZ350" i="5"/>
  <c r="BA351" i="5" s="1"/>
  <c r="BB350" i="5"/>
  <c r="AH68" i="5"/>
  <c r="AT68" i="5"/>
  <c r="AA67" i="5"/>
  <c r="I42" i="6" s="1"/>
  <c r="P68" i="5"/>
  <c r="AY68" i="5" s="1"/>
  <c r="M68" i="5"/>
  <c r="CO69" i="5"/>
  <c r="F69" i="5" s="1"/>
  <c r="CN69" i="5"/>
  <c r="E69" i="5" s="1"/>
  <c r="A311" i="6"/>
  <c r="B337" i="5"/>
  <c r="B312" i="6" s="1"/>
  <c r="CG333" i="5"/>
  <c r="CF334" i="5"/>
  <c r="CC277" i="5"/>
  <c r="CB278" i="5"/>
  <c r="BY69" i="5" l="1"/>
  <c r="J69" i="5" s="1"/>
  <c r="AN69" i="5" s="1"/>
  <c r="BW69" i="5"/>
  <c r="BR371" i="5"/>
  <c r="AG68" i="5"/>
  <c r="AJ68" i="5" s="1"/>
  <c r="AO68" i="5"/>
  <c r="AR68" i="5" s="1"/>
  <c r="AZ351" i="5"/>
  <c r="BA352" i="5" s="1"/>
  <c r="BB351" i="5"/>
  <c r="N68" i="5"/>
  <c r="AS68" i="5"/>
  <c r="AV68" i="5" s="1"/>
  <c r="E44" i="6"/>
  <c r="C70" i="5"/>
  <c r="BU70" i="5" s="1"/>
  <c r="BC69" i="5"/>
  <c r="D44" i="6"/>
  <c r="F43" i="6"/>
  <c r="Q68" i="5"/>
  <c r="V68" i="5" s="1"/>
  <c r="A312" i="6"/>
  <c r="B338" i="5"/>
  <c r="B313" i="6" s="1"/>
  <c r="CG334" i="5"/>
  <c r="CF335" i="5"/>
  <c r="CC278" i="5"/>
  <c r="CB279" i="5"/>
  <c r="AF69" i="5" l="1"/>
  <c r="BV70" i="5"/>
  <c r="BT70" i="5"/>
  <c r="BS70" i="5"/>
  <c r="CI70" i="5"/>
  <c r="BR372" i="5"/>
  <c r="X68" i="5"/>
  <c r="Y68" i="5" s="1"/>
  <c r="BH70" i="5"/>
  <c r="BI70" i="5" s="1"/>
  <c r="BJ70" i="5" s="1"/>
  <c r="AZ352" i="5"/>
  <c r="BA353" i="5" s="1"/>
  <c r="BB352" i="5"/>
  <c r="G43" i="6"/>
  <c r="BD69" i="5"/>
  <c r="BE70" i="5" s="1"/>
  <c r="BF69" i="5"/>
  <c r="CZ69" i="5"/>
  <c r="CY70" i="5"/>
  <c r="CW70" i="5"/>
  <c r="AB70" i="5"/>
  <c r="BN70" i="5" s="1"/>
  <c r="BO70" i="5" s="1"/>
  <c r="BP70" i="5" s="1"/>
  <c r="CL70" i="5"/>
  <c r="CM70" i="5" s="1"/>
  <c r="C45" i="6"/>
  <c r="CR70" i="5"/>
  <c r="D70" i="5"/>
  <c r="BK70" i="5"/>
  <c r="BL70" i="5" s="1"/>
  <c r="BM70" i="5" s="1"/>
  <c r="AC70" i="5"/>
  <c r="AE70" i="5" s="1"/>
  <c r="AD71" i="5" s="1"/>
  <c r="AK70" i="5"/>
  <c r="AM70" i="5" s="1"/>
  <c r="AL71" i="5" s="1"/>
  <c r="CS70" i="5"/>
  <c r="CX70" i="5"/>
  <c r="BG69" i="5"/>
  <c r="H69" i="5" s="1"/>
  <c r="AX70" i="5"/>
  <c r="AW70" i="5" s="1"/>
  <c r="CU70" i="5"/>
  <c r="BX70" i="5" s="1"/>
  <c r="A313" i="6"/>
  <c r="B339" i="5"/>
  <c r="B314" i="6" s="1"/>
  <c r="CG335" i="5"/>
  <c r="CF336" i="5"/>
  <c r="CC279" i="5"/>
  <c r="CB280" i="5"/>
  <c r="G70" i="5" l="1"/>
  <c r="BR373" i="5"/>
  <c r="CH70" i="5"/>
  <c r="CK70" i="5"/>
  <c r="CJ70" i="5" s="1"/>
  <c r="AZ353" i="5"/>
  <c r="BA354" i="5" s="1"/>
  <c r="BB353" i="5"/>
  <c r="AY70" i="5"/>
  <c r="I69" i="5"/>
  <c r="AP69" i="5" s="1"/>
  <c r="T70" i="5"/>
  <c r="U70" i="5" s="1"/>
  <c r="W70" i="5"/>
  <c r="L70" i="5"/>
  <c r="CV70" i="5"/>
  <c r="CT70" i="5"/>
  <c r="CP70" i="5"/>
  <c r="CQ70" i="5" s="1"/>
  <c r="R70" i="5" s="1"/>
  <c r="S70" i="5" s="1"/>
  <c r="DA70" i="5"/>
  <c r="DB70" i="5" s="1"/>
  <c r="AF70" i="5"/>
  <c r="H43" i="6"/>
  <c r="Z68" i="5"/>
  <c r="A314" i="6"/>
  <c r="B340" i="5"/>
  <c r="B315" i="6" s="1"/>
  <c r="CF337" i="5"/>
  <c r="CG336" i="5"/>
  <c r="CC280" i="5"/>
  <c r="CB281" i="5"/>
  <c r="K70" i="5" l="1"/>
  <c r="BR374" i="5"/>
  <c r="AZ354" i="5"/>
  <c r="BA355" i="5" s="1"/>
  <c r="BB354" i="5"/>
  <c r="AH69" i="5"/>
  <c r="AH70" i="5" s="1"/>
  <c r="AT69" i="5"/>
  <c r="AA68" i="5"/>
  <c r="I43" i="6" s="1"/>
  <c r="P69" i="5"/>
  <c r="M69" i="5"/>
  <c r="CN70" i="5"/>
  <c r="E70" i="5" s="1"/>
  <c r="CO70" i="5"/>
  <c r="F70" i="5" s="1"/>
  <c r="A315" i="6"/>
  <c r="B341" i="5"/>
  <c r="B316" i="6" s="1"/>
  <c r="CG337" i="5"/>
  <c r="CF338" i="5"/>
  <c r="CC281" i="5"/>
  <c r="CB282" i="5"/>
  <c r="BW70" i="5" l="1"/>
  <c r="BR375" i="5"/>
  <c r="AZ355" i="5"/>
  <c r="BA356" i="5" s="1"/>
  <c r="BB355" i="5"/>
  <c r="AO69" i="5"/>
  <c r="AR69" i="5" s="1"/>
  <c r="AG69" i="5"/>
  <c r="AG70" i="5" s="1"/>
  <c r="AJ70" i="5" s="1"/>
  <c r="N69" i="5"/>
  <c r="AS69" i="5"/>
  <c r="AV69" i="5" s="1"/>
  <c r="Q69" i="5"/>
  <c r="V69" i="5" s="1"/>
  <c r="F44" i="6"/>
  <c r="C71" i="5"/>
  <c r="BU71" i="5" s="1"/>
  <c r="E45" i="6"/>
  <c r="D45" i="6"/>
  <c r="BC70" i="5"/>
  <c r="A316" i="6"/>
  <c r="B342" i="5"/>
  <c r="B317" i="6" s="1"/>
  <c r="CG338" i="5"/>
  <c r="CF339" i="5"/>
  <c r="CC282" i="5"/>
  <c r="CB283" i="5"/>
  <c r="BY70" i="5" l="1"/>
  <c r="J70" i="5" s="1"/>
  <c r="AN70" i="5" s="1"/>
  <c r="BV71" i="5"/>
  <c r="BT71" i="5"/>
  <c r="BS71" i="5"/>
  <c r="CI71" i="5"/>
  <c r="BR376" i="5"/>
  <c r="BH71" i="5"/>
  <c r="BI71" i="5" s="1"/>
  <c r="BJ71" i="5" s="1"/>
  <c r="AZ356" i="5"/>
  <c r="BA357" i="5" s="1"/>
  <c r="BB356" i="5"/>
  <c r="AJ69" i="5"/>
  <c r="CZ70" i="5"/>
  <c r="BF70" i="5"/>
  <c r="BD70" i="5"/>
  <c r="BE71" i="5" s="1"/>
  <c r="CY71" i="5"/>
  <c r="AC71" i="5"/>
  <c r="AE71" i="5" s="1"/>
  <c r="CW71" i="5"/>
  <c r="CX71" i="5"/>
  <c r="CS71" i="5"/>
  <c r="AK71" i="5"/>
  <c r="AM71" i="5" s="1"/>
  <c r="AL72" i="5" s="1"/>
  <c r="AB71" i="5"/>
  <c r="CP71" i="5" s="1"/>
  <c r="CQ71" i="5" s="1"/>
  <c r="R71" i="5" s="1"/>
  <c r="S71" i="5" s="1"/>
  <c r="D71" i="5"/>
  <c r="CL71" i="5"/>
  <c r="CM71" i="5" s="1"/>
  <c r="C46" i="6"/>
  <c r="BK71" i="5"/>
  <c r="BL71" i="5" s="1"/>
  <c r="BM71" i="5" s="1"/>
  <c r="CR71" i="5"/>
  <c r="BG70" i="5"/>
  <c r="H70" i="5" s="1"/>
  <c r="AX71" i="5"/>
  <c r="AW71" i="5" s="1"/>
  <c r="CU71" i="5"/>
  <c r="BX71" i="5" s="1"/>
  <c r="G44" i="6"/>
  <c r="A317" i="6"/>
  <c r="B343" i="5"/>
  <c r="B318" i="6" s="1"/>
  <c r="CF340" i="5"/>
  <c r="CG339" i="5"/>
  <c r="CC283" i="5"/>
  <c r="CB284" i="5"/>
  <c r="BR377" i="5" l="1"/>
  <c r="CK71" i="5"/>
  <c r="CJ71" i="5" s="1"/>
  <c r="CH71" i="5"/>
  <c r="AZ357" i="5"/>
  <c r="BA358" i="5" s="1"/>
  <c r="AZ358" i="5" s="1"/>
  <c r="BA359" i="5" s="1"/>
  <c r="BB357" i="5"/>
  <c r="X69" i="5"/>
  <c r="Y69" i="5" s="1"/>
  <c r="AY71" i="5"/>
  <c r="DA71" i="5"/>
  <c r="DB71" i="5" s="1"/>
  <c r="I70" i="5"/>
  <c r="L71" i="5"/>
  <c r="T71" i="5"/>
  <c r="U71" i="5" s="1"/>
  <c r="W71" i="5"/>
  <c r="CT71" i="5"/>
  <c r="CV71" i="5"/>
  <c r="BN71" i="5"/>
  <c r="BO71" i="5" s="1"/>
  <c r="BP71" i="5" s="1"/>
  <c r="G71" i="5" s="1"/>
  <c r="A318" i="6"/>
  <c r="B344" i="5"/>
  <c r="B319" i="6" s="1"/>
  <c r="CF341" i="5"/>
  <c r="CG340" i="5"/>
  <c r="CC284" i="5"/>
  <c r="CB285" i="5"/>
  <c r="K71" i="5" l="1"/>
  <c r="BR378" i="5"/>
  <c r="AZ359" i="5"/>
  <c r="BA360" i="5" s="1"/>
  <c r="BB359" i="5"/>
  <c r="Z69" i="5"/>
  <c r="AA69" i="5" s="1"/>
  <c r="I44" i="6" s="1"/>
  <c r="H44" i="6"/>
  <c r="AT70" i="5"/>
  <c r="AP70" i="5"/>
  <c r="CN71" i="5"/>
  <c r="E71" i="5" s="1"/>
  <c r="CO71" i="5"/>
  <c r="F71" i="5" s="1"/>
  <c r="P70" i="5"/>
  <c r="M70" i="5"/>
  <c r="AO70" i="5" s="1"/>
  <c r="A319" i="6"/>
  <c r="B345" i="5"/>
  <c r="B320" i="6" s="1"/>
  <c r="CG341" i="5"/>
  <c r="CF342" i="5"/>
  <c r="CC285" i="5"/>
  <c r="CB286" i="5"/>
  <c r="BY71" i="5" l="1"/>
  <c r="J71" i="5" s="1"/>
  <c r="AF71" i="5" s="1"/>
  <c r="BR379" i="5"/>
  <c r="AR70" i="5"/>
  <c r="AZ360" i="5"/>
  <c r="BA361" i="5" s="1"/>
  <c r="BB360" i="5"/>
  <c r="Q70" i="5"/>
  <c r="V70" i="5" s="1"/>
  <c r="F45" i="6"/>
  <c r="AS70" i="5"/>
  <c r="AV70" i="5" s="1"/>
  <c r="N70" i="5"/>
  <c r="E46" i="6"/>
  <c r="C72" i="5"/>
  <c r="BU72" i="5" s="1"/>
  <c r="D46" i="6"/>
  <c r="BC71" i="5"/>
  <c r="A320" i="6"/>
  <c r="B346" i="5"/>
  <c r="B321" i="6" s="1"/>
  <c r="CG342" i="5"/>
  <c r="CF343" i="5"/>
  <c r="CB287" i="5"/>
  <c r="CC286" i="5"/>
  <c r="AN71" i="5" l="1"/>
  <c r="BW71" i="5"/>
  <c r="BT72" i="5"/>
  <c r="BV72" i="5"/>
  <c r="BS72" i="5"/>
  <c r="CI72" i="5"/>
  <c r="BR380" i="5"/>
  <c r="X70" i="5"/>
  <c r="Y70" i="5" s="1"/>
  <c r="BH72" i="5"/>
  <c r="BI72" i="5" s="1"/>
  <c r="BJ72" i="5" s="1"/>
  <c r="AZ361" i="5"/>
  <c r="BA362" i="5" s="1"/>
  <c r="BB361" i="5"/>
  <c r="BF71" i="5"/>
  <c r="BD71" i="5"/>
  <c r="BE72" i="5" s="1"/>
  <c r="CZ71" i="5"/>
  <c r="CL72" i="5"/>
  <c r="CM72" i="5" s="1"/>
  <c r="CX72" i="5"/>
  <c r="AB72" i="5"/>
  <c r="L72" i="5" s="1"/>
  <c r="CW72" i="5"/>
  <c r="BK72" i="5"/>
  <c r="BL72" i="5" s="1"/>
  <c r="BM72" i="5" s="1"/>
  <c r="CY72" i="5"/>
  <c r="D72" i="5"/>
  <c r="AK72" i="5"/>
  <c r="CS72" i="5"/>
  <c r="AC72" i="5"/>
  <c r="CR72" i="5"/>
  <c r="C47" i="6"/>
  <c r="BG71" i="5"/>
  <c r="H71" i="5" s="1"/>
  <c r="AX72" i="5"/>
  <c r="AW72" i="5" s="1"/>
  <c r="CU72" i="5"/>
  <c r="G45" i="6"/>
  <c r="A321" i="6"/>
  <c r="B347" i="5"/>
  <c r="B322" i="6" s="1"/>
  <c r="CG343" i="5"/>
  <c r="CF344" i="5"/>
  <c r="CC287" i="5"/>
  <c r="CB288" i="5"/>
  <c r="BX72" i="5" l="1"/>
  <c r="BR381" i="5"/>
  <c r="AD72" i="5"/>
  <c r="AE72" i="5" s="1"/>
  <c r="CH72" i="5"/>
  <c r="CK72" i="5"/>
  <c r="CJ72" i="5" s="1"/>
  <c r="AZ362" i="5"/>
  <c r="BA363" i="5" s="1"/>
  <c r="BB362" i="5"/>
  <c r="I71" i="5"/>
  <c r="AH71" i="5" s="1"/>
  <c r="AM72" i="5"/>
  <c r="AL73" i="5" s="1"/>
  <c r="CP72" i="5"/>
  <c r="CQ72" i="5" s="1"/>
  <c r="R72" i="5" s="1"/>
  <c r="S72" i="5" s="1"/>
  <c r="H45" i="6"/>
  <c r="Z70" i="5"/>
  <c r="T72" i="5"/>
  <c r="U72" i="5" s="1"/>
  <c r="W72" i="5"/>
  <c r="BN72" i="5"/>
  <c r="BO72" i="5" s="1"/>
  <c r="BP72" i="5" s="1"/>
  <c r="G72" i="5" s="1"/>
  <c r="CV72" i="5"/>
  <c r="CT72" i="5"/>
  <c r="DA72" i="5"/>
  <c r="DB72" i="5" s="1"/>
  <c r="K72" i="5" s="1"/>
  <c r="A322" i="6"/>
  <c r="B348" i="5"/>
  <c r="B323" i="6" s="1"/>
  <c r="CF345" i="5"/>
  <c r="CG344" i="5"/>
  <c r="CC288" i="5"/>
  <c r="CB289" i="5"/>
  <c r="BR382" i="5" l="1"/>
  <c r="AZ363" i="5"/>
  <c r="BA364" i="5" s="1"/>
  <c r="BB363" i="5"/>
  <c r="AA70" i="5"/>
  <c r="I45" i="6" s="1"/>
  <c r="CO72" i="5"/>
  <c r="F72" i="5" s="1"/>
  <c r="CN72" i="5"/>
  <c r="E72" i="5" s="1"/>
  <c r="M71" i="5"/>
  <c r="AG71" i="5" s="1"/>
  <c r="AJ71" i="5" s="1"/>
  <c r="P71" i="5"/>
  <c r="AT71" i="5"/>
  <c r="AP71" i="5"/>
  <c r="A323" i="6"/>
  <c r="B349" i="5"/>
  <c r="B324" i="6" s="1"/>
  <c r="CF346" i="5"/>
  <c r="CG345" i="5"/>
  <c r="CC289" i="5"/>
  <c r="CB290" i="5"/>
  <c r="BW72" i="5" l="1"/>
  <c r="BY72" i="5"/>
  <c r="J72" i="5" s="1"/>
  <c r="AF72" i="5" s="1"/>
  <c r="BR383" i="5"/>
  <c r="AZ364" i="5"/>
  <c r="BA365" i="5" s="1"/>
  <c r="BB364" i="5"/>
  <c r="F46" i="6"/>
  <c r="Q71" i="5"/>
  <c r="V71" i="5" s="1"/>
  <c r="N71" i="5"/>
  <c r="AS71" i="5"/>
  <c r="AV71" i="5" s="1"/>
  <c r="AO71" i="5"/>
  <c r="BC72" i="5"/>
  <c r="D47" i="6"/>
  <c r="E47" i="6"/>
  <c r="C73" i="5"/>
  <c r="BU73" i="5" s="1"/>
  <c r="A324" i="6"/>
  <c r="B350" i="5"/>
  <c r="B325" i="6" s="1"/>
  <c r="CF347" i="5"/>
  <c r="CG346" i="5"/>
  <c r="CB291" i="5"/>
  <c r="CC290" i="5"/>
  <c r="AN72" i="5" l="1"/>
  <c r="BV73" i="5"/>
  <c r="BT73" i="5"/>
  <c r="BS73" i="5"/>
  <c r="CI73" i="5"/>
  <c r="BR384" i="5"/>
  <c r="BH73" i="5"/>
  <c r="BI73" i="5" s="1"/>
  <c r="BJ73" i="5" s="1"/>
  <c r="AZ365" i="5"/>
  <c r="BA366" i="5" s="1"/>
  <c r="BB365" i="5"/>
  <c r="AR71" i="5"/>
  <c r="G46" i="6"/>
  <c r="BD72" i="5"/>
  <c r="BE73" i="5" s="1"/>
  <c r="BF72" i="5"/>
  <c r="CZ72" i="5"/>
  <c r="CY73" i="5"/>
  <c r="AC73" i="5"/>
  <c r="CR73" i="5"/>
  <c r="AB73" i="5"/>
  <c r="L73" i="5" s="1"/>
  <c r="CS73" i="5"/>
  <c r="BK73" i="5"/>
  <c r="BL73" i="5" s="1"/>
  <c r="BM73" i="5" s="1"/>
  <c r="CL73" i="5"/>
  <c r="CM73" i="5" s="1"/>
  <c r="C48" i="6"/>
  <c r="CX73" i="5"/>
  <c r="D73" i="5"/>
  <c r="AK73" i="5"/>
  <c r="CW73" i="5"/>
  <c r="BG72" i="5"/>
  <c r="H72" i="5" s="1"/>
  <c r="AX73" i="5"/>
  <c r="AW73" i="5" s="1"/>
  <c r="CU73" i="5"/>
  <c r="BX73" i="5" s="1"/>
  <c r="A325" i="6"/>
  <c r="B351" i="5"/>
  <c r="B326" i="6" s="1"/>
  <c r="CG347" i="5"/>
  <c r="CF348" i="5"/>
  <c r="CC291" i="5"/>
  <c r="CB292" i="5"/>
  <c r="BR385" i="5" l="1"/>
  <c r="AD73" i="5"/>
  <c r="AE73" i="5" s="1"/>
  <c r="CH73" i="5"/>
  <c r="CK73" i="5"/>
  <c r="CJ73" i="5" s="1"/>
  <c r="AZ366" i="5"/>
  <c r="BA367" i="5" s="1"/>
  <c r="BB366" i="5"/>
  <c r="X71" i="5"/>
  <c r="Y71" i="5" s="1"/>
  <c r="DA73" i="5"/>
  <c r="DB73" i="5" s="1"/>
  <c r="CP73" i="5"/>
  <c r="CQ73" i="5" s="1"/>
  <c r="R73" i="5" s="1"/>
  <c r="S73" i="5" s="1"/>
  <c r="CT73" i="5"/>
  <c r="CV73" i="5"/>
  <c r="I72" i="5"/>
  <c r="AP72" i="5" s="1"/>
  <c r="W73" i="5"/>
  <c r="T73" i="5"/>
  <c r="U73" i="5" s="1"/>
  <c r="AM73" i="5"/>
  <c r="AL74" i="5" s="1"/>
  <c r="BN73" i="5"/>
  <c r="BO73" i="5" s="1"/>
  <c r="BP73" i="5" s="1"/>
  <c r="G73" i="5" s="1"/>
  <c r="A326" i="6"/>
  <c r="B352" i="5"/>
  <c r="B327" i="6" s="1"/>
  <c r="CG348" i="5"/>
  <c r="CF349" i="5"/>
  <c r="CC292" i="5"/>
  <c r="CB293" i="5"/>
  <c r="K73" i="5" l="1"/>
  <c r="BR386" i="5"/>
  <c r="AZ367" i="5"/>
  <c r="BA368" i="5" s="1"/>
  <c r="BB367" i="5"/>
  <c r="H46" i="6"/>
  <c r="Z71" i="5"/>
  <c r="AA71" i="5" s="1"/>
  <c r="I46" i="6" s="1"/>
  <c r="AH72" i="5"/>
  <c r="AT72" i="5"/>
  <c r="P72" i="5"/>
  <c r="M72" i="5"/>
  <c r="CO73" i="5"/>
  <c r="F73" i="5" s="1"/>
  <c r="CN73" i="5"/>
  <c r="E73" i="5" s="1"/>
  <c r="A327" i="6"/>
  <c r="B353" i="5"/>
  <c r="B328" i="6" s="1"/>
  <c r="CG349" i="5"/>
  <c r="CF350" i="5"/>
  <c r="CC293" i="5"/>
  <c r="CB294" i="5"/>
  <c r="BW73" i="5" l="1"/>
  <c r="BY73" i="5"/>
  <c r="J73" i="5" s="1"/>
  <c r="BR387" i="5"/>
  <c r="BB72" i="5"/>
  <c r="AY72" i="5"/>
  <c r="AZ368" i="5"/>
  <c r="BA369" i="5" s="1"/>
  <c r="BB368" i="5"/>
  <c r="AS72" i="5"/>
  <c r="AV72" i="5" s="1"/>
  <c r="AO72" i="5"/>
  <c r="AR72" i="5" s="1"/>
  <c r="N72" i="5"/>
  <c r="AG72" i="5"/>
  <c r="AJ72" i="5" s="1"/>
  <c r="E48" i="6"/>
  <c r="C74" i="5"/>
  <c r="BU74" i="5" s="1"/>
  <c r="F47" i="6"/>
  <c r="Q72" i="5"/>
  <c r="V72" i="5" s="1"/>
  <c r="D48" i="6"/>
  <c r="BC73" i="5"/>
  <c r="A328" i="6"/>
  <c r="B354" i="5"/>
  <c r="B329" i="6" s="1"/>
  <c r="CF351" i="5"/>
  <c r="CG350" i="5"/>
  <c r="CB295" i="5"/>
  <c r="CC294" i="5"/>
  <c r="AF73" i="5" l="1"/>
  <c r="AN73" i="5"/>
  <c r="BV74" i="5"/>
  <c r="BT74" i="5"/>
  <c r="BS74" i="5"/>
  <c r="CI74" i="5"/>
  <c r="BR388" i="5"/>
  <c r="BH74" i="5"/>
  <c r="BI74" i="5" s="1"/>
  <c r="BJ74" i="5" s="1"/>
  <c r="AZ369" i="5"/>
  <c r="BA370" i="5" s="1"/>
  <c r="BB369" i="5"/>
  <c r="X72" i="5"/>
  <c r="Y72" i="5" s="1"/>
  <c r="BF73" i="5"/>
  <c r="BD73" i="5"/>
  <c r="BE74" i="5" s="1"/>
  <c r="CZ73" i="5"/>
  <c r="G47" i="6"/>
  <c r="D74" i="5"/>
  <c r="AK74" i="5"/>
  <c r="AM74" i="5" s="1"/>
  <c r="AL75" i="5" s="1"/>
  <c r="CR74" i="5"/>
  <c r="CW74" i="5"/>
  <c r="CY74" i="5"/>
  <c r="C49" i="6"/>
  <c r="CX74" i="5"/>
  <c r="CL74" i="5"/>
  <c r="CM74" i="5" s="1"/>
  <c r="BK74" i="5"/>
  <c r="BL74" i="5" s="1"/>
  <c r="BM74" i="5" s="1"/>
  <c r="CS74" i="5"/>
  <c r="AB74" i="5"/>
  <c r="BN74" i="5" s="1"/>
  <c r="BO74" i="5" s="1"/>
  <c r="BP74" i="5" s="1"/>
  <c r="AC74" i="5"/>
  <c r="AD74" i="5" s="1"/>
  <c r="BG73" i="5"/>
  <c r="H73" i="5" s="1"/>
  <c r="AX74" i="5"/>
  <c r="AW74" i="5" s="1"/>
  <c r="CU74" i="5"/>
  <c r="BX74" i="5" s="1"/>
  <c r="A329" i="6"/>
  <c r="B355" i="5"/>
  <c r="B330" i="6" s="1"/>
  <c r="CF352" i="5"/>
  <c r="CG351" i="5"/>
  <c r="CC295" i="5"/>
  <c r="CB296" i="5"/>
  <c r="G74" i="5" l="1"/>
  <c r="BR389" i="5"/>
  <c r="CK74" i="5"/>
  <c r="CJ74" i="5" s="1"/>
  <c r="CH74" i="5"/>
  <c r="AZ370" i="5"/>
  <c r="BA371" i="5" s="1"/>
  <c r="BB370" i="5"/>
  <c r="W74" i="5"/>
  <c r="T74" i="5"/>
  <c r="U74" i="5" s="1"/>
  <c r="CP74" i="5"/>
  <c r="CQ74" i="5" s="1"/>
  <c r="R74" i="5" s="1"/>
  <c r="S74" i="5" s="1"/>
  <c r="H47" i="6"/>
  <c r="Z72" i="5"/>
  <c r="CT74" i="5"/>
  <c r="CV74" i="5"/>
  <c r="DA74" i="5"/>
  <c r="DB74" i="5" s="1"/>
  <c r="K74" i="5" s="1"/>
  <c r="AE74" i="5"/>
  <c r="I73" i="5"/>
  <c r="L74" i="5"/>
  <c r="A330" i="6"/>
  <c r="B356" i="5"/>
  <c r="B331" i="6" s="1"/>
  <c r="CF353" i="5"/>
  <c r="CG352" i="5"/>
  <c r="CC296" i="5"/>
  <c r="CB297" i="5"/>
  <c r="BR390" i="5" l="1"/>
  <c r="AZ371" i="5"/>
  <c r="BA372" i="5" s="1"/>
  <c r="BB371" i="5"/>
  <c r="AH73" i="5"/>
  <c r="AT73" i="5"/>
  <c r="AP73" i="5"/>
  <c r="CO74" i="5"/>
  <c r="F74" i="5" s="1"/>
  <c r="CN74" i="5"/>
  <c r="E74" i="5" s="1"/>
  <c r="AA72" i="5"/>
  <c r="I47" i="6" s="1"/>
  <c r="M73" i="5"/>
  <c r="P73" i="5"/>
  <c r="AY73" i="5" s="1"/>
  <c r="A331" i="6"/>
  <c r="B357" i="5"/>
  <c r="B332" i="6" s="1"/>
  <c r="CF354" i="5"/>
  <c r="CG353" i="5"/>
  <c r="CC297" i="5"/>
  <c r="CB298" i="5"/>
  <c r="BY74" i="5" l="1"/>
  <c r="J74" i="5" s="1"/>
  <c r="BR391" i="5"/>
  <c r="AZ372" i="5"/>
  <c r="BA373" i="5" s="1"/>
  <c r="BB372" i="5"/>
  <c r="AS73" i="5"/>
  <c r="AV73" i="5" s="1"/>
  <c r="AO73" i="5"/>
  <c r="D49" i="6"/>
  <c r="BC74" i="5"/>
  <c r="E49" i="6"/>
  <c r="C75" i="5"/>
  <c r="BU75" i="5" s="1"/>
  <c r="F48" i="6"/>
  <c r="Q73" i="5"/>
  <c r="V73" i="5" s="1"/>
  <c r="AG73" i="5"/>
  <c r="N73" i="5"/>
  <c r="A332" i="6"/>
  <c r="B358" i="5"/>
  <c r="B333" i="6" s="1"/>
  <c r="CF355" i="5"/>
  <c r="CG354" i="5"/>
  <c r="CB299" i="5"/>
  <c r="CC298" i="5"/>
  <c r="AN74" i="5" l="1"/>
  <c r="AF74" i="5"/>
  <c r="BW74" i="5"/>
  <c r="BT75" i="5"/>
  <c r="BV75" i="5"/>
  <c r="BS75" i="5"/>
  <c r="CI75" i="5"/>
  <c r="BR392" i="5"/>
  <c r="BH75" i="5"/>
  <c r="BI75" i="5" s="1"/>
  <c r="BJ75" i="5" s="1"/>
  <c r="AZ373" i="5"/>
  <c r="BA374" i="5" s="1"/>
  <c r="BB373" i="5"/>
  <c r="AR73" i="5"/>
  <c r="AJ73" i="5"/>
  <c r="G48" i="6"/>
  <c r="AK75" i="5"/>
  <c r="AM75" i="5" s="1"/>
  <c r="AL76" i="5" s="1"/>
  <c r="D75" i="5"/>
  <c r="CR75" i="5"/>
  <c r="CL75" i="5"/>
  <c r="CM75" i="5" s="1"/>
  <c r="AB75" i="5"/>
  <c r="L75" i="5" s="1"/>
  <c r="CX75" i="5"/>
  <c r="CS75" i="5"/>
  <c r="AC75" i="5"/>
  <c r="AD75" i="5" s="1"/>
  <c r="CY75" i="5"/>
  <c r="CW75" i="5"/>
  <c r="C50" i="6"/>
  <c r="BK75" i="5"/>
  <c r="BL75" i="5" s="1"/>
  <c r="BM75" i="5" s="1"/>
  <c r="BG74" i="5"/>
  <c r="H74" i="5" s="1"/>
  <c r="AX75" i="5"/>
  <c r="AW75" i="5" s="1"/>
  <c r="CU75" i="5"/>
  <c r="BD74" i="5"/>
  <c r="BE75" i="5" s="1"/>
  <c r="CZ74" i="5"/>
  <c r="BF74" i="5"/>
  <c r="A333" i="6"/>
  <c r="B359" i="5"/>
  <c r="B334" i="6" s="1"/>
  <c r="CG355" i="5"/>
  <c r="CF356" i="5"/>
  <c r="CC299" i="5"/>
  <c r="CB300" i="5"/>
  <c r="BX75" i="5" l="1"/>
  <c r="BR393" i="5"/>
  <c r="CH75" i="5"/>
  <c r="CK75" i="5"/>
  <c r="CJ75" i="5" s="1"/>
  <c r="AZ374" i="5"/>
  <c r="BA375" i="5" s="1"/>
  <c r="BB374" i="5"/>
  <c r="X73" i="5"/>
  <c r="Y73" i="5" s="1"/>
  <c r="DA75" i="5"/>
  <c r="DB75" i="5" s="1"/>
  <c r="K75" i="5" s="1"/>
  <c r="CP75" i="5"/>
  <c r="CQ75" i="5" s="1"/>
  <c r="R75" i="5" s="1"/>
  <c r="S75" i="5" s="1"/>
  <c r="BN75" i="5"/>
  <c r="BO75" i="5" s="1"/>
  <c r="BP75" i="5" s="1"/>
  <c r="G75" i="5" s="1"/>
  <c r="T75" i="5"/>
  <c r="U75" i="5" s="1"/>
  <c r="W75" i="5"/>
  <c r="I74" i="5"/>
  <c r="AH74" i="5" s="1"/>
  <c r="AE75" i="5"/>
  <c r="CT75" i="5"/>
  <c r="CV75" i="5"/>
  <c r="A334" i="6"/>
  <c r="B360" i="5"/>
  <c r="B335" i="6" s="1"/>
  <c r="CF357" i="5"/>
  <c r="CG356" i="5"/>
  <c r="CC300" i="5"/>
  <c r="CB301" i="5"/>
  <c r="BR394" i="5" l="1"/>
  <c r="AZ375" i="5"/>
  <c r="BA376" i="5" s="1"/>
  <c r="BB375" i="5"/>
  <c r="H48" i="6"/>
  <c r="Z73" i="5"/>
  <c r="AA73" i="5" s="1"/>
  <c r="I48" i="6" s="1"/>
  <c r="AT74" i="5"/>
  <c r="AP74" i="5"/>
  <c r="P74" i="5"/>
  <c r="AY74" i="5" s="1"/>
  <c r="M74" i="5"/>
  <c r="CN75" i="5"/>
  <c r="E75" i="5" s="1"/>
  <c r="CO75" i="5"/>
  <c r="F75" i="5" s="1"/>
  <c r="A335" i="6"/>
  <c r="B361" i="5"/>
  <c r="B336" i="6" s="1"/>
  <c r="CF358" i="5"/>
  <c r="CG357" i="5"/>
  <c r="CC301" i="5"/>
  <c r="CB302" i="5"/>
  <c r="BW75" i="5" l="1"/>
  <c r="BY75" i="5"/>
  <c r="J75" i="5" s="1"/>
  <c r="BR395" i="5"/>
  <c r="AZ376" i="5"/>
  <c r="BA377" i="5" s="1"/>
  <c r="BB376" i="5"/>
  <c r="AO74" i="5"/>
  <c r="AR74" i="5" s="1"/>
  <c r="AG74" i="5"/>
  <c r="N74" i="5"/>
  <c r="AS74" i="5"/>
  <c r="AV74" i="5" s="1"/>
  <c r="F49" i="6"/>
  <c r="Q74" i="5"/>
  <c r="V74" i="5" s="1"/>
  <c r="C76" i="5"/>
  <c r="BU76" i="5" s="1"/>
  <c r="E50" i="6"/>
  <c r="BC75" i="5"/>
  <c r="D50" i="6"/>
  <c r="A336" i="6"/>
  <c r="B362" i="5"/>
  <c r="B337" i="6" s="1"/>
  <c r="CG358" i="5"/>
  <c r="CF359" i="5"/>
  <c r="CB303" i="5"/>
  <c r="CC302" i="5"/>
  <c r="AF75" i="5" l="1"/>
  <c r="AN75" i="5"/>
  <c r="BT76" i="5"/>
  <c r="BV76" i="5"/>
  <c r="BS76" i="5"/>
  <c r="CI76" i="5"/>
  <c r="BR396" i="5"/>
  <c r="BH76" i="5"/>
  <c r="BI76" i="5" s="1"/>
  <c r="BJ76" i="5" s="1"/>
  <c r="AZ377" i="5"/>
  <c r="BA378" i="5" s="1"/>
  <c r="BB377" i="5"/>
  <c r="AJ74" i="5"/>
  <c r="CZ75" i="5"/>
  <c r="BD75" i="5"/>
  <c r="BE76" i="5" s="1"/>
  <c r="BF75" i="5"/>
  <c r="CR76" i="5"/>
  <c r="CW76" i="5"/>
  <c r="CY76" i="5"/>
  <c r="AC76" i="5"/>
  <c r="D76" i="5"/>
  <c r="CX76" i="5"/>
  <c r="AB76" i="5"/>
  <c r="CP76" i="5" s="1"/>
  <c r="CQ76" i="5" s="1"/>
  <c r="R76" i="5" s="1"/>
  <c r="S76" i="5" s="1"/>
  <c r="AK76" i="5"/>
  <c r="CS76" i="5"/>
  <c r="C51" i="6"/>
  <c r="BK76" i="5"/>
  <c r="BL76" i="5" s="1"/>
  <c r="BM76" i="5" s="1"/>
  <c r="CL76" i="5"/>
  <c r="CM76" i="5" s="1"/>
  <c r="BG75" i="5"/>
  <c r="H75" i="5" s="1"/>
  <c r="AX76" i="5"/>
  <c r="AW76" i="5" s="1"/>
  <c r="CU76" i="5"/>
  <c r="BX76" i="5" s="1"/>
  <c r="G49" i="6"/>
  <c r="A337" i="6"/>
  <c r="B363" i="5"/>
  <c r="B338" i="6" s="1"/>
  <c r="CG359" i="5"/>
  <c r="CF360" i="5"/>
  <c r="CC303" i="5"/>
  <c r="CB304" i="5"/>
  <c r="BR397" i="5" l="1"/>
  <c r="AD76" i="5"/>
  <c r="AE76" i="5" s="1"/>
  <c r="CH76" i="5"/>
  <c r="CK76" i="5"/>
  <c r="CJ76" i="5" s="1"/>
  <c r="AZ378" i="5"/>
  <c r="BA379" i="5" s="1"/>
  <c r="BB378" i="5"/>
  <c r="X74" i="5"/>
  <c r="Y74" i="5" s="1"/>
  <c r="DA76" i="5"/>
  <c r="DB76" i="5" s="1"/>
  <c r="I75" i="5"/>
  <c r="AH75" i="5" s="1"/>
  <c r="AM76" i="5"/>
  <c r="AL77" i="5" s="1"/>
  <c r="BN76" i="5"/>
  <c r="BO76" i="5" s="1"/>
  <c r="BP76" i="5" s="1"/>
  <c r="G76" i="5" s="1"/>
  <c r="CV76" i="5"/>
  <c r="CT76" i="5"/>
  <c r="L76" i="5"/>
  <c r="W76" i="5"/>
  <c r="T76" i="5"/>
  <c r="U76" i="5" s="1"/>
  <c r="A338" i="6"/>
  <c r="B364" i="5"/>
  <c r="B339" i="6" s="1"/>
  <c r="CF361" i="5"/>
  <c r="CG360" i="5"/>
  <c r="CC304" i="5"/>
  <c r="CB305" i="5"/>
  <c r="K76" i="5" l="1"/>
  <c r="BR398" i="5"/>
  <c r="AZ379" i="5"/>
  <c r="BA380" i="5" s="1"/>
  <c r="AZ380" i="5" s="1"/>
  <c r="BA381" i="5" s="1"/>
  <c r="BB379" i="5"/>
  <c r="H49" i="6"/>
  <c r="Z74" i="5"/>
  <c r="AA74" i="5" s="1"/>
  <c r="I49" i="6" s="1"/>
  <c r="AT75" i="5"/>
  <c r="AP75" i="5"/>
  <c r="CO76" i="5"/>
  <c r="F76" i="5" s="1"/>
  <c r="CN76" i="5"/>
  <c r="E76" i="5" s="1"/>
  <c r="P75" i="5"/>
  <c r="AY75" i="5" s="1"/>
  <c r="M75" i="5"/>
  <c r="A339" i="6"/>
  <c r="B365" i="5"/>
  <c r="B340" i="6" s="1"/>
  <c r="CG361" i="5"/>
  <c r="CF362" i="5"/>
  <c r="CC305" i="5"/>
  <c r="CB306" i="5"/>
  <c r="BW76" i="5" l="1"/>
  <c r="BY76" i="5"/>
  <c r="J76" i="5" s="1"/>
  <c r="AN76" i="5" s="1"/>
  <c r="BR399" i="5"/>
  <c r="AO75" i="5"/>
  <c r="AR75" i="5" s="1"/>
  <c r="AG75" i="5"/>
  <c r="AJ75" i="5" s="1"/>
  <c r="AZ381" i="5"/>
  <c r="BA382" i="5" s="1"/>
  <c r="BB381" i="5"/>
  <c r="N75" i="5"/>
  <c r="AS75" i="5"/>
  <c r="AV75" i="5" s="1"/>
  <c r="BC76" i="5"/>
  <c r="D51" i="6"/>
  <c r="E51" i="6"/>
  <c r="C77" i="5"/>
  <c r="BU77" i="5" s="1"/>
  <c r="Q75" i="5"/>
  <c r="V75" i="5" s="1"/>
  <c r="F50" i="6"/>
  <c r="A340" i="6"/>
  <c r="B366" i="5"/>
  <c r="B341" i="6" s="1"/>
  <c r="CF363" i="5"/>
  <c r="CG362" i="5"/>
  <c r="CC306" i="5"/>
  <c r="CB307" i="5"/>
  <c r="AF76" i="5" l="1"/>
  <c r="BT77" i="5"/>
  <c r="BV77" i="5"/>
  <c r="BS77" i="5"/>
  <c r="CI77" i="5"/>
  <c r="BR400" i="5"/>
  <c r="BH77" i="5"/>
  <c r="BI77" i="5" s="1"/>
  <c r="BJ77" i="5" s="1"/>
  <c r="X75" i="5"/>
  <c r="Y75" i="5" s="1"/>
  <c r="AZ382" i="5"/>
  <c r="BA383" i="5" s="1"/>
  <c r="BB382" i="5"/>
  <c r="G50" i="6"/>
  <c r="AC77" i="5"/>
  <c r="CW77" i="5"/>
  <c r="CL77" i="5"/>
  <c r="CM77" i="5" s="1"/>
  <c r="D77" i="5"/>
  <c r="CX77" i="5"/>
  <c r="AK77" i="5"/>
  <c r="BK77" i="5"/>
  <c r="BL77" i="5" s="1"/>
  <c r="BM77" i="5" s="1"/>
  <c r="C52" i="6"/>
  <c r="CS77" i="5"/>
  <c r="AB77" i="5"/>
  <c r="L77" i="5" s="1"/>
  <c r="CY77" i="5"/>
  <c r="CR77" i="5"/>
  <c r="BG76" i="5"/>
  <c r="H76" i="5" s="1"/>
  <c r="AX77" i="5"/>
  <c r="AW77" i="5" s="1"/>
  <c r="CU77" i="5"/>
  <c r="BX77" i="5" s="1"/>
  <c r="CZ76" i="5"/>
  <c r="BF76" i="5"/>
  <c r="BD76" i="5"/>
  <c r="BE77" i="5" s="1"/>
  <c r="A341" i="6"/>
  <c r="B367" i="5"/>
  <c r="B342" i="6" s="1"/>
  <c r="CG363" i="5"/>
  <c r="CF364" i="5"/>
  <c r="CC307" i="5"/>
  <c r="CB308" i="5"/>
  <c r="BR401" i="5" l="1"/>
  <c r="AD77" i="5"/>
  <c r="AE77" i="5" s="1"/>
  <c r="CH77" i="5"/>
  <c r="CK77" i="5"/>
  <c r="CJ77" i="5" s="1"/>
  <c r="AZ383" i="5"/>
  <c r="BA384" i="5" s="1"/>
  <c r="BB383" i="5"/>
  <c r="DA77" i="5"/>
  <c r="DB77" i="5" s="1"/>
  <c r="CT77" i="5"/>
  <c r="CV77" i="5"/>
  <c r="W77" i="5"/>
  <c r="T77" i="5"/>
  <c r="U77" i="5" s="1"/>
  <c r="I76" i="5"/>
  <c r="AH76" i="5" s="1"/>
  <c r="CP77" i="5"/>
  <c r="CQ77" i="5" s="1"/>
  <c r="R77" i="5" s="1"/>
  <c r="S77" i="5" s="1"/>
  <c r="H50" i="6"/>
  <c r="Z75" i="5"/>
  <c r="BN77" i="5"/>
  <c r="BO77" i="5" s="1"/>
  <c r="BP77" i="5" s="1"/>
  <c r="G77" i="5" s="1"/>
  <c r="AM77" i="5"/>
  <c r="AL78" i="5" s="1"/>
  <c r="A342" i="6"/>
  <c r="B368" i="5"/>
  <c r="B343" i="6" s="1"/>
  <c r="CF365" i="5"/>
  <c r="CG364" i="5"/>
  <c r="CC308" i="5"/>
  <c r="CB309" i="5"/>
  <c r="K77" i="5" l="1"/>
  <c r="BR402" i="5"/>
  <c r="AF77" i="5"/>
  <c r="AZ384" i="5"/>
  <c r="BA385" i="5" s="1"/>
  <c r="BB384" i="5"/>
  <c r="AT76" i="5"/>
  <c r="AP76" i="5"/>
  <c r="AA75" i="5"/>
  <c r="I50" i="6" s="1"/>
  <c r="CN77" i="5"/>
  <c r="E77" i="5" s="1"/>
  <c r="CO77" i="5"/>
  <c r="F77" i="5" s="1"/>
  <c r="M76" i="5"/>
  <c r="P76" i="5"/>
  <c r="AY76" i="5" s="1"/>
  <c r="A343" i="6"/>
  <c r="B369" i="5"/>
  <c r="B344" i="6" s="1"/>
  <c r="CG365" i="5"/>
  <c r="CF366" i="5"/>
  <c r="CC309" i="5"/>
  <c r="CB310" i="5"/>
  <c r="BW77" i="5" l="1"/>
  <c r="BY77" i="5"/>
  <c r="J77" i="5" s="1"/>
  <c r="AN77" i="5" s="1"/>
  <c r="BR403" i="5"/>
  <c r="AZ385" i="5"/>
  <c r="BA386" i="5" s="1"/>
  <c r="BB385" i="5"/>
  <c r="AO76" i="5"/>
  <c r="AR76" i="5" s="1"/>
  <c r="AG76" i="5"/>
  <c r="N76" i="5"/>
  <c r="AS76" i="5"/>
  <c r="AV76" i="5" s="1"/>
  <c r="E52" i="6"/>
  <c r="C78" i="5"/>
  <c r="BU78" i="5" s="1"/>
  <c r="BC77" i="5"/>
  <c r="D52" i="6"/>
  <c r="Q76" i="5"/>
  <c r="V76" i="5" s="1"/>
  <c r="F51" i="6"/>
  <c r="A344" i="6"/>
  <c r="B370" i="5"/>
  <c r="B345" i="6" s="1"/>
  <c r="CG366" i="5"/>
  <c r="CF367" i="5"/>
  <c r="CC310" i="5"/>
  <c r="CB311" i="5"/>
  <c r="BV78" i="5" l="1"/>
  <c r="BT78" i="5"/>
  <c r="BS78" i="5"/>
  <c r="CI78" i="5"/>
  <c r="BR404" i="5"/>
  <c r="BH78" i="5"/>
  <c r="BI78" i="5" s="1"/>
  <c r="BJ78" i="5" s="1"/>
  <c r="AZ386" i="5"/>
  <c r="BA387" i="5" s="1"/>
  <c r="BB386" i="5"/>
  <c r="AJ76" i="5"/>
  <c r="G51" i="6"/>
  <c r="BF77" i="5"/>
  <c r="CZ77" i="5"/>
  <c r="BD77" i="5"/>
  <c r="BE78" i="5" s="1"/>
  <c r="C53" i="6"/>
  <c r="CW78" i="5"/>
  <c r="D78" i="5"/>
  <c r="CR78" i="5"/>
  <c r="AK78" i="5"/>
  <c r="CY78" i="5"/>
  <c r="CX78" i="5"/>
  <c r="AB78" i="5"/>
  <c r="CP78" i="5" s="1"/>
  <c r="CQ78" i="5" s="1"/>
  <c r="R78" i="5" s="1"/>
  <c r="S78" i="5" s="1"/>
  <c r="AC78" i="5"/>
  <c r="BK78" i="5"/>
  <c r="BL78" i="5" s="1"/>
  <c r="BM78" i="5" s="1"/>
  <c r="CS78" i="5"/>
  <c r="CL78" i="5"/>
  <c r="CM78" i="5" s="1"/>
  <c r="BG77" i="5"/>
  <c r="H77" i="5" s="1"/>
  <c r="AX78" i="5"/>
  <c r="AW78" i="5" s="1"/>
  <c r="CU78" i="5"/>
  <c r="BX78" i="5" s="1"/>
  <c r="A345" i="6"/>
  <c r="B371" i="5"/>
  <c r="B346" i="6" s="1"/>
  <c r="CG367" i="5"/>
  <c r="CF368" i="5"/>
  <c r="CC311" i="5"/>
  <c r="CB312" i="5"/>
  <c r="BR405" i="5" l="1"/>
  <c r="CH78" i="5"/>
  <c r="CK78" i="5"/>
  <c r="CJ78" i="5" s="1"/>
  <c r="AZ387" i="5"/>
  <c r="BA388" i="5" s="1"/>
  <c r="BB387" i="5"/>
  <c r="X76" i="5"/>
  <c r="Y76" i="5" s="1"/>
  <c r="AD78" i="5"/>
  <c r="AE78" i="5" s="1"/>
  <c r="W78" i="5"/>
  <c r="T78" i="5"/>
  <c r="U78" i="5" s="1"/>
  <c r="L78" i="5"/>
  <c r="DA78" i="5"/>
  <c r="DB78" i="5" s="1"/>
  <c r="BN78" i="5"/>
  <c r="BO78" i="5" s="1"/>
  <c r="BP78" i="5" s="1"/>
  <c r="G78" i="5" s="1"/>
  <c r="I77" i="5"/>
  <c r="AH77" i="5" s="1"/>
  <c r="AM78" i="5"/>
  <c r="AL79" i="5" s="1"/>
  <c r="CV78" i="5"/>
  <c r="CT78" i="5"/>
  <c r="A346" i="6"/>
  <c r="B372" i="5"/>
  <c r="B347" i="6" s="1"/>
  <c r="CG368" i="5"/>
  <c r="CF369" i="5"/>
  <c r="CC312" i="5"/>
  <c r="CB313" i="5"/>
  <c r="BR406" i="5" l="1"/>
  <c r="K78" i="5"/>
  <c r="AZ388" i="5"/>
  <c r="BA389" i="5" s="1"/>
  <c r="BB388" i="5"/>
  <c r="Z76" i="5"/>
  <c r="AA76" i="5" s="1"/>
  <c r="I51" i="6" s="1"/>
  <c r="H51" i="6"/>
  <c r="AT77" i="5"/>
  <c r="AP77" i="5"/>
  <c r="CN78" i="5"/>
  <c r="E78" i="5" s="1"/>
  <c r="CO78" i="5"/>
  <c r="F78" i="5" s="1"/>
  <c r="M77" i="5"/>
  <c r="P77" i="5"/>
  <c r="AY77" i="5" s="1"/>
  <c r="A347" i="6"/>
  <c r="B373" i="5"/>
  <c r="B348" i="6" s="1"/>
  <c r="CG369" i="5"/>
  <c r="CF370" i="5"/>
  <c r="CC313" i="5"/>
  <c r="CB314" i="5"/>
  <c r="BW78" i="5" l="1"/>
  <c r="BR407" i="5"/>
  <c r="AO77" i="5"/>
  <c r="AR77" i="5" s="1"/>
  <c r="AG77" i="5"/>
  <c r="AJ77" i="5" s="1"/>
  <c r="AZ389" i="5"/>
  <c r="BA390" i="5" s="1"/>
  <c r="BB389" i="5"/>
  <c r="F52" i="6"/>
  <c r="Q77" i="5"/>
  <c r="V77" i="5" s="1"/>
  <c r="AS77" i="5"/>
  <c r="AV77" i="5" s="1"/>
  <c r="N77" i="5"/>
  <c r="D53" i="6"/>
  <c r="BC78" i="5"/>
  <c r="C79" i="5"/>
  <c r="BU79" i="5" s="1"/>
  <c r="E53" i="6"/>
  <c r="A348" i="6"/>
  <c r="B374" i="5"/>
  <c r="B349" i="6" s="1"/>
  <c r="CG370" i="5"/>
  <c r="CF371" i="5"/>
  <c r="CB315" i="5"/>
  <c r="CC314" i="5"/>
  <c r="BY78" i="5" l="1"/>
  <c r="J78" i="5" s="1"/>
  <c r="BV79" i="5"/>
  <c r="BT79" i="5"/>
  <c r="BS79" i="5"/>
  <c r="CI79" i="5"/>
  <c r="BR408" i="5"/>
  <c r="X77" i="5"/>
  <c r="Y77" i="5" s="1"/>
  <c r="BH79" i="5"/>
  <c r="BI79" i="5" s="1"/>
  <c r="BJ79" i="5" s="1"/>
  <c r="AZ390" i="5"/>
  <c r="BA391" i="5" s="1"/>
  <c r="BB390" i="5"/>
  <c r="G52" i="6"/>
  <c r="D79" i="5"/>
  <c r="CW79" i="5"/>
  <c r="AB79" i="5"/>
  <c r="BN79" i="5" s="1"/>
  <c r="BO79" i="5" s="1"/>
  <c r="BP79" i="5" s="1"/>
  <c r="CL79" i="5"/>
  <c r="CM79" i="5" s="1"/>
  <c r="C54" i="6"/>
  <c r="BK79" i="5"/>
  <c r="BL79" i="5" s="1"/>
  <c r="BM79" i="5" s="1"/>
  <c r="AC79" i="5"/>
  <c r="AD79" i="5" s="1"/>
  <c r="CY79" i="5"/>
  <c r="CX79" i="5"/>
  <c r="AK79" i="5"/>
  <c r="AM79" i="5" s="1"/>
  <c r="AL80" i="5" s="1"/>
  <c r="CS79" i="5"/>
  <c r="CR79" i="5"/>
  <c r="BG78" i="5"/>
  <c r="H78" i="5" s="1"/>
  <c r="AX79" i="5"/>
  <c r="AW79" i="5" s="1"/>
  <c r="CU79" i="5"/>
  <c r="BX79" i="5" s="1"/>
  <c r="BF78" i="5"/>
  <c r="CZ78" i="5"/>
  <c r="BD78" i="5"/>
  <c r="BE79" i="5" s="1"/>
  <c r="A349" i="6"/>
  <c r="B375" i="5"/>
  <c r="B350" i="6" s="1"/>
  <c r="CF372" i="5"/>
  <c r="CG371" i="5"/>
  <c r="CC315" i="5"/>
  <c r="CB316" i="5"/>
  <c r="AF78" i="5" l="1"/>
  <c r="AN78" i="5"/>
  <c r="G79" i="5"/>
  <c r="BR409" i="5"/>
  <c r="CK79" i="5"/>
  <c r="CJ79" i="5" s="1"/>
  <c r="CH79" i="5"/>
  <c r="AZ391" i="5"/>
  <c r="BA392" i="5" s="1"/>
  <c r="BB391" i="5"/>
  <c r="DA79" i="5"/>
  <c r="DB79" i="5" s="1"/>
  <c r="L79" i="5"/>
  <c r="CP79" i="5"/>
  <c r="CQ79" i="5" s="1"/>
  <c r="R79" i="5" s="1"/>
  <c r="S79" i="5" s="1"/>
  <c r="I78" i="5"/>
  <c r="W79" i="5"/>
  <c r="T79" i="5"/>
  <c r="U79" i="5" s="1"/>
  <c r="CT79" i="5"/>
  <c r="CV79" i="5"/>
  <c r="AE79" i="5"/>
  <c r="H52" i="6"/>
  <c r="Z77" i="5"/>
  <c r="A350" i="6"/>
  <c r="B376" i="5"/>
  <c r="B351" i="6" s="1"/>
  <c r="CG372" i="5"/>
  <c r="CF373" i="5"/>
  <c r="CC316" i="5"/>
  <c r="CB317" i="5"/>
  <c r="AH78" i="5" l="1"/>
  <c r="K79" i="5"/>
  <c r="BR410" i="5"/>
  <c r="AZ392" i="5"/>
  <c r="BA393" i="5" s="1"/>
  <c r="BB392" i="5"/>
  <c r="M78" i="5"/>
  <c r="AO78" i="5" s="1"/>
  <c r="P78" i="5"/>
  <c r="AY78" i="5" s="1"/>
  <c r="AA77" i="5"/>
  <c r="I52" i="6" s="1"/>
  <c r="CN79" i="5"/>
  <c r="E79" i="5" s="1"/>
  <c r="CO79" i="5"/>
  <c r="F79" i="5" s="1"/>
  <c r="AT78" i="5"/>
  <c r="AP78" i="5"/>
  <c r="A351" i="6"/>
  <c r="B377" i="5"/>
  <c r="B352" i="6" s="1"/>
  <c r="CG373" i="5"/>
  <c r="CF374" i="5"/>
  <c r="CC317" i="5"/>
  <c r="CB318" i="5"/>
  <c r="BY79" i="5" l="1"/>
  <c r="J79" i="5" s="1"/>
  <c r="BW79" i="5"/>
  <c r="BR411" i="5"/>
  <c r="AS78" i="5"/>
  <c r="AV78" i="5" s="1"/>
  <c r="AZ393" i="5"/>
  <c r="BA394" i="5" s="1"/>
  <c r="BB393" i="5"/>
  <c r="AR78" i="5"/>
  <c r="N78" i="5"/>
  <c r="AG78" i="5"/>
  <c r="AJ78" i="5" s="1"/>
  <c r="F53" i="6"/>
  <c r="Q78" i="5"/>
  <c r="V78" i="5" s="1"/>
  <c r="G53" i="6" s="1"/>
  <c r="E54" i="6"/>
  <c r="C80" i="5"/>
  <c r="BU80" i="5" s="1"/>
  <c r="D54" i="6"/>
  <c r="BC79" i="5"/>
  <c r="A352" i="6"/>
  <c r="B378" i="5"/>
  <c r="B353" i="6" s="1"/>
  <c r="CG374" i="5"/>
  <c r="CF375" i="5"/>
  <c r="CB319" i="5"/>
  <c r="CC318" i="5"/>
  <c r="AF79" i="5" l="1"/>
  <c r="AN79" i="5"/>
  <c r="BT80" i="5"/>
  <c r="BV80" i="5"/>
  <c r="BS80" i="5"/>
  <c r="CI80" i="5"/>
  <c r="BR412" i="5"/>
  <c r="BH80" i="5"/>
  <c r="BI80" i="5" s="1"/>
  <c r="BJ80" i="5" s="1"/>
  <c r="AZ394" i="5"/>
  <c r="BA395" i="5" s="1"/>
  <c r="BB394" i="5"/>
  <c r="X78" i="5"/>
  <c r="Y78" i="5" s="1"/>
  <c r="BK80" i="5"/>
  <c r="BL80" i="5" s="1"/>
  <c r="BM80" i="5" s="1"/>
  <c r="CX80" i="5"/>
  <c r="C55" i="6"/>
  <c r="CR80" i="5"/>
  <c r="D80" i="5"/>
  <c r="CW80" i="5"/>
  <c r="AC80" i="5"/>
  <c r="AD80" i="5" s="1"/>
  <c r="AB80" i="5"/>
  <c r="CP80" i="5" s="1"/>
  <c r="CQ80" i="5" s="1"/>
  <c r="R80" i="5" s="1"/>
  <c r="S80" i="5" s="1"/>
  <c r="CS80" i="5"/>
  <c r="CY80" i="5"/>
  <c r="AK80" i="5"/>
  <c r="AM80" i="5" s="1"/>
  <c r="AL81" i="5" s="1"/>
  <c r="CL80" i="5"/>
  <c r="CM80" i="5" s="1"/>
  <c r="BG79" i="5"/>
  <c r="H79" i="5" s="1"/>
  <c r="AX80" i="5"/>
  <c r="AW80" i="5" s="1"/>
  <c r="CU80" i="5"/>
  <c r="BX80" i="5" s="1"/>
  <c r="BD79" i="5"/>
  <c r="BE80" i="5" s="1"/>
  <c r="CZ79" i="5"/>
  <c r="BF79" i="5"/>
  <c r="A353" i="6"/>
  <c r="B379" i="5"/>
  <c r="B354" i="6" s="1"/>
  <c r="CF376" i="5"/>
  <c r="CG375" i="5"/>
  <c r="CC319" i="5"/>
  <c r="CB320" i="5"/>
  <c r="BR413" i="5" l="1"/>
  <c r="CH80" i="5"/>
  <c r="CK80" i="5"/>
  <c r="CJ80" i="5" s="1"/>
  <c r="AZ395" i="5"/>
  <c r="BA396" i="5" s="1"/>
  <c r="BB395" i="5"/>
  <c r="DA80" i="5"/>
  <c r="DB80" i="5" s="1"/>
  <c r="K80" i="5" s="1"/>
  <c r="H53" i="6"/>
  <c r="Z78" i="5"/>
  <c r="AA78" i="5" s="1"/>
  <c r="I53" i="6" s="1"/>
  <c r="T80" i="5"/>
  <c r="U80" i="5" s="1"/>
  <c r="W80" i="5"/>
  <c r="I79" i="5"/>
  <c r="CT80" i="5"/>
  <c r="CV80" i="5"/>
  <c r="L80" i="5"/>
  <c r="AE80" i="5"/>
  <c r="AD81" i="5" s="1"/>
  <c r="BN80" i="5"/>
  <c r="BO80" i="5" s="1"/>
  <c r="BP80" i="5" s="1"/>
  <c r="G80" i="5" s="1"/>
  <c r="A354" i="6"/>
  <c r="B380" i="5"/>
  <c r="B355" i="6" s="1"/>
  <c r="CG376" i="5"/>
  <c r="CF377" i="5"/>
  <c r="CC320" i="5"/>
  <c r="CB321" i="5"/>
  <c r="BR414" i="5" l="1"/>
  <c r="AZ396" i="5"/>
  <c r="BA397" i="5" s="1"/>
  <c r="BB396" i="5"/>
  <c r="AH79" i="5"/>
  <c r="AT79" i="5"/>
  <c r="AP79" i="5"/>
  <c r="P79" i="5"/>
  <c r="AY79" i="5" s="1"/>
  <c r="M79" i="5"/>
  <c r="CO80" i="5"/>
  <c r="F80" i="5" s="1"/>
  <c r="CN80" i="5"/>
  <c r="E80" i="5" s="1"/>
  <c r="A355" i="6"/>
  <c r="B381" i="5"/>
  <c r="B356" i="6" s="1"/>
  <c r="CF378" i="5"/>
  <c r="CG377" i="5"/>
  <c r="CC321" i="5"/>
  <c r="CB322" i="5"/>
  <c r="BR415" i="5" l="1"/>
  <c r="AZ397" i="5"/>
  <c r="BA398" i="5" s="1"/>
  <c r="BB397" i="5"/>
  <c r="AS79" i="5"/>
  <c r="AV79" i="5" s="1"/>
  <c r="AO79" i="5"/>
  <c r="AR79" i="5" s="1"/>
  <c r="N79" i="5"/>
  <c r="AG79" i="5"/>
  <c r="AJ79" i="5" s="1"/>
  <c r="BC80" i="5"/>
  <c r="D55" i="6"/>
  <c r="C81" i="5"/>
  <c r="BU81" i="5" s="1"/>
  <c r="E55" i="6"/>
  <c r="Q79" i="5"/>
  <c r="V79" i="5" s="1"/>
  <c r="F54" i="6"/>
  <c r="A356" i="6"/>
  <c r="B382" i="5"/>
  <c r="B357" i="6" s="1"/>
  <c r="CG378" i="5"/>
  <c r="CF379" i="5"/>
  <c r="CB323" i="5"/>
  <c r="CC322" i="5"/>
  <c r="BW80" i="5" l="1"/>
  <c r="BY80" i="5"/>
  <c r="J80" i="5" s="1"/>
  <c r="BV81" i="5"/>
  <c r="BT81" i="5"/>
  <c r="BS81" i="5"/>
  <c r="CI81" i="5"/>
  <c r="BR416" i="5"/>
  <c r="BH81" i="5"/>
  <c r="BI81" i="5" s="1"/>
  <c r="BJ81" i="5" s="1"/>
  <c r="AZ398" i="5"/>
  <c r="BA399" i="5" s="1"/>
  <c r="BB398" i="5"/>
  <c r="X79" i="5"/>
  <c r="Y79" i="5" s="1"/>
  <c r="G54" i="6"/>
  <c r="CR81" i="5"/>
  <c r="AB81" i="5"/>
  <c r="BN81" i="5" s="1"/>
  <c r="BO81" i="5" s="1"/>
  <c r="BP81" i="5" s="1"/>
  <c r="CW81" i="5"/>
  <c r="C56" i="6"/>
  <c r="AC81" i="5"/>
  <c r="CL81" i="5"/>
  <c r="CM81" i="5" s="1"/>
  <c r="BK81" i="5"/>
  <c r="BL81" i="5" s="1"/>
  <c r="BM81" i="5" s="1"/>
  <c r="D81" i="5"/>
  <c r="AK81" i="5"/>
  <c r="CX81" i="5"/>
  <c r="CY81" i="5"/>
  <c r="CS81" i="5"/>
  <c r="BG80" i="5"/>
  <c r="H80" i="5" s="1"/>
  <c r="AX81" i="5"/>
  <c r="AW81" i="5" s="1"/>
  <c r="CU81" i="5"/>
  <c r="BD80" i="5"/>
  <c r="BE81" i="5" s="1"/>
  <c r="BF80" i="5"/>
  <c r="CZ80" i="5"/>
  <c r="A357" i="6"/>
  <c r="B383" i="5"/>
  <c r="B358" i="6" s="1"/>
  <c r="CG379" i="5"/>
  <c r="CF380" i="5"/>
  <c r="CC323" i="5"/>
  <c r="CB324" i="5"/>
  <c r="AF80" i="5" l="1"/>
  <c r="AN80" i="5"/>
  <c r="BX81" i="5"/>
  <c r="G81" i="5"/>
  <c r="BR417" i="5"/>
  <c r="CH81" i="5"/>
  <c r="CK81" i="5"/>
  <c r="CJ81" i="5" s="1"/>
  <c r="AZ399" i="5"/>
  <c r="BA400" i="5" s="1"/>
  <c r="BB399" i="5"/>
  <c r="CP81" i="5"/>
  <c r="CQ81" i="5" s="1"/>
  <c r="R81" i="5" s="1"/>
  <c r="S81" i="5" s="1"/>
  <c r="L81" i="5"/>
  <c r="DA81" i="5"/>
  <c r="DB81" i="5" s="1"/>
  <c r="K81" i="5" s="1"/>
  <c r="AE81" i="5"/>
  <c r="I80" i="5"/>
  <c r="AP80" i="5" s="1"/>
  <c r="AM81" i="5"/>
  <c r="AL82" i="5" s="1"/>
  <c r="T81" i="5"/>
  <c r="U81" i="5" s="1"/>
  <c r="W81" i="5"/>
  <c r="CT81" i="5"/>
  <c r="CV81" i="5"/>
  <c r="H54" i="6"/>
  <c r="Z79" i="5"/>
  <c r="A358" i="6"/>
  <c r="B384" i="5"/>
  <c r="B359" i="6" s="1"/>
  <c r="CG380" i="5"/>
  <c r="CF381" i="5"/>
  <c r="CC324" i="5"/>
  <c r="CB325" i="5"/>
  <c r="BR418" i="5" l="1"/>
  <c r="AZ400" i="5"/>
  <c r="BA401" i="5" s="1"/>
  <c r="BB400" i="5"/>
  <c r="AH80" i="5"/>
  <c r="AT80" i="5"/>
  <c r="CN81" i="5"/>
  <c r="E81" i="5" s="1"/>
  <c r="CO81" i="5"/>
  <c r="F81" i="5" s="1"/>
  <c r="P80" i="5"/>
  <c r="AY80" i="5" s="1"/>
  <c r="M80" i="5"/>
  <c r="AA79" i="5"/>
  <c r="I54" i="6" s="1"/>
  <c r="A359" i="6"/>
  <c r="B385" i="5"/>
  <c r="B360" i="6" s="1"/>
  <c r="CG381" i="5"/>
  <c r="CF382" i="5"/>
  <c r="CC325" i="5"/>
  <c r="CB326" i="5"/>
  <c r="BW81" i="5" l="1"/>
  <c r="BR419" i="5"/>
  <c r="AZ401" i="5"/>
  <c r="BA402" i="5" s="1"/>
  <c r="AZ402" i="5" s="1"/>
  <c r="BA403" i="5" s="1"/>
  <c r="BB401" i="5"/>
  <c r="AS80" i="5"/>
  <c r="AV80" i="5" s="1"/>
  <c r="AO80" i="5"/>
  <c r="AR80" i="5" s="1"/>
  <c r="AG80" i="5"/>
  <c r="N80" i="5"/>
  <c r="Q80" i="5"/>
  <c r="V80" i="5" s="1"/>
  <c r="F55" i="6"/>
  <c r="E56" i="6"/>
  <c r="C82" i="5"/>
  <c r="BU82" i="5" s="1"/>
  <c r="D56" i="6"/>
  <c r="BC81" i="5"/>
  <c r="A360" i="6"/>
  <c r="B386" i="5"/>
  <c r="B361" i="6" s="1"/>
  <c r="CG382" i="5"/>
  <c r="CF383" i="5"/>
  <c r="CB327" i="5"/>
  <c r="CC326" i="5"/>
  <c r="BY81" i="5" l="1"/>
  <c r="J81" i="5" s="1"/>
  <c r="BV82" i="5"/>
  <c r="BT82" i="5"/>
  <c r="BS82" i="5"/>
  <c r="CI82" i="5"/>
  <c r="BR420" i="5"/>
  <c r="BH82" i="5"/>
  <c r="BI82" i="5" s="1"/>
  <c r="BJ82" i="5" s="1"/>
  <c r="AZ403" i="5"/>
  <c r="BA404" i="5" s="1"/>
  <c r="BB403" i="5"/>
  <c r="AJ80" i="5"/>
  <c r="CX82" i="5"/>
  <c r="CW82" i="5"/>
  <c r="AC82" i="5"/>
  <c r="AD82" i="5" s="1"/>
  <c r="AB82" i="5"/>
  <c r="L82" i="5" s="1"/>
  <c r="CL82" i="5"/>
  <c r="CM82" i="5" s="1"/>
  <c r="C57" i="6"/>
  <c r="BK82" i="5"/>
  <c r="BL82" i="5" s="1"/>
  <c r="BM82" i="5" s="1"/>
  <c r="CY82" i="5"/>
  <c r="AK82" i="5"/>
  <c r="CR82" i="5"/>
  <c r="D82" i="5"/>
  <c r="CS82" i="5"/>
  <c r="BG81" i="5"/>
  <c r="H81" i="5" s="1"/>
  <c r="AX82" i="5"/>
  <c r="AW82" i="5" s="1"/>
  <c r="CU82" i="5"/>
  <c r="BX82" i="5" s="1"/>
  <c r="G55" i="6"/>
  <c r="CZ81" i="5"/>
  <c r="BF81" i="5"/>
  <c r="BD81" i="5"/>
  <c r="BE82" i="5" s="1"/>
  <c r="A361" i="6"/>
  <c r="B387" i="5"/>
  <c r="B362" i="6" s="1"/>
  <c r="CG383" i="5"/>
  <c r="CF384" i="5"/>
  <c r="CC327" i="5"/>
  <c r="CB328" i="5"/>
  <c r="AN81" i="5" l="1"/>
  <c r="AF81" i="5"/>
  <c r="BR421" i="5"/>
  <c r="CK82" i="5"/>
  <c r="CJ82" i="5" s="1"/>
  <c r="CH82" i="5"/>
  <c r="AZ404" i="5"/>
  <c r="BA405" i="5" s="1"/>
  <c r="BB404" i="5"/>
  <c r="X80" i="5"/>
  <c r="Y80" i="5" s="1"/>
  <c r="BN82" i="5"/>
  <c r="BO82" i="5" s="1"/>
  <c r="BP82" i="5" s="1"/>
  <c r="G82" i="5" s="1"/>
  <c r="DA82" i="5"/>
  <c r="DB82" i="5" s="1"/>
  <c r="T82" i="5"/>
  <c r="U82" i="5" s="1"/>
  <c r="W82" i="5"/>
  <c r="AE82" i="5"/>
  <c r="AD83" i="5" s="1"/>
  <c r="CP82" i="5"/>
  <c r="CQ82" i="5" s="1"/>
  <c r="R82" i="5" s="1"/>
  <c r="S82" i="5" s="1"/>
  <c r="AM82" i="5"/>
  <c r="AL83" i="5" s="1"/>
  <c r="CT82" i="5"/>
  <c r="CV82" i="5"/>
  <c r="I81" i="5"/>
  <c r="A362" i="6"/>
  <c r="B388" i="5"/>
  <c r="B363" i="6" s="1"/>
  <c r="CG384" i="5"/>
  <c r="CF385" i="5"/>
  <c r="CC328" i="5"/>
  <c r="CB329" i="5"/>
  <c r="AH81" i="5" l="1"/>
  <c r="K82" i="5"/>
  <c r="BR422" i="5"/>
  <c r="AZ405" i="5"/>
  <c r="BA406" i="5" s="1"/>
  <c r="BB405" i="5"/>
  <c r="H55" i="6"/>
  <c r="Z80" i="5"/>
  <c r="AA80" i="5" s="1"/>
  <c r="I55" i="6" s="1"/>
  <c r="AT81" i="5"/>
  <c r="AP81" i="5"/>
  <c r="M81" i="5"/>
  <c r="AG81" i="5" s="1"/>
  <c r="AJ81" i="5" s="1"/>
  <c r="P81" i="5"/>
  <c r="AY81" i="5" s="1"/>
  <c r="CO82" i="5"/>
  <c r="F82" i="5" s="1"/>
  <c r="CN82" i="5"/>
  <c r="E82" i="5" s="1"/>
  <c r="A363" i="6"/>
  <c r="B389" i="5"/>
  <c r="B364" i="6" s="1"/>
  <c r="CG385" i="5"/>
  <c r="CF386" i="5"/>
  <c r="CC329" i="5"/>
  <c r="CB330" i="5"/>
  <c r="BY82" i="5" l="1"/>
  <c r="J82" i="5" s="1"/>
  <c r="AF82" i="5" s="1"/>
  <c r="BW82" i="5"/>
  <c r="BR423" i="5"/>
  <c r="AN82" i="5"/>
  <c r="AZ406" i="5"/>
  <c r="BA407" i="5" s="1"/>
  <c r="BB406" i="5"/>
  <c r="N81" i="5"/>
  <c r="AS81" i="5"/>
  <c r="AV81" i="5" s="1"/>
  <c r="AO81" i="5"/>
  <c r="D57" i="6"/>
  <c r="BC82" i="5"/>
  <c r="E57" i="6"/>
  <c r="C83" i="5"/>
  <c r="BU83" i="5" s="1"/>
  <c r="F56" i="6"/>
  <c r="Q81" i="5"/>
  <c r="V81" i="5" s="1"/>
  <c r="A364" i="6"/>
  <c r="B390" i="5"/>
  <c r="B365" i="6" s="1"/>
  <c r="CG386" i="5"/>
  <c r="CF387" i="5"/>
  <c r="CB331" i="5"/>
  <c r="CC330" i="5"/>
  <c r="BT83" i="5" l="1"/>
  <c r="BV83" i="5"/>
  <c r="BS83" i="5"/>
  <c r="CI83" i="5"/>
  <c r="BR424" i="5"/>
  <c r="BH83" i="5"/>
  <c r="BI83" i="5" s="1"/>
  <c r="BJ83" i="5" s="1"/>
  <c r="AZ407" i="5"/>
  <c r="BA408" i="5" s="1"/>
  <c r="BB407" i="5"/>
  <c r="AR81" i="5"/>
  <c r="G56" i="6"/>
  <c r="CX83" i="5"/>
  <c r="AK83" i="5"/>
  <c r="AM83" i="5" s="1"/>
  <c r="AL84" i="5" s="1"/>
  <c r="CL83" i="5"/>
  <c r="CM83" i="5" s="1"/>
  <c r="C58" i="6"/>
  <c r="CW83" i="5"/>
  <c r="CY83" i="5"/>
  <c r="D83" i="5"/>
  <c r="BK83" i="5"/>
  <c r="BL83" i="5" s="1"/>
  <c r="BM83" i="5" s="1"/>
  <c r="AC83" i="5"/>
  <c r="AE83" i="5" s="1"/>
  <c r="AD84" i="5" s="1"/>
  <c r="CS83" i="5"/>
  <c r="CR83" i="5"/>
  <c r="AB83" i="5"/>
  <c r="L83" i="5" s="1"/>
  <c r="BG82" i="5"/>
  <c r="H82" i="5" s="1"/>
  <c r="AX83" i="5"/>
  <c r="AW83" i="5" s="1"/>
  <c r="CU83" i="5"/>
  <c r="BX83" i="5" s="1"/>
  <c r="BF82" i="5"/>
  <c r="CZ82" i="5"/>
  <c r="BD82" i="5"/>
  <c r="BE83" i="5" s="1"/>
  <c r="A365" i="6"/>
  <c r="B391" i="5"/>
  <c r="B366" i="6" s="1"/>
  <c r="CG387" i="5"/>
  <c r="CF388" i="5"/>
  <c r="CC331" i="5"/>
  <c r="CB332" i="5"/>
  <c r="BR425" i="5" l="1"/>
  <c r="CH83" i="5"/>
  <c r="CK83" i="5"/>
  <c r="CJ83" i="5" s="1"/>
  <c r="AZ408" i="5"/>
  <c r="BA409" i="5" s="1"/>
  <c r="BB408" i="5"/>
  <c r="X81" i="5"/>
  <c r="Y81" i="5" s="1"/>
  <c r="DA83" i="5"/>
  <c r="DB83" i="5" s="1"/>
  <c r="K83" i="5" s="1"/>
  <c r="I82" i="5"/>
  <c r="AP82" i="5" s="1"/>
  <c r="W83" i="5"/>
  <c r="T83" i="5"/>
  <c r="U83" i="5" s="1"/>
  <c r="BN83" i="5"/>
  <c r="BO83" i="5" s="1"/>
  <c r="BP83" i="5" s="1"/>
  <c r="G83" i="5" s="1"/>
  <c r="CT83" i="5"/>
  <c r="CV83" i="5"/>
  <c r="CP83" i="5"/>
  <c r="CQ83" i="5" s="1"/>
  <c r="R83" i="5" s="1"/>
  <c r="S83" i="5" s="1"/>
  <c r="A366" i="6"/>
  <c r="B392" i="5"/>
  <c r="B367" i="6" s="1"/>
  <c r="CG388" i="5"/>
  <c r="CF389" i="5"/>
  <c r="CC332" i="5"/>
  <c r="CB333" i="5"/>
  <c r="BR426" i="5" l="1"/>
  <c r="AZ409" i="5"/>
  <c r="BA410" i="5" s="1"/>
  <c r="BB409" i="5"/>
  <c r="Z81" i="5"/>
  <c r="AA81" i="5" s="1"/>
  <c r="I56" i="6" s="1"/>
  <c r="H56" i="6"/>
  <c r="AT82" i="5"/>
  <c r="AH82" i="5"/>
  <c r="CO83" i="5"/>
  <c r="F83" i="5" s="1"/>
  <c r="CN83" i="5"/>
  <c r="E83" i="5" s="1"/>
  <c r="M82" i="5"/>
  <c r="P82" i="5"/>
  <c r="AY82" i="5" s="1"/>
  <c r="A367" i="6"/>
  <c r="B393" i="5"/>
  <c r="B368" i="6" s="1"/>
  <c r="CG389" i="5"/>
  <c r="CF390" i="5"/>
  <c r="CC333" i="5"/>
  <c r="CB334" i="5"/>
  <c r="BY83" i="5" l="1"/>
  <c r="J83" i="5" s="1"/>
  <c r="AN83" i="5" s="1"/>
  <c r="BW83" i="5"/>
  <c r="BR427" i="5"/>
  <c r="AG82" i="5"/>
  <c r="AJ82" i="5" s="1"/>
  <c r="AO82" i="5"/>
  <c r="AR82" i="5" s="1"/>
  <c r="AZ410" i="5"/>
  <c r="BA411" i="5" s="1"/>
  <c r="BB410" i="5"/>
  <c r="N82" i="5"/>
  <c r="AS82" i="5"/>
  <c r="AV82" i="5" s="1"/>
  <c r="F57" i="6"/>
  <c r="Q82" i="5"/>
  <c r="V82" i="5" s="1"/>
  <c r="D58" i="6"/>
  <c r="BC83" i="5"/>
  <c r="E58" i="6"/>
  <c r="C84" i="5"/>
  <c r="BU84" i="5" s="1"/>
  <c r="A368" i="6"/>
  <c r="B394" i="5"/>
  <c r="B369" i="6" s="1"/>
  <c r="CG390" i="5"/>
  <c r="CF391" i="5"/>
  <c r="CB335" i="5"/>
  <c r="CC334" i="5"/>
  <c r="AF83" i="5" l="1"/>
  <c r="BT84" i="5"/>
  <c r="BV84" i="5"/>
  <c r="BS84" i="5"/>
  <c r="CI84" i="5"/>
  <c r="BR428" i="5"/>
  <c r="BH84" i="5"/>
  <c r="BI84" i="5" s="1"/>
  <c r="BJ84" i="5" s="1"/>
  <c r="X82" i="5"/>
  <c r="Y82" i="5" s="1"/>
  <c r="AZ411" i="5"/>
  <c r="BA412" i="5" s="1"/>
  <c r="BB411" i="5"/>
  <c r="CS84" i="5"/>
  <c r="D84" i="5"/>
  <c r="CX84" i="5"/>
  <c r="C59" i="6"/>
  <c r="CW84" i="5"/>
  <c r="AC84" i="5"/>
  <c r="BK84" i="5"/>
  <c r="BL84" i="5" s="1"/>
  <c r="BM84" i="5" s="1"/>
  <c r="CL84" i="5"/>
  <c r="CM84" i="5" s="1"/>
  <c r="AK84" i="5"/>
  <c r="AM84" i="5" s="1"/>
  <c r="AL85" i="5" s="1"/>
  <c r="AB84" i="5"/>
  <c r="L84" i="5" s="1"/>
  <c r="CY84" i="5"/>
  <c r="CR84" i="5"/>
  <c r="BG83" i="5"/>
  <c r="H83" i="5" s="1"/>
  <c r="AX84" i="5"/>
  <c r="AW84" i="5" s="1"/>
  <c r="CU84" i="5"/>
  <c r="BX84" i="5" s="1"/>
  <c r="BF83" i="5"/>
  <c r="BD83" i="5"/>
  <c r="BE84" i="5" s="1"/>
  <c r="CZ83" i="5"/>
  <c r="G57" i="6"/>
  <c r="A369" i="6"/>
  <c r="B395" i="5"/>
  <c r="B370" i="6" s="1"/>
  <c r="CG391" i="5"/>
  <c r="CF392" i="5"/>
  <c r="CC335" i="5"/>
  <c r="CB336" i="5"/>
  <c r="BR429" i="5" l="1"/>
  <c r="CH84" i="5"/>
  <c r="CK84" i="5"/>
  <c r="CJ84" i="5" s="1"/>
  <c r="AZ412" i="5"/>
  <c r="BA413" i="5" s="1"/>
  <c r="BB412" i="5"/>
  <c r="DA84" i="5"/>
  <c r="DB84" i="5" s="1"/>
  <c r="BN84" i="5"/>
  <c r="BO84" i="5" s="1"/>
  <c r="BP84" i="5" s="1"/>
  <c r="G84" i="5" s="1"/>
  <c r="CT84" i="5"/>
  <c r="CV84" i="5"/>
  <c r="CP84" i="5"/>
  <c r="CQ84" i="5" s="1"/>
  <c r="R84" i="5" s="1"/>
  <c r="S84" i="5" s="1"/>
  <c r="AE84" i="5"/>
  <c r="AD85" i="5" s="1"/>
  <c r="H57" i="6"/>
  <c r="Z82" i="5"/>
  <c r="I83" i="5"/>
  <c r="AP83" i="5" s="1"/>
  <c r="W84" i="5"/>
  <c r="T84" i="5"/>
  <c r="U84" i="5" s="1"/>
  <c r="A370" i="6"/>
  <c r="B396" i="5"/>
  <c r="B371" i="6" s="1"/>
  <c r="CF393" i="5"/>
  <c r="CG392" i="5"/>
  <c r="CC336" i="5"/>
  <c r="CB337" i="5"/>
  <c r="K84" i="5" l="1"/>
  <c r="BR430" i="5"/>
  <c r="AF84" i="5"/>
  <c r="AZ413" i="5"/>
  <c r="BA414" i="5" s="1"/>
  <c r="BB413" i="5"/>
  <c r="AH83" i="5"/>
  <c r="AT83" i="5"/>
  <c r="M83" i="5"/>
  <c r="P83" i="5"/>
  <c r="AY83" i="5" s="1"/>
  <c r="AA82" i="5"/>
  <c r="I57" i="6" s="1"/>
  <c r="CN84" i="5"/>
  <c r="E84" i="5" s="1"/>
  <c r="CO84" i="5"/>
  <c r="F84" i="5" s="1"/>
  <c r="A371" i="6"/>
  <c r="B397" i="5"/>
  <c r="B372" i="6" s="1"/>
  <c r="CF394" i="5"/>
  <c r="CG393" i="5"/>
  <c r="CC337" i="5"/>
  <c r="CB338" i="5"/>
  <c r="BW84" i="5" l="1"/>
  <c r="BR431" i="5"/>
  <c r="AZ414" i="5"/>
  <c r="BA415" i="5" s="1"/>
  <c r="BB414" i="5"/>
  <c r="AO83" i="5"/>
  <c r="AR83" i="5" s="1"/>
  <c r="AG83" i="5"/>
  <c r="N83" i="5"/>
  <c r="AS83" i="5"/>
  <c r="AV83" i="5" s="1"/>
  <c r="Q83" i="5"/>
  <c r="V83" i="5" s="1"/>
  <c r="F58" i="6"/>
  <c r="C85" i="5"/>
  <c r="BU85" i="5" s="1"/>
  <c r="E59" i="6"/>
  <c r="BC84" i="5"/>
  <c r="D59" i="6"/>
  <c r="A372" i="6"/>
  <c r="B398" i="5"/>
  <c r="B373" i="6" s="1"/>
  <c r="CG394" i="5"/>
  <c r="CF395" i="5"/>
  <c r="CC338" i="5"/>
  <c r="CB339" i="5"/>
  <c r="BY84" i="5" l="1"/>
  <c r="J84" i="5" s="1"/>
  <c r="AN84" i="5" s="1"/>
  <c r="BT85" i="5"/>
  <c r="BV85" i="5"/>
  <c r="BS85" i="5"/>
  <c r="CI85" i="5"/>
  <c r="BR432" i="5"/>
  <c r="BH85" i="5"/>
  <c r="BI85" i="5" s="1"/>
  <c r="BJ85" i="5" s="1"/>
  <c r="AZ415" i="5"/>
  <c r="BA416" i="5" s="1"/>
  <c r="BB415" i="5"/>
  <c r="AJ83" i="5"/>
  <c r="BD84" i="5"/>
  <c r="BE85" i="5" s="1"/>
  <c r="CZ84" i="5"/>
  <c r="BF84" i="5"/>
  <c r="AK85" i="5"/>
  <c r="AM85" i="5" s="1"/>
  <c r="AL86" i="5" s="1"/>
  <c r="CS85" i="5"/>
  <c r="BK85" i="5"/>
  <c r="BL85" i="5" s="1"/>
  <c r="BM85" i="5" s="1"/>
  <c r="CL85" i="5"/>
  <c r="CM85" i="5" s="1"/>
  <c r="AC85" i="5"/>
  <c r="AE85" i="5" s="1"/>
  <c r="CR85" i="5"/>
  <c r="AB85" i="5"/>
  <c r="DA85" i="5" s="1"/>
  <c r="DB85" i="5" s="1"/>
  <c r="C60" i="6"/>
  <c r="CY85" i="5"/>
  <c r="D85" i="5"/>
  <c r="CX85" i="5"/>
  <c r="CW85" i="5"/>
  <c r="BG84" i="5"/>
  <c r="H84" i="5" s="1"/>
  <c r="AX85" i="5"/>
  <c r="AW85" i="5" s="1"/>
  <c r="CU85" i="5"/>
  <c r="BX85" i="5" s="1"/>
  <c r="G58" i="6"/>
  <c r="A373" i="6"/>
  <c r="B399" i="5"/>
  <c r="B374" i="6" s="1"/>
  <c r="CG395" i="5"/>
  <c r="CF396" i="5"/>
  <c r="CC339" i="5"/>
  <c r="CB340" i="5"/>
  <c r="BR433" i="5" l="1"/>
  <c r="CH85" i="5"/>
  <c r="CK85" i="5"/>
  <c r="CJ85" i="5" s="1"/>
  <c r="K85" i="5" s="1"/>
  <c r="AZ416" i="5"/>
  <c r="BA417" i="5" s="1"/>
  <c r="BB416" i="5"/>
  <c r="X83" i="5"/>
  <c r="Y83" i="5" s="1"/>
  <c r="W85" i="5"/>
  <c r="T85" i="5"/>
  <c r="U85" i="5" s="1"/>
  <c r="BN85" i="5"/>
  <c r="BO85" i="5" s="1"/>
  <c r="BP85" i="5" s="1"/>
  <c r="G85" i="5" s="1"/>
  <c r="CT85" i="5"/>
  <c r="CV85" i="5"/>
  <c r="L85" i="5"/>
  <c r="I84" i="5"/>
  <c r="AH84" i="5" s="1"/>
  <c r="CP85" i="5"/>
  <c r="CQ85" i="5" s="1"/>
  <c r="R85" i="5" s="1"/>
  <c r="S85" i="5" s="1"/>
  <c r="A374" i="6"/>
  <c r="B400" i="5"/>
  <c r="B375" i="6" s="1"/>
  <c r="CG396" i="5"/>
  <c r="CF397" i="5"/>
  <c r="CC340" i="5"/>
  <c r="CB341" i="5"/>
  <c r="BR434" i="5" l="1"/>
  <c r="AZ417" i="5"/>
  <c r="BA418" i="5" s="1"/>
  <c r="BB417" i="5"/>
  <c r="H58" i="6"/>
  <c r="Z83" i="5"/>
  <c r="AA83" i="5" s="1"/>
  <c r="I58" i="6" s="1"/>
  <c r="AT84" i="5"/>
  <c r="AP84" i="5"/>
  <c r="P84" i="5"/>
  <c r="AY84" i="5" s="1"/>
  <c r="M84" i="5"/>
  <c r="CO85" i="5"/>
  <c r="F85" i="5" s="1"/>
  <c r="CN85" i="5"/>
  <c r="E85" i="5" s="1"/>
  <c r="A375" i="6"/>
  <c r="B401" i="5"/>
  <c r="B376" i="6" s="1"/>
  <c r="CF398" i="5"/>
  <c r="CG397" i="5"/>
  <c r="CC341" i="5"/>
  <c r="CB342" i="5"/>
  <c r="BW85" i="5" l="1"/>
  <c r="BY85" i="5"/>
  <c r="J85" i="5" s="1"/>
  <c r="BR435" i="5"/>
  <c r="AO84" i="5"/>
  <c r="AR84" i="5" s="1"/>
  <c r="AG84" i="5"/>
  <c r="AJ84" i="5" s="1"/>
  <c r="AZ418" i="5"/>
  <c r="BA419" i="5" s="1"/>
  <c r="BB418" i="5"/>
  <c r="E60" i="6"/>
  <c r="C86" i="5"/>
  <c r="BU86" i="5" s="1"/>
  <c r="N84" i="5"/>
  <c r="AS84" i="5"/>
  <c r="AV84" i="5" s="1"/>
  <c r="Q84" i="5"/>
  <c r="V84" i="5" s="1"/>
  <c r="G59" i="6" s="1"/>
  <c r="F59" i="6"/>
  <c r="BC85" i="5"/>
  <c r="D60" i="6"/>
  <c r="A376" i="6"/>
  <c r="B402" i="5"/>
  <c r="B377" i="6" s="1"/>
  <c r="CG398" i="5"/>
  <c r="CF399" i="5"/>
  <c r="CB343" i="5"/>
  <c r="CC342" i="5"/>
  <c r="AF85" i="5" l="1"/>
  <c r="AN85" i="5"/>
  <c r="BV86" i="5"/>
  <c r="BT86" i="5"/>
  <c r="BS86" i="5"/>
  <c r="CI86" i="5"/>
  <c r="X84" i="5"/>
  <c r="Y84" i="5" s="1"/>
  <c r="BR436" i="5"/>
  <c r="BH86" i="5"/>
  <c r="BI86" i="5" s="1"/>
  <c r="BJ86" i="5" s="1"/>
  <c r="AZ419" i="5"/>
  <c r="BA420" i="5" s="1"/>
  <c r="BB419" i="5"/>
  <c r="CZ85" i="5"/>
  <c r="BD85" i="5"/>
  <c r="BE86" i="5" s="1"/>
  <c r="BF85" i="5"/>
  <c r="AC86" i="5"/>
  <c r="AD86" i="5" s="1"/>
  <c r="CR86" i="5"/>
  <c r="CS86" i="5"/>
  <c r="BK86" i="5"/>
  <c r="BL86" i="5" s="1"/>
  <c r="BM86" i="5" s="1"/>
  <c r="CL86" i="5"/>
  <c r="CM86" i="5" s="1"/>
  <c r="D86" i="5"/>
  <c r="AB86" i="5"/>
  <c r="BN86" i="5" s="1"/>
  <c r="BO86" i="5" s="1"/>
  <c r="BP86" i="5" s="1"/>
  <c r="CX86" i="5"/>
  <c r="CW86" i="5"/>
  <c r="CY86" i="5"/>
  <c r="AK86" i="5"/>
  <c r="AM86" i="5" s="1"/>
  <c r="AL87" i="5" s="1"/>
  <c r="C61" i="6"/>
  <c r="BG85" i="5"/>
  <c r="H85" i="5" s="1"/>
  <c r="AX86" i="5"/>
  <c r="AW86" i="5" s="1"/>
  <c r="CU86" i="5"/>
  <c r="BX86" i="5" s="1"/>
  <c r="A377" i="6"/>
  <c r="B403" i="5"/>
  <c r="B378" i="6" s="1"/>
  <c r="CG399" i="5"/>
  <c r="CF400" i="5"/>
  <c r="CC343" i="5"/>
  <c r="CB344" i="5"/>
  <c r="G86" i="5" l="1"/>
  <c r="BR437" i="5"/>
  <c r="CH86" i="5"/>
  <c r="CK86" i="5"/>
  <c r="CJ86" i="5" s="1"/>
  <c r="AZ420" i="5"/>
  <c r="BA421" i="5" s="1"/>
  <c r="BB420" i="5"/>
  <c r="DA86" i="5"/>
  <c r="DB86" i="5" s="1"/>
  <c r="K86" i="5" s="1"/>
  <c r="L86" i="5"/>
  <c r="AE86" i="5"/>
  <c r="CT86" i="5"/>
  <c r="CV86" i="5"/>
  <c r="CP86" i="5"/>
  <c r="CQ86" i="5" s="1"/>
  <c r="R86" i="5" s="1"/>
  <c r="S86" i="5" s="1"/>
  <c r="W86" i="5"/>
  <c r="T86" i="5"/>
  <c r="U86" i="5" s="1"/>
  <c r="I85" i="5"/>
  <c r="AH85" i="5" s="1"/>
  <c r="H59" i="6"/>
  <c r="Z84" i="5"/>
  <c r="A378" i="6"/>
  <c r="B404" i="5"/>
  <c r="B379" i="6" s="1"/>
  <c r="CG400" i="5"/>
  <c r="CF401" i="5"/>
  <c r="CC344" i="5"/>
  <c r="CB345" i="5"/>
  <c r="BR438" i="5" l="1"/>
  <c r="AZ421" i="5"/>
  <c r="BA422" i="5" s="1"/>
  <c r="BB421" i="5"/>
  <c r="AT85" i="5"/>
  <c r="AP85" i="5"/>
  <c r="CO86" i="5"/>
  <c r="F86" i="5" s="1"/>
  <c r="E61" i="6" s="1"/>
  <c r="CN86" i="5"/>
  <c r="E86" i="5" s="1"/>
  <c r="P85" i="5"/>
  <c r="AY85" i="5" s="1"/>
  <c r="M85" i="5"/>
  <c r="AG85" i="5" s="1"/>
  <c r="AJ85" i="5" s="1"/>
  <c r="AA84" i="5"/>
  <c r="I59" i="6" s="1"/>
  <c r="A379" i="6"/>
  <c r="B405" i="5"/>
  <c r="B380" i="6" s="1"/>
  <c r="CG401" i="5"/>
  <c r="CF402" i="5"/>
  <c r="CC345" i="5"/>
  <c r="CB346" i="5"/>
  <c r="BY86" i="5" l="1"/>
  <c r="J86" i="5" s="1"/>
  <c r="BW86" i="5"/>
  <c r="BR439" i="5"/>
  <c r="AZ422" i="5"/>
  <c r="BA423" i="5" s="1"/>
  <c r="BB422" i="5"/>
  <c r="Q85" i="5"/>
  <c r="V85" i="5" s="1"/>
  <c r="F60" i="6"/>
  <c r="AO85" i="5"/>
  <c r="N85" i="5"/>
  <c r="AS85" i="5"/>
  <c r="AV85" i="5" s="1"/>
  <c r="C87" i="5"/>
  <c r="BU87" i="5" s="1"/>
  <c r="BC86" i="5"/>
  <c r="D61" i="6"/>
  <c r="A380" i="6"/>
  <c r="B406" i="5"/>
  <c r="B381" i="6" s="1"/>
  <c r="CG402" i="5"/>
  <c r="CF403" i="5"/>
  <c r="CB347" i="5"/>
  <c r="CC346" i="5"/>
  <c r="AF86" i="5" l="1"/>
  <c r="AN86" i="5"/>
  <c r="BV87" i="5"/>
  <c r="BT87" i="5"/>
  <c r="BS87" i="5"/>
  <c r="CI87" i="5"/>
  <c r="BR440" i="5"/>
  <c r="BH87" i="5"/>
  <c r="BI87" i="5" s="1"/>
  <c r="BJ87" i="5" s="1"/>
  <c r="AZ423" i="5"/>
  <c r="BA424" i="5" s="1"/>
  <c r="AZ424" i="5" s="1"/>
  <c r="BA425" i="5" s="1"/>
  <c r="BB423" i="5"/>
  <c r="BD86" i="5"/>
  <c r="BE87" i="5" s="1"/>
  <c r="BF86" i="5"/>
  <c r="CZ86" i="5"/>
  <c r="CU87" i="5"/>
  <c r="BX87" i="5" s="1"/>
  <c r="CR87" i="5"/>
  <c r="AK87" i="5"/>
  <c r="CX87" i="5"/>
  <c r="C62" i="6"/>
  <c r="AC87" i="5"/>
  <c r="BK87" i="5"/>
  <c r="BL87" i="5" s="1"/>
  <c r="BM87" i="5" s="1"/>
  <c r="CL87" i="5"/>
  <c r="CM87" i="5" s="1"/>
  <c r="CS87" i="5"/>
  <c r="D87" i="5"/>
  <c r="CY87" i="5"/>
  <c r="CW87" i="5"/>
  <c r="AB87" i="5"/>
  <c r="L87" i="5" s="1"/>
  <c r="BG86" i="5"/>
  <c r="H86" i="5" s="1"/>
  <c r="AX87" i="5"/>
  <c r="AW87" i="5" s="1"/>
  <c r="AR85" i="5"/>
  <c r="G60" i="6"/>
  <c r="A381" i="6"/>
  <c r="B407" i="5"/>
  <c r="B382" i="6" s="1"/>
  <c r="CG403" i="5"/>
  <c r="CF404" i="5"/>
  <c r="CC347" i="5"/>
  <c r="CB348" i="5"/>
  <c r="BR441" i="5" l="1"/>
  <c r="AD87" i="5"/>
  <c r="AE87" i="5" s="1"/>
  <c r="CK87" i="5"/>
  <c r="CJ87" i="5" s="1"/>
  <c r="CH87" i="5"/>
  <c r="AZ425" i="5"/>
  <c r="BA426" i="5" s="1"/>
  <c r="BB425" i="5"/>
  <c r="X85" i="5"/>
  <c r="Y85" i="5" s="1"/>
  <c r="CP87" i="5"/>
  <c r="CQ87" i="5" s="1"/>
  <c r="R87" i="5" s="1"/>
  <c r="S87" i="5" s="1"/>
  <c r="W87" i="5"/>
  <c r="T87" i="5"/>
  <c r="U87" i="5" s="1"/>
  <c r="AM87" i="5"/>
  <c r="AL88" i="5" s="1"/>
  <c r="CT87" i="5"/>
  <c r="CV87" i="5"/>
  <c r="DA87" i="5"/>
  <c r="DB87" i="5" s="1"/>
  <c r="K87" i="5" s="1"/>
  <c r="BN87" i="5"/>
  <c r="BO87" i="5" s="1"/>
  <c r="BP87" i="5" s="1"/>
  <c r="G87" i="5" s="1"/>
  <c r="I86" i="5"/>
  <c r="AP86" i="5" s="1"/>
  <c r="A382" i="6"/>
  <c r="B408" i="5"/>
  <c r="B383" i="6" s="1"/>
  <c r="CF405" i="5"/>
  <c r="CG404" i="5"/>
  <c r="CC348" i="5"/>
  <c r="CB349" i="5"/>
  <c r="BR442" i="5" l="1"/>
  <c r="AZ426" i="5"/>
  <c r="BA427" i="5" s="1"/>
  <c r="BB426" i="5"/>
  <c r="H60" i="6"/>
  <c r="Z85" i="5"/>
  <c r="AA85" i="5" s="1"/>
  <c r="I60" i="6" s="1"/>
  <c r="AT86" i="5"/>
  <c r="AH86" i="5"/>
  <c r="M86" i="5"/>
  <c r="P86" i="5"/>
  <c r="AY86" i="5" s="1"/>
  <c r="CN87" i="5"/>
  <c r="E87" i="5" s="1"/>
  <c r="CO87" i="5"/>
  <c r="F87" i="5" s="1"/>
  <c r="A383" i="6"/>
  <c r="B409" i="5"/>
  <c r="B384" i="6" s="1"/>
  <c r="CF406" i="5"/>
  <c r="CG405" i="5"/>
  <c r="CC349" i="5"/>
  <c r="CB350" i="5"/>
  <c r="BR443" i="5" l="1"/>
  <c r="AZ427" i="5"/>
  <c r="BA428" i="5" s="1"/>
  <c r="BB427" i="5"/>
  <c r="AG86" i="5"/>
  <c r="AJ86" i="5" s="1"/>
  <c r="AO86" i="5"/>
  <c r="AR86" i="5" s="1"/>
  <c r="F61" i="6"/>
  <c r="Q86" i="5"/>
  <c r="V86" i="5" s="1"/>
  <c r="G61" i="6" s="1"/>
  <c r="N86" i="5"/>
  <c r="AS86" i="5"/>
  <c r="AV86" i="5" s="1"/>
  <c r="E62" i="6"/>
  <c r="C88" i="5"/>
  <c r="BU88" i="5" s="1"/>
  <c r="BC87" i="5"/>
  <c r="D62" i="6"/>
  <c r="A384" i="6"/>
  <c r="B410" i="5"/>
  <c r="B385" i="6" s="1"/>
  <c r="CG406" i="5"/>
  <c r="CF407" i="5"/>
  <c r="CB351" i="5"/>
  <c r="CC350" i="5"/>
  <c r="BY87" i="5" l="1"/>
  <c r="J87" i="5" s="1"/>
  <c r="BW87" i="5"/>
  <c r="BT88" i="5"/>
  <c r="BV88" i="5"/>
  <c r="BS88" i="5"/>
  <c r="CI88" i="5"/>
  <c r="BR444" i="5"/>
  <c r="BH88" i="5"/>
  <c r="BI88" i="5" s="1"/>
  <c r="BJ88" i="5" s="1"/>
  <c r="AZ428" i="5"/>
  <c r="BA429" i="5" s="1"/>
  <c r="BB428" i="5"/>
  <c r="X86" i="5"/>
  <c r="Y86" i="5" s="1"/>
  <c r="BF87" i="5"/>
  <c r="CZ87" i="5"/>
  <c r="BD87" i="5"/>
  <c r="BE88" i="5" s="1"/>
  <c r="CX88" i="5"/>
  <c r="C63" i="6"/>
  <c r="CR88" i="5"/>
  <c r="CS88" i="5"/>
  <c r="AC88" i="5"/>
  <c r="AD88" i="5" s="1"/>
  <c r="AK88" i="5"/>
  <c r="AB88" i="5"/>
  <c r="CP88" i="5" s="1"/>
  <c r="CQ88" i="5" s="1"/>
  <c r="R88" i="5" s="1"/>
  <c r="S88" i="5" s="1"/>
  <c r="D88" i="5"/>
  <c r="CW88" i="5"/>
  <c r="CY88" i="5"/>
  <c r="BK88" i="5"/>
  <c r="BL88" i="5" s="1"/>
  <c r="BM88" i="5" s="1"/>
  <c r="CL88" i="5"/>
  <c r="CM88" i="5" s="1"/>
  <c r="BG87" i="5"/>
  <c r="H87" i="5" s="1"/>
  <c r="AX88" i="5"/>
  <c r="AW88" i="5" s="1"/>
  <c r="CU88" i="5"/>
  <c r="A385" i="6"/>
  <c r="B411" i="5"/>
  <c r="B386" i="6" s="1"/>
  <c r="CG407" i="5"/>
  <c r="CF408" i="5"/>
  <c r="CC351" i="5"/>
  <c r="CB352" i="5"/>
  <c r="AF87" i="5" l="1"/>
  <c r="AN87" i="5"/>
  <c r="BX88" i="5"/>
  <c r="BR445" i="5"/>
  <c r="CH88" i="5"/>
  <c r="CK88" i="5"/>
  <c r="CJ88" i="5" s="1"/>
  <c r="Z86" i="5"/>
  <c r="AA86" i="5" s="1"/>
  <c r="I61" i="6" s="1"/>
  <c r="H61" i="6"/>
  <c r="AZ429" i="5"/>
  <c r="BA430" i="5" s="1"/>
  <c r="BB429" i="5"/>
  <c r="DA88" i="5"/>
  <c r="DB88" i="5" s="1"/>
  <c r="K88" i="5" s="1"/>
  <c r="I87" i="5"/>
  <c r="AE88" i="5"/>
  <c r="W88" i="5"/>
  <c r="T88" i="5"/>
  <c r="U88" i="5" s="1"/>
  <c r="CT88" i="5"/>
  <c r="CV88" i="5"/>
  <c r="BN88" i="5"/>
  <c r="BO88" i="5" s="1"/>
  <c r="BP88" i="5" s="1"/>
  <c r="G88" i="5" s="1"/>
  <c r="AM88" i="5"/>
  <c r="AL89" i="5" s="1"/>
  <c r="L88" i="5"/>
  <c r="A386" i="6"/>
  <c r="B412" i="5"/>
  <c r="B387" i="6" s="1"/>
  <c r="CG408" i="5"/>
  <c r="CF409" i="5"/>
  <c r="CC352" i="5"/>
  <c r="CB353" i="5"/>
  <c r="BR446" i="5" l="1"/>
  <c r="AZ430" i="5"/>
  <c r="BA431" i="5" s="1"/>
  <c r="BB430" i="5"/>
  <c r="AH87" i="5"/>
  <c r="AT87" i="5"/>
  <c r="AP87" i="5"/>
  <c r="CN88" i="5"/>
  <c r="E88" i="5" s="1"/>
  <c r="CO88" i="5"/>
  <c r="F88" i="5" s="1"/>
  <c r="M87" i="5"/>
  <c r="P87" i="5"/>
  <c r="AY87" i="5" s="1"/>
  <c r="A387" i="6"/>
  <c r="B413" i="5"/>
  <c r="B388" i="6" s="1"/>
  <c r="CF410" i="5"/>
  <c r="CG409" i="5"/>
  <c r="CC353" i="5"/>
  <c r="CB354" i="5"/>
  <c r="BW88" i="5" l="1"/>
  <c r="BR447" i="5"/>
  <c r="AZ431" i="5"/>
  <c r="BA432" i="5" s="1"/>
  <c r="BB431" i="5"/>
  <c r="AS87" i="5"/>
  <c r="AV87" i="5" s="1"/>
  <c r="AO87" i="5"/>
  <c r="AG87" i="5"/>
  <c r="N87" i="5"/>
  <c r="Q87" i="5"/>
  <c r="V87" i="5" s="1"/>
  <c r="G62" i="6" s="1"/>
  <c r="F62" i="6"/>
  <c r="E63" i="6"/>
  <c r="C89" i="5"/>
  <c r="BU89" i="5" s="1"/>
  <c r="BC88" i="5"/>
  <c r="D63" i="6"/>
  <c r="A388" i="6"/>
  <c r="B414" i="5"/>
  <c r="B389" i="6" s="1"/>
  <c r="CG410" i="5"/>
  <c r="CF411" i="5"/>
  <c r="CB355" i="5"/>
  <c r="CC354" i="5"/>
  <c r="BY88" i="5" l="1"/>
  <c r="J88" i="5" s="1"/>
  <c r="BV89" i="5"/>
  <c r="BT89" i="5"/>
  <c r="BS89" i="5"/>
  <c r="CI89" i="5"/>
  <c r="BR448" i="5"/>
  <c r="BH89" i="5"/>
  <c r="BI89" i="5" s="1"/>
  <c r="BJ89" i="5" s="1"/>
  <c r="AZ432" i="5"/>
  <c r="BA433" i="5" s="1"/>
  <c r="BB432" i="5"/>
  <c r="AR87" i="5"/>
  <c r="BF88" i="5"/>
  <c r="CZ88" i="5"/>
  <c r="BD88" i="5"/>
  <c r="BE89" i="5" s="1"/>
  <c r="CS89" i="5"/>
  <c r="CL89" i="5"/>
  <c r="CM89" i="5" s="1"/>
  <c r="AC89" i="5"/>
  <c r="AK89" i="5"/>
  <c r="D89" i="5"/>
  <c r="CW89" i="5"/>
  <c r="CY89" i="5"/>
  <c r="AB89" i="5"/>
  <c r="L89" i="5" s="1"/>
  <c r="C64" i="6"/>
  <c r="CX89" i="5"/>
  <c r="BK89" i="5"/>
  <c r="BL89" i="5" s="1"/>
  <c r="BM89" i="5" s="1"/>
  <c r="CR89" i="5"/>
  <c r="BG88" i="5"/>
  <c r="H88" i="5" s="1"/>
  <c r="AX89" i="5"/>
  <c r="AW89" i="5" s="1"/>
  <c r="CU89" i="5"/>
  <c r="BX89" i="5" s="1"/>
  <c r="AJ87" i="5"/>
  <c r="A389" i="6"/>
  <c r="B415" i="5"/>
  <c r="B390" i="6" s="1"/>
  <c r="CG411" i="5"/>
  <c r="CF412" i="5"/>
  <c r="CC355" i="5"/>
  <c r="CB356" i="5"/>
  <c r="AN88" i="5" l="1"/>
  <c r="AF88" i="5"/>
  <c r="BR449" i="5"/>
  <c r="AD89" i="5"/>
  <c r="AE89" i="5" s="1"/>
  <c r="CH89" i="5"/>
  <c r="CK89" i="5"/>
  <c r="CJ89" i="5" s="1"/>
  <c r="AZ433" i="5"/>
  <c r="BA434" i="5" s="1"/>
  <c r="BB433" i="5"/>
  <c r="X87" i="5"/>
  <c r="Y87" i="5" s="1"/>
  <c r="I88" i="5"/>
  <c r="W89" i="5"/>
  <c r="T89" i="5"/>
  <c r="U89" i="5" s="1"/>
  <c r="AM89" i="5"/>
  <c r="AL90" i="5" s="1"/>
  <c r="CV89" i="5"/>
  <c r="CT89" i="5"/>
  <c r="CP89" i="5"/>
  <c r="CQ89" i="5" s="1"/>
  <c r="R89" i="5" s="1"/>
  <c r="S89" i="5" s="1"/>
  <c r="DA89" i="5"/>
  <c r="DB89" i="5" s="1"/>
  <c r="K89" i="5" s="1"/>
  <c r="BN89" i="5"/>
  <c r="BO89" i="5" s="1"/>
  <c r="BP89" i="5" s="1"/>
  <c r="G89" i="5" s="1"/>
  <c r="A390" i="6"/>
  <c r="B416" i="5"/>
  <c r="B391" i="6" s="1"/>
  <c r="CG412" i="5"/>
  <c r="CF413" i="5"/>
  <c r="CC356" i="5"/>
  <c r="CB357" i="5"/>
  <c r="AH88" i="5" l="1"/>
  <c r="BR450" i="5"/>
  <c r="AZ434" i="5"/>
  <c r="BA435" i="5" s="1"/>
  <c r="BB434" i="5"/>
  <c r="H62" i="6"/>
  <c r="Z87" i="5"/>
  <c r="AA87" i="5" s="1"/>
  <c r="I62" i="6" s="1"/>
  <c r="AT88" i="5"/>
  <c r="AP88" i="5"/>
  <c r="CO89" i="5"/>
  <c r="F89" i="5" s="1"/>
  <c r="CN89" i="5"/>
  <c r="E89" i="5" s="1"/>
  <c r="P88" i="5"/>
  <c r="AY88" i="5" s="1"/>
  <c r="M88" i="5"/>
  <c r="A391" i="6"/>
  <c r="B417" i="5"/>
  <c r="B392" i="6" s="1"/>
  <c r="CG413" i="5"/>
  <c r="CF414" i="5"/>
  <c r="CC357" i="5"/>
  <c r="CB358" i="5"/>
  <c r="BW89" i="5" l="1"/>
  <c r="BY89" i="5"/>
  <c r="J89" i="5" s="1"/>
  <c r="AF89" i="5" s="1"/>
  <c r="BR451" i="5"/>
  <c r="AZ435" i="5"/>
  <c r="BA436" i="5" s="1"/>
  <c r="BB435" i="5"/>
  <c r="AO88" i="5"/>
  <c r="AR88" i="5" s="1"/>
  <c r="AG88" i="5"/>
  <c r="N88" i="5"/>
  <c r="AS88" i="5"/>
  <c r="AV88" i="5" s="1"/>
  <c r="Q88" i="5"/>
  <c r="V88" i="5" s="1"/>
  <c r="F63" i="6"/>
  <c r="D64" i="6"/>
  <c r="BC89" i="5"/>
  <c r="E64" i="6"/>
  <c r="C90" i="5"/>
  <c r="BU90" i="5" s="1"/>
  <c r="A392" i="6"/>
  <c r="B418" i="5"/>
  <c r="B393" i="6" s="1"/>
  <c r="CG414" i="5"/>
  <c r="CF415" i="5"/>
  <c r="CB359" i="5"/>
  <c r="CC358" i="5"/>
  <c r="AN89" i="5" l="1"/>
  <c r="BV90" i="5"/>
  <c r="BT90" i="5"/>
  <c r="BS90" i="5"/>
  <c r="CI90" i="5"/>
  <c r="BR452" i="5"/>
  <c r="BH90" i="5"/>
  <c r="BI90" i="5" s="1"/>
  <c r="BJ90" i="5" s="1"/>
  <c r="AZ436" i="5"/>
  <c r="BA437" i="5" s="1"/>
  <c r="BB436" i="5"/>
  <c r="AJ88" i="5"/>
  <c r="AK90" i="5"/>
  <c r="AM90" i="5" s="1"/>
  <c r="AL91" i="5" s="1"/>
  <c r="CL90" i="5"/>
  <c r="CM90" i="5" s="1"/>
  <c r="D90" i="5"/>
  <c r="CY90" i="5"/>
  <c r="CS90" i="5"/>
  <c r="AB90" i="5"/>
  <c r="BN90" i="5" s="1"/>
  <c r="BO90" i="5" s="1"/>
  <c r="BP90" i="5" s="1"/>
  <c r="BK90" i="5"/>
  <c r="BL90" i="5" s="1"/>
  <c r="BM90" i="5" s="1"/>
  <c r="AC90" i="5"/>
  <c r="CX90" i="5"/>
  <c r="CW90" i="5"/>
  <c r="CR90" i="5"/>
  <c r="C65" i="6"/>
  <c r="BG89" i="5"/>
  <c r="H89" i="5" s="1"/>
  <c r="AX90" i="5"/>
  <c r="AW90" i="5" s="1"/>
  <c r="CU90" i="5"/>
  <c r="BX90" i="5" s="1"/>
  <c r="BF89" i="5"/>
  <c r="BD89" i="5"/>
  <c r="BE90" i="5" s="1"/>
  <c r="CZ89" i="5"/>
  <c r="G63" i="6"/>
  <c r="A393" i="6"/>
  <c r="B419" i="5"/>
  <c r="B394" i="6" s="1"/>
  <c r="CG415" i="5"/>
  <c r="CF416" i="5"/>
  <c r="CC359" i="5"/>
  <c r="CB360" i="5"/>
  <c r="G90" i="5" l="1"/>
  <c r="BR453" i="5"/>
  <c r="AD90" i="5"/>
  <c r="AE90" i="5" s="1"/>
  <c r="CK90" i="5"/>
  <c r="CJ90" i="5" s="1"/>
  <c r="CH90" i="5"/>
  <c r="AZ437" i="5"/>
  <c r="BA438" i="5" s="1"/>
  <c r="BB437" i="5"/>
  <c r="X88" i="5"/>
  <c r="Y88" i="5" s="1"/>
  <c r="DA90" i="5"/>
  <c r="DB90" i="5" s="1"/>
  <c r="K90" i="5" s="1"/>
  <c r="CT90" i="5"/>
  <c r="CV90" i="5"/>
  <c r="CP90" i="5"/>
  <c r="CQ90" i="5" s="1"/>
  <c r="R90" i="5" s="1"/>
  <c r="S90" i="5" s="1"/>
  <c r="I89" i="5"/>
  <c r="AH89" i="5" s="1"/>
  <c r="T90" i="5"/>
  <c r="U90" i="5" s="1"/>
  <c r="W90" i="5"/>
  <c r="L90" i="5"/>
  <c r="A394" i="6"/>
  <c r="B420" i="5"/>
  <c r="B395" i="6" s="1"/>
  <c r="CG416" i="5"/>
  <c r="CF417" i="5"/>
  <c r="CC360" i="5"/>
  <c r="CB361" i="5"/>
  <c r="BR454" i="5" l="1"/>
  <c r="AZ438" i="5"/>
  <c r="BA439" i="5" s="1"/>
  <c r="BB438" i="5"/>
  <c r="H63" i="6"/>
  <c r="Z88" i="5"/>
  <c r="AA88" i="5" s="1"/>
  <c r="I63" i="6" s="1"/>
  <c r="AT89" i="5"/>
  <c r="AP89" i="5"/>
  <c r="P89" i="5"/>
  <c r="AY89" i="5" s="1"/>
  <c r="M89" i="5"/>
  <c r="AG89" i="5" s="1"/>
  <c r="AJ89" i="5" s="1"/>
  <c r="CN90" i="5"/>
  <c r="E90" i="5" s="1"/>
  <c r="CO90" i="5"/>
  <c r="F90" i="5" s="1"/>
  <c r="A395" i="6"/>
  <c r="B421" i="5"/>
  <c r="B396" i="6" s="1"/>
  <c r="CG417" i="5"/>
  <c r="CF418" i="5"/>
  <c r="CC361" i="5"/>
  <c r="CB362" i="5"/>
  <c r="BR455" i="5" l="1"/>
  <c r="AZ439" i="5"/>
  <c r="BA440" i="5" s="1"/>
  <c r="BB439" i="5"/>
  <c r="N89" i="5"/>
  <c r="AS89" i="5"/>
  <c r="AV89" i="5" s="1"/>
  <c r="AO89" i="5"/>
  <c r="BC90" i="5"/>
  <c r="D65" i="6"/>
  <c r="E65" i="6"/>
  <c r="C91" i="5"/>
  <c r="BU91" i="5" s="1"/>
  <c r="Q89" i="5"/>
  <c r="V89" i="5" s="1"/>
  <c r="F64" i="6"/>
  <c r="A396" i="6"/>
  <c r="B422" i="5"/>
  <c r="B397" i="6" s="1"/>
  <c r="CG418" i="5"/>
  <c r="CF419" i="5"/>
  <c r="CB363" i="5"/>
  <c r="CC362" i="5"/>
  <c r="BY90" i="5" l="1"/>
  <c r="J90" i="5" s="1"/>
  <c r="BW90" i="5"/>
  <c r="BT91" i="5"/>
  <c r="BV91" i="5"/>
  <c r="BS91" i="5"/>
  <c r="CI91" i="5"/>
  <c r="BR456" i="5"/>
  <c r="BH91" i="5"/>
  <c r="BI91" i="5" s="1"/>
  <c r="BJ91" i="5" s="1"/>
  <c r="AZ440" i="5"/>
  <c r="BA441" i="5" s="1"/>
  <c r="BB440" i="5"/>
  <c r="AR89" i="5"/>
  <c r="G64" i="6"/>
  <c r="D91" i="5"/>
  <c r="AC91" i="5"/>
  <c r="CW91" i="5"/>
  <c r="AB91" i="5"/>
  <c r="BN91" i="5" s="1"/>
  <c r="BO91" i="5" s="1"/>
  <c r="BP91" i="5" s="1"/>
  <c r="AK91" i="5"/>
  <c r="CS91" i="5"/>
  <c r="CY91" i="5"/>
  <c r="C66" i="6"/>
  <c r="CL91" i="5"/>
  <c r="CM91" i="5" s="1"/>
  <c r="BK91" i="5"/>
  <c r="BL91" i="5" s="1"/>
  <c r="BM91" i="5" s="1"/>
  <c r="CX91" i="5"/>
  <c r="CR91" i="5"/>
  <c r="BG90" i="5"/>
  <c r="H90" i="5" s="1"/>
  <c r="AX91" i="5"/>
  <c r="AW91" i="5" s="1"/>
  <c r="CU91" i="5"/>
  <c r="BD90" i="5"/>
  <c r="BE91" i="5" s="1"/>
  <c r="CZ90" i="5"/>
  <c r="BF90" i="5"/>
  <c r="A397" i="6"/>
  <c r="B423" i="5"/>
  <c r="B398" i="6" s="1"/>
  <c r="CG419" i="5"/>
  <c r="CF420" i="5"/>
  <c r="CC363" i="5"/>
  <c r="CB364" i="5"/>
  <c r="AN90" i="5" l="1"/>
  <c r="AF90" i="5"/>
  <c r="BX91" i="5"/>
  <c r="G91" i="5"/>
  <c r="BR457" i="5"/>
  <c r="CH91" i="5"/>
  <c r="CK91" i="5"/>
  <c r="CJ91" i="5" s="1"/>
  <c r="AZ441" i="5"/>
  <c r="BA442" i="5" s="1"/>
  <c r="BB441" i="5"/>
  <c r="X89" i="5"/>
  <c r="Y89" i="5" s="1"/>
  <c r="AD91" i="5"/>
  <c r="AE91" i="5" s="1"/>
  <c r="DA91" i="5"/>
  <c r="DB91" i="5" s="1"/>
  <c r="L91" i="5"/>
  <c r="AM91" i="5"/>
  <c r="AL92" i="5" s="1"/>
  <c r="I90" i="5"/>
  <c r="AP90" i="5" s="1"/>
  <c r="W91" i="5"/>
  <c r="T91" i="5"/>
  <c r="U91" i="5" s="1"/>
  <c r="CT91" i="5"/>
  <c r="CV91" i="5"/>
  <c r="CP91" i="5"/>
  <c r="CQ91" i="5" s="1"/>
  <c r="R91" i="5" s="1"/>
  <c r="S91" i="5" s="1"/>
  <c r="A398" i="6"/>
  <c r="B424" i="5"/>
  <c r="B399" i="6" s="1"/>
  <c r="CG420" i="5"/>
  <c r="CF421" i="5"/>
  <c r="CC364" i="5"/>
  <c r="CB365" i="5"/>
  <c r="K91" i="5" l="1"/>
  <c r="BR458" i="5"/>
  <c r="AZ442" i="5"/>
  <c r="BA443" i="5" s="1"/>
  <c r="BB442" i="5"/>
  <c r="Z89" i="5"/>
  <c r="AA89" i="5" s="1"/>
  <c r="I64" i="6" s="1"/>
  <c r="H64" i="6"/>
  <c r="AH90" i="5"/>
  <c r="AT90" i="5"/>
  <c r="P90" i="5"/>
  <c r="AY90" i="5" s="1"/>
  <c r="M90" i="5"/>
  <c r="CO91" i="5"/>
  <c r="F91" i="5" s="1"/>
  <c r="CN91" i="5"/>
  <c r="E91" i="5" s="1"/>
  <c r="A399" i="6"/>
  <c r="B425" i="5"/>
  <c r="B400" i="6" s="1"/>
  <c r="CF422" i="5"/>
  <c r="CG421" i="5"/>
  <c r="CC365" i="5"/>
  <c r="CB366" i="5"/>
  <c r="BW91" i="5" l="1"/>
  <c r="BY91" i="5"/>
  <c r="J91" i="5" s="1"/>
  <c r="BR459" i="5"/>
  <c r="AZ443" i="5"/>
  <c r="BA444" i="5" s="1"/>
  <c r="BB443" i="5"/>
  <c r="AO90" i="5"/>
  <c r="AR90" i="5" s="1"/>
  <c r="AG90" i="5"/>
  <c r="AJ90" i="5" s="1"/>
  <c r="N90" i="5"/>
  <c r="AS90" i="5"/>
  <c r="AV90" i="5" s="1"/>
  <c r="D66" i="6"/>
  <c r="BC91" i="5"/>
  <c r="C92" i="5"/>
  <c r="BU92" i="5" s="1"/>
  <c r="E66" i="6"/>
  <c r="F65" i="6"/>
  <c r="Q90" i="5"/>
  <c r="V90" i="5" s="1"/>
  <c r="A400" i="6"/>
  <c r="B426" i="5"/>
  <c r="B401" i="6" s="1"/>
  <c r="CG422" i="5"/>
  <c r="CF423" i="5"/>
  <c r="CC366" i="5"/>
  <c r="CB367" i="5"/>
  <c r="AN91" i="5" l="1"/>
  <c r="AF91" i="5"/>
  <c r="BT92" i="5"/>
  <c r="BV92" i="5"/>
  <c r="BS92" i="5"/>
  <c r="CI92" i="5"/>
  <c r="BR460" i="5"/>
  <c r="BH92" i="5"/>
  <c r="BI92" i="5" s="1"/>
  <c r="BJ92" i="5" s="1"/>
  <c r="AZ444" i="5"/>
  <c r="BA445" i="5" s="1"/>
  <c r="BB444" i="5"/>
  <c r="X90" i="5"/>
  <c r="Y90" i="5" s="1"/>
  <c r="G65" i="6"/>
  <c r="BK92" i="5"/>
  <c r="BL92" i="5" s="1"/>
  <c r="BM92" i="5" s="1"/>
  <c r="AK92" i="5"/>
  <c r="AM92" i="5" s="1"/>
  <c r="AL93" i="5" s="1"/>
  <c r="CS92" i="5"/>
  <c r="D92" i="5"/>
  <c r="CY92" i="5"/>
  <c r="CL92" i="5"/>
  <c r="CM92" i="5" s="1"/>
  <c r="CR92" i="5"/>
  <c r="CW92" i="5"/>
  <c r="AC92" i="5"/>
  <c r="AD92" i="5" s="1"/>
  <c r="CX92" i="5"/>
  <c r="AB92" i="5"/>
  <c r="L92" i="5" s="1"/>
  <c r="C67" i="6"/>
  <c r="BG91" i="5"/>
  <c r="H91" i="5" s="1"/>
  <c r="AX92" i="5"/>
  <c r="AW92" i="5" s="1"/>
  <c r="CU92" i="5"/>
  <c r="BX92" i="5" s="1"/>
  <c r="BD91" i="5"/>
  <c r="BE92" i="5" s="1"/>
  <c r="BF91" i="5"/>
  <c r="CZ91" i="5"/>
  <c r="A401" i="6"/>
  <c r="B427" i="5"/>
  <c r="B402" i="6" s="1"/>
  <c r="CG423" i="5"/>
  <c r="CF424" i="5"/>
  <c r="CC367" i="5"/>
  <c r="CB368" i="5"/>
  <c r="BR461" i="5" l="1"/>
  <c r="CH92" i="5"/>
  <c r="CK92" i="5"/>
  <c r="CJ92" i="5" s="1"/>
  <c r="AZ445" i="5"/>
  <c r="BA446" i="5" s="1"/>
  <c r="AZ446" i="5" s="1"/>
  <c r="BA447" i="5" s="1"/>
  <c r="BB445" i="5"/>
  <c r="BN92" i="5"/>
  <c r="BO92" i="5" s="1"/>
  <c r="BP92" i="5" s="1"/>
  <c r="G92" i="5" s="1"/>
  <c r="T92" i="5"/>
  <c r="U92" i="5" s="1"/>
  <c r="W92" i="5"/>
  <c r="I91" i="5"/>
  <c r="AH91" i="5" s="1"/>
  <c r="AE92" i="5"/>
  <c r="CT92" i="5"/>
  <c r="CV92" i="5"/>
  <c r="H65" i="6"/>
  <c r="Z90" i="5"/>
  <c r="DA92" i="5"/>
  <c r="DB92" i="5" s="1"/>
  <c r="K92" i="5" s="1"/>
  <c r="CP92" i="5"/>
  <c r="CQ92" i="5" s="1"/>
  <c r="R92" i="5" s="1"/>
  <c r="S92" i="5" s="1"/>
  <c r="A402" i="6"/>
  <c r="B428" i="5"/>
  <c r="B403" i="6" s="1"/>
  <c r="CG424" i="5"/>
  <c r="CF425" i="5"/>
  <c r="CC368" i="5"/>
  <c r="CB369" i="5"/>
  <c r="BR462" i="5" l="1"/>
  <c r="AZ447" i="5"/>
  <c r="BA448" i="5" s="1"/>
  <c r="BB447" i="5"/>
  <c r="AT91" i="5"/>
  <c r="AP91" i="5"/>
  <c r="M91" i="5"/>
  <c r="P91" i="5"/>
  <c r="AY91" i="5" s="1"/>
  <c r="CO92" i="5"/>
  <c r="F92" i="5" s="1"/>
  <c r="CN92" i="5"/>
  <c r="E92" i="5" s="1"/>
  <c r="AA90" i="5"/>
  <c r="I65" i="6" s="1"/>
  <c r="A403" i="6"/>
  <c r="B429" i="5"/>
  <c r="B404" i="6" s="1"/>
  <c r="CG425" i="5"/>
  <c r="CF426" i="5"/>
  <c r="CC369" i="5"/>
  <c r="CB370" i="5"/>
  <c r="BW92" i="5" l="1"/>
  <c r="BY92" i="5"/>
  <c r="J92" i="5" s="1"/>
  <c r="BR463" i="5"/>
  <c r="AZ448" i="5"/>
  <c r="BA449" i="5" s="1"/>
  <c r="BB448" i="5"/>
  <c r="AO91" i="5"/>
  <c r="AR91" i="5" s="1"/>
  <c r="AG91" i="5"/>
  <c r="BC92" i="5"/>
  <c r="D67" i="6"/>
  <c r="C93" i="5"/>
  <c r="BU93" i="5" s="1"/>
  <c r="E67" i="6"/>
  <c r="Q91" i="5"/>
  <c r="V91" i="5" s="1"/>
  <c r="F66" i="6"/>
  <c r="N91" i="5"/>
  <c r="AS91" i="5"/>
  <c r="AV91" i="5" s="1"/>
  <c r="A404" i="6"/>
  <c r="B430" i="5"/>
  <c r="B405" i="6" s="1"/>
  <c r="CF427" i="5"/>
  <c r="CG426" i="5"/>
  <c r="CC370" i="5"/>
  <c r="CB371" i="5"/>
  <c r="AF92" i="5" l="1"/>
  <c r="AN92" i="5"/>
  <c r="BT93" i="5"/>
  <c r="BV93" i="5"/>
  <c r="BS93" i="5"/>
  <c r="CI93" i="5"/>
  <c r="BR464" i="5"/>
  <c r="BH93" i="5"/>
  <c r="BI93" i="5" s="1"/>
  <c r="BJ93" i="5" s="1"/>
  <c r="AZ449" i="5"/>
  <c r="BA450" i="5" s="1"/>
  <c r="BB449" i="5"/>
  <c r="AJ91" i="5"/>
  <c r="G66" i="6"/>
  <c r="CY93" i="5"/>
  <c r="C68" i="6"/>
  <c r="CX93" i="5"/>
  <c r="AB93" i="5"/>
  <c r="L93" i="5" s="1"/>
  <c r="CW93" i="5"/>
  <c r="CR93" i="5"/>
  <c r="AC93" i="5"/>
  <c r="AD93" i="5" s="1"/>
  <c r="CS93" i="5"/>
  <c r="BK93" i="5"/>
  <c r="BL93" i="5" s="1"/>
  <c r="BM93" i="5" s="1"/>
  <c r="AK93" i="5"/>
  <c r="CL93" i="5"/>
  <c r="CM93" i="5" s="1"/>
  <c r="D93" i="5"/>
  <c r="BG92" i="5"/>
  <c r="H92" i="5" s="1"/>
  <c r="AX93" i="5"/>
  <c r="AW93" i="5" s="1"/>
  <c r="CU93" i="5"/>
  <c r="BX93" i="5" s="1"/>
  <c r="BF92" i="5"/>
  <c r="BD92" i="5"/>
  <c r="BE93" i="5" s="1"/>
  <c r="CZ92" i="5"/>
  <c r="A405" i="6"/>
  <c r="B431" i="5"/>
  <c r="B406" i="6" s="1"/>
  <c r="CG427" i="5"/>
  <c r="CF428" i="5"/>
  <c r="CC371" i="5"/>
  <c r="CB372" i="5"/>
  <c r="BR465" i="5" l="1"/>
  <c r="CH93" i="5"/>
  <c r="CK93" i="5"/>
  <c r="CJ93" i="5" s="1"/>
  <c r="AZ450" i="5"/>
  <c r="BA451" i="5" s="1"/>
  <c r="BB450" i="5"/>
  <c r="X91" i="5"/>
  <c r="Y91" i="5" s="1"/>
  <c r="CP93" i="5"/>
  <c r="CQ93" i="5" s="1"/>
  <c r="R93" i="5" s="1"/>
  <c r="S93" i="5" s="1"/>
  <c r="T93" i="5"/>
  <c r="U93" i="5" s="1"/>
  <c r="W93" i="5"/>
  <c r="I92" i="5"/>
  <c r="AH92" i="5" s="1"/>
  <c r="AM93" i="5"/>
  <c r="AL94" i="5" s="1"/>
  <c r="CV93" i="5"/>
  <c r="CT93" i="5"/>
  <c r="BN93" i="5"/>
  <c r="BO93" i="5" s="1"/>
  <c r="BP93" i="5" s="1"/>
  <c r="G93" i="5" s="1"/>
  <c r="DA93" i="5"/>
  <c r="DB93" i="5" s="1"/>
  <c r="K93" i="5" s="1"/>
  <c r="AE93" i="5"/>
  <c r="A406" i="6"/>
  <c r="B432" i="5"/>
  <c r="B407" i="6" s="1"/>
  <c r="CF429" i="5"/>
  <c r="CG428" i="5"/>
  <c r="CC372" i="5"/>
  <c r="CB373" i="5"/>
  <c r="BR466" i="5" l="1"/>
  <c r="AZ451" i="5"/>
  <c r="BA452" i="5" s="1"/>
  <c r="BB451" i="5"/>
  <c r="H66" i="6"/>
  <c r="Z91" i="5"/>
  <c r="AA91" i="5" s="1"/>
  <c r="I66" i="6" s="1"/>
  <c r="P92" i="5"/>
  <c r="AY92" i="5" s="1"/>
  <c r="M92" i="5"/>
  <c r="AG92" i="5" s="1"/>
  <c r="AJ92" i="5" s="1"/>
  <c r="AT92" i="5"/>
  <c r="AP92" i="5"/>
  <c r="CO93" i="5"/>
  <c r="F93" i="5" s="1"/>
  <c r="CN93" i="5"/>
  <c r="E93" i="5" s="1"/>
  <c r="A407" i="6"/>
  <c r="B433" i="5"/>
  <c r="B408" i="6" s="1"/>
  <c r="CG429" i="5"/>
  <c r="CF430" i="5"/>
  <c r="CB374" i="5"/>
  <c r="CC373" i="5"/>
  <c r="BW93" i="5" l="1"/>
  <c r="BR467" i="5"/>
  <c r="AZ452" i="5"/>
  <c r="BA453" i="5" s="1"/>
  <c r="BB452" i="5"/>
  <c r="C94" i="5"/>
  <c r="BU94" i="5" s="1"/>
  <c r="E68" i="6"/>
  <c r="N92" i="5"/>
  <c r="AS92" i="5"/>
  <c r="AV92" i="5" s="1"/>
  <c r="AO92" i="5"/>
  <c r="AR92" i="5" s="1"/>
  <c r="BC93" i="5"/>
  <c r="D68" i="6"/>
  <c r="F67" i="6"/>
  <c r="Q92" i="5"/>
  <c r="V92" i="5" s="1"/>
  <c r="A408" i="6"/>
  <c r="B434" i="5"/>
  <c r="B409" i="6" s="1"/>
  <c r="CG430" i="5"/>
  <c r="CF431" i="5"/>
  <c r="CC374" i="5"/>
  <c r="CB375" i="5"/>
  <c r="BY93" i="5" l="1"/>
  <c r="J93" i="5" s="1"/>
  <c r="BV94" i="5"/>
  <c r="BT94" i="5"/>
  <c r="BS94" i="5"/>
  <c r="CI94" i="5"/>
  <c r="BR468" i="5"/>
  <c r="BH94" i="5"/>
  <c r="BI94" i="5" s="1"/>
  <c r="BJ94" i="5" s="1"/>
  <c r="AZ453" i="5"/>
  <c r="BA454" i="5" s="1"/>
  <c r="BB453" i="5"/>
  <c r="X92" i="5"/>
  <c r="Y92" i="5" s="1"/>
  <c r="BF93" i="5"/>
  <c r="CZ93" i="5"/>
  <c r="BD93" i="5"/>
  <c r="BE94" i="5" s="1"/>
  <c r="G67" i="6"/>
  <c r="CS94" i="5"/>
  <c r="CY94" i="5"/>
  <c r="AC94" i="5"/>
  <c r="AK94" i="5"/>
  <c r="AM94" i="5" s="1"/>
  <c r="AL95" i="5" s="1"/>
  <c r="C69" i="6"/>
  <c r="CX94" i="5"/>
  <c r="BK94" i="5"/>
  <c r="BL94" i="5" s="1"/>
  <c r="BM94" i="5" s="1"/>
  <c r="CR94" i="5"/>
  <c r="CW94" i="5"/>
  <c r="AB94" i="5"/>
  <c r="CP94" i="5" s="1"/>
  <c r="CQ94" i="5" s="1"/>
  <c r="R94" i="5" s="1"/>
  <c r="S94" i="5" s="1"/>
  <c r="D94" i="5"/>
  <c r="CL94" i="5"/>
  <c r="CM94" i="5" s="1"/>
  <c r="BG93" i="5"/>
  <c r="H93" i="5" s="1"/>
  <c r="AX94" i="5"/>
  <c r="AW94" i="5" s="1"/>
  <c r="CU94" i="5"/>
  <c r="BX94" i="5" s="1"/>
  <c r="A409" i="6"/>
  <c r="B435" i="5"/>
  <c r="B410" i="6" s="1"/>
  <c r="CG431" i="5"/>
  <c r="CF432" i="5"/>
  <c r="CC375" i="5"/>
  <c r="CB376" i="5"/>
  <c r="AF93" i="5" l="1"/>
  <c r="AN93" i="5"/>
  <c r="BR469" i="5"/>
  <c r="AD94" i="5"/>
  <c r="AE94" i="5" s="1"/>
  <c r="CH94" i="5"/>
  <c r="CK94" i="5"/>
  <c r="CJ94" i="5" s="1"/>
  <c r="AZ454" i="5"/>
  <c r="BA455" i="5" s="1"/>
  <c r="BB454" i="5"/>
  <c r="L94" i="5"/>
  <c r="DA94" i="5"/>
  <c r="DB94" i="5" s="1"/>
  <c r="K94" i="5" s="1"/>
  <c r="CV94" i="5"/>
  <c r="CT94" i="5"/>
  <c r="BN94" i="5"/>
  <c r="BO94" i="5" s="1"/>
  <c r="BP94" i="5" s="1"/>
  <c r="G94" i="5" s="1"/>
  <c r="H67" i="6"/>
  <c r="Z92" i="5"/>
  <c r="W94" i="5"/>
  <c r="T94" i="5"/>
  <c r="U94" i="5" s="1"/>
  <c r="I93" i="5"/>
  <c r="AP93" i="5" s="1"/>
  <c r="A410" i="6"/>
  <c r="B436" i="5"/>
  <c r="B411" i="6" s="1"/>
  <c r="CF433" i="5"/>
  <c r="CG432" i="5"/>
  <c r="CC376" i="5"/>
  <c r="CB377" i="5"/>
  <c r="BR470" i="5" l="1"/>
  <c r="AZ455" i="5"/>
  <c r="BA456" i="5" s="1"/>
  <c r="BB455" i="5"/>
  <c r="AH93" i="5"/>
  <c r="AT93" i="5"/>
  <c r="P93" i="5"/>
  <c r="AY93" i="5" s="1"/>
  <c r="M93" i="5"/>
  <c r="AA92" i="5"/>
  <c r="I67" i="6" s="1"/>
  <c r="CN94" i="5"/>
  <c r="E94" i="5" s="1"/>
  <c r="CO94" i="5"/>
  <c r="F94" i="5" s="1"/>
  <c r="A411" i="6"/>
  <c r="B437" i="5"/>
  <c r="B412" i="6" s="1"/>
  <c r="CF434" i="5"/>
  <c r="CG433" i="5"/>
  <c r="CB378" i="5"/>
  <c r="CC377" i="5"/>
  <c r="BR471" i="5" l="1"/>
  <c r="AZ456" i="5"/>
  <c r="BA457" i="5" s="1"/>
  <c r="BB456" i="5"/>
  <c r="AS93" i="5"/>
  <c r="AV93" i="5" s="1"/>
  <c r="AO93" i="5"/>
  <c r="AR93" i="5" s="1"/>
  <c r="N93" i="5"/>
  <c r="AG93" i="5"/>
  <c r="AJ93" i="5" s="1"/>
  <c r="D69" i="6"/>
  <c r="BC94" i="5"/>
  <c r="C95" i="5"/>
  <c r="BU95" i="5" s="1"/>
  <c r="E69" i="6"/>
  <c r="F68" i="6"/>
  <c r="Q93" i="5"/>
  <c r="V93" i="5" s="1"/>
  <c r="A412" i="6"/>
  <c r="B438" i="5"/>
  <c r="B413" i="6" s="1"/>
  <c r="CG434" i="5"/>
  <c r="CF435" i="5"/>
  <c r="CC378" i="5"/>
  <c r="CB379" i="5"/>
  <c r="BW94" i="5" l="1"/>
  <c r="BY94" i="5"/>
  <c r="J94" i="5" s="1"/>
  <c r="BV95" i="5"/>
  <c r="BT95" i="5"/>
  <c r="BS95" i="5"/>
  <c r="CI95" i="5"/>
  <c r="BR472" i="5"/>
  <c r="BH95" i="5"/>
  <c r="BI95" i="5" s="1"/>
  <c r="BJ95" i="5" s="1"/>
  <c r="AZ457" i="5"/>
  <c r="BA458" i="5" s="1"/>
  <c r="BB457" i="5"/>
  <c r="X93" i="5"/>
  <c r="Y93" i="5" s="1"/>
  <c r="G68" i="6"/>
  <c r="AC95" i="5"/>
  <c r="AD95" i="5" s="1"/>
  <c r="BK95" i="5"/>
  <c r="BL95" i="5" s="1"/>
  <c r="BM95" i="5" s="1"/>
  <c r="AK95" i="5"/>
  <c r="AM95" i="5" s="1"/>
  <c r="AL96" i="5" s="1"/>
  <c r="CR95" i="5"/>
  <c r="CY95" i="5"/>
  <c r="CL95" i="5"/>
  <c r="CM95" i="5" s="1"/>
  <c r="CX95" i="5"/>
  <c r="CS95" i="5"/>
  <c r="AB95" i="5"/>
  <c r="CP95" i="5" s="1"/>
  <c r="CQ95" i="5" s="1"/>
  <c r="R95" i="5" s="1"/>
  <c r="S95" i="5" s="1"/>
  <c r="CW95" i="5"/>
  <c r="C70" i="6"/>
  <c r="D95" i="5"/>
  <c r="BG94" i="5"/>
  <c r="H94" i="5" s="1"/>
  <c r="AX95" i="5"/>
  <c r="AW95" i="5" s="1"/>
  <c r="CU95" i="5"/>
  <c r="CZ94" i="5"/>
  <c r="BF94" i="5"/>
  <c r="BD94" i="5"/>
  <c r="BE95" i="5" s="1"/>
  <c r="A413" i="6"/>
  <c r="B439" i="5"/>
  <c r="B414" i="6" s="1"/>
  <c r="CF436" i="5"/>
  <c r="CG435" i="5"/>
  <c r="CC379" i="5"/>
  <c r="CB380" i="5"/>
  <c r="AN94" i="5" l="1"/>
  <c r="AF94" i="5"/>
  <c r="BX95" i="5"/>
  <c r="BR473" i="5"/>
  <c r="CK95" i="5"/>
  <c r="CJ95" i="5" s="1"/>
  <c r="CH95" i="5"/>
  <c r="AZ458" i="5"/>
  <c r="BA459" i="5" s="1"/>
  <c r="BB458" i="5"/>
  <c r="L95" i="5"/>
  <c r="DA95" i="5"/>
  <c r="DB95" i="5" s="1"/>
  <c r="I94" i="5"/>
  <c r="T95" i="5"/>
  <c r="U95" i="5" s="1"/>
  <c r="W95" i="5"/>
  <c r="AE95" i="5"/>
  <c r="CV95" i="5"/>
  <c r="CT95" i="5"/>
  <c r="BN95" i="5"/>
  <c r="BO95" i="5" s="1"/>
  <c r="BP95" i="5" s="1"/>
  <c r="G95" i="5" s="1"/>
  <c r="H68" i="6"/>
  <c r="Z93" i="5"/>
  <c r="A414" i="6"/>
  <c r="B440" i="5"/>
  <c r="B415" i="6" s="1"/>
  <c r="CF437" i="5"/>
  <c r="CG436" i="5"/>
  <c r="CC380" i="5"/>
  <c r="CB381" i="5"/>
  <c r="K95" i="5" l="1"/>
  <c r="BR474" i="5"/>
  <c r="AZ459" i="5"/>
  <c r="BA460" i="5" s="1"/>
  <c r="BB459" i="5"/>
  <c r="AH94" i="5"/>
  <c r="AT94" i="5"/>
  <c r="AP94" i="5"/>
  <c r="AA93" i="5"/>
  <c r="I68" i="6" s="1"/>
  <c r="P94" i="5"/>
  <c r="M94" i="5"/>
  <c r="CO95" i="5"/>
  <c r="F95" i="5" s="1"/>
  <c r="CN95" i="5"/>
  <c r="E95" i="5" s="1"/>
  <c r="A415" i="6"/>
  <c r="B441" i="5"/>
  <c r="B416" i="6" s="1"/>
  <c r="CG437" i="5"/>
  <c r="CF438" i="5"/>
  <c r="CB382" i="5"/>
  <c r="CC381" i="5"/>
  <c r="BY95" i="5" l="1"/>
  <c r="J95" i="5" s="1"/>
  <c r="BW95" i="5"/>
  <c r="BR475" i="5"/>
  <c r="AZ460" i="5"/>
  <c r="BA461" i="5" s="1"/>
  <c r="BB460" i="5"/>
  <c r="AY94" i="5"/>
  <c r="BB94" i="5"/>
  <c r="AS94" i="5"/>
  <c r="AV94" i="5" s="1"/>
  <c r="AO94" i="5"/>
  <c r="AG94" i="5"/>
  <c r="N94" i="5"/>
  <c r="F69" i="6"/>
  <c r="Q94" i="5"/>
  <c r="V94" i="5" s="1"/>
  <c r="D70" i="6"/>
  <c r="BC95" i="5"/>
  <c r="E70" i="6"/>
  <c r="C96" i="5"/>
  <c r="BU96" i="5" s="1"/>
  <c r="A416" i="6"/>
  <c r="B442" i="5"/>
  <c r="B417" i="6" s="1"/>
  <c r="CG438" i="5"/>
  <c r="CF439" i="5"/>
  <c r="CC382" i="5"/>
  <c r="CB383" i="5"/>
  <c r="AN95" i="5" l="1"/>
  <c r="AF95" i="5"/>
  <c r="BT96" i="5"/>
  <c r="BV96" i="5"/>
  <c r="BS96" i="5"/>
  <c r="CI96" i="5"/>
  <c r="BR476" i="5"/>
  <c r="BH96" i="5"/>
  <c r="BI96" i="5" s="1"/>
  <c r="BJ96" i="5" s="1"/>
  <c r="AZ461" i="5"/>
  <c r="BA462" i="5" s="1"/>
  <c r="BB461" i="5"/>
  <c r="AR94" i="5"/>
  <c r="AJ94" i="5"/>
  <c r="BD95" i="5"/>
  <c r="BE96" i="5" s="1"/>
  <c r="BF95" i="5"/>
  <c r="CZ95" i="5"/>
  <c r="G69" i="6"/>
  <c r="AK96" i="5"/>
  <c r="CL96" i="5"/>
  <c r="CM96" i="5" s="1"/>
  <c r="CW96" i="5"/>
  <c r="D96" i="5"/>
  <c r="CX96" i="5"/>
  <c r="BK96" i="5"/>
  <c r="BL96" i="5" s="1"/>
  <c r="BM96" i="5" s="1"/>
  <c r="AB96" i="5"/>
  <c r="L96" i="5" s="1"/>
  <c r="C71" i="6"/>
  <c r="AC96" i="5"/>
  <c r="CS96" i="5"/>
  <c r="CR96" i="5"/>
  <c r="CY96" i="5"/>
  <c r="BG95" i="5"/>
  <c r="H95" i="5" s="1"/>
  <c r="AX96" i="5"/>
  <c r="AW96" i="5" s="1"/>
  <c r="CU96" i="5"/>
  <c r="BX96" i="5" s="1"/>
  <c r="A417" i="6"/>
  <c r="B443" i="5"/>
  <c r="B418" i="6" s="1"/>
  <c r="CG439" i="5"/>
  <c r="CF440" i="5"/>
  <c r="CC383" i="5"/>
  <c r="CB384" i="5"/>
  <c r="BR477" i="5" l="1"/>
  <c r="CH96" i="5"/>
  <c r="CK96" i="5"/>
  <c r="CJ96" i="5" s="1"/>
  <c r="X94" i="5"/>
  <c r="Y94" i="5" s="1"/>
  <c r="Z94" i="5" s="1"/>
  <c r="AD96" i="5"/>
  <c r="AE96" i="5" s="1"/>
  <c r="AZ462" i="5"/>
  <c r="BA463" i="5" s="1"/>
  <c r="BB462" i="5"/>
  <c r="CP96" i="5"/>
  <c r="CQ96" i="5" s="1"/>
  <c r="R96" i="5" s="1"/>
  <c r="S96" i="5" s="1"/>
  <c r="AM96" i="5"/>
  <c r="AL97" i="5" s="1"/>
  <c r="CV96" i="5"/>
  <c r="CT96" i="5"/>
  <c r="BN96" i="5"/>
  <c r="BO96" i="5" s="1"/>
  <c r="BP96" i="5" s="1"/>
  <c r="G96" i="5" s="1"/>
  <c r="W96" i="5"/>
  <c r="T96" i="5"/>
  <c r="U96" i="5" s="1"/>
  <c r="DA96" i="5"/>
  <c r="DB96" i="5" s="1"/>
  <c r="K96" i="5" s="1"/>
  <c r="I95" i="5"/>
  <c r="AH95" i="5" s="1"/>
  <c r="A418" i="6"/>
  <c r="B444" i="5"/>
  <c r="B419" i="6" s="1"/>
  <c r="CG440" i="5"/>
  <c r="CF441" i="5"/>
  <c r="CC384" i="5"/>
  <c r="CB385" i="5"/>
  <c r="BR478" i="5" l="1"/>
  <c r="H69" i="6"/>
  <c r="AZ463" i="5"/>
  <c r="BA464" i="5" s="1"/>
  <c r="BB463" i="5"/>
  <c r="AT95" i="5"/>
  <c r="AP95" i="5"/>
  <c r="P95" i="5"/>
  <c r="AY95" i="5" s="1"/>
  <c r="M95" i="5"/>
  <c r="AA94" i="5"/>
  <c r="I69" i="6" s="1"/>
  <c r="CN96" i="5"/>
  <c r="E96" i="5" s="1"/>
  <c r="CO96" i="5"/>
  <c r="F96" i="5" s="1"/>
  <c r="A419" i="6"/>
  <c r="B445" i="5"/>
  <c r="B420" i="6" s="1"/>
  <c r="CG441" i="5"/>
  <c r="CF442" i="5"/>
  <c r="CB386" i="5"/>
  <c r="CC385" i="5"/>
  <c r="BR479" i="5" l="1"/>
  <c r="AZ464" i="5"/>
  <c r="BA465" i="5" s="1"/>
  <c r="BB464" i="5"/>
  <c r="AO95" i="5"/>
  <c r="AR95" i="5" s="1"/>
  <c r="AG95" i="5"/>
  <c r="N95" i="5"/>
  <c r="AS95" i="5"/>
  <c r="AV95" i="5" s="1"/>
  <c r="C97" i="5"/>
  <c r="BU97" i="5" s="1"/>
  <c r="E71" i="6"/>
  <c r="D71" i="6"/>
  <c r="BC96" i="5"/>
  <c r="Q95" i="5"/>
  <c r="V95" i="5" s="1"/>
  <c r="F70" i="6"/>
  <c r="A420" i="6"/>
  <c r="B446" i="5"/>
  <c r="B421" i="6" s="1"/>
  <c r="CG442" i="5"/>
  <c r="CF443" i="5"/>
  <c r="CC386" i="5"/>
  <c r="CB387" i="5"/>
  <c r="BW96" i="5" l="1"/>
  <c r="BY96" i="5"/>
  <c r="J96" i="5" s="1"/>
  <c r="BV97" i="5"/>
  <c r="BT97" i="5"/>
  <c r="BS97" i="5"/>
  <c r="CI97" i="5"/>
  <c r="BR480" i="5"/>
  <c r="BH97" i="5"/>
  <c r="BI97" i="5" s="1"/>
  <c r="BJ97" i="5" s="1"/>
  <c r="AZ465" i="5"/>
  <c r="BA466" i="5" s="1"/>
  <c r="BB465" i="5"/>
  <c r="AJ95" i="5"/>
  <c r="G70" i="6"/>
  <c r="BD96" i="5"/>
  <c r="BE97" i="5" s="1"/>
  <c r="BF96" i="5"/>
  <c r="CZ96" i="5"/>
  <c r="CW97" i="5"/>
  <c r="CR97" i="5"/>
  <c r="CX97" i="5"/>
  <c r="CL97" i="5"/>
  <c r="CM97" i="5" s="1"/>
  <c r="AC97" i="5"/>
  <c r="AB97" i="5"/>
  <c r="DA97" i="5" s="1"/>
  <c r="DB97" i="5" s="1"/>
  <c r="CY97" i="5"/>
  <c r="D97" i="5"/>
  <c r="CS97" i="5"/>
  <c r="BK97" i="5"/>
  <c r="BL97" i="5" s="1"/>
  <c r="BM97" i="5" s="1"/>
  <c r="AK97" i="5"/>
  <c r="C72" i="6"/>
  <c r="BG96" i="5"/>
  <c r="H96" i="5" s="1"/>
  <c r="AX97" i="5"/>
  <c r="AW97" i="5" s="1"/>
  <c r="CU97" i="5"/>
  <c r="A421" i="6"/>
  <c r="B447" i="5"/>
  <c r="B422" i="6" s="1"/>
  <c r="CF444" i="5"/>
  <c r="CG443" i="5"/>
  <c r="CC387" i="5"/>
  <c r="CB388" i="5"/>
  <c r="AN96" i="5" l="1"/>
  <c r="AF96" i="5"/>
  <c r="BX97" i="5"/>
  <c r="BR481" i="5"/>
  <c r="CH97" i="5"/>
  <c r="CK97" i="5"/>
  <c r="CJ97" i="5" s="1"/>
  <c r="K97" i="5" s="1"/>
  <c r="AD97" i="5"/>
  <c r="AE97" i="5" s="1"/>
  <c r="AZ466" i="5"/>
  <c r="BA467" i="5" s="1"/>
  <c r="BB466" i="5"/>
  <c r="X95" i="5"/>
  <c r="Y95" i="5" s="1"/>
  <c r="CP97" i="5"/>
  <c r="CQ97" i="5" s="1"/>
  <c r="R97" i="5" s="1"/>
  <c r="S97" i="5" s="1"/>
  <c r="BN97" i="5"/>
  <c r="BO97" i="5" s="1"/>
  <c r="BP97" i="5" s="1"/>
  <c r="G97" i="5" s="1"/>
  <c r="T97" i="5"/>
  <c r="U97" i="5" s="1"/>
  <c r="W97" i="5"/>
  <c r="L97" i="5"/>
  <c r="CV97" i="5"/>
  <c r="CT97" i="5"/>
  <c r="I96" i="5"/>
  <c r="AH96" i="5" s="1"/>
  <c r="AM97" i="5"/>
  <c r="AL98" i="5" s="1"/>
  <c r="A422" i="6"/>
  <c r="B448" i="5"/>
  <c r="B423" i="6" s="1"/>
  <c r="CG444" i="5"/>
  <c r="CF445" i="5"/>
  <c r="CC388" i="5"/>
  <c r="CB389" i="5"/>
  <c r="BR482" i="5" l="1"/>
  <c r="AZ467" i="5"/>
  <c r="BA468" i="5" s="1"/>
  <c r="AZ468" i="5" s="1"/>
  <c r="BA469" i="5" s="1"/>
  <c r="BB467" i="5"/>
  <c r="Z95" i="5"/>
  <c r="AA95" i="5" s="1"/>
  <c r="I70" i="6" s="1"/>
  <c r="H70" i="6"/>
  <c r="AT96" i="5"/>
  <c r="AP96" i="5"/>
  <c r="P96" i="5"/>
  <c r="AY96" i="5" s="1"/>
  <c r="M96" i="5"/>
  <c r="AG96" i="5" s="1"/>
  <c r="AJ96" i="5" s="1"/>
  <c r="CN97" i="5"/>
  <c r="E97" i="5" s="1"/>
  <c r="CO97" i="5"/>
  <c r="F97" i="5" s="1"/>
  <c r="A423" i="6"/>
  <c r="B449" i="5"/>
  <c r="B424" i="6" s="1"/>
  <c r="CF446" i="5"/>
  <c r="CG445" i="5"/>
  <c r="CC389" i="5"/>
  <c r="CB390" i="5"/>
  <c r="BR483" i="5" l="1"/>
  <c r="AZ469" i="5"/>
  <c r="BA470" i="5" s="1"/>
  <c r="BB469" i="5"/>
  <c r="N96" i="5"/>
  <c r="AS96" i="5"/>
  <c r="AV96" i="5" s="1"/>
  <c r="AO96" i="5"/>
  <c r="F71" i="6"/>
  <c r="Q96" i="5"/>
  <c r="V96" i="5" s="1"/>
  <c r="E72" i="6"/>
  <c r="C98" i="5"/>
  <c r="BU98" i="5" s="1"/>
  <c r="D72" i="6"/>
  <c r="BC97" i="5"/>
  <c r="A424" i="6"/>
  <c r="B450" i="5"/>
  <c r="B425" i="6" s="1"/>
  <c r="CG446" i="5"/>
  <c r="CF447" i="5"/>
  <c r="CC390" i="5"/>
  <c r="CB391" i="5"/>
  <c r="BW97" i="5" l="1"/>
  <c r="BY97" i="5"/>
  <c r="J97" i="5" s="1"/>
  <c r="BV98" i="5"/>
  <c r="BT98" i="5"/>
  <c r="BS98" i="5"/>
  <c r="CI98" i="5"/>
  <c r="BR484" i="5"/>
  <c r="BH98" i="5"/>
  <c r="BI98" i="5" s="1"/>
  <c r="BJ98" i="5" s="1"/>
  <c r="AZ470" i="5"/>
  <c r="BA471" i="5" s="1"/>
  <c r="BB470" i="5"/>
  <c r="AR96" i="5"/>
  <c r="X96" i="5" s="1"/>
  <c r="Y96" i="5" s="1"/>
  <c r="CZ97" i="5"/>
  <c r="BF97" i="5"/>
  <c r="BD97" i="5"/>
  <c r="BE98" i="5" s="1"/>
  <c r="C73" i="6"/>
  <c r="CL98" i="5"/>
  <c r="CM98" i="5" s="1"/>
  <c r="CR98" i="5"/>
  <c r="D98" i="5"/>
  <c r="CW98" i="5"/>
  <c r="CX98" i="5"/>
  <c r="CS98" i="5"/>
  <c r="AC98" i="5"/>
  <c r="CY98" i="5"/>
  <c r="AB98" i="5"/>
  <c r="L98" i="5" s="1"/>
  <c r="AK98" i="5"/>
  <c r="BK98" i="5"/>
  <c r="BL98" i="5" s="1"/>
  <c r="BM98" i="5" s="1"/>
  <c r="BG97" i="5"/>
  <c r="H97" i="5" s="1"/>
  <c r="AX98" i="5"/>
  <c r="AW98" i="5" s="1"/>
  <c r="CU98" i="5"/>
  <c r="G71" i="6"/>
  <c r="A425" i="6"/>
  <c r="B451" i="5"/>
  <c r="B426" i="6" s="1"/>
  <c r="CF448" i="5"/>
  <c r="CG447" i="5"/>
  <c r="CC391" i="5"/>
  <c r="CB392" i="5"/>
  <c r="AN97" i="5" l="1"/>
  <c r="AF97" i="5"/>
  <c r="BX98" i="5"/>
  <c r="BR485" i="5"/>
  <c r="AD98" i="5"/>
  <c r="AE98" i="5" s="1"/>
  <c r="CK98" i="5"/>
  <c r="CJ98" i="5" s="1"/>
  <c r="CH98" i="5"/>
  <c r="AZ471" i="5"/>
  <c r="BA472" i="5" s="1"/>
  <c r="BB471" i="5"/>
  <c r="DA98" i="5"/>
  <c r="DB98" i="5" s="1"/>
  <c r="K98" i="5" s="1"/>
  <c r="I97" i="5"/>
  <c r="AM98" i="5"/>
  <c r="AL99" i="5" s="1"/>
  <c r="T98" i="5"/>
  <c r="U98" i="5" s="1"/>
  <c r="W98" i="5"/>
  <c r="H71" i="6"/>
  <c r="Z96" i="5"/>
  <c r="CV98" i="5"/>
  <c r="CT98" i="5"/>
  <c r="CP98" i="5"/>
  <c r="CQ98" i="5" s="1"/>
  <c r="R98" i="5" s="1"/>
  <c r="S98" i="5" s="1"/>
  <c r="BN98" i="5"/>
  <c r="BO98" i="5" s="1"/>
  <c r="BP98" i="5" s="1"/>
  <c r="G98" i="5" s="1"/>
  <c r="A426" i="6"/>
  <c r="B452" i="5"/>
  <c r="B427" i="6" s="1"/>
  <c r="CG448" i="5"/>
  <c r="CF449" i="5"/>
  <c r="CC392" i="5"/>
  <c r="CB393" i="5"/>
  <c r="AP97" i="5" l="1"/>
  <c r="BR486" i="5"/>
  <c r="AZ472" i="5"/>
  <c r="BA473" i="5" s="1"/>
  <c r="BB472" i="5"/>
  <c r="AH97" i="5"/>
  <c r="AT97" i="5"/>
  <c r="CO98" i="5"/>
  <c r="F98" i="5" s="1"/>
  <c r="CN98" i="5"/>
  <c r="E98" i="5" s="1"/>
  <c r="AA96" i="5"/>
  <c r="I71" i="6" s="1"/>
  <c r="M97" i="5"/>
  <c r="P97" i="5"/>
  <c r="AY97" i="5" s="1"/>
  <c r="A427" i="6"/>
  <c r="B453" i="5"/>
  <c r="B428" i="6" s="1"/>
  <c r="CG449" i="5"/>
  <c r="CF450" i="5"/>
  <c r="CC393" i="5"/>
  <c r="CB394" i="5"/>
  <c r="BY98" i="5" l="1"/>
  <c r="J98" i="5" s="1"/>
  <c r="AF98" i="5" s="1"/>
  <c r="BW98" i="5"/>
  <c r="BR487" i="5"/>
  <c r="AZ473" i="5"/>
  <c r="BA474" i="5" s="1"/>
  <c r="BB473" i="5"/>
  <c r="AO97" i="5"/>
  <c r="AR97" i="5" s="1"/>
  <c r="AG97" i="5"/>
  <c r="AJ97" i="5" s="1"/>
  <c r="N97" i="5"/>
  <c r="AS97" i="5"/>
  <c r="AV97" i="5" s="1"/>
  <c r="D73" i="6"/>
  <c r="BC98" i="5"/>
  <c r="C99" i="5"/>
  <c r="BU99" i="5" s="1"/>
  <c r="E73" i="6"/>
  <c r="F72" i="6"/>
  <c r="Q97" i="5"/>
  <c r="V97" i="5" s="1"/>
  <c r="G72" i="6" s="1"/>
  <c r="A428" i="6"/>
  <c r="B454" i="5"/>
  <c r="B429" i="6" s="1"/>
  <c r="CG450" i="5"/>
  <c r="CF451" i="5"/>
  <c r="CC394" i="5"/>
  <c r="CB395" i="5"/>
  <c r="AN98" i="5" l="1"/>
  <c r="BT99" i="5"/>
  <c r="BV99" i="5"/>
  <c r="BS99" i="5"/>
  <c r="CI99" i="5"/>
  <c r="BR488" i="5"/>
  <c r="BH99" i="5"/>
  <c r="BI99" i="5" s="1"/>
  <c r="BJ99" i="5" s="1"/>
  <c r="AZ474" i="5"/>
  <c r="BA475" i="5" s="1"/>
  <c r="BB474" i="5"/>
  <c r="X97" i="5"/>
  <c r="Y97" i="5" s="1"/>
  <c r="AB99" i="5"/>
  <c r="BN99" i="5" s="1"/>
  <c r="BO99" i="5" s="1"/>
  <c r="BP99" i="5" s="1"/>
  <c r="CR99" i="5"/>
  <c r="CS99" i="5"/>
  <c r="BK99" i="5"/>
  <c r="BL99" i="5" s="1"/>
  <c r="BM99" i="5" s="1"/>
  <c r="CW99" i="5"/>
  <c r="D99" i="5"/>
  <c r="C74" i="6"/>
  <c r="AK99" i="5"/>
  <c r="AM99" i="5" s="1"/>
  <c r="AL100" i="5" s="1"/>
  <c r="CY99" i="5"/>
  <c r="AC99" i="5"/>
  <c r="CX99" i="5"/>
  <c r="CL99" i="5"/>
  <c r="CM99" i="5" s="1"/>
  <c r="BG98" i="5"/>
  <c r="H98" i="5" s="1"/>
  <c r="AX99" i="5"/>
  <c r="AW99" i="5" s="1"/>
  <c r="CU99" i="5"/>
  <c r="BX99" i="5" s="1"/>
  <c r="BF98" i="5"/>
  <c r="CZ98" i="5"/>
  <c r="BD98" i="5"/>
  <c r="BE99" i="5" s="1"/>
  <c r="A429" i="6"/>
  <c r="B455" i="5"/>
  <c r="B430" i="6" s="1"/>
  <c r="CG451" i="5"/>
  <c r="CF452" i="5"/>
  <c r="CC395" i="5"/>
  <c r="CB396" i="5"/>
  <c r="G99" i="5" l="1"/>
  <c r="BR489" i="5"/>
  <c r="AD99" i="5"/>
  <c r="AE99" i="5" s="1"/>
  <c r="CH99" i="5"/>
  <c r="CK99" i="5"/>
  <c r="CJ99" i="5" s="1"/>
  <c r="AZ475" i="5"/>
  <c r="BA476" i="5" s="1"/>
  <c r="BB475" i="5"/>
  <c r="DA99" i="5"/>
  <c r="DB99" i="5" s="1"/>
  <c r="K99" i="5" s="1"/>
  <c r="L99" i="5"/>
  <c r="CP99" i="5"/>
  <c r="CQ99" i="5" s="1"/>
  <c r="R99" i="5" s="1"/>
  <c r="S99" i="5" s="1"/>
  <c r="T99" i="5"/>
  <c r="U99" i="5" s="1"/>
  <c r="W99" i="5"/>
  <c r="CV99" i="5"/>
  <c r="CT99" i="5"/>
  <c r="H72" i="6"/>
  <c r="Z97" i="5"/>
  <c r="I98" i="5"/>
  <c r="AH98" i="5" s="1"/>
  <c r="A430" i="6"/>
  <c r="B456" i="5"/>
  <c r="B431" i="6" s="1"/>
  <c r="CG452" i="5"/>
  <c r="CF453" i="5"/>
  <c r="CC396" i="5"/>
  <c r="CB397" i="5"/>
  <c r="BR490" i="5" l="1"/>
  <c r="AZ476" i="5"/>
  <c r="BA477" i="5" s="1"/>
  <c r="BB476" i="5"/>
  <c r="AT98" i="5"/>
  <c r="AP98" i="5"/>
  <c r="CO99" i="5"/>
  <c r="F99" i="5" s="1"/>
  <c r="CN99" i="5"/>
  <c r="E99" i="5" s="1"/>
  <c r="AA97" i="5"/>
  <c r="I72" i="6" s="1"/>
  <c r="P98" i="5"/>
  <c r="AY98" i="5" s="1"/>
  <c r="M98" i="5"/>
  <c r="A431" i="6"/>
  <c r="B457" i="5"/>
  <c r="B432" i="6" s="1"/>
  <c r="CG453" i="5"/>
  <c r="CF454" i="5"/>
  <c r="CC397" i="5"/>
  <c r="CB398" i="5"/>
  <c r="BW99" i="5" l="1"/>
  <c r="BR491" i="5"/>
  <c r="AZ477" i="5"/>
  <c r="BA478" i="5" s="1"/>
  <c r="BB477" i="5"/>
  <c r="AO98" i="5"/>
  <c r="AR98" i="5" s="1"/>
  <c r="AG98" i="5"/>
  <c r="Q98" i="5"/>
  <c r="V98" i="5" s="1"/>
  <c r="F73" i="6"/>
  <c r="N98" i="5"/>
  <c r="AS98" i="5"/>
  <c r="AV98" i="5" s="1"/>
  <c r="D74" i="6"/>
  <c r="BC99" i="5"/>
  <c r="E74" i="6"/>
  <c r="C100" i="5"/>
  <c r="BU100" i="5" s="1"/>
  <c r="A432" i="6"/>
  <c r="B458" i="5"/>
  <c r="B433" i="6" s="1"/>
  <c r="CG454" i="5"/>
  <c r="CF455" i="5"/>
  <c r="CC398" i="5"/>
  <c r="CB399" i="5"/>
  <c r="BY99" i="5" l="1"/>
  <c r="J99" i="5" s="1"/>
  <c r="BT100" i="5"/>
  <c r="BV100" i="5"/>
  <c r="BS100" i="5"/>
  <c r="CI100" i="5"/>
  <c r="BR492" i="5"/>
  <c r="BH100" i="5"/>
  <c r="BI100" i="5" s="1"/>
  <c r="BJ100" i="5" s="1"/>
  <c r="AZ478" i="5"/>
  <c r="BA479" i="5" s="1"/>
  <c r="BB478" i="5"/>
  <c r="AJ98" i="5"/>
  <c r="BD99" i="5"/>
  <c r="BE100" i="5" s="1"/>
  <c r="BF99" i="5"/>
  <c r="CZ99" i="5"/>
  <c r="CS100" i="5"/>
  <c r="CR100" i="5"/>
  <c r="AK100" i="5"/>
  <c r="AM100" i="5" s="1"/>
  <c r="AL101" i="5" s="1"/>
  <c r="D100" i="5"/>
  <c r="C75" i="6"/>
  <c r="CX100" i="5"/>
  <c r="CW100" i="5"/>
  <c r="AB100" i="5"/>
  <c r="BN100" i="5" s="1"/>
  <c r="BO100" i="5" s="1"/>
  <c r="BP100" i="5" s="1"/>
  <c r="AC100" i="5"/>
  <c r="AD100" i="5" s="1"/>
  <c r="CY100" i="5"/>
  <c r="BK100" i="5"/>
  <c r="BL100" i="5" s="1"/>
  <c r="BM100" i="5" s="1"/>
  <c r="CL100" i="5"/>
  <c r="CM100" i="5" s="1"/>
  <c r="BG99" i="5"/>
  <c r="H99" i="5" s="1"/>
  <c r="AX100" i="5"/>
  <c r="AW100" i="5" s="1"/>
  <c r="CU100" i="5"/>
  <c r="BX100" i="5" s="1"/>
  <c r="G73" i="6"/>
  <c r="A433" i="6"/>
  <c r="B459" i="5"/>
  <c r="B434" i="6" s="1"/>
  <c r="CG455" i="5"/>
  <c r="CF456" i="5"/>
  <c r="CB400" i="5"/>
  <c r="CC399" i="5"/>
  <c r="AF99" i="5" l="1"/>
  <c r="AN99" i="5"/>
  <c r="G100" i="5"/>
  <c r="BR493" i="5"/>
  <c r="CH100" i="5"/>
  <c r="CK100" i="5"/>
  <c r="CJ100" i="5" s="1"/>
  <c r="AZ479" i="5"/>
  <c r="BA480" i="5" s="1"/>
  <c r="BB479" i="5"/>
  <c r="X98" i="5"/>
  <c r="Y98" i="5" s="1"/>
  <c r="I99" i="5"/>
  <c r="CP100" i="5"/>
  <c r="CQ100" i="5" s="1"/>
  <c r="R100" i="5" s="1"/>
  <c r="S100" i="5" s="1"/>
  <c r="L100" i="5"/>
  <c r="AE100" i="5"/>
  <c r="CT100" i="5"/>
  <c r="CV100" i="5"/>
  <c r="DA100" i="5"/>
  <c r="DB100" i="5" s="1"/>
  <c r="T100" i="5"/>
  <c r="U100" i="5" s="1"/>
  <c r="W100" i="5"/>
  <c r="A434" i="6"/>
  <c r="B460" i="5"/>
  <c r="B435" i="6" s="1"/>
  <c r="CG456" i="5"/>
  <c r="CF457" i="5"/>
  <c r="CC400" i="5"/>
  <c r="CB401" i="5"/>
  <c r="K100" i="5" l="1"/>
  <c r="AH99" i="5"/>
  <c r="BR494" i="5"/>
  <c r="AZ480" i="5"/>
  <c r="BA481" i="5" s="1"/>
  <c r="BB480" i="5"/>
  <c r="Z98" i="5"/>
  <c r="AA98" i="5" s="1"/>
  <c r="I73" i="6" s="1"/>
  <c r="H73" i="6"/>
  <c r="CN100" i="5"/>
  <c r="E100" i="5" s="1"/>
  <c r="CO100" i="5"/>
  <c r="F100" i="5" s="1"/>
  <c r="AT99" i="5"/>
  <c r="AP99" i="5"/>
  <c r="P99" i="5"/>
  <c r="AY99" i="5" s="1"/>
  <c r="M99" i="5"/>
  <c r="AG99" i="5" s="1"/>
  <c r="A435" i="6"/>
  <c r="B461" i="5"/>
  <c r="B436" i="6" s="1"/>
  <c r="CG457" i="5"/>
  <c r="CF458" i="5"/>
  <c r="CC401" i="5"/>
  <c r="CB402" i="5"/>
  <c r="AJ99" i="5" l="1"/>
  <c r="BW100" i="5"/>
  <c r="BY100" i="5"/>
  <c r="J100" i="5" s="1"/>
  <c r="BR495" i="5"/>
  <c r="AZ481" i="5"/>
  <c r="BA482" i="5" s="1"/>
  <c r="BB481" i="5"/>
  <c r="D75" i="6"/>
  <c r="BC100" i="5"/>
  <c r="E75" i="6"/>
  <c r="C101" i="5"/>
  <c r="BU101" i="5" s="1"/>
  <c r="Q99" i="5"/>
  <c r="V99" i="5" s="1"/>
  <c r="F74" i="6"/>
  <c r="N99" i="5"/>
  <c r="AS99" i="5"/>
  <c r="AV99" i="5" s="1"/>
  <c r="AO99" i="5"/>
  <c r="A436" i="6"/>
  <c r="B462" i="5"/>
  <c r="B437" i="6" s="1"/>
  <c r="CG458" i="5"/>
  <c r="CF459" i="5"/>
  <c r="CC402" i="5"/>
  <c r="CB403" i="5"/>
  <c r="AF100" i="5" l="1"/>
  <c r="AN100" i="5"/>
  <c r="BT101" i="5"/>
  <c r="BV101" i="5"/>
  <c r="BS101" i="5"/>
  <c r="CI101" i="5"/>
  <c r="BR496" i="5"/>
  <c r="BH101" i="5"/>
  <c r="BI101" i="5" s="1"/>
  <c r="BJ101" i="5" s="1"/>
  <c r="AZ482" i="5"/>
  <c r="BA483" i="5" s="1"/>
  <c r="BB482" i="5"/>
  <c r="AR99" i="5"/>
  <c r="G74" i="6"/>
  <c r="D101" i="5"/>
  <c r="C76" i="6"/>
  <c r="CR101" i="5"/>
  <c r="CY101" i="5"/>
  <c r="CL101" i="5"/>
  <c r="CM101" i="5" s="1"/>
  <c r="AC101" i="5"/>
  <c r="CS101" i="5"/>
  <c r="CW101" i="5"/>
  <c r="AB101" i="5"/>
  <c r="BN101" i="5" s="1"/>
  <c r="BO101" i="5" s="1"/>
  <c r="BP101" i="5" s="1"/>
  <c r="CX101" i="5"/>
  <c r="BK101" i="5"/>
  <c r="BL101" i="5" s="1"/>
  <c r="BM101" i="5" s="1"/>
  <c r="AK101" i="5"/>
  <c r="BG100" i="5"/>
  <c r="H100" i="5" s="1"/>
  <c r="AX101" i="5"/>
  <c r="AW101" i="5" s="1"/>
  <c r="CU101" i="5"/>
  <c r="BX101" i="5" s="1"/>
  <c r="BD100" i="5"/>
  <c r="BE101" i="5" s="1"/>
  <c r="CZ100" i="5"/>
  <c r="BF100" i="5"/>
  <c r="A437" i="6"/>
  <c r="B463" i="5"/>
  <c r="B438" i="6" s="1"/>
  <c r="CF460" i="5"/>
  <c r="CG459" i="5"/>
  <c r="CB404" i="5"/>
  <c r="CC403" i="5"/>
  <c r="G101" i="5" l="1"/>
  <c r="BR497" i="5"/>
  <c r="CH101" i="5"/>
  <c r="CK101" i="5"/>
  <c r="CJ101" i="5" s="1"/>
  <c r="AZ483" i="5"/>
  <c r="BA484" i="5" s="1"/>
  <c r="BB483" i="5"/>
  <c r="X99" i="5"/>
  <c r="Y99" i="5" s="1"/>
  <c r="AD101" i="5"/>
  <c r="AE101" i="5" s="1"/>
  <c r="DA101" i="5"/>
  <c r="DB101" i="5" s="1"/>
  <c r="W101" i="5"/>
  <c r="T101" i="5"/>
  <c r="U101" i="5" s="1"/>
  <c r="CT101" i="5"/>
  <c r="CV101" i="5"/>
  <c r="L101" i="5"/>
  <c r="CP101" i="5"/>
  <c r="CQ101" i="5" s="1"/>
  <c r="R101" i="5" s="1"/>
  <c r="S101" i="5" s="1"/>
  <c r="I100" i="5"/>
  <c r="AT100" i="5" s="1"/>
  <c r="AM101" i="5"/>
  <c r="AL102" i="5" s="1"/>
  <c r="A438" i="6"/>
  <c r="B464" i="5"/>
  <c r="B439" i="6" s="1"/>
  <c r="CF461" i="5"/>
  <c r="CG460" i="5"/>
  <c r="CC404" i="5"/>
  <c r="CB405" i="5"/>
  <c r="K101" i="5" l="1"/>
  <c r="BR498" i="5"/>
  <c r="AZ484" i="5"/>
  <c r="BA485" i="5" s="1"/>
  <c r="BB484" i="5"/>
  <c r="Z99" i="5"/>
  <c r="AA99" i="5" s="1"/>
  <c r="I74" i="6" s="1"/>
  <c r="H74" i="6"/>
  <c r="AP100" i="5"/>
  <c r="AH100" i="5"/>
  <c r="M100" i="5"/>
  <c r="P100" i="5"/>
  <c r="AY100" i="5" s="1"/>
  <c r="CN101" i="5"/>
  <c r="E101" i="5" s="1"/>
  <c r="CO101" i="5"/>
  <c r="F101" i="5" s="1"/>
  <c r="A439" i="6"/>
  <c r="B465" i="5"/>
  <c r="B440" i="6" s="1"/>
  <c r="CF462" i="5"/>
  <c r="CG461" i="5"/>
  <c r="CC405" i="5"/>
  <c r="CB406" i="5"/>
  <c r="BR499" i="5" l="1"/>
  <c r="AZ485" i="5"/>
  <c r="BA486" i="5" s="1"/>
  <c r="BB485" i="5"/>
  <c r="AS100" i="5"/>
  <c r="AV100" i="5" s="1"/>
  <c r="AO100" i="5"/>
  <c r="N100" i="5"/>
  <c r="AG100" i="5"/>
  <c r="AJ100" i="5" s="1"/>
  <c r="D76" i="6"/>
  <c r="BC101" i="5"/>
  <c r="F75" i="6"/>
  <c r="Q100" i="5"/>
  <c r="V100" i="5" s="1"/>
  <c r="C102" i="5"/>
  <c r="BU102" i="5" s="1"/>
  <c r="E76" i="6"/>
  <c r="A440" i="6"/>
  <c r="B466" i="5"/>
  <c r="B441" i="6" s="1"/>
  <c r="CF463" i="5"/>
  <c r="CG462" i="5"/>
  <c r="CC406" i="5"/>
  <c r="CB407" i="5"/>
  <c r="BW101" i="5" l="1"/>
  <c r="BY101" i="5"/>
  <c r="J101" i="5" s="1"/>
  <c r="BV102" i="5"/>
  <c r="BT102" i="5"/>
  <c r="BS102" i="5"/>
  <c r="CI102" i="5"/>
  <c r="BR500" i="5"/>
  <c r="BH102" i="5"/>
  <c r="BI102" i="5" s="1"/>
  <c r="BJ102" i="5" s="1"/>
  <c r="AZ486" i="5"/>
  <c r="BA487" i="5" s="1"/>
  <c r="BB486" i="5"/>
  <c r="AR100" i="5"/>
  <c r="X100" i="5" s="1"/>
  <c r="CL102" i="5"/>
  <c r="CM102" i="5" s="1"/>
  <c r="CW102" i="5"/>
  <c r="C77" i="6"/>
  <c r="CR102" i="5"/>
  <c r="D102" i="5"/>
  <c r="AB102" i="5"/>
  <c r="DA102" i="5" s="1"/>
  <c r="DB102" i="5" s="1"/>
  <c r="AK102" i="5"/>
  <c r="CS102" i="5"/>
  <c r="CY102" i="5"/>
  <c r="AC102" i="5"/>
  <c r="CX102" i="5"/>
  <c r="BK102" i="5"/>
  <c r="BL102" i="5" s="1"/>
  <c r="BM102" i="5" s="1"/>
  <c r="BG101" i="5"/>
  <c r="H101" i="5" s="1"/>
  <c r="AX102" i="5"/>
  <c r="AW102" i="5" s="1"/>
  <c r="CU102" i="5"/>
  <c r="G75" i="6"/>
  <c r="BD101" i="5"/>
  <c r="BE102" i="5" s="1"/>
  <c r="BF101" i="5"/>
  <c r="CZ101" i="5"/>
  <c r="A441" i="6"/>
  <c r="B467" i="5"/>
  <c r="B442" i="6" s="1"/>
  <c r="CF464" i="5"/>
  <c r="CG463" i="5"/>
  <c r="CB408" i="5"/>
  <c r="CC407" i="5"/>
  <c r="AF101" i="5" l="1"/>
  <c r="AN101" i="5"/>
  <c r="BX102" i="5"/>
  <c r="BR501" i="5"/>
  <c r="CH102" i="5"/>
  <c r="CK102" i="5"/>
  <c r="CJ102" i="5" s="1"/>
  <c r="K102" i="5" s="1"/>
  <c r="AZ487" i="5"/>
  <c r="BA488" i="5" s="1"/>
  <c r="BB487" i="5"/>
  <c r="Y100" i="5"/>
  <c r="H75" i="6" s="1"/>
  <c r="AD102" i="5"/>
  <c r="AE102" i="5" s="1"/>
  <c r="CP102" i="5"/>
  <c r="CQ102" i="5" s="1"/>
  <c r="R102" i="5" s="1"/>
  <c r="S102" i="5" s="1"/>
  <c r="L102" i="5"/>
  <c r="BN102" i="5"/>
  <c r="BO102" i="5" s="1"/>
  <c r="BP102" i="5" s="1"/>
  <c r="G102" i="5" s="1"/>
  <c r="W102" i="5"/>
  <c r="T102" i="5"/>
  <c r="U102" i="5" s="1"/>
  <c r="CT102" i="5"/>
  <c r="CV102" i="5"/>
  <c r="I101" i="5"/>
  <c r="AP101" i="5" s="1"/>
  <c r="AM102" i="5"/>
  <c r="AL103" i="5" s="1"/>
  <c r="A442" i="6"/>
  <c r="B468" i="5"/>
  <c r="B443" i="6" s="1"/>
  <c r="CF465" i="5"/>
  <c r="CG464" i="5"/>
  <c r="CC408" i="5"/>
  <c r="CB409" i="5"/>
  <c r="Z100" i="5" l="1"/>
  <c r="AA100" i="5" s="1"/>
  <c r="I75" i="6" s="1"/>
  <c r="BR502" i="5"/>
  <c r="AZ488" i="5"/>
  <c r="BA489" i="5" s="1"/>
  <c r="BB488" i="5"/>
  <c r="AH101" i="5"/>
  <c r="AT101" i="5"/>
  <c r="P101" i="5"/>
  <c r="AY101" i="5" s="1"/>
  <c r="M101" i="5"/>
  <c r="CN102" i="5"/>
  <c r="E102" i="5" s="1"/>
  <c r="CO102" i="5"/>
  <c r="F102" i="5" s="1"/>
  <c r="A443" i="6"/>
  <c r="B469" i="5"/>
  <c r="B444" i="6" s="1"/>
  <c r="CG465" i="5"/>
  <c r="CF466" i="5"/>
  <c r="CC409" i="5"/>
  <c r="CB410" i="5"/>
  <c r="BW102" i="5" l="1"/>
  <c r="BR503" i="5"/>
  <c r="AZ489" i="5"/>
  <c r="BA490" i="5" s="1"/>
  <c r="AZ490" i="5" s="1"/>
  <c r="BA491" i="5" s="1"/>
  <c r="BB489" i="5"/>
  <c r="AS101" i="5"/>
  <c r="AV101" i="5" s="1"/>
  <c r="AO101" i="5"/>
  <c r="AR101" i="5" s="1"/>
  <c r="D77" i="6"/>
  <c r="BC102" i="5"/>
  <c r="F76" i="6"/>
  <c r="Q101" i="5"/>
  <c r="V101" i="5" s="1"/>
  <c r="AG101" i="5"/>
  <c r="N101" i="5"/>
  <c r="E77" i="6"/>
  <c r="C103" i="5"/>
  <c r="BU103" i="5" s="1"/>
  <c r="A444" i="6"/>
  <c r="B470" i="5"/>
  <c r="B445" i="6" s="1"/>
  <c r="CG466" i="5"/>
  <c r="CF467" i="5"/>
  <c r="CC410" i="5"/>
  <c r="CB411" i="5"/>
  <c r="BY102" i="5" l="1"/>
  <c r="J102" i="5" s="1"/>
  <c r="BV103" i="5"/>
  <c r="BT103" i="5"/>
  <c r="BS103" i="5"/>
  <c r="CI103" i="5"/>
  <c r="BR504" i="5"/>
  <c r="BH103" i="5"/>
  <c r="BI103" i="5" s="1"/>
  <c r="BJ103" i="5" s="1"/>
  <c r="AZ491" i="5"/>
  <c r="BA492" i="5" s="1"/>
  <c r="BB491" i="5"/>
  <c r="AC103" i="5"/>
  <c r="BK103" i="5"/>
  <c r="BL103" i="5" s="1"/>
  <c r="BM103" i="5" s="1"/>
  <c r="CW103" i="5"/>
  <c r="C78" i="6"/>
  <c r="AK103" i="5"/>
  <c r="CL103" i="5"/>
  <c r="CM103" i="5" s="1"/>
  <c r="CR103" i="5"/>
  <c r="AB103" i="5"/>
  <c r="BN103" i="5" s="1"/>
  <c r="BO103" i="5" s="1"/>
  <c r="BP103" i="5" s="1"/>
  <c r="CS103" i="5"/>
  <c r="D103" i="5"/>
  <c r="CY103" i="5"/>
  <c r="CX103" i="5"/>
  <c r="BG102" i="5"/>
  <c r="H102" i="5" s="1"/>
  <c r="AX103" i="5"/>
  <c r="AW103" i="5" s="1"/>
  <c r="CU103" i="5"/>
  <c r="BX103" i="5" s="1"/>
  <c r="AJ101" i="5"/>
  <c r="G76" i="6"/>
  <c r="BD102" i="5"/>
  <c r="BE103" i="5" s="1"/>
  <c r="BF102" i="5"/>
  <c r="CZ102" i="5"/>
  <c r="A445" i="6"/>
  <c r="B471" i="5"/>
  <c r="B446" i="6" s="1"/>
  <c r="CG467" i="5"/>
  <c r="CF468" i="5"/>
  <c r="CB412" i="5"/>
  <c r="CC411" i="5"/>
  <c r="AN102" i="5" l="1"/>
  <c r="AF102" i="5"/>
  <c r="G103" i="5"/>
  <c r="BR505" i="5"/>
  <c r="CK103" i="5"/>
  <c r="CJ103" i="5" s="1"/>
  <c r="CH103" i="5"/>
  <c r="AZ492" i="5"/>
  <c r="BA493" i="5" s="1"/>
  <c r="BB492" i="5"/>
  <c r="X101" i="5"/>
  <c r="Y101" i="5" s="1"/>
  <c r="AD103" i="5"/>
  <c r="AE103" i="5" s="1"/>
  <c r="L103" i="5"/>
  <c r="DA103" i="5"/>
  <c r="DB103" i="5" s="1"/>
  <c r="K103" i="5" s="1"/>
  <c r="CT103" i="5"/>
  <c r="CV103" i="5"/>
  <c r="AM103" i="5"/>
  <c r="AL104" i="5" s="1"/>
  <c r="I102" i="5"/>
  <c r="T103" i="5"/>
  <c r="U103" i="5" s="1"/>
  <c r="W103" i="5"/>
  <c r="CP103" i="5"/>
  <c r="CQ103" i="5" s="1"/>
  <c r="R103" i="5" s="1"/>
  <c r="S103" i="5" s="1"/>
  <c r="A446" i="6"/>
  <c r="B472" i="5"/>
  <c r="B447" i="6" s="1"/>
  <c r="CG468" i="5"/>
  <c r="CF469" i="5"/>
  <c r="CC412" i="5"/>
  <c r="CB413" i="5"/>
  <c r="AH102" i="5" l="1"/>
  <c r="BR506" i="5"/>
  <c r="AZ493" i="5"/>
  <c r="BA494" i="5" s="1"/>
  <c r="BB493" i="5"/>
  <c r="H76" i="6"/>
  <c r="Z101" i="5"/>
  <c r="AA101" i="5" s="1"/>
  <c r="I76" i="6" s="1"/>
  <c r="M102" i="5"/>
  <c r="AG102" i="5" s="1"/>
  <c r="AJ102" i="5" s="1"/>
  <c r="P102" i="5"/>
  <c r="AY102" i="5" s="1"/>
  <c r="AT102" i="5"/>
  <c r="AP102" i="5"/>
  <c r="CN103" i="5"/>
  <c r="E103" i="5" s="1"/>
  <c r="CO103" i="5"/>
  <c r="F103" i="5" s="1"/>
  <c r="A447" i="6"/>
  <c r="B473" i="5"/>
  <c r="B448" i="6" s="1"/>
  <c r="CG469" i="5"/>
  <c r="CF470" i="5"/>
  <c r="CC413" i="5"/>
  <c r="CB414" i="5"/>
  <c r="BY103" i="5" l="1"/>
  <c r="J103" i="5" s="1"/>
  <c r="BR507" i="5"/>
  <c r="AZ494" i="5"/>
  <c r="BA495" i="5" s="1"/>
  <c r="BB494" i="5"/>
  <c r="E78" i="6"/>
  <c r="C104" i="5"/>
  <c r="BU104" i="5" s="1"/>
  <c r="Q102" i="5"/>
  <c r="V102" i="5" s="1"/>
  <c r="F77" i="6"/>
  <c r="D78" i="6"/>
  <c r="BC103" i="5"/>
  <c r="N102" i="5"/>
  <c r="AS102" i="5"/>
  <c r="AV102" i="5" s="1"/>
  <c r="AO102" i="5"/>
  <c r="AR102" i="5" s="1"/>
  <c r="A448" i="6"/>
  <c r="B474" i="5"/>
  <c r="B449" i="6" s="1"/>
  <c r="CG470" i="5"/>
  <c r="CF471" i="5"/>
  <c r="CC414" i="5"/>
  <c r="CB415" i="5"/>
  <c r="AN103" i="5" l="1"/>
  <c r="AF103" i="5"/>
  <c r="BW103" i="5"/>
  <c r="BT104" i="5"/>
  <c r="BV104" i="5"/>
  <c r="BS104" i="5"/>
  <c r="CI104" i="5"/>
  <c r="BR508" i="5"/>
  <c r="BH104" i="5"/>
  <c r="BI104" i="5" s="1"/>
  <c r="BJ104" i="5" s="1"/>
  <c r="AZ495" i="5"/>
  <c r="BA496" i="5" s="1"/>
  <c r="BB495" i="5"/>
  <c r="X102" i="5"/>
  <c r="Y102" i="5" s="1"/>
  <c r="CZ103" i="5"/>
  <c r="BF103" i="5"/>
  <c r="BD103" i="5"/>
  <c r="BE104" i="5" s="1"/>
  <c r="G77" i="6"/>
  <c r="CS104" i="5"/>
  <c r="BK104" i="5"/>
  <c r="BL104" i="5" s="1"/>
  <c r="BM104" i="5" s="1"/>
  <c r="CX104" i="5"/>
  <c r="CL104" i="5"/>
  <c r="CM104" i="5" s="1"/>
  <c r="AC104" i="5"/>
  <c r="AD104" i="5" s="1"/>
  <c r="AB104" i="5"/>
  <c r="DA104" i="5" s="1"/>
  <c r="DB104" i="5" s="1"/>
  <c r="CW104" i="5"/>
  <c r="C79" i="6"/>
  <c r="D104" i="5"/>
  <c r="CY104" i="5"/>
  <c r="CR104" i="5"/>
  <c r="AK104" i="5"/>
  <c r="AM104" i="5" s="1"/>
  <c r="AL105" i="5" s="1"/>
  <c r="BG103" i="5"/>
  <c r="H103" i="5" s="1"/>
  <c r="AX104" i="5"/>
  <c r="AW104" i="5" s="1"/>
  <c r="CU104" i="5"/>
  <c r="A449" i="6"/>
  <c r="B475" i="5"/>
  <c r="B450" i="6" s="1"/>
  <c r="CG471" i="5"/>
  <c r="CF472" i="5"/>
  <c r="CB416" i="5"/>
  <c r="CC415" i="5"/>
  <c r="BX104" i="5" l="1"/>
  <c r="BR509" i="5"/>
  <c r="CH104" i="5"/>
  <c r="CK104" i="5"/>
  <c r="CJ104" i="5" s="1"/>
  <c r="K104" i="5" s="1"/>
  <c r="AZ496" i="5"/>
  <c r="BA497" i="5" s="1"/>
  <c r="BB496" i="5"/>
  <c r="BN104" i="5"/>
  <c r="BO104" i="5" s="1"/>
  <c r="BP104" i="5" s="1"/>
  <c r="G104" i="5" s="1"/>
  <c r="CP104" i="5"/>
  <c r="CQ104" i="5" s="1"/>
  <c r="R104" i="5" s="1"/>
  <c r="S104" i="5" s="1"/>
  <c r="L104" i="5"/>
  <c r="CT104" i="5"/>
  <c r="CV104" i="5"/>
  <c r="H77" i="6"/>
  <c r="Z102" i="5"/>
  <c r="I103" i="5"/>
  <c r="AH103" i="5" s="1"/>
  <c r="AE104" i="5"/>
  <c r="T104" i="5"/>
  <c r="U104" i="5" s="1"/>
  <c r="W104" i="5"/>
  <c r="A450" i="6"/>
  <c r="B476" i="5"/>
  <c r="B451" i="6" s="1"/>
  <c r="CG472" i="5"/>
  <c r="CF473" i="5"/>
  <c r="CC416" i="5"/>
  <c r="CB417" i="5"/>
  <c r="BR510" i="5" l="1"/>
  <c r="AZ497" i="5"/>
  <c r="BA498" i="5" s="1"/>
  <c r="BB497" i="5"/>
  <c r="AT103" i="5"/>
  <c r="AP103" i="5"/>
  <c r="AA102" i="5"/>
  <c r="I77" i="6" s="1"/>
  <c r="CN104" i="5"/>
  <c r="E104" i="5" s="1"/>
  <c r="CO104" i="5"/>
  <c r="F104" i="5" s="1"/>
  <c r="M103" i="5"/>
  <c r="P103" i="5"/>
  <c r="AY103" i="5" s="1"/>
  <c r="A451" i="6"/>
  <c r="B477" i="5"/>
  <c r="B452" i="6" s="1"/>
  <c r="CG473" i="5"/>
  <c r="CF474" i="5"/>
  <c r="CC417" i="5"/>
  <c r="CB418" i="5"/>
  <c r="BW104" i="5" l="1"/>
  <c r="BY104" i="5"/>
  <c r="J104" i="5" s="1"/>
  <c r="BR511" i="5"/>
  <c r="AZ498" i="5"/>
  <c r="BA499" i="5" s="1"/>
  <c r="BB498" i="5"/>
  <c r="AO103" i="5"/>
  <c r="AR103" i="5" s="1"/>
  <c r="AG103" i="5"/>
  <c r="AJ103" i="5" s="1"/>
  <c r="BC104" i="5"/>
  <c r="D79" i="6"/>
  <c r="E79" i="6"/>
  <c r="C105" i="5"/>
  <c r="BU105" i="5" s="1"/>
  <c r="Q103" i="5"/>
  <c r="V103" i="5" s="1"/>
  <c r="F78" i="6"/>
  <c r="N103" i="5"/>
  <c r="AS103" i="5"/>
  <c r="AV103" i="5" s="1"/>
  <c r="A452" i="6"/>
  <c r="B478" i="5"/>
  <c r="B453" i="6" s="1"/>
  <c r="CF475" i="5"/>
  <c r="CG474" i="5"/>
  <c r="CC418" i="5"/>
  <c r="CB419" i="5"/>
  <c r="AN104" i="5" l="1"/>
  <c r="AF104" i="5"/>
  <c r="BV105" i="5"/>
  <c r="BT105" i="5"/>
  <c r="BS105" i="5"/>
  <c r="CI105" i="5"/>
  <c r="BR512" i="5"/>
  <c r="BH105" i="5"/>
  <c r="BI105" i="5" s="1"/>
  <c r="BJ105" i="5" s="1"/>
  <c r="AZ499" i="5"/>
  <c r="BA500" i="5" s="1"/>
  <c r="BB499" i="5"/>
  <c r="X103" i="5"/>
  <c r="Y103" i="5" s="1"/>
  <c r="G78" i="6"/>
  <c r="AC105" i="5"/>
  <c r="AD105" i="5" s="1"/>
  <c r="C80" i="6"/>
  <c r="D105" i="5"/>
  <c r="CL105" i="5"/>
  <c r="CM105" i="5" s="1"/>
  <c r="CS105" i="5"/>
  <c r="AB105" i="5"/>
  <c r="L105" i="5" s="1"/>
  <c r="AK105" i="5"/>
  <c r="CR105" i="5"/>
  <c r="BK105" i="5"/>
  <c r="BL105" i="5" s="1"/>
  <c r="BM105" i="5" s="1"/>
  <c r="CW105" i="5"/>
  <c r="CY105" i="5"/>
  <c r="CX105" i="5"/>
  <c r="BG104" i="5"/>
  <c r="H104" i="5" s="1"/>
  <c r="AX105" i="5"/>
  <c r="AW105" i="5" s="1"/>
  <c r="CU105" i="5"/>
  <c r="BX105" i="5" s="1"/>
  <c r="BF104" i="5"/>
  <c r="CZ104" i="5"/>
  <c r="BD104" i="5"/>
  <c r="BE105" i="5" s="1"/>
  <c r="A453" i="6"/>
  <c r="B479" i="5"/>
  <c r="B454" i="6" s="1"/>
  <c r="CG475" i="5"/>
  <c r="CF476" i="5"/>
  <c r="CB420" i="5"/>
  <c r="CC419" i="5"/>
  <c r="BR513" i="5" l="1"/>
  <c r="CH105" i="5"/>
  <c r="CK105" i="5"/>
  <c r="CJ105" i="5" s="1"/>
  <c r="AZ500" i="5"/>
  <c r="BA501" i="5" s="1"/>
  <c r="BB500" i="5"/>
  <c r="CP105" i="5"/>
  <c r="CQ105" i="5" s="1"/>
  <c r="R105" i="5" s="1"/>
  <c r="S105" i="5" s="1"/>
  <c r="DA105" i="5"/>
  <c r="DB105" i="5" s="1"/>
  <c r="I104" i="5"/>
  <c r="W105" i="5"/>
  <c r="T105" i="5"/>
  <c r="U105" i="5" s="1"/>
  <c r="AE105" i="5"/>
  <c r="H78" i="6"/>
  <c r="Z103" i="5"/>
  <c r="CV105" i="5"/>
  <c r="CT105" i="5"/>
  <c r="BN105" i="5"/>
  <c r="BO105" i="5" s="1"/>
  <c r="BP105" i="5" s="1"/>
  <c r="G105" i="5" s="1"/>
  <c r="AM105" i="5"/>
  <c r="AL106" i="5" s="1"/>
  <c r="A454" i="6"/>
  <c r="B480" i="5"/>
  <c r="B455" i="6" s="1"/>
  <c r="CF477" i="5"/>
  <c r="CG476" i="5"/>
  <c r="CC420" i="5"/>
  <c r="CB421" i="5"/>
  <c r="K105" i="5" l="1"/>
  <c r="BR514" i="5"/>
  <c r="AZ501" i="5"/>
  <c r="BA502" i="5" s="1"/>
  <c r="BB501" i="5"/>
  <c r="CN105" i="5"/>
  <c r="E105" i="5" s="1"/>
  <c r="CO105" i="5"/>
  <c r="F105" i="5" s="1"/>
  <c r="AA103" i="5"/>
  <c r="I78" i="6" s="1"/>
  <c r="P104" i="5"/>
  <c r="AY104" i="5" s="1"/>
  <c r="M104" i="5"/>
  <c r="AG104" i="5" s="1"/>
  <c r="AH104" i="5"/>
  <c r="AT104" i="5"/>
  <c r="AP104" i="5"/>
  <c r="A455" i="6"/>
  <c r="B481" i="5"/>
  <c r="B456" i="6" s="1"/>
  <c r="CG477" i="5"/>
  <c r="CF478" i="5"/>
  <c r="CC421" i="5"/>
  <c r="CB422" i="5"/>
  <c r="BW105" i="5" l="1"/>
  <c r="BR515" i="5"/>
  <c r="AZ502" i="5"/>
  <c r="BA503" i="5" s="1"/>
  <c r="BB502" i="5"/>
  <c r="AJ104" i="5"/>
  <c r="N104" i="5"/>
  <c r="AS104" i="5"/>
  <c r="AV104" i="5" s="1"/>
  <c r="AO104" i="5"/>
  <c r="F79" i="6"/>
  <c r="Q104" i="5"/>
  <c r="V104" i="5" s="1"/>
  <c r="E80" i="6"/>
  <c r="C106" i="5"/>
  <c r="BU106" i="5" s="1"/>
  <c r="BC105" i="5"/>
  <c r="D80" i="6"/>
  <c r="A456" i="6"/>
  <c r="B482" i="5"/>
  <c r="B457" i="6" s="1"/>
  <c r="CG478" i="5"/>
  <c r="CF479" i="5"/>
  <c r="CC422" i="5"/>
  <c r="CB423" i="5"/>
  <c r="BY105" i="5" l="1"/>
  <c r="J105" i="5" s="1"/>
  <c r="BV106" i="5"/>
  <c r="BT106" i="5"/>
  <c r="BS106" i="5"/>
  <c r="CI106" i="5"/>
  <c r="BR516" i="5"/>
  <c r="BH106" i="5"/>
  <c r="BI106" i="5" s="1"/>
  <c r="BJ106" i="5" s="1"/>
  <c r="AZ503" i="5"/>
  <c r="BA504" i="5" s="1"/>
  <c r="BB503" i="5"/>
  <c r="CY106" i="5"/>
  <c r="AC106" i="5"/>
  <c r="AK106" i="5"/>
  <c r="AM106" i="5" s="1"/>
  <c r="AL107" i="5" s="1"/>
  <c r="D106" i="5"/>
  <c r="CW106" i="5"/>
  <c r="CR106" i="5"/>
  <c r="CS106" i="5"/>
  <c r="CL106" i="5"/>
  <c r="CM106" i="5" s="1"/>
  <c r="C81" i="6"/>
  <c r="CX106" i="5"/>
  <c r="BK106" i="5"/>
  <c r="BL106" i="5" s="1"/>
  <c r="BM106" i="5" s="1"/>
  <c r="AB106" i="5"/>
  <c r="CP106" i="5" s="1"/>
  <c r="CQ106" i="5" s="1"/>
  <c r="R106" i="5" s="1"/>
  <c r="S106" i="5" s="1"/>
  <c r="BG105" i="5"/>
  <c r="H105" i="5" s="1"/>
  <c r="AX106" i="5"/>
  <c r="AW106" i="5" s="1"/>
  <c r="CU106" i="5"/>
  <c r="BX106" i="5" s="1"/>
  <c r="G79" i="6"/>
  <c r="AR104" i="5"/>
  <c r="BF105" i="5"/>
  <c r="BD105" i="5"/>
  <c r="BE106" i="5" s="1"/>
  <c r="CZ105" i="5"/>
  <c r="A457" i="6"/>
  <c r="B483" i="5"/>
  <c r="B458" i="6" s="1"/>
  <c r="CG479" i="5"/>
  <c r="CF480" i="5"/>
  <c r="CB424" i="5"/>
  <c r="CC423" i="5"/>
  <c r="AN105" i="5" l="1"/>
  <c r="AF105" i="5"/>
  <c r="BR517" i="5"/>
  <c r="CK106" i="5"/>
  <c r="CJ106" i="5" s="1"/>
  <c r="CH106" i="5"/>
  <c r="AZ504" i="5"/>
  <c r="BA505" i="5" s="1"/>
  <c r="BB504" i="5"/>
  <c r="X104" i="5"/>
  <c r="Y104" i="5" s="1"/>
  <c r="AD106" i="5"/>
  <c r="AE106" i="5" s="1"/>
  <c r="DA106" i="5"/>
  <c r="DB106" i="5" s="1"/>
  <c r="BN106" i="5"/>
  <c r="BO106" i="5" s="1"/>
  <c r="BP106" i="5" s="1"/>
  <c r="G106" i="5" s="1"/>
  <c r="CV106" i="5"/>
  <c r="CT106" i="5"/>
  <c r="I105" i="5"/>
  <c r="AH105" i="5" s="1"/>
  <c r="T106" i="5"/>
  <c r="U106" i="5" s="1"/>
  <c r="W106" i="5"/>
  <c r="L106" i="5"/>
  <c r="A458" i="6"/>
  <c r="B484" i="5"/>
  <c r="B459" i="6" s="1"/>
  <c r="CF481" i="5"/>
  <c r="CG480" i="5"/>
  <c r="CC424" i="5"/>
  <c r="CB425" i="5"/>
  <c r="K106" i="5" l="1"/>
  <c r="BR518" i="5"/>
  <c r="AZ505" i="5"/>
  <c r="BA506" i="5" s="1"/>
  <c r="BB505" i="5"/>
  <c r="Z104" i="5"/>
  <c r="AA104" i="5" s="1"/>
  <c r="I79" i="6" s="1"/>
  <c r="H79" i="6"/>
  <c r="AT105" i="5"/>
  <c r="AP105" i="5"/>
  <c r="CN106" i="5"/>
  <c r="E106" i="5" s="1"/>
  <c r="CO106" i="5"/>
  <c r="F106" i="5" s="1"/>
  <c r="P105" i="5"/>
  <c r="AY105" i="5" s="1"/>
  <c r="M105" i="5"/>
  <c r="A459" i="6"/>
  <c r="B485" i="5"/>
  <c r="B460" i="6" s="1"/>
  <c r="CF482" i="5"/>
  <c r="CG481" i="5"/>
  <c r="CC425" i="5"/>
  <c r="CB426" i="5"/>
  <c r="BY106" i="5" l="1"/>
  <c r="J106" i="5" s="1"/>
  <c r="AF106" i="5" s="1"/>
  <c r="BW106" i="5"/>
  <c r="BR519" i="5"/>
  <c r="AZ506" i="5"/>
  <c r="BA507" i="5" s="1"/>
  <c r="BB506" i="5"/>
  <c r="AO105" i="5"/>
  <c r="AR105" i="5" s="1"/>
  <c r="AG105" i="5"/>
  <c r="N105" i="5"/>
  <c r="AS105" i="5"/>
  <c r="AV105" i="5" s="1"/>
  <c r="Q105" i="5"/>
  <c r="V105" i="5" s="1"/>
  <c r="F80" i="6"/>
  <c r="E81" i="6"/>
  <c r="C107" i="5"/>
  <c r="BU107" i="5" s="1"/>
  <c r="BC106" i="5"/>
  <c r="D81" i="6"/>
  <c r="A460" i="6"/>
  <c r="B486" i="5"/>
  <c r="B461" i="6" s="1"/>
  <c r="CG482" i="5"/>
  <c r="CF483" i="5"/>
  <c r="CC426" i="5"/>
  <c r="CB427" i="5"/>
  <c r="AN106" i="5" l="1"/>
  <c r="BT107" i="5"/>
  <c r="BV107" i="5"/>
  <c r="BS107" i="5"/>
  <c r="CI107" i="5"/>
  <c r="BR520" i="5"/>
  <c r="BH107" i="5"/>
  <c r="BI107" i="5" s="1"/>
  <c r="BJ107" i="5" s="1"/>
  <c r="AZ507" i="5"/>
  <c r="BA508" i="5" s="1"/>
  <c r="BB507" i="5"/>
  <c r="AJ105" i="5"/>
  <c r="BD106" i="5"/>
  <c r="BE107" i="5" s="1"/>
  <c r="CZ106" i="5"/>
  <c r="BF106" i="5"/>
  <c r="D107" i="5"/>
  <c r="C82" i="6"/>
  <c r="AB107" i="5"/>
  <c r="L107" i="5" s="1"/>
  <c r="CY107" i="5"/>
  <c r="CX107" i="5"/>
  <c r="CW107" i="5"/>
  <c r="BK107" i="5"/>
  <c r="BL107" i="5" s="1"/>
  <c r="BM107" i="5" s="1"/>
  <c r="AK107" i="5"/>
  <c r="CL107" i="5"/>
  <c r="CM107" i="5" s="1"/>
  <c r="AC107" i="5"/>
  <c r="CR107" i="5"/>
  <c r="CS107" i="5"/>
  <c r="BG106" i="5"/>
  <c r="H106" i="5" s="1"/>
  <c r="AX107" i="5"/>
  <c r="AW107" i="5" s="1"/>
  <c r="CU107" i="5"/>
  <c r="BX107" i="5" s="1"/>
  <c r="G80" i="6"/>
  <c r="A461" i="6"/>
  <c r="B487" i="5"/>
  <c r="B462" i="6" s="1"/>
  <c r="CG483" i="5"/>
  <c r="CF484" i="5"/>
  <c r="CC427" i="5"/>
  <c r="CB428" i="5"/>
  <c r="BR521" i="5" l="1"/>
  <c r="AD107" i="5"/>
  <c r="AE107" i="5" s="1"/>
  <c r="AD108" i="5" s="1"/>
  <c r="CH107" i="5"/>
  <c r="CK107" i="5"/>
  <c r="CJ107" i="5" s="1"/>
  <c r="AZ508" i="5"/>
  <c r="BA509" i="5" s="1"/>
  <c r="BB508" i="5"/>
  <c r="X105" i="5"/>
  <c r="Y105" i="5" s="1"/>
  <c r="DA107" i="5"/>
  <c r="DB107" i="5" s="1"/>
  <c r="CP107" i="5"/>
  <c r="CQ107" i="5" s="1"/>
  <c r="R107" i="5" s="1"/>
  <c r="S107" i="5" s="1"/>
  <c r="I106" i="5"/>
  <c r="AH106" i="5" s="1"/>
  <c r="AM107" i="5"/>
  <c r="AL108" i="5" s="1"/>
  <c r="T107" i="5"/>
  <c r="U107" i="5" s="1"/>
  <c r="W107" i="5"/>
  <c r="CT107" i="5"/>
  <c r="CV107" i="5"/>
  <c r="BN107" i="5"/>
  <c r="BO107" i="5" s="1"/>
  <c r="BP107" i="5" s="1"/>
  <c r="G107" i="5" s="1"/>
  <c r="A462" i="6"/>
  <c r="B488" i="5"/>
  <c r="B463" i="6" s="1"/>
  <c r="CG484" i="5"/>
  <c r="CF485" i="5"/>
  <c r="CC428" i="5"/>
  <c r="CB429" i="5"/>
  <c r="K107" i="5" l="1"/>
  <c r="BR522" i="5"/>
  <c r="AZ509" i="5"/>
  <c r="BA510" i="5" s="1"/>
  <c r="BB509" i="5"/>
  <c r="Z105" i="5"/>
  <c r="AA105" i="5" s="1"/>
  <c r="I80" i="6" s="1"/>
  <c r="H80" i="6"/>
  <c r="AT106" i="5"/>
  <c r="AP106" i="5"/>
  <c r="CN107" i="5"/>
  <c r="E107" i="5" s="1"/>
  <c r="CO107" i="5"/>
  <c r="F107" i="5" s="1"/>
  <c r="M106" i="5"/>
  <c r="AG106" i="5" s="1"/>
  <c r="AJ106" i="5" s="1"/>
  <c r="P106" i="5"/>
  <c r="AY106" i="5" s="1"/>
  <c r="A463" i="6"/>
  <c r="B489" i="5"/>
  <c r="B464" i="6" s="1"/>
  <c r="CF486" i="5"/>
  <c r="CG485" i="5"/>
  <c r="CC429" i="5"/>
  <c r="CB430" i="5"/>
  <c r="BR523" i="5" l="1"/>
  <c r="AZ510" i="5"/>
  <c r="BA511" i="5" s="1"/>
  <c r="BB510" i="5"/>
  <c r="D82" i="6"/>
  <c r="BC107" i="5"/>
  <c r="F81" i="6"/>
  <c r="Q106" i="5"/>
  <c r="V106" i="5" s="1"/>
  <c r="N106" i="5"/>
  <c r="AS106" i="5"/>
  <c r="AV106" i="5" s="1"/>
  <c r="AO106" i="5"/>
  <c r="AR106" i="5" s="1"/>
  <c r="E82" i="6"/>
  <c r="C108" i="5"/>
  <c r="BU108" i="5" s="1"/>
  <c r="A464" i="6"/>
  <c r="B490" i="5"/>
  <c r="B465" i="6" s="1"/>
  <c r="CG486" i="5"/>
  <c r="CF487" i="5"/>
  <c r="CC430" i="5"/>
  <c r="CB431" i="5"/>
  <c r="BW107" i="5" l="1"/>
  <c r="BY107" i="5"/>
  <c r="J107" i="5" s="1"/>
  <c r="BT108" i="5"/>
  <c r="BV108" i="5"/>
  <c r="BS108" i="5"/>
  <c r="CI108" i="5"/>
  <c r="BR524" i="5"/>
  <c r="BH108" i="5"/>
  <c r="BI108" i="5" s="1"/>
  <c r="BJ108" i="5" s="1"/>
  <c r="AZ511" i="5"/>
  <c r="BA512" i="5" s="1"/>
  <c r="AZ512" i="5" s="1"/>
  <c r="BA513" i="5" s="1"/>
  <c r="BB511" i="5"/>
  <c r="X106" i="5"/>
  <c r="Y106" i="5" s="1"/>
  <c r="G81" i="6"/>
  <c r="CZ107" i="5"/>
  <c r="BF107" i="5"/>
  <c r="BD107" i="5"/>
  <c r="BE108" i="5" s="1"/>
  <c r="CR108" i="5"/>
  <c r="D108" i="5"/>
  <c r="CY108" i="5"/>
  <c r="CW108" i="5"/>
  <c r="C83" i="6"/>
  <c r="AC108" i="5"/>
  <c r="BK108" i="5"/>
  <c r="BL108" i="5" s="1"/>
  <c r="BM108" i="5" s="1"/>
  <c r="CS108" i="5"/>
  <c r="CX108" i="5"/>
  <c r="AB108" i="5"/>
  <c r="L108" i="5" s="1"/>
  <c r="AK108" i="5"/>
  <c r="AM108" i="5" s="1"/>
  <c r="AL109" i="5" s="1"/>
  <c r="CL108" i="5"/>
  <c r="CM108" i="5" s="1"/>
  <c r="BG107" i="5"/>
  <c r="H107" i="5" s="1"/>
  <c r="AX108" i="5"/>
  <c r="AW108" i="5" s="1"/>
  <c r="CU108" i="5"/>
  <c r="A465" i="6"/>
  <c r="B491" i="5"/>
  <c r="B466" i="6" s="1"/>
  <c r="CG487" i="5"/>
  <c r="CF488" i="5"/>
  <c r="CC431" i="5"/>
  <c r="CB432" i="5"/>
  <c r="AF107" i="5" l="1"/>
  <c r="AN107" i="5"/>
  <c r="BX108" i="5"/>
  <c r="BR525" i="5"/>
  <c r="CH108" i="5"/>
  <c r="CK108" i="5"/>
  <c r="CJ108" i="5" s="1"/>
  <c r="AZ513" i="5"/>
  <c r="BA514" i="5" s="1"/>
  <c r="BB513" i="5"/>
  <c r="DA108" i="5"/>
  <c r="DB108" i="5" s="1"/>
  <c r="T108" i="5"/>
  <c r="U108" i="5" s="1"/>
  <c r="W108" i="5"/>
  <c r="CV108" i="5"/>
  <c r="CT108" i="5"/>
  <c r="CP108" i="5"/>
  <c r="CQ108" i="5" s="1"/>
  <c r="R108" i="5" s="1"/>
  <c r="S108" i="5" s="1"/>
  <c r="BN108" i="5"/>
  <c r="BO108" i="5" s="1"/>
  <c r="BP108" i="5" s="1"/>
  <c r="G108" i="5" s="1"/>
  <c r="AE108" i="5"/>
  <c r="AD109" i="5" s="1"/>
  <c r="I107" i="5"/>
  <c r="AP107" i="5" s="1"/>
  <c r="H81" i="6"/>
  <c r="Z106" i="5"/>
  <c r="A466" i="6"/>
  <c r="B492" i="5"/>
  <c r="B467" i="6" s="1"/>
  <c r="CG488" i="5"/>
  <c r="CF489" i="5"/>
  <c r="CC432" i="5"/>
  <c r="CB433" i="5"/>
  <c r="K108" i="5" l="1"/>
  <c r="BR526" i="5"/>
  <c r="AZ514" i="5"/>
  <c r="BA515" i="5" s="1"/>
  <c r="BB514" i="5"/>
  <c r="AH107" i="5"/>
  <c r="AT107" i="5"/>
  <c r="M107" i="5"/>
  <c r="P107" i="5"/>
  <c r="AY107" i="5" s="1"/>
  <c r="CN108" i="5"/>
  <c r="E108" i="5" s="1"/>
  <c r="CO108" i="5"/>
  <c r="F108" i="5" s="1"/>
  <c r="AA106" i="5"/>
  <c r="I81" i="6" s="1"/>
  <c r="A467" i="6"/>
  <c r="B493" i="5"/>
  <c r="B468" i="6" s="1"/>
  <c r="CF490" i="5"/>
  <c r="CG489" i="5"/>
  <c r="CB434" i="5"/>
  <c r="CC433" i="5"/>
  <c r="BW108" i="5" l="1"/>
  <c r="BY108" i="5"/>
  <c r="J108" i="5" s="1"/>
  <c r="AN108" i="5" s="1"/>
  <c r="BR527" i="5"/>
  <c r="AZ515" i="5"/>
  <c r="BA516" i="5" s="1"/>
  <c r="BB515" i="5"/>
  <c r="AG107" i="5"/>
  <c r="AJ107" i="5" s="1"/>
  <c r="AO107" i="5"/>
  <c r="F82" i="6"/>
  <c r="Q107" i="5"/>
  <c r="V107" i="5" s="1"/>
  <c r="N107" i="5"/>
  <c r="AS107" i="5"/>
  <c r="AV107" i="5" s="1"/>
  <c r="BC108" i="5"/>
  <c r="D83" i="6"/>
  <c r="C109" i="5"/>
  <c r="BU109" i="5" s="1"/>
  <c r="E83" i="6"/>
  <c r="A468" i="6"/>
  <c r="B494" i="5"/>
  <c r="B469" i="6" s="1"/>
  <c r="CG490" i="5"/>
  <c r="CF491" i="5"/>
  <c r="CC434" i="5"/>
  <c r="CB435" i="5"/>
  <c r="AF108" i="5" l="1"/>
  <c r="BT109" i="5"/>
  <c r="BV109" i="5"/>
  <c r="BS109" i="5"/>
  <c r="CI109" i="5"/>
  <c r="BR528" i="5"/>
  <c r="BH109" i="5"/>
  <c r="BI109" i="5" s="1"/>
  <c r="BJ109" i="5" s="1"/>
  <c r="AZ516" i="5"/>
  <c r="BA517" i="5" s="1"/>
  <c r="BB516" i="5"/>
  <c r="AR107" i="5"/>
  <c r="CZ108" i="5"/>
  <c r="BD108" i="5"/>
  <c r="BE109" i="5" s="1"/>
  <c r="BF108" i="5"/>
  <c r="G82" i="6"/>
  <c r="CS109" i="5"/>
  <c r="C84" i="6"/>
  <c r="AK109" i="5"/>
  <c r="AC109" i="5"/>
  <c r="CY109" i="5"/>
  <c r="AB109" i="5"/>
  <c r="BN109" i="5" s="1"/>
  <c r="BO109" i="5" s="1"/>
  <c r="BP109" i="5" s="1"/>
  <c r="D109" i="5"/>
  <c r="CR109" i="5"/>
  <c r="CW109" i="5"/>
  <c r="CX109" i="5"/>
  <c r="BK109" i="5"/>
  <c r="BL109" i="5" s="1"/>
  <c r="BM109" i="5" s="1"/>
  <c r="CL109" i="5"/>
  <c r="CM109" i="5" s="1"/>
  <c r="BG108" i="5"/>
  <c r="H108" i="5" s="1"/>
  <c r="AX109" i="5"/>
  <c r="AW109" i="5" s="1"/>
  <c r="CU109" i="5"/>
  <c r="BX109" i="5" s="1"/>
  <c r="A469" i="6"/>
  <c r="B495" i="5"/>
  <c r="B470" i="6" s="1"/>
  <c r="CG491" i="5"/>
  <c r="CF492" i="5"/>
  <c r="CC435" i="5"/>
  <c r="CB436" i="5"/>
  <c r="G109" i="5" l="1"/>
  <c r="BR529" i="5"/>
  <c r="CH109" i="5"/>
  <c r="CK109" i="5"/>
  <c r="CJ109" i="5" s="1"/>
  <c r="AZ517" i="5"/>
  <c r="BA518" i="5" s="1"/>
  <c r="BB517" i="5"/>
  <c r="X107" i="5"/>
  <c r="Y107" i="5" s="1"/>
  <c r="CP109" i="5"/>
  <c r="CQ109" i="5" s="1"/>
  <c r="R109" i="5" s="1"/>
  <c r="S109" i="5" s="1"/>
  <c r="L109" i="5"/>
  <c r="DA109" i="5"/>
  <c r="DB109" i="5" s="1"/>
  <c r="K109" i="5" s="1"/>
  <c r="AM109" i="5"/>
  <c r="AL110" i="5" s="1"/>
  <c r="CV109" i="5"/>
  <c r="CT109" i="5"/>
  <c r="T109" i="5"/>
  <c r="U109" i="5" s="1"/>
  <c r="W109" i="5"/>
  <c r="I108" i="5"/>
  <c r="AP108" i="5" s="1"/>
  <c r="AE109" i="5"/>
  <c r="A470" i="6"/>
  <c r="B496" i="5"/>
  <c r="B471" i="6" s="1"/>
  <c r="CF493" i="5"/>
  <c r="CG492" i="5"/>
  <c r="CC436" i="5"/>
  <c r="CB437" i="5"/>
  <c r="BR530" i="5" l="1"/>
  <c r="AZ518" i="5"/>
  <c r="BA519" i="5" s="1"/>
  <c r="BB518" i="5"/>
  <c r="H82" i="6"/>
  <c r="Z107" i="5"/>
  <c r="AA107" i="5" s="1"/>
  <c r="I82" i="6" s="1"/>
  <c r="AH108" i="5"/>
  <c r="AT108" i="5"/>
  <c r="P108" i="5"/>
  <c r="AY108" i="5" s="1"/>
  <c r="M108" i="5"/>
  <c r="CO109" i="5"/>
  <c r="F109" i="5" s="1"/>
  <c r="CN109" i="5"/>
  <c r="E109" i="5" s="1"/>
  <c r="A471" i="6"/>
  <c r="B497" i="5"/>
  <c r="B472" i="6" s="1"/>
  <c r="CF494" i="5"/>
  <c r="CG493" i="5"/>
  <c r="CB438" i="5"/>
  <c r="CC437" i="5"/>
  <c r="BW109" i="5" l="1"/>
  <c r="BY109" i="5"/>
  <c r="J109" i="5" s="1"/>
  <c r="BR531" i="5"/>
  <c r="AZ519" i="5"/>
  <c r="BA520" i="5" s="1"/>
  <c r="BB519" i="5"/>
  <c r="AS108" i="5"/>
  <c r="AV108" i="5" s="1"/>
  <c r="AO108" i="5"/>
  <c r="AR108" i="5" s="1"/>
  <c r="D84" i="6"/>
  <c r="BC109" i="5"/>
  <c r="E84" i="6"/>
  <c r="C110" i="5"/>
  <c r="BU110" i="5" s="1"/>
  <c r="AG108" i="5"/>
  <c r="N108" i="5"/>
  <c r="F83" i="6"/>
  <c r="Q108" i="5"/>
  <c r="V108" i="5" s="1"/>
  <c r="A472" i="6"/>
  <c r="B498" i="5"/>
  <c r="B473" i="6" s="1"/>
  <c r="CG494" i="5"/>
  <c r="CF495" i="5"/>
  <c r="CC438" i="5"/>
  <c r="CB439" i="5"/>
  <c r="AN109" i="5" l="1"/>
  <c r="AF109" i="5"/>
  <c r="BV110" i="5"/>
  <c r="BT110" i="5"/>
  <c r="BS110" i="5"/>
  <c r="CI110" i="5"/>
  <c r="BR532" i="5"/>
  <c r="BH110" i="5"/>
  <c r="BI110" i="5" s="1"/>
  <c r="BJ110" i="5" s="1"/>
  <c r="AZ520" i="5"/>
  <c r="BA521" i="5" s="1"/>
  <c r="BB520" i="5"/>
  <c r="AJ108" i="5"/>
  <c r="X108" i="5" s="1"/>
  <c r="Y108" i="5" s="1"/>
  <c r="D110" i="5"/>
  <c r="AC110" i="5"/>
  <c r="CL110" i="5"/>
  <c r="CM110" i="5" s="1"/>
  <c r="CX110" i="5"/>
  <c r="AK110" i="5"/>
  <c r="CS110" i="5"/>
  <c r="CR110" i="5"/>
  <c r="CY110" i="5"/>
  <c r="CW110" i="5"/>
  <c r="C85" i="6"/>
  <c r="AB110" i="5"/>
  <c r="L110" i="5" s="1"/>
  <c r="BK110" i="5"/>
  <c r="BL110" i="5" s="1"/>
  <c r="BM110" i="5" s="1"/>
  <c r="BG109" i="5"/>
  <c r="H109" i="5" s="1"/>
  <c r="AX110" i="5"/>
  <c r="AW110" i="5" s="1"/>
  <c r="CU110" i="5"/>
  <c r="BX110" i="5" s="1"/>
  <c r="CZ109" i="5"/>
  <c r="BD109" i="5"/>
  <c r="BE110" i="5" s="1"/>
  <c r="BF109" i="5"/>
  <c r="G83" i="6"/>
  <c r="A473" i="6"/>
  <c r="B499" i="5"/>
  <c r="B474" i="6" s="1"/>
  <c r="CG495" i="5"/>
  <c r="CF496" i="5"/>
  <c r="CC439" i="5"/>
  <c r="CB440" i="5"/>
  <c r="BR533" i="5" l="1"/>
  <c r="AD110" i="5"/>
  <c r="AE110" i="5" s="1"/>
  <c r="CH110" i="5"/>
  <c r="CK110" i="5"/>
  <c r="CJ110" i="5" s="1"/>
  <c r="AZ521" i="5"/>
  <c r="BA522" i="5" s="1"/>
  <c r="BB521" i="5"/>
  <c r="DA110" i="5"/>
  <c r="DB110" i="5" s="1"/>
  <c r="K110" i="5" s="1"/>
  <c r="CV110" i="5"/>
  <c r="CT110" i="5"/>
  <c r="BN110" i="5"/>
  <c r="BO110" i="5" s="1"/>
  <c r="BP110" i="5" s="1"/>
  <c r="G110" i="5" s="1"/>
  <c r="AM110" i="5"/>
  <c r="AL111" i="5" s="1"/>
  <c r="H83" i="6"/>
  <c r="Z108" i="5"/>
  <c r="I109" i="5"/>
  <c r="AH109" i="5" s="1"/>
  <c r="T110" i="5"/>
  <c r="U110" i="5" s="1"/>
  <c r="W110" i="5"/>
  <c r="CP110" i="5"/>
  <c r="CQ110" i="5" s="1"/>
  <c r="R110" i="5" s="1"/>
  <c r="S110" i="5" s="1"/>
  <c r="A474" i="6"/>
  <c r="B500" i="5"/>
  <c r="B475" i="6" s="1"/>
  <c r="CG496" i="5"/>
  <c r="CF497" i="5"/>
  <c r="CC440" i="5"/>
  <c r="CB441" i="5"/>
  <c r="BR534" i="5" l="1"/>
  <c r="AZ522" i="5"/>
  <c r="BA523" i="5" s="1"/>
  <c r="BB522" i="5"/>
  <c r="AT109" i="5"/>
  <c r="AP109" i="5"/>
  <c r="AA108" i="5"/>
  <c r="I83" i="6" s="1"/>
  <c r="CO110" i="5"/>
  <c r="F110" i="5" s="1"/>
  <c r="CN110" i="5"/>
  <c r="E110" i="5" s="1"/>
  <c r="P109" i="5"/>
  <c r="AY109" i="5" s="1"/>
  <c r="M109" i="5"/>
  <c r="A475" i="6"/>
  <c r="B501" i="5"/>
  <c r="B476" i="6" s="1"/>
  <c r="CF498" i="5"/>
  <c r="CG497" i="5"/>
  <c r="CB442" i="5"/>
  <c r="CC441" i="5"/>
  <c r="BW110" i="5" l="1"/>
  <c r="BY110" i="5"/>
  <c r="J110" i="5" s="1"/>
  <c r="BR535" i="5"/>
  <c r="AZ523" i="5"/>
  <c r="BA524" i="5" s="1"/>
  <c r="BB523" i="5"/>
  <c r="AO109" i="5"/>
  <c r="AR109" i="5" s="1"/>
  <c r="AG109" i="5"/>
  <c r="N109" i="5"/>
  <c r="AS109" i="5"/>
  <c r="AV109" i="5" s="1"/>
  <c r="Q109" i="5"/>
  <c r="V109" i="5" s="1"/>
  <c r="F84" i="6"/>
  <c r="D85" i="6"/>
  <c r="BC110" i="5"/>
  <c r="C111" i="5"/>
  <c r="BU111" i="5" s="1"/>
  <c r="E85" i="6"/>
  <c r="A476" i="6"/>
  <c r="B502" i="5"/>
  <c r="B477" i="6" s="1"/>
  <c r="CF499" i="5"/>
  <c r="CG498" i="5"/>
  <c r="CC442" i="5"/>
  <c r="CB443" i="5"/>
  <c r="AF110" i="5" l="1"/>
  <c r="AN110" i="5"/>
  <c r="BV111" i="5"/>
  <c r="BT111" i="5"/>
  <c r="BS111" i="5"/>
  <c r="CI111" i="5"/>
  <c r="BR536" i="5"/>
  <c r="BH111" i="5"/>
  <c r="BI111" i="5" s="1"/>
  <c r="BJ111" i="5" s="1"/>
  <c r="AZ524" i="5"/>
  <c r="BA525" i="5" s="1"/>
  <c r="BB524" i="5"/>
  <c r="AJ109" i="5"/>
  <c r="CY111" i="5"/>
  <c r="CR111" i="5"/>
  <c r="CX111" i="5"/>
  <c r="CW111" i="5"/>
  <c r="BK111" i="5"/>
  <c r="BL111" i="5" s="1"/>
  <c r="BM111" i="5" s="1"/>
  <c r="AB111" i="5"/>
  <c r="CP111" i="5" s="1"/>
  <c r="CQ111" i="5" s="1"/>
  <c r="R111" i="5" s="1"/>
  <c r="S111" i="5" s="1"/>
  <c r="AK111" i="5"/>
  <c r="AM111" i="5" s="1"/>
  <c r="AL112" i="5" s="1"/>
  <c r="CS111" i="5"/>
  <c r="CL111" i="5"/>
  <c r="CM111" i="5" s="1"/>
  <c r="AC111" i="5"/>
  <c r="AD111" i="5" s="1"/>
  <c r="D111" i="5"/>
  <c r="C86" i="6"/>
  <c r="BG110" i="5"/>
  <c r="H110" i="5" s="1"/>
  <c r="AX111" i="5"/>
  <c r="AW111" i="5" s="1"/>
  <c r="CU111" i="5"/>
  <c r="BX111" i="5" s="1"/>
  <c r="BD110" i="5"/>
  <c r="BE111" i="5" s="1"/>
  <c r="CZ110" i="5"/>
  <c r="BF110" i="5"/>
  <c r="G84" i="6"/>
  <c r="A477" i="6"/>
  <c r="B503" i="5"/>
  <c r="B478" i="6" s="1"/>
  <c r="CG499" i="5"/>
  <c r="CF500" i="5"/>
  <c r="CC443" i="5"/>
  <c r="CB444" i="5"/>
  <c r="BR537" i="5" l="1"/>
  <c r="CK111" i="5"/>
  <c r="CJ111" i="5" s="1"/>
  <c r="CH111" i="5"/>
  <c r="AZ525" i="5"/>
  <c r="BA526" i="5" s="1"/>
  <c r="BB525" i="5"/>
  <c r="X109" i="5"/>
  <c r="Y109" i="5" s="1"/>
  <c r="BN111" i="5"/>
  <c r="BO111" i="5" s="1"/>
  <c r="BP111" i="5" s="1"/>
  <c r="G111" i="5" s="1"/>
  <c r="DA111" i="5"/>
  <c r="DB111" i="5" s="1"/>
  <c r="K111" i="5" s="1"/>
  <c r="CT111" i="5"/>
  <c r="CV111" i="5"/>
  <c r="T111" i="5"/>
  <c r="U111" i="5" s="1"/>
  <c r="W111" i="5"/>
  <c r="AE111" i="5"/>
  <c r="AD112" i="5" s="1"/>
  <c r="I110" i="5"/>
  <c r="AH110" i="5" s="1"/>
  <c r="L111" i="5"/>
  <c r="A478" i="6"/>
  <c r="B504" i="5"/>
  <c r="B479" i="6" s="1"/>
  <c r="CF501" i="5"/>
  <c r="CG500" i="5"/>
  <c r="CC444" i="5"/>
  <c r="CB445" i="5"/>
  <c r="BR538" i="5" l="1"/>
  <c r="AZ526" i="5"/>
  <c r="BA527" i="5" s="1"/>
  <c r="BB526" i="5"/>
  <c r="H84" i="6"/>
  <c r="Z109" i="5"/>
  <c r="AA109" i="5" s="1"/>
  <c r="I84" i="6" s="1"/>
  <c r="AT110" i="5"/>
  <c r="AP110" i="5"/>
  <c r="M110" i="5"/>
  <c r="AG110" i="5" s="1"/>
  <c r="AJ110" i="5" s="1"/>
  <c r="P110" i="5"/>
  <c r="AY110" i="5" s="1"/>
  <c r="CN111" i="5"/>
  <c r="E111" i="5" s="1"/>
  <c r="CO111" i="5"/>
  <c r="F111" i="5" s="1"/>
  <c r="A479" i="6"/>
  <c r="B505" i="5"/>
  <c r="B480" i="6" s="1"/>
  <c r="CF502" i="5"/>
  <c r="CG501" i="5"/>
  <c r="CB446" i="5"/>
  <c r="CC445" i="5"/>
  <c r="BR539" i="5" l="1"/>
  <c r="AZ527" i="5"/>
  <c r="BA528" i="5" s="1"/>
  <c r="BB527" i="5"/>
  <c r="N110" i="5"/>
  <c r="AS110" i="5"/>
  <c r="AV110" i="5" s="1"/>
  <c r="AO110" i="5"/>
  <c r="E86" i="6"/>
  <c r="C112" i="5"/>
  <c r="BU112" i="5" s="1"/>
  <c r="D86" i="6"/>
  <c r="BC111" i="5"/>
  <c r="F85" i="6"/>
  <c r="Q110" i="5"/>
  <c r="V110" i="5" s="1"/>
  <c r="A480" i="6"/>
  <c r="B506" i="5"/>
  <c r="B481" i="6" s="1"/>
  <c r="CG502" i="5"/>
  <c r="CF503" i="5"/>
  <c r="CC446" i="5"/>
  <c r="CB447" i="5"/>
  <c r="BY111" i="5" l="1"/>
  <c r="J111" i="5" s="1"/>
  <c r="BW111" i="5"/>
  <c r="BT112" i="5"/>
  <c r="BV112" i="5"/>
  <c r="BS112" i="5"/>
  <c r="CI112" i="5"/>
  <c r="BR540" i="5"/>
  <c r="BH112" i="5"/>
  <c r="BI112" i="5" s="1"/>
  <c r="BJ112" i="5" s="1"/>
  <c r="AZ528" i="5"/>
  <c r="BA529" i="5" s="1"/>
  <c r="BB528" i="5"/>
  <c r="AR110" i="5"/>
  <c r="G85" i="6"/>
  <c r="BD111" i="5"/>
  <c r="BE112" i="5" s="1"/>
  <c r="BF111" i="5"/>
  <c r="CZ111" i="5"/>
  <c r="CR112" i="5"/>
  <c r="BK112" i="5"/>
  <c r="BL112" i="5" s="1"/>
  <c r="BM112" i="5" s="1"/>
  <c r="AK112" i="5"/>
  <c r="CL112" i="5"/>
  <c r="CM112" i="5" s="1"/>
  <c r="CX112" i="5"/>
  <c r="C87" i="6"/>
  <c r="CY112" i="5"/>
  <c r="CS112" i="5"/>
  <c r="AC112" i="5"/>
  <c r="CW112" i="5"/>
  <c r="D112" i="5"/>
  <c r="AB112" i="5"/>
  <c r="L112" i="5" s="1"/>
  <c r="BG111" i="5"/>
  <c r="H111" i="5" s="1"/>
  <c r="AX112" i="5"/>
  <c r="AW112" i="5" s="1"/>
  <c r="CU112" i="5"/>
  <c r="A481" i="6"/>
  <c r="B507" i="5"/>
  <c r="B482" i="6" s="1"/>
  <c r="CG503" i="5"/>
  <c r="CF504" i="5"/>
  <c r="CC447" i="5"/>
  <c r="CB448" i="5"/>
  <c r="AN111" i="5" l="1"/>
  <c r="AF111" i="5"/>
  <c r="BX112" i="5"/>
  <c r="BR541" i="5"/>
  <c r="CH112" i="5"/>
  <c r="CK112" i="5"/>
  <c r="CJ112" i="5" s="1"/>
  <c r="AZ529" i="5"/>
  <c r="BA530" i="5" s="1"/>
  <c r="BB529" i="5"/>
  <c r="X110" i="5"/>
  <c r="Y110" i="5" s="1"/>
  <c r="DA112" i="5"/>
  <c r="DB112" i="5" s="1"/>
  <c r="I111" i="5"/>
  <c r="AP111" i="5" s="1"/>
  <c r="AE112" i="5"/>
  <c r="BN112" i="5"/>
  <c r="BO112" i="5" s="1"/>
  <c r="BP112" i="5" s="1"/>
  <c r="G112" i="5" s="1"/>
  <c r="CP112" i="5"/>
  <c r="CQ112" i="5" s="1"/>
  <c r="R112" i="5" s="1"/>
  <c r="S112" i="5" s="1"/>
  <c r="CT112" i="5"/>
  <c r="CV112" i="5"/>
  <c r="W112" i="5"/>
  <c r="T112" i="5"/>
  <c r="U112" i="5" s="1"/>
  <c r="AM112" i="5"/>
  <c r="AL113" i="5" s="1"/>
  <c r="A482" i="6"/>
  <c r="B508" i="5"/>
  <c r="B483" i="6" s="1"/>
  <c r="CG504" i="5"/>
  <c r="CF505" i="5"/>
  <c r="CC448" i="5"/>
  <c r="CB449" i="5"/>
  <c r="K112" i="5" l="1"/>
  <c r="BR542" i="5"/>
  <c r="AZ530" i="5"/>
  <c r="BA531" i="5" s="1"/>
  <c r="BB530" i="5"/>
  <c r="Z110" i="5"/>
  <c r="AA110" i="5" s="1"/>
  <c r="I85" i="6" s="1"/>
  <c r="H85" i="6"/>
  <c r="AH111" i="5"/>
  <c r="AT111" i="5"/>
  <c r="CO112" i="5"/>
  <c r="F112" i="5" s="1"/>
  <c r="CN112" i="5"/>
  <c r="E112" i="5" s="1"/>
  <c r="M111" i="5"/>
  <c r="P111" i="5"/>
  <c r="AY111" i="5" s="1"/>
  <c r="A483" i="6"/>
  <c r="B509" i="5"/>
  <c r="B484" i="6" s="1"/>
  <c r="CF506" i="5"/>
  <c r="CG505" i="5"/>
  <c r="CB450" i="5"/>
  <c r="CC449" i="5"/>
  <c r="BY112" i="5" l="1"/>
  <c r="J112" i="5" s="1"/>
  <c r="AN112" i="5" s="1"/>
  <c r="BR543" i="5"/>
  <c r="AZ531" i="5"/>
  <c r="BA532" i="5" s="1"/>
  <c r="BB531" i="5"/>
  <c r="AO111" i="5"/>
  <c r="AR111" i="5" s="1"/>
  <c r="AG111" i="5"/>
  <c r="AJ111" i="5" s="1"/>
  <c r="N111" i="5"/>
  <c r="AS111" i="5"/>
  <c r="AV111" i="5" s="1"/>
  <c r="F86" i="6"/>
  <c r="Q111" i="5"/>
  <c r="V111" i="5" s="1"/>
  <c r="D87" i="6"/>
  <c r="BC112" i="5"/>
  <c r="E87" i="6"/>
  <c r="C113" i="5"/>
  <c r="BU113" i="5" s="1"/>
  <c r="A484" i="6"/>
  <c r="B510" i="5"/>
  <c r="B485" i="6" s="1"/>
  <c r="CG506" i="5"/>
  <c r="CF507" i="5"/>
  <c r="CC450" i="5"/>
  <c r="CB451" i="5"/>
  <c r="AF112" i="5" l="1"/>
  <c r="BW112" i="5"/>
  <c r="BV113" i="5"/>
  <c r="BT113" i="5"/>
  <c r="BS113" i="5"/>
  <c r="CI113" i="5"/>
  <c r="BR544" i="5"/>
  <c r="BH113" i="5"/>
  <c r="BI113" i="5" s="1"/>
  <c r="BJ113" i="5" s="1"/>
  <c r="AZ532" i="5"/>
  <c r="BA533" i="5" s="1"/>
  <c r="BB532" i="5"/>
  <c r="X111" i="5"/>
  <c r="Y111" i="5" s="1"/>
  <c r="AB113" i="5"/>
  <c r="DA113" i="5" s="1"/>
  <c r="DB113" i="5" s="1"/>
  <c r="AK113" i="5"/>
  <c r="D113" i="5"/>
  <c r="CS113" i="5"/>
  <c r="CW113" i="5"/>
  <c r="AC113" i="5"/>
  <c r="AD113" i="5" s="1"/>
  <c r="C88" i="6"/>
  <c r="CY113" i="5"/>
  <c r="CR113" i="5"/>
  <c r="CX113" i="5"/>
  <c r="BK113" i="5"/>
  <c r="BL113" i="5" s="1"/>
  <c r="BM113" i="5" s="1"/>
  <c r="CL113" i="5"/>
  <c r="CM113" i="5" s="1"/>
  <c r="BG112" i="5"/>
  <c r="H112" i="5" s="1"/>
  <c r="AX113" i="5"/>
  <c r="AW113" i="5" s="1"/>
  <c r="CU113" i="5"/>
  <c r="BD112" i="5"/>
  <c r="BE113" i="5" s="1"/>
  <c r="BF112" i="5"/>
  <c r="CZ112" i="5"/>
  <c r="G86" i="6"/>
  <c r="A485" i="6"/>
  <c r="B511" i="5"/>
  <c r="B486" i="6" s="1"/>
  <c r="CG507" i="5"/>
  <c r="CF508" i="5"/>
  <c r="CC451" i="5"/>
  <c r="CB452" i="5"/>
  <c r="BX113" i="5" l="1"/>
  <c r="BR545" i="5"/>
  <c r="CH113" i="5"/>
  <c r="CK113" i="5"/>
  <c r="CJ113" i="5" s="1"/>
  <c r="K113" i="5" s="1"/>
  <c r="AZ533" i="5"/>
  <c r="BA534" i="5" s="1"/>
  <c r="AZ534" i="5" s="1"/>
  <c r="BA535" i="5" s="1"/>
  <c r="BB533" i="5"/>
  <c r="BN113" i="5"/>
  <c r="BO113" i="5" s="1"/>
  <c r="BP113" i="5" s="1"/>
  <c r="G113" i="5" s="1"/>
  <c r="L113" i="5"/>
  <c r="AY113" i="5"/>
  <c r="CV113" i="5"/>
  <c r="CT113" i="5"/>
  <c r="I112" i="5"/>
  <c r="AH112" i="5" s="1"/>
  <c r="AE113" i="5"/>
  <c r="W113" i="5"/>
  <c r="T113" i="5"/>
  <c r="U113" i="5" s="1"/>
  <c r="H86" i="6"/>
  <c r="Z111" i="5"/>
  <c r="AM113" i="5"/>
  <c r="AL114" i="5" s="1"/>
  <c r="CP113" i="5"/>
  <c r="CQ113" i="5" s="1"/>
  <c r="R113" i="5" s="1"/>
  <c r="S113" i="5" s="1"/>
  <c r="A486" i="6"/>
  <c r="B512" i="5"/>
  <c r="B487" i="6" s="1"/>
  <c r="CG508" i="5"/>
  <c r="CF509" i="5"/>
  <c r="CC452" i="5"/>
  <c r="CB453" i="5"/>
  <c r="BR546" i="5" l="1"/>
  <c r="AZ535" i="5"/>
  <c r="BA536" i="5" s="1"/>
  <c r="BB535" i="5"/>
  <c r="AT112" i="5"/>
  <c r="AP112" i="5"/>
  <c r="AA111" i="5"/>
  <c r="I86" i="6" s="1"/>
  <c r="P112" i="5"/>
  <c r="AY112" i="5" s="1"/>
  <c r="M112" i="5"/>
  <c r="CO113" i="5"/>
  <c r="F113" i="5" s="1"/>
  <c r="CN113" i="5"/>
  <c r="E113" i="5" s="1"/>
  <c r="A487" i="6"/>
  <c r="B513" i="5"/>
  <c r="B488" i="6" s="1"/>
  <c r="CF510" i="5"/>
  <c r="CG509" i="5"/>
  <c r="CB454" i="5"/>
  <c r="CC453" i="5"/>
  <c r="BR547" i="5" l="1"/>
  <c r="AZ536" i="5"/>
  <c r="BA537" i="5" s="1"/>
  <c r="BB536" i="5"/>
  <c r="AO112" i="5"/>
  <c r="AR112" i="5" s="1"/>
  <c r="AG112" i="5"/>
  <c r="BC113" i="5"/>
  <c r="D88" i="6"/>
  <c r="N112" i="5"/>
  <c r="AS112" i="5"/>
  <c r="AV112" i="5" s="1"/>
  <c r="C114" i="5"/>
  <c r="BU114" i="5" s="1"/>
  <c r="E88" i="6"/>
  <c r="Q112" i="5"/>
  <c r="V112" i="5" s="1"/>
  <c r="F87" i="6"/>
  <c r="A488" i="6"/>
  <c r="B514" i="5"/>
  <c r="B489" i="6" s="1"/>
  <c r="CG510" i="5"/>
  <c r="CF511" i="5"/>
  <c r="CC454" i="5"/>
  <c r="CB455" i="5"/>
  <c r="BW113" i="5" l="1"/>
  <c r="BY113" i="5"/>
  <c r="J113" i="5" s="1"/>
  <c r="BV114" i="5"/>
  <c r="BT114" i="5"/>
  <c r="BS114" i="5"/>
  <c r="CI114" i="5"/>
  <c r="BR548" i="5"/>
  <c r="BH114" i="5"/>
  <c r="BI114" i="5" s="1"/>
  <c r="BJ114" i="5" s="1"/>
  <c r="AZ537" i="5"/>
  <c r="BA538" i="5" s="1"/>
  <c r="BB537" i="5"/>
  <c r="AJ112" i="5"/>
  <c r="G87" i="6"/>
  <c r="D114" i="5"/>
  <c r="AK114" i="5"/>
  <c r="AM114" i="5" s="1"/>
  <c r="AL115" i="5" s="1"/>
  <c r="C89" i="6"/>
  <c r="CX114" i="5"/>
  <c r="CS114" i="5"/>
  <c r="BK114" i="5"/>
  <c r="BL114" i="5" s="1"/>
  <c r="BM114" i="5" s="1"/>
  <c r="CY114" i="5"/>
  <c r="CL114" i="5"/>
  <c r="CM114" i="5" s="1"/>
  <c r="CR114" i="5"/>
  <c r="AB114" i="5"/>
  <c r="BN114" i="5" s="1"/>
  <c r="BO114" i="5" s="1"/>
  <c r="BP114" i="5" s="1"/>
  <c r="CW114" i="5"/>
  <c r="AC114" i="5"/>
  <c r="AD114" i="5" s="1"/>
  <c r="BG113" i="5"/>
  <c r="H113" i="5" s="1"/>
  <c r="AX114" i="5"/>
  <c r="AW114" i="5" s="1"/>
  <c r="CU114" i="5"/>
  <c r="BF113" i="5"/>
  <c r="CZ113" i="5"/>
  <c r="BD113" i="5"/>
  <c r="BE114" i="5" s="1"/>
  <c r="A489" i="6"/>
  <c r="B515" i="5"/>
  <c r="B490" i="6" s="1"/>
  <c r="CG511" i="5"/>
  <c r="CF512" i="5"/>
  <c r="CC455" i="5"/>
  <c r="CB456" i="5"/>
  <c r="AF113" i="5" l="1"/>
  <c r="AN113" i="5"/>
  <c r="BX114" i="5"/>
  <c r="G114" i="5"/>
  <c r="BR549" i="5"/>
  <c r="CK114" i="5"/>
  <c r="CJ114" i="5" s="1"/>
  <c r="CH114" i="5"/>
  <c r="AZ538" i="5"/>
  <c r="BA539" i="5" s="1"/>
  <c r="BB538" i="5"/>
  <c r="X112" i="5"/>
  <c r="Y112" i="5" s="1"/>
  <c r="AY114" i="5"/>
  <c r="DA114" i="5"/>
  <c r="DB114" i="5" s="1"/>
  <c r="K114" i="5" s="1"/>
  <c r="CP114" i="5"/>
  <c r="CQ114" i="5" s="1"/>
  <c r="R114" i="5" s="1"/>
  <c r="S114" i="5" s="1"/>
  <c r="AE114" i="5"/>
  <c r="I113" i="5"/>
  <c r="AH113" i="5" s="1"/>
  <c r="T114" i="5"/>
  <c r="U114" i="5" s="1"/>
  <c r="W114" i="5"/>
  <c r="CV114" i="5"/>
  <c r="CT114" i="5"/>
  <c r="L114" i="5"/>
  <c r="A490" i="6"/>
  <c r="B516" i="5"/>
  <c r="B491" i="6" s="1"/>
  <c r="CG512" i="5"/>
  <c r="CF513" i="5"/>
  <c r="CC456" i="5"/>
  <c r="CB457" i="5"/>
  <c r="BR550" i="5" l="1"/>
  <c r="AZ539" i="5"/>
  <c r="BA540" i="5" s="1"/>
  <c r="BB539" i="5"/>
  <c r="H87" i="6"/>
  <c r="Z112" i="5"/>
  <c r="AA112" i="5" s="1"/>
  <c r="I87" i="6" s="1"/>
  <c r="AT113" i="5"/>
  <c r="AP113" i="5"/>
  <c r="P113" i="5"/>
  <c r="M113" i="5"/>
  <c r="AG113" i="5" s="1"/>
  <c r="AJ113" i="5" s="1"/>
  <c r="CO114" i="5"/>
  <c r="F114" i="5" s="1"/>
  <c r="CN114" i="5"/>
  <c r="E114" i="5" s="1"/>
  <c r="A491" i="6"/>
  <c r="B517" i="5"/>
  <c r="B492" i="6" s="1"/>
  <c r="CG513" i="5"/>
  <c r="CF514" i="5"/>
  <c r="CC457" i="5"/>
  <c r="CB458" i="5"/>
  <c r="BY114" i="5" l="1"/>
  <c r="J114" i="5" s="1"/>
  <c r="BW114" i="5"/>
  <c r="BR551" i="5"/>
  <c r="AZ540" i="5"/>
  <c r="BA541" i="5" s="1"/>
  <c r="BB540" i="5"/>
  <c r="N113" i="5"/>
  <c r="AS113" i="5"/>
  <c r="AV113" i="5" s="1"/>
  <c r="AO113" i="5"/>
  <c r="F88" i="6"/>
  <c r="Q113" i="5"/>
  <c r="V113" i="5" s="1"/>
  <c r="BC114" i="5"/>
  <c r="D89" i="6"/>
  <c r="C115" i="5"/>
  <c r="BU115" i="5" s="1"/>
  <c r="E89" i="6"/>
  <c r="A492" i="6"/>
  <c r="B518" i="5"/>
  <c r="B493" i="6" s="1"/>
  <c r="CG514" i="5"/>
  <c r="CF515" i="5"/>
  <c r="CC458" i="5"/>
  <c r="CB459" i="5"/>
  <c r="AF114" i="5" l="1"/>
  <c r="AN114" i="5"/>
  <c r="BT115" i="5"/>
  <c r="BV115" i="5"/>
  <c r="BS115" i="5"/>
  <c r="CI115" i="5"/>
  <c r="BR552" i="5"/>
  <c r="BH115" i="5"/>
  <c r="BI115" i="5" s="1"/>
  <c r="BJ115" i="5" s="1"/>
  <c r="AZ541" i="5"/>
  <c r="BA542" i="5" s="1"/>
  <c r="BB541" i="5"/>
  <c r="D115" i="5"/>
  <c r="CX115" i="5"/>
  <c r="CY115" i="5"/>
  <c r="AC115" i="5"/>
  <c r="AK115" i="5"/>
  <c r="AB115" i="5"/>
  <c r="CP115" i="5" s="1"/>
  <c r="CQ115" i="5" s="1"/>
  <c r="R115" i="5" s="1"/>
  <c r="S115" i="5" s="1"/>
  <c r="C90" i="6"/>
  <c r="CR115" i="5"/>
  <c r="CW115" i="5"/>
  <c r="BK115" i="5"/>
  <c r="BL115" i="5" s="1"/>
  <c r="BM115" i="5" s="1"/>
  <c r="CL115" i="5"/>
  <c r="CM115" i="5" s="1"/>
  <c r="CS115" i="5"/>
  <c r="BG114" i="5"/>
  <c r="H114" i="5" s="1"/>
  <c r="AX115" i="5"/>
  <c r="AW115" i="5" s="1"/>
  <c r="CU115" i="5"/>
  <c r="BX115" i="5" s="1"/>
  <c r="BD114" i="5"/>
  <c r="BE115" i="5" s="1"/>
  <c r="CZ114" i="5"/>
  <c r="BF114" i="5"/>
  <c r="G88" i="6"/>
  <c r="AR113" i="5"/>
  <c r="A493" i="6"/>
  <c r="B519" i="5"/>
  <c r="B494" i="6" s="1"/>
  <c r="CF516" i="5"/>
  <c r="CG515" i="5"/>
  <c r="CC459" i="5"/>
  <c r="CB460" i="5"/>
  <c r="BR553" i="5" l="1"/>
  <c r="CH115" i="5"/>
  <c r="CK115" i="5"/>
  <c r="CJ115" i="5" s="1"/>
  <c r="AZ542" i="5"/>
  <c r="BA543" i="5" s="1"/>
  <c r="BB542" i="5"/>
  <c r="X113" i="5"/>
  <c r="Y113" i="5" s="1"/>
  <c r="AD115" i="5"/>
  <c r="AE115" i="5" s="1"/>
  <c r="BN115" i="5"/>
  <c r="BO115" i="5" s="1"/>
  <c r="BP115" i="5" s="1"/>
  <c r="G115" i="5" s="1"/>
  <c r="L115" i="5"/>
  <c r="DA115" i="5"/>
  <c r="DB115" i="5" s="1"/>
  <c r="K115" i="5" s="1"/>
  <c r="CT115" i="5"/>
  <c r="CV115" i="5"/>
  <c r="I114" i="5"/>
  <c r="AP114" i="5" s="1"/>
  <c r="AM115" i="5"/>
  <c r="AL116" i="5" s="1"/>
  <c r="W115" i="5"/>
  <c r="T115" i="5"/>
  <c r="U115" i="5" s="1"/>
  <c r="A494" i="6"/>
  <c r="B520" i="5"/>
  <c r="B495" i="6" s="1"/>
  <c r="CG516" i="5"/>
  <c r="CF517" i="5"/>
  <c r="CC460" i="5"/>
  <c r="CB461" i="5"/>
  <c r="BR554" i="5" l="1"/>
  <c r="AZ543" i="5"/>
  <c r="BA544" i="5" s="1"/>
  <c r="BB543" i="5"/>
  <c r="H88" i="6"/>
  <c r="Z113" i="5"/>
  <c r="AA113" i="5" s="1"/>
  <c r="I88" i="6" s="1"/>
  <c r="AT114" i="5"/>
  <c r="AH114" i="5"/>
  <c r="CN115" i="5"/>
  <c r="E115" i="5" s="1"/>
  <c r="CO115" i="5"/>
  <c r="F115" i="5" s="1"/>
  <c r="M114" i="5"/>
  <c r="P114" i="5"/>
  <c r="A495" i="6"/>
  <c r="B521" i="5"/>
  <c r="B496" i="6" s="1"/>
  <c r="CG517" i="5"/>
  <c r="CF518" i="5"/>
  <c r="CC461" i="5"/>
  <c r="CB462" i="5"/>
  <c r="BY115" i="5" l="1"/>
  <c r="J115" i="5" s="1"/>
  <c r="BW115" i="5"/>
  <c r="BR555" i="5"/>
  <c r="AZ544" i="5"/>
  <c r="BA545" i="5" s="1"/>
  <c r="BB544" i="5"/>
  <c r="AG114" i="5"/>
  <c r="AJ114" i="5" s="1"/>
  <c r="AO114" i="5"/>
  <c r="AR114" i="5" s="1"/>
  <c r="N114" i="5"/>
  <c r="AS114" i="5"/>
  <c r="AV114" i="5" s="1"/>
  <c r="C116" i="5"/>
  <c r="BU116" i="5" s="1"/>
  <c r="E90" i="6"/>
  <c r="D90" i="6"/>
  <c r="BC115" i="5"/>
  <c r="Q114" i="5"/>
  <c r="V114" i="5" s="1"/>
  <c r="F89" i="6"/>
  <c r="A496" i="6"/>
  <c r="B522" i="5"/>
  <c r="B497" i="6" s="1"/>
  <c r="CG518" i="5"/>
  <c r="CF519" i="5"/>
  <c r="CC462" i="5"/>
  <c r="CB463" i="5"/>
  <c r="AN115" i="5" l="1"/>
  <c r="AF115" i="5"/>
  <c r="BT116" i="5"/>
  <c r="BV116" i="5"/>
  <c r="BS116" i="5"/>
  <c r="CI116" i="5"/>
  <c r="BR556" i="5"/>
  <c r="BH116" i="5"/>
  <c r="BI116" i="5" s="1"/>
  <c r="BJ116" i="5" s="1"/>
  <c r="AZ545" i="5"/>
  <c r="BA546" i="5" s="1"/>
  <c r="BB545" i="5"/>
  <c r="X114" i="5"/>
  <c r="Y114" i="5" s="1"/>
  <c r="G89" i="6"/>
  <c r="CZ115" i="5"/>
  <c r="BD115" i="5"/>
  <c r="BE116" i="5" s="1"/>
  <c r="BF115" i="5"/>
  <c r="BK116" i="5"/>
  <c r="BL116" i="5" s="1"/>
  <c r="BM116" i="5" s="1"/>
  <c r="C91" i="6"/>
  <c r="CS116" i="5"/>
  <c r="CR116" i="5"/>
  <c r="CL116" i="5"/>
  <c r="CM116" i="5" s="1"/>
  <c r="CX116" i="5"/>
  <c r="AB116" i="5"/>
  <c r="L116" i="5" s="1"/>
  <c r="AC116" i="5"/>
  <c r="D116" i="5"/>
  <c r="CW116" i="5"/>
  <c r="CY116" i="5"/>
  <c r="AK116" i="5"/>
  <c r="BG115" i="5"/>
  <c r="H115" i="5" s="1"/>
  <c r="AX116" i="5"/>
  <c r="AW116" i="5" s="1"/>
  <c r="CU116" i="5"/>
  <c r="BX116" i="5" s="1"/>
  <c r="A497" i="6"/>
  <c r="B523" i="5"/>
  <c r="B498" i="6" s="1"/>
  <c r="CG519" i="5"/>
  <c r="CF520" i="5"/>
  <c r="CC463" i="5"/>
  <c r="CB464" i="5"/>
  <c r="BR557" i="5" l="1"/>
  <c r="CH116" i="5"/>
  <c r="CK116" i="5"/>
  <c r="CJ116" i="5" s="1"/>
  <c r="AZ546" i="5"/>
  <c r="BA547" i="5" s="1"/>
  <c r="BB546" i="5"/>
  <c r="AD116" i="5"/>
  <c r="AE116" i="5" s="1"/>
  <c r="BN116" i="5"/>
  <c r="BO116" i="5" s="1"/>
  <c r="BP116" i="5" s="1"/>
  <c r="G116" i="5" s="1"/>
  <c r="DA116" i="5"/>
  <c r="DB116" i="5" s="1"/>
  <c r="T116" i="5"/>
  <c r="U116" i="5" s="1"/>
  <c r="W116" i="5"/>
  <c r="CT116" i="5"/>
  <c r="CV116" i="5"/>
  <c r="CP116" i="5"/>
  <c r="CQ116" i="5" s="1"/>
  <c r="R116" i="5" s="1"/>
  <c r="S116" i="5" s="1"/>
  <c r="H89" i="6"/>
  <c r="Z114" i="5"/>
  <c r="I115" i="5"/>
  <c r="AP115" i="5" s="1"/>
  <c r="AM116" i="5"/>
  <c r="AL117" i="5" s="1"/>
  <c r="A498" i="6"/>
  <c r="B524" i="5"/>
  <c r="B499" i="6" s="1"/>
  <c r="CG520" i="5"/>
  <c r="CF521" i="5"/>
  <c r="CC464" i="5"/>
  <c r="CB465" i="5"/>
  <c r="K116" i="5" l="1"/>
  <c r="BR558" i="5"/>
  <c r="AZ547" i="5"/>
  <c r="BA548" i="5" s="1"/>
  <c r="BB547" i="5"/>
  <c r="AH115" i="5"/>
  <c r="AT115" i="5"/>
  <c r="M115" i="5"/>
  <c r="P115" i="5"/>
  <c r="AY115" i="5" s="1"/>
  <c r="AA114" i="5"/>
  <c r="I89" i="6" s="1"/>
  <c r="CO116" i="5"/>
  <c r="F116" i="5" s="1"/>
  <c r="CN116" i="5"/>
  <c r="E116" i="5" s="1"/>
  <c r="A499" i="6"/>
  <c r="B525" i="5"/>
  <c r="B500" i="6" s="1"/>
  <c r="CG521" i="5"/>
  <c r="CF522" i="5"/>
  <c r="CC465" i="5"/>
  <c r="CB466" i="5"/>
  <c r="BW116" i="5" l="1"/>
  <c r="BR559" i="5"/>
  <c r="AZ548" i="5"/>
  <c r="BA549" i="5" s="1"/>
  <c r="BB548" i="5"/>
  <c r="AS115" i="5"/>
  <c r="AV115" i="5" s="1"/>
  <c r="AO115" i="5"/>
  <c r="AR115" i="5" s="1"/>
  <c r="D91" i="6"/>
  <c r="BC116" i="5"/>
  <c r="E91" i="6"/>
  <c r="C117" i="5"/>
  <c r="BU117" i="5" s="1"/>
  <c r="F90" i="6"/>
  <c r="Q115" i="5"/>
  <c r="V115" i="5" s="1"/>
  <c r="AG115" i="5"/>
  <c r="N115" i="5"/>
  <c r="A500" i="6"/>
  <c r="B526" i="5"/>
  <c r="B501" i="6" s="1"/>
  <c r="CG522" i="5"/>
  <c r="CF523" i="5"/>
  <c r="CB467" i="5"/>
  <c r="CC466" i="5"/>
  <c r="BY116" i="5" l="1"/>
  <c r="J116" i="5" s="1"/>
  <c r="BT117" i="5"/>
  <c r="BV117" i="5"/>
  <c r="BS117" i="5"/>
  <c r="CI117" i="5"/>
  <c r="BR560" i="5"/>
  <c r="BH117" i="5"/>
  <c r="BI117" i="5" s="1"/>
  <c r="BJ117" i="5" s="1"/>
  <c r="AZ549" i="5"/>
  <c r="BA550" i="5" s="1"/>
  <c r="BB549" i="5"/>
  <c r="G90" i="6"/>
  <c r="AJ115" i="5"/>
  <c r="CR117" i="5"/>
  <c r="AC117" i="5"/>
  <c r="AD117" i="5" s="1"/>
  <c r="C92" i="6"/>
  <c r="CX117" i="5"/>
  <c r="BK117" i="5"/>
  <c r="BL117" i="5" s="1"/>
  <c r="BM117" i="5" s="1"/>
  <c r="CW117" i="5"/>
  <c r="CL117" i="5"/>
  <c r="CM117" i="5" s="1"/>
  <c r="AB117" i="5"/>
  <c r="L117" i="5" s="1"/>
  <c r="D117" i="5"/>
  <c r="CY117" i="5"/>
  <c r="CS117" i="5"/>
  <c r="AK117" i="5"/>
  <c r="AM117" i="5" s="1"/>
  <c r="AL118" i="5" s="1"/>
  <c r="BG116" i="5"/>
  <c r="H116" i="5" s="1"/>
  <c r="AX117" i="5"/>
  <c r="AW117" i="5" s="1"/>
  <c r="CU117" i="5"/>
  <c r="BX117" i="5" s="1"/>
  <c r="BF116" i="5"/>
  <c r="BD116" i="5"/>
  <c r="BE117" i="5" s="1"/>
  <c r="CZ116" i="5"/>
  <c r="A501" i="6"/>
  <c r="B527" i="5"/>
  <c r="B502" i="6" s="1"/>
  <c r="CF524" i="5"/>
  <c r="CG523" i="5"/>
  <c r="CC467" i="5"/>
  <c r="CB468" i="5"/>
  <c r="AN116" i="5" l="1"/>
  <c r="AF116" i="5"/>
  <c r="BR561" i="5"/>
  <c r="CH117" i="5"/>
  <c r="CK117" i="5"/>
  <c r="CJ117" i="5" s="1"/>
  <c r="AZ550" i="5"/>
  <c r="BA551" i="5" s="1"/>
  <c r="BB550" i="5"/>
  <c r="X115" i="5"/>
  <c r="Y115" i="5" s="1"/>
  <c r="DA117" i="5"/>
  <c r="DB117" i="5" s="1"/>
  <c r="K117" i="5" s="1"/>
  <c r="W117" i="5"/>
  <c r="T117" i="5"/>
  <c r="U117" i="5" s="1"/>
  <c r="AE117" i="5"/>
  <c r="CT117" i="5"/>
  <c r="CV117" i="5"/>
  <c r="BN117" i="5"/>
  <c r="BO117" i="5" s="1"/>
  <c r="BP117" i="5" s="1"/>
  <c r="G117" i="5" s="1"/>
  <c r="CP117" i="5"/>
  <c r="CQ117" i="5" s="1"/>
  <c r="R117" i="5" s="1"/>
  <c r="S117" i="5" s="1"/>
  <c r="I116" i="5"/>
  <c r="AH116" i="5" s="1"/>
  <c r="A502" i="6"/>
  <c r="B528" i="5"/>
  <c r="B503" i="6" s="1"/>
  <c r="CF525" i="5"/>
  <c r="CG524" i="5"/>
  <c r="CC468" i="5"/>
  <c r="CB469" i="5"/>
  <c r="BR562" i="5" l="1"/>
  <c r="AZ551" i="5"/>
  <c r="BA552" i="5" s="1"/>
  <c r="BB551" i="5"/>
  <c r="H90" i="6"/>
  <c r="Z115" i="5"/>
  <c r="AA115" i="5" s="1"/>
  <c r="I90" i="6" s="1"/>
  <c r="AT116" i="5"/>
  <c r="AP116" i="5"/>
  <c r="CN117" i="5"/>
  <c r="E117" i="5" s="1"/>
  <c r="CO117" i="5"/>
  <c r="F117" i="5" s="1"/>
  <c r="P116" i="5"/>
  <c r="M116" i="5"/>
  <c r="A503" i="6"/>
  <c r="B529" i="5"/>
  <c r="B504" i="6" s="1"/>
  <c r="CF526" i="5"/>
  <c r="CG525" i="5"/>
  <c r="CC469" i="5"/>
  <c r="CB470" i="5"/>
  <c r="BR563" i="5" l="1"/>
  <c r="AZ552" i="5"/>
  <c r="BA553" i="5" s="1"/>
  <c r="BB552" i="5"/>
  <c r="AY116" i="5"/>
  <c r="BB116" i="5"/>
  <c r="AO116" i="5"/>
  <c r="AR116" i="5" s="1"/>
  <c r="AG116" i="5"/>
  <c r="N116" i="5"/>
  <c r="AS116" i="5"/>
  <c r="AV116" i="5" s="1"/>
  <c r="F91" i="6"/>
  <c r="Q116" i="5"/>
  <c r="V116" i="5" s="1"/>
  <c r="E92" i="6"/>
  <c r="C118" i="5"/>
  <c r="BU118" i="5" s="1"/>
  <c r="D92" i="6"/>
  <c r="BC117" i="5"/>
  <c r="A504" i="6"/>
  <c r="B530" i="5"/>
  <c r="B505" i="6" s="1"/>
  <c r="CG526" i="5"/>
  <c r="CF527" i="5"/>
  <c r="CC470" i="5"/>
  <c r="CB471" i="5"/>
  <c r="BW117" i="5" l="1"/>
  <c r="BY117" i="5"/>
  <c r="J117" i="5" s="1"/>
  <c r="BV118" i="5"/>
  <c r="BT118" i="5"/>
  <c r="BS118" i="5"/>
  <c r="CI118" i="5"/>
  <c r="BR564" i="5"/>
  <c r="BH118" i="5"/>
  <c r="BI118" i="5" s="1"/>
  <c r="BJ118" i="5" s="1"/>
  <c r="AZ553" i="5"/>
  <c r="BA554" i="5" s="1"/>
  <c r="BB553" i="5"/>
  <c r="AJ116" i="5"/>
  <c r="CZ117" i="5"/>
  <c r="BD117" i="5"/>
  <c r="BE118" i="5" s="1"/>
  <c r="BF117" i="5"/>
  <c r="CR118" i="5"/>
  <c r="CY118" i="5"/>
  <c r="CS118" i="5"/>
  <c r="CL118" i="5"/>
  <c r="CM118" i="5" s="1"/>
  <c r="BK118" i="5"/>
  <c r="BL118" i="5" s="1"/>
  <c r="BM118" i="5" s="1"/>
  <c r="CX118" i="5"/>
  <c r="C93" i="6"/>
  <c r="AB118" i="5"/>
  <c r="L118" i="5" s="1"/>
  <c r="D118" i="5"/>
  <c r="CW118" i="5"/>
  <c r="AK118" i="5"/>
  <c r="AM118" i="5" s="1"/>
  <c r="AL119" i="5" s="1"/>
  <c r="AC118" i="5"/>
  <c r="AD118" i="5" s="1"/>
  <c r="BG117" i="5"/>
  <c r="H117" i="5" s="1"/>
  <c r="AX118" i="5"/>
  <c r="AW118" i="5" s="1"/>
  <c r="CU118" i="5"/>
  <c r="G91" i="6"/>
  <c r="A505" i="6"/>
  <c r="B531" i="5"/>
  <c r="B506" i="6" s="1"/>
  <c r="CG527" i="5"/>
  <c r="CF528" i="5"/>
  <c r="CB472" i="5"/>
  <c r="CC471" i="5"/>
  <c r="AF117" i="5" l="1"/>
  <c r="AN117" i="5"/>
  <c r="BX118" i="5"/>
  <c r="BR565" i="5"/>
  <c r="CH118" i="5"/>
  <c r="CK118" i="5"/>
  <c r="CJ118" i="5" s="1"/>
  <c r="AZ554" i="5"/>
  <c r="BA555" i="5" s="1"/>
  <c r="BB554" i="5"/>
  <c r="X116" i="5"/>
  <c r="Y116" i="5" s="1"/>
  <c r="DA118" i="5"/>
  <c r="DB118" i="5" s="1"/>
  <c r="I117" i="5"/>
  <c r="AE118" i="5"/>
  <c r="W118" i="5"/>
  <c r="T118" i="5"/>
  <c r="U118" i="5" s="1"/>
  <c r="CV118" i="5"/>
  <c r="CT118" i="5"/>
  <c r="CP118" i="5"/>
  <c r="CQ118" i="5" s="1"/>
  <c r="R118" i="5" s="1"/>
  <c r="S118" i="5" s="1"/>
  <c r="BN118" i="5"/>
  <c r="BO118" i="5" s="1"/>
  <c r="BP118" i="5" s="1"/>
  <c r="G118" i="5" s="1"/>
  <c r="A506" i="6"/>
  <c r="B532" i="5"/>
  <c r="B507" i="6" s="1"/>
  <c r="CF529" i="5"/>
  <c r="CG528" i="5"/>
  <c r="CC472" i="5"/>
  <c r="CB473" i="5"/>
  <c r="AH117" i="5" l="1"/>
  <c r="K118" i="5"/>
  <c r="BR566" i="5"/>
  <c r="AZ555" i="5"/>
  <c r="BA556" i="5" s="1"/>
  <c r="AZ556" i="5" s="1"/>
  <c r="BA557" i="5" s="1"/>
  <c r="BB555" i="5"/>
  <c r="Z116" i="5"/>
  <c r="AA116" i="5" s="1"/>
  <c r="I91" i="6" s="1"/>
  <c r="H91" i="6"/>
  <c r="AT117" i="5"/>
  <c r="AP117" i="5"/>
  <c r="CO118" i="5"/>
  <c r="F118" i="5" s="1"/>
  <c r="CN118" i="5"/>
  <c r="E118" i="5" s="1"/>
  <c r="M117" i="5"/>
  <c r="P117" i="5"/>
  <c r="AY117" i="5" s="1"/>
  <c r="A507" i="6"/>
  <c r="B533" i="5"/>
  <c r="B508" i="6" s="1"/>
  <c r="CF530" i="5"/>
  <c r="CG529" i="5"/>
  <c r="CC473" i="5"/>
  <c r="CB474" i="5"/>
  <c r="BR567" i="5" l="1"/>
  <c r="AZ557" i="5"/>
  <c r="BA558" i="5" s="1"/>
  <c r="BB557" i="5"/>
  <c r="AS117" i="5"/>
  <c r="AV117" i="5" s="1"/>
  <c r="AG117" i="5"/>
  <c r="AJ117" i="5" s="1"/>
  <c r="D93" i="6"/>
  <c r="BC118" i="5"/>
  <c r="C119" i="5"/>
  <c r="BU119" i="5" s="1"/>
  <c r="E93" i="6"/>
  <c r="F92" i="6"/>
  <c r="Q117" i="5"/>
  <c r="V117" i="5" s="1"/>
  <c r="AO117" i="5"/>
  <c r="N117" i="5"/>
  <c r="A508" i="6"/>
  <c r="B534" i="5"/>
  <c r="B509" i="6" s="1"/>
  <c r="CG530" i="5"/>
  <c r="CF531" i="5"/>
  <c r="CC474" i="5"/>
  <c r="CB475" i="5"/>
  <c r="BW118" i="5" l="1"/>
  <c r="BY118" i="5"/>
  <c r="J118" i="5" s="1"/>
  <c r="BV119" i="5"/>
  <c r="BT119" i="5"/>
  <c r="BS119" i="5"/>
  <c r="CI119" i="5"/>
  <c r="BR568" i="5"/>
  <c r="BH119" i="5"/>
  <c r="BI119" i="5" s="1"/>
  <c r="BJ119" i="5" s="1"/>
  <c r="AZ558" i="5"/>
  <c r="BA559" i="5" s="1"/>
  <c r="BB558" i="5"/>
  <c r="AR117" i="5"/>
  <c r="G92" i="6"/>
  <c r="AC119" i="5"/>
  <c r="AD119" i="5" s="1"/>
  <c r="CS119" i="5"/>
  <c r="CR119" i="5"/>
  <c r="D119" i="5"/>
  <c r="CW119" i="5"/>
  <c r="CX119" i="5"/>
  <c r="AB119" i="5"/>
  <c r="CP119" i="5" s="1"/>
  <c r="CQ119" i="5" s="1"/>
  <c r="R119" i="5" s="1"/>
  <c r="S119" i="5" s="1"/>
  <c r="BK119" i="5"/>
  <c r="BL119" i="5" s="1"/>
  <c r="BM119" i="5" s="1"/>
  <c r="C94" i="6"/>
  <c r="AK119" i="5"/>
  <c r="AM119" i="5" s="1"/>
  <c r="AL120" i="5" s="1"/>
  <c r="CL119" i="5"/>
  <c r="CM119" i="5" s="1"/>
  <c r="CY119" i="5"/>
  <c r="BG118" i="5"/>
  <c r="H118" i="5" s="1"/>
  <c r="AX119" i="5"/>
  <c r="AW119" i="5" s="1"/>
  <c r="CU119" i="5"/>
  <c r="BD118" i="5"/>
  <c r="BE119" i="5" s="1"/>
  <c r="CZ118" i="5"/>
  <c r="BF118" i="5"/>
  <c r="A509" i="6"/>
  <c r="B535" i="5"/>
  <c r="B510" i="6" s="1"/>
  <c r="CF532" i="5"/>
  <c r="CG531" i="5"/>
  <c r="CB476" i="5"/>
  <c r="CC475" i="5"/>
  <c r="AN118" i="5" l="1"/>
  <c r="AF118" i="5"/>
  <c r="BX119" i="5"/>
  <c r="BR569" i="5"/>
  <c r="CK119" i="5"/>
  <c r="CJ119" i="5" s="1"/>
  <c r="CH119" i="5"/>
  <c r="AZ559" i="5"/>
  <c r="BA560" i="5" s="1"/>
  <c r="BB559" i="5"/>
  <c r="X117" i="5"/>
  <c r="Y117" i="5" s="1"/>
  <c r="BN119" i="5"/>
  <c r="BO119" i="5" s="1"/>
  <c r="BP119" i="5" s="1"/>
  <c r="G119" i="5" s="1"/>
  <c r="DA119" i="5"/>
  <c r="DB119" i="5" s="1"/>
  <c r="T119" i="5"/>
  <c r="U119" i="5" s="1"/>
  <c r="W119" i="5"/>
  <c r="AE119" i="5"/>
  <c r="CT119" i="5"/>
  <c r="CV119" i="5"/>
  <c r="L119" i="5"/>
  <c r="I118" i="5"/>
  <c r="AH118" i="5" s="1"/>
  <c r="A510" i="6"/>
  <c r="B536" i="5"/>
  <c r="B511" i="6" s="1"/>
  <c r="CG532" i="5"/>
  <c r="CF533" i="5"/>
  <c r="CC476" i="5"/>
  <c r="CB477" i="5"/>
  <c r="K119" i="5" l="1"/>
  <c r="BR570" i="5"/>
  <c r="AZ560" i="5"/>
  <c r="BA561" i="5" s="1"/>
  <c r="BB560" i="5"/>
  <c r="Z117" i="5"/>
  <c r="AA117" i="5" s="1"/>
  <c r="I92" i="6" s="1"/>
  <c r="H92" i="6"/>
  <c r="AT118" i="5"/>
  <c r="AP118" i="5"/>
  <c r="M118" i="5"/>
  <c r="P118" i="5"/>
  <c r="AY118" i="5" s="1"/>
  <c r="CO119" i="5"/>
  <c r="F119" i="5" s="1"/>
  <c r="CN119" i="5"/>
  <c r="E119" i="5" s="1"/>
  <c r="A511" i="6"/>
  <c r="B537" i="5"/>
  <c r="B512" i="6" s="1"/>
  <c r="CF534" i="5"/>
  <c r="CG533" i="5"/>
  <c r="CC477" i="5"/>
  <c r="CB478" i="5"/>
  <c r="BY119" i="5" l="1"/>
  <c r="J119" i="5" s="1"/>
  <c r="AN119" i="5" s="1"/>
  <c r="BW119" i="5"/>
  <c r="BR571" i="5"/>
  <c r="AZ561" i="5"/>
  <c r="BA562" i="5" s="1"/>
  <c r="BB561" i="5"/>
  <c r="AS118" i="5"/>
  <c r="AV118" i="5" s="1"/>
  <c r="AO118" i="5"/>
  <c r="AR118" i="5" s="1"/>
  <c r="BC119" i="5"/>
  <c r="D94" i="6"/>
  <c r="E94" i="6"/>
  <c r="C120" i="5"/>
  <c r="BU120" i="5" s="1"/>
  <c r="F93" i="6"/>
  <c r="Q118" i="5"/>
  <c r="V118" i="5" s="1"/>
  <c r="AG118" i="5"/>
  <c r="AJ118" i="5" s="1"/>
  <c r="N118" i="5"/>
  <c r="A512" i="6"/>
  <c r="B538" i="5"/>
  <c r="B513" i="6" s="1"/>
  <c r="CF535" i="5"/>
  <c r="CG534" i="5"/>
  <c r="CC478" i="5"/>
  <c r="CB479" i="5"/>
  <c r="AF119" i="5" l="1"/>
  <c r="BT120" i="5"/>
  <c r="BV120" i="5"/>
  <c r="BS120" i="5"/>
  <c r="CI120" i="5"/>
  <c r="BR572" i="5"/>
  <c r="BH120" i="5"/>
  <c r="BI120" i="5" s="1"/>
  <c r="BJ120" i="5" s="1"/>
  <c r="AZ562" i="5"/>
  <c r="BA563" i="5" s="1"/>
  <c r="BB562" i="5"/>
  <c r="X118" i="5"/>
  <c r="Y118" i="5" s="1"/>
  <c r="G93" i="6"/>
  <c r="D120" i="5"/>
  <c r="CS120" i="5"/>
  <c r="AC120" i="5"/>
  <c r="CL120" i="5"/>
  <c r="CM120" i="5" s="1"/>
  <c r="AB120" i="5"/>
  <c r="BN120" i="5" s="1"/>
  <c r="BO120" i="5" s="1"/>
  <c r="BP120" i="5" s="1"/>
  <c r="AK120" i="5"/>
  <c r="C95" i="6"/>
  <c r="CX120" i="5"/>
  <c r="CW120" i="5"/>
  <c r="CR120" i="5"/>
  <c r="BK120" i="5"/>
  <c r="BL120" i="5" s="1"/>
  <c r="BM120" i="5" s="1"/>
  <c r="CY120" i="5"/>
  <c r="BG119" i="5"/>
  <c r="H119" i="5" s="1"/>
  <c r="AX120" i="5"/>
  <c r="AW120" i="5" s="1"/>
  <c r="CU120" i="5"/>
  <c r="BX120" i="5" s="1"/>
  <c r="CZ119" i="5"/>
  <c r="BD119" i="5"/>
  <c r="BE120" i="5" s="1"/>
  <c r="BF119" i="5"/>
  <c r="A513" i="6"/>
  <c r="B539" i="5"/>
  <c r="B514" i="6" s="1"/>
  <c r="CF536" i="5"/>
  <c r="CG535" i="5"/>
  <c r="CC479" i="5"/>
  <c r="CB480" i="5"/>
  <c r="G120" i="5" l="1"/>
  <c r="BR573" i="5"/>
  <c r="CH120" i="5"/>
  <c r="CK120" i="5"/>
  <c r="CJ120" i="5" s="1"/>
  <c r="AZ563" i="5"/>
  <c r="BA564" i="5" s="1"/>
  <c r="BB563" i="5"/>
  <c r="AD120" i="5"/>
  <c r="AE120" i="5" s="1"/>
  <c r="CP120" i="5"/>
  <c r="CQ120" i="5" s="1"/>
  <c r="R120" i="5" s="1"/>
  <c r="S120" i="5" s="1"/>
  <c r="T120" i="5"/>
  <c r="U120" i="5" s="1"/>
  <c r="W120" i="5"/>
  <c r="CT120" i="5"/>
  <c r="CV120" i="5"/>
  <c r="H93" i="6"/>
  <c r="Z118" i="5"/>
  <c r="I119" i="5"/>
  <c r="AH119" i="5" s="1"/>
  <c r="DA120" i="5"/>
  <c r="DB120" i="5" s="1"/>
  <c r="K120" i="5" s="1"/>
  <c r="L120" i="5"/>
  <c r="AM120" i="5"/>
  <c r="AL121" i="5" s="1"/>
  <c r="A514" i="6"/>
  <c r="B540" i="5"/>
  <c r="B515" i="6" s="1"/>
  <c r="CF537" i="5"/>
  <c r="CG536" i="5"/>
  <c r="CC480" i="5"/>
  <c r="CB481" i="5"/>
  <c r="BR574" i="5" l="1"/>
  <c r="AZ564" i="5"/>
  <c r="BA565" i="5" s="1"/>
  <c r="BB564" i="5"/>
  <c r="AT119" i="5"/>
  <c r="AP119" i="5"/>
  <c r="P119" i="5"/>
  <c r="AY119" i="5" s="1"/>
  <c r="M119" i="5"/>
  <c r="AG119" i="5" s="1"/>
  <c r="AJ119" i="5" s="1"/>
  <c r="AA118" i="5"/>
  <c r="I93" i="6" s="1"/>
  <c r="CO120" i="5"/>
  <c r="F120" i="5" s="1"/>
  <c r="CN120" i="5"/>
  <c r="E120" i="5" s="1"/>
  <c r="A515" i="6"/>
  <c r="B541" i="5"/>
  <c r="B516" i="6" s="1"/>
  <c r="CF538" i="5"/>
  <c r="CG537" i="5"/>
  <c r="CC481" i="5"/>
  <c r="CB482" i="5"/>
  <c r="BW120" i="5" l="1"/>
  <c r="BY120" i="5"/>
  <c r="J120" i="5" s="1"/>
  <c r="BR575" i="5"/>
  <c r="AZ565" i="5"/>
  <c r="BA566" i="5" s="1"/>
  <c r="BB565" i="5"/>
  <c r="BC120" i="5"/>
  <c r="D95" i="6"/>
  <c r="C121" i="5"/>
  <c r="BU121" i="5" s="1"/>
  <c r="E95" i="6"/>
  <c r="AO119" i="5"/>
  <c r="AR119" i="5" s="1"/>
  <c r="N119" i="5"/>
  <c r="AS119" i="5"/>
  <c r="AV119" i="5" s="1"/>
  <c r="Q119" i="5"/>
  <c r="V119" i="5" s="1"/>
  <c r="G94" i="6" s="1"/>
  <c r="F94" i="6"/>
  <c r="A516" i="6"/>
  <c r="B542" i="5"/>
  <c r="B517" i="6" s="1"/>
  <c r="CG538" i="5"/>
  <c r="CF539" i="5"/>
  <c r="CC482" i="5"/>
  <c r="CB483" i="5"/>
  <c r="AF120" i="5" l="1"/>
  <c r="AN120" i="5"/>
  <c r="BV121" i="5"/>
  <c r="BT121" i="5"/>
  <c r="BS121" i="5"/>
  <c r="CI121" i="5"/>
  <c r="BR576" i="5"/>
  <c r="BH121" i="5"/>
  <c r="BI121" i="5" s="1"/>
  <c r="BJ121" i="5" s="1"/>
  <c r="AZ566" i="5"/>
  <c r="BA567" i="5" s="1"/>
  <c r="BB566" i="5"/>
  <c r="X119" i="5"/>
  <c r="Y119" i="5" s="1"/>
  <c r="C96" i="6"/>
  <c r="CY121" i="5"/>
  <c r="CX121" i="5"/>
  <c r="BK121" i="5"/>
  <c r="BL121" i="5" s="1"/>
  <c r="BM121" i="5" s="1"/>
  <c r="AB121" i="5"/>
  <c r="L121" i="5" s="1"/>
  <c r="CL121" i="5"/>
  <c r="CM121" i="5" s="1"/>
  <c r="AC121" i="5"/>
  <c r="CW121" i="5"/>
  <c r="AK121" i="5"/>
  <c r="AM121" i="5" s="1"/>
  <c r="AL122" i="5" s="1"/>
  <c r="CS121" i="5"/>
  <c r="D121" i="5"/>
  <c r="CR121" i="5"/>
  <c r="BG120" i="5"/>
  <c r="H120" i="5" s="1"/>
  <c r="AX121" i="5"/>
  <c r="AW121" i="5" s="1"/>
  <c r="CU121" i="5"/>
  <c r="BX121" i="5" s="1"/>
  <c r="CZ120" i="5"/>
  <c r="BF120" i="5"/>
  <c r="BD120" i="5"/>
  <c r="BE121" i="5" s="1"/>
  <c r="A517" i="6"/>
  <c r="B543" i="5"/>
  <c r="B518" i="6" s="1"/>
  <c r="CG539" i="5"/>
  <c r="CF540" i="5"/>
  <c r="CC483" i="5"/>
  <c r="CB484" i="5"/>
  <c r="AD121" i="5" l="1"/>
  <c r="AE121" i="5" s="1"/>
  <c r="BR577" i="5"/>
  <c r="CH121" i="5"/>
  <c r="CK121" i="5"/>
  <c r="CJ121" i="5" s="1"/>
  <c r="AZ567" i="5"/>
  <c r="BA568" i="5" s="1"/>
  <c r="BB567" i="5"/>
  <c r="DA121" i="5"/>
  <c r="DB121" i="5" s="1"/>
  <c r="K121" i="5" s="1"/>
  <c r="CV121" i="5"/>
  <c r="CT121" i="5"/>
  <c r="CP121" i="5"/>
  <c r="CQ121" i="5" s="1"/>
  <c r="R121" i="5" s="1"/>
  <c r="S121" i="5" s="1"/>
  <c r="BN121" i="5"/>
  <c r="BO121" i="5" s="1"/>
  <c r="BP121" i="5" s="1"/>
  <c r="G121" i="5" s="1"/>
  <c r="I120" i="5"/>
  <c r="AH120" i="5" s="1"/>
  <c r="W121" i="5"/>
  <c r="T121" i="5"/>
  <c r="U121" i="5" s="1"/>
  <c r="H94" i="6"/>
  <c r="Z119" i="5"/>
  <c r="A518" i="6"/>
  <c r="B544" i="5"/>
  <c r="B519" i="6" s="1"/>
  <c r="CG540" i="5"/>
  <c r="CF541" i="5"/>
  <c r="CC484" i="5"/>
  <c r="CB485" i="5"/>
  <c r="BR578" i="5" l="1"/>
  <c r="AZ568" i="5"/>
  <c r="BA569" i="5" s="1"/>
  <c r="BB568" i="5"/>
  <c r="AT120" i="5"/>
  <c r="AP120" i="5"/>
  <c r="AA119" i="5"/>
  <c r="I94" i="6" s="1"/>
  <c r="M120" i="5"/>
  <c r="AG120" i="5" s="1"/>
  <c r="AJ120" i="5" s="1"/>
  <c r="P120" i="5"/>
  <c r="AY120" i="5" s="1"/>
  <c r="CO121" i="5"/>
  <c r="F121" i="5" s="1"/>
  <c r="CN121" i="5"/>
  <c r="E121" i="5" s="1"/>
  <c r="A519" i="6"/>
  <c r="B545" i="5"/>
  <c r="B520" i="6" s="1"/>
  <c r="CG541" i="5"/>
  <c r="CF542" i="5"/>
  <c r="CC485" i="5"/>
  <c r="CB486" i="5"/>
  <c r="BW121" i="5" l="1"/>
  <c r="BY121" i="5"/>
  <c r="J121" i="5" s="1"/>
  <c r="AF121" i="5" s="1"/>
  <c r="BR579" i="5"/>
  <c r="AZ569" i="5"/>
  <c r="BA570" i="5" s="1"/>
  <c r="BB569" i="5"/>
  <c r="Q120" i="5"/>
  <c r="V120" i="5" s="1"/>
  <c r="G95" i="6" s="1"/>
  <c r="F95" i="6"/>
  <c r="N120" i="5"/>
  <c r="AS120" i="5"/>
  <c r="AV120" i="5" s="1"/>
  <c r="AO120" i="5"/>
  <c r="AR120" i="5" s="1"/>
  <c r="D96" i="6"/>
  <c r="BC121" i="5"/>
  <c r="E96" i="6"/>
  <c r="C122" i="5"/>
  <c r="BU122" i="5" s="1"/>
  <c r="A520" i="6"/>
  <c r="B546" i="5"/>
  <c r="B521" i="6" s="1"/>
  <c r="CF543" i="5"/>
  <c r="CG542" i="5"/>
  <c r="CC486" i="5"/>
  <c r="CB487" i="5"/>
  <c r="AN121" i="5" l="1"/>
  <c r="BV122" i="5"/>
  <c r="BT122" i="5"/>
  <c r="BS122" i="5"/>
  <c r="CI122" i="5"/>
  <c r="BR580" i="5"/>
  <c r="BH122" i="5"/>
  <c r="BI122" i="5" s="1"/>
  <c r="BJ122" i="5" s="1"/>
  <c r="AZ570" i="5"/>
  <c r="BA571" i="5" s="1"/>
  <c r="BB570" i="5"/>
  <c r="X120" i="5"/>
  <c r="Y120" i="5" s="1"/>
  <c r="H95" i="6" s="1"/>
  <c r="CZ121" i="5"/>
  <c r="BD121" i="5"/>
  <c r="BE122" i="5" s="1"/>
  <c r="BF121" i="5"/>
  <c r="AB122" i="5"/>
  <c r="DA122" i="5" s="1"/>
  <c r="DB122" i="5" s="1"/>
  <c r="CL122" i="5"/>
  <c r="CM122" i="5" s="1"/>
  <c r="CX122" i="5"/>
  <c r="CW122" i="5"/>
  <c r="D122" i="5"/>
  <c r="AK122" i="5"/>
  <c r="AM122" i="5" s="1"/>
  <c r="AL123" i="5" s="1"/>
  <c r="CS122" i="5"/>
  <c r="C97" i="6"/>
  <c r="CY122" i="5"/>
  <c r="CR122" i="5"/>
  <c r="BK122" i="5"/>
  <c r="BL122" i="5" s="1"/>
  <c r="BM122" i="5" s="1"/>
  <c r="AC122" i="5"/>
  <c r="BG121" i="5"/>
  <c r="H121" i="5" s="1"/>
  <c r="AX122" i="5"/>
  <c r="AW122" i="5" s="1"/>
  <c r="CU122" i="5"/>
  <c r="BX122" i="5" s="1"/>
  <c r="A521" i="6"/>
  <c r="B547" i="5"/>
  <c r="B522" i="6" s="1"/>
  <c r="CF544" i="5"/>
  <c r="CG543" i="5"/>
  <c r="CB488" i="5"/>
  <c r="CC487" i="5"/>
  <c r="AD122" i="5" l="1"/>
  <c r="AE122" i="5" s="1"/>
  <c r="BR581" i="5"/>
  <c r="CK122" i="5"/>
  <c r="CJ122" i="5" s="1"/>
  <c r="K122" i="5" s="1"/>
  <c r="CH122" i="5"/>
  <c r="AZ571" i="5"/>
  <c r="BA572" i="5" s="1"/>
  <c r="BB571" i="5"/>
  <c r="Z120" i="5"/>
  <c r="AA120" i="5" s="1"/>
  <c r="I95" i="6" s="1"/>
  <c r="BN122" i="5"/>
  <c r="BO122" i="5" s="1"/>
  <c r="BP122" i="5" s="1"/>
  <c r="G122" i="5" s="1"/>
  <c r="CP122" i="5"/>
  <c r="CQ122" i="5" s="1"/>
  <c r="R122" i="5" s="1"/>
  <c r="S122" i="5" s="1"/>
  <c r="CV122" i="5"/>
  <c r="CT122" i="5"/>
  <c r="I121" i="5"/>
  <c r="AP121" i="5" s="1"/>
  <c r="L122" i="5"/>
  <c r="W122" i="5"/>
  <c r="T122" i="5"/>
  <c r="U122" i="5" s="1"/>
  <c r="A522" i="6"/>
  <c r="B548" i="5"/>
  <c r="B523" i="6" s="1"/>
  <c r="CG544" i="5"/>
  <c r="CF545" i="5"/>
  <c r="CC488" i="5"/>
  <c r="CB489" i="5"/>
  <c r="BR582" i="5" l="1"/>
  <c r="AZ572" i="5"/>
  <c r="BA573" i="5" s="1"/>
  <c r="BB572" i="5"/>
  <c r="AT121" i="5"/>
  <c r="AH121" i="5"/>
  <c r="P121" i="5"/>
  <c r="AY121" i="5" s="1"/>
  <c r="M121" i="5"/>
  <c r="AG121" i="5" s="1"/>
  <c r="CO122" i="5"/>
  <c r="F122" i="5" s="1"/>
  <c r="CN122" i="5"/>
  <c r="E122" i="5" s="1"/>
  <c r="A523" i="6"/>
  <c r="B549" i="5"/>
  <c r="B524" i="6" s="1"/>
  <c r="CG545" i="5"/>
  <c r="CF546" i="5"/>
  <c r="CC489" i="5"/>
  <c r="CB490" i="5"/>
  <c r="BY122" i="5" l="1"/>
  <c r="J122" i="5" s="1"/>
  <c r="BW122" i="5"/>
  <c r="AJ121" i="5"/>
  <c r="BR583" i="5"/>
  <c r="AZ573" i="5"/>
  <c r="BA574" i="5" s="1"/>
  <c r="BB573" i="5"/>
  <c r="BC122" i="5"/>
  <c r="D97" i="6"/>
  <c r="C123" i="5"/>
  <c r="BU123" i="5" s="1"/>
  <c r="E97" i="6"/>
  <c r="AO121" i="5"/>
  <c r="N121" i="5"/>
  <c r="AS121" i="5"/>
  <c r="AV121" i="5" s="1"/>
  <c r="F96" i="6"/>
  <c r="Q121" i="5"/>
  <c r="V121" i="5" s="1"/>
  <c r="A524" i="6"/>
  <c r="B550" i="5"/>
  <c r="B525" i="6" s="1"/>
  <c r="CG546" i="5"/>
  <c r="CF547" i="5"/>
  <c r="CC490" i="5"/>
  <c r="CB491" i="5"/>
  <c r="AN122" i="5" l="1"/>
  <c r="AF122" i="5"/>
  <c r="BT123" i="5"/>
  <c r="BV123" i="5"/>
  <c r="BS123" i="5"/>
  <c r="CI123" i="5"/>
  <c r="BR584" i="5"/>
  <c r="BH123" i="5"/>
  <c r="BI123" i="5" s="1"/>
  <c r="BJ123" i="5" s="1"/>
  <c r="AZ574" i="5"/>
  <c r="BA575" i="5" s="1"/>
  <c r="BB574" i="5"/>
  <c r="AR121" i="5"/>
  <c r="C98" i="6"/>
  <c r="CS123" i="5"/>
  <c r="D123" i="5"/>
  <c r="CX123" i="5"/>
  <c r="AB123" i="5"/>
  <c r="L123" i="5" s="1"/>
  <c r="CY123" i="5"/>
  <c r="AC123" i="5"/>
  <c r="CL123" i="5"/>
  <c r="CM123" i="5" s="1"/>
  <c r="CR123" i="5"/>
  <c r="BK123" i="5"/>
  <c r="BL123" i="5" s="1"/>
  <c r="BM123" i="5" s="1"/>
  <c r="AK123" i="5"/>
  <c r="CW123" i="5"/>
  <c r="BG122" i="5"/>
  <c r="H122" i="5" s="1"/>
  <c r="AX123" i="5"/>
  <c r="AW123" i="5" s="1"/>
  <c r="CU123" i="5"/>
  <c r="BX123" i="5" s="1"/>
  <c r="G96" i="6"/>
  <c r="CZ122" i="5"/>
  <c r="BD122" i="5"/>
  <c r="BE123" i="5" s="1"/>
  <c r="BF122" i="5"/>
  <c r="A525" i="6"/>
  <c r="B551" i="5"/>
  <c r="B526" i="6" s="1"/>
  <c r="CF548" i="5"/>
  <c r="CG547" i="5"/>
  <c r="CB492" i="5"/>
  <c r="CC491" i="5"/>
  <c r="AD123" i="5" l="1"/>
  <c r="AE123" i="5" s="1"/>
  <c r="BR585" i="5"/>
  <c r="CH123" i="5"/>
  <c r="CK123" i="5"/>
  <c r="CJ123" i="5" s="1"/>
  <c r="AZ575" i="5"/>
  <c r="BA576" i="5" s="1"/>
  <c r="BB575" i="5"/>
  <c r="X121" i="5"/>
  <c r="Y121" i="5" s="1"/>
  <c r="CP123" i="5"/>
  <c r="CQ123" i="5" s="1"/>
  <c r="R123" i="5" s="1"/>
  <c r="S123" i="5" s="1"/>
  <c r="DA123" i="5"/>
  <c r="DB123" i="5" s="1"/>
  <c r="BN123" i="5"/>
  <c r="BO123" i="5" s="1"/>
  <c r="BP123" i="5" s="1"/>
  <c r="G123" i="5" s="1"/>
  <c r="I122" i="5"/>
  <c r="AM123" i="5"/>
  <c r="AL124" i="5" s="1"/>
  <c r="W123" i="5"/>
  <c r="T123" i="5"/>
  <c r="U123" i="5" s="1"/>
  <c r="CT123" i="5"/>
  <c r="CV123" i="5"/>
  <c r="A526" i="6"/>
  <c r="B552" i="5"/>
  <c r="B527" i="6" s="1"/>
  <c r="CG548" i="5"/>
  <c r="CF549" i="5"/>
  <c r="CC492" i="5"/>
  <c r="CB493" i="5"/>
  <c r="K123" i="5" l="1"/>
  <c r="BR586" i="5"/>
  <c r="AZ576" i="5"/>
  <c r="BA577" i="5" s="1"/>
  <c r="BB576" i="5"/>
  <c r="H96" i="6"/>
  <c r="Z121" i="5"/>
  <c r="AA121" i="5" s="1"/>
  <c r="I96" i="6" s="1"/>
  <c r="AH122" i="5"/>
  <c r="AT122" i="5"/>
  <c r="AP122" i="5"/>
  <c r="CN123" i="5"/>
  <c r="E123" i="5" s="1"/>
  <c r="CO123" i="5"/>
  <c r="F123" i="5" s="1"/>
  <c r="P122" i="5"/>
  <c r="AY122" i="5" s="1"/>
  <c r="M122" i="5"/>
  <c r="A527" i="6"/>
  <c r="B553" i="5"/>
  <c r="B528" i="6" s="1"/>
  <c r="CG549" i="5"/>
  <c r="CF550" i="5"/>
  <c r="CC493" i="5"/>
  <c r="CB494" i="5"/>
  <c r="BW123" i="5" l="1"/>
  <c r="BY123" i="5"/>
  <c r="J123" i="5" s="1"/>
  <c r="BR587" i="5"/>
  <c r="AZ577" i="5"/>
  <c r="BA578" i="5" s="1"/>
  <c r="AZ578" i="5" s="1"/>
  <c r="BA579" i="5" s="1"/>
  <c r="BB577" i="5"/>
  <c r="AS122" i="5"/>
  <c r="AV122" i="5" s="1"/>
  <c r="AO122" i="5"/>
  <c r="AR122" i="5" s="1"/>
  <c r="N122" i="5"/>
  <c r="AG122" i="5"/>
  <c r="C124" i="5"/>
  <c r="BU124" i="5" s="1"/>
  <c r="E98" i="6"/>
  <c r="D98" i="6"/>
  <c r="BC123" i="5"/>
  <c r="Q122" i="5"/>
  <c r="V122" i="5" s="1"/>
  <c r="F97" i="6"/>
  <c r="A528" i="6"/>
  <c r="B554" i="5"/>
  <c r="B529" i="6" s="1"/>
  <c r="CG550" i="5"/>
  <c r="CF551" i="5"/>
  <c r="CC494" i="5"/>
  <c r="CB495" i="5"/>
  <c r="AN123" i="5" l="1"/>
  <c r="AF123" i="5"/>
  <c r="BT124" i="5"/>
  <c r="BV124" i="5"/>
  <c r="BS124" i="5"/>
  <c r="CI124" i="5"/>
  <c r="BR588" i="5"/>
  <c r="BH124" i="5"/>
  <c r="BI124" i="5" s="1"/>
  <c r="BJ124" i="5" s="1"/>
  <c r="AZ579" i="5"/>
  <c r="BA580" i="5" s="1"/>
  <c r="BB579" i="5"/>
  <c r="AJ122" i="5"/>
  <c r="BD123" i="5"/>
  <c r="BE124" i="5" s="1"/>
  <c r="CZ123" i="5"/>
  <c r="BF123" i="5"/>
  <c r="G97" i="6"/>
  <c r="AC124" i="5"/>
  <c r="AD124" i="5" s="1"/>
  <c r="D124" i="5"/>
  <c r="AK124" i="5"/>
  <c r="AM124" i="5" s="1"/>
  <c r="AL125" i="5" s="1"/>
  <c r="CS124" i="5"/>
  <c r="CR124" i="5"/>
  <c r="CW124" i="5"/>
  <c r="CL124" i="5"/>
  <c r="CM124" i="5" s="1"/>
  <c r="C99" i="6"/>
  <c r="BK124" i="5"/>
  <c r="BL124" i="5" s="1"/>
  <c r="BM124" i="5" s="1"/>
  <c r="CX124" i="5"/>
  <c r="AB124" i="5"/>
  <c r="L124" i="5" s="1"/>
  <c r="CY124" i="5"/>
  <c r="BG123" i="5"/>
  <c r="H123" i="5" s="1"/>
  <c r="AX124" i="5"/>
  <c r="AW124" i="5" s="1"/>
  <c r="CU124" i="5"/>
  <c r="BX124" i="5" s="1"/>
  <c r="A529" i="6"/>
  <c r="B555" i="5"/>
  <c r="B530" i="6" s="1"/>
  <c r="CG551" i="5"/>
  <c r="CF552" i="5"/>
  <c r="CB496" i="5"/>
  <c r="CC495" i="5"/>
  <c r="BR589" i="5" l="1"/>
  <c r="CH124" i="5"/>
  <c r="CK124" i="5"/>
  <c r="CJ124" i="5" s="1"/>
  <c r="AZ580" i="5"/>
  <c r="BA581" i="5" s="1"/>
  <c r="BB580" i="5"/>
  <c r="X122" i="5"/>
  <c r="Y122" i="5" s="1"/>
  <c r="DA124" i="5"/>
  <c r="DB124" i="5" s="1"/>
  <c r="K124" i="5" s="1"/>
  <c r="BN124" i="5"/>
  <c r="BO124" i="5" s="1"/>
  <c r="BP124" i="5" s="1"/>
  <c r="G124" i="5" s="1"/>
  <c r="AE124" i="5"/>
  <c r="CT124" i="5"/>
  <c r="CV124" i="5"/>
  <c r="CP124" i="5"/>
  <c r="CQ124" i="5" s="1"/>
  <c r="R124" i="5" s="1"/>
  <c r="S124" i="5" s="1"/>
  <c r="I123" i="5"/>
  <c r="AP123" i="5" s="1"/>
  <c r="T124" i="5"/>
  <c r="U124" i="5" s="1"/>
  <c r="W124" i="5"/>
  <c r="A530" i="6"/>
  <c r="B556" i="5"/>
  <c r="B531" i="6" s="1"/>
  <c r="CF553" i="5"/>
  <c r="CG552" i="5"/>
  <c r="CC496" i="5"/>
  <c r="CB497" i="5"/>
  <c r="BR590" i="5" l="1"/>
  <c r="AZ581" i="5"/>
  <c r="BA582" i="5" s="1"/>
  <c r="BB581" i="5"/>
  <c r="H97" i="6"/>
  <c r="Z122" i="5"/>
  <c r="AA122" i="5" s="1"/>
  <c r="I97" i="6" s="1"/>
  <c r="AH123" i="5"/>
  <c r="AT123" i="5"/>
  <c r="CN124" i="5"/>
  <c r="E124" i="5" s="1"/>
  <c r="CO124" i="5"/>
  <c r="F124" i="5" s="1"/>
  <c r="P123" i="5"/>
  <c r="AY123" i="5" s="1"/>
  <c r="M123" i="5"/>
  <c r="A531" i="6"/>
  <c r="B557" i="5"/>
  <c r="B532" i="6" s="1"/>
  <c r="CF554" i="5"/>
  <c r="CG553" i="5"/>
  <c r="CC497" i="5"/>
  <c r="CB498" i="5"/>
  <c r="BW124" i="5" l="1"/>
  <c r="BY124" i="5"/>
  <c r="J124" i="5" s="1"/>
  <c r="AF124" i="5" s="1"/>
  <c r="BR591" i="5"/>
  <c r="AZ582" i="5"/>
  <c r="BA583" i="5" s="1"/>
  <c r="BB582" i="5"/>
  <c r="AO123" i="5"/>
  <c r="AR123" i="5" s="1"/>
  <c r="AG123" i="5"/>
  <c r="AJ123" i="5" s="1"/>
  <c r="N123" i="5"/>
  <c r="AS123" i="5"/>
  <c r="AV123" i="5" s="1"/>
  <c r="Q123" i="5"/>
  <c r="V123" i="5" s="1"/>
  <c r="F98" i="6"/>
  <c r="E99" i="6"/>
  <c r="C125" i="5"/>
  <c r="BU125" i="5" s="1"/>
  <c r="D99" i="6"/>
  <c r="BC124" i="5"/>
  <c r="A532" i="6"/>
  <c r="B558" i="5"/>
  <c r="B533" i="6" s="1"/>
  <c r="CF555" i="5"/>
  <c r="CG554" i="5"/>
  <c r="CC498" i="5"/>
  <c r="CB499" i="5"/>
  <c r="AN124" i="5" l="1"/>
  <c r="BT125" i="5"/>
  <c r="BV125" i="5"/>
  <c r="BS125" i="5"/>
  <c r="CI125" i="5"/>
  <c r="BR592" i="5"/>
  <c r="BH125" i="5"/>
  <c r="BI125" i="5" s="1"/>
  <c r="BJ125" i="5" s="1"/>
  <c r="AZ583" i="5"/>
  <c r="BA584" i="5" s="1"/>
  <c r="BB583" i="5"/>
  <c r="X123" i="5"/>
  <c r="Y123" i="5" s="1"/>
  <c r="D125" i="5"/>
  <c r="C100" i="6"/>
  <c r="CY125" i="5"/>
  <c r="AC125" i="5"/>
  <c r="CR125" i="5"/>
  <c r="CS125" i="5"/>
  <c r="AK125" i="5"/>
  <c r="CW125" i="5"/>
  <c r="AB125" i="5"/>
  <c r="CP125" i="5" s="1"/>
  <c r="CQ125" i="5" s="1"/>
  <c r="R125" i="5" s="1"/>
  <c r="S125" i="5" s="1"/>
  <c r="CX125" i="5"/>
  <c r="CL125" i="5"/>
  <c r="CM125" i="5" s="1"/>
  <c r="BK125" i="5"/>
  <c r="BL125" i="5" s="1"/>
  <c r="BM125" i="5" s="1"/>
  <c r="BG124" i="5"/>
  <c r="H124" i="5" s="1"/>
  <c r="AX125" i="5"/>
  <c r="AW125" i="5" s="1"/>
  <c r="CU125" i="5"/>
  <c r="BX125" i="5" s="1"/>
  <c r="CZ124" i="5"/>
  <c r="BD124" i="5"/>
  <c r="BE125" i="5" s="1"/>
  <c r="BF124" i="5"/>
  <c r="G98" i="6"/>
  <c r="A533" i="6"/>
  <c r="B559" i="5"/>
  <c r="B534" i="6" s="1"/>
  <c r="CG555" i="5"/>
  <c r="CF556" i="5"/>
  <c r="CB500" i="5"/>
  <c r="CC499" i="5"/>
  <c r="AD125" i="5" l="1"/>
  <c r="AE125" i="5" s="1"/>
  <c r="BR593" i="5"/>
  <c r="CH125" i="5"/>
  <c r="CK125" i="5"/>
  <c r="CJ125" i="5" s="1"/>
  <c r="AZ584" i="5"/>
  <c r="BA585" i="5" s="1"/>
  <c r="BB584" i="5"/>
  <c r="DA125" i="5"/>
  <c r="DB125" i="5" s="1"/>
  <c r="CV125" i="5"/>
  <c r="CT125" i="5"/>
  <c r="L125" i="5"/>
  <c r="AM125" i="5"/>
  <c r="AL126" i="5" s="1"/>
  <c r="H98" i="6"/>
  <c r="Z123" i="5"/>
  <c r="I124" i="5"/>
  <c r="AH124" i="5" s="1"/>
  <c r="BN125" i="5"/>
  <c r="BO125" i="5" s="1"/>
  <c r="BP125" i="5" s="1"/>
  <c r="G125" i="5" s="1"/>
  <c r="T125" i="5"/>
  <c r="U125" i="5" s="1"/>
  <c r="W125" i="5"/>
  <c r="A534" i="6"/>
  <c r="B560" i="5"/>
  <c r="B535" i="6" s="1"/>
  <c r="CF557" i="5"/>
  <c r="CG556" i="5"/>
  <c r="CC500" i="5"/>
  <c r="CB501" i="5"/>
  <c r="K125" i="5" l="1"/>
  <c r="BR594" i="5"/>
  <c r="AZ585" i="5"/>
  <c r="BA586" i="5" s="1"/>
  <c r="BB585" i="5"/>
  <c r="AT124" i="5"/>
  <c r="AP124" i="5"/>
  <c r="AA123" i="5"/>
  <c r="I98" i="6" s="1"/>
  <c r="M124" i="5"/>
  <c r="AG124" i="5" s="1"/>
  <c r="AJ124" i="5" s="1"/>
  <c r="P124" i="5"/>
  <c r="AY124" i="5" s="1"/>
  <c r="CO125" i="5"/>
  <c r="F125" i="5" s="1"/>
  <c r="CN125" i="5"/>
  <c r="E125" i="5" s="1"/>
  <c r="A535" i="6"/>
  <c r="B561" i="5"/>
  <c r="B536" i="6" s="1"/>
  <c r="CG557" i="5"/>
  <c r="CF558" i="5"/>
  <c r="CC501" i="5"/>
  <c r="CB502" i="5"/>
  <c r="BR595" i="5" l="1"/>
  <c r="AZ586" i="5"/>
  <c r="BA587" i="5" s="1"/>
  <c r="BB586" i="5"/>
  <c r="N124" i="5"/>
  <c r="AS124" i="5"/>
  <c r="AV124" i="5" s="1"/>
  <c r="AO124" i="5"/>
  <c r="AR124" i="5" s="1"/>
  <c r="Q124" i="5"/>
  <c r="V124" i="5" s="1"/>
  <c r="F99" i="6"/>
  <c r="D100" i="6"/>
  <c r="BC125" i="5"/>
  <c r="E100" i="6"/>
  <c r="C126" i="5"/>
  <c r="BU126" i="5" s="1"/>
  <c r="A536" i="6"/>
  <c r="B562" i="5"/>
  <c r="B537" i="6" s="1"/>
  <c r="CG558" i="5"/>
  <c r="CF559" i="5"/>
  <c r="CC502" i="5"/>
  <c r="CB503" i="5"/>
  <c r="BW125" i="5" l="1"/>
  <c r="BY125" i="5"/>
  <c r="J125" i="5" s="1"/>
  <c r="BV126" i="5"/>
  <c r="BT126" i="5"/>
  <c r="BS126" i="5"/>
  <c r="CI126" i="5"/>
  <c r="BR596" i="5"/>
  <c r="BH126" i="5"/>
  <c r="BI126" i="5" s="1"/>
  <c r="BJ126" i="5" s="1"/>
  <c r="AZ587" i="5"/>
  <c r="BA588" i="5" s="1"/>
  <c r="BB587" i="5"/>
  <c r="X124" i="5"/>
  <c r="Y124" i="5" s="1"/>
  <c r="D126" i="5"/>
  <c r="CW126" i="5"/>
  <c r="CY126" i="5"/>
  <c r="BK126" i="5"/>
  <c r="BL126" i="5" s="1"/>
  <c r="BM126" i="5" s="1"/>
  <c r="AK126" i="5"/>
  <c r="CX126" i="5"/>
  <c r="AC126" i="5"/>
  <c r="AD126" i="5" s="1"/>
  <c r="CS126" i="5"/>
  <c r="CL126" i="5"/>
  <c r="CM126" i="5" s="1"/>
  <c r="CR126" i="5"/>
  <c r="AB126" i="5"/>
  <c r="L126" i="5" s="1"/>
  <c r="C101" i="6"/>
  <c r="BG125" i="5"/>
  <c r="H125" i="5" s="1"/>
  <c r="AX126" i="5"/>
  <c r="AW126" i="5" s="1"/>
  <c r="CU126" i="5"/>
  <c r="BD125" i="5"/>
  <c r="BE126" i="5" s="1"/>
  <c r="CZ125" i="5"/>
  <c r="BF125" i="5"/>
  <c r="G99" i="6"/>
  <c r="A537" i="6"/>
  <c r="B563" i="5"/>
  <c r="B538" i="6" s="1"/>
  <c r="CG559" i="5"/>
  <c r="CF560" i="5"/>
  <c r="CB504" i="5"/>
  <c r="CC503" i="5"/>
  <c r="AN125" i="5" l="1"/>
  <c r="AF125" i="5"/>
  <c r="BX126" i="5"/>
  <c r="BR597" i="5"/>
  <c r="CH126" i="5"/>
  <c r="CK126" i="5"/>
  <c r="CJ126" i="5" s="1"/>
  <c r="AZ588" i="5"/>
  <c r="BA589" i="5" s="1"/>
  <c r="BB588" i="5"/>
  <c r="DA126" i="5"/>
  <c r="DB126" i="5" s="1"/>
  <c r="CT126" i="5"/>
  <c r="CV126" i="5"/>
  <c r="BN126" i="5"/>
  <c r="BO126" i="5" s="1"/>
  <c r="BP126" i="5" s="1"/>
  <c r="G126" i="5" s="1"/>
  <c r="AM126" i="5"/>
  <c r="AL127" i="5" s="1"/>
  <c r="I125" i="5"/>
  <c r="AP125" i="5" s="1"/>
  <c r="AE126" i="5"/>
  <c r="H99" i="6"/>
  <c r="Z124" i="5"/>
  <c r="CP126" i="5"/>
  <c r="CQ126" i="5" s="1"/>
  <c r="R126" i="5" s="1"/>
  <c r="S126" i="5" s="1"/>
  <c r="T126" i="5"/>
  <c r="U126" i="5" s="1"/>
  <c r="W126" i="5"/>
  <c r="A538" i="6"/>
  <c r="B564" i="5"/>
  <c r="B539" i="6" s="1"/>
  <c r="CG560" i="5"/>
  <c r="CF561" i="5"/>
  <c r="CC504" i="5"/>
  <c r="CB505" i="5"/>
  <c r="BR598" i="5" l="1"/>
  <c r="K126" i="5"/>
  <c r="AZ589" i="5"/>
  <c r="BA590" i="5" s="1"/>
  <c r="BB589" i="5"/>
  <c r="AH125" i="5"/>
  <c r="AT125" i="5"/>
  <c r="M125" i="5"/>
  <c r="P125" i="5"/>
  <c r="AY125" i="5" s="1"/>
  <c r="AA124" i="5"/>
  <c r="I99" i="6" s="1"/>
  <c r="CO126" i="5"/>
  <c r="F126" i="5" s="1"/>
  <c r="CN126" i="5"/>
  <c r="E126" i="5" s="1"/>
  <c r="A539" i="6"/>
  <c r="B565" i="5"/>
  <c r="B540" i="6" s="1"/>
  <c r="CG561" i="5"/>
  <c r="CF562" i="5"/>
  <c r="CC505" i="5"/>
  <c r="CB506" i="5"/>
  <c r="BR599" i="5" l="1"/>
  <c r="AZ590" i="5"/>
  <c r="BA591" i="5" s="1"/>
  <c r="BB590" i="5"/>
  <c r="AO125" i="5"/>
  <c r="AR125" i="5" s="1"/>
  <c r="AG125" i="5"/>
  <c r="AJ125" i="5" s="1"/>
  <c r="N125" i="5"/>
  <c r="AS125" i="5"/>
  <c r="AV125" i="5" s="1"/>
  <c r="D101" i="6"/>
  <c r="BC126" i="5"/>
  <c r="E101" i="6"/>
  <c r="C127" i="5"/>
  <c r="BU127" i="5" s="1"/>
  <c r="Q125" i="5"/>
  <c r="V125" i="5" s="1"/>
  <c r="F100" i="6"/>
  <c r="A540" i="6"/>
  <c r="B566" i="5"/>
  <c r="B541" i="6" s="1"/>
  <c r="CG562" i="5"/>
  <c r="CF563" i="5"/>
  <c r="CC506" i="5"/>
  <c r="CB507" i="5"/>
  <c r="BW126" i="5" l="1"/>
  <c r="BY126" i="5"/>
  <c r="J126" i="5" s="1"/>
  <c r="BV127" i="5"/>
  <c r="BT127" i="5"/>
  <c r="BS127" i="5"/>
  <c r="CI127" i="5"/>
  <c r="BR600" i="5"/>
  <c r="BH127" i="5"/>
  <c r="BI127" i="5" s="1"/>
  <c r="BJ127" i="5" s="1"/>
  <c r="AZ591" i="5"/>
  <c r="BA592" i="5" s="1"/>
  <c r="BB591" i="5"/>
  <c r="X125" i="5"/>
  <c r="Y125" i="5" s="1"/>
  <c r="G100" i="6"/>
  <c r="C102" i="6"/>
  <c r="CL127" i="5"/>
  <c r="CM127" i="5" s="1"/>
  <c r="AC127" i="5"/>
  <c r="AD127" i="5" s="1"/>
  <c r="BK127" i="5"/>
  <c r="BL127" i="5" s="1"/>
  <c r="BM127" i="5" s="1"/>
  <c r="D127" i="5"/>
  <c r="CY127" i="5"/>
  <c r="AB127" i="5"/>
  <c r="CP127" i="5" s="1"/>
  <c r="CQ127" i="5" s="1"/>
  <c r="R127" i="5" s="1"/>
  <c r="S127" i="5" s="1"/>
  <c r="CW127" i="5"/>
  <c r="AK127" i="5"/>
  <c r="AM127" i="5" s="1"/>
  <c r="AL128" i="5" s="1"/>
  <c r="CX127" i="5"/>
  <c r="CS127" i="5"/>
  <c r="CR127" i="5"/>
  <c r="BG126" i="5"/>
  <c r="H126" i="5" s="1"/>
  <c r="AX127" i="5"/>
  <c r="AW127" i="5" s="1"/>
  <c r="CU127" i="5"/>
  <c r="CZ126" i="5"/>
  <c r="BD126" i="5"/>
  <c r="BE127" i="5" s="1"/>
  <c r="BF126" i="5"/>
  <c r="A541" i="6"/>
  <c r="B567" i="5"/>
  <c r="B542" i="6" s="1"/>
  <c r="CG563" i="5"/>
  <c r="CF564" i="5"/>
  <c r="CB508" i="5"/>
  <c r="CC507" i="5"/>
  <c r="AN126" i="5" l="1"/>
  <c r="AF126" i="5"/>
  <c r="BX127" i="5"/>
  <c r="BR601" i="5"/>
  <c r="CK127" i="5"/>
  <c r="CJ127" i="5" s="1"/>
  <c r="CH127" i="5"/>
  <c r="AZ592" i="5"/>
  <c r="BA593" i="5" s="1"/>
  <c r="BB592" i="5"/>
  <c r="L127" i="5"/>
  <c r="DA127" i="5"/>
  <c r="DB127" i="5" s="1"/>
  <c r="K127" i="5" s="1"/>
  <c r="T127" i="5"/>
  <c r="U127" i="5" s="1"/>
  <c r="W127" i="5"/>
  <c r="I126" i="5"/>
  <c r="AE127" i="5"/>
  <c r="H100" i="6"/>
  <c r="Z125" i="5"/>
  <c r="CT127" i="5"/>
  <c r="CV127" i="5"/>
  <c r="BN127" i="5"/>
  <c r="BO127" i="5" s="1"/>
  <c r="BP127" i="5" s="1"/>
  <c r="G127" i="5" s="1"/>
  <c r="A542" i="6"/>
  <c r="B568" i="5"/>
  <c r="B543" i="6" s="1"/>
  <c r="CG564" i="5"/>
  <c r="CF565" i="5"/>
  <c r="CC508" i="5"/>
  <c r="CB509" i="5"/>
  <c r="AH126" i="5" l="1"/>
  <c r="BR602" i="5"/>
  <c r="AZ593" i="5"/>
  <c r="BA594" i="5" s="1"/>
  <c r="BB593" i="5"/>
  <c r="AT126" i="5"/>
  <c r="AP126" i="5"/>
  <c r="CO127" i="5"/>
  <c r="F127" i="5" s="1"/>
  <c r="CN127" i="5"/>
  <c r="E127" i="5" s="1"/>
  <c r="M126" i="5"/>
  <c r="P126" i="5"/>
  <c r="AY126" i="5" s="1"/>
  <c r="AA125" i="5"/>
  <c r="I100" i="6" s="1"/>
  <c r="A543" i="6"/>
  <c r="B569" i="5"/>
  <c r="B544" i="6" s="1"/>
  <c r="CF566" i="5"/>
  <c r="CG565" i="5"/>
  <c r="CC509" i="5"/>
  <c r="CB510" i="5"/>
  <c r="BY127" i="5" l="1"/>
  <c r="J127" i="5" s="1"/>
  <c r="AF127" i="5" s="1"/>
  <c r="BW127" i="5"/>
  <c r="BR603" i="5"/>
  <c r="AZ594" i="5"/>
  <c r="BA595" i="5" s="1"/>
  <c r="BB594" i="5"/>
  <c r="AO126" i="5"/>
  <c r="AR126" i="5" s="1"/>
  <c r="AG126" i="5"/>
  <c r="F101" i="6"/>
  <c r="Q126" i="5"/>
  <c r="V126" i="5" s="1"/>
  <c r="N126" i="5"/>
  <c r="AS126" i="5"/>
  <c r="AV126" i="5" s="1"/>
  <c r="D102" i="6"/>
  <c r="BC127" i="5"/>
  <c r="E102" i="6"/>
  <c r="C128" i="5"/>
  <c r="BU128" i="5" s="1"/>
  <c r="A544" i="6"/>
  <c r="B570" i="5"/>
  <c r="B545" i="6" s="1"/>
  <c r="CF567" i="5"/>
  <c r="CG566" i="5"/>
  <c r="CC510" i="5"/>
  <c r="CB511" i="5"/>
  <c r="AN127" i="5" l="1"/>
  <c r="BT128" i="5"/>
  <c r="BV128" i="5"/>
  <c r="BS128" i="5"/>
  <c r="CI128" i="5"/>
  <c r="BR604" i="5"/>
  <c r="BH128" i="5"/>
  <c r="BI128" i="5" s="1"/>
  <c r="BJ128" i="5" s="1"/>
  <c r="AZ595" i="5"/>
  <c r="BA596" i="5" s="1"/>
  <c r="BB595" i="5"/>
  <c r="AJ126" i="5"/>
  <c r="CZ127" i="5"/>
  <c r="BD127" i="5"/>
  <c r="BE128" i="5" s="1"/>
  <c r="BF127" i="5"/>
  <c r="G101" i="6"/>
  <c r="D128" i="5"/>
  <c r="CY128" i="5"/>
  <c r="CL128" i="5"/>
  <c r="CM128" i="5" s="1"/>
  <c r="AC128" i="5"/>
  <c r="AD128" i="5" s="1"/>
  <c r="CX128" i="5"/>
  <c r="BK128" i="5"/>
  <c r="BL128" i="5" s="1"/>
  <c r="BM128" i="5" s="1"/>
  <c r="CR128" i="5"/>
  <c r="CW128" i="5"/>
  <c r="AK128" i="5"/>
  <c r="AM128" i="5" s="1"/>
  <c r="AL129" i="5" s="1"/>
  <c r="AB128" i="5"/>
  <c r="BN128" i="5" s="1"/>
  <c r="BO128" i="5" s="1"/>
  <c r="BP128" i="5" s="1"/>
  <c r="C103" i="6"/>
  <c r="CS128" i="5"/>
  <c r="BG127" i="5"/>
  <c r="H127" i="5" s="1"/>
  <c r="AX128" i="5"/>
  <c r="AW128" i="5" s="1"/>
  <c r="CU128" i="5"/>
  <c r="BX128" i="5" s="1"/>
  <c r="A545" i="6"/>
  <c r="B571" i="5"/>
  <c r="CG567" i="5"/>
  <c r="CF568" i="5"/>
  <c r="CB512" i="5"/>
  <c r="CC511" i="5"/>
  <c r="G128" i="5" l="1"/>
  <c r="BR605" i="5"/>
  <c r="CH128" i="5"/>
  <c r="CK128" i="5"/>
  <c r="CJ128" i="5" s="1"/>
  <c r="AZ596" i="5"/>
  <c r="BA597" i="5" s="1"/>
  <c r="BB596" i="5"/>
  <c r="X126" i="5"/>
  <c r="Y126" i="5" s="1"/>
  <c r="H101" i="6" s="1"/>
  <c r="DA128" i="5"/>
  <c r="DB128" i="5" s="1"/>
  <c r="K128" i="5" s="1"/>
  <c r="W128" i="5"/>
  <c r="T128" i="5"/>
  <c r="U128" i="5" s="1"/>
  <c r="CT128" i="5"/>
  <c r="CV128" i="5"/>
  <c r="CP128" i="5"/>
  <c r="CQ128" i="5" s="1"/>
  <c r="R128" i="5" s="1"/>
  <c r="S128" i="5" s="1"/>
  <c r="L128" i="5"/>
  <c r="I127" i="5"/>
  <c r="AH127" i="5" s="1"/>
  <c r="AE128" i="5"/>
  <c r="F546" i="6"/>
  <c r="G546" i="6"/>
  <c r="H546" i="6"/>
  <c r="I546" i="6"/>
  <c r="B546" i="6"/>
  <c r="D546" i="6"/>
  <c r="C546" i="6"/>
  <c r="E546" i="6"/>
  <c r="A546" i="6"/>
  <c r="B572" i="5"/>
  <c r="CF569" i="5"/>
  <c r="CG568" i="5"/>
  <c r="CC512" i="5"/>
  <c r="CB513" i="5"/>
  <c r="BR606" i="5" l="1"/>
  <c r="AZ597" i="5"/>
  <c r="BA598" i="5" s="1"/>
  <c r="BB597" i="5"/>
  <c r="Z126" i="5"/>
  <c r="AA126" i="5" s="1"/>
  <c r="I101" i="6" s="1"/>
  <c r="M127" i="5"/>
  <c r="AG127" i="5" s="1"/>
  <c r="AJ127" i="5" s="1"/>
  <c r="P127" i="5"/>
  <c r="AY127" i="5" s="1"/>
  <c r="CO128" i="5"/>
  <c r="F128" i="5" s="1"/>
  <c r="CN128" i="5"/>
  <c r="E128" i="5" s="1"/>
  <c r="AT127" i="5"/>
  <c r="AP127" i="5"/>
  <c r="F547" i="6"/>
  <c r="G547" i="6"/>
  <c r="H547" i="6"/>
  <c r="I547" i="6"/>
  <c r="B547" i="6"/>
  <c r="D547" i="6"/>
  <c r="C547" i="6"/>
  <c r="E547" i="6"/>
  <c r="A547" i="6"/>
  <c r="B573" i="5"/>
  <c r="CF570" i="5"/>
  <c r="CG569" i="5"/>
  <c r="CC513" i="5"/>
  <c r="CB514" i="5"/>
  <c r="BW128" i="5" l="1"/>
  <c r="BR607" i="5"/>
  <c r="AZ598" i="5"/>
  <c r="BA599" i="5" s="1"/>
  <c r="BB598" i="5"/>
  <c r="BC128" i="5"/>
  <c r="D103" i="6"/>
  <c r="C129" i="5"/>
  <c r="BU129" i="5" s="1"/>
  <c r="E103" i="6"/>
  <c r="F102" i="6"/>
  <c r="Q127" i="5"/>
  <c r="V127" i="5" s="1"/>
  <c r="N127" i="5"/>
  <c r="AS127" i="5"/>
  <c r="AV127" i="5" s="1"/>
  <c r="AO127" i="5"/>
  <c r="AR127" i="5" s="1"/>
  <c r="F548" i="6"/>
  <c r="G548" i="6"/>
  <c r="H548" i="6"/>
  <c r="I548" i="6"/>
  <c r="B548" i="6"/>
  <c r="D548" i="6"/>
  <c r="C548" i="6"/>
  <c r="E548" i="6"/>
  <c r="A548" i="6"/>
  <c r="B574" i="5"/>
  <c r="CG570" i="5"/>
  <c r="CF571" i="5"/>
  <c r="CC514" i="5"/>
  <c r="CB515" i="5"/>
  <c r="BY128" i="5" l="1"/>
  <c r="J128" i="5" s="1"/>
  <c r="BV129" i="5"/>
  <c r="BT129" i="5"/>
  <c r="BS129" i="5"/>
  <c r="CI129" i="5"/>
  <c r="BR608" i="5"/>
  <c r="BH129" i="5"/>
  <c r="BI129" i="5" s="1"/>
  <c r="BJ129" i="5" s="1"/>
  <c r="X127" i="5"/>
  <c r="Y127" i="5" s="1"/>
  <c r="AZ599" i="5"/>
  <c r="BA600" i="5" s="1"/>
  <c r="AZ600" i="5" s="1"/>
  <c r="BA601" i="5" s="1"/>
  <c r="BB599" i="5"/>
  <c r="G102" i="6"/>
  <c r="AB129" i="5"/>
  <c r="L129" i="5" s="1"/>
  <c r="AC129" i="5"/>
  <c r="C104" i="6"/>
  <c r="D129" i="5"/>
  <c r="AK129" i="5"/>
  <c r="AM129" i="5" s="1"/>
  <c r="AL130" i="5" s="1"/>
  <c r="CR129" i="5"/>
  <c r="CL129" i="5"/>
  <c r="CM129" i="5" s="1"/>
  <c r="CX129" i="5"/>
  <c r="CW129" i="5"/>
  <c r="CY129" i="5"/>
  <c r="CS129" i="5"/>
  <c r="BK129" i="5"/>
  <c r="BL129" i="5" s="1"/>
  <c r="BM129" i="5" s="1"/>
  <c r="BG128" i="5"/>
  <c r="H128" i="5" s="1"/>
  <c r="AX129" i="5"/>
  <c r="AW129" i="5" s="1"/>
  <c r="CU129" i="5"/>
  <c r="BX129" i="5" s="1"/>
  <c r="CZ128" i="5"/>
  <c r="BF128" i="5"/>
  <c r="BD128" i="5"/>
  <c r="BE129" i="5" s="1"/>
  <c r="F549" i="6"/>
  <c r="G549" i="6"/>
  <c r="H549" i="6"/>
  <c r="I549" i="6"/>
  <c r="B549" i="6"/>
  <c r="D549" i="6"/>
  <c r="C549" i="6"/>
  <c r="E549" i="6"/>
  <c r="A549" i="6"/>
  <c r="B575" i="5"/>
  <c r="CG571" i="5"/>
  <c r="CF572" i="5"/>
  <c r="CB516" i="5"/>
  <c r="CC515" i="5"/>
  <c r="AF128" i="5" l="1"/>
  <c r="AN128" i="5"/>
  <c r="BR609" i="5"/>
  <c r="CH129" i="5"/>
  <c r="CK129" i="5"/>
  <c r="CJ129" i="5" s="1"/>
  <c r="AD129" i="5"/>
  <c r="AE129" i="5" s="1"/>
  <c r="AZ601" i="5"/>
  <c r="BA602" i="5" s="1"/>
  <c r="BB601" i="5"/>
  <c r="DA129" i="5"/>
  <c r="DB129" i="5" s="1"/>
  <c r="K129" i="5" s="1"/>
  <c r="CP129" i="5"/>
  <c r="CQ129" i="5" s="1"/>
  <c r="R129" i="5" s="1"/>
  <c r="S129" i="5" s="1"/>
  <c r="BN129" i="5"/>
  <c r="BO129" i="5" s="1"/>
  <c r="BP129" i="5" s="1"/>
  <c r="G129" i="5" s="1"/>
  <c r="W129" i="5"/>
  <c r="T129" i="5"/>
  <c r="U129" i="5" s="1"/>
  <c r="I128" i="5"/>
  <c r="CV129" i="5"/>
  <c r="CT129" i="5"/>
  <c r="H102" i="6"/>
  <c r="Z127" i="5"/>
  <c r="F550" i="6"/>
  <c r="G550" i="6"/>
  <c r="H550" i="6"/>
  <c r="I550" i="6"/>
  <c r="B550" i="6"/>
  <c r="D550" i="6"/>
  <c r="C550" i="6"/>
  <c r="E550" i="6"/>
  <c r="A550" i="6"/>
  <c r="B576" i="5"/>
  <c r="CG572" i="5"/>
  <c r="CF573" i="5"/>
  <c r="CC516" i="5"/>
  <c r="CB517" i="5"/>
  <c r="BR610" i="5" l="1"/>
  <c r="AZ602" i="5"/>
  <c r="BA603" i="5" s="1"/>
  <c r="BB602" i="5"/>
  <c r="AH128" i="5"/>
  <c r="AT128" i="5"/>
  <c r="AP128" i="5"/>
  <c r="P128" i="5"/>
  <c r="AY128" i="5" s="1"/>
  <c r="M128" i="5"/>
  <c r="AA127" i="5"/>
  <c r="I102" i="6" s="1"/>
  <c r="CN129" i="5"/>
  <c r="E129" i="5" s="1"/>
  <c r="CO129" i="5"/>
  <c r="F129" i="5" s="1"/>
  <c r="F551" i="6"/>
  <c r="G551" i="6"/>
  <c r="H551" i="6"/>
  <c r="I551" i="6"/>
  <c r="B551" i="6"/>
  <c r="D551" i="6"/>
  <c r="C551" i="6"/>
  <c r="E551" i="6"/>
  <c r="A551" i="6"/>
  <c r="B577" i="5"/>
  <c r="CG573" i="5"/>
  <c r="CF574" i="5"/>
  <c r="CC517" i="5"/>
  <c r="CB518" i="5"/>
  <c r="BR611" i="5" l="1"/>
  <c r="AZ603" i="5"/>
  <c r="BA604" i="5" s="1"/>
  <c r="BB603" i="5"/>
  <c r="AG128" i="5"/>
  <c r="AJ128" i="5" s="1"/>
  <c r="AS128" i="5"/>
  <c r="AV128" i="5" s="1"/>
  <c r="C130" i="5"/>
  <c r="BU130" i="5" s="1"/>
  <c r="E104" i="6"/>
  <c r="AO128" i="5"/>
  <c r="N128" i="5"/>
  <c r="D104" i="6"/>
  <c r="BC129" i="5"/>
  <c r="F103" i="6"/>
  <c r="Q128" i="5"/>
  <c r="V128" i="5" s="1"/>
  <c r="F552" i="6"/>
  <c r="G552" i="6"/>
  <c r="H552" i="6"/>
  <c r="I552" i="6"/>
  <c r="B552" i="6"/>
  <c r="D552" i="6"/>
  <c r="C552" i="6"/>
  <c r="E552" i="6"/>
  <c r="A552" i="6"/>
  <c r="B578" i="5"/>
  <c r="CF575" i="5"/>
  <c r="CG574" i="5"/>
  <c r="CC518" i="5"/>
  <c r="CB519" i="5"/>
  <c r="BW129" i="5" l="1"/>
  <c r="BY129" i="5"/>
  <c r="J129" i="5" s="1"/>
  <c r="BV130" i="5"/>
  <c r="BT130" i="5"/>
  <c r="BS130" i="5"/>
  <c r="CI130" i="5"/>
  <c r="BR612" i="5"/>
  <c r="BH130" i="5"/>
  <c r="BI130" i="5" s="1"/>
  <c r="BJ130" i="5" s="1"/>
  <c r="AZ604" i="5"/>
  <c r="BA605" i="5" s="1"/>
  <c r="BB604" i="5"/>
  <c r="G103" i="6"/>
  <c r="BF129" i="5"/>
  <c r="CZ129" i="5"/>
  <c r="BD129" i="5"/>
  <c r="BE130" i="5" s="1"/>
  <c r="AR128" i="5"/>
  <c r="AB130" i="5"/>
  <c r="L130" i="5" s="1"/>
  <c r="CS130" i="5"/>
  <c r="AC130" i="5"/>
  <c r="AD130" i="5" s="1"/>
  <c r="CX130" i="5"/>
  <c r="C105" i="6"/>
  <c r="BK130" i="5"/>
  <c r="BL130" i="5" s="1"/>
  <c r="BM130" i="5" s="1"/>
  <c r="AK130" i="5"/>
  <c r="AM130" i="5" s="1"/>
  <c r="AL131" i="5" s="1"/>
  <c r="CL130" i="5"/>
  <c r="CM130" i="5" s="1"/>
  <c r="CY130" i="5"/>
  <c r="CR130" i="5"/>
  <c r="D130" i="5"/>
  <c r="CW130" i="5"/>
  <c r="BG129" i="5"/>
  <c r="H129" i="5" s="1"/>
  <c r="AX130" i="5"/>
  <c r="AW130" i="5" s="1"/>
  <c r="CU130" i="5"/>
  <c r="F553" i="6"/>
  <c r="G553" i="6"/>
  <c r="H553" i="6"/>
  <c r="I553" i="6"/>
  <c r="B553" i="6"/>
  <c r="D553" i="6"/>
  <c r="C553" i="6"/>
  <c r="E553" i="6"/>
  <c r="A553" i="6"/>
  <c r="B579" i="5"/>
  <c r="CG575" i="5"/>
  <c r="CF576" i="5"/>
  <c r="CC519" i="5"/>
  <c r="CB520" i="5"/>
  <c r="AN129" i="5" l="1"/>
  <c r="AF129" i="5"/>
  <c r="BX130" i="5"/>
  <c r="BR613" i="5"/>
  <c r="CK130" i="5"/>
  <c r="CJ130" i="5" s="1"/>
  <c r="CH130" i="5"/>
  <c r="AZ605" i="5"/>
  <c r="BA606" i="5" s="1"/>
  <c r="BB605" i="5"/>
  <c r="X128" i="5"/>
  <c r="Y128" i="5" s="1"/>
  <c r="DA130" i="5"/>
  <c r="DB130" i="5" s="1"/>
  <c r="BN130" i="5"/>
  <c r="BO130" i="5" s="1"/>
  <c r="BP130" i="5" s="1"/>
  <c r="G130" i="5" s="1"/>
  <c r="CV130" i="5"/>
  <c r="CT130" i="5"/>
  <c r="CP130" i="5"/>
  <c r="CQ130" i="5" s="1"/>
  <c r="R130" i="5" s="1"/>
  <c r="S130" i="5" s="1"/>
  <c r="I129" i="5"/>
  <c r="AP129" i="5" s="1"/>
  <c r="T130" i="5"/>
  <c r="U130" i="5" s="1"/>
  <c r="W130" i="5"/>
  <c r="AE130" i="5"/>
  <c r="F554" i="6"/>
  <c r="G554" i="6"/>
  <c r="H554" i="6"/>
  <c r="I554" i="6"/>
  <c r="B554" i="6"/>
  <c r="D554" i="6"/>
  <c r="C554" i="6"/>
  <c r="E554" i="6"/>
  <c r="A554" i="6"/>
  <c r="B580" i="5"/>
  <c r="CG576" i="5"/>
  <c r="CF577" i="5"/>
  <c r="CB521" i="5"/>
  <c r="CC520" i="5"/>
  <c r="K130" i="5" l="1"/>
  <c r="BR614" i="5"/>
  <c r="AZ606" i="5"/>
  <c r="BA607" i="5" s="1"/>
  <c r="BB606" i="5"/>
  <c r="H103" i="6"/>
  <c r="Z128" i="5"/>
  <c r="AA128" i="5" s="1"/>
  <c r="I103" i="6" s="1"/>
  <c r="AH129" i="5"/>
  <c r="AT129" i="5"/>
  <c r="CN130" i="5"/>
  <c r="E130" i="5" s="1"/>
  <c r="CO130" i="5"/>
  <c r="F130" i="5" s="1"/>
  <c r="M129" i="5"/>
  <c r="P129" i="5"/>
  <c r="AY129" i="5" s="1"/>
  <c r="F555" i="6"/>
  <c r="G555" i="6"/>
  <c r="H555" i="6"/>
  <c r="I555" i="6"/>
  <c r="B555" i="6"/>
  <c r="D555" i="6"/>
  <c r="C555" i="6"/>
  <c r="E555" i="6"/>
  <c r="A555" i="6"/>
  <c r="B581" i="5"/>
  <c r="CF578" i="5"/>
  <c r="CG577" i="5"/>
  <c r="CC521" i="5"/>
  <c r="CB522" i="5"/>
  <c r="BY130" i="5" l="1"/>
  <c r="J130" i="5" s="1"/>
  <c r="AN130" i="5" s="1"/>
  <c r="BR615" i="5"/>
  <c r="AZ607" i="5"/>
  <c r="BA608" i="5" s="1"/>
  <c r="BB607" i="5"/>
  <c r="AS129" i="5"/>
  <c r="AV129" i="5" s="1"/>
  <c r="AO129" i="5"/>
  <c r="AR129" i="5" s="1"/>
  <c r="C131" i="5"/>
  <c r="BU131" i="5" s="1"/>
  <c r="E105" i="6"/>
  <c r="D105" i="6"/>
  <c r="BC130" i="5"/>
  <c r="F104" i="6"/>
  <c r="Q129" i="5"/>
  <c r="V129" i="5" s="1"/>
  <c r="G104" i="6" s="1"/>
  <c r="N129" i="5"/>
  <c r="AG129" i="5"/>
  <c r="AJ129" i="5" s="1"/>
  <c r="F556" i="6"/>
  <c r="G556" i="6"/>
  <c r="H556" i="6"/>
  <c r="I556" i="6"/>
  <c r="B556" i="6"/>
  <c r="D556" i="6"/>
  <c r="C556" i="6"/>
  <c r="E556" i="6"/>
  <c r="A556" i="6"/>
  <c r="B582" i="5"/>
  <c r="CG578" i="5"/>
  <c r="CF579" i="5"/>
  <c r="CC522" i="5"/>
  <c r="CB523" i="5"/>
  <c r="AF130" i="5" l="1"/>
  <c r="BW130" i="5"/>
  <c r="BT131" i="5"/>
  <c r="BV131" i="5"/>
  <c r="BS131" i="5"/>
  <c r="CI131" i="5"/>
  <c r="BR616" i="5"/>
  <c r="BH131" i="5"/>
  <c r="BI131" i="5" s="1"/>
  <c r="BJ131" i="5" s="1"/>
  <c r="AZ608" i="5"/>
  <c r="BA609" i="5" s="1"/>
  <c r="BB608" i="5"/>
  <c r="X129" i="5"/>
  <c r="Y129" i="5" s="1"/>
  <c r="CZ130" i="5"/>
  <c r="BD130" i="5"/>
  <c r="BE131" i="5" s="1"/>
  <c r="BF130" i="5"/>
  <c r="CS131" i="5"/>
  <c r="CR131" i="5"/>
  <c r="CL131" i="5"/>
  <c r="CM131" i="5" s="1"/>
  <c r="CX131" i="5"/>
  <c r="CW131" i="5"/>
  <c r="CY131" i="5"/>
  <c r="BK131" i="5"/>
  <c r="BL131" i="5" s="1"/>
  <c r="BM131" i="5" s="1"/>
  <c r="AK131" i="5"/>
  <c r="D131" i="5"/>
  <c r="AB131" i="5"/>
  <c r="BN131" i="5" s="1"/>
  <c r="BO131" i="5" s="1"/>
  <c r="BP131" i="5" s="1"/>
  <c r="AC131" i="5"/>
  <c r="C106" i="6"/>
  <c r="BG130" i="5"/>
  <c r="H130" i="5" s="1"/>
  <c r="AX131" i="5"/>
  <c r="AW131" i="5" s="1"/>
  <c r="CU131" i="5"/>
  <c r="F557" i="6"/>
  <c r="G557" i="6"/>
  <c r="H557" i="6"/>
  <c r="I557" i="6"/>
  <c r="B557" i="6"/>
  <c r="D557" i="6"/>
  <c r="C557" i="6"/>
  <c r="E557" i="6"/>
  <c r="A557" i="6"/>
  <c r="B583" i="5"/>
  <c r="CG579" i="5"/>
  <c r="CF580" i="5"/>
  <c r="CB524" i="5"/>
  <c r="CC523" i="5"/>
  <c r="BX131" i="5" l="1"/>
  <c r="G131" i="5"/>
  <c r="BR617" i="5"/>
  <c r="CH131" i="5"/>
  <c r="CK131" i="5"/>
  <c r="CJ131" i="5" s="1"/>
  <c r="AD131" i="5"/>
  <c r="AE131" i="5" s="1"/>
  <c r="AZ609" i="5"/>
  <c r="BA610" i="5" s="1"/>
  <c r="BB609" i="5"/>
  <c r="I130" i="5"/>
  <c r="AP130" i="5" s="1"/>
  <c r="W131" i="5"/>
  <c r="T131" i="5"/>
  <c r="U131" i="5" s="1"/>
  <c r="H104" i="6"/>
  <c r="Z129" i="5"/>
  <c r="CP131" i="5"/>
  <c r="CQ131" i="5" s="1"/>
  <c r="R131" i="5" s="1"/>
  <c r="S131" i="5" s="1"/>
  <c r="AM131" i="5"/>
  <c r="AL132" i="5" s="1"/>
  <c r="CV131" i="5"/>
  <c r="CT131" i="5"/>
  <c r="L131" i="5"/>
  <c r="DA131" i="5"/>
  <c r="DB131" i="5" s="1"/>
  <c r="F558" i="6"/>
  <c r="G558" i="6"/>
  <c r="H558" i="6"/>
  <c r="I558" i="6"/>
  <c r="B558" i="6"/>
  <c r="D558" i="6"/>
  <c r="C558" i="6"/>
  <c r="E558" i="6"/>
  <c r="A558" i="6"/>
  <c r="B584" i="5"/>
  <c r="CG580" i="5"/>
  <c r="CF581" i="5"/>
  <c r="CC524" i="5"/>
  <c r="CB525" i="5"/>
  <c r="K131" i="5" l="1"/>
  <c r="BR618" i="5"/>
  <c r="AZ610" i="5"/>
  <c r="BA611" i="5" s="1"/>
  <c r="BB610" i="5"/>
  <c r="AH130" i="5"/>
  <c r="AT130" i="5"/>
  <c r="CN131" i="5"/>
  <c r="E131" i="5" s="1"/>
  <c r="CO131" i="5"/>
  <c r="F131" i="5" s="1"/>
  <c r="AA129" i="5"/>
  <c r="I104" i="6" s="1"/>
  <c r="P130" i="5"/>
  <c r="AY130" i="5" s="1"/>
  <c r="M130" i="5"/>
  <c r="F559" i="6"/>
  <c r="G559" i="6"/>
  <c r="H559" i="6"/>
  <c r="I559" i="6"/>
  <c r="B559" i="6"/>
  <c r="D559" i="6"/>
  <c r="C559" i="6"/>
  <c r="E559" i="6"/>
  <c r="A559" i="6"/>
  <c r="B585" i="5"/>
  <c r="CF582" i="5"/>
  <c r="CG581" i="5"/>
  <c r="CC525" i="5"/>
  <c r="CB526" i="5"/>
  <c r="BW131" i="5" l="1"/>
  <c r="BY131" i="5"/>
  <c r="J131" i="5" s="1"/>
  <c r="BR619" i="5"/>
  <c r="AZ611" i="5"/>
  <c r="BA612" i="5" s="1"/>
  <c r="BB611" i="5"/>
  <c r="AS130" i="5"/>
  <c r="AV130" i="5" s="1"/>
  <c r="AO130" i="5"/>
  <c r="AR130" i="5" s="1"/>
  <c r="E106" i="6"/>
  <c r="C132" i="5"/>
  <c r="BU132" i="5" s="1"/>
  <c r="D106" i="6"/>
  <c r="BC131" i="5"/>
  <c r="AG130" i="5"/>
  <c r="N130" i="5"/>
  <c r="Q130" i="5"/>
  <c r="V130" i="5" s="1"/>
  <c r="F105" i="6"/>
  <c r="F560" i="6"/>
  <c r="G560" i="6"/>
  <c r="H560" i="6"/>
  <c r="I560" i="6"/>
  <c r="B560" i="6"/>
  <c r="D560" i="6"/>
  <c r="C560" i="6"/>
  <c r="E560" i="6"/>
  <c r="A560" i="6"/>
  <c r="B586" i="5"/>
  <c r="CG582" i="5"/>
  <c r="CF583" i="5"/>
  <c r="CC526" i="5"/>
  <c r="CB527" i="5"/>
  <c r="AF131" i="5" l="1"/>
  <c r="AN131" i="5"/>
  <c r="BT132" i="5"/>
  <c r="BV132" i="5"/>
  <c r="BS132" i="5"/>
  <c r="CI132" i="5"/>
  <c r="BR620" i="5"/>
  <c r="BH132" i="5"/>
  <c r="BI132" i="5" s="1"/>
  <c r="BJ132" i="5" s="1"/>
  <c r="AZ612" i="5"/>
  <c r="BA613" i="5" s="1"/>
  <c r="BB612" i="5"/>
  <c r="AJ130" i="5"/>
  <c r="G105" i="6"/>
  <c r="BD131" i="5"/>
  <c r="BE132" i="5" s="1"/>
  <c r="CZ131" i="5"/>
  <c r="BF131" i="5"/>
  <c r="CY132" i="5"/>
  <c r="AK132" i="5"/>
  <c r="AM132" i="5" s="1"/>
  <c r="AL133" i="5" s="1"/>
  <c r="AB132" i="5"/>
  <c r="BN132" i="5" s="1"/>
  <c r="BO132" i="5" s="1"/>
  <c r="BP132" i="5" s="1"/>
  <c r="BK132" i="5"/>
  <c r="BL132" i="5" s="1"/>
  <c r="BM132" i="5" s="1"/>
  <c r="CL132" i="5"/>
  <c r="CM132" i="5" s="1"/>
  <c r="C107" i="6"/>
  <c r="CS132" i="5"/>
  <c r="AC132" i="5"/>
  <c r="CX132" i="5"/>
  <c r="D132" i="5"/>
  <c r="CR132" i="5"/>
  <c r="CW132" i="5"/>
  <c r="BG131" i="5"/>
  <c r="H131" i="5" s="1"/>
  <c r="AX132" i="5"/>
  <c r="AW132" i="5" s="1"/>
  <c r="CU132" i="5"/>
  <c r="BX132" i="5" s="1"/>
  <c r="F561" i="6"/>
  <c r="G561" i="6"/>
  <c r="H561" i="6"/>
  <c r="I561" i="6"/>
  <c r="B561" i="6"/>
  <c r="D561" i="6"/>
  <c r="C561" i="6"/>
  <c r="E561" i="6"/>
  <c r="A561" i="6"/>
  <c r="B587" i="5"/>
  <c r="CG583" i="5"/>
  <c r="CF584" i="5"/>
  <c r="CB528" i="5"/>
  <c r="CC527" i="5"/>
  <c r="G132" i="5" l="1"/>
  <c r="BR621" i="5"/>
  <c r="DA132" i="5"/>
  <c r="DB132" i="5" s="1"/>
  <c r="CH132" i="5"/>
  <c r="CK132" i="5"/>
  <c r="CJ132" i="5" s="1"/>
  <c r="AD132" i="5"/>
  <c r="AE132" i="5" s="1"/>
  <c r="AZ613" i="5"/>
  <c r="BA614" i="5" s="1"/>
  <c r="BB613" i="5"/>
  <c r="X130" i="5"/>
  <c r="Y130" i="5" s="1"/>
  <c r="CP132" i="5"/>
  <c r="CQ132" i="5" s="1"/>
  <c r="R132" i="5" s="1"/>
  <c r="S132" i="5" s="1"/>
  <c r="L132" i="5"/>
  <c r="CV132" i="5"/>
  <c r="CT132" i="5"/>
  <c r="I131" i="5"/>
  <c r="T132" i="5"/>
  <c r="U132" i="5" s="1"/>
  <c r="W132" i="5"/>
  <c r="B562" i="6"/>
  <c r="D562" i="6"/>
  <c r="C562" i="6"/>
  <c r="E562" i="6"/>
  <c r="F562" i="6"/>
  <c r="G562" i="6"/>
  <c r="H562" i="6"/>
  <c r="I562" i="6"/>
  <c r="A562" i="6"/>
  <c r="B588" i="5"/>
  <c r="CG584" i="5"/>
  <c r="CF585" i="5"/>
  <c r="CC528" i="5"/>
  <c r="CB529" i="5"/>
  <c r="K132" i="5" l="1"/>
  <c r="BR622" i="5"/>
  <c r="AZ614" i="5"/>
  <c r="BA615" i="5" s="1"/>
  <c r="BB614" i="5"/>
  <c r="H105" i="6"/>
  <c r="Z130" i="5"/>
  <c r="AA130" i="5" s="1"/>
  <c r="I105" i="6" s="1"/>
  <c r="AH131" i="5"/>
  <c r="AT131" i="5"/>
  <c r="AP131" i="5"/>
  <c r="CN132" i="5"/>
  <c r="E132" i="5" s="1"/>
  <c r="CO132" i="5"/>
  <c r="F132" i="5" s="1"/>
  <c r="P131" i="5"/>
  <c r="AY131" i="5" s="1"/>
  <c r="M131" i="5"/>
  <c r="AG131" i="5" s="1"/>
  <c r="D563" i="6"/>
  <c r="E563" i="6"/>
  <c r="F563" i="6"/>
  <c r="G563" i="6"/>
  <c r="H563" i="6"/>
  <c r="I563" i="6"/>
  <c r="B563" i="6"/>
  <c r="C563" i="6"/>
  <c r="A563" i="6"/>
  <c r="B589" i="5"/>
  <c r="CG585" i="5"/>
  <c r="CF586" i="5"/>
  <c r="CC529" i="5"/>
  <c r="CB530" i="5"/>
  <c r="BR623" i="5" l="1"/>
  <c r="AZ615" i="5"/>
  <c r="BA616" i="5" s="1"/>
  <c r="BB615" i="5"/>
  <c r="AJ131" i="5"/>
  <c r="N131" i="5"/>
  <c r="AS131" i="5"/>
  <c r="AV131" i="5" s="1"/>
  <c r="AO131" i="5"/>
  <c r="Q131" i="5"/>
  <c r="V131" i="5" s="1"/>
  <c r="F106" i="6"/>
  <c r="E107" i="6"/>
  <c r="C133" i="5"/>
  <c r="BU133" i="5" s="1"/>
  <c r="BC132" i="5"/>
  <c r="D107" i="6"/>
  <c r="D564" i="6"/>
  <c r="E564" i="6"/>
  <c r="F564" i="6"/>
  <c r="G564" i="6"/>
  <c r="H564" i="6"/>
  <c r="I564" i="6"/>
  <c r="B564" i="6"/>
  <c r="C564" i="6"/>
  <c r="A564" i="6"/>
  <c r="B590" i="5"/>
  <c r="CF587" i="5"/>
  <c r="CG586" i="5"/>
  <c r="CC530" i="5"/>
  <c r="CB531" i="5"/>
  <c r="BW132" i="5" l="1"/>
  <c r="BY132" i="5"/>
  <c r="J132" i="5" s="1"/>
  <c r="BT133" i="5"/>
  <c r="BV133" i="5"/>
  <c r="BS133" i="5"/>
  <c r="CI133" i="5"/>
  <c r="BR624" i="5"/>
  <c r="BH133" i="5"/>
  <c r="BI133" i="5" s="1"/>
  <c r="BJ133" i="5" s="1"/>
  <c r="AZ616" i="5"/>
  <c r="BA617" i="5" s="1"/>
  <c r="BB616" i="5"/>
  <c r="AR131" i="5"/>
  <c r="BF132" i="5"/>
  <c r="BD132" i="5"/>
  <c r="BE133" i="5" s="1"/>
  <c r="CZ132" i="5"/>
  <c r="CS133" i="5"/>
  <c r="AK133" i="5"/>
  <c r="CR133" i="5"/>
  <c r="CX133" i="5"/>
  <c r="D133" i="5"/>
  <c r="C108" i="6"/>
  <c r="AB133" i="5"/>
  <c r="L133" i="5" s="1"/>
  <c r="CW133" i="5"/>
  <c r="AC133" i="5"/>
  <c r="BK133" i="5"/>
  <c r="BL133" i="5" s="1"/>
  <c r="BM133" i="5" s="1"/>
  <c r="CY133" i="5"/>
  <c r="CL133" i="5"/>
  <c r="CM133" i="5" s="1"/>
  <c r="BG132" i="5"/>
  <c r="H132" i="5" s="1"/>
  <c r="AX133" i="5"/>
  <c r="AW133" i="5" s="1"/>
  <c r="CU133" i="5"/>
  <c r="G106" i="6"/>
  <c r="D565" i="6"/>
  <c r="E565" i="6"/>
  <c r="F565" i="6"/>
  <c r="G565" i="6"/>
  <c r="H565" i="6"/>
  <c r="I565" i="6"/>
  <c r="B565" i="6"/>
  <c r="C565" i="6"/>
  <c r="A565" i="6"/>
  <c r="B591" i="5"/>
  <c r="CG587" i="5"/>
  <c r="CF588" i="5"/>
  <c r="CB532" i="5"/>
  <c r="CC531" i="5"/>
  <c r="AN132" i="5" l="1"/>
  <c r="AF132" i="5"/>
  <c r="BX133" i="5"/>
  <c r="BR625" i="5"/>
  <c r="CH133" i="5"/>
  <c r="CK133" i="5"/>
  <c r="CJ133" i="5" s="1"/>
  <c r="AD133" i="5"/>
  <c r="AE133" i="5" s="1"/>
  <c r="AZ617" i="5"/>
  <c r="BA618" i="5" s="1"/>
  <c r="BB617" i="5"/>
  <c r="X131" i="5"/>
  <c r="Y131" i="5" s="1"/>
  <c r="CP133" i="5"/>
  <c r="CQ133" i="5" s="1"/>
  <c r="R133" i="5" s="1"/>
  <c r="S133" i="5" s="1"/>
  <c r="I132" i="5"/>
  <c r="AM133" i="5"/>
  <c r="AL134" i="5" s="1"/>
  <c r="CV133" i="5"/>
  <c r="CT133" i="5"/>
  <c r="DA133" i="5"/>
  <c r="DB133" i="5" s="1"/>
  <c r="BN133" i="5"/>
  <c r="BO133" i="5" s="1"/>
  <c r="BP133" i="5" s="1"/>
  <c r="G133" i="5" s="1"/>
  <c r="T133" i="5"/>
  <c r="U133" i="5" s="1"/>
  <c r="W133" i="5"/>
  <c r="D566" i="6"/>
  <c r="E566" i="6"/>
  <c r="F566" i="6"/>
  <c r="G566" i="6"/>
  <c r="H566" i="6"/>
  <c r="I566" i="6"/>
  <c r="B566" i="6"/>
  <c r="C566" i="6"/>
  <c r="A566" i="6"/>
  <c r="B592" i="5"/>
  <c r="CG588" i="5"/>
  <c r="CF589" i="5"/>
  <c r="CC532" i="5"/>
  <c r="CB533" i="5"/>
  <c r="AP132" i="5" l="1"/>
  <c r="K133" i="5"/>
  <c r="BR626" i="5"/>
  <c r="AZ618" i="5"/>
  <c r="BA619" i="5" s="1"/>
  <c r="BB618" i="5"/>
  <c r="Z131" i="5"/>
  <c r="AA131" i="5" s="1"/>
  <c r="I106" i="6" s="1"/>
  <c r="H106" i="6"/>
  <c r="AH132" i="5"/>
  <c r="AT132" i="5"/>
  <c r="CO133" i="5"/>
  <c r="F133" i="5" s="1"/>
  <c r="CN133" i="5"/>
  <c r="E133" i="5" s="1"/>
  <c r="P132" i="5"/>
  <c r="AY132" i="5" s="1"/>
  <c r="M132" i="5"/>
  <c r="D567" i="6"/>
  <c r="E567" i="6"/>
  <c r="F567" i="6"/>
  <c r="G567" i="6"/>
  <c r="H567" i="6"/>
  <c r="I567" i="6"/>
  <c r="B567" i="6"/>
  <c r="C567" i="6"/>
  <c r="A567" i="6"/>
  <c r="B593" i="5"/>
  <c r="CF590" i="5"/>
  <c r="CG589" i="5"/>
  <c r="CC533" i="5"/>
  <c r="CB534" i="5"/>
  <c r="BW133" i="5" l="1"/>
  <c r="BR627" i="5"/>
  <c r="AZ619" i="5"/>
  <c r="BA620" i="5" s="1"/>
  <c r="BB619" i="5"/>
  <c r="AO132" i="5"/>
  <c r="AR132" i="5" s="1"/>
  <c r="AG132" i="5"/>
  <c r="AJ132" i="5" s="1"/>
  <c r="N132" i="5"/>
  <c r="AS132" i="5"/>
  <c r="AV132" i="5" s="1"/>
  <c r="F107" i="6"/>
  <c r="Q132" i="5"/>
  <c r="V132" i="5" s="1"/>
  <c r="D108" i="6"/>
  <c r="BC133" i="5"/>
  <c r="C134" i="5"/>
  <c r="BU134" i="5" s="1"/>
  <c r="E108" i="6"/>
  <c r="D568" i="6"/>
  <c r="E568" i="6"/>
  <c r="F568" i="6"/>
  <c r="G568" i="6"/>
  <c r="H568" i="6"/>
  <c r="I568" i="6"/>
  <c r="B568" i="6"/>
  <c r="C568" i="6"/>
  <c r="A568" i="6"/>
  <c r="B594" i="5"/>
  <c r="CF591" i="5"/>
  <c r="CG590" i="5"/>
  <c r="CC534" i="5"/>
  <c r="CB535" i="5"/>
  <c r="BY133" i="5" l="1"/>
  <c r="J133" i="5" s="1"/>
  <c r="BV134" i="5"/>
  <c r="BT134" i="5"/>
  <c r="BS134" i="5"/>
  <c r="CI134" i="5"/>
  <c r="BR628" i="5"/>
  <c r="BH134" i="5"/>
  <c r="BI134" i="5" s="1"/>
  <c r="BJ134" i="5" s="1"/>
  <c r="AZ620" i="5"/>
  <c r="BA621" i="5" s="1"/>
  <c r="BB620" i="5"/>
  <c r="X132" i="5"/>
  <c r="Y132" i="5" s="1"/>
  <c r="CY134" i="5"/>
  <c r="CS134" i="5"/>
  <c r="AK134" i="5"/>
  <c r="AM134" i="5" s="1"/>
  <c r="AL135" i="5" s="1"/>
  <c r="CW134" i="5"/>
  <c r="C109" i="6"/>
  <c r="CL134" i="5"/>
  <c r="CM134" i="5" s="1"/>
  <c r="CR134" i="5"/>
  <c r="D134" i="5"/>
  <c r="AC134" i="5"/>
  <c r="AD134" i="5" s="1"/>
  <c r="AB134" i="5"/>
  <c r="BN134" i="5" s="1"/>
  <c r="BO134" i="5" s="1"/>
  <c r="BP134" i="5" s="1"/>
  <c r="BK134" i="5"/>
  <c r="BL134" i="5" s="1"/>
  <c r="BM134" i="5" s="1"/>
  <c r="CX134" i="5"/>
  <c r="BG133" i="5"/>
  <c r="H133" i="5" s="1"/>
  <c r="AX134" i="5"/>
  <c r="AW134" i="5" s="1"/>
  <c r="CU134" i="5"/>
  <c r="BX134" i="5" s="1"/>
  <c r="BF133" i="5"/>
  <c r="BD133" i="5"/>
  <c r="BE134" i="5" s="1"/>
  <c r="CZ133" i="5"/>
  <c r="G107" i="6"/>
  <c r="D569" i="6"/>
  <c r="E569" i="6"/>
  <c r="F569" i="6"/>
  <c r="G569" i="6"/>
  <c r="H569" i="6"/>
  <c r="I569" i="6"/>
  <c r="B569" i="6"/>
  <c r="C569" i="6"/>
  <c r="A569" i="6"/>
  <c r="B595" i="5"/>
  <c r="CG591" i="5"/>
  <c r="CF592" i="5"/>
  <c r="CB536" i="5"/>
  <c r="CC535" i="5"/>
  <c r="AN133" i="5" l="1"/>
  <c r="AF133" i="5"/>
  <c r="G134" i="5"/>
  <c r="BR629" i="5"/>
  <c r="CH134" i="5"/>
  <c r="CK134" i="5"/>
  <c r="CJ134" i="5" s="1"/>
  <c r="AZ621" i="5"/>
  <c r="BA622" i="5" s="1"/>
  <c r="AZ622" i="5" s="1"/>
  <c r="BA623" i="5" s="1"/>
  <c r="BB621" i="5"/>
  <c r="L134" i="5"/>
  <c r="CP134" i="5"/>
  <c r="CQ134" i="5" s="1"/>
  <c r="R134" i="5" s="1"/>
  <c r="S134" i="5" s="1"/>
  <c r="DA134" i="5"/>
  <c r="DB134" i="5" s="1"/>
  <c r="T134" i="5"/>
  <c r="U134" i="5" s="1"/>
  <c r="W134" i="5"/>
  <c r="CT134" i="5"/>
  <c r="CV134" i="5"/>
  <c r="H107" i="6"/>
  <c r="Z132" i="5"/>
  <c r="I133" i="5"/>
  <c r="AH133" i="5" s="1"/>
  <c r="AE134" i="5"/>
  <c r="D570" i="6"/>
  <c r="E570" i="6"/>
  <c r="F570" i="6"/>
  <c r="G570" i="6"/>
  <c r="H570" i="6"/>
  <c r="I570" i="6"/>
  <c r="B570" i="6"/>
  <c r="C570" i="6"/>
  <c r="A570" i="6"/>
  <c r="B596" i="5"/>
  <c r="CF593" i="5"/>
  <c r="CG592" i="5"/>
  <c r="CC536" i="5"/>
  <c r="CB537" i="5"/>
  <c r="K134" i="5" l="1"/>
  <c r="BR630" i="5"/>
  <c r="AZ623" i="5"/>
  <c r="BA624" i="5" s="1"/>
  <c r="BB623" i="5"/>
  <c r="AT133" i="5"/>
  <c r="AP133" i="5"/>
  <c r="CN134" i="5"/>
  <c r="E134" i="5" s="1"/>
  <c r="CO134" i="5"/>
  <c r="F134" i="5" s="1"/>
  <c r="P133" i="5"/>
  <c r="AY133" i="5" s="1"/>
  <c r="M133" i="5"/>
  <c r="AA132" i="5"/>
  <c r="I107" i="6" s="1"/>
  <c r="D571" i="6"/>
  <c r="E571" i="6"/>
  <c r="F571" i="6"/>
  <c r="G571" i="6"/>
  <c r="H571" i="6"/>
  <c r="I571" i="6"/>
  <c r="B571" i="6"/>
  <c r="C571" i="6"/>
  <c r="A571" i="6"/>
  <c r="B597" i="5"/>
  <c r="CG593" i="5"/>
  <c r="CF594" i="5"/>
  <c r="CC537" i="5"/>
  <c r="CB538" i="5"/>
  <c r="BW134" i="5" l="1"/>
  <c r="BY134" i="5"/>
  <c r="J134" i="5" s="1"/>
  <c r="BR631" i="5"/>
  <c r="AZ624" i="5"/>
  <c r="BA625" i="5" s="1"/>
  <c r="BB624" i="5"/>
  <c r="AO133" i="5"/>
  <c r="AR133" i="5" s="1"/>
  <c r="AG133" i="5"/>
  <c r="N133" i="5"/>
  <c r="AS133" i="5"/>
  <c r="AV133" i="5" s="1"/>
  <c r="Q133" i="5"/>
  <c r="V133" i="5" s="1"/>
  <c r="F108" i="6"/>
  <c r="C135" i="5"/>
  <c r="BU135" i="5" s="1"/>
  <c r="E109" i="6"/>
  <c r="D109" i="6"/>
  <c r="BC134" i="5"/>
  <c r="D572" i="6"/>
  <c r="E572" i="6"/>
  <c r="F572" i="6"/>
  <c r="G572" i="6"/>
  <c r="H572" i="6"/>
  <c r="I572" i="6"/>
  <c r="B572" i="6"/>
  <c r="C572" i="6"/>
  <c r="A572" i="6"/>
  <c r="B598" i="5"/>
  <c r="CG594" i="5"/>
  <c r="CF595" i="5"/>
  <c r="CC538" i="5"/>
  <c r="CB539" i="5"/>
  <c r="AF134" i="5" l="1"/>
  <c r="AN134" i="5"/>
  <c r="BV135" i="5"/>
  <c r="BT135" i="5"/>
  <c r="BS135" i="5"/>
  <c r="CI135" i="5"/>
  <c r="BR632" i="5"/>
  <c r="BH135" i="5"/>
  <c r="BI135" i="5" s="1"/>
  <c r="BJ135" i="5" s="1"/>
  <c r="AZ625" i="5"/>
  <c r="BA626" i="5" s="1"/>
  <c r="BB625" i="5"/>
  <c r="AJ133" i="5"/>
  <c r="BF134" i="5"/>
  <c r="CZ134" i="5"/>
  <c r="BD134" i="5"/>
  <c r="BE135" i="5" s="1"/>
  <c r="CW135" i="5"/>
  <c r="CL135" i="5"/>
  <c r="CM135" i="5" s="1"/>
  <c r="AK135" i="5"/>
  <c r="CX135" i="5"/>
  <c r="CR135" i="5"/>
  <c r="AB135" i="5"/>
  <c r="CP135" i="5" s="1"/>
  <c r="CQ135" i="5" s="1"/>
  <c r="R135" i="5" s="1"/>
  <c r="S135" i="5" s="1"/>
  <c r="CS135" i="5"/>
  <c r="CY135" i="5"/>
  <c r="AC135" i="5"/>
  <c r="AD135" i="5" s="1"/>
  <c r="C110" i="6"/>
  <c r="D135" i="5"/>
  <c r="BK135" i="5"/>
  <c r="BL135" i="5" s="1"/>
  <c r="BM135" i="5" s="1"/>
  <c r="BG134" i="5"/>
  <c r="H134" i="5" s="1"/>
  <c r="AX135" i="5"/>
  <c r="AW135" i="5" s="1"/>
  <c r="CU135" i="5"/>
  <c r="BX135" i="5" s="1"/>
  <c r="G108" i="6"/>
  <c r="D573" i="6"/>
  <c r="E573" i="6"/>
  <c r="F573" i="6"/>
  <c r="G573" i="6"/>
  <c r="H573" i="6"/>
  <c r="I573" i="6"/>
  <c r="B573" i="6"/>
  <c r="C573" i="6"/>
  <c r="A573" i="6"/>
  <c r="B599" i="5"/>
  <c r="CG595" i="5"/>
  <c r="CF596" i="5"/>
  <c r="CB540" i="5"/>
  <c r="CC539" i="5"/>
  <c r="BR633" i="5" l="1"/>
  <c r="CK135" i="5"/>
  <c r="CJ135" i="5" s="1"/>
  <c r="CH135" i="5"/>
  <c r="AZ626" i="5"/>
  <c r="BA627" i="5" s="1"/>
  <c r="BB626" i="5"/>
  <c r="X133" i="5"/>
  <c r="Y133" i="5" s="1"/>
  <c r="BN135" i="5"/>
  <c r="BO135" i="5" s="1"/>
  <c r="BP135" i="5" s="1"/>
  <c r="G135" i="5" s="1"/>
  <c r="L135" i="5"/>
  <c r="DA135" i="5"/>
  <c r="DB135" i="5" s="1"/>
  <c r="K135" i="5" s="1"/>
  <c r="I134" i="5"/>
  <c r="AH134" i="5" s="1"/>
  <c r="AM135" i="5"/>
  <c r="AL136" i="5" s="1"/>
  <c r="AE135" i="5"/>
  <c r="W135" i="5"/>
  <c r="T135" i="5"/>
  <c r="U135" i="5" s="1"/>
  <c r="CT135" i="5"/>
  <c r="CV135" i="5"/>
  <c r="D574" i="6"/>
  <c r="E574" i="6"/>
  <c r="F574" i="6"/>
  <c r="G574" i="6"/>
  <c r="H574" i="6"/>
  <c r="I574" i="6"/>
  <c r="B574" i="6"/>
  <c r="C574" i="6"/>
  <c r="A574" i="6"/>
  <c r="B600" i="5"/>
  <c r="CG596" i="5"/>
  <c r="CF597" i="5"/>
  <c r="CC540" i="5"/>
  <c r="CB541" i="5"/>
  <c r="BR634" i="5" l="1"/>
  <c r="AZ627" i="5"/>
  <c r="BA628" i="5" s="1"/>
  <c r="BB627" i="5"/>
  <c r="H108" i="6"/>
  <c r="Z133" i="5"/>
  <c r="AA133" i="5" s="1"/>
  <c r="I108" i="6" s="1"/>
  <c r="AT134" i="5"/>
  <c r="AP134" i="5"/>
  <c r="CO135" i="5"/>
  <c r="F135" i="5" s="1"/>
  <c r="CN135" i="5"/>
  <c r="E135" i="5" s="1"/>
  <c r="M134" i="5"/>
  <c r="AG134" i="5" s="1"/>
  <c r="AJ134" i="5" s="1"/>
  <c r="P134" i="5"/>
  <c r="AY134" i="5" s="1"/>
  <c r="D575" i="6"/>
  <c r="E575" i="6"/>
  <c r="F575" i="6"/>
  <c r="G575" i="6"/>
  <c r="H575" i="6"/>
  <c r="I575" i="6"/>
  <c r="B575" i="6"/>
  <c r="C575" i="6"/>
  <c r="A575" i="6"/>
  <c r="B601" i="5"/>
  <c r="CF598" i="5"/>
  <c r="CG597" i="5"/>
  <c r="CC541" i="5"/>
  <c r="CB542" i="5"/>
  <c r="BY135" i="5" l="1"/>
  <c r="J135" i="5" s="1"/>
  <c r="AN135" i="5" s="1"/>
  <c r="BW135" i="5"/>
  <c r="BR635" i="5"/>
  <c r="AZ628" i="5"/>
  <c r="BA629" i="5" s="1"/>
  <c r="BB628" i="5"/>
  <c r="F109" i="6"/>
  <c r="Q134" i="5"/>
  <c r="V134" i="5" s="1"/>
  <c r="N134" i="5"/>
  <c r="AS134" i="5"/>
  <c r="AV134" i="5" s="1"/>
  <c r="AO134" i="5"/>
  <c r="AR134" i="5" s="1"/>
  <c r="BC135" i="5"/>
  <c r="D110" i="6"/>
  <c r="E110" i="6"/>
  <c r="C136" i="5"/>
  <c r="BU136" i="5" s="1"/>
  <c r="D576" i="6"/>
  <c r="E576" i="6"/>
  <c r="F576" i="6"/>
  <c r="G576" i="6"/>
  <c r="H576" i="6"/>
  <c r="I576" i="6"/>
  <c r="B576" i="6"/>
  <c r="C576" i="6"/>
  <c r="A576" i="6"/>
  <c r="B602" i="5"/>
  <c r="CF599" i="5"/>
  <c r="CG598" i="5"/>
  <c r="CC542" i="5"/>
  <c r="CB543" i="5"/>
  <c r="AF135" i="5" l="1"/>
  <c r="BT136" i="5"/>
  <c r="BV136" i="5"/>
  <c r="BS136" i="5"/>
  <c r="CI136" i="5"/>
  <c r="BR636" i="5"/>
  <c r="BH136" i="5"/>
  <c r="BI136" i="5" s="1"/>
  <c r="BJ136" i="5" s="1"/>
  <c r="AZ629" i="5"/>
  <c r="BA630" i="5" s="1"/>
  <c r="BB629" i="5"/>
  <c r="X134" i="5"/>
  <c r="Y134" i="5" s="1"/>
  <c r="BD135" i="5"/>
  <c r="BE136" i="5" s="1"/>
  <c r="BF135" i="5"/>
  <c r="CZ135" i="5"/>
  <c r="G109" i="6"/>
  <c r="CL136" i="5"/>
  <c r="CM136" i="5" s="1"/>
  <c r="CR136" i="5"/>
  <c r="BK136" i="5"/>
  <c r="BL136" i="5" s="1"/>
  <c r="BM136" i="5" s="1"/>
  <c r="AC136" i="5"/>
  <c r="C111" i="6"/>
  <c r="D136" i="5"/>
  <c r="AB136" i="5"/>
  <c r="L136" i="5" s="1"/>
  <c r="AK136" i="5"/>
  <c r="AM136" i="5" s="1"/>
  <c r="AL137" i="5" s="1"/>
  <c r="CW136" i="5"/>
  <c r="CX136" i="5"/>
  <c r="CY136" i="5"/>
  <c r="CS136" i="5"/>
  <c r="BG135" i="5"/>
  <c r="H135" i="5" s="1"/>
  <c r="AX136" i="5"/>
  <c r="AW136" i="5" s="1"/>
  <c r="CU136" i="5"/>
  <c r="BX136" i="5" s="1"/>
  <c r="D577" i="6"/>
  <c r="E577" i="6"/>
  <c r="F577" i="6"/>
  <c r="G577" i="6"/>
  <c r="H577" i="6"/>
  <c r="I577" i="6"/>
  <c r="B577" i="6"/>
  <c r="C577" i="6"/>
  <c r="A577" i="6"/>
  <c r="B603" i="5"/>
  <c r="CG599" i="5"/>
  <c r="CF600" i="5"/>
  <c r="CC543" i="5"/>
  <c r="CB544" i="5"/>
  <c r="BR637" i="5" l="1"/>
  <c r="AD136" i="5"/>
  <c r="AE136" i="5" s="1"/>
  <c r="CH136" i="5"/>
  <c r="CK136" i="5"/>
  <c r="CJ136" i="5" s="1"/>
  <c r="AZ630" i="5"/>
  <c r="BA631" i="5" s="1"/>
  <c r="BB630" i="5"/>
  <c r="DA136" i="5"/>
  <c r="DB136" i="5" s="1"/>
  <c r="K136" i="5" s="1"/>
  <c r="CP136" i="5"/>
  <c r="CQ136" i="5" s="1"/>
  <c r="R136" i="5" s="1"/>
  <c r="S136" i="5" s="1"/>
  <c r="CV136" i="5"/>
  <c r="CT136" i="5"/>
  <c r="H109" i="6"/>
  <c r="Z134" i="5"/>
  <c r="BN136" i="5"/>
  <c r="BO136" i="5" s="1"/>
  <c r="BP136" i="5" s="1"/>
  <c r="G136" i="5" s="1"/>
  <c r="W136" i="5"/>
  <c r="T136" i="5"/>
  <c r="U136" i="5" s="1"/>
  <c r="I135" i="5"/>
  <c r="D578" i="6"/>
  <c r="E578" i="6"/>
  <c r="F578" i="6"/>
  <c r="G578" i="6"/>
  <c r="H578" i="6"/>
  <c r="I578" i="6"/>
  <c r="B578" i="6"/>
  <c r="C578" i="6"/>
  <c r="A578" i="6"/>
  <c r="B604" i="5"/>
  <c r="CF601" i="5"/>
  <c r="CG600" i="5"/>
  <c r="CB545" i="5"/>
  <c r="CC544" i="5"/>
  <c r="BR638" i="5" l="1"/>
  <c r="AZ631" i="5"/>
  <c r="BA632" i="5" s="1"/>
  <c r="BB631" i="5"/>
  <c r="AH135" i="5"/>
  <c r="AT135" i="5"/>
  <c r="AP135" i="5"/>
  <c r="M135" i="5"/>
  <c r="P135" i="5"/>
  <c r="AY135" i="5" s="1"/>
  <c r="AA134" i="5"/>
  <c r="I109" i="6" s="1"/>
  <c r="CN136" i="5"/>
  <c r="E136" i="5" s="1"/>
  <c r="CO136" i="5"/>
  <c r="F136" i="5" s="1"/>
  <c r="D579" i="6"/>
  <c r="E579" i="6"/>
  <c r="F579" i="6"/>
  <c r="G579" i="6"/>
  <c r="H579" i="6"/>
  <c r="I579" i="6"/>
  <c r="B579" i="6"/>
  <c r="C579" i="6"/>
  <c r="A579" i="6"/>
  <c r="B605" i="5"/>
  <c r="CF602" i="5"/>
  <c r="CG601" i="5"/>
  <c r="CC545" i="5"/>
  <c r="CB546" i="5"/>
  <c r="BW136" i="5" l="1"/>
  <c r="BR639" i="5"/>
  <c r="AZ632" i="5"/>
  <c r="BA633" i="5" s="1"/>
  <c r="BB632" i="5"/>
  <c r="AG135" i="5"/>
  <c r="AJ135" i="5" s="1"/>
  <c r="AS135" i="5"/>
  <c r="AV135" i="5" s="1"/>
  <c r="F110" i="6"/>
  <c r="Q135" i="5"/>
  <c r="V135" i="5" s="1"/>
  <c r="AO135" i="5"/>
  <c r="N135" i="5"/>
  <c r="C137" i="5"/>
  <c r="BU137" i="5" s="1"/>
  <c r="E111" i="6"/>
  <c r="BC136" i="5"/>
  <c r="D111" i="6"/>
  <c r="D580" i="6"/>
  <c r="E580" i="6"/>
  <c r="F580" i="6"/>
  <c r="G580" i="6"/>
  <c r="H580" i="6"/>
  <c r="I580" i="6"/>
  <c r="B580" i="6"/>
  <c r="C580" i="6"/>
  <c r="A580" i="6"/>
  <c r="B606" i="5"/>
  <c r="CF603" i="5"/>
  <c r="CF604" i="5" s="1"/>
  <c r="CG602" i="5"/>
  <c r="CC546" i="5"/>
  <c r="CB547" i="5"/>
  <c r="BY136" i="5" l="1"/>
  <c r="J136" i="5" s="1"/>
  <c r="BV137" i="5"/>
  <c r="BT137" i="5"/>
  <c r="BS137" i="5"/>
  <c r="CI137" i="5"/>
  <c r="BR640" i="5"/>
  <c r="BH137" i="5"/>
  <c r="BI137" i="5" s="1"/>
  <c r="BJ137" i="5" s="1"/>
  <c r="AZ633" i="5"/>
  <c r="BA634" i="5" s="1"/>
  <c r="BB633" i="5"/>
  <c r="AR135" i="5"/>
  <c r="G110" i="6"/>
  <c r="C112" i="6"/>
  <c r="D137" i="5"/>
  <c r="CL137" i="5"/>
  <c r="CM137" i="5" s="1"/>
  <c r="CS137" i="5"/>
  <c r="BK137" i="5"/>
  <c r="BL137" i="5" s="1"/>
  <c r="BM137" i="5" s="1"/>
  <c r="CY137" i="5"/>
  <c r="CR137" i="5"/>
  <c r="AB137" i="5"/>
  <c r="CP137" i="5" s="1"/>
  <c r="CQ137" i="5" s="1"/>
  <c r="R137" i="5" s="1"/>
  <c r="S137" i="5" s="1"/>
  <c r="CX137" i="5"/>
  <c r="AC137" i="5"/>
  <c r="CW137" i="5"/>
  <c r="AK137" i="5"/>
  <c r="BG136" i="5"/>
  <c r="H136" i="5" s="1"/>
  <c r="AX137" i="5"/>
  <c r="AW137" i="5" s="1"/>
  <c r="CU137" i="5"/>
  <c r="BX137" i="5" s="1"/>
  <c r="CZ136" i="5"/>
  <c r="BD136" i="5"/>
  <c r="BE137" i="5" s="1"/>
  <c r="BF136" i="5"/>
  <c r="D581" i="6"/>
  <c r="E581" i="6"/>
  <c r="F581" i="6"/>
  <c r="G581" i="6"/>
  <c r="H581" i="6"/>
  <c r="I581" i="6"/>
  <c r="B581" i="6"/>
  <c r="C581" i="6"/>
  <c r="A581" i="6"/>
  <c r="CG604" i="5"/>
  <c r="CF605" i="5"/>
  <c r="B607" i="5"/>
  <c r="CG603" i="5"/>
  <c r="CC547" i="5"/>
  <c r="CB548" i="5"/>
  <c r="AN136" i="5" l="1"/>
  <c r="AF136" i="5"/>
  <c r="BR641" i="5"/>
  <c r="CH137" i="5"/>
  <c r="CK137" i="5"/>
  <c r="CJ137" i="5" s="1"/>
  <c r="AZ634" i="5"/>
  <c r="BA635" i="5" s="1"/>
  <c r="BB634" i="5"/>
  <c r="X135" i="5"/>
  <c r="Y135" i="5" s="1"/>
  <c r="AD137" i="5"/>
  <c r="AE137" i="5" s="1"/>
  <c r="DA137" i="5"/>
  <c r="DB137" i="5" s="1"/>
  <c r="K137" i="5" s="1"/>
  <c r="L137" i="5"/>
  <c r="W137" i="5"/>
  <c r="T137" i="5"/>
  <c r="U137" i="5" s="1"/>
  <c r="CT137" i="5"/>
  <c r="CV137" i="5"/>
  <c r="BN137" i="5"/>
  <c r="BO137" i="5" s="1"/>
  <c r="BP137" i="5" s="1"/>
  <c r="G137" i="5" s="1"/>
  <c r="I136" i="5"/>
  <c r="AM137" i="5"/>
  <c r="AL138" i="5" s="1"/>
  <c r="D582" i="6"/>
  <c r="E582" i="6"/>
  <c r="F582" i="6"/>
  <c r="G582" i="6"/>
  <c r="H582" i="6"/>
  <c r="I582" i="6"/>
  <c r="B582" i="6"/>
  <c r="C582" i="6"/>
  <c r="A582" i="6"/>
  <c r="B608" i="5"/>
  <c r="CG605" i="5"/>
  <c r="CF606" i="5"/>
  <c r="CB549" i="5"/>
  <c r="CC548" i="5"/>
  <c r="BR642" i="5" l="1"/>
  <c r="AZ635" i="5"/>
  <c r="BA636" i="5" s="1"/>
  <c r="BB635" i="5"/>
  <c r="H110" i="6"/>
  <c r="Z135" i="5"/>
  <c r="AA135" i="5" s="1"/>
  <c r="I110" i="6" s="1"/>
  <c r="AH136" i="5"/>
  <c r="AT136" i="5"/>
  <c r="AP136" i="5"/>
  <c r="M136" i="5"/>
  <c r="P136" i="5"/>
  <c r="AY136" i="5" s="1"/>
  <c r="CN137" i="5"/>
  <c r="E137" i="5" s="1"/>
  <c r="CO137" i="5"/>
  <c r="F137" i="5" s="1"/>
  <c r="D583" i="6"/>
  <c r="E583" i="6"/>
  <c r="F583" i="6"/>
  <c r="G583" i="6"/>
  <c r="H583" i="6"/>
  <c r="I583" i="6"/>
  <c r="B583" i="6"/>
  <c r="C583" i="6"/>
  <c r="A583" i="6"/>
  <c r="CG606" i="5"/>
  <c r="CF607" i="5"/>
  <c r="B609" i="5"/>
  <c r="CC549" i="5"/>
  <c r="CB550" i="5"/>
  <c r="BW137" i="5" l="1"/>
  <c r="BY137" i="5"/>
  <c r="J137" i="5" s="1"/>
  <c r="BR643" i="5"/>
  <c r="AZ636" i="5"/>
  <c r="BA637" i="5" s="1"/>
  <c r="BB636" i="5"/>
  <c r="AS136" i="5"/>
  <c r="AV136" i="5" s="1"/>
  <c r="AO136" i="5"/>
  <c r="AR136" i="5" s="1"/>
  <c r="C138" i="5"/>
  <c r="BU138" i="5" s="1"/>
  <c r="E112" i="6"/>
  <c r="N136" i="5"/>
  <c r="AG136" i="5"/>
  <c r="AJ136" i="5" s="1"/>
  <c r="Q136" i="5"/>
  <c r="V136" i="5" s="1"/>
  <c r="F111" i="6"/>
  <c r="D112" i="6"/>
  <c r="BC137" i="5"/>
  <c r="D584" i="6"/>
  <c r="E584" i="6"/>
  <c r="F584" i="6"/>
  <c r="G584" i="6"/>
  <c r="H584" i="6"/>
  <c r="I584" i="6"/>
  <c r="B584" i="6"/>
  <c r="C584" i="6"/>
  <c r="A584" i="6"/>
  <c r="B610" i="5"/>
  <c r="CG607" i="5"/>
  <c r="CF608" i="5"/>
  <c r="CC550" i="5"/>
  <c r="CB551" i="5"/>
  <c r="AN137" i="5" l="1"/>
  <c r="AF137" i="5"/>
  <c r="BV138" i="5"/>
  <c r="BT138" i="5"/>
  <c r="BS138" i="5"/>
  <c r="CI138" i="5"/>
  <c r="BR644" i="5"/>
  <c r="BH138" i="5"/>
  <c r="BI138" i="5" s="1"/>
  <c r="BJ138" i="5" s="1"/>
  <c r="AZ637" i="5"/>
  <c r="BA638" i="5" s="1"/>
  <c r="BB637" i="5"/>
  <c r="X136" i="5"/>
  <c r="Y136" i="5" s="1"/>
  <c r="G111" i="6"/>
  <c r="BF137" i="5"/>
  <c r="BD137" i="5"/>
  <c r="BE138" i="5" s="1"/>
  <c r="CZ137" i="5"/>
  <c r="D138" i="5"/>
  <c r="AC138" i="5"/>
  <c r="BK138" i="5"/>
  <c r="BL138" i="5" s="1"/>
  <c r="BM138" i="5" s="1"/>
  <c r="AK138" i="5"/>
  <c r="CL138" i="5"/>
  <c r="CM138" i="5" s="1"/>
  <c r="C113" i="6"/>
  <c r="CS138" i="5"/>
  <c r="CY138" i="5"/>
  <c r="AB138" i="5"/>
  <c r="DA138" i="5" s="1"/>
  <c r="DB138" i="5" s="1"/>
  <c r="CX138" i="5"/>
  <c r="CW138" i="5"/>
  <c r="CR138" i="5"/>
  <c r="BG137" i="5"/>
  <c r="H137" i="5" s="1"/>
  <c r="AX138" i="5"/>
  <c r="AW138" i="5" s="1"/>
  <c r="CU138" i="5"/>
  <c r="BX138" i="5" s="1"/>
  <c r="D585" i="6"/>
  <c r="E585" i="6"/>
  <c r="F585" i="6"/>
  <c r="G585" i="6"/>
  <c r="H585" i="6"/>
  <c r="I585" i="6"/>
  <c r="B585" i="6"/>
  <c r="C585" i="6"/>
  <c r="A585" i="6"/>
  <c r="CG608" i="5"/>
  <c r="CF609" i="5"/>
  <c r="B611" i="5"/>
  <c r="CC551" i="5"/>
  <c r="CB552" i="5"/>
  <c r="BR645" i="5" l="1"/>
  <c r="CK138" i="5"/>
  <c r="CJ138" i="5" s="1"/>
  <c r="K138" i="5" s="1"/>
  <c r="CH138" i="5"/>
  <c r="AZ638" i="5"/>
  <c r="BA639" i="5" s="1"/>
  <c r="BB638" i="5"/>
  <c r="AD138" i="5"/>
  <c r="AE138" i="5" s="1"/>
  <c r="T138" i="5"/>
  <c r="U138" i="5" s="1"/>
  <c r="W138" i="5"/>
  <c r="BN138" i="5"/>
  <c r="BO138" i="5" s="1"/>
  <c r="BP138" i="5" s="1"/>
  <c r="G138" i="5" s="1"/>
  <c r="L138" i="5"/>
  <c r="CV138" i="5"/>
  <c r="CT138" i="5"/>
  <c r="AM138" i="5"/>
  <c r="AL139" i="5" s="1"/>
  <c r="CP138" i="5"/>
  <c r="CQ138" i="5" s="1"/>
  <c r="R138" i="5" s="1"/>
  <c r="S138" i="5" s="1"/>
  <c r="I137" i="5"/>
  <c r="AH137" i="5" s="1"/>
  <c r="H111" i="6"/>
  <c r="Z136" i="5"/>
  <c r="D586" i="6"/>
  <c r="E586" i="6"/>
  <c r="F586" i="6"/>
  <c r="G586" i="6"/>
  <c r="H586" i="6"/>
  <c r="I586" i="6"/>
  <c r="B586" i="6"/>
  <c r="C586" i="6"/>
  <c r="A586" i="6"/>
  <c r="B612" i="5"/>
  <c r="CG609" i="5"/>
  <c r="CF610" i="5"/>
  <c r="CC552" i="5"/>
  <c r="CB553" i="5"/>
  <c r="BR646" i="5" l="1"/>
  <c r="AZ639" i="5"/>
  <c r="BA640" i="5" s="1"/>
  <c r="BB639" i="5"/>
  <c r="AT137" i="5"/>
  <c r="AP137" i="5"/>
  <c r="M137" i="5"/>
  <c r="P137" i="5"/>
  <c r="AY137" i="5" s="1"/>
  <c r="AA136" i="5"/>
  <c r="I111" i="6" s="1"/>
  <c r="CO138" i="5"/>
  <c r="F138" i="5" s="1"/>
  <c r="CN138" i="5"/>
  <c r="E138" i="5" s="1"/>
  <c r="D587" i="6"/>
  <c r="E587" i="6"/>
  <c r="F587" i="6"/>
  <c r="G587" i="6"/>
  <c r="H587" i="6"/>
  <c r="I587" i="6"/>
  <c r="B587" i="6"/>
  <c r="C587" i="6"/>
  <c r="A587" i="6"/>
  <c r="CG610" i="5"/>
  <c r="CF611" i="5"/>
  <c r="B613" i="5"/>
  <c r="CC553" i="5"/>
  <c r="CB554" i="5"/>
  <c r="BY138" i="5" l="1"/>
  <c r="J138" i="5" s="1"/>
  <c r="BW138" i="5"/>
  <c r="BR647" i="5"/>
  <c r="AZ640" i="5"/>
  <c r="BA641" i="5" s="1"/>
  <c r="BB640" i="5"/>
  <c r="AS137" i="5"/>
  <c r="AV137" i="5" s="1"/>
  <c r="AO137" i="5"/>
  <c r="AR137" i="5" s="1"/>
  <c r="D113" i="6"/>
  <c r="BC138" i="5"/>
  <c r="E113" i="6"/>
  <c r="C139" i="5"/>
  <c r="BU139" i="5" s="1"/>
  <c r="F112" i="6"/>
  <c r="Q137" i="5"/>
  <c r="V137" i="5" s="1"/>
  <c r="AG137" i="5"/>
  <c r="N137" i="5"/>
  <c r="D588" i="6"/>
  <c r="E588" i="6"/>
  <c r="F588" i="6"/>
  <c r="G588" i="6"/>
  <c r="H588" i="6"/>
  <c r="I588" i="6"/>
  <c r="B588" i="6"/>
  <c r="C588" i="6"/>
  <c r="A588" i="6"/>
  <c r="B614" i="5"/>
  <c r="CG611" i="5"/>
  <c r="CF612" i="5"/>
  <c r="CC554" i="5"/>
  <c r="CB555" i="5"/>
  <c r="AF138" i="5" l="1"/>
  <c r="AN138" i="5"/>
  <c r="BT139" i="5"/>
  <c r="BV139" i="5"/>
  <c r="BS139" i="5"/>
  <c r="CI139" i="5"/>
  <c r="BR648" i="5"/>
  <c r="BH139" i="5"/>
  <c r="BI139" i="5" s="1"/>
  <c r="BJ139" i="5" s="1"/>
  <c r="AZ641" i="5"/>
  <c r="BA642" i="5" s="1"/>
  <c r="BB641" i="5"/>
  <c r="AJ137" i="5"/>
  <c r="X137" i="5" s="1"/>
  <c r="Y137" i="5" s="1"/>
  <c r="C114" i="6"/>
  <c r="AC139" i="5"/>
  <c r="AD139" i="5" s="1"/>
  <c r="CS139" i="5"/>
  <c r="CL139" i="5"/>
  <c r="CM139" i="5" s="1"/>
  <c r="CY139" i="5"/>
  <c r="CR139" i="5"/>
  <c r="AK139" i="5"/>
  <c r="AM139" i="5" s="1"/>
  <c r="AL140" i="5" s="1"/>
  <c r="AB139" i="5"/>
  <c r="BN139" i="5" s="1"/>
  <c r="BO139" i="5" s="1"/>
  <c r="BP139" i="5" s="1"/>
  <c r="D139" i="5"/>
  <c r="CW139" i="5"/>
  <c r="CX139" i="5"/>
  <c r="BK139" i="5"/>
  <c r="BL139" i="5" s="1"/>
  <c r="BM139" i="5" s="1"/>
  <c r="BG138" i="5"/>
  <c r="H138" i="5" s="1"/>
  <c r="AX139" i="5"/>
  <c r="AW139" i="5" s="1"/>
  <c r="CU139" i="5"/>
  <c r="BX139" i="5" s="1"/>
  <c r="CZ138" i="5"/>
  <c r="BD138" i="5"/>
  <c r="BE139" i="5" s="1"/>
  <c r="BF138" i="5"/>
  <c r="G112" i="6"/>
  <c r="D589" i="6"/>
  <c r="E589" i="6"/>
  <c r="F589" i="6"/>
  <c r="G589" i="6"/>
  <c r="H589" i="6"/>
  <c r="I589" i="6"/>
  <c r="B589" i="6"/>
  <c r="C589" i="6"/>
  <c r="A589" i="6"/>
  <c r="CG612" i="5"/>
  <c r="CF613" i="5"/>
  <c r="B615" i="5"/>
  <c r="CB556" i="5"/>
  <c r="CC555" i="5"/>
  <c r="G139" i="5" l="1"/>
  <c r="BR649" i="5"/>
  <c r="CH139" i="5"/>
  <c r="CK139" i="5"/>
  <c r="CJ139" i="5" s="1"/>
  <c r="CP139" i="5"/>
  <c r="CQ139" i="5" s="1"/>
  <c r="R139" i="5" s="1"/>
  <c r="S139" i="5" s="1"/>
  <c r="AZ642" i="5"/>
  <c r="BA643" i="5" s="1"/>
  <c r="BB642" i="5"/>
  <c r="DA139" i="5"/>
  <c r="DB139" i="5" s="1"/>
  <c r="K139" i="5" s="1"/>
  <c r="H112" i="6"/>
  <c r="Z137" i="5"/>
  <c r="W139" i="5"/>
  <c r="T139" i="5"/>
  <c r="U139" i="5" s="1"/>
  <c r="AE139" i="5"/>
  <c r="AD140" i="5" s="1"/>
  <c r="CT139" i="5"/>
  <c r="CV139" i="5"/>
  <c r="I138" i="5"/>
  <c r="AH138" i="5" s="1"/>
  <c r="L139" i="5"/>
  <c r="D590" i="6"/>
  <c r="E590" i="6"/>
  <c r="F590" i="6"/>
  <c r="G590" i="6"/>
  <c r="H590" i="6"/>
  <c r="I590" i="6"/>
  <c r="B590" i="6"/>
  <c r="C590" i="6"/>
  <c r="A590" i="6"/>
  <c r="B616" i="5"/>
  <c r="CG613" i="5"/>
  <c r="CF614" i="5"/>
  <c r="CC556" i="5"/>
  <c r="CB557" i="5"/>
  <c r="BR650" i="5" l="1"/>
  <c r="AZ643" i="5"/>
  <c r="BA644" i="5" s="1"/>
  <c r="AZ644" i="5" s="1"/>
  <c r="BA645" i="5" s="1"/>
  <c r="BB643" i="5"/>
  <c r="AT138" i="5"/>
  <c r="AP138" i="5"/>
  <c r="M138" i="5"/>
  <c r="P138" i="5"/>
  <c r="CO139" i="5"/>
  <c r="F139" i="5" s="1"/>
  <c r="CN139" i="5"/>
  <c r="E139" i="5" s="1"/>
  <c r="AA137" i="5"/>
  <c r="I112" i="6" s="1"/>
  <c r="D591" i="6"/>
  <c r="E591" i="6"/>
  <c r="F591" i="6"/>
  <c r="G591" i="6"/>
  <c r="H591" i="6"/>
  <c r="I591" i="6"/>
  <c r="B591" i="6"/>
  <c r="C591" i="6"/>
  <c r="A591" i="6"/>
  <c r="CG614" i="5"/>
  <c r="CF615" i="5"/>
  <c r="B617" i="5"/>
  <c r="CC557" i="5"/>
  <c r="CB558" i="5"/>
  <c r="BW139" i="5" l="1"/>
  <c r="BY139" i="5"/>
  <c r="J139" i="5" s="1"/>
  <c r="BR651" i="5"/>
  <c r="BB138" i="5"/>
  <c r="AY138" i="5"/>
  <c r="AZ645" i="5"/>
  <c r="BA646" i="5" s="1"/>
  <c r="BB645" i="5"/>
  <c r="AO138" i="5"/>
  <c r="AR138" i="5" s="1"/>
  <c r="AG138" i="5"/>
  <c r="AJ138" i="5" s="1"/>
  <c r="D114" i="6"/>
  <c r="BC139" i="5"/>
  <c r="E114" i="6"/>
  <c r="C140" i="5"/>
  <c r="BU140" i="5" s="1"/>
  <c r="Q138" i="5"/>
  <c r="V138" i="5" s="1"/>
  <c r="G113" i="6" s="1"/>
  <c r="F113" i="6"/>
  <c r="AS138" i="5"/>
  <c r="AV138" i="5" s="1"/>
  <c r="N138" i="5"/>
  <c r="D592" i="6"/>
  <c r="E592" i="6"/>
  <c r="F592" i="6"/>
  <c r="G592" i="6"/>
  <c r="H592" i="6"/>
  <c r="I592" i="6"/>
  <c r="B592" i="6"/>
  <c r="C592" i="6"/>
  <c r="A592" i="6"/>
  <c r="B618" i="5"/>
  <c r="CG615" i="5"/>
  <c r="CF616" i="5"/>
  <c r="CC558" i="5"/>
  <c r="CB559" i="5"/>
  <c r="AN139" i="5" l="1"/>
  <c r="AF139" i="5"/>
  <c r="BT140" i="5"/>
  <c r="BV140" i="5"/>
  <c r="BS140" i="5"/>
  <c r="CI140" i="5"/>
  <c r="BR652" i="5"/>
  <c r="BH140" i="5"/>
  <c r="BI140" i="5" s="1"/>
  <c r="BJ140" i="5" s="1"/>
  <c r="AZ646" i="5"/>
  <c r="BA647" i="5" s="1"/>
  <c r="BB646" i="5"/>
  <c r="X138" i="5"/>
  <c r="Y138" i="5" s="1"/>
  <c r="H113" i="6" s="1"/>
  <c r="CW140" i="5"/>
  <c r="AK140" i="5"/>
  <c r="AM140" i="5" s="1"/>
  <c r="AL141" i="5" s="1"/>
  <c r="CR140" i="5"/>
  <c r="AB140" i="5"/>
  <c r="CP140" i="5" s="1"/>
  <c r="CQ140" i="5" s="1"/>
  <c r="R140" i="5" s="1"/>
  <c r="S140" i="5" s="1"/>
  <c r="CL140" i="5"/>
  <c r="CM140" i="5" s="1"/>
  <c r="CX140" i="5"/>
  <c r="C115" i="6"/>
  <c r="BK140" i="5"/>
  <c r="BL140" i="5" s="1"/>
  <c r="BM140" i="5" s="1"/>
  <c r="CS140" i="5"/>
  <c r="AC140" i="5"/>
  <c r="D140" i="5"/>
  <c r="CY140" i="5"/>
  <c r="BG139" i="5"/>
  <c r="H139" i="5" s="1"/>
  <c r="AX140" i="5"/>
  <c r="AW140" i="5" s="1"/>
  <c r="CU140" i="5"/>
  <c r="BX140" i="5" s="1"/>
  <c r="CZ139" i="5"/>
  <c r="BD139" i="5"/>
  <c r="BE140" i="5" s="1"/>
  <c r="BF139" i="5"/>
  <c r="D593" i="6"/>
  <c r="E593" i="6"/>
  <c r="F593" i="6"/>
  <c r="G593" i="6"/>
  <c r="H593" i="6"/>
  <c r="I593" i="6"/>
  <c r="B593" i="6"/>
  <c r="C593" i="6"/>
  <c r="A593" i="6"/>
  <c r="CG616" i="5"/>
  <c r="CF617" i="5"/>
  <c r="B619" i="5"/>
  <c r="CB560" i="5"/>
  <c r="CC559" i="5"/>
  <c r="BR653" i="5" l="1"/>
  <c r="CH140" i="5"/>
  <c r="CK140" i="5"/>
  <c r="CJ140" i="5" s="1"/>
  <c r="AZ647" i="5"/>
  <c r="BA648" i="5" s="1"/>
  <c r="BB647" i="5"/>
  <c r="Z138" i="5"/>
  <c r="AA138" i="5" s="1"/>
  <c r="I113" i="6" s="1"/>
  <c r="DA140" i="5"/>
  <c r="DB140" i="5" s="1"/>
  <c r="K140" i="5" s="1"/>
  <c r="L140" i="5"/>
  <c r="T140" i="5"/>
  <c r="U140" i="5" s="1"/>
  <c r="W140" i="5"/>
  <c r="AE140" i="5"/>
  <c r="I139" i="5"/>
  <c r="AH139" i="5" s="1"/>
  <c r="CT140" i="5"/>
  <c r="CV140" i="5"/>
  <c r="BN140" i="5"/>
  <c r="BO140" i="5" s="1"/>
  <c r="BP140" i="5" s="1"/>
  <c r="G140" i="5" s="1"/>
  <c r="D594" i="6"/>
  <c r="E594" i="6"/>
  <c r="F594" i="6"/>
  <c r="G594" i="6"/>
  <c r="H594" i="6"/>
  <c r="I594" i="6"/>
  <c r="B594" i="6"/>
  <c r="C594" i="6"/>
  <c r="A594" i="6"/>
  <c r="B620" i="5"/>
  <c r="CF618" i="5"/>
  <c r="CG617" i="5"/>
  <c r="CC560" i="5"/>
  <c r="CB561" i="5"/>
  <c r="BR654" i="5" l="1"/>
  <c r="AZ648" i="5"/>
  <c r="BA649" i="5" s="1"/>
  <c r="BB648" i="5"/>
  <c r="AT139" i="5"/>
  <c r="AP139" i="5"/>
  <c r="CO140" i="5"/>
  <c r="F140" i="5" s="1"/>
  <c r="CN140" i="5"/>
  <c r="E140" i="5" s="1"/>
  <c r="M139" i="5"/>
  <c r="P139" i="5"/>
  <c r="AY139" i="5" s="1"/>
  <c r="D595" i="6"/>
  <c r="E595" i="6"/>
  <c r="F595" i="6"/>
  <c r="G595" i="6"/>
  <c r="H595" i="6"/>
  <c r="I595" i="6"/>
  <c r="B595" i="6"/>
  <c r="C595" i="6"/>
  <c r="A595" i="6"/>
  <c r="CG618" i="5"/>
  <c r="CF619" i="5"/>
  <c r="B621" i="5"/>
  <c r="CC561" i="5"/>
  <c r="CB562" i="5"/>
  <c r="BR655" i="5" l="1"/>
  <c r="AZ649" i="5"/>
  <c r="BA650" i="5" s="1"/>
  <c r="BB649" i="5"/>
  <c r="AO139" i="5"/>
  <c r="AR139" i="5" s="1"/>
  <c r="AG139" i="5"/>
  <c r="AJ139" i="5" s="1"/>
  <c r="N139" i="5"/>
  <c r="AS139" i="5"/>
  <c r="AV139" i="5" s="1"/>
  <c r="F114" i="6"/>
  <c r="Q139" i="5"/>
  <c r="V139" i="5" s="1"/>
  <c r="BC140" i="5"/>
  <c r="D115" i="6"/>
  <c r="E115" i="6"/>
  <c r="C141" i="5"/>
  <c r="BU141" i="5" s="1"/>
  <c r="D596" i="6"/>
  <c r="E596" i="6"/>
  <c r="F596" i="6"/>
  <c r="G596" i="6"/>
  <c r="H596" i="6"/>
  <c r="I596" i="6"/>
  <c r="B596" i="6"/>
  <c r="C596" i="6"/>
  <c r="A596" i="6"/>
  <c r="B622" i="5"/>
  <c r="CF620" i="5"/>
  <c r="CG619" i="5"/>
  <c r="CC562" i="5"/>
  <c r="CB563" i="5"/>
  <c r="BW140" i="5" l="1"/>
  <c r="BY140" i="5"/>
  <c r="J140" i="5" s="1"/>
  <c r="BT141" i="5"/>
  <c r="BV141" i="5"/>
  <c r="BS141" i="5"/>
  <c r="CI141" i="5"/>
  <c r="BR656" i="5"/>
  <c r="BH141" i="5"/>
  <c r="BI141" i="5" s="1"/>
  <c r="BJ141" i="5" s="1"/>
  <c r="AZ650" i="5"/>
  <c r="BA651" i="5" s="1"/>
  <c r="BB650" i="5"/>
  <c r="X139" i="5"/>
  <c r="Y139" i="5" s="1"/>
  <c r="AK141" i="5"/>
  <c r="AM141" i="5" s="1"/>
  <c r="AL142" i="5" s="1"/>
  <c r="C116" i="6"/>
  <c r="CX141" i="5"/>
  <c r="CL141" i="5"/>
  <c r="CM141" i="5" s="1"/>
  <c r="AB141" i="5"/>
  <c r="L141" i="5" s="1"/>
  <c r="CS141" i="5"/>
  <c r="AC141" i="5"/>
  <c r="AD141" i="5" s="1"/>
  <c r="BK141" i="5"/>
  <c r="BL141" i="5" s="1"/>
  <c r="BM141" i="5" s="1"/>
  <c r="CY141" i="5"/>
  <c r="D141" i="5"/>
  <c r="CW141" i="5"/>
  <c r="CR141" i="5"/>
  <c r="BG140" i="5"/>
  <c r="H140" i="5" s="1"/>
  <c r="AX141" i="5"/>
  <c r="AW141" i="5" s="1"/>
  <c r="CU141" i="5"/>
  <c r="CZ140" i="5"/>
  <c r="BF140" i="5"/>
  <c r="BD140" i="5"/>
  <c r="BE141" i="5" s="1"/>
  <c r="G114" i="6"/>
  <c r="D597" i="6"/>
  <c r="E597" i="6"/>
  <c r="F597" i="6"/>
  <c r="G597" i="6"/>
  <c r="H597" i="6"/>
  <c r="I597" i="6"/>
  <c r="B597" i="6"/>
  <c r="C597" i="6"/>
  <c r="A597" i="6"/>
  <c r="B623" i="5"/>
  <c r="CF621" i="5"/>
  <c r="CG620" i="5"/>
  <c r="CB564" i="5"/>
  <c r="CC563" i="5"/>
  <c r="AF140" i="5" l="1"/>
  <c r="AN140" i="5"/>
  <c r="BX141" i="5"/>
  <c r="BR657" i="5"/>
  <c r="CH141" i="5"/>
  <c r="CK141" i="5"/>
  <c r="CJ141" i="5" s="1"/>
  <c r="AZ651" i="5"/>
  <c r="BA652" i="5" s="1"/>
  <c r="BB651" i="5"/>
  <c r="DA141" i="5"/>
  <c r="DB141" i="5" s="1"/>
  <c r="BN141" i="5"/>
  <c r="BO141" i="5" s="1"/>
  <c r="BP141" i="5" s="1"/>
  <c r="G141" i="5" s="1"/>
  <c r="CP141" i="5"/>
  <c r="CQ141" i="5" s="1"/>
  <c r="R141" i="5" s="1"/>
  <c r="S141" i="5" s="1"/>
  <c r="H114" i="6"/>
  <c r="Z139" i="5"/>
  <c r="W141" i="5"/>
  <c r="T141" i="5"/>
  <c r="U141" i="5" s="1"/>
  <c r="CT141" i="5"/>
  <c r="CV141" i="5"/>
  <c r="AE141" i="5"/>
  <c r="I140" i="5"/>
  <c r="AH140" i="5" s="1"/>
  <c r="D598" i="6"/>
  <c r="E598" i="6"/>
  <c r="F598" i="6"/>
  <c r="G598" i="6"/>
  <c r="H598" i="6"/>
  <c r="I598" i="6"/>
  <c r="B598" i="6"/>
  <c r="C598" i="6"/>
  <c r="A598" i="6"/>
  <c r="CF622" i="5"/>
  <c r="CG621" i="5"/>
  <c r="B624" i="5"/>
  <c r="CC564" i="5"/>
  <c r="CB565" i="5"/>
  <c r="K141" i="5" l="1"/>
  <c r="BR658" i="5"/>
  <c r="AZ652" i="5"/>
  <c r="BA653" i="5" s="1"/>
  <c r="BB652" i="5"/>
  <c r="AT140" i="5"/>
  <c r="AP140" i="5"/>
  <c r="M140" i="5"/>
  <c r="P140" i="5"/>
  <c r="AY140" i="5" s="1"/>
  <c r="AA139" i="5"/>
  <c r="I114" i="6" s="1"/>
  <c r="CN141" i="5"/>
  <c r="E141" i="5" s="1"/>
  <c r="CO141" i="5"/>
  <c r="F141" i="5" s="1"/>
  <c r="D599" i="6"/>
  <c r="E599" i="6"/>
  <c r="F599" i="6"/>
  <c r="G599" i="6"/>
  <c r="H599" i="6"/>
  <c r="I599" i="6"/>
  <c r="B599" i="6"/>
  <c r="C599" i="6"/>
  <c r="A599" i="6"/>
  <c r="B625" i="5"/>
  <c r="CG622" i="5"/>
  <c r="CF623" i="5"/>
  <c r="CC565" i="5"/>
  <c r="CB566" i="5"/>
  <c r="BW141" i="5" l="1"/>
  <c r="BY141" i="5"/>
  <c r="J141" i="5" s="1"/>
  <c r="BR659" i="5"/>
  <c r="AZ653" i="5"/>
  <c r="BA654" i="5" s="1"/>
  <c r="BB653" i="5"/>
  <c r="AO140" i="5"/>
  <c r="AR140" i="5" s="1"/>
  <c r="AG140" i="5"/>
  <c r="E116" i="6"/>
  <c r="C142" i="5"/>
  <c r="BU142" i="5" s="1"/>
  <c r="F115" i="6"/>
  <c r="Q140" i="5"/>
  <c r="V140" i="5" s="1"/>
  <c r="N140" i="5"/>
  <c r="AS140" i="5"/>
  <c r="AV140" i="5" s="1"/>
  <c r="D116" i="6"/>
  <c r="BC141" i="5"/>
  <c r="D600" i="6"/>
  <c r="E600" i="6"/>
  <c r="F600" i="6"/>
  <c r="G600" i="6"/>
  <c r="H600" i="6"/>
  <c r="I600" i="6"/>
  <c r="B600" i="6"/>
  <c r="C600" i="6"/>
  <c r="A600" i="6"/>
  <c r="CF624" i="5"/>
  <c r="CG623" i="5"/>
  <c r="B626" i="5"/>
  <c r="CC566" i="5"/>
  <c r="CB567" i="5"/>
  <c r="AF141" i="5" l="1"/>
  <c r="AN141" i="5"/>
  <c r="BV142" i="5"/>
  <c r="BT142" i="5"/>
  <c r="BS142" i="5"/>
  <c r="CI142" i="5"/>
  <c r="BR660" i="5"/>
  <c r="BH142" i="5"/>
  <c r="BI142" i="5" s="1"/>
  <c r="BJ142" i="5" s="1"/>
  <c r="AZ654" i="5"/>
  <c r="BA655" i="5" s="1"/>
  <c r="BB654" i="5"/>
  <c r="AJ140" i="5"/>
  <c r="BD141" i="5"/>
  <c r="BE142" i="5" s="1"/>
  <c r="BF141" i="5"/>
  <c r="CZ141" i="5"/>
  <c r="G115" i="6"/>
  <c r="AC142" i="5"/>
  <c r="CS142" i="5"/>
  <c r="D142" i="5"/>
  <c r="CY142" i="5"/>
  <c r="CX142" i="5"/>
  <c r="CL142" i="5"/>
  <c r="CM142" i="5" s="1"/>
  <c r="CR142" i="5"/>
  <c r="BK142" i="5"/>
  <c r="BL142" i="5" s="1"/>
  <c r="BM142" i="5" s="1"/>
  <c r="AK142" i="5"/>
  <c r="AB142" i="5"/>
  <c r="CP142" i="5" s="1"/>
  <c r="CQ142" i="5" s="1"/>
  <c r="R142" i="5" s="1"/>
  <c r="S142" i="5" s="1"/>
  <c r="C117" i="6"/>
  <c r="CW142" i="5"/>
  <c r="BG141" i="5"/>
  <c r="H141" i="5" s="1"/>
  <c r="AX142" i="5"/>
  <c r="AW142" i="5" s="1"/>
  <c r="CU142" i="5"/>
  <c r="BX142" i="5" s="1"/>
  <c r="D601" i="6"/>
  <c r="E601" i="6"/>
  <c r="F601" i="6"/>
  <c r="G601" i="6"/>
  <c r="H601" i="6"/>
  <c r="I601" i="6"/>
  <c r="B601" i="6"/>
  <c r="C601" i="6"/>
  <c r="A601" i="6"/>
  <c r="B627" i="5"/>
  <c r="CF625" i="5"/>
  <c r="CG624" i="5"/>
  <c r="CB568" i="5"/>
  <c r="CC567" i="5"/>
  <c r="BR661" i="5" l="1"/>
  <c r="CH142" i="5"/>
  <c r="CK142" i="5"/>
  <c r="CJ142" i="5" s="1"/>
  <c r="AZ655" i="5"/>
  <c r="BA656" i="5" s="1"/>
  <c r="BB655" i="5"/>
  <c r="X140" i="5"/>
  <c r="Y140" i="5" s="1"/>
  <c r="AD142" i="5"/>
  <c r="AE142" i="5" s="1"/>
  <c r="AM142" i="5"/>
  <c r="AL143" i="5" s="1"/>
  <c r="CT142" i="5"/>
  <c r="CV142" i="5"/>
  <c r="W142" i="5"/>
  <c r="T142" i="5"/>
  <c r="U142" i="5" s="1"/>
  <c r="BN142" i="5"/>
  <c r="BO142" i="5" s="1"/>
  <c r="BP142" i="5" s="1"/>
  <c r="G142" i="5" s="1"/>
  <c r="DA142" i="5"/>
  <c r="DB142" i="5" s="1"/>
  <c r="K142" i="5" s="1"/>
  <c r="L142" i="5"/>
  <c r="I141" i="5"/>
  <c r="AH141" i="5" s="1"/>
  <c r="D602" i="6"/>
  <c r="E602" i="6"/>
  <c r="F602" i="6"/>
  <c r="G602" i="6"/>
  <c r="H602" i="6"/>
  <c r="I602" i="6"/>
  <c r="B602" i="6"/>
  <c r="C602" i="6"/>
  <c r="A602" i="6"/>
  <c r="CF626" i="5"/>
  <c r="CG625" i="5"/>
  <c r="B628" i="5"/>
  <c r="CC568" i="5"/>
  <c r="CB569" i="5"/>
  <c r="BR662" i="5" l="1"/>
  <c r="AZ656" i="5"/>
  <c r="BA657" i="5" s="1"/>
  <c r="BB656" i="5"/>
  <c r="H115" i="6"/>
  <c r="Z140" i="5"/>
  <c r="AA140" i="5" s="1"/>
  <c r="I115" i="6" s="1"/>
  <c r="AT141" i="5"/>
  <c r="AP141" i="5"/>
  <c r="P141" i="5"/>
  <c r="AY141" i="5" s="1"/>
  <c r="M141" i="5"/>
  <c r="AG141" i="5" s="1"/>
  <c r="AJ141" i="5" s="1"/>
  <c r="CO142" i="5"/>
  <c r="F142" i="5" s="1"/>
  <c r="CN142" i="5"/>
  <c r="E142" i="5" s="1"/>
  <c r="D603" i="6"/>
  <c r="E603" i="6"/>
  <c r="F603" i="6"/>
  <c r="G603" i="6"/>
  <c r="H603" i="6"/>
  <c r="I603" i="6"/>
  <c r="B603" i="6"/>
  <c r="C603" i="6"/>
  <c r="A603" i="6"/>
  <c r="B629" i="5"/>
  <c r="CG626" i="5"/>
  <c r="CF627" i="5"/>
  <c r="CC569" i="5"/>
  <c r="CB570" i="5"/>
  <c r="BR663" i="5" l="1"/>
  <c r="AZ657" i="5"/>
  <c r="BA658" i="5" s="1"/>
  <c r="BB657" i="5"/>
  <c r="N141" i="5"/>
  <c r="AS141" i="5"/>
  <c r="AV141" i="5" s="1"/>
  <c r="AO141" i="5"/>
  <c r="AR141" i="5" s="1"/>
  <c r="Q141" i="5"/>
  <c r="V141" i="5" s="1"/>
  <c r="G116" i="6" s="1"/>
  <c r="F116" i="6"/>
  <c r="D117" i="6"/>
  <c r="BC142" i="5"/>
  <c r="E117" i="6"/>
  <c r="C143" i="5"/>
  <c r="BU143" i="5" s="1"/>
  <c r="D604" i="6"/>
  <c r="E604" i="6"/>
  <c r="F604" i="6"/>
  <c r="G604" i="6"/>
  <c r="H604" i="6"/>
  <c r="I604" i="6"/>
  <c r="B604" i="6"/>
  <c r="C604" i="6"/>
  <c r="A604" i="6"/>
  <c r="CG627" i="5"/>
  <c r="CF628" i="5"/>
  <c r="B630" i="5"/>
  <c r="CC570" i="5"/>
  <c r="CB571" i="5"/>
  <c r="BW142" i="5" l="1"/>
  <c r="BY142" i="5"/>
  <c r="J142" i="5" s="1"/>
  <c r="BV143" i="5"/>
  <c r="BT143" i="5"/>
  <c r="BS143" i="5"/>
  <c r="CI143" i="5"/>
  <c r="BR664" i="5"/>
  <c r="BH143" i="5"/>
  <c r="BI143" i="5" s="1"/>
  <c r="BJ143" i="5" s="1"/>
  <c r="AZ658" i="5"/>
  <c r="BA659" i="5" s="1"/>
  <c r="BB658" i="5"/>
  <c r="X141" i="5"/>
  <c r="Y141" i="5" s="1"/>
  <c r="CS143" i="5"/>
  <c r="CX143" i="5"/>
  <c r="CY143" i="5"/>
  <c r="CR143" i="5"/>
  <c r="AC143" i="5"/>
  <c r="BK143" i="5"/>
  <c r="BL143" i="5" s="1"/>
  <c r="BM143" i="5" s="1"/>
  <c r="CL143" i="5"/>
  <c r="CM143" i="5" s="1"/>
  <c r="D143" i="5"/>
  <c r="AK143" i="5"/>
  <c r="CW143" i="5"/>
  <c r="AB143" i="5"/>
  <c r="BN143" i="5" s="1"/>
  <c r="BO143" i="5" s="1"/>
  <c r="BP143" i="5" s="1"/>
  <c r="C118" i="6"/>
  <c r="BG142" i="5"/>
  <c r="H142" i="5" s="1"/>
  <c r="AX143" i="5"/>
  <c r="AW143" i="5" s="1"/>
  <c r="CU143" i="5"/>
  <c r="BF142" i="5"/>
  <c r="BD142" i="5"/>
  <c r="BE143" i="5" s="1"/>
  <c r="CZ142" i="5"/>
  <c r="D605" i="6"/>
  <c r="E605" i="6"/>
  <c r="F605" i="6"/>
  <c r="G605" i="6"/>
  <c r="H605" i="6"/>
  <c r="I605" i="6"/>
  <c r="B605" i="6"/>
  <c r="C605" i="6"/>
  <c r="A605" i="6"/>
  <c r="B631" i="5"/>
  <c r="CG628" i="5"/>
  <c r="CF629" i="5"/>
  <c r="CB572" i="5"/>
  <c r="CC571" i="5"/>
  <c r="AF142" i="5" l="1"/>
  <c r="AN142" i="5"/>
  <c r="BX143" i="5"/>
  <c r="G143" i="5"/>
  <c r="BR665" i="5"/>
  <c r="CK143" i="5"/>
  <c r="CJ143" i="5" s="1"/>
  <c r="CH143" i="5"/>
  <c r="AZ659" i="5"/>
  <c r="BA660" i="5" s="1"/>
  <c r="BB659" i="5"/>
  <c r="AD143" i="5"/>
  <c r="AE143" i="5" s="1"/>
  <c r="L143" i="5"/>
  <c r="CP143" i="5"/>
  <c r="CQ143" i="5" s="1"/>
  <c r="R143" i="5" s="1"/>
  <c r="S143" i="5" s="1"/>
  <c r="DA143" i="5"/>
  <c r="DB143" i="5" s="1"/>
  <c r="K143" i="5" s="1"/>
  <c r="CT143" i="5"/>
  <c r="CV143" i="5"/>
  <c r="I142" i="5"/>
  <c r="AM143" i="5"/>
  <c r="AL144" i="5" s="1"/>
  <c r="W143" i="5"/>
  <c r="T143" i="5"/>
  <c r="U143" i="5" s="1"/>
  <c r="H116" i="6"/>
  <c r="Z141" i="5"/>
  <c r="D606" i="6"/>
  <c r="E606" i="6"/>
  <c r="F606" i="6"/>
  <c r="G606" i="6"/>
  <c r="H606" i="6"/>
  <c r="I606" i="6"/>
  <c r="B606" i="6"/>
  <c r="C606" i="6"/>
  <c r="A606" i="6"/>
  <c r="CF630" i="5"/>
  <c r="CG629" i="5"/>
  <c r="B632" i="5"/>
  <c r="CC572" i="5"/>
  <c r="CB573" i="5"/>
  <c r="AP142" i="5" l="1"/>
  <c r="BR666" i="5"/>
  <c r="AZ660" i="5"/>
  <c r="BA661" i="5" s="1"/>
  <c r="BB660" i="5"/>
  <c r="AT142" i="5"/>
  <c r="AH142" i="5"/>
  <c r="AA141" i="5"/>
  <c r="I116" i="6" s="1"/>
  <c r="M142" i="5"/>
  <c r="P142" i="5"/>
  <c r="AY142" i="5" s="1"/>
  <c r="CO143" i="5"/>
  <c r="F143" i="5" s="1"/>
  <c r="CN143" i="5"/>
  <c r="E143" i="5" s="1"/>
  <c r="D607" i="6"/>
  <c r="E607" i="6"/>
  <c r="F607" i="6"/>
  <c r="G607" i="6"/>
  <c r="H607" i="6"/>
  <c r="I607" i="6"/>
  <c r="B607" i="6"/>
  <c r="C607" i="6"/>
  <c r="A607" i="6"/>
  <c r="B633" i="5"/>
  <c r="CG630" i="5"/>
  <c r="CF631" i="5"/>
  <c r="CC573" i="5"/>
  <c r="CB574" i="5"/>
  <c r="BY143" i="5" l="1"/>
  <c r="J143" i="5" s="1"/>
  <c r="BW143" i="5"/>
  <c r="BR667" i="5"/>
  <c r="AZ661" i="5"/>
  <c r="BA662" i="5" s="1"/>
  <c r="BB661" i="5"/>
  <c r="AS142" i="5"/>
  <c r="AV142" i="5" s="1"/>
  <c r="AG142" i="5"/>
  <c r="AJ142" i="5" s="1"/>
  <c r="Q142" i="5"/>
  <c r="V142" i="5" s="1"/>
  <c r="F117" i="6"/>
  <c r="AO142" i="5"/>
  <c r="N142" i="5"/>
  <c r="D118" i="6"/>
  <c r="BC143" i="5"/>
  <c r="E118" i="6"/>
  <c r="C144" i="5"/>
  <c r="BU144" i="5" s="1"/>
  <c r="D608" i="6"/>
  <c r="E608" i="6"/>
  <c r="F608" i="6"/>
  <c r="G608" i="6"/>
  <c r="H608" i="6"/>
  <c r="I608" i="6"/>
  <c r="B608" i="6"/>
  <c r="C608" i="6"/>
  <c r="A608" i="6"/>
  <c r="CG631" i="5"/>
  <c r="CF632" i="5"/>
  <c r="B634" i="5"/>
  <c r="CC574" i="5"/>
  <c r="CB575" i="5"/>
  <c r="AN143" i="5" l="1"/>
  <c r="AF143" i="5"/>
  <c r="BT144" i="5"/>
  <c r="BV144" i="5"/>
  <c r="BS144" i="5"/>
  <c r="CI144" i="5"/>
  <c r="BR668" i="5"/>
  <c r="BH144" i="5"/>
  <c r="BI144" i="5" s="1"/>
  <c r="BJ144" i="5" s="1"/>
  <c r="AZ662" i="5"/>
  <c r="BA663" i="5" s="1"/>
  <c r="BB662" i="5"/>
  <c r="CR144" i="5"/>
  <c r="AB144" i="5"/>
  <c r="L144" i="5" s="1"/>
  <c r="D144" i="5"/>
  <c r="C119" i="6"/>
  <c r="CW144" i="5"/>
  <c r="CL144" i="5"/>
  <c r="CM144" i="5" s="1"/>
  <c r="CX144" i="5"/>
  <c r="CS144" i="5"/>
  <c r="AC144" i="5"/>
  <c r="AK144" i="5"/>
  <c r="CY144" i="5"/>
  <c r="BK144" i="5"/>
  <c r="BL144" i="5" s="1"/>
  <c r="BM144" i="5" s="1"/>
  <c r="BG143" i="5"/>
  <c r="H143" i="5" s="1"/>
  <c r="AX144" i="5"/>
  <c r="AW144" i="5" s="1"/>
  <c r="CU144" i="5"/>
  <c r="BX144" i="5" s="1"/>
  <c r="CZ143" i="5"/>
  <c r="BD143" i="5"/>
  <c r="BE144" i="5" s="1"/>
  <c r="BF143" i="5"/>
  <c r="AR142" i="5"/>
  <c r="G117" i="6"/>
  <c r="D609" i="6"/>
  <c r="E609" i="6"/>
  <c r="F609" i="6"/>
  <c r="G609" i="6"/>
  <c r="H609" i="6"/>
  <c r="I609" i="6"/>
  <c r="B609" i="6"/>
  <c r="C609" i="6"/>
  <c r="A609" i="6"/>
  <c r="B635" i="5"/>
  <c r="CG632" i="5"/>
  <c r="CF633" i="5"/>
  <c r="CB576" i="5"/>
  <c r="CC575" i="5"/>
  <c r="BR669" i="5" l="1"/>
  <c r="CH144" i="5"/>
  <c r="CK144" i="5"/>
  <c r="CJ144" i="5" s="1"/>
  <c r="CP144" i="5"/>
  <c r="CQ144" i="5" s="1"/>
  <c r="R144" i="5" s="1"/>
  <c r="S144" i="5" s="1"/>
  <c r="AZ663" i="5"/>
  <c r="BA664" i="5" s="1"/>
  <c r="BB663" i="5"/>
  <c r="X142" i="5"/>
  <c r="Y142" i="5" s="1"/>
  <c r="BN144" i="5"/>
  <c r="BO144" i="5" s="1"/>
  <c r="BP144" i="5" s="1"/>
  <c r="G144" i="5" s="1"/>
  <c r="DA144" i="5"/>
  <c r="DB144" i="5" s="1"/>
  <c r="CT144" i="5"/>
  <c r="CV144" i="5"/>
  <c r="I143" i="5"/>
  <c r="AP143" i="5" s="1"/>
  <c r="AM144" i="5"/>
  <c r="AL145" i="5" s="1"/>
  <c r="W144" i="5"/>
  <c r="T144" i="5"/>
  <c r="U144" i="5" s="1"/>
  <c r="AD144" i="5"/>
  <c r="AE144" i="5" s="1"/>
  <c r="D610" i="6"/>
  <c r="E610" i="6"/>
  <c r="F610" i="6"/>
  <c r="G610" i="6"/>
  <c r="H610" i="6"/>
  <c r="I610" i="6"/>
  <c r="B610" i="6"/>
  <c r="C610" i="6"/>
  <c r="A610" i="6"/>
  <c r="CG633" i="5"/>
  <c r="CF634" i="5"/>
  <c r="B636" i="5"/>
  <c r="CC576" i="5"/>
  <c r="CB577" i="5"/>
  <c r="K144" i="5" l="1"/>
  <c r="BR670" i="5"/>
  <c r="AZ664" i="5"/>
  <c r="BA665" i="5" s="1"/>
  <c r="BB664" i="5"/>
  <c r="H117" i="6"/>
  <c r="Z142" i="5"/>
  <c r="AA142" i="5" s="1"/>
  <c r="I117" i="6" s="1"/>
  <c r="AH143" i="5"/>
  <c r="AT143" i="5"/>
  <c r="P143" i="5"/>
  <c r="AY143" i="5" s="1"/>
  <c r="M143" i="5"/>
  <c r="CN144" i="5"/>
  <c r="E144" i="5" s="1"/>
  <c r="CO144" i="5"/>
  <c r="F144" i="5" s="1"/>
  <c r="D611" i="6"/>
  <c r="E611" i="6"/>
  <c r="F611" i="6"/>
  <c r="G611" i="6"/>
  <c r="H611" i="6"/>
  <c r="I611" i="6"/>
  <c r="B611" i="6"/>
  <c r="C611" i="6"/>
  <c r="A611" i="6"/>
  <c r="B637" i="5"/>
  <c r="CG634" i="5"/>
  <c r="CF635" i="5"/>
  <c r="CC577" i="5"/>
  <c r="CB578" i="5"/>
  <c r="BR671" i="5" l="1"/>
  <c r="AZ665" i="5"/>
  <c r="BA666" i="5" s="1"/>
  <c r="AZ666" i="5" s="1"/>
  <c r="BA667" i="5" s="1"/>
  <c r="BB665" i="5"/>
  <c r="AS143" i="5"/>
  <c r="AV143" i="5" s="1"/>
  <c r="AO143" i="5"/>
  <c r="AR143" i="5" s="1"/>
  <c r="BC144" i="5"/>
  <c r="D119" i="6"/>
  <c r="C145" i="5"/>
  <c r="BU145" i="5" s="1"/>
  <c r="E119" i="6"/>
  <c r="N143" i="5"/>
  <c r="AG143" i="5"/>
  <c r="F118" i="6"/>
  <c r="Q143" i="5"/>
  <c r="V143" i="5" s="1"/>
  <c r="G118" i="6" s="1"/>
  <c r="D612" i="6"/>
  <c r="E612" i="6"/>
  <c r="F612" i="6"/>
  <c r="G612" i="6"/>
  <c r="H612" i="6"/>
  <c r="I612" i="6"/>
  <c r="B612" i="6"/>
  <c r="C612" i="6"/>
  <c r="A612" i="6"/>
  <c r="B638" i="5"/>
  <c r="CG635" i="5"/>
  <c r="CF636" i="5"/>
  <c r="CC578" i="5"/>
  <c r="CB579" i="5"/>
  <c r="BW144" i="5" l="1"/>
  <c r="BY144" i="5"/>
  <c r="J144" i="5" s="1"/>
  <c r="BV145" i="5"/>
  <c r="BT145" i="5"/>
  <c r="BS145" i="5"/>
  <c r="CI145" i="5"/>
  <c r="BR672" i="5"/>
  <c r="BH145" i="5"/>
  <c r="BI145" i="5" s="1"/>
  <c r="BJ145" i="5" s="1"/>
  <c r="AZ667" i="5"/>
  <c r="BA668" i="5" s="1"/>
  <c r="BB667" i="5"/>
  <c r="AJ143" i="5"/>
  <c r="CS145" i="5"/>
  <c r="CR145" i="5"/>
  <c r="AK145" i="5"/>
  <c r="AM145" i="5" s="1"/>
  <c r="AL146" i="5" s="1"/>
  <c r="CY145" i="5"/>
  <c r="D145" i="5"/>
  <c r="BK145" i="5"/>
  <c r="BL145" i="5" s="1"/>
  <c r="BM145" i="5" s="1"/>
  <c r="CX145" i="5"/>
  <c r="CL145" i="5"/>
  <c r="CM145" i="5" s="1"/>
  <c r="CW145" i="5"/>
  <c r="AC145" i="5"/>
  <c r="AB145" i="5"/>
  <c r="L145" i="5" s="1"/>
  <c r="C120" i="6"/>
  <c r="BG144" i="5"/>
  <c r="H144" i="5" s="1"/>
  <c r="AX145" i="5"/>
  <c r="AW145" i="5" s="1"/>
  <c r="CU145" i="5"/>
  <c r="CZ144" i="5"/>
  <c r="BD144" i="5"/>
  <c r="BE145" i="5" s="1"/>
  <c r="BF144" i="5"/>
  <c r="D613" i="6"/>
  <c r="E613" i="6"/>
  <c r="F613" i="6"/>
  <c r="G613" i="6"/>
  <c r="H613" i="6"/>
  <c r="I613" i="6"/>
  <c r="B613" i="6"/>
  <c r="C613" i="6"/>
  <c r="A613" i="6"/>
  <c r="CG636" i="5"/>
  <c r="CF637" i="5"/>
  <c r="B639" i="5"/>
  <c r="CB580" i="5"/>
  <c r="CC579" i="5"/>
  <c r="AN144" i="5" l="1"/>
  <c r="AF144" i="5"/>
  <c r="BX145" i="5"/>
  <c r="BR673" i="5"/>
  <c r="CH145" i="5"/>
  <c r="CK145" i="5"/>
  <c r="CJ145" i="5" s="1"/>
  <c r="AZ668" i="5"/>
  <c r="BA669" i="5" s="1"/>
  <c r="BB668" i="5"/>
  <c r="X143" i="5"/>
  <c r="Y143" i="5" s="1"/>
  <c r="AD145" i="5"/>
  <c r="AE145" i="5" s="1"/>
  <c r="CP145" i="5"/>
  <c r="CQ145" i="5" s="1"/>
  <c r="R145" i="5" s="1"/>
  <c r="S145" i="5" s="1"/>
  <c r="DA145" i="5"/>
  <c r="DB145" i="5" s="1"/>
  <c r="I144" i="5"/>
  <c r="BN145" i="5"/>
  <c r="BO145" i="5" s="1"/>
  <c r="BP145" i="5" s="1"/>
  <c r="G145" i="5" s="1"/>
  <c r="CV145" i="5"/>
  <c r="CT145" i="5"/>
  <c r="T145" i="5"/>
  <c r="U145" i="5" s="1"/>
  <c r="W145" i="5"/>
  <c r="D614" i="6"/>
  <c r="E614" i="6"/>
  <c r="F614" i="6"/>
  <c r="G614" i="6"/>
  <c r="I614" i="6"/>
  <c r="B614" i="6"/>
  <c r="C614" i="6"/>
  <c r="H614" i="6"/>
  <c r="A614" i="6"/>
  <c r="B640" i="5"/>
  <c r="CG637" i="5"/>
  <c r="CF638" i="5"/>
  <c r="CC580" i="5"/>
  <c r="CB581" i="5"/>
  <c r="AP144" i="5" l="1"/>
  <c r="BR674" i="5"/>
  <c r="K145" i="5"/>
  <c r="AZ669" i="5"/>
  <c r="BA670" i="5" s="1"/>
  <c r="BB669" i="5"/>
  <c r="Z143" i="5"/>
  <c r="AA143" i="5" s="1"/>
  <c r="I118" i="6" s="1"/>
  <c r="H118" i="6"/>
  <c r="AH144" i="5"/>
  <c r="AT144" i="5"/>
  <c r="CN145" i="5"/>
  <c r="E145" i="5" s="1"/>
  <c r="CO145" i="5"/>
  <c r="F145" i="5" s="1"/>
  <c r="P144" i="5"/>
  <c r="AY144" i="5" s="1"/>
  <c r="M144" i="5"/>
  <c r="D615" i="6"/>
  <c r="E615" i="6"/>
  <c r="F615" i="6"/>
  <c r="G615" i="6"/>
  <c r="I615" i="6"/>
  <c r="B615" i="6"/>
  <c r="C615" i="6"/>
  <c r="H615" i="6"/>
  <c r="A615" i="6"/>
  <c r="CG638" i="5"/>
  <c r="CF639" i="5"/>
  <c r="B641" i="5"/>
  <c r="CC581" i="5"/>
  <c r="CB582" i="5"/>
  <c r="D120" i="6" l="1"/>
  <c r="BR675" i="5"/>
  <c r="AZ670" i="5"/>
  <c r="BA671" i="5" s="1"/>
  <c r="BB670" i="5"/>
  <c r="AO144" i="5"/>
  <c r="AR144" i="5" s="1"/>
  <c r="AG144" i="5"/>
  <c r="N144" i="5"/>
  <c r="AS144" i="5"/>
  <c r="AV144" i="5" s="1"/>
  <c r="BC145" i="5"/>
  <c r="E120" i="6"/>
  <c r="C146" i="5"/>
  <c r="BU146" i="5" s="1"/>
  <c r="F119" i="6"/>
  <c r="Q144" i="5"/>
  <c r="V144" i="5" s="1"/>
  <c r="D616" i="6"/>
  <c r="E616" i="6"/>
  <c r="F616" i="6"/>
  <c r="G616" i="6"/>
  <c r="I616" i="6"/>
  <c r="H616" i="6"/>
  <c r="B616" i="6"/>
  <c r="C616" i="6"/>
  <c r="A616" i="6"/>
  <c r="B642" i="5"/>
  <c r="CF640" i="5"/>
  <c r="CG639" i="5"/>
  <c r="CC582" i="5"/>
  <c r="CB583" i="5"/>
  <c r="BW145" i="5" l="1"/>
  <c r="BY145" i="5"/>
  <c r="J145" i="5" s="1"/>
  <c r="BV146" i="5"/>
  <c r="BT146" i="5"/>
  <c r="BS146" i="5"/>
  <c r="CI146" i="5"/>
  <c r="BR676" i="5"/>
  <c r="BH146" i="5"/>
  <c r="BI146" i="5" s="1"/>
  <c r="BJ146" i="5" s="1"/>
  <c r="AZ671" i="5"/>
  <c r="BA672" i="5" s="1"/>
  <c r="BB671" i="5"/>
  <c r="AJ144" i="5"/>
  <c r="G119" i="6"/>
  <c r="CL146" i="5"/>
  <c r="CM146" i="5" s="1"/>
  <c r="BK146" i="5"/>
  <c r="BL146" i="5" s="1"/>
  <c r="BM146" i="5" s="1"/>
  <c r="CY146" i="5"/>
  <c r="AK146" i="5"/>
  <c r="CS146" i="5"/>
  <c r="CW146" i="5"/>
  <c r="AB146" i="5"/>
  <c r="BN146" i="5" s="1"/>
  <c r="BO146" i="5" s="1"/>
  <c r="BP146" i="5" s="1"/>
  <c r="AC146" i="5"/>
  <c r="D146" i="5"/>
  <c r="CR146" i="5"/>
  <c r="C121" i="6"/>
  <c r="CX146" i="5"/>
  <c r="BG145" i="5"/>
  <c r="H145" i="5" s="1"/>
  <c r="AX146" i="5"/>
  <c r="AW146" i="5" s="1"/>
  <c r="CU146" i="5"/>
  <c r="BD145" i="5"/>
  <c r="BE146" i="5" s="1"/>
  <c r="CZ145" i="5"/>
  <c r="BF145" i="5"/>
  <c r="D617" i="6"/>
  <c r="E617" i="6"/>
  <c r="F617" i="6"/>
  <c r="G617" i="6"/>
  <c r="I617" i="6"/>
  <c r="B617" i="6"/>
  <c r="C617" i="6"/>
  <c r="H617" i="6"/>
  <c r="A617" i="6"/>
  <c r="CG640" i="5"/>
  <c r="CF641" i="5"/>
  <c r="B643" i="5"/>
  <c r="CB584" i="5"/>
  <c r="CC583" i="5"/>
  <c r="AF145" i="5" l="1"/>
  <c r="AN145" i="5"/>
  <c r="BX146" i="5"/>
  <c r="G146" i="5"/>
  <c r="BR677" i="5"/>
  <c r="CK146" i="5"/>
  <c r="CJ146" i="5" s="1"/>
  <c r="CH146" i="5"/>
  <c r="AZ672" i="5"/>
  <c r="BA673" i="5" s="1"/>
  <c r="BB672" i="5"/>
  <c r="X144" i="5"/>
  <c r="Y144" i="5" s="1"/>
  <c r="AD146" i="5"/>
  <c r="AE146" i="5" s="1"/>
  <c r="CP146" i="5"/>
  <c r="CQ146" i="5" s="1"/>
  <c r="R146" i="5" s="1"/>
  <c r="S146" i="5" s="1"/>
  <c r="L146" i="5"/>
  <c r="DA146" i="5"/>
  <c r="DB146" i="5" s="1"/>
  <c r="AM146" i="5"/>
  <c r="AL147" i="5" s="1"/>
  <c r="I145" i="5"/>
  <c r="AH145" i="5" s="1"/>
  <c r="W146" i="5"/>
  <c r="T146" i="5"/>
  <c r="U146" i="5" s="1"/>
  <c r="CV146" i="5"/>
  <c r="CT146" i="5"/>
  <c r="D618" i="6"/>
  <c r="E618" i="6"/>
  <c r="F618" i="6"/>
  <c r="G618" i="6"/>
  <c r="I618" i="6"/>
  <c r="B618" i="6"/>
  <c r="H618" i="6"/>
  <c r="C618" i="6"/>
  <c r="A618" i="6"/>
  <c r="B644" i="5"/>
  <c r="CG641" i="5"/>
  <c r="CF642" i="5"/>
  <c r="CC584" i="5"/>
  <c r="CB585" i="5"/>
  <c r="BR678" i="5" l="1"/>
  <c r="K146" i="5"/>
  <c r="AZ673" i="5"/>
  <c r="BA674" i="5" s="1"/>
  <c r="BB673" i="5"/>
  <c r="Z144" i="5"/>
  <c r="AA144" i="5" s="1"/>
  <c r="I119" i="6" s="1"/>
  <c r="H119" i="6"/>
  <c r="AT145" i="5"/>
  <c r="AP145" i="5"/>
  <c r="CO146" i="5"/>
  <c r="F146" i="5" s="1"/>
  <c r="CN146" i="5"/>
  <c r="E146" i="5" s="1"/>
  <c r="M145" i="5"/>
  <c r="AG145" i="5" s="1"/>
  <c r="AJ145" i="5" s="1"/>
  <c r="P145" i="5"/>
  <c r="AY145" i="5" s="1"/>
  <c r="D619" i="6"/>
  <c r="E619" i="6"/>
  <c r="F619" i="6"/>
  <c r="G619" i="6"/>
  <c r="I619" i="6"/>
  <c r="C619" i="6"/>
  <c r="H619" i="6"/>
  <c r="B619" i="6"/>
  <c r="A619" i="6"/>
  <c r="CF643" i="5"/>
  <c r="CG642" i="5"/>
  <c r="B645" i="5"/>
  <c r="CC585" i="5"/>
  <c r="CB586" i="5"/>
  <c r="BR679" i="5" l="1"/>
  <c r="AZ674" i="5"/>
  <c r="BA675" i="5" s="1"/>
  <c r="BB674" i="5"/>
  <c r="N145" i="5"/>
  <c r="AS145" i="5"/>
  <c r="AV145" i="5" s="1"/>
  <c r="AO145" i="5"/>
  <c r="AR145" i="5" s="1"/>
  <c r="Q145" i="5"/>
  <c r="V145" i="5" s="1"/>
  <c r="F120" i="6"/>
  <c r="BC146" i="5"/>
  <c r="D121" i="6"/>
  <c r="E121" i="6"/>
  <c r="C147" i="5"/>
  <c r="BU147" i="5" s="1"/>
  <c r="D620" i="6"/>
  <c r="E620" i="6"/>
  <c r="F620" i="6"/>
  <c r="G620" i="6"/>
  <c r="I620" i="6"/>
  <c r="B620" i="6"/>
  <c r="C620" i="6"/>
  <c r="H620" i="6"/>
  <c r="A620" i="6"/>
  <c r="B646" i="5"/>
  <c r="CG643" i="5"/>
  <c r="CF644" i="5"/>
  <c r="CC586" i="5"/>
  <c r="CB587" i="5"/>
  <c r="BY146" i="5" l="1"/>
  <c r="J146" i="5" s="1"/>
  <c r="BW146" i="5"/>
  <c r="BT147" i="5"/>
  <c r="BV147" i="5"/>
  <c r="BS147" i="5"/>
  <c r="CI147" i="5"/>
  <c r="BR680" i="5"/>
  <c r="BH147" i="5"/>
  <c r="BI147" i="5" s="1"/>
  <c r="BJ147" i="5" s="1"/>
  <c r="AZ675" i="5"/>
  <c r="BA676" i="5" s="1"/>
  <c r="BB675" i="5"/>
  <c r="X145" i="5"/>
  <c r="Y145" i="5" s="1"/>
  <c r="CR147" i="5"/>
  <c r="CS147" i="5"/>
  <c r="AC147" i="5"/>
  <c r="D147" i="5"/>
  <c r="AK147" i="5"/>
  <c r="CX147" i="5"/>
  <c r="CW147" i="5"/>
  <c r="BK147" i="5"/>
  <c r="BL147" i="5" s="1"/>
  <c r="BM147" i="5" s="1"/>
  <c r="C122" i="6"/>
  <c r="AB147" i="5"/>
  <c r="CP147" i="5" s="1"/>
  <c r="CQ147" i="5" s="1"/>
  <c r="R147" i="5" s="1"/>
  <c r="S147" i="5" s="1"/>
  <c r="CY147" i="5"/>
  <c r="CL147" i="5"/>
  <c r="CM147" i="5" s="1"/>
  <c r="BG146" i="5"/>
  <c r="H146" i="5" s="1"/>
  <c r="AX147" i="5"/>
  <c r="AW147" i="5" s="1"/>
  <c r="CU147" i="5"/>
  <c r="BF146" i="5"/>
  <c r="BD146" i="5"/>
  <c r="BE147" i="5" s="1"/>
  <c r="CZ146" i="5"/>
  <c r="G120" i="6"/>
  <c r="D621" i="6"/>
  <c r="E621" i="6"/>
  <c r="F621" i="6"/>
  <c r="G621" i="6"/>
  <c r="I621" i="6"/>
  <c r="C621" i="6"/>
  <c r="B621" i="6"/>
  <c r="H621" i="6"/>
  <c r="A621" i="6"/>
  <c r="CG644" i="5"/>
  <c r="CF645" i="5"/>
  <c r="B647" i="5"/>
  <c r="CB588" i="5"/>
  <c r="CC587" i="5"/>
  <c r="AN146" i="5" l="1"/>
  <c r="AF146" i="5"/>
  <c r="BX147" i="5"/>
  <c r="BR681" i="5"/>
  <c r="CH147" i="5"/>
  <c r="CK147" i="5"/>
  <c r="CJ147" i="5" s="1"/>
  <c r="AZ676" i="5"/>
  <c r="BA677" i="5" s="1"/>
  <c r="BB676" i="5"/>
  <c r="AD147" i="5"/>
  <c r="AE147" i="5" s="1"/>
  <c r="L147" i="5"/>
  <c r="DA147" i="5"/>
  <c r="DB147" i="5" s="1"/>
  <c r="K147" i="5" s="1"/>
  <c r="H120" i="6"/>
  <c r="Z145" i="5"/>
  <c r="BN147" i="5"/>
  <c r="BO147" i="5" s="1"/>
  <c r="BP147" i="5" s="1"/>
  <c r="G147" i="5" s="1"/>
  <c r="CT147" i="5"/>
  <c r="CV147" i="5"/>
  <c r="AM147" i="5"/>
  <c r="AL148" i="5" s="1"/>
  <c r="W147" i="5"/>
  <c r="T147" i="5"/>
  <c r="U147" i="5" s="1"/>
  <c r="I146" i="5"/>
  <c r="AP146" i="5" s="1"/>
  <c r="D622" i="6"/>
  <c r="E622" i="6"/>
  <c r="F622" i="6"/>
  <c r="G622" i="6"/>
  <c r="I622" i="6"/>
  <c r="B622" i="6"/>
  <c r="C622" i="6"/>
  <c r="H622" i="6"/>
  <c r="A622" i="6"/>
  <c r="B648" i="5"/>
  <c r="CG645" i="5"/>
  <c r="CF646" i="5"/>
  <c r="CC588" i="5"/>
  <c r="CB589" i="5"/>
  <c r="BR682" i="5" l="1"/>
  <c r="AZ677" i="5"/>
  <c r="BA678" i="5" s="1"/>
  <c r="BB677" i="5"/>
  <c r="AH146" i="5"/>
  <c r="AT146" i="5"/>
  <c r="CO147" i="5"/>
  <c r="F147" i="5" s="1"/>
  <c r="CN147" i="5"/>
  <c r="E147" i="5" s="1"/>
  <c r="P146" i="5"/>
  <c r="AY146" i="5" s="1"/>
  <c r="M146" i="5"/>
  <c r="AA145" i="5"/>
  <c r="I120" i="6" s="1"/>
  <c r="D623" i="6"/>
  <c r="E623" i="6"/>
  <c r="F623" i="6"/>
  <c r="G623" i="6"/>
  <c r="I623" i="6"/>
  <c r="B623" i="6"/>
  <c r="C623" i="6"/>
  <c r="H623" i="6"/>
  <c r="A623" i="6"/>
  <c r="CF647" i="5"/>
  <c r="CG646" i="5"/>
  <c r="B649" i="5"/>
  <c r="CC589" i="5"/>
  <c r="CB590" i="5"/>
  <c r="BW147" i="5" l="1"/>
  <c r="BY147" i="5"/>
  <c r="J147" i="5" s="1"/>
  <c r="AF147" i="5" s="1"/>
  <c r="BR683" i="5"/>
  <c r="AZ678" i="5"/>
  <c r="BA679" i="5" s="1"/>
  <c r="BB678" i="5"/>
  <c r="AO146" i="5"/>
  <c r="AR146" i="5" s="1"/>
  <c r="AG146" i="5"/>
  <c r="AJ146" i="5" s="1"/>
  <c r="N146" i="5"/>
  <c r="AS146" i="5"/>
  <c r="AV146" i="5" s="1"/>
  <c r="F121" i="6"/>
  <c r="Q146" i="5"/>
  <c r="V146" i="5" s="1"/>
  <c r="D122" i="6"/>
  <c r="BC147" i="5"/>
  <c r="C148" i="5"/>
  <c r="BU148" i="5" s="1"/>
  <c r="E122" i="6"/>
  <c r="D624" i="6"/>
  <c r="E624" i="6"/>
  <c r="F624" i="6"/>
  <c r="G624" i="6"/>
  <c r="I624" i="6"/>
  <c r="H624" i="6"/>
  <c r="B624" i="6"/>
  <c r="C624" i="6"/>
  <c r="A624" i="6"/>
  <c r="B650" i="5"/>
  <c r="CF648" i="5"/>
  <c r="CG647" i="5"/>
  <c r="CC590" i="5"/>
  <c r="CB591" i="5"/>
  <c r="AN147" i="5" l="1"/>
  <c r="BT148" i="5"/>
  <c r="BV148" i="5"/>
  <c r="BS148" i="5"/>
  <c r="CI148" i="5"/>
  <c r="BR684" i="5"/>
  <c r="BH148" i="5"/>
  <c r="BI148" i="5" s="1"/>
  <c r="BJ148" i="5" s="1"/>
  <c r="AZ679" i="5"/>
  <c r="BA680" i="5" s="1"/>
  <c r="BB679" i="5"/>
  <c r="X146" i="5"/>
  <c r="Y146" i="5" s="1"/>
  <c r="CY148" i="5"/>
  <c r="CR148" i="5"/>
  <c r="BK148" i="5"/>
  <c r="BL148" i="5" s="1"/>
  <c r="BM148" i="5" s="1"/>
  <c r="CL148" i="5"/>
  <c r="CM148" i="5" s="1"/>
  <c r="CX148" i="5"/>
  <c r="AK148" i="5"/>
  <c r="C123" i="6"/>
  <c r="CW148" i="5"/>
  <c r="AC148" i="5"/>
  <c r="AB148" i="5"/>
  <c r="L148" i="5" s="1"/>
  <c r="D148" i="5"/>
  <c r="CS148" i="5"/>
  <c r="BG147" i="5"/>
  <c r="H147" i="5" s="1"/>
  <c r="AX148" i="5"/>
  <c r="AW148" i="5" s="1"/>
  <c r="CU148" i="5"/>
  <c r="BX148" i="5" s="1"/>
  <c r="BD147" i="5"/>
  <c r="BE148" i="5" s="1"/>
  <c r="CZ147" i="5"/>
  <c r="BF147" i="5"/>
  <c r="G121" i="6"/>
  <c r="D625" i="6"/>
  <c r="E625" i="6"/>
  <c r="F625" i="6"/>
  <c r="G625" i="6"/>
  <c r="I625" i="6"/>
  <c r="B625" i="6"/>
  <c r="C625" i="6"/>
  <c r="H625" i="6"/>
  <c r="A625" i="6"/>
  <c r="CG648" i="5"/>
  <c r="CF649" i="5"/>
  <c r="B651" i="5"/>
  <c r="CB592" i="5"/>
  <c r="CC591" i="5"/>
  <c r="BR685" i="5" l="1"/>
  <c r="CH148" i="5"/>
  <c r="CK148" i="5"/>
  <c r="CJ148" i="5" s="1"/>
  <c r="AZ680" i="5"/>
  <c r="BA681" i="5" s="1"/>
  <c r="BB680" i="5"/>
  <c r="AD148" i="5"/>
  <c r="AE148" i="5" s="1"/>
  <c r="BN148" i="5"/>
  <c r="BO148" i="5" s="1"/>
  <c r="BP148" i="5" s="1"/>
  <c r="G148" i="5" s="1"/>
  <c r="DA148" i="5"/>
  <c r="DB148" i="5" s="1"/>
  <c r="K148" i="5" s="1"/>
  <c r="AM148" i="5"/>
  <c r="AL149" i="5" s="1"/>
  <c r="CP148" i="5"/>
  <c r="CQ148" i="5" s="1"/>
  <c r="R148" i="5" s="1"/>
  <c r="S148" i="5" s="1"/>
  <c r="I147" i="5"/>
  <c r="AH147" i="5" s="1"/>
  <c r="T148" i="5"/>
  <c r="U148" i="5" s="1"/>
  <c r="W148" i="5"/>
  <c r="CT148" i="5"/>
  <c r="CV148" i="5"/>
  <c r="H121" i="6"/>
  <c r="Z146" i="5"/>
  <c r="D626" i="6"/>
  <c r="G626" i="6"/>
  <c r="H626" i="6"/>
  <c r="I626" i="6"/>
  <c r="B626" i="6"/>
  <c r="E626" i="6"/>
  <c r="C626" i="6"/>
  <c r="F626" i="6"/>
  <c r="A626" i="6"/>
  <c r="B652" i="5"/>
  <c r="CG649" i="5"/>
  <c r="CF650" i="5"/>
  <c r="CC592" i="5"/>
  <c r="CB593" i="5"/>
  <c r="BR686" i="5" l="1"/>
  <c r="AZ681" i="5"/>
  <c r="BA682" i="5" s="1"/>
  <c r="BB681" i="5"/>
  <c r="AT147" i="5"/>
  <c r="AP147" i="5"/>
  <c r="CO148" i="5"/>
  <c r="F148" i="5" s="1"/>
  <c r="CN148" i="5"/>
  <c r="E148" i="5" s="1"/>
  <c r="P147" i="5"/>
  <c r="AY147" i="5" s="1"/>
  <c r="M147" i="5"/>
  <c r="AA146" i="5"/>
  <c r="I121" i="6" s="1"/>
  <c r="G627" i="6"/>
  <c r="H627" i="6"/>
  <c r="I627" i="6"/>
  <c r="B627" i="6"/>
  <c r="C627" i="6"/>
  <c r="E627" i="6"/>
  <c r="D627" i="6"/>
  <c r="F627" i="6"/>
  <c r="A627" i="6"/>
  <c r="CG650" i="5"/>
  <c r="CF651" i="5"/>
  <c r="B653" i="5"/>
  <c r="CC593" i="5"/>
  <c r="CB594" i="5"/>
  <c r="BR687" i="5" l="1"/>
  <c r="AZ682" i="5"/>
  <c r="BA683" i="5" s="1"/>
  <c r="BB682" i="5"/>
  <c r="AO147" i="5"/>
  <c r="AR147" i="5" s="1"/>
  <c r="AG147" i="5"/>
  <c r="Q147" i="5"/>
  <c r="V147" i="5" s="1"/>
  <c r="F122" i="6"/>
  <c r="BC148" i="5"/>
  <c r="D123" i="6"/>
  <c r="C149" i="5"/>
  <c r="BU149" i="5" s="1"/>
  <c r="E123" i="6"/>
  <c r="N147" i="5"/>
  <c r="AS147" i="5"/>
  <c r="AV147" i="5" s="1"/>
  <c r="G628" i="6"/>
  <c r="H628" i="6"/>
  <c r="I628" i="6"/>
  <c r="B628" i="6"/>
  <c r="C628" i="6"/>
  <c r="E628" i="6"/>
  <c r="D628" i="6"/>
  <c r="F628" i="6"/>
  <c r="A628" i="6"/>
  <c r="B654" i="5"/>
  <c r="CG651" i="5"/>
  <c r="CF652" i="5"/>
  <c r="CC594" i="5"/>
  <c r="CB595" i="5"/>
  <c r="BW148" i="5" l="1"/>
  <c r="BY148" i="5"/>
  <c r="J148" i="5" s="1"/>
  <c r="BT149" i="5"/>
  <c r="BV149" i="5"/>
  <c r="BS149" i="5"/>
  <c r="CI149" i="5"/>
  <c r="BR688" i="5"/>
  <c r="BH149" i="5"/>
  <c r="BI149" i="5" s="1"/>
  <c r="BJ149" i="5" s="1"/>
  <c r="AZ683" i="5"/>
  <c r="BA684" i="5" s="1"/>
  <c r="BB683" i="5"/>
  <c r="AJ147" i="5"/>
  <c r="BK149" i="5"/>
  <c r="BL149" i="5" s="1"/>
  <c r="BM149" i="5" s="1"/>
  <c r="C124" i="6"/>
  <c r="CL149" i="5"/>
  <c r="CM149" i="5" s="1"/>
  <c r="CX149" i="5"/>
  <c r="D149" i="5"/>
  <c r="AB149" i="5"/>
  <c r="L149" i="5" s="1"/>
  <c r="CR149" i="5"/>
  <c r="AC149" i="5"/>
  <c r="AK149" i="5"/>
  <c r="CS149" i="5"/>
  <c r="CY149" i="5"/>
  <c r="CW149" i="5"/>
  <c r="BG148" i="5"/>
  <c r="H148" i="5" s="1"/>
  <c r="AX149" i="5"/>
  <c r="AW149" i="5" s="1"/>
  <c r="CU149" i="5"/>
  <c r="BF148" i="5"/>
  <c r="BD148" i="5"/>
  <c r="BE149" i="5" s="1"/>
  <c r="CZ148" i="5"/>
  <c r="G122" i="6"/>
  <c r="G629" i="6"/>
  <c r="H629" i="6"/>
  <c r="I629" i="6"/>
  <c r="B629" i="6"/>
  <c r="C629" i="6"/>
  <c r="E629" i="6"/>
  <c r="D629" i="6"/>
  <c r="F629" i="6"/>
  <c r="A629" i="6"/>
  <c r="CG652" i="5"/>
  <c r="CF653" i="5"/>
  <c r="B655" i="5"/>
  <c r="CB596" i="5"/>
  <c r="CC595" i="5"/>
  <c r="AN148" i="5" l="1"/>
  <c r="AF148" i="5"/>
  <c r="BX149" i="5"/>
  <c r="BR689" i="5"/>
  <c r="AD149" i="5"/>
  <c r="AE149" i="5" s="1"/>
  <c r="CH149" i="5"/>
  <c r="CK149" i="5"/>
  <c r="CJ149" i="5" s="1"/>
  <c r="AZ684" i="5"/>
  <c r="BA685" i="5" s="1"/>
  <c r="BB684" i="5"/>
  <c r="X147" i="5"/>
  <c r="Y147" i="5" s="1"/>
  <c r="DA149" i="5"/>
  <c r="DB149" i="5" s="1"/>
  <c r="K149" i="5" s="1"/>
  <c r="CT149" i="5"/>
  <c r="CV149" i="5"/>
  <c r="BN149" i="5"/>
  <c r="BO149" i="5" s="1"/>
  <c r="BP149" i="5" s="1"/>
  <c r="G149" i="5" s="1"/>
  <c r="I148" i="5"/>
  <c r="AH148" i="5" s="1"/>
  <c r="T149" i="5"/>
  <c r="U149" i="5" s="1"/>
  <c r="W149" i="5"/>
  <c r="CP149" i="5"/>
  <c r="CQ149" i="5" s="1"/>
  <c r="R149" i="5" s="1"/>
  <c r="S149" i="5" s="1"/>
  <c r="AM149" i="5"/>
  <c r="AL150" i="5" s="1"/>
  <c r="G630" i="6"/>
  <c r="H630" i="6"/>
  <c r="I630" i="6"/>
  <c r="B630" i="6"/>
  <c r="C630" i="6"/>
  <c r="E630" i="6"/>
  <c r="D630" i="6"/>
  <c r="F630" i="6"/>
  <c r="A630" i="6"/>
  <c r="B656" i="5"/>
  <c r="CG653" i="5"/>
  <c r="CF654" i="5"/>
  <c r="CC596" i="5"/>
  <c r="CB597" i="5"/>
  <c r="BR690" i="5" l="1"/>
  <c r="AZ685" i="5"/>
  <c r="BA686" i="5" s="1"/>
  <c r="BB685" i="5"/>
  <c r="Z147" i="5"/>
  <c r="AA147" i="5" s="1"/>
  <c r="I122" i="6" s="1"/>
  <c r="H122" i="6"/>
  <c r="M148" i="5"/>
  <c r="AG148" i="5" s="1"/>
  <c r="AJ148" i="5" s="1"/>
  <c r="P148" i="5"/>
  <c r="AY148" i="5" s="1"/>
  <c r="AT148" i="5"/>
  <c r="AP148" i="5"/>
  <c r="CO149" i="5"/>
  <c r="F149" i="5" s="1"/>
  <c r="CN149" i="5"/>
  <c r="E149" i="5" s="1"/>
  <c r="G631" i="6"/>
  <c r="H631" i="6"/>
  <c r="I631" i="6"/>
  <c r="B631" i="6"/>
  <c r="C631" i="6"/>
  <c r="E631" i="6"/>
  <c r="D631" i="6"/>
  <c r="F631" i="6"/>
  <c r="A631" i="6"/>
  <c r="CG654" i="5"/>
  <c r="CF655" i="5"/>
  <c r="B657" i="5"/>
  <c r="CC597" i="5"/>
  <c r="CB598" i="5"/>
  <c r="BW149" i="5" l="1"/>
  <c r="BY149" i="5"/>
  <c r="J149" i="5" s="1"/>
  <c r="BR691" i="5"/>
  <c r="AZ686" i="5"/>
  <c r="BA687" i="5" s="1"/>
  <c r="BB686" i="5"/>
  <c r="AS148" i="5"/>
  <c r="AV148" i="5" s="1"/>
  <c r="AO148" i="5"/>
  <c r="AR148" i="5" s="1"/>
  <c r="N148" i="5"/>
  <c r="F123" i="6"/>
  <c r="Q148" i="5"/>
  <c r="V148" i="5" s="1"/>
  <c r="G123" i="6" s="1"/>
  <c r="D124" i="6"/>
  <c r="BC149" i="5"/>
  <c r="C150" i="5"/>
  <c r="BU150" i="5" s="1"/>
  <c r="E124" i="6"/>
  <c r="G632" i="6"/>
  <c r="H632" i="6"/>
  <c r="I632" i="6"/>
  <c r="B632" i="6"/>
  <c r="C632" i="6"/>
  <c r="E632" i="6"/>
  <c r="D632" i="6"/>
  <c r="F632" i="6"/>
  <c r="A632" i="6"/>
  <c r="B658" i="5"/>
  <c r="CF656" i="5"/>
  <c r="CG655" i="5"/>
  <c r="CC598" i="5"/>
  <c r="CB599" i="5"/>
  <c r="AF149" i="5" l="1"/>
  <c r="AN149" i="5"/>
  <c r="BV150" i="5"/>
  <c r="BT150" i="5"/>
  <c r="BS150" i="5"/>
  <c r="CI150" i="5"/>
  <c r="BR692" i="5"/>
  <c r="BH150" i="5"/>
  <c r="BI150" i="5" s="1"/>
  <c r="BJ150" i="5" s="1"/>
  <c r="AZ687" i="5"/>
  <c r="BA688" i="5" s="1"/>
  <c r="AZ688" i="5" s="1"/>
  <c r="BA689" i="5" s="1"/>
  <c r="BB687" i="5"/>
  <c r="X148" i="5"/>
  <c r="Y148" i="5" s="1"/>
  <c r="CX150" i="5"/>
  <c r="D150" i="5"/>
  <c r="CL150" i="5"/>
  <c r="CM150" i="5" s="1"/>
  <c r="AB150" i="5"/>
  <c r="L150" i="5" s="1"/>
  <c r="CW150" i="5"/>
  <c r="CS150" i="5"/>
  <c r="AK150" i="5"/>
  <c r="AM150" i="5" s="1"/>
  <c r="AL151" i="5" s="1"/>
  <c r="CR150" i="5"/>
  <c r="CY150" i="5"/>
  <c r="BK150" i="5"/>
  <c r="BL150" i="5" s="1"/>
  <c r="BM150" i="5" s="1"/>
  <c r="C125" i="6"/>
  <c r="AC150" i="5"/>
  <c r="BG149" i="5"/>
  <c r="H149" i="5" s="1"/>
  <c r="AX150" i="5"/>
  <c r="AW150" i="5" s="1"/>
  <c r="CU150" i="5"/>
  <c r="BX150" i="5" s="1"/>
  <c r="BF149" i="5"/>
  <c r="BD149" i="5"/>
  <c r="BE150" i="5" s="1"/>
  <c r="CZ149" i="5"/>
  <c r="G633" i="6"/>
  <c r="H633" i="6"/>
  <c r="I633" i="6"/>
  <c r="B633" i="6"/>
  <c r="C633" i="6"/>
  <c r="E633" i="6"/>
  <c r="D633" i="6"/>
  <c r="F633" i="6"/>
  <c r="A633" i="6"/>
  <c r="B659" i="5"/>
  <c r="CG656" i="5"/>
  <c r="CF657" i="5"/>
  <c r="CB600" i="5"/>
  <c r="CC599" i="5"/>
  <c r="BR693" i="5" l="1"/>
  <c r="AD150" i="5"/>
  <c r="AE150" i="5" s="1"/>
  <c r="CH150" i="5"/>
  <c r="CK150" i="5"/>
  <c r="CJ150" i="5" s="1"/>
  <c r="AZ689" i="5"/>
  <c r="BA690" i="5" s="1"/>
  <c r="BB689" i="5"/>
  <c r="BN150" i="5"/>
  <c r="BO150" i="5" s="1"/>
  <c r="BP150" i="5" s="1"/>
  <c r="G150" i="5" s="1"/>
  <c r="DA150" i="5"/>
  <c r="DB150" i="5" s="1"/>
  <c r="K150" i="5" s="1"/>
  <c r="CP150" i="5"/>
  <c r="CQ150" i="5" s="1"/>
  <c r="R150" i="5" s="1"/>
  <c r="S150" i="5" s="1"/>
  <c r="H123" i="6"/>
  <c r="Z148" i="5"/>
  <c r="AA148" i="5" s="1"/>
  <c r="I123" i="6" s="1"/>
  <c r="I149" i="5"/>
  <c r="AP149" i="5" s="1"/>
  <c r="T150" i="5"/>
  <c r="U150" i="5" s="1"/>
  <c r="W150" i="5"/>
  <c r="CT150" i="5"/>
  <c r="CV150" i="5"/>
  <c r="G634" i="6"/>
  <c r="H634" i="6"/>
  <c r="I634" i="6"/>
  <c r="B634" i="6"/>
  <c r="C634" i="6"/>
  <c r="E634" i="6"/>
  <c r="D634" i="6"/>
  <c r="F634" i="6"/>
  <c r="A634" i="6"/>
  <c r="CF658" i="5"/>
  <c r="CG657" i="5"/>
  <c r="B660" i="5"/>
  <c r="CC600" i="5"/>
  <c r="CB601" i="5"/>
  <c r="BR694" i="5" l="1"/>
  <c r="AZ690" i="5"/>
  <c r="BA691" i="5" s="1"/>
  <c r="BB690" i="5"/>
  <c r="AT149" i="5"/>
  <c r="AH149" i="5"/>
  <c r="CO150" i="5"/>
  <c r="F150" i="5" s="1"/>
  <c r="CN150" i="5"/>
  <c r="E150" i="5" s="1"/>
  <c r="P149" i="5"/>
  <c r="AY149" i="5" s="1"/>
  <c r="M149" i="5"/>
  <c r="AG149" i="5" s="1"/>
  <c r="G635" i="6"/>
  <c r="H635" i="6"/>
  <c r="I635" i="6"/>
  <c r="B635" i="6"/>
  <c r="C635" i="6"/>
  <c r="E635" i="6"/>
  <c r="F635" i="6"/>
  <c r="D635" i="6"/>
  <c r="A635" i="6"/>
  <c r="B661" i="5"/>
  <c r="CG658" i="5"/>
  <c r="CF659" i="5"/>
  <c r="CC601" i="5"/>
  <c r="CB602" i="5"/>
  <c r="BW150" i="5" l="1"/>
  <c r="BY150" i="5"/>
  <c r="J150" i="5" s="1"/>
  <c r="AN150" i="5" s="1"/>
  <c r="BR695" i="5"/>
  <c r="AJ149" i="5"/>
  <c r="AZ691" i="5"/>
  <c r="BA692" i="5" s="1"/>
  <c r="BB691" i="5"/>
  <c r="AO149" i="5"/>
  <c r="N149" i="5"/>
  <c r="AS149" i="5"/>
  <c r="AV149" i="5" s="1"/>
  <c r="F124" i="6"/>
  <c r="Q149" i="5"/>
  <c r="V149" i="5" s="1"/>
  <c r="D125" i="6"/>
  <c r="BC150" i="5"/>
  <c r="C151" i="5"/>
  <c r="BU151" i="5" s="1"/>
  <c r="E125" i="6"/>
  <c r="G636" i="6"/>
  <c r="H636" i="6"/>
  <c r="I636" i="6"/>
  <c r="B636" i="6"/>
  <c r="C636" i="6"/>
  <c r="E636" i="6"/>
  <c r="D636" i="6"/>
  <c r="F636" i="6"/>
  <c r="A636" i="6"/>
  <c r="CG659" i="5"/>
  <c r="CF660" i="5"/>
  <c r="B662" i="5"/>
  <c r="CC602" i="5"/>
  <c r="CB603" i="5"/>
  <c r="CB604" i="5" s="1"/>
  <c r="AF150" i="5" l="1"/>
  <c r="BV151" i="5"/>
  <c r="BT151" i="5"/>
  <c r="BS151" i="5"/>
  <c r="CI151" i="5"/>
  <c r="BR696" i="5"/>
  <c r="BH151" i="5"/>
  <c r="BI151" i="5" s="1"/>
  <c r="BJ151" i="5" s="1"/>
  <c r="AZ692" i="5"/>
  <c r="BA693" i="5" s="1"/>
  <c r="BB692" i="5"/>
  <c r="G124" i="6"/>
  <c r="CZ150" i="5"/>
  <c r="BF150" i="5"/>
  <c r="BD150" i="5"/>
  <c r="BE151" i="5" s="1"/>
  <c r="BK151" i="5"/>
  <c r="BL151" i="5" s="1"/>
  <c r="BM151" i="5" s="1"/>
  <c r="CY151" i="5"/>
  <c r="D151" i="5"/>
  <c r="CS151" i="5"/>
  <c r="AB151" i="5"/>
  <c r="L151" i="5" s="1"/>
  <c r="CL151" i="5"/>
  <c r="CM151" i="5" s="1"/>
  <c r="CW151" i="5"/>
  <c r="AK151" i="5"/>
  <c r="CR151" i="5"/>
  <c r="C126" i="6"/>
  <c r="AC151" i="5"/>
  <c r="CX151" i="5"/>
  <c r="BG150" i="5"/>
  <c r="H150" i="5" s="1"/>
  <c r="AX151" i="5"/>
  <c r="AW151" i="5" s="1"/>
  <c r="CU151" i="5"/>
  <c r="BX151" i="5" s="1"/>
  <c r="AR149" i="5"/>
  <c r="G637" i="6"/>
  <c r="H637" i="6"/>
  <c r="I637" i="6"/>
  <c r="B637" i="6"/>
  <c r="C637" i="6"/>
  <c r="E637" i="6"/>
  <c r="D637" i="6"/>
  <c r="F637" i="6"/>
  <c r="A637" i="6"/>
  <c r="B663" i="5"/>
  <c r="CF661" i="5"/>
  <c r="CG660" i="5"/>
  <c r="CC604" i="5"/>
  <c r="CB605" i="5"/>
  <c r="CC603" i="5"/>
  <c r="BR697" i="5" l="1"/>
  <c r="AD151" i="5"/>
  <c r="AE151" i="5" s="1"/>
  <c r="CK151" i="5"/>
  <c r="CJ151" i="5" s="1"/>
  <c r="CH151" i="5"/>
  <c r="AZ693" i="5"/>
  <c r="BA694" i="5" s="1"/>
  <c r="BB693" i="5"/>
  <c r="X149" i="5"/>
  <c r="Y149" i="5" s="1"/>
  <c r="CP151" i="5"/>
  <c r="CQ151" i="5" s="1"/>
  <c r="R151" i="5" s="1"/>
  <c r="S151" i="5" s="1"/>
  <c r="BN151" i="5"/>
  <c r="BO151" i="5" s="1"/>
  <c r="BP151" i="5" s="1"/>
  <c r="G151" i="5" s="1"/>
  <c r="DA151" i="5"/>
  <c r="DB151" i="5" s="1"/>
  <c r="K151" i="5" s="1"/>
  <c r="AM151" i="5"/>
  <c r="AL152" i="5" s="1"/>
  <c r="CT151" i="5"/>
  <c r="CV151" i="5"/>
  <c r="I150" i="5"/>
  <c r="AP150" i="5" s="1"/>
  <c r="T151" i="5"/>
  <c r="U151" i="5" s="1"/>
  <c r="W151" i="5"/>
  <c r="G638" i="6"/>
  <c r="H638" i="6"/>
  <c r="I638" i="6"/>
  <c r="B638" i="6"/>
  <c r="C638" i="6"/>
  <c r="E638" i="6"/>
  <c r="D638" i="6"/>
  <c r="F638" i="6"/>
  <c r="A638" i="6"/>
  <c r="CG661" i="5"/>
  <c r="CF662" i="5"/>
  <c r="B664" i="5"/>
  <c r="CC605" i="5"/>
  <c r="CB606" i="5"/>
  <c r="BR698" i="5" l="1"/>
  <c r="AZ694" i="5"/>
  <c r="BA695" i="5" s="1"/>
  <c r="BB694" i="5"/>
  <c r="Z149" i="5"/>
  <c r="AA149" i="5" s="1"/>
  <c r="I124" i="6" s="1"/>
  <c r="H124" i="6"/>
  <c r="AH150" i="5"/>
  <c r="AT150" i="5"/>
  <c r="M150" i="5"/>
  <c r="P150" i="5"/>
  <c r="AY150" i="5" s="1"/>
  <c r="CO151" i="5"/>
  <c r="F151" i="5" s="1"/>
  <c r="CN151" i="5"/>
  <c r="E151" i="5" s="1"/>
  <c r="G639" i="6"/>
  <c r="H639" i="6"/>
  <c r="I639" i="6"/>
  <c r="B639" i="6"/>
  <c r="C639" i="6"/>
  <c r="E639" i="6"/>
  <c r="F639" i="6"/>
  <c r="D639" i="6"/>
  <c r="A639" i="6"/>
  <c r="B665" i="5"/>
  <c r="CF663" i="5"/>
  <c r="CG662" i="5"/>
  <c r="CC606" i="5"/>
  <c r="CB607" i="5"/>
  <c r="BY151" i="5" l="1"/>
  <c r="J151" i="5" s="1"/>
  <c r="BW151" i="5"/>
  <c r="BR699" i="5"/>
  <c r="AZ695" i="5"/>
  <c r="BA696" i="5" s="1"/>
  <c r="BB695" i="5"/>
  <c r="AS150" i="5"/>
  <c r="AV150" i="5" s="1"/>
  <c r="AO150" i="5"/>
  <c r="AR150" i="5" s="1"/>
  <c r="BC151" i="5"/>
  <c r="D126" i="6"/>
  <c r="E126" i="6"/>
  <c r="C152" i="5"/>
  <c r="BU152" i="5" s="1"/>
  <c r="Q150" i="5"/>
  <c r="V150" i="5" s="1"/>
  <c r="F125" i="6"/>
  <c r="N150" i="5"/>
  <c r="AG150" i="5"/>
  <c r="AJ150" i="5" s="1"/>
  <c r="G640" i="6"/>
  <c r="H640" i="6"/>
  <c r="I640" i="6"/>
  <c r="B640" i="6"/>
  <c r="C640" i="6"/>
  <c r="E640" i="6"/>
  <c r="D640" i="6"/>
  <c r="F640" i="6"/>
  <c r="A640" i="6"/>
  <c r="B666" i="5"/>
  <c r="CG663" i="5"/>
  <c r="CF664" i="5"/>
  <c r="CC607" i="5"/>
  <c r="CB608" i="5"/>
  <c r="AN151" i="5" l="1"/>
  <c r="AF151" i="5"/>
  <c r="BT152" i="5"/>
  <c r="BV152" i="5"/>
  <c r="BS152" i="5"/>
  <c r="CI152" i="5"/>
  <c r="BR700" i="5"/>
  <c r="BH152" i="5"/>
  <c r="BI152" i="5" s="1"/>
  <c r="BJ152" i="5" s="1"/>
  <c r="AZ696" i="5"/>
  <c r="BA697" i="5" s="1"/>
  <c r="BB696" i="5"/>
  <c r="X150" i="5"/>
  <c r="Y150" i="5" s="1"/>
  <c r="G125" i="6"/>
  <c r="BK152" i="5"/>
  <c r="BL152" i="5" s="1"/>
  <c r="BM152" i="5" s="1"/>
  <c r="D152" i="5"/>
  <c r="AB152" i="5"/>
  <c r="CP152" i="5" s="1"/>
  <c r="CQ152" i="5" s="1"/>
  <c r="R152" i="5" s="1"/>
  <c r="S152" i="5" s="1"/>
  <c r="C127" i="6"/>
  <c r="CR152" i="5"/>
  <c r="CW152" i="5"/>
  <c r="CX152" i="5"/>
  <c r="AC152" i="5"/>
  <c r="CL152" i="5"/>
  <c r="CM152" i="5" s="1"/>
  <c r="CS152" i="5"/>
  <c r="AK152" i="5"/>
  <c r="CY152" i="5"/>
  <c r="BG151" i="5"/>
  <c r="H151" i="5" s="1"/>
  <c r="AX152" i="5"/>
  <c r="AW152" i="5" s="1"/>
  <c r="CU152" i="5"/>
  <c r="BX152" i="5" s="1"/>
  <c r="BF151" i="5"/>
  <c r="CZ151" i="5"/>
  <c r="BD151" i="5"/>
  <c r="BE152" i="5" s="1"/>
  <c r="G641" i="6"/>
  <c r="H641" i="6"/>
  <c r="I641" i="6"/>
  <c r="B641" i="6"/>
  <c r="C641" i="6"/>
  <c r="E641" i="6"/>
  <c r="D641" i="6"/>
  <c r="F641" i="6"/>
  <c r="A641" i="6"/>
  <c r="CG664" i="5"/>
  <c r="CF665" i="5"/>
  <c r="B667" i="5"/>
  <c r="CC608" i="5"/>
  <c r="CB609" i="5"/>
  <c r="BR701" i="5" l="1"/>
  <c r="CH152" i="5"/>
  <c r="CK152" i="5"/>
  <c r="CJ152" i="5" s="1"/>
  <c r="AZ697" i="5"/>
  <c r="BA698" i="5" s="1"/>
  <c r="BB697" i="5"/>
  <c r="DA152" i="5"/>
  <c r="DB152" i="5" s="1"/>
  <c r="L152" i="5"/>
  <c r="I151" i="5"/>
  <c r="AP151" i="5" s="1"/>
  <c r="AD152" i="5"/>
  <c r="BN152" i="5"/>
  <c r="BO152" i="5" s="1"/>
  <c r="BP152" i="5" s="1"/>
  <c r="G152" i="5" s="1"/>
  <c r="W152" i="5"/>
  <c r="T152" i="5"/>
  <c r="U152" i="5" s="1"/>
  <c r="CV152" i="5"/>
  <c r="CT152" i="5"/>
  <c r="AM152" i="5"/>
  <c r="AL153" i="5" s="1"/>
  <c r="H125" i="6"/>
  <c r="Z150" i="5"/>
  <c r="G642" i="6"/>
  <c r="H642" i="6"/>
  <c r="I642" i="6"/>
  <c r="B642" i="6"/>
  <c r="C642" i="6"/>
  <c r="E642" i="6"/>
  <c r="D642" i="6"/>
  <c r="F642" i="6"/>
  <c r="A642" i="6"/>
  <c r="B668" i="5"/>
  <c r="CG665" i="5"/>
  <c r="CF666" i="5"/>
  <c r="CC609" i="5"/>
  <c r="CB610" i="5"/>
  <c r="BR702" i="5" l="1"/>
  <c r="K152" i="5"/>
  <c r="AZ698" i="5"/>
  <c r="BA699" i="5" s="1"/>
  <c r="BB698" i="5"/>
  <c r="AT151" i="5"/>
  <c r="AH151" i="5"/>
  <c r="AE152" i="5"/>
  <c r="CO152" i="5"/>
  <c r="F152" i="5" s="1"/>
  <c r="CN152" i="5"/>
  <c r="E152" i="5" s="1"/>
  <c r="AA150" i="5"/>
  <c r="I125" i="6" s="1"/>
  <c r="M151" i="5"/>
  <c r="P151" i="5"/>
  <c r="AY151" i="5" s="1"/>
  <c r="G643" i="6"/>
  <c r="H643" i="6"/>
  <c r="I643" i="6"/>
  <c r="B643" i="6"/>
  <c r="C643" i="6"/>
  <c r="E643" i="6"/>
  <c r="D643" i="6"/>
  <c r="F643" i="6"/>
  <c r="A643" i="6"/>
  <c r="CG666" i="5"/>
  <c r="CF667" i="5"/>
  <c r="B669" i="5"/>
  <c r="CC610" i="5"/>
  <c r="CB611" i="5"/>
  <c r="BW152" i="5" l="1"/>
  <c r="BY152" i="5"/>
  <c r="J152" i="5" s="1"/>
  <c r="BR703" i="5"/>
  <c r="AZ699" i="5"/>
  <c r="BA700" i="5" s="1"/>
  <c r="BB699" i="5"/>
  <c r="AS151" i="5"/>
  <c r="AV151" i="5" s="1"/>
  <c r="AO151" i="5"/>
  <c r="AR151" i="5" s="1"/>
  <c r="E127" i="6"/>
  <c r="C153" i="5"/>
  <c r="BU153" i="5" s="1"/>
  <c r="D127" i="6"/>
  <c r="BC152" i="5"/>
  <c r="AG151" i="5"/>
  <c r="N151" i="5"/>
  <c r="Q151" i="5"/>
  <c r="V151" i="5" s="1"/>
  <c r="F126" i="6"/>
  <c r="G644" i="6"/>
  <c r="H644" i="6"/>
  <c r="I644" i="6"/>
  <c r="B644" i="6"/>
  <c r="C644" i="6"/>
  <c r="E644" i="6"/>
  <c r="D644" i="6"/>
  <c r="F644" i="6"/>
  <c r="A644" i="6"/>
  <c r="B670" i="5"/>
  <c r="CF668" i="5"/>
  <c r="CG667" i="5"/>
  <c r="CC611" i="5"/>
  <c r="CB612" i="5"/>
  <c r="AF152" i="5" l="1"/>
  <c r="AN152" i="5"/>
  <c r="BV153" i="5"/>
  <c r="BT153" i="5"/>
  <c r="BS153" i="5"/>
  <c r="CI153" i="5"/>
  <c r="BR704" i="5"/>
  <c r="BH153" i="5"/>
  <c r="BI153" i="5" s="1"/>
  <c r="BJ153" i="5" s="1"/>
  <c r="AZ700" i="5"/>
  <c r="BA701" i="5" s="1"/>
  <c r="BB700" i="5"/>
  <c r="G126" i="6"/>
  <c r="AJ151" i="5"/>
  <c r="BD152" i="5"/>
  <c r="BE153" i="5" s="1"/>
  <c r="CZ152" i="5"/>
  <c r="BF152" i="5"/>
  <c r="AK153" i="5"/>
  <c r="CL153" i="5"/>
  <c r="CM153" i="5" s="1"/>
  <c r="CY153" i="5"/>
  <c r="CW153" i="5"/>
  <c r="BK153" i="5"/>
  <c r="BL153" i="5" s="1"/>
  <c r="BM153" i="5" s="1"/>
  <c r="AB153" i="5"/>
  <c r="CP153" i="5" s="1"/>
  <c r="CQ153" i="5" s="1"/>
  <c r="R153" i="5" s="1"/>
  <c r="S153" i="5" s="1"/>
  <c r="CR153" i="5"/>
  <c r="AC153" i="5"/>
  <c r="AD153" i="5" s="1"/>
  <c r="D153" i="5"/>
  <c r="CS153" i="5"/>
  <c r="CX153" i="5"/>
  <c r="C128" i="6"/>
  <c r="BG152" i="5"/>
  <c r="H152" i="5" s="1"/>
  <c r="AX153" i="5"/>
  <c r="AW153" i="5" s="1"/>
  <c r="CU153" i="5"/>
  <c r="BX153" i="5" s="1"/>
  <c r="G645" i="6"/>
  <c r="H645" i="6"/>
  <c r="I645" i="6"/>
  <c r="B645" i="6"/>
  <c r="C645" i="6"/>
  <c r="E645" i="6"/>
  <c r="D645" i="6"/>
  <c r="F645" i="6"/>
  <c r="A645" i="6"/>
  <c r="CG668" i="5"/>
  <c r="CF669" i="5"/>
  <c r="B671" i="5"/>
  <c r="CC612" i="5"/>
  <c r="CB613" i="5"/>
  <c r="BR705" i="5" l="1"/>
  <c r="CH153" i="5"/>
  <c r="CK153" i="5"/>
  <c r="CJ153" i="5" s="1"/>
  <c r="AZ701" i="5"/>
  <c r="BA702" i="5" s="1"/>
  <c r="BB701" i="5"/>
  <c r="X151" i="5"/>
  <c r="Y151" i="5" s="1"/>
  <c r="DA153" i="5"/>
  <c r="DB153" i="5" s="1"/>
  <c r="K153" i="5" s="1"/>
  <c r="BN153" i="5"/>
  <c r="BO153" i="5" s="1"/>
  <c r="BP153" i="5" s="1"/>
  <c r="G153" i="5" s="1"/>
  <c r="AM153" i="5"/>
  <c r="AL154" i="5" s="1"/>
  <c r="I152" i="5"/>
  <c r="AH152" i="5" s="1"/>
  <c r="CT153" i="5"/>
  <c r="CV153" i="5"/>
  <c r="W153" i="5"/>
  <c r="T153" i="5"/>
  <c r="U153" i="5" s="1"/>
  <c r="L153" i="5"/>
  <c r="AE153" i="5"/>
  <c r="G646" i="6"/>
  <c r="H646" i="6"/>
  <c r="I646" i="6"/>
  <c r="B646" i="6"/>
  <c r="C646" i="6"/>
  <c r="E646" i="6"/>
  <c r="D646" i="6"/>
  <c r="F646" i="6"/>
  <c r="A646" i="6"/>
  <c r="B672" i="5"/>
  <c r="CG669" i="5"/>
  <c r="CF670" i="5"/>
  <c r="CC613" i="5"/>
  <c r="CB614" i="5"/>
  <c r="BR706" i="5" l="1"/>
  <c r="AZ702" i="5"/>
  <c r="BA703" i="5" s="1"/>
  <c r="BB702" i="5"/>
  <c r="H126" i="6"/>
  <c r="Z151" i="5"/>
  <c r="AA151" i="5" s="1"/>
  <c r="I126" i="6" s="1"/>
  <c r="AT152" i="5"/>
  <c r="AP152" i="5"/>
  <c r="P152" i="5"/>
  <c r="AY152" i="5" s="1"/>
  <c r="M152" i="5"/>
  <c r="AG152" i="5" s="1"/>
  <c r="AJ152" i="5" s="1"/>
  <c r="CN153" i="5"/>
  <c r="E153" i="5" s="1"/>
  <c r="CO153" i="5"/>
  <c r="F153" i="5" s="1"/>
  <c r="G647" i="6"/>
  <c r="H647" i="6"/>
  <c r="I647" i="6"/>
  <c r="B647" i="6"/>
  <c r="C647" i="6"/>
  <c r="E647" i="6"/>
  <c r="D647" i="6"/>
  <c r="F647" i="6"/>
  <c r="A647" i="6"/>
  <c r="CG670" i="5"/>
  <c r="CF671" i="5"/>
  <c r="B673" i="5"/>
  <c r="CC614" i="5"/>
  <c r="CB615" i="5"/>
  <c r="BR707" i="5" l="1"/>
  <c r="AZ703" i="5"/>
  <c r="BA704" i="5" s="1"/>
  <c r="BB703" i="5"/>
  <c r="N152" i="5"/>
  <c r="AS152" i="5"/>
  <c r="AV152" i="5" s="1"/>
  <c r="AO152" i="5"/>
  <c r="D128" i="6"/>
  <c r="BC153" i="5"/>
  <c r="C154" i="5"/>
  <c r="BU154" i="5" s="1"/>
  <c r="E128" i="6"/>
  <c r="F127" i="6"/>
  <c r="Q152" i="5"/>
  <c r="V152" i="5" s="1"/>
  <c r="G648" i="6"/>
  <c r="H648" i="6"/>
  <c r="I648" i="6"/>
  <c r="B648" i="6"/>
  <c r="C648" i="6"/>
  <c r="E648" i="6"/>
  <c r="D648" i="6"/>
  <c r="F648" i="6"/>
  <c r="A648" i="6"/>
  <c r="B674" i="5"/>
  <c r="CG671" i="5"/>
  <c r="CF672" i="5"/>
  <c r="CC615" i="5"/>
  <c r="CB616" i="5"/>
  <c r="BW153" i="5" l="1"/>
  <c r="BY153" i="5"/>
  <c r="J153" i="5" s="1"/>
  <c r="BV154" i="5"/>
  <c r="BT154" i="5"/>
  <c r="BS154" i="5"/>
  <c r="CI154" i="5"/>
  <c r="BR708" i="5"/>
  <c r="BH154" i="5"/>
  <c r="BI154" i="5" s="1"/>
  <c r="BJ154" i="5" s="1"/>
  <c r="AZ704" i="5"/>
  <c r="BA705" i="5" s="1"/>
  <c r="BB704" i="5"/>
  <c r="AR152" i="5"/>
  <c r="G127" i="6"/>
  <c r="CR154" i="5"/>
  <c r="AC154" i="5"/>
  <c r="AD154" i="5" s="1"/>
  <c r="CW154" i="5"/>
  <c r="CS154" i="5"/>
  <c r="CY154" i="5"/>
  <c r="AK154" i="5"/>
  <c r="AM154" i="5" s="1"/>
  <c r="AL155" i="5" s="1"/>
  <c r="CL154" i="5"/>
  <c r="CM154" i="5" s="1"/>
  <c r="BK154" i="5"/>
  <c r="BL154" i="5" s="1"/>
  <c r="BM154" i="5" s="1"/>
  <c r="CX154" i="5"/>
  <c r="C129" i="6"/>
  <c r="AB154" i="5"/>
  <c r="L154" i="5" s="1"/>
  <c r="D154" i="5"/>
  <c r="BG153" i="5"/>
  <c r="H153" i="5" s="1"/>
  <c r="AX154" i="5"/>
  <c r="AW154" i="5" s="1"/>
  <c r="CU154" i="5"/>
  <c r="BD153" i="5"/>
  <c r="BE154" i="5" s="1"/>
  <c r="BF153" i="5"/>
  <c r="CZ153" i="5"/>
  <c r="G649" i="6"/>
  <c r="H649" i="6"/>
  <c r="I649" i="6"/>
  <c r="B649" i="6"/>
  <c r="C649" i="6"/>
  <c r="E649" i="6"/>
  <c r="D649" i="6"/>
  <c r="F649" i="6"/>
  <c r="A649" i="6"/>
  <c r="CG672" i="5"/>
  <c r="CF673" i="5"/>
  <c r="B675" i="5"/>
  <c r="CC616" i="5"/>
  <c r="CB617" i="5"/>
  <c r="AF153" i="5" l="1"/>
  <c r="AN153" i="5"/>
  <c r="BX154" i="5"/>
  <c r="BR709" i="5"/>
  <c r="CK154" i="5"/>
  <c r="CJ154" i="5" s="1"/>
  <c r="CH154" i="5"/>
  <c r="AZ705" i="5"/>
  <c r="BA706" i="5" s="1"/>
  <c r="BB705" i="5"/>
  <c r="X152" i="5"/>
  <c r="Y152" i="5" s="1"/>
  <c r="CP154" i="5"/>
  <c r="CQ154" i="5" s="1"/>
  <c r="R154" i="5" s="1"/>
  <c r="S154" i="5" s="1"/>
  <c r="DA154" i="5"/>
  <c r="DB154" i="5" s="1"/>
  <c r="I153" i="5"/>
  <c r="AP153" i="5" s="1"/>
  <c r="AE154" i="5"/>
  <c r="BN154" i="5"/>
  <c r="BO154" i="5" s="1"/>
  <c r="BP154" i="5" s="1"/>
  <c r="G154" i="5" s="1"/>
  <c r="CT154" i="5"/>
  <c r="CV154" i="5"/>
  <c r="T154" i="5"/>
  <c r="U154" i="5" s="1"/>
  <c r="W154" i="5"/>
  <c r="G650" i="6"/>
  <c r="H650" i="6"/>
  <c r="I650" i="6"/>
  <c r="B650" i="6"/>
  <c r="C650" i="6"/>
  <c r="E650" i="6"/>
  <c r="D650" i="6"/>
  <c r="F650" i="6"/>
  <c r="A650" i="6"/>
  <c r="B676" i="5"/>
  <c r="CG673" i="5"/>
  <c r="CF674" i="5"/>
  <c r="CC617" i="5"/>
  <c r="CB618" i="5"/>
  <c r="K154" i="5" l="1"/>
  <c r="BR710" i="5"/>
  <c r="AZ706" i="5"/>
  <c r="BA707" i="5" s="1"/>
  <c r="BB706" i="5"/>
  <c r="H127" i="6"/>
  <c r="Z152" i="5"/>
  <c r="AA152" i="5" s="1"/>
  <c r="I127" i="6" s="1"/>
  <c r="AH153" i="5"/>
  <c r="AT153" i="5"/>
  <c r="CO154" i="5"/>
  <c r="F154" i="5" s="1"/>
  <c r="CN154" i="5"/>
  <c r="E154" i="5" s="1"/>
  <c r="P153" i="5"/>
  <c r="AY153" i="5" s="1"/>
  <c r="M153" i="5"/>
  <c r="G651" i="6"/>
  <c r="H651" i="6"/>
  <c r="I651" i="6"/>
  <c r="B651" i="6"/>
  <c r="C651" i="6"/>
  <c r="E651" i="6"/>
  <c r="F651" i="6"/>
  <c r="D651" i="6"/>
  <c r="A651" i="6"/>
  <c r="CG674" i="5"/>
  <c r="CF675" i="5"/>
  <c r="B677" i="5"/>
  <c r="CC618" i="5"/>
  <c r="CB619" i="5"/>
  <c r="BY154" i="5" l="1"/>
  <c r="J154" i="5" s="1"/>
  <c r="BW154" i="5"/>
  <c r="BR711" i="5"/>
  <c r="AZ707" i="5"/>
  <c r="BA708" i="5" s="1"/>
  <c r="BB707" i="5"/>
  <c r="AO153" i="5"/>
  <c r="AR153" i="5" s="1"/>
  <c r="AG153" i="5"/>
  <c r="AJ153" i="5" s="1"/>
  <c r="N153" i="5"/>
  <c r="AS153" i="5"/>
  <c r="AV153" i="5" s="1"/>
  <c r="Q153" i="5"/>
  <c r="V153" i="5" s="1"/>
  <c r="F128" i="6"/>
  <c r="BC154" i="5"/>
  <c r="D129" i="6"/>
  <c r="C155" i="5"/>
  <c r="BU155" i="5" s="1"/>
  <c r="E129" i="6"/>
  <c r="G652" i="6"/>
  <c r="H652" i="6"/>
  <c r="I652" i="6"/>
  <c r="B652" i="6"/>
  <c r="C652" i="6"/>
  <c r="E652" i="6"/>
  <c r="D652" i="6"/>
  <c r="F652" i="6"/>
  <c r="A652" i="6"/>
  <c r="B678" i="5"/>
  <c r="CG675" i="5"/>
  <c r="CF676" i="5"/>
  <c r="CC619" i="5"/>
  <c r="CB620" i="5"/>
  <c r="AF154" i="5" l="1"/>
  <c r="AN154" i="5"/>
  <c r="BT155" i="5"/>
  <c r="BV155" i="5"/>
  <c r="BS155" i="5"/>
  <c r="CI155" i="5"/>
  <c r="BR712" i="5"/>
  <c r="BH155" i="5"/>
  <c r="BI155" i="5" s="1"/>
  <c r="BJ155" i="5" s="1"/>
  <c r="AZ708" i="5"/>
  <c r="BA709" i="5" s="1"/>
  <c r="BB708" i="5"/>
  <c r="X153" i="5"/>
  <c r="Y153" i="5" s="1"/>
  <c r="AB155" i="5"/>
  <c r="DA155" i="5" s="1"/>
  <c r="DB155" i="5" s="1"/>
  <c r="CS155" i="5"/>
  <c r="CW155" i="5"/>
  <c r="CX155" i="5"/>
  <c r="C130" i="6"/>
  <c r="D155" i="5"/>
  <c r="BK155" i="5"/>
  <c r="BL155" i="5" s="1"/>
  <c r="BM155" i="5" s="1"/>
  <c r="CR155" i="5"/>
  <c r="AC155" i="5"/>
  <c r="AD155" i="5" s="1"/>
  <c r="CL155" i="5"/>
  <c r="CM155" i="5" s="1"/>
  <c r="CY155" i="5"/>
  <c r="AK155" i="5"/>
  <c r="AM155" i="5" s="1"/>
  <c r="AL156" i="5" s="1"/>
  <c r="BG154" i="5"/>
  <c r="H154" i="5" s="1"/>
  <c r="AX155" i="5"/>
  <c r="AW155" i="5" s="1"/>
  <c r="CU155" i="5"/>
  <c r="BX155" i="5" s="1"/>
  <c r="BF154" i="5"/>
  <c r="CZ154" i="5"/>
  <c r="BD154" i="5"/>
  <c r="BE155" i="5" s="1"/>
  <c r="G128" i="6"/>
  <c r="G653" i="6"/>
  <c r="H653" i="6"/>
  <c r="I653" i="6"/>
  <c r="B653" i="6"/>
  <c r="C653" i="6"/>
  <c r="E653" i="6"/>
  <c r="D653" i="6"/>
  <c r="F653" i="6"/>
  <c r="A653" i="6"/>
  <c r="CG676" i="5"/>
  <c r="CF677" i="5"/>
  <c r="B679" i="5"/>
  <c r="CC620" i="5"/>
  <c r="CB621" i="5"/>
  <c r="BR713" i="5" l="1"/>
  <c r="CH155" i="5"/>
  <c r="CK155" i="5"/>
  <c r="CJ155" i="5" s="1"/>
  <c r="K155" i="5" s="1"/>
  <c r="AZ709" i="5"/>
  <c r="BA710" i="5" s="1"/>
  <c r="AZ710" i="5" s="1"/>
  <c r="BA711" i="5" s="1"/>
  <c r="BB709" i="5"/>
  <c r="CP155" i="5"/>
  <c r="CQ155" i="5" s="1"/>
  <c r="R155" i="5" s="1"/>
  <c r="S155" i="5" s="1"/>
  <c r="BN155" i="5"/>
  <c r="BO155" i="5" s="1"/>
  <c r="BP155" i="5" s="1"/>
  <c r="G155" i="5" s="1"/>
  <c r="W155" i="5"/>
  <c r="T155" i="5"/>
  <c r="U155" i="5" s="1"/>
  <c r="CT155" i="5"/>
  <c r="CV155" i="5"/>
  <c r="L155" i="5"/>
  <c r="I154" i="5"/>
  <c r="AH154" i="5" s="1"/>
  <c r="H128" i="6"/>
  <c r="Z153" i="5"/>
  <c r="AE155" i="5"/>
  <c r="G654" i="6"/>
  <c r="H654" i="6"/>
  <c r="I654" i="6"/>
  <c r="B654" i="6"/>
  <c r="C654" i="6"/>
  <c r="E654" i="6"/>
  <c r="D654" i="6"/>
  <c r="F654" i="6"/>
  <c r="A654" i="6"/>
  <c r="CG677" i="5"/>
  <c r="CF678" i="5"/>
  <c r="B680" i="5"/>
  <c r="CC621" i="5"/>
  <c r="CB622" i="5"/>
  <c r="BR714" i="5" l="1"/>
  <c r="AZ711" i="5"/>
  <c r="BA712" i="5" s="1"/>
  <c r="BB711" i="5"/>
  <c r="AT154" i="5"/>
  <c r="AP154" i="5"/>
  <c r="CN155" i="5"/>
  <c r="E155" i="5" s="1"/>
  <c r="CO155" i="5"/>
  <c r="F155" i="5" s="1"/>
  <c r="AA153" i="5"/>
  <c r="I128" i="6" s="1"/>
  <c r="P154" i="5"/>
  <c r="AY154" i="5" s="1"/>
  <c r="M154" i="5"/>
  <c r="G655" i="6"/>
  <c r="H655" i="6"/>
  <c r="I655" i="6"/>
  <c r="B655" i="6"/>
  <c r="C655" i="6"/>
  <c r="E655" i="6"/>
  <c r="F655" i="6"/>
  <c r="D655" i="6"/>
  <c r="A655" i="6"/>
  <c r="B681" i="5"/>
  <c r="CF679" i="5"/>
  <c r="CG678" i="5"/>
  <c r="CC622" i="5"/>
  <c r="CB623" i="5"/>
  <c r="BW155" i="5" l="1"/>
  <c r="BY155" i="5"/>
  <c r="J155" i="5" s="1"/>
  <c r="BR715" i="5"/>
  <c r="AZ712" i="5"/>
  <c r="BA713" i="5" s="1"/>
  <c r="BB712" i="5"/>
  <c r="AO154" i="5"/>
  <c r="AR154" i="5" s="1"/>
  <c r="AG154" i="5"/>
  <c r="E130" i="6"/>
  <c r="C156" i="5"/>
  <c r="BU156" i="5" s="1"/>
  <c r="D130" i="6"/>
  <c r="BC155" i="5"/>
  <c r="N154" i="5"/>
  <c r="AS154" i="5"/>
  <c r="AV154" i="5" s="1"/>
  <c r="Q154" i="5"/>
  <c r="V154" i="5" s="1"/>
  <c r="F129" i="6"/>
  <c r="G656" i="6"/>
  <c r="H656" i="6"/>
  <c r="I656" i="6"/>
  <c r="B656" i="6"/>
  <c r="C656" i="6"/>
  <c r="E656" i="6"/>
  <c r="D656" i="6"/>
  <c r="F656" i="6"/>
  <c r="A656" i="6"/>
  <c r="CF680" i="5"/>
  <c r="CG679" i="5"/>
  <c r="B682" i="5"/>
  <c r="CC623" i="5"/>
  <c r="CB624" i="5"/>
  <c r="AF155" i="5" l="1"/>
  <c r="AN155" i="5"/>
  <c r="BT156" i="5"/>
  <c r="BV156" i="5"/>
  <c r="BS156" i="5"/>
  <c r="CI156" i="5"/>
  <c r="BR716" i="5"/>
  <c r="BH156" i="5"/>
  <c r="BI156" i="5" s="1"/>
  <c r="BJ156" i="5" s="1"/>
  <c r="AZ713" i="5"/>
  <c r="BA714" i="5" s="1"/>
  <c r="BB713" i="5"/>
  <c r="AJ154" i="5"/>
  <c r="G129" i="6"/>
  <c r="CZ155" i="5"/>
  <c r="BF155" i="5"/>
  <c r="BD155" i="5"/>
  <c r="BE156" i="5" s="1"/>
  <c r="AB156" i="5"/>
  <c r="BN156" i="5" s="1"/>
  <c r="BO156" i="5" s="1"/>
  <c r="BP156" i="5" s="1"/>
  <c r="D156" i="5"/>
  <c r="C131" i="6"/>
  <c r="AK156" i="5"/>
  <c r="CR156" i="5"/>
  <c r="CX156" i="5"/>
  <c r="AC156" i="5"/>
  <c r="CW156" i="5"/>
  <c r="CY156" i="5"/>
  <c r="CL156" i="5"/>
  <c r="CM156" i="5" s="1"/>
  <c r="CS156" i="5"/>
  <c r="BK156" i="5"/>
  <c r="BL156" i="5" s="1"/>
  <c r="BM156" i="5" s="1"/>
  <c r="BG155" i="5"/>
  <c r="H155" i="5" s="1"/>
  <c r="AX156" i="5"/>
  <c r="AW156" i="5" s="1"/>
  <c r="CU156" i="5"/>
  <c r="BX156" i="5" s="1"/>
  <c r="G657" i="6"/>
  <c r="H657" i="6"/>
  <c r="I657" i="6"/>
  <c r="B657" i="6"/>
  <c r="C657" i="6"/>
  <c r="E657" i="6"/>
  <c r="D657" i="6"/>
  <c r="F657" i="6"/>
  <c r="A657" i="6"/>
  <c r="B683" i="5"/>
  <c r="CF681" i="5"/>
  <c r="CG680" i="5"/>
  <c r="CC624" i="5"/>
  <c r="CB625" i="5"/>
  <c r="G156" i="5" l="1"/>
  <c r="BR717" i="5"/>
  <c r="AD156" i="5"/>
  <c r="AE156" i="5" s="1"/>
  <c r="CH156" i="5"/>
  <c r="CK156" i="5"/>
  <c r="CJ156" i="5" s="1"/>
  <c r="AZ714" i="5"/>
  <c r="BA715" i="5" s="1"/>
  <c r="BB714" i="5"/>
  <c r="X154" i="5"/>
  <c r="Y154" i="5" s="1"/>
  <c r="W156" i="5"/>
  <c r="T156" i="5"/>
  <c r="U156" i="5" s="1"/>
  <c r="CT156" i="5"/>
  <c r="CV156" i="5"/>
  <c r="L156" i="5"/>
  <c r="DA156" i="5"/>
  <c r="DB156" i="5" s="1"/>
  <c r="K156" i="5" s="1"/>
  <c r="CP156" i="5"/>
  <c r="CQ156" i="5" s="1"/>
  <c r="R156" i="5" s="1"/>
  <c r="S156" i="5" s="1"/>
  <c r="I155" i="5"/>
  <c r="AH155" i="5" s="1"/>
  <c r="AM156" i="5"/>
  <c r="AL157" i="5" s="1"/>
  <c r="G658" i="6"/>
  <c r="H658" i="6"/>
  <c r="I658" i="6"/>
  <c r="B658" i="6"/>
  <c r="C658" i="6"/>
  <c r="E658" i="6"/>
  <c r="D658" i="6"/>
  <c r="F658" i="6"/>
  <c r="A658" i="6"/>
  <c r="CF682" i="5"/>
  <c r="CG681" i="5"/>
  <c r="B684" i="5"/>
  <c r="CC625" i="5"/>
  <c r="CB626" i="5"/>
  <c r="BR718" i="5" l="1"/>
  <c r="AZ715" i="5"/>
  <c r="BA716" i="5" s="1"/>
  <c r="BB715" i="5"/>
  <c r="Z154" i="5"/>
  <c r="AA154" i="5" s="1"/>
  <c r="I129" i="6" s="1"/>
  <c r="H129" i="6"/>
  <c r="CN156" i="5"/>
  <c r="E156" i="5" s="1"/>
  <c r="CO156" i="5"/>
  <c r="F156" i="5" s="1"/>
  <c r="P155" i="5"/>
  <c r="AY155" i="5" s="1"/>
  <c r="M155" i="5"/>
  <c r="AG155" i="5" s="1"/>
  <c r="AJ155" i="5" s="1"/>
  <c r="AT155" i="5"/>
  <c r="AP155" i="5"/>
  <c r="G659" i="6"/>
  <c r="H659" i="6"/>
  <c r="I659" i="6"/>
  <c r="B659" i="6"/>
  <c r="C659" i="6"/>
  <c r="E659" i="6"/>
  <c r="F659" i="6"/>
  <c r="D659" i="6"/>
  <c r="A659" i="6"/>
  <c r="B685" i="5"/>
  <c r="CF683" i="5"/>
  <c r="CG682" i="5"/>
  <c r="CC626" i="5"/>
  <c r="CB627" i="5"/>
  <c r="BW156" i="5" l="1"/>
  <c r="BY156" i="5"/>
  <c r="J156" i="5" s="1"/>
  <c r="BR719" i="5"/>
  <c r="AZ716" i="5"/>
  <c r="BA717" i="5" s="1"/>
  <c r="BB716" i="5"/>
  <c r="N155" i="5"/>
  <c r="AS155" i="5"/>
  <c r="AV155" i="5" s="1"/>
  <c r="AO155" i="5"/>
  <c r="AR155" i="5" s="1"/>
  <c r="Q155" i="5"/>
  <c r="V155" i="5" s="1"/>
  <c r="F130" i="6"/>
  <c r="E131" i="6"/>
  <c r="C157" i="5"/>
  <c r="BU157" i="5" s="1"/>
  <c r="D131" i="6"/>
  <c r="BC156" i="5"/>
  <c r="G660" i="6"/>
  <c r="H660" i="6"/>
  <c r="I660" i="6"/>
  <c r="B660" i="6"/>
  <c r="C660" i="6"/>
  <c r="E660" i="6"/>
  <c r="D660" i="6"/>
  <c r="F660" i="6"/>
  <c r="A660" i="6"/>
  <c r="CG683" i="5"/>
  <c r="CF684" i="5"/>
  <c r="B686" i="5"/>
  <c r="CC627" i="5"/>
  <c r="CB628" i="5"/>
  <c r="AF156" i="5" l="1"/>
  <c r="AN156" i="5"/>
  <c r="BT157" i="5"/>
  <c r="BV157" i="5"/>
  <c r="BS157" i="5"/>
  <c r="CI157" i="5"/>
  <c r="BR720" i="5"/>
  <c r="BH157" i="5"/>
  <c r="BI157" i="5" s="1"/>
  <c r="BJ157" i="5" s="1"/>
  <c r="X155" i="5"/>
  <c r="Y155" i="5" s="1"/>
  <c r="AZ717" i="5"/>
  <c r="BA718" i="5" s="1"/>
  <c r="BB717" i="5"/>
  <c r="CW157" i="5"/>
  <c r="AK157" i="5"/>
  <c r="AM157" i="5" s="1"/>
  <c r="AL158" i="5" s="1"/>
  <c r="BK157" i="5"/>
  <c r="BL157" i="5" s="1"/>
  <c r="BM157" i="5" s="1"/>
  <c r="D157" i="5"/>
  <c r="CL157" i="5"/>
  <c r="CM157" i="5" s="1"/>
  <c r="CR157" i="5"/>
  <c r="CS157" i="5"/>
  <c r="CX157" i="5"/>
  <c r="CY157" i="5"/>
  <c r="AC157" i="5"/>
  <c r="AD157" i="5" s="1"/>
  <c r="C132" i="6"/>
  <c r="AB157" i="5"/>
  <c r="L157" i="5" s="1"/>
  <c r="BG156" i="5"/>
  <c r="H156" i="5" s="1"/>
  <c r="AX157" i="5"/>
  <c r="AW157" i="5" s="1"/>
  <c r="CU157" i="5"/>
  <c r="BX157" i="5" s="1"/>
  <c r="G130" i="6"/>
  <c r="CZ156" i="5"/>
  <c r="BD156" i="5"/>
  <c r="BE157" i="5" s="1"/>
  <c r="BF156" i="5"/>
  <c r="G661" i="6"/>
  <c r="H661" i="6"/>
  <c r="I661" i="6"/>
  <c r="B661" i="6"/>
  <c r="C661" i="6"/>
  <c r="E661" i="6"/>
  <c r="D661" i="6"/>
  <c r="F661" i="6"/>
  <c r="A661" i="6"/>
  <c r="B687" i="5"/>
  <c r="CG684" i="5"/>
  <c r="CF685" i="5"/>
  <c r="CC628" i="5"/>
  <c r="CB629" i="5"/>
  <c r="BR721" i="5" l="1"/>
  <c r="CH157" i="5"/>
  <c r="CK157" i="5"/>
  <c r="CJ157" i="5" s="1"/>
  <c r="AZ718" i="5"/>
  <c r="BA719" i="5" s="1"/>
  <c r="BB718" i="5"/>
  <c r="DA157" i="5"/>
  <c r="DB157" i="5" s="1"/>
  <c r="K157" i="5" s="1"/>
  <c r="CP157" i="5"/>
  <c r="CQ157" i="5" s="1"/>
  <c r="R157" i="5" s="1"/>
  <c r="S157" i="5" s="1"/>
  <c r="BN157" i="5"/>
  <c r="BO157" i="5" s="1"/>
  <c r="BP157" i="5" s="1"/>
  <c r="G157" i="5" s="1"/>
  <c r="T157" i="5"/>
  <c r="U157" i="5" s="1"/>
  <c r="W157" i="5"/>
  <c r="CT157" i="5"/>
  <c r="CV157" i="5"/>
  <c r="AE157" i="5"/>
  <c r="H130" i="6"/>
  <c r="Z155" i="5"/>
  <c r="I156" i="5"/>
  <c r="AP156" i="5" s="1"/>
  <c r="G662" i="6"/>
  <c r="H662" i="6"/>
  <c r="I662" i="6"/>
  <c r="B662" i="6"/>
  <c r="C662" i="6"/>
  <c r="E662" i="6"/>
  <c r="D662" i="6"/>
  <c r="F662" i="6"/>
  <c r="A662" i="6"/>
  <c r="CF686" i="5"/>
  <c r="CG685" i="5"/>
  <c r="B688" i="5"/>
  <c r="CC629" i="5"/>
  <c r="CB630" i="5"/>
  <c r="BR722" i="5" l="1"/>
  <c r="AZ719" i="5"/>
  <c r="BA720" i="5" s="1"/>
  <c r="BB719" i="5"/>
  <c r="AT156" i="5"/>
  <c r="AH156" i="5"/>
  <c r="AA155" i="5"/>
  <c r="I130" i="6" s="1"/>
  <c r="M156" i="5"/>
  <c r="AG156" i="5" s="1"/>
  <c r="P156" i="5"/>
  <c r="AY156" i="5" s="1"/>
  <c r="CN157" i="5"/>
  <c r="E157" i="5" s="1"/>
  <c r="CO157" i="5"/>
  <c r="F157" i="5" s="1"/>
  <c r="G663" i="6"/>
  <c r="H663" i="6"/>
  <c r="I663" i="6"/>
  <c r="B663" i="6"/>
  <c r="C663" i="6"/>
  <c r="E663" i="6"/>
  <c r="D663" i="6"/>
  <c r="F663" i="6"/>
  <c r="A663" i="6"/>
  <c r="B689" i="5"/>
  <c r="CG686" i="5"/>
  <c r="CF687" i="5"/>
  <c r="CC630" i="5"/>
  <c r="CB631" i="5"/>
  <c r="BW157" i="5" l="1"/>
  <c r="AJ156" i="5"/>
  <c r="BR723" i="5"/>
  <c r="AZ720" i="5"/>
  <c r="BA721" i="5" s="1"/>
  <c r="BB720" i="5"/>
  <c r="F131" i="6"/>
  <c r="Q156" i="5"/>
  <c r="V156" i="5" s="1"/>
  <c r="AO156" i="5"/>
  <c r="AR156" i="5" s="1"/>
  <c r="N156" i="5"/>
  <c r="AS156" i="5"/>
  <c r="AV156" i="5" s="1"/>
  <c r="D132" i="6"/>
  <c r="BC157" i="5"/>
  <c r="E132" i="6"/>
  <c r="C158" i="5"/>
  <c r="BU158" i="5" s="1"/>
  <c r="G664" i="6"/>
  <c r="H664" i="6"/>
  <c r="I664" i="6"/>
  <c r="B664" i="6"/>
  <c r="C664" i="6"/>
  <c r="E664" i="6"/>
  <c r="D664" i="6"/>
  <c r="F664" i="6"/>
  <c r="A664" i="6"/>
  <c r="CG687" i="5"/>
  <c r="CF688" i="5"/>
  <c r="B690" i="5"/>
  <c r="CC631" i="5"/>
  <c r="CB632" i="5"/>
  <c r="BY157" i="5" l="1"/>
  <c r="J157" i="5" s="1"/>
  <c r="BV158" i="5"/>
  <c r="BT158" i="5"/>
  <c r="BS158" i="5"/>
  <c r="CI158" i="5"/>
  <c r="BR724" i="5"/>
  <c r="BH158" i="5"/>
  <c r="BI158" i="5" s="1"/>
  <c r="BJ158" i="5" s="1"/>
  <c r="AZ721" i="5"/>
  <c r="BA722" i="5" s="1"/>
  <c r="BB721" i="5"/>
  <c r="X156" i="5"/>
  <c r="Y156" i="5" s="1"/>
  <c r="BF157" i="5"/>
  <c r="CZ157" i="5"/>
  <c r="BD157" i="5"/>
  <c r="BE158" i="5" s="1"/>
  <c r="G131" i="6"/>
  <c r="AC158" i="5"/>
  <c r="BK158" i="5"/>
  <c r="BL158" i="5" s="1"/>
  <c r="BM158" i="5" s="1"/>
  <c r="CY158" i="5"/>
  <c r="CL158" i="5"/>
  <c r="CM158" i="5" s="1"/>
  <c r="C133" i="6"/>
  <c r="AK158" i="5"/>
  <c r="CS158" i="5"/>
  <c r="CR158" i="5"/>
  <c r="CW158" i="5"/>
  <c r="CX158" i="5"/>
  <c r="AB158" i="5"/>
  <c r="L158" i="5" s="1"/>
  <c r="D158" i="5"/>
  <c r="BG157" i="5"/>
  <c r="H157" i="5" s="1"/>
  <c r="AX158" i="5"/>
  <c r="AW158" i="5" s="1"/>
  <c r="CU158" i="5"/>
  <c r="BX158" i="5" s="1"/>
  <c r="G665" i="6"/>
  <c r="H665" i="6"/>
  <c r="I665" i="6"/>
  <c r="B665" i="6"/>
  <c r="C665" i="6"/>
  <c r="E665" i="6"/>
  <c r="D665" i="6"/>
  <c r="F665" i="6"/>
  <c r="A665" i="6"/>
  <c r="B691" i="5"/>
  <c r="CG688" i="5"/>
  <c r="CF689" i="5"/>
  <c r="CC632" i="5"/>
  <c r="CB633" i="5"/>
  <c r="AN157" i="5" l="1"/>
  <c r="AF157" i="5"/>
  <c r="BR725" i="5"/>
  <c r="AD158" i="5"/>
  <c r="AE158" i="5" s="1"/>
  <c r="CH158" i="5"/>
  <c r="CK158" i="5"/>
  <c r="CJ158" i="5" s="1"/>
  <c r="AZ722" i="5"/>
  <c r="BA723" i="5" s="1"/>
  <c r="BB722" i="5"/>
  <c r="AM158" i="5"/>
  <c r="AL159" i="5" s="1"/>
  <c r="W158" i="5"/>
  <c r="T158" i="5"/>
  <c r="U158" i="5" s="1"/>
  <c r="CT158" i="5"/>
  <c r="CV158" i="5"/>
  <c r="BN158" i="5"/>
  <c r="BO158" i="5" s="1"/>
  <c r="BP158" i="5" s="1"/>
  <c r="G158" i="5" s="1"/>
  <c r="H131" i="6"/>
  <c r="Z156" i="5"/>
  <c r="CP158" i="5"/>
  <c r="CQ158" i="5" s="1"/>
  <c r="R158" i="5" s="1"/>
  <c r="S158" i="5" s="1"/>
  <c r="DA158" i="5"/>
  <c r="DB158" i="5" s="1"/>
  <c r="I157" i="5"/>
  <c r="AH157" i="5" s="1"/>
  <c r="G666" i="6"/>
  <c r="H666" i="6"/>
  <c r="I666" i="6"/>
  <c r="B666" i="6"/>
  <c r="C666" i="6"/>
  <c r="E666" i="6"/>
  <c r="D666" i="6"/>
  <c r="F666" i="6"/>
  <c r="A666" i="6"/>
  <c r="CG689" i="5"/>
  <c r="CF690" i="5"/>
  <c r="B692" i="5"/>
  <c r="CC633" i="5"/>
  <c r="CB634" i="5"/>
  <c r="K158" i="5" l="1"/>
  <c r="BR726" i="5"/>
  <c r="AZ723" i="5"/>
  <c r="BA724" i="5" s="1"/>
  <c r="BB723" i="5"/>
  <c r="AA156" i="5"/>
  <c r="I131" i="6" s="1"/>
  <c r="AT157" i="5"/>
  <c r="AP157" i="5"/>
  <c r="CN158" i="5"/>
  <c r="E158" i="5" s="1"/>
  <c r="CO158" i="5"/>
  <c r="F158" i="5" s="1"/>
  <c r="M157" i="5"/>
  <c r="AG157" i="5" s="1"/>
  <c r="AJ157" i="5" s="1"/>
  <c r="P157" i="5"/>
  <c r="AY157" i="5" s="1"/>
  <c r="G667" i="6"/>
  <c r="H667" i="6"/>
  <c r="I667" i="6"/>
  <c r="B667" i="6"/>
  <c r="C667" i="6"/>
  <c r="E667" i="6"/>
  <c r="F667" i="6"/>
  <c r="D667" i="6"/>
  <c r="A667" i="6"/>
  <c r="B693" i="5"/>
  <c r="CG690" i="5"/>
  <c r="CF691" i="5"/>
  <c r="CC634" i="5"/>
  <c r="CB635" i="5"/>
  <c r="BW158" i="5" l="1"/>
  <c r="BR727" i="5"/>
  <c r="AZ724" i="5"/>
  <c r="BA725" i="5" s="1"/>
  <c r="BB724" i="5"/>
  <c r="N157" i="5"/>
  <c r="AS157" i="5"/>
  <c r="AV157" i="5" s="1"/>
  <c r="AO157" i="5"/>
  <c r="BC158" i="5"/>
  <c r="D133" i="6"/>
  <c r="E133" i="6"/>
  <c r="C159" i="5"/>
  <c r="BU159" i="5" s="1"/>
  <c r="Q157" i="5"/>
  <c r="V157" i="5" s="1"/>
  <c r="G132" i="6" s="1"/>
  <c r="F132" i="6"/>
  <c r="G668" i="6"/>
  <c r="H668" i="6"/>
  <c r="I668" i="6"/>
  <c r="B668" i="6"/>
  <c r="C668" i="6"/>
  <c r="E668" i="6"/>
  <c r="D668" i="6"/>
  <c r="F668" i="6"/>
  <c r="A668" i="6"/>
  <c r="CG691" i="5"/>
  <c r="CF692" i="5"/>
  <c r="B694" i="5"/>
  <c r="CC635" i="5"/>
  <c r="CB636" i="5"/>
  <c r="BY158" i="5" l="1"/>
  <c r="J158" i="5" s="1"/>
  <c r="BV159" i="5"/>
  <c r="BT159" i="5"/>
  <c r="BS159" i="5"/>
  <c r="CI159" i="5"/>
  <c r="BR728" i="5"/>
  <c r="BH159" i="5"/>
  <c r="BI159" i="5" s="1"/>
  <c r="BJ159" i="5" s="1"/>
  <c r="AZ725" i="5"/>
  <c r="BA726" i="5" s="1"/>
  <c r="BB725" i="5"/>
  <c r="C134" i="6"/>
  <c r="BK159" i="5"/>
  <c r="BL159" i="5" s="1"/>
  <c r="BM159" i="5" s="1"/>
  <c r="AC159" i="5"/>
  <c r="D159" i="5"/>
  <c r="AK159" i="5"/>
  <c r="AM159" i="5" s="1"/>
  <c r="AL160" i="5" s="1"/>
  <c r="CL159" i="5"/>
  <c r="CM159" i="5" s="1"/>
  <c r="CY159" i="5"/>
  <c r="CW159" i="5"/>
  <c r="CR159" i="5"/>
  <c r="CS159" i="5"/>
  <c r="AB159" i="5"/>
  <c r="DA159" i="5" s="1"/>
  <c r="DB159" i="5" s="1"/>
  <c r="CX159" i="5"/>
  <c r="BG158" i="5"/>
  <c r="H158" i="5" s="1"/>
  <c r="AX159" i="5"/>
  <c r="AW159" i="5" s="1"/>
  <c r="CU159" i="5"/>
  <c r="BX159" i="5" s="1"/>
  <c r="BF158" i="5"/>
  <c r="CZ158" i="5"/>
  <c r="BD158" i="5"/>
  <c r="BE159" i="5" s="1"/>
  <c r="AR157" i="5"/>
  <c r="G669" i="6"/>
  <c r="H669" i="6"/>
  <c r="I669" i="6"/>
  <c r="B669" i="6"/>
  <c r="C669" i="6"/>
  <c r="E669" i="6"/>
  <c r="D669" i="6"/>
  <c r="F669" i="6"/>
  <c r="A669" i="6"/>
  <c r="B695" i="5"/>
  <c r="CG692" i="5"/>
  <c r="CF693" i="5"/>
  <c r="CB637" i="5"/>
  <c r="CC636" i="5"/>
  <c r="AN158" i="5" l="1"/>
  <c r="AF158" i="5"/>
  <c r="BR729" i="5"/>
  <c r="AD159" i="5"/>
  <c r="AE159" i="5" s="1"/>
  <c r="CK159" i="5"/>
  <c r="CJ159" i="5" s="1"/>
  <c r="K159" i="5" s="1"/>
  <c r="CH159" i="5"/>
  <c r="AZ726" i="5"/>
  <c r="BA727" i="5" s="1"/>
  <c r="BB726" i="5"/>
  <c r="X157" i="5"/>
  <c r="Y157" i="5" s="1"/>
  <c r="CP159" i="5"/>
  <c r="CQ159" i="5" s="1"/>
  <c r="R159" i="5" s="1"/>
  <c r="S159" i="5" s="1"/>
  <c r="I158" i="5"/>
  <c r="AP158" i="5" s="1"/>
  <c r="W159" i="5"/>
  <c r="T159" i="5"/>
  <c r="U159" i="5" s="1"/>
  <c r="BN159" i="5"/>
  <c r="BO159" i="5" s="1"/>
  <c r="BP159" i="5" s="1"/>
  <c r="G159" i="5" s="1"/>
  <c r="L159" i="5"/>
  <c r="CV159" i="5"/>
  <c r="CT159" i="5"/>
  <c r="G670" i="6"/>
  <c r="H670" i="6"/>
  <c r="I670" i="6"/>
  <c r="B670" i="6"/>
  <c r="C670" i="6"/>
  <c r="E670" i="6"/>
  <c r="D670" i="6"/>
  <c r="F670" i="6"/>
  <c r="A670" i="6"/>
  <c r="CG693" i="5"/>
  <c r="CF694" i="5"/>
  <c r="B696" i="5"/>
  <c r="CC637" i="5"/>
  <c r="CB638" i="5"/>
  <c r="BR730" i="5" l="1"/>
  <c r="AZ727" i="5"/>
  <c r="BA728" i="5" s="1"/>
  <c r="BB727" i="5"/>
  <c r="Z157" i="5"/>
  <c r="AA157" i="5" s="1"/>
  <c r="I132" i="6" s="1"/>
  <c r="H132" i="6"/>
  <c r="CO159" i="5"/>
  <c r="F159" i="5" s="1"/>
  <c r="CN159" i="5"/>
  <c r="E159" i="5" s="1"/>
  <c r="M158" i="5"/>
  <c r="P158" i="5"/>
  <c r="AY158" i="5" s="1"/>
  <c r="AH158" i="5"/>
  <c r="AT158" i="5"/>
  <c r="G671" i="6"/>
  <c r="H671" i="6"/>
  <c r="I671" i="6"/>
  <c r="B671" i="6"/>
  <c r="C671" i="6"/>
  <c r="E671" i="6"/>
  <c r="D671" i="6"/>
  <c r="F671" i="6"/>
  <c r="A671" i="6"/>
  <c r="B697" i="5"/>
  <c r="CG694" i="5"/>
  <c r="CF695" i="5"/>
  <c r="CC638" i="5"/>
  <c r="CB639" i="5"/>
  <c r="BY159" i="5" l="1"/>
  <c r="J159" i="5" s="1"/>
  <c r="AN159" i="5" s="1"/>
  <c r="BW159" i="5"/>
  <c r="BR731" i="5"/>
  <c r="AF159" i="5"/>
  <c r="AZ728" i="5"/>
  <c r="BA729" i="5" s="1"/>
  <c r="BB728" i="5"/>
  <c r="AG158" i="5"/>
  <c r="AJ158" i="5" s="1"/>
  <c r="AO158" i="5"/>
  <c r="AR158" i="5" s="1"/>
  <c r="D134" i="6"/>
  <c r="BC159" i="5"/>
  <c r="Q158" i="5"/>
  <c r="V158" i="5" s="1"/>
  <c r="F133" i="6"/>
  <c r="E134" i="6"/>
  <c r="C160" i="5"/>
  <c r="BU160" i="5" s="1"/>
  <c r="N158" i="5"/>
  <c r="AS158" i="5"/>
  <c r="AV158" i="5" s="1"/>
  <c r="G672" i="6"/>
  <c r="H672" i="6"/>
  <c r="I672" i="6"/>
  <c r="B672" i="6"/>
  <c r="C672" i="6"/>
  <c r="E672" i="6"/>
  <c r="D672" i="6"/>
  <c r="F672" i="6"/>
  <c r="A672" i="6"/>
  <c r="CG695" i="5"/>
  <c r="CF696" i="5"/>
  <c r="B698" i="5"/>
  <c r="CC639" i="5"/>
  <c r="CB640" i="5"/>
  <c r="BT160" i="5" l="1"/>
  <c r="BV160" i="5"/>
  <c r="BS160" i="5"/>
  <c r="CI160" i="5"/>
  <c r="BR732" i="5"/>
  <c r="BH160" i="5"/>
  <c r="BI160" i="5" s="1"/>
  <c r="BJ160" i="5" s="1"/>
  <c r="AZ729" i="5"/>
  <c r="BA730" i="5" s="1"/>
  <c r="BB729" i="5"/>
  <c r="X158" i="5"/>
  <c r="Y158" i="5" s="1"/>
  <c r="G133" i="6"/>
  <c r="BF159" i="5"/>
  <c r="BD159" i="5"/>
  <c r="BE160" i="5" s="1"/>
  <c r="CZ159" i="5"/>
  <c r="D160" i="5"/>
  <c r="CR160" i="5"/>
  <c r="CW160" i="5"/>
  <c r="C135" i="6"/>
  <c r="AC160" i="5"/>
  <c r="AB160" i="5"/>
  <c r="L160" i="5" s="1"/>
  <c r="AK160" i="5"/>
  <c r="CL160" i="5"/>
  <c r="CM160" i="5" s="1"/>
  <c r="CY160" i="5"/>
  <c r="BK160" i="5"/>
  <c r="BL160" i="5" s="1"/>
  <c r="BM160" i="5" s="1"/>
  <c r="CX160" i="5"/>
  <c r="CS160" i="5"/>
  <c r="BG159" i="5"/>
  <c r="H159" i="5" s="1"/>
  <c r="AX160" i="5"/>
  <c r="AW160" i="5" s="1"/>
  <c r="CU160" i="5"/>
  <c r="BX160" i="5" s="1"/>
  <c r="G673" i="6"/>
  <c r="H673" i="6"/>
  <c r="I673" i="6"/>
  <c r="B673" i="6"/>
  <c r="C673" i="6"/>
  <c r="E673" i="6"/>
  <c r="D673" i="6"/>
  <c r="F673" i="6"/>
  <c r="A673" i="6"/>
  <c r="B699" i="5"/>
  <c r="CG696" i="5"/>
  <c r="CF697" i="5"/>
  <c r="CC640" i="5"/>
  <c r="CB641" i="5"/>
  <c r="BR733" i="5" l="1"/>
  <c r="CH160" i="5"/>
  <c r="CK160" i="5"/>
  <c r="CJ160" i="5" s="1"/>
  <c r="AD160" i="5"/>
  <c r="AE160" i="5" s="1"/>
  <c r="AZ730" i="5"/>
  <c r="BA731" i="5" s="1"/>
  <c r="BB730" i="5"/>
  <c r="DA160" i="5"/>
  <c r="DB160" i="5" s="1"/>
  <c r="K160" i="5" s="1"/>
  <c r="BN160" i="5"/>
  <c r="BO160" i="5" s="1"/>
  <c r="BP160" i="5" s="1"/>
  <c r="G160" i="5" s="1"/>
  <c r="T160" i="5"/>
  <c r="U160" i="5" s="1"/>
  <c r="W160" i="5"/>
  <c r="CT160" i="5"/>
  <c r="CV160" i="5"/>
  <c r="CP160" i="5"/>
  <c r="CQ160" i="5" s="1"/>
  <c r="R160" i="5" s="1"/>
  <c r="S160" i="5" s="1"/>
  <c r="AM160" i="5"/>
  <c r="AL161" i="5" s="1"/>
  <c r="H133" i="6"/>
  <c r="Z158" i="5"/>
  <c r="I159" i="5"/>
  <c r="AH159" i="5" s="1"/>
  <c r="G674" i="6"/>
  <c r="H674" i="6"/>
  <c r="I674" i="6"/>
  <c r="B674" i="6"/>
  <c r="C674" i="6"/>
  <c r="E674" i="6"/>
  <c r="D674" i="6"/>
  <c r="F674" i="6"/>
  <c r="A674" i="6"/>
  <c r="CG697" i="5"/>
  <c r="CF698" i="5"/>
  <c r="B700" i="5"/>
  <c r="CC641" i="5"/>
  <c r="CB642" i="5"/>
  <c r="BR734" i="5" l="1"/>
  <c r="AZ731" i="5"/>
  <c r="BA732" i="5" s="1"/>
  <c r="AZ732" i="5" s="1"/>
  <c r="BA733" i="5" s="1"/>
  <c r="BB731" i="5"/>
  <c r="AA158" i="5"/>
  <c r="I133" i="6" s="1"/>
  <c r="CN160" i="5"/>
  <c r="E160" i="5" s="1"/>
  <c r="CO160" i="5"/>
  <c r="F160" i="5" s="1"/>
  <c r="P159" i="5"/>
  <c r="AY159" i="5" s="1"/>
  <c r="M159" i="5"/>
  <c r="AG159" i="5" s="1"/>
  <c r="AT159" i="5"/>
  <c r="AP159" i="5"/>
  <c r="G675" i="6"/>
  <c r="H675" i="6"/>
  <c r="I675" i="6"/>
  <c r="B675" i="6"/>
  <c r="C675" i="6"/>
  <c r="E675" i="6"/>
  <c r="D675" i="6"/>
  <c r="F675" i="6"/>
  <c r="A675" i="6"/>
  <c r="B701" i="5"/>
  <c r="CG698" i="5"/>
  <c r="CF699" i="5"/>
  <c r="CC642" i="5"/>
  <c r="CB643" i="5"/>
  <c r="BW160" i="5" l="1"/>
  <c r="BY160" i="5"/>
  <c r="J160" i="5" s="1"/>
  <c r="AF160" i="5" s="1"/>
  <c r="BR735" i="5"/>
  <c r="AZ733" i="5"/>
  <c r="BA734" i="5" s="1"/>
  <c r="BB733" i="5"/>
  <c r="AJ159" i="5"/>
  <c r="N159" i="5"/>
  <c r="AS159" i="5"/>
  <c r="AV159" i="5" s="1"/>
  <c r="AO159" i="5"/>
  <c r="AR159" i="5" s="1"/>
  <c r="F134" i="6"/>
  <c r="Q159" i="5"/>
  <c r="V159" i="5" s="1"/>
  <c r="E135" i="6"/>
  <c r="C161" i="5"/>
  <c r="BU161" i="5" s="1"/>
  <c r="D135" i="6"/>
  <c r="BC160" i="5"/>
  <c r="G676" i="6"/>
  <c r="H676" i="6"/>
  <c r="I676" i="6"/>
  <c r="B676" i="6"/>
  <c r="C676" i="6"/>
  <c r="E676" i="6"/>
  <c r="D676" i="6"/>
  <c r="F676" i="6"/>
  <c r="A676" i="6"/>
  <c r="CG699" i="5"/>
  <c r="CF700" i="5"/>
  <c r="B702" i="5"/>
  <c r="CC643" i="5"/>
  <c r="CB644" i="5"/>
  <c r="AN160" i="5" l="1"/>
  <c r="BV161" i="5"/>
  <c r="BT161" i="5"/>
  <c r="BS161" i="5"/>
  <c r="CI161" i="5"/>
  <c r="BR736" i="5"/>
  <c r="BH161" i="5"/>
  <c r="BI161" i="5" s="1"/>
  <c r="BJ161" i="5" s="1"/>
  <c r="AZ734" i="5"/>
  <c r="BA735" i="5" s="1"/>
  <c r="BB734" i="5"/>
  <c r="X159" i="5"/>
  <c r="Y159" i="5" s="1"/>
  <c r="AC161" i="5"/>
  <c r="AD161" i="5" s="1"/>
  <c r="CR161" i="5"/>
  <c r="CL161" i="5"/>
  <c r="CM161" i="5" s="1"/>
  <c r="AK161" i="5"/>
  <c r="CS161" i="5"/>
  <c r="AB161" i="5"/>
  <c r="CP161" i="5" s="1"/>
  <c r="CQ161" i="5" s="1"/>
  <c r="R161" i="5" s="1"/>
  <c r="S161" i="5" s="1"/>
  <c r="CY161" i="5"/>
  <c r="CX161" i="5"/>
  <c r="C136" i="6"/>
  <c r="CW161" i="5"/>
  <c r="D161" i="5"/>
  <c r="BK161" i="5"/>
  <c r="BL161" i="5" s="1"/>
  <c r="BM161" i="5" s="1"/>
  <c r="BG160" i="5"/>
  <c r="H160" i="5" s="1"/>
  <c r="AX161" i="5"/>
  <c r="AW161" i="5" s="1"/>
  <c r="CU161" i="5"/>
  <c r="BX161" i="5" s="1"/>
  <c r="G134" i="6"/>
  <c r="BF160" i="5"/>
  <c r="CZ160" i="5"/>
  <c r="BD160" i="5"/>
  <c r="BE161" i="5" s="1"/>
  <c r="G677" i="6"/>
  <c r="H677" i="6"/>
  <c r="I677" i="6"/>
  <c r="C677" i="6"/>
  <c r="E677" i="6"/>
  <c r="B677" i="6"/>
  <c r="D677" i="6"/>
  <c r="F677" i="6"/>
  <c r="A677" i="6"/>
  <c r="B703" i="5"/>
  <c r="CG700" i="5"/>
  <c r="CF701" i="5"/>
  <c r="CC644" i="5"/>
  <c r="CB645" i="5"/>
  <c r="BR737" i="5" l="1"/>
  <c r="CH161" i="5"/>
  <c r="CK161" i="5"/>
  <c r="CJ161" i="5" s="1"/>
  <c r="AZ735" i="5"/>
  <c r="BA736" i="5" s="1"/>
  <c r="BB735" i="5"/>
  <c r="L161" i="5"/>
  <c r="DA161" i="5"/>
  <c r="DB161" i="5" s="1"/>
  <c r="K161" i="5" s="1"/>
  <c r="CV161" i="5"/>
  <c r="CT161" i="5"/>
  <c r="BN161" i="5"/>
  <c r="BO161" i="5" s="1"/>
  <c r="BP161" i="5" s="1"/>
  <c r="G161" i="5" s="1"/>
  <c r="I160" i="5"/>
  <c r="AH160" i="5" s="1"/>
  <c r="AM161" i="5"/>
  <c r="AL162" i="5" s="1"/>
  <c r="T161" i="5"/>
  <c r="U161" i="5" s="1"/>
  <c r="W161" i="5"/>
  <c r="H134" i="6"/>
  <c r="Z159" i="5"/>
  <c r="AE161" i="5"/>
  <c r="G678" i="6"/>
  <c r="H678" i="6"/>
  <c r="I678" i="6"/>
  <c r="C678" i="6"/>
  <c r="E678" i="6"/>
  <c r="F678" i="6"/>
  <c r="D678" i="6"/>
  <c r="B678" i="6"/>
  <c r="A678" i="6"/>
  <c r="CF702" i="5"/>
  <c r="CG701" i="5"/>
  <c r="B704" i="5"/>
  <c r="CC645" i="5"/>
  <c r="CB646" i="5"/>
  <c r="BR738" i="5" l="1"/>
  <c r="AZ736" i="5"/>
  <c r="BA737" i="5" s="1"/>
  <c r="BB736" i="5"/>
  <c r="AT160" i="5"/>
  <c r="AP160" i="5"/>
  <c r="M160" i="5"/>
  <c r="P160" i="5"/>
  <c r="AA159" i="5"/>
  <c r="I134" i="6" s="1"/>
  <c r="CO161" i="5"/>
  <c r="F161" i="5" s="1"/>
  <c r="CN161" i="5"/>
  <c r="E161" i="5" s="1"/>
  <c r="G679" i="6"/>
  <c r="H679" i="6"/>
  <c r="I679" i="6"/>
  <c r="C679" i="6"/>
  <c r="E679" i="6"/>
  <c r="B679" i="6"/>
  <c r="D679" i="6"/>
  <c r="F679" i="6"/>
  <c r="A679" i="6"/>
  <c r="B705" i="5"/>
  <c r="CG702" i="5"/>
  <c r="CF703" i="5"/>
  <c r="CB647" i="5"/>
  <c r="CC646" i="5"/>
  <c r="BW161" i="5" l="1"/>
  <c r="BY161" i="5"/>
  <c r="J161" i="5" s="1"/>
  <c r="AN161" i="5" s="1"/>
  <c r="BB160" i="5"/>
  <c r="AY160" i="5"/>
  <c r="BR739" i="5"/>
  <c r="AF161" i="5"/>
  <c r="AZ737" i="5"/>
  <c r="BA738" i="5" s="1"/>
  <c r="BB737" i="5"/>
  <c r="AO160" i="5"/>
  <c r="AR160" i="5" s="1"/>
  <c r="AG160" i="5"/>
  <c r="AJ160" i="5" s="1"/>
  <c r="F135" i="6"/>
  <c r="Q160" i="5"/>
  <c r="V160" i="5" s="1"/>
  <c r="E136" i="6"/>
  <c r="C162" i="5"/>
  <c r="BU162" i="5" s="1"/>
  <c r="D136" i="6"/>
  <c r="BC161" i="5"/>
  <c r="N160" i="5"/>
  <c r="AS160" i="5"/>
  <c r="AV160" i="5" s="1"/>
  <c r="G680" i="6"/>
  <c r="H680" i="6"/>
  <c r="I680" i="6"/>
  <c r="C680" i="6"/>
  <c r="E680" i="6"/>
  <c r="B680" i="6"/>
  <c r="D680" i="6"/>
  <c r="F680" i="6"/>
  <c r="A680" i="6"/>
  <c r="B706" i="5"/>
  <c r="CG703" i="5"/>
  <c r="CF704" i="5"/>
  <c r="CC647" i="5"/>
  <c r="CB648" i="5"/>
  <c r="BV162" i="5" l="1"/>
  <c r="BT162" i="5"/>
  <c r="BS162" i="5"/>
  <c r="CI162" i="5"/>
  <c r="BR740" i="5"/>
  <c r="BH162" i="5"/>
  <c r="BI162" i="5" s="1"/>
  <c r="BJ162" i="5" s="1"/>
  <c r="AZ738" i="5"/>
  <c r="BA739" i="5" s="1"/>
  <c r="BB738" i="5"/>
  <c r="X160" i="5"/>
  <c r="Y160" i="5" s="1"/>
  <c r="BD161" i="5"/>
  <c r="BE162" i="5" s="1"/>
  <c r="BF161" i="5"/>
  <c r="CZ161" i="5"/>
  <c r="BK162" i="5"/>
  <c r="BL162" i="5" s="1"/>
  <c r="BM162" i="5" s="1"/>
  <c r="AC162" i="5"/>
  <c r="AD162" i="5" s="1"/>
  <c r="AB162" i="5"/>
  <c r="DA162" i="5" s="1"/>
  <c r="DB162" i="5" s="1"/>
  <c r="CR162" i="5"/>
  <c r="CS162" i="5"/>
  <c r="D162" i="5"/>
  <c r="CW162" i="5"/>
  <c r="AK162" i="5"/>
  <c r="AM162" i="5" s="1"/>
  <c r="AL163" i="5" s="1"/>
  <c r="C137" i="6"/>
  <c r="CL162" i="5"/>
  <c r="CM162" i="5" s="1"/>
  <c r="CY162" i="5"/>
  <c r="CX162" i="5"/>
  <c r="BG161" i="5"/>
  <c r="H161" i="5" s="1"/>
  <c r="AX162" i="5"/>
  <c r="AW162" i="5" s="1"/>
  <c r="CU162" i="5"/>
  <c r="BX162" i="5" s="1"/>
  <c r="G135" i="6"/>
  <c r="G681" i="6"/>
  <c r="H681" i="6"/>
  <c r="I681" i="6"/>
  <c r="C681" i="6"/>
  <c r="E681" i="6"/>
  <c r="F681" i="6"/>
  <c r="D681" i="6"/>
  <c r="B681" i="6"/>
  <c r="A681" i="6"/>
  <c r="CG704" i="5"/>
  <c r="CF705" i="5"/>
  <c r="B707" i="5"/>
  <c r="CC648" i="5"/>
  <c r="CB649" i="5"/>
  <c r="BR741" i="5" l="1"/>
  <c r="CK162" i="5"/>
  <c r="CJ162" i="5" s="1"/>
  <c r="K162" i="5" s="1"/>
  <c r="CH162" i="5"/>
  <c r="AZ739" i="5"/>
  <c r="BA740" i="5" s="1"/>
  <c r="BB739" i="5"/>
  <c r="CP162" i="5"/>
  <c r="CQ162" i="5" s="1"/>
  <c r="R162" i="5" s="1"/>
  <c r="S162" i="5" s="1"/>
  <c r="BN162" i="5"/>
  <c r="BO162" i="5" s="1"/>
  <c r="BP162" i="5" s="1"/>
  <c r="G162" i="5" s="1"/>
  <c r="L162" i="5"/>
  <c r="AE162" i="5"/>
  <c r="H135" i="6"/>
  <c r="Z160" i="5"/>
  <c r="T162" i="5"/>
  <c r="U162" i="5" s="1"/>
  <c r="W162" i="5"/>
  <c r="CT162" i="5"/>
  <c r="CV162" i="5"/>
  <c r="I161" i="5"/>
  <c r="AP161" i="5" s="1"/>
  <c r="G682" i="6"/>
  <c r="H682" i="6"/>
  <c r="I682" i="6"/>
  <c r="C682" i="6"/>
  <c r="E682" i="6"/>
  <c r="B682" i="6"/>
  <c r="D682" i="6"/>
  <c r="F682" i="6"/>
  <c r="A682" i="6"/>
  <c r="B708" i="5"/>
  <c r="CG705" i="5"/>
  <c r="CF706" i="5"/>
  <c r="CC649" i="5"/>
  <c r="CB650" i="5"/>
  <c r="BR742" i="5" l="1"/>
  <c r="AZ740" i="5"/>
  <c r="BA741" i="5" s="1"/>
  <c r="BB740" i="5"/>
  <c r="AA160" i="5"/>
  <c r="I135" i="6" s="1"/>
  <c r="CO162" i="5"/>
  <c r="F162" i="5" s="1"/>
  <c r="CN162" i="5"/>
  <c r="E162" i="5" s="1"/>
  <c r="M161" i="5"/>
  <c r="P161" i="5"/>
  <c r="AY161" i="5" s="1"/>
  <c r="AT161" i="5"/>
  <c r="AH161" i="5"/>
  <c r="G683" i="6"/>
  <c r="H683" i="6"/>
  <c r="I683" i="6"/>
  <c r="C683" i="6"/>
  <c r="E683" i="6"/>
  <c r="B683" i="6"/>
  <c r="F683" i="6"/>
  <c r="D683" i="6"/>
  <c r="A683" i="6"/>
  <c r="CG706" i="5"/>
  <c r="CF707" i="5"/>
  <c r="B709" i="5"/>
  <c r="CC650" i="5"/>
  <c r="CB651" i="5"/>
  <c r="BY162" i="5" l="1"/>
  <c r="J162" i="5" s="1"/>
  <c r="AF162" i="5" s="1"/>
  <c r="BW162" i="5"/>
  <c r="BR743" i="5"/>
  <c r="AZ741" i="5"/>
  <c r="BA742" i="5" s="1"/>
  <c r="BB741" i="5"/>
  <c r="AS161" i="5"/>
  <c r="AV161" i="5" s="1"/>
  <c r="AO161" i="5"/>
  <c r="AR161" i="5" s="1"/>
  <c r="Q161" i="5"/>
  <c r="V161" i="5" s="1"/>
  <c r="F136" i="6"/>
  <c r="N161" i="5"/>
  <c r="AG161" i="5"/>
  <c r="BC162" i="5"/>
  <c r="D137" i="6"/>
  <c r="E137" i="6"/>
  <c r="C163" i="5"/>
  <c r="BU163" i="5" s="1"/>
  <c r="G684" i="6"/>
  <c r="H684" i="6"/>
  <c r="I684" i="6"/>
  <c r="C684" i="6"/>
  <c r="E684" i="6"/>
  <c r="D684" i="6"/>
  <c r="F684" i="6"/>
  <c r="B684" i="6"/>
  <c r="A684" i="6"/>
  <c r="B710" i="5"/>
  <c r="CG707" i="5"/>
  <c r="CF708" i="5"/>
  <c r="CC651" i="5"/>
  <c r="CB652" i="5"/>
  <c r="AN162" i="5" l="1"/>
  <c r="BT163" i="5"/>
  <c r="BV163" i="5"/>
  <c r="BS163" i="5"/>
  <c r="CI163" i="5"/>
  <c r="BR744" i="5"/>
  <c r="BH163" i="5"/>
  <c r="BI163" i="5" s="1"/>
  <c r="BJ163" i="5" s="1"/>
  <c r="AZ742" i="5"/>
  <c r="BA743" i="5" s="1"/>
  <c r="BB742" i="5"/>
  <c r="BF162" i="5"/>
  <c r="CZ162" i="5"/>
  <c r="BD162" i="5"/>
  <c r="BE163" i="5" s="1"/>
  <c r="AJ161" i="5"/>
  <c r="CR163" i="5"/>
  <c r="C138" i="6"/>
  <c r="AC163" i="5"/>
  <c r="AD163" i="5" s="1"/>
  <c r="CW163" i="5"/>
  <c r="CS163" i="5"/>
  <c r="AB163" i="5"/>
  <c r="CP163" i="5" s="1"/>
  <c r="CQ163" i="5" s="1"/>
  <c r="R163" i="5" s="1"/>
  <c r="S163" i="5" s="1"/>
  <c r="CX163" i="5"/>
  <c r="D163" i="5"/>
  <c r="AK163" i="5"/>
  <c r="AM163" i="5" s="1"/>
  <c r="AL164" i="5" s="1"/>
  <c r="BK163" i="5"/>
  <c r="BL163" i="5" s="1"/>
  <c r="BM163" i="5" s="1"/>
  <c r="CY163" i="5"/>
  <c r="CL163" i="5"/>
  <c r="CM163" i="5" s="1"/>
  <c r="BG162" i="5"/>
  <c r="H162" i="5" s="1"/>
  <c r="AX163" i="5"/>
  <c r="AW163" i="5" s="1"/>
  <c r="CU163" i="5"/>
  <c r="BX163" i="5" s="1"/>
  <c r="G136" i="6"/>
  <c r="G685" i="6"/>
  <c r="H685" i="6"/>
  <c r="I685" i="6"/>
  <c r="C685" i="6"/>
  <c r="E685" i="6"/>
  <c r="B685" i="6"/>
  <c r="F685" i="6"/>
  <c r="D685" i="6"/>
  <c r="A685" i="6"/>
  <c r="CG708" i="5"/>
  <c r="CF709" i="5"/>
  <c r="B711" i="5"/>
  <c r="CC652" i="5"/>
  <c r="CB653" i="5"/>
  <c r="BR745" i="5" l="1"/>
  <c r="CH163" i="5"/>
  <c r="CK163" i="5"/>
  <c r="CJ163" i="5" s="1"/>
  <c r="AZ743" i="5"/>
  <c r="BA744" i="5" s="1"/>
  <c r="BB743" i="5"/>
  <c r="X161" i="5"/>
  <c r="Y161" i="5" s="1"/>
  <c r="DA163" i="5"/>
  <c r="DB163" i="5" s="1"/>
  <c r="K163" i="5" s="1"/>
  <c r="L163" i="5"/>
  <c r="AE163" i="5"/>
  <c r="T163" i="5"/>
  <c r="U163" i="5" s="1"/>
  <c r="W163" i="5"/>
  <c r="CV163" i="5"/>
  <c r="CT163" i="5"/>
  <c r="BN163" i="5"/>
  <c r="BO163" i="5" s="1"/>
  <c r="BP163" i="5" s="1"/>
  <c r="G163" i="5" s="1"/>
  <c r="I162" i="5"/>
  <c r="AH162" i="5" s="1"/>
  <c r="G686" i="6"/>
  <c r="H686" i="6"/>
  <c r="I686" i="6"/>
  <c r="C686" i="6"/>
  <c r="E686" i="6"/>
  <c r="F686" i="6"/>
  <c r="D686" i="6"/>
  <c r="B686" i="6"/>
  <c r="A686" i="6"/>
  <c r="B712" i="5"/>
  <c r="CG709" i="5"/>
  <c r="CF710" i="5"/>
  <c r="CC653" i="5"/>
  <c r="CB654" i="5"/>
  <c r="BR746" i="5" l="1"/>
  <c r="AZ744" i="5"/>
  <c r="BA745" i="5" s="1"/>
  <c r="BB744" i="5"/>
  <c r="Z161" i="5"/>
  <c r="AA161" i="5" s="1"/>
  <c r="I136" i="6" s="1"/>
  <c r="H136" i="6"/>
  <c r="AT162" i="5"/>
  <c r="AP162" i="5"/>
  <c r="CO163" i="5"/>
  <c r="F163" i="5" s="1"/>
  <c r="CN163" i="5"/>
  <c r="E163" i="5" s="1"/>
  <c r="P162" i="5"/>
  <c r="AY162" i="5" s="1"/>
  <c r="M162" i="5"/>
  <c r="AG162" i="5" s="1"/>
  <c r="AJ162" i="5" s="1"/>
  <c r="G687" i="6"/>
  <c r="H687" i="6"/>
  <c r="I687" i="6"/>
  <c r="C687" i="6"/>
  <c r="E687" i="6"/>
  <c r="B687" i="6"/>
  <c r="D687" i="6"/>
  <c r="F687" i="6"/>
  <c r="A687" i="6"/>
  <c r="CG710" i="5"/>
  <c r="CF711" i="5"/>
  <c r="B713" i="5"/>
  <c r="CC654" i="5"/>
  <c r="CB655" i="5"/>
  <c r="BR747" i="5" l="1"/>
  <c r="AZ745" i="5"/>
  <c r="BA746" i="5" s="1"/>
  <c r="BB745" i="5"/>
  <c r="N162" i="5"/>
  <c r="AS162" i="5"/>
  <c r="AV162" i="5" s="1"/>
  <c r="AO162" i="5"/>
  <c r="AR162" i="5" s="1"/>
  <c r="D138" i="6"/>
  <c r="BC163" i="5"/>
  <c r="C164" i="5"/>
  <c r="BU164" i="5" s="1"/>
  <c r="E138" i="6"/>
  <c r="Q162" i="5"/>
  <c r="V162" i="5" s="1"/>
  <c r="F137" i="6"/>
  <c r="G688" i="6"/>
  <c r="H688" i="6"/>
  <c r="I688" i="6"/>
  <c r="C688" i="6"/>
  <c r="E688" i="6"/>
  <c r="B688" i="6"/>
  <c r="D688" i="6"/>
  <c r="F688" i="6"/>
  <c r="A688" i="6"/>
  <c r="B714" i="5"/>
  <c r="CG711" i="5"/>
  <c r="CF712" i="5"/>
  <c r="CC655" i="5"/>
  <c r="CB656" i="5"/>
  <c r="BW163" i="5" l="1"/>
  <c r="BY163" i="5"/>
  <c r="J163" i="5" s="1"/>
  <c r="BT164" i="5"/>
  <c r="BV164" i="5"/>
  <c r="BS164" i="5"/>
  <c r="CI164" i="5"/>
  <c r="BR748" i="5"/>
  <c r="BH164" i="5"/>
  <c r="BI164" i="5" s="1"/>
  <c r="BJ164" i="5" s="1"/>
  <c r="AZ746" i="5"/>
  <c r="BA747" i="5" s="1"/>
  <c r="BB746" i="5"/>
  <c r="X162" i="5"/>
  <c r="Y162" i="5" s="1"/>
  <c r="G137" i="6"/>
  <c r="CW164" i="5"/>
  <c r="CR164" i="5"/>
  <c r="BK164" i="5"/>
  <c r="BL164" i="5" s="1"/>
  <c r="BM164" i="5" s="1"/>
  <c r="C139" i="6"/>
  <c r="AK164" i="5"/>
  <c r="CY164" i="5"/>
  <c r="AB164" i="5"/>
  <c r="BN164" i="5" s="1"/>
  <c r="BO164" i="5" s="1"/>
  <c r="BP164" i="5" s="1"/>
  <c r="D164" i="5"/>
  <c r="AC164" i="5"/>
  <c r="CL164" i="5"/>
  <c r="CM164" i="5" s="1"/>
  <c r="CX164" i="5"/>
  <c r="CS164" i="5"/>
  <c r="BG163" i="5"/>
  <c r="H163" i="5" s="1"/>
  <c r="AX164" i="5"/>
  <c r="AW164" i="5" s="1"/>
  <c r="CU164" i="5"/>
  <c r="CZ163" i="5"/>
  <c r="BD163" i="5"/>
  <c r="BE164" i="5" s="1"/>
  <c r="BF163" i="5"/>
  <c r="D689" i="6"/>
  <c r="E689" i="6"/>
  <c r="H689" i="6"/>
  <c r="F689" i="6"/>
  <c r="G689" i="6"/>
  <c r="I689" i="6"/>
  <c r="B689" i="6"/>
  <c r="C689" i="6"/>
  <c r="A689" i="6"/>
  <c r="CG712" i="5"/>
  <c r="CF713" i="5"/>
  <c r="B715" i="5"/>
  <c r="CC656" i="5"/>
  <c r="CB657" i="5"/>
  <c r="AF163" i="5" l="1"/>
  <c r="AN163" i="5"/>
  <c r="BX164" i="5"/>
  <c r="G164" i="5"/>
  <c r="BR749" i="5"/>
  <c r="CH164" i="5"/>
  <c r="CK164" i="5"/>
  <c r="CJ164" i="5" s="1"/>
  <c r="AD164" i="5"/>
  <c r="AE164" i="5" s="1"/>
  <c r="AZ747" i="5"/>
  <c r="BA748" i="5" s="1"/>
  <c r="BB747" i="5"/>
  <c r="DA164" i="5"/>
  <c r="DB164" i="5" s="1"/>
  <c r="I163" i="5"/>
  <c r="AP163" i="5" s="1"/>
  <c r="AM164" i="5"/>
  <c r="AL165" i="5" s="1"/>
  <c r="W164" i="5"/>
  <c r="T164" i="5"/>
  <c r="U164" i="5" s="1"/>
  <c r="H137" i="6"/>
  <c r="Z162" i="5"/>
  <c r="L164" i="5"/>
  <c r="CV164" i="5"/>
  <c r="CT164" i="5"/>
  <c r="CP164" i="5"/>
  <c r="CQ164" i="5" s="1"/>
  <c r="R164" i="5" s="1"/>
  <c r="S164" i="5" s="1"/>
  <c r="D690" i="6"/>
  <c r="E690" i="6"/>
  <c r="H690" i="6"/>
  <c r="C690" i="6"/>
  <c r="F690" i="6"/>
  <c r="G690" i="6"/>
  <c r="B690" i="6"/>
  <c r="I690" i="6"/>
  <c r="A690" i="6"/>
  <c r="B716" i="5"/>
  <c r="CG713" i="5"/>
  <c r="CF714" i="5"/>
  <c r="CC657" i="5"/>
  <c r="CB658" i="5"/>
  <c r="K164" i="5" l="1"/>
  <c r="BR750" i="5"/>
  <c r="AZ748" i="5"/>
  <c r="BA749" i="5" s="1"/>
  <c r="BB748" i="5"/>
  <c r="AT163" i="5"/>
  <c r="AH163" i="5"/>
  <c r="CN164" i="5"/>
  <c r="E164" i="5" s="1"/>
  <c r="CO164" i="5"/>
  <c r="F164" i="5" s="1"/>
  <c r="AA162" i="5"/>
  <c r="I137" i="6" s="1"/>
  <c r="P163" i="5"/>
  <c r="AY163" i="5" s="1"/>
  <c r="M163" i="5"/>
  <c r="D691" i="6"/>
  <c r="H691" i="6"/>
  <c r="B691" i="6"/>
  <c r="E691" i="6"/>
  <c r="F691" i="6"/>
  <c r="G691" i="6"/>
  <c r="C691" i="6"/>
  <c r="I691" i="6"/>
  <c r="A691" i="6"/>
  <c r="CG714" i="5"/>
  <c r="CF715" i="5"/>
  <c r="B717" i="5"/>
  <c r="CC658" i="5"/>
  <c r="CB659" i="5"/>
  <c r="BW164" i="5" l="1"/>
  <c r="BY164" i="5"/>
  <c r="J164" i="5" s="1"/>
  <c r="BR751" i="5"/>
  <c r="AZ749" i="5"/>
  <c r="BA750" i="5" s="1"/>
  <c r="BB749" i="5"/>
  <c r="AS163" i="5"/>
  <c r="AV163" i="5" s="1"/>
  <c r="AO163" i="5"/>
  <c r="AR163" i="5" s="1"/>
  <c r="N163" i="5"/>
  <c r="AG163" i="5"/>
  <c r="AJ163" i="5" s="1"/>
  <c r="E139" i="6"/>
  <c r="C165" i="5"/>
  <c r="BU165" i="5" s="1"/>
  <c r="BC164" i="5"/>
  <c r="D139" i="6"/>
  <c r="F138" i="6"/>
  <c r="Q163" i="5"/>
  <c r="V163" i="5" s="1"/>
  <c r="D692" i="6"/>
  <c r="E692" i="6"/>
  <c r="B692" i="6"/>
  <c r="F692" i="6"/>
  <c r="H692" i="6"/>
  <c r="C692" i="6"/>
  <c r="G692" i="6"/>
  <c r="I692" i="6"/>
  <c r="A692" i="6"/>
  <c r="B718" i="5"/>
  <c r="CG715" i="5"/>
  <c r="CF716" i="5"/>
  <c r="CC659" i="5"/>
  <c r="CB660" i="5"/>
  <c r="AN164" i="5" l="1"/>
  <c r="AF164" i="5"/>
  <c r="BT165" i="5"/>
  <c r="BV165" i="5"/>
  <c r="BS165" i="5"/>
  <c r="CI165" i="5"/>
  <c r="BR752" i="5"/>
  <c r="BH165" i="5"/>
  <c r="BI165" i="5" s="1"/>
  <c r="BJ165" i="5" s="1"/>
  <c r="AZ750" i="5"/>
  <c r="BA751" i="5" s="1"/>
  <c r="BB750" i="5"/>
  <c r="X163" i="5"/>
  <c r="Y163" i="5" s="1"/>
  <c r="G138" i="6"/>
  <c r="BF164" i="5"/>
  <c r="CZ164" i="5"/>
  <c r="BD164" i="5"/>
  <c r="BE165" i="5" s="1"/>
  <c r="CY165" i="5"/>
  <c r="CR165" i="5"/>
  <c r="CX165" i="5"/>
  <c r="CW165" i="5"/>
  <c r="C140" i="6"/>
  <c r="AK165" i="5"/>
  <c r="BK165" i="5"/>
  <c r="BL165" i="5" s="1"/>
  <c r="BM165" i="5" s="1"/>
  <c r="AC165" i="5"/>
  <c r="AD165" i="5" s="1"/>
  <c r="CS165" i="5"/>
  <c r="D165" i="5"/>
  <c r="CL165" i="5"/>
  <c r="CM165" i="5" s="1"/>
  <c r="AB165" i="5"/>
  <c r="CP165" i="5" s="1"/>
  <c r="CQ165" i="5" s="1"/>
  <c r="R165" i="5" s="1"/>
  <c r="S165" i="5" s="1"/>
  <c r="BG164" i="5"/>
  <c r="H164" i="5" s="1"/>
  <c r="AX165" i="5"/>
  <c r="AW165" i="5" s="1"/>
  <c r="CU165" i="5"/>
  <c r="BX165" i="5" s="1"/>
  <c r="D693" i="6"/>
  <c r="E693" i="6"/>
  <c r="F693" i="6"/>
  <c r="G693" i="6"/>
  <c r="H693" i="6"/>
  <c r="C693" i="6"/>
  <c r="I693" i="6"/>
  <c r="B693" i="6"/>
  <c r="A693" i="6"/>
  <c r="B719" i="5"/>
  <c r="CG716" i="5"/>
  <c r="CF717" i="5"/>
  <c r="CC660" i="5"/>
  <c r="CB661" i="5"/>
  <c r="BR753" i="5" l="1"/>
  <c r="CH165" i="5"/>
  <c r="CK165" i="5"/>
  <c r="CJ165" i="5" s="1"/>
  <c r="AZ751" i="5"/>
  <c r="BA752" i="5" s="1"/>
  <c r="BB751" i="5"/>
  <c r="DA165" i="5"/>
  <c r="DB165" i="5" s="1"/>
  <c r="K165" i="5" s="1"/>
  <c r="BN165" i="5"/>
  <c r="BO165" i="5" s="1"/>
  <c r="BP165" i="5" s="1"/>
  <c r="G165" i="5" s="1"/>
  <c r="W165" i="5"/>
  <c r="T165" i="5"/>
  <c r="U165" i="5" s="1"/>
  <c r="I164" i="5"/>
  <c r="AE165" i="5"/>
  <c r="L165" i="5"/>
  <c r="AM165" i="5"/>
  <c r="AL166" i="5" s="1"/>
  <c r="CV165" i="5"/>
  <c r="CT165" i="5"/>
  <c r="H138" i="6"/>
  <c r="Z163" i="5"/>
  <c r="D694" i="6"/>
  <c r="C694" i="6"/>
  <c r="E694" i="6"/>
  <c r="B694" i="6"/>
  <c r="F694" i="6"/>
  <c r="G694" i="6"/>
  <c r="H694" i="6"/>
  <c r="I694" i="6"/>
  <c r="A694" i="6"/>
  <c r="CG717" i="5"/>
  <c r="CF718" i="5"/>
  <c r="B720" i="5"/>
  <c r="CC661" i="5"/>
  <c r="CB662" i="5"/>
  <c r="AZ752" i="5" l="1"/>
  <c r="BA753" i="5" s="1"/>
  <c r="BB752" i="5"/>
  <c r="AH164" i="5"/>
  <c r="AT164" i="5"/>
  <c r="AP164" i="5"/>
  <c r="CN165" i="5"/>
  <c r="E165" i="5" s="1"/>
  <c r="CO165" i="5"/>
  <c r="F165" i="5" s="1"/>
  <c r="M164" i="5"/>
  <c r="P164" i="5"/>
  <c r="AY164" i="5" s="1"/>
  <c r="AA163" i="5"/>
  <c r="I138" i="6" s="1"/>
  <c r="D695" i="6"/>
  <c r="E695" i="6"/>
  <c r="H695" i="6"/>
  <c r="F695" i="6"/>
  <c r="G695" i="6"/>
  <c r="I695" i="6"/>
  <c r="B695" i="6"/>
  <c r="C695" i="6"/>
  <c r="A695" i="6"/>
  <c r="B721" i="5"/>
  <c r="CF719" i="5"/>
  <c r="CG718" i="5"/>
  <c r="CC662" i="5"/>
  <c r="CB663" i="5"/>
  <c r="D140" i="6" l="1"/>
  <c r="AZ753" i="5"/>
  <c r="BB753" i="5"/>
  <c r="AS164" i="5"/>
  <c r="AV164" i="5" s="1"/>
  <c r="AO164" i="5"/>
  <c r="AR164" i="5" s="1"/>
  <c r="N164" i="5"/>
  <c r="AG164" i="5"/>
  <c r="BC165" i="5"/>
  <c r="E140" i="6"/>
  <c r="C166" i="5"/>
  <c r="BU166" i="5" s="1"/>
  <c r="F139" i="6"/>
  <c r="Q164" i="5"/>
  <c r="V164" i="5" s="1"/>
  <c r="D696" i="6"/>
  <c r="H696" i="6"/>
  <c r="E696" i="6"/>
  <c r="C696" i="6"/>
  <c r="F696" i="6"/>
  <c r="G696" i="6"/>
  <c r="B696" i="6"/>
  <c r="I696" i="6"/>
  <c r="A696" i="6"/>
  <c r="CG719" i="5"/>
  <c r="CF720" i="5"/>
  <c r="B722" i="5"/>
  <c r="CC663" i="5"/>
  <c r="CB664" i="5"/>
  <c r="BW165" i="5" l="1"/>
  <c r="BY165" i="5"/>
  <c r="J165" i="5" s="1"/>
  <c r="BV166" i="5"/>
  <c r="BT166" i="5"/>
  <c r="BS166" i="5"/>
  <c r="CI166" i="5"/>
  <c r="BH166" i="5"/>
  <c r="BI166" i="5" s="1"/>
  <c r="BJ166" i="5" s="1"/>
  <c r="AJ164" i="5"/>
  <c r="G139" i="6"/>
  <c r="CX166" i="5"/>
  <c r="C141" i="6"/>
  <c r="D166" i="5"/>
  <c r="AC166" i="5"/>
  <c r="AK166" i="5"/>
  <c r="AM166" i="5" s="1"/>
  <c r="AL167" i="5" s="1"/>
  <c r="CW166" i="5"/>
  <c r="CY166" i="5"/>
  <c r="CR166" i="5"/>
  <c r="CL166" i="5"/>
  <c r="CM166" i="5" s="1"/>
  <c r="CS166" i="5"/>
  <c r="BK166" i="5"/>
  <c r="BL166" i="5" s="1"/>
  <c r="BM166" i="5" s="1"/>
  <c r="AB166" i="5"/>
  <c r="DA166" i="5" s="1"/>
  <c r="DB166" i="5" s="1"/>
  <c r="BG165" i="5"/>
  <c r="H165" i="5" s="1"/>
  <c r="AX166" i="5"/>
  <c r="AW166" i="5" s="1"/>
  <c r="CU166" i="5"/>
  <c r="BF165" i="5"/>
  <c r="BD165" i="5"/>
  <c r="BE166" i="5" s="1"/>
  <c r="CZ165" i="5"/>
  <c r="D697" i="6"/>
  <c r="B697" i="6"/>
  <c r="E697" i="6"/>
  <c r="F697" i="6"/>
  <c r="H697" i="6"/>
  <c r="G697" i="6"/>
  <c r="I697" i="6"/>
  <c r="C697" i="6"/>
  <c r="A697" i="6"/>
  <c r="B723" i="5"/>
  <c r="CG720" i="5"/>
  <c r="CF721" i="5"/>
  <c r="CC664" i="5"/>
  <c r="CB665" i="5"/>
  <c r="AN165" i="5" l="1"/>
  <c r="AF165" i="5"/>
  <c r="BX166" i="5"/>
  <c r="CH166" i="5"/>
  <c r="CK166" i="5"/>
  <c r="CJ166" i="5" s="1"/>
  <c r="K166" i="5" s="1"/>
  <c r="AD166" i="5"/>
  <c r="AE166" i="5" s="1"/>
  <c r="X164" i="5"/>
  <c r="Y164" i="5" s="1"/>
  <c r="H139" i="6" s="1"/>
  <c r="T166" i="5"/>
  <c r="U166" i="5" s="1"/>
  <c r="W166" i="5"/>
  <c r="CP166" i="5"/>
  <c r="CQ166" i="5" s="1"/>
  <c r="R166" i="5" s="1"/>
  <c r="S166" i="5" s="1"/>
  <c r="I165" i="5"/>
  <c r="CT166" i="5"/>
  <c r="CV166" i="5"/>
  <c r="BN166" i="5"/>
  <c r="BO166" i="5" s="1"/>
  <c r="BP166" i="5" s="1"/>
  <c r="G166" i="5" s="1"/>
  <c r="L166" i="5"/>
  <c r="D698" i="6"/>
  <c r="I698" i="6"/>
  <c r="C698" i="6"/>
  <c r="E698" i="6"/>
  <c r="F698" i="6"/>
  <c r="G698" i="6"/>
  <c r="H698" i="6"/>
  <c r="B698" i="6"/>
  <c r="A698" i="6"/>
  <c r="CG721" i="5"/>
  <c r="CF722" i="5"/>
  <c r="B724" i="5"/>
  <c r="CC665" i="5"/>
  <c r="CB666" i="5"/>
  <c r="AP165" i="5" l="1"/>
  <c r="Z164" i="5"/>
  <c r="AA164" i="5" s="1"/>
  <c r="I139" i="6" s="1"/>
  <c r="AT165" i="5"/>
  <c r="AH165" i="5"/>
  <c r="CN166" i="5"/>
  <c r="E166" i="5" s="1"/>
  <c r="CO166" i="5"/>
  <c r="F166" i="5" s="1"/>
  <c r="P165" i="5"/>
  <c r="AY165" i="5" s="1"/>
  <c r="M165" i="5"/>
  <c r="D699" i="6"/>
  <c r="E699" i="6"/>
  <c r="H699" i="6"/>
  <c r="I699" i="6"/>
  <c r="F699" i="6"/>
  <c r="B699" i="6"/>
  <c r="C699" i="6"/>
  <c r="G699" i="6"/>
  <c r="A699" i="6"/>
  <c r="B725" i="5"/>
  <c r="CF723" i="5"/>
  <c r="CG722" i="5"/>
  <c r="CC666" i="5"/>
  <c r="CB667" i="5"/>
  <c r="AG165" i="5" l="1"/>
  <c r="AJ165" i="5" s="1"/>
  <c r="AO165" i="5"/>
  <c r="AR165" i="5" s="1"/>
  <c r="BC166" i="5"/>
  <c r="D141" i="6"/>
  <c r="C167" i="5"/>
  <c r="BU167" i="5" s="1"/>
  <c r="E141" i="6"/>
  <c r="Q165" i="5"/>
  <c r="V165" i="5" s="1"/>
  <c r="F140" i="6"/>
  <c r="N165" i="5"/>
  <c r="AS165" i="5"/>
  <c r="AV165" i="5" s="1"/>
  <c r="D700" i="6"/>
  <c r="E700" i="6"/>
  <c r="F700" i="6"/>
  <c r="G700" i="6"/>
  <c r="H700" i="6"/>
  <c r="I700" i="6"/>
  <c r="B700" i="6"/>
  <c r="C700" i="6"/>
  <c r="A700" i="6"/>
  <c r="CG723" i="5"/>
  <c r="CF724" i="5"/>
  <c r="B726" i="5"/>
  <c r="CC667" i="5"/>
  <c r="CB668" i="5"/>
  <c r="BW166" i="5" l="1"/>
  <c r="BY166" i="5"/>
  <c r="J166" i="5" s="1"/>
  <c r="BV167" i="5"/>
  <c r="BT167" i="5"/>
  <c r="BS167" i="5"/>
  <c r="CI167" i="5"/>
  <c r="BH167" i="5"/>
  <c r="BI167" i="5" s="1"/>
  <c r="BJ167" i="5" s="1"/>
  <c r="X165" i="5"/>
  <c r="Y165" i="5" s="1"/>
  <c r="G140" i="6"/>
  <c r="CW167" i="5"/>
  <c r="AK167" i="5"/>
  <c r="AM167" i="5" s="1"/>
  <c r="AL168" i="5" s="1"/>
  <c r="CX167" i="5"/>
  <c r="CS167" i="5"/>
  <c r="CR167" i="5"/>
  <c r="CY167" i="5"/>
  <c r="BK167" i="5"/>
  <c r="BL167" i="5" s="1"/>
  <c r="BM167" i="5" s="1"/>
  <c r="AC167" i="5"/>
  <c r="AD167" i="5" s="1"/>
  <c r="D167" i="5"/>
  <c r="C142" i="6"/>
  <c r="AB167" i="5"/>
  <c r="CP167" i="5" s="1"/>
  <c r="CQ167" i="5" s="1"/>
  <c r="R167" i="5" s="1"/>
  <c r="S167" i="5" s="1"/>
  <c r="CL167" i="5"/>
  <c r="CM167" i="5" s="1"/>
  <c r="BG166" i="5"/>
  <c r="H166" i="5" s="1"/>
  <c r="AX167" i="5"/>
  <c r="AW167" i="5" s="1"/>
  <c r="CU167" i="5"/>
  <c r="BF166" i="5"/>
  <c r="BD166" i="5"/>
  <c r="BE167" i="5" s="1"/>
  <c r="CZ166" i="5"/>
  <c r="B727" i="5"/>
  <c r="CF725" i="5"/>
  <c r="CG724" i="5"/>
  <c r="CC668" i="5"/>
  <c r="CB669" i="5"/>
  <c r="AF166" i="5" l="1"/>
  <c r="AN166" i="5"/>
  <c r="BX167" i="5"/>
  <c r="CK167" i="5"/>
  <c r="CJ167" i="5" s="1"/>
  <c r="CH167" i="5"/>
  <c r="DA167" i="5"/>
  <c r="DB167" i="5" s="1"/>
  <c r="K167" i="5" s="1"/>
  <c r="I166" i="5"/>
  <c r="W167" i="5"/>
  <c r="T167" i="5"/>
  <c r="U167" i="5" s="1"/>
  <c r="BN167" i="5"/>
  <c r="BO167" i="5" s="1"/>
  <c r="BP167" i="5" s="1"/>
  <c r="G167" i="5" s="1"/>
  <c r="AE167" i="5"/>
  <c r="AD168" i="5" s="1"/>
  <c r="CV167" i="5"/>
  <c r="CT167" i="5"/>
  <c r="L167" i="5"/>
  <c r="H140" i="6"/>
  <c r="Z165" i="5"/>
  <c r="CG725" i="5"/>
  <c r="CF726" i="5"/>
  <c r="B728" i="5"/>
  <c r="CC669" i="5"/>
  <c r="CB670" i="5"/>
  <c r="AA165" i="5" l="1"/>
  <c r="I140" i="6" s="1"/>
  <c r="CN167" i="5"/>
  <c r="E167" i="5" s="1"/>
  <c r="CO167" i="5"/>
  <c r="F167" i="5" s="1"/>
  <c r="M166" i="5"/>
  <c r="AG166" i="5" s="1"/>
  <c r="P166" i="5"/>
  <c r="AY166" i="5" s="1"/>
  <c r="AH166" i="5"/>
  <c r="AT166" i="5"/>
  <c r="AP166" i="5"/>
  <c r="B729" i="5"/>
  <c r="CG726" i="5"/>
  <c r="CF727" i="5"/>
  <c r="CC670" i="5"/>
  <c r="CB671" i="5"/>
  <c r="AJ166" i="5" l="1"/>
  <c r="C168" i="5"/>
  <c r="BU168" i="5" s="1"/>
  <c r="E142" i="6"/>
  <c r="D142" i="6"/>
  <c r="BC167" i="5"/>
  <c r="Q166" i="5"/>
  <c r="V166" i="5" s="1"/>
  <c r="G141" i="6" s="1"/>
  <c r="F141" i="6"/>
  <c r="N166" i="5"/>
  <c r="AS166" i="5"/>
  <c r="AV166" i="5" s="1"/>
  <c r="AO166" i="5"/>
  <c r="AR166" i="5" s="1"/>
  <c r="CG727" i="5"/>
  <c r="CF728" i="5"/>
  <c r="B730" i="5"/>
  <c r="CC671" i="5"/>
  <c r="CB672" i="5"/>
  <c r="BY167" i="5" l="1"/>
  <c r="J167" i="5" s="1"/>
  <c r="BW167" i="5"/>
  <c r="BT168" i="5"/>
  <c r="BV168" i="5"/>
  <c r="BS168" i="5"/>
  <c r="CI168" i="5"/>
  <c r="BH168" i="5"/>
  <c r="BI168" i="5" s="1"/>
  <c r="BJ168" i="5" s="1"/>
  <c r="X166" i="5"/>
  <c r="Y166" i="5" s="1"/>
  <c r="CZ167" i="5"/>
  <c r="BF167" i="5"/>
  <c r="BD167" i="5"/>
  <c r="BE168" i="5" s="1"/>
  <c r="CX168" i="5"/>
  <c r="BK168" i="5"/>
  <c r="BL168" i="5" s="1"/>
  <c r="BM168" i="5" s="1"/>
  <c r="C143" i="6"/>
  <c r="CY168" i="5"/>
  <c r="CL168" i="5"/>
  <c r="CM168" i="5" s="1"/>
  <c r="AC168" i="5"/>
  <c r="CS168" i="5"/>
  <c r="CW168" i="5"/>
  <c r="AB168" i="5"/>
  <c r="L168" i="5" s="1"/>
  <c r="D168" i="5"/>
  <c r="AK168" i="5"/>
  <c r="AM168" i="5" s="1"/>
  <c r="AL169" i="5" s="1"/>
  <c r="CR168" i="5"/>
  <c r="BG167" i="5"/>
  <c r="H167" i="5" s="1"/>
  <c r="AX168" i="5"/>
  <c r="AW168" i="5" s="1"/>
  <c r="CU168" i="5"/>
  <c r="CF729" i="5"/>
  <c r="CG728" i="5"/>
  <c r="B731" i="5"/>
  <c r="CC672" i="5"/>
  <c r="CB673" i="5"/>
  <c r="AN167" i="5" l="1"/>
  <c r="AF167" i="5"/>
  <c r="BX168" i="5"/>
  <c r="CH168" i="5"/>
  <c r="CK168" i="5"/>
  <c r="CJ168" i="5" s="1"/>
  <c r="H141" i="6"/>
  <c r="Z166" i="5"/>
  <c r="AA166" i="5" s="1"/>
  <c r="I141" i="6" s="1"/>
  <c r="BN168" i="5"/>
  <c r="BO168" i="5" s="1"/>
  <c r="BP168" i="5" s="1"/>
  <c r="G168" i="5" s="1"/>
  <c r="CP168" i="5"/>
  <c r="CQ168" i="5" s="1"/>
  <c r="R168" i="5" s="1"/>
  <c r="S168" i="5" s="1"/>
  <c r="AE168" i="5"/>
  <c r="CV168" i="5"/>
  <c r="CT168" i="5"/>
  <c r="I167" i="5"/>
  <c r="AH167" i="5" s="1"/>
  <c r="DA168" i="5"/>
  <c r="DB168" i="5" s="1"/>
  <c r="K168" i="5" s="1"/>
  <c r="W168" i="5"/>
  <c r="T168" i="5"/>
  <c r="U168" i="5" s="1"/>
  <c r="B732" i="5"/>
  <c r="CG729" i="5"/>
  <c r="CF730" i="5"/>
  <c r="CC673" i="5"/>
  <c r="CB674" i="5"/>
  <c r="AT167" i="5" l="1"/>
  <c r="AP167" i="5"/>
  <c r="M167" i="5"/>
  <c r="P167" i="5"/>
  <c r="AY167" i="5" s="1"/>
  <c r="CO168" i="5"/>
  <c r="F168" i="5" s="1"/>
  <c r="CN168" i="5"/>
  <c r="E168" i="5" s="1"/>
  <c r="CG730" i="5"/>
  <c r="CF731" i="5"/>
  <c r="B733" i="5"/>
  <c r="CC674" i="5"/>
  <c r="CB675" i="5"/>
  <c r="AO167" i="5" l="1"/>
  <c r="AR167" i="5" s="1"/>
  <c r="AG167" i="5"/>
  <c r="AJ167" i="5" s="1"/>
  <c r="N167" i="5"/>
  <c r="AS167" i="5"/>
  <c r="AV167" i="5" s="1"/>
  <c r="D143" i="6"/>
  <c r="BC168" i="5"/>
  <c r="C169" i="5"/>
  <c r="BU169" i="5" s="1"/>
  <c r="E143" i="6"/>
  <c r="Q167" i="5"/>
  <c r="V167" i="5" s="1"/>
  <c r="F142" i="6"/>
  <c r="B734" i="5"/>
  <c r="CG731" i="5"/>
  <c r="CF732" i="5"/>
  <c r="CC675" i="5"/>
  <c r="CB676" i="5"/>
  <c r="BW168" i="5" l="1"/>
  <c r="BY168" i="5"/>
  <c r="J168" i="5" s="1"/>
  <c r="BV169" i="5"/>
  <c r="BT169" i="5"/>
  <c r="BS169" i="5"/>
  <c r="CI169" i="5"/>
  <c r="BH169" i="5"/>
  <c r="BI169" i="5" s="1"/>
  <c r="BJ169" i="5" s="1"/>
  <c r="X167" i="5"/>
  <c r="Y167" i="5" s="1"/>
  <c r="G142" i="6"/>
  <c r="CR169" i="5"/>
  <c r="AB169" i="5"/>
  <c r="CP169" i="5" s="1"/>
  <c r="CQ169" i="5" s="1"/>
  <c r="R169" i="5" s="1"/>
  <c r="S169" i="5" s="1"/>
  <c r="BK169" i="5"/>
  <c r="BL169" i="5" s="1"/>
  <c r="BM169" i="5" s="1"/>
  <c r="CY169" i="5"/>
  <c r="CW169" i="5"/>
  <c r="AC169" i="5"/>
  <c r="AD169" i="5" s="1"/>
  <c r="AK169" i="5"/>
  <c r="AM169" i="5" s="1"/>
  <c r="AL170" i="5" s="1"/>
  <c r="C144" i="6"/>
  <c r="D169" i="5"/>
  <c r="CS169" i="5"/>
  <c r="CX169" i="5"/>
  <c r="CL169" i="5"/>
  <c r="CM169" i="5" s="1"/>
  <c r="BG168" i="5"/>
  <c r="H168" i="5" s="1"/>
  <c r="AX169" i="5"/>
  <c r="AW169" i="5" s="1"/>
  <c r="CU169" i="5"/>
  <c r="BD168" i="5"/>
  <c r="BE169" i="5" s="1"/>
  <c r="BF168" i="5"/>
  <c r="CZ168" i="5"/>
  <c r="CG732" i="5"/>
  <c r="CF733" i="5"/>
  <c r="B735" i="5"/>
  <c r="CC676" i="5"/>
  <c r="CB677" i="5"/>
  <c r="AN168" i="5" l="1"/>
  <c r="AF168" i="5"/>
  <c r="BX169" i="5"/>
  <c r="CH169" i="5"/>
  <c r="CK169" i="5"/>
  <c r="CJ169" i="5" s="1"/>
  <c r="I168" i="5"/>
  <c r="AP168" i="5" s="1"/>
  <c r="L169" i="5"/>
  <c r="W169" i="5"/>
  <c r="T169" i="5"/>
  <c r="U169" i="5" s="1"/>
  <c r="AE169" i="5"/>
  <c r="BN169" i="5"/>
  <c r="BO169" i="5" s="1"/>
  <c r="BP169" i="5" s="1"/>
  <c r="G169" i="5" s="1"/>
  <c r="DA169" i="5"/>
  <c r="DB169" i="5" s="1"/>
  <c r="H142" i="6"/>
  <c r="Z167" i="5"/>
  <c r="CT169" i="5"/>
  <c r="CV169" i="5"/>
  <c r="CG733" i="5"/>
  <c r="CF734" i="5"/>
  <c r="B736" i="5"/>
  <c r="CC677" i="5"/>
  <c r="CB678" i="5"/>
  <c r="K169" i="5" l="1"/>
  <c r="AH168" i="5"/>
  <c r="AT168" i="5"/>
  <c r="AA167" i="5"/>
  <c r="I142" i="6" s="1"/>
  <c r="M168" i="5"/>
  <c r="P168" i="5"/>
  <c r="AY168" i="5" s="1"/>
  <c r="CO169" i="5"/>
  <c r="F169" i="5" s="1"/>
  <c r="CN169" i="5"/>
  <c r="E169" i="5" s="1"/>
  <c r="B737" i="5"/>
  <c r="CG734" i="5"/>
  <c r="CF735" i="5"/>
  <c r="CC678" i="5"/>
  <c r="CB679" i="5"/>
  <c r="BW169" i="5" l="1"/>
  <c r="BY169" i="5"/>
  <c r="J169" i="5" s="1"/>
  <c r="AN169" i="5" s="1"/>
  <c r="AS168" i="5"/>
  <c r="AV168" i="5" s="1"/>
  <c r="AO168" i="5"/>
  <c r="AR168" i="5" s="1"/>
  <c r="F143" i="6"/>
  <c r="Q168" i="5"/>
  <c r="V168" i="5" s="1"/>
  <c r="E144" i="6"/>
  <c r="C170" i="5"/>
  <c r="BU170" i="5" s="1"/>
  <c r="N168" i="5"/>
  <c r="AG168" i="5"/>
  <c r="D144" i="6"/>
  <c r="BC169" i="5"/>
  <c r="CG735" i="5"/>
  <c r="CF736" i="5"/>
  <c r="B738" i="5"/>
  <c r="CC679" i="5"/>
  <c r="CB680" i="5"/>
  <c r="AF169" i="5" l="1"/>
  <c r="BV170" i="5"/>
  <c r="BT170" i="5"/>
  <c r="BS170" i="5"/>
  <c r="CI170" i="5"/>
  <c r="BH170" i="5"/>
  <c r="BI170" i="5" s="1"/>
  <c r="BJ170" i="5" s="1"/>
  <c r="CZ169" i="5"/>
  <c r="BF169" i="5"/>
  <c r="BD169" i="5"/>
  <c r="BE170" i="5" s="1"/>
  <c r="AJ168" i="5"/>
  <c r="C145" i="6"/>
  <c r="AK170" i="5"/>
  <c r="AB170" i="5"/>
  <c r="CP170" i="5" s="1"/>
  <c r="CQ170" i="5" s="1"/>
  <c r="R170" i="5" s="1"/>
  <c r="S170" i="5" s="1"/>
  <c r="CX170" i="5"/>
  <c r="CL170" i="5"/>
  <c r="CM170" i="5" s="1"/>
  <c r="BK170" i="5"/>
  <c r="BL170" i="5" s="1"/>
  <c r="BM170" i="5" s="1"/>
  <c r="CR170" i="5"/>
  <c r="CS170" i="5"/>
  <c r="AC170" i="5"/>
  <c r="CY170" i="5"/>
  <c r="D170" i="5"/>
  <c r="CW170" i="5"/>
  <c r="BG169" i="5"/>
  <c r="H169" i="5" s="1"/>
  <c r="AX170" i="5"/>
  <c r="AW170" i="5" s="1"/>
  <c r="CU170" i="5"/>
  <c r="BX170" i="5" s="1"/>
  <c r="G143" i="6"/>
  <c r="B739" i="5"/>
  <c r="CG736" i="5"/>
  <c r="CF737" i="5"/>
  <c r="CB681" i="5"/>
  <c r="CC680" i="5"/>
  <c r="CK170" i="5" l="1"/>
  <c r="CJ170" i="5" s="1"/>
  <c r="CH170" i="5"/>
  <c r="AD170" i="5"/>
  <c r="AE170" i="5" s="1"/>
  <c r="X168" i="5"/>
  <c r="Y168" i="5" s="1"/>
  <c r="AM170" i="5"/>
  <c r="AL171" i="5" s="1"/>
  <c r="CT170" i="5"/>
  <c r="CV170" i="5"/>
  <c r="BN170" i="5"/>
  <c r="BO170" i="5" s="1"/>
  <c r="BP170" i="5" s="1"/>
  <c r="G170" i="5" s="1"/>
  <c r="DA170" i="5"/>
  <c r="DB170" i="5" s="1"/>
  <c r="K170" i="5" s="1"/>
  <c r="L170" i="5"/>
  <c r="I169" i="5"/>
  <c r="AH169" i="5" s="1"/>
  <c r="W170" i="5"/>
  <c r="T170" i="5"/>
  <c r="U170" i="5" s="1"/>
  <c r="CG737" i="5"/>
  <c r="CF738" i="5"/>
  <c r="B740" i="5"/>
  <c r="CC681" i="5"/>
  <c r="CB682" i="5"/>
  <c r="H143" i="6" l="1"/>
  <c r="Z168" i="5"/>
  <c r="AA168" i="5" s="1"/>
  <c r="I143" i="6" s="1"/>
  <c r="AT169" i="5"/>
  <c r="AP169" i="5"/>
  <c r="P169" i="5"/>
  <c r="AY169" i="5" s="1"/>
  <c r="M169" i="5"/>
  <c r="AG169" i="5" s="1"/>
  <c r="AJ169" i="5" s="1"/>
  <c r="CN170" i="5"/>
  <c r="E170" i="5" s="1"/>
  <c r="CO170" i="5"/>
  <c r="F170" i="5" s="1"/>
  <c r="B741" i="5"/>
  <c r="CG738" i="5"/>
  <c r="CF739" i="5"/>
  <c r="CC682" i="5"/>
  <c r="CB683" i="5"/>
  <c r="N169" i="5" l="1"/>
  <c r="AS169" i="5"/>
  <c r="AV169" i="5" s="1"/>
  <c r="AO169" i="5"/>
  <c r="E145" i="6"/>
  <c r="C171" i="5"/>
  <c r="BU171" i="5" s="1"/>
  <c r="D145" i="6"/>
  <c r="BC170" i="5"/>
  <c r="F144" i="6"/>
  <c r="Q169" i="5"/>
  <c r="V169" i="5" s="1"/>
  <c r="CG739" i="5"/>
  <c r="CF740" i="5"/>
  <c r="B742" i="5"/>
  <c r="CC683" i="5"/>
  <c r="CB684" i="5"/>
  <c r="BY170" i="5" l="1"/>
  <c r="J170" i="5" s="1"/>
  <c r="BW170" i="5"/>
  <c r="BT171" i="5"/>
  <c r="BV171" i="5"/>
  <c r="BS171" i="5"/>
  <c r="CI171" i="5"/>
  <c r="BH171" i="5"/>
  <c r="BI171" i="5" s="1"/>
  <c r="BJ171" i="5" s="1"/>
  <c r="AR169" i="5"/>
  <c r="G144" i="6"/>
  <c r="CZ170" i="5"/>
  <c r="BD170" i="5"/>
  <c r="BE171" i="5" s="1"/>
  <c r="BF170" i="5"/>
  <c r="C146" i="6"/>
  <c r="D171" i="5"/>
  <c r="CR171" i="5"/>
  <c r="AB171" i="5"/>
  <c r="BN171" i="5" s="1"/>
  <c r="BO171" i="5" s="1"/>
  <c r="BP171" i="5" s="1"/>
  <c r="AK171" i="5"/>
  <c r="CL171" i="5"/>
  <c r="CM171" i="5" s="1"/>
  <c r="CX171" i="5"/>
  <c r="CY171" i="5"/>
  <c r="AC171" i="5"/>
  <c r="CW171" i="5"/>
  <c r="CS171" i="5"/>
  <c r="BK171" i="5"/>
  <c r="BL171" i="5" s="1"/>
  <c r="BM171" i="5" s="1"/>
  <c r="BG170" i="5"/>
  <c r="H170" i="5" s="1"/>
  <c r="AX171" i="5"/>
  <c r="AW171" i="5" s="1"/>
  <c r="CU171" i="5"/>
  <c r="B743" i="5"/>
  <c r="CG740" i="5"/>
  <c r="CF741" i="5"/>
  <c r="CC684" i="5"/>
  <c r="CB685" i="5"/>
  <c r="AF170" i="5" l="1"/>
  <c r="AN170" i="5"/>
  <c r="BX171" i="5"/>
  <c r="G171" i="5"/>
  <c r="CH171" i="5"/>
  <c r="CK171" i="5"/>
  <c r="CJ171" i="5" s="1"/>
  <c r="AD171" i="5"/>
  <c r="AE171" i="5" s="1"/>
  <c r="X169" i="5"/>
  <c r="Y169" i="5" s="1"/>
  <c r="DA171" i="5"/>
  <c r="DB171" i="5" s="1"/>
  <c r="CP171" i="5"/>
  <c r="CQ171" i="5" s="1"/>
  <c r="R171" i="5" s="1"/>
  <c r="S171" i="5" s="1"/>
  <c r="L171" i="5"/>
  <c r="T171" i="5"/>
  <c r="U171" i="5" s="1"/>
  <c r="W171" i="5"/>
  <c r="CV171" i="5"/>
  <c r="CT171" i="5"/>
  <c r="I170" i="5"/>
  <c r="AP170" i="5" s="1"/>
  <c r="AM171" i="5"/>
  <c r="AL172" i="5" s="1"/>
  <c r="CG741" i="5"/>
  <c r="CF742" i="5"/>
  <c r="B744" i="5"/>
  <c r="CC685" i="5"/>
  <c r="CB686" i="5"/>
  <c r="K171" i="5" l="1"/>
  <c r="Z169" i="5"/>
  <c r="AA169" i="5" s="1"/>
  <c r="I144" i="6" s="1"/>
  <c r="H144" i="6"/>
  <c r="AT170" i="5"/>
  <c r="AH170" i="5"/>
  <c r="CN171" i="5"/>
  <c r="E171" i="5" s="1"/>
  <c r="CO171" i="5"/>
  <c r="F171" i="5" s="1"/>
  <c r="P170" i="5"/>
  <c r="AY170" i="5" s="1"/>
  <c r="M170" i="5"/>
  <c r="B745" i="5"/>
  <c r="CF743" i="5"/>
  <c r="CG742" i="5"/>
  <c r="CC686" i="5"/>
  <c r="CB687" i="5"/>
  <c r="AG170" i="5" l="1"/>
  <c r="AJ170" i="5" s="1"/>
  <c r="AO170" i="5"/>
  <c r="AR170" i="5" s="1"/>
  <c r="N170" i="5"/>
  <c r="AS170" i="5"/>
  <c r="AV170" i="5" s="1"/>
  <c r="F145" i="6"/>
  <c r="Q170" i="5"/>
  <c r="V170" i="5" s="1"/>
  <c r="C172" i="5"/>
  <c r="BU172" i="5" s="1"/>
  <c r="E146" i="6"/>
  <c r="D146" i="6"/>
  <c r="BC171" i="5"/>
  <c r="CG743" i="5"/>
  <c r="CF744" i="5"/>
  <c r="B746" i="5"/>
  <c r="CC687" i="5"/>
  <c r="CB688" i="5"/>
  <c r="BW171" i="5" l="1"/>
  <c r="BY171" i="5"/>
  <c r="J171" i="5" s="1"/>
  <c r="BT172" i="5"/>
  <c r="BV172" i="5"/>
  <c r="BS172" i="5"/>
  <c r="CI172" i="5"/>
  <c r="BH172" i="5"/>
  <c r="BI172" i="5" s="1"/>
  <c r="BJ172" i="5" s="1"/>
  <c r="X170" i="5"/>
  <c r="Y170" i="5" s="1"/>
  <c r="CZ171" i="5"/>
  <c r="BF171" i="5"/>
  <c r="BD171" i="5"/>
  <c r="BE172" i="5" s="1"/>
  <c r="AK172" i="5"/>
  <c r="C147" i="6"/>
  <c r="CY172" i="5"/>
  <c r="CR172" i="5"/>
  <c r="CW172" i="5"/>
  <c r="CS172" i="5"/>
  <c r="AB172" i="5"/>
  <c r="CP172" i="5" s="1"/>
  <c r="CQ172" i="5" s="1"/>
  <c r="R172" i="5" s="1"/>
  <c r="S172" i="5" s="1"/>
  <c r="AC172" i="5"/>
  <c r="AD172" i="5" s="1"/>
  <c r="BK172" i="5"/>
  <c r="BL172" i="5" s="1"/>
  <c r="BM172" i="5" s="1"/>
  <c r="D172" i="5"/>
  <c r="CX172" i="5"/>
  <c r="CL172" i="5"/>
  <c r="CM172" i="5" s="1"/>
  <c r="BG171" i="5"/>
  <c r="H171" i="5" s="1"/>
  <c r="AX172" i="5"/>
  <c r="AW172" i="5" s="1"/>
  <c r="CU172" i="5"/>
  <c r="G145" i="6"/>
  <c r="B747" i="5"/>
  <c r="CG744" i="5"/>
  <c r="CF745" i="5"/>
  <c r="CB689" i="5"/>
  <c r="CC688" i="5"/>
  <c r="AN171" i="5" l="1"/>
  <c r="AF171" i="5"/>
  <c r="BX172" i="5"/>
  <c r="CH172" i="5"/>
  <c r="CK172" i="5"/>
  <c r="CJ172" i="5" s="1"/>
  <c r="DA172" i="5"/>
  <c r="DB172" i="5" s="1"/>
  <c r="K172" i="5" s="1"/>
  <c r="L172" i="5"/>
  <c r="I171" i="5"/>
  <c r="T172" i="5"/>
  <c r="U172" i="5" s="1"/>
  <c r="W172" i="5"/>
  <c r="H145" i="6"/>
  <c r="Z170" i="5"/>
  <c r="AE172" i="5"/>
  <c r="BN172" i="5"/>
  <c r="BO172" i="5" s="1"/>
  <c r="BP172" i="5" s="1"/>
  <c r="G172" i="5" s="1"/>
  <c r="AM172" i="5"/>
  <c r="AL173" i="5" s="1"/>
  <c r="CT172" i="5"/>
  <c r="CV172" i="5"/>
  <c r="CG745" i="5"/>
  <c r="CF746" i="5"/>
  <c r="B748" i="5"/>
  <c r="CC689" i="5"/>
  <c r="CB690" i="5"/>
  <c r="AH171" i="5" l="1"/>
  <c r="AT171" i="5"/>
  <c r="AP171" i="5"/>
  <c r="AA170" i="5"/>
  <c r="I145" i="6" s="1"/>
  <c r="P171" i="5"/>
  <c r="AY171" i="5" s="1"/>
  <c r="M171" i="5"/>
  <c r="CO172" i="5"/>
  <c r="F172" i="5" s="1"/>
  <c r="CN172" i="5"/>
  <c r="E172" i="5" s="1"/>
  <c r="B749" i="5"/>
  <c r="CG746" i="5"/>
  <c r="CF747" i="5"/>
  <c r="CC690" i="5"/>
  <c r="CB691" i="5"/>
  <c r="AS171" i="5" l="1"/>
  <c r="AV171" i="5" s="1"/>
  <c r="AO171" i="5"/>
  <c r="N171" i="5"/>
  <c r="AG171" i="5"/>
  <c r="Q171" i="5"/>
  <c r="V171" i="5" s="1"/>
  <c r="F146" i="6"/>
  <c r="D147" i="6"/>
  <c r="BC172" i="5"/>
  <c r="E147" i="6"/>
  <c r="C173" i="5"/>
  <c r="BU173" i="5" s="1"/>
  <c r="CF748" i="5"/>
  <c r="CG747" i="5"/>
  <c r="B750" i="5"/>
  <c r="CC691" i="5"/>
  <c r="CB692" i="5"/>
  <c r="BW172" i="5" l="1"/>
  <c r="BY172" i="5"/>
  <c r="J172" i="5" s="1"/>
  <c r="BT173" i="5"/>
  <c r="BV173" i="5"/>
  <c r="BS173" i="5"/>
  <c r="CI173" i="5"/>
  <c r="BH173" i="5"/>
  <c r="BI173" i="5" s="1"/>
  <c r="BJ173" i="5" s="1"/>
  <c r="AR171" i="5"/>
  <c r="AJ171" i="5"/>
  <c r="CW173" i="5"/>
  <c r="CL173" i="5"/>
  <c r="CM173" i="5" s="1"/>
  <c r="AK173" i="5"/>
  <c r="D173" i="5"/>
  <c r="CR173" i="5"/>
  <c r="CY173" i="5"/>
  <c r="C148" i="6"/>
  <c r="AB173" i="5"/>
  <c r="L173" i="5" s="1"/>
  <c r="CX173" i="5"/>
  <c r="CS173" i="5"/>
  <c r="AC173" i="5"/>
  <c r="BK173" i="5"/>
  <c r="BL173" i="5" s="1"/>
  <c r="BM173" i="5" s="1"/>
  <c r="BG172" i="5"/>
  <c r="H172" i="5" s="1"/>
  <c r="AX173" i="5"/>
  <c r="AW173" i="5" s="1"/>
  <c r="CU173" i="5"/>
  <c r="CZ172" i="5"/>
  <c r="BD172" i="5"/>
  <c r="BE173" i="5" s="1"/>
  <c r="BF172" i="5"/>
  <c r="G146" i="6"/>
  <c r="B751" i="5"/>
  <c r="CG748" i="5"/>
  <c r="CF749" i="5"/>
  <c r="CB693" i="5"/>
  <c r="CC692" i="5"/>
  <c r="AN172" i="5" l="1"/>
  <c r="AF172" i="5"/>
  <c r="BX173" i="5"/>
  <c r="CH173" i="5"/>
  <c r="CK173" i="5"/>
  <c r="CJ173" i="5" s="1"/>
  <c r="AD173" i="5"/>
  <c r="AE173" i="5" s="1"/>
  <c r="X171" i="5"/>
  <c r="Y171" i="5" s="1"/>
  <c r="BN173" i="5"/>
  <c r="BO173" i="5" s="1"/>
  <c r="BP173" i="5" s="1"/>
  <c r="G173" i="5" s="1"/>
  <c r="DA173" i="5"/>
  <c r="DB173" i="5" s="1"/>
  <c r="K173" i="5" s="1"/>
  <c r="CP173" i="5"/>
  <c r="CQ173" i="5" s="1"/>
  <c r="R173" i="5" s="1"/>
  <c r="S173" i="5" s="1"/>
  <c r="W173" i="5"/>
  <c r="T173" i="5"/>
  <c r="U173" i="5" s="1"/>
  <c r="I172" i="5"/>
  <c r="AM173" i="5"/>
  <c r="AL174" i="5" s="1"/>
  <c r="CV173" i="5"/>
  <c r="CT173" i="5"/>
  <c r="CG749" i="5"/>
  <c r="CF750" i="5"/>
  <c r="B752" i="5"/>
  <c r="CC693" i="5"/>
  <c r="CB694" i="5"/>
  <c r="AH172" i="5" l="1"/>
  <c r="Z171" i="5"/>
  <c r="AA171" i="5" s="1"/>
  <c r="I146" i="6" s="1"/>
  <c r="H146" i="6"/>
  <c r="AP172" i="5"/>
  <c r="AT172" i="5"/>
  <c r="P172" i="5"/>
  <c r="AY172" i="5" s="1"/>
  <c r="M172" i="5"/>
  <c r="CO173" i="5"/>
  <c r="F173" i="5" s="1"/>
  <c r="CN173" i="5"/>
  <c r="E173" i="5" s="1"/>
  <c r="B753" i="5"/>
  <c r="CG750" i="5"/>
  <c r="CF751" i="5"/>
  <c r="CC694" i="5"/>
  <c r="CB695" i="5"/>
  <c r="BW173" i="5" l="1"/>
  <c r="BY173" i="5"/>
  <c r="J173" i="5" s="1"/>
  <c r="AG172" i="5"/>
  <c r="AJ172" i="5" s="1"/>
  <c r="AO172" i="5"/>
  <c r="AR172" i="5" s="1"/>
  <c r="E148" i="6"/>
  <c r="C174" i="5"/>
  <c r="BU174" i="5" s="1"/>
  <c r="N172" i="5"/>
  <c r="AS172" i="5"/>
  <c r="AV172" i="5" s="1"/>
  <c r="F147" i="6"/>
  <c r="Q172" i="5"/>
  <c r="V172" i="5" s="1"/>
  <c r="BC173" i="5"/>
  <c r="D148" i="6"/>
  <c r="CG751" i="5"/>
  <c r="CF752" i="5"/>
  <c r="CC695" i="5"/>
  <c r="CB696" i="5"/>
  <c r="AF173" i="5" l="1"/>
  <c r="AN173" i="5"/>
  <c r="BV174" i="5"/>
  <c r="BT174" i="5"/>
  <c r="BS174" i="5"/>
  <c r="CI174" i="5"/>
  <c r="BH174" i="5"/>
  <c r="BI174" i="5" s="1"/>
  <c r="BJ174" i="5" s="1"/>
  <c r="X172" i="5"/>
  <c r="Y172" i="5" s="1"/>
  <c r="BF173" i="5"/>
  <c r="CZ173" i="5"/>
  <c r="BD173" i="5"/>
  <c r="BE174" i="5" s="1"/>
  <c r="G147" i="6"/>
  <c r="D174" i="5"/>
  <c r="AK174" i="5"/>
  <c r="C149" i="6"/>
  <c r="CW174" i="5"/>
  <c r="CX174" i="5"/>
  <c r="CL174" i="5"/>
  <c r="CM174" i="5" s="1"/>
  <c r="CY174" i="5"/>
  <c r="AB174" i="5"/>
  <c r="CP174" i="5" s="1"/>
  <c r="CQ174" i="5" s="1"/>
  <c r="R174" i="5" s="1"/>
  <c r="S174" i="5" s="1"/>
  <c r="BK174" i="5"/>
  <c r="BL174" i="5" s="1"/>
  <c r="BM174" i="5" s="1"/>
  <c r="CR174" i="5"/>
  <c r="AC174" i="5"/>
  <c r="AD174" i="5" s="1"/>
  <c r="CS174" i="5"/>
  <c r="BG173" i="5"/>
  <c r="H173" i="5" s="1"/>
  <c r="AX174" i="5"/>
  <c r="AW174" i="5" s="1"/>
  <c r="CU174" i="5"/>
  <c r="BX174" i="5" s="1"/>
  <c r="CG752" i="5"/>
  <c r="CF753" i="5"/>
  <c r="CG753" i="5" s="1"/>
  <c r="CC696" i="5"/>
  <c r="CB697" i="5"/>
  <c r="CH174" i="5" l="1"/>
  <c r="CK174" i="5"/>
  <c r="CJ174" i="5" s="1"/>
  <c r="DA174" i="5"/>
  <c r="DB174" i="5" s="1"/>
  <c r="K174" i="5" s="1"/>
  <c r="BN174" i="5"/>
  <c r="BO174" i="5" s="1"/>
  <c r="BP174" i="5" s="1"/>
  <c r="G174" i="5" s="1"/>
  <c r="L174" i="5"/>
  <c r="W174" i="5"/>
  <c r="T174" i="5"/>
  <c r="U174" i="5" s="1"/>
  <c r="AM174" i="5"/>
  <c r="AL175" i="5" s="1"/>
  <c r="H147" i="6"/>
  <c r="Z172" i="5"/>
  <c r="CT174" i="5"/>
  <c r="CV174" i="5"/>
  <c r="I173" i="5"/>
  <c r="AH173" i="5" s="1"/>
  <c r="AE174" i="5"/>
  <c r="CC697" i="5"/>
  <c r="CB698" i="5"/>
  <c r="AT173" i="5" l="1"/>
  <c r="AP173" i="5"/>
  <c r="M173" i="5"/>
  <c r="AG173" i="5" s="1"/>
  <c r="AJ173" i="5" s="1"/>
  <c r="P173" i="5"/>
  <c r="AY173" i="5" s="1"/>
  <c r="CN174" i="5"/>
  <c r="E174" i="5" s="1"/>
  <c r="CO174" i="5"/>
  <c r="F174" i="5" s="1"/>
  <c r="AA172" i="5"/>
  <c r="I147" i="6" s="1"/>
  <c r="CC698" i="5"/>
  <c r="CB699" i="5"/>
  <c r="BW174" i="5" l="1"/>
  <c r="D149" i="6"/>
  <c r="BC174" i="5"/>
  <c r="Q173" i="5"/>
  <c r="V173" i="5" s="1"/>
  <c r="F148" i="6"/>
  <c r="N173" i="5"/>
  <c r="AS173" i="5"/>
  <c r="AV173" i="5" s="1"/>
  <c r="AO173" i="5"/>
  <c r="E149" i="6"/>
  <c r="C175" i="5"/>
  <c r="BU175" i="5" s="1"/>
  <c r="CC699" i="5"/>
  <c r="CB700" i="5"/>
  <c r="BY174" i="5" l="1"/>
  <c r="J174" i="5" s="1"/>
  <c r="BV175" i="5"/>
  <c r="BT175" i="5"/>
  <c r="BS175" i="5"/>
  <c r="CI175" i="5"/>
  <c r="BH175" i="5"/>
  <c r="BI175" i="5" s="1"/>
  <c r="BJ175" i="5" s="1"/>
  <c r="AR173" i="5"/>
  <c r="G148" i="6"/>
  <c r="CZ174" i="5"/>
  <c r="BD174" i="5"/>
  <c r="BE175" i="5" s="1"/>
  <c r="BF174" i="5"/>
  <c r="CX175" i="5"/>
  <c r="CL175" i="5"/>
  <c r="CM175" i="5" s="1"/>
  <c r="BK175" i="5"/>
  <c r="BL175" i="5" s="1"/>
  <c r="BM175" i="5" s="1"/>
  <c r="AC175" i="5"/>
  <c r="AD175" i="5" s="1"/>
  <c r="CR175" i="5"/>
  <c r="AB175" i="5"/>
  <c r="L175" i="5" s="1"/>
  <c r="D175" i="5"/>
  <c r="AK175" i="5"/>
  <c r="CY175" i="5"/>
  <c r="CS175" i="5"/>
  <c r="C150" i="6"/>
  <c r="CW175" i="5"/>
  <c r="BG174" i="5"/>
  <c r="H174" i="5" s="1"/>
  <c r="AX175" i="5"/>
  <c r="AW175" i="5" s="1"/>
  <c r="CU175" i="5"/>
  <c r="BX175" i="5" s="1"/>
  <c r="CC700" i="5"/>
  <c r="CB701" i="5"/>
  <c r="AN174" i="5" l="1"/>
  <c r="AF174" i="5"/>
  <c r="CK175" i="5"/>
  <c r="CJ175" i="5" s="1"/>
  <c r="CH175" i="5"/>
  <c r="X173" i="5"/>
  <c r="Y173" i="5" s="1"/>
  <c r="DA175" i="5"/>
  <c r="DB175" i="5" s="1"/>
  <c r="K175" i="5" s="1"/>
  <c r="CP175" i="5"/>
  <c r="CQ175" i="5" s="1"/>
  <c r="R175" i="5" s="1"/>
  <c r="S175" i="5" s="1"/>
  <c r="AM175" i="5"/>
  <c r="AL176" i="5" s="1"/>
  <c r="W175" i="5"/>
  <c r="T175" i="5"/>
  <c r="U175" i="5" s="1"/>
  <c r="I174" i="5"/>
  <c r="AH174" i="5" s="1"/>
  <c r="AE175" i="5"/>
  <c r="CV175" i="5"/>
  <c r="CT175" i="5"/>
  <c r="BN175" i="5"/>
  <c r="BO175" i="5" s="1"/>
  <c r="BP175" i="5" s="1"/>
  <c r="G175" i="5" s="1"/>
  <c r="CC701" i="5"/>
  <c r="CB702" i="5"/>
  <c r="H148" i="6" l="1"/>
  <c r="Z173" i="5"/>
  <c r="AA173" i="5" s="1"/>
  <c r="I148" i="6" s="1"/>
  <c r="AT174" i="5"/>
  <c r="AP174" i="5"/>
  <c r="CO175" i="5"/>
  <c r="F175" i="5" s="1"/>
  <c r="CN175" i="5"/>
  <c r="E175" i="5" s="1"/>
  <c r="M174" i="5"/>
  <c r="P174" i="5"/>
  <c r="AY174" i="5" s="1"/>
  <c r="CC702" i="5"/>
  <c r="CB703" i="5"/>
  <c r="BY175" i="5" l="1"/>
  <c r="J175" i="5" s="1"/>
  <c r="AF175" i="5" s="1"/>
  <c r="BW175" i="5"/>
  <c r="AO174" i="5"/>
  <c r="AR174" i="5" s="1"/>
  <c r="AG174" i="5"/>
  <c r="AJ174" i="5" s="1"/>
  <c r="N174" i="5"/>
  <c r="AS174" i="5"/>
  <c r="AV174" i="5" s="1"/>
  <c r="BC175" i="5"/>
  <c r="D150" i="6"/>
  <c r="E150" i="6"/>
  <c r="C176" i="5"/>
  <c r="BU176" i="5" s="1"/>
  <c r="Q174" i="5"/>
  <c r="V174" i="5" s="1"/>
  <c r="F149" i="6"/>
  <c r="CC703" i="5"/>
  <c r="CB704" i="5"/>
  <c r="AN175" i="5" l="1"/>
  <c r="BT176" i="5"/>
  <c r="BV176" i="5"/>
  <c r="BS176" i="5"/>
  <c r="CI176" i="5"/>
  <c r="BH176" i="5"/>
  <c r="BI176" i="5" s="1"/>
  <c r="BJ176" i="5" s="1"/>
  <c r="X174" i="5"/>
  <c r="Y174" i="5" s="1"/>
  <c r="CL176" i="5"/>
  <c r="CM176" i="5" s="1"/>
  <c r="D176" i="5"/>
  <c r="CR176" i="5"/>
  <c r="AB176" i="5"/>
  <c r="L176" i="5" s="1"/>
  <c r="CW176" i="5"/>
  <c r="CS176" i="5"/>
  <c r="BK176" i="5"/>
  <c r="BL176" i="5" s="1"/>
  <c r="BM176" i="5" s="1"/>
  <c r="CY176" i="5"/>
  <c r="C151" i="6"/>
  <c r="AK176" i="5"/>
  <c r="AC176" i="5"/>
  <c r="AD176" i="5" s="1"/>
  <c r="CX176" i="5"/>
  <c r="BG175" i="5"/>
  <c r="H175" i="5" s="1"/>
  <c r="AX176" i="5"/>
  <c r="AW176" i="5" s="1"/>
  <c r="CU176" i="5"/>
  <c r="BX176" i="5" s="1"/>
  <c r="BD175" i="5"/>
  <c r="BE176" i="5" s="1"/>
  <c r="CZ175" i="5"/>
  <c r="BF175" i="5"/>
  <c r="G149" i="6"/>
  <c r="CC704" i="5"/>
  <c r="CB705" i="5"/>
  <c r="CH176" i="5" l="1"/>
  <c r="CK176" i="5"/>
  <c r="CJ176" i="5" s="1"/>
  <c r="DA176" i="5"/>
  <c r="DB176" i="5" s="1"/>
  <c r="CV176" i="5"/>
  <c r="CT176" i="5"/>
  <c r="CP176" i="5"/>
  <c r="CQ176" i="5" s="1"/>
  <c r="R176" i="5" s="1"/>
  <c r="S176" i="5" s="1"/>
  <c r="I175" i="5"/>
  <c r="AP175" i="5" s="1"/>
  <c r="AE176" i="5"/>
  <c r="H149" i="6"/>
  <c r="Z174" i="5"/>
  <c r="AM176" i="5"/>
  <c r="AL177" i="5" s="1"/>
  <c r="T176" i="5"/>
  <c r="U176" i="5" s="1"/>
  <c r="W176" i="5"/>
  <c r="BN176" i="5"/>
  <c r="BO176" i="5" s="1"/>
  <c r="BP176" i="5" s="1"/>
  <c r="G176" i="5" s="1"/>
  <c r="CC705" i="5"/>
  <c r="CB706" i="5"/>
  <c r="K176" i="5" l="1"/>
  <c r="AH175" i="5"/>
  <c r="AT175" i="5"/>
  <c r="P175" i="5"/>
  <c r="AY175" i="5" s="1"/>
  <c r="M175" i="5"/>
  <c r="AA174" i="5"/>
  <c r="I149" i="6" s="1"/>
  <c r="CO176" i="5"/>
  <c r="F176" i="5" s="1"/>
  <c r="CN176" i="5"/>
  <c r="E176" i="5" s="1"/>
  <c r="CC706" i="5"/>
  <c r="CB707" i="5"/>
  <c r="AS175" i="5" l="1"/>
  <c r="AV175" i="5" s="1"/>
  <c r="AO175" i="5"/>
  <c r="AR175" i="5" s="1"/>
  <c r="D151" i="6"/>
  <c r="BC176" i="5"/>
  <c r="Q175" i="5"/>
  <c r="V175" i="5" s="1"/>
  <c r="G150" i="6" s="1"/>
  <c r="F150" i="6"/>
  <c r="E151" i="6"/>
  <c r="C177" i="5"/>
  <c r="BU177" i="5" s="1"/>
  <c r="N175" i="5"/>
  <c r="AG175" i="5"/>
  <c r="CC707" i="5"/>
  <c r="CB708" i="5"/>
  <c r="BW176" i="5" l="1"/>
  <c r="BY176" i="5"/>
  <c r="J176" i="5" s="1"/>
  <c r="BV177" i="5"/>
  <c r="BT177" i="5"/>
  <c r="BS177" i="5"/>
  <c r="CI177" i="5"/>
  <c r="BH177" i="5"/>
  <c r="BI177" i="5" s="1"/>
  <c r="BJ177" i="5" s="1"/>
  <c r="AJ175" i="5"/>
  <c r="AB177" i="5"/>
  <c r="L177" i="5" s="1"/>
  <c r="CR177" i="5"/>
  <c r="CL177" i="5"/>
  <c r="CM177" i="5" s="1"/>
  <c r="AK177" i="5"/>
  <c r="AM177" i="5" s="1"/>
  <c r="AL178" i="5" s="1"/>
  <c r="BK177" i="5"/>
  <c r="BL177" i="5" s="1"/>
  <c r="BM177" i="5" s="1"/>
  <c r="CW177" i="5"/>
  <c r="CS177" i="5"/>
  <c r="CY177" i="5"/>
  <c r="CX177" i="5"/>
  <c r="AC177" i="5"/>
  <c r="D177" i="5"/>
  <c r="C152" i="6"/>
  <c r="BG176" i="5"/>
  <c r="H176" i="5" s="1"/>
  <c r="AX177" i="5"/>
  <c r="AW177" i="5" s="1"/>
  <c r="CU177" i="5"/>
  <c r="BD176" i="5"/>
  <c r="BE177" i="5" s="1"/>
  <c r="BF176" i="5"/>
  <c r="CZ176" i="5"/>
  <c r="CC708" i="5"/>
  <c r="CB709" i="5"/>
  <c r="AD177" i="5" l="1"/>
  <c r="AE177" i="5" s="1"/>
  <c r="AN176" i="5"/>
  <c r="AF176" i="5"/>
  <c r="BX177" i="5"/>
  <c r="CH177" i="5"/>
  <c r="CK177" i="5"/>
  <c r="CJ177" i="5" s="1"/>
  <c r="BN177" i="5"/>
  <c r="BO177" i="5" s="1"/>
  <c r="BP177" i="5" s="1"/>
  <c r="G177" i="5" s="1"/>
  <c r="X175" i="5"/>
  <c r="Y175" i="5" s="1"/>
  <c r="DA177" i="5"/>
  <c r="DB177" i="5" s="1"/>
  <c r="K177" i="5" s="1"/>
  <c r="CP177" i="5"/>
  <c r="CQ177" i="5" s="1"/>
  <c r="R177" i="5" s="1"/>
  <c r="S177" i="5" s="1"/>
  <c r="I176" i="5"/>
  <c r="AH176" i="5" s="1"/>
  <c r="W177" i="5"/>
  <c r="T177" i="5"/>
  <c r="U177" i="5" s="1"/>
  <c r="CT177" i="5"/>
  <c r="CV177" i="5"/>
  <c r="CC709" i="5"/>
  <c r="CB710" i="5"/>
  <c r="Z175" i="5" l="1"/>
  <c r="AA175" i="5" s="1"/>
  <c r="I150" i="6" s="1"/>
  <c r="H150" i="6"/>
  <c r="AT176" i="5"/>
  <c r="AP176" i="5"/>
  <c r="P176" i="5"/>
  <c r="AY176" i="5" s="1"/>
  <c r="M176" i="5"/>
  <c r="AG176" i="5" s="1"/>
  <c r="AJ176" i="5" s="1"/>
  <c r="CO177" i="5"/>
  <c r="F177" i="5" s="1"/>
  <c r="CN177" i="5"/>
  <c r="E177" i="5" s="1"/>
  <c r="CC710" i="5"/>
  <c r="CB711" i="5"/>
  <c r="BW177" i="5" l="1"/>
  <c r="N176" i="5"/>
  <c r="AS176" i="5"/>
  <c r="AV176" i="5" s="1"/>
  <c r="AO176" i="5"/>
  <c r="AR176" i="5" s="1"/>
  <c r="BC177" i="5"/>
  <c r="D152" i="6"/>
  <c r="E152" i="6"/>
  <c r="C178" i="5"/>
  <c r="BU178" i="5" s="1"/>
  <c r="F151" i="6"/>
  <c r="Q176" i="5"/>
  <c r="V176" i="5" s="1"/>
  <c r="CC711" i="5"/>
  <c r="CB712" i="5"/>
  <c r="BY177" i="5" l="1"/>
  <c r="J177" i="5" s="1"/>
  <c r="BV178" i="5"/>
  <c r="BT178" i="5"/>
  <c r="BS178" i="5"/>
  <c r="CI178" i="5"/>
  <c r="BH178" i="5"/>
  <c r="BI178" i="5" s="1"/>
  <c r="BJ178" i="5" s="1"/>
  <c r="X176" i="5"/>
  <c r="Y176" i="5" s="1"/>
  <c r="G151" i="6"/>
  <c r="CR178" i="5"/>
  <c r="CY178" i="5"/>
  <c r="CX178" i="5"/>
  <c r="C153" i="6"/>
  <c r="AK178" i="5"/>
  <c r="CS178" i="5"/>
  <c r="D178" i="5"/>
  <c r="AB178" i="5"/>
  <c r="L178" i="5" s="1"/>
  <c r="AC178" i="5"/>
  <c r="BK178" i="5"/>
  <c r="BL178" i="5" s="1"/>
  <c r="BM178" i="5" s="1"/>
  <c r="CW178" i="5"/>
  <c r="CL178" i="5"/>
  <c r="CM178" i="5" s="1"/>
  <c r="BG177" i="5"/>
  <c r="H177" i="5" s="1"/>
  <c r="AX178" i="5"/>
  <c r="AW178" i="5" s="1"/>
  <c r="CU178" i="5"/>
  <c r="BX178" i="5" s="1"/>
  <c r="BF177" i="5"/>
  <c r="CZ177" i="5"/>
  <c r="BD177" i="5"/>
  <c r="BE178" i="5" s="1"/>
  <c r="CC712" i="5"/>
  <c r="CB713" i="5"/>
  <c r="AF177" i="5" l="1"/>
  <c r="AN177" i="5"/>
  <c r="CK178" i="5"/>
  <c r="CJ178" i="5" s="1"/>
  <c r="CH178" i="5"/>
  <c r="AD178" i="5"/>
  <c r="AE178" i="5" s="1"/>
  <c r="DA178" i="5"/>
  <c r="DB178" i="5" s="1"/>
  <c r="K178" i="5" s="1"/>
  <c r="BN178" i="5"/>
  <c r="BO178" i="5" s="1"/>
  <c r="BP178" i="5" s="1"/>
  <c r="G178" i="5" s="1"/>
  <c r="I177" i="5"/>
  <c r="AM178" i="5"/>
  <c r="AL179" i="5" s="1"/>
  <c r="CV178" i="5"/>
  <c r="CT178" i="5"/>
  <c r="T178" i="5"/>
  <c r="U178" i="5" s="1"/>
  <c r="W178" i="5"/>
  <c r="CP178" i="5"/>
  <c r="CQ178" i="5" s="1"/>
  <c r="R178" i="5" s="1"/>
  <c r="S178" i="5" s="1"/>
  <c r="H151" i="6"/>
  <c r="Z176" i="5"/>
  <c r="CC713" i="5"/>
  <c r="CB714" i="5"/>
  <c r="AP177" i="5" l="1"/>
  <c r="AT177" i="5"/>
  <c r="AH177" i="5"/>
  <c r="CO178" i="5"/>
  <c r="F178" i="5" s="1"/>
  <c r="CN178" i="5"/>
  <c r="E178" i="5" s="1"/>
  <c r="P177" i="5"/>
  <c r="AY177" i="5" s="1"/>
  <c r="M177" i="5"/>
  <c r="AA176" i="5"/>
  <c r="I151" i="6" s="1"/>
  <c r="CC714" i="5"/>
  <c r="CB715" i="5"/>
  <c r="BY178" i="5" l="1"/>
  <c r="J178" i="5" s="1"/>
  <c r="AS177" i="5"/>
  <c r="AV177" i="5" s="1"/>
  <c r="AO177" i="5"/>
  <c r="N177" i="5"/>
  <c r="AG177" i="5"/>
  <c r="AJ177" i="5" s="1"/>
  <c r="BC178" i="5"/>
  <c r="D153" i="6"/>
  <c r="E153" i="6"/>
  <c r="C179" i="5"/>
  <c r="BU179" i="5" s="1"/>
  <c r="Q177" i="5"/>
  <c r="V177" i="5" s="1"/>
  <c r="F152" i="6"/>
  <c r="CC715" i="5"/>
  <c r="CB716" i="5"/>
  <c r="AN178" i="5" l="1"/>
  <c r="AF178" i="5"/>
  <c r="BW178" i="5"/>
  <c r="BT179" i="5"/>
  <c r="BV179" i="5"/>
  <c r="BS179" i="5"/>
  <c r="CI179" i="5"/>
  <c r="BH179" i="5"/>
  <c r="BI179" i="5" s="1"/>
  <c r="BJ179" i="5" s="1"/>
  <c r="AR177" i="5"/>
  <c r="D179" i="5"/>
  <c r="AC179" i="5"/>
  <c r="AD179" i="5" s="1"/>
  <c r="CL179" i="5"/>
  <c r="CM179" i="5" s="1"/>
  <c r="AK179" i="5"/>
  <c r="AM179" i="5" s="1"/>
  <c r="AL180" i="5" s="1"/>
  <c r="C154" i="6"/>
  <c r="CX179" i="5"/>
  <c r="CR179" i="5"/>
  <c r="CW179" i="5"/>
  <c r="CS179" i="5"/>
  <c r="BK179" i="5"/>
  <c r="BL179" i="5" s="1"/>
  <c r="BM179" i="5" s="1"/>
  <c r="AB179" i="5"/>
  <c r="BN179" i="5" s="1"/>
  <c r="BO179" i="5" s="1"/>
  <c r="BP179" i="5" s="1"/>
  <c r="CY179" i="5"/>
  <c r="BG178" i="5"/>
  <c r="H178" i="5" s="1"/>
  <c r="AX179" i="5"/>
  <c r="AW179" i="5" s="1"/>
  <c r="CU179" i="5"/>
  <c r="G152" i="6"/>
  <c r="BD178" i="5"/>
  <c r="BE179" i="5" s="1"/>
  <c r="CZ178" i="5"/>
  <c r="BF178" i="5"/>
  <c r="CC716" i="5"/>
  <c r="CB717" i="5"/>
  <c r="BX179" i="5" l="1"/>
  <c r="G179" i="5"/>
  <c r="CH179" i="5"/>
  <c r="CK179" i="5"/>
  <c r="CJ179" i="5" s="1"/>
  <c r="X177" i="5"/>
  <c r="Y177" i="5" s="1"/>
  <c r="DA179" i="5"/>
  <c r="DB179" i="5" s="1"/>
  <c r="K179" i="5" s="1"/>
  <c r="CT179" i="5"/>
  <c r="CV179" i="5"/>
  <c r="CP179" i="5"/>
  <c r="CQ179" i="5" s="1"/>
  <c r="R179" i="5" s="1"/>
  <c r="S179" i="5" s="1"/>
  <c r="L179" i="5"/>
  <c r="I178" i="5"/>
  <c r="AP178" i="5" s="1"/>
  <c r="AE179" i="5"/>
  <c r="W179" i="5"/>
  <c r="T179" i="5"/>
  <c r="U179" i="5" s="1"/>
  <c r="CC717" i="5"/>
  <c r="CB718" i="5"/>
  <c r="Z177" i="5" l="1"/>
  <c r="AA177" i="5" s="1"/>
  <c r="I152" i="6" s="1"/>
  <c r="H152" i="6"/>
  <c r="AH178" i="5"/>
  <c r="AT178" i="5"/>
  <c r="P178" i="5"/>
  <c r="AY178" i="5" s="1"/>
  <c r="M178" i="5"/>
  <c r="CO179" i="5"/>
  <c r="F179" i="5" s="1"/>
  <c r="CN179" i="5"/>
  <c r="E179" i="5" s="1"/>
  <c r="CC718" i="5"/>
  <c r="CB719" i="5"/>
  <c r="BW179" i="5" l="1"/>
  <c r="AS178" i="5"/>
  <c r="AV178" i="5" s="1"/>
  <c r="AO178" i="5"/>
  <c r="AR178" i="5" s="1"/>
  <c r="N178" i="5"/>
  <c r="AG178" i="5"/>
  <c r="BC179" i="5"/>
  <c r="D154" i="6"/>
  <c r="E154" i="6"/>
  <c r="C180" i="5"/>
  <c r="BU180" i="5" s="1"/>
  <c r="F153" i="6"/>
  <c r="Q178" i="5"/>
  <c r="V178" i="5" s="1"/>
  <c r="CC719" i="5"/>
  <c r="CB720" i="5"/>
  <c r="BY179" i="5" l="1"/>
  <c r="J179" i="5" s="1"/>
  <c r="BT180" i="5"/>
  <c r="BV180" i="5"/>
  <c r="BS180" i="5"/>
  <c r="CI180" i="5"/>
  <c r="BH180" i="5"/>
  <c r="BI180" i="5" s="1"/>
  <c r="BJ180" i="5" s="1"/>
  <c r="AJ178" i="5"/>
  <c r="G153" i="6"/>
  <c r="CW180" i="5"/>
  <c r="CS180" i="5"/>
  <c r="CR180" i="5"/>
  <c r="AC180" i="5"/>
  <c r="AK180" i="5"/>
  <c r="AB180" i="5"/>
  <c r="BN180" i="5" s="1"/>
  <c r="BO180" i="5" s="1"/>
  <c r="BP180" i="5" s="1"/>
  <c r="BK180" i="5"/>
  <c r="BL180" i="5" s="1"/>
  <c r="BM180" i="5" s="1"/>
  <c r="D180" i="5"/>
  <c r="CX180" i="5"/>
  <c r="CL180" i="5"/>
  <c r="CM180" i="5" s="1"/>
  <c r="C155" i="6"/>
  <c r="CY180" i="5"/>
  <c r="BG179" i="5"/>
  <c r="H179" i="5" s="1"/>
  <c r="AX180" i="5"/>
  <c r="AW180" i="5" s="1"/>
  <c r="CU180" i="5"/>
  <c r="BX180" i="5" s="1"/>
  <c r="BD179" i="5"/>
  <c r="BE180" i="5" s="1"/>
  <c r="CZ179" i="5"/>
  <c r="BF179" i="5"/>
  <c r="CC720" i="5"/>
  <c r="CB721" i="5"/>
  <c r="AN179" i="5" l="1"/>
  <c r="AF179" i="5"/>
  <c r="G180" i="5"/>
  <c r="CH180" i="5"/>
  <c r="CK180" i="5"/>
  <c r="CJ180" i="5" s="1"/>
  <c r="AD180" i="5"/>
  <c r="AE180" i="5" s="1"/>
  <c r="X178" i="5"/>
  <c r="Y178" i="5" s="1"/>
  <c r="L180" i="5"/>
  <c r="DA180" i="5"/>
  <c r="DB180" i="5" s="1"/>
  <c r="K180" i="5" s="1"/>
  <c r="AM180" i="5"/>
  <c r="AL181" i="5" s="1"/>
  <c r="I179" i="5"/>
  <c r="AH179" i="5" s="1"/>
  <c r="CV180" i="5"/>
  <c r="CT180" i="5"/>
  <c r="T180" i="5"/>
  <c r="U180" i="5" s="1"/>
  <c r="W180" i="5"/>
  <c r="CP180" i="5"/>
  <c r="CQ180" i="5" s="1"/>
  <c r="R180" i="5" s="1"/>
  <c r="S180" i="5" s="1"/>
  <c r="CC721" i="5"/>
  <c r="CB722" i="5"/>
  <c r="H153" i="6" l="1"/>
  <c r="Z178" i="5"/>
  <c r="AA178" i="5" s="1"/>
  <c r="I153" i="6" s="1"/>
  <c r="AT179" i="5"/>
  <c r="AP179" i="5"/>
  <c r="CO180" i="5"/>
  <c r="F180" i="5" s="1"/>
  <c r="CN180" i="5"/>
  <c r="E180" i="5" s="1"/>
  <c r="P179" i="5"/>
  <c r="AY179" i="5" s="1"/>
  <c r="M179" i="5"/>
  <c r="CC722" i="5"/>
  <c r="CB723" i="5"/>
  <c r="BW180" i="5" l="1"/>
  <c r="AO179" i="5"/>
  <c r="AR179" i="5" s="1"/>
  <c r="AG179" i="5"/>
  <c r="AJ179" i="5" s="1"/>
  <c r="N179" i="5"/>
  <c r="AS179" i="5"/>
  <c r="AV179" i="5" s="1"/>
  <c r="BC180" i="5"/>
  <c r="D155" i="6"/>
  <c r="C181" i="5"/>
  <c r="BU181" i="5" s="1"/>
  <c r="E155" i="6"/>
  <c r="Q179" i="5"/>
  <c r="V179" i="5" s="1"/>
  <c r="F154" i="6"/>
  <c r="CC723" i="5"/>
  <c r="CB724" i="5"/>
  <c r="BY180" i="5" l="1"/>
  <c r="J180" i="5" s="1"/>
  <c r="BT181" i="5"/>
  <c r="BV181" i="5"/>
  <c r="BS181" i="5"/>
  <c r="CI181" i="5"/>
  <c r="BH181" i="5"/>
  <c r="BI181" i="5" s="1"/>
  <c r="BJ181" i="5" s="1"/>
  <c r="X179" i="5"/>
  <c r="Y179" i="5" s="1"/>
  <c r="CS181" i="5"/>
  <c r="CW181" i="5"/>
  <c r="CY181" i="5"/>
  <c r="C156" i="6"/>
  <c r="CX181" i="5"/>
  <c r="CL181" i="5"/>
  <c r="CM181" i="5" s="1"/>
  <c r="AB181" i="5"/>
  <c r="L181" i="5" s="1"/>
  <c r="CR181" i="5"/>
  <c r="D181" i="5"/>
  <c r="AC181" i="5"/>
  <c r="AD181" i="5" s="1"/>
  <c r="BK181" i="5"/>
  <c r="BL181" i="5" s="1"/>
  <c r="BM181" i="5" s="1"/>
  <c r="AK181" i="5"/>
  <c r="AM181" i="5" s="1"/>
  <c r="AL182" i="5" s="1"/>
  <c r="BG180" i="5"/>
  <c r="H180" i="5" s="1"/>
  <c r="AX181" i="5"/>
  <c r="AW181" i="5" s="1"/>
  <c r="CU181" i="5"/>
  <c r="BX181" i="5" s="1"/>
  <c r="G154" i="6"/>
  <c r="BD180" i="5"/>
  <c r="BE181" i="5" s="1"/>
  <c r="BF180" i="5"/>
  <c r="CZ180" i="5"/>
  <c r="CC724" i="5"/>
  <c r="CB725" i="5"/>
  <c r="AF180" i="5" l="1"/>
  <c r="AN180" i="5"/>
  <c r="CH181" i="5"/>
  <c r="CK181" i="5"/>
  <c r="CJ181" i="5" s="1"/>
  <c r="CP181" i="5"/>
  <c r="CQ181" i="5" s="1"/>
  <c r="R181" i="5" s="1"/>
  <c r="S181" i="5" s="1"/>
  <c r="BN181" i="5"/>
  <c r="BO181" i="5" s="1"/>
  <c r="BP181" i="5" s="1"/>
  <c r="G181" i="5" s="1"/>
  <c r="DA181" i="5"/>
  <c r="DB181" i="5" s="1"/>
  <c r="K181" i="5" s="1"/>
  <c r="I180" i="5"/>
  <c r="AE181" i="5"/>
  <c r="H154" i="6"/>
  <c r="Z179" i="5"/>
  <c r="CT181" i="5"/>
  <c r="CV181" i="5"/>
  <c r="T181" i="5"/>
  <c r="U181" i="5" s="1"/>
  <c r="W181" i="5"/>
  <c r="CC725" i="5"/>
  <c r="CB726" i="5"/>
  <c r="AA179" i="5" l="1"/>
  <c r="I154" i="6" s="1"/>
  <c r="AH180" i="5"/>
  <c r="AT180" i="5"/>
  <c r="AP180" i="5"/>
  <c r="M180" i="5"/>
  <c r="P180" i="5"/>
  <c r="AY180" i="5" s="1"/>
  <c r="CN181" i="5"/>
  <c r="E181" i="5" s="1"/>
  <c r="CO181" i="5"/>
  <c r="F181" i="5" s="1"/>
  <c r="CC726" i="5"/>
  <c r="CB727" i="5"/>
  <c r="BW181" i="5" l="1"/>
  <c r="BY181" i="5"/>
  <c r="J181" i="5" s="1"/>
  <c r="AF181" i="5" s="1"/>
  <c r="C182" i="5"/>
  <c r="BU182" i="5" s="1"/>
  <c r="E156" i="6"/>
  <c r="D156" i="6"/>
  <c r="BC181" i="5"/>
  <c r="AG180" i="5"/>
  <c r="N180" i="5"/>
  <c r="AS180" i="5"/>
  <c r="AV180" i="5" s="1"/>
  <c r="AO180" i="5"/>
  <c r="AR180" i="5" s="1"/>
  <c r="Q180" i="5"/>
  <c r="V180" i="5" s="1"/>
  <c r="F155" i="6"/>
  <c r="CC727" i="5"/>
  <c r="CB728" i="5"/>
  <c r="AN181" i="5" l="1"/>
  <c r="BV182" i="5"/>
  <c r="BT182" i="5"/>
  <c r="BS182" i="5"/>
  <c r="CI182" i="5"/>
  <c r="BH182" i="5"/>
  <c r="BI182" i="5" s="1"/>
  <c r="BJ182" i="5" s="1"/>
  <c r="BD181" i="5"/>
  <c r="BE182" i="5" s="1"/>
  <c r="CZ181" i="5"/>
  <c r="BF181" i="5"/>
  <c r="AJ180" i="5"/>
  <c r="G155" i="6"/>
  <c r="CX182" i="5"/>
  <c r="BK182" i="5"/>
  <c r="BL182" i="5" s="1"/>
  <c r="BM182" i="5" s="1"/>
  <c r="AB182" i="5"/>
  <c r="L182" i="5" s="1"/>
  <c r="AK182" i="5"/>
  <c r="AM182" i="5" s="1"/>
  <c r="AL183" i="5" s="1"/>
  <c r="CY182" i="5"/>
  <c r="D182" i="5"/>
  <c r="CR182" i="5"/>
  <c r="CS182" i="5"/>
  <c r="AC182" i="5"/>
  <c r="AD182" i="5" s="1"/>
  <c r="C157" i="6"/>
  <c r="CW182" i="5"/>
  <c r="CL182" i="5"/>
  <c r="CM182" i="5" s="1"/>
  <c r="BG181" i="5"/>
  <c r="H181" i="5" s="1"/>
  <c r="AX182" i="5"/>
  <c r="AW182" i="5" s="1"/>
  <c r="CU182" i="5"/>
  <c r="BX182" i="5" s="1"/>
  <c r="CC728" i="5"/>
  <c r="CB729" i="5"/>
  <c r="CH182" i="5" l="1"/>
  <c r="CK182" i="5"/>
  <c r="CJ182" i="5" s="1"/>
  <c r="X180" i="5"/>
  <c r="Y180" i="5" s="1"/>
  <c r="DA182" i="5"/>
  <c r="DB182" i="5" s="1"/>
  <c r="K182" i="5" s="1"/>
  <c r="BN182" i="5"/>
  <c r="BO182" i="5" s="1"/>
  <c r="BP182" i="5" s="1"/>
  <c r="G182" i="5" s="1"/>
  <c r="CP182" i="5"/>
  <c r="CQ182" i="5" s="1"/>
  <c r="R182" i="5" s="1"/>
  <c r="S182" i="5" s="1"/>
  <c r="W182" i="5"/>
  <c r="T182" i="5"/>
  <c r="U182" i="5" s="1"/>
  <c r="CT182" i="5"/>
  <c r="CV182" i="5"/>
  <c r="I181" i="5"/>
  <c r="AH181" i="5" s="1"/>
  <c r="AE182" i="5"/>
  <c r="CC729" i="5"/>
  <c r="CB730" i="5"/>
  <c r="Z180" i="5" l="1"/>
  <c r="AA180" i="5" s="1"/>
  <c r="I155" i="6" s="1"/>
  <c r="H155" i="6"/>
  <c r="AT181" i="5"/>
  <c r="AP181" i="5"/>
  <c r="M181" i="5"/>
  <c r="P181" i="5"/>
  <c r="AY181" i="5" s="1"/>
  <c r="CO182" i="5"/>
  <c r="F182" i="5" s="1"/>
  <c r="CN182" i="5"/>
  <c r="E182" i="5" s="1"/>
  <c r="CC730" i="5"/>
  <c r="CB731" i="5"/>
  <c r="AO181" i="5" l="1"/>
  <c r="AR181" i="5" s="1"/>
  <c r="AG181" i="5"/>
  <c r="AJ181" i="5" s="1"/>
  <c r="D157" i="6"/>
  <c r="BC182" i="5"/>
  <c r="C183" i="5"/>
  <c r="BU183" i="5" s="1"/>
  <c r="E157" i="6"/>
  <c r="F156" i="6"/>
  <c r="Q181" i="5"/>
  <c r="V181" i="5" s="1"/>
  <c r="N181" i="5"/>
  <c r="AS181" i="5"/>
  <c r="AV181" i="5" s="1"/>
  <c r="CC731" i="5"/>
  <c r="CB732" i="5"/>
  <c r="BW182" i="5" l="1"/>
  <c r="BY182" i="5"/>
  <c r="J182" i="5" s="1"/>
  <c r="BV183" i="5"/>
  <c r="BT183" i="5"/>
  <c r="BS183" i="5"/>
  <c r="CI183" i="5"/>
  <c r="BH183" i="5"/>
  <c r="BI183" i="5" s="1"/>
  <c r="BJ183" i="5" s="1"/>
  <c r="X181" i="5"/>
  <c r="Y181" i="5" s="1"/>
  <c r="G156" i="6"/>
  <c r="BK183" i="5"/>
  <c r="BL183" i="5" s="1"/>
  <c r="BM183" i="5" s="1"/>
  <c r="AB183" i="5"/>
  <c r="BN183" i="5" s="1"/>
  <c r="BO183" i="5" s="1"/>
  <c r="BP183" i="5" s="1"/>
  <c r="CR183" i="5"/>
  <c r="AK183" i="5"/>
  <c r="CS183" i="5"/>
  <c r="CY183" i="5"/>
  <c r="AC183" i="5"/>
  <c r="CW183" i="5"/>
  <c r="C158" i="6"/>
  <c r="D183" i="5"/>
  <c r="CL183" i="5"/>
  <c r="CM183" i="5" s="1"/>
  <c r="CX183" i="5"/>
  <c r="BG182" i="5"/>
  <c r="H182" i="5" s="1"/>
  <c r="AX183" i="5"/>
  <c r="AW183" i="5" s="1"/>
  <c r="CU183" i="5"/>
  <c r="BD182" i="5"/>
  <c r="BE183" i="5" s="1"/>
  <c r="BF182" i="5"/>
  <c r="CZ182" i="5"/>
  <c r="CC732" i="5"/>
  <c r="CB733" i="5"/>
  <c r="AN182" i="5" l="1"/>
  <c r="AF182" i="5"/>
  <c r="BX183" i="5"/>
  <c r="G183" i="5"/>
  <c r="CK183" i="5"/>
  <c r="CJ183" i="5" s="1"/>
  <c r="CH183" i="5"/>
  <c r="L183" i="5"/>
  <c r="AD183" i="5"/>
  <c r="AE183" i="5" s="1"/>
  <c r="DA183" i="5"/>
  <c r="DB183" i="5" s="1"/>
  <c r="I182" i="5"/>
  <c r="AM183" i="5"/>
  <c r="AL184" i="5" s="1"/>
  <c r="T183" i="5"/>
  <c r="U183" i="5" s="1"/>
  <c r="W183" i="5"/>
  <c r="CV183" i="5"/>
  <c r="CT183" i="5"/>
  <c r="CP183" i="5"/>
  <c r="CQ183" i="5" s="1"/>
  <c r="R183" i="5" s="1"/>
  <c r="S183" i="5" s="1"/>
  <c r="H156" i="6"/>
  <c r="Z181" i="5"/>
  <c r="CC733" i="5"/>
  <c r="CB734" i="5"/>
  <c r="AP182" i="5" l="1"/>
  <c r="K183" i="5"/>
  <c r="AH182" i="5"/>
  <c r="AT182" i="5"/>
  <c r="CO183" i="5"/>
  <c r="F183" i="5" s="1"/>
  <c r="CN183" i="5"/>
  <c r="E183" i="5" s="1"/>
  <c r="P182" i="5"/>
  <c r="M182" i="5"/>
  <c r="AA181" i="5"/>
  <c r="I156" i="6" s="1"/>
  <c r="CC734" i="5"/>
  <c r="CB735" i="5"/>
  <c r="BY183" i="5" l="1"/>
  <c r="J183" i="5" s="1"/>
  <c r="BW183" i="5"/>
  <c r="BB182" i="5"/>
  <c r="AY182" i="5"/>
  <c r="AS182" i="5"/>
  <c r="AV182" i="5" s="1"/>
  <c r="AO182" i="5"/>
  <c r="AR182" i="5" s="1"/>
  <c r="F157" i="6"/>
  <c r="Q182" i="5"/>
  <c r="V182" i="5" s="1"/>
  <c r="BC183" i="5"/>
  <c r="D158" i="6"/>
  <c r="E158" i="6"/>
  <c r="C184" i="5"/>
  <c r="BU184" i="5" s="1"/>
  <c r="N182" i="5"/>
  <c r="AG182" i="5"/>
  <c r="CC735" i="5"/>
  <c r="CB736" i="5"/>
  <c r="AN183" i="5" l="1"/>
  <c r="AF183" i="5"/>
  <c r="BT184" i="5"/>
  <c r="BV184" i="5"/>
  <c r="BS184" i="5"/>
  <c r="CI184" i="5"/>
  <c r="BH184" i="5"/>
  <c r="BI184" i="5" s="1"/>
  <c r="BJ184" i="5" s="1"/>
  <c r="BK184" i="5"/>
  <c r="BL184" i="5" s="1"/>
  <c r="BM184" i="5" s="1"/>
  <c r="CY184" i="5"/>
  <c r="C159" i="6"/>
  <c r="AK184" i="5"/>
  <c r="AM184" i="5" s="1"/>
  <c r="AL185" i="5" s="1"/>
  <c r="CL184" i="5"/>
  <c r="CM184" i="5" s="1"/>
  <c r="AC184" i="5"/>
  <c r="AD184" i="5" s="1"/>
  <c r="CS184" i="5"/>
  <c r="D184" i="5"/>
  <c r="CW184" i="5"/>
  <c r="AB184" i="5"/>
  <c r="DA184" i="5" s="1"/>
  <c r="DB184" i="5" s="1"/>
  <c r="CX184" i="5"/>
  <c r="CR184" i="5"/>
  <c r="BG183" i="5"/>
  <c r="H183" i="5" s="1"/>
  <c r="AX184" i="5"/>
  <c r="AW184" i="5" s="1"/>
  <c r="CU184" i="5"/>
  <c r="BX184" i="5" s="1"/>
  <c r="CZ183" i="5"/>
  <c r="BF183" i="5"/>
  <c r="BD183" i="5"/>
  <c r="BE184" i="5" s="1"/>
  <c r="AJ182" i="5"/>
  <c r="G157" i="6"/>
  <c r="CC736" i="5"/>
  <c r="CB737" i="5"/>
  <c r="CH184" i="5" l="1"/>
  <c r="CK184" i="5"/>
  <c r="CJ184" i="5" s="1"/>
  <c r="K184" i="5" s="1"/>
  <c r="X182" i="5"/>
  <c r="Y182" i="5" s="1"/>
  <c r="BN184" i="5"/>
  <c r="BO184" i="5" s="1"/>
  <c r="BP184" i="5" s="1"/>
  <c r="G184" i="5" s="1"/>
  <c r="CP184" i="5"/>
  <c r="CQ184" i="5" s="1"/>
  <c r="R184" i="5" s="1"/>
  <c r="S184" i="5" s="1"/>
  <c r="CT184" i="5"/>
  <c r="CV184" i="5"/>
  <c r="L184" i="5"/>
  <c r="AE184" i="5"/>
  <c r="I183" i="5"/>
  <c r="AH183" i="5" s="1"/>
  <c r="W184" i="5"/>
  <c r="T184" i="5"/>
  <c r="U184" i="5" s="1"/>
  <c r="CC737" i="5"/>
  <c r="CB738" i="5"/>
  <c r="H157" i="6" l="1"/>
  <c r="Z182" i="5"/>
  <c r="AA182" i="5" s="1"/>
  <c r="I157" i="6" s="1"/>
  <c r="AT183" i="5"/>
  <c r="AP183" i="5"/>
  <c r="CO184" i="5"/>
  <c r="F184" i="5" s="1"/>
  <c r="CN184" i="5"/>
  <c r="E184" i="5" s="1"/>
  <c r="P183" i="5"/>
  <c r="AY183" i="5" s="1"/>
  <c r="M183" i="5"/>
  <c r="AG183" i="5" s="1"/>
  <c r="AJ183" i="5" s="1"/>
  <c r="CC738" i="5"/>
  <c r="CB739" i="5"/>
  <c r="BW184" i="5" l="1"/>
  <c r="BY184" i="5"/>
  <c r="J184" i="5" s="1"/>
  <c r="AF184" i="5" s="1"/>
  <c r="N183" i="5"/>
  <c r="AS183" i="5"/>
  <c r="AV183" i="5" s="1"/>
  <c r="AO183" i="5"/>
  <c r="F158" i="6"/>
  <c r="Q183" i="5"/>
  <c r="V183" i="5" s="1"/>
  <c r="C185" i="5"/>
  <c r="BU185" i="5" s="1"/>
  <c r="E159" i="6"/>
  <c r="BC184" i="5"/>
  <c r="D159" i="6"/>
  <c r="CC739" i="5"/>
  <c r="CB740" i="5"/>
  <c r="AN184" i="5" l="1"/>
  <c r="BV185" i="5"/>
  <c r="BT185" i="5"/>
  <c r="BS185" i="5"/>
  <c r="CI185" i="5"/>
  <c r="BH185" i="5"/>
  <c r="BI185" i="5" s="1"/>
  <c r="BJ185" i="5" s="1"/>
  <c r="AR183" i="5"/>
  <c r="X183" i="5" s="1"/>
  <c r="Y183" i="5" s="1"/>
  <c r="CS185" i="5"/>
  <c r="BK185" i="5"/>
  <c r="BL185" i="5" s="1"/>
  <c r="BM185" i="5" s="1"/>
  <c r="CR185" i="5"/>
  <c r="CX185" i="5"/>
  <c r="AC185" i="5"/>
  <c r="AD185" i="5" s="1"/>
  <c r="AB185" i="5"/>
  <c r="DA185" i="5" s="1"/>
  <c r="DB185" i="5" s="1"/>
  <c r="C160" i="6"/>
  <c r="CY185" i="5"/>
  <c r="D185" i="5"/>
  <c r="CW185" i="5"/>
  <c r="CL185" i="5"/>
  <c r="CM185" i="5" s="1"/>
  <c r="AK185" i="5"/>
  <c r="AM185" i="5" s="1"/>
  <c r="AL186" i="5" s="1"/>
  <c r="BG184" i="5"/>
  <c r="H184" i="5" s="1"/>
  <c r="AX185" i="5"/>
  <c r="AW185" i="5" s="1"/>
  <c r="CU185" i="5"/>
  <c r="BX185" i="5" s="1"/>
  <c r="G158" i="6"/>
  <c r="BF184" i="5"/>
  <c r="CZ184" i="5"/>
  <c r="BD184" i="5"/>
  <c r="BE185" i="5" s="1"/>
  <c r="CB741" i="5"/>
  <c r="CC740" i="5"/>
  <c r="CH185" i="5" l="1"/>
  <c r="CK185" i="5"/>
  <c r="CJ185" i="5" s="1"/>
  <c r="K185" i="5" s="1"/>
  <c r="L185" i="5"/>
  <c r="CV185" i="5"/>
  <c r="CT185" i="5"/>
  <c r="I184" i="5"/>
  <c r="AP184" i="5" s="1"/>
  <c r="AE185" i="5"/>
  <c r="W185" i="5"/>
  <c r="T185" i="5"/>
  <c r="U185" i="5" s="1"/>
  <c r="H158" i="6"/>
  <c r="Z183" i="5"/>
  <c r="CP185" i="5"/>
  <c r="CQ185" i="5" s="1"/>
  <c r="R185" i="5" s="1"/>
  <c r="S185" i="5" s="1"/>
  <c r="BN185" i="5"/>
  <c r="BO185" i="5" s="1"/>
  <c r="BP185" i="5" s="1"/>
  <c r="G185" i="5" s="1"/>
  <c r="CC741" i="5"/>
  <c r="CB742" i="5"/>
  <c r="AH184" i="5" l="1"/>
  <c r="AT184" i="5"/>
  <c r="AA183" i="5"/>
  <c r="I158" i="6" s="1"/>
  <c r="M184" i="5"/>
  <c r="P184" i="5"/>
  <c r="AY184" i="5" s="1"/>
  <c r="CO185" i="5"/>
  <c r="F185" i="5" s="1"/>
  <c r="E160" i="6" s="1"/>
  <c r="CN185" i="5"/>
  <c r="E185" i="5" s="1"/>
  <c r="CC742" i="5"/>
  <c r="CB743" i="5"/>
  <c r="BW185" i="5" l="1"/>
  <c r="BY185" i="5"/>
  <c r="J185" i="5" s="1"/>
  <c r="AN185" i="5" s="1"/>
  <c r="AG184" i="5"/>
  <c r="AJ184" i="5" s="1"/>
  <c r="AO184" i="5"/>
  <c r="AR184" i="5" s="1"/>
  <c r="F159" i="6"/>
  <c r="Q184" i="5"/>
  <c r="V184" i="5" s="1"/>
  <c r="G159" i="6" s="1"/>
  <c r="AS184" i="5"/>
  <c r="AV184" i="5" s="1"/>
  <c r="N184" i="5"/>
  <c r="C186" i="5"/>
  <c r="BU186" i="5" s="1"/>
  <c r="BC185" i="5"/>
  <c r="D160" i="6"/>
  <c r="CC743" i="5"/>
  <c r="CB744" i="5"/>
  <c r="AF185" i="5" l="1"/>
  <c r="BV186" i="5"/>
  <c r="BT186" i="5"/>
  <c r="BS186" i="5"/>
  <c r="CI186" i="5"/>
  <c r="BH186" i="5"/>
  <c r="BI186" i="5" s="1"/>
  <c r="BJ186" i="5" s="1"/>
  <c r="X184" i="5"/>
  <c r="Y184" i="5" s="1"/>
  <c r="D186" i="5"/>
  <c r="BK186" i="5"/>
  <c r="BL186" i="5" s="1"/>
  <c r="BM186" i="5" s="1"/>
  <c r="CR186" i="5"/>
  <c r="AB186" i="5"/>
  <c r="CP186" i="5" s="1"/>
  <c r="CQ186" i="5" s="1"/>
  <c r="R186" i="5" s="1"/>
  <c r="S186" i="5" s="1"/>
  <c r="CL186" i="5"/>
  <c r="CM186" i="5" s="1"/>
  <c r="AC186" i="5"/>
  <c r="AD186" i="5" s="1"/>
  <c r="CY186" i="5"/>
  <c r="CX186" i="5"/>
  <c r="CW186" i="5"/>
  <c r="CS186" i="5"/>
  <c r="AK186" i="5"/>
  <c r="AM186" i="5" s="1"/>
  <c r="AL187" i="5" s="1"/>
  <c r="C161" i="6"/>
  <c r="BG185" i="5"/>
  <c r="H185" i="5" s="1"/>
  <c r="AX186" i="5"/>
  <c r="AW186" i="5" s="1"/>
  <c r="CU186" i="5"/>
  <c r="BX186" i="5" s="1"/>
  <c r="BD185" i="5"/>
  <c r="BE186" i="5" s="1"/>
  <c r="CZ185" i="5"/>
  <c r="BF185" i="5"/>
  <c r="CC744" i="5"/>
  <c r="CB745" i="5"/>
  <c r="CK186" i="5" l="1"/>
  <c r="CJ186" i="5" s="1"/>
  <c r="CH186" i="5"/>
  <c r="DA186" i="5"/>
  <c r="DB186" i="5" s="1"/>
  <c r="K186" i="5" s="1"/>
  <c r="L186" i="5"/>
  <c r="BN186" i="5"/>
  <c r="BO186" i="5" s="1"/>
  <c r="BP186" i="5" s="1"/>
  <c r="G186" i="5" s="1"/>
  <c r="AE186" i="5"/>
  <c r="H159" i="6"/>
  <c r="Z184" i="5"/>
  <c r="CV186" i="5"/>
  <c r="CT186" i="5"/>
  <c r="I185" i="5"/>
  <c r="T186" i="5"/>
  <c r="U186" i="5" s="1"/>
  <c r="W186" i="5"/>
  <c r="CC745" i="5"/>
  <c r="CB746" i="5"/>
  <c r="AH185" i="5" l="1"/>
  <c r="AT185" i="5"/>
  <c r="AP185" i="5"/>
  <c r="CN186" i="5"/>
  <c r="E186" i="5" s="1"/>
  <c r="CO186" i="5"/>
  <c r="F186" i="5" s="1"/>
  <c r="AA184" i="5"/>
  <c r="I159" i="6" s="1"/>
  <c r="P185" i="5"/>
  <c r="AY185" i="5" s="1"/>
  <c r="M185" i="5"/>
  <c r="CC746" i="5"/>
  <c r="CB747" i="5"/>
  <c r="BY186" i="5" l="1"/>
  <c r="J186" i="5" s="1"/>
  <c r="AN186" i="5" s="1"/>
  <c r="BW186" i="5"/>
  <c r="AS185" i="5"/>
  <c r="AV185" i="5" s="1"/>
  <c r="AO185" i="5"/>
  <c r="N185" i="5"/>
  <c r="AG185" i="5"/>
  <c r="E161" i="6"/>
  <c r="C187" i="5"/>
  <c r="BU187" i="5" s="1"/>
  <c r="BC186" i="5"/>
  <c r="D161" i="6"/>
  <c r="F160" i="6"/>
  <c r="Q185" i="5"/>
  <c r="V185" i="5" s="1"/>
  <c r="CC747" i="5"/>
  <c r="CB748" i="5"/>
  <c r="AF186" i="5" l="1"/>
  <c r="BT187" i="5"/>
  <c r="BV187" i="5"/>
  <c r="BS187" i="5"/>
  <c r="CI187" i="5"/>
  <c r="BH187" i="5"/>
  <c r="BI187" i="5" s="1"/>
  <c r="BJ187" i="5" s="1"/>
  <c r="AR185" i="5"/>
  <c r="AJ185" i="5"/>
  <c r="CZ186" i="5"/>
  <c r="BD186" i="5"/>
  <c r="BE187" i="5" s="1"/>
  <c r="BF186" i="5"/>
  <c r="CL187" i="5"/>
  <c r="CM187" i="5" s="1"/>
  <c r="AC187" i="5"/>
  <c r="AD187" i="5" s="1"/>
  <c r="CW187" i="5"/>
  <c r="CX187" i="5"/>
  <c r="D187" i="5"/>
  <c r="CY187" i="5"/>
  <c r="CR187" i="5"/>
  <c r="AK187" i="5"/>
  <c r="AB187" i="5"/>
  <c r="DA187" i="5" s="1"/>
  <c r="DB187" i="5" s="1"/>
  <c r="C162" i="6"/>
  <c r="CS187" i="5"/>
  <c r="BK187" i="5"/>
  <c r="BL187" i="5" s="1"/>
  <c r="BM187" i="5" s="1"/>
  <c r="BG186" i="5"/>
  <c r="H186" i="5" s="1"/>
  <c r="AX187" i="5"/>
  <c r="AW187" i="5" s="1"/>
  <c r="CU187" i="5"/>
  <c r="BX187" i="5" s="1"/>
  <c r="G160" i="6"/>
  <c r="CC748" i="5"/>
  <c r="CB749" i="5"/>
  <c r="CH187" i="5" l="1"/>
  <c r="CK187" i="5"/>
  <c r="CJ187" i="5" s="1"/>
  <c r="K187" i="5" s="1"/>
  <c r="X185" i="5"/>
  <c r="Y185" i="5" s="1"/>
  <c r="L187" i="5"/>
  <c r="CP187" i="5"/>
  <c r="CQ187" i="5" s="1"/>
  <c r="R187" i="5" s="1"/>
  <c r="S187" i="5" s="1"/>
  <c r="AM187" i="5"/>
  <c r="AL188" i="5" s="1"/>
  <c r="AE187" i="5"/>
  <c r="BN187" i="5"/>
  <c r="BO187" i="5" s="1"/>
  <c r="BP187" i="5" s="1"/>
  <c r="G187" i="5" s="1"/>
  <c r="CT187" i="5"/>
  <c r="CV187" i="5"/>
  <c r="T187" i="5"/>
  <c r="U187" i="5" s="1"/>
  <c r="W187" i="5"/>
  <c r="I186" i="5"/>
  <c r="AH186" i="5" s="1"/>
  <c r="CC749" i="5"/>
  <c r="CB750" i="5"/>
  <c r="H160" i="6" l="1"/>
  <c r="Z185" i="5"/>
  <c r="AA185" i="5" s="1"/>
  <c r="I160" i="6" s="1"/>
  <c r="AT186" i="5"/>
  <c r="AP186" i="5"/>
  <c r="CN187" i="5"/>
  <c r="E187" i="5" s="1"/>
  <c r="CO187" i="5"/>
  <c r="F187" i="5" s="1"/>
  <c r="M186" i="5"/>
  <c r="P186" i="5"/>
  <c r="AY186" i="5" s="1"/>
  <c r="CC750" i="5"/>
  <c r="CB751" i="5"/>
  <c r="BW187" i="5" l="1"/>
  <c r="BY187" i="5"/>
  <c r="J187" i="5" s="1"/>
  <c r="AO186" i="5"/>
  <c r="AR186" i="5" s="1"/>
  <c r="AG186" i="5"/>
  <c r="AJ186" i="5" s="1"/>
  <c r="N186" i="5"/>
  <c r="AS186" i="5"/>
  <c r="AV186" i="5" s="1"/>
  <c r="E162" i="6"/>
  <c r="C188" i="5"/>
  <c r="BU188" i="5" s="1"/>
  <c r="D162" i="6"/>
  <c r="BC187" i="5"/>
  <c r="F161" i="6"/>
  <c r="Q186" i="5"/>
  <c r="V186" i="5" s="1"/>
  <c r="CC751" i="5"/>
  <c r="CB752" i="5"/>
  <c r="AF187" i="5" l="1"/>
  <c r="AN187" i="5"/>
  <c r="BT188" i="5"/>
  <c r="BV188" i="5"/>
  <c r="BS188" i="5"/>
  <c r="CI188" i="5"/>
  <c r="BH188" i="5"/>
  <c r="BI188" i="5" s="1"/>
  <c r="BJ188" i="5" s="1"/>
  <c r="X186" i="5"/>
  <c r="Y186" i="5" s="1"/>
  <c r="G161" i="6"/>
  <c r="BF187" i="5"/>
  <c r="BD187" i="5"/>
  <c r="BE188" i="5" s="1"/>
  <c r="CZ187" i="5"/>
  <c r="AC188" i="5"/>
  <c r="AK188" i="5"/>
  <c r="CL188" i="5"/>
  <c r="CM188" i="5" s="1"/>
  <c r="CY188" i="5"/>
  <c r="C163" i="6"/>
  <c r="CW188" i="5"/>
  <c r="CR188" i="5"/>
  <c r="CS188" i="5"/>
  <c r="D188" i="5"/>
  <c r="AB188" i="5"/>
  <c r="L188" i="5" s="1"/>
  <c r="BK188" i="5"/>
  <c r="BL188" i="5" s="1"/>
  <c r="BM188" i="5" s="1"/>
  <c r="CX188" i="5"/>
  <c r="BG187" i="5"/>
  <c r="H187" i="5" s="1"/>
  <c r="AX188" i="5"/>
  <c r="AW188" i="5" s="1"/>
  <c r="CU188" i="5"/>
  <c r="BX188" i="5" s="1"/>
  <c r="CC752" i="5"/>
  <c r="CB753" i="5"/>
  <c r="CC753" i="5" s="1"/>
  <c r="CH188" i="5" l="1"/>
  <c r="CK188" i="5"/>
  <c r="CJ188" i="5" s="1"/>
  <c r="AD188" i="5"/>
  <c r="AE188" i="5" s="1"/>
  <c r="AM188" i="5"/>
  <c r="AL189" i="5" s="1"/>
  <c r="T188" i="5"/>
  <c r="U188" i="5" s="1"/>
  <c r="W188" i="5"/>
  <c r="BN188" i="5"/>
  <c r="BO188" i="5" s="1"/>
  <c r="BP188" i="5" s="1"/>
  <c r="G188" i="5" s="1"/>
  <c r="CV188" i="5"/>
  <c r="CT188" i="5"/>
  <c r="CP188" i="5"/>
  <c r="CQ188" i="5" s="1"/>
  <c r="R188" i="5" s="1"/>
  <c r="S188" i="5" s="1"/>
  <c r="DA188" i="5"/>
  <c r="DB188" i="5" s="1"/>
  <c r="K188" i="5" s="1"/>
  <c r="I187" i="5"/>
  <c r="H161" i="6"/>
  <c r="Z186" i="5"/>
  <c r="AH187" i="5" l="1"/>
  <c r="AT187" i="5"/>
  <c r="AP187" i="5"/>
  <c r="P187" i="5"/>
  <c r="AY187" i="5" s="1"/>
  <c r="M187" i="5"/>
  <c r="AG187" i="5" s="1"/>
  <c r="AA186" i="5"/>
  <c r="I161" i="6" s="1"/>
  <c r="CN188" i="5"/>
  <c r="E188" i="5" s="1"/>
  <c r="CO188" i="5"/>
  <c r="F188" i="5" s="1"/>
  <c r="BW188" i="5" l="1"/>
  <c r="BY188" i="5"/>
  <c r="J188" i="5" s="1"/>
  <c r="AF188" i="5" s="1"/>
  <c r="AJ187" i="5"/>
  <c r="N187" i="5"/>
  <c r="AS187" i="5"/>
  <c r="AV187" i="5" s="1"/>
  <c r="AO187" i="5"/>
  <c r="Q187" i="5"/>
  <c r="V187" i="5" s="1"/>
  <c r="G162" i="6" s="1"/>
  <c r="F162" i="6"/>
  <c r="C189" i="5"/>
  <c r="BU189" i="5" s="1"/>
  <c r="E163" i="6"/>
  <c r="D163" i="6"/>
  <c r="BC188" i="5"/>
  <c r="AN188" i="5" l="1"/>
  <c r="BT189" i="5"/>
  <c r="BV189" i="5"/>
  <c r="BS189" i="5"/>
  <c r="CI189" i="5"/>
  <c r="BH189" i="5"/>
  <c r="BI189" i="5" s="1"/>
  <c r="BJ189" i="5" s="1"/>
  <c r="CL189" i="5"/>
  <c r="CM189" i="5" s="1"/>
  <c r="D189" i="5"/>
  <c r="BK189" i="5"/>
  <c r="BL189" i="5" s="1"/>
  <c r="BM189" i="5" s="1"/>
  <c r="CW189" i="5"/>
  <c r="AB189" i="5"/>
  <c r="L189" i="5" s="1"/>
  <c r="AK189" i="5"/>
  <c r="CS189" i="5"/>
  <c r="CY189" i="5"/>
  <c r="CX189" i="5"/>
  <c r="C164" i="6"/>
  <c r="CR189" i="5"/>
  <c r="AC189" i="5"/>
  <c r="BG188" i="5"/>
  <c r="H188" i="5" s="1"/>
  <c r="AX189" i="5"/>
  <c r="AW189" i="5" s="1"/>
  <c r="CU189" i="5"/>
  <c r="BX189" i="5" s="1"/>
  <c r="AR187" i="5"/>
  <c r="CZ188" i="5"/>
  <c r="BF188" i="5"/>
  <c r="BD188" i="5"/>
  <c r="BE189" i="5" s="1"/>
  <c r="AD189" i="5" l="1"/>
  <c r="AE189" i="5" s="1"/>
  <c r="CH189" i="5"/>
  <c r="CK189" i="5"/>
  <c r="CJ189" i="5" s="1"/>
  <c r="X187" i="5"/>
  <c r="Y187" i="5" s="1"/>
  <c r="CP189" i="5"/>
  <c r="CQ189" i="5" s="1"/>
  <c r="R189" i="5" s="1"/>
  <c r="S189" i="5" s="1"/>
  <c r="DA189" i="5"/>
  <c r="DB189" i="5" s="1"/>
  <c r="K189" i="5" s="1"/>
  <c r="CV189" i="5"/>
  <c r="CT189" i="5"/>
  <c r="BN189" i="5"/>
  <c r="BO189" i="5" s="1"/>
  <c r="BP189" i="5" s="1"/>
  <c r="G189" i="5" s="1"/>
  <c r="AM189" i="5"/>
  <c r="AL190" i="5" s="1"/>
  <c r="I188" i="5"/>
  <c r="AH188" i="5" s="1"/>
  <c r="W189" i="5"/>
  <c r="T189" i="5"/>
  <c r="U189" i="5" s="1"/>
  <c r="Z187" i="5" l="1"/>
  <c r="AA187" i="5" s="1"/>
  <c r="I162" i="6" s="1"/>
  <c r="H162" i="6"/>
  <c r="AT188" i="5"/>
  <c r="AP188" i="5"/>
  <c r="M188" i="5"/>
  <c r="P188" i="5"/>
  <c r="AY188" i="5" s="1"/>
  <c r="CO189" i="5"/>
  <c r="F189" i="5" s="1"/>
  <c r="CN189" i="5"/>
  <c r="E189" i="5" s="1"/>
  <c r="BW189" i="5" l="1"/>
  <c r="AO188" i="5"/>
  <c r="AR188" i="5" s="1"/>
  <c r="AG188" i="5"/>
  <c r="AJ188" i="5" s="1"/>
  <c r="N188" i="5"/>
  <c r="AS188" i="5"/>
  <c r="AV188" i="5" s="1"/>
  <c r="F163" i="6"/>
  <c r="Q188" i="5"/>
  <c r="V188" i="5" s="1"/>
  <c r="BC189" i="5"/>
  <c r="D164" i="6"/>
  <c r="E164" i="6"/>
  <c r="C190" i="5"/>
  <c r="BU190" i="5" s="1"/>
  <c r="BY189" i="5" l="1"/>
  <c r="J189" i="5" s="1"/>
  <c r="BV190" i="5"/>
  <c r="BT190" i="5"/>
  <c r="BS190" i="5"/>
  <c r="CI190" i="5"/>
  <c r="BH190" i="5"/>
  <c r="BI190" i="5" s="1"/>
  <c r="BJ190" i="5" s="1"/>
  <c r="X188" i="5"/>
  <c r="Y188" i="5" s="1"/>
  <c r="AB190" i="5"/>
  <c r="CP190" i="5" s="1"/>
  <c r="CQ190" i="5" s="1"/>
  <c r="R190" i="5" s="1"/>
  <c r="S190" i="5" s="1"/>
  <c r="AK190" i="5"/>
  <c r="AM190" i="5" s="1"/>
  <c r="AL191" i="5" s="1"/>
  <c r="AC190" i="5"/>
  <c r="AD190" i="5" s="1"/>
  <c r="D190" i="5"/>
  <c r="CX190" i="5"/>
  <c r="CL190" i="5"/>
  <c r="CM190" i="5" s="1"/>
  <c r="CW190" i="5"/>
  <c r="CY190" i="5"/>
  <c r="C165" i="6"/>
  <c r="BK190" i="5"/>
  <c r="BL190" i="5" s="1"/>
  <c r="BM190" i="5" s="1"/>
  <c r="CR190" i="5"/>
  <c r="CS190" i="5"/>
  <c r="BG189" i="5"/>
  <c r="H189" i="5" s="1"/>
  <c r="AX190" i="5"/>
  <c r="AW190" i="5" s="1"/>
  <c r="CU190" i="5"/>
  <c r="BX190" i="5" s="1"/>
  <c r="BD189" i="5"/>
  <c r="BE190" i="5" s="1"/>
  <c r="CZ189" i="5"/>
  <c r="BF189" i="5"/>
  <c r="G163" i="6"/>
  <c r="AN189" i="5" l="1"/>
  <c r="AF189" i="5"/>
  <c r="CH190" i="5"/>
  <c r="CK190" i="5"/>
  <c r="CJ190" i="5" s="1"/>
  <c r="L190" i="5"/>
  <c r="DA190" i="5"/>
  <c r="DB190" i="5" s="1"/>
  <c r="K190" i="5" s="1"/>
  <c r="CV190" i="5"/>
  <c r="CT190" i="5"/>
  <c r="W190" i="5"/>
  <c r="T190" i="5"/>
  <c r="U190" i="5" s="1"/>
  <c r="H163" i="6"/>
  <c r="Z188" i="5"/>
  <c r="AE190" i="5"/>
  <c r="I189" i="5"/>
  <c r="AP189" i="5" s="1"/>
  <c r="BN190" i="5"/>
  <c r="BO190" i="5" s="1"/>
  <c r="BP190" i="5" s="1"/>
  <c r="G190" i="5" s="1"/>
  <c r="AH189" i="5" l="1"/>
  <c r="AT189" i="5"/>
  <c r="P189" i="5"/>
  <c r="AY189" i="5" s="1"/>
  <c r="M189" i="5"/>
  <c r="AA188" i="5"/>
  <c r="I163" i="6" s="1"/>
  <c r="CN190" i="5"/>
  <c r="E190" i="5" s="1"/>
  <c r="CO190" i="5"/>
  <c r="F190" i="5" s="1"/>
  <c r="BW190" i="5" l="1"/>
  <c r="AS189" i="5"/>
  <c r="AV189" i="5" s="1"/>
  <c r="AO189" i="5"/>
  <c r="AR189" i="5" s="1"/>
  <c r="N189" i="5"/>
  <c r="AG189" i="5"/>
  <c r="Q189" i="5"/>
  <c r="V189" i="5" s="1"/>
  <c r="G164" i="6" s="1"/>
  <c r="F164" i="6"/>
  <c r="C191" i="5"/>
  <c r="BU191" i="5" s="1"/>
  <c r="E165" i="6"/>
  <c r="D165" i="6"/>
  <c r="BC190" i="5"/>
  <c r="BY190" i="5" l="1"/>
  <c r="J190" i="5" s="1"/>
  <c r="BV191" i="5"/>
  <c r="BT191" i="5"/>
  <c r="BS191" i="5"/>
  <c r="CI191" i="5"/>
  <c r="BH191" i="5"/>
  <c r="BI191" i="5" s="1"/>
  <c r="BJ191" i="5" s="1"/>
  <c r="CZ190" i="5"/>
  <c r="BF190" i="5"/>
  <c r="BD190" i="5"/>
  <c r="BE191" i="5" s="1"/>
  <c r="AJ189" i="5"/>
  <c r="CR191" i="5"/>
  <c r="CX191" i="5"/>
  <c r="C166" i="6"/>
  <c r="AC191" i="5"/>
  <c r="CY191" i="5"/>
  <c r="AB191" i="5"/>
  <c r="CP191" i="5" s="1"/>
  <c r="CQ191" i="5" s="1"/>
  <c r="R191" i="5" s="1"/>
  <c r="S191" i="5" s="1"/>
  <c r="CS191" i="5"/>
  <c r="D191" i="5"/>
  <c r="BK191" i="5"/>
  <c r="BL191" i="5" s="1"/>
  <c r="BM191" i="5" s="1"/>
  <c r="AK191" i="5"/>
  <c r="CW191" i="5"/>
  <c r="CL191" i="5"/>
  <c r="CM191" i="5" s="1"/>
  <c r="BG190" i="5"/>
  <c r="H190" i="5" s="1"/>
  <c r="AX191" i="5"/>
  <c r="AW191" i="5" s="1"/>
  <c r="CU191" i="5"/>
  <c r="BX191" i="5" s="1"/>
  <c r="AN190" i="5" l="1"/>
  <c r="AF190" i="5"/>
  <c r="AD191" i="5"/>
  <c r="AE191" i="5" s="1"/>
  <c r="DA191" i="5"/>
  <c r="DB191" i="5" s="1"/>
  <c r="CK191" i="5"/>
  <c r="CJ191" i="5" s="1"/>
  <c r="CH191" i="5"/>
  <c r="X189" i="5"/>
  <c r="Y189" i="5" s="1"/>
  <c r="BN191" i="5"/>
  <c r="BO191" i="5" s="1"/>
  <c r="BP191" i="5" s="1"/>
  <c r="G191" i="5" s="1"/>
  <c r="L191" i="5"/>
  <c r="AM191" i="5"/>
  <c r="AL192" i="5" s="1"/>
  <c r="W191" i="5"/>
  <c r="T191" i="5"/>
  <c r="U191" i="5" s="1"/>
  <c r="CV191" i="5"/>
  <c r="CT191" i="5"/>
  <c r="I190" i="5"/>
  <c r="AH190" i="5" s="1"/>
  <c r="K191" i="5" l="1"/>
  <c r="H164" i="6"/>
  <c r="Z189" i="5"/>
  <c r="AA189" i="5" s="1"/>
  <c r="I164" i="6" s="1"/>
  <c r="AT190" i="5"/>
  <c r="AP190" i="5"/>
  <c r="M190" i="5"/>
  <c r="AG190" i="5" s="1"/>
  <c r="AJ190" i="5" s="1"/>
  <c r="P190" i="5"/>
  <c r="AY190" i="5" s="1"/>
  <c r="CO191" i="5"/>
  <c r="F191" i="5" s="1"/>
  <c r="CN191" i="5"/>
  <c r="E191" i="5" s="1"/>
  <c r="BY191" i="5" l="1"/>
  <c r="J191" i="5" s="1"/>
  <c r="AN191" i="5" s="1"/>
  <c r="BW191" i="5"/>
  <c r="N190" i="5"/>
  <c r="AS190" i="5"/>
  <c r="AV190" i="5" s="1"/>
  <c r="AO190" i="5"/>
  <c r="AR190" i="5" s="1"/>
  <c r="D166" i="6"/>
  <c r="BC191" i="5"/>
  <c r="E166" i="6"/>
  <c r="C192" i="5"/>
  <c r="BU192" i="5" s="1"/>
  <c r="F165" i="6"/>
  <c r="Q190" i="5"/>
  <c r="V190" i="5" s="1"/>
  <c r="AF191" i="5" l="1"/>
  <c r="BT192" i="5"/>
  <c r="BV192" i="5"/>
  <c r="BS192" i="5"/>
  <c r="CI192" i="5"/>
  <c r="BH192" i="5"/>
  <c r="BI192" i="5" s="1"/>
  <c r="BJ192" i="5" s="1"/>
  <c r="X190" i="5"/>
  <c r="Y190" i="5" s="1"/>
  <c r="G165" i="6"/>
  <c r="CX192" i="5"/>
  <c r="CY192" i="5"/>
  <c r="CL192" i="5"/>
  <c r="CM192" i="5" s="1"/>
  <c r="D192" i="5"/>
  <c r="CR192" i="5"/>
  <c r="AB192" i="5"/>
  <c r="L192" i="5" s="1"/>
  <c r="CW192" i="5"/>
  <c r="C167" i="6"/>
  <c r="AC192" i="5"/>
  <c r="AK192" i="5"/>
  <c r="AM192" i="5" s="1"/>
  <c r="AL193" i="5" s="1"/>
  <c r="BK192" i="5"/>
  <c r="BL192" i="5" s="1"/>
  <c r="BM192" i="5" s="1"/>
  <c r="CS192" i="5"/>
  <c r="BG191" i="5"/>
  <c r="H191" i="5" s="1"/>
  <c r="AX192" i="5"/>
  <c r="AW192" i="5" s="1"/>
  <c r="CU192" i="5"/>
  <c r="BX192" i="5" s="1"/>
  <c r="BF191" i="5"/>
  <c r="BD191" i="5"/>
  <c r="BE192" i="5" s="1"/>
  <c r="CZ191" i="5"/>
  <c r="CH192" i="5" l="1"/>
  <c r="CK192" i="5"/>
  <c r="CJ192" i="5" s="1"/>
  <c r="AD192" i="5"/>
  <c r="AE192" i="5" s="1"/>
  <c r="DA192" i="5"/>
  <c r="DB192" i="5" s="1"/>
  <c r="K192" i="5" s="1"/>
  <c r="W192" i="5"/>
  <c r="T192" i="5"/>
  <c r="U192" i="5" s="1"/>
  <c r="I191" i="5"/>
  <c r="AH191" i="5" s="1"/>
  <c r="CT192" i="5"/>
  <c r="CV192" i="5"/>
  <c r="BN192" i="5"/>
  <c r="BO192" i="5" s="1"/>
  <c r="BP192" i="5" s="1"/>
  <c r="G192" i="5" s="1"/>
  <c r="CP192" i="5"/>
  <c r="CQ192" i="5" s="1"/>
  <c r="R192" i="5" s="1"/>
  <c r="S192" i="5" s="1"/>
  <c r="H165" i="6"/>
  <c r="Z190" i="5"/>
  <c r="AT191" i="5" l="1"/>
  <c r="AP191" i="5"/>
  <c r="AA190" i="5"/>
  <c r="I165" i="6" s="1"/>
  <c r="M191" i="5"/>
  <c r="P191" i="5"/>
  <c r="AY191" i="5" s="1"/>
  <c r="CN192" i="5"/>
  <c r="E192" i="5" s="1"/>
  <c r="CO192" i="5"/>
  <c r="F192" i="5" s="1"/>
  <c r="AO191" i="5" l="1"/>
  <c r="AR191" i="5" s="1"/>
  <c r="AG191" i="5"/>
  <c r="AS191" i="5"/>
  <c r="AV191" i="5" s="1"/>
  <c r="N191" i="5"/>
  <c r="BC192" i="5"/>
  <c r="D167" i="6"/>
  <c r="E167" i="6"/>
  <c r="C193" i="5"/>
  <c r="BU193" i="5" s="1"/>
  <c r="F166" i="6"/>
  <c r="Q191" i="5"/>
  <c r="V191" i="5" s="1"/>
  <c r="BW192" i="5" l="1"/>
  <c r="BY192" i="5"/>
  <c r="J192" i="5" s="1"/>
  <c r="BV193" i="5"/>
  <c r="BT193" i="5"/>
  <c r="BS193" i="5"/>
  <c r="CI193" i="5"/>
  <c r="BH193" i="5"/>
  <c r="BI193" i="5" s="1"/>
  <c r="BJ193" i="5" s="1"/>
  <c r="AJ191" i="5"/>
  <c r="CZ192" i="5"/>
  <c r="BF192" i="5"/>
  <c r="BD192" i="5"/>
  <c r="BE193" i="5" s="1"/>
  <c r="CX193" i="5"/>
  <c r="BK193" i="5"/>
  <c r="BL193" i="5" s="1"/>
  <c r="BM193" i="5" s="1"/>
  <c r="AK193" i="5"/>
  <c r="C168" i="6"/>
  <c r="CS193" i="5"/>
  <c r="CL193" i="5"/>
  <c r="CM193" i="5" s="1"/>
  <c r="D193" i="5"/>
  <c r="AC193" i="5"/>
  <c r="AB193" i="5"/>
  <c r="L193" i="5" s="1"/>
  <c r="CW193" i="5"/>
  <c r="CR193" i="5"/>
  <c r="CY193" i="5"/>
  <c r="BG192" i="5"/>
  <c r="H192" i="5" s="1"/>
  <c r="AX193" i="5"/>
  <c r="AW193" i="5" s="1"/>
  <c r="CU193" i="5"/>
  <c r="G166" i="6"/>
  <c r="AN192" i="5" l="1"/>
  <c r="AF192" i="5"/>
  <c r="BX193" i="5"/>
  <c r="CH193" i="5"/>
  <c r="CK193" i="5"/>
  <c r="CJ193" i="5" s="1"/>
  <c r="X191" i="5"/>
  <c r="Y191" i="5" s="1"/>
  <c r="AD193" i="5"/>
  <c r="AE193" i="5" s="1"/>
  <c r="I192" i="5"/>
  <c r="AM193" i="5"/>
  <c r="AL194" i="5" s="1"/>
  <c r="W193" i="5"/>
  <c r="T193" i="5"/>
  <c r="U193" i="5" s="1"/>
  <c r="CV193" i="5"/>
  <c r="CT193" i="5"/>
  <c r="CP193" i="5"/>
  <c r="CQ193" i="5" s="1"/>
  <c r="R193" i="5" s="1"/>
  <c r="S193" i="5" s="1"/>
  <c r="DA193" i="5"/>
  <c r="DB193" i="5" s="1"/>
  <c r="K193" i="5" s="1"/>
  <c r="BN193" i="5"/>
  <c r="BO193" i="5" s="1"/>
  <c r="BP193" i="5" s="1"/>
  <c r="G193" i="5" s="1"/>
  <c r="AH192" i="5" l="1"/>
  <c r="H166" i="6"/>
  <c r="Z191" i="5"/>
  <c r="AA191" i="5" s="1"/>
  <c r="I166" i="6" s="1"/>
  <c r="AT192" i="5"/>
  <c r="AP192" i="5"/>
  <c r="CO193" i="5"/>
  <c r="F193" i="5" s="1"/>
  <c r="CN193" i="5"/>
  <c r="E193" i="5" s="1"/>
  <c r="P192" i="5"/>
  <c r="AY192" i="5" s="1"/>
  <c r="M192" i="5"/>
  <c r="AG192" i="5" s="1"/>
  <c r="AJ192" i="5" s="1"/>
  <c r="BW193" i="5" l="1"/>
  <c r="BY193" i="5"/>
  <c r="J193" i="5" s="1"/>
  <c r="N192" i="5"/>
  <c r="AS192" i="5"/>
  <c r="AV192" i="5" s="1"/>
  <c r="AO192" i="5"/>
  <c r="AR192" i="5" s="1"/>
  <c r="C194" i="5"/>
  <c r="BU194" i="5" s="1"/>
  <c r="E168" i="6"/>
  <c r="BC193" i="5"/>
  <c r="D168" i="6"/>
  <c r="Q192" i="5"/>
  <c r="V192" i="5" s="1"/>
  <c r="F167" i="6"/>
  <c r="AF193" i="5" l="1"/>
  <c r="AN193" i="5"/>
  <c r="BV194" i="5"/>
  <c r="BT194" i="5"/>
  <c r="BS194" i="5"/>
  <c r="CI194" i="5"/>
  <c r="BH194" i="5"/>
  <c r="BI194" i="5" s="1"/>
  <c r="BJ194" i="5" s="1"/>
  <c r="X192" i="5"/>
  <c r="Y192" i="5" s="1"/>
  <c r="G167" i="6"/>
  <c r="CZ193" i="5"/>
  <c r="BF193" i="5"/>
  <c r="BD193" i="5"/>
  <c r="BE194" i="5" s="1"/>
  <c r="CX194" i="5"/>
  <c r="CW194" i="5"/>
  <c r="AC194" i="5"/>
  <c r="AD194" i="5" s="1"/>
  <c r="CL194" i="5"/>
  <c r="CM194" i="5" s="1"/>
  <c r="CS194" i="5"/>
  <c r="BK194" i="5"/>
  <c r="BL194" i="5" s="1"/>
  <c r="BM194" i="5" s="1"/>
  <c r="AB194" i="5"/>
  <c r="BN194" i="5" s="1"/>
  <c r="BO194" i="5" s="1"/>
  <c r="BP194" i="5" s="1"/>
  <c r="D194" i="5"/>
  <c r="C169" i="6"/>
  <c r="CY194" i="5"/>
  <c r="CR194" i="5"/>
  <c r="AK194" i="5"/>
  <c r="AM194" i="5" s="1"/>
  <c r="AL195" i="5" s="1"/>
  <c r="BG193" i="5"/>
  <c r="H193" i="5" s="1"/>
  <c r="AX194" i="5"/>
  <c r="AW194" i="5" s="1"/>
  <c r="CU194" i="5"/>
  <c r="BX194" i="5" s="1"/>
  <c r="G194" i="5" l="1"/>
  <c r="CK194" i="5"/>
  <c r="CJ194" i="5" s="1"/>
  <c r="CH194" i="5"/>
  <c r="DA194" i="5"/>
  <c r="DB194" i="5" s="1"/>
  <c r="CP194" i="5"/>
  <c r="CQ194" i="5" s="1"/>
  <c r="R194" i="5" s="1"/>
  <c r="S194" i="5" s="1"/>
  <c r="L194" i="5"/>
  <c r="T194" i="5"/>
  <c r="U194" i="5" s="1"/>
  <c r="W194" i="5"/>
  <c r="CV194" i="5"/>
  <c r="CT194" i="5"/>
  <c r="I193" i="5"/>
  <c r="AH193" i="5" s="1"/>
  <c r="AE194" i="5"/>
  <c r="H167" i="6"/>
  <c r="Z192" i="5"/>
  <c r="K194" i="5" l="1"/>
  <c r="AT193" i="5"/>
  <c r="AP193" i="5"/>
  <c r="P193" i="5"/>
  <c r="AY193" i="5" s="1"/>
  <c r="M193" i="5"/>
  <c r="AA192" i="5"/>
  <c r="I167" i="6" s="1"/>
  <c r="CN194" i="5"/>
  <c r="E194" i="5" s="1"/>
  <c r="CO194" i="5"/>
  <c r="F194" i="5" s="1"/>
  <c r="BY194" i="5" l="1"/>
  <c r="J194" i="5" s="1"/>
  <c r="AO193" i="5"/>
  <c r="AR193" i="5" s="1"/>
  <c r="AG193" i="5"/>
  <c r="AJ193" i="5" s="1"/>
  <c r="D169" i="6"/>
  <c r="BC194" i="5"/>
  <c r="C195" i="5"/>
  <c r="BU195" i="5" s="1"/>
  <c r="E169" i="6"/>
  <c r="N193" i="5"/>
  <c r="AS193" i="5"/>
  <c r="AV193" i="5" s="1"/>
  <c r="Q193" i="5"/>
  <c r="V193" i="5" s="1"/>
  <c r="F168" i="6"/>
  <c r="AF194" i="5" l="1"/>
  <c r="AN194" i="5"/>
  <c r="BW194" i="5"/>
  <c r="BT195" i="5"/>
  <c r="BV195" i="5"/>
  <c r="BS195" i="5"/>
  <c r="CI195" i="5"/>
  <c r="BH195" i="5"/>
  <c r="BI195" i="5" s="1"/>
  <c r="BJ195" i="5" s="1"/>
  <c r="X193" i="5"/>
  <c r="Y193" i="5" s="1"/>
  <c r="BK195" i="5"/>
  <c r="BL195" i="5" s="1"/>
  <c r="BM195" i="5" s="1"/>
  <c r="C170" i="6"/>
  <c r="CW195" i="5"/>
  <c r="CY195" i="5"/>
  <c r="CR195" i="5"/>
  <c r="CX195" i="5"/>
  <c r="CS195" i="5"/>
  <c r="AK195" i="5"/>
  <c r="CL195" i="5"/>
  <c r="CM195" i="5" s="1"/>
  <c r="AB195" i="5"/>
  <c r="BN195" i="5" s="1"/>
  <c r="BO195" i="5" s="1"/>
  <c r="BP195" i="5" s="1"/>
  <c r="D195" i="5"/>
  <c r="AC195" i="5"/>
  <c r="AD195" i="5" s="1"/>
  <c r="BG194" i="5"/>
  <c r="H194" i="5" s="1"/>
  <c r="AX195" i="5"/>
  <c r="AW195" i="5" s="1"/>
  <c r="CU195" i="5"/>
  <c r="BD194" i="5"/>
  <c r="BE195" i="5" s="1"/>
  <c r="CZ194" i="5"/>
  <c r="BF194" i="5"/>
  <c r="G168" i="6"/>
  <c r="BX195" i="5" l="1"/>
  <c r="G195" i="5"/>
  <c r="CH195" i="5"/>
  <c r="CK195" i="5"/>
  <c r="CJ195" i="5" s="1"/>
  <c r="CP195" i="5"/>
  <c r="CQ195" i="5" s="1"/>
  <c r="R195" i="5" s="1"/>
  <c r="S195" i="5" s="1"/>
  <c r="DA195" i="5"/>
  <c r="DB195" i="5" s="1"/>
  <c r="K195" i="5" s="1"/>
  <c r="CV195" i="5"/>
  <c r="CT195" i="5"/>
  <c r="L195" i="5"/>
  <c r="AE195" i="5"/>
  <c r="I194" i="5"/>
  <c r="T195" i="5"/>
  <c r="U195" i="5" s="1"/>
  <c r="W195" i="5"/>
  <c r="H168" i="6"/>
  <c r="Z193" i="5"/>
  <c r="AM195" i="5"/>
  <c r="AL196" i="5" s="1"/>
  <c r="AH194" i="5" l="1"/>
  <c r="AT194" i="5"/>
  <c r="AP194" i="5"/>
  <c r="M194" i="5"/>
  <c r="AG194" i="5" s="1"/>
  <c r="P194" i="5"/>
  <c r="AY194" i="5" s="1"/>
  <c r="AA193" i="5"/>
  <c r="I168" i="6" s="1"/>
  <c r="CO195" i="5"/>
  <c r="F195" i="5" s="1"/>
  <c r="CN195" i="5"/>
  <c r="E195" i="5" s="1"/>
  <c r="BW195" i="5" l="1"/>
  <c r="BY195" i="5"/>
  <c r="J195" i="5" s="1"/>
  <c r="AJ194" i="5"/>
  <c r="BC195" i="5"/>
  <c r="D170" i="6"/>
  <c r="F169" i="6"/>
  <c r="Q194" i="5"/>
  <c r="V194" i="5" s="1"/>
  <c r="G169" i="6" s="1"/>
  <c r="N194" i="5"/>
  <c r="AS194" i="5"/>
  <c r="AV194" i="5" s="1"/>
  <c r="AO194" i="5"/>
  <c r="E170" i="6"/>
  <c r="C196" i="5"/>
  <c r="BU196" i="5" s="1"/>
  <c r="AF195" i="5" l="1"/>
  <c r="AN195" i="5"/>
  <c r="BT196" i="5"/>
  <c r="BV196" i="5"/>
  <c r="BS196" i="5"/>
  <c r="CI196" i="5"/>
  <c r="BH196" i="5"/>
  <c r="BI196" i="5" s="1"/>
  <c r="BJ196" i="5" s="1"/>
  <c r="AR194" i="5"/>
  <c r="D196" i="5"/>
  <c r="C171" i="6"/>
  <c r="BK196" i="5"/>
  <c r="BL196" i="5" s="1"/>
  <c r="BM196" i="5" s="1"/>
  <c r="AK196" i="5"/>
  <c r="AM196" i="5" s="1"/>
  <c r="AL197" i="5" s="1"/>
  <c r="AC196" i="5"/>
  <c r="AD196" i="5" s="1"/>
  <c r="AB196" i="5"/>
  <c r="DA196" i="5" s="1"/>
  <c r="DB196" i="5" s="1"/>
  <c r="CX196" i="5"/>
  <c r="CR196" i="5"/>
  <c r="CS196" i="5"/>
  <c r="CY196" i="5"/>
  <c r="CL196" i="5"/>
  <c r="CM196" i="5" s="1"/>
  <c r="CW196" i="5"/>
  <c r="BG195" i="5"/>
  <c r="H195" i="5" s="1"/>
  <c r="AX196" i="5"/>
  <c r="AW196" i="5" s="1"/>
  <c r="CU196" i="5"/>
  <c r="BX196" i="5" s="1"/>
  <c r="BF195" i="5"/>
  <c r="CZ195" i="5"/>
  <c r="BD195" i="5"/>
  <c r="BE196" i="5" s="1"/>
  <c r="CH196" i="5" l="1"/>
  <c r="CK196" i="5"/>
  <c r="CJ196" i="5" s="1"/>
  <c r="K196" i="5" s="1"/>
  <c r="X194" i="5"/>
  <c r="Y194" i="5" s="1"/>
  <c r="L196" i="5"/>
  <c r="I195" i="5"/>
  <c r="AP195" i="5" s="1"/>
  <c r="CP196" i="5"/>
  <c r="CQ196" i="5" s="1"/>
  <c r="R196" i="5" s="1"/>
  <c r="S196" i="5" s="1"/>
  <c r="BN196" i="5"/>
  <c r="BO196" i="5" s="1"/>
  <c r="BP196" i="5" s="1"/>
  <c r="G196" i="5" s="1"/>
  <c r="T196" i="5"/>
  <c r="U196" i="5" s="1"/>
  <c r="W196" i="5"/>
  <c r="CT196" i="5"/>
  <c r="CV196" i="5"/>
  <c r="AE196" i="5"/>
  <c r="H169" i="6" l="1"/>
  <c r="Z194" i="5"/>
  <c r="AA194" i="5" s="1"/>
  <c r="I169" i="6" s="1"/>
  <c r="AT195" i="5"/>
  <c r="AH195" i="5"/>
  <c r="CN196" i="5"/>
  <c r="E196" i="5" s="1"/>
  <c r="CO196" i="5"/>
  <c r="F196" i="5" s="1"/>
  <c r="M195" i="5"/>
  <c r="P195" i="5"/>
  <c r="AY195" i="5" s="1"/>
  <c r="BW196" i="5" l="1"/>
  <c r="AG195" i="5"/>
  <c r="AJ195" i="5" s="1"/>
  <c r="AO195" i="5"/>
  <c r="N195" i="5"/>
  <c r="AS195" i="5"/>
  <c r="AV195" i="5" s="1"/>
  <c r="BC196" i="5"/>
  <c r="D171" i="6"/>
  <c r="F170" i="6"/>
  <c r="Q195" i="5"/>
  <c r="V195" i="5" s="1"/>
  <c r="C197" i="5"/>
  <c r="BU197" i="5" s="1"/>
  <c r="E171" i="6"/>
  <c r="BY196" i="5" l="1"/>
  <c r="J196" i="5" s="1"/>
  <c r="BT197" i="5"/>
  <c r="BV197" i="5"/>
  <c r="BS197" i="5"/>
  <c r="CI197" i="5"/>
  <c r="BH197" i="5"/>
  <c r="BI197" i="5" s="1"/>
  <c r="BJ197" i="5" s="1"/>
  <c r="AR195" i="5"/>
  <c r="G170" i="6"/>
  <c r="CW197" i="5"/>
  <c r="CL197" i="5"/>
  <c r="CM197" i="5" s="1"/>
  <c r="AK197" i="5"/>
  <c r="AC197" i="5"/>
  <c r="AB197" i="5"/>
  <c r="L197" i="5" s="1"/>
  <c r="C172" i="6"/>
  <c r="CY197" i="5"/>
  <c r="CS197" i="5"/>
  <c r="CR197" i="5"/>
  <c r="BK197" i="5"/>
  <c r="BL197" i="5" s="1"/>
  <c r="BM197" i="5" s="1"/>
  <c r="D197" i="5"/>
  <c r="CX197" i="5"/>
  <c r="BG196" i="5"/>
  <c r="H196" i="5" s="1"/>
  <c r="AX197" i="5"/>
  <c r="AW197" i="5" s="1"/>
  <c r="CU197" i="5"/>
  <c r="BX197" i="5" s="1"/>
  <c r="CZ196" i="5"/>
  <c r="BF196" i="5"/>
  <c r="BD196" i="5"/>
  <c r="BE197" i="5" s="1"/>
  <c r="AN196" i="5" l="1"/>
  <c r="AF196" i="5"/>
  <c r="AD197" i="5"/>
  <c r="AE197" i="5" s="1"/>
  <c r="CH197" i="5"/>
  <c r="CK197" i="5"/>
  <c r="CJ197" i="5" s="1"/>
  <c r="X195" i="5"/>
  <c r="Y195" i="5" s="1"/>
  <c r="T197" i="5"/>
  <c r="U197" i="5" s="1"/>
  <c r="W197" i="5"/>
  <c r="AM197" i="5"/>
  <c r="AL198" i="5" s="1"/>
  <c r="I196" i="5"/>
  <c r="BN197" i="5"/>
  <c r="BO197" i="5" s="1"/>
  <c r="BP197" i="5" s="1"/>
  <c r="G197" i="5" s="1"/>
  <c r="CT197" i="5"/>
  <c r="CV197" i="5"/>
  <c r="CP197" i="5"/>
  <c r="CQ197" i="5" s="1"/>
  <c r="R197" i="5" s="1"/>
  <c r="S197" i="5" s="1"/>
  <c r="DA197" i="5"/>
  <c r="DB197" i="5" s="1"/>
  <c r="K197" i="5" s="1"/>
  <c r="H170" i="6" l="1"/>
  <c r="Z195" i="5"/>
  <c r="AA195" i="5" s="1"/>
  <c r="I170" i="6" s="1"/>
  <c r="AH196" i="5"/>
  <c r="AT196" i="5"/>
  <c r="AP196" i="5"/>
  <c r="CO197" i="5"/>
  <c r="F197" i="5" s="1"/>
  <c r="CN197" i="5"/>
  <c r="E197" i="5" s="1"/>
  <c r="P196" i="5"/>
  <c r="AY196" i="5" s="1"/>
  <c r="M196" i="5"/>
  <c r="AS196" i="5" l="1"/>
  <c r="AV196" i="5" s="1"/>
  <c r="AO196" i="5"/>
  <c r="AR196" i="5" s="1"/>
  <c r="D172" i="6"/>
  <c r="BC197" i="5"/>
  <c r="C198" i="5"/>
  <c r="BU198" i="5" s="1"/>
  <c r="E172" i="6"/>
  <c r="Q196" i="5"/>
  <c r="V196" i="5" s="1"/>
  <c r="F171" i="6"/>
  <c r="N196" i="5"/>
  <c r="AG196" i="5"/>
  <c r="AJ196" i="5" s="1"/>
  <c r="BW197" i="5" l="1"/>
  <c r="BY197" i="5"/>
  <c r="J197" i="5" s="1"/>
  <c r="BV198" i="5"/>
  <c r="BT198" i="5"/>
  <c r="BS198" i="5"/>
  <c r="CI198" i="5"/>
  <c r="BH198" i="5"/>
  <c r="BI198" i="5" s="1"/>
  <c r="BJ198" i="5" s="1"/>
  <c r="X196" i="5"/>
  <c r="Y196" i="5" s="1"/>
  <c r="G171" i="6"/>
  <c r="CW198" i="5"/>
  <c r="D198" i="5"/>
  <c r="CX198" i="5"/>
  <c r="BK198" i="5"/>
  <c r="BL198" i="5" s="1"/>
  <c r="BM198" i="5" s="1"/>
  <c r="CS198" i="5"/>
  <c r="CL198" i="5"/>
  <c r="CM198" i="5" s="1"/>
  <c r="CR198" i="5"/>
  <c r="C173" i="6"/>
  <c r="AB198" i="5"/>
  <c r="L198" i="5" s="1"/>
  <c r="AK198" i="5"/>
  <c r="CY198" i="5"/>
  <c r="AC198" i="5"/>
  <c r="BG197" i="5"/>
  <c r="H197" i="5" s="1"/>
  <c r="AX198" i="5"/>
  <c r="AW198" i="5" s="1"/>
  <c r="CU198" i="5"/>
  <c r="BF197" i="5"/>
  <c r="CZ197" i="5"/>
  <c r="BD197" i="5"/>
  <c r="BE198" i="5" s="1"/>
  <c r="AN197" i="5" l="1"/>
  <c r="AF197" i="5"/>
  <c r="BX198" i="5"/>
  <c r="AD198" i="5"/>
  <c r="AE198" i="5" s="1"/>
  <c r="CH198" i="5"/>
  <c r="CK198" i="5"/>
  <c r="CJ198" i="5" s="1"/>
  <c r="DA198" i="5"/>
  <c r="DB198" i="5" s="1"/>
  <c r="K198" i="5" s="1"/>
  <c r="CP198" i="5"/>
  <c r="CQ198" i="5" s="1"/>
  <c r="R198" i="5" s="1"/>
  <c r="S198" i="5" s="1"/>
  <c r="I197" i="5"/>
  <c r="AM198" i="5"/>
  <c r="AL199" i="5" s="1"/>
  <c r="T198" i="5"/>
  <c r="U198" i="5" s="1"/>
  <c r="W198" i="5"/>
  <c r="H171" i="6"/>
  <c r="Z196" i="5"/>
  <c r="CT198" i="5"/>
  <c r="CV198" i="5"/>
  <c r="BN198" i="5"/>
  <c r="BO198" i="5" s="1"/>
  <c r="BP198" i="5" s="1"/>
  <c r="G198" i="5" s="1"/>
  <c r="AP197" i="5" l="1"/>
  <c r="AH197" i="5"/>
  <c r="AT197" i="5"/>
  <c r="CN198" i="5"/>
  <c r="E198" i="5" s="1"/>
  <c r="CO198" i="5"/>
  <c r="F198" i="5" s="1"/>
  <c r="AA196" i="5"/>
  <c r="I171" i="6" s="1"/>
  <c r="M197" i="5"/>
  <c r="P197" i="5"/>
  <c r="AY197" i="5" s="1"/>
  <c r="AS197" i="5" l="1"/>
  <c r="AV197" i="5" s="1"/>
  <c r="AO197" i="5"/>
  <c r="AR197" i="5" s="1"/>
  <c r="N197" i="5"/>
  <c r="AG197" i="5"/>
  <c r="E173" i="6"/>
  <c r="C199" i="5"/>
  <c r="BU199" i="5" s="1"/>
  <c r="D173" i="6"/>
  <c r="BC198" i="5"/>
  <c r="F172" i="6"/>
  <c r="Q197" i="5"/>
  <c r="V197" i="5" s="1"/>
  <c r="BW198" i="5" l="1"/>
  <c r="BY198" i="5"/>
  <c r="J198" i="5" s="1"/>
  <c r="BV199" i="5"/>
  <c r="BT199" i="5"/>
  <c r="BS199" i="5"/>
  <c r="CI199" i="5"/>
  <c r="BH199" i="5"/>
  <c r="BI199" i="5" s="1"/>
  <c r="BJ199" i="5" s="1"/>
  <c r="AJ197" i="5"/>
  <c r="X197" i="5" s="1"/>
  <c r="Y197" i="5" s="1"/>
  <c r="CR199" i="5"/>
  <c r="AC199" i="5"/>
  <c r="CY199" i="5"/>
  <c r="BK199" i="5"/>
  <c r="BL199" i="5" s="1"/>
  <c r="BM199" i="5" s="1"/>
  <c r="D199" i="5"/>
  <c r="AB199" i="5"/>
  <c r="BN199" i="5" s="1"/>
  <c r="BO199" i="5" s="1"/>
  <c r="BP199" i="5" s="1"/>
  <c r="AK199" i="5"/>
  <c r="CS199" i="5"/>
  <c r="C174" i="6"/>
  <c r="CW199" i="5"/>
  <c r="CL199" i="5"/>
  <c r="CM199" i="5" s="1"/>
  <c r="CX199" i="5"/>
  <c r="BG198" i="5"/>
  <c r="H198" i="5" s="1"/>
  <c r="AX199" i="5"/>
  <c r="AW199" i="5" s="1"/>
  <c r="CU199" i="5"/>
  <c r="BD198" i="5"/>
  <c r="BE199" i="5" s="1"/>
  <c r="CZ198" i="5"/>
  <c r="BF198" i="5"/>
  <c r="G172" i="6"/>
  <c r="AF198" i="5" l="1"/>
  <c r="AN198" i="5"/>
  <c r="BX199" i="5"/>
  <c r="AD199" i="5"/>
  <c r="AE199" i="5" s="1"/>
  <c r="G199" i="5"/>
  <c r="CK199" i="5"/>
  <c r="CJ199" i="5" s="1"/>
  <c r="CH199" i="5"/>
  <c r="DA199" i="5"/>
  <c r="DB199" i="5" s="1"/>
  <c r="L199" i="5"/>
  <c r="CP199" i="5"/>
  <c r="CQ199" i="5" s="1"/>
  <c r="R199" i="5" s="1"/>
  <c r="S199" i="5" s="1"/>
  <c r="CV199" i="5"/>
  <c r="CT199" i="5"/>
  <c r="AM199" i="5"/>
  <c r="AL200" i="5" s="1"/>
  <c r="I198" i="5"/>
  <c r="W199" i="5"/>
  <c r="T199" i="5"/>
  <c r="U199" i="5" s="1"/>
  <c r="H172" i="6"/>
  <c r="Z197" i="5"/>
  <c r="K199" i="5" l="1"/>
  <c r="AH198" i="5"/>
  <c r="AT198" i="5"/>
  <c r="AP198" i="5"/>
  <c r="M198" i="5"/>
  <c r="P198" i="5"/>
  <c r="AY198" i="5" s="1"/>
  <c r="AA197" i="5"/>
  <c r="I172" i="6" s="1"/>
  <c r="CO199" i="5"/>
  <c r="F199" i="5" s="1"/>
  <c r="CN199" i="5"/>
  <c r="E199" i="5" s="1"/>
  <c r="BY199" i="5" l="1"/>
  <c r="J199" i="5" s="1"/>
  <c r="BW199" i="5"/>
  <c r="AG198" i="5"/>
  <c r="AO198" i="5"/>
  <c r="AR198" i="5" s="1"/>
  <c r="BC199" i="5"/>
  <c r="D174" i="6"/>
  <c r="E174" i="6"/>
  <c r="C200" i="5"/>
  <c r="BU200" i="5" s="1"/>
  <c r="Q198" i="5"/>
  <c r="V198" i="5" s="1"/>
  <c r="G173" i="6" s="1"/>
  <c r="F173" i="6"/>
  <c r="AS198" i="5"/>
  <c r="AV198" i="5" s="1"/>
  <c r="N198" i="5"/>
  <c r="AN199" i="5" l="1"/>
  <c r="AF199" i="5"/>
  <c r="BT200" i="5"/>
  <c r="BV200" i="5"/>
  <c r="BS200" i="5"/>
  <c r="CI200" i="5"/>
  <c r="BH200" i="5"/>
  <c r="BI200" i="5" s="1"/>
  <c r="BJ200" i="5" s="1"/>
  <c r="AJ198" i="5"/>
  <c r="BK200" i="5"/>
  <c r="BL200" i="5" s="1"/>
  <c r="BM200" i="5" s="1"/>
  <c r="CW200" i="5"/>
  <c r="D200" i="5"/>
  <c r="CR200" i="5"/>
  <c r="AK200" i="5"/>
  <c r="AB200" i="5"/>
  <c r="DA200" i="5" s="1"/>
  <c r="DB200" i="5" s="1"/>
  <c r="C175" i="6"/>
  <c r="CS200" i="5"/>
  <c r="CY200" i="5"/>
  <c r="AC200" i="5"/>
  <c r="CL200" i="5"/>
  <c r="CM200" i="5" s="1"/>
  <c r="CX200" i="5"/>
  <c r="BG199" i="5"/>
  <c r="H199" i="5" s="1"/>
  <c r="AX200" i="5"/>
  <c r="AW200" i="5" s="1"/>
  <c r="CU200" i="5"/>
  <c r="BX200" i="5" s="1"/>
  <c r="BD199" i="5"/>
  <c r="BE200" i="5" s="1"/>
  <c r="CZ199" i="5"/>
  <c r="BF199" i="5"/>
  <c r="AD200" i="5" l="1"/>
  <c r="AE200" i="5" s="1"/>
  <c r="CH200" i="5"/>
  <c r="CK200" i="5"/>
  <c r="CJ200" i="5" s="1"/>
  <c r="K200" i="5" s="1"/>
  <c r="X198" i="5"/>
  <c r="Y198" i="5" s="1"/>
  <c r="I199" i="5"/>
  <c r="AH199" i="5" s="1"/>
  <c r="AM200" i="5"/>
  <c r="AL201" i="5" s="1"/>
  <c r="W200" i="5"/>
  <c r="T200" i="5"/>
  <c r="U200" i="5" s="1"/>
  <c r="BN200" i="5"/>
  <c r="BO200" i="5" s="1"/>
  <c r="BP200" i="5" s="1"/>
  <c r="G200" i="5" s="1"/>
  <c r="CP200" i="5"/>
  <c r="CQ200" i="5" s="1"/>
  <c r="R200" i="5" s="1"/>
  <c r="S200" i="5" s="1"/>
  <c r="CT200" i="5"/>
  <c r="CV200" i="5"/>
  <c r="L200" i="5"/>
  <c r="Z198" i="5" l="1"/>
  <c r="AA198" i="5" s="1"/>
  <c r="I173" i="6" s="1"/>
  <c r="H173" i="6"/>
  <c r="AT199" i="5"/>
  <c r="AP199" i="5"/>
  <c r="CO200" i="5"/>
  <c r="F200" i="5" s="1"/>
  <c r="CN200" i="5"/>
  <c r="E200" i="5" s="1"/>
  <c r="M199" i="5"/>
  <c r="P199" i="5"/>
  <c r="AY199" i="5" s="1"/>
  <c r="BW200" i="5" l="1"/>
  <c r="BY200" i="5"/>
  <c r="J200" i="5" s="1"/>
  <c r="AO199" i="5"/>
  <c r="AR199" i="5" s="1"/>
  <c r="AG199" i="5"/>
  <c r="AJ199" i="5" s="1"/>
  <c r="N199" i="5"/>
  <c r="AS199" i="5"/>
  <c r="AV199" i="5" s="1"/>
  <c r="F174" i="6"/>
  <c r="Q199" i="5"/>
  <c r="V199" i="5" s="1"/>
  <c r="BC200" i="5"/>
  <c r="D175" i="6"/>
  <c r="E175" i="6"/>
  <c r="C201" i="5"/>
  <c r="BU201" i="5" s="1"/>
  <c r="AF200" i="5" l="1"/>
  <c r="AN200" i="5"/>
  <c r="BV201" i="5"/>
  <c r="BT201" i="5"/>
  <c r="BS201" i="5"/>
  <c r="CI201" i="5"/>
  <c r="BH201" i="5"/>
  <c r="BI201" i="5" s="1"/>
  <c r="BJ201" i="5" s="1"/>
  <c r="X199" i="5"/>
  <c r="Y199" i="5" s="1"/>
  <c r="BK201" i="5"/>
  <c r="BL201" i="5" s="1"/>
  <c r="BM201" i="5" s="1"/>
  <c r="C176" i="6"/>
  <c r="AC201" i="5"/>
  <c r="AK201" i="5"/>
  <c r="CR201" i="5"/>
  <c r="CY201" i="5"/>
  <c r="CX201" i="5"/>
  <c r="D201" i="5"/>
  <c r="CL201" i="5"/>
  <c r="CM201" i="5" s="1"/>
  <c r="AB201" i="5"/>
  <c r="CP201" i="5" s="1"/>
  <c r="CQ201" i="5" s="1"/>
  <c r="R201" i="5" s="1"/>
  <c r="S201" i="5" s="1"/>
  <c r="CW201" i="5"/>
  <c r="CS201" i="5"/>
  <c r="BG200" i="5"/>
  <c r="H200" i="5" s="1"/>
  <c r="AX201" i="5"/>
  <c r="AW201" i="5" s="1"/>
  <c r="CU201" i="5"/>
  <c r="BX201" i="5" s="1"/>
  <c r="BF200" i="5"/>
  <c r="CZ200" i="5"/>
  <c r="BD200" i="5"/>
  <c r="BE201" i="5" s="1"/>
  <c r="G174" i="6"/>
  <c r="AD201" i="5" l="1"/>
  <c r="AE201" i="5" s="1"/>
  <c r="CH201" i="5"/>
  <c r="CK201" i="5"/>
  <c r="CJ201" i="5" s="1"/>
  <c r="CT201" i="5"/>
  <c r="CV201" i="5"/>
  <c r="L201" i="5"/>
  <c r="DA201" i="5"/>
  <c r="DB201" i="5" s="1"/>
  <c r="K201" i="5" s="1"/>
  <c r="AM201" i="5"/>
  <c r="AL202" i="5" s="1"/>
  <c r="H174" i="6"/>
  <c r="Z199" i="5"/>
  <c r="I200" i="5"/>
  <c r="AP200" i="5" s="1"/>
  <c r="W201" i="5"/>
  <c r="T201" i="5"/>
  <c r="U201" i="5" s="1"/>
  <c r="BN201" i="5"/>
  <c r="BO201" i="5" s="1"/>
  <c r="BP201" i="5" s="1"/>
  <c r="G201" i="5" s="1"/>
  <c r="P200" i="5" l="1"/>
  <c r="AY200" i="5" s="1"/>
  <c r="M200" i="5"/>
  <c r="AH200" i="5"/>
  <c r="AT200" i="5"/>
  <c r="CN201" i="5"/>
  <c r="E201" i="5" s="1"/>
  <c r="CO201" i="5"/>
  <c r="F201" i="5" s="1"/>
  <c r="AA199" i="5"/>
  <c r="I174" i="6" s="1"/>
  <c r="BW201" i="5" l="1"/>
  <c r="BY201" i="5"/>
  <c r="J201" i="5" s="1"/>
  <c r="AO200" i="5"/>
  <c r="AR200" i="5" s="1"/>
  <c r="AG200" i="5"/>
  <c r="AJ200" i="5" s="1"/>
  <c r="N200" i="5"/>
  <c r="AS200" i="5"/>
  <c r="AV200" i="5" s="1"/>
  <c r="F175" i="6"/>
  <c r="Q200" i="5"/>
  <c r="V200" i="5" s="1"/>
  <c r="E176" i="6"/>
  <c r="C202" i="5"/>
  <c r="BU202" i="5" s="1"/>
  <c r="BC201" i="5"/>
  <c r="D176" i="6"/>
  <c r="AN201" i="5" l="1"/>
  <c r="AF201" i="5"/>
  <c r="BV202" i="5"/>
  <c r="BT202" i="5"/>
  <c r="BS202" i="5"/>
  <c r="CI202" i="5"/>
  <c r="BH202" i="5"/>
  <c r="BI202" i="5" s="1"/>
  <c r="BJ202" i="5" s="1"/>
  <c r="X200" i="5"/>
  <c r="Y200" i="5" s="1"/>
  <c r="CZ201" i="5"/>
  <c r="BF201" i="5"/>
  <c r="BD201" i="5"/>
  <c r="BE202" i="5" s="1"/>
  <c r="CW202" i="5"/>
  <c r="AC202" i="5"/>
  <c r="AD202" i="5" s="1"/>
  <c r="CY202" i="5"/>
  <c r="CL202" i="5"/>
  <c r="CM202" i="5" s="1"/>
  <c r="CX202" i="5"/>
  <c r="CS202" i="5"/>
  <c r="BK202" i="5"/>
  <c r="BL202" i="5" s="1"/>
  <c r="BM202" i="5" s="1"/>
  <c r="D202" i="5"/>
  <c r="AB202" i="5"/>
  <c r="L202" i="5" s="1"/>
  <c r="CR202" i="5"/>
  <c r="AK202" i="5"/>
  <c r="AM202" i="5" s="1"/>
  <c r="AL203" i="5" s="1"/>
  <c r="C177" i="6"/>
  <c r="BG201" i="5"/>
  <c r="H201" i="5" s="1"/>
  <c r="AX202" i="5"/>
  <c r="AW202" i="5" s="1"/>
  <c r="CU202" i="5"/>
  <c r="BX202" i="5" s="1"/>
  <c r="G175" i="6"/>
  <c r="CK202" i="5" l="1"/>
  <c r="CJ202" i="5" s="1"/>
  <c r="CH202" i="5"/>
  <c r="I201" i="5"/>
  <c r="AE202" i="5"/>
  <c r="H175" i="6"/>
  <c r="Z200" i="5"/>
  <c r="W202" i="5"/>
  <c r="T202" i="5"/>
  <c r="U202" i="5" s="1"/>
  <c r="CT202" i="5"/>
  <c r="CV202" i="5"/>
  <c r="BN202" i="5"/>
  <c r="BO202" i="5" s="1"/>
  <c r="BP202" i="5" s="1"/>
  <c r="G202" i="5" s="1"/>
  <c r="DA202" i="5"/>
  <c r="DB202" i="5" s="1"/>
  <c r="K202" i="5" s="1"/>
  <c r="CP202" i="5"/>
  <c r="CQ202" i="5" s="1"/>
  <c r="R202" i="5" s="1"/>
  <c r="S202" i="5" s="1"/>
  <c r="CO202" i="5" l="1"/>
  <c r="F202" i="5" s="1"/>
  <c r="CN202" i="5"/>
  <c r="E202" i="5" s="1"/>
  <c r="AA200" i="5"/>
  <c r="I175" i="6" s="1"/>
  <c r="P201" i="5"/>
  <c r="AY201" i="5" s="1"/>
  <c r="M201" i="5"/>
  <c r="AG201" i="5" s="1"/>
  <c r="AH201" i="5"/>
  <c r="AT201" i="5"/>
  <c r="AP201" i="5"/>
  <c r="BY202" i="5" l="1"/>
  <c r="J202" i="5" s="1"/>
  <c r="BW202" i="5"/>
  <c r="AJ201" i="5"/>
  <c r="N201" i="5"/>
  <c r="AS201" i="5"/>
  <c r="AV201" i="5" s="1"/>
  <c r="AO201" i="5"/>
  <c r="Q201" i="5"/>
  <c r="V201" i="5" s="1"/>
  <c r="F176" i="6"/>
  <c r="BC202" i="5"/>
  <c r="D177" i="6"/>
  <c r="E177" i="6"/>
  <c r="C203" i="5"/>
  <c r="BU203" i="5" s="1"/>
  <c r="AF202" i="5" l="1"/>
  <c r="AN202" i="5"/>
  <c r="BT203" i="5"/>
  <c r="BV203" i="5"/>
  <c r="BS203" i="5"/>
  <c r="CI203" i="5"/>
  <c r="BH203" i="5"/>
  <c r="BI203" i="5" s="1"/>
  <c r="BJ203" i="5" s="1"/>
  <c r="CZ202" i="5"/>
  <c r="BF202" i="5"/>
  <c r="BD202" i="5"/>
  <c r="BE203" i="5" s="1"/>
  <c r="AR201" i="5"/>
  <c r="G176" i="6"/>
  <c r="D203" i="5"/>
  <c r="CR203" i="5"/>
  <c r="AB203" i="5"/>
  <c r="CP203" i="5" s="1"/>
  <c r="CQ203" i="5" s="1"/>
  <c r="R203" i="5" s="1"/>
  <c r="S203" i="5" s="1"/>
  <c r="CL203" i="5"/>
  <c r="CM203" i="5" s="1"/>
  <c r="CY203" i="5"/>
  <c r="AC203" i="5"/>
  <c r="AD203" i="5" s="1"/>
  <c r="CX203" i="5"/>
  <c r="CS203" i="5"/>
  <c r="C178" i="6"/>
  <c r="CW203" i="5"/>
  <c r="AK203" i="5"/>
  <c r="AM203" i="5" s="1"/>
  <c r="AL204" i="5" s="1"/>
  <c r="BK203" i="5"/>
  <c r="BL203" i="5" s="1"/>
  <c r="BM203" i="5" s="1"/>
  <c r="BG202" i="5"/>
  <c r="H202" i="5" s="1"/>
  <c r="AX203" i="5"/>
  <c r="AW203" i="5" s="1"/>
  <c r="CU203" i="5"/>
  <c r="BX203" i="5" s="1"/>
  <c r="CH203" i="5" l="1"/>
  <c r="CK203" i="5"/>
  <c r="CJ203" i="5" s="1"/>
  <c r="X201" i="5"/>
  <c r="Y201" i="5" s="1"/>
  <c r="L203" i="5"/>
  <c r="BN203" i="5"/>
  <c r="BO203" i="5" s="1"/>
  <c r="BP203" i="5" s="1"/>
  <c r="G203" i="5" s="1"/>
  <c r="DA203" i="5"/>
  <c r="DB203" i="5" s="1"/>
  <c r="K203" i="5" s="1"/>
  <c r="T203" i="5"/>
  <c r="U203" i="5" s="1"/>
  <c r="W203" i="5"/>
  <c r="AE203" i="5"/>
  <c r="I202" i="5"/>
  <c r="AP202" i="5" s="1"/>
  <c r="CT203" i="5"/>
  <c r="CV203" i="5"/>
  <c r="Z201" i="5" l="1"/>
  <c r="AA201" i="5" s="1"/>
  <c r="I176" i="6" s="1"/>
  <c r="H176" i="6"/>
  <c r="AT202" i="5"/>
  <c r="AH202" i="5"/>
  <c r="M202" i="5"/>
  <c r="P202" i="5"/>
  <c r="AY202" i="5" s="1"/>
  <c r="CO203" i="5"/>
  <c r="F203" i="5" s="1"/>
  <c r="CN203" i="5"/>
  <c r="E203" i="5" s="1"/>
  <c r="BW203" i="5" l="1"/>
  <c r="BY203" i="5"/>
  <c r="J203" i="5" s="1"/>
  <c r="AG202" i="5"/>
  <c r="AJ202" i="5" s="1"/>
  <c r="AO202" i="5"/>
  <c r="AR202" i="5" s="1"/>
  <c r="N202" i="5"/>
  <c r="AS202" i="5"/>
  <c r="AV202" i="5" s="1"/>
  <c r="F177" i="6"/>
  <c r="Q202" i="5"/>
  <c r="V202" i="5" s="1"/>
  <c r="BC203" i="5"/>
  <c r="D178" i="6"/>
  <c r="E178" i="6"/>
  <c r="C204" i="5"/>
  <c r="BU204" i="5" s="1"/>
  <c r="AN203" i="5" l="1"/>
  <c r="AF203" i="5"/>
  <c r="BT204" i="5"/>
  <c r="BV204" i="5"/>
  <c r="BS204" i="5"/>
  <c r="CI204" i="5"/>
  <c r="BH204" i="5"/>
  <c r="BI204" i="5" s="1"/>
  <c r="BJ204" i="5" s="1"/>
  <c r="X202" i="5"/>
  <c r="Y202" i="5" s="1"/>
  <c r="CR204" i="5"/>
  <c r="CS204" i="5"/>
  <c r="AB204" i="5"/>
  <c r="CP204" i="5" s="1"/>
  <c r="CQ204" i="5" s="1"/>
  <c r="R204" i="5" s="1"/>
  <c r="S204" i="5" s="1"/>
  <c r="D204" i="5"/>
  <c r="CL204" i="5"/>
  <c r="CM204" i="5" s="1"/>
  <c r="AC204" i="5"/>
  <c r="BK204" i="5"/>
  <c r="BL204" i="5" s="1"/>
  <c r="BM204" i="5" s="1"/>
  <c r="CY204" i="5"/>
  <c r="C179" i="6"/>
  <c r="AK204" i="5"/>
  <c r="AM204" i="5" s="1"/>
  <c r="AL205" i="5" s="1"/>
  <c r="CW204" i="5"/>
  <c r="CX204" i="5"/>
  <c r="BG203" i="5"/>
  <c r="H203" i="5" s="1"/>
  <c r="AX204" i="5"/>
  <c r="AW204" i="5" s="1"/>
  <c r="CU204" i="5"/>
  <c r="BX204" i="5" s="1"/>
  <c r="BD203" i="5"/>
  <c r="BE204" i="5" s="1"/>
  <c r="CZ203" i="5"/>
  <c r="BF203" i="5"/>
  <c r="G177" i="6"/>
  <c r="AD204" i="5" l="1"/>
  <c r="AE204" i="5" s="1"/>
  <c r="CH204" i="5"/>
  <c r="CK204" i="5"/>
  <c r="CJ204" i="5" s="1"/>
  <c r="BN204" i="5"/>
  <c r="BO204" i="5" s="1"/>
  <c r="BP204" i="5" s="1"/>
  <c r="G204" i="5" s="1"/>
  <c r="DA204" i="5"/>
  <c r="DB204" i="5" s="1"/>
  <c r="K204" i="5" s="1"/>
  <c r="CV204" i="5"/>
  <c r="CT204" i="5"/>
  <c r="H177" i="6"/>
  <c r="Z202" i="5"/>
  <c r="I203" i="5"/>
  <c r="W204" i="5"/>
  <c r="T204" i="5"/>
  <c r="U204" i="5" s="1"/>
  <c r="L204" i="5"/>
  <c r="AH203" i="5" l="1"/>
  <c r="AT203" i="5"/>
  <c r="AP203" i="5"/>
  <c r="M203" i="5"/>
  <c r="P203" i="5"/>
  <c r="AY203" i="5" s="1"/>
  <c r="CO204" i="5"/>
  <c r="F204" i="5" s="1"/>
  <c r="CN204" i="5"/>
  <c r="E204" i="5" s="1"/>
  <c r="AA202" i="5"/>
  <c r="I177" i="6" s="1"/>
  <c r="BW204" i="5" l="1"/>
  <c r="BY204" i="5"/>
  <c r="J204" i="5" s="1"/>
  <c r="AN204" i="5" s="1"/>
  <c r="AS203" i="5"/>
  <c r="AV203" i="5" s="1"/>
  <c r="AO203" i="5"/>
  <c r="E179" i="6"/>
  <c r="C205" i="5"/>
  <c r="BU205" i="5" s="1"/>
  <c r="Q203" i="5"/>
  <c r="V203" i="5" s="1"/>
  <c r="F178" i="6"/>
  <c r="BC204" i="5"/>
  <c r="D179" i="6"/>
  <c r="N203" i="5"/>
  <c r="AG203" i="5"/>
  <c r="AF204" i="5" l="1"/>
  <c r="BT205" i="5"/>
  <c r="BV205" i="5"/>
  <c r="BS205" i="5"/>
  <c r="CI205" i="5"/>
  <c r="BH205" i="5"/>
  <c r="BI205" i="5" s="1"/>
  <c r="BJ205" i="5" s="1"/>
  <c r="AR203" i="5"/>
  <c r="AJ203" i="5"/>
  <c r="BF204" i="5"/>
  <c r="BD204" i="5"/>
  <c r="BE205" i="5" s="1"/>
  <c r="CZ204" i="5"/>
  <c r="G178" i="6"/>
  <c r="AK205" i="5"/>
  <c r="BK205" i="5"/>
  <c r="BL205" i="5" s="1"/>
  <c r="BM205" i="5" s="1"/>
  <c r="CW205" i="5"/>
  <c r="CR205" i="5"/>
  <c r="AC205" i="5"/>
  <c r="CL205" i="5"/>
  <c r="CM205" i="5" s="1"/>
  <c r="CX205" i="5"/>
  <c r="CY205" i="5"/>
  <c r="CS205" i="5"/>
  <c r="C180" i="6"/>
  <c r="D205" i="5"/>
  <c r="AB205" i="5"/>
  <c r="BN205" i="5" s="1"/>
  <c r="BO205" i="5" s="1"/>
  <c r="BP205" i="5" s="1"/>
  <c r="BG204" i="5"/>
  <c r="H204" i="5" s="1"/>
  <c r="AX205" i="5"/>
  <c r="AW205" i="5" s="1"/>
  <c r="CU205" i="5"/>
  <c r="BX205" i="5" s="1"/>
  <c r="G205" i="5" l="1"/>
  <c r="AD205" i="5"/>
  <c r="AE205" i="5" s="1"/>
  <c r="CH205" i="5"/>
  <c r="CK205" i="5"/>
  <c r="CJ205" i="5" s="1"/>
  <c r="X203" i="5"/>
  <c r="Y203" i="5" s="1"/>
  <c r="Z203" i="5" s="1"/>
  <c r="DA205" i="5"/>
  <c r="DB205" i="5" s="1"/>
  <c r="K205" i="5" s="1"/>
  <c r="AM205" i="5"/>
  <c r="AL206" i="5" s="1"/>
  <c r="L205" i="5"/>
  <c r="CT205" i="5"/>
  <c r="CV205" i="5"/>
  <c r="CP205" i="5"/>
  <c r="CQ205" i="5" s="1"/>
  <c r="R205" i="5" s="1"/>
  <c r="S205" i="5" s="1"/>
  <c r="I204" i="5"/>
  <c r="AP204" i="5" s="1"/>
  <c r="W205" i="5"/>
  <c r="T205" i="5"/>
  <c r="U205" i="5" s="1"/>
  <c r="H178" i="6" l="1"/>
  <c r="AH204" i="5"/>
  <c r="AT204" i="5"/>
  <c r="CO205" i="5"/>
  <c r="F205" i="5" s="1"/>
  <c r="CN205" i="5"/>
  <c r="E205" i="5" s="1"/>
  <c r="M204" i="5"/>
  <c r="P204" i="5"/>
  <c r="AA203" i="5"/>
  <c r="I178" i="6" s="1"/>
  <c r="BB204" i="5" l="1"/>
  <c r="AY204" i="5"/>
  <c r="AS204" i="5"/>
  <c r="AV204" i="5" s="1"/>
  <c r="AO204" i="5"/>
  <c r="AR204" i="5" s="1"/>
  <c r="N204" i="5"/>
  <c r="AG204" i="5"/>
  <c r="F179" i="6"/>
  <c r="Q204" i="5"/>
  <c r="V204" i="5" s="1"/>
  <c r="D180" i="6"/>
  <c r="BC205" i="5"/>
  <c r="C206" i="5"/>
  <c r="BU206" i="5" s="1"/>
  <c r="E180" i="6"/>
  <c r="BW205" i="5" l="1"/>
  <c r="BY205" i="5"/>
  <c r="J205" i="5" s="1"/>
  <c r="BV206" i="5"/>
  <c r="BT206" i="5"/>
  <c r="BS206" i="5"/>
  <c r="CI206" i="5"/>
  <c r="BH206" i="5"/>
  <c r="BI206" i="5" s="1"/>
  <c r="BJ206" i="5" s="1"/>
  <c r="AJ204" i="5"/>
  <c r="X204" i="5" s="1"/>
  <c r="Y204" i="5" s="1"/>
  <c r="CX206" i="5"/>
  <c r="D206" i="5"/>
  <c r="AC206" i="5"/>
  <c r="AD206" i="5" s="1"/>
  <c r="BK206" i="5"/>
  <c r="BL206" i="5" s="1"/>
  <c r="BM206" i="5" s="1"/>
  <c r="CW206" i="5"/>
  <c r="C181" i="6"/>
  <c r="CY206" i="5"/>
  <c r="CS206" i="5"/>
  <c r="AB206" i="5"/>
  <c r="BN206" i="5" s="1"/>
  <c r="BO206" i="5" s="1"/>
  <c r="BP206" i="5" s="1"/>
  <c r="CR206" i="5"/>
  <c r="AK206" i="5"/>
  <c r="AM206" i="5" s="1"/>
  <c r="AL207" i="5" s="1"/>
  <c r="CL206" i="5"/>
  <c r="CM206" i="5" s="1"/>
  <c r="BG205" i="5"/>
  <c r="H205" i="5" s="1"/>
  <c r="AX206" i="5"/>
  <c r="AW206" i="5" s="1"/>
  <c r="CU206" i="5"/>
  <c r="G179" i="6"/>
  <c r="BF205" i="5"/>
  <c r="BD205" i="5"/>
  <c r="BE206" i="5" s="1"/>
  <c r="CZ205" i="5"/>
  <c r="AN205" i="5" l="1"/>
  <c r="AF205" i="5"/>
  <c r="BX206" i="5"/>
  <c r="G206" i="5"/>
  <c r="CH206" i="5"/>
  <c r="CK206" i="5"/>
  <c r="CJ206" i="5" s="1"/>
  <c r="CP206" i="5"/>
  <c r="CQ206" i="5" s="1"/>
  <c r="R206" i="5" s="1"/>
  <c r="S206" i="5" s="1"/>
  <c r="L206" i="5"/>
  <c r="DA206" i="5"/>
  <c r="DB206" i="5" s="1"/>
  <c r="K206" i="5" s="1"/>
  <c r="CT206" i="5"/>
  <c r="CV206" i="5"/>
  <c r="I205" i="5"/>
  <c r="AE206" i="5"/>
  <c r="H179" i="6"/>
  <c r="Z204" i="5"/>
  <c r="T206" i="5"/>
  <c r="U206" i="5" s="1"/>
  <c r="W206" i="5"/>
  <c r="AH205" i="5" l="1"/>
  <c r="AT205" i="5"/>
  <c r="AP205" i="5"/>
  <c r="M205" i="5"/>
  <c r="P205" i="5"/>
  <c r="AY205" i="5" s="1"/>
  <c r="AA204" i="5"/>
  <c r="I179" i="6" s="1"/>
  <c r="CN206" i="5"/>
  <c r="E206" i="5" s="1"/>
  <c r="CO206" i="5"/>
  <c r="F206" i="5" s="1"/>
  <c r="BW206" i="5" l="1"/>
  <c r="BY206" i="5"/>
  <c r="J206" i="5" s="1"/>
  <c r="AG205" i="5"/>
  <c r="AO205" i="5"/>
  <c r="BC206" i="5"/>
  <c r="D181" i="6"/>
  <c r="F180" i="6"/>
  <c r="Q205" i="5"/>
  <c r="V205" i="5" s="1"/>
  <c r="C207" i="5"/>
  <c r="BU207" i="5" s="1"/>
  <c r="E181" i="6"/>
  <c r="AS205" i="5"/>
  <c r="AV205" i="5" s="1"/>
  <c r="N205" i="5"/>
  <c r="AN206" i="5" l="1"/>
  <c r="AF206" i="5"/>
  <c r="BV207" i="5"/>
  <c r="BT207" i="5"/>
  <c r="BS207" i="5"/>
  <c r="CI207" i="5"/>
  <c r="BH207" i="5"/>
  <c r="BI207" i="5" s="1"/>
  <c r="BJ207" i="5" s="1"/>
  <c r="AR205" i="5"/>
  <c r="AJ205" i="5"/>
  <c r="CW207" i="5"/>
  <c r="AB207" i="5"/>
  <c r="CP207" i="5" s="1"/>
  <c r="CQ207" i="5" s="1"/>
  <c r="R207" i="5" s="1"/>
  <c r="S207" i="5" s="1"/>
  <c r="AC207" i="5"/>
  <c r="CR207" i="5"/>
  <c r="C182" i="6"/>
  <c r="CY207" i="5"/>
  <c r="CX207" i="5"/>
  <c r="D207" i="5"/>
  <c r="CS207" i="5"/>
  <c r="AK207" i="5"/>
  <c r="BK207" i="5"/>
  <c r="BL207" i="5" s="1"/>
  <c r="BM207" i="5" s="1"/>
  <c r="CL207" i="5"/>
  <c r="CM207" i="5" s="1"/>
  <c r="BG206" i="5"/>
  <c r="H206" i="5" s="1"/>
  <c r="AX207" i="5"/>
  <c r="AW207" i="5" s="1"/>
  <c r="CU207" i="5"/>
  <c r="BX207" i="5" s="1"/>
  <c r="G180" i="6"/>
  <c r="CZ206" i="5"/>
  <c r="BD206" i="5"/>
  <c r="BE207" i="5" s="1"/>
  <c r="BF206" i="5"/>
  <c r="CK207" i="5" l="1"/>
  <c r="CJ207" i="5" s="1"/>
  <c r="CH207" i="5"/>
  <c r="X205" i="5"/>
  <c r="Y205" i="5" s="1"/>
  <c r="H180" i="6" s="1"/>
  <c r="AD207" i="5"/>
  <c r="AE207" i="5" s="1"/>
  <c r="BN207" i="5"/>
  <c r="BO207" i="5" s="1"/>
  <c r="BP207" i="5" s="1"/>
  <c r="G207" i="5" s="1"/>
  <c r="DA207" i="5"/>
  <c r="DB207" i="5" s="1"/>
  <c r="K207" i="5" s="1"/>
  <c r="I206" i="5"/>
  <c r="AH206" i="5" s="1"/>
  <c r="AM207" i="5"/>
  <c r="AL208" i="5" s="1"/>
  <c r="T207" i="5"/>
  <c r="U207" i="5" s="1"/>
  <c r="W207" i="5"/>
  <c r="CT207" i="5"/>
  <c r="CV207" i="5"/>
  <c r="L207" i="5"/>
  <c r="Z205" i="5" l="1"/>
  <c r="AA205" i="5" s="1"/>
  <c r="I180" i="6" s="1"/>
  <c r="AT206" i="5"/>
  <c r="AP206" i="5"/>
  <c r="P206" i="5"/>
  <c r="AY206" i="5" s="1"/>
  <c r="M206" i="5"/>
  <c r="CO207" i="5"/>
  <c r="F207" i="5" s="1"/>
  <c r="CN207" i="5"/>
  <c r="E207" i="5" s="1"/>
  <c r="AO206" i="5" l="1"/>
  <c r="AR206" i="5" s="1"/>
  <c r="AG206" i="5"/>
  <c r="AJ206" i="5" s="1"/>
  <c r="N206" i="5"/>
  <c r="AS206" i="5"/>
  <c r="AV206" i="5" s="1"/>
  <c r="C208" i="5"/>
  <c r="BU208" i="5" s="1"/>
  <c r="E182" i="6"/>
  <c r="D182" i="6"/>
  <c r="BC207" i="5"/>
  <c r="F181" i="6"/>
  <c r="Q206" i="5"/>
  <c r="V206" i="5" s="1"/>
  <c r="BY207" i="5" l="1"/>
  <c r="J207" i="5" s="1"/>
  <c r="BW207" i="5"/>
  <c r="BT208" i="5"/>
  <c r="BV208" i="5"/>
  <c r="BS208" i="5"/>
  <c r="CI208" i="5"/>
  <c r="BH208" i="5"/>
  <c r="BI208" i="5" s="1"/>
  <c r="BJ208" i="5" s="1"/>
  <c r="X206" i="5"/>
  <c r="Y206" i="5" s="1"/>
  <c r="G181" i="6"/>
  <c r="BF207" i="5"/>
  <c r="BD207" i="5"/>
  <c r="BE208" i="5" s="1"/>
  <c r="CZ207" i="5"/>
  <c r="AK208" i="5"/>
  <c r="BK208" i="5"/>
  <c r="BL208" i="5" s="1"/>
  <c r="BM208" i="5" s="1"/>
  <c r="CR208" i="5"/>
  <c r="CW208" i="5"/>
  <c r="AC208" i="5"/>
  <c r="CX208" i="5"/>
  <c r="CL208" i="5"/>
  <c r="CM208" i="5" s="1"/>
  <c r="CY208" i="5"/>
  <c r="CS208" i="5"/>
  <c r="D208" i="5"/>
  <c r="C183" i="6"/>
  <c r="AB208" i="5"/>
  <c r="DA208" i="5" s="1"/>
  <c r="DB208" i="5" s="1"/>
  <c r="BG207" i="5"/>
  <c r="H207" i="5" s="1"/>
  <c r="AX208" i="5"/>
  <c r="AW208" i="5" s="1"/>
  <c r="CU208" i="5"/>
  <c r="AF207" i="5" l="1"/>
  <c r="AN207" i="5"/>
  <c r="BX208" i="5"/>
  <c r="CH208" i="5"/>
  <c r="CK208" i="5"/>
  <c r="CJ208" i="5" s="1"/>
  <c r="K208" i="5" s="1"/>
  <c r="AD208" i="5"/>
  <c r="AE208" i="5" s="1"/>
  <c r="BN208" i="5"/>
  <c r="BO208" i="5" s="1"/>
  <c r="BP208" i="5" s="1"/>
  <c r="G208" i="5" s="1"/>
  <c r="L208" i="5"/>
  <c r="AM208" i="5"/>
  <c r="AL209" i="5" s="1"/>
  <c r="CT208" i="5"/>
  <c r="CV208" i="5"/>
  <c r="CP208" i="5"/>
  <c r="CQ208" i="5" s="1"/>
  <c r="R208" i="5" s="1"/>
  <c r="S208" i="5" s="1"/>
  <c r="H181" i="6"/>
  <c r="Z206" i="5"/>
  <c r="I207" i="5"/>
  <c r="AP207" i="5" s="1"/>
  <c r="T208" i="5"/>
  <c r="U208" i="5" s="1"/>
  <c r="W208" i="5"/>
  <c r="CO208" i="5" l="1"/>
  <c r="F208" i="5" s="1"/>
  <c r="CN208" i="5"/>
  <c r="E208" i="5" s="1"/>
  <c r="AH207" i="5"/>
  <c r="AT207" i="5"/>
  <c r="AA206" i="5"/>
  <c r="I181" i="6" s="1"/>
  <c r="M207" i="5"/>
  <c r="P207" i="5"/>
  <c r="AY207" i="5" s="1"/>
  <c r="AO207" i="5" l="1"/>
  <c r="AR207" i="5" s="1"/>
  <c r="AG207" i="5"/>
  <c r="AJ207" i="5" s="1"/>
  <c r="E183" i="6"/>
  <c r="C209" i="5"/>
  <c r="BU209" i="5" s="1"/>
  <c r="BC208" i="5"/>
  <c r="D183" i="6"/>
  <c r="N207" i="5"/>
  <c r="AS207" i="5"/>
  <c r="AV207" i="5" s="1"/>
  <c r="Q207" i="5"/>
  <c r="V207" i="5" s="1"/>
  <c r="F182" i="6"/>
  <c r="BW208" i="5" l="1"/>
  <c r="BY208" i="5"/>
  <c r="J208" i="5" s="1"/>
  <c r="BV209" i="5"/>
  <c r="BT209" i="5"/>
  <c r="BS209" i="5"/>
  <c r="CI209" i="5"/>
  <c r="BH209" i="5"/>
  <c r="BI209" i="5" s="1"/>
  <c r="BJ209" i="5" s="1"/>
  <c r="X207" i="5"/>
  <c r="Y207" i="5" s="1"/>
  <c r="BD208" i="5"/>
  <c r="BE209" i="5" s="1"/>
  <c r="CZ208" i="5"/>
  <c r="BF208" i="5"/>
  <c r="G182" i="6"/>
  <c r="CY209" i="5"/>
  <c r="CX209" i="5"/>
  <c r="AB209" i="5"/>
  <c r="CP209" i="5" s="1"/>
  <c r="CQ209" i="5" s="1"/>
  <c r="R209" i="5" s="1"/>
  <c r="S209" i="5" s="1"/>
  <c r="D209" i="5"/>
  <c r="C184" i="6"/>
  <c r="CL209" i="5"/>
  <c r="CM209" i="5" s="1"/>
  <c r="CW209" i="5"/>
  <c r="AK209" i="5"/>
  <c r="AM209" i="5" s="1"/>
  <c r="AL210" i="5" s="1"/>
  <c r="CR209" i="5"/>
  <c r="CS209" i="5"/>
  <c r="BK209" i="5"/>
  <c r="BL209" i="5" s="1"/>
  <c r="BM209" i="5" s="1"/>
  <c r="AC209" i="5"/>
  <c r="AD209" i="5" s="1"/>
  <c r="BG208" i="5"/>
  <c r="H208" i="5" s="1"/>
  <c r="AX209" i="5"/>
  <c r="AW209" i="5" s="1"/>
  <c r="CU209" i="5"/>
  <c r="AF208" i="5" l="1"/>
  <c r="AN208" i="5"/>
  <c r="BX209" i="5"/>
  <c r="CH209" i="5"/>
  <c r="CK209" i="5"/>
  <c r="CJ209" i="5" s="1"/>
  <c r="DA209" i="5"/>
  <c r="DB209" i="5" s="1"/>
  <c r="K209" i="5" s="1"/>
  <c r="CV209" i="5"/>
  <c r="CT209" i="5"/>
  <c r="L209" i="5"/>
  <c r="H182" i="6"/>
  <c r="Z207" i="5"/>
  <c r="BN209" i="5"/>
  <c r="BO209" i="5" s="1"/>
  <c r="BP209" i="5" s="1"/>
  <c r="G209" i="5" s="1"/>
  <c r="AE209" i="5"/>
  <c r="I208" i="5"/>
  <c r="AH208" i="5" s="1"/>
  <c r="W209" i="5"/>
  <c r="T209" i="5"/>
  <c r="U209" i="5" s="1"/>
  <c r="M208" i="5" l="1"/>
  <c r="AG208" i="5" s="1"/>
  <c r="AJ208" i="5" s="1"/>
  <c r="P208" i="5"/>
  <c r="AY208" i="5" s="1"/>
  <c r="AA207" i="5"/>
  <c r="I182" i="6" s="1"/>
  <c r="AT208" i="5"/>
  <c r="AP208" i="5"/>
  <c r="CN209" i="5"/>
  <c r="E209" i="5" s="1"/>
  <c r="CO209" i="5"/>
  <c r="F209" i="5" s="1"/>
  <c r="D184" i="6" l="1"/>
  <c r="BC209" i="5"/>
  <c r="Q208" i="5"/>
  <c r="V208" i="5" s="1"/>
  <c r="G183" i="6" s="1"/>
  <c r="F183" i="6"/>
  <c r="C210" i="5"/>
  <c r="BU210" i="5" s="1"/>
  <c r="E184" i="6"/>
  <c r="N208" i="5"/>
  <c r="AS208" i="5"/>
  <c r="AV208" i="5" s="1"/>
  <c r="AO208" i="5"/>
  <c r="AR208" i="5" s="1"/>
  <c r="BW209" i="5" l="1"/>
  <c r="BY209" i="5"/>
  <c r="J209" i="5" s="1"/>
  <c r="BV210" i="5"/>
  <c r="BT210" i="5"/>
  <c r="BS210" i="5"/>
  <c r="CI210" i="5"/>
  <c r="BH210" i="5"/>
  <c r="BI210" i="5" s="1"/>
  <c r="BJ210" i="5" s="1"/>
  <c r="X208" i="5"/>
  <c r="Y208" i="5" s="1"/>
  <c r="C185" i="6"/>
  <c r="CY210" i="5"/>
  <c r="AC210" i="5"/>
  <c r="AD210" i="5" s="1"/>
  <c r="AK210" i="5"/>
  <c r="D210" i="5"/>
  <c r="AB210" i="5"/>
  <c r="L210" i="5" s="1"/>
  <c r="CW210" i="5"/>
  <c r="CL210" i="5"/>
  <c r="CM210" i="5" s="1"/>
  <c r="BK210" i="5"/>
  <c r="BL210" i="5" s="1"/>
  <c r="BM210" i="5" s="1"/>
  <c r="CS210" i="5"/>
  <c r="CX210" i="5"/>
  <c r="CR210" i="5"/>
  <c r="BG209" i="5"/>
  <c r="H209" i="5" s="1"/>
  <c r="AX210" i="5"/>
  <c r="AW210" i="5" s="1"/>
  <c r="CU210" i="5"/>
  <c r="BF209" i="5"/>
  <c r="CZ209" i="5"/>
  <c r="BD209" i="5"/>
  <c r="BE210" i="5" s="1"/>
  <c r="AF209" i="5" l="1"/>
  <c r="AN209" i="5"/>
  <c r="BX210" i="5"/>
  <c r="CK210" i="5"/>
  <c r="CJ210" i="5" s="1"/>
  <c r="CH210" i="5"/>
  <c r="H183" i="6"/>
  <c r="Z208" i="5"/>
  <c r="AA208" i="5" s="1"/>
  <c r="I183" i="6" s="1"/>
  <c r="DA210" i="5"/>
  <c r="DB210" i="5" s="1"/>
  <c r="K210" i="5" s="1"/>
  <c r="BN210" i="5"/>
  <c r="BO210" i="5" s="1"/>
  <c r="BP210" i="5" s="1"/>
  <c r="G210" i="5" s="1"/>
  <c r="CP210" i="5"/>
  <c r="CQ210" i="5" s="1"/>
  <c r="R210" i="5" s="1"/>
  <c r="S210" i="5" s="1"/>
  <c r="T210" i="5"/>
  <c r="U210" i="5" s="1"/>
  <c r="W210" i="5"/>
  <c r="I209" i="5"/>
  <c r="AP209" i="5" s="1"/>
  <c r="AM210" i="5"/>
  <c r="AL211" i="5" s="1"/>
  <c r="AE210" i="5"/>
  <c r="CT210" i="5"/>
  <c r="CV210" i="5"/>
  <c r="AT209" i="5" l="1"/>
  <c r="AH209" i="5"/>
  <c r="M209" i="5"/>
  <c r="P209" i="5"/>
  <c r="AY209" i="5" s="1"/>
  <c r="CN210" i="5"/>
  <c r="E210" i="5" s="1"/>
  <c r="CO210" i="5"/>
  <c r="F210" i="5" s="1"/>
  <c r="AG209" i="5" l="1"/>
  <c r="AJ209" i="5" s="1"/>
  <c r="AO209" i="5"/>
  <c r="Q209" i="5"/>
  <c r="V209" i="5" s="1"/>
  <c r="F184" i="6"/>
  <c r="D185" i="6"/>
  <c r="BC210" i="5"/>
  <c r="N209" i="5"/>
  <c r="AS209" i="5"/>
  <c r="AV209" i="5" s="1"/>
  <c r="C211" i="5"/>
  <c r="BU211" i="5" s="1"/>
  <c r="E185" i="6"/>
  <c r="BY210" i="5" l="1"/>
  <c r="J210" i="5" s="1"/>
  <c r="BW210" i="5"/>
  <c r="BT211" i="5"/>
  <c r="BV211" i="5"/>
  <c r="BS211" i="5"/>
  <c r="CI211" i="5"/>
  <c r="BH211" i="5"/>
  <c r="BI211" i="5" s="1"/>
  <c r="BJ211" i="5" s="1"/>
  <c r="AR209" i="5"/>
  <c r="CY211" i="5"/>
  <c r="AC211" i="5"/>
  <c r="AD211" i="5" s="1"/>
  <c r="AK211" i="5"/>
  <c r="AM211" i="5" s="1"/>
  <c r="AL212" i="5" s="1"/>
  <c r="CS211" i="5"/>
  <c r="CL211" i="5"/>
  <c r="CM211" i="5" s="1"/>
  <c r="CR211" i="5"/>
  <c r="BK211" i="5"/>
  <c r="BL211" i="5" s="1"/>
  <c r="BM211" i="5" s="1"/>
  <c r="CW211" i="5"/>
  <c r="D211" i="5"/>
  <c r="AB211" i="5"/>
  <c r="DA211" i="5" s="1"/>
  <c r="DB211" i="5" s="1"/>
  <c r="C186" i="6"/>
  <c r="CX211" i="5"/>
  <c r="BG210" i="5"/>
  <c r="H210" i="5" s="1"/>
  <c r="AX211" i="5"/>
  <c r="AW211" i="5" s="1"/>
  <c r="CU211" i="5"/>
  <c r="BF210" i="5"/>
  <c r="BD210" i="5"/>
  <c r="BE211" i="5" s="1"/>
  <c r="CZ210" i="5"/>
  <c r="G184" i="6"/>
  <c r="AN210" i="5" l="1"/>
  <c r="AF210" i="5"/>
  <c r="BX211" i="5"/>
  <c r="CH211" i="5"/>
  <c r="CK211" i="5"/>
  <c r="CJ211" i="5" s="1"/>
  <c r="K211" i="5" s="1"/>
  <c r="X209" i="5"/>
  <c r="Y209" i="5" s="1"/>
  <c r="CP211" i="5"/>
  <c r="CQ211" i="5" s="1"/>
  <c r="R211" i="5" s="1"/>
  <c r="S211" i="5" s="1"/>
  <c r="BN211" i="5"/>
  <c r="BO211" i="5" s="1"/>
  <c r="BP211" i="5" s="1"/>
  <c r="G211" i="5" s="1"/>
  <c r="CT211" i="5"/>
  <c r="CV211" i="5"/>
  <c r="L211" i="5"/>
  <c r="I210" i="5"/>
  <c r="AP210" i="5" s="1"/>
  <c r="T211" i="5"/>
  <c r="U211" i="5" s="1"/>
  <c r="W211" i="5"/>
  <c r="AE211" i="5"/>
  <c r="Z209" i="5" l="1"/>
  <c r="AA209" i="5" s="1"/>
  <c r="I184" i="6" s="1"/>
  <c r="H184" i="6"/>
  <c r="AH210" i="5"/>
  <c r="AT210" i="5"/>
  <c r="M210" i="5"/>
  <c r="P210" i="5"/>
  <c r="AY210" i="5" s="1"/>
  <c r="CO211" i="5"/>
  <c r="F211" i="5" s="1"/>
  <c r="CN211" i="5"/>
  <c r="E211" i="5" s="1"/>
  <c r="BW211" i="5" l="1"/>
  <c r="AS210" i="5"/>
  <c r="AV210" i="5" s="1"/>
  <c r="AO210" i="5"/>
  <c r="AR210" i="5" s="1"/>
  <c r="BC211" i="5"/>
  <c r="D186" i="6"/>
  <c r="E186" i="6"/>
  <c r="C212" i="5"/>
  <c r="BU212" i="5" s="1"/>
  <c r="F185" i="6"/>
  <c r="Q210" i="5"/>
  <c r="V210" i="5" s="1"/>
  <c r="G185" i="6" s="1"/>
  <c r="N210" i="5"/>
  <c r="AG210" i="5"/>
  <c r="BY211" i="5" l="1"/>
  <c r="J211" i="5" s="1"/>
  <c r="BT212" i="5"/>
  <c r="BV212" i="5"/>
  <c r="BS212" i="5"/>
  <c r="CI212" i="5"/>
  <c r="BH212" i="5"/>
  <c r="BI212" i="5" s="1"/>
  <c r="BJ212" i="5" s="1"/>
  <c r="AJ210" i="5"/>
  <c r="C187" i="6"/>
  <c r="BK212" i="5"/>
  <c r="BL212" i="5" s="1"/>
  <c r="BM212" i="5" s="1"/>
  <c r="CR212" i="5"/>
  <c r="AC212" i="5"/>
  <c r="CW212" i="5"/>
  <c r="AK212" i="5"/>
  <c r="AM212" i="5" s="1"/>
  <c r="AL213" i="5" s="1"/>
  <c r="CL212" i="5"/>
  <c r="CM212" i="5" s="1"/>
  <c r="AB212" i="5"/>
  <c r="CP212" i="5" s="1"/>
  <c r="CQ212" i="5" s="1"/>
  <c r="R212" i="5" s="1"/>
  <c r="S212" i="5" s="1"/>
  <c r="CY212" i="5"/>
  <c r="D212" i="5"/>
  <c r="CS212" i="5"/>
  <c r="CX212" i="5"/>
  <c r="BG211" i="5"/>
  <c r="H211" i="5" s="1"/>
  <c r="AX212" i="5"/>
  <c r="AW212" i="5" s="1"/>
  <c r="CU212" i="5"/>
  <c r="BX212" i="5" s="1"/>
  <c r="BD211" i="5"/>
  <c r="BE212" i="5" s="1"/>
  <c r="BF211" i="5"/>
  <c r="CZ211" i="5"/>
  <c r="AN211" i="5" l="1"/>
  <c r="AF211" i="5"/>
  <c r="CH212" i="5"/>
  <c r="CK212" i="5"/>
  <c r="CJ212" i="5" s="1"/>
  <c r="X210" i="5"/>
  <c r="Y210" i="5" s="1"/>
  <c r="AD212" i="5"/>
  <c r="AE212" i="5" s="1"/>
  <c r="DA212" i="5"/>
  <c r="DB212" i="5" s="1"/>
  <c r="K212" i="5" s="1"/>
  <c r="W212" i="5"/>
  <c r="T212" i="5"/>
  <c r="U212" i="5" s="1"/>
  <c r="L212" i="5"/>
  <c r="I211" i="5"/>
  <c r="BN212" i="5"/>
  <c r="BO212" i="5" s="1"/>
  <c r="BP212" i="5" s="1"/>
  <c r="G212" i="5" s="1"/>
  <c r="CV212" i="5"/>
  <c r="CT212" i="5"/>
  <c r="AP211" i="5" l="1"/>
  <c r="Z210" i="5"/>
  <c r="AA210" i="5" s="1"/>
  <c r="I185" i="6" s="1"/>
  <c r="H185" i="6"/>
  <c r="AT211" i="5"/>
  <c r="AH211" i="5"/>
  <c r="CO212" i="5"/>
  <c r="F212" i="5" s="1"/>
  <c r="E187" i="6" s="1"/>
  <c r="CN212" i="5"/>
  <c r="E212" i="5" s="1"/>
  <c r="M211" i="5"/>
  <c r="P211" i="5"/>
  <c r="AY211" i="5" s="1"/>
  <c r="BW212" i="5" l="1"/>
  <c r="BY212" i="5"/>
  <c r="J212" i="5" s="1"/>
  <c r="AN212" i="5" s="1"/>
  <c r="AS211" i="5"/>
  <c r="AV211" i="5" s="1"/>
  <c r="AO211" i="5"/>
  <c r="AR211" i="5" s="1"/>
  <c r="N211" i="5"/>
  <c r="AG211" i="5"/>
  <c r="Q211" i="5"/>
  <c r="V211" i="5" s="1"/>
  <c r="F186" i="6"/>
  <c r="C213" i="5"/>
  <c r="BU213" i="5" s="1"/>
  <c r="BC212" i="5"/>
  <c r="D187" i="6"/>
  <c r="AF212" i="5" l="1"/>
  <c r="BT213" i="5"/>
  <c r="BV213" i="5"/>
  <c r="BS213" i="5"/>
  <c r="CI213" i="5"/>
  <c r="BH213" i="5"/>
  <c r="BI213" i="5" s="1"/>
  <c r="BJ213" i="5" s="1"/>
  <c r="AJ211" i="5"/>
  <c r="X211" i="5" s="1"/>
  <c r="Y211" i="5" s="1"/>
  <c r="BF212" i="5"/>
  <c r="CZ212" i="5"/>
  <c r="BD212" i="5"/>
  <c r="BE213" i="5" s="1"/>
  <c r="CX213" i="5"/>
  <c r="CS213" i="5"/>
  <c r="AC213" i="5"/>
  <c r="CW213" i="5"/>
  <c r="CY213" i="5"/>
  <c r="BK213" i="5"/>
  <c r="BL213" i="5" s="1"/>
  <c r="BM213" i="5" s="1"/>
  <c r="CR213" i="5"/>
  <c r="CL213" i="5"/>
  <c r="CM213" i="5" s="1"/>
  <c r="D213" i="5"/>
  <c r="AK213" i="5"/>
  <c r="AB213" i="5"/>
  <c r="BN213" i="5" s="1"/>
  <c r="BO213" i="5" s="1"/>
  <c r="BP213" i="5" s="1"/>
  <c r="C188" i="6"/>
  <c r="BG212" i="5"/>
  <c r="H212" i="5" s="1"/>
  <c r="AX213" i="5"/>
  <c r="AW213" i="5" s="1"/>
  <c r="CU213" i="5"/>
  <c r="BX213" i="5" s="1"/>
  <c r="G186" i="6"/>
  <c r="G213" i="5" l="1"/>
  <c r="AD213" i="5"/>
  <c r="AE213" i="5" s="1"/>
  <c r="CH213" i="5"/>
  <c r="CK213" i="5"/>
  <c r="CJ213" i="5" s="1"/>
  <c r="CP213" i="5"/>
  <c r="CQ213" i="5" s="1"/>
  <c r="R213" i="5" s="1"/>
  <c r="S213" i="5" s="1"/>
  <c r="DA213" i="5"/>
  <c r="DB213" i="5" s="1"/>
  <c r="K213" i="5" s="1"/>
  <c r="L213" i="5"/>
  <c r="T213" i="5"/>
  <c r="U213" i="5" s="1"/>
  <c r="W213" i="5"/>
  <c r="I212" i="5"/>
  <c r="H186" i="6"/>
  <c r="Z211" i="5"/>
  <c r="CT213" i="5"/>
  <c r="CV213" i="5"/>
  <c r="AM213" i="5"/>
  <c r="AL214" i="5" s="1"/>
  <c r="AH212" i="5" l="1"/>
  <c r="AT212" i="5"/>
  <c r="AP212" i="5"/>
  <c r="CO213" i="5"/>
  <c r="F213" i="5" s="1"/>
  <c r="CN213" i="5"/>
  <c r="E213" i="5" s="1"/>
  <c r="AA211" i="5"/>
  <c r="I186" i="6" s="1"/>
  <c r="M212" i="5"/>
  <c r="P212" i="5"/>
  <c r="AY212" i="5" s="1"/>
  <c r="BW213" i="5" l="1"/>
  <c r="BY213" i="5"/>
  <c r="J213" i="5" s="1"/>
  <c r="AG212" i="5"/>
  <c r="AO212" i="5"/>
  <c r="C214" i="5"/>
  <c r="BU214" i="5" s="1"/>
  <c r="E188" i="6"/>
  <c r="D188" i="6"/>
  <c r="BC213" i="5"/>
  <c r="F187" i="6"/>
  <c r="Q212" i="5"/>
  <c r="V212" i="5" s="1"/>
  <c r="G187" i="6" s="1"/>
  <c r="AS212" i="5"/>
  <c r="AV212" i="5" s="1"/>
  <c r="N212" i="5"/>
  <c r="AN213" i="5" l="1"/>
  <c r="AF213" i="5"/>
  <c r="BV214" i="5"/>
  <c r="BT214" i="5"/>
  <c r="BS214" i="5"/>
  <c r="CI214" i="5"/>
  <c r="BH214" i="5"/>
  <c r="BI214" i="5" s="1"/>
  <c r="BJ214" i="5" s="1"/>
  <c r="AJ212" i="5"/>
  <c r="AR212" i="5"/>
  <c r="BD213" i="5"/>
  <c r="BE214" i="5" s="1"/>
  <c r="BF213" i="5"/>
  <c r="CZ213" i="5"/>
  <c r="CW214" i="5"/>
  <c r="CY214" i="5"/>
  <c r="CR214" i="5"/>
  <c r="CX214" i="5"/>
  <c r="BK214" i="5"/>
  <c r="BL214" i="5" s="1"/>
  <c r="BM214" i="5" s="1"/>
  <c r="AC214" i="5"/>
  <c r="CL214" i="5"/>
  <c r="CM214" i="5" s="1"/>
  <c r="D214" i="5"/>
  <c r="AK214" i="5"/>
  <c r="C189" i="6"/>
  <c r="AB214" i="5"/>
  <c r="L214" i="5" s="1"/>
  <c r="CS214" i="5"/>
  <c r="BG213" i="5"/>
  <c r="H213" i="5" s="1"/>
  <c r="AX214" i="5"/>
  <c r="AW214" i="5" s="1"/>
  <c r="CU214" i="5"/>
  <c r="BX214" i="5" s="1"/>
  <c r="AD214" i="5" l="1"/>
  <c r="AE214" i="5" s="1"/>
  <c r="CH214" i="5"/>
  <c r="CK214" i="5"/>
  <c r="CJ214" i="5" s="1"/>
  <c r="X212" i="5"/>
  <c r="Y212" i="5" s="1"/>
  <c r="Z212" i="5" s="1"/>
  <c r="AA212" i="5" s="1"/>
  <c r="I187" i="6" s="1"/>
  <c r="DA214" i="5"/>
  <c r="DB214" i="5" s="1"/>
  <c r="K214" i="5" s="1"/>
  <c r="CP214" i="5"/>
  <c r="CQ214" i="5" s="1"/>
  <c r="R214" i="5" s="1"/>
  <c r="S214" i="5" s="1"/>
  <c r="AM214" i="5"/>
  <c r="AL215" i="5" s="1"/>
  <c r="W214" i="5"/>
  <c r="T214" i="5"/>
  <c r="U214" i="5" s="1"/>
  <c r="CT214" i="5"/>
  <c r="CV214" i="5"/>
  <c r="BN214" i="5"/>
  <c r="BO214" i="5" s="1"/>
  <c r="BP214" i="5" s="1"/>
  <c r="G214" i="5" s="1"/>
  <c r="I213" i="5"/>
  <c r="AH213" i="5" s="1"/>
  <c r="H187" i="6" l="1"/>
  <c r="AT213" i="5"/>
  <c r="AP213" i="5"/>
  <c r="M213" i="5"/>
  <c r="P213" i="5"/>
  <c r="AY213" i="5" s="1"/>
  <c r="CN214" i="5"/>
  <c r="E214" i="5" s="1"/>
  <c r="CO214" i="5"/>
  <c r="F214" i="5" s="1"/>
  <c r="BY214" i="5" l="1"/>
  <c r="J214" i="5" s="1"/>
  <c r="BW214" i="5"/>
  <c r="AO213" i="5"/>
  <c r="AR213" i="5" s="1"/>
  <c r="AG213" i="5"/>
  <c r="AJ213" i="5" s="1"/>
  <c r="N213" i="5"/>
  <c r="AS213" i="5"/>
  <c r="AV213" i="5" s="1"/>
  <c r="E189" i="6"/>
  <c r="C215" i="5"/>
  <c r="BU215" i="5" s="1"/>
  <c r="D189" i="6"/>
  <c r="BC214" i="5"/>
  <c r="F188" i="6"/>
  <c r="Q213" i="5"/>
  <c r="V213" i="5" s="1"/>
  <c r="AF214" i="5" l="1"/>
  <c r="AN214" i="5"/>
  <c r="BV215" i="5"/>
  <c r="BT215" i="5"/>
  <c r="BS215" i="5"/>
  <c r="CI215" i="5"/>
  <c r="BH215" i="5"/>
  <c r="BI215" i="5" s="1"/>
  <c r="BJ215" i="5" s="1"/>
  <c r="X213" i="5"/>
  <c r="Y213" i="5" s="1"/>
  <c r="G188" i="6"/>
  <c r="CZ214" i="5"/>
  <c r="BF214" i="5"/>
  <c r="BD214" i="5"/>
  <c r="BE215" i="5" s="1"/>
  <c r="BK215" i="5"/>
  <c r="BL215" i="5" s="1"/>
  <c r="BM215" i="5" s="1"/>
  <c r="CS215" i="5"/>
  <c r="CX215" i="5"/>
  <c r="CL215" i="5"/>
  <c r="CM215" i="5" s="1"/>
  <c r="C190" i="6"/>
  <c r="AK215" i="5"/>
  <c r="CW215" i="5"/>
  <c r="AC215" i="5"/>
  <c r="AD215" i="5" s="1"/>
  <c r="CR215" i="5"/>
  <c r="D215" i="5"/>
  <c r="AB215" i="5"/>
  <c r="BN215" i="5" s="1"/>
  <c r="BO215" i="5" s="1"/>
  <c r="BP215" i="5" s="1"/>
  <c r="CY215" i="5"/>
  <c r="BG214" i="5"/>
  <c r="H214" i="5" s="1"/>
  <c r="AX215" i="5"/>
  <c r="AW215" i="5" s="1"/>
  <c r="CU215" i="5"/>
  <c r="BX215" i="5" s="1"/>
  <c r="G215" i="5" l="1"/>
  <c r="CK215" i="5"/>
  <c r="CJ215" i="5" s="1"/>
  <c r="CH215" i="5"/>
  <c r="DA215" i="5"/>
  <c r="DB215" i="5" s="1"/>
  <c r="K215" i="5" s="1"/>
  <c r="L215" i="5"/>
  <c r="T215" i="5"/>
  <c r="U215" i="5" s="1"/>
  <c r="W215" i="5"/>
  <c r="AE215" i="5"/>
  <c r="CT215" i="5"/>
  <c r="CV215" i="5"/>
  <c r="CP215" i="5"/>
  <c r="CQ215" i="5" s="1"/>
  <c r="R215" i="5" s="1"/>
  <c r="S215" i="5" s="1"/>
  <c r="AM215" i="5"/>
  <c r="AL216" i="5" s="1"/>
  <c r="I214" i="5"/>
  <c r="AH214" i="5" s="1"/>
  <c r="H188" i="6"/>
  <c r="Z213" i="5"/>
  <c r="AT214" i="5" l="1"/>
  <c r="AP214" i="5"/>
  <c r="AA213" i="5"/>
  <c r="I188" i="6" s="1"/>
  <c r="M214" i="5"/>
  <c r="P214" i="5"/>
  <c r="AY214" i="5" s="1"/>
  <c r="CN215" i="5"/>
  <c r="E215" i="5" s="1"/>
  <c r="CO215" i="5"/>
  <c r="F215" i="5" s="1"/>
  <c r="BY215" i="5" l="1"/>
  <c r="J215" i="5" s="1"/>
  <c r="BW215" i="5"/>
  <c r="AO214" i="5"/>
  <c r="AR214" i="5" s="1"/>
  <c r="AG214" i="5"/>
  <c r="AJ214" i="5" s="1"/>
  <c r="F189" i="6"/>
  <c r="Q214" i="5"/>
  <c r="V214" i="5" s="1"/>
  <c r="N214" i="5"/>
  <c r="AS214" i="5"/>
  <c r="AV214" i="5" s="1"/>
  <c r="C216" i="5"/>
  <c r="BU216" i="5" s="1"/>
  <c r="E190" i="6"/>
  <c r="BC215" i="5"/>
  <c r="D190" i="6"/>
  <c r="AF215" i="5" l="1"/>
  <c r="AN215" i="5"/>
  <c r="BT216" i="5"/>
  <c r="BV216" i="5"/>
  <c r="BS216" i="5"/>
  <c r="CI216" i="5"/>
  <c r="BH216" i="5"/>
  <c r="BI216" i="5" s="1"/>
  <c r="BJ216" i="5" s="1"/>
  <c r="X214" i="5"/>
  <c r="Y214" i="5" s="1"/>
  <c r="BD215" i="5"/>
  <c r="BE216" i="5" s="1"/>
  <c r="CZ215" i="5"/>
  <c r="BF215" i="5"/>
  <c r="CW216" i="5"/>
  <c r="D216" i="5"/>
  <c r="CR216" i="5"/>
  <c r="AC216" i="5"/>
  <c r="AD216" i="5" s="1"/>
  <c r="AB216" i="5"/>
  <c r="L216" i="5" s="1"/>
  <c r="BK216" i="5"/>
  <c r="BL216" i="5" s="1"/>
  <c r="BM216" i="5" s="1"/>
  <c r="AK216" i="5"/>
  <c r="AM216" i="5" s="1"/>
  <c r="AL217" i="5" s="1"/>
  <c r="CL216" i="5"/>
  <c r="CM216" i="5" s="1"/>
  <c r="CS216" i="5"/>
  <c r="CX216" i="5"/>
  <c r="CY216" i="5"/>
  <c r="C191" i="6"/>
  <c r="BG215" i="5"/>
  <c r="H215" i="5" s="1"/>
  <c r="AX216" i="5"/>
  <c r="AW216" i="5" s="1"/>
  <c r="CU216" i="5"/>
  <c r="BX216" i="5" s="1"/>
  <c r="G189" i="6"/>
  <c r="CH216" i="5" l="1"/>
  <c r="CK216" i="5"/>
  <c r="CJ216" i="5" s="1"/>
  <c r="DA216" i="5"/>
  <c r="DB216" i="5" s="1"/>
  <c r="K216" i="5" s="1"/>
  <c r="I215" i="5"/>
  <c r="AE216" i="5"/>
  <c r="T216" i="5"/>
  <c r="U216" i="5" s="1"/>
  <c r="W216" i="5"/>
  <c r="H189" i="6"/>
  <c r="Z214" i="5"/>
  <c r="CV216" i="5"/>
  <c r="CT216" i="5"/>
  <c r="CP216" i="5"/>
  <c r="CQ216" i="5" s="1"/>
  <c r="R216" i="5" s="1"/>
  <c r="S216" i="5" s="1"/>
  <c r="BN216" i="5"/>
  <c r="BO216" i="5" s="1"/>
  <c r="BP216" i="5" s="1"/>
  <c r="G216" i="5" s="1"/>
  <c r="CN216" i="5" l="1"/>
  <c r="E216" i="5" s="1"/>
  <c r="CO216" i="5"/>
  <c r="F216" i="5" s="1"/>
  <c r="AA214" i="5"/>
  <c r="I189" i="6" s="1"/>
  <c r="M215" i="5"/>
  <c r="P215" i="5"/>
  <c r="AY215" i="5" s="1"/>
  <c r="AH215" i="5"/>
  <c r="AT215" i="5"/>
  <c r="AP215" i="5"/>
  <c r="BW216" i="5" l="1"/>
  <c r="BY216" i="5"/>
  <c r="J216" i="5" s="1"/>
  <c r="E191" i="6"/>
  <c r="C217" i="5"/>
  <c r="BU217" i="5" s="1"/>
  <c r="F190" i="6"/>
  <c r="Q215" i="5"/>
  <c r="V215" i="5" s="1"/>
  <c r="G190" i="6" s="1"/>
  <c r="D191" i="6"/>
  <c r="BC216" i="5"/>
  <c r="AG215" i="5"/>
  <c r="N215" i="5"/>
  <c r="AS215" i="5"/>
  <c r="AV215" i="5" s="1"/>
  <c r="AO215" i="5"/>
  <c r="AF216" i="5" l="1"/>
  <c r="AN216" i="5"/>
  <c r="BV217" i="5"/>
  <c r="BT217" i="5"/>
  <c r="BS217" i="5"/>
  <c r="CI217" i="5"/>
  <c r="BH217" i="5"/>
  <c r="BI217" i="5" s="1"/>
  <c r="BJ217" i="5" s="1"/>
  <c r="AJ215" i="5"/>
  <c r="CZ216" i="5"/>
  <c r="BF216" i="5"/>
  <c r="BD216" i="5"/>
  <c r="BE217" i="5" s="1"/>
  <c r="AR215" i="5"/>
  <c r="AC217" i="5"/>
  <c r="AD217" i="5" s="1"/>
  <c r="CL217" i="5"/>
  <c r="CM217" i="5" s="1"/>
  <c r="BK217" i="5"/>
  <c r="BL217" i="5" s="1"/>
  <c r="BM217" i="5" s="1"/>
  <c r="AB217" i="5"/>
  <c r="DA217" i="5" s="1"/>
  <c r="DB217" i="5" s="1"/>
  <c r="C192" i="6"/>
  <c r="D217" i="5"/>
  <c r="CR217" i="5"/>
  <c r="CX217" i="5"/>
  <c r="CW217" i="5"/>
  <c r="CY217" i="5"/>
  <c r="AK217" i="5"/>
  <c r="AM217" i="5" s="1"/>
  <c r="AL218" i="5" s="1"/>
  <c r="CS217" i="5"/>
  <c r="BG216" i="5"/>
  <c r="H216" i="5" s="1"/>
  <c r="AX217" i="5"/>
  <c r="AW217" i="5" s="1"/>
  <c r="CU217" i="5"/>
  <c r="BX217" i="5" s="1"/>
  <c r="CH217" i="5" l="1"/>
  <c r="CK217" i="5"/>
  <c r="CJ217" i="5" s="1"/>
  <c r="K217" i="5" s="1"/>
  <c r="X215" i="5"/>
  <c r="Y215" i="5" s="1"/>
  <c r="CP217" i="5"/>
  <c r="CQ217" i="5" s="1"/>
  <c r="R217" i="5" s="1"/>
  <c r="S217" i="5" s="1"/>
  <c r="L217" i="5"/>
  <c r="BN217" i="5"/>
  <c r="BO217" i="5" s="1"/>
  <c r="BP217" i="5" s="1"/>
  <c r="G217" i="5" s="1"/>
  <c r="I216" i="5"/>
  <c r="AP216" i="5" s="1"/>
  <c r="AE217" i="5"/>
  <c r="W217" i="5"/>
  <c r="T217" i="5"/>
  <c r="U217" i="5" s="1"/>
  <c r="CT217" i="5"/>
  <c r="CV217" i="5"/>
  <c r="H190" i="6" l="1"/>
  <c r="Z215" i="5"/>
  <c r="AA215" i="5" s="1"/>
  <c r="I190" i="6" s="1"/>
  <c r="AT216" i="5"/>
  <c r="AH216" i="5"/>
  <c r="CO217" i="5"/>
  <c r="F217" i="5" s="1"/>
  <c r="CN217" i="5"/>
  <c r="E217" i="5" s="1"/>
  <c r="P216" i="5"/>
  <c r="AY216" i="5" s="1"/>
  <c r="M216" i="5"/>
  <c r="AS216" i="5" l="1"/>
  <c r="AV216" i="5" s="1"/>
  <c r="AO216" i="5"/>
  <c r="N216" i="5"/>
  <c r="AG216" i="5"/>
  <c r="AJ216" i="5" s="1"/>
  <c r="D192" i="6"/>
  <c r="BC217" i="5"/>
  <c r="C218" i="5"/>
  <c r="BU218" i="5" s="1"/>
  <c r="E192" i="6"/>
  <c r="F191" i="6"/>
  <c r="Q216" i="5"/>
  <c r="V216" i="5" s="1"/>
  <c r="BW217" i="5" l="1"/>
  <c r="BY217" i="5"/>
  <c r="J217" i="5" s="1"/>
  <c r="BV218" i="5"/>
  <c r="BT218" i="5"/>
  <c r="BS218" i="5"/>
  <c r="CI218" i="5"/>
  <c r="BH218" i="5"/>
  <c r="BI218" i="5" s="1"/>
  <c r="BJ218" i="5" s="1"/>
  <c r="AR216" i="5"/>
  <c r="G191" i="6"/>
  <c r="CW218" i="5"/>
  <c r="AB218" i="5"/>
  <c r="DA218" i="5" s="1"/>
  <c r="DB218" i="5" s="1"/>
  <c r="CL218" i="5"/>
  <c r="CM218" i="5" s="1"/>
  <c r="CS218" i="5"/>
  <c r="CX218" i="5"/>
  <c r="AK218" i="5"/>
  <c r="AC218" i="5"/>
  <c r="C193" i="6"/>
  <c r="CY218" i="5"/>
  <c r="D218" i="5"/>
  <c r="CR218" i="5"/>
  <c r="BK218" i="5"/>
  <c r="BL218" i="5" s="1"/>
  <c r="BM218" i="5" s="1"/>
  <c r="BG217" i="5"/>
  <c r="H217" i="5" s="1"/>
  <c r="AX218" i="5"/>
  <c r="AW218" i="5" s="1"/>
  <c r="CU218" i="5"/>
  <c r="BD217" i="5"/>
  <c r="BE218" i="5" s="1"/>
  <c r="BF217" i="5"/>
  <c r="CZ217" i="5"/>
  <c r="AN217" i="5" l="1"/>
  <c r="AF217" i="5"/>
  <c r="BX218" i="5"/>
  <c r="AD218" i="5"/>
  <c r="AE218" i="5" s="1"/>
  <c r="CK218" i="5"/>
  <c r="CJ218" i="5" s="1"/>
  <c r="K218" i="5" s="1"/>
  <c r="CH218" i="5"/>
  <c r="X216" i="5"/>
  <c r="Y216" i="5" s="1"/>
  <c r="CP218" i="5"/>
  <c r="CQ218" i="5" s="1"/>
  <c r="R218" i="5" s="1"/>
  <c r="S218" i="5" s="1"/>
  <c r="AM218" i="5"/>
  <c r="AL219" i="5" s="1"/>
  <c r="W218" i="5"/>
  <c r="T218" i="5"/>
  <c r="U218" i="5" s="1"/>
  <c r="BN218" i="5"/>
  <c r="BO218" i="5" s="1"/>
  <c r="BP218" i="5" s="1"/>
  <c r="G218" i="5" s="1"/>
  <c r="I217" i="5"/>
  <c r="CT218" i="5"/>
  <c r="CV218" i="5"/>
  <c r="L218" i="5"/>
  <c r="H191" i="6" l="1"/>
  <c r="Z216" i="5"/>
  <c r="AA216" i="5" s="1"/>
  <c r="I191" i="6" s="1"/>
  <c r="AH217" i="5"/>
  <c r="AT217" i="5"/>
  <c r="AP217" i="5"/>
  <c r="P217" i="5"/>
  <c r="AY217" i="5" s="1"/>
  <c r="M217" i="5"/>
  <c r="CN218" i="5"/>
  <c r="E218" i="5" s="1"/>
  <c r="CO218" i="5"/>
  <c r="F218" i="5" s="1"/>
  <c r="AS217" i="5" l="1"/>
  <c r="AV217" i="5" s="1"/>
  <c r="AO217" i="5"/>
  <c r="N217" i="5"/>
  <c r="AG217" i="5"/>
  <c r="Q217" i="5"/>
  <c r="V217" i="5" s="1"/>
  <c r="G192" i="6" s="1"/>
  <c r="F192" i="6"/>
  <c r="C219" i="5"/>
  <c r="BU219" i="5" s="1"/>
  <c r="E193" i="6"/>
  <c r="D193" i="6"/>
  <c r="BC218" i="5"/>
  <c r="BY218" i="5" l="1"/>
  <c r="J218" i="5" s="1"/>
  <c r="BW218" i="5"/>
  <c r="BT219" i="5"/>
  <c r="BV219" i="5"/>
  <c r="BS219" i="5"/>
  <c r="CI219" i="5"/>
  <c r="BH219" i="5"/>
  <c r="BI219" i="5" s="1"/>
  <c r="BJ219" i="5" s="1"/>
  <c r="AR217" i="5"/>
  <c r="BD218" i="5"/>
  <c r="BE219" i="5" s="1"/>
  <c r="BF218" i="5"/>
  <c r="CZ218" i="5"/>
  <c r="CY219" i="5"/>
  <c r="CS219" i="5"/>
  <c r="CR219" i="5"/>
  <c r="AB219" i="5"/>
  <c r="BN219" i="5" s="1"/>
  <c r="BO219" i="5" s="1"/>
  <c r="BP219" i="5" s="1"/>
  <c r="CX219" i="5"/>
  <c r="C194" i="6"/>
  <c r="CW219" i="5"/>
  <c r="AC219" i="5"/>
  <c r="D219" i="5"/>
  <c r="AK219" i="5"/>
  <c r="CL219" i="5"/>
  <c r="CM219" i="5" s="1"/>
  <c r="BK219" i="5"/>
  <c r="BL219" i="5" s="1"/>
  <c r="BM219" i="5" s="1"/>
  <c r="BG218" i="5"/>
  <c r="H218" i="5" s="1"/>
  <c r="AX219" i="5"/>
  <c r="AW219" i="5" s="1"/>
  <c r="CU219" i="5"/>
  <c r="AJ217" i="5"/>
  <c r="AD219" i="5" l="1"/>
  <c r="AE219" i="5" s="1"/>
  <c r="AN218" i="5"/>
  <c r="AF218" i="5"/>
  <c r="BX219" i="5"/>
  <c r="G219" i="5"/>
  <c r="CH219" i="5"/>
  <c r="CK219" i="5"/>
  <c r="CJ219" i="5" s="1"/>
  <c r="X217" i="5"/>
  <c r="Y217" i="5" s="1"/>
  <c r="AM219" i="5"/>
  <c r="AL220" i="5" s="1"/>
  <c r="T219" i="5"/>
  <c r="U219" i="5" s="1"/>
  <c r="W219" i="5"/>
  <c r="CV219" i="5"/>
  <c r="CT219" i="5"/>
  <c r="L219" i="5"/>
  <c r="I218" i="5"/>
  <c r="DA219" i="5"/>
  <c r="DB219" i="5" s="1"/>
  <c r="CP219" i="5"/>
  <c r="CQ219" i="5" s="1"/>
  <c r="R219" i="5" s="1"/>
  <c r="S219" i="5" s="1"/>
  <c r="K219" i="5" l="1"/>
  <c r="AP218" i="5"/>
  <c r="H192" i="6"/>
  <c r="Z217" i="5"/>
  <c r="AA217" i="5" s="1"/>
  <c r="I192" i="6" s="1"/>
  <c r="AT218" i="5"/>
  <c r="AH218" i="5"/>
  <c r="P218" i="5"/>
  <c r="AY218" i="5" s="1"/>
  <c r="M218" i="5"/>
  <c r="CO219" i="5"/>
  <c r="F219" i="5" s="1"/>
  <c r="CN219" i="5"/>
  <c r="E219" i="5" s="1"/>
  <c r="BW219" i="5" l="1"/>
  <c r="BY219" i="5"/>
  <c r="J219" i="5" s="1"/>
  <c r="AS218" i="5"/>
  <c r="AV218" i="5" s="1"/>
  <c r="AO218" i="5"/>
  <c r="AR218" i="5" s="1"/>
  <c r="N218" i="5"/>
  <c r="AG218" i="5"/>
  <c r="E194" i="6"/>
  <c r="C220" i="5"/>
  <c r="BU220" i="5" s="1"/>
  <c r="BC219" i="5"/>
  <c r="D194" i="6"/>
  <c r="Q218" i="5"/>
  <c r="V218" i="5" s="1"/>
  <c r="F193" i="6"/>
  <c r="AN219" i="5" l="1"/>
  <c r="AF219" i="5"/>
  <c r="BT220" i="5"/>
  <c r="BV220" i="5"/>
  <c r="BS220" i="5"/>
  <c r="CI220" i="5"/>
  <c r="BH220" i="5"/>
  <c r="BI220" i="5" s="1"/>
  <c r="BJ220" i="5" s="1"/>
  <c r="AJ218" i="5"/>
  <c r="X218" i="5" s="1"/>
  <c r="Y218" i="5" s="1"/>
  <c r="BF219" i="5"/>
  <c r="BD219" i="5"/>
  <c r="BE220" i="5" s="1"/>
  <c r="CZ219" i="5"/>
  <c r="CR220" i="5"/>
  <c r="AK220" i="5"/>
  <c r="AC220" i="5"/>
  <c r="AD220" i="5" s="1"/>
  <c r="CY220" i="5"/>
  <c r="CL220" i="5"/>
  <c r="CM220" i="5" s="1"/>
  <c r="CS220" i="5"/>
  <c r="CW220" i="5"/>
  <c r="BK220" i="5"/>
  <c r="BL220" i="5" s="1"/>
  <c r="BM220" i="5" s="1"/>
  <c r="D220" i="5"/>
  <c r="CX220" i="5"/>
  <c r="AB220" i="5"/>
  <c r="BN220" i="5" s="1"/>
  <c r="BO220" i="5" s="1"/>
  <c r="BP220" i="5" s="1"/>
  <c r="C195" i="6"/>
  <c r="BG219" i="5"/>
  <c r="H219" i="5" s="1"/>
  <c r="AX220" i="5"/>
  <c r="AW220" i="5" s="1"/>
  <c r="CU220" i="5"/>
  <c r="BX220" i="5" s="1"/>
  <c r="G193" i="6"/>
  <c r="G220" i="5" l="1"/>
  <c r="CH220" i="5"/>
  <c r="CK220" i="5"/>
  <c r="CJ220" i="5" s="1"/>
  <c r="DA220" i="5"/>
  <c r="DB220" i="5" s="1"/>
  <c r="K220" i="5" s="1"/>
  <c r="CP220" i="5"/>
  <c r="CQ220" i="5" s="1"/>
  <c r="R220" i="5" s="1"/>
  <c r="S220" i="5" s="1"/>
  <c r="AE220" i="5"/>
  <c r="H193" i="6"/>
  <c r="Z218" i="5"/>
  <c r="T220" i="5"/>
  <c r="U220" i="5" s="1"/>
  <c r="W220" i="5"/>
  <c r="AM220" i="5"/>
  <c r="AL221" i="5" s="1"/>
  <c r="CT220" i="5"/>
  <c r="CV220" i="5"/>
  <c r="L220" i="5"/>
  <c r="I219" i="5"/>
  <c r="AH219" i="5" l="1"/>
  <c r="AT219" i="5"/>
  <c r="AP219" i="5"/>
  <c r="M219" i="5"/>
  <c r="P219" i="5"/>
  <c r="AY219" i="5" s="1"/>
  <c r="AA218" i="5"/>
  <c r="I193" i="6" s="1"/>
  <c r="CN220" i="5"/>
  <c r="E220" i="5" s="1"/>
  <c r="CO220" i="5"/>
  <c r="F220" i="5" s="1"/>
  <c r="BW220" i="5" l="1"/>
  <c r="BY220" i="5"/>
  <c r="J220" i="5" s="1"/>
  <c r="AG219" i="5"/>
  <c r="AO219" i="5"/>
  <c r="D195" i="6"/>
  <c r="BC220" i="5"/>
  <c r="Q219" i="5"/>
  <c r="V219" i="5" s="1"/>
  <c r="G194" i="6" s="1"/>
  <c r="F194" i="6"/>
  <c r="AS219" i="5"/>
  <c r="AV219" i="5" s="1"/>
  <c r="N219" i="5"/>
  <c r="E195" i="6"/>
  <c r="C221" i="5"/>
  <c r="BU221" i="5" s="1"/>
  <c r="AN220" i="5" l="1"/>
  <c r="AF220" i="5"/>
  <c r="BT221" i="5"/>
  <c r="BV221" i="5"/>
  <c r="BS221" i="5"/>
  <c r="CI221" i="5"/>
  <c r="BH221" i="5"/>
  <c r="BI221" i="5" s="1"/>
  <c r="BJ221" i="5" s="1"/>
  <c r="AR219" i="5"/>
  <c r="AJ219" i="5"/>
  <c r="AB221" i="5"/>
  <c r="CP221" i="5" s="1"/>
  <c r="CQ221" i="5" s="1"/>
  <c r="R221" i="5" s="1"/>
  <c r="S221" i="5" s="1"/>
  <c r="CX221" i="5"/>
  <c r="CW221" i="5"/>
  <c r="AC221" i="5"/>
  <c r="AD221" i="5" s="1"/>
  <c r="AK221" i="5"/>
  <c r="D221" i="5"/>
  <c r="CL221" i="5"/>
  <c r="CM221" i="5" s="1"/>
  <c r="CR221" i="5"/>
  <c r="CS221" i="5"/>
  <c r="CY221" i="5"/>
  <c r="BK221" i="5"/>
  <c r="BL221" i="5" s="1"/>
  <c r="BM221" i="5" s="1"/>
  <c r="C196" i="6"/>
  <c r="BG220" i="5"/>
  <c r="H220" i="5" s="1"/>
  <c r="AX221" i="5"/>
  <c r="AW221" i="5" s="1"/>
  <c r="CU221" i="5"/>
  <c r="BX221" i="5" s="1"/>
  <c r="CZ220" i="5"/>
  <c r="BF220" i="5"/>
  <c r="BD220" i="5"/>
  <c r="BE221" i="5" s="1"/>
  <c r="CH221" i="5" l="1"/>
  <c r="CK221" i="5"/>
  <c r="CJ221" i="5" s="1"/>
  <c r="X219" i="5"/>
  <c r="Y219" i="5" s="1"/>
  <c r="DA221" i="5"/>
  <c r="DB221" i="5" s="1"/>
  <c r="K221" i="5" s="1"/>
  <c r="I220" i="5"/>
  <c r="AP220" i="5" s="1"/>
  <c r="AE221" i="5"/>
  <c r="BN221" i="5"/>
  <c r="BO221" i="5" s="1"/>
  <c r="BP221" i="5" s="1"/>
  <c r="G221" i="5" s="1"/>
  <c r="AM221" i="5"/>
  <c r="AL222" i="5" s="1"/>
  <c r="W221" i="5"/>
  <c r="T221" i="5"/>
  <c r="U221" i="5" s="1"/>
  <c r="CT221" i="5"/>
  <c r="CV221" i="5"/>
  <c r="L221" i="5"/>
  <c r="Z219" i="5" l="1"/>
  <c r="AA219" i="5" s="1"/>
  <c r="I194" i="6" s="1"/>
  <c r="H194" i="6"/>
  <c r="AT220" i="5"/>
  <c r="AH220" i="5"/>
  <c r="CO221" i="5"/>
  <c r="F221" i="5" s="1"/>
  <c r="CN221" i="5"/>
  <c r="E221" i="5" s="1"/>
  <c r="P220" i="5"/>
  <c r="AY220" i="5" s="1"/>
  <c r="M220" i="5"/>
  <c r="BW221" i="5" l="1"/>
  <c r="BY221" i="5"/>
  <c r="J221" i="5" s="1"/>
  <c r="AG220" i="5"/>
  <c r="AJ220" i="5" s="1"/>
  <c r="AO220" i="5"/>
  <c r="AR220" i="5" s="1"/>
  <c r="N220" i="5"/>
  <c r="AS220" i="5"/>
  <c r="AV220" i="5" s="1"/>
  <c r="E196" i="6"/>
  <c r="C222" i="5"/>
  <c r="BU222" i="5" s="1"/>
  <c r="D196" i="6"/>
  <c r="BC221" i="5"/>
  <c r="Q220" i="5"/>
  <c r="V220" i="5" s="1"/>
  <c r="F195" i="6"/>
  <c r="AF221" i="5" l="1"/>
  <c r="AN221" i="5"/>
  <c r="BV222" i="5"/>
  <c r="BT222" i="5"/>
  <c r="BS222" i="5"/>
  <c r="CI222" i="5"/>
  <c r="BH222" i="5"/>
  <c r="BI222" i="5" s="1"/>
  <c r="BJ222" i="5" s="1"/>
  <c r="X220" i="5"/>
  <c r="Y220" i="5" s="1"/>
  <c r="G195" i="6"/>
  <c r="BF221" i="5"/>
  <c r="CZ221" i="5"/>
  <c r="BD221" i="5"/>
  <c r="BE222" i="5" s="1"/>
  <c r="CR222" i="5"/>
  <c r="BK222" i="5"/>
  <c r="BL222" i="5" s="1"/>
  <c r="BM222" i="5" s="1"/>
  <c r="D222" i="5"/>
  <c r="CW222" i="5"/>
  <c r="CS222" i="5"/>
  <c r="AK222" i="5"/>
  <c r="CY222" i="5"/>
  <c r="AB222" i="5"/>
  <c r="CP222" i="5" s="1"/>
  <c r="CQ222" i="5" s="1"/>
  <c r="R222" i="5" s="1"/>
  <c r="S222" i="5" s="1"/>
  <c r="CL222" i="5"/>
  <c r="CM222" i="5" s="1"/>
  <c r="CX222" i="5"/>
  <c r="AC222" i="5"/>
  <c r="C197" i="6"/>
  <c r="BG221" i="5"/>
  <c r="H221" i="5" s="1"/>
  <c r="AX222" i="5"/>
  <c r="AW222" i="5" s="1"/>
  <c r="CU222" i="5"/>
  <c r="BX222" i="5" s="1"/>
  <c r="AD222" i="5" l="1"/>
  <c r="AE222" i="5" s="1"/>
  <c r="CH222" i="5"/>
  <c r="CK222" i="5"/>
  <c r="CJ222" i="5" s="1"/>
  <c r="W222" i="5"/>
  <c r="T222" i="5"/>
  <c r="U222" i="5" s="1"/>
  <c r="L222" i="5"/>
  <c r="DA222" i="5"/>
  <c r="DB222" i="5" s="1"/>
  <c r="K222" i="5" s="1"/>
  <c r="CT222" i="5"/>
  <c r="CV222" i="5"/>
  <c r="AM222" i="5"/>
  <c r="AL223" i="5" s="1"/>
  <c r="I221" i="5"/>
  <c r="AH221" i="5" s="1"/>
  <c r="H195" i="6"/>
  <c r="Z220" i="5"/>
  <c r="BN222" i="5"/>
  <c r="BO222" i="5" s="1"/>
  <c r="BP222" i="5" s="1"/>
  <c r="G222" i="5" s="1"/>
  <c r="AA220" i="5" l="1"/>
  <c r="I195" i="6" s="1"/>
  <c r="AP221" i="5"/>
  <c r="AT221" i="5"/>
  <c r="P221" i="5"/>
  <c r="AY221" i="5" s="1"/>
  <c r="M221" i="5"/>
  <c r="CN222" i="5"/>
  <c r="E222" i="5" s="1"/>
  <c r="CO222" i="5"/>
  <c r="F222" i="5" s="1"/>
  <c r="AO221" i="5" l="1"/>
  <c r="AR221" i="5" s="1"/>
  <c r="AG221" i="5"/>
  <c r="N221" i="5"/>
  <c r="AS221" i="5"/>
  <c r="AV221" i="5" s="1"/>
  <c r="F196" i="6"/>
  <c r="Q221" i="5"/>
  <c r="V221" i="5" s="1"/>
  <c r="D197" i="6"/>
  <c r="BC222" i="5"/>
  <c r="C223" i="5"/>
  <c r="BU223" i="5" s="1"/>
  <c r="E197" i="6"/>
  <c r="BW222" i="5" l="1"/>
  <c r="BY222" i="5"/>
  <c r="J222" i="5" s="1"/>
  <c r="BV223" i="5"/>
  <c r="BT223" i="5"/>
  <c r="BS223" i="5"/>
  <c r="CI223" i="5"/>
  <c r="BH223" i="5"/>
  <c r="BI223" i="5" s="1"/>
  <c r="BJ223" i="5" s="1"/>
  <c r="AJ221" i="5"/>
  <c r="G196" i="6"/>
  <c r="CY223" i="5"/>
  <c r="AC223" i="5"/>
  <c r="D223" i="5"/>
  <c r="CX223" i="5"/>
  <c r="AK223" i="5"/>
  <c r="CL223" i="5"/>
  <c r="CM223" i="5" s="1"/>
  <c r="BK223" i="5"/>
  <c r="BL223" i="5" s="1"/>
  <c r="BM223" i="5" s="1"/>
  <c r="CW223" i="5"/>
  <c r="CS223" i="5"/>
  <c r="CR223" i="5"/>
  <c r="AB223" i="5"/>
  <c r="DA223" i="5" s="1"/>
  <c r="DB223" i="5" s="1"/>
  <c r="C198" i="6"/>
  <c r="BG222" i="5"/>
  <c r="H222" i="5" s="1"/>
  <c r="AX223" i="5"/>
  <c r="AW223" i="5" s="1"/>
  <c r="CU223" i="5"/>
  <c r="BD222" i="5"/>
  <c r="BE223" i="5" s="1"/>
  <c r="CZ222" i="5"/>
  <c r="BF222" i="5"/>
  <c r="AD223" i="5" l="1"/>
  <c r="AE223" i="5" s="1"/>
  <c r="AF222" i="5"/>
  <c r="AN222" i="5"/>
  <c r="BX223" i="5"/>
  <c r="CK223" i="5"/>
  <c r="CJ223" i="5" s="1"/>
  <c r="K223" i="5" s="1"/>
  <c r="CH223" i="5"/>
  <c r="X221" i="5"/>
  <c r="Y221" i="5" s="1"/>
  <c r="CP223" i="5"/>
  <c r="CQ223" i="5" s="1"/>
  <c r="R223" i="5" s="1"/>
  <c r="S223" i="5" s="1"/>
  <c r="BN223" i="5"/>
  <c r="BO223" i="5" s="1"/>
  <c r="BP223" i="5" s="1"/>
  <c r="G223" i="5" s="1"/>
  <c r="L223" i="5"/>
  <c r="T223" i="5"/>
  <c r="U223" i="5" s="1"/>
  <c r="W223" i="5"/>
  <c r="I222" i="5"/>
  <c r="CT223" i="5"/>
  <c r="CV223" i="5"/>
  <c r="AM223" i="5"/>
  <c r="AL224" i="5" s="1"/>
  <c r="AH222" i="5" l="1"/>
  <c r="H196" i="6"/>
  <c r="Z221" i="5"/>
  <c r="AA221" i="5" s="1"/>
  <c r="I196" i="6" s="1"/>
  <c r="CO223" i="5"/>
  <c r="F223" i="5" s="1"/>
  <c r="CN223" i="5"/>
  <c r="E223" i="5" s="1"/>
  <c r="AT222" i="5"/>
  <c r="AP222" i="5"/>
  <c r="P222" i="5"/>
  <c r="AY222" i="5" s="1"/>
  <c r="M222" i="5"/>
  <c r="AG222" i="5" s="1"/>
  <c r="AJ222" i="5" s="1"/>
  <c r="BY223" i="5" l="1"/>
  <c r="J223" i="5" s="1"/>
  <c r="AF223" i="5" s="1"/>
  <c r="BW223" i="5"/>
  <c r="BC223" i="5"/>
  <c r="D198" i="6"/>
  <c r="E198" i="6"/>
  <c r="C224" i="5"/>
  <c r="BU224" i="5" s="1"/>
  <c r="N222" i="5"/>
  <c r="AS222" i="5"/>
  <c r="AV222" i="5" s="1"/>
  <c r="AO222" i="5"/>
  <c r="Q222" i="5"/>
  <c r="V222" i="5" s="1"/>
  <c r="G197" i="6" s="1"/>
  <c r="F197" i="6"/>
  <c r="AN223" i="5" l="1"/>
  <c r="BT224" i="5"/>
  <c r="BV224" i="5"/>
  <c r="BS224" i="5"/>
  <c r="CI224" i="5"/>
  <c r="BH224" i="5"/>
  <c r="BI224" i="5" s="1"/>
  <c r="BJ224" i="5" s="1"/>
  <c r="AR222" i="5"/>
  <c r="AB224" i="5"/>
  <c r="CP224" i="5" s="1"/>
  <c r="CQ224" i="5" s="1"/>
  <c r="R224" i="5" s="1"/>
  <c r="S224" i="5" s="1"/>
  <c r="CW224" i="5"/>
  <c r="CS224" i="5"/>
  <c r="CY224" i="5"/>
  <c r="BK224" i="5"/>
  <c r="BL224" i="5" s="1"/>
  <c r="BM224" i="5" s="1"/>
  <c r="C199" i="6"/>
  <c r="CL224" i="5"/>
  <c r="CM224" i="5" s="1"/>
  <c r="CX224" i="5"/>
  <c r="CR224" i="5"/>
  <c r="AC224" i="5"/>
  <c r="AD224" i="5" s="1"/>
  <c r="D224" i="5"/>
  <c r="AK224" i="5"/>
  <c r="AM224" i="5" s="1"/>
  <c r="AL225" i="5" s="1"/>
  <c r="BG223" i="5"/>
  <c r="H223" i="5" s="1"/>
  <c r="AX224" i="5"/>
  <c r="AW224" i="5" s="1"/>
  <c r="CU224" i="5"/>
  <c r="BX224" i="5" s="1"/>
  <c r="BF223" i="5"/>
  <c r="BD223" i="5"/>
  <c r="BE224" i="5" s="1"/>
  <c r="CZ223" i="5"/>
  <c r="CH224" i="5" l="1"/>
  <c r="CK224" i="5"/>
  <c r="CJ224" i="5" s="1"/>
  <c r="X222" i="5"/>
  <c r="Y222" i="5" s="1"/>
  <c r="BN224" i="5"/>
  <c r="BO224" i="5" s="1"/>
  <c r="BP224" i="5" s="1"/>
  <c r="G224" i="5" s="1"/>
  <c r="DA224" i="5"/>
  <c r="DB224" i="5" s="1"/>
  <c r="K224" i="5" s="1"/>
  <c r="I223" i="5"/>
  <c r="AP223" i="5" s="1"/>
  <c r="W224" i="5"/>
  <c r="T224" i="5"/>
  <c r="U224" i="5" s="1"/>
  <c r="AE224" i="5"/>
  <c r="CT224" i="5"/>
  <c r="CV224" i="5"/>
  <c r="L224" i="5"/>
  <c r="H197" i="6" l="1"/>
  <c r="Z222" i="5"/>
  <c r="AA222" i="5" s="1"/>
  <c r="I197" i="6" s="1"/>
  <c r="AT223" i="5"/>
  <c r="AH223" i="5"/>
  <c r="CN224" i="5"/>
  <c r="E224" i="5" s="1"/>
  <c r="CO224" i="5"/>
  <c r="F224" i="5" s="1"/>
  <c r="M223" i="5"/>
  <c r="P223" i="5"/>
  <c r="AY223" i="5" s="1"/>
  <c r="BW224" i="5" l="1"/>
  <c r="AS223" i="5"/>
  <c r="AV223" i="5" s="1"/>
  <c r="AO223" i="5"/>
  <c r="AR223" i="5" s="1"/>
  <c r="N223" i="5"/>
  <c r="AG223" i="5"/>
  <c r="AJ223" i="5" s="1"/>
  <c r="F198" i="6"/>
  <c r="Q223" i="5"/>
  <c r="V223" i="5" s="1"/>
  <c r="E199" i="6"/>
  <c r="C225" i="5"/>
  <c r="BU225" i="5" s="1"/>
  <c r="D199" i="6"/>
  <c r="BC224" i="5"/>
  <c r="BY224" i="5" l="1"/>
  <c r="J224" i="5" s="1"/>
  <c r="BV225" i="5"/>
  <c r="BT225" i="5"/>
  <c r="BS225" i="5"/>
  <c r="CI225" i="5"/>
  <c r="BH225" i="5"/>
  <c r="BI225" i="5" s="1"/>
  <c r="BJ225" i="5" s="1"/>
  <c r="X223" i="5"/>
  <c r="Y223" i="5" s="1"/>
  <c r="BF224" i="5"/>
  <c r="CZ224" i="5"/>
  <c r="BD224" i="5"/>
  <c r="BE225" i="5" s="1"/>
  <c r="BK225" i="5"/>
  <c r="BL225" i="5" s="1"/>
  <c r="BM225" i="5" s="1"/>
  <c r="D225" i="5"/>
  <c r="CL225" i="5"/>
  <c r="CM225" i="5" s="1"/>
  <c r="CX225" i="5"/>
  <c r="CY225" i="5"/>
  <c r="AC225" i="5"/>
  <c r="AD225" i="5" s="1"/>
  <c r="AK225" i="5"/>
  <c r="AM225" i="5" s="1"/>
  <c r="AL226" i="5" s="1"/>
  <c r="C200" i="6"/>
  <c r="CS225" i="5"/>
  <c r="CW225" i="5"/>
  <c r="CR225" i="5"/>
  <c r="AB225" i="5"/>
  <c r="BN225" i="5" s="1"/>
  <c r="BO225" i="5" s="1"/>
  <c r="BP225" i="5" s="1"/>
  <c r="BG224" i="5"/>
  <c r="H224" i="5" s="1"/>
  <c r="AX225" i="5"/>
  <c r="AW225" i="5" s="1"/>
  <c r="CU225" i="5"/>
  <c r="BX225" i="5" s="1"/>
  <c r="G198" i="6"/>
  <c r="AN224" i="5" l="1"/>
  <c r="AF224" i="5"/>
  <c r="G225" i="5"/>
  <c r="CH225" i="5"/>
  <c r="CK225" i="5"/>
  <c r="CJ225" i="5" s="1"/>
  <c r="T225" i="5"/>
  <c r="U225" i="5" s="1"/>
  <c r="W225" i="5"/>
  <c r="I224" i="5"/>
  <c r="CT225" i="5"/>
  <c r="CV225" i="5"/>
  <c r="L225" i="5"/>
  <c r="AE225" i="5"/>
  <c r="H198" i="6"/>
  <c r="Z223" i="5"/>
  <c r="DA225" i="5"/>
  <c r="DB225" i="5" s="1"/>
  <c r="K225" i="5" s="1"/>
  <c r="CP225" i="5"/>
  <c r="CQ225" i="5" s="1"/>
  <c r="R225" i="5" s="1"/>
  <c r="S225" i="5" s="1"/>
  <c r="AH224" i="5" l="1"/>
  <c r="AT224" i="5"/>
  <c r="AP224" i="5"/>
  <c r="M224" i="5"/>
  <c r="P224" i="5"/>
  <c r="AY224" i="5" s="1"/>
  <c r="AA223" i="5"/>
  <c r="I198" i="6" s="1"/>
  <c r="CN225" i="5"/>
  <c r="E225" i="5" s="1"/>
  <c r="CO225" i="5"/>
  <c r="F225" i="5" s="1"/>
  <c r="BW225" i="5" l="1"/>
  <c r="AS224" i="5"/>
  <c r="AV224" i="5" s="1"/>
  <c r="AO224" i="5"/>
  <c r="AR224" i="5" s="1"/>
  <c r="D200" i="6"/>
  <c r="BC225" i="5"/>
  <c r="Q224" i="5"/>
  <c r="V224" i="5" s="1"/>
  <c r="G199" i="6" s="1"/>
  <c r="F199" i="6"/>
  <c r="C226" i="5"/>
  <c r="BU226" i="5" s="1"/>
  <c r="E200" i="6"/>
  <c r="N224" i="5"/>
  <c r="AG224" i="5"/>
  <c r="BY225" i="5" l="1"/>
  <c r="J225" i="5" s="1"/>
  <c r="BV226" i="5"/>
  <c r="BT226" i="5"/>
  <c r="BS226" i="5"/>
  <c r="CI226" i="5"/>
  <c r="BH226" i="5"/>
  <c r="BI226" i="5" s="1"/>
  <c r="BJ226" i="5" s="1"/>
  <c r="AJ224" i="5"/>
  <c r="AK226" i="5"/>
  <c r="CW226" i="5"/>
  <c r="CS226" i="5"/>
  <c r="C201" i="6"/>
  <c r="CY226" i="5"/>
  <c r="CX226" i="5"/>
  <c r="AC226" i="5"/>
  <c r="AB226" i="5"/>
  <c r="BN226" i="5" s="1"/>
  <c r="BO226" i="5" s="1"/>
  <c r="BP226" i="5" s="1"/>
  <c r="D226" i="5"/>
  <c r="CL226" i="5"/>
  <c r="CM226" i="5" s="1"/>
  <c r="BK226" i="5"/>
  <c r="BL226" i="5" s="1"/>
  <c r="BM226" i="5" s="1"/>
  <c r="CR226" i="5"/>
  <c r="BG225" i="5"/>
  <c r="H225" i="5" s="1"/>
  <c r="AX226" i="5"/>
  <c r="AW226" i="5" s="1"/>
  <c r="CU226" i="5"/>
  <c r="BX226" i="5" s="1"/>
  <c r="CZ225" i="5"/>
  <c r="BF225" i="5"/>
  <c r="BD225" i="5"/>
  <c r="BE226" i="5" s="1"/>
  <c r="AN225" i="5" l="1"/>
  <c r="AF225" i="5"/>
  <c r="G226" i="5"/>
  <c r="AD226" i="5"/>
  <c r="AE226" i="5" s="1"/>
  <c r="CK226" i="5"/>
  <c r="CJ226" i="5" s="1"/>
  <c r="CH226" i="5"/>
  <c r="CP226" i="5"/>
  <c r="CQ226" i="5" s="1"/>
  <c r="R226" i="5" s="1"/>
  <c r="S226" i="5" s="1"/>
  <c r="X224" i="5"/>
  <c r="Y224" i="5" s="1"/>
  <c r="DA226" i="5"/>
  <c r="DB226" i="5" s="1"/>
  <c r="K226" i="5" s="1"/>
  <c r="I225" i="5"/>
  <c r="W226" i="5"/>
  <c r="T226" i="5"/>
  <c r="U226" i="5" s="1"/>
  <c r="AM226" i="5"/>
  <c r="AL227" i="5" s="1"/>
  <c r="CV226" i="5"/>
  <c r="CT226" i="5"/>
  <c r="L226" i="5"/>
  <c r="AP225" i="5" l="1"/>
  <c r="Z224" i="5"/>
  <c r="AA224" i="5" s="1"/>
  <c r="I199" i="6" s="1"/>
  <c r="H199" i="6"/>
  <c r="AT225" i="5"/>
  <c r="AH225" i="5"/>
  <c r="M225" i="5"/>
  <c r="P225" i="5"/>
  <c r="AY225" i="5" s="1"/>
  <c r="CN226" i="5"/>
  <c r="E226" i="5" s="1"/>
  <c r="CO226" i="5"/>
  <c r="F226" i="5" s="1"/>
  <c r="BY226" i="5" l="1"/>
  <c r="J226" i="5" s="1"/>
  <c r="BW226" i="5"/>
  <c r="AG225" i="5"/>
  <c r="AJ225" i="5" s="1"/>
  <c r="AO225" i="5"/>
  <c r="AR225" i="5" s="1"/>
  <c r="N225" i="5"/>
  <c r="AS225" i="5"/>
  <c r="AV225" i="5" s="1"/>
  <c r="E201" i="6"/>
  <c r="C227" i="5"/>
  <c r="BU227" i="5" s="1"/>
  <c r="D201" i="6"/>
  <c r="BC226" i="5"/>
  <c r="F200" i="6"/>
  <c r="Q225" i="5"/>
  <c r="V225" i="5" s="1"/>
  <c r="AN226" i="5" l="1"/>
  <c r="AF226" i="5"/>
  <c r="BT227" i="5"/>
  <c r="BV227" i="5"/>
  <c r="BS227" i="5"/>
  <c r="CI227" i="5"/>
  <c r="BH227" i="5"/>
  <c r="BI227" i="5" s="1"/>
  <c r="BJ227" i="5" s="1"/>
  <c r="X225" i="5"/>
  <c r="Y225" i="5" s="1"/>
  <c r="G200" i="6"/>
  <c r="BD226" i="5"/>
  <c r="BE227" i="5" s="1"/>
  <c r="CZ226" i="5"/>
  <c r="BF226" i="5"/>
  <c r="BK227" i="5"/>
  <c r="BL227" i="5" s="1"/>
  <c r="BM227" i="5" s="1"/>
  <c r="CX227" i="5"/>
  <c r="CW227" i="5"/>
  <c r="AK227" i="5"/>
  <c r="AM227" i="5" s="1"/>
  <c r="AL228" i="5" s="1"/>
  <c r="AC227" i="5"/>
  <c r="C202" i="6"/>
  <c r="CR227" i="5"/>
  <c r="CS227" i="5"/>
  <c r="D227" i="5"/>
  <c r="AB227" i="5"/>
  <c r="DA227" i="5" s="1"/>
  <c r="DB227" i="5" s="1"/>
  <c r="CY227" i="5"/>
  <c r="CL227" i="5"/>
  <c r="CM227" i="5" s="1"/>
  <c r="BG226" i="5"/>
  <c r="H226" i="5" s="1"/>
  <c r="AX227" i="5"/>
  <c r="AW227" i="5" s="1"/>
  <c r="CU227" i="5"/>
  <c r="BX227" i="5" s="1"/>
  <c r="AD227" i="5" l="1"/>
  <c r="AE227" i="5" s="1"/>
  <c r="CH227" i="5"/>
  <c r="CK227" i="5"/>
  <c r="CJ227" i="5" s="1"/>
  <c r="K227" i="5" s="1"/>
  <c r="W227" i="5"/>
  <c r="T227" i="5"/>
  <c r="U227" i="5" s="1"/>
  <c r="CT227" i="5"/>
  <c r="CV227" i="5"/>
  <c r="BN227" i="5"/>
  <c r="BO227" i="5" s="1"/>
  <c r="BP227" i="5" s="1"/>
  <c r="G227" i="5" s="1"/>
  <c r="L227" i="5"/>
  <c r="I226" i="5"/>
  <c r="AH226" i="5" s="1"/>
  <c r="CP227" i="5"/>
  <c r="CQ227" i="5" s="1"/>
  <c r="R227" i="5" s="1"/>
  <c r="S227" i="5" s="1"/>
  <c r="H200" i="6"/>
  <c r="Z225" i="5"/>
  <c r="AT226" i="5" l="1"/>
  <c r="AP226" i="5"/>
  <c r="CO227" i="5"/>
  <c r="F227" i="5" s="1"/>
  <c r="CN227" i="5"/>
  <c r="E227" i="5" s="1"/>
  <c r="AA225" i="5"/>
  <c r="I200" i="6" s="1"/>
  <c r="M226" i="5"/>
  <c r="P226" i="5"/>
  <c r="BW227" i="5" l="1"/>
  <c r="BB226" i="5"/>
  <c r="AY226" i="5"/>
  <c r="AO226" i="5"/>
  <c r="AR226" i="5" s="1"/>
  <c r="AG226" i="5"/>
  <c r="AS226" i="5"/>
  <c r="AV226" i="5" s="1"/>
  <c r="N226" i="5"/>
  <c r="D202" i="6"/>
  <c r="BC227" i="5"/>
  <c r="F201" i="6"/>
  <c r="Q226" i="5"/>
  <c r="V226" i="5" s="1"/>
  <c r="G201" i="6" s="1"/>
  <c r="E202" i="6"/>
  <c r="C228" i="5"/>
  <c r="BU228" i="5" s="1"/>
  <c r="BY227" i="5" l="1"/>
  <c r="J227" i="5" s="1"/>
  <c r="BT228" i="5"/>
  <c r="BV228" i="5"/>
  <c r="BS228" i="5"/>
  <c r="CI228" i="5"/>
  <c r="BH228" i="5"/>
  <c r="BI228" i="5" s="1"/>
  <c r="BJ228" i="5" s="1"/>
  <c r="AJ226" i="5"/>
  <c r="BF227" i="5"/>
  <c r="CZ227" i="5"/>
  <c r="BD227" i="5"/>
  <c r="BE228" i="5" s="1"/>
  <c r="CR228" i="5"/>
  <c r="AC228" i="5"/>
  <c r="D228" i="5"/>
  <c r="BK228" i="5"/>
  <c r="BL228" i="5" s="1"/>
  <c r="BM228" i="5" s="1"/>
  <c r="CX228" i="5"/>
  <c r="CS228" i="5"/>
  <c r="CL228" i="5"/>
  <c r="CM228" i="5" s="1"/>
  <c r="C203" i="6"/>
  <c r="AB228" i="5"/>
  <c r="L228" i="5" s="1"/>
  <c r="CY228" i="5"/>
  <c r="CW228" i="5"/>
  <c r="AK228" i="5"/>
  <c r="BG227" i="5"/>
  <c r="H227" i="5" s="1"/>
  <c r="AX228" i="5"/>
  <c r="AW228" i="5" s="1"/>
  <c r="CU228" i="5"/>
  <c r="BX228" i="5" s="1"/>
  <c r="AN227" i="5" l="1"/>
  <c r="AF227" i="5"/>
  <c r="CH228" i="5"/>
  <c r="CK228" i="5"/>
  <c r="CJ228" i="5" s="1"/>
  <c r="X226" i="5"/>
  <c r="Y226" i="5" s="1"/>
  <c r="AD228" i="5"/>
  <c r="AE228" i="5" s="1"/>
  <c r="T228" i="5"/>
  <c r="U228" i="5" s="1"/>
  <c r="W228" i="5"/>
  <c r="CP228" i="5"/>
  <c r="CQ228" i="5" s="1"/>
  <c r="R228" i="5" s="1"/>
  <c r="S228" i="5" s="1"/>
  <c r="CV228" i="5"/>
  <c r="CT228" i="5"/>
  <c r="AM228" i="5"/>
  <c r="AL229" i="5" s="1"/>
  <c r="DA228" i="5"/>
  <c r="DB228" i="5" s="1"/>
  <c r="K228" i="5" s="1"/>
  <c r="I227" i="5"/>
  <c r="AP227" i="5" s="1"/>
  <c r="BN228" i="5"/>
  <c r="BO228" i="5" s="1"/>
  <c r="BP228" i="5" s="1"/>
  <c r="G228" i="5" s="1"/>
  <c r="H201" i="6" l="1"/>
  <c r="Z226" i="5"/>
  <c r="AA226" i="5" s="1"/>
  <c r="I201" i="6" s="1"/>
  <c r="AT227" i="5"/>
  <c r="AH227" i="5"/>
  <c r="P227" i="5"/>
  <c r="AY227" i="5" s="1"/>
  <c r="M227" i="5"/>
  <c r="CO228" i="5"/>
  <c r="F228" i="5" s="1"/>
  <c r="CN228" i="5"/>
  <c r="E228" i="5" s="1"/>
  <c r="BW228" i="5" l="1"/>
  <c r="BY228" i="5"/>
  <c r="J228" i="5" s="1"/>
  <c r="AG227" i="5"/>
  <c r="AJ227" i="5" s="1"/>
  <c r="AO227" i="5"/>
  <c r="AR227" i="5" s="1"/>
  <c r="N227" i="5"/>
  <c r="AS227" i="5"/>
  <c r="AV227" i="5" s="1"/>
  <c r="D203" i="6"/>
  <c r="BC228" i="5"/>
  <c r="Q227" i="5"/>
  <c r="V227" i="5" s="1"/>
  <c r="F202" i="6"/>
  <c r="E203" i="6"/>
  <c r="C229" i="5"/>
  <c r="BU229" i="5" s="1"/>
  <c r="AF228" i="5" l="1"/>
  <c r="AN228" i="5"/>
  <c r="BT229" i="5"/>
  <c r="BV229" i="5"/>
  <c r="BS229" i="5"/>
  <c r="CI229" i="5"/>
  <c r="BH229" i="5"/>
  <c r="BI229" i="5" s="1"/>
  <c r="BJ229" i="5" s="1"/>
  <c r="X227" i="5"/>
  <c r="Y227" i="5" s="1"/>
  <c r="CY229" i="5"/>
  <c r="AC229" i="5"/>
  <c r="AD229" i="5" s="1"/>
  <c r="CR229" i="5"/>
  <c r="CW229" i="5"/>
  <c r="CL229" i="5"/>
  <c r="CM229" i="5" s="1"/>
  <c r="CS229" i="5"/>
  <c r="D229" i="5"/>
  <c r="AK229" i="5"/>
  <c r="CX229" i="5"/>
  <c r="AB229" i="5"/>
  <c r="DA229" i="5" s="1"/>
  <c r="DB229" i="5" s="1"/>
  <c r="BK229" i="5"/>
  <c r="BL229" i="5" s="1"/>
  <c r="BM229" i="5" s="1"/>
  <c r="C204" i="6"/>
  <c r="BG228" i="5"/>
  <c r="H228" i="5" s="1"/>
  <c r="AX229" i="5"/>
  <c r="AW229" i="5" s="1"/>
  <c r="CU229" i="5"/>
  <c r="BX229" i="5" s="1"/>
  <c r="G202" i="6"/>
  <c r="CZ228" i="5"/>
  <c r="BF228" i="5"/>
  <c r="BD228" i="5"/>
  <c r="BE229" i="5" s="1"/>
  <c r="CH229" i="5" l="1"/>
  <c r="CK229" i="5"/>
  <c r="CJ229" i="5" s="1"/>
  <c r="K229" i="5" s="1"/>
  <c r="CP229" i="5"/>
  <c r="CQ229" i="5" s="1"/>
  <c r="R229" i="5" s="1"/>
  <c r="S229" i="5" s="1"/>
  <c r="W229" i="5"/>
  <c r="T229" i="5"/>
  <c r="U229" i="5" s="1"/>
  <c r="I228" i="5"/>
  <c r="AP228" i="5" s="1"/>
  <c r="CT229" i="5"/>
  <c r="CV229" i="5"/>
  <c r="H202" i="6"/>
  <c r="Z227" i="5"/>
  <c r="L229" i="5"/>
  <c r="AM229" i="5"/>
  <c r="AL230" i="5" s="1"/>
  <c r="AE229" i="5"/>
  <c r="BN229" i="5"/>
  <c r="BO229" i="5" s="1"/>
  <c r="BP229" i="5" s="1"/>
  <c r="G229" i="5" s="1"/>
  <c r="AH228" i="5" l="1"/>
  <c r="AT228" i="5"/>
  <c r="M228" i="5"/>
  <c r="P228" i="5"/>
  <c r="AY228" i="5" s="1"/>
  <c r="AA227" i="5"/>
  <c r="I202" i="6" s="1"/>
  <c r="CO229" i="5"/>
  <c r="F229" i="5" s="1"/>
  <c r="CN229" i="5"/>
  <c r="E229" i="5" s="1"/>
  <c r="BW229" i="5" l="1"/>
  <c r="BY229" i="5"/>
  <c r="J229" i="5" s="1"/>
  <c r="AN229" i="5" s="1"/>
  <c r="AO228" i="5"/>
  <c r="AR228" i="5" s="1"/>
  <c r="AG228" i="5"/>
  <c r="Q228" i="5"/>
  <c r="V228" i="5" s="1"/>
  <c r="F203" i="6"/>
  <c r="N228" i="5"/>
  <c r="AS228" i="5"/>
  <c r="AV228" i="5" s="1"/>
  <c r="D204" i="6"/>
  <c r="BC229" i="5"/>
  <c r="C230" i="5"/>
  <c r="BU230" i="5" s="1"/>
  <c r="E204" i="6"/>
  <c r="AF229" i="5" l="1"/>
  <c r="BV230" i="5"/>
  <c r="BT230" i="5"/>
  <c r="BS230" i="5"/>
  <c r="CI230" i="5"/>
  <c r="BH230" i="5"/>
  <c r="BI230" i="5" s="1"/>
  <c r="BJ230" i="5" s="1"/>
  <c r="AJ228" i="5"/>
  <c r="CY230" i="5"/>
  <c r="CW230" i="5"/>
  <c r="D230" i="5"/>
  <c r="C205" i="6"/>
  <c r="AB230" i="5"/>
  <c r="CP230" i="5" s="1"/>
  <c r="CQ230" i="5" s="1"/>
  <c r="R230" i="5" s="1"/>
  <c r="S230" i="5" s="1"/>
  <c r="AK230" i="5"/>
  <c r="BK230" i="5"/>
  <c r="BL230" i="5" s="1"/>
  <c r="BM230" i="5" s="1"/>
  <c r="CL230" i="5"/>
  <c r="CM230" i="5" s="1"/>
  <c r="CS230" i="5"/>
  <c r="CX230" i="5"/>
  <c r="AC230" i="5"/>
  <c r="CR230" i="5"/>
  <c r="BG229" i="5"/>
  <c r="H229" i="5" s="1"/>
  <c r="AX230" i="5"/>
  <c r="AW230" i="5" s="1"/>
  <c r="CU230" i="5"/>
  <c r="BX230" i="5" s="1"/>
  <c r="BF229" i="5"/>
  <c r="BD229" i="5"/>
  <c r="BE230" i="5" s="1"/>
  <c r="CZ229" i="5"/>
  <c r="G203" i="6"/>
  <c r="CH230" i="5" l="1"/>
  <c r="CK230" i="5"/>
  <c r="CJ230" i="5" s="1"/>
  <c r="X228" i="5"/>
  <c r="Y228" i="5" s="1"/>
  <c r="AD230" i="5"/>
  <c r="AE230" i="5" s="1"/>
  <c r="L230" i="5"/>
  <c r="DA230" i="5"/>
  <c r="DB230" i="5" s="1"/>
  <c r="K230" i="5" s="1"/>
  <c r="BN230" i="5"/>
  <c r="BO230" i="5" s="1"/>
  <c r="BP230" i="5" s="1"/>
  <c r="G230" i="5" s="1"/>
  <c r="CV230" i="5"/>
  <c r="CT230" i="5"/>
  <c r="AM230" i="5"/>
  <c r="AL231" i="5" s="1"/>
  <c r="I229" i="5"/>
  <c r="AH229" i="5" s="1"/>
  <c r="T230" i="5"/>
  <c r="U230" i="5" s="1"/>
  <c r="W230" i="5"/>
  <c r="Z228" i="5" l="1"/>
  <c r="AA228" i="5" s="1"/>
  <c r="I203" i="6" s="1"/>
  <c r="H203" i="6"/>
  <c r="P229" i="5"/>
  <c r="AY229" i="5" s="1"/>
  <c r="M229" i="5"/>
  <c r="AG229" i="5" s="1"/>
  <c r="AJ229" i="5" s="1"/>
  <c r="AT229" i="5"/>
  <c r="AP229" i="5"/>
  <c r="CO230" i="5"/>
  <c r="F230" i="5" s="1"/>
  <c r="CN230" i="5"/>
  <c r="E230" i="5" s="1"/>
  <c r="BW230" i="5" l="1"/>
  <c r="BY230" i="5"/>
  <c r="J230" i="5" s="1"/>
  <c r="AN230" i="5" s="1"/>
  <c r="BC230" i="5"/>
  <c r="D205" i="6"/>
  <c r="N229" i="5"/>
  <c r="AS229" i="5"/>
  <c r="AV229" i="5" s="1"/>
  <c r="AO229" i="5"/>
  <c r="Q229" i="5"/>
  <c r="V229" i="5" s="1"/>
  <c r="G204" i="6" s="1"/>
  <c r="F204" i="6"/>
  <c r="C231" i="5"/>
  <c r="BU231" i="5" s="1"/>
  <c r="E205" i="6"/>
  <c r="AF230" i="5" l="1"/>
  <c r="BV231" i="5"/>
  <c r="BT231" i="5"/>
  <c r="BS231" i="5"/>
  <c r="CI231" i="5"/>
  <c r="BH231" i="5"/>
  <c r="BI231" i="5" s="1"/>
  <c r="BJ231" i="5" s="1"/>
  <c r="BF230" i="5"/>
  <c r="CZ230" i="5"/>
  <c r="BD230" i="5"/>
  <c r="BE231" i="5" s="1"/>
  <c r="AB231" i="5"/>
  <c r="BN231" i="5" s="1"/>
  <c r="BO231" i="5" s="1"/>
  <c r="BP231" i="5" s="1"/>
  <c r="D231" i="5"/>
  <c r="AK231" i="5"/>
  <c r="BK231" i="5"/>
  <c r="BL231" i="5" s="1"/>
  <c r="BM231" i="5" s="1"/>
  <c r="CR231" i="5"/>
  <c r="CY231" i="5"/>
  <c r="C206" i="6"/>
  <c r="AC231" i="5"/>
  <c r="CL231" i="5"/>
  <c r="CM231" i="5" s="1"/>
  <c r="CW231" i="5"/>
  <c r="CX231" i="5"/>
  <c r="CS231" i="5"/>
  <c r="BG230" i="5"/>
  <c r="H230" i="5" s="1"/>
  <c r="AX231" i="5"/>
  <c r="AW231" i="5" s="1"/>
  <c r="CU231" i="5"/>
  <c r="BX231" i="5" s="1"/>
  <c r="AR229" i="5"/>
  <c r="G231" i="5" l="1"/>
  <c r="AD231" i="5"/>
  <c r="AE231" i="5" s="1"/>
  <c r="CK231" i="5"/>
  <c r="CJ231" i="5" s="1"/>
  <c r="CH231" i="5"/>
  <c r="X229" i="5"/>
  <c r="Y229" i="5" s="1"/>
  <c r="DA231" i="5"/>
  <c r="DB231" i="5" s="1"/>
  <c r="K231" i="5" s="1"/>
  <c r="AM231" i="5"/>
  <c r="AL232" i="5" s="1"/>
  <c r="W231" i="5"/>
  <c r="T231" i="5"/>
  <c r="U231" i="5" s="1"/>
  <c r="CV231" i="5"/>
  <c r="CT231" i="5"/>
  <c r="CP231" i="5"/>
  <c r="CQ231" i="5" s="1"/>
  <c r="R231" i="5" s="1"/>
  <c r="S231" i="5" s="1"/>
  <c r="L231" i="5"/>
  <c r="I230" i="5"/>
  <c r="AH230" i="5" s="1"/>
  <c r="H204" i="6" l="1"/>
  <c r="Z229" i="5"/>
  <c r="AA229" i="5" s="1"/>
  <c r="I204" i="6" s="1"/>
  <c r="AT230" i="5"/>
  <c r="AP230" i="5"/>
  <c r="M230" i="5"/>
  <c r="AG230" i="5" s="1"/>
  <c r="AJ230" i="5" s="1"/>
  <c r="P230" i="5"/>
  <c r="AY230" i="5" s="1"/>
  <c r="CO231" i="5"/>
  <c r="F231" i="5" s="1"/>
  <c r="CN231" i="5"/>
  <c r="E231" i="5" s="1"/>
  <c r="BY231" i="5" l="1"/>
  <c r="J231" i="5" s="1"/>
  <c r="BW231" i="5"/>
  <c r="N230" i="5"/>
  <c r="AS230" i="5"/>
  <c r="AV230" i="5" s="1"/>
  <c r="AO230" i="5"/>
  <c r="BC231" i="5"/>
  <c r="D206" i="6"/>
  <c r="C232" i="5"/>
  <c r="BU232" i="5" s="1"/>
  <c r="E206" i="6"/>
  <c r="F205" i="6"/>
  <c r="Q230" i="5"/>
  <c r="V230" i="5" s="1"/>
  <c r="AN231" i="5" l="1"/>
  <c r="AF231" i="5"/>
  <c r="BT232" i="5"/>
  <c r="BV232" i="5"/>
  <c r="BS232" i="5"/>
  <c r="CI232" i="5"/>
  <c r="BH232" i="5"/>
  <c r="BI232" i="5" s="1"/>
  <c r="BJ232" i="5" s="1"/>
  <c r="AR230" i="5"/>
  <c r="AK232" i="5"/>
  <c r="AM232" i="5" s="1"/>
  <c r="AL233" i="5" s="1"/>
  <c r="AB232" i="5"/>
  <c r="CP232" i="5" s="1"/>
  <c r="CQ232" i="5" s="1"/>
  <c r="R232" i="5" s="1"/>
  <c r="S232" i="5" s="1"/>
  <c r="CW232" i="5"/>
  <c r="C207" i="6"/>
  <c r="D232" i="5"/>
  <c r="CY232" i="5"/>
  <c r="CX232" i="5"/>
  <c r="BK232" i="5"/>
  <c r="BL232" i="5" s="1"/>
  <c r="BM232" i="5" s="1"/>
  <c r="CS232" i="5"/>
  <c r="CR232" i="5"/>
  <c r="AC232" i="5"/>
  <c r="AD232" i="5" s="1"/>
  <c r="CL232" i="5"/>
  <c r="CM232" i="5" s="1"/>
  <c r="BG231" i="5"/>
  <c r="H231" i="5" s="1"/>
  <c r="AX232" i="5"/>
  <c r="AW232" i="5" s="1"/>
  <c r="CU232" i="5"/>
  <c r="BX232" i="5" s="1"/>
  <c r="G205" i="6"/>
  <c r="BD231" i="5"/>
  <c r="BE232" i="5" s="1"/>
  <c r="CZ231" i="5"/>
  <c r="BF231" i="5"/>
  <c r="CH232" i="5" l="1"/>
  <c r="CK232" i="5"/>
  <c r="CJ232" i="5" s="1"/>
  <c r="X230" i="5"/>
  <c r="Y230" i="5" s="1"/>
  <c r="DA232" i="5"/>
  <c r="DB232" i="5" s="1"/>
  <c r="W232" i="5"/>
  <c r="T232" i="5"/>
  <c r="U232" i="5" s="1"/>
  <c r="I231" i="5"/>
  <c r="AP231" i="5" s="1"/>
  <c r="AE232" i="5"/>
  <c r="L232" i="5"/>
  <c r="CV232" i="5"/>
  <c r="CT232" i="5"/>
  <c r="BN232" i="5"/>
  <c r="BO232" i="5" s="1"/>
  <c r="BP232" i="5" s="1"/>
  <c r="G232" i="5" s="1"/>
  <c r="K232" i="5" l="1"/>
  <c r="Z230" i="5"/>
  <c r="AA230" i="5" s="1"/>
  <c r="I205" i="6" s="1"/>
  <c r="H205" i="6"/>
  <c r="AH231" i="5"/>
  <c r="AT231" i="5"/>
  <c r="M231" i="5"/>
  <c r="P231" i="5"/>
  <c r="AY231" i="5" s="1"/>
  <c r="CN232" i="5"/>
  <c r="E232" i="5" s="1"/>
  <c r="CO232" i="5"/>
  <c r="F232" i="5" s="1"/>
  <c r="BW232" i="5" l="1"/>
  <c r="BY232" i="5"/>
  <c r="J232" i="5" s="1"/>
  <c r="AS231" i="5"/>
  <c r="AV231" i="5" s="1"/>
  <c r="AO231" i="5"/>
  <c r="D207" i="6"/>
  <c r="BC232" i="5"/>
  <c r="C233" i="5"/>
  <c r="BU233" i="5" s="1"/>
  <c r="E207" i="6"/>
  <c r="F206" i="6"/>
  <c r="Q231" i="5"/>
  <c r="V231" i="5" s="1"/>
  <c r="N231" i="5"/>
  <c r="AG231" i="5"/>
  <c r="AN232" i="5" l="1"/>
  <c r="AF232" i="5"/>
  <c r="BV233" i="5"/>
  <c r="BT233" i="5"/>
  <c r="BS233" i="5"/>
  <c r="CI233" i="5"/>
  <c r="BH233" i="5"/>
  <c r="BI233" i="5" s="1"/>
  <c r="BJ233" i="5" s="1"/>
  <c r="AR231" i="5"/>
  <c r="AJ231" i="5"/>
  <c r="G206" i="6"/>
  <c r="CW233" i="5"/>
  <c r="AK233" i="5"/>
  <c r="CL233" i="5"/>
  <c r="CM233" i="5" s="1"/>
  <c r="D233" i="5"/>
  <c r="AC233" i="5"/>
  <c r="CS233" i="5"/>
  <c r="CX233" i="5"/>
  <c r="CY233" i="5"/>
  <c r="C208" i="6"/>
  <c r="BK233" i="5"/>
  <c r="BL233" i="5" s="1"/>
  <c r="BM233" i="5" s="1"/>
  <c r="AB233" i="5"/>
  <c r="CP233" i="5" s="1"/>
  <c r="CQ233" i="5" s="1"/>
  <c r="R233" i="5" s="1"/>
  <c r="S233" i="5" s="1"/>
  <c r="CR233" i="5"/>
  <c r="BG232" i="5"/>
  <c r="H232" i="5" s="1"/>
  <c r="AX233" i="5"/>
  <c r="AW233" i="5" s="1"/>
  <c r="CU233" i="5"/>
  <c r="BX233" i="5" s="1"/>
  <c r="CZ232" i="5"/>
  <c r="BD232" i="5"/>
  <c r="BE233" i="5" s="1"/>
  <c r="BF232" i="5"/>
  <c r="AD233" i="5" l="1"/>
  <c r="AE233" i="5" s="1"/>
  <c r="CH233" i="5"/>
  <c r="CK233" i="5"/>
  <c r="CJ233" i="5" s="1"/>
  <c r="X231" i="5"/>
  <c r="Y231" i="5" s="1"/>
  <c r="DA233" i="5"/>
  <c r="DB233" i="5" s="1"/>
  <c r="K233" i="5" s="1"/>
  <c r="AM233" i="5"/>
  <c r="AL234" i="5" s="1"/>
  <c r="I232" i="5"/>
  <c r="AP232" i="5" s="1"/>
  <c r="CV233" i="5"/>
  <c r="CT233" i="5"/>
  <c r="L233" i="5"/>
  <c r="BN233" i="5"/>
  <c r="BO233" i="5" s="1"/>
  <c r="BP233" i="5" s="1"/>
  <c r="G233" i="5" s="1"/>
  <c r="T233" i="5"/>
  <c r="U233" i="5" s="1"/>
  <c r="W233" i="5"/>
  <c r="Z231" i="5" l="1"/>
  <c r="AA231" i="5" s="1"/>
  <c r="I206" i="6" s="1"/>
  <c r="H206" i="6"/>
  <c r="AH232" i="5"/>
  <c r="AT232" i="5"/>
  <c r="M232" i="5"/>
  <c r="P232" i="5"/>
  <c r="AY232" i="5" s="1"/>
  <c r="CO233" i="5"/>
  <c r="F233" i="5" s="1"/>
  <c r="CN233" i="5"/>
  <c r="E233" i="5" s="1"/>
  <c r="BW233" i="5" l="1"/>
  <c r="AS232" i="5"/>
  <c r="AV232" i="5" s="1"/>
  <c r="AO232" i="5"/>
  <c r="AR232" i="5" s="1"/>
  <c r="N232" i="5"/>
  <c r="AG232" i="5"/>
  <c r="D208" i="6"/>
  <c r="BC233" i="5"/>
  <c r="F207" i="6"/>
  <c r="Q232" i="5"/>
  <c r="V232" i="5" s="1"/>
  <c r="C234" i="5"/>
  <c r="BU234" i="5" s="1"/>
  <c r="E208" i="6"/>
  <c r="BY233" i="5" l="1"/>
  <c r="J233" i="5" s="1"/>
  <c r="BV234" i="5"/>
  <c r="BT234" i="5"/>
  <c r="BS234" i="5"/>
  <c r="CI234" i="5"/>
  <c r="BH234" i="5"/>
  <c r="BI234" i="5" s="1"/>
  <c r="BJ234" i="5" s="1"/>
  <c r="AJ232" i="5"/>
  <c r="G207" i="6"/>
  <c r="CZ233" i="5"/>
  <c r="BD233" i="5"/>
  <c r="BE234" i="5" s="1"/>
  <c r="BF233" i="5"/>
  <c r="CY234" i="5"/>
  <c r="CW234" i="5"/>
  <c r="AK234" i="5"/>
  <c r="AM234" i="5" s="1"/>
  <c r="AL235" i="5" s="1"/>
  <c r="BK234" i="5"/>
  <c r="BL234" i="5" s="1"/>
  <c r="BM234" i="5" s="1"/>
  <c r="AB234" i="5"/>
  <c r="BN234" i="5" s="1"/>
  <c r="BO234" i="5" s="1"/>
  <c r="BP234" i="5" s="1"/>
  <c r="D234" i="5"/>
  <c r="CS234" i="5"/>
  <c r="AC234" i="5"/>
  <c r="AD234" i="5" s="1"/>
  <c r="CL234" i="5"/>
  <c r="CM234" i="5" s="1"/>
  <c r="CR234" i="5"/>
  <c r="CX234" i="5"/>
  <c r="C209" i="6"/>
  <c r="BG233" i="5"/>
  <c r="H233" i="5" s="1"/>
  <c r="AX234" i="5"/>
  <c r="AW234" i="5" s="1"/>
  <c r="CU234" i="5"/>
  <c r="BX234" i="5" s="1"/>
  <c r="AN233" i="5" l="1"/>
  <c r="AF233" i="5"/>
  <c r="G234" i="5"/>
  <c r="CK234" i="5"/>
  <c r="CJ234" i="5" s="1"/>
  <c r="CH234" i="5"/>
  <c r="X232" i="5"/>
  <c r="Y232" i="5" s="1"/>
  <c r="CP234" i="5"/>
  <c r="CQ234" i="5" s="1"/>
  <c r="R234" i="5" s="1"/>
  <c r="S234" i="5" s="1"/>
  <c r="L234" i="5"/>
  <c r="DA234" i="5"/>
  <c r="DB234" i="5" s="1"/>
  <c r="CT234" i="5"/>
  <c r="CV234" i="5"/>
  <c r="AE234" i="5"/>
  <c r="W234" i="5"/>
  <c r="T234" i="5"/>
  <c r="U234" i="5" s="1"/>
  <c r="I233" i="5"/>
  <c r="K234" i="5" l="1"/>
  <c r="H207" i="6"/>
  <c r="Z232" i="5"/>
  <c r="AA232" i="5" s="1"/>
  <c r="I207" i="6" s="1"/>
  <c r="AH233" i="5"/>
  <c r="AT233" i="5"/>
  <c r="AP233" i="5"/>
  <c r="P233" i="5"/>
  <c r="AY233" i="5" s="1"/>
  <c r="M233" i="5"/>
  <c r="CN234" i="5"/>
  <c r="E234" i="5" s="1"/>
  <c r="CO234" i="5"/>
  <c r="F234" i="5" s="1"/>
  <c r="AG233" i="5" l="1"/>
  <c r="AO233" i="5"/>
  <c r="D209" i="6"/>
  <c r="BC234" i="5"/>
  <c r="AS233" i="5"/>
  <c r="AV233" i="5" s="1"/>
  <c r="N233" i="5"/>
  <c r="C235" i="5"/>
  <c r="BU235" i="5" s="1"/>
  <c r="E209" i="6"/>
  <c r="Q233" i="5"/>
  <c r="V233" i="5" s="1"/>
  <c r="G208" i="6" s="1"/>
  <c r="F208" i="6"/>
  <c r="BY234" i="5" l="1"/>
  <c r="J234" i="5" s="1"/>
  <c r="BW234" i="5"/>
  <c r="BT235" i="5"/>
  <c r="BV235" i="5"/>
  <c r="BS235" i="5"/>
  <c r="CI235" i="5"/>
  <c r="BH235" i="5"/>
  <c r="BI235" i="5" s="1"/>
  <c r="BJ235" i="5" s="1"/>
  <c r="AR233" i="5"/>
  <c r="AJ233" i="5"/>
  <c r="AB235" i="5"/>
  <c r="L235" i="5" s="1"/>
  <c r="CL235" i="5"/>
  <c r="CM235" i="5" s="1"/>
  <c r="BK235" i="5"/>
  <c r="BL235" i="5" s="1"/>
  <c r="BM235" i="5" s="1"/>
  <c r="CW235" i="5"/>
  <c r="CY235" i="5"/>
  <c r="AK235" i="5"/>
  <c r="CX235" i="5"/>
  <c r="D235" i="5"/>
  <c r="AC235" i="5"/>
  <c r="CS235" i="5"/>
  <c r="CR235" i="5"/>
  <c r="C210" i="6"/>
  <c r="BG234" i="5"/>
  <c r="H234" i="5" s="1"/>
  <c r="AX235" i="5"/>
  <c r="AW235" i="5" s="1"/>
  <c r="CU235" i="5"/>
  <c r="CZ234" i="5"/>
  <c r="BD234" i="5"/>
  <c r="BE235" i="5" s="1"/>
  <c r="BF234" i="5"/>
  <c r="AF234" i="5" l="1"/>
  <c r="AN234" i="5"/>
  <c r="BX235" i="5"/>
  <c r="CH235" i="5"/>
  <c r="CK235" i="5"/>
  <c r="CJ235" i="5" s="1"/>
  <c r="AD235" i="5"/>
  <c r="AE235" i="5" s="1"/>
  <c r="X233" i="5"/>
  <c r="Y233" i="5" s="1"/>
  <c r="BN235" i="5"/>
  <c r="BO235" i="5" s="1"/>
  <c r="BP235" i="5" s="1"/>
  <c r="G235" i="5" s="1"/>
  <c r="CP235" i="5"/>
  <c r="CQ235" i="5" s="1"/>
  <c r="R235" i="5" s="1"/>
  <c r="S235" i="5" s="1"/>
  <c r="DA235" i="5"/>
  <c r="DB235" i="5" s="1"/>
  <c r="K235" i="5" s="1"/>
  <c r="CT235" i="5"/>
  <c r="CV235" i="5"/>
  <c r="I234" i="5"/>
  <c r="AP234" i="5" s="1"/>
  <c r="AM235" i="5"/>
  <c r="AL236" i="5" s="1"/>
  <c r="T235" i="5"/>
  <c r="U235" i="5" s="1"/>
  <c r="W235" i="5"/>
  <c r="Z233" i="5" l="1"/>
  <c r="AA233" i="5" s="1"/>
  <c r="I208" i="6" s="1"/>
  <c r="H208" i="6"/>
  <c r="AT234" i="5"/>
  <c r="AH234" i="5"/>
  <c r="P234" i="5"/>
  <c r="AY234" i="5" s="1"/>
  <c r="M234" i="5"/>
  <c r="CO235" i="5"/>
  <c r="F235" i="5" s="1"/>
  <c r="CN235" i="5"/>
  <c r="E235" i="5" s="1"/>
  <c r="AG234" i="5" l="1"/>
  <c r="AJ234" i="5" s="1"/>
  <c r="AO234" i="5"/>
  <c r="AR234" i="5" s="1"/>
  <c r="N234" i="5"/>
  <c r="AS234" i="5"/>
  <c r="AV234" i="5" s="1"/>
  <c r="C236" i="5"/>
  <c r="BU236" i="5" s="1"/>
  <c r="E210" i="6"/>
  <c r="F209" i="6"/>
  <c r="Q234" i="5"/>
  <c r="V234" i="5" s="1"/>
  <c r="D210" i="6"/>
  <c r="BC235" i="5"/>
  <c r="BW235" i="5" l="1"/>
  <c r="BY235" i="5"/>
  <c r="J235" i="5" s="1"/>
  <c r="BT236" i="5"/>
  <c r="BV236" i="5"/>
  <c r="BS236" i="5"/>
  <c r="CI236" i="5"/>
  <c r="BH236" i="5"/>
  <c r="BI236" i="5" s="1"/>
  <c r="BJ236" i="5" s="1"/>
  <c r="X234" i="5"/>
  <c r="Y234" i="5" s="1"/>
  <c r="BF235" i="5"/>
  <c r="BD235" i="5"/>
  <c r="BE236" i="5" s="1"/>
  <c r="CZ235" i="5"/>
  <c r="G209" i="6"/>
  <c r="CL236" i="5"/>
  <c r="CM236" i="5" s="1"/>
  <c r="BK236" i="5"/>
  <c r="BL236" i="5" s="1"/>
  <c r="BM236" i="5" s="1"/>
  <c r="C211" i="6"/>
  <c r="CY236" i="5"/>
  <c r="CS236" i="5"/>
  <c r="CX236" i="5"/>
  <c r="CW236" i="5"/>
  <c r="AC236" i="5"/>
  <c r="CR236" i="5"/>
  <c r="AK236" i="5"/>
  <c r="AB236" i="5"/>
  <c r="CP236" i="5" s="1"/>
  <c r="CQ236" i="5" s="1"/>
  <c r="R236" i="5" s="1"/>
  <c r="S236" i="5" s="1"/>
  <c r="D236" i="5"/>
  <c r="BG235" i="5"/>
  <c r="H235" i="5" s="1"/>
  <c r="AX236" i="5"/>
  <c r="AW236" i="5" s="1"/>
  <c r="CU236" i="5"/>
  <c r="AF235" i="5" l="1"/>
  <c r="AN235" i="5"/>
  <c r="BX236" i="5"/>
  <c r="CH236" i="5"/>
  <c r="CK236" i="5"/>
  <c r="CJ236" i="5" s="1"/>
  <c r="AD236" i="5"/>
  <c r="AE236" i="5" s="1"/>
  <c r="DA236" i="5"/>
  <c r="DB236" i="5" s="1"/>
  <c r="K236" i="5" s="1"/>
  <c r="L236" i="5"/>
  <c r="AM236" i="5"/>
  <c r="AL237" i="5" s="1"/>
  <c r="CT236" i="5"/>
  <c r="CV236" i="5"/>
  <c r="BN236" i="5"/>
  <c r="BO236" i="5" s="1"/>
  <c r="BP236" i="5" s="1"/>
  <c r="G236" i="5" s="1"/>
  <c r="H209" i="6"/>
  <c r="Z234" i="5"/>
  <c r="T236" i="5"/>
  <c r="U236" i="5" s="1"/>
  <c r="W236" i="5"/>
  <c r="I235" i="5"/>
  <c r="AP235" i="5" l="1"/>
  <c r="CO236" i="5"/>
  <c r="F236" i="5" s="1"/>
  <c r="CN236" i="5"/>
  <c r="E236" i="5" s="1"/>
  <c r="AA234" i="5"/>
  <c r="I209" i="6" s="1"/>
  <c r="AH235" i="5"/>
  <c r="AT235" i="5"/>
  <c r="P235" i="5"/>
  <c r="AY235" i="5" s="1"/>
  <c r="M235" i="5"/>
  <c r="BW236" i="5" l="1"/>
  <c r="BY236" i="5"/>
  <c r="J236" i="5" s="1"/>
  <c r="AO235" i="5"/>
  <c r="AR235" i="5" s="1"/>
  <c r="AG235" i="5"/>
  <c r="N235" i="5"/>
  <c r="AS235" i="5"/>
  <c r="AV235" i="5" s="1"/>
  <c r="BC236" i="5"/>
  <c r="D211" i="6"/>
  <c r="Q235" i="5"/>
  <c r="V235" i="5" s="1"/>
  <c r="F210" i="6"/>
  <c r="C237" i="5"/>
  <c r="BU237" i="5" s="1"/>
  <c r="E211" i="6"/>
  <c r="AN236" i="5" l="1"/>
  <c r="AF236" i="5"/>
  <c r="BT237" i="5"/>
  <c r="BV237" i="5"/>
  <c r="BS237" i="5"/>
  <c r="CI237" i="5"/>
  <c r="BH237" i="5"/>
  <c r="BI237" i="5" s="1"/>
  <c r="BJ237" i="5" s="1"/>
  <c r="AJ235" i="5"/>
  <c r="BD236" i="5"/>
  <c r="BE237" i="5" s="1"/>
  <c r="CZ236" i="5"/>
  <c r="BF236" i="5"/>
  <c r="G210" i="6"/>
  <c r="D237" i="5"/>
  <c r="BK237" i="5"/>
  <c r="BL237" i="5" s="1"/>
  <c r="BM237" i="5" s="1"/>
  <c r="C212" i="6"/>
  <c r="CL237" i="5"/>
  <c r="CM237" i="5" s="1"/>
  <c r="CX237" i="5"/>
  <c r="AC237" i="5"/>
  <c r="AD237" i="5" s="1"/>
  <c r="AK237" i="5"/>
  <c r="AM237" i="5" s="1"/>
  <c r="AL238" i="5" s="1"/>
  <c r="CW237" i="5"/>
  <c r="CS237" i="5"/>
  <c r="AB237" i="5"/>
  <c r="L237" i="5" s="1"/>
  <c r="CR237" i="5"/>
  <c r="CY237" i="5"/>
  <c r="BG236" i="5"/>
  <c r="H236" i="5" s="1"/>
  <c r="AX237" i="5"/>
  <c r="AW237" i="5" s="1"/>
  <c r="CU237" i="5"/>
  <c r="BX237" i="5" s="1"/>
  <c r="CH237" i="5" l="1"/>
  <c r="CK237" i="5"/>
  <c r="CJ237" i="5" s="1"/>
  <c r="X235" i="5"/>
  <c r="Y235" i="5" s="1"/>
  <c r="W237" i="5"/>
  <c r="T237" i="5"/>
  <c r="U237" i="5" s="1"/>
  <c r="CT237" i="5"/>
  <c r="CV237" i="5"/>
  <c r="BN237" i="5"/>
  <c r="BO237" i="5" s="1"/>
  <c r="BP237" i="5" s="1"/>
  <c r="G237" i="5" s="1"/>
  <c r="AE237" i="5"/>
  <c r="CP237" i="5"/>
  <c r="CQ237" i="5" s="1"/>
  <c r="R237" i="5" s="1"/>
  <c r="S237" i="5" s="1"/>
  <c r="DA237" i="5"/>
  <c r="DB237" i="5" s="1"/>
  <c r="K237" i="5" s="1"/>
  <c r="I236" i="5"/>
  <c r="H210" i="6" l="1"/>
  <c r="Z235" i="5"/>
  <c r="AA235" i="5" s="1"/>
  <c r="I210" i="6" s="1"/>
  <c r="AH236" i="5"/>
  <c r="AT236" i="5"/>
  <c r="AP236" i="5"/>
  <c r="P236" i="5"/>
  <c r="AY236" i="5" s="1"/>
  <c r="M236" i="5"/>
  <c r="AG236" i="5" s="1"/>
  <c r="CO237" i="5"/>
  <c r="F237" i="5" s="1"/>
  <c r="CN237" i="5"/>
  <c r="E237" i="5" s="1"/>
  <c r="BW237" i="5" l="1"/>
  <c r="AJ236" i="5"/>
  <c r="Q236" i="5"/>
  <c r="V236" i="5" s="1"/>
  <c r="F211" i="6"/>
  <c r="C238" i="5"/>
  <c r="BU238" i="5" s="1"/>
  <c r="E212" i="6"/>
  <c r="N236" i="5"/>
  <c r="AS236" i="5"/>
  <c r="AV236" i="5" s="1"/>
  <c r="AO236" i="5"/>
  <c r="AR236" i="5" s="1"/>
  <c r="D212" i="6"/>
  <c r="BC237" i="5"/>
  <c r="BY237" i="5" l="1"/>
  <c r="J237" i="5" s="1"/>
  <c r="BV238" i="5"/>
  <c r="BT238" i="5"/>
  <c r="BS238" i="5"/>
  <c r="CI238" i="5"/>
  <c r="BH238" i="5"/>
  <c r="BI238" i="5" s="1"/>
  <c r="BJ238" i="5" s="1"/>
  <c r="X236" i="5"/>
  <c r="Y236" i="5" s="1"/>
  <c r="CW238" i="5"/>
  <c r="BK238" i="5"/>
  <c r="BL238" i="5" s="1"/>
  <c r="BM238" i="5" s="1"/>
  <c r="C213" i="6"/>
  <c r="CX238" i="5"/>
  <c r="AC238" i="5"/>
  <c r="AD238" i="5" s="1"/>
  <c r="CY238" i="5"/>
  <c r="CR238" i="5"/>
  <c r="D238" i="5"/>
  <c r="CS238" i="5"/>
  <c r="AK238" i="5"/>
  <c r="CL238" i="5"/>
  <c r="CM238" i="5" s="1"/>
  <c r="AB238" i="5"/>
  <c r="CP238" i="5" s="1"/>
  <c r="CQ238" i="5" s="1"/>
  <c r="R238" i="5" s="1"/>
  <c r="S238" i="5" s="1"/>
  <c r="BG237" i="5"/>
  <c r="H237" i="5" s="1"/>
  <c r="AX238" i="5"/>
  <c r="AW238" i="5" s="1"/>
  <c r="CU238" i="5"/>
  <c r="BX238" i="5" s="1"/>
  <c r="BD237" i="5"/>
  <c r="BE238" i="5" s="1"/>
  <c r="BF237" i="5"/>
  <c r="CZ237" i="5"/>
  <c r="G211" i="6"/>
  <c r="AF237" i="5" l="1"/>
  <c r="AN237" i="5"/>
  <c r="CH238" i="5"/>
  <c r="CK238" i="5"/>
  <c r="CJ238" i="5" s="1"/>
  <c r="BN238" i="5"/>
  <c r="BO238" i="5" s="1"/>
  <c r="BP238" i="5" s="1"/>
  <c r="G238" i="5" s="1"/>
  <c r="DA238" i="5"/>
  <c r="DB238" i="5" s="1"/>
  <c r="K238" i="5" s="1"/>
  <c r="CT238" i="5"/>
  <c r="CV238" i="5"/>
  <c r="L238" i="5"/>
  <c r="AE238" i="5"/>
  <c r="I237" i="5"/>
  <c r="H211" i="6"/>
  <c r="Z236" i="5"/>
  <c r="AM238" i="5"/>
  <c r="AL239" i="5" s="1"/>
  <c r="W238" i="5"/>
  <c r="T238" i="5"/>
  <c r="U238" i="5" s="1"/>
  <c r="AH237" i="5" l="1"/>
  <c r="AT237" i="5"/>
  <c r="AP237" i="5"/>
  <c r="AA236" i="5"/>
  <c r="I211" i="6" s="1"/>
  <c r="M237" i="5"/>
  <c r="P237" i="5"/>
  <c r="AY237" i="5" s="1"/>
  <c r="CN238" i="5"/>
  <c r="E238" i="5" s="1"/>
  <c r="CO238" i="5"/>
  <c r="F238" i="5" s="1"/>
  <c r="AO237" i="5" l="1"/>
  <c r="AR237" i="5" s="1"/>
  <c r="AG237" i="5"/>
  <c r="AJ237" i="5" s="1"/>
  <c r="Q237" i="5"/>
  <c r="V237" i="5" s="1"/>
  <c r="F212" i="6"/>
  <c r="N237" i="5"/>
  <c r="AS237" i="5"/>
  <c r="AV237" i="5" s="1"/>
  <c r="E213" i="6"/>
  <c r="C239" i="5"/>
  <c r="BU239" i="5" s="1"/>
  <c r="D213" i="6"/>
  <c r="BC238" i="5"/>
  <c r="BW238" i="5" l="1"/>
  <c r="BY238" i="5"/>
  <c r="J238" i="5" s="1"/>
  <c r="BV239" i="5"/>
  <c r="BT239" i="5"/>
  <c r="BS239" i="5"/>
  <c r="CI239" i="5"/>
  <c r="BH239" i="5"/>
  <c r="BI239" i="5" s="1"/>
  <c r="BJ239" i="5" s="1"/>
  <c r="X237" i="5"/>
  <c r="Y237" i="5" s="1"/>
  <c r="BK239" i="5"/>
  <c r="BL239" i="5" s="1"/>
  <c r="BM239" i="5" s="1"/>
  <c r="CW239" i="5"/>
  <c r="AK239" i="5"/>
  <c r="AM239" i="5" s="1"/>
  <c r="AL240" i="5" s="1"/>
  <c r="CR239" i="5"/>
  <c r="AB239" i="5"/>
  <c r="CP239" i="5" s="1"/>
  <c r="CQ239" i="5" s="1"/>
  <c r="R239" i="5" s="1"/>
  <c r="S239" i="5" s="1"/>
  <c r="CL239" i="5"/>
  <c r="CM239" i="5" s="1"/>
  <c r="AC239" i="5"/>
  <c r="C214" i="6"/>
  <c r="CS239" i="5"/>
  <c r="D239" i="5"/>
  <c r="CY239" i="5"/>
  <c r="CX239" i="5"/>
  <c r="BG238" i="5"/>
  <c r="H238" i="5" s="1"/>
  <c r="AX239" i="5"/>
  <c r="AW239" i="5" s="1"/>
  <c r="CU239" i="5"/>
  <c r="CZ238" i="5"/>
  <c r="BF238" i="5"/>
  <c r="BD238" i="5"/>
  <c r="BE239" i="5" s="1"/>
  <c r="G212" i="6"/>
  <c r="AN238" i="5" l="1"/>
  <c r="AF238" i="5"/>
  <c r="BX239" i="5"/>
  <c r="CK239" i="5"/>
  <c r="CJ239" i="5" s="1"/>
  <c r="CH239" i="5"/>
  <c r="AD239" i="5"/>
  <c r="AE239" i="5" s="1"/>
  <c r="BN239" i="5"/>
  <c r="BO239" i="5" s="1"/>
  <c r="BP239" i="5" s="1"/>
  <c r="G239" i="5" s="1"/>
  <c r="DA239" i="5"/>
  <c r="DB239" i="5" s="1"/>
  <c r="K239" i="5" s="1"/>
  <c r="CT239" i="5"/>
  <c r="CV239" i="5"/>
  <c r="L239" i="5"/>
  <c r="H212" i="6"/>
  <c r="Z237" i="5"/>
  <c r="I238" i="5"/>
  <c r="AP238" i="5" s="1"/>
  <c r="W239" i="5"/>
  <c r="T239" i="5"/>
  <c r="U239" i="5" s="1"/>
  <c r="AH238" i="5" l="1"/>
  <c r="AT238" i="5"/>
  <c r="AA237" i="5"/>
  <c r="I212" i="6" s="1"/>
  <c r="CN239" i="5"/>
  <c r="E239" i="5" s="1"/>
  <c r="CO239" i="5"/>
  <c r="F239" i="5" s="1"/>
  <c r="P238" i="5"/>
  <c r="AY238" i="5" s="1"/>
  <c r="M238" i="5"/>
  <c r="BY239" i="5" l="1"/>
  <c r="J239" i="5" s="1"/>
  <c r="AN239" i="5" s="1"/>
  <c r="BW239" i="5"/>
  <c r="AS238" i="5"/>
  <c r="AV238" i="5" s="1"/>
  <c r="AO238" i="5"/>
  <c r="AR238" i="5" s="1"/>
  <c r="N238" i="5"/>
  <c r="AG238" i="5"/>
  <c r="BC239" i="5"/>
  <c r="D214" i="6"/>
  <c r="Q238" i="5"/>
  <c r="V238" i="5" s="1"/>
  <c r="G213" i="6" s="1"/>
  <c r="F213" i="6"/>
  <c r="E214" i="6"/>
  <c r="C240" i="5"/>
  <c r="BU240" i="5" s="1"/>
  <c r="AF239" i="5" l="1"/>
  <c r="BT240" i="5"/>
  <c r="BV240" i="5"/>
  <c r="BS240" i="5"/>
  <c r="CI240" i="5"/>
  <c r="BH240" i="5"/>
  <c r="BI240" i="5" s="1"/>
  <c r="BJ240" i="5" s="1"/>
  <c r="BK240" i="5"/>
  <c r="BL240" i="5" s="1"/>
  <c r="BM240" i="5" s="1"/>
  <c r="CS240" i="5"/>
  <c r="CL240" i="5"/>
  <c r="CM240" i="5" s="1"/>
  <c r="C215" i="6"/>
  <c r="D240" i="5"/>
  <c r="AB240" i="5"/>
  <c r="DA240" i="5" s="1"/>
  <c r="DB240" i="5" s="1"/>
  <c r="AK240" i="5"/>
  <c r="AM240" i="5" s="1"/>
  <c r="AL241" i="5" s="1"/>
  <c r="CR240" i="5"/>
  <c r="CX240" i="5"/>
  <c r="CY240" i="5"/>
  <c r="CW240" i="5"/>
  <c r="AC240" i="5"/>
  <c r="BG239" i="5"/>
  <c r="H239" i="5" s="1"/>
  <c r="AX240" i="5"/>
  <c r="AW240" i="5" s="1"/>
  <c r="CU240" i="5"/>
  <c r="BX240" i="5" s="1"/>
  <c r="CZ239" i="5"/>
  <c r="BD239" i="5"/>
  <c r="BE240" i="5" s="1"/>
  <c r="BF239" i="5"/>
  <c r="AJ238" i="5"/>
  <c r="CH240" i="5" l="1"/>
  <c r="CK240" i="5"/>
  <c r="CJ240" i="5" s="1"/>
  <c r="K240" i="5" s="1"/>
  <c r="X238" i="5"/>
  <c r="Y238" i="5" s="1"/>
  <c r="AD240" i="5"/>
  <c r="AE240" i="5" s="1"/>
  <c r="CV240" i="5"/>
  <c r="CT240" i="5"/>
  <c r="L240" i="5"/>
  <c r="CP240" i="5"/>
  <c r="CQ240" i="5" s="1"/>
  <c r="R240" i="5" s="1"/>
  <c r="S240" i="5" s="1"/>
  <c r="T240" i="5"/>
  <c r="U240" i="5" s="1"/>
  <c r="W240" i="5"/>
  <c r="I239" i="5"/>
  <c r="AP239" i="5" s="1"/>
  <c r="BN240" i="5"/>
  <c r="BO240" i="5" s="1"/>
  <c r="BP240" i="5" s="1"/>
  <c r="G240" i="5" s="1"/>
  <c r="Z238" i="5" l="1"/>
  <c r="AA238" i="5" s="1"/>
  <c r="I213" i="6" s="1"/>
  <c r="H213" i="6"/>
  <c r="AT239" i="5"/>
  <c r="AH239" i="5"/>
  <c r="P239" i="5"/>
  <c r="AY239" i="5" s="1"/>
  <c r="M239" i="5"/>
  <c r="CO240" i="5"/>
  <c r="F240" i="5" s="1"/>
  <c r="CN240" i="5"/>
  <c r="E240" i="5" s="1"/>
  <c r="BW240" i="5" l="1"/>
  <c r="BY240" i="5"/>
  <c r="J240" i="5" s="1"/>
  <c r="AS239" i="5"/>
  <c r="AV239" i="5" s="1"/>
  <c r="AO239" i="5"/>
  <c r="N239" i="5"/>
  <c r="AG239" i="5"/>
  <c r="BC240" i="5"/>
  <c r="D215" i="6"/>
  <c r="E215" i="6"/>
  <c r="C241" i="5"/>
  <c r="BU241" i="5" s="1"/>
  <c r="F214" i="6"/>
  <c r="Q239" i="5"/>
  <c r="V239" i="5" s="1"/>
  <c r="AN240" i="5" l="1"/>
  <c r="AF240" i="5"/>
  <c r="BV241" i="5"/>
  <c r="BT241" i="5"/>
  <c r="BS241" i="5"/>
  <c r="CI241" i="5"/>
  <c r="BH241" i="5"/>
  <c r="BI241" i="5" s="1"/>
  <c r="BJ241" i="5" s="1"/>
  <c r="AR239" i="5"/>
  <c r="AJ239" i="5"/>
  <c r="C216" i="6"/>
  <c r="D241" i="5"/>
  <c r="AC241" i="5"/>
  <c r="AD241" i="5" s="1"/>
  <c r="AK241" i="5"/>
  <c r="AM241" i="5" s="1"/>
  <c r="AL242" i="5" s="1"/>
  <c r="CW241" i="5"/>
  <c r="CS241" i="5"/>
  <c r="CR241" i="5"/>
  <c r="CL241" i="5"/>
  <c r="CM241" i="5" s="1"/>
  <c r="CX241" i="5"/>
  <c r="BK241" i="5"/>
  <c r="BL241" i="5" s="1"/>
  <c r="BM241" i="5" s="1"/>
  <c r="AB241" i="5"/>
  <c r="BN241" i="5" s="1"/>
  <c r="BO241" i="5" s="1"/>
  <c r="BP241" i="5" s="1"/>
  <c r="CY241" i="5"/>
  <c r="BG240" i="5"/>
  <c r="H240" i="5" s="1"/>
  <c r="AX241" i="5"/>
  <c r="AW241" i="5" s="1"/>
  <c r="CU241" i="5"/>
  <c r="BX241" i="5" s="1"/>
  <c r="G214" i="6"/>
  <c r="CZ240" i="5"/>
  <c r="BD240" i="5"/>
  <c r="BE241" i="5" s="1"/>
  <c r="BF240" i="5"/>
  <c r="G241" i="5" l="1"/>
  <c r="CH241" i="5"/>
  <c r="CK241" i="5"/>
  <c r="CJ241" i="5" s="1"/>
  <c r="X239" i="5"/>
  <c r="Y239" i="5" s="1"/>
  <c r="CP241" i="5"/>
  <c r="CQ241" i="5" s="1"/>
  <c r="R241" i="5" s="1"/>
  <c r="S241" i="5" s="1"/>
  <c r="DA241" i="5"/>
  <c r="DB241" i="5" s="1"/>
  <c r="K241" i="5" s="1"/>
  <c r="I240" i="5"/>
  <c r="AP240" i="5" s="1"/>
  <c r="AE241" i="5"/>
  <c r="CT241" i="5"/>
  <c r="CV241" i="5"/>
  <c r="T241" i="5"/>
  <c r="U241" i="5" s="1"/>
  <c r="W241" i="5"/>
  <c r="L241" i="5"/>
  <c r="H214" i="6" l="1"/>
  <c r="Z239" i="5"/>
  <c r="AA239" i="5" s="1"/>
  <c r="I214" i="6" s="1"/>
  <c r="AH240" i="5"/>
  <c r="AT240" i="5"/>
  <c r="CN241" i="5"/>
  <c r="E241" i="5" s="1"/>
  <c r="CO241" i="5"/>
  <c r="F241" i="5" s="1"/>
  <c r="P240" i="5"/>
  <c r="AY240" i="5" s="1"/>
  <c r="M240" i="5"/>
  <c r="BW241" i="5" l="1"/>
  <c r="BY241" i="5"/>
  <c r="J241" i="5" s="1"/>
  <c r="AS240" i="5"/>
  <c r="AV240" i="5" s="1"/>
  <c r="AO240" i="5"/>
  <c r="AR240" i="5" s="1"/>
  <c r="N240" i="5"/>
  <c r="AG240" i="5"/>
  <c r="F215" i="6"/>
  <c r="Q240" i="5"/>
  <c r="V240" i="5" s="1"/>
  <c r="C242" i="5"/>
  <c r="BU242" i="5" s="1"/>
  <c r="E216" i="6"/>
  <c r="D216" i="6"/>
  <c r="BC241" i="5"/>
  <c r="AN241" i="5" l="1"/>
  <c r="AF241" i="5"/>
  <c r="BV242" i="5"/>
  <c r="BT242" i="5"/>
  <c r="BS242" i="5"/>
  <c r="CI242" i="5"/>
  <c r="BH242" i="5"/>
  <c r="BI242" i="5" s="1"/>
  <c r="BJ242" i="5" s="1"/>
  <c r="AJ240" i="5"/>
  <c r="X240" i="5" s="1"/>
  <c r="Y240" i="5" s="1"/>
  <c r="CX242" i="5"/>
  <c r="CW242" i="5"/>
  <c r="C217" i="6"/>
  <c r="BK242" i="5"/>
  <c r="BL242" i="5" s="1"/>
  <c r="BM242" i="5" s="1"/>
  <c r="CR242" i="5"/>
  <c r="AB242" i="5"/>
  <c r="BN242" i="5" s="1"/>
  <c r="BO242" i="5" s="1"/>
  <c r="BP242" i="5" s="1"/>
  <c r="CS242" i="5"/>
  <c r="AK242" i="5"/>
  <c r="AM242" i="5" s="1"/>
  <c r="AL243" i="5" s="1"/>
  <c r="CY242" i="5"/>
  <c r="D242" i="5"/>
  <c r="CL242" i="5"/>
  <c r="CM242" i="5" s="1"/>
  <c r="AC242" i="5"/>
  <c r="AD242" i="5" s="1"/>
  <c r="BG241" i="5"/>
  <c r="H241" i="5" s="1"/>
  <c r="AX242" i="5"/>
  <c r="AW242" i="5" s="1"/>
  <c r="CU242" i="5"/>
  <c r="BX242" i="5" s="1"/>
  <c r="G215" i="6"/>
  <c r="BF241" i="5"/>
  <c r="CZ241" i="5"/>
  <c r="BD241" i="5"/>
  <c r="BE242" i="5" s="1"/>
  <c r="G242" i="5" l="1"/>
  <c r="CK242" i="5"/>
  <c r="CJ242" i="5" s="1"/>
  <c r="CH242" i="5"/>
  <c r="CT242" i="5"/>
  <c r="CV242" i="5"/>
  <c r="I241" i="5"/>
  <c r="AP241" i="5" s="1"/>
  <c r="AE242" i="5"/>
  <c r="CP242" i="5"/>
  <c r="CQ242" i="5" s="1"/>
  <c r="R242" i="5" s="1"/>
  <c r="S242" i="5" s="1"/>
  <c r="L242" i="5"/>
  <c r="DA242" i="5"/>
  <c r="DB242" i="5" s="1"/>
  <c r="K242" i="5" s="1"/>
  <c r="W242" i="5"/>
  <c r="T242" i="5"/>
  <c r="U242" i="5" s="1"/>
  <c r="H215" i="6"/>
  <c r="Z240" i="5"/>
  <c r="AT241" i="5" l="1"/>
  <c r="AH241" i="5"/>
  <c r="M241" i="5"/>
  <c r="P241" i="5"/>
  <c r="AY241" i="5" s="1"/>
  <c r="CN242" i="5"/>
  <c r="E242" i="5" s="1"/>
  <c r="CO242" i="5"/>
  <c r="F242" i="5" s="1"/>
  <c r="AA240" i="5"/>
  <c r="I215" i="6" s="1"/>
  <c r="BY242" i="5" l="1"/>
  <c r="J242" i="5" s="1"/>
  <c r="BW242" i="5"/>
  <c r="AG241" i="5"/>
  <c r="AJ241" i="5" s="1"/>
  <c r="AO241" i="5"/>
  <c r="AR241" i="5" s="1"/>
  <c r="N241" i="5"/>
  <c r="AS241" i="5"/>
  <c r="AV241" i="5" s="1"/>
  <c r="Q241" i="5"/>
  <c r="V241" i="5" s="1"/>
  <c r="F216" i="6"/>
  <c r="E217" i="6"/>
  <c r="C243" i="5"/>
  <c r="BU243" i="5" s="1"/>
  <c r="D217" i="6"/>
  <c r="BC242" i="5"/>
  <c r="AF242" i="5" l="1"/>
  <c r="AN242" i="5"/>
  <c r="BT243" i="5"/>
  <c r="BV243" i="5"/>
  <c r="BS243" i="5"/>
  <c r="CI243" i="5"/>
  <c r="BH243" i="5"/>
  <c r="BI243" i="5" s="1"/>
  <c r="BJ243" i="5" s="1"/>
  <c r="X241" i="5"/>
  <c r="Y241" i="5" s="1"/>
  <c r="CR243" i="5"/>
  <c r="CS243" i="5"/>
  <c r="CY243" i="5"/>
  <c r="CW243" i="5"/>
  <c r="AK243" i="5"/>
  <c r="C218" i="6"/>
  <c r="CL243" i="5"/>
  <c r="CM243" i="5" s="1"/>
  <c r="BK243" i="5"/>
  <c r="BL243" i="5" s="1"/>
  <c r="BM243" i="5" s="1"/>
  <c r="D243" i="5"/>
  <c r="CX243" i="5"/>
  <c r="AB243" i="5"/>
  <c r="BN243" i="5" s="1"/>
  <c r="BO243" i="5" s="1"/>
  <c r="BP243" i="5" s="1"/>
  <c r="AC243" i="5"/>
  <c r="BG242" i="5"/>
  <c r="H242" i="5" s="1"/>
  <c r="AX243" i="5"/>
  <c r="AW243" i="5" s="1"/>
  <c r="CU243" i="5"/>
  <c r="BX243" i="5" s="1"/>
  <c r="CZ242" i="5"/>
  <c r="BD242" i="5"/>
  <c r="BE243" i="5" s="1"/>
  <c r="BF242" i="5"/>
  <c r="G216" i="6"/>
  <c r="G243" i="5" l="1"/>
  <c r="CH243" i="5"/>
  <c r="CK243" i="5"/>
  <c r="CJ243" i="5" s="1"/>
  <c r="AD243" i="5"/>
  <c r="AE243" i="5" s="1"/>
  <c r="L243" i="5"/>
  <c r="CP243" i="5"/>
  <c r="CQ243" i="5" s="1"/>
  <c r="R243" i="5" s="1"/>
  <c r="S243" i="5" s="1"/>
  <c r="DA243" i="5"/>
  <c r="DB243" i="5" s="1"/>
  <c r="K243" i="5" s="1"/>
  <c r="AM243" i="5"/>
  <c r="AL244" i="5" s="1"/>
  <c r="CV243" i="5"/>
  <c r="CT243" i="5"/>
  <c r="H216" i="6"/>
  <c r="Z241" i="5"/>
  <c r="I242" i="5"/>
  <c r="AH242" i="5" s="1"/>
  <c r="T243" i="5"/>
  <c r="U243" i="5" s="1"/>
  <c r="W243" i="5"/>
  <c r="AT242" i="5" l="1"/>
  <c r="AP242" i="5"/>
  <c r="CN243" i="5"/>
  <c r="E243" i="5" s="1"/>
  <c r="CO243" i="5"/>
  <c r="F243" i="5" s="1"/>
  <c r="M242" i="5"/>
  <c r="P242" i="5"/>
  <c r="AY242" i="5" s="1"/>
  <c r="AA241" i="5"/>
  <c r="I216" i="6" s="1"/>
  <c r="AO242" i="5" l="1"/>
  <c r="AR242" i="5" s="1"/>
  <c r="AG242" i="5"/>
  <c r="Q242" i="5"/>
  <c r="V242" i="5" s="1"/>
  <c r="F217" i="6"/>
  <c r="N242" i="5"/>
  <c r="AS242" i="5"/>
  <c r="AV242" i="5" s="1"/>
  <c r="E218" i="6"/>
  <c r="C244" i="5"/>
  <c r="BU244" i="5" s="1"/>
  <c r="BC243" i="5"/>
  <c r="D218" i="6"/>
  <c r="BW243" i="5" l="1"/>
  <c r="BY243" i="5"/>
  <c r="J243" i="5" s="1"/>
  <c r="BT244" i="5"/>
  <c r="BV244" i="5"/>
  <c r="BS244" i="5"/>
  <c r="CI244" i="5"/>
  <c r="BH244" i="5"/>
  <c r="BI244" i="5" s="1"/>
  <c r="BJ244" i="5" s="1"/>
  <c r="AJ242" i="5"/>
  <c r="CW244" i="5"/>
  <c r="CS244" i="5"/>
  <c r="AC244" i="5"/>
  <c r="AD244" i="5" s="1"/>
  <c r="CR244" i="5"/>
  <c r="D244" i="5"/>
  <c r="AB244" i="5"/>
  <c r="BN244" i="5" s="1"/>
  <c r="BO244" i="5" s="1"/>
  <c r="BP244" i="5" s="1"/>
  <c r="BK244" i="5"/>
  <c r="BL244" i="5" s="1"/>
  <c r="BM244" i="5" s="1"/>
  <c r="CX244" i="5"/>
  <c r="CY244" i="5"/>
  <c r="CL244" i="5"/>
  <c r="CM244" i="5" s="1"/>
  <c r="AK244" i="5"/>
  <c r="C219" i="6"/>
  <c r="BG243" i="5"/>
  <c r="H243" i="5" s="1"/>
  <c r="AX244" i="5"/>
  <c r="AW244" i="5" s="1"/>
  <c r="CU244" i="5"/>
  <c r="G217" i="6"/>
  <c r="BD243" i="5"/>
  <c r="BE244" i="5" s="1"/>
  <c r="BF243" i="5"/>
  <c r="CZ243" i="5"/>
  <c r="AN243" i="5" l="1"/>
  <c r="AF243" i="5"/>
  <c r="BX244" i="5"/>
  <c r="G244" i="5"/>
  <c r="CH244" i="5"/>
  <c r="CK244" i="5"/>
  <c r="CJ244" i="5" s="1"/>
  <c r="X242" i="5"/>
  <c r="Y242" i="5" s="1"/>
  <c r="DA244" i="5"/>
  <c r="DB244" i="5" s="1"/>
  <c r="K244" i="5" s="1"/>
  <c r="CV244" i="5"/>
  <c r="CT244" i="5"/>
  <c r="L244" i="5"/>
  <c r="T244" i="5"/>
  <c r="U244" i="5" s="1"/>
  <c r="W244" i="5"/>
  <c r="I243" i="5"/>
  <c r="AH243" i="5" s="1"/>
  <c r="AM244" i="5"/>
  <c r="AL245" i="5" s="1"/>
  <c r="AE244" i="5"/>
  <c r="CP244" i="5"/>
  <c r="CQ244" i="5" s="1"/>
  <c r="R244" i="5" s="1"/>
  <c r="S244" i="5" s="1"/>
  <c r="H217" i="6" l="1"/>
  <c r="Z242" i="5"/>
  <c r="AA242" i="5" s="1"/>
  <c r="I217" i="6" s="1"/>
  <c r="P243" i="5"/>
  <c r="AY243" i="5" s="1"/>
  <c r="M243" i="5"/>
  <c r="AG243" i="5" s="1"/>
  <c r="AJ243" i="5" s="1"/>
  <c r="AT243" i="5"/>
  <c r="AP243" i="5"/>
  <c r="CO244" i="5"/>
  <c r="F244" i="5" s="1"/>
  <c r="CN244" i="5"/>
  <c r="E244" i="5" s="1"/>
  <c r="D219" i="6" l="1"/>
  <c r="BC244" i="5"/>
  <c r="C245" i="5"/>
  <c r="BU245" i="5" s="1"/>
  <c r="E219" i="6"/>
  <c r="F218" i="6"/>
  <c r="Q243" i="5"/>
  <c r="V243" i="5" s="1"/>
  <c r="N243" i="5"/>
  <c r="AS243" i="5"/>
  <c r="AV243" i="5" s="1"/>
  <c r="AO243" i="5"/>
  <c r="BW244" i="5" l="1"/>
  <c r="BY244" i="5"/>
  <c r="J244" i="5" s="1"/>
  <c r="BT245" i="5"/>
  <c r="BV245" i="5"/>
  <c r="BS245" i="5"/>
  <c r="CI245" i="5"/>
  <c r="BH245" i="5"/>
  <c r="BI245" i="5" s="1"/>
  <c r="BJ245" i="5" s="1"/>
  <c r="CL245" i="5"/>
  <c r="CM245" i="5" s="1"/>
  <c r="CR245" i="5"/>
  <c r="CS245" i="5"/>
  <c r="D245" i="5"/>
  <c r="BK245" i="5"/>
  <c r="BL245" i="5" s="1"/>
  <c r="BM245" i="5" s="1"/>
  <c r="C220" i="6"/>
  <c r="AB245" i="5"/>
  <c r="CP245" i="5" s="1"/>
  <c r="CQ245" i="5" s="1"/>
  <c r="R245" i="5" s="1"/>
  <c r="S245" i="5" s="1"/>
  <c r="CY245" i="5"/>
  <c r="CX245" i="5"/>
  <c r="AK245" i="5"/>
  <c r="CW245" i="5"/>
  <c r="AC245" i="5"/>
  <c r="BG244" i="5"/>
  <c r="H244" i="5" s="1"/>
  <c r="AX245" i="5"/>
  <c r="AW245" i="5" s="1"/>
  <c r="CU245" i="5"/>
  <c r="G218" i="6"/>
  <c r="CZ244" i="5"/>
  <c r="BF244" i="5"/>
  <c r="BD244" i="5"/>
  <c r="BE245" i="5" s="1"/>
  <c r="AR243" i="5"/>
  <c r="AF244" i="5" l="1"/>
  <c r="AN244" i="5"/>
  <c r="BX245" i="5"/>
  <c r="CH245" i="5"/>
  <c r="CK245" i="5"/>
  <c r="CJ245" i="5" s="1"/>
  <c r="X243" i="5"/>
  <c r="Y243" i="5" s="1"/>
  <c r="AD245" i="5"/>
  <c r="AE245" i="5" s="1"/>
  <c r="BN245" i="5"/>
  <c r="BO245" i="5" s="1"/>
  <c r="BP245" i="5" s="1"/>
  <c r="G245" i="5" s="1"/>
  <c r="T245" i="5"/>
  <c r="U245" i="5" s="1"/>
  <c r="W245" i="5"/>
  <c r="L245" i="5"/>
  <c r="I244" i="5"/>
  <c r="AM245" i="5"/>
  <c r="AL246" i="5" s="1"/>
  <c r="CT245" i="5"/>
  <c r="CV245" i="5"/>
  <c r="DA245" i="5"/>
  <c r="DB245" i="5" s="1"/>
  <c r="K245" i="5" s="1"/>
  <c r="AH244" i="5" l="1"/>
  <c r="Z243" i="5"/>
  <c r="AA243" i="5" s="1"/>
  <c r="I218" i="6" s="1"/>
  <c r="H218" i="6"/>
  <c r="AT244" i="5"/>
  <c r="AP244" i="5"/>
  <c r="P244" i="5"/>
  <c r="AY244" i="5" s="1"/>
  <c r="M244" i="5"/>
  <c r="CN245" i="5"/>
  <c r="E245" i="5" s="1"/>
  <c r="CO245" i="5"/>
  <c r="F245" i="5" s="1"/>
  <c r="BW245" i="5" l="1"/>
  <c r="BY245" i="5"/>
  <c r="J245" i="5" s="1"/>
  <c r="AS244" i="5"/>
  <c r="AV244" i="5" s="1"/>
  <c r="AO244" i="5"/>
  <c r="AG244" i="5"/>
  <c r="AJ244" i="5" s="1"/>
  <c r="N244" i="5"/>
  <c r="F219" i="6"/>
  <c r="Q244" i="5"/>
  <c r="V244" i="5" s="1"/>
  <c r="C246" i="5"/>
  <c r="BU246" i="5" s="1"/>
  <c r="E220" i="6"/>
  <c r="D220" i="6"/>
  <c r="BC245" i="5"/>
  <c r="AN245" i="5" l="1"/>
  <c r="AF245" i="5"/>
  <c r="BV246" i="5"/>
  <c r="BT246" i="5"/>
  <c r="BS246" i="5"/>
  <c r="CI246" i="5"/>
  <c r="BH246" i="5"/>
  <c r="BI246" i="5" s="1"/>
  <c r="BJ246" i="5" s="1"/>
  <c r="AR244" i="5"/>
  <c r="G219" i="6"/>
  <c r="BF245" i="5"/>
  <c r="CZ245" i="5"/>
  <c r="BD245" i="5"/>
  <c r="BE246" i="5" s="1"/>
  <c r="AK246" i="5"/>
  <c r="AM246" i="5" s="1"/>
  <c r="AL247" i="5" s="1"/>
  <c r="BK246" i="5"/>
  <c r="BL246" i="5" s="1"/>
  <c r="BM246" i="5" s="1"/>
  <c r="CL246" i="5"/>
  <c r="CM246" i="5" s="1"/>
  <c r="CS246" i="5"/>
  <c r="CY246" i="5"/>
  <c r="C221" i="6"/>
  <c r="AB246" i="5"/>
  <c r="BN246" i="5" s="1"/>
  <c r="BO246" i="5" s="1"/>
  <c r="BP246" i="5" s="1"/>
  <c r="D246" i="5"/>
  <c r="CW246" i="5"/>
  <c r="AC246" i="5"/>
  <c r="CR246" i="5"/>
  <c r="CX246" i="5"/>
  <c r="BG245" i="5"/>
  <c r="H245" i="5" s="1"/>
  <c r="AX246" i="5"/>
  <c r="AW246" i="5" s="1"/>
  <c r="CU246" i="5"/>
  <c r="BX246" i="5" s="1"/>
  <c r="G246" i="5" l="1"/>
  <c r="CH246" i="5"/>
  <c r="CK246" i="5"/>
  <c r="CJ246" i="5" s="1"/>
  <c r="AD246" i="5"/>
  <c r="AE246" i="5" s="1"/>
  <c r="X244" i="5"/>
  <c r="Y244" i="5" s="1"/>
  <c r="DA246" i="5"/>
  <c r="DB246" i="5" s="1"/>
  <c r="K246" i="5" s="1"/>
  <c r="L246" i="5"/>
  <c r="CP246" i="5"/>
  <c r="CQ246" i="5" s="1"/>
  <c r="R246" i="5" s="1"/>
  <c r="S246" i="5" s="1"/>
  <c r="T246" i="5"/>
  <c r="U246" i="5" s="1"/>
  <c r="W246" i="5"/>
  <c r="CT246" i="5"/>
  <c r="CV246" i="5"/>
  <c r="I245" i="5"/>
  <c r="AP245" i="5" s="1"/>
  <c r="H219" i="6" l="1"/>
  <c r="Z244" i="5"/>
  <c r="AA244" i="5" s="1"/>
  <c r="I219" i="6" s="1"/>
  <c r="AH245" i="5"/>
  <c r="AT245" i="5"/>
  <c r="M245" i="5"/>
  <c r="P245" i="5"/>
  <c r="AY245" i="5" s="1"/>
  <c r="CN246" i="5"/>
  <c r="E246" i="5" s="1"/>
  <c r="CO246" i="5"/>
  <c r="F246" i="5" s="1"/>
  <c r="AS245" i="5" l="1"/>
  <c r="AV245" i="5" s="1"/>
  <c r="AO245" i="5"/>
  <c r="AR245" i="5" s="1"/>
  <c r="D221" i="6"/>
  <c r="BC246" i="5"/>
  <c r="F220" i="6"/>
  <c r="Q245" i="5"/>
  <c r="V245" i="5" s="1"/>
  <c r="G220" i="6" s="1"/>
  <c r="N245" i="5"/>
  <c r="AG245" i="5"/>
  <c r="E221" i="6"/>
  <c r="C247" i="5"/>
  <c r="BU247" i="5" s="1"/>
  <c r="BW246" i="5" l="1"/>
  <c r="BY246" i="5"/>
  <c r="J246" i="5" s="1"/>
  <c r="BV247" i="5"/>
  <c r="BT247" i="5"/>
  <c r="BS247" i="5"/>
  <c r="CI247" i="5"/>
  <c r="BH247" i="5"/>
  <c r="BI247" i="5" s="1"/>
  <c r="BJ247" i="5" s="1"/>
  <c r="AJ245" i="5"/>
  <c r="CZ246" i="5"/>
  <c r="BF246" i="5"/>
  <c r="BD246" i="5"/>
  <c r="BE247" i="5" s="1"/>
  <c r="CW247" i="5"/>
  <c r="CS247" i="5"/>
  <c r="CY247" i="5"/>
  <c r="AK247" i="5"/>
  <c r="CX247" i="5"/>
  <c r="C222" i="6"/>
  <c r="BK247" i="5"/>
  <c r="BL247" i="5" s="1"/>
  <c r="BM247" i="5" s="1"/>
  <c r="CL247" i="5"/>
  <c r="CM247" i="5" s="1"/>
  <c r="AB247" i="5"/>
  <c r="CP247" i="5" s="1"/>
  <c r="CQ247" i="5" s="1"/>
  <c r="R247" i="5" s="1"/>
  <c r="S247" i="5" s="1"/>
  <c r="AC247" i="5"/>
  <c r="D247" i="5"/>
  <c r="CR247" i="5"/>
  <c r="BG246" i="5"/>
  <c r="H246" i="5" s="1"/>
  <c r="AX247" i="5"/>
  <c r="AW247" i="5" s="1"/>
  <c r="CU247" i="5"/>
  <c r="AN246" i="5" l="1"/>
  <c r="AF246" i="5"/>
  <c r="BX247" i="5"/>
  <c r="AD247" i="5"/>
  <c r="AE247" i="5" s="1"/>
  <c r="CK247" i="5"/>
  <c r="CJ247" i="5" s="1"/>
  <c r="CH247" i="5"/>
  <c r="X245" i="5"/>
  <c r="Y245" i="5" s="1"/>
  <c r="DA247" i="5"/>
  <c r="DB247" i="5" s="1"/>
  <c r="K247" i="5" s="1"/>
  <c r="BN247" i="5"/>
  <c r="BO247" i="5" s="1"/>
  <c r="BP247" i="5" s="1"/>
  <c r="G247" i="5" s="1"/>
  <c r="CT247" i="5"/>
  <c r="CV247" i="5"/>
  <c r="L247" i="5"/>
  <c r="T247" i="5"/>
  <c r="U247" i="5" s="1"/>
  <c r="W247" i="5"/>
  <c r="AM247" i="5"/>
  <c r="AL248" i="5" s="1"/>
  <c r="I246" i="5"/>
  <c r="H220" i="6" l="1"/>
  <c r="Z245" i="5"/>
  <c r="AA245" i="5" s="1"/>
  <c r="I220" i="6" s="1"/>
  <c r="AH246" i="5"/>
  <c r="AT246" i="5"/>
  <c r="AP246" i="5"/>
  <c r="M246" i="5"/>
  <c r="P246" i="5"/>
  <c r="AY246" i="5" s="1"/>
  <c r="CO247" i="5"/>
  <c r="F247" i="5" s="1"/>
  <c r="CN247" i="5"/>
  <c r="E247" i="5" s="1"/>
  <c r="BY247" i="5" l="1"/>
  <c r="J247" i="5" s="1"/>
  <c r="BW247" i="5"/>
  <c r="AS246" i="5"/>
  <c r="AV246" i="5" s="1"/>
  <c r="AO246" i="5"/>
  <c r="N246" i="5"/>
  <c r="AG246" i="5"/>
  <c r="BC247" i="5"/>
  <c r="D222" i="6"/>
  <c r="Q246" i="5"/>
  <c r="V246" i="5" s="1"/>
  <c r="F221" i="6"/>
  <c r="E222" i="6"/>
  <c r="C248" i="5"/>
  <c r="BU248" i="5" s="1"/>
  <c r="AN247" i="5" l="1"/>
  <c r="AF247" i="5"/>
  <c r="BT248" i="5"/>
  <c r="BV248" i="5"/>
  <c r="BS248" i="5"/>
  <c r="CI248" i="5"/>
  <c r="BH248" i="5"/>
  <c r="BI248" i="5" s="1"/>
  <c r="BJ248" i="5" s="1"/>
  <c r="AR246" i="5"/>
  <c r="AJ246" i="5"/>
  <c r="G221" i="6"/>
  <c r="CY248" i="5"/>
  <c r="CL248" i="5"/>
  <c r="CM248" i="5" s="1"/>
  <c r="CS248" i="5"/>
  <c r="AK248" i="5"/>
  <c r="BK248" i="5"/>
  <c r="BL248" i="5" s="1"/>
  <c r="BM248" i="5" s="1"/>
  <c r="C223" i="6"/>
  <c r="AC248" i="5"/>
  <c r="CW248" i="5"/>
  <c r="CX248" i="5"/>
  <c r="CR248" i="5"/>
  <c r="D248" i="5"/>
  <c r="AB248" i="5"/>
  <c r="CP248" i="5" s="1"/>
  <c r="CQ248" i="5" s="1"/>
  <c r="R248" i="5" s="1"/>
  <c r="S248" i="5" s="1"/>
  <c r="BG247" i="5"/>
  <c r="H247" i="5" s="1"/>
  <c r="AX248" i="5"/>
  <c r="AW248" i="5" s="1"/>
  <c r="CU248" i="5"/>
  <c r="BX248" i="5" s="1"/>
  <c r="BD247" i="5"/>
  <c r="BE248" i="5" s="1"/>
  <c r="BF247" i="5"/>
  <c r="CZ247" i="5"/>
  <c r="X246" i="5" l="1"/>
  <c r="Y246" i="5" s="1"/>
  <c r="Z246" i="5" s="1"/>
  <c r="AD248" i="5"/>
  <c r="AE248" i="5" s="1"/>
  <c r="CH248" i="5"/>
  <c r="CK248" i="5"/>
  <c r="CJ248" i="5" s="1"/>
  <c r="DA248" i="5"/>
  <c r="DB248" i="5" s="1"/>
  <c r="K248" i="5" s="1"/>
  <c r="L248" i="5"/>
  <c r="AM248" i="5"/>
  <c r="AL249" i="5" s="1"/>
  <c r="I247" i="5"/>
  <c r="AP247" i="5" s="1"/>
  <c r="W248" i="5"/>
  <c r="T248" i="5"/>
  <c r="U248" i="5" s="1"/>
  <c r="CV248" i="5"/>
  <c r="CT248" i="5"/>
  <c r="BN248" i="5"/>
  <c r="BO248" i="5" s="1"/>
  <c r="BP248" i="5" s="1"/>
  <c r="G248" i="5" s="1"/>
  <c r="H221" i="6" l="1"/>
  <c r="AH247" i="5"/>
  <c r="AT247" i="5"/>
  <c r="AA246" i="5"/>
  <c r="I221" i="6" s="1"/>
  <c r="CN248" i="5"/>
  <c r="E248" i="5" s="1"/>
  <c r="CO248" i="5"/>
  <c r="F248" i="5" s="1"/>
  <c r="P247" i="5"/>
  <c r="AY247" i="5" s="1"/>
  <c r="M247" i="5"/>
  <c r="BW248" i="5" l="1"/>
  <c r="BY248" i="5"/>
  <c r="J248" i="5" s="1"/>
  <c r="AG247" i="5"/>
  <c r="AJ247" i="5" s="1"/>
  <c r="AO247" i="5"/>
  <c r="AR247" i="5" s="1"/>
  <c r="N247" i="5"/>
  <c r="AS247" i="5"/>
  <c r="AV247" i="5" s="1"/>
  <c r="E223" i="6"/>
  <c r="C249" i="5"/>
  <c r="BU249" i="5" s="1"/>
  <c r="BC248" i="5"/>
  <c r="D223" i="6"/>
  <c r="Q247" i="5"/>
  <c r="V247" i="5" s="1"/>
  <c r="F222" i="6"/>
  <c r="AF248" i="5" l="1"/>
  <c r="AN248" i="5"/>
  <c r="BV249" i="5"/>
  <c r="BT249" i="5"/>
  <c r="BS249" i="5"/>
  <c r="CI249" i="5"/>
  <c r="BH249" i="5"/>
  <c r="BI249" i="5" s="1"/>
  <c r="BJ249" i="5" s="1"/>
  <c r="X247" i="5"/>
  <c r="Y247" i="5" s="1"/>
  <c r="CZ248" i="5"/>
  <c r="BF248" i="5"/>
  <c r="BD248" i="5"/>
  <c r="BE249" i="5" s="1"/>
  <c r="CY249" i="5"/>
  <c r="CL249" i="5"/>
  <c r="CM249" i="5" s="1"/>
  <c r="AC249" i="5"/>
  <c r="AD249" i="5" s="1"/>
  <c r="C224" i="6"/>
  <c r="AB249" i="5"/>
  <c r="BN249" i="5" s="1"/>
  <c r="BO249" i="5" s="1"/>
  <c r="BP249" i="5" s="1"/>
  <c r="AK249" i="5"/>
  <c r="AM249" i="5" s="1"/>
  <c r="AL250" i="5" s="1"/>
  <c r="CR249" i="5"/>
  <c r="CS249" i="5"/>
  <c r="BK249" i="5"/>
  <c r="BL249" i="5" s="1"/>
  <c r="BM249" i="5" s="1"/>
  <c r="CW249" i="5"/>
  <c r="D249" i="5"/>
  <c r="CX249" i="5"/>
  <c r="BG248" i="5"/>
  <c r="H248" i="5" s="1"/>
  <c r="AX249" i="5"/>
  <c r="AW249" i="5" s="1"/>
  <c r="CU249" i="5"/>
  <c r="BX249" i="5" s="1"/>
  <c r="G222" i="6"/>
  <c r="G249" i="5" l="1"/>
  <c r="CH249" i="5"/>
  <c r="CK249" i="5"/>
  <c r="CJ249" i="5" s="1"/>
  <c r="CP249" i="5"/>
  <c r="CQ249" i="5" s="1"/>
  <c r="R249" i="5" s="1"/>
  <c r="S249" i="5" s="1"/>
  <c r="DA249" i="5"/>
  <c r="DB249" i="5" s="1"/>
  <c r="K249" i="5" s="1"/>
  <c r="I248" i="5"/>
  <c r="AH248" i="5" s="1"/>
  <c r="AE249" i="5"/>
  <c r="H222" i="6"/>
  <c r="Z247" i="5"/>
  <c r="CT249" i="5"/>
  <c r="CV249" i="5"/>
  <c r="W249" i="5"/>
  <c r="T249" i="5"/>
  <c r="U249" i="5" s="1"/>
  <c r="L249" i="5"/>
  <c r="AT248" i="5" l="1"/>
  <c r="AP248" i="5"/>
  <c r="AA247" i="5"/>
  <c r="I222" i="6" s="1"/>
  <c r="M248" i="5"/>
  <c r="P248" i="5"/>
  <c r="CN249" i="5"/>
  <c r="E249" i="5" s="1"/>
  <c r="CO249" i="5"/>
  <c r="F249" i="5" s="1"/>
  <c r="BW249" i="5" l="1"/>
  <c r="BY249" i="5"/>
  <c r="J249" i="5" s="1"/>
  <c r="BB248" i="5"/>
  <c r="AY248" i="5"/>
  <c r="AO248" i="5"/>
  <c r="AR248" i="5" s="1"/>
  <c r="AG248" i="5"/>
  <c r="N248" i="5"/>
  <c r="AS248" i="5"/>
  <c r="AV248" i="5" s="1"/>
  <c r="C250" i="5"/>
  <c r="BU250" i="5" s="1"/>
  <c r="E224" i="6"/>
  <c r="D224" i="6"/>
  <c r="BC249" i="5"/>
  <c r="Q248" i="5"/>
  <c r="V248" i="5" s="1"/>
  <c r="F223" i="6"/>
  <c r="AF249" i="5" l="1"/>
  <c r="AN249" i="5"/>
  <c r="BV250" i="5"/>
  <c r="BT250" i="5"/>
  <c r="BS250" i="5"/>
  <c r="CI250" i="5"/>
  <c r="BH250" i="5"/>
  <c r="BI250" i="5" s="1"/>
  <c r="BJ250" i="5" s="1"/>
  <c r="AJ248" i="5"/>
  <c r="G223" i="6"/>
  <c r="BF249" i="5"/>
  <c r="BD249" i="5"/>
  <c r="BE250" i="5" s="1"/>
  <c r="CZ249" i="5"/>
  <c r="D250" i="5"/>
  <c r="CW250" i="5"/>
  <c r="AK250" i="5"/>
  <c r="AM250" i="5" s="1"/>
  <c r="AL251" i="5" s="1"/>
  <c r="CY250" i="5"/>
  <c r="CX250" i="5"/>
  <c r="CL250" i="5"/>
  <c r="CM250" i="5" s="1"/>
  <c r="C225" i="6"/>
  <c r="AC250" i="5"/>
  <c r="CS250" i="5"/>
  <c r="AB250" i="5"/>
  <c r="BN250" i="5" s="1"/>
  <c r="BO250" i="5" s="1"/>
  <c r="BP250" i="5" s="1"/>
  <c r="BK250" i="5"/>
  <c r="BL250" i="5" s="1"/>
  <c r="BM250" i="5" s="1"/>
  <c r="CR250" i="5"/>
  <c r="BG249" i="5"/>
  <c r="H249" i="5" s="1"/>
  <c r="AX250" i="5"/>
  <c r="AW250" i="5" s="1"/>
  <c r="CU250" i="5"/>
  <c r="BX250" i="5" s="1"/>
  <c r="G250" i="5" l="1"/>
  <c r="AD250" i="5"/>
  <c r="AE250" i="5" s="1"/>
  <c r="CK250" i="5"/>
  <c r="CJ250" i="5" s="1"/>
  <c r="CH250" i="5"/>
  <c r="X248" i="5"/>
  <c r="Y248" i="5" s="1"/>
  <c r="L250" i="5"/>
  <c r="DA250" i="5"/>
  <c r="DB250" i="5" s="1"/>
  <c r="K250" i="5" s="1"/>
  <c r="CP250" i="5"/>
  <c r="CQ250" i="5" s="1"/>
  <c r="R250" i="5" s="1"/>
  <c r="S250" i="5" s="1"/>
  <c r="T250" i="5"/>
  <c r="U250" i="5" s="1"/>
  <c r="W250" i="5"/>
  <c r="CT250" i="5"/>
  <c r="CV250" i="5"/>
  <c r="I249" i="5"/>
  <c r="AH249" i="5" s="1"/>
  <c r="H223" i="6" l="1"/>
  <c r="Z248" i="5"/>
  <c r="AA248" i="5" s="1"/>
  <c r="I223" i="6" s="1"/>
  <c r="AT249" i="5"/>
  <c r="AP249" i="5"/>
  <c r="M249" i="5"/>
  <c r="P249" i="5"/>
  <c r="AY249" i="5" s="1"/>
  <c r="CN250" i="5"/>
  <c r="E250" i="5" s="1"/>
  <c r="CO250" i="5"/>
  <c r="F250" i="5" s="1"/>
  <c r="AO249" i="5" l="1"/>
  <c r="AR249" i="5" s="1"/>
  <c r="AG249" i="5"/>
  <c r="AJ249" i="5" s="1"/>
  <c r="Q249" i="5"/>
  <c r="V249" i="5" s="1"/>
  <c r="F224" i="6"/>
  <c r="N249" i="5"/>
  <c r="AS249" i="5"/>
  <c r="AV249" i="5" s="1"/>
  <c r="E225" i="6"/>
  <c r="C251" i="5"/>
  <c r="BU251" i="5" s="1"/>
  <c r="BC250" i="5"/>
  <c r="D225" i="6"/>
  <c r="BY250" i="5" l="1"/>
  <c r="J250" i="5" s="1"/>
  <c r="BW250" i="5"/>
  <c r="BT251" i="5"/>
  <c r="BV251" i="5"/>
  <c r="BS251" i="5"/>
  <c r="CI251" i="5"/>
  <c r="BH251" i="5"/>
  <c r="BI251" i="5" s="1"/>
  <c r="BJ251" i="5" s="1"/>
  <c r="X249" i="5"/>
  <c r="Y249" i="5" s="1"/>
  <c r="CL251" i="5"/>
  <c r="CM251" i="5" s="1"/>
  <c r="D251" i="5"/>
  <c r="CW251" i="5"/>
  <c r="AK251" i="5"/>
  <c r="AM251" i="5" s="1"/>
  <c r="AL252" i="5" s="1"/>
  <c r="AB251" i="5"/>
  <c r="L251" i="5" s="1"/>
  <c r="CX251" i="5"/>
  <c r="CS251" i="5"/>
  <c r="BK251" i="5"/>
  <c r="BL251" i="5" s="1"/>
  <c r="BM251" i="5" s="1"/>
  <c r="C226" i="6"/>
  <c r="CY251" i="5"/>
  <c r="AC251" i="5"/>
  <c r="AD251" i="5" s="1"/>
  <c r="CR251" i="5"/>
  <c r="BG250" i="5"/>
  <c r="H250" i="5" s="1"/>
  <c r="AX251" i="5"/>
  <c r="AW251" i="5" s="1"/>
  <c r="CU251" i="5"/>
  <c r="BD250" i="5"/>
  <c r="BE251" i="5" s="1"/>
  <c r="CZ250" i="5"/>
  <c r="BF250" i="5"/>
  <c r="G224" i="6"/>
  <c r="AN250" i="5" l="1"/>
  <c r="AF250" i="5"/>
  <c r="BX251" i="5"/>
  <c r="CH251" i="5"/>
  <c r="CK251" i="5"/>
  <c r="CJ251" i="5" s="1"/>
  <c r="CP251" i="5"/>
  <c r="CQ251" i="5" s="1"/>
  <c r="R251" i="5" s="1"/>
  <c r="S251" i="5" s="1"/>
  <c r="BN251" i="5"/>
  <c r="BO251" i="5" s="1"/>
  <c r="BP251" i="5" s="1"/>
  <c r="G251" i="5" s="1"/>
  <c r="DA251" i="5"/>
  <c r="DB251" i="5" s="1"/>
  <c r="CT251" i="5"/>
  <c r="CV251" i="5"/>
  <c r="I250" i="5"/>
  <c r="AH250" i="5" s="1"/>
  <c r="AE251" i="5"/>
  <c r="T251" i="5"/>
  <c r="U251" i="5" s="1"/>
  <c r="W251" i="5"/>
  <c r="H224" i="6"/>
  <c r="Z249" i="5"/>
  <c r="K251" i="5" l="1"/>
  <c r="AT250" i="5"/>
  <c r="AP250" i="5"/>
  <c r="M250" i="5"/>
  <c r="AG250" i="5" s="1"/>
  <c r="AJ250" i="5" s="1"/>
  <c r="P250" i="5"/>
  <c r="AY250" i="5" s="1"/>
  <c r="AA249" i="5"/>
  <c r="I224" i="6" s="1"/>
  <c r="CO251" i="5"/>
  <c r="F251" i="5" s="1"/>
  <c r="CN251" i="5"/>
  <c r="E251" i="5" s="1"/>
  <c r="BW251" i="5" l="1"/>
  <c r="BY251" i="5"/>
  <c r="J251" i="5" s="1"/>
  <c r="BC251" i="5"/>
  <c r="D226" i="6"/>
  <c r="Q250" i="5"/>
  <c r="V250" i="5" s="1"/>
  <c r="F225" i="6"/>
  <c r="C252" i="5"/>
  <c r="BU252" i="5" s="1"/>
  <c r="E226" i="6"/>
  <c r="N250" i="5"/>
  <c r="AS250" i="5"/>
  <c r="AV250" i="5" s="1"/>
  <c r="AO250" i="5"/>
  <c r="AR250" i="5" s="1"/>
  <c r="AF251" i="5" l="1"/>
  <c r="AN251" i="5"/>
  <c r="BT252" i="5"/>
  <c r="BV252" i="5"/>
  <c r="BS252" i="5"/>
  <c r="CI252" i="5"/>
  <c r="BH252" i="5"/>
  <c r="BI252" i="5" s="1"/>
  <c r="BJ252" i="5" s="1"/>
  <c r="X250" i="5"/>
  <c r="Y250" i="5" s="1"/>
  <c r="BK252" i="5"/>
  <c r="BL252" i="5" s="1"/>
  <c r="BM252" i="5" s="1"/>
  <c r="C227" i="6"/>
  <c r="CX252" i="5"/>
  <c r="CL252" i="5"/>
  <c r="CM252" i="5" s="1"/>
  <c r="AC252" i="5"/>
  <c r="AD252" i="5" s="1"/>
  <c r="AB252" i="5"/>
  <c r="CP252" i="5" s="1"/>
  <c r="CQ252" i="5" s="1"/>
  <c r="R252" i="5" s="1"/>
  <c r="S252" i="5" s="1"/>
  <c r="AK252" i="5"/>
  <c r="AM252" i="5" s="1"/>
  <c r="AL253" i="5" s="1"/>
  <c r="D252" i="5"/>
  <c r="CS252" i="5"/>
  <c r="CW252" i="5"/>
  <c r="CY252" i="5"/>
  <c r="CR252" i="5"/>
  <c r="BG251" i="5"/>
  <c r="H251" i="5" s="1"/>
  <c r="AX252" i="5"/>
  <c r="AW252" i="5" s="1"/>
  <c r="CU252" i="5"/>
  <c r="BX252" i="5" s="1"/>
  <c r="G225" i="6"/>
  <c r="BD251" i="5"/>
  <c r="BE252" i="5" s="1"/>
  <c r="CZ251" i="5"/>
  <c r="BF251" i="5"/>
  <c r="CH252" i="5" l="1"/>
  <c r="CK252" i="5"/>
  <c r="CJ252" i="5" s="1"/>
  <c r="CV252" i="5"/>
  <c r="CT252" i="5"/>
  <c r="L252" i="5"/>
  <c r="I251" i="5"/>
  <c r="AH251" i="5" s="1"/>
  <c r="AE252" i="5"/>
  <c r="BN252" i="5"/>
  <c r="BO252" i="5" s="1"/>
  <c r="BP252" i="5" s="1"/>
  <c r="G252" i="5" s="1"/>
  <c r="DA252" i="5"/>
  <c r="DB252" i="5" s="1"/>
  <c r="K252" i="5" s="1"/>
  <c r="H225" i="6"/>
  <c r="Z250" i="5"/>
  <c r="T252" i="5"/>
  <c r="U252" i="5" s="1"/>
  <c r="W252" i="5"/>
  <c r="AT251" i="5" l="1"/>
  <c r="AP251" i="5"/>
  <c r="AA250" i="5"/>
  <c r="I225" i="6" s="1"/>
  <c r="M251" i="5"/>
  <c r="P251" i="5"/>
  <c r="AY251" i="5" s="1"/>
  <c r="CO252" i="5"/>
  <c r="F252" i="5" s="1"/>
  <c r="CN252" i="5"/>
  <c r="E252" i="5" s="1"/>
  <c r="BW252" i="5" l="1"/>
  <c r="BY252" i="5"/>
  <c r="J252" i="5" s="1"/>
  <c r="AN252" i="5" s="1"/>
  <c r="AS251" i="5"/>
  <c r="AV251" i="5" s="1"/>
  <c r="AO251" i="5"/>
  <c r="E227" i="6"/>
  <c r="C253" i="5"/>
  <c r="BU253" i="5" s="1"/>
  <c r="BC252" i="5"/>
  <c r="D227" i="6"/>
  <c r="F226" i="6"/>
  <c r="Q251" i="5"/>
  <c r="V251" i="5" s="1"/>
  <c r="AG251" i="5"/>
  <c r="AJ251" i="5" s="1"/>
  <c r="N251" i="5"/>
  <c r="AF252" i="5" l="1"/>
  <c r="BT253" i="5"/>
  <c r="BV253" i="5"/>
  <c r="BS253" i="5"/>
  <c r="CI253" i="5"/>
  <c r="BH253" i="5"/>
  <c r="BI253" i="5" s="1"/>
  <c r="BJ253" i="5" s="1"/>
  <c r="AR251" i="5"/>
  <c r="BD252" i="5"/>
  <c r="BE253" i="5" s="1"/>
  <c r="BF252" i="5"/>
  <c r="CZ252" i="5"/>
  <c r="G226" i="6"/>
  <c r="BK253" i="5"/>
  <c r="BL253" i="5" s="1"/>
  <c r="BM253" i="5" s="1"/>
  <c r="CR253" i="5"/>
  <c r="CW253" i="5"/>
  <c r="AC253" i="5"/>
  <c r="AD253" i="5" s="1"/>
  <c r="CL253" i="5"/>
  <c r="CM253" i="5" s="1"/>
  <c r="C228" i="6"/>
  <c r="CS253" i="5"/>
  <c r="AB253" i="5"/>
  <c r="CP253" i="5" s="1"/>
  <c r="CQ253" i="5" s="1"/>
  <c r="R253" i="5" s="1"/>
  <c r="S253" i="5" s="1"/>
  <c r="AK253" i="5"/>
  <c r="D253" i="5"/>
  <c r="CY253" i="5"/>
  <c r="CX253" i="5"/>
  <c r="BG252" i="5"/>
  <c r="H252" i="5" s="1"/>
  <c r="AX253" i="5"/>
  <c r="AW253" i="5" s="1"/>
  <c r="CU253" i="5"/>
  <c r="BX253" i="5" s="1"/>
  <c r="CH253" i="5" l="1"/>
  <c r="CK253" i="5"/>
  <c r="CJ253" i="5" s="1"/>
  <c r="X251" i="5"/>
  <c r="Y251" i="5" s="1"/>
  <c r="DA253" i="5"/>
  <c r="DB253" i="5" s="1"/>
  <c r="K253" i="5" s="1"/>
  <c r="L253" i="5"/>
  <c r="I252" i="5"/>
  <c r="AP252" i="5" s="1"/>
  <c r="BN253" i="5"/>
  <c r="BO253" i="5" s="1"/>
  <c r="BP253" i="5" s="1"/>
  <c r="G253" i="5" s="1"/>
  <c r="AM253" i="5"/>
  <c r="AL254" i="5" s="1"/>
  <c r="T253" i="5"/>
  <c r="U253" i="5" s="1"/>
  <c r="W253" i="5"/>
  <c r="CT253" i="5"/>
  <c r="CV253" i="5"/>
  <c r="AE253" i="5"/>
  <c r="H226" i="6" l="1"/>
  <c r="Z251" i="5"/>
  <c r="AA251" i="5" s="1"/>
  <c r="I226" i="6" s="1"/>
  <c r="AH252" i="5"/>
  <c r="AT252" i="5"/>
  <c r="CN253" i="5"/>
  <c r="E253" i="5" s="1"/>
  <c r="CO253" i="5"/>
  <c r="F253" i="5" s="1"/>
  <c r="P252" i="5"/>
  <c r="AY252" i="5" s="1"/>
  <c r="M252" i="5"/>
  <c r="BW253" i="5" l="1"/>
  <c r="BY253" i="5"/>
  <c r="J253" i="5" s="1"/>
  <c r="AS252" i="5"/>
  <c r="AV252" i="5" s="1"/>
  <c r="AO252" i="5"/>
  <c r="AR252" i="5" s="1"/>
  <c r="N252" i="5"/>
  <c r="AG252" i="5"/>
  <c r="F227" i="6"/>
  <c r="Q252" i="5"/>
  <c r="V252" i="5" s="1"/>
  <c r="C254" i="5"/>
  <c r="BU254" i="5" s="1"/>
  <c r="E228" i="6"/>
  <c r="D228" i="6"/>
  <c r="BC253" i="5"/>
  <c r="AN253" i="5" l="1"/>
  <c r="AF253" i="5"/>
  <c r="BV254" i="5"/>
  <c r="BT254" i="5"/>
  <c r="BS254" i="5"/>
  <c r="CI254" i="5"/>
  <c r="BH254" i="5"/>
  <c r="BI254" i="5" s="1"/>
  <c r="BJ254" i="5" s="1"/>
  <c r="CW254" i="5"/>
  <c r="CR254" i="5"/>
  <c r="CX254" i="5"/>
  <c r="CY254" i="5"/>
  <c r="AK254" i="5"/>
  <c r="CS254" i="5"/>
  <c r="AB254" i="5"/>
  <c r="CP254" i="5" s="1"/>
  <c r="CQ254" i="5" s="1"/>
  <c r="R254" i="5" s="1"/>
  <c r="S254" i="5" s="1"/>
  <c r="CL254" i="5"/>
  <c r="CM254" i="5" s="1"/>
  <c r="D254" i="5"/>
  <c r="AC254" i="5"/>
  <c r="BK254" i="5"/>
  <c r="BL254" i="5" s="1"/>
  <c r="BM254" i="5" s="1"/>
  <c r="C229" i="6"/>
  <c r="BG253" i="5"/>
  <c r="H253" i="5" s="1"/>
  <c r="AX254" i="5"/>
  <c r="AW254" i="5" s="1"/>
  <c r="CU254" i="5"/>
  <c r="BX254" i="5" s="1"/>
  <c r="G227" i="6"/>
  <c r="AJ252" i="5"/>
  <c r="BF253" i="5"/>
  <c r="CZ253" i="5"/>
  <c r="BD253" i="5"/>
  <c r="BE254" i="5" s="1"/>
  <c r="CH254" i="5" l="1"/>
  <c r="CK254" i="5"/>
  <c r="CJ254" i="5" s="1"/>
  <c r="AD254" i="5"/>
  <c r="AE254" i="5" s="1"/>
  <c r="X252" i="5"/>
  <c r="Y252" i="5" s="1"/>
  <c r="CT254" i="5"/>
  <c r="CV254" i="5"/>
  <c r="BN254" i="5"/>
  <c r="BO254" i="5" s="1"/>
  <c r="BP254" i="5" s="1"/>
  <c r="G254" i="5" s="1"/>
  <c r="I253" i="5"/>
  <c r="AP253" i="5" s="1"/>
  <c r="AM254" i="5"/>
  <c r="AL255" i="5" s="1"/>
  <c r="L254" i="5"/>
  <c r="DA254" i="5"/>
  <c r="DB254" i="5" s="1"/>
  <c r="K254" i="5" s="1"/>
  <c r="W254" i="5"/>
  <c r="T254" i="5"/>
  <c r="U254" i="5" s="1"/>
  <c r="H227" i="6" l="1"/>
  <c r="Z252" i="5"/>
  <c r="AA252" i="5" s="1"/>
  <c r="I227" i="6" s="1"/>
  <c r="AT253" i="5"/>
  <c r="AH253" i="5"/>
  <c r="M253" i="5"/>
  <c r="P253" i="5"/>
  <c r="AY253" i="5" s="1"/>
  <c r="CO254" i="5"/>
  <c r="F254" i="5" s="1"/>
  <c r="CN254" i="5"/>
  <c r="E254" i="5" s="1"/>
  <c r="AG253" i="5" l="1"/>
  <c r="AJ253" i="5" s="1"/>
  <c r="AO253" i="5"/>
  <c r="AS253" i="5"/>
  <c r="AV253" i="5" s="1"/>
  <c r="N253" i="5"/>
  <c r="Q253" i="5"/>
  <c r="V253" i="5" s="1"/>
  <c r="G228" i="6" s="1"/>
  <c r="F228" i="6"/>
  <c r="D229" i="6"/>
  <c r="BC254" i="5"/>
  <c r="E229" i="6"/>
  <c r="C255" i="5"/>
  <c r="BU255" i="5" s="1"/>
  <c r="BW254" i="5" l="1"/>
  <c r="BY254" i="5"/>
  <c r="J254" i="5" s="1"/>
  <c r="BT255" i="5"/>
  <c r="BV255" i="5"/>
  <c r="BS255" i="5"/>
  <c r="CI255" i="5"/>
  <c r="BH255" i="5"/>
  <c r="BI255" i="5" s="1"/>
  <c r="BJ255" i="5" s="1"/>
  <c r="AR253" i="5"/>
  <c r="CL255" i="5"/>
  <c r="CM255" i="5" s="1"/>
  <c r="AB255" i="5"/>
  <c r="CP255" i="5" s="1"/>
  <c r="CQ255" i="5" s="1"/>
  <c r="R255" i="5" s="1"/>
  <c r="S255" i="5" s="1"/>
  <c r="CS255" i="5"/>
  <c r="CX255" i="5"/>
  <c r="CW255" i="5"/>
  <c r="AC255" i="5"/>
  <c r="AD255" i="5" s="1"/>
  <c r="BK255" i="5"/>
  <c r="BL255" i="5" s="1"/>
  <c r="BM255" i="5" s="1"/>
  <c r="D255" i="5"/>
  <c r="C230" i="6"/>
  <c r="CR255" i="5"/>
  <c r="AK255" i="5"/>
  <c r="AM255" i="5" s="1"/>
  <c r="AL256" i="5" s="1"/>
  <c r="CY255" i="5"/>
  <c r="BG254" i="5"/>
  <c r="H254" i="5" s="1"/>
  <c r="AX255" i="5"/>
  <c r="AW255" i="5" s="1"/>
  <c r="CU255" i="5"/>
  <c r="CZ254" i="5"/>
  <c r="BD254" i="5"/>
  <c r="BE255" i="5" s="1"/>
  <c r="BF254" i="5"/>
  <c r="AN254" i="5" l="1"/>
  <c r="AF254" i="5"/>
  <c r="BX255" i="5"/>
  <c r="CH255" i="5"/>
  <c r="CK255" i="5"/>
  <c r="CJ255" i="5" s="1"/>
  <c r="X253" i="5"/>
  <c r="Y253" i="5" s="1"/>
  <c r="DA255" i="5"/>
  <c r="DB255" i="5" s="1"/>
  <c r="K255" i="5" s="1"/>
  <c r="BN255" i="5"/>
  <c r="BO255" i="5" s="1"/>
  <c r="BP255" i="5" s="1"/>
  <c r="G255" i="5" s="1"/>
  <c r="L255" i="5"/>
  <c r="CV255" i="5"/>
  <c r="CT255" i="5"/>
  <c r="I254" i="5"/>
  <c r="AP254" i="5" s="1"/>
  <c r="AE255" i="5"/>
  <c r="W255" i="5"/>
  <c r="T255" i="5"/>
  <c r="U255" i="5" s="1"/>
  <c r="Z253" i="5" l="1"/>
  <c r="AA253" i="5" s="1"/>
  <c r="I228" i="6" s="1"/>
  <c r="H228" i="6"/>
  <c r="AT254" i="5"/>
  <c r="AH254" i="5"/>
  <c r="P254" i="5"/>
  <c r="AY254" i="5" s="1"/>
  <c r="M254" i="5"/>
  <c r="CN255" i="5"/>
  <c r="E255" i="5" s="1"/>
  <c r="CO255" i="5"/>
  <c r="F255" i="5" s="1"/>
  <c r="BW255" i="5" l="1"/>
  <c r="AG254" i="5"/>
  <c r="AJ254" i="5" s="1"/>
  <c r="AO254" i="5"/>
  <c r="AR254" i="5" s="1"/>
  <c r="N254" i="5"/>
  <c r="AS254" i="5"/>
  <c r="AV254" i="5" s="1"/>
  <c r="D230" i="6"/>
  <c r="BC255" i="5"/>
  <c r="C256" i="5"/>
  <c r="BU256" i="5" s="1"/>
  <c r="E230" i="6"/>
  <c r="Q254" i="5"/>
  <c r="V254" i="5" s="1"/>
  <c r="F229" i="6"/>
  <c r="BY255" i="5" l="1"/>
  <c r="J255" i="5" s="1"/>
  <c r="BT256" i="5"/>
  <c r="BV256" i="5"/>
  <c r="BS256" i="5"/>
  <c r="CI256" i="5"/>
  <c r="BH256" i="5"/>
  <c r="BI256" i="5" s="1"/>
  <c r="BJ256" i="5" s="1"/>
  <c r="X254" i="5"/>
  <c r="Y254" i="5" s="1"/>
  <c r="C231" i="6"/>
  <c r="D256" i="5"/>
  <c r="CR256" i="5"/>
  <c r="AB256" i="5"/>
  <c r="L256" i="5" s="1"/>
  <c r="CS256" i="5"/>
  <c r="CW256" i="5"/>
  <c r="CL256" i="5"/>
  <c r="CM256" i="5" s="1"/>
  <c r="AC256" i="5"/>
  <c r="AD256" i="5" s="1"/>
  <c r="CX256" i="5"/>
  <c r="CY256" i="5"/>
  <c r="BK256" i="5"/>
  <c r="BL256" i="5" s="1"/>
  <c r="BM256" i="5" s="1"/>
  <c r="AK256" i="5"/>
  <c r="AM256" i="5" s="1"/>
  <c r="AL257" i="5" s="1"/>
  <c r="BG255" i="5"/>
  <c r="H255" i="5" s="1"/>
  <c r="AX256" i="5"/>
  <c r="AW256" i="5" s="1"/>
  <c r="CU256" i="5"/>
  <c r="BX256" i="5" s="1"/>
  <c r="CZ255" i="5"/>
  <c r="BF255" i="5"/>
  <c r="BD255" i="5"/>
  <c r="BE256" i="5" s="1"/>
  <c r="G229" i="6"/>
  <c r="AF255" i="5" l="1"/>
  <c r="AN255" i="5"/>
  <c r="CK256" i="5"/>
  <c r="CJ256" i="5" s="1"/>
  <c r="CH256" i="5"/>
  <c r="DA256" i="5"/>
  <c r="DB256" i="5" s="1"/>
  <c r="K256" i="5" s="1"/>
  <c r="CP256" i="5"/>
  <c r="CQ256" i="5" s="1"/>
  <c r="R256" i="5" s="1"/>
  <c r="S256" i="5" s="1"/>
  <c r="I255" i="5"/>
  <c r="AP255" i="5" s="1"/>
  <c r="T256" i="5"/>
  <c r="U256" i="5" s="1"/>
  <c r="W256" i="5"/>
  <c r="BN256" i="5"/>
  <c r="BO256" i="5" s="1"/>
  <c r="BP256" i="5" s="1"/>
  <c r="G256" i="5" s="1"/>
  <c r="AE256" i="5"/>
  <c r="H229" i="6"/>
  <c r="Z254" i="5"/>
  <c r="CT256" i="5"/>
  <c r="CV256" i="5"/>
  <c r="AH255" i="5" l="1"/>
  <c r="AT255" i="5"/>
  <c r="AA254" i="5"/>
  <c r="I229" i="6" s="1"/>
  <c r="M255" i="5"/>
  <c r="P255" i="5"/>
  <c r="AY255" i="5" s="1"/>
  <c r="CO256" i="5"/>
  <c r="F256" i="5" s="1"/>
  <c r="CN256" i="5"/>
  <c r="E256" i="5" s="1"/>
  <c r="BY256" i="5" l="1"/>
  <c r="J256" i="5" s="1"/>
  <c r="AF256" i="5" s="1"/>
  <c r="BW256" i="5"/>
  <c r="AS255" i="5"/>
  <c r="AV255" i="5" s="1"/>
  <c r="AO255" i="5"/>
  <c r="AR255" i="5" s="1"/>
  <c r="N255" i="5"/>
  <c r="AG255" i="5"/>
  <c r="F230" i="6"/>
  <c r="Q255" i="5"/>
  <c r="V255" i="5" s="1"/>
  <c r="D231" i="6"/>
  <c r="BC256" i="5"/>
  <c r="E231" i="6"/>
  <c r="C257" i="5"/>
  <c r="BU257" i="5" s="1"/>
  <c r="AN256" i="5" l="1"/>
  <c r="BT257" i="5"/>
  <c r="BV257" i="5"/>
  <c r="BS257" i="5"/>
  <c r="CI257" i="5"/>
  <c r="BH257" i="5"/>
  <c r="BI257" i="5" s="1"/>
  <c r="BJ257" i="5" s="1"/>
  <c r="AJ255" i="5"/>
  <c r="AB257" i="5"/>
  <c r="CP257" i="5" s="1"/>
  <c r="CQ257" i="5" s="1"/>
  <c r="R257" i="5" s="1"/>
  <c r="S257" i="5" s="1"/>
  <c r="BK257" i="5"/>
  <c r="BL257" i="5" s="1"/>
  <c r="BM257" i="5" s="1"/>
  <c r="D257" i="5"/>
  <c r="CR257" i="5"/>
  <c r="CL257" i="5"/>
  <c r="CM257" i="5" s="1"/>
  <c r="C232" i="6"/>
  <c r="CY257" i="5"/>
  <c r="AK257" i="5"/>
  <c r="CS257" i="5"/>
  <c r="CX257" i="5"/>
  <c r="AC257" i="5"/>
  <c r="CW257" i="5"/>
  <c r="BG256" i="5"/>
  <c r="H256" i="5" s="1"/>
  <c r="AX257" i="5"/>
  <c r="AW257" i="5" s="1"/>
  <c r="CU257" i="5"/>
  <c r="BX257" i="5" s="1"/>
  <c r="BD256" i="5"/>
  <c r="BE257" i="5" s="1"/>
  <c r="BF256" i="5"/>
  <c r="CZ256" i="5"/>
  <c r="G230" i="6"/>
  <c r="AD257" i="5" l="1"/>
  <c r="AE257" i="5" s="1"/>
  <c r="CH257" i="5"/>
  <c r="CK257" i="5"/>
  <c r="CJ257" i="5" s="1"/>
  <c r="X255" i="5"/>
  <c r="Y255" i="5" s="1"/>
  <c r="BN257" i="5"/>
  <c r="BO257" i="5" s="1"/>
  <c r="BP257" i="5" s="1"/>
  <c r="G257" i="5" s="1"/>
  <c r="DA257" i="5"/>
  <c r="DB257" i="5" s="1"/>
  <c r="K257" i="5" s="1"/>
  <c r="L257" i="5"/>
  <c r="I256" i="5"/>
  <c r="AH256" i="5" s="1"/>
  <c r="CV257" i="5"/>
  <c r="CT257" i="5"/>
  <c r="W257" i="5"/>
  <c r="T257" i="5"/>
  <c r="U257" i="5" s="1"/>
  <c r="AM257" i="5"/>
  <c r="AL258" i="5" s="1"/>
  <c r="H230" i="6" l="1"/>
  <c r="Z255" i="5"/>
  <c r="AA255" i="5" s="1"/>
  <c r="I230" i="6" s="1"/>
  <c r="AT256" i="5"/>
  <c r="AP256" i="5"/>
  <c r="CN257" i="5"/>
  <c r="E257" i="5" s="1"/>
  <c r="CO257" i="5"/>
  <c r="F257" i="5" s="1"/>
  <c r="P256" i="5"/>
  <c r="AY256" i="5" s="1"/>
  <c r="M256" i="5"/>
  <c r="AO256" i="5" l="1"/>
  <c r="AR256" i="5" s="1"/>
  <c r="AG256" i="5"/>
  <c r="AJ256" i="5" s="1"/>
  <c r="N256" i="5"/>
  <c r="AS256" i="5"/>
  <c r="AV256" i="5" s="1"/>
  <c r="Q256" i="5"/>
  <c r="V256" i="5" s="1"/>
  <c r="F231" i="6"/>
  <c r="E232" i="6"/>
  <c r="C258" i="5"/>
  <c r="BU258" i="5" s="1"/>
  <c r="BC257" i="5"/>
  <c r="D232" i="6"/>
  <c r="BW257" i="5" l="1"/>
  <c r="BY257" i="5"/>
  <c r="J257" i="5" s="1"/>
  <c r="BV258" i="5"/>
  <c r="BT258" i="5"/>
  <c r="BS258" i="5"/>
  <c r="CI258" i="5"/>
  <c r="BH258" i="5"/>
  <c r="BI258" i="5" s="1"/>
  <c r="BJ258" i="5" s="1"/>
  <c r="X256" i="5"/>
  <c r="Y256" i="5" s="1"/>
  <c r="CY258" i="5"/>
  <c r="BK258" i="5"/>
  <c r="BL258" i="5" s="1"/>
  <c r="BM258" i="5" s="1"/>
  <c r="CR258" i="5"/>
  <c r="CS258" i="5"/>
  <c r="CX258" i="5"/>
  <c r="D258" i="5"/>
  <c r="AC258" i="5"/>
  <c r="AK258" i="5"/>
  <c r="C233" i="6"/>
  <c r="AB258" i="5"/>
  <c r="DA258" i="5" s="1"/>
  <c r="DB258" i="5" s="1"/>
  <c r="CL258" i="5"/>
  <c r="CM258" i="5" s="1"/>
  <c r="CW258" i="5"/>
  <c r="BG257" i="5"/>
  <c r="H257" i="5" s="1"/>
  <c r="AX258" i="5"/>
  <c r="AW258" i="5" s="1"/>
  <c r="CU258" i="5"/>
  <c r="G231" i="6"/>
  <c r="BD257" i="5"/>
  <c r="BE258" i="5" s="1"/>
  <c r="BF257" i="5"/>
  <c r="CZ257" i="5"/>
  <c r="AN257" i="5" l="1"/>
  <c r="AF257" i="5"/>
  <c r="BX258" i="5"/>
  <c r="CH258" i="5"/>
  <c r="CK258" i="5"/>
  <c r="CJ258" i="5" s="1"/>
  <c r="K258" i="5" s="1"/>
  <c r="AD258" i="5"/>
  <c r="AE258" i="5" s="1"/>
  <c r="BN258" i="5"/>
  <c r="BO258" i="5" s="1"/>
  <c r="BP258" i="5" s="1"/>
  <c r="G258" i="5" s="1"/>
  <c r="CP258" i="5"/>
  <c r="CQ258" i="5" s="1"/>
  <c r="R258" i="5" s="1"/>
  <c r="S258" i="5" s="1"/>
  <c r="AM258" i="5"/>
  <c r="AL259" i="5" s="1"/>
  <c r="I257" i="5"/>
  <c r="L258" i="5"/>
  <c r="T258" i="5"/>
  <c r="U258" i="5" s="1"/>
  <c r="W258" i="5"/>
  <c r="CT258" i="5"/>
  <c r="CV258" i="5"/>
  <c r="H231" i="6"/>
  <c r="Z256" i="5"/>
  <c r="AH257" i="5" l="1"/>
  <c r="M257" i="5"/>
  <c r="AG257" i="5" s="1"/>
  <c r="P257" i="5"/>
  <c r="AY257" i="5" s="1"/>
  <c r="CN258" i="5"/>
  <c r="E258" i="5" s="1"/>
  <c r="CO258" i="5"/>
  <c r="F258" i="5" s="1"/>
  <c r="AT257" i="5"/>
  <c r="AP257" i="5"/>
  <c r="AA256" i="5"/>
  <c r="I231" i="6" s="1"/>
  <c r="AJ257" i="5" l="1"/>
  <c r="BW258" i="5"/>
  <c r="BY258" i="5"/>
  <c r="J258" i="5" s="1"/>
  <c r="C259" i="5"/>
  <c r="BU259" i="5" s="1"/>
  <c r="E233" i="6"/>
  <c r="BC258" i="5"/>
  <c r="D233" i="6"/>
  <c r="Q257" i="5"/>
  <c r="V257" i="5" s="1"/>
  <c r="F232" i="6"/>
  <c r="N257" i="5"/>
  <c r="AS257" i="5"/>
  <c r="AV257" i="5" s="1"/>
  <c r="AO257" i="5"/>
  <c r="AF258" i="5" l="1"/>
  <c r="AN258" i="5"/>
  <c r="BT259" i="5"/>
  <c r="BV259" i="5"/>
  <c r="BS259" i="5"/>
  <c r="CI259" i="5"/>
  <c r="BH259" i="5"/>
  <c r="BI259" i="5" s="1"/>
  <c r="BJ259" i="5" s="1"/>
  <c r="G232" i="6"/>
  <c r="BD258" i="5"/>
  <c r="BE259" i="5" s="1"/>
  <c r="CZ258" i="5"/>
  <c r="BF258" i="5"/>
  <c r="AR257" i="5"/>
  <c r="CR259" i="5"/>
  <c r="CX259" i="5"/>
  <c r="AC259" i="5"/>
  <c r="AD259" i="5" s="1"/>
  <c r="CY259" i="5"/>
  <c r="AK259" i="5"/>
  <c r="AM259" i="5" s="1"/>
  <c r="AL260" i="5" s="1"/>
  <c r="AB259" i="5"/>
  <c r="L259" i="5" s="1"/>
  <c r="CL259" i="5"/>
  <c r="CM259" i="5" s="1"/>
  <c r="BK259" i="5"/>
  <c r="BL259" i="5" s="1"/>
  <c r="BM259" i="5" s="1"/>
  <c r="CW259" i="5"/>
  <c r="C234" i="6"/>
  <c r="D259" i="5"/>
  <c r="CS259" i="5"/>
  <c r="BG258" i="5"/>
  <c r="H258" i="5" s="1"/>
  <c r="AX259" i="5"/>
  <c r="AW259" i="5" s="1"/>
  <c r="CU259" i="5"/>
  <c r="BX259" i="5" s="1"/>
  <c r="CK259" i="5" l="1"/>
  <c r="CJ259" i="5" s="1"/>
  <c r="CH259" i="5"/>
  <c r="X257" i="5"/>
  <c r="Y257" i="5" s="1"/>
  <c r="DA259" i="5"/>
  <c r="DB259" i="5" s="1"/>
  <c r="K259" i="5" s="1"/>
  <c r="CV259" i="5"/>
  <c r="CT259" i="5"/>
  <c r="I258" i="5"/>
  <c r="AH258" i="5" s="1"/>
  <c r="BN259" i="5"/>
  <c r="BO259" i="5" s="1"/>
  <c r="BP259" i="5" s="1"/>
  <c r="G259" i="5" s="1"/>
  <c r="W259" i="5"/>
  <c r="T259" i="5"/>
  <c r="U259" i="5" s="1"/>
  <c r="AE259" i="5"/>
  <c r="CP259" i="5"/>
  <c r="CQ259" i="5" s="1"/>
  <c r="R259" i="5" s="1"/>
  <c r="S259" i="5" s="1"/>
  <c r="H232" i="6" l="1"/>
  <c r="Z257" i="5"/>
  <c r="AA257" i="5" s="1"/>
  <c r="I232" i="6" s="1"/>
  <c r="AT258" i="5"/>
  <c r="AP258" i="5"/>
  <c r="M258" i="5"/>
  <c r="P258" i="5"/>
  <c r="AY258" i="5" s="1"/>
  <c r="CN259" i="5"/>
  <c r="E259" i="5" s="1"/>
  <c r="CO259" i="5"/>
  <c r="F259" i="5" s="1"/>
  <c r="AS258" i="5" l="1"/>
  <c r="AV258" i="5" s="1"/>
  <c r="AO258" i="5"/>
  <c r="AR258" i="5" s="1"/>
  <c r="F233" i="6"/>
  <c r="Q258" i="5"/>
  <c r="V258" i="5" s="1"/>
  <c r="BC259" i="5"/>
  <c r="D234" i="6"/>
  <c r="AG258" i="5"/>
  <c r="AJ258" i="5" s="1"/>
  <c r="N258" i="5"/>
  <c r="E234" i="6"/>
  <c r="C260" i="5"/>
  <c r="BU260" i="5" s="1"/>
  <c r="BW259" i="5" l="1"/>
  <c r="BY259" i="5"/>
  <c r="J259" i="5" s="1"/>
  <c r="BT260" i="5"/>
  <c r="BV260" i="5"/>
  <c r="BS260" i="5"/>
  <c r="CI260" i="5"/>
  <c r="BH260" i="5"/>
  <c r="BI260" i="5" s="1"/>
  <c r="BJ260" i="5" s="1"/>
  <c r="X258" i="5"/>
  <c r="Y258" i="5" s="1"/>
  <c r="BF259" i="5"/>
  <c r="CZ259" i="5"/>
  <c r="BD259" i="5"/>
  <c r="BE260" i="5" s="1"/>
  <c r="G233" i="6"/>
  <c r="C235" i="6"/>
  <c r="AB260" i="5"/>
  <c r="BN260" i="5" s="1"/>
  <c r="BO260" i="5" s="1"/>
  <c r="BP260" i="5" s="1"/>
  <c r="CS260" i="5"/>
  <c r="BK260" i="5"/>
  <c r="BL260" i="5" s="1"/>
  <c r="BM260" i="5" s="1"/>
  <c r="CW260" i="5"/>
  <c r="D260" i="5"/>
  <c r="CY260" i="5"/>
  <c r="CL260" i="5"/>
  <c r="CM260" i="5" s="1"/>
  <c r="AC260" i="5"/>
  <c r="CX260" i="5"/>
  <c r="AK260" i="5"/>
  <c r="CR260" i="5"/>
  <c r="BG259" i="5"/>
  <c r="H259" i="5" s="1"/>
  <c r="AX260" i="5"/>
  <c r="AW260" i="5" s="1"/>
  <c r="CU260" i="5"/>
  <c r="AN259" i="5" l="1"/>
  <c r="AF259" i="5"/>
  <c r="BX260" i="5"/>
  <c r="G260" i="5"/>
  <c r="AD260" i="5"/>
  <c r="AE260" i="5" s="1"/>
  <c r="CH260" i="5"/>
  <c r="CK260" i="5"/>
  <c r="CJ260" i="5" s="1"/>
  <c r="DA260" i="5"/>
  <c r="DB260" i="5" s="1"/>
  <c r="L260" i="5"/>
  <c r="CP260" i="5"/>
  <c r="CQ260" i="5" s="1"/>
  <c r="R260" i="5" s="1"/>
  <c r="S260" i="5" s="1"/>
  <c r="CT260" i="5"/>
  <c r="CV260" i="5"/>
  <c r="H233" i="6"/>
  <c r="Z258" i="5"/>
  <c r="T260" i="5"/>
  <c r="U260" i="5" s="1"/>
  <c r="W260" i="5"/>
  <c r="AM260" i="5"/>
  <c r="AL261" i="5" s="1"/>
  <c r="I259" i="5"/>
  <c r="AP259" i="5" s="1"/>
  <c r="K260" i="5" l="1"/>
  <c r="AH259" i="5"/>
  <c r="AT259" i="5"/>
  <c r="AA258" i="5"/>
  <c r="I233" i="6" s="1"/>
  <c r="CN260" i="5"/>
  <c r="E260" i="5" s="1"/>
  <c r="CO260" i="5"/>
  <c r="F260" i="5" s="1"/>
  <c r="M259" i="5"/>
  <c r="P259" i="5"/>
  <c r="AY259" i="5" s="1"/>
  <c r="BW260" i="5" l="1"/>
  <c r="BY260" i="5"/>
  <c r="J260" i="5" s="1"/>
  <c r="AS259" i="5"/>
  <c r="AV259" i="5" s="1"/>
  <c r="AO259" i="5"/>
  <c r="AR259" i="5" s="1"/>
  <c r="E235" i="6"/>
  <c r="C261" i="5"/>
  <c r="BU261" i="5" s="1"/>
  <c r="BC260" i="5"/>
  <c r="D235" i="6"/>
  <c r="N259" i="5"/>
  <c r="AG259" i="5"/>
  <c r="Q259" i="5"/>
  <c r="V259" i="5" s="1"/>
  <c r="G234" i="6" s="1"/>
  <c r="F234" i="6"/>
  <c r="AN260" i="5" l="1"/>
  <c r="AF260" i="5"/>
  <c r="BV261" i="5"/>
  <c r="BT261" i="5"/>
  <c r="BS261" i="5"/>
  <c r="CI261" i="5"/>
  <c r="BH261" i="5"/>
  <c r="BI261" i="5" s="1"/>
  <c r="BJ261" i="5" s="1"/>
  <c r="AJ259" i="5"/>
  <c r="CZ260" i="5"/>
  <c r="BF260" i="5"/>
  <c r="BD260" i="5"/>
  <c r="BE261" i="5" s="1"/>
  <c r="AK261" i="5"/>
  <c r="D261" i="5"/>
  <c r="CR261" i="5"/>
  <c r="BK261" i="5"/>
  <c r="BL261" i="5" s="1"/>
  <c r="BM261" i="5" s="1"/>
  <c r="CW261" i="5"/>
  <c r="CL261" i="5"/>
  <c r="CM261" i="5" s="1"/>
  <c r="C236" i="6"/>
  <c r="CX261" i="5"/>
  <c r="CY261" i="5"/>
  <c r="CS261" i="5"/>
  <c r="AC261" i="5"/>
  <c r="AB261" i="5"/>
  <c r="BN261" i="5" s="1"/>
  <c r="BO261" i="5" s="1"/>
  <c r="BP261" i="5" s="1"/>
  <c r="BG260" i="5"/>
  <c r="H260" i="5" s="1"/>
  <c r="AX261" i="5"/>
  <c r="AW261" i="5" s="1"/>
  <c r="CU261" i="5"/>
  <c r="BX261" i="5" s="1"/>
  <c r="G261" i="5" l="1"/>
  <c r="AD261" i="5"/>
  <c r="AE261" i="5" s="1"/>
  <c r="CH261" i="5"/>
  <c r="CK261" i="5"/>
  <c r="CJ261" i="5" s="1"/>
  <c r="X259" i="5"/>
  <c r="Y259" i="5" s="1"/>
  <c r="DA261" i="5"/>
  <c r="DB261" i="5" s="1"/>
  <c r="K261" i="5" s="1"/>
  <c r="T261" i="5"/>
  <c r="U261" i="5" s="1"/>
  <c r="W261" i="5"/>
  <c r="AM261" i="5"/>
  <c r="AL262" i="5" s="1"/>
  <c r="CV261" i="5"/>
  <c r="CT261" i="5"/>
  <c r="CP261" i="5"/>
  <c r="CQ261" i="5" s="1"/>
  <c r="R261" i="5" s="1"/>
  <c r="S261" i="5" s="1"/>
  <c r="L261" i="5"/>
  <c r="I260" i="5"/>
  <c r="Z259" i="5" l="1"/>
  <c r="AA259" i="5" s="1"/>
  <c r="I234" i="6" s="1"/>
  <c r="H234" i="6"/>
  <c r="AH260" i="5"/>
  <c r="AT260" i="5"/>
  <c r="AP260" i="5"/>
  <c r="CN261" i="5"/>
  <c r="E261" i="5" s="1"/>
  <c r="CO261" i="5"/>
  <c r="F261" i="5" s="1"/>
  <c r="M260" i="5"/>
  <c r="P260" i="5"/>
  <c r="AY260" i="5" s="1"/>
  <c r="BY261" i="5" l="1"/>
  <c r="J261" i="5" s="1"/>
  <c r="BW261" i="5"/>
  <c r="AS260" i="5"/>
  <c r="AV260" i="5" s="1"/>
  <c r="AO260" i="5"/>
  <c r="AR260" i="5" s="1"/>
  <c r="N260" i="5"/>
  <c r="AG260" i="5"/>
  <c r="AJ260" i="5" s="1"/>
  <c r="Q260" i="5"/>
  <c r="V260" i="5" s="1"/>
  <c r="F235" i="6"/>
  <c r="C262" i="5"/>
  <c r="BU262" i="5" s="1"/>
  <c r="E236" i="6"/>
  <c r="D236" i="6"/>
  <c r="BC261" i="5"/>
  <c r="AN261" i="5" l="1"/>
  <c r="AF261" i="5"/>
  <c r="BT262" i="5"/>
  <c r="BV262" i="5"/>
  <c r="BS262" i="5"/>
  <c r="CI262" i="5"/>
  <c r="BH262" i="5"/>
  <c r="BI262" i="5" s="1"/>
  <c r="BJ262" i="5" s="1"/>
  <c r="X260" i="5"/>
  <c r="Y260" i="5" s="1"/>
  <c r="BD261" i="5"/>
  <c r="BE262" i="5" s="1"/>
  <c r="BF261" i="5"/>
  <c r="CZ261" i="5"/>
  <c r="CX262" i="5"/>
  <c r="CR262" i="5"/>
  <c r="CL262" i="5"/>
  <c r="CM262" i="5" s="1"/>
  <c r="D262" i="5"/>
  <c r="C237" i="6"/>
  <c r="CW262" i="5"/>
  <c r="CY262" i="5"/>
  <c r="BK262" i="5"/>
  <c r="BL262" i="5" s="1"/>
  <c r="BM262" i="5" s="1"/>
  <c r="AK262" i="5"/>
  <c r="AB262" i="5"/>
  <c r="L262" i="5" s="1"/>
  <c r="AC262" i="5"/>
  <c r="CS262" i="5"/>
  <c r="BG261" i="5"/>
  <c r="H261" i="5" s="1"/>
  <c r="AX262" i="5"/>
  <c r="AW262" i="5" s="1"/>
  <c r="CU262" i="5"/>
  <c r="BX262" i="5" s="1"/>
  <c r="G235" i="6"/>
  <c r="AD262" i="5" l="1"/>
  <c r="AE262" i="5" s="1"/>
  <c r="CH262" i="5"/>
  <c r="CK262" i="5"/>
  <c r="CJ262" i="5" s="1"/>
  <c r="DA262" i="5"/>
  <c r="DB262" i="5" s="1"/>
  <c r="K262" i="5" s="1"/>
  <c r="H235" i="6"/>
  <c r="Z260" i="5"/>
  <c r="BN262" i="5"/>
  <c r="BO262" i="5" s="1"/>
  <c r="BP262" i="5" s="1"/>
  <c r="G262" i="5" s="1"/>
  <c r="AM262" i="5"/>
  <c r="AL263" i="5" s="1"/>
  <c r="I261" i="5"/>
  <c r="AP261" i="5" s="1"/>
  <c r="T262" i="5"/>
  <c r="U262" i="5" s="1"/>
  <c r="W262" i="5"/>
  <c r="CV262" i="5"/>
  <c r="CT262" i="5"/>
  <c r="CP262" i="5"/>
  <c r="CQ262" i="5" s="1"/>
  <c r="R262" i="5" s="1"/>
  <c r="S262" i="5" s="1"/>
  <c r="AH261" i="5" l="1"/>
  <c r="AT261" i="5"/>
  <c r="P261" i="5"/>
  <c r="AY261" i="5" s="1"/>
  <c r="M261" i="5"/>
  <c r="CN262" i="5"/>
  <c r="E262" i="5" s="1"/>
  <c r="CO262" i="5"/>
  <c r="F262" i="5" s="1"/>
  <c r="AA260" i="5"/>
  <c r="I235" i="6" s="1"/>
  <c r="BW262" i="5" l="1"/>
  <c r="BY262" i="5"/>
  <c r="J262" i="5" s="1"/>
  <c r="AF262" i="5" s="1"/>
  <c r="AG261" i="5"/>
  <c r="AJ261" i="5" s="1"/>
  <c r="AO261" i="5"/>
  <c r="AR261" i="5" s="1"/>
  <c r="N261" i="5"/>
  <c r="AS261" i="5"/>
  <c r="AV261" i="5" s="1"/>
  <c r="C263" i="5"/>
  <c r="BU263" i="5" s="1"/>
  <c r="E237" i="6"/>
  <c r="BC262" i="5"/>
  <c r="D237" i="6"/>
  <c r="F236" i="6"/>
  <c r="Q261" i="5"/>
  <c r="V261" i="5" s="1"/>
  <c r="AN262" i="5" l="1"/>
  <c r="BT263" i="5"/>
  <c r="BV263" i="5"/>
  <c r="BS263" i="5"/>
  <c r="CI263" i="5"/>
  <c r="BH263" i="5"/>
  <c r="BI263" i="5" s="1"/>
  <c r="BJ263" i="5" s="1"/>
  <c r="X261" i="5"/>
  <c r="Y261" i="5" s="1"/>
  <c r="CZ262" i="5"/>
  <c r="BD262" i="5"/>
  <c r="BE263" i="5" s="1"/>
  <c r="BF262" i="5"/>
  <c r="G236" i="6"/>
  <c r="BK263" i="5"/>
  <c r="BL263" i="5" s="1"/>
  <c r="BM263" i="5" s="1"/>
  <c r="CY263" i="5"/>
  <c r="C238" i="6"/>
  <c r="AB263" i="5"/>
  <c r="BN263" i="5" s="1"/>
  <c r="BO263" i="5" s="1"/>
  <c r="BP263" i="5" s="1"/>
  <c r="CR263" i="5"/>
  <c r="D263" i="5"/>
  <c r="CS263" i="5"/>
  <c r="CL263" i="5"/>
  <c r="CM263" i="5" s="1"/>
  <c r="AK263" i="5"/>
  <c r="AM263" i="5" s="1"/>
  <c r="AL264" i="5" s="1"/>
  <c r="CW263" i="5"/>
  <c r="CX263" i="5"/>
  <c r="AC263" i="5"/>
  <c r="AD263" i="5" s="1"/>
  <c r="BG262" i="5"/>
  <c r="H262" i="5" s="1"/>
  <c r="AX263" i="5"/>
  <c r="AW263" i="5" s="1"/>
  <c r="CU263" i="5"/>
  <c r="BX263" i="5" s="1"/>
  <c r="G263" i="5" l="1"/>
  <c r="CH263" i="5"/>
  <c r="CK263" i="5"/>
  <c r="CJ263" i="5" s="1"/>
  <c r="CP263" i="5"/>
  <c r="CQ263" i="5" s="1"/>
  <c r="R263" i="5" s="1"/>
  <c r="S263" i="5" s="1"/>
  <c r="DA263" i="5"/>
  <c r="DB263" i="5" s="1"/>
  <c r="K263" i="5" s="1"/>
  <c r="CT263" i="5"/>
  <c r="CV263" i="5"/>
  <c r="AE263" i="5"/>
  <c r="H236" i="6"/>
  <c r="Z261" i="5"/>
  <c r="W263" i="5"/>
  <c r="T263" i="5"/>
  <c r="U263" i="5" s="1"/>
  <c r="I262" i="5"/>
  <c r="AP262" i="5" s="1"/>
  <c r="L263" i="5"/>
  <c r="AH262" i="5" l="1"/>
  <c r="AT262" i="5"/>
  <c r="P262" i="5"/>
  <c r="AY262" i="5" s="1"/>
  <c r="M262" i="5"/>
  <c r="AA261" i="5"/>
  <c r="I236" i="6" s="1"/>
  <c r="CN263" i="5"/>
  <c r="E263" i="5" s="1"/>
  <c r="CO263" i="5"/>
  <c r="F263" i="5" s="1"/>
  <c r="BW263" i="5" l="1"/>
  <c r="BY263" i="5"/>
  <c r="J263" i="5" s="1"/>
  <c r="AS262" i="5"/>
  <c r="AV262" i="5" s="1"/>
  <c r="AO262" i="5"/>
  <c r="AR262" i="5" s="1"/>
  <c r="N262" i="5"/>
  <c r="AG262" i="5"/>
  <c r="C264" i="5"/>
  <c r="BU264" i="5" s="1"/>
  <c r="E238" i="6"/>
  <c r="F237" i="6"/>
  <c r="Q262" i="5"/>
  <c r="V262" i="5" s="1"/>
  <c r="D238" i="6"/>
  <c r="BC263" i="5"/>
  <c r="AN263" i="5" l="1"/>
  <c r="AF263" i="5"/>
  <c r="BT264" i="5"/>
  <c r="BV264" i="5"/>
  <c r="BS264" i="5"/>
  <c r="CI264" i="5"/>
  <c r="BH264" i="5"/>
  <c r="BI264" i="5" s="1"/>
  <c r="BJ264" i="5" s="1"/>
  <c r="AJ262" i="5"/>
  <c r="BD263" i="5"/>
  <c r="BE264" i="5" s="1"/>
  <c r="CZ263" i="5"/>
  <c r="BF263" i="5"/>
  <c r="G237" i="6"/>
  <c r="BK264" i="5"/>
  <c r="BL264" i="5" s="1"/>
  <c r="BM264" i="5" s="1"/>
  <c r="CR264" i="5"/>
  <c r="CS264" i="5"/>
  <c r="CY264" i="5"/>
  <c r="AK264" i="5"/>
  <c r="AM264" i="5" s="1"/>
  <c r="AL265" i="5" s="1"/>
  <c r="CX264" i="5"/>
  <c r="D264" i="5"/>
  <c r="AB264" i="5"/>
  <c r="L264" i="5" s="1"/>
  <c r="AC264" i="5"/>
  <c r="AD264" i="5" s="1"/>
  <c r="CL264" i="5"/>
  <c r="CM264" i="5" s="1"/>
  <c r="C239" i="6"/>
  <c r="CW264" i="5"/>
  <c r="BG263" i="5"/>
  <c r="H263" i="5" s="1"/>
  <c r="AX264" i="5"/>
  <c r="AW264" i="5" s="1"/>
  <c r="CU264" i="5"/>
  <c r="BX264" i="5" s="1"/>
  <c r="CK264" i="5" l="1"/>
  <c r="CJ264" i="5" s="1"/>
  <c r="CH264" i="5"/>
  <c r="X262" i="5"/>
  <c r="Y262" i="5" s="1"/>
  <c r="W264" i="5"/>
  <c r="T264" i="5"/>
  <c r="U264" i="5" s="1"/>
  <c r="DA264" i="5"/>
  <c r="DB264" i="5" s="1"/>
  <c r="I263" i="5"/>
  <c r="AH263" i="5" s="1"/>
  <c r="CP264" i="5"/>
  <c r="CQ264" i="5" s="1"/>
  <c r="R264" i="5" s="1"/>
  <c r="S264" i="5" s="1"/>
  <c r="AE264" i="5"/>
  <c r="CV264" i="5"/>
  <c r="CT264" i="5"/>
  <c r="BN264" i="5"/>
  <c r="BO264" i="5" s="1"/>
  <c r="BP264" i="5" s="1"/>
  <c r="G264" i="5" s="1"/>
  <c r="K264" i="5" l="1"/>
  <c r="H237" i="6"/>
  <c r="Z262" i="5"/>
  <c r="AA262" i="5" s="1"/>
  <c r="I237" i="6" s="1"/>
  <c r="AT263" i="5"/>
  <c r="AP263" i="5"/>
  <c r="CN264" i="5"/>
  <c r="E264" i="5" s="1"/>
  <c r="CO264" i="5"/>
  <c r="F264" i="5" s="1"/>
  <c r="P263" i="5"/>
  <c r="AY263" i="5" s="1"/>
  <c r="M263" i="5"/>
  <c r="BY264" i="5" l="1"/>
  <c r="J264" i="5" s="1"/>
  <c r="BW264" i="5"/>
  <c r="AO263" i="5"/>
  <c r="AR263" i="5" s="1"/>
  <c r="AG263" i="5"/>
  <c r="AJ263" i="5" s="1"/>
  <c r="F238" i="6"/>
  <c r="Q263" i="5"/>
  <c r="V263" i="5" s="1"/>
  <c r="C265" i="5"/>
  <c r="BU265" i="5" s="1"/>
  <c r="E239" i="6"/>
  <c r="D239" i="6"/>
  <c r="BC264" i="5"/>
  <c r="N263" i="5"/>
  <c r="AS263" i="5"/>
  <c r="AV263" i="5" s="1"/>
  <c r="AN264" i="5" l="1"/>
  <c r="AF264" i="5"/>
  <c r="BT265" i="5"/>
  <c r="BV265" i="5"/>
  <c r="BS265" i="5"/>
  <c r="CI265" i="5"/>
  <c r="BH265" i="5"/>
  <c r="BI265" i="5" s="1"/>
  <c r="BJ265" i="5" s="1"/>
  <c r="X263" i="5"/>
  <c r="Y263" i="5" s="1"/>
  <c r="BK265" i="5"/>
  <c r="BL265" i="5" s="1"/>
  <c r="BM265" i="5" s="1"/>
  <c r="CL265" i="5"/>
  <c r="CM265" i="5" s="1"/>
  <c r="CR265" i="5"/>
  <c r="CS265" i="5"/>
  <c r="CY265" i="5"/>
  <c r="C240" i="6"/>
  <c r="CW265" i="5"/>
  <c r="AB265" i="5"/>
  <c r="BN265" i="5" s="1"/>
  <c r="BO265" i="5" s="1"/>
  <c r="BP265" i="5" s="1"/>
  <c r="AC265" i="5"/>
  <c r="AK265" i="5"/>
  <c r="D265" i="5"/>
  <c r="CX265" i="5"/>
  <c r="BG264" i="5"/>
  <c r="H264" i="5" s="1"/>
  <c r="AX265" i="5"/>
  <c r="AW265" i="5" s="1"/>
  <c r="CU265" i="5"/>
  <c r="BX265" i="5" s="1"/>
  <c r="G238" i="6"/>
  <c r="BF264" i="5"/>
  <c r="CZ264" i="5"/>
  <c r="BD264" i="5"/>
  <c r="BE265" i="5" s="1"/>
  <c r="G265" i="5" l="1"/>
  <c r="AD265" i="5"/>
  <c r="AE265" i="5" s="1"/>
  <c r="CH265" i="5"/>
  <c r="CK265" i="5"/>
  <c r="CJ265" i="5" s="1"/>
  <c r="CP265" i="5"/>
  <c r="CQ265" i="5" s="1"/>
  <c r="R265" i="5" s="1"/>
  <c r="S265" i="5" s="1"/>
  <c r="L265" i="5"/>
  <c r="DA265" i="5"/>
  <c r="DB265" i="5" s="1"/>
  <c r="K265" i="5" s="1"/>
  <c r="CT265" i="5"/>
  <c r="CV265" i="5"/>
  <c r="I264" i="5"/>
  <c r="AH264" i="5" s="1"/>
  <c r="W265" i="5"/>
  <c r="T265" i="5"/>
  <c r="U265" i="5" s="1"/>
  <c r="AM265" i="5"/>
  <c r="AL266" i="5" s="1"/>
  <c r="H238" i="6"/>
  <c r="Z263" i="5"/>
  <c r="P264" i="5" l="1"/>
  <c r="AY264" i="5" s="1"/>
  <c r="M264" i="5"/>
  <c r="AG264" i="5" s="1"/>
  <c r="AJ264" i="5" s="1"/>
  <c r="AT264" i="5"/>
  <c r="AP264" i="5"/>
  <c r="CO265" i="5"/>
  <c r="F265" i="5" s="1"/>
  <c r="CN265" i="5"/>
  <c r="E265" i="5" s="1"/>
  <c r="AA263" i="5"/>
  <c r="I238" i="6" s="1"/>
  <c r="BW265" i="5" l="1"/>
  <c r="BY265" i="5"/>
  <c r="J265" i="5" s="1"/>
  <c r="E240" i="6"/>
  <c r="C266" i="5"/>
  <c r="BU266" i="5" s="1"/>
  <c r="D240" i="6"/>
  <c r="BC265" i="5"/>
  <c r="N264" i="5"/>
  <c r="AS264" i="5"/>
  <c r="AV264" i="5" s="1"/>
  <c r="AO264" i="5"/>
  <c r="AR264" i="5" s="1"/>
  <c r="Q264" i="5"/>
  <c r="V264" i="5" s="1"/>
  <c r="F239" i="6"/>
  <c r="AN265" i="5" l="1"/>
  <c r="AF265" i="5"/>
  <c r="BV266" i="5"/>
  <c r="BT266" i="5"/>
  <c r="BS266" i="5"/>
  <c r="CI266" i="5"/>
  <c r="BH266" i="5"/>
  <c r="BI266" i="5" s="1"/>
  <c r="BJ266" i="5" s="1"/>
  <c r="X264" i="5"/>
  <c r="Y264" i="5" s="1"/>
  <c r="BF265" i="5"/>
  <c r="BD265" i="5"/>
  <c r="BE266" i="5" s="1"/>
  <c r="CZ265" i="5"/>
  <c r="AC266" i="5"/>
  <c r="C241" i="6"/>
  <c r="D266" i="5"/>
  <c r="CR266" i="5"/>
  <c r="CX266" i="5"/>
  <c r="CW266" i="5"/>
  <c r="CY266" i="5"/>
  <c r="CS266" i="5"/>
  <c r="CL266" i="5"/>
  <c r="CM266" i="5" s="1"/>
  <c r="AK266" i="5"/>
  <c r="AB266" i="5"/>
  <c r="CP266" i="5" s="1"/>
  <c r="CQ266" i="5" s="1"/>
  <c r="R266" i="5" s="1"/>
  <c r="S266" i="5" s="1"/>
  <c r="BK266" i="5"/>
  <c r="BL266" i="5" s="1"/>
  <c r="BM266" i="5" s="1"/>
  <c r="BG265" i="5"/>
  <c r="H265" i="5" s="1"/>
  <c r="AX266" i="5"/>
  <c r="AW266" i="5" s="1"/>
  <c r="CU266" i="5"/>
  <c r="BX266" i="5" s="1"/>
  <c r="G239" i="6"/>
  <c r="CH266" i="5" l="1"/>
  <c r="CK266" i="5"/>
  <c r="CJ266" i="5" s="1"/>
  <c r="AD266" i="5"/>
  <c r="AE266" i="5" s="1"/>
  <c r="I265" i="5"/>
  <c r="AH265" i="5" s="1"/>
  <c r="W266" i="5"/>
  <c r="T266" i="5"/>
  <c r="U266" i="5" s="1"/>
  <c r="CT266" i="5"/>
  <c r="CV266" i="5"/>
  <c r="AM266" i="5"/>
  <c r="AL267" i="5" s="1"/>
  <c r="BN266" i="5"/>
  <c r="BO266" i="5" s="1"/>
  <c r="BP266" i="5" s="1"/>
  <c r="G266" i="5" s="1"/>
  <c r="H239" i="6"/>
  <c r="Z264" i="5"/>
  <c r="DA266" i="5"/>
  <c r="DB266" i="5" s="1"/>
  <c r="K266" i="5" s="1"/>
  <c r="L266" i="5"/>
  <c r="AT265" i="5" l="1"/>
  <c r="AP265" i="5"/>
  <c r="M265" i="5"/>
  <c r="AO265" i="5" s="1"/>
  <c r="AR265" i="5" s="1"/>
  <c r="P265" i="5"/>
  <c r="AY265" i="5" s="1"/>
  <c r="CO266" i="5"/>
  <c r="F266" i="5" s="1"/>
  <c r="CN266" i="5"/>
  <c r="E266" i="5" s="1"/>
  <c r="AA264" i="5"/>
  <c r="I239" i="6" s="1"/>
  <c r="BW266" i="5" l="1"/>
  <c r="BY266" i="5"/>
  <c r="J266" i="5" s="1"/>
  <c r="AN266" i="5" s="1"/>
  <c r="C267" i="5"/>
  <c r="BU267" i="5" s="1"/>
  <c r="E241" i="6"/>
  <c r="AG265" i="5"/>
  <c r="AJ265" i="5" s="1"/>
  <c r="N265" i="5"/>
  <c r="AS265" i="5"/>
  <c r="AV265" i="5" s="1"/>
  <c r="F240" i="6"/>
  <c r="Q265" i="5"/>
  <c r="V265" i="5" s="1"/>
  <c r="D241" i="6"/>
  <c r="BC266" i="5"/>
  <c r="AF266" i="5" l="1"/>
  <c r="BT267" i="5"/>
  <c r="BV267" i="5"/>
  <c r="BS267" i="5"/>
  <c r="CI267" i="5"/>
  <c r="BH267" i="5"/>
  <c r="BI267" i="5" s="1"/>
  <c r="BJ267" i="5" s="1"/>
  <c r="X265" i="5"/>
  <c r="Y265" i="5" s="1"/>
  <c r="G240" i="6"/>
  <c r="CZ266" i="5"/>
  <c r="BD266" i="5"/>
  <c r="BE267" i="5" s="1"/>
  <c r="BF266" i="5"/>
  <c r="CW267" i="5"/>
  <c r="BK267" i="5"/>
  <c r="BL267" i="5" s="1"/>
  <c r="BM267" i="5" s="1"/>
  <c r="AK267" i="5"/>
  <c r="AC267" i="5"/>
  <c r="CL267" i="5"/>
  <c r="CM267" i="5" s="1"/>
  <c r="AB267" i="5"/>
  <c r="DA267" i="5" s="1"/>
  <c r="DB267" i="5" s="1"/>
  <c r="D267" i="5"/>
  <c r="CY267" i="5"/>
  <c r="CX267" i="5"/>
  <c r="C242" i="6"/>
  <c r="CS267" i="5"/>
  <c r="CR267" i="5"/>
  <c r="BG266" i="5"/>
  <c r="H266" i="5" s="1"/>
  <c r="AX267" i="5"/>
  <c r="AW267" i="5" s="1"/>
  <c r="CU267" i="5"/>
  <c r="BX267" i="5" s="1"/>
  <c r="CK267" i="5" l="1"/>
  <c r="CJ267" i="5" s="1"/>
  <c r="K267" i="5" s="1"/>
  <c r="CH267" i="5"/>
  <c r="L267" i="5"/>
  <c r="AD267" i="5"/>
  <c r="AE267" i="5" s="1"/>
  <c r="CP267" i="5"/>
  <c r="CQ267" i="5" s="1"/>
  <c r="R267" i="5" s="1"/>
  <c r="S267" i="5" s="1"/>
  <c r="BN267" i="5"/>
  <c r="BO267" i="5" s="1"/>
  <c r="BP267" i="5" s="1"/>
  <c r="G267" i="5" s="1"/>
  <c r="CV267" i="5"/>
  <c r="CT267" i="5"/>
  <c r="W267" i="5"/>
  <c r="T267" i="5"/>
  <c r="U267" i="5" s="1"/>
  <c r="I266" i="5"/>
  <c r="AP266" i="5" s="1"/>
  <c r="H240" i="6"/>
  <c r="Z265" i="5"/>
  <c r="AM267" i="5"/>
  <c r="AL268" i="5" s="1"/>
  <c r="AH266" i="5" l="1"/>
  <c r="AT266" i="5"/>
  <c r="AA265" i="5"/>
  <c r="I240" i="6" s="1"/>
  <c r="M266" i="5"/>
  <c r="P266" i="5"/>
  <c r="AY266" i="5" s="1"/>
  <c r="CO267" i="5"/>
  <c r="F267" i="5" s="1"/>
  <c r="CN267" i="5"/>
  <c r="E267" i="5" s="1"/>
  <c r="BW267" i="5" l="1"/>
  <c r="BY267" i="5"/>
  <c r="J267" i="5" s="1"/>
  <c r="AF267" i="5" s="1"/>
  <c r="AS266" i="5"/>
  <c r="AV266" i="5" s="1"/>
  <c r="AO266" i="5"/>
  <c r="AR266" i="5" s="1"/>
  <c r="E242" i="6"/>
  <c r="C268" i="5"/>
  <c r="BU268" i="5" s="1"/>
  <c r="Q266" i="5"/>
  <c r="V266" i="5" s="1"/>
  <c r="G241" i="6" s="1"/>
  <c r="F241" i="6"/>
  <c r="N266" i="5"/>
  <c r="AG266" i="5"/>
  <c r="D242" i="6"/>
  <c r="BC267" i="5"/>
  <c r="AN267" i="5" l="1"/>
  <c r="BT268" i="5"/>
  <c r="BV268" i="5"/>
  <c r="BS268" i="5"/>
  <c r="CI268" i="5"/>
  <c r="BH268" i="5"/>
  <c r="BI268" i="5" s="1"/>
  <c r="BJ268" i="5" s="1"/>
  <c r="AJ266" i="5"/>
  <c r="AB268" i="5"/>
  <c r="DA268" i="5" s="1"/>
  <c r="DB268" i="5" s="1"/>
  <c r="AC268" i="5"/>
  <c r="AD268" i="5" s="1"/>
  <c r="CS268" i="5"/>
  <c r="AK268" i="5"/>
  <c r="CW268" i="5"/>
  <c r="CX268" i="5"/>
  <c r="CY268" i="5"/>
  <c r="CR268" i="5"/>
  <c r="C243" i="6"/>
  <c r="D268" i="5"/>
  <c r="BK268" i="5"/>
  <c r="BL268" i="5" s="1"/>
  <c r="BM268" i="5" s="1"/>
  <c r="CL268" i="5"/>
  <c r="CM268" i="5" s="1"/>
  <c r="BG267" i="5"/>
  <c r="H267" i="5" s="1"/>
  <c r="AX268" i="5"/>
  <c r="AW268" i="5" s="1"/>
  <c r="CU268" i="5"/>
  <c r="BX268" i="5" s="1"/>
  <c r="CZ267" i="5"/>
  <c r="BF267" i="5"/>
  <c r="BD267" i="5"/>
  <c r="BE268" i="5" s="1"/>
  <c r="CH268" i="5" l="1"/>
  <c r="CK268" i="5"/>
  <c r="CJ268" i="5" s="1"/>
  <c r="K268" i="5" s="1"/>
  <c r="BN268" i="5"/>
  <c r="BO268" i="5" s="1"/>
  <c r="BP268" i="5" s="1"/>
  <c r="G268" i="5" s="1"/>
  <c r="X266" i="5"/>
  <c r="Y266" i="5" s="1"/>
  <c r="L268" i="5"/>
  <c r="CP268" i="5"/>
  <c r="CQ268" i="5" s="1"/>
  <c r="R268" i="5" s="1"/>
  <c r="S268" i="5" s="1"/>
  <c r="I267" i="5"/>
  <c r="AP267" i="5" s="1"/>
  <c r="AM268" i="5"/>
  <c r="AL269" i="5" s="1"/>
  <c r="AE268" i="5"/>
  <c r="CT268" i="5"/>
  <c r="CV268" i="5"/>
  <c r="W268" i="5"/>
  <c r="T268" i="5"/>
  <c r="U268" i="5" s="1"/>
  <c r="H241" i="6" l="1"/>
  <c r="Z266" i="5"/>
  <c r="AA266" i="5" s="1"/>
  <c r="I241" i="6" s="1"/>
  <c r="AT267" i="5"/>
  <c r="AH267" i="5"/>
  <c r="CN268" i="5"/>
  <c r="E268" i="5" s="1"/>
  <c r="CO268" i="5"/>
  <c r="F268" i="5" s="1"/>
  <c r="M267" i="5"/>
  <c r="P267" i="5"/>
  <c r="AY267" i="5" s="1"/>
  <c r="AS267" i="5" l="1"/>
  <c r="AV267" i="5" s="1"/>
  <c r="AO267" i="5"/>
  <c r="N267" i="5"/>
  <c r="AG267" i="5"/>
  <c r="F242" i="6"/>
  <c r="Q267" i="5"/>
  <c r="V267" i="5" s="1"/>
  <c r="D243" i="6"/>
  <c r="BC268" i="5"/>
  <c r="C269" i="5"/>
  <c r="BU269" i="5" s="1"/>
  <c r="E243" i="6"/>
  <c r="BW268" i="5" l="1"/>
  <c r="BY268" i="5"/>
  <c r="J268" i="5" s="1"/>
  <c r="BV269" i="5"/>
  <c r="BT269" i="5"/>
  <c r="BS269" i="5"/>
  <c r="CI269" i="5"/>
  <c r="BH269" i="5"/>
  <c r="BI269" i="5" s="1"/>
  <c r="BJ269" i="5" s="1"/>
  <c r="AR267" i="5"/>
  <c r="AJ267" i="5"/>
  <c r="BK269" i="5"/>
  <c r="BL269" i="5" s="1"/>
  <c r="BM269" i="5" s="1"/>
  <c r="CL269" i="5"/>
  <c r="CM269" i="5" s="1"/>
  <c r="C244" i="6"/>
  <c r="CR269" i="5"/>
  <c r="CW269" i="5"/>
  <c r="AC269" i="5"/>
  <c r="CS269" i="5"/>
  <c r="AB269" i="5"/>
  <c r="L269" i="5" s="1"/>
  <c r="CY269" i="5"/>
  <c r="D269" i="5"/>
  <c r="CX269" i="5"/>
  <c r="AK269" i="5"/>
  <c r="BG268" i="5"/>
  <c r="H268" i="5" s="1"/>
  <c r="AX269" i="5"/>
  <c r="AW269" i="5" s="1"/>
  <c r="CU269" i="5"/>
  <c r="CZ268" i="5"/>
  <c r="BD268" i="5"/>
  <c r="BE269" i="5" s="1"/>
  <c r="BF268" i="5"/>
  <c r="G242" i="6"/>
  <c r="AF268" i="5" l="1"/>
  <c r="AN268" i="5"/>
  <c r="BX269" i="5"/>
  <c r="CH269" i="5"/>
  <c r="CK269" i="5"/>
  <c r="CJ269" i="5" s="1"/>
  <c r="X267" i="5"/>
  <c r="Y267" i="5" s="1"/>
  <c r="AD269" i="5"/>
  <c r="AE269" i="5" s="1"/>
  <c r="BN269" i="5"/>
  <c r="BO269" i="5" s="1"/>
  <c r="BP269" i="5" s="1"/>
  <c r="G269" i="5" s="1"/>
  <c r="DA269" i="5"/>
  <c r="DB269" i="5" s="1"/>
  <c r="K269" i="5" s="1"/>
  <c r="I268" i="5"/>
  <c r="AM269" i="5"/>
  <c r="AL270" i="5" s="1"/>
  <c r="CP269" i="5"/>
  <c r="CQ269" i="5" s="1"/>
  <c r="R269" i="5" s="1"/>
  <c r="S269" i="5" s="1"/>
  <c r="W269" i="5"/>
  <c r="T269" i="5"/>
  <c r="U269" i="5" s="1"/>
  <c r="CV269" i="5"/>
  <c r="CT269" i="5"/>
  <c r="AP268" i="5" l="1"/>
  <c r="H242" i="6"/>
  <c r="Z267" i="5"/>
  <c r="AA267" i="5" s="1"/>
  <c r="I242" i="6" s="1"/>
  <c r="AH268" i="5"/>
  <c r="AT268" i="5"/>
  <c r="P268" i="5"/>
  <c r="AY268" i="5" s="1"/>
  <c r="M268" i="5"/>
  <c r="CN269" i="5"/>
  <c r="E269" i="5" s="1"/>
  <c r="CO269" i="5"/>
  <c r="F269" i="5" s="1"/>
  <c r="BY269" i="5" l="1"/>
  <c r="J269" i="5" s="1"/>
  <c r="BW269" i="5"/>
  <c r="AG268" i="5"/>
  <c r="AJ268" i="5" s="1"/>
  <c r="AO268" i="5"/>
  <c r="AR268" i="5" s="1"/>
  <c r="N268" i="5"/>
  <c r="AS268" i="5"/>
  <c r="AV268" i="5" s="1"/>
  <c r="E244" i="6"/>
  <c r="C270" i="5"/>
  <c r="BU270" i="5" s="1"/>
  <c r="Q268" i="5"/>
  <c r="V268" i="5" s="1"/>
  <c r="F243" i="6"/>
  <c r="BC269" i="5"/>
  <c r="D244" i="6"/>
  <c r="AF269" i="5" l="1"/>
  <c r="AN269" i="5"/>
  <c r="BT270" i="5"/>
  <c r="BV270" i="5"/>
  <c r="BS270" i="5"/>
  <c r="CI270" i="5"/>
  <c r="BH270" i="5"/>
  <c r="BI270" i="5" s="1"/>
  <c r="BJ270" i="5" s="1"/>
  <c r="X268" i="5"/>
  <c r="Y268" i="5" s="1"/>
  <c r="CZ269" i="5"/>
  <c r="BF269" i="5"/>
  <c r="BD269" i="5"/>
  <c r="BE270" i="5" s="1"/>
  <c r="G243" i="6"/>
  <c r="C245" i="6"/>
  <c r="CX270" i="5"/>
  <c r="CW270" i="5"/>
  <c r="BK270" i="5"/>
  <c r="BL270" i="5" s="1"/>
  <c r="BM270" i="5" s="1"/>
  <c r="AK270" i="5"/>
  <c r="AM270" i="5" s="1"/>
  <c r="AL271" i="5" s="1"/>
  <c r="D270" i="5"/>
  <c r="CY270" i="5"/>
  <c r="CL270" i="5"/>
  <c r="CM270" i="5" s="1"/>
  <c r="CR270" i="5"/>
  <c r="CS270" i="5"/>
  <c r="AB270" i="5"/>
  <c r="L270" i="5" s="1"/>
  <c r="AC270" i="5"/>
  <c r="AD270" i="5" s="1"/>
  <c r="BG269" i="5"/>
  <c r="H269" i="5" s="1"/>
  <c r="AX270" i="5"/>
  <c r="AW270" i="5" s="1"/>
  <c r="CU270" i="5"/>
  <c r="BX270" i="5" s="1"/>
  <c r="CH270" i="5" l="1"/>
  <c r="CK270" i="5"/>
  <c r="CJ270" i="5" s="1"/>
  <c r="DA270" i="5"/>
  <c r="DB270" i="5" s="1"/>
  <c r="K270" i="5" s="1"/>
  <c r="CP270" i="5"/>
  <c r="CQ270" i="5" s="1"/>
  <c r="R270" i="5" s="1"/>
  <c r="S270" i="5" s="1"/>
  <c r="BN270" i="5"/>
  <c r="BO270" i="5" s="1"/>
  <c r="BP270" i="5" s="1"/>
  <c r="G270" i="5" s="1"/>
  <c r="H243" i="6"/>
  <c r="Z268" i="5"/>
  <c r="W270" i="5"/>
  <c r="T270" i="5"/>
  <c r="U270" i="5" s="1"/>
  <c r="CT270" i="5"/>
  <c r="CV270" i="5"/>
  <c r="I269" i="5"/>
  <c r="AP269" i="5" s="1"/>
  <c r="AE270" i="5"/>
  <c r="AH269" i="5" l="1"/>
  <c r="AT269" i="5"/>
  <c r="P269" i="5"/>
  <c r="AY269" i="5" s="1"/>
  <c r="M269" i="5"/>
  <c r="CN270" i="5"/>
  <c r="E270" i="5" s="1"/>
  <c r="CO270" i="5"/>
  <c r="F270" i="5" s="1"/>
  <c r="AA268" i="5"/>
  <c r="I243" i="6" s="1"/>
  <c r="BW270" i="5" l="1"/>
  <c r="AS269" i="5"/>
  <c r="AV269" i="5" s="1"/>
  <c r="AO269" i="5"/>
  <c r="AR269" i="5" s="1"/>
  <c r="N269" i="5"/>
  <c r="AG269" i="5"/>
  <c r="C271" i="5"/>
  <c r="BU271" i="5" s="1"/>
  <c r="E245" i="6"/>
  <c r="D245" i="6"/>
  <c r="BC270" i="5"/>
  <c r="F244" i="6"/>
  <c r="Q269" i="5"/>
  <c r="V269" i="5" s="1"/>
  <c r="BY270" i="5" l="1"/>
  <c r="J270" i="5" s="1"/>
  <c r="BT271" i="5"/>
  <c r="BV271" i="5"/>
  <c r="BS271" i="5"/>
  <c r="CI271" i="5"/>
  <c r="BH271" i="5"/>
  <c r="BI271" i="5" s="1"/>
  <c r="BJ271" i="5" s="1"/>
  <c r="AJ269" i="5"/>
  <c r="G244" i="6"/>
  <c r="BF270" i="5"/>
  <c r="BD270" i="5"/>
  <c r="BE271" i="5" s="1"/>
  <c r="CZ270" i="5"/>
  <c r="AK271" i="5"/>
  <c r="AM271" i="5" s="1"/>
  <c r="AL272" i="5" s="1"/>
  <c r="CL271" i="5"/>
  <c r="CM271" i="5" s="1"/>
  <c r="AB271" i="5"/>
  <c r="DA271" i="5" s="1"/>
  <c r="DB271" i="5" s="1"/>
  <c r="CW271" i="5"/>
  <c r="CS271" i="5"/>
  <c r="D271" i="5"/>
  <c r="AC271" i="5"/>
  <c r="AD271" i="5" s="1"/>
  <c r="CX271" i="5"/>
  <c r="C246" i="6"/>
  <c r="BK271" i="5"/>
  <c r="BL271" i="5" s="1"/>
  <c r="BM271" i="5" s="1"/>
  <c r="CY271" i="5"/>
  <c r="CR271" i="5"/>
  <c r="BG270" i="5"/>
  <c r="H270" i="5" s="1"/>
  <c r="AX271" i="5"/>
  <c r="AW271" i="5" s="1"/>
  <c r="CU271" i="5"/>
  <c r="BX271" i="5" s="1"/>
  <c r="AN270" i="5" l="1"/>
  <c r="AF270" i="5"/>
  <c r="CH271" i="5"/>
  <c r="CK271" i="5"/>
  <c r="CJ271" i="5" s="1"/>
  <c r="K271" i="5" s="1"/>
  <c r="X269" i="5"/>
  <c r="Y269" i="5" s="1"/>
  <c r="BN271" i="5"/>
  <c r="BO271" i="5" s="1"/>
  <c r="BP271" i="5" s="1"/>
  <c r="G271" i="5" s="1"/>
  <c r="CV271" i="5"/>
  <c r="CT271" i="5"/>
  <c r="CP271" i="5"/>
  <c r="CQ271" i="5" s="1"/>
  <c r="R271" i="5" s="1"/>
  <c r="S271" i="5" s="1"/>
  <c r="AE271" i="5"/>
  <c r="L271" i="5"/>
  <c r="T271" i="5"/>
  <c r="U271" i="5" s="1"/>
  <c r="W271" i="5"/>
  <c r="I270" i="5"/>
  <c r="AH270" i="5" s="1"/>
  <c r="H244" i="6" l="1"/>
  <c r="Z269" i="5"/>
  <c r="AA269" i="5" s="1"/>
  <c r="I244" i="6" s="1"/>
  <c r="AT270" i="5"/>
  <c r="AP270" i="5"/>
  <c r="CN271" i="5"/>
  <c r="E271" i="5" s="1"/>
  <c r="CO271" i="5"/>
  <c r="F271" i="5" s="1"/>
  <c r="M270" i="5"/>
  <c r="P270" i="5"/>
  <c r="BB270" i="5" l="1"/>
  <c r="AY270" i="5"/>
  <c r="AO270" i="5"/>
  <c r="AR270" i="5" s="1"/>
  <c r="AG270" i="5"/>
  <c r="AJ270" i="5" s="1"/>
  <c r="Q270" i="5"/>
  <c r="V270" i="5" s="1"/>
  <c r="F245" i="6"/>
  <c r="N270" i="5"/>
  <c r="AS270" i="5"/>
  <c r="AV270" i="5" s="1"/>
  <c r="C272" i="5"/>
  <c r="BU272" i="5" s="1"/>
  <c r="E246" i="6"/>
  <c r="D246" i="6"/>
  <c r="BC271" i="5"/>
  <c r="BW271" i="5" l="1"/>
  <c r="BY271" i="5"/>
  <c r="J271" i="5" s="1"/>
  <c r="BT272" i="5"/>
  <c r="BV272" i="5"/>
  <c r="BS272" i="5"/>
  <c r="CI272" i="5"/>
  <c r="BH272" i="5"/>
  <c r="BI272" i="5" s="1"/>
  <c r="BJ272" i="5" s="1"/>
  <c r="X270" i="5"/>
  <c r="Y270" i="5" s="1"/>
  <c r="CS272" i="5"/>
  <c r="D272" i="5"/>
  <c r="CR272" i="5"/>
  <c r="C247" i="6"/>
  <c r="CY272" i="5"/>
  <c r="CW272" i="5"/>
  <c r="AK272" i="5"/>
  <c r="AB272" i="5"/>
  <c r="CP272" i="5" s="1"/>
  <c r="CQ272" i="5" s="1"/>
  <c r="R272" i="5" s="1"/>
  <c r="S272" i="5" s="1"/>
  <c r="BK272" i="5"/>
  <c r="BL272" i="5" s="1"/>
  <c r="BM272" i="5" s="1"/>
  <c r="CL272" i="5"/>
  <c r="CM272" i="5" s="1"/>
  <c r="CX272" i="5"/>
  <c r="AC272" i="5"/>
  <c r="BG271" i="5"/>
  <c r="H271" i="5" s="1"/>
  <c r="AX272" i="5"/>
  <c r="AW272" i="5" s="1"/>
  <c r="CU272" i="5"/>
  <c r="CZ271" i="5"/>
  <c r="BF271" i="5"/>
  <c r="BD271" i="5"/>
  <c r="BE272" i="5" s="1"/>
  <c r="G245" i="6"/>
  <c r="AN271" i="5" l="1"/>
  <c r="AF271" i="5"/>
  <c r="BX272" i="5"/>
  <c r="CK272" i="5"/>
  <c r="CJ272" i="5" s="1"/>
  <c r="CH272" i="5"/>
  <c r="DA272" i="5"/>
  <c r="DB272" i="5" s="1"/>
  <c r="AD272" i="5"/>
  <c r="AE272" i="5" s="1"/>
  <c r="BN272" i="5"/>
  <c r="BO272" i="5" s="1"/>
  <c r="BP272" i="5" s="1"/>
  <c r="G272" i="5" s="1"/>
  <c r="L272" i="5"/>
  <c r="CV272" i="5"/>
  <c r="CT272" i="5"/>
  <c r="I271" i="5"/>
  <c r="T272" i="5"/>
  <c r="U272" i="5" s="1"/>
  <c r="W272" i="5"/>
  <c r="H245" i="6"/>
  <c r="Z270" i="5"/>
  <c r="AM272" i="5"/>
  <c r="AL273" i="5" s="1"/>
  <c r="AH271" i="5" l="1"/>
  <c r="K272" i="5"/>
  <c r="M271" i="5"/>
  <c r="AG271" i="5" s="1"/>
  <c r="AJ271" i="5" s="1"/>
  <c r="P271" i="5"/>
  <c r="AY271" i="5" s="1"/>
  <c r="AA270" i="5"/>
  <c r="I245" i="6" s="1"/>
  <c r="AT271" i="5"/>
  <c r="AP271" i="5"/>
  <c r="CN272" i="5"/>
  <c r="E272" i="5" s="1"/>
  <c r="CO272" i="5"/>
  <c r="F272" i="5" s="1"/>
  <c r="BY272" i="5" l="1"/>
  <c r="J272" i="5" s="1"/>
  <c r="AN272" i="5" s="1"/>
  <c r="BW272" i="5"/>
  <c r="AO271" i="5"/>
  <c r="AR271" i="5" s="1"/>
  <c r="AS271" i="5"/>
  <c r="AV271" i="5" s="1"/>
  <c r="N271" i="5"/>
  <c r="Q271" i="5"/>
  <c r="V271" i="5" s="1"/>
  <c r="G246" i="6" s="1"/>
  <c r="F246" i="6"/>
  <c r="C273" i="5"/>
  <c r="BU273" i="5" s="1"/>
  <c r="E247" i="6"/>
  <c r="D247" i="6"/>
  <c r="BC272" i="5"/>
  <c r="AF272" i="5" l="1"/>
  <c r="BT273" i="5"/>
  <c r="BV273" i="5"/>
  <c r="BS273" i="5"/>
  <c r="CI273" i="5"/>
  <c r="BH273" i="5"/>
  <c r="BI273" i="5" s="1"/>
  <c r="BJ273" i="5" s="1"/>
  <c r="X271" i="5"/>
  <c r="Y271" i="5" s="1"/>
  <c r="CZ272" i="5"/>
  <c r="BD272" i="5"/>
  <c r="BE273" i="5" s="1"/>
  <c r="BF272" i="5"/>
  <c r="BK273" i="5"/>
  <c r="BL273" i="5" s="1"/>
  <c r="BM273" i="5" s="1"/>
  <c r="CL273" i="5"/>
  <c r="CM273" i="5" s="1"/>
  <c r="D273" i="5"/>
  <c r="CW273" i="5"/>
  <c r="CS273" i="5"/>
  <c r="AB273" i="5"/>
  <c r="BN273" i="5" s="1"/>
  <c r="BO273" i="5" s="1"/>
  <c r="BP273" i="5" s="1"/>
  <c r="CY273" i="5"/>
  <c r="AK273" i="5"/>
  <c r="AM273" i="5" s="1"/>
  <c r="AL274" i="5" s="1"/>
  <c r="C248" i="6"/>
  <c r="CX273" i="5"/>
  <c r="AC273" i="5"/>
  <c r="AD273" i="5" s="1"/>
  <c r="CR273" i="5"/>
  <c r="BG272" i="5"/>
  <c r="H272" i="5" s="1"/>
  <c r="AX273" i="5"/>
  <c r="AW273" i="5" s="1"/>
  <c r="CU273" i="5"/>
  <c r="BX273" i="5" s="1"/>
  <c r="G273" i="5" l="1"/>
  <c r="CH273" i="5"/>
  <c r="CK273" i="5"/>
  <c r="CJ273" i="5" s="1"/>
  <c r="DA273" i="5"/>
  <c r="DB273" i="5" s="1"/>
  <c r="K273" i="5" s="1"/>
  <c r="L273" i="5"/>
  <c r="H246" i="6"/>
  <c r="Z271" i="5"/>
  <c r="AA271" i="5" s="1"/>
  <c r="I246" i="6" s="1"/>
  <c r="AE273" i="5"/>
  <c r="CP273" i="5"/>
  <c r="CQ273" i="5" s="1"/>
  <c r="R273" i="5" s="1"/>
  <c r="S273" i="5" s="1"/>
  <c r="CT273" i="5"/>
  <c r="CV273" i="5"/>
  <c r="I272" i="5"/>
  <c r="AH272" i="5" s="1"/>
  <c r="T273" i="5"/>
  <c r="U273" i="5" s="1"/>
  <c r="W273" i="5"/>
  <c r="AT272" i="5" l="1"/>
  <c r="AP272" i="5"/>
  <c r="CN273" i="5"/>
  <c r="E273" i="5" s="1"/>
  <c r="CO273" i="5"/>
  <c r="F273" i="5" s="1"/>
  <c r="M272" i="5"/>
  <c r="P272" i="5"/>
  <c r="AY272" i="5" s="1"/>
  <c r="BW273" i="5" l="1"/>
  <c r="BY273" i="5"/>
  <c r="J273" i="5" s="1"/>
  <c r="AS272" i="5"/>
  <c r="AV272" i="5" s="1"/>
  <c r="AO272" i="5"/>
  <c r="AR272" i="5" s="1"/>
  <c r="AG272" i="5"/>
  <c r="AJ272" i="5" s="1"/>
  <c r="N272" i="5"/>
  <c r="D248" i="6"/>
  <c r="BC273" i="5"/>
  <c r="C274" i="5"/>
  <c r="BU274" i="5" s="1"/>
  <c r="E248" i="6"/>
  <c r="Q272" i="5"/>
  <c r="V272" i="5" s="1"/>
  <c r="F247" i="6"/>
  <c r="AN273" i="5" l="1"/>
  <c r="AF273" i="5"/>
  <c r="BV274" i="5"/>
  <c r="BT274" i="5"/>
  <c r="BS274" i="5"/>
  <c r="CI274" i="5"/>
  <c r="BH274" i="5"/>
  <c r="BI274" i="5" s="1"/>
  <c r="BJ274" i="5" s="1"/>
  <c r="X272" i="5"/>
  <c r="Y272" i="5" s="1"/>
  <c r="CX274" i="5"/>
  <c r="D274" i="5"/>
  <c r="AK274" i="5"/>
  <c r="AM274" i="5" s="1"/>
  <c r="AL275" i="5" s="1"/>
  <c r="CL274" i="5"/>
  <c r="CM274" i="5" s="1"/>
  <c r="CS274" i="5"/>
  <c r="AC274" i="5"/>
  <c r="AD274" i="5" s="1"/>
  <c r="BK274" i="5"/>
  <c r="BL274" i="5" s="1"/>
  <c r="BM274" i="5" s="1"/>
  <c r="AB274" i="5"/>
  <c r="L274" i="5" s="1"/>
  <c r="CW274" i="5"/>
  <c r="CY274" i="5"/>
  <c r="C249" i="6"/>
  <c r="CR274" i="5"/>
  <c r="BG273" i="5"/>
  <c r="H273" i="5" s="1"/>
  <c r="AX274" i="5"/>
  <c r="AW274" i="5" s="1"/>
  <c r="CU274" i="5"/>
  <c r="BX274" i="5" s="1"/>
  <c r="BF273" i="5"/>
  <c r="BD273" i="5"/>
  <c r="BE274" i="5" s="1"/>
  <c r="CZ273" i="5"/>
  <c r="G247" i="6"/>
  <c r="CH274" i="5" l="1"/>
  <c r="CK274" i="5"/>
  <c r="CJ274" i="5" s="1"/>
  <c r="DA274" i="5"/>
  <c r="DB274" i="5" s="1"/>
  <c r="CT274" i="5"/>
  <c r="CV274" i="5"/>
  <c r="I273" i="5"/>
  <c r="AP273" i="5" s="1"/>
  <c r="BN274" i="5"/>
  <c r="BO274" i="5" s="1"/>
  <c r="BP274" i="5" s="1"/>
  <c r="G274" i="5" s="1"/>
  <c r="H247" i="6"/>
  <c r="Z272" i="5"/>
  <c r="CP274" i="5"/>
  <c r="CQ274" i="5" s="1"/>
  <c r="R274" i="5" s="1"/>
  <c r="S274" i="5" s="1"/>
  <c r="T274" i="5"/>
  <c r="U274" i="5" s="1"/>
  <c r="W274" i="5"/>
  <c r="AE274" i="5"/>
  <c r="K274" i="5" l="1"/>
  <c r="AH273" i="5"/>
  <c r="AT273" i="5"/>
  <c r="AA272" i="5"/>
  <c r="I247" i="6" s="1"/>
  <c r="P273" i="5"/>
  <c r="AY273" i="5" s="1"/>
  <c r="M273" i="5"/>
  <c r="CO274" i="5"/>
  <c r="F274" i="5" s="1"/>
  <c r="CN274" i="5"/>
  <c r="E274" i="5" s="1"/>
  <c r="AS273" i="5" l="1"/>
  <c r="AV273" i="5" s="1"/>
  <c r="AO273" i="5"/>
  <c r="AR273" i="5" s="1"/>
  <c r="E249" i="6"/>
  <c r="C275" i="5"/>
  <c r="BU275" i="5" s="1"/>
  <c r="Q273" i="5"/>
  <c r="V273" i="5" s="1"/>
  <c r="G248" i="6" s="1"/>
  <c r="F248" i="6"/>
  <c r="N273" i="5"/>
  <c r="AG273" i="5"/>
  <c r="D249" i="6"/>
  <c r="BC274" i="5"/>
  <c r="BW274" i="5" l="1"/>
  <c r="BY274" i="5"/>
  <c r="J274" i="5" s="1"/>
  <c r="BT275" i="5"/>
  <c r="BV275" i="5"/>
  <c r="BS275" i="5"/>
  <c r="CI275" i="5"/>
  <c r="BH275" i="5"/>
  <c r="BI275" i="5" s="1"/>
  <c r="BJ275" i="5" s="1"/>
  <c r="CZ274" i="5"/>
  <c r="BD274" i="5"/>
  <c r="BE275" i="5" s="1"/>
  <c r="BF274" i="5"/>
  <c r="AJ273" i="5"/>
  <c r="C250" i="6"/>
  <c r="CS275" i="5"/>
  <c r="D275" i="5"/>
  <c r="AB275" i="5"/>
  <c r="CP275" i="5" s="1"/>
  <c r="CQ275" i="5" s="1"/>
  <c r="R275" i="5" s="1"/>
  <c r="S275" i="5" s="1"/>
  <c r="CL275" i="5"/>
  <c r="CM275" i="5" s="1"/>
  <c r="CX275" i="5"/>
  <c r="AC275" i="5"/>
  <c r="AK275" i="5"/>
  <c r="CW275" i="5"/>
  <c r="CY275" i="5"/>
  <c r="BK275" i="5"/>
  <c r="BL275" i="5" s="1"/>
  <c r="BM275" i="5" s="1"/>
  <c r="CR275" i="5"/>
  <c r="BG274" i="5"/>
  <c r="H274" i="5" s="1"/>
  <c r="AX275" i="5"/>
  <c r="AW275" i="5" s="1"/>
  <c r="CU275" i="5"/>
  <c r="AF274" i="5" l="1"/>
  <c r="AN274" i="5"/>
  <c r="BX275" i="5"/>
  <c r="DA275" i="5"/>
  <c r="DB275" i="5" s="1"/>
  <c r="CK275" i="5"/>
  <c r="CJ275" i="5" s="1"/>
  <c r="CH275" i="5"/>
  <c r="X273" i="5"/>
  <c r="Y273" i="5" s="1"/>
  <c r="L275" i="5"/>
  <c r="AD275" i="5"/>
  <c r="AE275" i="5" s="1"/>
  <c r="BN275" i="5"/>
  <c r="BO275" i="5" s="1"/>
  <c r="BP275" i="5" s="1"/>
  <c r="G275" i="5" s="1"/>
  <c r="CV275" i="5"/>
  <c r="CT275" i="5"/>
  <c r="AM275" i="5"/>
  <c r="AL276" i="5" s="1"/>
  <c r="I274" i="5"/>
  <c r="W275" i="5"/>
  <c r="T275" i="5"/>
  <c r="U275" i="5" s="1"/>
  <c r="K275" i="5" l="1"/>
  <c r="H248" i="6"/>
  <c r="Z273" i="5"/>
  <c r="AA273" i="5" s="1"/>
  <c r="I248" i="6" s="1"/>
  <c r="AH274" i="5"/>
  <c r="AT274" i="5"/>
  <c r="AP274" i="5"/>
  <c r="M274" i="5"/>
  <c r="P274" i="5"/>
  <c r="AY274" i="5" s="1"/>
  <c r="CN275" i="5"/>
  <c r="E275" i="5" s="1"/>
  <c r="CO275" i="5"/>
  <c r="F275" i="5" s="1"/>
  <c r="AS274" i="5" l="1"/>
  <c r="AV274" i="5" s="1"/>
  <c r="AO274" i="5"/>
  <c r="AR274" i="5" s="1"/>
  <c r="N274" i="5"/>
  <c r="AG274" i="5"/>
  <c r="D250" i="6"/>
  <c r="BC275" i="5"/>
  <c r="Q274" i="5"/>
  <c r="V274" i="5" s="1"/>
  <c r="F249" i="6"/>
  <c r="E250" i="6"/>
  <c r="C276" i="5"/>
  <c r="BU276" i="5" s="1"/>
  <c r="BW275" i="5" l="1"/>
  <c r="BY275" i="5"/>
  <c r="J275" i="5" s="1"/>
  <c r="BT276" i="5"/>
  <c r="BV276" i="5"/>
  <c r="BS276" i="5"/>
  <c r="CI276" i="5"/>
  <c r="BH276" i="5"/>
  <c r="BI276" i="5" s="1"/>
  <c r="BJ276" i="5" s="1"/>
  <c r="AJ274" i="5"/>
  <c r="C251" i="6"/>
  <c r="CY276" i="5"/>
  <c r="AK276" i="5"/>
  <c r="AM276" i="5" s="1"/>
  <c r="AL277" i="5" s="1"/>
  <c r="CX276" i="5"/>
  <c r="D276" i="5"/>
  <c r="CL276" i="5"/>
  <c r="CM276" i="5" s="1"/>
  <c r="AC276" i="5"/>
  <c r="AB276" i="5"/>
  <c r="BN276" i="5" s="1"/>
  <c r="BO276" i="5" s="1"/>
  <c r="BP276" i="5" s="1"/>
  <c r="CR276" i="5"/>
  <c r="CS276" i="5"/>
  <c r="CW276" i="5"/>
  <c r="BK276" i="5"/>
  <c r="BL276" i="5" s="1"/>
  <c r="BM276" i="5" s="1"/>
  <c r="BG275" i="5"/>
  <c r="H275" i="5" s="1"/>
  <c r="AX276" i="5"/>
  <c r="AW276" i="5" s="1"/>
  <c r="CU276" i="5"/>
  <c r="G249" i="6"/>
  <c r="BF275" i="5"/>
  <c r="CZ275" i="5"/>
  <c r="BD275" i="5"/>
  <c r="BE276" i="5" s="1"/>
  <c r="AF275" i="5" l="1"/>
  <c r="AN275" i="5"/>
  <c r="BX276" i="5"/>
  <c r="G276" i="5"/>
  <c r="CH276" i="5"/>
  <c r="CK276" i="5"/>
  <c r="CJ276" i="5" s="1"/>
  <c r="AD276" i="5"/>
  <c r="AE276" i="5" s="1"/>
  <c r="X274" i="5"/>
  <c r="Y274" i="5" s="1"/>
  <c r="DA276" i="5"/>
  <c r="DB276" i="5" s="1"/>
  <c r="K276" i="5" s="1"/>
  <c r="CP276" i="5"/>
  <c r="CQ276" i="5" s="1"/>
  <c r="R276" i="5" s="1"/>
  <c r="S276" i="5" s="1"/>
  <c r="L276" i="5"/>
  <c r="W276" i="5"/>
  <c r="T276" i="5"/>
  <c r="U276" i="5" s="1"/>
  <c r="CT276" i="5"/>
  <c r="CV276" i="5"/>
  <c r="I275" i="5"/>
  <c r="AP275" i="5" l="1"/>
  <c r="Z274" i="5"/>
  <c r="AA274" i="5" s="1"/>
  <c r="I249" i="6" s="1"/>
  <c r="H249" i="6"/>
  <c r="AH275" i="5"/>
  <c r="AT275" i="5"/>
  <c r="M275" i="5"/>
  <c r="P275" i="5"/>
  <c r="AY275" i="5" s="1"/>
  <c r="CO276" i="5"/>
  <c r="F276" i="5" s="1"/>
  <c r="CN276" i="5"/>
  <c r="E276" i="5" s="1"/>
  <c r="BW276" i="5" l="1"/>
  <c r="BY276" i="5"/>
  <c r="J276" i="5" s="1"/>
  <c r="AG275" i="5"/>
  <c r="AJ275" i="5" s="1"/>
  <c r="AO275" i="5"/>
  <c r="AR275" i="5" s="1"/>
  <c r="N275" i="5"/>
  <c r="AS275" i="5"/>
  <c r="AV275" i="5" s="1"/>
  <c r="F250" i="6"/>
  <c r="Q275" i="5"/>
  <c r="V275" i="5" s="1"/>
  <c r="E251" i="6"/>
  <c r="C277" i="5"/>
  <c r="BU277" i="5" s="1"/>
  <c r="D251" i="6"/>
  <c r="BC276" i="5"/>
  <c r="AF276" i="5" l="1"/>
  <c r="AN276" i="5"/>
  <c r="BV277" i="5"/>
  <c r="BT277" i="5"/>
  <c r="BS277" i="5"/>
  <c r="CI277" i="5"/>
  <c r="BH277" i="5"/>
  <c r="BI277" i="5" s="1"/>
  <c r="BJ277" i="5" s="1"/>
  <c r="X275" i="5"/>
  <c r="Y275" i="5" s="1"/>
  <c r="D277" i="5"/>
  <c r="BK277" i="5"/>
  <c r="BL277" i="5" s="1"/>
  <c r="BM277" i="5" s="1"/>
  <c r="CY277" i="5"/>
  <c r="CL277" i="5"/>
  <c r="CM277" i="5" s="1"/>
  <c r="AK277" i="5"/>
  <c r="AM277" i="5" s="1"/>
  <c r="AL278" i="5" s="1"/>
  <c r="CS277" i="5"/>
  <c r="CW277" i="5"/>
  <c r="AC277" i="5"/>
  <c r="AD277" i="5" s="1"/>
  <c r="AB277" i="5"/>
  <c r="L277" i="5" s="1"/>
  <c r="C252" i="6"/>
  <c r="CR277" i="5"/>
  <c r="CX277" i="5"/>
  <c r="BG276" i="5"/>
  <c r="H276" i="5" s="1"/>
  <c r="AX277" i="5"/>
  <c r="AW277" i="5" s="1"/>
  <c r="CU277" i="5"/>
  <c r="BX277" i="5" s="1"/>
  <c r="BF276" i="5"/>
  <c r="BD276" i="5"/>
  <c r="BE277" i="5" s="1"/>
  <c r="CZ276" i="5"/>
  <c r="G250" i="6"/>
  <c r="CH277" i="5" l="1"/>
  <c r="CK277" i="5"/>
  <c r="CJ277" i="5" s="1"/>
  <c r="CP277" i="5"/>
  <c r="CQ277" i="5" s="1"/>
  <c r="R277" i="5" s="1"/>
  <c r="S277" i="5" s="1"/>
  <c r="DA277" i="5"/>
  <c r="DB277" i="5" s="1"/>
  <c r="K277" i="5" s="1"/>
  <c r="I276" i="5"/>
  <c r="AP276" i="5" s="1"/>
  <c r="BN277" i="5"/>
  <c r="BO277" i="5" s="1"/>
  <c r="BP277" i="5" s="1"/>
  <c r="G277" i="5" s="1"/>
  <c r="H250" i="6"/>
  <c r="Z275" i="5"/>
  <c r="AE277" i="5"/>
  <c r="CT277" i="5"/>
  <c r="CV277" i="5"/>
  <c r="W277" i="5"/>
  <c r="T277" i="5"/>
  <c r="U277" i="5" s="1"/>
  <c r="AH276" i="5" l="1"/>
  <c r="AT276" i="5"/>
  <c r="AA275" i="5"/>
  <c r="I250" i="6" s="1"/>
  <c r="P276" i="5"/>
  <c r="AY276" i="5" s="1"/>
  <c r="M276" i="5"/>
  <c r="CO277" i="5"/>
  <c r="F277" i="5" s="1"/>
  <c r="CN277" i="5"/>
  <c r="E277" i="5" s="1"/>
  <c r="BY277" i="5" l="1"/>
  <c r="J277" i="5" s="1"/>
  <c r="BW277" i="5"/>
  <c r="AS276" i="5"/>
  <c r="AV276" i="5" s="1"/>
  <c r="AO276" i="5"/>
  <c r="AR276" i="5" s="1"/>
  <c r="N276" i="5"/>
  <c r="AG276" i="5"/>
  <c r="F251" i="6"/>
  <c r="Q276" i="5"/>
  <c r="V276" i="5" s="1"/>
  <c r="C278" i="5"/>
  <c r="BU278" i="5" s="1"/>
  <c r="E252" i="6"/>
  <c r="BC277" i="5"/>
  <c r="D252" i="6"/>
  <c r="AN277" i="5" l="1"/>
  <c r="AF277" i="5"/>
  <c r="BT278" i="5"/>
  <c r="BV278" i="5"/>
  <c r="BS278" i="5"/>
  <c r="CI278" i="5"/>
  <c r="BH278" i="5"/>
  <c r="BI278" i="5" s="1"/>
  <c r="BJ278" i="5" s="1"/>
  <c r="AJ276" i="5"/>
  <c r="X276" i="5" s="1"/>
  <c r="Y276" i="5" s="1"/>
  <c r="CZ277" i="5"/>
  <c r="BF277" i="5"/>
  <c r="BD277" i="5"/>
  <c r="BE278" i="5" s="1"/>
  <c r="AC278" i="5"/>
  <c r="BK278" i="5"/>
  <c r="BL278" i="5" s="1"/>
  <c r="BM278" i="5" s="1"/>
  <c r="C253" i="6"/>
  <c r="CL278" i="5"/>
  <c r="CM278" i="5" s="1"/>
  <c r="CR278" i="5"/>
  <c r="D278" i="5"/>
  <c r="AK278" i="5"/>
  <c r="AB278" i="5"/>
  <c r="CP278" i="5" s="1"/>
  <c r="CQ278" i="5" s="1"/>
  <c r="R278" i="5" s="1"/>
  <c r="S278" i="5" s="1"/>
  <c r="CY278" i="5"/>
  <c r="CW278" i="5"/>
  <c r="CX278" i="5"/>
  <c r="CS278" i="5"/>
  <c r="BG277" i="5"/>
  <c r="H277" i="5" s="1"/>
  <c r="AX278" i="5"/>
  <c r="AW278" i="5" s="1"/>
  <c r="CU278" i="5"/>
  <c r="BX278" i="5" s="1"/>
  <c r="G251" i="6"/>
  <c r="AD278" i="5" l="1"/>
  <c r="AE278" i="5" s="1"/>
  <c r="CH278" i="5"/>
  <c r="CK278" i="5"/>
  <c r="CJ278" i="5" s="1"/>
  <c r="H251" i="6"/>
  <c r="Z276" i="5"/>
  <c r="CT278" i="5"/>
  <c r="CV278" i="5"/>
  <c r="BN278" i="5"/>
  <c r="BO278" i="5" s="1"/>
  <c r="BP278" i="5" s="1"/>
  <c r="G278" i="5" s="1"/>
  <c r="AM278" i="5"/>
  <c r="AL279" i="5" s="1"/>
  <c r="L278" i="5"/>
  <c r="T278" i="5"/>
  <c r="U278" i="5" s="1"/>
  <c r="W278" i="5"/>
  <c r="I277" i="5"/>
  <c r="AH277" i="5" s="1"/>
  <c r="DA278" i="5"/>
  <c r="DB278" i="5" s="1"/>
  <c r="K278" i="5" s="1"/>
  <c r="AT277" i="5" l="1"/>
  <c r="AP277" i="5"/>
  <c r="P277" i="5"/>
  <c r="AY277" i="5" s="1"/>
  <c r="M277" i="5"/>
  <c r="CN278" i="5"/>
  <c r="E278" i="5" s="1"/>
  <c r="CO278" i="5"/>
  <c r="F278" i="5" s="1"/>
  <c r="AA276" i="5"/>
  <c r="I251" i="6" s="1"/>
  <c r="AO277" i="5" l="1"/>
  <c r="AR277" i="5" s="1"/>
  <c r="AG277" i="5"/>
  <c r="AJ277" i="5" s="1"/>
  <c r="BC278" i="5"/>
  <c r="D253" i="6"/>
  <c r="E253" i="6"/>
  <c r="C279" i="5"/>
  <c r="BU279" i="5" s="1"/>
  <c r="N277" i="5"/>
  <c r="AS277" i="5"/>
  <c r="AV277" i="5" s="1"/>
  <c r="Q277" i="5"/>
  <c r="V277" i="5" s="1"/>
  <c r="F252" i="6"/>
  <c r="BW278" i="5" l="1"/>
  <c r="BY278" i="5"/>
  <c r="J278" i="5" s="1"/>
  <c r="BT279" i="5"/>
  <c r="BV279" i="5"/>
  <c r="BS279" i="5"/>
  <c r="CI279" i="5"/>
  <c r="BH279" i="5"/>
  <c r="BI279" i="5" s="1"/>
  <c r="BJ279" i="5" s="1"/>
  <c r="X277" i="5"/>
  <c r="Y277" i="5" s="1"/>
  <c r="CX279" i="5"/>
  <c r="D279" i="5"/>
  <c r="C254" i="6"/>
  <c r="CR279" i="5"/>
  <c r="AB279" i="5"/>
  <c r="DA279" i="5" s="1"/>
  <c r="DB279" i="5" s="1"/>
  <c r="CS279" i="5"/>
  <c r="BK279" i="5"/>
  <c r="BL279" i="5" s="1"/>
  <c r="BM279" i="5" s="1"/>
  <c r="CY279" i="5"/>
  <c r="CW279" i="5"/>
  <c r="CL279" i="5"/>
  <c r="CM279" i="5" s="1"/>
  <c r="AK279" i="5"/>
  <c r="AM279" i="5" s="1"/>
  <c r="AL280" i="5" s="1"/>
  <c r="AC279" i="5"/>
  <c r="BG278" i="5"/>
  <c r="H278" i="5" s="1"/>
  <c r="AX279" i="5"/>
  <c r="AW279" i="5" s="1"/>
  <c r="CU279" i="5"/>
  <c r="G252" i="6"/>
  <c r="CZ278" i="5"/>
  <c r="BD278" i="5"/>
  <c r="BE279" i="5" s="1"/>
  <c r="BF278" i="5"/>
  <c r="AN278" i="5" l="1"/>
  <c r="AF278" i="5"/>
  <c r="BX279" i="5"/>
  <c r="AD279" i="5"/>
  <c r="AE279" i="5" s="1"/>
  <c r="CH279" i="5"/>
  <c r="CK279" i="5"/>
  <c r="CJ279" i="5" s="1"/>
  <c r="K279" i="5" s="1"/>
  <c r="CP279" i="5"/>
  <c r="CQ279" i="5" s="1"/>
  <c r="R279" i="5" s="1"/>
  <c r="S279" i="5" s="1"/>
  <c r="BN279" i="5"/>
  <c r="BO279" i="5" s="1"/>
  <c r="BP279" i="5" s="1"/>
  <c r="G279" i="5" s="1"/>
  <c r="L279" i="5"/>
  <c r="CT279" i="5"/>
  <c r="CV279" i="5"/>
  <c r="I278" i="5"/>
  <c r="T279" i="5"/>
  <c r="U279" i="5" s="1"/>
  <c r="W279" i="5"/>
  <c r="H252" i="6"/>
  <c r="Z277" i="5"/>
  <c r="AH278" i="5" l="1"/>
  <c r="AT278" i="5"/>
  <c r="AP278" i="5"/>
  <c r="AA277" i="5"/>
  <c r="I252" i="6" s="1"/>
  <c r="M278" i="5"/>
  <c r="AG278" i="5" s="1"/>
  <c r="AJ278" i="5" s="1"/>
  <c r="P278" i="5"/>
  <c r="AY278" i="5" s="1"/>
  <c r="CO279" i="5"/>
  <c r="F279" i="5" s="1"/>
  <c r="CN279" i="5"/>
  <c r="E279" i="5" s="1"/>
  <c r="BW279" i="5" l="1"/>
  <c r="BC279" i="5"/>
  <c r="D254" i="6"/>
  <c r="Q278" i="5"/>
  <c r="V278" i="5" s="1"/>
  <c r="F253" i="6"/>
  <c r="C280" i="5"/>
  <c r="BU280" i="5" s="1"/>
  <c r="E254" i="6"/>
  <c r="N278" i="5"/>
  <c r="AS278" i="5"/>
  <c r="AV278" i="5" s="1"/>
  <c r="AO278" i="5"/>
  <c r="BY279" i="5" l="1"/>
  <c r="J279" i="5" s="1"/>
  <c r="BT280" i="5"/>
  <c r="BV280" i="5"/>
  <c r="BS280" i="5"/>
  <c r="CI280" i="5"/>
  <c r="BH280" i="5"/>
  <c r="BI280" i="5" s="1"/>
  <c r="BJ280" i="5" s="1"/>
  <c r="CL280" i="5"/>
  <c r="CM280" i="5" s="1"/>
  <c r="CS280" i="5"/>
  <c r="C255" i="6"/>
  <c r="CY280" i="5"/>
  <c r="D280" i="5"/>
  <c r="CR280" i="5"/>
  <c r="CX280" i="5"/>
  <c r="CW280" i="5"/>
  <c r="AB280" i="5"/>
  <c r="CP280" i="5" s="1"/>
  <c r="CQ280" i="5" s="1"/>
  <c r="R280" i="5" s="1"/>
  <c r="S280" i="5" s="1"/>
  <c r="AC280" i="5"/>
  <c r="AK280" i="5"/>
  <c r="AM280" i="5" s="1"/>
  <c r="AL281" i="5" s="1"/>
  <c r="BK280" i="5"/>
  <c r="BL280" i="5" s="1"/>
  <c r="BM280" i="5" s="1"/>
  <c r="BG279" i="5"/>
  <c r="H279" i="5" s="1"/>
  <c r="AX280" i="5"/>
  <c r="AW280" i="5" s="1"/>
  <c r="CU280" i="5"/>
  <c r="BX280" i="5" s="1"/>
  <c r="G253" i="6"/>
  <c r="AR278" i="5"/>
  <c r="BD279" i="5"/>
  <c r="BE280" i="5" s="1"/>
  <c r="BF279" i="5"/>
  <c r="CZ279" i="5"/>
  <c r="AD280" i="5" l="1"/>
  <c r="AE280" i="5" s="1"/>
  <c r="AN279" i="5"/>
  <c r="AF279" i="5"/>
  <c r="CK280" i="5"/>
  <c r="CJ280" i="5" s="1"/>
  <c r="CH280" i="5"/>
  <c r="X278" i="5"/>
  <c r="Y278" i="5" s="1"/>
  <c r="L280" i="5"/>
  <c r="BN280" i="5"/>
  <c r="BO280" i="5" s="1"/>
  <c r="BP280" i="5" s="1"/>
  <c r="G280" i="5" s="1"/>
  <c r="DA280" i="5"/>
  <c r="DB280" i="5" s="1"/>
  <c r="K280" i="5" s="1"/>
  <c r="CT280" i="5"/>
  <c r="CV280" i="5"/>
  <c r="I279" i="5"/>
  <c r="W280" i="5"/>
  <c r="T280" i="5"/>
  <c r="U280" i="5" s="1"/>
  <c r="AH279" i="5" l="1"/>
  <c r="Z278" i="5"/>
  <c r="AA278" i="5" s="1"/>
  <c r="I253" i="6" s="1"/>
  <c r="H253" i="6"/>
  <c r="AP279" i="5"/>
  <c r="AT279" i="5"/>
  <c r="P279" i="5"/>
  <c r="AY279" i="5" s="1"/>
  <c r="M279" i="5"/>
  <c r="AG279" i="5" s="1"/>
  <c r="AJ279" i="5" s="1"/>
  <c r="CO280" i="5"/>
  <c r="F280" i="5" s="1"/>
  <c r="CN280" i="5"/>
  <c r="E280" i="5" s="1"/>
  <c r="N279" i="5" l="1"/>
  <c r="AS279" i="5"/>
  <c r="AV279" i="5" s="1"/>
  <c r="AO279" i="5"/>
  <c r="D255" i="6"/>
  <c r="BC280" i="5"/>
  <c r="E255" i="6"/>
  <c r="C281" i="5"/>
  <c r="BU281" i="5" s="1"/>
  <c r="Q279" i="5"/>
  <c r="V279" i="5" s="1"/>
  <c r="F254" i="6"/>
  <c r="BY280" i="5" l="1"/>
  <c r="J280" i="5" s="1"/>
  <c r="BW280" i="5"/>
  <c r="BT281" i="5"/>
  <c r="BV281" i="5"/>
  <c r="BS281" i="5"/>
  <c r="CI281" i="5"/>
  <c r="BH281" i="5"/>
  <c r="BI281" i="5" s="1"/>
  <c r="BJ281" i="5" s="1"/>
  <c r="AR279" i="5"/>
  <c r="G254" i="6"/>
  <c r="CY281" i="5"/>
  <c r="CL281" i="5"/>
  <c r="CM281" i="5" s="1"/>
  <c r="AK281" i="5"/>
  <c r="AM281" i="5" s="1"/>
  <c r="AL282" i="5" s="1"/>
  <c r="CW281" i="5"/>
  <c r="D281" i="5"/>
  <c r="C256" i="6"/>
  <c r="CS281" i="5"/>
  <c r="BK281" i="5"/>
  <c r="BL281" i="5" s="1"/>
  <c r="BM281" i="5" s="1"/>
  <c r="AB281" i="5"/>
  <c r="L281" i="5" s="1"/>
  <c r="AC281" i="5"/>
  <c r="AD281" i="5" s="1"/>
  <c r="CR281" i="5"/>
  <c r="CX281" i="5"/>
  <c r="BG280" i="5"/>
  <c r="H280" i="5" s="1"/>
  <c r="AX281" i="5"/>
  <c r="AW281" i="5" s="1"/>
  <c r="CU281" i="5"/>
  <c r="CZ280" i="5"/>
  <c r="BF280" i="5"/>
  <c r="BD280" i="5"/>
  <c r="BE281" i="5" s="1"/>
  <c r="AN280" i="5" l="1"/>
  <c r="AF280" i="5"/>
  <c r="BX281" i="5"/>
  <c r="CH281" i="5"/>
  <c r="CK281" i="5"/>
  <c r="CJ281" i="5" s="1"/>
  <c r="X279" i="5"/>
  <c r="Y279" i="5" s="1"/>
  <c r="DA281" i="5"/>
  <c r="DB281" i="5" s="1"/>
  <c r="K281" i="5" s="1"/>
  <c r="CP281" i="5"/>
  <c r="CQ281" i="5" s="1"/>
  <c r="R281" i="5" s="1"/>
  <c r="S281" i="5" s="1"/>
  <c r="W281" i="5"/>
  <c r="T281" i="5"/>
  <c r="U281" i="5" s="1"/>
  <c r="I280" i="5"/>
  <c r="AP280" i="5" s="1"/>
  <c r="AE281" i="5"/>
  <c r="CV281" i="5"/>
  <c r="CT281" i="5"/>
  <c r="BN281" i="5"/>
  <c r="BO281" i="5" s="1"/>
  <c r="BP281" i="5" s="1"/>
  <c r="G281" i="5" s="1"/>
  <c r="H254" i="6" l="1"/>
  <c r="Z279" i="5"/>
  <c r="AA279" i="5" s="1"/>
  <c r="I254" i="6" s="1"/>
  <c r="AH280" i="5"/>
  <c r="AT280" i="5"/>
  <c r="P280" i="5"/>
  <c r="AY280" i="5" s="1"/>
  <c r="M280" i="5"/>
  <c r="CN281" i="5"/>
  <c r="E281" i="5" s="1"/>
  <c r="CO281" i="5"/>
  <c r="F281" i="5" s="1"/>
  <c r="BW281" i="5" l="1"/>
  <c r="BY281" i="5"/>
  <c r="J281" i="5" s="1"/>
  <c r="AF281" i="5" s="1"/>
  <c r="AS280" i="5"/>
  <c r="AV280" i="5" s="1"/>
  <c r="AO280" i="5"/>
  <c r="AR280" i="5" s="1"/>
  <c r="Q280" i="5"/>
  <c r="V280" i="5" s="1"/>
  <c r="G255" i="6" s="1"/>
  <c r="F255" i="6"/>
  <c r="N280" i="5"/>
  <c r="AG280" i="5"/>
  <c r="BC281" i="5"/>
  <c r="D256" i="6"/>
  <c r="E256" i="6"/>
  <c r="C282" i="5"/>
  <c r="BU282" i="5" s="1"/>
  <c r="AN281" i="5" l="1"/>
  <c r="BV282" i="5"/>
  <c r="BT282" i="5"/>
  <c r="BS282" i="5"/>
  <c r="CI282" i="5"/>
  <c r="BH282" i="5"/>
  <c r="BI282" i="5" s="1"/>
  <c r="BJ282" i="5" s="1"/>
  <c r="BD281" i="5"/>
  <c r="BE282" i="5" s="1"/>
  <c r="CZ281" i="5"/>
  <c r="BF281" i="5"/>
  <c r="AJ280" i="5"/>
  <c r="AK282" i="5"/>
  <c r="C257" i="6"/>
  <c r="CL282" i="5"/>
  <c r="CM282" i="5" s="1"/>
  <c r="D282" i="5"/>
  <c r="AB282" i="5"/>
  <c r="DA282" i="5" s="1"/>
  <c r="DB282" i="5" s="1"/>
  <c r="CX282" i="5"/>
  <c r="CS282" i="5"/>
  <c r="CW282" i="5"/>
  <c r="AC282" i="5"/>
  <c r="CR282" i="5"/>
  <c r="CY282" i="5"/>
  <c r="BK282" i="5"/>
  <c r="BL282" i="5" s="1"/>
  <c r="BM282" i="5" s="1"/>
  <c r="BG281" i="5"/>
  <c r="H281" i="5" s="1"/>
  <c r="AX282" i="5"/>
  <c r="AW282" i="5" s="1"/>
  <c r="CU282" i="5"/>
  <c r="BX282" i="5" s="1"/>
  <c r="AD282" i="5" l="1"/>
  <c r="AE282" i="5" s="1"/>
  <c r="CH282" i="5"/>
  <c r="CK282" i="5"/>
  <c r="CJ282" i="5" s="1"/>
  <c r="K282" i="5" s="1"/>
  <c r="X280" i="5"/>
  <c r="Y280" i="5" s="1"/>
  <c r="BN282" i="5"/>
  <c r="BO282" i="5" s="1"/>
  <c r="BP282" i="5" s="1"/>
  <c r="G282" i="5" s="1"/>
  <c r="CP282" i="5"/>
  <c r="CQ282" i="5" s="1"/>
  <c r="R282" i="5" s="1"/>
  <c r="S282" i="5" s="1"/>
  <c r="L282" i="5"/>
  <c r="AM282" i="5"/>
  <c r="AL283" i="5" s="1"/>
  <c r="CT282" i="5"/>
  <c r="CV282" i="5"/>
  <c r="I281" i="5"/>
  <c r="W282" i="5"/>
  <c r="T282" i="5"/>
  <c r="U282" i="5" s="1"/>
  <c r="H255" i="6" l="1"/>
  <c r="Z280" i="5"/>
  <c r="AA280" i="5" s="1"/>
  <c r="I255" i="6" s="1"/>
  <c r="AH281" i="5"/>
  <c r="AT281" i="5"/>
  <c r="AP281" i="5"/>
  <c r="M281" i="5"/>
  <c r="P281" i="5"/>
  <c r="AY281" i="5" s="1"/>
  <c r="CN282" i="5"/>
  <c r="E282" i="5" s="1"/>
  <c r="CO282" i="5"/>
  <c r="F282" i="5" s="1"/>
  <c r="BW282" i="5" l="1"/>
  <c r="AS281" i="5"/>
  <c r="AV281" i="5" s="1"/>
  <c r="AO281" i="5"/>
  <c r="F256" i="6"/>
  <c r="Q281" i="5"/>
  <c r="V281" i="5" s="1"/>
  <c r="G256" i="6" s="1"/>
  <c r="N281" i="5"/>
  <c r="AG281" i="5"/>
  <c r="E257" i="6"/>
  <c r="C283" i="5"/>
  <c r="BU283" i="5" s="1"/>
  <c r="D257" i="6"/>
  <c r="BC282" i="5"/>
  <c r="BY282" i="5" l="1"/>
  <c r="J282" i="5" s="1"/>
  <c r="BT283" i="5"/>
  <c r="BV283" i="5"/>
  <c r="BS283" i="5"/>
  <c r="CI283" i="5"/>
  <c r="BH283" i="5"/>
  <c r="BI283" i="5" s="1"/>
  <c r="BJ283" i="5" s="1"/>
  <c r="AR281" i="5"/>
  <c r="AJ281" i="5"/>
  <c r="BD282" i="5"/>
  <c r="BE283" i="5" s="1"/>
  <c r="BF282" i="5"/>
  <c r="CZ282" i="5"/>
  <c r="AC283" i="5"/>
  <c r="AD283" i="5" s="1"/>
  <c r="CW283" i="5"/>
  <c r="CY283" i="5"/>
  <c r="D283" i="5"/>
  <c r="CX283" i="5"/>
  <c r="AK283" i="5"/>
  <c r="AM283" i="5" s="1"/>
  <c r="AL284" i="5" s="1"/>
  <c r="CS283" i="5"/>
  <c r="CL283" i="5"/>
  <c r="CM283" i="5" s="1"/>
  <c r="BK283" i="5"/>
  <c r="BL283" i="5" s="1"/>
  <c r="BM283" i="5" s="1"/>
  <c r="AB283" i="5"/>
  <c r="CP283" i="5" s="1"/>
  <c r="CQ283" i="5" s="1"/>
  <c r="R283" i="5" s="1"/>
  <c r="S283" i="5" s="1"/>
  <c r="CR283" i="5"/>
  <c r="C258" i="6"/>
  <c r="BG282" i="5"/>
  <c r="H282" i="5" s="1"/>
  <c r="AX283" i="5"/>
  <c r="AW283" i="5" s="1"/>
  <c r="CU283" i="5"/>
  <c r="BX283" i="5" s="1"/>
  <c r="AF282" i="5" l="1"/>
  <c r="AN282" i="5"/>
  <c r="CK283" i="5"/>
  <c r="CJ283" i="5" s="1"/>
  <c r="CH283" i="5"/>
  <c r="X281" i="5"/>
  <c r="Y281" i="5" s="1"/>
  <c r="H256" i="6" s="1"/>
  <c r="DA283" i="5"/>
  <c r="DB283" i="5" s="1"/>
  <c r="K283" i="5" s="1"/>
  <c r="I282" i="5"/>
  <c r="AP282" i="5" s="1"/>
  <c r="T283" i="5"/>
  <c r="U283" i="5" s="1"/>
  <c r="W283" i="5"/>
  <c r="AE283" i="5"/>
  <c r="CT283" i="5"/>
  <c r="CV283" i="5"/>
  <c r="BN283" i="5"/>
  <c r="BO283" i="5" s="1"/>
  <c r="BP283" i="5" s="1"/>
  <c r="G283" i="5" s="1"/>
  <c r="L283" i="5"/>
  <c r="Z281" i="5" l="1"/>
  <c r="AA281" i="5" s="1"/>
  <c r="I256" i="6" s="1"/>
  <c r="AT282" i="5"/>
  <c r="AH282" i="5"/>
  <c r="CO283" i="5"/>
  <c r="F283" i="5" s="1"/>
  <c r="CN283" i="5"/>
  <c r="E283" i="5" s="1"/>
  <c r="P282" i="5"/>
  <c r="AY282" i="5" s="1"/>
  <c r="M282" i="5"/>
  <c r="BW283" i="5" l="1"/>
  <c r="BY283" i="5"/>
  <c r="J283" i="5" s="1"/>
  <c r="AG282" i="5"/>
  <c r="AJ282" i="5" s="1"/>
  <c r="AO282" i="5"/>
  <c r="AR282" i="5" s="1"/>
  <c r="AS282" i="5"/>
  <c r="AV282" i="5" s="1"/>
  <c r="N282" i="5"/>
  <c r="F257" i="6"/>
  <c r="Q282" i="5"/>
  <c r="V282" i="5" s="1"/>
  <c r="G257" i="6" s="1"/>
  <c r="D258" i="6"/>
  <c r="BC283" i="5"/>
  <c r="E258" i="6"/>
  <c r="C284" i="5"/>
  <c r="BU284" i="5" s="1"/>
  <c r="AN283" i="5" l="1"/>
  <c r="AF283" i="5"/>
  <c r="BT284" i="5"/>
  <c r="BV284" i="5"/>
  <c r="BS284" i="5"/>
  <c r="CI284" i="5"/>
  <c r="BH284" i="5"/>
  <c r="BI284" i="5" s="1"/>
  <c r="BJ284" i="5" s="1"/>
  <c r="X282" i="5"/>
  <c r="Y282" i="5" s="1"/>
  <c r="CW284" i="5"/>
  <c r="AB284" i="5"/>
  <c r="L284" i="5" s="1"/>
  <c r="CR284" i="5"/>
  <c r="D284" i="5"/>
  <c r="CX284" i="5"/>
  <c r="BK284" i="5"/>
  <c r="BL284" i="5" s="1"/>
  <c r="BM284" i="5" s="1"/>
  <c r="AK284" i="5"/>
  <c r="AM284" i="5" s="1"/>
  <c r="AL285" i="5" s="1"/>
  <c r="C259" i="6"/>
  <c r="CS284" i="5"/>
  <c r="AC284" i="5"/>
  <c r="AD284" i="5" s="1"/>
  <c r="CL284" i="5"/>
  <c r="CM284" i="5" s="1"/>
  <c r="CY284" i="5"/>
  <c r="BG283" i="5"/>
  <c r="H283" i="5" s="1"/>
  <c r="AX284" i="5"/>
  <c r="AW284" i="5" s="1"/>
  <c r="CU284" i="5"/>
  <c r="BX284" i="5" s="1"/>
  <c r="BF283" i="5"/>
  <c r="CZ283" i="5"/>
  <c r="BD283" i="5"/>
  <c r="BE284" i="5" s="1"/>
  <c r="CH284" i="5" l="1"/>
  <c r="CK284" i="5"/>
  <c r="CJ284" i="5" s="1"/>
  <c r="BN284" i="5"/>
  <c r="BO284" i="5" s="1"/>
  <c r="BP284" i="5" s="1"/>
  <c r="G284" i="5" s="1"/>
  <c r="CP284" i="5"/>
  <c r="CQ284" i="5" s="1"/>
  <c r="R284" i="5" s="1"/>
  <c r="S284" i="5" s="1"/>
  <c r="DA284" i="5"/>
  <c r="DB284" i="5" s="1"/>
  <c r="K284" i="5" s="1"/>
  <c r="CT284" i="5"/>
  <c r="CV284" i="5"/>
  <c r="I283" i="5"/>
  <c r="AP283" i="5" s="1"/>
  <c r="H257" i="6"/>
  <c r="Z282" i="5"/>
  <c r="W284" i="5"/>
  <c r="T284" i="5"/>
  <c r="U284" i="5" s="1"/>
  <c r="AE284" i="5"/>
  <c r="AH283" i="5" l="1"/>
  <c r="AT283" i="5"/>
  <c r="AA282" i="5"/>
  <c r="I257" i="6" s="1"/>
  <c r="CO284" i="5"/>
  <c r="F284" i="5" s="1"/>
  <c r="CN284" i="5"/>
  <c r="E284" i="5" s="1"/>
  <c r="M283" i="5"/>
  <c r="P283" i="5"/>
  <c r="AY283" i="5" s="1"/>
  <c r="BW284" i="5" l="1"/>
  <c r="BY284" i="5"/>
  <c r="J284" i="5" s="1"/>
  <c r="AF284" i="5" s="1"/>
  <c r="AS283" i="5"/>
  <c r="AV283" i="5" s="1"/>
  <c r="AO283" i="5"/>
  <c r="AR283" i="5" s="1"/>
  <c r="D259" i="6"/>
  <c r="BC284" i="5"/>
  <c r="C285" i="5"/>
  <c r="BU285" i="5" s="1"/>
  <c r="E259" i="6"/>
  <c r="AG283" i="5"/>
  <c r="N283" i="5"/>
  <c r="Q283" i="5"/>
  <c r="V283" i="5" s="1"/>
  <c r="F258" i="6"/>
  <c r="AN284" i="5" l="1"/>
  <c r="BV285" i="5"/>
  <c r="BT285" i="5"/>
  <c r="BS285" i="5"/>
  <c r="CI285" i="5"/>
  <c r="BH285" i="5"/>
  <c r="BI285" i="5" s="1"/>
  <c r="BJ285" i="5" s="1"/>
  <c r="G258" i="6"/>
  <c r="AJ283" i="5"/>
  <c r="AB285" i="5"/>
  <c r="BN285" i="5" s="1"/>
  <c r="BO285" i="5" s="1"/>
  <c r="BP285" i="5" s="1"/>
  <c r="AK285" i="5"/>
  <c r="AM285" i="5" s="1"/>
  <c r="AL286" i="5" s="1"/>
  <c r="CX285" i="5"/>
  <c r="D285" i="5"/>
  <c r="AC285" i="5"/>
  <c r="AD285" i="5" s="1"/>
  <c r="CL285" i="5"/>
  <c r="CM285" i="5" s="1"/>
  <c r="CY285" i="5"/>
  <c r="BK285" i="5"/>
  <c r="BL285" i="5" s="1"/>
  <c r="BM285" i="5" s="1"/>
  <c r="CW285" i="5"/>
  <c r="CR285" i="5"/>
  <c r="CS285" i="5"/>
  <c r="C260" i="6"/>
  <c r="BG284" i="5"/>
  <c r="H284" i="5" s="1"/>
  <c r="AX285" i="5"/>
  <c r="AW285" i="5" s="1"/>
  <c r="CU285" i="5"/>
  <c r="BX285" i="5" s="1"/>
  <c r="BD284" i="5"/>
  <c r="BE285" i="5" s="1"/>
  <c r="CZ284" i="5"/>
  <c r="BF284" i="5"/>
  <c r="G285" i="5" l="1"/>
  <c r="CH285" i="5"/>
  <c r="CK285" i="5"/>
  <c r="CJ285" i="5" s="1"/>
  <c r="X283" i="5"/>
  <c r="Y283" i="5" s="1"/>
  <c r="DA285" i="5"/>
  <c r="DB285" i="5" s="1"/>
  <c r="K285" i="5" s="1"/>
  <c r="L285" i="5"/>
  <c r="CP285" i="5"/>
  <c r="CQ285" i="5" s="1"/>
  <c r="R285" i="5" s="1"/>
  <c r="S285" i="5" s="1"/>
  <c r="CT285" i="5"/>
  <c r="CV285" i="5"/>
  <c r="AE285" i="5"/>
  <c r="W285" i="5"/>
  <c r="T285" i="5"/>
  <c r="U285" i="5" s="1"/>
  <c r="I284" i="5"/>
  <c r="AH284" i="5" s="1"/>
  <c r="Z283" i="5" l="1"/>
  <c r="AA283" i="5" s="1"/>
  <c r="I258" i="6" s="1"/>
  <c r="H258" i="6"/>
  <c r="AT284" i="5"/>
  <c r="AP284" i="5"/>
  <c r="P284" i="5"/>
  <c r="AY284" i="5" s="1"/>
  <c r="M284" i="5"/>
  <c r="CO285" i="5"/>
  <c r="F285" i="5" s="1"/>
  <c r="CN285" i="5"/>
  <c r="E285" i="5" s="1"/>
  <c r="AO284" i="5" l="1"/>
  <c r="AR284" i="5" s="1"/>
  <c r="AG284" i="5"/>
  <c r="AJ284" i="5" s="1"/>
  <c r="D260" i="6"/>
  <c r="BC285" i="5"/>
  <c r="E260" i="6"/>
  <c r="C286" i="5"/>
  <c r="BU286" i="5" s="1"/>
  <c r="N284" i="5"/>
  <c r="AS284" i="5"/>
  <c r="AV284" i="5" s="1"/>
  <c r="Q284" i="5"/>
  <c r="V284" i="5" s="1"/>
  <c r="F259" i="6"/>
  <c r="BY285" i="5" l="1"/>
  <c r="J285" i="5" s="1"/>
  <c r="BW285" i="5"/>
  <c r="BT286" i="5"/>
  <c r="BV286" i="5"/>
  <c r="BS286" i="5"/>
  <c r="CI286" i="5"/>
  <c r="BH286" i="5"/>
  <c r="BI286" i="5" s="1"/>
  <c r="BJ286" i="5" s="1"/>
  <c r="X284" i="5"/>
  <c r="Y284" i="5" s="1"/>
  <c r="G259" i="6"/>
  <c r="CS286" i="5"/>
  <c r="CW286" i="5"/>
  <c r="CX286" i="5"/>
  <c r="CL286" i="5"/>
  <c r="CM286" i="5" s="1"/>
  <c r="AK286" i="5"/>
  <c r="CR286" i="5"/>
  <c r="AC286" i="5"/>
  <c r="AB286" i="5"/>
  <c r="L286" i="5" s="1"/>
  <c r="CY286" i="5"/>
  <c r="C261" i="6"/>
  <c r="BK286" i="5"/>
  <c r="BL286" i="5" s="1"/>
  <c r="BM286" i="5" s="1"/>
  <c r="D286" i="5"/>
  <c r="BG285" i="5"/>
  <c r="H285" i="5" s="1"/>
  <c r="AX286" i="5"/>
  <c r="AW286" i="5" s="1"/>
  <c r="CU286" i="5"/>
  <c r="BD285" i="5"/>
  <c r="BE286" i="5" s="1"/>
  <c r="BF285" i="5"/>
  <c r="CZ285" i="5"/>
  <c r="AN285" i="5" l="1"/>
  <c r="AF285" i="5"/>
  <c r="BX286" i="5"/>
  <c r="AD286" i="5"/>
  <c r="AE286" i="5" s="1"/>
  <c r="CH286" i="5"/>
  <c r="CK286" i="5"/>
  <c r="CJ286" i="5" s="1"/>
  <c r="CP286" i="5"/>
  <c r="CQ286" i="5" s="1"/>
  <c r="R286" i="5" s="1"/>
  <c r="S286" i="5" s="1"/>
  <c r="DA286" i="5"/>
  <c r="DB286" i="5" s="1"/>
  <c r="BN286" i="5"/>
  <c r="BO286" i="5" s="1"/>
  <c r="BP286" i="5" s="1"/>
  <c r="G286" i="5" s="1"/>
  <c r="I285" i="5"/>
  <c r="AH285" i="5" s="1"/>
  <c r="W286" i="5"/>
  <c r="T286" i="5"/>
  <c r="U286" i="5" s="1"/>
  <c r="AM286" i="5"/>
  <c r="AL287" i="5" s="1"/>
  <c r="CV286" i="5"/>
  <c r="CT286" i="5"/>
  <c r="H259" i="6"/>
  <c r="Z284" i="5"/>
  <c r="K286" i="5" l="1"/>
  <c r="CO286" i="5"/>
  <c r="F286" i="5" s="1"/>
  <c r="CN286" i="5"/>
  <c r="E286" i="5" s="1"/>
  <c r="AT285" i="5"/>
  <c r="AP285" i="5"/>
  <c r="AA284" i="5"/>
  <c r="I259" i="6" s="1"/>
  <c r="P285" i="5"/>
  <c r="AY285" i="5" s="1"/>
  <c r="M285" i="5"/>
  <c r="AG285" i="5" s="1"/>
  <c r="AJ285" i="5" s="1"/>
  <c r="BW286" i="5" l="1"/>
  <c r="BY286" i="5"/>
  <c r="J286" i="5" s="1"/>
  <c r="AN286" i="5" s="1"/>
  <c r="N285" i="5"/>
  <c r="AS285" i="5"/>
  <c r="AV285" i="5" s="1"/>
  <c r="AO285" i="5"/>
  <c r="BC286" i="5"/>
  <c r="D261" i="6"/>
  <c r="C287" i="5"/>
  <c r="BU287" i="5" s="1"/>
  <c r="E261" i="6"/>
  <c r="Q285" i="5"/>
  <c r="V285" i="5" s="1"/>
  <c r="F260" i="6"/>
  <c r="AF286" i="5" l="1"/>
  <c r="BT287" i="5"/>
  <c r="BV287" i="5"/>
  <c r="BS287" i="5"/>
  <c r="CI287" i="5"/>
  <c r="BH287" i="5"/>
  <c r="BI287" i="5" s="1"/>
  <c r="BJ287" i="5" s="1"/>
  <c r="AB287" i="5"/>
  <c r="L287" i="5" s="1"/>
  <c r="CW287" i="5"/>
  <c r="CY287" i="5"/>
  <c r="CR287" i="5"/>
  <c r="AC287" i="5"/>
  <c r="C262" i="6"/>
  <c r="CS287" i="5"/>
  <c r="D287" i="5"/>
  <c r="AK287" i="5"/>
  <c r="AM287" i="5" s="1"/>
  <c r="AL288" i="5" s="1"/>
  <c r="BK287" i="5"/>
  <c r="BL287" i="5" s="1"/>
  <c r="BM287" i="5" s="1"/>
  <c r="CX287" i="5"/>
  <c r="CL287" i="5"/>
  <c r="CM287" i="5" s="1"/>
  <c r="BG286" i="5"/>
  <c r="H286" i="5" s="1"/>
  <c r="AX287" i="5"/>
  <c r="AW287" i="5" s="1"/>
  <c r="CU287" i="5"/>
  <c r="BX287" i="5" s="1"/>
  <c r="CZ286" i="5"/>
  <c r="BD286" i="5"/>
  <c r="BE287" i="5" s="1"/>
  <c r="BF286" i="5"/>
  <c r="AR285" i="5"/>
  <c r="G260" i="6"/>
  <c r="AD287" i="5" l="1"/>
  <c r="AE287" i="5" s="1"/>
  <c r="CH287" i="5"/>
  <c r="CK287" i="5"/>
  <c r="CJ287" i="5" s="1"/>
  <c r="X285" i="5"/>
  <c r="Y285" i="5" s="1"/>
  <c r="BN287" i="5"/>
  <c r="BO287" i="5" s="1"/>
  <c r="BP287" i="5" s="1"/>
  <c r="G287" i="5" s="1"/>
  <c r="CP287" i="5"/>
  <c r="CQ287" i="5" s="1"/>
  <c r="R287" i="5" s="1"/>
  <c r="S287" i="5" s="1"/>
  <c r="DA287" i="5"/>
  <c r="DB287" i="5" s="1"/>
  <c r="K287" i="5" s="1"/>
  <c r="CT287" i="5"/>
  <c r="CV287" i="5"/>
  <c r="I286" i="5"/>
  <c r="AH286" i="5" s="1"/>
  <c r="T287" i="5"/>
  <c r="U287" i="5" s="1"/>
  <c r="W287" i="5"/>
  <c r="H260" i="6" l="1"/>
  <c r="Z285" i="5"/>
  <c r="AA285" i="5" s="1"/>
  <c r="I260" i="6" s="1"/>
  <c r="AT286" i="5"/>
  <c r="AP286" i="5"/>
  <c r="P286" i="5"/>
  <c r="AY286" i="5" s="1"/>
  <c r="M286" i="5"/>
  <c r="CN287" i="5"/>
  <c r="E287" i="5" s="1"/>
  <c r="CO287" i="5"/>
  <c r="F287" i="5" s="1"/>
  <c r="D262" i="6" l="1"/>
  <c r="AS286" i="5"/>
  <c r="AV286" i="5" s="1"/>
  <c r="AO286" i="5"/>
  <c r="BC287" i="5"/>
  <c r="E262" i="6"/>
  <c r="C288" i="5"/>
  <c r="BU288" i="5" s="1"/>
  <c r="AG286" i="5"/>
  <c r="AJ286" i="5" s="1"/>
  <c r="N286" i="5"/>
  <c r="Q286" i="5"/>
  <c r="V286" i="5" s="1"/>
  <c r="F261" i="6"/>
  <c r="BW287" i="5" l="1"/>
  <c r="BY287" i="5"/>
  <c r="J287" i="5" s="1"/>
  <c r="BT288" i="5"/>
  <c r="BV288" i="5"/>
  <c r="BS288" i="5"/>
  <c r="CI288" i="5"/>
  <c r="BH288" i="5"/>
  <c r="BI288" i="5" s="1"/>
  <c r="BJ288" i="5" s="1"/>
  <c r="AR286" i="5"/>
  <c r="G261" i="6"/>
  <c r="C263" i="6"/>
  <c r="CW288" i="5"/>
  <c r="CR288" i="5"/>
  <c r="AB288" i="5"/>
  <c r="DA288" i="5" s="1"/>
  <c r="DB288" i="5" s="1"/>
  <c r="CL288" i="5"/>
  <c r="CM288" i="5" s="1"/>
  <c r="CY288" i="5"/>
  <c r="BK288" i="5"/>
  <c r="BL288" i="5" s="1"/>
  <c r="BM288" i="5" s="1"/>
  <c r="AC288" i="5"/>
  <c r="AD288" i="5" s="1"/>
  <c r="AK288" i="5"/>
  <c r="AM288" i="5" s="1"/>
  <c r="AL289" i="5" s="1"/>
  <c r="CS288" i="5"/>
  <c r="D288" i="5"/>
  <c r="CX288" i="5"/>
  <c r="BG287" i="5"/>
  <c r="H287" i="5" s="1"/>
  <c r="AX288" i="5"/>
  <c r="AW288" i="5" s="1"/>
  <c r="CU288" i="5"/>
  <c r="CZ287" i="5"/>
  <c r="BF287" i="5"/>
  <c r="BD287" i="5"/>
  <c r="BE288" i="5" s="1"/>
  <c r="AN287" i="5" l="1"/>
  <c r="AF287" i="5"/>
  <c r="BX288" i="5"/>
  <c r="CK288" i="5"/>
  <c r="CJ288" i="5" s="1"/>
  <c r="K288" i="5" s="1"/>
  <c r="CH288" i="5"/>
  <c r="X286" i="5"/>
  <c r="Y286" i="5" s="1"/>
  <c r="CP288" i="5"/>
  <c r="CQ288" i="5" s="1"/>
  <c r="R288" i="5" s="1"/>
  <c r="S288" i="5" s="1"/>
  <c r="I287" i="5"/>
  <c r="AP287" i="5" s="1"/>
  <c r="AE288" i="5"/>
  <c r="W288" i="5"/>
  <c r="T288" i="5"/>
  <c r="U288" i="5" s="1"/>
  <c r="CV288" i="5"/>
  <c r="CT288" i="5"/>
  <c r="BN288" i="5"/>
  <c r="BO288" i="5" s="1"/>
  <c r="BP288" i="5" s="1"/>
  <c r="G288" i="5" s="1"/>
  <c r="L288" i="5"/>
  <c r="Z286" i="5" l="1"/>
  <c r="AA286" i="5" s="1"/>
  <c r="I261" i="6" s="1"/>
  <c r="H261" i="6"/>
  <c r="AH287" i="5"/>
  <c r="AT287" i="5"/>
  <c r="M287" i="5"/>
  <c r="P287" i="5"/>
  <c r="AY287" i="5" s="1"/>
  <c r="CO288" i="5"/>
  <c r="F288" i="5" s="1"/>
  <c r="CN288" i="5"/>
  <c r="E288" i="5" s="1"/>
  <c r="BY288" i="5" l="1"/>
  <c r="J288" i="5" s="1"/>
  <c r="AN288" i="5" s="1"/>
  <c r="BW288" i="5"/>
  <c r="AS287" i="5"/>
  <c r="AV287" i="5" s="1"/>
  <c r="AO287" i="5"/>
  <c r="AR287" i="5" s="1"/>
  <c r="N287" i="5"/>
  <c r="AG287" i="5"/>
  <c r="D263" i="6"/>
  <c r="BC288" i="5"/>
  <c r="C289" i="5"/>
  <c r="BU289" i="5" s="1"/>
  <c r="E263" i="6"/>
  <c r="Q287" i="5"/>
  <c r="V287" i="5" s="1"/>
  <c r="G262" i="6" s="1"/>
  <c r="F262" i="6"/>
  <c r="AF288" i="5" l="1"/>
  <c r="BT289" i="5"/>
  <c r="BV289" i="5"/>
  <c r="BS289" i="5"/>
  <c r="CI289" i="5"/>
  <c r="BH289" i="5"/>
  <c r="BI289" i="5" s="1"/>
  <c r="BJ289" i="5" s="1"/>
  <c r="AK289" i="5"/>
  <c r="AM289" i="5" s="1"/>
  <c r="AL290" i="5" s="1"/>
  <c r="D289" i="5"/>
  <c r="AC289" i="5"/>
  <c r="AD289" i="5" s="1"/>
  <c r="BK289" i="5"/>
  <c r="BL289" i="5" s="1"/>
  <c r="BM289" i="5" s="1"/>
  <c r="CX289" i="5"/>
  <c r="AB289" i="5"/>
  <c r="CP289" i="5" s="1"/>
  <c r="CQ289" i="5" s="1"/>
  <c r="R289" i="5" s="1"/>
  <c r="S289" i="5" s="1"/>
  <c r="CR289" i="5"/>
  <c r="C264" i="6"/>
  <c r="CY289" i="5"/>
  <c r="CW289" i="5"/>
  <c r="CL289" i="5"/>
  <c r="CM289" i="5" s="1"/>
  <c r="CS289" i="5"/>
  <c r="BG288" i="5"/>
  <c r="H288" i="5" s="1"/>
  <c r="AX289" i="5"/>
  <c r="AW289" i="5" s="1"/>
  <c r="CU289" i="5"/>
  <c r="BX289" i="5" s="1"/>
  <c r="BF288" i="5"/>
  <c r="BD288" i="5"/>
  <c r="BE289" i="5" s="1"/>
  <c r="CZ288" i="5"/>
  <c r="AJ287" i="5"/>
  <c r="CH289" i="5" l="1"/>
  <c r="CK289" i="5"/>
  <c r="CJ289" i="5" s="1"/>
  <c r="X287" i="5"/>
  <c r="Y287" i="5" s="1"/>
  <c r="BN289" i="5"/>
  <c r="BO289" i="5" s="1"/>
  <c r="BP289" i="5" s="1"/>
  <c r="G289" i="5" s="1"/>
  <c r="DA289" i="5"/>
  <c r="DB289" i="5" s="1"/>
  <c r="K289" i="5" s="1"/>
  <c r="I288" i="5"/>
  <c r="CT289" i="5"/>
  <c r="CV289" i="5"/>
  <c r="AE289" i="5"/>
  <c r="W289" i="5"/>
  <c r="T289" i="5"/>
  <c r="U289" i="5" s="1"/>
  <c r="L289" i="5"/>
  <c r="H262" i="6" l="1"/>
  <c r="Z287" i="5"/>
  <c r="AA287" i="5" s="1"/>
  <c r="I262" i="6" s="1"/>
  <c r="AH288" i="5"/>
  <c r="AT288" i="5"/>
  <c r="AP288" i="5"/>
  <c r="CO289" i="5"/>
  <c r="F289" i="5" s="1"/>
  <c r="CN289" i="5"/>
  <c r="E289" i="5" s="1"/>
  <c r="M288" i="5"/>
  <c r="P288" i="5"/>
  <c r="AY288" i="5" s="1"/>
  <c r="AS288" i="5" l="1"/>
  <c r="AV288" i="5" s="1"/>
  <c r="AO288" i="5"/>
  <c r="AR288" i="5" s="1"/>
  <c r="N288" i="5"/>
  <c r="AG288" i="5"/>
  <c r="F263" i="6"/>
  <c r="Q288" i="5"/>
  <c r="V288" i="5" s="1"/>
  <c r="BC289" i="5"/>
  <c r="D264" i="6"/>
  <c r="C290" i="5"/>
  <c r="BU290" i="5" s="1"/>
  <c r="E264" i="6"/>
  <c r="BW289" i="5" l="1"/>
  <c r="BY289" i="5"/>
  <c r="J289" i="5" s="1"/>
  <c r="BV290" i="5"/>
  <c r="BT290" i="5"/>
  <c r="BS290" i="5"/>
  <c r="CI290" i="5"/>
  <c r="BH290" i="5"/>
  <c r="BI290" i="5" s="1"/>
  <c r="BJ290" i="5" s="1"/>
  <c r="AJ288" i="5"/>
  <c r="X288" i="5" s="1"/>
  <c r="Y288" i="5" s="1"/>
  <c r="AC290" i="5"/>
  <c r="AD290" i="5" s="1"/>
  <c r="AB290" i="5"/>
  <c r="L290" i="5" s="1"/>
  <c r="BK290" i="5"/>
  <c r="BL290" i="5" s="1"/>
  <c r="BM290" i="5" s="1"/>
  <c r="D290" i="5"/>
  <c r="CW290" i="5"/>
  <c r="AK290" i="5"/>
  <c r="AM290" i="5" s="1"/>
  <c r="AL291" i="5" s="1"/>
  <c r="CS290" i="5"/>
  <c r="CY290" i="5"/>
  <c r="CR290" i="5"/>
  <c r="CX290" i="5"/>
  <c r="C265" i="6"/>
  <c r="CL290" i="5"/>
  <c r="CM290" i="5" s="1"/>
  <c r="BG289" i="5"/>
  <c r="H289" i="5" s="1"/>
  <c r="AX290" i="5"/>
  <c r="AW290" i="5" s="1"/>
  <c r="CU290" i="5"/>
  <c r="CZ289" i="5"/>
  <c r="BD289" i="5"/>
  <c r="BE290" i="5" s="1"/>
  <c r="BF289" i="5"/>
  <c r="G263" i="6"/>
  <c r="AF289" i="5" l="1"/>
  <c r="AN289" i="5"/>
  <c r="BX290" i="5"/>
  <c r="CH290" i="5"/>
  <c r="CK290" i="5"/>
  <c r="CJ290" i="5" s="1"/>
  <c r="BN290" i="5"/>
  <c r="BO290" i="5" s="1"/>
  <c r="BP290" i="5" s="1"/>
  <c r="G290" i="5" s="1"/>
  <c r="CP290" i="5"/>
  <c r="CQ290" i="5" s="1"/>
  <c r="R290" i="5" s="1"/>
  <c r="S290" i="5" s="1"/>
  <c r="DA290" i="5"/>
  <c r="DB290" i="5" s="1"/>
  <c r="T290" i="5"/>
  <c r="U290" i="5" s="1"/>
  <c r="W290" i="5"/>
  <c r="I289" i="5"/>
  <c r="AP289" i="5" s="1"/>
  <c r="H263" i="6"/>
  <c r="Z288" i="5"/>
  <c r="CT290" i="5"/>
  <c r="CV290" i="5"/>
  <c r="AE290" i="5"/>
  <c r="K290" i="5" l="1"/>
  <c r="AH289" i="5"/>
  <c r="AT289" i="5"/>
  <c r="M289" i="5"/>
  <c r="P289" i="5"/>
  <c r="AY289" i="5" s="1"/>
  <c r="AA288" i="5"/>
  <c r="I263" i="6" s="1"/>
  <c r="CN290" i="5"/>
  <c r="E290" i="5" s="1"/>
  <c r="CO290" i="5"/>
  <c r="F290" i="5" s="1"/>
  <c r="BW290" i="5" l="1"/>
  <c r="AG289" i="5"/>
  <c r="AO289" i="5"/>
  <c r="AR289" i="5" s="1"/>
  <c r="N289" i="5"/>
  <c r="AS289" i="5"/>
  <c r="AV289" i="5" s="1"/>
  <c r="D265" i="6"/>
  <c r="BC290" i="5"/>
  <c r="F264" i="6"/>
  <c r="Q289" i="5"/>
  <c r="V289" i="5" s="1"/>
  <c r="C291" i="5"/>
  <c r="BU291" i="5" s="1"/>
  <c r="E265" i="6"/>
  <c r="BY290" i="5" l="1"/>
  <c r="J290" i="5" s="1"/>
  <c r="BT291" i="5"/>
  <c r="BV291" i="5"/>
  <c r="BS291" i="5"/>
  <c r="CI291" i="5"/>
  <c r="BH291" i="5"/>
  <c r="BI291" i="5" s="1"/>
  <c r="BJ291" i="5" s="1"/>
  <c r="AJ289" i="5"/>
  <c r="D291" i="5"/>
  <c r="C266" i="6"/>
  <c r="AB291" i="5"/>
  <c r="BN291" i="5" s="1"/>
  <c r="BO291" i="5" s="1"/>
  <c r="BP291" i="5" s="1"/>
  <c r="CY291" i="5"/>
  <c r="AC291" i="5"/>
  <c r="CW291" i="5"/>
  <c r="BK291" i="5"/>
  <c r="BL291" i="5" s="1"/>
  <c r="BM291" i="5" s="1"/>
  <c r="CR291" i="5"/>
  <c r="AK291" i="5"/>
  <c r="CS291" i="5"/>
  <c r="CX291" i="5"/>
  <c r="CL291" i="5"/>
  <c r="CM291" i="5" s="1"/>
  <c r="BG290" i="5"/>
  <c r="H290" i="5" s="1"/>
  <c r="AX291" i="5"/>
  <c r="AW291" i="5" s="1"/>
  <c r="CU291" i="5"/>
  <c r="BX291" i="5" s="1"/>
  <c r="G264" i="6"/>
  <c r="BD290" i="5"/>
  <c r="BE291" i="5" s="1"/>
  <c r="CZ290" i="5"/>
  <c r="BF290" i="5"/>
  <c r="AF290" i="5" l="1"/>
  <c r="AN290" i="5"/>
  <c r="G291" i="5"/>
  <c r="CK291" i="5"/>
  <c r="CJ291" i="5" s="1"/>
  <c r="CH291" i="5"/>
  <c r="AD291" i="5"/>
  <c r="AE291" i="5" s="1"/>
  <c r="X289" i="5"/>
  <c r="Y289" i="5" s="1"/>
  <c r="DA291" i="5"/>
  <c r="DB291" i="5" s="1"/>
  <c r="K291" i="5" s="1"/>
  <c r="L291" i="5"/>
  <c r="I290" i="5"/>
  <c r="AH290" i="5" s="1"/>
  <c r="CP291" i="5"/>
  <c r="CQ291" i="5" s="1"/>
  <c r="R291" i="5" s="1"/>
  <c r="S291" i="5" s="1"/>
  <c r="AM291" i="5"/>
  <c r="AL292" i="5" s="1"/>
  <c r="CT291" i="5"/>
  <c r="CV291" i="5"/>
  <c r="T291" i="5"/>
  <c r="U291" i="5" s="1"/>
  <c r="W291" i="5"/>
  <c r="H264" i="6" l="1"/>
  <c r="Z289" i="5"/>
  <c r="AA289" i="5" s="1"/>
  <c r="I264" i="6" s="1"/>
  <c r="AT290" i="5"/>
  <c r="AP290" i="5"/>
  <c r="CO291" i="5"/>
  <c r="F291" i="5" s="1"/>
  <c r="CN291" i="5"/>
  <c r="E291" i="5" s="1"/>
  <c r="P290" i="5"/>
  <c r="AY290" i="5" s="1"/>
  <c r="M290" i="5"/>
  <c r="BW291" i="5" l="1"/>
  <c r="BY291" i="5"/>
  <c r="J291" i="5" s="1"/>
  <c r="AO290" i="5"/>
  <c r="AR290" i="5" s="1"/>
  <c r="AG290" i="5"/>
  <c r="AJ290" i="5" s="1"/>
  <c r="AS290" i="5"/>
  <c r="AV290" i="5" s="1"/>
  <c r="N290" i="5"/>
  <c r="F265" i="6"/>
  <c r="Q290" i="5"/>
  <c r="V290" i="5" s="1"/>
  <c r="G265" i="6" s="1"/>
  <c r="BC291" i="5"/>
  <c r="D266" i="6"/>
  <c r="E266" i="6"/>
  <c r="C292" i="5"/>
  <c r="BU292" i="5" s="1"/>
  <c r="AN291" i="5" l="1"/>
  <c r="AF291" i="5"/>
  <c r="BT292" i="5"/>
  <c r="BV292" i="5"/>
  <c r="BS292" i="5"/>
  <c r="CI292" i="5"/>
  <c r="BH292" i="5"/>
  <c r="BI292" i="5" s="1"/>
  <c r="BJ292" i="5" s="1"/>
  <c r="X290" i="5"/>
  <c r="Y290" i="5" s="1"/>
  <c r="CZ291" i="5"/>
  <c r="BD291" i="5"/>
  <c r="BE292" i="5" s="1"/>
  <c r="BF291" i="5"/>
  <c r="C267" i="6"/>
  <c r="D292" i="5"/>
  <c r="CS292" i="5"/>
  <c r="CX292" i="5"/>
  <c r="CW292" i="5"/>
  <c r="AC292" i="5"/>
  <c r="AD292" i="5" s="1"/>
  <c r="CR292" i="5"/>
  <c r="BK292" i="5"/>
  <c r="BL292" i="5" s="1"/>
  <c r="BM292" i="5" s="1"/>
  <c r="AB292" i="5"/>
  <c r="CP292" i="5" s="1"/>
  <c r="CQ292" i="5" s="1"/>
  <c r="R292" i="5" s="1"/>
  <c r="S292" i="5" s="1"/>
  <c r="AK292" i="5"/>
  <c r="CY292" i="5"/>
  <c r="CL292" i="5"/>
  <c r="CM292" i="5" s="1"/>
  <c r="BG291" i="5"/>
  <c r="H291" i="5" s="1"/>
  <c r="AX292" i="5"/>
  <c r="AW292" i="5" s="1"/>
  <c r="CU292" i="5"/>
  <c r="BX292" i="5" s="1"/>
  <c r="CH292" i="5" l="1"/>
  <c r="CK292" i="5"/>
  <c r="CJ292" i="5" s="1"/>
  <c r="I291" i="5"/>
  <c r="AH291" i="5" s="1"/>
  <c r="BN292" i="5"/>
  <c r="BO292" i="5" s="1"/>
  <c r="BP292" i="5" s="1"/>
  <c r="G292" i="5" s="1"/>
  <c r="W292" i="5"/>
  <c r="T292" i="5"/>
  <c r="U292" i="5" s="1"/>
  <c r="AE292" i="5"/>
  <c r="H265" i="6"/>
  <c r="Z290" i="5"/>
  <c r="L292" i="5"/>
  <c r="CT292" i="5"/>
  <c r="CV292" i="5"/>
  <c r="DA292" i="5"/>
  <c r="DB292" i="5" s="1"/>
  <c r="K292" i="5" s="1"/>
  <c r="AM292" i="5"/>
  <c r="AL293" i="5" s="1"/>
  <c r="AT291" i="5" l="1"/>
  <c r="AP291" i="5"/>
  <c r="CN292" i="5"/>
  <c r="E292" i="5" s="1"/>
  <c r="CO292" i="5"/>
  <c r="F292" i="5" s="1"/>
  <c r="AA290" i="5"/>
  <c r="I265" i="6" s="1"/>
  <c r="M291" i="5"/>
  <c r="P291" i="5"/>
  <c r="AY291" i="5" s="1"/>
  <c r="AO291" i="5" l="1"/>
  <c r="AR291" i="5" s="1"/>
  <c r="AG291" i="5"/>
  <c r="AJ291" i="5" s="1"/>
  <c r="BC292" i="5"/>
  <c r="D267" i="6"/>
  <c r="F266" i="6"/>
  <c r="Q291" i="5"/>
  <c r="V291" i="5" s="1"/>
  <c r="N291" i="5"/>
  <c r="AS291" i="5"/>
  <c r="AV291" i="5" s="1"/>
  <c r="C293" i="5"/>
  <c r="BU293" i="5" s="1"/>
  <c r="E267" i="6"/>
  <c r="BW292" i="5" l="1"/>
  <c r="BY292" i="5"/>
  <c r="J292" i="5" s="1"/>
  <c r="BV293" i="5"/>
  <c r="BT293" i="5"/>
  <c r="BS293" i="5"/>
  <c r="CI293" i="5"/>
  <c r="BH293" i="5"/>
  <c r="BI293" i="5" s="1"/>
  <c r="BJ293" i="5" s="1"/>
  <c r="X291" i="5"/>
  <c r="Y291" i="5" s="1"/>
  <c r="CW293" i="5"/>
  <c r="D293" i="5"/>
  <c r="AK293" i="5"/>
  <c r="AC293" i="5"/>
  <c r="CY293" i="5"/>
  <c r="C268" i="6"/>
  <c r="BK293" i="5"/>
  <c r="BL293" i="5" s="1"/>
  <c r="BM293" i="5" s="1"/>
  <c r="CS293" i="5"/>
  <c r="CX293" i="5"/>
  <c r="CL293" i="5"/>
  <c r="CM293" i="5" s="1"/>
  <c r="CR293" i="5"/>
  <c r="AB293" i="5"/>
  <c r="L293" i="5" s="1"/>
  <c r="BG292" i="5"/>
  <c r="H292" i="5" s="1"/>
  <c r="AX293" i="5"/>
  <c r="AW293" i="5" s="1"/>
  <c r="CU293" i="5"/>
  <c r="G266" i="6"/>
  <c r="BF292" i="5"/>
  <c r="BD292" i="5"/>
  <c r="BE293" i="5" s="1"/>
  <c r="CZ292" i="5"/>
  <c r="AN292" i="5" l="1"/>
  <c r="AF292" i="5"/>
  <c r="BX293" i="5"/>
  <c r="CH293" i="5"/>
  <c r="CK293" i="5"/>
  <c r="CJ293" i="5" s="1"/>
  <c r="AD293" i="5"/>
  <c r="AE293" i="5" s="1"/>
  <c r="BN293" i="5"/>
  <c r="BO293" i="5" s="1"/>
  <c r="BP293" i="5" s="1"/>
  <c r="G293" i="5" s="1"/>
  <c r="DA293" i="5"/>
  <c r="DB293" i="5" s="1"/>
  <c r="K293" i="5" s="1"/>
  <c r="CT293" i="5"/>
  <c r="CV293" i="5"/>
  <c r="CP293" i="5"/>
  <c r="CQ293" i="5" s="1"/>
  <c r="R293" i="5" s="1"/>
  <c r="S293" i="5" s="1"/>
  <c r="I292" i="5"/>
  <c r="AH292" i="5" s="1"/>
  <c r="AM293" i="5"/>
  <c r="AL294" i="5" s="1"/>
  <c r="T293" i="5"/>
  <c r="U293" i="5" s="1"/>
  <c r="W293" i="5"/>
  <c r="H266" i="6"/>
  <c r="Z291" i="5"/>
  <c r="AA291" i="5" l="1"/>
  <c r="I266" i="6" s="1"/>
  <c r="AT292" i="5"/>
  <c r="AP292" i="5"/>
  <c r="P292" i="5"/>
  <c r="M292" i="5"/>
  <c r="AG292" i="5" s="1"/>
  <c r="AJ292" i="5" s="1"/>
  <c r="CO293" i="5"/>
  <c r="F293" i="5" s="1"/>
  <c r="CN293" i="5"/>
  <c r="E293" i="5" s="1"/>
  <c r="BY293" i="5" l="1"/>
  <c r="J293" i="5" s="1"/>
  <c r="AN293" i="5" s="1"/>
  <c r="AY292" i="5"/>
  <c r="BB292" i="5"/>
  <c r="N292" i="5"/>
  <c r="AS292" i="5"/>
  <c r="AV292" i="5" s="1"/>
  <c r="AO292" i="5"/>
  <c r="AR292" i="5" s="1"/>
  <c r="Q292" i="5"/>
  <c r="V292" i="5" s="1"/>
  <c r="F267" i="6"/>
  <c r="D268" i="6"/>
  <c r="BC293" i="5"/>
  <c r="C294" i="5"/>
  <c r="BU294" i="5" s="1"/>
  <c r="E268" i="6"/>
  <c r="AF293" i="5" l="1"/>
  <c r="BW293" i="5"/>
  <c r="BT294" i="5"/>
  <c r="BV294" i="5"/>
  <c r="BS294" i="5"/>
  <c r="CI294" i="5"/>
  <c r="BH294" i="5"/>
  <c r="BI294" i="5" s="1"/>
  <c r="BJ294" i="5" s="1"/>
  <c r="X292" i="5"/>
  <c r="Y292" i="5" s="1"/>
  <c r="BD293" i="5"/>
  <c r="BE294" i="5" s="1"/>
  <c r="CZ293" i="5"/>
  <c r="BF293" i="5"/>
  <c r="G267" i="6"/>
  <c r="CY294" i="5"/>
  <c r="C269" i="6"/>
  <c r="BK294" i="5"/>
  <c r="BL294" i="5" s="1"/>
  <c r="BM294" i="5" s="1"/>
  <c r="D294" i="5"/>
  <c r="AK294" i="5"/>
  <c r="AM294" i="5" s="1"/>
  <c r="AL295" i="5" s="1"/>
  <c r="CW294" i="5"/>
  <c r="CS294" i="5"/>
  <c r="CX294" i="5"/>
  <c r="AC294" i="5"/>
  <c r="CR294" i="5"/>
  <c r="AB294" i="5"/>
  <c r="DA294" i="5" s="1"/>
  <c r="DB294" i="5" s="1"/>
  <c r="CL294" i="5"/>
  <c r="CM294" i="5" s="1"/>
  <c r="BG293" i="5"/>
  <c r="H293" i="5" s="1"/>
  <c r="AX294" i="5"/>
  <c r="AW294" i="5" s="1"/>
  <c r="CU294" i="5"/>
  <c r="BX294" i="5" l="1"/>
  <c r="CH294" i="5"/>
  <c r="CK294" i="5"/>
  <c r="CJ294" i="5" s="1"/>
  <c r="K294" i="5" s="1"/>
  <c r="AD294" i="5"/>
  <c r="AE294" i="5" s="1"/>
  <c r="CP294" i="5"/>
  <c r="CQ294" i="5" s="1"/>
  <c r="R294" i="5" s="1"/>
  <c r="S294" i="5" s="1"/>
  <c r="L294" i="5"/>
  <c r="H267" i="6"/>
  <c r="Z292" i="5"/>
  <c r="I293" i="5"/>
  <c r="AH293" i="5" s="1"/>
  <c r="BN294" i="5"/>
  <c r="BO294" i="5" s="1"/>
  <c r="BP294" i="5" s="1"/>
  <c r="G294" i="5" s="1"/>
  <c r="CV294" i="5"/>
  <c r="CT294" i="5"/>
  <c r="T294" i="5"/>
  <c r="U294" i="5" s="1"/>
  <c r="W294" i="5"/>
  <c r="AT293" i="5" l="1"/>
  <c r="AP293" i="5"/>
  <c r="CO294" i="5"/>
  <c r="F294" i="5" s="1"/>
  <c r="CN294" i="5"/>
  <c r="E294" i="5" s="1"/>
  <c r="P293" i="5"/>
  <c r="AY293" i="5" s="1"/>
  <c r="M293" i="5"/>
  <c r="AO293" i="5" s="1"/>
  <c r="AR293" i="5" s="1"/>
  <c r="AA292" i="5"/>
  <c r="I267" i="6" s="1"/>
  <c r="BW294" i="5" l="1"/>
  <c r="BY294" i="5"/>
  <c r="J294" i="5" s="1"/>
  <c r="AG293" i="5"/>
  <c r="AJ293" i="5" s="1"/>
  <c r="N293" i="5"/>
  <c r="AS293" i="5"/>
  <c r="AV293" i="5" s="1"/>
  <c r="Q293" i="5"/>
  <c r="V293" i="5" s="1"/>
  <c r="F268" i="6"/>
  <c r="BC294" i="5"/>
  <c r="D269" i="6"/>
  <c r="E269" i="6"/>
  <c r="C295" i="5"/>
  <c r="BU295" i="5" s="1"/>
  <c r="AN294" i="5" l="1"/>
  <c r="AF294" i="5"/>
  <c r="BT295" i="5"/>
  <c r="BV295" i="5"/>
  <c r="BS295" i="5"/>
  <c r="CI295" i="5"/>
  <c r="BH295" i="5"/>
  <c r="BI295" i="5" s="1"/>
  <c r="BJ295" i="5" s="1"/>
  <c r="X293" i="5"/>
  <c r="Y293" i="5" s="1"/>
  <c r="G268" i="6"/>
  <c r="BD294" i="5"/>
  <c r="BE295" i="5" s="1"/>
  <c r="CZ294" i="5"/>
  <c r="BF294" i="5"/>
  <c r="AK295" i="5"/>
  <c r="AM295" i="5" s="1"/>
  <c r="AL296" i="5" s="1"/>
  <c r="CR295" i="5"/>
  <c r="C270" i="6"/>
  <c r="CS295" i="5"/>
  <c r="CX295" i="5"/>
  <c r="CL295" i="5"/>
  <c r="CM295" i="5" s="1"/>
  <c r="AC295" i="5"/>
  <c r="AD295" i="5" s="1"/>
  <c r="AB295" i="5"/>
  <c r="L295" i="5" s="1"/>
  <c r="CY295" i="5"/>
  <c r="BK295" i="5"/>
  <c r="BL295" i="5" s="1"/>
  <c r="BM295" i="5" s="1"/>
  <c r="D295" i="5"/>
  <c r="CW295" i="5"/>
  <c r="BG294" i="5"/>
  <c r="H294" i="5" s="1"/>
  <c r="AX295" i="5"/>
  <c r="AW295" i="5" s="1"/>
  <c r="CU295" i="5"/>
  <c r="BX295" i="5" s="1"/>
  <c r="CH295" i="5" l="1"/>
  <c r="CK295" i="5"/>
  <c r="CJ295" i="5" s="1"/>
  <c r="CP295" i="5"/>
  <c r="CQ295" i="5" s="1"/>
  <c r="R295" i="5" s="1"/>
  <c r="S295" i="5" s="1"/>
  <c r="AE295" i="5"/>
  <c r="DA295" i="5"/>
  <c r="DB295" i="5" s="1"/>
  <c r="K295" i="5" s="1"/>
  <c r="CV295" i="5"/>
  <c r="CT295" i="5"/>
  <c r="I294" i="5"/>
  <c r="BN295" i="5"/>
  <c r="BO295" i="5" s="1"/>
  <c r="BP295" i="5" s="1"/>
  <c r="G295" i="5" s="1"/>
  <c r="H268" i="6"/>
  <c r="Z293" i="5"/>
  <c r="W295" i="5"/>
  <c r="T295" i="5"/>
  <c r="U295" i="5" s="1"/>
  <c r="AH294" i="5" l="1"/>
  <c r="AT294" i="5"/>
  <c r="AP294" i="5"/>
  <c r="CO295" i="5"/>
  <c r="F295" i="5" s="1"/>
  <c r="CN295" i="5"/>
  <c r="E295" i="5" s="1"/>
  <c r="AA293" i="5"/>
  <c r="I268" i="6" s="1"/>
  <c r="P294" i="5"/>
  <c r="AY294" i="5" s="1"/>
  <c r="M294" i="5"/>
  <c r="BW295" i="5" l="1"/>
  <c r="BY295" i="5"/>
  <c r="J295" i="5" s="1"/>
  <c r="AF295" i="5" s="1"/>
  <c r="AS294" i="5"/>
  <c r="AV294" i="5" s="1"/>
  <c r="AO294" i="5"/>
  <c r="AR294" i="5" s="1"/>
  <c r="N294" i="5"/>
  <c r="AG294" i="5"/>
  <c r="BC295" i="5"/>
  <c r="D270" i="6"/>
  <c r="C296" i="5"/>
  <c r="BU296" i="5" s="1"/>
  <c r="E270" i="6"/>
  <c r="Q294" i="5"/>
  <c r="V294" i="5" s="1"/>
  <c r="F269" i="6"/>
  <c r="AN295" i="5" l="1"/>
  <c r="BT296" i="5"/>
  <c r="BV296" i="5"/>
  <c r="BS296" i="5"/>
  <c r="CI296" i="5"/>
  <c r="BH296" i="5"/>
  <c r="BI296" i="5" s="1"/>
  <c r="BJ296" i="5" s="1"/>
  <c r="BF295" i="5"/>
  <c r="BD295" i="5"/>
  <c r="BE296" i="5" s="1"/>
  <c r="CZ295" i="5"/>
  <c r="AJ294" i="5"/>
  <c r="X294" i="5" s="1"/>
  <c r="Y294" i="5" s="1"/>
  <c r="D296" i="5"/>
  <c r="BK296" i="5"/>
  <c r="BL296" i="5" s="1"/>
  <c r="BM296" i="5" s="1"/>
  <c r="AK296" i="5"/>
  <c r="AM296" i="5" s="1"/>
  <c r="AL297" i="5" s="1"/>
  <c r="CL296" i="5"/>
  <c r="CM296" i="5" s="1"/>
  <c r="CW296" i="5"/>
  <c r="AB296" i="5"/>
  <c r="CP296" i="5" s="1"/>
  <c r="CQ296" i="5" s="1"/>
  <c r="R296" i="5" s="1"/>
  <c r="S296" i="5" s="1"/>
  <c r="CS296" i="5"/>
  <c r="C271" i="6"/>
  <c r="CX296" i="5"/>
  <c r="AC296" i="5"/>
  <c r="AD296" i="5" s="1"/>
  <c r="CR296" i="5"/>
  <c r="CY296" i="5"/>
  <c r="BG295" i="5"/>
  <c r="H295" i="5" s="1"/>
  <c r="AX296" i="5"/>
  <c r="AW296" i="5" s="1"/>
  <c r="CU296" i="5"/>
  <c r="BX296" i="5" s="1"/>
  <c r="G269" i="6"/>
  <c r="CK296" i="5" l="1"/>
  <c r="CJ296" i="5" s="1"/>
  <c r="CH296" i="5"/>
  <c r="BN296" i="5"/>
  <c r="BO296" i="5" s="1"/>
  <c r="BP296" i="5" s="1"/>
  <c r="G296" i="5" s="1"/>
  <c r="DA296" i="5"/>
  <c r="DB296" i="5" s="1"/>
  <c r="K296" i="5" s="1"/>
  <c r="H269" i="6"/>
  <c r="Z294" i="5"/>
  <c r="W296" i="5"/>
  <c r="T296" i="5"/>
  <c r="U296" i="5" s="1"/>
  <c r="I295" i="5"/>
  <c r="AP295" i="5" s="1"/>
  <c r="L296" i="5"/>
  <c r="AE296" i="5"/>
  <c r="CV296" i="5"/>
  <c r="CT296" i="5"/>
  <c r="AH295" i="5" l="1"/>
  <c r="AT295" i="5"/>
  <c r="M295" i="5"/>
  <c r="AO295" i="5" s="1"/>
  <c r="AR295" i="5" s="1"/>
  <c r="P295" i="5"/>
  <c r="AY295" i="5" s="1"/>
  <c r="AA294" i="5"/>
  <c r="I269" i="6" s="1"/>
  <c r="CN296" i="5"/>
  <c r="E296" i="5" s="1"/>
  <c r="CO296" i="5"/>
  <c r="F296" i="5" s="1"/>
  <c r="AG295" i="5" l="1"/>
  <c r="AJ295" i="5" s="1"/>
  <c r="AS295" i="5"/>
  <c r="AV295" i="5" s="1"/>
  <c r="Q295" i="5"/>
  <c r="V295" i="5" s="1"/>
  <c r="G270" i="6" s="1"/>
  <c r="F270" i="6"/>
  <c r="N295" i="5"/>
  <c r="C297" i="5"/>
  <c r="BU297" i="5" s="1"/>
  <c r="E271" i="6"/>
  <c r="BC296" i="5"/>
  <c r="D271" i="6"/>
  <c r="BY296" i="5" l="1"/>
  <c r="J296" i="5" s="1"/>
  <c r="BW296" i="5"/>
  <c r="BT297" i="5"/>
  <c r="BV297" i="5"/>
  <c r="BS297" i="5"/>
  <c r="CI297" i="5"/>
  <c r="BH297" i="5"/>
  <c r="BI297" i="5" s="1"/>
  <c r="BJ297" i="5" s="1"/>
  <c r="X295" i="5"/>
  <c r="Y295" i="5" s="1"/>
  <c r="BD296" i="5"/>
  <c r="BE297" i="5" s="1"/>
  <c r="BF296" i="5"/>
  <c r="CZ296" i="5"/>
  <c r="CY297" i="5"/>
  <c r="C272" i="6"/>
  <c r="AB297" i="5"/>
  <c r="L297" i="5" s="1"/>
  <c r="D297" i="5"/>
  <c r="BK297" i="5"/>
  <c r="BL297" i="5" s="1"/>
  <c r="BM297" i="5" s="1"/>
  <c r="CW297" i="5"/>
  <c r="CX297" i="5"/>
  <c r="CS297" i="5"/>
  <c r="CR297" i="5"/>
  <c r="CL297" i="5"/>
  <c r="CM297" i="5" s="1"/>
  <c r="AC297" i="5"/>
  <c r="AK297" i="5"/>
  <c r="BG296" i="5"/>
  <c r="H296" i="5" s="1"/>
  <c r="AX297" i="5"/>
  <c r="AW297" i="5" s="1"/>
  <c r="CU297" i="5"/>
  <c r="AF296" i="5" l="1"/>
  <c r="AN296" i="5"/>
  <c r="BX297" i="5"/>
  <c r="AD297" i="5"/>
  <c r="AE297" i="5" s="1"/>
  <c r="CH297" i="5"/>
  <c r="CK297" i="5"/>
  <c r="CJ297" i="5" s="1"/>
  <c r="DA297" i="5"/>
  <c r="DB297" i="5" s="1"/>
  <c r="K297" i="5" s="1"/>
  <c r="CP297" i="5"/>
  <c r="CQ297" i="5" s="1"/>
  <c r="R297" i="5" s="1"/>
  <c r="S297" i="5" s="1"/>
  <c r="BN297" i="5"/>
  <c r="BO297" i="5" s="1"/>
  <c r="BP297" i="5" s="1"/>
  <c r="G297" i="5" s="1"/>
  <c r="H270" i="6"/>
  <c r="Z295" i="5"/>
  <c r="AA295" i="5" s="1"/>
  <c r="I270" i="6" s="1"/>
  <c r="CV297" i="5"/>
  <c r="CT297" i="5"/>
  <c r="I296" i="5"/>
  <c r="T297" i="5"/>
  <c r="U297" i="5" s="1"/>
  <c r="W297" i="5"/>
  <c r="AM297" i="5"/>
  <c r="AL298" i="5" s="1"/>
  <c r="AH296" i="5" l="1"/>
  <c r="AT296" i="5"/>
  <c r="AP296" i="5"/>
  <c r="P296" i="5"/>
  <c r="AY296" i="5" s="1"/>
  <c r="M296" i="5"/>
  <c r="AG296" i="5" s="1"/>
  <c r="AJ296" i="5" s="1"/>
  <c r="CN297" i="5"/>
  <c r="E297" i="5" s="1"/>
  <c r="CO297" i="5"/>
  <c r="F297" i="5" s="1"/>
  <c r="N296" i="5" l="1"/>
  <c r="AS296" i="5"/>
  <c r="AV296" i="5" s="1"/>
  <c r="AO296" i="5"/>
  <c r="D272" i="6"/>
  <c r="BC297" i="5"/>
  <c r="C298" i="5"/>
  <c r="BU298" i="5" s="1"/>
  <c r="E272" i="6"/>
  <c r="Q296" i="5"/>
  <c r="V296" i="5" s="1"/>
  <c r="F271" i="6"/>
  <c r="BW297" i="5" l="1"/>
  <c r="BY297" i="5"/>
  <c r="J297" i="5" s="1"/>
  <c r="BV298" i="5"/>
  <c r="BT298" i="5"/>
  <c r="BS298" i="5"/>
  <c r="CI298" i="5"/>
  <c r="BH298" i="5"/>
  <c r="BI298" i="5" s="1"/>
  <c r="BJ298" i="5" s="1"/>
  <c r="AR296" i="5"/>
  <c r="AK298" i="5"/>
  <c r="CL298" i="5"/>
  <c r="CM298" i="5" s="1"/>
  <c r="AB298" i="5"/>
  <c r="BN298" i="5" s="1"/>
  <c r="BO298" i="5" s="1"/>
  <c r="BP298" i="5" s="1"/>
  <c r="CX298" i="5"/>
  <c r="D298" i="5"/>
  <c r="AC298" i="5"/>
  <c r="CW298" i="5"/>
  <c r="BK298" i="5"/>
  <c r="BL298" i="5" s="1"/>
  <c r="BM298" i="5" s="1"/>
  <c r="C273" i="6"/>
  <c r="CR298" i="5"/>
  <c r="CY298" i="5"/>
  <c r="CS298" i="5"/>
  <c r="BG297" i="5"/>
  <c r="H297" i="5" s="1"/>
  <c r="AX298" i="5"/>
  <c r="AW298" i="5" s="1"/>
  <c r="CU298" i="5"/>
  <c r="BF297" i="5"/>
  <c r="CZ297" i="5"/>
  <c r="BD297" i="5"/>
  <c r="BE298" i="5" s="1"/>
  <c r="G271" i="6"/>
  <c r="AF297" i="5" l="1"/>
  <c r="AN297" i="5"/>
  <c r="BX298" i="5"/>
  <c r="G298" i="5"/>
  <c r="AD298" i="5"/>
  <c r="AE298" i="5" s="1"/>
  <c r="CH298" i="5"/>
  <c r="CK298" i="5"/>
  <c r="CJ298" i="5" s="1"/>
  <c r="X296" i="5"/>
  <c r="Y296" i="5" s="1"/>
  <c r="L298" i="5"/>
  <c r="DA298" i="5"/>
  <c r="DB298" i="5" s="1"/>
  <c r="K298" i="5" s="1"/>
  <c r="CP298" i="5"/>
  <c r="CQ298" i="5" s="1"/>
  <c r="R298" i="5" s="1"/>
  <c r="S298" i="5" s="1"/>
  <c r="CV298" i="5"/>
  <c r="CT298" i="5"/>
  <c r="T298" i="5"/>
  <c r="U298" i="5" s="1"/>
  <c r="W298" i="5"/>
  <c r="I297" i="5"/>
  <c r="AP297" i="5" s="1"/>
  <c r="AM298" i="5"/>
  <c r="AL299" i="5" s="1"/>
  <c r="H271" i="6" l="1"/>
  <c r="Z296" i="5"/>
  <c r="AA296" i="5" s="1"/>
  <c r="I271" i="6" s="1"/>
  <c r="AT297" i="5"/>
  <c r="AH297" i="5"/>
  <c r="M297" i="5"/>
  <c r="P297" i="5"/>
  <c r="AY297" i="5" s="1"/>
  <c r="CN298" i="5"/>
  <c r="E298" i="5" s="1"/>
  <c r="CO298" i="5"/>
  <c r="F298" i="5" s="1"/>
  <c r="BW298" i="5" l="1"/>
  <c r="BY298" i="5"/>
  <c r="J298" i="5" s="1"/>
  <c r="AS297" i="5"/>
  <c r="AV297" i="5" s="1"/>
  <c r="AO297" i="5"/>
  <c r="AR297" i="5" s="1"/>
  <c r="F272" i="6"/>
  <c r="Q297" i="5"/>
  <c r="V297" i="5" s="1"/>
  <c r="C299" i="5"/>
  <c r="BU299" i="5" s="1"/>
  <c r="E273" i="6"/>
  <c r="AG297" i="5"/>
  <c r="N297" i="5"/>
  <c r="D273" i="6"/>
  <c r="BC298" i="5"/>
  <c r="AN298" i="5" l="1"/>
  <c r="AF298" i="5"/>
  <c r="BT299" i="5"/>
  <c r="BV299" i="5"/>
  <c r="BS299" i="5"/>
  <c r="CI299" i="5"/>
  <c r="BH299" i="5"/>
  <c r="BI299" i="5" s="1"/>
  <c r="BJ299" i="5" s="1"/>
  <c r="BK299" i="5"/>
  <c r="BL299" i="5" s="1"/>
  <c r="BM299" i="5" s="1"/>
  <c r="AC299" i="5"/>
  <c r="AD299" i="5" s="1"/>
  <c r="AK299" i="5"/>
  <c r="AM299" i="5" s="1"/>
  <c r="AL300" i="5" s="1"/>
  <c r="CR299" i="5"/>
  <c r="AB299" i="5"/>
  <c r="DA299" i="5" s="1"/>
  <c r="DB299" i="5" s="1"/>
  <c r="CY299" i="5"/>
  <c r="CS299" i="5"/>
  <c r="C274" i="6"/>
  <c r="CW299" i="5"/>
  <c r="CX299" i="5"/>
  <c r="CL299" i="5"/>
  <c r="CM299" i="5" s="1"/>
  <c r="D299" i="5"/>
  <c r="BG298" i="5"/>
  <c r="H298" i="5" s="1"/>
  <c r="AX299" i="5"/>
  <c r="AW299" i="5" s="1"/>
  <c r="CU299" i="5"/>
  <c r="BX299" i="5" s="1"/>
  <c r="G272" i="6"/>
  <c r="BD298" i="5"/>
  <c r="BE299" i="5" s="1"/>
  <c r="BF298" i="5"/>
  <c r="CZ298" i="5"/>
  <c r="AJ297" i="5"/>
  <c r="CK299" i="5" l="1"/>
  <c r="CJ299" i="5" s="1"/>
  <c r="K299" i="5" s="1"/>
  <c r="CH299" i="5"/>
  <c r="X297" i="5"/>
  <c r="Y297" i="5" s="1"/>
  <c r="BN299" i="5"/>
  <c r="BO299" i="5" s="1"/>
  <c r="BP299" i="5" s="1"/>
  <c r="G299" i="5" s="1"/>
  <c r="W299" i="5"/>
  <c r="T299" i="5"/>
  <c r="U299" i="5" s="1"/>
  <c r="CT299" i="5"/>
  <c r="CV299" i="5"/>
  <c r="I298" i="5"/>
  <c r="AH298" i="5" s="1"/>
  <c r="L299" i="5"/>
  <c r="CP299" i="5"/>
  <c r="CQ299" i="5" s="1"/>
  <c r="R299" i="5" s="1"/>
  <c r="S299" i="5" s="1"/>
  <c r="AE299" i="5"/>
  <c r="H272" i="6" l="1"/>
  <c r="Z297" i="5"/>
  <c r="AA297" i="5" s="1"/>
  <c r="I272" i="6" s="1"/>
  <c r="AT298" i="5"/>
  <c r="AP298" i="5"/>
  <c r="P298" i="5"/>
  <c r="AY298" i="5" s="1"/>
  <c r="M298" i="5"/>
  <c r="CN299" i="5"/>
  <c r="E299" i="5" s="1"/>
  <c r="CO299" i="5"/>
  <c r="F299" i="5" s="1"/>
  <c r="AO298" i="5" l="1"/>
  <c r="AR298" i="5" s="1"/>
  <c r="AG298" i="5"/>
  <c r="C300" i="5"/>
  <c r="BU300" i="5" s="1"/>
  <c r="E274" i="6"/>
  <c r="D274" i="6"/>
  <c r="BC299" i="5"/>
  <c r="N298" i="5"/>
  <c r="AS298" i="5"/>
  <c r="AV298" i="5" s="1"/>
  <c r="Q298" i="5"/>
  <c r="V298" i="5" s="1"/>
  <c r="F273" i="6"/>
  <c r="BW299" i="5" l="1"/>
  <c r="BY299" i="5"/>
  <c r="J299" i="5" s="1"/>
  <c r="BT300" i="5"/>
  <c r="BV300" i="5"/>
  <c r="BS300" i="5"/>
  <c r="CI300" i="5"/>
  <c r="BH300" i="5"/>
  <c r="BI300" i="5" s="1"/>
  <c r="BJ300" i="5" s="1"/>
  <c r="AJ298" i="5"/>
  <c r="G273" i="6"/>
  <c r="CZ299" i="5"/>
  <c r="BD299" i="5"/>
  <c r="BE300" i="5" s="1"/>
  <c r="BF299" i="5"/>
  <c r="AK300" i="5"/>
  <c r="C275" i="6"/>
  <c r="CR300" i="5"/>
  <c r="CS300" i="5"/>
  <c r="D300" i="5"/>
  <c r="CY300" i="5"/>
  <c r="AB300" i="5"/>
  <c r="L300" i="5" s="1"/>
  <c r="BK300" i="5"/>
  <c r="BL300" i="5" s="1"/>
  <c r="BM300" i="5" s="1"/>
  <c r="AC300" i="5"/>
  <c r="CW300" i="5"/>
  <c r="CL300" i="5"/>
  <c r="CM300" i="5" s="1"/>
  <c r="CX300" i="5"/>
  <c r="BG299" i="5"/>
  <c r="H299" i="5" s="1"/>
  <c r="AX300" i="5"/>
  <c r="AW300" i="5" s="1"/>
  <c r="CU300" i="5"/>
  <c r="AN299" i="5" l="1"/>
  <c r="AF299" i="5"/>
  <c r="BX300" i="5"/>
  <c r="AD300" i="5"/>
  <c r="AE300" i="5" s="1"/>
  <c r="CH300" i="5"/>
  <c r="CK300" i="5"/>
  <c r="CJ300" i="5" s="1"/>
  <c r="X298" i="5"/>
  <c r="Y298" i="5" s="1"/>
  <c r="DA300" i="5"/>
  <c r="DB300" i="5" s="1"/>
  <c r="CP300" i="5"/>
  <c r="CQ300" i="5" s="1"/>
  <c r="R300" i="5" s="1"/>
  <c r="S300" i="5" s="1"/>
  <c r="AM300" i="5"/>
  <c r="AL301" i="5" s="1"/>
  <c r="BN300" i="5"/>
  <c r="BO300" i="5" s="1"/>
  <c r="BP300" i="5" s="1"/>
  <c r="G300" i="5" s="1"/>
  <c r="W300" i="5"/>
  <c r="T300" i="5"/>
  <c r="U300" i="5" s="1"/>
  <c r="CT300" i="5"/>
  <c r="CV300" i="5"/>
  <c r="I299" i="5"/>
  <c r="AH299" i="5" s="1"/>
  <c r="K300" i="5" l="1"/>
  <c r="H273" i="6"/>
  <c r="Z298" i="5"/>
  <c r="AA298" i="5" s="1"/>
  <c r="I273" i="6" s="1"/>
  <c r="P299" i="5"/>
  <c r="AY299" i="5" s="1"/>
  <c r="M299" i="5"/>
  <c r="AG299" i="5" s="1"/>
  <c r="AJ299" i="5" s="1"/>
  <c r="CO300" i="5"/>
  <c r="F300" i="5" s="1"/>
  <c r="CN300" i="5"/>
  <c r="E300" i="5" s="1"/>
  <c r="AT299" i="5"/>
  <c r="AP299" i="5"/>
  <c r="BW300" i="5" l="1"/>
  <c r="BY300" i="5"/>
  <c r="J300" i="5" s="1"/>
  <c r="AN300" i="5" s="1"/>
  <c r="BC300" i="5"/>
  <c r="D275" i="6"/>
  <c r="E275" i="6"/>
  <c r="C301" i="5"/>
  <c r="BU301" i="5" s="1"/>
  <c r="N299" i="5"/>
  <c r="AS299" i="5"/>
  <c r="AV299" i="5" s="1"/>
  <c r="AO299" i="5"/>
  <c r="Q299" i="5"/>
  <c r="V299" i="5" s="1"/>
  <c r="F274" i="6"/>
  <c r="AF300" i="5" l="1"/>
  <c r="BV301" i="5"/>
  <c r="BT301" i="5"/>
  <c r="BS301" i="5"/>
  <c r="CI301" i="5"/>
  <c r="BH301" i="5"/>
  <c r="BI301" i="5" s="1"/>
  <c r="BJ301" i="5" s="1"/>
  <c r="CS301" i="5"/>
  <c r="CW301" i="5"/>
  <c r="AC301" i="5"/>
  <c r="AB301" i="5"/>
  <c r="BN301" i="5" s="1"/>
  <c r="BO301" i="5" s="1"/>
  <c r="BP301" i="5" s="1"/>
  <c r="CY301" i="5"/>
  <c r="AK301" i="5"/>
  <c r="CR301" i="5"/>
  <c r="BK301" i="5"/>
  <c r="BL301" i="5" s="1"/>
  <c r="BM301" i="5" s="1"/>
  <c r="C276" i="6"/>
  <c r="CX301" i="5"/>
  <c r="CL301" i="5"/>
  <c r="CM301" i="5" s="1"/>
  <c r="D301" i="5"/>
  <c r="BG300" i="5"/>
  <c r="H300" i="5" s="1"/>
  <c r="AX301" i="5"/>
  <c r="AW301" i="5" s="1"/>
  <c r="CU301" i="5"/>
  <c r="BX301" i="5" s="1"/>
  <c r="CZ300" i="5"/>
  <c r="BF300" i="5"/>
  <c r="BD300" i="5"/>
  <c r="BE301" i="5" s="1"/>
  <c r="G274" i="6"/>
  <c r="AR299" i="5"/>
  <c r="G301" i="5" l="1"/>
  <c r="AD301" i="5"/>
  <c r="AE301" i="5" s="1"/>
  <c r="CH301" i="5"/>
  <c r="CK301" i="5"/>
  <c r="CJ301" i="5" s="1"/>
  <c r="X299" i="5"/>
  <c r="Y299" i="5" s="1"/>
  <c r="CP301" i="5"/>
  <c r="CQ301" i="5" s="1"/>
  <c r="R301" i="5" s="1"/>
  <c r="S301" i="5" s="1"/>
  <c r="DA301" i="5"/>
  <c r="DB301" i="5" s="1"/>
  <c r="K301" i="5" s="1"/>
  <c r="T301" i="5"/>
  <c r="U301" i="5" s="1"/>
  <c r="W301" i="5"/>
  <c r="I300" i="5"/>
  <c r="AH300" i="5" s="1"/>
  <c r="AM301" i="5"/>
  <c r="AL302" i="5" s="1"/>
  <c r="L301" i="5"/>
  <c r="CV301" i="5"/>
  <c r="CT301" i="5"/>
  <c r="H274" i="6" l="1"/>
  <c r="Z299" i="5"/>
  <c r="AA299" i="5" s="1"/>
  <c r="I274" i="6" s="1"/>
  <c r="M300" i="5"/>
  <c r="N300" i="5" s="1"/>
  <c r="P300" i="5"/>
  <c r="AY300" i="5" s="1"/>
  <c r="AT300" i="5"/>
  <c r="AP300" i="5"/>
  <c r="AG300" i="5"/>
  <c r="AJ300" i="5" s="1"/>
  <c r="CO301" i="5"/>
  <c r="F301" i="5" s="1"/>
  <c r="CN301" i="5"/>
  <c r="E301" i="5" s="1"/>
  <c r="BY301" i="5" l="1"/>
  <c r="J301" i="5" s="1"/>
  <c r="BW301" i="5"/>
  <c r="F275" i="6"/>
  <c r="Q300" i="5"/>
  <c r="V300" i="5" s="1"/>
  <c r="G275" i="6" s="1"/>
  <c r="AS300" i="5"/>
  <c r="AV300" i="5" s="1"/>
  <c r="AO300" i="5"/>
  <c r="D276" i="6"/>
  <c r="BC301" i="5"/>
  <c r="C302" i="5"/>
  <c r="BU302" i="5" s="1"/>
  <c r="E276" i="6"/>
  <c r="AN301" i="5" l="1"/>
  <c r="AF301" i="5"/>
  <c r="BT302" i="5"/>
  <c r="BV302" i="5"/>
  <c r="BS302" i="5"/>
  <c r="CI302" i="5"/>
  <c r="BH302" i="5"/>
  <c r="BI302" i="5" s="1"/>
  <c r="BJ302" i="5" s="1"/>
  <c r="AR300" i="5"/>
  <c r="CX302" i="5"/>
  <c r="CR302" i="5"/>
  <c r="AB302" i="5"/>
  <c r="DA302" i="5" s="1"/>
  <c r="DB302" i="5" s="1"/>
  <c r="BK302" i="5"/>
  <c r="BL302" i="5" s="1"/>
  <c r="BM302" i="5" s="1"/>
  <c r="CW302" i="5"/>
  <c r="C277" i="6"/>
  <c r="CS302" i="5"/>
  <c r="AK302" i="5"/>
  <c r="AM302" i="5" s="1"/>
  <c r="AL303" i="5" s="1"/>
  <c r="CY302" i="5"/>
  <c r="D302" i="5"/>
  <c r="CL302" i="5"/>
  <c r="CM302" i="5" s="1"/>
  <c r="AC302" i="5"/>
  <c r="AD302" i="5" s="1"/>
  <c r="BG301" i="5"/>
  <c r="H301" i="5" s="1"/>
  <c r="AX302" i="5"/>
  <c r="AW302" i="5" s="1"/>
  <c r="CU302" i="5"/>
  <c r="BX302" i="5" s="1"/>
  <c r="BF301" i="5"/>
  <c r="BD301" i="5"/>
  <c r="BE302" i="5" s="1"/>
  <c r="CZ301" i="5"/>
  <c r="CH302" i="5" l="1"/>
  <c r="CK302" i="5"/>
  <c r="CJ302" i="5" s="1"/>
  <c r="K302" i="5" s="1"/>
  <c r="X300" i="5"/>
  <c r="Y300" i="5" s="1"/>
  <c r="BN302" i="5"/>
  <c r="BO302" i="5" s="1"/>
  <c r="BP302" i="5" s="1"/>
  <c r="G302" i="5" s="1"/>
  <c r="CP302" i="5"/>
  <c r="CQ302" i="5" s="1"/>
  <c r="R302" i="5" s="1"/>
  <c r="S302" i="5" s="1"/>
  <c r="L302" i="5"/>
  <c r="I301" i="5"/>
  <c r="AE302" i="5"/>
  <c r="CT302" i="5"/>
  <c r="CV302" i="5"/>
  <c r="W302" i="5"/>
  <c r="T302" i="5"/>
  <c r="U302" i="5" s="1"/>
  <c r="Z300" i="5" l="1"/>
  <c r="AA300" i="5" s="1"/>
  <c r="I275" i="6" s="1"/>
  <c r="H275" i="6"/>
  <c r="AH301" i="5"/>
  <c r="AT301" i="5"/>
  <c r="AP301" i="5"/>
  <c r="P301" i="5"/>
  <c r="AY301" i="5" s="1"/>
  <c r="M301" i="5"/>
  <c r="CN302" i="5"/>
  <c r="E302" i="5" s="1"/>
  <c r="CO302" i="5"/>
  <c r="F302" i="5" s="1"/>
  <c r="BW302" i="5" l="1"/>
  <c r="BY302" i="5"/>
  <c r="J302" i="5" s="1"/>
  <c r="AF302" i="5" s="1"/>
  <c r="AS301" i="5"/>
  <c r="AV301" i="5" s="1"/>
  <c r="AO301" i="5"/>
  <c r="D277" i="6"/>
  <c r="BC302" i="5"/>
  <c r="N301" i="5"/>
  <c r="AG301" i="5"/>
  <c r="F276" i="6"/>
  <c r="Q301" i="5"/>
  <c r="V301" i="5" s="1"/>
  <c r="G276" i="6" s="1"/>
  <c r="E277" i="6"/>
  <c r="C303" i="5"/>
  <c r="BU303" i="5" s="1"/>
  <c r="AN302" i="5" l="1"/>
  <c r="BT303" i="5"/>
  <c r="BV303" i="5"/>
  <c r="BS303" i="5"/>
  <c r="CI303" i="5"/>
  <c r="BH303" i="5"/>
  <c r="BI303" i="5" s="1"/>
  <c r="BJ303" i="5" s="1"/>
  <c r="AR301" i="5"/>
  <c r="AC303" i="5"/>
  <c r="AD303" i="5" s="1"/>
  <c r="CL303" i="5"/>
  <c r="CM303" i="5" s="1"/>
  <c r="AB303" i="5"/>
  <c r="DA303" i="5" s="1"/>
  <c r="DB303" i="5" s="1"/>
  <c r="BK303" i="5"/>
  <c r="BL303" i="5" s="1"/>
  <c r="BM303" i="5" s="1"/>
  <c r="AK303" i="5"/>
  <c r="C278" i="6"/>
  <c r="CR303" i="5"/>
  <c r="CX303" i="5"/>
  <c r="D303" i="5"/>
  <c r="CY303" i="5"/>
  <c r="CW303" i="5"/>
  <c r="CS303" i="5"/>
  <c r="BG302" i="5"/>
  <c r="H302" i="5" s="1"/>
  <c r="AX303" i="5"/>
  <c r="AW303" i="5" s="1"/>
  <c r="CU303" i="5"/>
  <c r="BX303" i="5" s="1"/>
  <c r="AJ301" i="5"/>
  <c r="CZ302" i="5"/>
  <c r="BD302" i="5"/>
  <c r="BE303" i="5" s="1"/>
  <c r="BF302" i="5"/>
  <c r="X301" i="5" l="1"/>
  <c r="CH303" i="5"/>
  <c r="CK303" i="5"/>
  <c r="CJ303" i="5" s="1"/>
  <c r="K303" i="5" s="1"/>
  <c r="Y301" i="5"/>
  <c r="Z301" i="5" s="1"/>
  <c r="L303" i="5"/>
  <c r="CT303" i="5"/>
  <c r="CV303" i="5"/>
  <c r="AM303" i="5"/>
  <c r="AL304" i="5" s="1"/>
  <c r="I302" i="5"/>
  <c r="W303" i="5"/>
  <c r="T303" i="5"/>
  <c r="U303" i="5" s="1"/>
  <c r="BN303" i="5"/>
  <c r="BO303" i="5" s="1"/>
  <c r="BP303" i="5" s="1"/>
  <c r="G303" i="5" s="1"/>
  <c r="CP303" i="5"/>
  <c r="CQ303" i="5" s="1"/>
  <c r="R303" i="5" s="1"/>
  <c r="S303" i="5" s="1"/>
  <c r="AE303" i="5"/>
  <c r="H276" i="6" l="1"/>
  <c r="AH302" i="5"/>
  <c r="AT302" i="5"/>
  <c r="AP302" i="5"/>
  <c r="AA301" i="5"/>
  <c r="I276" i="6" s="1"/>
  <c r="P302" i="5"/>
  <c r="AY302" i="5" s="1"/>
  <c r="M302" i="5"/>
  <c r="CN303" i="5"/>
  <c r="E303" i="5" s="1"/>
  <c r="CO303" i="5"/>
  <c r="F303" i="5" s="1"/>
  <c r="AS302" i="5" l="1"/>
  <c r="AV302" i="5" s="1"/>
  <c r="AO302" i="5"/>
  <c r="AR302" i="5" s="1"/>
  <c r="N302" i="5"/>
  <c r="AG302" i="5"/>
  <c r="Q302" i="5"/>
  <c r="V302" i="5" s="1"/>
  <c r="F277" i="6"/>
  <c r="C304" i="5"/>
  <c r="BU304" i="5" s="1"/>
  <c r="E278" i="6"/>
  <c r="D278" i="6"/>
  <c r="BC303" i="5"/>
  <c r="BW303" i="5" l="1"/>
  <c r="BY303" i="5"/>
  <c r="J303" i="5" s="1"/>
  <c r="BT304" i="5"/>
  <c r="BV304" i="5"/>
  <c r="BS304" i="5"/>
  <c r="CI304" i="5"/>
  <c r="BH304" i="5"/>
  <c r="BI304" i="5" s="1"/>
  <c r="BJ304" i="5" s="1"/>
  <c r="AJ302" i="5"/>
  <c r="X302" i="5" s="1"/>
  <c r="Y302" i="5" s="1"/>
  <c r="CX304" i="5"/>
  <c r="CY304" i="5"/>
  <c r="CS304" i="5"/>
  <c r="CL304" i="5"/>
  <c r="CM304" i="5" s="1"/>
  <c r="CR304" i="5"/>
  <c r="D304" i="5"/>
  <c r="C279" i="6"/>
  <c r="BK304" i="5"/>
  <c r="BL304" i="5" s="1"/>
  <c r="BM304" i="5" s="1"/>
  <c r="AK304" i="5"/>
  <c r="AM304" i="5" s="1"/>
  <c r="AL305" i="5" s="1"/>
  <c r="AB304" i="5"/>
  <c r="CP304" i="5" s="1"/>
  <c r="CQ304" i="5" s="1"/>
  <c r="R304" i="5" s="1"/>
  <c r="S304" i="5" s="1"/>
  <c r="AC304" i="5"/>
  <c r="CW304" i="5"/>
  <c r="BG303" i="5"/>
  <c r="H303" i="5" s="1"/>
  <c r="AX304" i="5"/>
  <c r="AW304" i="5" s="1"/>
  <c r="CU304" i="5"/>
  <c r="CZ303" i="5"/>
  <c r="BF303" i="5"/>
  <c r="BD303" i="5"/>
  <c r="BE304" i="5" s="1"/>
  <c r="G277" i="6"/>
  <c r="AF303" i="5" l="1"/>
  <c r="AN303" i="5"/>
  <c r="BX304" i="5"/>
  <c r="CK304" i="5"/>
  <c r="CJ304" i="5" s="1"/>
  <c r="CH304" i="5"/>
  <c r="AD304" i="5"/>
  <c r="AE304" i="5" s="1"/>
  <c r="DA304" i="5"/>
  <c r="DB304" i="5" s="1"/>
  <c r="K304" i="5" s="1"/>
  <c r="L304" i="5"/>
  <c r="BN304" i="5"/>
  <c r="BO304" i="5" s="1"/>
  <c r="BP304" i="5" s="1"/>
  <c r="G304" i="5" s="1"/>
  <c r="T304" i="5"/>
  <c r="U304" i="5" s="1"/>
  <c r="W304" i="5"/>
  <c r="I303" i="5"/>
  <c r="H277" i="6"/>
  <c r="Z302" i="5"/>
  <c r="CT304" i="5"/>
  <c r="CV304" i="5"/>
  <c r="AH303" i="5" l="1"/>
  <c r="AT303" i="5"/>
  <c r="AP303" i="5"/>
  <c r="AA302" i="5"/>
  <c r="I277" i="6" s="1"/>
  <c r="CN304" i="5"/>
  <c r="E304" i="5" s="1"/>
  <c r="CO304" i="5"/>
  <c r="F304" i="5" s="1"/>
  <c r="M303" i="5"/>
  <c r="P303" i="5"/>
  <c r="AY303" i="5" s="1"/>
  <c r="BY304" i="5" l="1"/>
  <c r="J304" i="5" s="1"/>
  <c r="AF304" i="5" s="1"/>
  <c r="BW304" i="5"/>
  <c r="AG303" i="5"/>
  <c r="AJ303" i="5" s="1"/>
  <c r="AO303" i="5"/>
  <c r="BC304" i="5"/>
  <c r="D279" i="6"/>
  <c r="E279" i="6"/>
  <c r="C305" i="5"/>
  <c r="BU305" i="5" s="1"/>
  <c r="F278" i="6"/>
  <c r="Q303" i="5"/>
  <c r="V303" i="5" s="1"/>
  <c r="AS303" i="5"/>
  <c r="AV303" i="5" s="1"/>
  <c r="N303" i="5"/>
  <c r="AN304" i="5" l="1"/>
  <c r="BT305" i="5"/>
  <c r="BV305" i="5"/>
  <c r="BS305" i="5"/>
  <c r="CI305" i="5"/>
  <c r="BH305" i="5"/>
  <c r="BI305" i="5" s="1"/>
  <c r="BJ305" i="5" s="1"/>
  <c r="AR303" i="5"/>
  <c r="D305" i="5"/>
  <c r="CL305" i="5"/>
  <c r="CM305" i="5" s="1"/>
  <c r="AB305" i="5"/>
  <c r="BN305" i="5" s="1"/>
  <c r="BO305" i="5" s="1"/>
  <c r="BP305" i="5" s="1"/>
  <c r="AK305" i="5"/>
  <c r="AM305" i="5" s="1"/>
  <c r="AL306" i="5" s="1"/>
  <c r="C280" i="6"/>
  <c r="CS305" i="5"/>
  <c r="CY305" i="5"/>
  <c r="BK305" i="5"/>
  <c r="BL305" i="5" s="1"/>
  <c r="BM305" i="5" s="1"/>
  <c r="CX305" i="5"/>
  <c r="AC305" i="5"/>
  <c r="AD305" i="5" s="1"/>
  <c r="CR305" i="5"/>
  <c r="CW305" i="5"/>
  <c r="BG304" i="5"/>
  <c r="H304" i="5" s="1"/>
  <c r="AX305" i="5"/>
  <c r="AW305" i="5" s="1"/>
  <c r="CU305" i="5"/>
  <c r="BX305" i="5" s="1"/>
  <c r="G278" i="6"/>
  <c r="BF304" i="5"/>
  <c r="CZ304" i="5"/>
  <c r="BD304" i="5"/>
  <c r="BE305" i="5" s="1"/>
  <c r="G305" i="5" l="1"/>
  <c r="CH305" i="5"/>
  <c r="CK305" i="5"/>
  <c r="CJ305" i="5" s="1"/>
  <c r="X303" i="5"/>
  <c r="Y303" i="5" s="1"/>
  <c r="L305" i="5"/>
  <c r="CP305" i="5"/>
  <c r="CQ305" i="5" s="1"/>
  <c r="R305" i="5" s="1"/>
  <c r="S305" i="5" s="1"/>
  <c r="DA305" i="5"/>
  <c r="DB305" i="5" s="1"/>
  <c r="K305" i="5" s="1"/>
  <c r="CT305" i="5"/>
  <c r="CV305" i="5"/>
  <c r="I304" i="5"/>
  <c r="AP304" i="5" s="1"/>
  <c r="AE305" i="5"/>
  <c r="W305" i="5"/>
  <c r="T305" i="5"/>
  <c r="U305" i="5" s="1"/>
  <c r="Z303" i="5" l="1"/>
  <c r="AA303" i="5" s="1"/>
  <c r="I278" i="6" s="1"/>
  <c r="H278" i="6"/>
  <c r="AT304" i="5"/>
  <c r="AH304" i="5"/>
  <c r="CO305" i="5"/>
  <c r="F305" i="5" s="1"/>
  <c r="CN305" i="5"/>
  <c r="E305" i="5" s="1"/>
  <c r="M304" i="5"/>
  <c r="P304" i="5"/>
  <c r="AY304" i="5" s="1"/>
  <c r="BW305" i="5" l="1"/>
  <c r="AS304" i="5"/>
  <c r="AV304" i="5" s="1"/>
  <c r="AO304" i="5"/>
  <c r="AR304" i="5" s="1"/>
  <c r="AG304" i="5"/>
  <c r="N304" i="5"/>
  <c r="BC305" i="5"/>
  <c r="D280" i="6"/>
  <c r="C306" i="5"/>
  <c r="BU306" i="5" s="1"/>
  <c r="E280" i="6"/>
  <c r="Q304" i="5"/>
  <c r="V304" i="5" s="1"/>
  <c r="F279" i="6"/>
  <c r="BY305" i="5" l="1"/>
  <c r="J305" i="5" s="1"/>
  <c r="BV306" i="5"/>
  <c r="BT306" i="5"/>
  <c r="BS306" i="5"/>
  <c r="CI306" i="5"/>
  <c r="BH306" i="5"/>
  <c r="BI306" i="5" s="1"/>
  <c r="BJ306" i="5" s="1"/>
  <c r="AJ304" i="5"/>
  <c r="CS306" i="5"/>
  <c r="C281" i="6"/>
  <c r="CY306" i="5"/>
  <c r="CR306" i="5"/>
  <c r="CL306" i="5"/>
  <c r="CM306" i="5" s="1"/>
  <c r="AK306" i="5"/>
  <c r="AM306" i="5" s="1"/>
  <c r="AL307" i="5" s="1"/>
  <c r="BK306" i="5"/>
  <c r="BL306" i="5" s="1"/>
  <c r="BM306" i="5" s="1"/>
  <c r="D306" i="5"/>
  <c r="AC306" i="5"/>
  <c r="CW306" i="5"/>
  <c r="CX306" i="5"/>
  <c r="AB306" i="5"/>
  <c r="BN306" i="5" s="1"/>
  <c r="BO306" i="5" s="1"/>
  <c r="BP306" i="5" s="1"/>
  <c r="BG305" i="5"/>
  <c r="H305" i="5" s="1"/>
  <c r="AX306" i="5"/>
  <c r="AW306" i="5" s="1"/>
  <c r="CU306" i="5"/>
  <c r="BX306" i="5" s="1"/>
  <c r="G279" i="6"/>
  <c r="BD305" i="5"/>
  <c r="BE306" i="5" s="1"/>
  <c r="CZ305" i="5"/>
  <c r="BF305" i="5"/>
  <c r="AD306" i="5" l="1"/>
  <c r="AE306" i="5" s="1"/>
  <c r="AN305" i="5"/>
  <c r="AF305" i="5"/>
  <c r="G306" i="5"/>
  <c r="CH306" i="5"/>
  <c r="CK306" i="5"/>
  <c r="CJ306" i="5" s="1"/>
  <c r="X304" i="5"/>
  <c r="Y304" i="5" s="1"/>
  <c r="CV306" i="5"/>
  <c r="CT306" i="5"/>
  <c r="CP306" i="5"/>
  <c r="CQ306" i="5" s="1"/>
  <c r="R306" i="5" s="1"/>
  <c r="S306" i="5" s="1"/>
  <c r="L306" i="5"/>
  <c r="I305" i="5"/>
  <c r="AH305" i="5" s="1"/>
  <c r="W306" i="5"/>
  <c r="T306" i="5"/>
  <c r="U306" i="5" s="1"/>
  <c r="DA306" i="5"/>
  <c r="DB306" i="5" s="1"/>
  <c r="K306" i="5" s="1"/>
  <c r="H279" i="6" l="1"/>
  <c r="Z304" i="5"/>
  <c r="AA304" i="5" s="1"/>
  <c r="I279" i="6" s="1"/>
  <c r="AT305" i="5"/>
  <c r="AP305" i="5"/>
  <c r="M305" i="5"/>
  <c r="P305" i="5"/>
  <c r="AY305" i="5" s="1"/>
  <c r="CO306" i="5"/>
  <c r="F306" i="5" s="1"/>
  <c r="CN306" i="5"/>
  <c r="E306" i="5" s="1"/>
  <c r="AO305" i="5" l="1"/>
  <c r="AR305" i="5" s="1"/>
  <c r="AG305" i="5"/>
  <c r="D281" i="6"/>
  <c r="BC306" i="5"/>
  <c r="F280" i="6"/>
  <c r="Q305" i="5"/>
  <c r="V305" i="5" s="1"/>
  <c r="C307" i="5"/>
  <c r="BU307" i="5" s="1"/>
  <c r="E281" i="6"/>
  <c r="N305" i="5"/>
  <c r="AS305" i="5"/>
  <c r="AV305" i="5" s="1"/>
  <c r="BW306" i="5" l="1"/>
  <c r="BY306" i="5"/>
  <c r="J306" i="5" s="1"/>
  <c r="BT307" i="5"/>
  <c r="BV307" i="5"/>
  <c r="BS307" i="5"/>
  <c r="CI307" i="5"/>
  <c r="BH307" i="5"/>
  <c r="BI307" i="5" s="1"/>
  <c r="BJ307" i="5" s="1"/>
  <c r="AJ305" i="5"/>
  <c r="C282" i="6"/>
  <c r="CY307" i="5"/>
  <c r="CX307" i="5"/>
  <c r="CS307" i="5"/>
  <c r="AK307" i="5"/>
  <c r="D307" i="5"/>
  <c r="BK307" i="5"/>
  <c r="BL307" i="5" s="1"/>
  <c r="BM307" i="5" s="1"/>
  <c r="AC307" i="5"/>
  <c r="CL307" i="5"/>
  <c r="CM307" i="5" s="1"/>
  <c r="AB307" i="5"/>
  <c r="L307" i="5" s="1"/>
  <c r="CW307" i="5"/>
  <c r="CR307" i="5"/>
  <c r="BG306" i="5"/>
  <c r="H306" i="5" s="1"/>
  <c r="AX307" i="5"/>
  <c r="AW307" i="5" s="1"/>
  <c r="CU307" i="5"/>
  <c r="G280" i="6"/>
  <c r="BD306" i="5"/>
  <c r="BE307" i="5" s="1"/>
  <c r="CZ306" i="5"/>
  <c r="BF306" i="5"/>
  <c r="AD307" i="5" l="1"/>
  <c r="AE307" i="5" s="1"/>
  <c r="AN306" i="5"/>
  <c r="AF306" i="5"/>
  <c r="BX307" i="5"/>
  <c r="CK307" i="5"/>
  <c r="CJ307" i="5" s="1"/>
  <c r="CH307" i="5"/>
  <c r="X305" i="5"/>
  <c r="Y305" i="5" s="1"/>
  <c r="CP307" i="5"/>
  <c r="CQ307" i="5" s="1"/>
  <c r="R307" i="5" s="1"/>
  <c r="S307" i="5" s="1"/>
  <c r="DA307" i="5"/>
  <c r="DB307" i="5" s="1"/>
  <c r="K307" i="5" s="1"/>
  <c r="T307" i="5"/>
  <c r="U307" i="5" s="1"/>
  <c r="W307" i="5"/>
  <c r="AM307" i="5"/>
  <c r="AL308" i="5" s="1"/>
  <c r="BN307" i="5"/>
  <c r="BO307" i="5" s="1"/>
  <c r="BP307" i="5" s="1"/>
  <c r="G307" i="5" s="1"/>
  <c r="I306" i="5"/>
  <c r="AH306" i="5" s="1"/>
  <c r="CT307" i="5"/>
  <c r="CV307" i="5"/>
  <c r="H280" i="6" l="1"/>
  <c r="Z305" i="5"/>
  <c r="AA305" i="5" s="1"/>
  <c r="I280" i="6" s="1"/>
  <c r="CO307" i="5"/>
  <c r="F307" i="5" s="1"/>
  <c r="CN307" i="5"/>
  <c r="E307" i="5" s="1"/>
  <c r="AT306" i="5"/>
  <c r="AP306" i="5"/>
  <c r="M306" i="5"/>
  <c r="AG306" i="5" s="1"/>
  <c r="AJ306" i="5" s="1"/>
  <c r="P306" i="5"/>
  <c r="AY306" i="5" s="1"/>
  <c r="BW307" i="5" l="1"/>
  <c r="BY307" i="5"/>
  <c r="J307" i="5" s="1"/>
  <c r="BC307" i="5"/>
  <c r="D282" i="6"/>
  <c r="E282" i="6"/>
  <c r="C308" i="5"/>
  <c r="BU308" i="5" s="1"/>
  <c r="Q306" i="5"/>
  <c r="V306" i="5" s="1"/>
  <c r="F281" i="6"/>
  <c r="N306" i="5"/>
  <c r="AS306" i="5"/>
  <c r="AV306" i="5" s="1"/>
  <c r="AO306" i="5"/>
  <c r="AR306" i="5" s="1"/>
  <c r="AN307" i="5" l="1"/>
  <c r="AF307" i="5"/>
  <c r="BT308" i="5"/>
  <c r="BV308" i="5"/>
  <c r="BS308" i="5"/>
  <c r="CI308" i="5"/>
  <c r="BH308" i="5"/>
  <c r="BI308" i="5" s="1"/>
  <c r="BJ308" i="5" s="1"/>
  <c r="X306" i="5"/>
  <c r="Y306" i="5" s="1"/>
  <c r="G281" i="6"/>
  <c r="CY308" i="5"/>
  <c r="CR308" i="5"/>
  <c r="C283" i="6"/>
  <c r="D308" i="5"/>
  <c r="CS308" i="5"/>
  <c r="AK308" i="5"/>
  <c r="AM308" i="5" s="1"/>
  <c r="AL309" i="5" s="1"/>
  <c r="AC308" i="5"/>
  <c r="AD308" i="5" s="1"/>
  <c r="AB308" i="5"/>
  <c r="L308" i="5" s="1"/>
  <c r="CX308" i="5"/>
  <c r="CL308" i="5"/>
  <c r="CM308" i="5" s="1"/>
  <c r="CW308" i="5"/>
  <c r="BK308" i="5"/>
  <c r="BL308" i="5" s="1"/>
  <c r="BM308" i="5" s="1"/>
  <c r="BG307" i="5"/>
  <c r="H307" i="5" s="1"/>
  <c r="AX308" i="5"/>
  <c r="AW308" i="5" s="1"/>
  <c r="CU308" i="5"/>
  <c r="BX308" i="5" s="1"/>
  <c r="BD307" i="5"/>
  <c r="BE308" i="5" s="1"/>
  <c r="CZ307" i="5"/>
  <c r="BF307" i="5"/>
  <c r="CH308" i="5" l="1"/>
  <c r="CK308" i="5"/>
  <c r="CJ308" i="5" s="1"/>
  <c r="CP308" i="5"/>
  <c r="CQ308" i="5" s="1"/>
  <c r="R308" i="5" s="1"/>
  <c r="S308" i="5" s="1"/>
  <c r="I307" i="5"/>
  <c r="AH307" i="5" s="1"/>
  <c r="W308" i="5"/>
  <c r="T308" i="5"/>
  <c r="U308" i="5" s="1"/>
  <c r="CV308" i="5"/>
  <c r="CT308" i="5"/>
  <c r="AE308" i="5"/>
  <c r="H281" i="6"/>
  <c r="Z306" i="5"/>
  <c r="DA308" i="5"/>
  <c r="DB308" i="5" s="1"/>
  <c r="BN308" i="5"/>
  <c r="BO308" i="5" s="1"/>
  <c r="BP308" i="5" s="1"/>
  <c r="G308" i="5" s="1"/>
  <c r="K308" i="5" l="1"/>
  <c r="AT307" i="5"/>
  <c r="AP307" i="5"/>
  <c r="AA306" i="5"/>
  <c r="I281" i="6" s="1"/>
  <c r="CO308" i="5"/>
  <c r="F308" i="5" s="1"/>
  <c r="CN308" i="5"/>
  <c r="E308" i="5" s="1"/>
  <c r="P307" i="5"/>
  <c r="AY307" i="5" s="1"/>
  <c r="M307" i="5"/>
  <c r="BW308" i="5" l="1"/>
  <c r="AS307" i="5"/>
  <c r="AV307" i="5" s="1"/>
  <c r="AO307" i="5"/>
  <c r="AG307" i="5"/>
  <c r="AJ307" i="5" s="1"/>
  <c r="N307" i="5"/>
  <c r="Q307" i="5"/>
  <c r="V307" i="5" s="1"/>
  <c r="F282" i="6"/>
  <c r="D283" i="6"/>
  <c r="BC308" i="5"/>
  <c r="C309" i="5"/>
  <c r="BU309" i="5" s="1"/>
  <c r="E283" i="6"/>
  <c r="BY308" i="5" l="1"/>
  <c r="J308" i="5" s="1"/>
  <c r="BV309" i="5"/>
  <c r="BT309" i="5"/>
  <c r="BS309" i="5"/>
  <c r="CI309" i="5"/>
  <c r="BH309" i="5"/>
  <c r="BI309" i="5" s="1"/>
  <c r="BJ309" i="5" s="1"/>
  <c r="AR307" i="5"/>
  <c r="BD308" i="5"/>
  <c r="BE309" i="5" s="1"/>
  <c r="CZ308" i="5"/>
  <c r="BF308" i="5"/>
  <c r="G282" i="6"/>
  <c r="D309" i="5"/>
  <c r="AB309" i="5"/>
  <c r="BN309" i="5" s="1"/>
  <c r="BO309" i="5" s="1"/>
  <c r="BP309" i="5" s="1"/>
  <c r="CX309" i="5"/>
  <c r="BK309" i="5"/>
  <c r="BL309" i="5" s="1"/>
  <c r="BM309" i="5" s="1"/>
  <c r="CS309" i="5"/>
  <c r="CY309" i="5"/>
  <c r="AK309" i="5"/>
  <c r="AM309" i="5" s="1"/>
  <c r="AL310" i="5" s="1"/>
  <c r="AC309" i="5"/>
  <c r="AD309" i="5" s="1"/>
  <c r="CL309" i="5"/>
  <c r="CM309" i="5" s="1"/>
  <c r="CW309" i="5"/>
  <c r="C284" i="6"/>
  <c r="CR309" i="5"/>
  <c r="BG308" i="5"/>
  <c r="H308" i="5" s="1"/>
  <c r="AX309" i="5"/>
  <c r="AW309" i="5" s="1"/>
  <c r="CU309" i="5"/>
  <c r="BX309" i="5" s="1"/>
  <c r="AN308" i="5" l="1"/>
  <c r="AF308" i="5"/>
  <c r="G309" i="5"/>
  <c r="CH309" i="5"/>
  <c r="CK309" i="5"/>
  <c r="CJ309" i="5" s="1"/>
  <c r="X307" i="5"/>
  <c r="Y307" i="5" s="1"/>
  <c r="DA309" i="5"/>
  <c r="DB309" i="5" s="1"/>
  <c r="K309" i="5" s="1"/>
  <c r="T309" i="5"/>
  <c r="U309" i="5" s="1"/>
  <c r="W309" i="5"/>
  <c r="CV309" i="5"/>
  <c r="CT309" i="5"/>
  <c r="L309" i="5"/>
  <c r="CP309" i="5"/>
  <c r="CQ309" i="5" s="1"/>
  <c r="R309" i="5" s="1"/>
  <c r="S309" i="5" s="1"/>
  <c r="AE309" i="5"/>
  <c r="I308" i="5"/>
  <c r="AP308" i="5" s="1"/>
  <c r="H282" i="6" l="1"/>
  <c r="Z307" i="5"/>
  <c r="AA307" i="5" s="1"/>
  <c r="I282" i="6" s="1"/>
  <c r="AH308" i="5"/>
  <c r="AT308" i="5"/>
  <c r="CN309" i="5"/>
  <c r="E309" i="5" s="1"/>
  <c r="CO309" i="5"/>
  <c r="F309" i="5" s="1"/>
  <c r="M308" i="5"/>
  <c r="P308" i="5"/>
  <c r="AY308" i="5" s="1"/>
  <c r="BY309" i="5" l="1"/>
  <c r="J309" i="5" s="1"/>
  <c r="AS308" i="5"/>
  <c r="AV308" i="5" s="1"/>
  <c r="AO308" i="5"/>
  <c r="AR308" i="5" s="1"/>
  <c r="E284" i="6"/>
  <c r="C310" i="5"/>
  <c r="BU310" i="5" s="1"/>
  <c r="D284" i="6"/>
  <c r="BC309" i="5"/>
  <c r="Q308" i="5"/>
  <c r="V308" i="5" s="1"/>
  <c r="F283" i="6"/>
  <c r="N308" i="5"/>
  <c r="AG308" i="5"/>
  <c r="AF309" i="5" l="1"/>
  <c r="AN309" i="5"/>
  <c r="BW309" i="5"/>
  <c r="BT310" i="5"/>
  <c r="BV310" i="5"/>
  <c r="BS310" i="5"/>
  <c r="CI310" i="5"/>
  <c r="BH310" i="5"/>
  <c r="BI310" i="5" s="1"/>
  <c r="BJ310" i="5" s="1"/>
  <c r="CZ309" i="5"/>
  <c r="BF309" i="5"/>
  <c r="BD309" i="5"/>
  <c r="BE310" i="5" s="1"/>
  <c r="AC310" i="5"/>
  <c r="CX310" i="5"/>
  <c r="CW310" i="5"/>
  <c r="C285" i="6"/>
  <c r="CS310" i="5"/>
  <c r="BK310" i="5"/>
  <c r="BL310" i="5" s="1"/>
  <c r="BM310" i="5" s="1"/>
  <c r="AB310" i="5"/>
  <c r="BN310" i="5" s="1"/>
  <c r="BO310" i="5" s="1"/>
  <c r="BP310" i="5" s="1"/>
  <c r="CL310" i="5"/>
  <c r="CM310" i="5" s="1"/>
  <c r="AK310" i="5"/>
  <c r="AM310" i="5" s="1"/>
  <c r="AL311" i="5" s="1"/>
  <c r="CR310" i="5"/>
  <c r="D310" i="5"/>
  <c r="CY310" i="5"/>
  <c r="BG309" i="5"/>
  <c r="H309" i="5" s="1"/>
  <c r="AX310" i="5"/>
  <c r="AW310" i="5" s="1"/>
  <c r="CU310" i="5"/>
  <c r="G283" i="6"/>
  <c r="AJ308" i="5"/>
  <c r="AD310" i="5" l="1"/>
  <c r="AE310" i="5" s="1"/>
  <c r="BX310" i="5"/>
  <c r="G310" i="5"/>
  <c r="CH310" i="5"/>
  <c r="CK310" i="5"/>
  <c r="CJ310" i="5" s="1"/>
  <c r="X308" i="5"/>
  <c r="Y308" i="5" s="1"/>
  <c r="DA310" i="5"/>
  <c r="DB310" i="5" s="1"/>
  <c r="K310" i="5" s="1"/>
  <c r="L310" i="5"/>
  <c r="CP310" i="5"/>
  <c r="CQ310" i="5" s="1"/>
  <c r="R310" i="5" s="1"/>
  <c r="S310" i="5" s="1"/>
  <c r="I309" i="5"/>
  <c r="AH309" i="5" s="1"/>
  <c r="T310" i="5"/>
  <c r="U310" i="5" s="1"/>
  <c r="W310" i="5"/>
  <c r="CT310" i="5"/>
  <c r="CV310" i="5"/>
  <c r="Z308" i="5" l="1"/>
  <c r="AA308" i="5" s="1"/>
  <c r="I283" i="6" s="1"/>
  <c r="H283" i="6"/>
  <c r="AT309" i="5"/>
  <c r="AP309" i="5"/>
  <c r="P309" i="5"/>
  <c r="AY309" i="5" s="1"/>
  <c r="M309" i="5"/>
  <c r="AG309" i="5" s="1"/>
  <c r="AJ309" i="5" s="1"/>
  <c r="CN310" i="5"/>
  <c r="E310" i="5" s="1"/>
  <c r="CO310" i="5"/>
  <c r="F310" i="5" s="1"/>
  <c r="BW310" i="5" l="1"/>
  <c r="BY310" i="5"/>
  <c r="J310" i="5" s="1"/>
  <c r="N309" i="5"/>
  <c r="AS309" i="5"/>
  <c r="AV309" i="5" s="1"/>
  <c r="AO309" i="5"/>
  <c r="BC310" i="5"/>
  <c r="D285" i="6"/>
  <c r="Q309" i="5"/>
  <c r="V309" i="5" s="1"/>
  <c r="F284" i="6"/>
  <c r="C311" i="5"/>
  <c r="BU311" i="5" s="1"/>
  <c r="E285" i="6"/>
  <c r="AF310" i="5" l="1"/>
  <c r="AN310" i="5"/>
  <c r="BT311" i="5"/>
  <c r="BV311" i="5"/>
  <c r="BS311" i="5"/>
  <c r="CI311" i="5"/>
  <c r="BH311" i="5"/>
  <c r="BI311" i="5" s="1"/>
  <c r="BJ311" i="5" s="1"/>
  <c r="AR309" i="5"/>
  <c r="X309" i="5" s="1"/>
  <c r="Y309" i="5" s="1"/>
  <c r="CW311" i="5"/>
  <c r="D311" i="5"/>
  <c r="BK311" i="5"/>
  <c r="BL311" i="5" s="1"/>
  <c r="BM311" i="5" s="1"/>
  <c r="CR311" i="5"/>
  <c r="CL311" i="5"/>
  <c r="CM311" i="5" s="1"/>
  <c r="AK311" i="5"/>
  <c r="AM311" i="5" s="1"/>
  <c r="AL312" i="5" s="1"/>
  <c r="CS311" i="5"/>
  <c r="CX311" i="5"/>
  <c r="AB311" i="5"/>
  <c r="BN311" i="5" s="1"/>
  <c r="BO311" i="5" s="1"/>
  <c r="BP311" i="5" s="1"/>
  <c r="AC311" i="5"/>
  <c r="AD311" i="5" s="1"/>
  <c r="CY311" i="5"/>
  <c r="C286" i="6"/>
  <c r="BG310" i="5"/>
  <c r="H310" i="5" s="1"/>
  <c r="AX311" i="5"/>
  <c r="AW311" i="5" s="1"/>
  <c r="CU311" i="5"/>
  <c r="BX311" i="5" s="1"/>
  <c r="G284" i="6"/>
  <c r="CZ310" i="5"/>
  <c r="BD310" i="5"/>
  <c r="BE311" i="5" s="1"/>
  <c r="BF310" i="5"/>
  <c r="G311" i="5" l="1"/>
  <c r="CH311" i="5"/>
  <c r="CK311" i="5"/>
  <c r="CJ311" i="5" s="1"/>
  <c r="DA311" i="5"/>
  <c r="DB311" i="5" s="1"/>
  <c r="L311" i="5"/>
  <c r="CP311" i="5"/>
  <c r="CQ311" i="5" s="1"/>
  <c r="R311" i="5" s="1"/>
  <c r="S311" i="5" s="1"/>
  <c r="H284" i="6"/>
  <c r="Z309" i="5"/>
  <c r="CT311" i="5"/>
  <c r="CV311" i="5"/>
  <c r="I310" i="5"/>
  <c r="AP310" i="5" s="1"/>
  <c r="AE311" i="5"/>
  <c r="W311" i="5"/>
  <c r="T311" i="5"/>
  <c r="U311" i="5" s="1"/>
  <c r="K311" i="5" l="1"/>
  <c r="AH310" i="5"/>
  <c r="AT310" i="5"/>
  <c r="CN311" i="5"/>
  <c r="E311" i="5" s="1"/>
  <c r="CO311" i="5"/>
  <c r="F311" i="5" s="1"/>
  <c r="P310" i="5"/>
  <c r="AY310" i="5" s="1"/>
  <c r="M310" i="5"/>
  <c r="AA309" i="5"/>
  <c r="I284" i="6" s="1"/>
  <c r="BW311" i="5" l="1"/>
  <c r="BY311" i="5"/>
  <c r="J311" i="5" s="1"/>
  <c r="AG310" i="5"/>
  <c r="AJ310" i="5" s="1"/>
  <c r="AO310" i="5"/>
  <c r="AR310" i="5" s="1"/>
  <c r="N310" i="5"/>
  <c r="AS310" i="5"/>
  <c r="AV310" i="5" s="1"/>
  <c r="F285" i="6"/>
  <c r="Q310" i="5"/>
  <c r="V310" i="5" s="1"/>
  <c r="D286" i="6"/>
  <c r="BC311" i="5"/>
  <c r="E286" i="6"/>
  <c r="C312" i="5"/>
  <c r="BU312" i="5" s="1"/>
  <c r="AF311" i="5" l="1"/>
  <c r="AN311" i="5"/>
  <c r="BT312" i="5"/>
  <c r="BV312" i="5"/>
  <c r="BS312" i="5"/>
  <c r="CI312" i="5"/>
  <c r="BH312" i="5"/>
  <c r="BI312" i="5" s="1"/>
  <c r="BJ312" i="5" s="1"/>
  <c r="X310" i="5"/>
  <c r="Y310" i="5" s="1"/>
  <c r="AK312" i="5"/>
  <c r="AM312" i="5" s="1"/>
  <c r="AL313" i="5" s="1"/>
  <c r="CL312" i="5"/>
  <c r="CM312" i="5" s="1"/>
  <c r="D312" i="5"/>
  <c r="CX312" i="5"/>
  <c r="CR312" i="5"/>
  <c r="CS312" i="5"/>
  <c r="BK312" i="5"/>
  <c r="BL312" i="5" s="1"/>
  <c r="BM312" i="5" s="1"/>
  <c r="CW312" i="5"/>
  <c r="C287" i="6"/>
  <c r="CY312" i="5"/>
  <c r="AC312" i="5"/>
  <c r="AB312" i="5"/>
  <c r="CP312" i="5" s="1"/>
  <c r="CQ312" i="5" s="1"/>
  <c r="R312" i="5" s="1"/>
  <c r="S312" i="5" s="1"/>
  <c r="BG311" i="5"/>
  <c r="H311" i="5" s="1"/>
  <c r="AX312" i="5"/>
  <c r="AW312" i="5" s="1"/>
  <c r="CU312" i="5"/>
  <c r="BX312" i="5" s="1"/>
  <c r="BF311" i="5"/>
  <c r="CZ311" i="5"/>
  <c r="BD311" i="5"/>
  <c r="BE312" i="5" s="1"/>
  <c r="G285" i="6"/>
  <c r="AD312" i="5" l="1"/>
  <c r="AE312" i="5" s="1"/>
  <c r="CK312" i="5"/>
  <c r="CJ312" i="5" s="1"/>
  <c r="CH312" i="5"/>
  <c r="L312" i="5"/>
  <c r="DA312" i="5"/>
  <c r="DB312" i="5" s="1"/>
  <c r="K312" i="5" s="1"/>
  <c r="CT312" i="5"/>
  <c r="CV312" i="5"/>
  <c r="BN312" i="5"/>
  <c r="BO312" i="5" s="1"/>
  <c r="BP312" i="5" s="1"/>
  <c r="G312" i="5" s="1"/>
  <c r="T312" i="5"/>
  <c r="U312" i="5" s="1"/>
  <c r="W312" i="5"/>
  <c r="H285" i="6"/>
  <c r="Z310" i="5"/>
  <c r="I311" i="5"/>
  <c r="AH311" i="5" s="1"/>
  <c r="AT311" i="5" l="1"/>
  <c r="AP311" i="5"/>
  <c r="P311" i="5"/>
  <c r="AY311" i="5" s="1"/>
  <c r="M311" i="5"/>
  <c r="AA310" i="5"/>
  <c r="I285" i="6" s="1"/>
  <c r="CO312" i="5"/>
  <c r="F312" i="5" s="1"/>
  <c r="CN312" i="5"/>
  <c r="E312" i="5" s="1"/>
  <c r="AS311" i="5" l="1"/>
  <c r="AV311" i="5" s="1"/>
  <c r="AO311" i="5"/>
  <c r="AG311" i="5"/>
  <c r="N311" i="5"/>
  <c r="BC312" i="5"/>
  <c r="D287" i="6"/>
  <c r="Q311" i="5"/>
  <c r="V311" i="5" s="1"/>
  <c r="F286" i="6"/>
  <c r="C313" i="5"/>
  <c r="BU313" i="5" s="1"/>
  <c r="E287" i="6"/>
  <c r="BY312" i="5" l="1"/>
  <c r="J312" i="5" s="1"/>
  <c r="BW312" i="5"/>
  <c r="BT313" i="5"/>
  <c r="BV313" i="5"/>
  <c r="BS313" i="5"/>
  <c r="CI313" i="5"/>
  <c r="BH313" i="5"/>
  <c r="BI313" i="5" s="1"/>
  <c r="BJ313" i="5" s="1"/>
  <c r="AR311" i="5"/>
  <c r="CZ312" i="5"/>
  <c r="BF312" i="5"/>
  <c r="BD312" i="5"/>
  <c r="BE313" i="5" s="1"/>
  <c r="G286" i="6"/>
  <c r="CW313" i="5"/>
  <c r="D313" i="5"/>
  <c r="CY313" i="5"/>
  <c r="BK313" i="5"/>
  <c r="BL313" i="5" s="1"/>
  <c r="BM313" i="5" s="1"/>
  <c r="CS313" i="5"/>
  <c r="CX313" i="5"/>
  <c r="AC313" i="5"/>
  <c r="CR313" i="5"/>
  <c r="CL313" i="5"/>
  <c r="CM313" i="5" s="1"/>
  <c r="AK313" i="5"/>
  <c r="AB313" i="5"/>
  <c r="BN313" i="5" s="1"/>
  <c r="BO313" i="5" s="1"/>
  <c r="BP313" i="5" s="1"/>
  <c r="C288" i="6"/>
  <c r="BG312" i="5"/>
  <c r="H312" i="5" s="1"/>
  <c r="AX313" i="5"/>
  <c r="AW313" i="5" s="1"/>
  <c r="CU313" i="5"/>
  <c r="AJ311" i="5"/>
  <c r="AN312" i="5" l="1"/>
  <c r="AF312" i="5"/>
  <c r="BX313" i="5"/>
  <c r="G313" i="5"/>
  <c r="AD313" i="5"/>
  <c r="AE313" i="5" s="1"/>
  <c r="CH313" i="5"/>
  <c r="CK313" i="5"/>
  <c r="CJ313" i="5" s="1"/>
  <c r="X311" i="5"/>
  <c r="Y311" i="5" s="1"/>
  <c r="CP313" i="5"/>
  <c r="CQ313" i="5" s="1"/>
  <c r="R313" i="5" s="1"/>
  <c r="S313" i="5" s="1"/>
  <c r="DA313" i="5"/>
  <c r="DB313" i="5" s="1"/>
  <c r="K313" i="5" s="1"/>
  <c r="L313" i="5"/>
  <c r="CV313" i="5"/>
  <c r="CT313" i="5"/>
  <c r="I312" i="5"/>
  <c r="AH312" i="5" s="1"/>
  <c r="AM313" i="5"/>
  <c r="AL314" i="5" s="1"/>
  <c r="W313" i="5"/>
  <c r="T313" i="5"/>
  <c r="U313" i="5" s="1"/>
  <c r="H286" i="6" l="1"/>
  <c r="Z311" i="5"/>
  <c r="AA311" i="5" s="1"/>
  <c r="I286" i="6" s="1"/>
  <c r="AT312" i="5"/>
  <c r="AP312" i="5"/>
  <c r="CO313" i="5"/>
  <c r="F313" i="5" s="1"/>
  <c r="CN313" i="5"/>
  <c r="E313" i="5" s="1"/>
  <c r="M312" i="5"/>
  <c r="P312" i="5"/>
  <c r="AY312" i="5" s="1"/>
  <c r="AO312" i="5" l="1"/>
  <c r="AR312" i="5" s="1"/>
  <c r="AG312" i="5"/>
  <c r="AJ312" i="5" s="1"/>
  <c r="BC313" i="5"/>
  <c r="D288" i="6"/>
  <c r="E288" i="6"/>
  <c r="C314" i="5"/>
  <c r="BU314" i="5" s="1"/>
  <c r="N312" i="5"/>
  <c r="AS312" i="5"/>
  <c r="AV312" i="5" s="1"/>
  <c r="Q312" i="5"/>
  <c r="V312" i="5" s="1"/>
  <c r="F287" i="6"/>
  <c r="BW313" i="5" l="1"/>
  <c r="BY313" i="5"/>
  <c r="J313" i="5" s="1"/>
  <c r="BV314" i="5"/>
  <c r="BT314" i="5"/>
  <c r="BS314" i="5"/>
  <c r="CI314" i="5"/>
  <c r="BH314" i="5"/>
  <c r="BI314" i="5" s="1"/>
  <c r="BJ314" i="5" s="1"/>
  <c r="X312" i="5"/>
  <c r="Y312" i="5" s="1"/>
  <c r="AK314" i="5"/>
  <c r="D314" i="5"/>
  <c r="BK314" i="5"/>
  <c r="BL314" i="5" s="1"/>
  <c r="BM314" i="5" s="1"/>
  <c r="CW314" i="5"/>
  <c r="CL314" i="5"/>
  <c r="CM314" i="5" s="1"/>
  <c r="CY314" i="5"/>
  <c r="AB314" i="5"/>
  <c r="DA314" i="5" s="1"/>
  <c r="DB314" i="5" s="1"/>
  <c r="CR314" i="5"/>
  <c r="AC314" i="5"/>
  <c r="CS314" i="5"/>
  <c r="CX314" i="5"/>
  <c r="C289" i="6"/>
  <c r="BG313" i="5"/>
  <c r="H313" i="5" s="1"/>
  <c r="AX314" i="5"/>
  <c r="AW314" i="5" s="1"/>
  <c r="CU314" i="5"/>
  <c r="G287" i="6"/>
  <c r="CZ313" i="5"/>
  <c r="BF313" i="5"/>
  <c r="BD313" i="5"/>
  <c r="BE314" i="5" s="1"/>
  <c r="AN313" i="5" l="1"/>
  <c r="AF313" i="5"/>
  <c r="BX314" i="5"/>
  <c r="AD314" i="5"/>
  <c r="AE314" i="5" s="1"/>
  <c r="CH314" i="5"/>
  <c r="CK314" i="5"/>
  <c r="CJ314" i="5" s="1"/>
  <c r="K314" i="5" s="1"/>
  <c r="CP314" i="5"/>
  <c r="CQ314" i="5" s="1"/>
  <c r="R314" i="5" s="1"/>
  <c r="S314" i="5" s="1"/>
  <c r="L314" i="5"/>
  <c r="BN314" i="5"/>
  <c r="BO314" i="5" s="1"/>
  <c r="BP314" i="5" s="1"/>
  <c r="G314" i="5" s="1"/>
  <c r="W314" i="5"/>
  <c r="T314" i="5"/>
  <c r="U314" i="5" s="1"/>
  <c r="I313" i="5"/>
  <c r="AH313" i="5" s="1"/>
  <c r="H287" i="6"/>
  <c r="Z312" i="5"/>
  <c r="CV314" i="5"/>
  <c r="CT314" i="5"/>
  <c r="AM314" i="5"/>
  <c r="AL315" i="5" s="1"/>
  <c r="AA312" i="5" l="1"/>
  <c r="I287" i="6" s="1"/>
  <c r="CO314" i="5"/>
  <c r="F314" i="5" s="1"/>
  <c r="CN314" i="5"/>
  <c r="E314" i="5" s="1"/>
  <c r="AT313" i="5"/>
  <c r="AP313" i="5"/>
  <c r="M313" i="5"/>
  <c r="AG313" i="5" s="1"/>
  <c r="AJ313" i="5" s="1"/>
  <c r="P313" i="5"/>
  <c r="AY313" i="5" s="1"/>
  <c r="BW314" i="5" l="1"/>
  <c r="BY314" i="5"/>
  <c r="J314" i="5" s="1"/>
  <c r="AN314" i="5" s="1"/>
  <c r="BC314" i="5"/>
  <c r="D289" i="6"/>
  <c r="C315" i="5"/>
  <c r="BU315" i="5" s="1"/>
  <c r="E289" i="6"/>
  <c r="Q313" i="5"/>
  <c r="V313" i="5" s="1"/>
  <c r="F288" i="6"/>
  <c r="N313" i="5"/>
  <c r="AS313" i="5"/>
  <c r="AV313" i="5" s="1"/>
  <c r="AO313" i="5"/>
  <c r="AF314" i="5" l="1"/>
  <c r="BT315" i="5"/>
  <c r="BV315" i="5"/>
  <c r="BS315" i="5"/>
  <c r="CI315" i="5"/>
  <c r="BH315" i="5"/>
  <c r="BI315" i="5" s="1"/>
  <c r="BJ315" i="5" s="1"/>
  <c r="G288" i="6"/>
  <c r="CW315" i="5"/>
  <c r="AK315" i="5"/>
  <c r="AM315" i="5" s="1"/>
  <c r="AL316" i="5" s="1"/>
  <c r="CL315" i="5"/>
  <c r="CM315" i="5" s="1"/>
  <c r="CR315" i="5"/>
  <c r="CX315" i="5"/>
  <c r="CS315" i="5"/>
  <c r="C290" i="6"/>
  <c r="BK315" i="5"/>
  <c r="BL315" i="5" s="1"/>
  <c r="BM315" i="5" s="1"/>
  <c r="AB315" i="5"/>
  <c r="BN315" i="5" s="1"/>
  <c r="BO315" i="5" s="1"/>
  <c r="BP315" i="5" s="1"/>
  <c r="CY315" i="5"/>
  <c r="AC315" i="5"/>
  <c r="D315" i="5"/>
  <c r="BG314" i="5"/>
  <c r="H314" i="5" s="1"/>
  <c r="AX315" i="5"/>
  <c r="AW315" i="5" s="1"/>
  <c r="CU315" i="5"/>
  <c r="BX315" i="5" s="1"/>
  <c r="AR313" i="5"/>
  <c r="BD314" i="5"/>
  <c r="BE315" i="5" s="1"/>
  <c r="CZ314" i="5"/>
  <c r="BF314" i="5"/>
  <c r="AD315" i="5" l="1"/>
  <c r="AE315" i="5" s="1"/>
  <c r="G315" i="5"/>
  <c r="CK315" i="5"/>
  <c r="CJ315" i="5" s="1"/>
  <c r="CH315" i="5"/>
  <c r="X313" i="5"/>
  <c r="Y313" i="5" s="1"/>
  <c r="DA315" i="5"/>
  <c r="DB315" i="5" s="1"/>
  <c r="K315" i="5" s="1"/>
  <c r="I314" i="5"/>
  <c r="AP314" i="5" s="1"/>
  <c r="CP315" i="5"/>
  <c r="CQ315" i="5" s="1"/>
  <c r="R315" i="5" s="1"/>
  <c r="S315" i="5" s="1"/>
  <c r="CV315" i="5"/>
  <c r="CT315" i="5"/>
  <c r="L315" i="5"/>
  <c r="W315" i="5"/>
  <c r="T315" i="5"/>
  <c r="U315" i="5" s="1"/>
  <c r="H288" i="6" l="1"/>
  <c r="Z313" i="5"/>
  <c r="AA313" i="5" s="1"/>
  <c r="I288" i="6" s="1"/>
  <c r="AH314" i="5"/>
  <c r="AT314" i="5"/>
  <c r="CN315" i="5"/>
  <c r="E315" i="5" s="1"/>
  <c r="CO315" i="5"/>
  <c r="F315" i="5" s="1"/>
  <c r="M314" i="5"/>
  <c r="P314" i="5"/>
  <c r="BW315" i="5" l="1"/>
  <c r="BY315" i="5"/>
  <c r="J315" i="5" s="1"/>
  <c r="BB314" i="5"/>
  <c r="AY314" i="5"/>
  <c r="AS314" i="5"/>
  <c r="AV314" i="5" s="1"/>
  <c r="AO314" i="5"/>
  <c r="AR314" i="5" s="1"/>
  <c r="F289" i="6"/>
  <c r="Q314" i="5"/>
  <c r="V314" i="5" s="1"/>
  <c r="AG314" i="5"/>
  <c r="AJ314" i="5" s="1"/>
  <c r="N314" i="5"/>
  <c r="E290" i="6"/>
  <c r="C316" i="5"/>
  <c r="BU316" i="5" s="1"/>
  <c r="BC315" i="5"/>
  <c r="D290" i="6"/>
  <c r="AN315" i="5" l="1"/>
  <c r="AF315" i="5"/>
  <c r="BT316" i="5"/>
  <c r="BV316" i="5"/>
  <c r="BS316" i="5"/>
  <c r="CI316" i="5"/>
  <c r="BH316" i="5"/>
  <c r="BI316" i="5" s="1"/>
  <c r="BJ316" i="5" s="1"/>
  <c r="X314" i="5"/>
  <c r="Y314" i="5" s="1"/>
  <c r="G289" i="6"/>
  <c r="CZ315" i="5"/>
  <c r="BD315" i="5"/>
  <c r="BE316" i="5" s="1"/>
  <c r="BF315" i="5"/>
  <c r="AK316" i="5"/>
  <c r="AM316" i="5" s="1"/>
  <c r="AL317" i="5" s="1"/>
  <c r="CR316" i="5"/>
  <c r="AC316" i="5"/>
  <c r="AD316" i="5" s="1"/>
  <c r="CX316" i="5"/>
  <c r="D316" i="5"/>
  <c r="CW316" i="5"/>
  <c r="C291" i="6"/>
  <c r="BK316" i="5"/>
  <c r="BL316" i="5" s="1"/>
  <c r="BM316" i="5" s="1"/>
  <c r="CY316" i="5"/>
  <c r="CS316" i="5"/>
  <c r="CL316" i="5"/>
  <c r="CM316" i="5" s="1"/>
  <c r="AB316" i="5"/>
  <c r="L316" i="5" s="1"/>
  <c r="BG315" i="5"/>
  <c r="H315" i="5" s="1"/>
  <c r="AX316" i="5"/>
  <c r="AW316" i="5" s="1"/>
  <c r="CU316" i="5"/>
  <c r="BX316" i="5" s="1"/>
  <c r="CH316" i="5" l="1"/>
  <c r="CK316" i="5"/>
  <c r="CJ316" i="5" s="1"/>
  <c r="BN316" i="5"/>
  <c r="BO316" i="5" s="1"/>
  <c r="BP316" i="5" s="1"/>
  <c r="G316" i="5" s="1"/>
  <c r="DA316" i="5"/>
  <c r="DB316" i="5" s="1"/>
  <c r="K316" i="5" s="1"/>
  <c r="AE316" i="5"/>
  <c r="CV316" i="5"/>
  <c r="CT316" i="5"/>
  <c r="CP316" i="5"/>
  <c r="CQ316" i="5" s="1"/>
  <c r="R316" i="5" s="1"/>
  <c r="S316" i="5" s="1"/>
  <c r="T316" i="5"/>
  <c r="U316" i="5" s="1"/>
  <c r="W316" i="5"/>
  <c r="H289" i="6"/>
  <c r="Z314" i="5"/>
  <c r="I315" i="5"/>
  <c r="AH315" i="5" l="1"/>
  <c r="AT315" i="5"/>
  <c r="AP315" i="5"/>
  <c r="AA314" i="5"/>
  <c r="I289" i="6" s="1"/>
  <c r="CN316" i="5"/>
  <c r="E316" i="5" s="1"/>
  <c r="CO316" i="5"/>
  <c r="F316" i="5" s="1"/>
  <c r="M315" i="5"/>
  <c r="P315" i="5"/>
  <c r="AY315" i="5" s="1"/>
  <c r="BW316" i="5" l="1"/>
  <c r="BY316" i="5"/>
  <c r="J316" i="5" s="1"/>
  <c r="AF316" i="5" s="1"/>
  <c r="AS315" i="5"/>
  <c r="AV315" i="5" s="1"/>
  <c r="AO315" i="5"/>
  <c r="BC316" i="5"/>
  <c r="D291" i="6"/>
  <c r="E291" i="6"/>
  <c r="C317" i="5"/>
  <c r="BU317" i="5" s="1"/>
  <c r="F290" i="6"/>
  <c r="Q315" i="5"/>
  <c r="V315" i="5" s="1"/>
  <c r="G290" i="6" s="1"/>
  <c r="N315" i="5"/>
  <c r="AG315" i="5"/>
  <c r="AN316" i="5" l="1"/>
  <c r="BV317" i="5"/>
  <c r="BT317" i="5"/>
  <c r="BS317" i="5"/>
  <c r="CI317" i="5"/>
  <c r="BH317" i="5"/>
  <c r="BI317" i="5" s="1"/>
  <c r="BJ317" i="5" s="1"/>
  <c r="AR315" i="5"/>
  <c r="AJ315" i="5"/>
  <c r="CR317" i="5"/>
  <c r="C292" i="6"/>
  <c r="AK317" i="5"/>
  <c r="AB317" i="5"/>
  <c r="DA317" i="5" s="1"/>
  <c r="DB317" i="5" s="1"/>
  <c r="D317" i="5"/>
  <c r="CL317" i="5"/>
  <c r="CM317" i="5" s="1"/>
  <c r="CY317" i="5"/>
  <c r="CS317" i="5"/>
  <c r="AC317" i="5"/>
  <c r="CW317" i="5"/>
  <c r="CX317" i="5"/>
  <c r="BK317" i="5"/>
  <c r="BL317" i="5" s="1"/>
  <c r="BM317" i="5" s="1"/>
  <c r="BG316" i="5"/>
  <c r="H316" i="5" s="1"/>
  <c r="AX317" i="5"/>
  <c r="AW317" i="5" s="1"/>
  <c r="CU317" i="5"/>
  <c r="BX317" i="5" s="1"/>
  <c r="CZ316" i="5"/>
  <c r="BD316" i="5"/>
  <c r="BE317" i="5" s="1"/>
  <c r="BF316" i="5"/>
  <c r="CH317" i="5" l="1"/>
  <c r="CK317" i="5"/>
  <c r="CJ317" i="5" s="1"/>
  <c r="K317" i="5" s="1"/>
  <c r="X315" i="5"/>
  <c r="Y315" i="5" s="1"/>
  <c r="H290" i="6" s="1"/>
  <c r="AD317" i="5"/>
  <c r="AE317" i="5" s="1"/>
  <c r="BN317" i="5"/>
  <c r="BO317" i="5" s="1"/>
  <c r="BP317" i="5" s="1"/>
  <c r="G317" i="5" s="1"/>
  <c r="T317" i="5"/>
  <c r="U317" i="5" s="1"/>
  <c r="W317" i="5"/>
  <c r="I316" i="5"/>
  <c r="AP316" i="5" s="1"/>
  <c r="AM317" i="5"/>
  <c r="AL318" i="5" s="1"/>
  <c r="L317" i="5"/>
  <c r="CV317" i="5"/>
  <c r="CT317" i="5"/>
  <c r="CP317" i="5"/>
  <c r="CQ317" i="5" s="1"/>
  <c r="R317" i="5" s="1"/>
  <c r="S317" i="5" s="1"/>
  <c r="Z315" i="5" l="1"/>
  <c r="AA315" i="5" s="1"/>
  <c r="I290" i="6" s="1"/>
  <c r="AH316" i="5"/>
  <c r="AT316" i="5"/>
  <c r="M316" i="5"/>
  <c r="P316" i="5"/>
  <c r="AY316" i="5" s="1"/>
  <c r="CN317" i="5"/>
  <c r="E317" i="5" s="1"/>
  <c r="CO317" i="5"/>
  <c r="F317" i="5" s="1"/>
  <c r="BY317" i="5" l="1"/>
  <c r="J317" i="5" s="1"/>
  <c r="AN317" i="5" s="1"/>
  <c r="BW317" i="5"/>
  <c r="AS316" i="5"/>
  <c r="AV316" i="5" s="1"/>
  <c r="AO316" i="5"/>
  <c r="AR316" i="5" s="1"/>
  <c r="N316" i="5"/>
  <c r="AG316" i="5"/>
  <c r="AJ316" i="5" s="1"/>
  <c r="E292" i="6"/>
  <c r="C318" i="5"/>
  <c r="BU318" i="5" s="1"/>
  <c r="BC317" i="5"/>
  <c r="D292" i="6"/>
  <c r="F291" i="6"/>
  <c r="Q316" i="5"/>
  <c r="V316" i="5" s="1"/>
  <c r="AF317" i="5" l="1"/>
  <c r="BT318" i="5"/>
  <c r="BV318" i="5"/>
  <c r="BS318" i="5"/>
  <c r="CI318" i="5"/>
  <c r="BH318" i="5"/>
  <c r="BI318" i="5" s="1"/>
  <c r="BJ318" i="5" s="1"/>
  <c r="X316" i="5"/>
  <c r="Y316" i="5" s="1"/>
  <c r="G291" i="6"/>
  <c r="BF317" i="5"/>
  <c r="BD317" i="5"/>
  <c r="BE318" i="5" s="1"/>
  <c r="CZ317" i="5"/>
  <c r="AC318" i="5"/>
  <c r="AK318" i="5"/>
  <c r="CW318" i="5"/>
  <c r="CX318" i="5"/>
  <c r="CS318" i="5"/>
  <c r="AB318" i="5"/>
  <c r="BN318" i="5" s="1"/>
  <c r="BO318" i="5" s="1"/>
  <c r="BP318" i="5" s="1"/>
  <c r="C293" i="6"/>
  <c r="D318" i="5"/>
  <c r="BK318" i="5"/>
  <c r="BL318" i="5" s="1"/>
  <c r="BM318" i="5" s="1"/>
  <c r="CY318" i="5"/>
  <c r="CL318" i="5"/>
  <c r="CM318" i="5" s="1"/>
  <c r="CR318" i="5"/>
  <c r="BG317" i="5"/>
  <c r="H317" i="5" s="1"/>
  <c r="AX318" i="5"/>
  <c r="AW318" i="5" s="1"/>
  <c r="CU318" i="5"/>
  <c r="BX318" i="5" s="1"/>
  <c r="G318" i="5" l="1"/>
  <c r="CH318" i="5"/>
  <c r="CK318" i="5"/>
  <c r="CJ318" i="5" s="1"/>
  <c r="CP318" i="5"/>
  <c r="CQ318" i="5" s="1"/>
  <c r="R318" i="5" s="1"/>
  <c r="S318" i="5" s="1"/>
  <c r="L318" i="5"/>
  <c r="DA318" i="5"/>
  <c r="DB318" i="5" s="1"/>
  <c r="K318" i="5" s="1"/>
  <c r="AD318" i="5"/>
  <c r="AE318" i="5" s="1"/>
  <c r="AM318" i="5"/>
  <c r="AL319" i="5" s="1"/>
  <c r="T318" i="5"/>
  <c r="U318" i="5" s="1"/>
  <c r="W318" i="5"/>
  <c r="CV318" i="5"/>
  <c r="CT318" i="5"/>
  <c r="I317" i="5"/>
  <c r="AP317" i="5" s="1"/>
  <c r="H291" i="6"/>
  <c r="Z316" i="5"/>
  <c r="AH317" i="5" l="1"/>
  <c r="AT317" i="5"/>
  <c r="CO318" i="5"/>
  <c r="F318" i="5" s="1"/>
  <c r="CN318" i="5"/>
  <c r="E318" i="5" s="1"/>
  <c r="AA316" i="5"/>
  <c r="I291" i="6" s="1"/>
  <c r="P317" i="5"/>
  <c r="AY317" i="5" s="1"/>
  <c r="M317" i="5"/>
  <c r="BW318" i="5" l="1"/>
  <c r="BY318" i="5"/>
  <c r="J318" i="5" s="1"/>
  <c r="AS317" i="5"/>
  <c r="AV317" i="5" s="1"/>
  <c r="AO317" i="5"/>
  <c r="AR317" i="5" s="1"/>
  <c r="N317" i="5"/>
  <c r="AG317" i="5"/>
  <c r="AJ317" i="5" s="1"/>
  <c r="Q317" i="5"/>
  <c r="V317" i="5" s="1"/>
  <c r="F292" i="6"/>
  <c r="BC318" i="5"/>
  <c r="D293" i="6"/>
  <c r="C319" i="5"/>
  <c r="BU319" i="5" s="1"/>
  <c r="E293" i="6"/>
  <c r="AF318" i="5" l="1"/>
  <c r="AN318" i="5"/>
  <c r="BT319" i="5"/>
  <c r="BV319" i="5"/>
  <c r="BS319" i="5"/>
  <c r="CI319" i="5"/>
  <c r="BH319" i="5"/>
  <c r="BI319" i="5" s="1"/>
  <c r="BJ319" i="5" s="1"/>
  <c r="X317" i="5"/>
  <c r="Y317" i="5" s="1"/>
  <c r="AC319" i="5"/>
  <c r="C294" i="6"/>
  <c r="AK319" i="5"/>
  <c r="AB319" i="5"/>
  <c r="BN319" i="5" s="1"/>
  <c r="BO319" i="5" s="1"/>
  <c r="BP319" i="5" s="1"/>
  <c r="CS319" i="5"/>
  <c r="D319" i="5"/>
  <c r="CW319" i="5"/>
  <c r="CY319" i="5"/>
  <c r="CX319" i="5"/>
  <c r="BK319" i="5"/>
  <c r="BL319" i="5" s="1"/>
  <c r="BM319" i="5" s="1"/>
  <c r="CL319" i="5"/>
  <c r="CM319" i="5" s="1"/>
  <c r="CR319" i="5"/>
  <c r="BG318" i="5"/>
  <c r="H318" i="5" s="1"/>
  <c r="AX319" i="5"/>
  <c r="AW319" i="5" s="1"/>
  <c r="CU319" i="5"/>
  <c r="BX319" i="5" s="1"/>
  <c r="BD318" i="5"/>
  <c r="BE319" i="5" s="1"/>
  <c r="BF318" i="5"/>
  <c r="CZ318" i="5"/>
  <c r="G292" i="6"/>
  <c r="G319" i="5" l="1"/>
  <c r="CH319" i="5"/>
  <c r="CK319" i="5"/>
  <c r="CJ319" i="5" s="1"/>
  <c r="DA319" i="5"/>
  <c r="DB319" i="5" s="1"/>
  <c r="K319" i="5" s="1"/>
  <c r="L319" i="5"/>
  <c r="AD319" i="5"/>
  <c r="AE319" i="5" s="1"/>
  <c r="CT319" i="5"/>
  <c r="CV319" i="5"/>
  <c r="CP319" i="5"/>
  <c r="CQ319" i="5" s="1"/>
  <c r="R319" i="5" s="1"/>
  <c r="S319" i="5" s="1"/>
  <c r="H292" i="6"/>
  <c r="Z317" i="5"/>
  <c r="T319" i="5"/>
  <c r="U319" i="5" s="1"/>
  <c r="W319" i="5"/>
  <c r="AM319" i="5"/>
  <c r="AL320" i="5" s="1"/>
  <c r="I318" i="5"/>
  <c r="AH318" i="5" s="1"/>
  <c r="AT318" i="5" l="1"/>
  <c r="AP318" i="5"/>
  <c r="P318" i="5"/>
  <c r="AY318" i="5" s="1"/>
  <c r="M318" i="5"/>
  <c r="AA317" i="5"/>
  <c r="I292" i="6" s="1"/>
  <c r="CN319" i="5"/>
  <c r="E319" i="5" s="1"/>
  <c r="CO319" i="5"/>
  <c r="F319" i="5" s="1"/>
  <c r="BW319" i="5" l="1"/>
  <c r="BY319" i="5"/>
  <c r="J319" i="5" s="1"/>
  <c r="AS318" i="5"/>
  <c r="AV318" i="5" s="1"/>
  <c r="AO318" i="5"/>
  <c r="AR318" i="5" s="1"/>
  <c r="E294" i="6"/>
  <c r="C320" i="5"/>
  <c r="BU320" i="5" s="1"/>
  <c r="AG318" i="5"/>
  <c r="N318" i="5"/>
  <c r="D294" i="6"/>
  <c r="BC319" i="5"/>
  <c r="Q318" i="5"/>
  <c r="V318" i="5" s="1"/>
  <c r="F293" i="6"/>
  <c r="AN319" i="5" l="1"/>
  <c r="AF319" i="5"/>
  <c r="BT320" i="5"/>
  <c r="BV320" i="5"/>
  <c r="BS320" i="5"/>
  <c r="CI320" i="5"/>
  <c r="BH320" i="5"/>
  <c r="BI320" i="5" s="1"/>
  <c r="BJ320" i="5" s="1"/>
  <c r="AJ318" i="5"/>
  <c r="G293" i="6"/>
  <c r="CL320" i="5"/>
  <c r="CM320" i="5" s="1"/>
  <c r="D320" i="5"/>
  <c r="CR320" i="5"/>
  <c r="AK320" i="5"/>
  <c r="AM320" i="5" s="1"/>
  <c r="AL321" i="5" s="1"/>
  <c r="BK320" i="5"/>
  <c r="BL320" i="5" s="1"/>
  <c r="BM320" i="5" s="1"/>
  <c r="CS320" i="5"/>
  <c r="AB320" i="5"/>
  <c r="L320" i="5" s="1"/>
  <c r="CY320" i="5"/>
  <c r="CX320" i="5"/>
  <c r="C295" i="6"/>
  <c r="AC320" i="5"/>
  <c r="AD320" i="5" s="1"/>
  <c r="CW320" i="5"/>
  <c r="BG319" i="5"/>
  <c r="H319" i="5" s="1"/>
  <c r="AX320" i="5"/>
  <c r="AW320" i="5" s="1"/>
  <c r="CU320" i="5"/>
  <c r="BX320" i="5" s="1"/>
  <c r="BD319" i="5"/>
  <c r="BE320" i="5" s="1"/>
  <c r="BF319" i="5"/>
  <c r="CZ319" i="5"/>
  <c r="CK320" i="5" l="1"/>
  <c r="CJ320" i="5" s="1"/>
  <c r="CH320" i="5"/>
  <c r="BN320" i="5"/>
  <c r="BO320" i="5" s="1"/>
  <c r="BP320" i="5" s="1"/>
  <c r="G320" i="5" s="1"/>
  <c r="X318" i="5"/>
  <c r="Y318" i="5" s="1"/>
  <c r="DA320" i="5"/>
  <c r="DB320" i="5" s="1"/>
  <c r="K320" i="5" s="1"/>
  <c r="CP320" i="5"/>
  <c r="CQ320" i="5" s="1"/>
  <c r="R320" i="5" s="1"/>
  <c r="S320" i="5" s="1"/>
  <c r="T320" i="5"/>
  <c r="U320" i="5" s="1"/>
  <c r="W320" i="5"/>
  <c r="CV320" i="5"/>
  <c r="CT320" i="5"/>
  <c r="I319" i="5"/>
  <c r="AH319" i="5" s="1"/>
  <c r="AE320" i="5"/>
  <c r="Z318" i="5" l="1"/>
  <c r="AA318" i="5" s="1"/>
  <c r="I293" i="6" s="1"/>
  <c r="H293" i="6"/>
  <c r="AT319" i="5"/>
  <c r="AP319" i="5"/>
  <c r="M319" i="5"/>
  <c r="P319" i="5"/>
  <c r="AY319" i="5" s="1"/>
  <c r="CN320" i="5"/>
  <c r="E320" i="5" s="1"/>
  <c r="CO320" i="5"/>
  <c r="F320" i="5" s="1"/>
  <c r="AO319" i="5" l="1"/>
  <c r="AR319" i="5" s="1"/>
  <c r="AG319" i="5"/>
  <c r="AJ319" i="5" s="1"/>
  <c r="N319" i="5"/>
  <c r="AS319" i="5"/>
  <c r="AV319" i="5" s="1"/>
  <c r="Q319" i="5"/>
  <c r="V319" i="5" s="1"/>
  <c r="F294" i="6"/>
  <c r="C321" i="5"/>
  <c r="BU321" i="5" s="1"/>
  <c r="E295" i="6"/>
  <c r="BC320" i="5"/>
  <c r="D295" i="6"/>
  <c r="BY320" i="5" l="1"/>
  <c r="J320" i="5" s="1"/>
  <c r="BW320" i="5"/>
  <c r="BT321" i="5"/>
  <c r="BV321" i="5"/>
  <c r="BS321" i="5"/>
  <c r="CI321" i="5"/>
  <c r="BH321" i="5"/>
  <c r="BI321" i="5" s="1"/>
  <c r="BJ321" i="5" s="1"/>
  <c r="X319" i="5"/>
  <c r="Y319" i="5" s="1"/>
  <c r="CY321" i="5"/>
  <c r="C296" i="6"/>
  <c r="AK321" i="5"/>
  <c r="AM321" i="5" s="1"/>
  <c r="AL322" i="5" s="1"/>
  <c r="AC321" i="5"/>
  <c r="AD321" i="5" s="1"/>
  <c r="D321" i="5"/>
  <c r="CL321" i="5"/>
  <c r="CM321" i="5" s="1"/>
  <c r="CX321" i="5"/>
  <c r="AB321" i="5"/>
  <c r="CP321" i="5" s="1"/>
  <c r="CQ321" i="5" s="1"/>
  <c r="R321" i="5" s="1"/>
  <c r="S321" i="5" s="1"/>
  <c r="CR321" i="5"/>
  <c r="CW321" i="5"/>
  <c r="CS321" i="5"/>
  <c r="BK321" i="5"/>
  <c r="BL321" i="5" s="1"/>
  <c r="BM321" i="5" s="1"/>
  <c r="BG320" i="5"/>
  <c r="H320" i="5" s="1"/>
  <c r="AX321" i="5"/>
  <c r="AW321" i="5" s="1"/>
  <c r="CU321" i="5"/>
  <c r="BF320" i="5"/>
  <c r="BD320" i="5"/>
  <c r="BE321" i="5" s="1"/>
  <c r="CZ320" i="5"/>
  <c r="G294" i="6"/>
  <c r="AN320" i="5" l="1"/>
  <c r="AF320" i="5"/>
  <c r="BX321" i="5"/>
  <c r="CH321" i="5"/>
  <c r="CK321" i="5"/>
  <c r="CJ321" i="5" s="1"/>
  <c r="L321" i="5"/>
  <c r="BN321" i="5"/>
  <c r="BO321" i="5" s="1"/>
  <c r="BP321" i="5" s="1"/>
  <c r="G321" i="5" s="1"/>
  <c r="DA321" i="5"/>
  <c r="DB321" i="5" s="1"/>
  <c r="K321" i="5" s="1"/>
  <c r="CV321" i="5"/>
  <c r="CT321" i="5"/>
  <c r="T321" i="5"/>
  <c r="U321" i="5" s="1"/>
  <c r="W321" i="5"/>
  <c r="I320" i="5"/>
  <c r="AH320" i="5" s="1"/>
  <c r="AE321" i="5"/>
  <c r="H294" i="6"/>
  <c r="Z319" i="5"/>
  <c r="P320" i="5" l="1"/>
  <c r="AY320" i="5" s="1"/>
  <c r="M320" i="5"/>
  <c r="AG320" i="5" s="1"/>
  <c r="AJ320" i="5" s="1"/>
  <c r="AT320" i="5"/>
  <c r="AP320" i="5"/>
  <c r="CN321" i="5"/>
  <c r="E321" i="5" s="1"/>
  <c r="CO321" i="5"/>
  <c r="F321" i="5" s="1"/>
  <c r="AA319" i="5"/>
  <c r="I294" i="6" s="1"/>
  <c r="BW321" i="5" l="1"/>
  <c r="BY321" i="5"/>
  <c r="J321" i="5" s="1"/>
  <c r="AN321" i="5" s="1"/>
  <c r="C322" i="5"/>
  <c r="BU322" i="5" s="1"/>
  <c r="E296" i="6"/>
  <c r="D296" i="6"/>
  <c r="BC321" i="5"/>
  <c r="N320" i="5"/>
  <c r="AS320" i="5"/>
  <c r="AV320" i="5" s="1"/>
  <c r="AO320" i="5"/>
  <c r="AR320" i="5" s="1"/>
  <c r="F295" i="6"/>
  <c r="Q320" i="5"/>
  <c r="V320" i="5" s="1"/>
  <c r="AF321" i="5" l="1"/>
  <c r="BV322" i="5"/>
  <c r="BT322" i="5"/>
  <c r="BS322" i="5"/>
  <c r="CI322" i="5"/>
  <c r="BH322" i="5"/>
  <c r="BI322" i="5" s="1"/>
  <c r="BJ322" i="5" s="1"/>
  <c r="X320" i="5"/>
  <c r="Y320" i="5" s="1"/>
  <c r="BF321" i="5"/>
  <c r="BD321" i="5"/>
  <c r="BE322" i="5" s="1"/>
  <c r="CZ321" i="5"/>
  <c r="G295" i="6"/>
  <c r="AB322" i="5"/>
  <c r="L322" i="5" s="1"/>
  <c r="CW322" i="5"/>
  <c r="CY322" i="5"/>
  <c r="BK322" i="5"/>
  <c r="BL322" i="5" s="1"/>
  <c r="BM322" i="5" s="1"/>
  <c r="C297" i="6"/>
  <c r="D322" i="5"/>
  <c r="AK322" i="5"/>
  <c r="AM322" i="5" s="1"/>
  <c r="AL323" i="5" s="1"/>
  <c r="CL322" i="5"/>
  <c r="CM322" i="5" s="1"/>
  <c r="CX322" i="5"/>
  <c r="CS322" i="5"/>
  <c r="AC322" i="5"/>
  <c r="CR322" i="5"/>
  <c r="BG321" i="5"/>
  <c r="H321" i="5" s="1"/>
  <c r="AX322" i="5"/>
  <c r="AW322" i="5" s="1"/>
  <c r="CU322" i="5"/>
  <c r="BX322" i="5" s="1"/>
  <c r="CH322" i="5" l="1"/>
  <c r="CK322" i="5"/>
  <c r="CJ322" i="5" s="1"/>
  <c r="DA322" i="5"/>
  <c r="DB322" i="5" s="1"/>
  <c r="K322" i="5" s="1"/>
  <c r="BN322" i="5"/>
  <c r="BO322" i="5" s="1"/>
  <c r="BP322" i="5" s="1"/>
  <c r="G322" i="5" s="1"/>
  <c r="AD322" i="5"/>
  <c r="AE322" i="5" s="1"/>
  <c r="W322" i="5"/>
  <c r="T322" i="5"/>
  <c r="U322" i="5" s="1"/>
  <c r="CP322" i="5"/>
  <c r="CQ322" i="5" s="1"/>
  <c r="R322" i="5" s="1"/>
  <c r="S322" i="5" s="1"/>
  <c r="H295" i="6"/>
  <c r="Z320" i="5"/>
  <c r="CT322" i="5"/>
  <c r="CV322" i="5"/>
  <c r="I321" i="5"/>
  <c r="AP321" i="5" s="1"/>
  <c r="AT321" i="5" l="1"/>
  <c r="AH321" i="5"/>
  <c r="AA320" i="5"/>
  <c r="I295" i="6" s="1"/>
  <c r="CN322" i="5"/>
  <c r="E322" i="5" s="1"/>
  <c r="CO322" i="5"/>
  <c r="F322" i="5" s="1"/>
  <c r="P321" i="5"/>
  <c r="AY321" i="5" s="1"/>
  <c r="M321" i="5"/>
  <c r="AO321" i="5" s="1"/>
  <c r="AR321" i="5" s="1"/>
  <c r="BW322" i="5" l="1"/>
  <c r="BY322" i="5"/>
  <c r="J322" i="5" s="1"/>
  <c r="F296" i="6"/>
  <c r="Q321" i="5"/>
  <c r="V321" i="5" s="1"/>
  <c r="D297" i="6"/>
  <c r="BC322" i="5"/>
  <c r="C323" i="5"/>
  <c r="BU323" i="5" s="1"/>
  <c r="E297" i="6"/>
  <c r="AG321" i="5"/>
  <c r="AJ321" i="5" s="1"/>
  <c r="N321" i="5"/>
  <c r="AS321" i="5"/>
  <c r="AV321" i="5" s="1"/>
  <c r="AN322" i="5" l="1"/>
  <c r="AF322" i="5"/>
  <c r="BT323" i="5"/>
  <c r="BV323" i="5"/>
  <c r="BS323" i="5"/>
  <c r="CI323" i="5"/>
  <c r="BH323" i="5"/>
  <c r="BI323" i="5" s="1"/>
  <c r="BJ323" i="5" s="1"/>
  <c r="X321" i="5"/>
  <c r="Y321" i="5" s="1"/>
  <c r="AK323" i="5"/>
  <c r="AM323" i="5" s="1"/>
  <c r="AL324" i="5" s="1"/>
  <c r="CR323" i="5"/>
  <c r="CX323" i="5"/>
  <c r="CS323" i="5"/>
  <c r="AC323" i="5"/>
  <c r="AD323" i="5" s="1"/>
  <c r="CW323" i="5"/>
  <c r="D323" i="5"/>
  <c r="AB323" i="5"/>
  <c r="L323" i="5" s="1"/>
  <c r="BK323" i="5"/>
  <c r="BL323" i="5" s="1"/>
  <c r="BM323" i="5" s="1"/>
  <c r="C298" i="6"/>
  <c r="CL323" i="5"/>
  <c r="CM323" i="5" s="1"/>
  <c r="CY323" i="5"/>
  <c r="BG322" i="5"/>
  <c r="H322" i="5" s="1"/>
  <c r="AX323" i="5"/>
  <c r="AW323" i="5" s="1"/>
  <c r="CU323" i="5"/>
  <c r="BX323" i="5" s="1"/>
  <c r="CZ322" i="5"/>
  <c r="BF322" i="5"/>
  <c r="BD322" i="5"/>
  <c r="BE323" i="5" s="1"/>
  <c r="G296" i="6"/>
  <c r="DA323" i="5" l="1"/>
  <c r="DB323" i="5" s="1"/>
  <c r="CK323" i="5"/>
  <c r="CJ323" i="5" s="1"/>
  <c r="CH323" i="5"/>
  <c r="BN323" i="5"/>
  <c r="BO323" i="5" s="1"/>
  <c r="BP323" i="5" s="1"/>
  <c r="G323" i="5" s="1"/>
  <c r="W323" i="5"/>
  <c r="T323" i="5"/>
  <c r="U323" i="5" s="1"/>
  <c r="CP323" i="5"/>
  <c r="CQ323" i="5" s="1"/>
  <c r="R323" i="5" s="1"/>
  <c r="S323" i="5" s="1"/>
  <c r="I322" i="5"/>
  <c r="AE323" i="5"/>
  <c r="CT323" i="5"/>
  <c r="CV323" i="5"/>
  <c r="H296" i="6"/>
  <c r="Z321" i="5"/>
  <c r="K323" i="5" l="1"/>
  <c r="AH322" i="5"/>
  <c r="AT322" i="5"/>
  <c r="AP322" i="5"/>
  <c r="AA321" i="5"/>
  <c r="I296" i="6" s="1"/>
  <c r="CO323" i="5"/>
  <c r="F323" i="5" s="1"/>
  <c r="CN323" i="5"/>
  <c r="E323" i="5" s="1"/>
  <c r="M322" i="5"/>
  <c r="P322" i="5"/>
  <c r="AY322" i="5" s="1"/>
  <c r="BW323" i="5" l="1"/>
  <c r="BY323" i="5"/>
  <c r="J323" i="5" s="1"/>
  <c r="AF323" i="5" s="1"/>
  <c r="AS322" i="5"/>
  <c r="AV322" i="5" s="1"/>
  <c r="AO322" i="5"/>
  <c r="AR322" i="5" s="1"/>
  <c r="N322" i="5"/>
  <c r="AG322" i="5"/>
  <c r="D298" i="6"/>
  <c r="BC323" i="5"/>
  <c r="E298" i="6"/>
  <c r="C324" i="5"/>
  <c r="BU324" i="5" s="1"/>
  <c r="F297" i="6"/>
  <c r="Q322" i="5"/>
  <c r="V322" i="5" s="1"/>
  <c r="G297" i="6" s="1"/>
  <c r="AN323" i="5" l="1"/>
  <c r="BT324" i="5"/>
  <c r="BV324" i="5"/>
  <c r="BS324" i="5"/>
  <c r="CI324" i="5"/>
  <c r="BH324" i="5"/>
  <c r="BI324" i="5" s="1"/>
  <c r="BJ324" i="5" s="1"/>
  <c r="CW324" i="5"/>
  <c r="BK324" i="5"/>
  <c r="BL324" i="5" s="1"/>
  <c r="BM324" i="5" s="1"/>
  <c r="AC324" i="5"/>
  <c r="D324" i="5"/>
  <c r="CR324" i="5"/>
  <c r="CY324" i="5"/>
  <c r="C299" i="6"/>
  <c r="CX324" i="5"/>
  <c r="AK324" i="5"/>
  <c r="CL324" i="5"/>
  <c r="CM324" i="5" s="1"/>
  <c r="CS324" i="5"/>
  <c r="AB324" i="5"/>
  <c r="L324" i="5" s="1"/>
  <c r="BG323" i="5"/>
  <c r="H323" i="5" s="1"/>
  <c r="AX324" i="5"/>
  <c r="AW324" i="5" s="1"/>
  <c r="CU324" i="5"/>
  <c r="BX324" i="5" s="1"/>
  <c r="CZ323" i="5"/>
  <c r="BD323" i="5"/>
  <c r="BE324" i="5" s="1"/>
  <c r="BF323" i="5"/>
  <c r="AJ322" i="5"/>
  <c r="CH324" i="5" l="1"/>
  <c r="CK324" i="5"/>
  <c r="CJ324" i="5" s="1"/>
  <c r="X322" i="5"/>
  <c r="Y322" i="5" s="1"/>
  <c r="AD324" i="5"/>
  <c r="AE324" i="5" s="1"/>
  <c r="CP324" i="5"/>
  <c r="CQ324" i="5" s="1"/>
  <c r="R324" i="5" s="1"/>
  <c r="S324" i="5" s="1"/>
  <c r="DA324" i="5"/>
  <c r="DB324" i="5" s="1"/>
  <c r="K324" i="5" s="1"/>
  <c r="BN324" i="5"/>
  <c r="BO324" i="5" s="1"/>
  <c r="BP324" i="5" s="1"/>
  <c r="G324" i="5" s="1"/>
  <c r="CV324" i="5"/>
  <c r="CT324" i="5"/>
  <c r="W324" i="5"/>
  <c r="T324" i="5"/>
  <c r="U324" i="5" s="1"/>
  <c r="AM324" i="5"/>
  <c r="AL325" i="5" s="1"/>
  <c r="I323" i="5"/>
  <c r="AH323" i="5" s="1"/>
  <c r="Z322" i="5" l="1"/>
  <c r="AA322" i="5" s="1"/>
  <c r="I297" i="6" s="1"/>
  <c r="H297" i="6"/>
  <c r="AT323" i="5"/>
  <c r="AP323" i="5"/>
  <c r="M323" i="5"/>
  <c r="P323" i="5"/>
  <c r="AY323" i="5" s="1"/>
  <c r="CO324" i="5"/>
  <c r="F324" i="5" s="1"/>
  <c r="CN324" i="5"/>
  <c r="E324" i="5" s="1"/>
  <c r="BW324" i="5" l="1"/>
  <c r="BY324" i="5"/>
  <c r="J324" i="5" s="1"/>
  <c r="AS323" i="5"/>
  <c r="AV323" i="5" s="1"/>
  <c r="AG323" i="5"/>
  <c r="AJ323" i="5" s="1"/>
  <c r="AO323" i="5"/>
  <c r="N323" i="5"/>
  <c r="D299" i="6"/>
  <c r="BC324" i="5"/>
  <c r="C325" i="5"/>
  <c r="BU325" i="5" s="1"/>
  <c r="E299" i="6"/>
  <c r="Q323" i="5"/>
  <c r="V323" i="5" s="1"/>
  <c r="F298" i="6"/>
  <c r="AF324" i="5" l="1"/>
  <c r="AN324" i="5"/>
  <c r="BV325" i="5"/>
  <c r="BT325" i="5"/>
  <c r="BS325" i="5"/>
  <c r="CI325" i="5"/>
  <c r="BH325" i="5"/>
  <c r="BI325" i="5" s="1"/>
  <c r="BJ325" i="5" s="1"/>
  <c r="BK325" i="5"/>
  <c r="BL325" i="5" s="1"/>
  <c r="BM325" i="5" s="1"/>
  <c r="CW325" i="5"/>
  <c r="CL325" i="5"/>
  <c r="CM325" i="5" s="1"/>
  <c r="C300" i="6"/>
  <c r="AK325" i="5"/>
  <c r="AM325" i="5" s="1"/>
  <c r="AL326" i="5" s="1"/>
  <c r="CY325" i="5"/>
  <c r="CR325" i="5"/>
  <c r="D325" i="5"/>
  <c r="AC325" i="5"/>
  <c r="AD325" i="5" s="1"/>
  <c r="AB325" i="5"/>
  <c r="CP325" i="5" s="1"/>
  <c r="CQ325" i="5" s="1"/>
  <c r="R325" i="5" s="1"/>
  <c r="S325" i="5" s="1"/>
  <c r="CS325" i="5"/>
  <c r="CX325" i="5"/>
  <c r="BG324" i="5"/>
  <c r="H324" i="5" s="1"/>
  <c r="AX325" i="5"/>
  <c r="AW325" i="5" s="1"/>
  <c r="CU325" i="5"/>
  <c r="BX325" i="5" s="1"/>
  <c r="BF324" i="5"/>
  <c r="BD324" i="5"/>
  <c r="BE325" i="5" s="1"/>
  <c r="CZ324" i="5"/>
  <c r="G298" i="6"/>
  <c r="AR323" i="5"/>
  <c r="CH325" i="5" l="1"/>
  <c r="CK325" i="5"/>
  <c r="CJ325" i="5" s="1"/>
  <c r="X323" i="5"/>
  <c r="Y323" i="5" s="1"/>
  <c r="L325" i="5"/>
  <c r="DA325" i="5"/>
  <c r="DB325" i="5" s="1"/>
  <c r="K325" i="5" s="1"/>
  <c r="CT325" i="5"/>
  <c r="CV325" i="5"/>
  <c r="BN325" i="5"/>
  <c r="BO325" i="5" s="1"/>
  <c r="BP325" i="5" s="1"/>
  <c r="G325" i="5" s="1"/>
  <c r="I324" i="5"/>
  <c r="AP324" i="5" s="1"/>
  <c r="AE325" i="5"/>
  <c r="T325" i="5"/>
  <c r="U325" i="5" s="1"/>
  <c r="W325" i="5"/>
  <c r="Z323" i="5" l="1"/>
  <c r="AA323" i="5" s="1"/>
  <c r="I298" i="6" s="1"/>
  <c r="H298" i="6"/>
  <c r="AT324" i="5"/>
  <c r="AH324" i="5"/>
  <c r="P324" i="5"/>
  <c r="AY324" i="5" s="1"/>
  <c r="M324" i="5"/>
  <c r="CN325" i="5"/>
  <c r="E325" i="5" s="1"/>
  <c r="CO325" i="5"/>
  <c r="F325" i="5" s="1"/>
  <c r="AG324" i="5" l="1"/>
  <c r="AJ324" i="5" s="1"/>
  <c r="AO324" i="5"/>
  <c r="AR324" i="5" s="1"/>
  <c r="N324" i="5"/>
  <c r="AS324" i="5"/>
  <c r="AV324" i="5" s="1"/>
  <c r="BC325" i="5"/>
  <c r="D300" i="6"/>
  <c r="C326" i="5"/>
  <c r="BU326" i="5" s="1"/>
  <c r="E300" i="6"/>
  <c r="F299" i="6"/>
  <c r="Q324" i="5"/>
  <c r="V324" i="5" s="1"/>
  <c r="BY325" i="5" l="1"/>
  <c r="J325" i="5" s="1"/>
  <c r="BW325" i="5"/>
  <c r="BV326" i="5"/>
  <c r="BT326" i="5"/>
  <c r="BS326" i="5"/>
  <c r="CI326" i="5"/>
  <c r="BH326" i="5"/>
  <c r="BI326" i="5" s="1"/>
  <c r="BJ326" i="5" s="1"/>
  <c r="X324" i="5"/>
  <c r="Y324" i="5" s="1"/>
  <c r="G299" i="6"/>
  <c r="CY326" i="5"/>
  <c r="CX326" i="5"/>
  <c r="CR326" i="5"/>
  <c r="AK326" i="5"/>
  <c r="AC326" i="5"/>
  <c r="D326" i="5"/>
  <c r="CL326" i="5"/>
  <c r="CM326" i="5" s="1"/>
  <c r="C301" i="6"/>
  <c r="BK326" i="5"/>
  <c r="BL326" i="5" s="1"/>
  <c r="BM326" i="5" s="1"/>
  <c r="AB326" i="5"/>
  <c r="CP326" i="5" s="1"/>
  <c r="CQ326" i="5" s="1"/>
  <c r="R326" i="5" s="1"/>
  <c r="S326" i="5" s="1"/>
  <c r="CW326" i="5"/>
  <c r="CS326" i="5"/>
  <c r="BG325" i="5"/>
  <c r="H325" i="5" s="1"/>
  <c r="AX326" i="5"/>
  <c r="AW326" i="5" s="1"/>
  <c r="CU326" i="5"/>
  <c r="BD325" i="5"/>
  <c r="BE326" i="5" s="1"/>
  <c r="CZ325" i="5"/>
  <c r="BF325" i="5"/>
  <c r="AF325" i="5" l="1"/>
  <c r="AN325" i="5"/>
  <c r="BX326" i="5"/>
  <c r="CH326" i="5"/>
  <c r="CK326" i="5"/>
  <c r="CJ326" i="5" s="1"/>
  <c r="AD326" i="5"/>
  <c r="AE326" i="5" s="1"/>
  <c r="L326" i="5"/>
  <c r="T326" i="5"/>
  <c r="U326" i="5" s="1"/>
  <c r="W326" i="5"/>
  <c r="I325" i="5"/>
  <c r="AM326" i="5"/>
  <c r="AL327" i="5" s="1"/>
  <c r="CV326" i="5"/>
  <c r="CT326" i="5"/>
  <c r="DA326" i="5"/>
  <c r="DB326" i="5" s="1"/>
  <c r="K326" i="5" s="1"/>
  <c r="BN326" i="5"/>
  <c r="BO326" i="5" s="1"/>
  <c r="BP326" i="5" s="1"/>
  <c r="G326" i="5" s="1"/>
  <c r="H299" i="6"/>
  <c r="Z324" i="5"/>
  <c r="AH325" i="5" l="1"/>
  <c r="AT325" i="5"/>
  <c r="AP325" i="5"/>
  <c r="P325" i="5"/>
  <c r="AY325" i="5" s="1"/>
  <c r="M325" i="5"/>
  <c r="AG325" i="5" s="1"/>
  <c r="AJ325" i="5" s="1"/>
  <c r="CO326" i="5"/>
  <c r="F326" i="5" s="1"/>
  <c r="CN326" i="5"/>
  <c r="E326" i="5" s="1"/>
  <c r="AA324" i="5"/>
  <c r="I299" i="6" s="1"/>
  <c r="BW326" i="5" l="1"/>
  <c r="BY326" i="5"/>
  <c r="J326" i="5" s="1"/>
  <c r="AF326" i="5" s="1"/>
  <c r="N325" i="5"/>
  <c r="AS325" i="5"/>
  <c r="AV325" i="5" s="1"/>
  <c r="AO325" i="5"/>
  <c r="BC326" i="5"/>
  <c r="D301" i="6"/>
  <c r="E301" i="6"/>
  <c r="C327" i="5"/>
  <c r="BU327" i="5" s="1"/>
  <c r="F300" i="6"/>
  <c r="Q325" i="5"/>
  <c r="V325" i="5" s="1"/>
  <c r="AN326" i="5" l="1"/>
  <c r="BT327" i="5"/>
  <c r="BV327" i="5"/>
  <c r="BS327" i="5"/>
  <c r="CI327" i="5"/>
  <c r="BH327" i="5"/>
  <c r="BI327" i="5" s="1"/>
  <c r="BJ327" i="5" s="1"/>
  <c r="AR325" i="5"/>
  <c r="X325" i="5" s="1"/>
  <c r="Y325" i="5" s="1"/>
  <c r="BK327" i="5"/>
  <c r="BL327" i="5" s="1"/>
  <c r="BM327" i="5" s="1"/>
  <c r="D327" i="5"/>
  <c r="C302" i="6"/>
  <c r="AB327" i="5"/>
  <c r="L327" i="5" s="1"/>
  <c r="CR327" i="5"/>
  <c r="CY327" i="5"/>
  <c r="CX327" i="5"/>
  <c r="AC327" i="5"/>
  <c r="AD327" i="5" s="1"/>
  <c r="CL327" i="5"/>
  <c r="CM327" i="5" s="1"/>
  <c r="CS327" i="5"/>
  <c r="AK327" i="5"/>
  <c r="AM327" i="5" s="1"/>
  <c r="AL328" i="5" s="1"/>
  <c r="CW327" i="5"/>
  <c r="BG326" i="5"/>
  <c r="H326" i="5" s="1"/>
  <c r="AX327" i="5"/>
  <c r="AW327" i="5" s="1"/>
  <c r="CU327" i="5"/>
  <c r="BX327" i="5" s="1"/>
  <c r="G300" i="6"/>
  <c r="BD326" i="5"/>
  <c r="BE327" i="5" s="1"/>
  <c r="CZ326" i="5"/>
  <c r="BF326" i="5"/>
  <c r="CH327" i="5" l="1"/>
  <c r="CK327" i="5"/>
  <c r="CJ327" i="5" s="1"/>
  <c r="BN327" i="5"/>
  <c r="BO327" i="5" s="1"/>
  <c r="BP327" i="5" s="1"/>
  <c r="G327" i="5" s="1"/>
  <c r="DA327" i="5"/>
  <c r="DB327" i="5" s="1"/>
  <c r="K327" i="5" s="1"/>
  <c r="AE327" i="5"/>
  <c r="CP327" i="5"/>
  <c r="CQ327" i="5" s="1"/>
  <c r="R327" i="5" s="1"/>
  <c r="S327" i="5" s="1"/>
  <c r="I326" i="5"/>
  <c r="AH326" i="5" s="1"/>
  <c r="W327" i="5"/>
  <c r="T327" i="5"/>
  <c r="U327" i="5" s="1"/>
  <c r="CV327" i="5"/>
  <c r="CT327" i="5"/>
  <c r="H300" i="6"/>
  <c r="Z325" i="5"/>
  <c r="AT326" i="5" l="1"/>
  <c r="AP326" i="5"/>
  <c r="M326" i="5"/>
  <c r="P326" i="5"/>
  <c r="AY326" i="5" s="1"/>
  <c r="CO327" i="5"/>
  <c r="F327" i="5" s="1"/>
  <c r="CN327" i="5"/>
  <c r="E327" i="5" s="1"/>
  <c r="AA325" i="5"/>
  <c r="I300" i="6" s="1"/>
  <c r="BW327" i="5" l="1"/>
  <c r="BY327" i="5"/>
  <c r="J327" i="5" s="1"/>
  <c r="AO326" i="5"/>
  <c r="AR326" i="5" s="1"/>
  <c r="AG326" i="5"/>
  <c r="AJ326" i="5" s="1"/>
  <c r="BC327" i="5"/>
  <c r="D302" i="6"/>
  <c r="E302" i="6"/>
  <c r="C328" i="5"/>
  <c r="BU328" i="5" s="1"/>
  <c r="Q326" i="5"/>
  <c r="V326" i="5" s="1"/>
  <c r="G301" i="6" s="1"/>
  <c r="F301" i="6"/>
  <c r="N326" i="5"/>
  <c r="AS326" i="5"/>
  <c r="AV326" i="5" s="1"/>
  <c r="AN327" i="5" l="1"/>
  <c r="AF327" i="5"/>
  <c r="BT328" i="5"/>
  <c r="BV328" i="5"/>
  <c r="BS328" i="5"/>
  <c r="CI328" i="5"/>
  <c r="BH328" i="5"/>
  <c r="BI328" i="5" s="1"/>
  <c r="BJ328" i="5" s="1"/>
  <c r="X326" i="5"/>
  <c r="Y326" i="5" s="1"/>
  <c r="H301" i="6" s="1"/>
  <c r="CY328" i="5"/>
  <c r="BK328" i="5"/>
  <c r="BL328" i="5" s="1"/>
  <c r="BM328" i="5" s="1"/>
  <c r="CS328" i="5"/>
  <c r="AC328" i="5"/>
  <c r="AD328" i="5" s="1"/>
  <c r="CR328" i="5"/>
  <c r="CW328" i="5"/>
  <c r="CX328" i="5"/>
  <c r="D328" i="5"/>
  <c r="AB328" i="5"/>
  <c r="BN328" i="5" s="1"/>
  <c r="BO328" i="5" s="1"/>
  <c r="BP328" i="5" s="1"/>
  <c r="AK328" i="5"/>
  <c r="CL328" i="5"/>
  <c r="CM328" i="5" s="1"/>
  <c r="C303" i="6"/>
  <c r="BG327" i="5"/>
  <c r="H327" i="5" s="1"/>
  <c r="AX328" i="5"/>
  <c r="AW328" i="5" s="1"/>
  <c r="CU328" i="5"/>
  <c r="BX328" i="5" s="1"/>
  <c r="CZ327" i="5"/>
  <c r="BF327" i="5"/>
  <c r="BD327" i="5"/>
  <c r="BE328" i="5" s="1"/>
  <c r="G328" i="5" l="1"/>
  <c r="CK328" i="5"/>
  <c r="CJ328" i="5" s="1"/>
  <c r="CH328" i="5"/>
  <c r="Z326" i="5"/>
  <c r="DA328" i="5"/>
  <c r="DB328" i="5" s="1"/>
  <c r="K328" i="5" s="1"/>
  <c r="CV328" i="5"/>
  <c r="CT328" i="5"/>
  <c r="I327" i="5"/>
  <c r="AH327" i="5" s="1"/>
  <c r="AM328" i="5"/>
  <c r="AL329" i="5" s="1"/>
  <c r="AE328" i="5"/>
  <c r="W328" i="5"/>
  <c r="T328" i="5"/>
  <c r="U328" i="5" s="1"/>
  <c r="AA326" i="5"/>
  <c r="I301" i="6" s="1"/>
  <c r="L328" i="5"/>
  <c r="CP328" i="5"/>
  <c r="CQ328" i="5" s="1"/>
  <c r="R328" i="5" s="1"/>
  <c r="S328" i="5" s="1"/>
  <c r="AT327" i="5" l="1"/>
  <c r="AP327" i="5"/>
  <c r="P327" i="5"/>
  <c r="AY327" i="5" s="1"/>
  <c r="M327" i="5"/>
  <c r="AG327" i="5" s="1"/>
  <c r="AJ327" i="5" s="1"/>
  <c r="CN328" i="5"/>
  <c r="E328" i="5" s="1"/>
  <c r="CO328" i="5"/>
  <c r="F328" i="5" s="1"/>
  <c r="BY328" i="5" l="1"/>
  <c r="J328" i="5" s="1"/>
  <c r="BW328" i="5"/>
  <c r="N327" i="5"/>
  <c r="AS327" i="5"/>
  <c r="AV327" i="5" s="1"/>
  <c r="AO327" i="5"/>
  <c r="F302" i="6"/>
  <c r="Q327" i="5"/>
  <c r="V327" i="5" s="1"/>
  <c r="G302" i="6" s="1"/>
  <c r="BC328" i="5"/>
  <c r="D303" i="6"/>
  <c r="C329" i="5"/>
  <c r="BU329" i="5" s="1"/>
  <c r="E303" i="6"/>
  <c r="AN328" i="5" l="1"/>
  <c r="AF328" i="5"/>
  <c r="BT329" i="5"/>
  <c r="BV329" i="5"/>
  <c r="BS329" i="5"/>
  <c r="CI329" i="5"/>
  <c r="BH329" i="5"/>
  <c r="BI329" i="5" s="1"/>
  <c r="BJ329" i="5" s="1"/>
  <c r="BF328" i="5"/>
  <c r="BD328" i="5"/>
  <c r="BE329" i="5" s="1"/>
  <c r="CZ328" i="5"/>
  <c r="AR327" i="5"/>
  <c r="CX329" i="5"/>
  <c r="CL329" i="5"/>
  <c r="CM329" i="5" s="1"/>
  <c r="CW329" i="5"/>
  <c r="AB329" i="5"/>
  <c r="DA329" i="5" s="1"/>
  <c r="DB329" i="5" s="1"/>
  <c r="CS329" i="5"/>
  <c r="AK329" i="5"/>
  <c r="AM329" i="5" s="1"/>
  <c r="AL330" i="5" s="1"/>
  <c r="CR329" i="5"/>
  <c r="AC329" i="5"/>
  <c r="AD329" i="5" s="1"/>
  <c r="CY329" i="5"/>
  <c r="D329" i="5"/>
  <c r="BK329" i="5"/>
  <c r="BL329" i="5" s="1"/>
  <c r="BM329" i="5" s="1"/>
  <c r="C304" i="6"/>
  <c r="BG328" i="5"/>
  <c r="H328" i="5" s="1"/>
  <c r="AX329" i="5"/>
  <c r="AW329" i="5" s="1"/>
  <c r="CU329" i="5"/>
  <c r="BX329" i="5" s="1"/>
  <c r="CH329" i="5" l="1"/>
  <c r="CK329" i="5"/>
  <c r="CJ329" i="5" s="1"/>
  <c r="K329" i="5" s="1"/>
  <c r="X327" i="5"/>
  <c r="Y327" i="5" s="1"/>
  <c r="BN329" i="5"/>
  <c r="BO329" i="5" s="1"/>
  <c r="BP329" i="5" s="1"/>
  <c r="G329" i="5" s="1"/>
  <c r="L329" i="5"/>
  <c r="CP329" i="5"/>
  <c r="CQ329" i="5" s="1"/>
  <c r="R329" i="5" s="1"/>
  <c r="S329" i="5" s="1"/>
  <c r="I328" i="5"/>
  <c r="AH328" i="5" s="1"/>
  <c r="AE329" i="5"/>
  <c r="CT329" i="5"/>
  <c r="CV329" i="5"/>
  <c r="W329" i="5"/>
  <c r="T329" i="5"/>
  <c r="U329" i="5" s="1"/>
  <c r="Z327" i="5" l="1"/>
  <c r="AA327" i="5" s="1"/>
  <c r="I302" i="6" s="1"/>
  <c r="H302" i="6"/>
  <c r="AP328" i="5"/>
  <c r="AT328" i="5"/>
  <c r="CN329" i="5"/>
  <c r="E329" i="5" s="1"/>
  <c r="CO329" i="5"/>
  <c r="F329" i="5" s="1"/>
  <c r="M328" i="5"/>
  <c r="P328" i="5"/>
  <c r="AY328" i="5" s="1"/>
  <c r="AG328" i="5" l="1"/>
  <c r="AJ328" i="5" s="1"/>
  <c r="AO328" i="5"/>
  <c r="AR328" i="5" s="1"/>
  <c r="N328" i="5"/>
  <c r="AS328" i="5"/>
  <c r="AV328" i="5" s="1"/>
  <c r="BC329" i="5"/>
  <c r="D304" i="6"/>
  <c r="C330" i="5"/>
  <c r="BU330" i="5" s="1"/>
  <c r="E304" i="6"/>
  <c r="Q328" i="5"/>
  <c r="V328" i="5" s="1"/>
  <c r="F303" i="6"/>
  <c r="BW329" i="5" l="1"/>
  <c r="BY329" i="5"/>
  <c r="J329" i="5" s="1"/>
  <c r="BV330" i="5"/>
  <c r="BT330" i="5"/>
  <c r="BS330" i="5"/>
  <c r="CI330" i="5"/>
  <c r="BH330" i="5"/>
  <c r="BI330" i="5" s="1"/>
  <c r="BJ330" i="5" s="1"/>
  <c r="X328" i="5"/>
  <c r="Y328" i="5" s="1"/>
  <c r="G303" i="6"/>
  <c r="C305" i="6"/>
  <c r="AB330" i="5"/>
  <c r="BN330" i="5" s="1"/>
  <c r="BO330" i="5" s="1"/>
  <c r="BP330" i="5" s="1"/>
  <c r="CX330" i="5"/>
  <c r="CY330" i="5"/>
  <c r="CL330" i="5"/>
  <c r="CM330" i="5" s="1"/>
  <c r="AK330" i="5"/>
  <c r="AM330" i="5" s="1"/>
  <c r="AL331" i="5" s="1"/>
  <c r="CW330" i="5"/>
  <c r="CS330" i="5"/>
  <c r="BK330" i="5"/>
  <c r="BL330" i="5" s="1"/>
  <c r="BM330" i="5" s="1"/>
  <c r="AC330" i="5"/>
  <c r="AD330" i="5" s="1"/>
  <c r="CR330" i="5"/>
  <c r="D330" i="5"/>
  <c r="BG329" i="5"/>
  <c r="H329" i="5" s="1"/>
  <c r="AX330" i="5"/>
  <c r="AW330" i="5" s="1"/>
  <c r="CU330" i="5"/>
  <c r="CZ329" i="5"/>
  <c r="BF329" i="5"/>
  <c r="BD329" i="5"/>
  <c r="BE330" i="5" s="1"/>
  <c r="AN329" i="5" l="1"/>
  <c r="AF329" i="5"/>
  <c r="BX330" i="5"/>
  <c r="G330" i="5"/>
  <c r="CH330" i="5"/>
  <c r="CK330" i="5"/>
  <c r="CJ330" i="5" s="1"/>
  <c r="DA330" i="5"/>
  <c r="DB330" i="5" s="1"/>
  <c r="K330" i="5" s="1"/>
  <c r="L330" i="5"/>
  <c r="W330" i="5"/>
  <c r="T330" i="5"/>
  <c r="U330" i="5" s="1"/>
  <c r="I329" i="5"/>
  <c r="AE330" i="5"/>
  <c r="CT330" i="5"/>
  <c r="CV330" i="5"/>
  <c r="H303" i="6"/>
  <c r="Z328" i="5"/>
  <c r="CP330" i="5"/>
  <c r="CQ330" i="5" s="1"/>
  <c r="R330" i="5" s="1"/>
  <c r="S330" i="5" s="1"/>
  <c r="AH329" i="5" l="1"/>
  <c r="AT329" i="5"/>
  <c r="AP329" i="5"/>
  <c r="M329" i="5"/>
  <c r="P329" i="5"/>
  <c r="AY329" i="5" s="1"/>
  <c r="CO330" i="5"/>
  <c r="F330" i="5" s="1"/>
  <c r="CN330" i="5"/>
  <c r="E330" i="5" s="1"/>
  <c r="AA328" i="5"/>
  <c r="I303" i="6" s="1"/>
  <c r="AS329" i="5" l="1"/>
  <c r="AV329" i="5" s="1"/>
  <c r="AO329" i="5"/>
  <c r="AR329" i="5" s="1"/>
  <c r="D305" i="6"/>
  <c r="BC330" i="5"/>
  <c r="E305" i="6"/>
  <c r="C331" i="5"/>
  <c r="BU331" i="5" s="1"/>
  <c r="Q329" i="5"/>
  <c r="V329" i="5" s="1"/>
  <c r="F304" i="6"/>
  <c r="N329" i="5"/>
  <c r="AG329" i="5"/>
  <c r="BW330" i="5" l="1"/>
  <c r="BY330" i="5"/>
  <c r="J330" i="5" s="1"/>
  <c r="BT331" i="5"/>
  <c r="BV331" i="5"/>
  <c r="BS331" i="5"/>
  <c r="CI331" i="5"/>
  <c r="BH331" i="5"/>
  <c r="BI331" i="5" s="1"/>
  <c r="BJ331" i="5" s="1"/>
  <c r="BK331" i="5"/>
  <c r="BL331" i="5" s="1"/>
  <c r="BM331" i="5" s="1"/>
  <c r="AK331" i="5"/>
  <c r="CS331" i="5"/>
  <c r="CY331" i="5"/>
  <c r="CL331" i="5"/>
  <c r="CM331" i="5" s="1"/>
  <c r="AC331" i="5"/>
  <c r="CX331" i="5"/>
  <c r="C306" i="6"/>
  <c r="CW331" i="5"/>
  <c r="D331" i="5"/>
  <c r="AB331" i="5"/>
  <c r="CP331" i="5" s="1"/>
  <c r="CQ331" i="5" s="1"/>
  <c r="R331" i="5" s="1"/>
  <c r="S331" i="5" s="1"/>
  <c r="CR331" i="5"/>
  <c r="BG330" i="5"/>
  <c r="H330" i="5" s="1"/>
  <c r="AX331" i="5"/>
  <c r="AW331" i="5" s="1"/>
  <c r="CU331" i="5"/>
  <c r="G304" i="6"/>
  <c r="BF330" i="5"/>
  <c r="BD330" i="5"/>
  <c r="BE331" i="5" s="1"/>
  <c r="CZ330" i="5"/>
  <c r="AJ329" i="5"/>
  <c r="AF330" i="5" l="1"/>
  <c r="AN330" i="5"/>
  <c r="BX331" i="5"/>
  <c r="AD331" i="5"/>
  <c r="AE331" i="5" s="1"/>
  <c r="CK331" i="5"/>
  <c r="CJ331" i="5" s="1"/>
  <c r="CH331" i="5"/>
  <c r="X329" i="5"/>
  <c r="Y329" i="5" s="1"/>
  <c r="BN331" i="5"/>
  <c r="BO331" i="5" s="1"/>
  <c r="BP331" i="5" s="1"/>
  <c r="G331" i="5" s="1"/>
  <c r="DA331" i="5"/>
  <c r="DB331" i="5" s="1"/>
  <c r="K331" i="5" s="1"/>
  <c r="L331" i="5"/>
  <c r="W331" i="5"/>
  <c r="T331" i="5"/>
  <c r="U331" i="5" s="1"/>
  <c r="CT331" i="5"/>
  <c r="CV331" i="5"/>
  <c r="I330" i="5"/>
  <c r="AH330" i="5" s="1"/>
  <c r="AM331" i="5"/>
  <c r="AL332" i="5" s="1"/>
  <c r="H304" i="6" l="1"/>
  <c r="Z329" i="5"/>
  <c r="AA329" i="5" s="1"/>
  <c r="I304" i="6" s="1"/>
  <c r="AT330" i="5"/>
  <c r="AP330" i="5"/>
  <c r="CN331" i="5"/>
  <c r="E331" i="5" s="1"/>
  <c r="CO331" i="5"/>
  <c r="F331" i="5" s="1"/>
  <c r="M330" i="5"/>
  <c r="AG330" i="5" s="1"/>
  <c r="AJ330" i="5" s="1"/>
  <c r="P330" i="5"/>
  <c r="AY330" i="5" s="1"/>
  <c r="BW331" i="5" l="1"/>
  <c r="BY331" i="5"/>
  <c r="J331" i="5" s="1"/>
  <c r="N330" i="5"/>
  <c r="AS330" i="5"/>
  <c r="AV330" i="5" s="1"/>
  <c r="AO330" i="5"/>
  <c r="AR330" i="5" s="1"/>
  <c r="C332" i="5"/>
  <c r="BU332" i="5" s="1"/>
  <c r="E306" i="6"/>
  <c r="D306" i="6"/>
  <c r="BC331" i="5"/>
  <c r="F305" i="6"/>
  <c r="Q330" i="5"/>
  <c r="V330" i="5" s="1"/>
  <c r="AF331" i="5" l="1"/>
  <c r="AN331" i="5"/>
  <c r="BT332" i="5"/>
  <c r="BV332" i="5"/>
  <c r="BS332" i="5"/>
  <c r="CI332" i="5"/>
  <c r="X330" i="5"/>
  <c r="Y330" i="5" s="1"/>
  <c r="BH332" i="5"/>
  <c r="BI332" i="5" s="1"/>
  <c r="BJ332" i="5" s="1"/>
  <c r="G305" i="6"/>
  <c r="BF331" i="5"/>
  <c r="CZ331" i="5"/>
  <c r="BD331" i="5"/>
  <c r="BE332" i="5" s="1"/>
  <c r="C307" i="6"/>
  <c r="BK332" i="5"/>
  <c r="BL332" i="5" s="1"/>
  <c r="BM332" i="5" s="1"/>
  <c r="AC332" i="5"/>
  <c r="AD332" i="5" s="1"/>
  <c r="CR332" i="5"/>
  <c r="CY332" i="5"/>
  <c r="CS332" i="5"/>
  <c r="CX332" i="5"/>
  <c r="CL332" i="5"/>
  <c r="CM332" i="5" s="1"/>
  <c r="AK332" i="5"/>
  <c r="AM332" i="5" s="1"/>
  <c r="AL333" i="5" s="1"/>
  <c r="AB332" i="5"/>
  <c r="BN332" i="5" s="1"/>
  <c r="BO332" i="5" s="1"/>
  <c r="BP332" i="5" s="1"/>
  <c r="D332" i="5"/>
  <c r="CW332" i="5"/>
  <c r="BG331" i="5"/>
  <c r="H331" i="5" s="1"/>
  <c r="AX332" i="5"/>
  <c r="AW332" i="5" s="1"/>
  <c r="CU332" i="5"/>
  <c r="BX332" i="5" s="1"/>
  <c r="G332" i="5" l="1"/>
  <c r="CH332" i="5"/>
  <c r="CK332" i="5"/>
  <c r="CJ332" i="5" s="1"/>
  <c r="DA332" i="5"/>
  <c r="DB332" i="5" s="1"/>
  <c r="K332" i="5" s="1"/>
  <c r="AE332" i="5"/>
  <c r="CT332" i="5"/>
  <c r="CV332" i="5"/>
  <c r="CP332" i="5"/>
  <c r="CQ332" i="5" s="1"/>
  <c r="R332" i="5" s="1"/>
  <c r="S332" i="5" s="1"/>
  <c r="I331" i="5"/>
  <c r="AP331" i="5" s="1"/>
  <c r="H305" i="6"/>
  <c r="Z330" i="5"/>
  <c r="L332" i="5"/>
  <c r="W332" i="5"/>
  <c r="T332" i="5"/>
  <c r="U332" i="5" s="1"/>
  <c r="AT331" i="5" l="1"/>
  <c r="AH331" i="5"/>
  <c r="AA330" i="5"/>
  <c r="I305" i="6" s="1"/>
  <c r="CN332" i="5"/>
  <c r="E332" i="5" s="1"/>
  <c r="CO332" i="5"/>
  <c r="F332" i="5" s="1"/>
  <c r="M331" i="5"/>
  <c r="P331" i="5"/>
  <c r="AY331" i="5" s="1"/>
  <c r="AG331" i="5" l="1"/>
  <c r="AJ331" i="5" s="1"/>
  <c r="AO331" i="5"/>
  <c r="AR331" i="5" s="1"/>
  <c r="N331" i="5"/>
  <c r="AS331" i="5"/>
  <c r="AV331" i="5" s="1"/>
  <c r="Q331" i="5"/>
  <c r="V331" i="5" s="1"/>
  <c r="F306" i="6"/>
  <c r="BC332" i="5"/>
  <c r="D307" i="6"/>
  <c r="E307" i="6"/>
  <c r="C333" i="5"/>
  <c r="BU333" i="5" s="1"/>
  <c r="BW332" i="5" l="1"/>
  <c r="BY332" i="5"/>
  <c r="J332" i="5" s="1"/>
  <c r="BV333" i="5"/>
  <c r="BT333" i="5"/>
  <c r="BS333" i="5"/>
  <c r="CI333" i="5"/>
  <c r="BH333" i="5"/>
  <c r="BI333" i="5" s="1"/>
  <c r="BJ333" i="5" s="1"/>
  <c r="X331" i="5"/>
  <c r="Y331" i="5" s="1"/>
  <c r="BK333" i="5"/>
  <c r="BL333" i="5" s="1"/>
  <c r="BM333" i="5" s="1"/>
  <c r="CR333" i="5"/>
  <c r="CY333" i="5"/>
  <c r="CW333" i="5"/>
  <c r="CL333" i="5"/>
  <c r="CM333" i="5" s="1"/>
  <c r="CX333" i="5"/>
  <c r="D333" i="5"/>
  <c r="AC333" i="5"/>
  <c r="AD333" i="5" s="1"/>
  <c r="C308" i="6"/>
  <c r="AK333" i="5"/>
  <c r="AB333" i="5"/>
  <c r="CP333" i="5" s="1"/>
  <c r="CQ333" i="5" s="1"/>
  <c r="R333" i="5" s="1"/>
  <c r="S333" i="5" s="1"/>
  <c r="CS333" i="5"/>
  <c r="BG332" i="5"/>
  <c r="H332" i="5" s="1"/>
  <c r="AX333" i="5"/>
  <c r="AW333" i="5" s="1"/>
  <c r="CU333" i="5"/>
  <c r="BD332" i="5"/>
  <c r="BE333" i="5" s="1"/>
  <c r="BF332" i="5"/>
  <c r="CZ332" i="5"/>
  <c r="G306" i="6"/>
  <c r="AN332" i="5" l="1"/>
  <c r="AF332" i="5"/>
  <c r="BX333" i="5"/>
  <c r="CH333" i="5"/>
  <c r="CK333" i="5"/>
  <c r="CJ333" i="5" s="1"/>
  <c r="DA333" i="5"/>
  <c r="DB333" i="5" s="1"/>
  <c r="K333" i="5" s="1"/>
  <c r="BN333" i="5"/>
  <c r="BO333" i="5" s="1"/>
  <c r="BP333" i="5" s="1"/>
  <c r="G333" i="5" s="1"/>
  <c r="CV333" i="5"/>
  <c r="CT333" i="5"/>
  <c r="W333" i="5"/>
  <c r="T333" i="5"/>
  <c r="U333" i="5" s="1"/>
  <c r="L333" i="5"/>
  <c r="AM333" i="5"/>
  <c r="AL334" i="5" s="1"/>
  <c r="H306" i="6"/>
  <c r="Z331" i="5"/>
  <c r="I332" i="5"/>
  <c r="AE333" i="5"/>
  <c r="AH332" i="5" l="1"/>
  <c r="AT332" i="5"/>
  <c r="AP332" i="5"/>
  <c r="M332" i="5"/>
  <c r="P332" i="5"/>
  <c r="AY332" i="5" s="1"/>
  <c r="AA331" i="5"/>
  <c r="I306" i="6" s="1"/>
  <c r="CO333" i="5"/>
  <c r="F333" i="5" s="1"/>
  <c r="CN333" i="5"/>
  <c r="E333" i="5" s="1"/>
  <c r="BY333" i="5" l="1"/>
  <c r="J333" i="5" s="1"/>
  <c r="AS332" i="5"/>
  <c r="AV332" i="5" s="1"/>
  <c r="AO332" i="5"/>
  <c r="AR332" i="5" s="1"/>
  <c r="BC333" i="5"/>
  <c r="D308" i="6"/>
  <c r="Q332" i="5"/>
  <c r="V332" i="5" s="1"/>
  <c r="F307" i="6"/>
  <c r="C334" i="5"/>
  <c r="BU334" i="5" s="1"/>
  <c r="E308" i="6"/>
  <c r="AG332" i="5"/>
  <c r="N332" i="5"/>
  <c r="AF333" i="5" l="1"/>
  <c r="AN333" i="5"/>
  <c r="BW333" i="5"/>
  <c r="BV334" i="5"/>
  <c r="BT334" i="5"/>
  <c r="BS334" i="5"/>
  <c r="CI334" i="5"/>
  <c r="BH334" i="5"/>
  <c r="BI334" i="5" s="1"/>
  <c r="BJ334" i="5" s="1"/>
  <c r="AJ332" i="5"/>
  <c r="X332" i="5" s="1"/>
  <c r="Y332" i="5" s="1"/>
  <c r="CW334" i="5"/>
  <c r="BK334" i="5"/>
  <c r="BL334" i="5" s="1"/>
  <c r="BM334" i="5" s="1"/>
  <c r="AC334" i="5"/>
  <c r="CR334" i="5"/>
  <c r="CL334" i="5"/>
  <c r="CM334" i="5" s="1"/>
  <c r="CS334" i="5"/>
  <c r="AK334" i="5"/>
  <c r="AB334" i="5"/>
  <c r="CP334" i="5" s="1"/>
  <c r="CQ334" i="5" s="1"/>
  <c r="R334" i="5" s="1"/>
  <c r="S334" i="5" s="1"/>
  <c r="CX334" i="5"/>
  <c r="D334" i="5"/>
  <c r="C309" i="6"/>
  <c r="CY334" i="5"/>
  <c r="BG333" i="5"/>
  <c r="H333" i="5" s="1"/>
  <c r="AX334" i="5"/>
  <c r="AW334" i="5" s="1"/>
  <c r="CU334" i="5"/>
  <c r="G307" i="6"/>
  <c r="CZ333" i="5"/>
  <c r="BD333" i="5"/>
  <c r="BE334" i="5" s="1"/>
  <c r="BF333" i="5"/>
  <c r="BX334" i="5" l="1"/>
  <c r="AD334" i="5"/>
  <c r="AE334" i="5" s="1"/>
  <c r="CH334" i="5"/>
  <c r="CK334" i="5"/>
  <c r="CJ334" i="5" s="1"/>
  <c r="L334" i="5"/>
  <c r="DA334" i="5"/>
  <c r="DB334" i="5" s="1"/>
  <c r="K334" i="5" s="1"/>
  <c r="CT334" i="5"/>
  <c r="CV334" i="5"/>
  <c r="BN334" i="5"/>
  <c r="BO334" i="5" s="1"/>
  <c r="BP334" i="5" s="1"/>
  <c r="G334" i="5" s="1"/>
  <c r="T334" i="5"/>
  <c r="U334" i="5" s="1"/>
  <c r="W334" i="5"/>
  <c r="I333" i="5"/>
  <c r="AH333" i="5" s="1"/>
  <c r="AM334" i="5"/>
  <c r="AL335" i="5" s="1"/>
  <c r="H307" i="6"/>
  <c r="Z332" i="5"/>
  <c r="AT333" i="5" l="1"/>
  <c r="AP333" i="5"/>
  <c r="CN334" i="5"/>
  <c r="E334" i="5" s="1"/>
  <c r="CO334" i="5"/>
  <c r="F334" i="5" s="1"/>
  <c r="P333" i="5"/>
  <c r="AY333" i="5" s="1"/>
  <c r="M333" i="5"/>
  <c r="AA332" i="5"/>
  <c r="I307" i="6" s="1"/>
  <c r="BW334" i="5" l="1"/>
  <c r="BY334" i="5"/>
  <c r="J334" i="5" s="1"/>
  <c r="AO333" i="5"/>
  <c r="AR333" i="5" s="1"/>
  <c r="AG333" i="5"/>
  <c r="AJ333" i="5" s="1"/>
  <c r="BC334" i="5"/>
  <c r="D309" i="6"/>
  <c r="N333" i="5"/>
  <c r="AS333" i="5"/>
  <c r="AV333" i="5" s="1"/>
  <c r="C335" i="5"/>
  <c r="BU335" i="5" s="1"/>
  <c r="E309" i="6"/>
  <c r="Q333" i="5"/>
  <c r="V333" i="5" s="1"/>
  <c r="G308" i="6" s="1"/>
  <c r="F308" i="6"/>
  <c r="AN334" i="5" l="1"/>
  <c r="AF334" i="5"/>
  <c r="BT335" i="5"/>
  <c r="BV335" i="5"/>
  <c r="BS335" i="5"/>
  <c r="CI335" i="5"/>
  <c r="BH335" i="5"/>
  <c r="BI335" i="5" s="1"/>
  <c r="BJ335" i="5" s="1"/>
  <c r="X333" i="5"/>
  <c r="Y333" i="5" s="1"/>
  <c r="CL335" i="5"/>
  <c r="CM335" i="5" s="1"/>
  <c r="CS335" i="5"/>
  <c r="C310" i="6"/>
  <c r="AC335" i="5"/>
  <c r="D335" i="5"/>
  <c r="CR335" i="5"/>
  <c r="CX335" i="5"/>
  <c r="AK335" i="5"/>
  <c r="AM335" i="5" s="1"/>
  <c r="AL336" i="5" s="1"/>
  <c r="AB335" i="5"/>
  <c r="DA335" i="5" s="1"/>
  <c r="DB335" i="5" s="1"/>
  <c r="CY335" i="5"/>
  <c r="BK335" i="5"/>
  <c r="BL335" i="5" s="1"/>
  <c r="BM335" i="5" s="1"/>
  <c r="CW335" i="5"/>
  <c r="BG334" i="5"/>
  <c r="H334" i="5" s="1"/>
  <c r="AX335" i="5"/>
  <c r="AW335" i="5" s="1"/>
  <c r="CU335" i="5"/>
  <c r="BX335" i="5" s="1"/>
  <c r="BD334" i="5"/>
  <c r="BE335" i="5" s="1"/>
  <c r="BF334" i="5"/>
  <c r="CZ334" i="5"/>
  <c r="AD335" i="5" l="1"/>
  <c r="AE335" i="5" s="1"/>
  <c r="CH335" i="5"/>
  <c r="CK335" i="5"/>
  <c r="CJ335" i="5" s="1"/>
  <c r="K335" i="5" s="1"/>
  <c r="CP335" i="5"/>
  <c r="CQ335" i="5" s="1"/>
  <c r="R335" i="5" s="1"/>
  <c r="S335" i="5" s="1"/>
  <c r="BN335" i="5"/>
  <c r="BO335" i="5" s="1"/>
  <c r="BP335" i="5" s="1"/>
  <c r="G335" i="5" s="1"/>
  <c r="L335" i="5"/>
  <c r="T335" i="5"/>
  <c r="U335" i="5" s="1"/>
  <c r="W335" i="5"/>
  <c r="I334" i="5"/>
  <c r="AH334" i="5" s="1"/>
  <c r="CV335" i="5"/>
  <c r="CT335" i="5"/>
  <c r="H308" i="6"/>
  <c r="Z333" i="5"/>
  <c r="AT334" i="5" l="1"/>
  <c r="AP334" i="5"/>
  <c r="AA333" i="5"/>
  <c r="I308" i="6" s="1"/>
  <c r="CN335" i="5"/>
  <c r="E335" i="5" s="1"/>
  <c r="CO335" i="5"/>
  <c r="F335" i="5" s="1"/>
  <c r="M334" i="5"/>
  <c r="AG334" i="5" s="1"/>
  <c r="AJ334" i="5" s="1"/>
  <c r="P334" i="5"/>
  <c r="AY334" i="5" s="1"/>
  <c r="BW335" i="5" l="1"/>
  <c r="C336" i="5"/>
  <c r="BU336" i="5" s="1"/>
  <c r="E310" i="6"/>
  <c r="F309" i="6"/>
  <c r="Q334" i="5"/>
  <c r="V334" i="5" s="1"/>
  <c r="N334" i="5"/>
  <c r="AS334" i="5"/>
  <c r="AV334" i="5" s="1"/>
  <c r="AO334" i="5"/>
  <c r="AR334" i="5" s="1"/>
  <c r="D310" i="6"/>
  <c r="BC335" i="5"/>
  <c r="BY335" i="5" l="1"/>
  <c r="J335" i="5" s="1"/>
  <c r="BT336" i="5"/>
  <c r="BV336" i="5"/>
  <c r="BS336" i="5"/>
  <c r="CI336" i="5"/>
  <c r="X334" i="5"/>
  <c r="Y334" i="5" s="1"/>
  <c r="BH336" i="5"/>
  <c r="BI336" i="5" s="1"/>
  <c r="BJ336" i="5" s="1"/>
  <c r="G309" i="6"/>
  <c r="BF335" i="5"/>
  <c r="BD335" i="5"/>
  <c r="BE336" i="5" s="1"/>
  <c r="CZ335" i="5"/>
  <c r="CY336" i="5"/>
  <c r="AK336" i="5"/>
  <c r="AM336" i="5" s="1"/>
  <c r="AL337" i="5" s="1"/>
  <c r="CS336" i="5"/>
  <c r="C311" i="6"/>
  <c r="BK336" i="5"/>
  <c r="BL336" i="5" s="1"/>
  <c r="BM336" i="5" s="1"/>
  <c r="D336" i="5"/>
  <c r="CW336" i="5"/>
  <c r="AB336" i="5"/>
  <c r="L336" i="5" s="1"/>
  <c r="CR336" i="5"/>
  <c r="AC336" i="5"/>
  <c r="CL336" i="5"/>
  <c r="CM336" i="5" s="1"/>
  <c r="CX336" i="5"/>
  <c r="BG335" i="5"/>
  <c r="H335" i="5" s="1"/>
  <c r="AX336" i="5"/>
  <c r="AW336" i="5" s="1"/>
  <c r="CU336" i="5"/>
  <c r="BX336" i="5" s="1"/>
  <c r="AN335" i="5" l="1"/>
  <c r="AF335" i="5"/>
  <c r="AD336" i="5"/>
  <c r="AE336" i="5" s="1"/>
  <c r="CK336" i="5"/>
  <c r="CJ336" i="5" s="1"/>
  <c r="CH336" i="5"/>
  <c r="CT336" i="5"/>
  <c r="CV336" i="5"/>
  <c r="BN336" i="5"/>
  <c r="BO336" i="5" s="1"/>
  <c r="BP336" i="5" s="1"/>
  <c r="G336" i="5" s="1"/>
  <c r="W336" i="5"/>
  <c r="T336" i="5"/>
  <c r="U336" i="5" s="1"/>
  <c r="DA336" i="5"/>
  <c r="DB336" i="5" s="1"/>
  <c r="K336" i="5" s="1"/>
  <c r="I335" i="5"/>
  <c r="AP335" i="5" s="1"/>
  <c r="H309" i="6"/>
  <c r="Z334" i="5"/>
  <c r="CP336" i="5"/>
  <c r="CQ336" i="5" s="1"/>
  <c r="R336" i="5" s="1"/>
  <c r="S336" i="5" s="1"/>
  <c r="AH335" i="5" l="1"/>
  <c r="AT335" i="5"/>
  <c r="AA334" i="5"/>
  <c r="I309" i="6" s="1"/>
  <c r="P335" i="5"/>
  <c r="AY335" i="5" s="1"/>
  <c r="M335" i="5"/>
  <c r="CO336" i="5"/>
  <c r="F336" i="5" s="1"/>
  <c r="CN336" i="5"/>
  <c r="E336" i="5" s="1"/>
  <c r="BY336" i="5" l="1"/>
  <c r="J336" i="5" s="1"/>
  <c r="AG335" i="5"/>
  <c r="AJ335" i="5" s="1"/>
  <c r="AO335" i="5"/>
  <c r="AR335" i="5" s="1"/>
  <c r="N335" i="5"/>
  <c r="AS335" i="5"/>
  <c r="AV335" i="5" s="1"/>
  <c r="C337" i="5"/>
  <c r="BU337" i="5" s="1"/>
  <c r="E311" i="6"/>
  <c r="Q335" i="5"/>
  <c r="V335" i="5" s="1"/>
  <c r="F310" i="6"/>
  <c r="D311" i="6"/>
  <c r="BC336" i="5"/>
  <c r="AN336" i="5" l="1"/>
  <c r="AF336" i="5"/>
  <c r="BW336" i="5"/>
  <c r="BT337" i="5"/>
  <c r="BV337" i="5"/>
  <c r="BS337" i="5"/>
  <c r="CI337" i="5"/>
  <c r="BH337" i="5"/>
  <c r="BI337" i="5" s="1"/>
  <c r="BJ337" i="5" s="1"/>
  <c r="X335" i="5"/>
  <c r="Y335" i="5" s="1"/>
  <c r="BF336" i="5"/>
  <c r="BD336" i="5"/>
  <c r="BE337" i="5" s="1"/>
  <c r="CZ336" i="5"/>
  <c r="G310" i="6"/>
  <c r="CY337" i="5"/>
  <c r="AB337" i="5"/>
  <c r="BN337" i="5" s="1"/>
  <c r="BO337" i="5" s="1"/>
  <c r="BP337" i="5" s="1"/>
  <c r="AC337" i="5"/>
  <c r="AD337" i="5" s="1"/>
  <c r="AK337" i="5"/>
  <c r="AM337" i="5" s="1"/>
  <c r="AL338" i="5" s="1"/>
  <c r="CX337" i="5"/>
  <c r="CL337" i="5"/>
  <c r="CM337" i="5" s="1"/>
  <c r="CW337" i="5"/>
  <c r="CS337" i="5"/>
  <c r="D337" i="5"/>
  <c r="BK337" i="5"/>
  <c r="BL337" i="5" s="1"/>
  <c r="BM337" i="5" s="1"/>
  <c r="CR337" i="5"/>
  <c r="C312" i="6"/>
  <c r="BG336" i="5"/>
  <c r="H336" i="5" s="1"/>
  <c r="AX337" i="5"/>
  <c r="AW337" i="5" s="1"/>
  <c r="CU337" i="5"/>
  <c r="BX337" i="5" l="1"/>
  <c r="G337" i="5"/>
  <c r="CH337" i="5"/>
  <c r="CK337" i="5"/>
  <c r="CJ337" i="5" s="1"/>
  <c r="AE337" i="5"/>
  <c r="T337" i="5"/>
  <c r="U337" i="5" s="1"/>
  <c r="W337" i="5"/>
  <c r="CV337" i="5"/>
  <c r="CT337" i="5"/>
  <c r="H310" i="6"/>
  <c r="Z335" i="5"/>
  <c r="CP337" i="5"/>
  <c r="CQ337" i="5" s="1"/>
  <c r="R337" i="5" s="1"/>
  <c r="S337" i="5" s="1"/>
  <c r="I336" i="5"/>
  <c r="DA337" i="5"/>
  <c r="DB337" i="5" s="1"/>
  <c r="K337" i="5" s="1"/>
  <c r="L337" i="5"/>
  <c r="AH336" i="5" l="1"/>
  <c r="AT336" i="5"/>
  <c r="AP336" i="5"/>
  <c r="CO337" i="5"/>
  <c r="F337" i="5" s="1"/>
  <c r="CN337" i="5"/>
  <c r="E337" i="5" s="1"/>
  <c r="M336" i="5"/>
  <c r="P336" i="5"/>
  <c r="AA335" i="5"/>
  <c r="I310" i="6" s="1"/>
  <c r="BW337" i="5" l="1"/>
  <c r="BY337" i="5"/>
  <c r="J337" i="5" s="1"/>
  <c r="AY336" i="5"/>
  <c r="BB336" i="5"/>
  <c r="AS336" i="5"/>
  <c r="AV336" i="5" s="1"/>
  <c r="AO336" i="5"/>
  <c r="AR336" i="5" s="1"/>
  <c r="Q336" i="5"/>
  <c r="V336" i="5" s="1"/>
  <c r="F311" i="6"/>
  <c r="N336" i="5"/>
  <c r="AG336" i="5"/>
  <c r="BC337" i="5"/>
  <c r="D312" i="6"/>
  <c r="E312" i="6"/>
  <c r="C338" i="5"/>
  <c r="BU338" i="5" s="1"/>
  <c r="AF337" i="5" l="1"/>
  <c r="AN337" i="5"/>
  <c r="BV338" i="5"/>
  <c r="BT338" i="5"/>
  <c r="BS338" i="5"/>
  <c r="CI338" i="5"/>
  <c r="BH338" i="5"/>
  <c r="BI338" i="5" s="1"/>
  <c r="BJ338" i="5" s="1"/>
  <c r="AJ336" i="5"/>
  <c r="BD337" i="5"/>
  <c r="BE338" i="5" s="1"/>
  <c r="CZ337" i="5"/>
  <c r="BF337" i="5"/>
  <c r="G311" i="6"/>
  <c r="CR338" i="5"/>
  <c r="C313" i="6"/>
  <c r="CX338" i="5"/>
  <c r="CW338" i="5"/>
  <c r="CS338" i="5"/>
  <c r="AC338" i="5"/>
  <c r="D338" i="5"/>
  <c r="CL338" i="5"/>
  <c r="CM338" i="5" s="1"/>
  <c r="CY338" i="5"/>
  <c r="AB338" i="5"/>
  <c r="DA338" i="5" s="1"/>
  <c r="DB338" i="5" s="1"/>
  <c r="AK338" i="5"/>
  <c r="BK338" i="5"/>
  <c r="BL338" i="5" s="1"/>
  <c r="BM338" i="5" s="1"/>
  <c r="BG337" i="5"/>
  <c r="H337" i="5" s="1"/>
  <c r="AX338" i="5"/>
  <c r="AW338" i="5" s="1"/>
  <c r="CU338" i="5"/>
  <c r="BX338" i="5" s="1"/>
  <c r="AD338" i="5" l="1"/>
  <c r="AE338" i="5" s="1"/>
  <c r="CH338" i="5"/>
  <c r="CK338" i="5"/>
  <c r="CJ338" i="5" s="1"/>
  <c r="K338" i="5" s="1"/>
  <c r="X336" i="5"/>
  <c r="Y336" i="5" s="1"/>
  <c r="CV338" i="5"/>
  <c r="CT338" i="5"/>
  <c r="AM338" i="5"/>
  <c r="AL339" i="5" s="1"/>
  <c r="L338" i="5"/>
  <c r="I337" i="5"/>
  <c r="AH337" i="5" s="1"/>
  <c r="W338" i="5"/>
  <c r="T338" i="5"/>
  <c r="U338" i="5" s="1"/>
  <c r="BN338" i="5"/>
  <c r="BO338" i="5" s="1"/>
  <c r="BP338" i="5" s="1"/>
  <c r="G338" i="5" s="1"/>
  <c r="CP338" i="5"/>
  <c r="CQ338" i="5" s="1"/>
  <c r="R338" i="5" s="1"/>
  <c r="S338" i="5" s="1"/>
  <c r="Z336" i="5" l="1"/>
  <c r="AA336" i="5" s="1"/>
  <c r="I311" i="6" s="1"/>
  <c r="H311" i="6"/>
  <c r="AT337" i="5"/>
  <c r="AP337" i="5"/>
  <c r="P337" i="5"/>
  <c r="AY337" i="5" s="1"/>
  <c r="M337" i="5"/>
  <c r="CN338" i="5"/>
  <c r="E338" i="5" s="1"/>
  <c r="CO338" i="5"/>
  <c r="F338" i="5" s="1"/>
  <c r="BW338" i="5" l="1"/>
  <c r="BY338" i="5"/>
  <c r="J338" i="5" s="1"/>
  <c r="AO337" i="5"/>
  <c r="AR337" i="5" s="1"/>
  <c r="AG337" i="5"/>
  <c r="AJ337" i="5" s="1"/>
  <c r="N337" i="5"/>
  <c r="AS337" i="5"/>
  <c r="AV337" i="5" s="1"/>
  <c r="Q337" i="5"/>
  <c r="V337" i="5" s="1"/>
  <c r="F312" i="6"/>
  <c r="D313" i="6"/>
  <c r="BC338" i="5"/>
  <c r="C339" i="5"/>
  <c r="BU339" i="5" s="1"/>
  <c r="E313" i="6"/>
  <c r="AN338" i="5" l="1"/>
  <c r="AF338" i="5"/>
  <c r="BT339" i="5"/>
  <c r="BV339" i="5"/>
  <c r="BS339" i="5"/>
  <c r="CI339" i="5"/>
  <c r="BH339" i="5"/>
  <c r="BI339" i="5" s="1"/>
  <c r="BJ339" i="5" s="1"/>
  <c r="X337" i="5"/>
  <c r="Y337" i="5" s="1"/>
  <c r="BF338" i="5"/>
  <c r="CZ338" i="5"/>
  <c r="BD338" i="5"/>
  <c r="BE339" i="5" s="1"/>
  <c r="D339" i="5"/>
  <c r="BK339" i="5"/>
  <c r="BL339" i="5" s="1"/>
  <c r="BM339" i="5" s="1"/>
  <c r="CW339" i="5"/>
  <c r="AC339" i="5"/>
  <c r="CS339" i="5"/>
  <c r="C314" i="6"/>
  <c r="CR339" i="5"/>
  <c r="CL339" i="5"/>
  <c r="CM339" i="5" s="1"/>
  <c r="CY339" i="5"/>
  <c r="CX339" i="5"/>
  <c r="AK339" i="5"/>
  <c r="AB339" i="5"/>
  <c r="CP339" i="5" s="1"/>
  <c r="CQ339" i="5" s="1"/>
  <c r="R339" i="5" s="1"/>
  <c r="S339" i="5" s="1"/>
  <c r="BG338" i="5"/>
  <c r="H338" i="5" s="1"/>
  <c r="AX339" i="5"/>
  <c r="AW339" i="5" s="1"/>
  <c r="CU339" i="5"/>
  <c r="BX339" i="5" s="1"/>
  <c r="G312" i="6"/>
  <c r="AD339" i="5" l="1"/>
  <c r="AE339" i="5" s="1"/>
  <c r="CK339" i="5"/>
  <c r="CJ339" i="5" s="1"/>
  <c r="CH339" i="5"/>
  <c r="I338" i="5"/>
  <c r="AP338" i="5" s="1"/>
  <c r="AM339" i="5"/>
  <c r="AL340" i="5" s="1"/>
  <c r="H312" i="6"/>
  <c r="Z337" i="5"/>
  <c r="W339" i="5"/>
  <c r="T339" i="5"/>
  <c r="U339" i="5" s="1"/>
  <c r="CV339" i="5"/>
  <c r="CT339" i="5"/>
  <c r="DA339" i="5"/>
  <c r="DB339" i="5" s="1"/>
  <c r="K339" i="5" s="1"/>
  <c r="L339" i="5"/>
  <c r="BN339" i="5"/>
  <c r="BO339" i="5" s="1"/>
  <c r="BP339" i="5" s="1"/>
  <c r="G339" i="5" s="1"/>
  <c r="AH338" i="5" l="1"/>
  <c r="AT338" i="5"/>
  <c r="AA337" i="5"/>
  <c r="I312" i="6" s="1"/>
  <c r="CO339" i="5"/>
  <c r="F339" i="5" s="1"/>
  <c r="CN339" i="5"/>
  <c r="E339" i="5" s="1"/>
  <c r="M338" i="5"/>
  <c r="P338" i="5"/>
  <c r="AY338" i="5" s="1"/>
  <c r="BW339" i="5" l="1"/>
  <c r="BY339" i="5"/>
  <c r="J339" i="5" s="1"/>
  <c r="AN339" i="5" s="1"/>
  <c r="AS338" i="5"/>
  <c r="AV338" i="5" s="1"/>
  <c r="AO338" i="5"/>
  <c r="AR338" i="5" s="1"/>
  <c r="N338" i="5"/>
  <c r="AG338" i="5"/>
  <c r="AJ338" i="5" s="1"/>
  <c r="BC339" i="5"/>
  <c r="D314" i="6"/>
  <c r="E314" i="6"/>
  <c r="C340" i="5"/>
  <c r="BU340" i="5" s="1"/>
  <c r="Q338" i="5"/>
  <c r="V338" i="5" s="1"/>
  <c r="F313" i="6"/>
  <c r="AF339" i="5" l="1"/>
  <c r="BT340" i="5"/>
  <c r="BV340" i="5"/>
  <c r="BS340" i="5"/>
  <c r="CI340" i="5"/>
  <c r="BH340" i="5"/>
  <c r="BI340" i="5" s="1"/>
  <c r="BJ340" i="5" s="1"/>
  <c r="X338" i="5"/>
  <c r="Y338" i="5" s="1"/>
  <c r="G313" i="6"/>
  <c r="AB340" i="5"/>
  <c r="L340" i="5" s="1"/>
  <c r="D340" i="5"/>
  <c r="CY340" i="5"/>
  <c r="AC340" i="5"/>
  <c r="CS340" i="5"/>
  <c r="CX340" i="5"/>
  <c r="BK340" i="5"/>
  <c r="BL340" i="5" s="1"/>
  <c r="BM340" i="5" s="1"/>
  <c r="CL340" i="5"/>
  <c r="CM340" i="5" s="1"/>
  <c r="CR340" i="5"/>
  <c r="CW340" i="5"/>
  <c r="AK340" i="5"/>
  <c r="AM340" i="5" s="1"/>
  <c r="AL341" i="5" s="1"/>
  <c r="C315" i="6"/>
  <c r="BG339" i="5"/>
  <c r="H339" i="5" s="1"/>
  <c r="AX340" i="5"/>
  <c r="AW340" i="5" s="1"/>
  <c r="CU340" i="5"/>
  <c r="BX340" i="5" s="1"/>
  <c r="BF339" i="5"/>
  <c r="BD339" i="5"/>
  <c r="BE340" i="5" s="1"/>
  <c r="CZ339" i="5"/>
  <c r="AD340" i="5" l="1"/>
  <c r="AE340" i="5" s="1"/>
  <c r="CH340" i="5"/>
  <c r="CK340" i="5"/>
  <c r="CJ340" i="5" s="1"/>
  <c r="BN340" i="5"/>
  <c r="BO340" i="5" s="1"/>
  <c r="BP340" i="5" s="1"/>
  <c r="G340" i="5" s="1"/>
  <c r="DA340" i="5"/>
  <c r="DB340" i="5" s="1"/>
  <c r="K340" i="5" s="1"/>
  <c r="I339" i="5"/>
  <c r="AH339" i="5" s="1"/>
  <c r="T340" i="5"/>
  <c r="U340" i="5" s="1"/>
  <c r="W340" i="5"/>
  <c r="CV340" i="5"/>
  <c r="CT340" i="5"/>
  <c r="H313" i="6"/>
  <c r="Z338" i="5"/>
  <c r="CP340" i="5"/>
  <c r="CQ340" i="5" s="1"/>
  <c r="R340" i="5" s="1"/>
  <c r="S340" i="5" s="1"/>
  <c r="AT339" i="5" l="1"/>
  <c r="AP339" i="5"/>
  <c r="AA338" i="5"/>
  <c r="I313" i="6" s="1"/>
  <c r="CO340" i="5"/>
  <c r="F340" i="5" s="1"/>
  <c r="CN340" i="5"/>
  <c r="E340" i="5" s="1"/>
  <c r="P339" i="5"/>
  <c r="AY339" i="5" s="1"/>
  <c r="M339" i="5"/>
  <c r="AS339" i="5" l="1"/>
  <c r="AV339" i="5" s="1"/>
  <c r="AO339" i="5"/>
  <c r="AR339" i="5" s="1"/>
  <c r="BC340" i="5"/>
  <c r="D315" i="6"/>
  <c r="E315" i="6"/>
  <c r="C341" i="5"/>
  <c r="BU341" i="5" s="1"/>
  <c r="F314" i="6"/>
  <c r="Q339" i="5"/>
  <c r="V339" i="5" s="1"/>
  <c r="AG339" i="5"/>
  <c r="N339" i="5"/>
  <c r="BW340" i="5" l="1"/>
  <c r="BY340" i="5"/>
  <c r="J340" i="5" s="1"/>
  <c r="BV341" i="5"/>
  <c r="BT341" i="5"/>
  <c r="BS341" i="5"/>
  <c r="CI341" i="5"/>
  <c r="BH341" i="5"/>
  <c r="BI341" i="5" s="1"/>
  <c r="BJ341" i="5" s="1"/>
  <c r="AJ339" i="5"/>
  <c r="G314" i="6"/>
  <c r="BK341" i="5"/>
  <c r="BL341" i="5" s="1"/>
  <c r="BM341" i="5" s="1"/>
  <c r="AC341" i="5"/>
  <c r="AB341" i="5"/>
  <c r="BN341" i="5" s="1"/>
  <c r="BO341" i="5" s="1"/>
  <c r="BP341" i="5" s="1"/>
  <c r="CW341" i="5"/>
  <c r="CL341" i="5"/>
  <c r="CM341" i="5" s="1"/>
  <c r="CR341" i="5"/>
  <c r="C316" i="6"/>
  <c r="AK341" i="5"/>
  <c r="AM341" i="5" s="1"/>
  <c r="AL342" i="5" s="1"/>
  <c r="CY341" i="5"/>
  <c r="D341" i="5"/>
  <c r="CX341" i="5"/>
  <c r="CS341" i="5"/>
  <c r="BG340" i="5"/>
  <c r="H340" i="5" s="1"/>
  <c r="AX341" i="5"/>
  <c r="AW341" i="5" s="1"/>
  <c r="CU341" i="5"/>
  <c r="BF340" i="5"/>
  <c r="BD340" i="5"/>
  <c r="BE341" i="5" s="1"/>
  <c r="CZ340" i="5"/>
  <c r="AN340" i="5" l="1"/>
  <c r="AF340" i="5"/>
  <c r="BX341" i="5"/>
  <c r="G341" i="5"/>
  <c r="AD341" i="5"/>
  <c r="AE341" i="5" s="1"/>
  <c r="CH341" i="5"/>
  <c r="CK341" i="5"/>
  <c r="CJ341" i="5" s="1"/>
  <c r="X339" i="5"/>
  <c r="Y339" i="5" s="1"/>
  <c r="DA341" i="5"/>
  <c r="DB341" i="5" s="1"/>
  <c r="CP341" i="5"/>
  <c r="CQ341" i="5" s="1"/>
  <c r="R341" i="5" s="1"/>
  <c r="S341" i="5" s="1"/>
  <c r="L341" i="5"/>
  <c r="I340" i="5"/>
  <c r="AH340" i="5" s="1"/>
  <c r="T341" i="5"/>
  <c r="U341" i="5" s="1"/>
  <c r="W341" i="5"/>
  <c r="CV341" i="5"/>
  <c r="CT341" i="5"/>
  <c r="K341" i="5" l="1"/>
  <c r="H314" i="6"/>
  <c r="Z339" i="5"/>
  <c r="AA339" i="5" s="1"/>
  <c r="I314" i="6" s="1"/>
  <c r="AT340" i="5"/>
  <c r="AP340" i="5"/>
  <c r="CN341" i="5"/>
  <c r="E341" i="5" s="1"/>
  <c r="CO341" i="5"/>
  <c r="F341" i="5" s="1"/>
  <c r="M340" i="5"/>
  <c r="P340" i="5"/>
  <c r="AY340" i="5" s="1"/>
  <c r="BY341" i="5" l="1"/>
  <c r="J341" i="5" s="1"/>
  <c r="BW341" i="5"/>
  <c r="AO340" i="5"/>
  <c r="AR340" i="5" s="1"/>
  <c r="AG340" i="5"/>
  <c r="AJ340" i="5" s="1"/>
  <c r="N340" i="5"/>
  <c r="AS340" i="5"/>
  <c r="AV340" i="5" s="1"/>
  <c r="BC341" i="5"/>
  <c r="D316" i="6"/>
  <c r="E316" i="6"/>
  <c r="C342" i="5"/>
  <c r="BU342" i="5" s="1"/>
  <c r="Q340" i="5"/>
  <c r="V340" i="5" s="1"/>
  <c r="G315" i="6" s="1"/>
  <c r="F315" i="6"/>
  <c r="AN341" i="5" l="1"/>
  <c r="AF341" i="5"/>
  <c r="BV342" i="5"/>
  <c r="BT342" i="5"/>
  <c r="BS342" i="5"/>
  <c r="CI342" i="5"/>
  <c r="BH342" i="5"/>
  <c r="BI342" i="5" s="1"/>
  <c r="BJ342" i="5" s="1"/>
  <c r="X340" i="5"/>
  <c r="Y340" i="5" s="1"/>
  <c r="AB342" i="5"/>
  <c r="CP342" i="5" s="1"/>
  <c r="CQ342" i="5" s="1"/>
  <c r="R342" i="5" s="1"/>
  <c r="S342" i="5" s="1"/>
  <c r="BK342" i="5"/>
  <c r="BL342" i="5" s="1"/>
  <c r="BM342" i="5" s="1"/>
  <c r="D342" i="5"/>
  <c r="C317" i="6"/>
  <c r="AC342" i="5"/>
  <c r="AD342" i="5" s="1"/>
  <c r="AK342" i="5"/>
  <c r="CL342" i="5"/>
  <c r="CM342" i="5" s="1"/>
  <c r="CY342" i="5"/>
  <c r="CW342" i="5"/>
  <c r="CX342" i="5"/>
  <c r="CS342" i="5"/>
  <c r="CR342" i="5"/>
  <c r="BG341" i="5"/>
  <c r="H341" i="5" s="1"/>
  <c r="AX342" i="5"/>
  <c r="AW342" i="5" s="1"/>
  <c r="CU342" i="5"/>
  <c r="BX342" i="5" s="1"/>
  <c r="CZ341" i="5"/>
  <c r="BF341" i="5"/>
  <c r="BD341" i="5"/>
  <c r="BE342" i="5" s="1"/>
  <c r="CH342" i="5" l="1"/>
  <c r="CK342" i="5"/>
  <c r="CJ342" i="5" s="1"/>
  <c r="DA342" i="5"/>
  <c r="DB342" i="5" s="1"/>
  <c r="K342" i="5" s="1"/>
  <c r="L342" i="5"/>
  <c r="BN342" i="5"/>
  <c r="BO342" i="5" s="1"/>
  <c r="BP342" i="5" s="1"/>
  <c r="G342" i="5" s="1"/>
  <c r="AE342" i="5"/>
  <c r="I341" i="5"/>
  <c r="AH341" i="5" s="1"/>
  <c r="T342" i="5"/>
  <c r="U342" i="5" s="1"/>
  <c r="W342" i="5"/>
  <c r="CT342" i="5"/>
  <c r="CV342" i="5"/>
  <c r="H315" i="6"/>
  <c r="Z340" i="5"/>
  <c r="AM342" i="5"/>
  <c r="AL343" i="5" s="1"/>
  <c r="AA340" i="5" l="1"/>
  <c r="I315" i="6" s="1"/>
  <c r="AT341" i="5"/>
  <c r="AP341" i="5"/>
  <c r="M341" i="5"/>
  <c r="AG341" i="5" s="1"/>
  <c r="AJ341" i="5" s="1"/>
  <c r="P341" i="5"/>
  <c r="AY341" i="5" s="1"/>
  <c r="CN342" i="5"/>
  <c r="E342" i="5" s="1"/>
  <c r="CO342" i="5"/>
  <c r="F342" i="5" s="1"/>
  <c r="BW342" i="5" l="1"/>
  <c r="BY342" i="5"/>
  <c r="J342" i="5" s="1"/>
  <c r="BC342" i="5"/>
  <c r="D317" i="6"/>
  <c r="F316" i="6"/>
  <c r="Q341" i="5"/>
  <c r="V341" i="5" s="1"/>
  <c r="N341" i="5"/>
  <c r="AS341" i="5"/>
  <c r="AV341" i="5" s="1"/>
  <c r="AO341" i="5"/>
  <c r="E317" i="6"/>
  <c r="C343" i="5"/>
  <c r="BU343" i="5" s="1"/>
  <c r="AN342" i="5" l="1"/>
  <c r="AF342" i="5"/>
  <c r="BT343" i="5"/>
  <c r="BV343" i="5"/>
  <c r="BS343" i="5"/>
  <c r="CI343" i="5"/>
  <c r="BH343" i="5"/>
  <c r="BI343" i="5" s="1"/>
  <c r="BJ343" i="5" s="1"/>
  <c r="G316" i="6"/>
  <c r="AR341" i="5"/>
  <c r="CL343" i="5"/>
  <c r="CM343" i="5" s="1"/>
  <c r="BK343" i="5"/>
  <c r="BL343" i="5" s="1"/>
  <c r="BM343" i="5" s="1"/>
  <c r="AC343" i="5"/>
  <c r="CS343" i="5"/>
  <c r="AK343" i="5"/>
  <c r="AM343" i="5" s="1"/>
  <c r="AL344" i="5" s="1"/>
  <c r="C318" i="6"/>
  <c r="CR343" i="5"/>
  <c r="AB343" i="5"/>
  <c r="CP343" i="5" s="1"/>
  <c r="CQ343" i="5" s="1"/>
  <c r="R343" i="5" s="1"/>
  <c r="S343" i="5" s="1"/>
  <c r="D343" i="5"/>
  <c r="CX343" i="5"/>
  <c r="CW343" i="5"/>
  <c r="CY343" i="5"/>
  <c r="BG342" i="5"/>
  <c r="H342" i="5" s="1"/>
  <c r="AX343" i="5"/>
  <c r="AW343" i="5" s="1"/>
  <c r="CU343" i="5"/>
  <c r="BX343" i="5" s="1"/>
  <c r="BF342" i="5"/>
  <c r="BD342" i="5"/>
  <c r="BE343" i="5" s="1"/>
  <c r="CZ342" i="5"/>
  <c r="CH343" i="5" l="1"/>
  <c r="CK343" i="5"/>
  <c r="CJ343" i="5" s="1"/>
  <c r="AD343" i="5"/>
  <c r="AE343" i="5" s="1"/>
  <c r="X341" i="5"/>
  <c r="Y341" i="5" s="1"/>
  <c r="DA343" i="5"/>
  <c r="DB343" i="5" s="1"/>
  <c r="K343" i="5" s="1"/>
  <c r="T343" i="5"/>
  <c r="U343" i="5" s="1"/>
  <c r="W343" i="5"/>
  <c r="L343" i="5"/>
  <c r="BN343" i="5"/>
  <c r="BO343" i="5" s="1"/>
  <c r="BP343" i="5" s="1"/>
  <c r="G343" i="5" s="1"/>
  <c r="CT343" i="5"/>
  <c r="CV343" i="5"/>
  <c r="I342" i="5"/>
  <c r="AP342" i="5" s="1"/>
  <c r="H316" i="6" l="1"/>
  <c r="Z341" i="5"/>
  <c r="AA341" i="5" s="1"/>
  <c r="I316" i="6" s="1"/>
  <c r="AH342" i="5"/>
  <c r="AT342" i="5"/>
  <c r="P342" i="5"/>
  <c r="AY342" i="5" s="1"/>
  <c r="M342" i="5"/>
  <c r="CN343" i="5"/>
  <c r="E343" i="5" s="1"/>
  <c r="CO343" i="5"/>
  <c r="F343" i="5" s="1"/>
  <c r="BW343" i="5" l="1"/>
  <c r="BY343" i="5"/>
  <c r="J343" i="5" s="1"/>
  <c r="AS342" i="5"/>
  <c r="AV342" i="5" s="1"/>
  <c r="AO342" i="5"/>
  <c r="AR342" i="5" s="1"/>
  <c r="N342" i="5"/>
  <c r="AG342" i="5"/>
  <c r="AJ342" i="5" s="1"/>
  <c r="C344" i="5"/>
  <c r="BU344" i="5" s="1"/>
  <c r="E318" i="6"/>
  <c r="D318" i="6"/>
  <c r="BC343" i="5"/>
  <c r="F317" i="6"/>
  <c r="Q342" i="5"/>
  <c r="V342" i="5" s="1"/>
  <c r="AF343" i="5" l="1"/>
  <c r="AN343" i="5"/>
  <c r="BT344" i="5"/>
  <c r="BV344" i="5"/>
  <c r="BS344" i="5"/>
  <c r="CI344" i="5"/>
  <c r="BH344" i="5"/>
  <c r="BI344" i="5" s="1"/>
  <c r="BJ344" i="5" s="1"/>
  <c r="X342" i="5"/>
  <c r="Y342" i="5" s="1"/>
  <c r="BF343" i="5"/>
  <c r="CZ343" i="5"/>
  <c r="BD343" i="5"/>
  <c r="BE344" i="5" s="1"/>
  <c r="G317" i="6"/>
  <c r="CX344" i="5"/>
  <c r="BK344" i="5"/>
  <c r="BL344" i="5" s="1"/>
  <c r="BM344" i="5" s="1"/>
  <c r="AK344" i="5"/>
  <c r="AB344" i="5"/>
  <c r="DA344" i="5" s="1"/>
  <c r="DB344" i="5" s="1"/>
  <c r="CS344" i="5"/>
  <c r="AC344" i="5"/>
  <c r="C319" i="6"/>
  <c r="CL344" i="5"/>
  <c r="CM344" i="5" s="1"/>
  <c r="CY344" i="5"/>
  <c r="CW344" i="5"/>
  <c r="CR344" i="5"/>
  <c r="D344" i="5"/>
  <c r="BG343" i="5"/>
  <c r="H343" i="5" s="1"/>
  <c r="AX344" i="5"/>
  <c r="AW344" i="5" s="1"/>
  <c r="CU344" i="5"/>
  <c r="BX344" i="5" s="1"/>
  <c r="CK344" i="5" l="1"/>
  <c r="CJ344" i="5" s="1"/>
  <c r="K344" i="5" s="1"/>
  <c r="CH344" i="5"/>
  <c r="AD344" i="5"/>
  <c r="AE344" i="5" s="1"/>
  <c r="BN344" i="5"/>
  <c r="BO344" i="5" s="1"/>
  <c r="BP344" i="5" s="1"/>
  <c r="G344" i="5" s="1"/>
  <c r="AM344" i="5"/>
  <c r="AL345" i="5" s="1"/>
  <c r="H317" i="6"/>
  <c r="Z342" i="5"/>
  <c r="W344" i="5"/>
  <c r="T344" i="5"/>
  <c r="U344" i="5" s="1"/>
  <c r="CP344" i="5"/>
  <c r="CQ344" i="5" s="1"/>
  <c r="R344" i="5" s="1"/>
  <c r="S344" i="5" s="1"/>
  <c r="CT344" i="5"/>
  <c r="CV344" i="5"/>
  <c r="I343" i="5"/>
  <c r="L344" i="5"/>
  <c r="AH343" i="5" l="1"/>
  <c r="AT343" i="5"/>
  <c r="AP343" i="5"/>
  <c r="AA342" i="5"/>
  <c r="I317" i="6" s="1"/>
  <c r="P343" i="5"/>
  <c r="AY343" i="5" s="1"/>
  <c r="M343" i="5"/>
  <c r="CO344" i="5"/>
  <c r="F344" i="5" s="1"/>
  <c r="CN344" i="5"/>
  <c r="E344" i="5" s="1"/>
  <c r="AS343" i="5" l="1"/>
  <c r="AV343" i="5" s="1"/>
  <c r="AO343" i="5"/>
  <c r="N343" i="5"/>
  <c r="AG343" i="5"/>
  <c r="Q343" i="5"/>
  <c r="V343" i="5" s="1"/>
  <c r="F318" i="6"/>
  <c r="C345" i="5"/>
  <c r="BU345" i="5" s="1"/>
  <c r="E319" i="6"/>
  <c r="BC344" i="5"/>
  <c r="D319" i="6"/>
  <c r="BY344" i="5" l="1"/>
  <c r="J344" i="5" s="1"/>
  <c r="BW344" i="5"/>
  <c r="BT345" i="5"/>
  <c r="BV345" i="5"/>
  <c r="BS345" i="5"/>
  <c r="CI345" i="5"/>
  <c r="BH345" i="5"/>
  <c r="BI345" i="5" s="1"/>
  <c r="BJ345" i="5" s="1"/>
  <c r="AR343" i="5"/>
  <c r="AK345" i="5"/>
  <c r="AM345" i="5" s="1"/>
  <c r="AL346" i="5" s="1"/>
  <c r="CW345" i="5"/>
  <c r="CY345" i="5"/>
  <c r="CR345" i="5"/>
  <c r="C320" i="6"/>
  <c r="AB345" i="5"/>
  <c r="L345" i="5" s="1"/>
  <c r="BK345" i="5"/>
  <c r="BL345" i="5" s="1"/>
  <c r="BM345" i="5" s="1"/>
  <c r="CL345" i="5"/>
  <c r="CM345" i="5" s="1"/>
  <c r="CX345" i="5"/>
  <c r="D345" i="5"/>
  <c r="AC345" i="5"/>
  <c r="AD345" i="5" s="1"/>
  <c r="CS345" i="5"/>
  <c r="BG344" i="5"/>
  <c r="H344" i="5" s="1"/>
  <c r="AX345" i="5"/>
  <c r="AW345" i="5" s="1"/>
  <c r="CU345" i="5"/>
  <c r="AJ343" i="5"/>
  <c r="G318" i="6"/>
  <c r="CZ344" i="5"/>
  <c r="BF344" i="5"/>
  <c r="BD344" i="5"/>
  <c r="BE345" i="5" s="1"/>
  <c r="AF344" i="5" l="1"/>
  <c r="AN344" i="5"/>
  <c r="BX345" i="5"/>
  <c r="CH345" i="5"/>
  <c r="CK345" i="5"/>
  <c r="CJ345" i="5" s="1"/>
  <c r="X343" i="5"/>
  <c r="Y343" i="5" s="1"/>
  <c r="DA345" i="5"/>
  <c r="DB345" i="5" s="1"/>
  <c r="K345" i="5" s="1"/>
  <c r="AE345" i="5"/>
  <c r="I344" i="5"/>
  <c r="AP344" i="5" s="1"/>
  <c r="T345" i="5"/>
  <c r="U345" i="5" s="1"/>
  <c r="W345" i="5"/>
  <c r="BN345" i="5"/>
  <c r="BO345" i="5" s="1"/>
  <c r="BP345" i="5" s="1"/>
  <c r="G345" i="5" s="1"/>
  <c r="CT345" i="5"/>
  <c r="CV345" i="5"/>
  <c r="CP345" i="5"/>
  <c r="CQ345" i="5" s="1"/>
  <c r="R345" i="5" s="1"/>
  <c r="S345" i="5" s="1"/>
  <c r="Z343" i="5" l="1"/>
  <c r="AA343" i="5" s="1"/>
  <c r="I318" i="6" s="1"/>
  <c r="H318" i="6"/>
  <c r="AH344" i="5"/>
  <c r="AT344" i="5"/>
  <c r="P344" i="5"/>
  <c r="AY344" i="5" s="1"/>
  <c r="M344" i="5"/>
  <c r="CO345" i="5"/>
  <c r="F345" i="5" s="1"/>
  <c r="CN345" i="5"/>
  <c r="E345" i="5" s="1"/>
  <c r="BW345" i="5" l="1"/>
  <c r="BY345" i="5"/>
  <c r="J345" i="5" s="1"/>
  <c r="AS344" i="5"/>
  <c r="AV344" i="5" s="1"/>
  <c r="AO344" i="5"/>
  <c r="AR344" i="5" s="1"/>
  <c r="N344" i="5"/>
  <c r="AG344" i="5"/>
  <c r="AJ344" i="5" s="1"/>
  <c r="E320" i="6"/>
  <c r="C346" i="5"/>
  <c r="BU346" i="5" s="1"/>
  <c r="F319" i="6"/>
  <c r="Q344" i="5"/>
  <c r="V344" i="5" s="1"/>
  <c r="D320" i="6"/>
  <c r="BC345" i="5"/>
  <c r="AF345" i="5" l="1"/>
  <c r="AN345" i="5"/>
  <c r="BV346" i="5"/>
  <c r="BT346" i="5"/>
  <c r="BS346" i="5"/>
  <c r="CI346" i="5"/>
  <c r="BH346" i="5"/>
  <c r="BI346" i="5" s="1"/>
  <c r="BJ346" i="5" s="1"/>
  <c r="X344" i="5"/>
  <c r="Y344" i="5" s="1"/>
  <c r="G319" i="6"/>
  <c r="CL346" i="5"/>
  <c r="CM346" i="5" s="1"/>
  <c r="CR346" i="5"/>
  <c r="CX346" i="5"/>
  <c r="CS346" i="5"/>
  <c r="AB346" i="5"/>
  <c r="BN346" i="5" s="1"/>
  <c r="BO346" i="5" s="1"/>
  <c r="BP346" i="5" s="1"/>
  <c r="BK346" i="5"/>
  <c r="BL346" i="5" s="1"/>
  <c r="BM346" i="5" s="1"/>
  <c r="CW346" i="5"/>
  <c r="CY346" i="5"/>
  <c r="AK346" i="5"/>
  <c r="AM346" i="5" s="1"/>
  <c r="AL347" i="5" s="1"/>
  <c r="AC346" i="5"/>
  <c r="AD346" i="5" s="1"/>
  <c r="C321" i="6"/>
  <c r="D346" i="5"/>
  <c r="BG345" i="5"/>
  <c r="H345" i="5" s="1"/>
  <c r="AX346" i="5"/>
  <c r="AW346" i="5" s="1"/>
  <c r="CU346" i="5"/>
  <c r="BX346" i="5" s="1"/>
  <c r="BF345" i="5"/>
  <c r="BD345" i="5"/>
  <c r="BE346" i="5" s="1"/>
  <c r="CZ345" i="5"/>
  <c r="G346" i="5" l="1"/>
  <c r="CH346" i="5"/>
  <c r="CK346" i="5"/>
  <c r="CJ346" i="5" s="1"/>
  <c r="DA346" i="5"/>
  <c r="DB346" i="5" s="1"/>
  <c r="K346" i="5" s="1"/>
  <c r="I345" i="5"/>
  <c r="AP345" i="5" s="1"/>
  <c r="AE346" i="5"/>
  <c r="CP346" i="5"/>
  <c r="CQ346" i="5" s="1"/>
  <c r="R346" i="5" s="1"/>
  <c r="S346" i="5" s="1"/>
  <c r="CT346" i="5"/>
  <c r="CV346" i="5"/>
  <c r="L346" i="5"/>
  <c r="T346" i="5"/>
  <c r="U346" i="5" s="1"/>
  <c r="W346" i="5"/>
  <c r="H319" i="6"/>
  <c r="Z344" i="5"/>
  <c r="AH345" i="5" l="1"/>
  <c r="AT345" i="5"/>
  <c r="AA344" i="5"/>
  <c r="I319" i="6" s="1"/>
  <c r="CO346" i="5"/>
  <c r="F346" i="5" s="1"/>
  <c r="CN346" i="5"/>
  <c r="E346" i="5" s="1"/>
  <c r="M345" i="5"/>
  <c r="P345" i="5"/>
  <c r="AY345" i="5" s="1"/>
  <c r="BW346" i="5" l="1"/>
  <c r="BY346" i="5"/>
  <c r="J346" i="5" s="1"/>
  <c r="AS345" i="5"/>
  <c r="AV345" i="5" s="1"/>
  <c r="AO345" i="5"/>
  <c r="AR345" i="5" s="1"/>
  <c r="N345" i="5"/>
  <c r="AG345" i="5"/>
  <c r="AJ345" i="5" s="1"/>
  <c r="D321" i="6"/>
  <c r="BC346" i="5"/>
  <c r="Q345" i="5"/>
  <c r="V345" i="5" s="1"/>
  <c r="F320" i="6"/>
  <c r="C347" i="5"/>
  <c r="BU347" i="5" s="1"/>
  <c r="E321" i="6"/>
  <c r="AN346" i="5" l="1"/>
  <c r="AF346" i="5"/>
  <c r="BT347" i="5"/>
  <c r="BV347" i="5"/>
  <c r="BS347" i="5"/>
  <c r="CI347" i="5"/>
  <c r="BH347" i="5"/>
  <c r="BI347" i="5" s="1"/>
  <c r="BJ347" i="5" s="1"/>
  <c r="X345" i="5"/>
  <c r="Y345" i="5" s="1"/>
  <c r="G320" i="6"/>
  <c r="AC347" i="5"/>
  <c r="CR347" i="5"/>
  <c r="C322" i="6"/>
  <c r="CL347" i="5"/>
  <c r="CM347" i="5" s="1"/>
  <c r="AK347" i="5"/>
  <c r="BK347" i="5"/>
  <c r="BL347" i="5" s="1"/>
  <c r="BM347" i="5" s="1"/>
  <c r="CY347" i="5"/>
  <c r="CW347" i="5"/>
  <c r="CS347" i="5"/>
  <c r="AB347" i="5"/>
  <c r="BN347" i="5" s="1"/>
  <c r="BO347" i="5" s="1"/>
  <c r="BP347" i="5" s="1"/>
  <c r="D347" i="5"/>
  <c r="CX347" i="5"/>
  <c r="BG346" i="5"/>
  <c r="H346" i="5" s="1"/>
  <c r="AX347" i="5"/>
  <c r="AW347" i="5" s="1"/>
  <c r="CU347" i="5"/>
  <c r="BX347" i="5" s="1"/>
  <c r="BD346" i="5"/>
  <c r="BE347" i="5" s="1"/>
  <c r="CZ346" i="5"/>
  <c r="BF346" i="5"/>
  <c r="G347" i="5" l="1"/>
  <c r="AD347" i="5"/>
  <c r="AE347" i="5" s="1"/>
  <c r="CK347" i="5"/>
  <c r="CJ347" i="5" s="1"/>
  <c r="CH347" i="5"/>
  <c r="DA347" i="5"/>
  <c r="DB347" i="5" s="1"/>
  <c r="K347" i="5" s="1"/>
  <c r="CP347" i="5"/>
  <c r="CQ347" i="5" s="1"/>
  <c r="R347" i="5" s="1"/>
  <c r="S347" i="5" s="1"/>
  <c r="AM347" i="5"/>
  <c r="AL348" i="5" s="1"/>
  <c r="T347" i="5"/>
  <c r="U347" i="5" s="1"/>
  <c r="W347" i="5"/>
  <c r="I346" i="5"/>
  <c r="AH346" i="5" s="1"/>
  <c r="CV347" i="5"/>
  <c r="CT347" i="5"/>
  <c r="H320" i="6"/>
  <c r="Z345" i="5"/>
  <c r="L347" i="5"/>
  <c r="AT346" i="5" l="1"/>
  <c r="AP346" i="5"/>
  <c r="AA345" i="5"/>
  <c r="I320" i="6" s="1"/>
  <c r="CO347" i="5"/>
  <c r="F347" i="5" s="1"/>
  <c r="CN347" i="5"/>
  <c r="E347" i="5" s="1"/>
  <c r="P346" i="5"/>
  <c r="AY346" i="5" s="1"/>
  <c r="M346" i="5"/>
  <c r="BW347" i="5" l="1"/>
  <c r="BY347" i="5"/>
  <c r="J347" i="5" s="1"/>
  <c r="AS346" i="5"/>
  <c r="AV346" i="5" s="1"/>
  <c r="AO346" i="5"/>
  <c r="AR346" i="5" s="1"/>
  <c r="D322" i="6"/>
  <c r="BC347" i="5"/>
  <c r="C348" i="5"/>
  <c r="BU348" i="5" s="1"/>
  <c r="E322" i="6"/>
  <c r="AG346" i="5"/>
  <c r="N346" i="5"/>
  <c r="F321" i="6"/>
  <c r="Q346" i="5"/>
  <c r="V346" i="5" s="1"/>
  <c r="AN347" i="5" l="1"/>
  <c r="AF347" i="5"/>
  <c r="BT348" i="5"/>
  <c r="BV348" i="5"/>
  <c r="BS348" i="5"/>
  <c r="CI348" i="5"/>
  <c r="BH348" i="5"/>
  <c r="BI348" i="5" s="1"/>
  <c r="BJ348" i="5" s="1"/>
  <c r="AJ346" i="5"/>
  <c r="X346" i="5" s="1"/>
  <c r="Y346" i="5" s="1"/>
  <c r="AC348" i="5"/>
  <c r="AD348" i="5" s="1"/>
  <c r="CL348" i="5"/>
  <c r="CM348" i="5" s="1"/>
  <c r="D348" i="5"/>
  <c r="CR348" i="5"/>
  <c r="CY348" i="5"/>
  <c r="CW348" i="5"/>
  <c r="AB348" i="5"/>
  <c r="CP348" i="5" s="1"/>
  <c r="CQ348" i="5" s="1"/>
  <c r="R348" i="5" s="1"/>
  <c r="S348" i="5" s="1"/>
  <c r="CS348" i="5"/>
  <c r="AK348" i="5"/>
  <c r="AM348" i="5" s="1"/>
  <c r="AL349" i="5" s="1"/>
  <c r="CX348" i="5"/>
  <c r="C323" i="6"/>
  <c r="BK348" i="5"/>
  <c r="BL348" i="5" s="1"/>
  <c r="BM348" i="5" s="1"/>
  <c r="BG347" i="5"/>
  <c r="H347" i="5" s="1"/>
  <c r="AX348" i="5"/>
  <c r="AW348" i="5" s="1"/>
  <c r="CU348" i="5"/>
  <c r="BX348" i="5" s="1"/>
  <c r="BF347" i="5"/>
  <c r="BD347" i="5"/>
  <c r="BE348" i="5" s="1"/>
  <c r="CZ347" i="5"/>
  <c r="G321" i="6"/>
  <c r="CH348" i="5" l="1"/>
  <c r="CK348" i="5"/>
  <c r="CJ348" i="5" s="1"/>
  <c r="DA348" i="5"/>
  <c r="DB348" i="5" s="1"/>
  <c r="K348" i="5" s="1"/>
  <c r="W348" i="5"/>
  <c r="T348" i="5"/>
  <c r="U348" i="5" s="1"/>
  <c r="L348" i="5"/>
  <c r="H321" i="6"/>
  <c r="Z346" i="5"/>
  <c r="BN348" i="5"/>
  <c r="BO348" i="5" s="1"/>
  <c r="BP348" i="5" s="1"/>
  <c r="G348" i="5" s="1"/>
  <c r="AE348" i="5"/>
  <c r="I347" i="5"/>
  <c r="AH347" i="5" s="1"/>
  <c r="CT348" i="5"/>
  <c r="CV348" i="5"/>
  <c r="AT347" i="5" l="1"/>
  <c r="AP347" i="5"/>
  <c r="M347" i="5"/>
  <c r="AS347" i="5" s="1"/>
  <c r="AV347" i="5" s="1"/>
  <c r="P347" i="5"/>
  <c r="AY347" i="5" s="1"/>
  <c r="AA346" i="5"/>
  <c r="I321" i="6" s="1"/>
  <c r="CN348" i="5"/>
  <c r="E348" i="5" s="1"/>
  <c r="CO348" i="5"/>
  <c r="F348" i="5" s="1"/>
  <c r="BW348" i="5" l="1"/>
  <c r="BY348" i="5"/>
  <c r="J348" i="5" s="1"/>
  <c r="AN348" i="5" s="1"/>
  <c r="N347" i="5"/>
  <c r="AO347" i="5"/>
  <c r="AR347" i="5" s="1"/>
  <c r="AG347" i="5"/>
  <c r="AJ347" i="5" s="1"/>
  <c r="F322" i="6"/>
  <c r="Q347" i="5"/>
  <c r="V347" i="5" s="1"/>
  <c r="G322" i="6" s="1"/>
  <c r="E323" i="6"/>
  <c r="C349" i="5"/>
  <c r="BU349" i="5" s="1"/>
  <c r="BC348" i="5"/>
  <c r="D323" i="6"/>
  <c r="AF348" i="5" l="1"/>
  <c r="BV349" i="5"/>
  <c r="BT349" i="5"/>
  <c r="BS349" i="5"/>
  <c r="CI349" i="5"/>
  <c r="BH349" i="5"/>
  <c r="BI349" i="5" s="1"/>
  <c r="BJ349" i="5" s="1"/>
  <c r="X347" i="5"/>
  <c r="Y347" i="5" s="1"/>
  <c r="BD348" i="5"/>
  <c r="BE349" i="5" s="1"/>
  <c r="CZ348" i="5"/>
  <c r="BF348" i="5"/>
  <c r="AK349" i="5"/>
  <c r="CR349" i="5"/>
  <c r="AC349" i="5"/>
  <c r="AD349" i="5" s="1"/>
  <c r="CS349" i="5"/>
  <c r="CW349" i="5"/>
  <c r="D349" i="5"/>
  <c r="BK349" i="5"/>
  <c r="BL349" i="5" s="1"/>
  <c r="BM349" i="5" s="1"/>
  <c r="CY349" i="5"/>
  <c r="CL349" i="5"/>
  <c r="CM349" i="5" s="1"/>
  <c r="AB349" i="5"/>
  <c r="BN349" i="5" s="1"/>
  <c r="BO349" i="5" s="1"/>
  <c r="BP349" i="5" s="1"/>
  <c r="C324" i="6"/>
  <c r="CX349" i="5"/>
  <c r="BG348" i="5"/>
  <c r="H348" i="5" s="1"/>
  <c r="AX349" i="5"/>
  <c r="AW349" i="5" s="1"/>
  <c r="CU349" i="5"/>
  <c r="BX349" i="5" s="1"/>
  <c r="G349" i="5" l="1"/>
  <c r="CH349" i="5"/>
  <c r="CK349" i="5"/>
  <c r="CJ349" i="5" s="1"/>
  <c r="H322" i="6"/>
  <c r="Z347" i="5"/>
  <c r="AA347" i="5" s="1"/>
  <c r="I322" i="6" s="1"/>
  <c r="AE349" i="5"/>
  <c r="AM349" i="5"/>
  <c r="AL350" i="5" s="1"/>
  <c r="I348" i="5"/>
  <c r="AH348" i="5" s="1"/>
  <c r="CT349" i="5"/>
  <c r="CV349" i="5"/>
  <c r="CP349" i="5"/>
  <c r="CQ349" i="5" s="1"/>
  <c r="R349" i="5" s="1"/>
  <c r="S349" i="5" s="1"/>
  <c r="L349" i="5"/>
  <c r="DA349" i="5"/>
  <c r="DB349" i="5" s="1"/>
  <c r="K349" i="5" s="1"/>
  <c r="T349" i="5"/>
  <c r="U349" i="5" s="1"/>
  <c r="W349" i="5"/>
  <c r="P348" i="5" l="1"/>
  <c r="AY348" i="5" s="1"/>
  <c r="M348" i="5"/>
  <c r="AG348" i="5" s="1"/>
  <c r="AJ348" i="5" s="1"/>
  <c r="AT348" i="5"/>
  <c r="AP348" i="5"/>
  <c r="CO349" i="5"/>
  <c r="F349" i="5" s="1"/>
  <c r="CN349" i="5"/>
  <c r="E349" i="5" s="1"/>
  <c r="BY349" i="5" l="1"/>
  <c r="J349" i="5" s="1"/>
  <c r="BW349" i="5"/>
  <c r="E324" i="6"/>
  <c r="C350" i="5"/>
  <c r="BU350" i="5" s="1"/>
  <c r="N348" i="5"/>
  <c r="AS348" i="5"/>
  <c r="AV348" i="5" s="1"/>
  <c r="AO348" i="5"/>
  <c r="AR348" i="5" s="1"/>
  <c r="Q348" i="5"/>
  <c r="V348" i="5" s="1"/>
  <c r="F323" i="6"/>
  <c r="BC349" i="5"/>
  <c r="D324" i="6"/>
  <c r="AN349" i="5" l="1"/>
  <c r="AF349" i="5"/>
  <c r="BV350" i="5"/>
  <c r="BT350" i="5"/>
  <c r="BS350" i="5"/>
  <c r="CI350" i="5"/>
  <c r="BH350" i="5"/>
  <c r="BI350" i="5" s="1"/>
  <c r="BJ350" i="5" s="1"/>
  <c r="X348" i="5"/>
  <c r="Y348" i="5" s="1"/>
  <c r="BD349" i="5"/>
  <c r="BE350" i="5" s="1"/>
  <c r="BF349" i="5"/>
  <c r="CZ349" i="5"/>
  <c r="G323" i="6"/>
  <c r="CL350" i="5"/>
  <c r="CM350" i="5" s="1"/>
  <c r="CX350" i="5"/>
  <c r="CY350" i="5"/>
  <c r="CR350" i="5"/>
  <c r="D350" i="5"/>
  <c r="CW350" i="5"/>
  <c r="AC350" i="5"/>
  <c r="C325" i="6"/>
  <c r="AB350" i="5"/>
  <c r="BN350" i="5" s="1"/>
  <c r="BO350" i="5" s="1"/>
  <c r="BP350" i="5" s="1"/>
  <c r="BK350" i="5"/>
  <c r="BL350" i="5" s="1"/>
  <c r="BM350" i="5" s="1"/>
  <c r="CS350" i="5"/>
  <c r="AK350" i="5"/>
  <c r="BG349" i="5"/>
  <c r="H349" i="5" s="1"/>
  <c r="AX350" i="5"/>
  <c r="AW350" i="5" s="1"/>
  <c r="CU350" i="5"/>
  <c r="BX350" i="5" s="1"/>
  <c r="G350" i="5" l="1"/>
  <c r="CH350" i="5"/>
  <c r="CK350" i="5"/>
  <c r="CJ350" i="5" s="1"/>
  <c r="AD350" i="5"/>
  <c r="AE350" i="5" s="1"/>
  <c r="DA350" i="5"/>
  <c r="DB350" i="5" s="1"/>
  <c r="K350" i="5" s="1"/>
  <c r="H323" i="6"/>
  <c r="Z348" i="5"/>
  <c r="AM350" i="5"/>
  <c r="AL351" i="5" s="1"/>
  <c r="L350" i="5"/>
  <c r="CT350" i="5"/>
  <c r="CV350" i="5"/>
  <c r="T350" i="5"/>
  <c r="U350" i="5" s="1"/>
  <c r="W350" i="5"/>
  <c r="CP350" i="5"/>
  <c r="CQ350" i="5" s="1"/>
  <c r="R350" i="5" s="1"/>
  <c r="S350" i="5" s="1"/>
  <c r="I349" i="5"/>
  <c r="AP349" i="5" s="1"/>
  <c r="AA348" i="5" l="1"/>
  <c r="I323" i="6" s="1"/>
  <c r="AH349" i="5"/>
  <c r="AT349" i="5"/>
  <c r="CN350" i="5"/>
  <c r="E350" i="5" s="1"/>
  <c r="CO350" i="5"/>
  <c r="F350" i="5" s="1"/>
  <c r="M349" i="5"/>
  <c r="P349" i="5"/>
  <c r="AY349" i="5" s="1"/>
  <c r="BW350" i="5" l="1"/>
  <c r="BY350" i="5"/>
  <c r="J350" i="5" s="1"/>
  <c r="AG349" i="5"/>
  <c r="AJ349" i="5" s="1"/>
  <c r="AO349" i="5"/>
  <c r="AR349" i="5" s="1"/>
  <c r="N349" i="5"/>
  <c r="AS349" i="5"/>
  <c r="AV349" i="5" s="1"/>
  <c r="E325" i="6"/>
  <c r="C351" i="5"/>
  <c r="BU351" i="5" s="1"/>
  <c r="BC350" i="5"/>
  <c r="D325" i="6"/>
  <c r="F324" i="6"/>
  <c r="Q349" i="5"/>
  <c r="V349" i="5" s="1"/>
  <c r="G324" i="6" s="1"/>
  <c r="AF350" i="5" l="1"/>
  <c r="AN350" i="5"/>
  <c r="BT351" i="5"/>
  <c r="BV351" i="5"/>
  <c r="BS351" i="5"/>
  <c r="CI351" i="5"/>
  <c r="BH351" i="5"/>
  <c r="BI351" i="5" s="1"/>
  <c r="BJ351" i="5" s="1"/>
  <c r="X349" i="5"/>
  <c r="Y349" i="5" s="1"/>
  <c r="BF350" i="5"/>
  <c r="CZ350" i="5"/>
  <c r="BD350" i="5"/>
  <c r="BE351" i="5" s="1"/>
  <c r="AC351" i="5"/>
  <c r="AD351" i="5" s="1"/>
  <c r="C326" i="6"/>
  <c r="AB351" i="5"/>
  <c r="L351" i="5" s="1"/>
  <c r="BK351" i="5"/>
  <c r="BL351" i="5" s="1"/>
  <c r="BM351" i="5" s="1"/>
  <c r="CS351" i="5"/>
  <c r="CL351" i="5"/>
  <c r="CM351" i="5" s="1"/>
  <c r="CX351" i="5"/>
  <c r="CW351" i="5"/>
  <c r="AK351" i="5"/>
  <c r="AM351" i="5" s="1"/>
  <c r="AL352" i="5" s="1"/>
  <c r="D351" i="5"/>
  <c r="CY351" i="5"/>
  <c r="CR351" i="5"/>
  <c r="BG350" i="5"/>
  <c r="H350" i="5" s="1"/>
  <c r="AX351" i="5"/>
  <c r="AW351" i="5" s="1"/>
  <c r="CU351" i="5"/>
  <c r="BX351" i="5" s="1"/>
  <c r="CH351" i="5" l="1"/>
  <c r="CK351" i="5"/>
  <c r="CJ351" i="5" s="1"/>
  <c r="T351" i="5"/>
  <c r="U351" i="5" s="1"/>
  <c r="W351" i="5"/>
  <c r="H324" i="6"/>
  <c r="Z349" i="5"/>
  <c r="AE351" i="5"/>
  <c r="CT351" i="5"/>
  <c r="CV351" i="5"/>
  <c r="CP351" i="5"/>
  <c r="CQ351" i="5" s="1"/>
  <c r="R351" i="5" s="1"/>
  <c r="S351" i="5" s="1"/>
  <c r="I350" i="5"/>
  <c r="AP350" i="5" s="1"/>
  <c r="DA351" i="5"/>
  <c r="DB351" i="5" s="1"/>
  <c r="K351" i="5" s="1"/>
  <c r="BN351" i="5"/>
  <c r="BO351" i="5" s="1"/>
  <c r="BP351" i="5" s="1"/>
  <c r="G351" i="5" s="1"/>
  <c r="AA349" i="5" l="1"/>
  <c r="I324" i="6" s="1"/>
  <c r="P350" i="5"/>
  <c r="AY350" i="5" s="1"/>
  <c r="M350" i="5"/>
  <c r="AT350" i="5"/>
  <c r="AH350" i="5"/>
  <c r="CN351" i="5"/>
  <c r="E351" i="5" s="1"/>
  <c r="CO351" i="5"/>
  <c r="F351" i="5" s="1"/>
  <c r="BW351" i="5" l="1"/>
  <c r="BY351" i="5"/>
  <c r="J351" i="5" s="1"/>
  <c r="AF351" i="5" s="1"/>
  <c r="AS350" i="5"/>
  <c r="AV350" i="5" s="1"/>
  <c r="AO350" i="5"/>
  <c r="AR350" i="5" s="1"/>
  <c r="Q350" i="5"/>
  <c r="V350" i="5" s="1"/>
  <c r="F325" i="6"/>
  <c r="E326" i="6"/>
  <c r="C352" i="5"/>
  <c r="BU352" i="5" s="1"/>
  <c r="N350" i="5"/>
  <c r="AG350" i="5"/>
  <c r="D326" i="6"/>
  <c r="BC351" i="5"/>
  <c r="AN351" i="5" l="1"/>
  <c r="BT352" i="5"/>
  <c r="BV352" i="5"/>
  <c r="BS352" i="5"/>
  <c r="CI352" i="5"/>
  <c r="BH352" i="5"/>
  <c r="BI352" i="5" s="1"/>
  <c r="BJ352" i="5" s="1"/>
  <c r="AJ350" i="5"/>
  <c r="X350" i="5" s="1"/>
  <c r="Y350" i="5" s="1"/>
  <c r="CR352" i="5"/>
  <c r="CS352" i="5"/>
  <c r="CY352" i="5"/>
  <c r="D352" i="5"/>
  <c r="AC352" i="5"/>
  <c r="AD352" i="5" s="1"/>
  <c r="CX352" i="5"/>
  <c r="BK352" i="5"/>
  <c r="BL352" i="5" s="1"/>
  <c r="BM352" i="5" s="1"/>
  <c r="CL352" i="5"/>
  <c r="CM352" i="5" s="1"/>
  <c r="AK352" i="5"/>
  <c r="AM352" i="5" s="1"/>
  <c r="AL353" i="5" s="1"/>
  <c r="AB352" i="5"/>
  <c r="CP352" i="5" s="1"/>
  <c r="CQ352" i="5" s="1"/>
  <c r="R352" i="5" s="1"/>
  <c r="S352" i="5" s="1"/>
  <c r="C327" i="6"/>
  <c r="CW352" i="5"/>
  <c r="BG351" i="5"/>
  <c r="H351" i="5" s="1"/>
  <c r="AX352" i="5"/>
  <c r="AW352" i="5" s="1"/>
  <c r="CU352" i="5"/>
  <c r="BX352" i="5" s="1"/>
  <c r="CZ351" i="5"/>
  <c r="BD351" i="5"/>
  <c r="BE352" i="5" s="1"/>
  <c r="BF351" i="5"/>
  <c r="G325" i="6"/>
  <c r="CK352" i="5" l="1"/>
  <c r="CJ352" i="5" s="1"/>
  <c r="CH352" i="5"/>
  <c r="AE352" i="5"/>
  <c r="T352" i="5"/>
  <c r="U352" i="5" s="1"/>
  <c r="W352" i="5"/>
  <c r="H325" i="6"/>
  <c r="Z350" i="5"/>
  <c r="I351" i="5"/>
  <c r="AP351" i="5" s="1"/>
  <c r="CT352" i="5"/>
  <c r="CV352" i="5"/>
  <c r="BN352" i="5"/>
  <c r="BO352" i="5" s="1"/>
  <c r="BP352" i="5" s="1"/>
  <c r="G352" i="5" s="1"/>
  <c r="L352" i="5"/>
  <c r="DA352" i="5"/>
  <c r="DB352" i="5" s="1"/>
  <c r="K352" i="5" s="1"/>
  <c r="AH351" i="5" l="1"/>
  <c r="AT351" i="5"/>
  <c r="CN352" i="5"/>
  <c r="E352" i="5" s="1"/>
  <c r="CO352" i="5"/>
  <c r="F352" i="5" s="1"/>
  <c r="AA350" i="5"/>
  <c r="I325" i="6" s="1"/>
  <c r="P351" i="5"/>
  <c r="AY351" i="5" s="1"/>
  <c r="M351" i="5"/>
  <c r="BY352" i="5" l="1"/>
  <c r="J352" i="5" s="1"/>
  <c r="BW352" i="5"/>
  <c r="AS351" i="5"/>
  <c r="AV351" i="5" s="1"/>
  <c r="AO351" i="5"/>
  <c r="AR351" i="5" s="1"/>
  <c r="N351" i="5"/>
  <c r="AG351" i="5"/>
  <c r="AJ351" i="5" s="1"/>
  <c r="C353" i="5"/>
  <c r="BU353" i="5" s="1"/>
  <c r="E327" i="6"/>
  <c r="F326" i="6"/>
  <c r="Q351" i="5"/>
  <c r="V351" i="5" s="1"/>
  <c r="BC352" i="5"/>
  <c r="D327" i="6"/>
  <c r="AF352" i="5" l="1"/>
  <c r="AN352" i="5"/>
  <c r="BT353" i="5"/>
  <c r="BV353" i="5"/>
  <c r="BS353" i="5"/>
  <c r="CI353" i="5"/>
  <c r="BH353" i="5"/>
  <c r="BI353" i="5" s="1"/>
  <c r="BJ353" i="5" s="1"/>
  <c r="X351" i="5"/>
  <c r="Y351" i="5" s="1"/>
  <c r="CZ352" i="5"/>
  <c r="BD352" i="5"/>
  <c r="BE353" i="5" s="1"/>
  <c r="BF352" i="5"/>
  <c r="G326" i="6"/>
  <c r="CR353" i="5"/>
  <c r="CS353" i="5"/>
  <c r="CW353" i="5"/>
  <c r="AK353" i="5"/>
  <c r="BK353" i="5"/>
  <c r="BL353" i="5" s="1"/>
  <c r="BM353" i="5" s="1"/>
  <c r="AB353" i="5"/>
  <c r="CP353" i="5" s="1"/>
  <c r="CQ353" i="5" s="1"/>
  <c r="R353" i="5" s="1"/>
  <c r="S353" i="5" s="1"/>
  <c r="CX353" i="5"/>
  <c r="CL353" i="5"/>
  <c r="CM353" i="5" s="1"/>
  <c r="C328" i="6"/>
  <c r="D353" i="5"/>
  <c r="AC353" i="5"/>
  <c r="AD353" i="5" s="1"/>
  <c r="CY353" i="5"/>
  <c r="BG352" i="5"/>
  <c r="H352" i="5" s="1"/>
  <c r="AX353" i="5"/>
  <c r="AW353" i="5" s="1"/>
  <c r="CU353" i="5"/>
  <c r="BX353" i="5" s="1"/>
  <c r="CH353" i="5" l="1"/>
  <c r="CK353" i="5"/>
  <c r="CJ353" i="5" s="1"/>
  <c r="DA353" i="5"/>
  <c r="DB353" i="5" s="1"/>
  <c r="K353" i="5" s="1"/>
  <c r="L353" i="5"/>
  <c r="W353" i="5"/>
  <c r="T353" i="5"/>
  <c r="U353" i="5" s="1"/>
  <c r="BN353" i="5"/>
  <c r="BO353" i="5" s="1"/>
  <c r="BP353" i="5" s="1"/>
  <c r="G353" i="5" s="1"/>
  <c r="H326" i="6"/>
  <c r="Z351" i="5"/>
  <c r="CV353" i="5"/>
  <c r="CT353" i="5"/>
  <c r="I352" i="5"/>
  <c r="AP352" i="5" s="1"/>
  <c r="AE353" i="5"/>
  <c r="AM353" i="5"/>
  <c r="AL354" i="5" s="1"/>
  <c r="AH352" i="5" l="1"/>
  <c r="AT352" i="5"/>
  <c r="P352" i="5"/>
  <c r="AY352" i="5" s="1"/>
  <c r="M352" i="5"/>
  <c r="CO353" i="5"/>
  <c r="F353" i="5" s="1"/>
  <c r="CN353" i="5"/>
  <c r="E353" i="5" s="1"/>
  <c r="AA351" i="5"/>
  <c r="I326" i="6" s="1"/>
  <c r="BW353" i="5" l="1"/>
  <c r="BY353" i="5"/>
  <c r="J353" i="5" s="1"/>
  <c r="AN353" i="5" s="1"/>
  <c r="AS352" i="5"/>
  <c r="AV352" i="5" s="1"/>
  <c r="AO352" i="5"/>
  <c r="AR352" i="5" s="1"/>
  <c r="N352" i="5"/>
  <c r="AG352" i="5"/>
  <c r="AJ352" i="5" s="1"/>
  <c r="E328" i="6"/>
  <c r="C354" i="5"/>
  <c r="BU354" i="5" s="1"/>
  <c r="Q352" i="5"/>
  <c r="V352" i="5" s="1"/>
  <c r="F327" i="6"/>
  <c r="BC353" i="5"/>
  <c r="D328" i="6"/>
  <c r="AF353" i="5" l="1"/>
  <c r="BV354" i="5"/>
  <c r="BT354" i="5"/>
  <c r="BS354" i="5"/>
  <c r="CI354" i="5"/>
  <c r="BH354" i="5"/>
  <c r="BI354" i="5" s="1"/>
  <c r="BJ354" i="5" s="1"/>
  <c r="X352" i="5"/>
  <c r="Y352" i="5" s="1"/>
  <c r="BD353" i="5"/>
  <c r="BE354" i="5" s="1"/>
  <c r="CZ353" i="5"/>
  <c r="BF353" i="5"/>
  <c r="G327" i="6"/>
  <c r="D354" i="5"/>
  <c r="AC354" i="5"/>
  <c r="CR354" i="5"/>
  <c r="CX354" i="5"/>
  <c r="CL354" i="5"/>
  <c r="CM354" i="5" s="1"/>
  <c r="CY354" i="5"/>
  <c r="BK354" i="5"/>
  <c r="BL354" i="5" s="1"/>
  <c r="BM354" i="5" s="1"/>
  <c r="CW354" i="5"/>
  <c r="C329" i="6"/>
  <c r="AB354" i="5"/>
  <c r="CP354" i="5" s="1"/>
  <c r="CQ354" i="5" s="1"/>
  <c r="R354" i="5" s="1"/>
  <c r="S354" i="5" s="1"/>
  <c r="AK354" i="5"/>
  <c r="CS354" i="5"/>
  <c r="BG353" i="5"/>
  <c r="H353" i="5" s="1"/>
  <c r="AX354" i="5"/>
  <c r="AW354" i="5" s="1"/>
  <c r="CU354" i="5"/>
  <c r="BX354" i="5" s="1"/>
  <c r="CH354" i="5" l="1"/>
  <c r="CK354" i="5"/>
  <c r="CJ354" i="5" s="1"/>
  <c r="AD354" i="5"/>
  <c r="AE354" i="5" s="1"/>
  <c r="DA354" i="5"/>
  <c r="DB354" i="5" s="1"/>
  <c r="K354" i="5" s="1"/>
  <c r="L354" i="5"/>
  <c r="T354" i="5"/>
  <c r="U354" i="5" s="1"/>
  <c r="W354" i="5"/>
  <c r="CV354" i="5"/>
  <c r="CT354" i="5"/>
  <c r="H327" i="6"/>
  <c r="Z352" i="5"/>
  <c r="AM354" i="5"/>
  <c r="AL355" i="5" s="1"/>
  <c r="BN354" i="5"/>
  <c r="BO354" i="5" s="1"/>
  <c r="BP354" i="5" s="1"/>
  <c r="G354" i="5" s="1"/>
  <c r="I353" i="5"/>
  <c r="AH353" i="5" s="1"/>
  <c r="AT353" i="5" l="1"/>
  <c r="AP353" i="5"/>
  <c r="CN354" i="5"/>
  <c r="E354" i="5" s="1"/>
  <c r="CO354" i="5"/>
  <c r="F354" i="5" s="1"/>
  <c r="M353" i="5"/>
  <c r="P353" i="5"/>
  <c r="AY353" i="5" s="1"/>
  <c r="AA352" i="5"/>
  <c r="I327" i="6" s="1"/>
  <c r="AS353" i="5" l="1"/>
  <c r="AV353" i="5" s="1"/>
  <c r="AO353" i="5"/>
  <c r="AR353" i="5" s="1"/>
  <c r="C355" i="5"/>
  <c r="BU355" i="5" s="1"/>
  <c r="E329" i="6"/>
  <c r="D329" i="6"/>
  <c r="BC354" i="5"/>
  <c r="F328" i="6"/>
  <c r="Q353" i="5"/>
  <c r="V353" i="5" s="1"/>
  <c r="AG353" i="5"/>
  <c r="N353" i="5"/>
  <c r="BW354" i="5" l="1"/>
  <c r="BY354" i="5"/>
  <c r="J354" i="5" s="1"/>
  <c r="BT355" i="5"/>
  <c r="BV355" i="5"/>
  <c r="BS355" i="5"/>
  <c r="CI355" i="5"/>
  <c r="BH355" i="5"/>
  <c r="BI355" i="5" s="1"/>
  <c r="BJ355" i="5" s="1"/>
  <c r="G328" i="6"/>
  <c r="AJ353" i="5"/>
  <c r="AC355" i="5"/>
  <c r="AD355" i="5" s="1"/>
  <c r="CR355" i="5"/>
  <c r="C330" i="6"/>
  <c r="CW355" i="5"/>
  <c r="CS355" i="5"/>
  <c r="AB355" i="5"/>
  <c r="BN355" i="5" s="1"/>
  <c r="BO355" i="5" s="1"/>
  <c r="BP355" i="5" s="1"/>
  <c r="BK355" i="5"/>
  <c r="BL355" i="5" s="1"/>
  <c r="BM355" i="5" s="1"/>
  <c r="D355" i="5"/>
  <c r="AK355" i="5"/>
  <c r="AM355" i="5" s="1"/>
  <c r="AL356" i="5" s="1"/>
  <c r="CL355" i="5"/>
  <c r="CM355" i="5" s="1"/>
  <c r="CX355" i="5"/>
  <c r="CY355" i="5"/>
  <c r="BG354" i="5"/>
  <c r="H354" i="5" s="1"/>
  <c r="AX355" i="5"/>
  <c r="AW355" i="5" s="1"/>
  <c r="CU355" i="5"/>
  <c r="CZ354" i="5"/>
  <c r="BF354" i="5"/>
  <c r="BD354" i="5"/>
  <c r="BE355" i="5" s="1"/>
  <c r="AN354" i="5" l="1"/>
  <c r="AF354" i="5"/>
  <c r="BX355" i="5"/>
  <c r="G355" i="5"/>
  <c r="CK355" i="5"/>
  <c r="CJ355" i="5" s="1"/>
  <c r="CH355" i="5"/>
  <c r="X353" i="5"/>
  <c r="Y353" i="5" s="1"/>
  <c r="DA355" i="5"/>
  <c r="DB355" i="5" s="1"/>
  <c r="I354" i="5"/>
  <c r="AH354" i="5" s="1"/>
  <c r="AE355" i="5"/>
  <c r="T355" i="5"/>
  <c r="U355" i="5" s="1"/>
  <c r="W355" i="5"/>
  <c r="CP355" i="5"/>
  <c r="CQ355" i="5" s="1"/>
  <c r="R355" i="5" s="1"/>
  <c r="S355" i="5" s="1"/>
  <c r="CT355" i="5"/>
  <c r="CV355" i="5"/>
  <c r="L355" i="5"/>
  <c r="K355" i="5" l="1"/>
  <c r="Z353" i="5"/>
  <c r="AA353" i="5" s="1"/>
  <c r="I328" i="6" s="1"/>
  <c r="H328" i="6"/>
  <c r="AT354" i="5"/>
  <c r="AP354" i="5"/>
  <c r="CO355" i="5"/>
  <c r="F355" i="5" s="1"/>
  <c r="CN355" i="5"/>
  <c r="E355" i="5" s="1"/>
  <c r="P354" i="5"/>
  <c r="AY354" i="5" s="1"/>
  <c r="M354" i="5"/>
  <c r="AO354" i="5" l="1"/>
  <c r="AR354" i="5" s="1"/>
  <c r="AG354" i="5"/>
  <c r="AJ354" i="5" s="1"/>
  <c r="F329" i="6"/>
  <c r="Q354" i="5"/>
  <c r="V354" i="5" s="1"/>
  <c r="G329" i="6" s="1"/>
  <c r="D330" i="6"/>
  <c r="BC355" i="5"/>
  <c r="C356" i="5"/>
  <c r="BU356" i="5" s="1"/>
  <c r="E330" i="6"/>
  <c r="N354" i="5"/>
  <c r="AS354" i="5"/>
  <c r="AV354" i="5" s="1"/>
  <c r="BW355" i="5" l="1"/>
  <c r="BY355" i="5"/>
  <c r="J355" i="5" s="1"/>
  <c r="BT356" i="5"/>
  <c r="BV356" i="5"/>
  <c r="BS356" i="5"/>
  <c r="CI356" i="5"/>
  <c r="BH356" i="5"/>
  <c r="BI356" i="5" s="1"/>
  <c r="BJ356" i="5" s="1"/>
  <c r="X354" i="5"/>
  <c r="Y354" i="5" s="1"/>
  <c r="AK356" i="5"/>
  <c r="AM356" i="5" s="1"/>
  <c r="AL357" i="5" s="1"/>
  <c r="CW356" i="5"/>
  <c r="CS356" i="5"/>
  <c r="CL356" i="5"/>
  <c r="CM356" i="5" s="1"/>
  <c r="CY356" i="5"/>
  <c r="CX356" i="5"/>
  <c r="C331" i="6"/>
  <c r="AC356" i="5"/>
  <c r="CR356" i="5"/>
  <c r="AB356" i="5"/>
  <c r="DA356" i="5" s="1"/>
  <c r="DB356" i="5" s="1"/>
  <c r="D356" i="5"/>
  <c r="BK356" i="5"/>
  <c r="BL356" i="5" s="1"/>
  <c r="BM356" i="5" s="1"/>
  <c r="BG355" i="5"/>
  <c r="H355" i="5" s="1"/>
  <c r="AX356" i="5"/>
  <c r="AW356" i="5" s="1"/>
  <c r="CU356" i="5"/>
  <c r="BD355" i="5"/>
  <c r="BE356" i="5" s="1"/>
  <c r="BF355" i="5"/>
  <c r="CZ355" i="5"/>
  <c r="AN355" i="5" l="1"/>
  <c r="AF355" i="5"/>
  <c r="BX356" i="5"/>
  <c r="CH356" i="5"/>
  <c r="CK356" i="5"/>
  <c r="CJ356" i="5" s="1"/>
  <c r="K356" i="5" s="1"/>
  <c r="Z354" i="5"/>
  <c r="AA354" i="5" s="1"/>
  <c r="I329" i="6" s="1"/>
  <c r="H329" i="6"/>
  <c r="AD356" i="5"/>
  <c r="AE356" i="5" s="1"/>
  <c r="CV356" i="5"/>
  <c r="CT356" i="5"/>
  <c r="I355" i="5"/>
  <c r="AH355" i="5" s="1"/>
  <c r="T356" i="5"/>
  <c r="U356" i="5" s="1"/>
  <c r="W356" i="5"/>
  <c r="BN356" i="5"/>
  <c r="BO356" i="5" s="1"/>
  <c r="BP356" i="5" s="1"/>
  <c r="G356" i="5" s="1"/>
  <c r="CP356" i="5"/>
  <c r="CQ356" i="5" s="1"/>
  <c r="R356" i="5" s="1"/>
  <c r="S356" i="5" s="1"/>
  <c r="L356" i="5"/>
  <c r="M355" i="5" l="1"/>
  <c r="AG355" i="5" s="1"/>
  <c r="AJ355" i="5" s="1"/>
  <c r="P355" i="5"/>
  <c r="AY355" i="5" s="1"/>
  <c r="AT355" i="5"/>
  <c r="AP355" i="5"/>
  <c r="CO356" i="5"/>
  <c r="F356" i="5" s="1"/>
  <c r="CN356" i="5"/>
  <c r="E356" i="5" s="1"/>
  <c r="BW356" i="5" l="1"/>
  <c r="BY356" i="5"/>
  <c r="J356" i="5" s="1"/>
  <c r="Q355" i="5"/>
  <c r="V355" i="5" s="1"/>
  <c r="G330" i="6" s="1"/>
  <c r="F330" i="6"/>
  <c r="E331" i="6"/>
  <c r="C357" i="5"/>
  <c r="BU357" i="5" s="1"/>
  <c r="N355" i="5"/>
  <c r="AS355" i="5"/>
  <c r="AV355" i="5" s="1"/>
  <c r="AO355" i="5"/>
  <c r="D331" i="6"/>
  <c r="BC356" i="5"/>
  <c r="AN356" i="5" l="1"/>
  <c r="AF356" i="5"/>
  <c r="BV357" i="5"/>
  <c r="BT357" i="5"/>
  <c r="BS357" i="5"/>
  <c r="CI357" i="5"/>
  <c r="BH357" i="5"/>
  <c r="BI357" i="5" s="1"/>
  <c r="BJ357" i="5" s="1"/>
  <c r="AR355" i="5"/>
  <c r="AK357" i="5"/>
  <c r="CR357" i="5"/>
  <c r="CL357" i="5"/>
  <c r="CM357" i="5" s="1"/>
  <c r="AB357" i="5"/>
  <c r="BN357" i="5" s="1"/>
  <c r="BO357" i="5" s="1"/>
  <c r="BP357" i="5" s="1"/>
  <c r="D357" i="5"/>
  <c r="CX357" i="5"/>
  <c r="CY357" i="5"/>
  <c r="CW357" i="5"/>
  <c r="AC357" i="5"/>
  <c r="CS357" i="5"/>
  <c r="C332" i="6"/>
  <c r="BK357" i="5"/>
  <c r="BL357" i="5" s="1"/>
  <c r="BM357" i="5" s="1"/>
  <c r="BG356" i="5"/>
  <c r="H356" i="5" s="1"/>
  <c r="AX357" i="5"/>
  <c r="AW357" i="5" s="1"/>
  <c r="CU357" i="5"/>
  <c r="BX357" i="5" s="1"/>
  <c r="CZ356" i="5"/>
  <c r="BF356" i="5"/>
  <c r="BD356" i="5"/>
  <c r="BE357" i="5" s="1"/>
  <c r="G357" i="5" l="1"/>
  <c r="AD357" i="5"/>
  <c r="AE357" i="5" s="1"/>
  <c r="CH357" i="5"/>
  <c r="CK357" i="5"/>
  <c r="CJ357" i="5" s="1"/>
  <c r="X355" i="5"/>
  <c r="Y355" i="5" s="1"/>
  <c r="AM357" i="5"/>
  <c r="AL358" i="5" s="1"/>
  <c r="I356" i="5"/>
  <c r="CT357" i="5"/>
  <c r="CV357" i="5"/>
  <c r="CP357" i="5"/>
  <c r="CQ357" i="5" s="1"/>
  <c r="R357" i="5" s="1"/>
  <c r="S357" i="5" s="1"/>
  <c r="DA357" i="5"/>
  <c r="DB357" i="5" s="1"/>
  <c r="K357" i="5" s="1"/>
  <c r="L357" i="5"/>
  <c r="T357" i="5"/>
  <c r="U357" i="5" s="1"/>
  <c r="W357" i="5"/>
  <c r="H330" i="6" l="1"/>
  <c r="Z355" i="5"/>
  <c r="AA355" i="5" s="1"/>
  <c r="I330" i="6" s="1"/>
  <c r="AH356" i="5"/>
  <c r="AT356" i="5"/>
  <c r="AP356" i="5"/>
  <c r="P356" i="5"/>
  <c r="AY356" i="5" s="1"/>
  <c r="M356" i="5"/>
  <c r="CO357" i="5"/>
  <c r="F357" i="5" s="1"/>
  <c r="CN357" i="5"/>
  <c r="E357" i="5" s="1"/>
  <c r="BY357" i="5" l="1"/>
  <c r="J357" i="5" s="1"/>
  <c r="BW357" i="5"/>
  <c r="AS356" i="5"/>
  <c r="AV356" i="5" s="1"/>
  <c r="AO356" i="5"/>
  <c r="N356" i="5"/>
  <c r="AG356" i="5"/>
  <c r="AJ356" i="5" s="1"/>
  <c r="BC357" i="5"/>
  <c r="D332" i="6"/>
  <c r="C358" i="5"/>
  <c r="BU358" i="5" s="1"/>
  <c r="E332" i="6"/>
  <c r="F331" i="6"/>
  <c r="Q356" i="5"/>
  <c r="V356" i="5" s="1"/>
  <c r="AF357" i="5" l="1"/>
  <c r="AN357" i="5"/>
  <c r="BV358" i="5"/>
  <c r="BT358" i="5"/>
  <c r="BS358" i="5"/>
  <c r="CI358" i="5"/>
  <c r="BH358" i="5"/>
  <c r="BI358" i="5" s="1"/>
  <c r="BJ358" i="5" s="1"/>
  <c r="AR356" i="5"/>
  <c r="CY358" i="5"/>
  <c r="D358" i="5"/>
  <c r="CL358" i="5"/>
  <c r="CM358" i="5" s="1"/>
  <c r="C333" i="6"/>
  <c r="AK358" i="5"/>
  <c r="CS358" i="5"/>
  <c r="AB358" i="5"/>
  <c r="DA358" i="5" s="1"/>
  <c r="DB358" i="5" s="1"/>
  <c r="BK358" i="5"/>
  <c r="BL358" i="5" s="1"/>
  <c r="BM358" i="5" s="1"/>
  <c r="AC358" i="5"/>
  <c r="AD358" i="5" s="1"/>
  <c r="CX358" i="5"/>
  <c r="CW358" i="5"/>
  <c r="CR358" i="5"/>
  <c r="BG357" i="5"/>
  <c r="H357" i="5" s="1"/>
  <c r="AX358" i="5"/>
  <c r="AW358" i="5" s="1"/>
  <c r="CU358" i="5"/>
  <c r="BX358" i="5" s="1"/>
  <c r="G331" i="6"/>
  <c r="CZ357" i="5"/>
  <c r="BD357" i="5"/>
  <c r="BE358" i="5" s="1"/>
  <c r="BF357" i="5"/>
  <c r="CH358" i="5" l="1"/>
  <c r="CK358" i="5"/>
  <c r="CJ358" i="5" s="1"/>
  <c r="K358" i="5" s="1"/>
  <c r="X356" i="5"/>
  <c r="Y356" i="5" s="1"/>
  <c r="BN358" i="5"/>
  <c r="BO358" i="5" s="1"/>
  <c r="BP358" i="5" s="1"/>
  <c r="G358" i="5" s="1"/>
  <c r="CT358" i="5"/>
  <c r="CV358" i="5"/>
  <c r="L358" i="5"/>
  <c r="CP358" i="5"/>
  <c r="CQ358" i="5" s="1"/>
  <c r="R358" i="5" s="1"/>
  <c r="S358" i="5" s="1"/>
  <c r="AM358" i="5"/>
  <c r="AL359" i="5" s="1"/>
  <c r="I357" i="5"/>
  <c r="AP357" i="5" s="1"/>
  <c r="T358" i="5"/>
  <c r="U358" i="5" s="1"/>
  <c r="W358" i="5"/>
  <c r="AE358" i="5"/>
  <c r="H331" i="6" l="1"/>
  <c r="Z356" i="5"/>
  <c r="AA356" i="5" s="1"/>
  <c r="I331" i="6" s="1"/>
  <c r="AT357" i="5"/>
  <c r="AH357" i="5"/>
  <c r="CN358" i="5"/>
  <c r="E358" i="5" s="1"/>
  <c r="CO358" i="5"/>
  <c r="F358" i="5" s="1"/>
  <c r="P357" i="5"/>
  <c r="AY357" i="5" s="1"/>
  <c r="M357" i="5"/>
  <c r="BW358" i="5" l="1"/>
  <c r="BY358" i="5"/>
  <c r="J358" i="5" s="1"/>
  <c r="AS357" i="5"/>
  <c r="AV357" i="5" s="1"/>
  <c r="AO357" i="5"/>
  <c r="AR357" i="5" s="1"/>
  <c r="N357" i="5"/>
  <c r="AG357" i="5"/>
  <c r="D333" i="6"/>
  <c r="BC358" i="5"/>
  <c r="E333" i="6"/>
  <c r="C359" i="5"/>
  <c r="BU359" i="5" s="1"/>
  <c r="Q357" i="5"/>
  <c r="V357" i="5" s="1"/>
  <c r="F332" i="6"/>
  <c r="AF358" i="5" l="1"/>
  <c r="AN358" i="5"/>
  <c r="BT359" i="5"/>
  <c r="BV359" i="5"/>
  <c r="BS359" i="5"/>
  <c r="CI359" i="5"/>
  <c r="BH359" i="5"/>
  <c r="BI359" i="5" s="1"/>
  <c r="BJ359" i="5" s="1"/>
  <c r="BF358" i="5"/>
  <c r="CZ358" i="5"/>
  <c r="BD358" i="5"/>
  <c r="BE359" i="5" s="1"/>
  <c r="CX359" i="5"/>
  <c r="CL359" i="5"/>
  <c r="CM359" i="5" s="1"/>
  <c r="AK359" i="5"/>
  <c r="AM359" i="5" s="1"/>
  <c r="AL360" i="5" s="1"/>
  <c r="CR359" i="5"/>
  <c r="AC359" i="5"/>
  <c r="BK359" i="5"/>
  <c r="BL359" i="5" s="1"/>
  <c r="BM359" i="5" s="1"/>
  <c r="CW359" i="5"/>
  <c r="CS359" i="5"/>
  <c r="D359" i="5"/>
  <c r="AB359" i="5"/>
  <c r="DA359" i="5" s="1"/>
  <c r="DB359" i="5" s="1"/>
  <c r="CY359" i="5"/>
  <c r="C334" i="6"/>
  <c r="BG358" i="5"/>
  <c r="H358" i="5" s="1"/>
  <c r="AX359" i="5"/>
  <c r="AW359" i="5" s="1"/>
  <c r="CU359" i="5"/>
  <c r="BX359" i="5" s="1"/>
  <c r="AJ357" i="5"/>
  <c r="G332" i="6"/>
  <c r="AD359" i="5" l="1"/>
  <c r="AE359" i="5" s="1"/>
  <c r="CH359" i="5"/>
  <c r="CK359" i="5"/>
  <c r="CJ359" i="5" s="1"/>
  <c r="K359" i="5" s="1"/>
  <c r="X357" i="5"/>
  <c r="Y357" i="5" s="1"/>
  <c r="W359" i="5"/>
  <c r="T359" i="5"/>
  <c r="U359" i="5" s="1"/>
  <c r="CT359" i="5"/>
  <c r="CV359" i="5"/>
  <c r="L359" i="5"/>
  <c r="BN359" i="5"/>
  <c r="BO359" i="5" s="1"/>
  <c r="BP359" i="5" s="1"/>
  <c r="G359" i="5" s="1"/>
  <c r="I358" i="5"/>
  <c r="AH358" i="5" s="1"/>
  <c r="CP359" i="5"/>
  <c r="CQ359" i="5" s="1"/>
  <c r="R359" i="5" s="1"/>
  <c r="S359" i="5" s="1"/>
  <c r="H332" i="6" l="1"/>
  <c r="Z357" i="5"/>
  <c r="AA357" i="5" s="1"/>
  <c r="I332" i="6" s="1"/>
  <c r="AT358" i="5"/>
  <c r="AP358" i="5"/>
  <c r="M358" i="5"/>
  <c r="P358" i="5"/>
  <c r="CO359" i="5"/>
  <c r="F359" i="5" s="1"/>
  <c r="CN359" i="5"/>
  <c r="E359" i="5" s="1"/>
  <c r="BB358" i="5" l="1"/>
  <c r="AY358" i="5"/>
  <c r="AO358" i="5"/>
  <c r="AR358" i="5" s="1"/>
  <c r="AG358" i="5"/>
  <c r="Q358" i="5"/>
  <c r="V358" i="5" s="1"/>
  <c r="F333" i="6"/>
  <c r="AS358" i="5"/>
  <c r="AV358" i="5" s="1"/>
  <c r="N358" i="5"/>
  <c r="C360" i="5"/>
  <c r="BU360" i="5" s="1"/>
  <c r="E334" i="6"/>
  <c r="D334" i="6"/>
  <c r="BC359" i="5"/>
  <c r="BW359" i="5" l="1"/>
  <c r="BY359" i="5"/>
  <c r="J359" i="5" s="1"/>
  <c r="BT360" i="5"/>
  <c r="BV360" i="5"/>
  <c r="BS360" i="5"/>
  <c r="CI360" i="5"/>
  <c r="BH360" i="5"/>
  <c r="BI360" i="5" s="1"/>
  <c r="BJ360" i="5" s="1"/>
  <c r="AJ358" i="5"/>
  <c r="CY360" i="5"/>
  <c r="BK360" i="5"/>
  <c r="BL360" i="5" s="1"/>
  <c r="BM360" i="5" s="1"/>
  <c r="CR360" i="5"/>
  <c r="AK360" i="5"/>
  <c r="AB360" i="5"/>
  <c r="BN360" i="5" s="1"/>
  <c r="BO360" i="5" s="1"/>
  <c r="BP360" i="5" s="1"/>
  <c r="C335" i="6"/>
  <c r="AC360" i="5"/>
  <c r="CS360" i="5"/>
  <c r="CX360" i="5"/>
  <c r="CW360" i="5"/>
  <c r="D360" i="5"/>
  <c r="CL360" i="5"/>
  <c r="CM360" i="5" s="1"/>
  <c r="BG359" i="5"/>
  <c r="H359" i="5" s="1"/>
  <c r="AX360" i="5"/>
  <c r="AW360" i="5" s="1"/>
  <c r="CU360" i="5"/>
  <c r="BF359" i="5"/>
  <c r="BD359" i="5"/>
  <c r="BE360" i="5" s="1"/>
  <c r="CZ359" i="5"/>
  <c r="G333" i="6"/>
  <c r="AN359" i="5" l="1"/>
  <c r="AF359" i="5"/>
  <c r="BX360" i="5"/>
  <c r="AD360" i="5"/>
  <c r="AE360" i="5" s="1"/>
  <c r="G360" i="5"/>
  <c r="CK360" i="5"/>
  <c r="CJ360" i="5" s="1"/>
  <c r="CH360" i="5"/>
  <c r="X358" i="5"/>
  <c r="Y358" i="5" s="1"/>
  <c r="DA360" i="5"/>
  <c r="DB360" i="5" s="1"/>
  <c r="K360" i="5" s="1"/>
  <c r="CV360" i="5"/>
  <c r="CT360" i="5"/>
  <c r="W360" i="5"/>
  <c r="T360" i="5"/>
  <c r="U360" i="5" s="1"/>
  <c r="AM360" i="5"/>
  <c r="AL361" i="5" s="1"/>
  <c r="I359" i="5"/>
  <c r="AP359" i="5" s="1"/>
  <c r="CP360" i="5"/>
  <c r="CQ360" i="5" s="1"/>
  <c r="R360" i="5" s="1"/>
  <c r="S360" i="5" s="1"/>
  <c r="L360" i="5"/>
  <c r="Z358" i="5" l="1"/>
  <c r="AA358" i="5" s="1"/>
  <c r="I333" i="6" s="1"/>
  <c r="H333" i="6"/>
  <c r="AT359" i="5"/>
  <c r="AH359" i="5"/>
  <c r="M359" i="5"/>
  <c r="P359" i="5"/>
  <c r="AY359" i="5" s="1"/>
  <c r="CO360" i="5"/>
  <c r="F360" i="5" s="1"/>
  <c r="CN360" i="5"/>
  <c r="E360" i="5" s="1"/>
  <c r="AG359" i="5" l="1"/>
  <c r="AJ359" i="5" s="1"/>
  <c r="AO359" i="5"/>
  <c r="AR359" i="5" s="1"/>
  <c r="N359" i="5"/>
  <c r="AS359" i="5"/>
  <c r="AV359" i="5" s="1"/>
  <c r="BC360" i="5"/>
  <c r="D335" i="6"/>
  <c r="Q359" i="5"/>
  <c r="V359" i="5" s="1"/>
  <c r="F334" i="6"/>
  <c r="C361" i="5"/>
  <c r="BU361" i="5" s="1"/>
  <c r="E335" i="6"/>
  <c r="BY360" i="5" l="1"/>
  <c r="J360" i="5" s="1"/>
  <c r="BW360" i="5"/>
  <c r="BT361" i="5"/>
  <c r="BV361" i="5"/>
  <c r="BS361" i="5"/>
  <c r="CI361" i="5"/>
  <c r="BH361" i="5"/>
  <c r="BI361" i="5" s="1"/>
  <c r="BJ361" i="5" s="1"/>
  <c r="X359" i="5"/>
  <c r="Y359" i="5" s="1"/>
  <c r="C336" i="6"/>
  <c r="CR361" i="5"/>
  <c r="CX361" i="5"/>
  <c r="CW361" i="5"/>
  <c r="AK361" i="5"/>
  <c r="AM361" i="5" s="1"/>
  <c r="AL362" i="5" s="1"/>
  <c r="CY361" i="5"/>
  <c r="CL361" i="5"/>
  <c r="CM361" i="5" s="1"/>
  <c r="AB361" i="5"/>
  <c r="CP361" i="5" s="1"/>
  <c r="CQ361" i="5" s="1"/>
  <c r="R361" i="5" s="1"/>
  <c r="S361" i="5" s="1"/>
  <c r="D361" i="5"/>
  <c r="CS361" i="5"/>
  <c r="AC361" i="5"/>
  <c r="AD361" i="5" s="1"/>
  <c r="BK361" i="5"/>
  <c r="BL361" i="5" s="1"/>
  <c r="BM361" i="5" s="1"/>
  <c r="BG360" i="5"/>
  <c r="H360" i="5" s="1"/>
  <c r="AX361" i="5"/>
  <c r="AW361" i="5" s="1"/>
  <c r="CU361" i="5"/>
  <c r="G334" i="6"/>
  <c r="CZ360" i="5"/>
  <c r="BD360" i="5"/>
  <c r="BE361" i="5" s="1"/>
  <c r="BF360" i="5"/>
  <c r="AN360" i="5" l="1"/>
  <c r="AF360" i="5"/>
  <c r="BX361" i="5"/>
  <c r="CH361" i="5"/>
  <c r="CK361" i="5"/>
  <c r="CJ361" i="5" s="1"/>
  <c r="BN361" i="5"/>
  <c r="BO361" i="5" s="1"/>
  <c r="BP361" i="5" s="1"/>
  <c r="G361" i="5" s="1"/>
  <c r="DA361" i="5"/>
  <c r="DB361" i="5" s="1"/>
  <c r="K361" i="5" s="1"/>
  <c r="L361" i="5"/>
  <c r="CT361" i="5"/>
  <c r="CV361" i="5"/>
  <c r="I360" i="5"/>
  <c r="AH360" i="5" s="1"/>
  <c r="AE361" i="5"/>
  <c r="H334" i="6"/>
  <c r="Z359" i="5"/>
  <c r="W361" i="5"/>
  <c r="T361" i="5"/>
  <c r="U361" i="5" s="1"/>
  <c r="AT360" i="5" l="1"/>
  <c r="AP360" i="5"/>
  <c r="M360" i="5"/>
  <c r="P360" i="5"/>
  <c r="AY360" i="5" s="1"/>
  <c r="CN361" i="5"/>
  <c r="E361" i="5" s="1"/>
  <c r="CO361" i="5"/>
  <c r="F361" i="5" s="1"/>
  <c r="AA359" i="5"/>
  <c r="I334" i="6" s="1"/>
  <c r="BW361" i="5" l="1"/>
  <c r="BY361" i="5"/>
  <c r="J361" i="5" s="1"/>
  <c r="AS360" i="5"/>
  <c r="AV360" i="5" s="1"/>
  <c r="AO360" i="5"/>
  <c r="AR360" i="5" s="1"/>
  <c r="BC361" i="5"/>
  <c r="D336" i="6"/>
  <c r="Q360" i="5"/>
  <c r="V360" i="5" s="1"/>
  <c r="F335" i="6"/>
  <c r="C362" i="5"/>
  <c r="BU362" i="5" s="1"/>
  <c r="E336" i="6"/>
  <c r="AG360" i="5"/>
  <c r="N360" i="5"/>
  <c r="AN361" i="5" l="1"/>
  <c r="AF361" i="5"/>
  <c r="BV362" i="5"/>
  <c r="BT362" i="5"/>
  <c r="BS362" i="5"/>
  <c r="CI362" i="5"/>
  <c r="BH362" i="5"/>
  <c r="BI362" i="5" s="1"/>
  <c r="BJ362" i="5" s="1"/>
  <c r="CS362" i="5"/>
  <c r="C337" i="6"/>
  <c r="CR362" i="5"/>
  <c r="AC362" i="5"/>
  <c r="AD362" i="5" s="1"/>
  <c r="BK362" i="5"/>
  <c r="BL362" i="5" s="1"/>
  <c r="BM362" i="5" s="1"/>
  <c r="CX362" i="5"/>
  <c r="AB362" i="5"/>
  <c r="BN362" i="5" s="1"/>
  <c r="BO362" i="5" s="1"/>
  <c r="BP362" i="5" s="1"/>
  <c r="D362" i="5"/>
  <c r="CL362" i="5"/>
  <c r="CM362" i="5" s="1"/>
  <c r="CW362" i="5"/>
  <c r="CY362" i="5"/>
  <c r="AK362" i="5"/>
  <c r="BG361" i="5"/>
  <c r="H361" i="5" s="1"/>
  <c r="AX362" i="5"/>
  <c r="AW362" i="5" s="1"/>
  <c r="CU362" i="5"/>
  <c r="BX362" i="5" s="1"/>
  <c r="G335" i="6"/>
  <c r="AJ360" i="5"/>
  <c r="CZ361" i="5"/>
  <c r="BF361" i="5"/>
  <c r="BD361" i="5"/>
  <c r="BE362" i="5" s="1"/>
  <c r="G362" i="5" l="1"/>
  <c r="CH362" i="5"/>
  <c r="CK362" i="5"/>
  <c r="CJ362" i="5" s="1"/>
  <c r="X360" i="5"/>
  <c r="Y360" i="5" s="1"/>
  <c r="L362" i="5"/>
  <c r="DA362" i="5"/>
  <c r="DB362" i="5" s="1"/>
  <c r="K362" i="5" s="1"/>
  <c r="CP362" i="5"/>
  <c r="CQ362" i="5" s="1"/>
  <c r="R362" i="5" s="1"/>
  <c r="S362" i="5" s="1"/>
  <c r="CV362" i="5"/>
  <c r="CT362" i="5"/>
  <c r="AM362" i="5"/>
  <c r="AL363" i="5" s="1"/>
  <c r="AE362" i="5"/>
  <c r="I361" i="5"/>
  <c r="AH361" i="5" s="1"/>
  <c r="T362" i="5"/>
  <c r="U362" i="5" s="1"/>
  <c r="W362" i="5"/>
  <c r="H335" i="6" l="1"/>
  <c r="Z360" i="5"/>
  <c r="AA360" i="5" s="1"/>
  <c r="I335" i="6" s="1"/>
  <c r="AT361" i="5"/>
  <c r="AP361" i="5"/>
  <c r="M361" i="5"/>
  <c r="N361" i="5" s="1"/>
  <c r="P361" i="5"/>
  <c r="AY361" i="5" s="1"/>
  <c r="CN362" i="5"/>
  <c r="E362" i="5" s="1"/>
  <c r="CO362" i="5"/>
  <c r="F362" i="5" s="1"/>
  <c r="BW362" i="5" l="1"/>
  <c r="BY362" i="5"/>
  <c r="J362" i="5" s="1"/>
  <c r="AO361" i="5"/>
  <c r="AR361" i="5" s="1"/>
  <c r="AG361" i="5"/>
  <c r="AJ361" i="5" s="1"/>
  <c r="AS361" i="5"/>
  <c r="AV361" i="5" s="1"/>
  <c r="F336" i="6"/>
  <c r="Q361" i="5"/>
  <c r="V361" i="5" s="1"/>
  <c r="G336" i="6" s="1"/>
  <c r="C363" i="5"/>
  <c r="BU363" i="5" s="1"/>
  <c r="E337" i="6"/>
  <c r="D337" i="6"/>
  <c r="BC362" i="5"/>
  <c r="AN362" i="5" l="1"/>
  <c r="AF362" i="5"/>
  <c r="BT363" i="5"/>
  <c r="BV363" i="5"/>
  <c r="BS363" i="5"/>
  <c r="CI363" i="5"/>
  <c r="BH363" i="5"/>
  <c r="BI363" i="5" s="1"/>
  <c r="BJ363" i="5" s="1"/>
  <c r="X361" i="5"/>
  <c r="Y361" i="5" s="1"/>
  <c r="BF362" i="5"/>
  <c r="CZ362" i="5"/>
  <c r="BD362" i="5"/>
  <c r="BE363" i="5" s="1"/>
  <c r="CS363" i="5"/>
  <c r="AK363" i="5"/>
  <c r="AB363" i="5"/>
  <c r="DA363" i="5" s="1"/>
  <c r="DB363" i="5" s="1"/>
  <c r="D363" i="5"/>
  <c r="CX363" i="5"/>
  <c r="CL363" i="5"/>
  <c r="CM363" i="5" s="1"/>
  <c r="BK363" i="5"/>
  <c r="BL363" i="5" s="1"/>
  <c r="BM363" i="5" s="1"/>
  <c r="CW363" i="5"/>
  <c r="CR363" i="5"/>
  <c r="CY363" i="5"/>
  <c r="AC363" i="5"/>
  <c r="C338" i="6"/>
  <c r="BG362" i="5"/>
  <c r="H362" i="5" s="1"/>
  <c r="AX363" i="5"/>
  <c r="AW363" i="5" s="1"/>
  <c r="CU363" i="5"/>
  <c r="BX363" i="5" s="1"/>
  <c r="AD363" i="5" l="1"/>
  <c r="AE363" i="5" s="1"/>
  <c r="CK363" i="5"/>
  <c r="CJ363" i="5" s="1"/>
  <c r="K363" i="5" s="1"/>
  <c r="CH363" i="5"/>
  <c r="CP363" i="5"/>
  <c r="CQ363" i="5" s="1"/>
  <c r="R363" i="5" s="1"/>
  <c r="S363" i="5" s="1"/>
  <c r="H336" i="6"/>
  <c r="Z361" i="5"/>
  <c r="AA361" i="5" s="1"/>
  <c r="I336" i="6" s="1"/>
  <c r="AM363" i="5"/>
  <c r="AL364" i="5" s="1"/>
  <c r="CT363" i="5"/>
  <c r="CV363" i="5"/>
  <c r="L363" i="5"/>
  <c r="I362" i="5"/>
  <c r="AH362" i="5" s="1"/>
  <c r="T363" i="5"/>
  <c r="U363" i="5" s="1"/>
  <c r="W363" i="5"/>
  <c r="BN363" i="5"/>
  <c r="BO363" i="5" s="1"/>
  <c r="BP363" i="5" s="1"/>
  <c r="G363" i="5" s="1"/>
  <c r="AT362" i="5" l="1"/>
  <c r="AP362" i="5"/>
  <c r="CO363" i="5"/>
  <c r="F363" i="5" s="1"/>
  <c r="CN363" i="5"/>
  <c r="E363" i="5" s="1"/>
  <c r="P362" i="5"/>
  <c r="AY362" i="5" s="1"/>
  <c r="M362" i="5"/>
  <c r="AG362" i="5" s="1"/>
  <c r="AJ362" i="5" s="1"/>
  <c r="BW363" i="5" l="1"/>
  <c r="BY363" i="5"/>
  <c r="J363" i="5" s="1"/>
  <c r="AN363" i="5" s="1"/>
  <c r="D338" i="6"/>
  <c r="BC363" i="5"/>
  <c r="E338" i="6"/>
  <c r="C364" i="5"/>
  <c r="BU364" i="5" s="1"/>
  <c r="N362" i="5"/>
  <c r="AS362" i="5"/>
  <c r="AV362" i="5" s="1"/>
  <c r="AO362" i="5"/>
  <c r="F337" i="6"/>
  <c r="Q362" i="5"/>
  <c r="V362" i="5" s="1"/>
  <c r="AF363" i="5" l="1"/>
  <c r="BT364" i="5"/>
  <c r="BV364" i="5"/>
  <c r="BS364" i="5"/>
  <c r="CI364" i="5"/>
  <c r="BH364" i="5"/>
  <c r="BI364" i="5" s="1"/>
  <c r="BJ364" i="5" s="1"/>
  <c r="AC364" i="5"/>
  <c r="AD364" i="5" s="1"/>
  <c r="D364" i="5"/>
  <c r="AB364" i="5"/>
  <c r="CP364" i="5" s="1"/>
  <c r="CQ364" i="5" s="1"/>
  <c r="R364" i="5" s="1"/>
  <c r="S364" i="5" s="1"/>
  <c r="CR364" i="5"/>
  <c r="AK364" i="5"/>
  <c r="CS364" i="5"/>
  <c r="BK364" i="5"/>
  <c r="BL364" i="5" s="1"/>
  <c r="BM364" i="5" s="1"/>
  <c r="CW364" i="5"/>
  <c r="CL364" i="5"/>
  <c r="CM364" i="5" s="1"/>
  <c r="C339" i="6"/>
  <c r="CX364" i="5"/>
  <c r="CY364" i="5"/>
  <c r="BG363" i="5"/>
  <c r="H363" i="5" s="1"/>
  <c r="AX364" i="5"/>
  <c r="AW364" i="5" s="1"/>
  <c r="CU364" i="5"/>
  <c r="BX364" i="5" s="1"/>
  <c r="AR362" i="5"/>
  <c r="CZ363" i="5"/>
  <c r="BF363" i="5"/>
  <c r="BD363" i="5"/>
  <c r="BE364" i="5" s="1"/>
  <c r="G337" i="6"/>
  <c r="CH364" i="5" l="1"/>
  <c r="CK364" i="5"/>
  <c r="CJ364" i="5" s="1"/>
  <c r="X362" i="5"/>
  <c r="Y362" i="5" s="1"/>
  <c r="L364" i="5"/>
  <c r="DA364" i="5"/>
  <c r="DB364" i="5" s="1"/>
  <c r="K364" i="5" s="1"/>
  <c r="BN364" i="5"/>
  <c r="BO364" i="5" s="1"/>
  <c r="BP364" i="5" s="1"/>
  <c r="G364" i="5" s="1"/>
  <c r="CT364" i="5"/>
  <c r="CV364" i="5"/>
  <c r="AM364" i="5"/>
  <c r="AL365" i="5" s="1"/>
  <c r="I363" i="5"/>
  <c r="AP363" i="5" s="1"/>
  <c r="T364" i="5"/>
  <c r="U364" i="5" s="1"/>
  <c r="W364" i="5"/>
  <c r="AE364" i="5"/>
  <c r="H337" i="6" l="1"/>
  <c r="Z362" i="5"/>
  <c r="AA362" i="5" s="1"/>
  <c r="I337" i="6" s="1"/>
  <c r="AH363" i="5"/>
  <c r="AT363" i="5"/>
  <c r="CN364" i="5"/>
  <c r="E364" i="5" s="1"/>
  <c r="CO364" i="5"/>
  <c r="F364" i="5" s="1"/>
  <c r="M363" i="5"/>
  <c r="P363" i="5"/>
  <c r="AY363" i="5" s="1"/>
  <c r="BW364" i="5" l="1"/>
  <c r="BY364" i="5"/>
  <c r="J364" i="5" s="1"/>
  <c r="AG363" i="5"/>
  <c r="AJ363" i="5" s="1"/>
  <c r="AO363" i="5"/>
  <c r="N363" i="5"/>
  <c r="AS363" i="5"/>
  <c r="AV363" i="5" s="1"/>
  <c r="D339" i="6"/>
  <c r="BC364" i="5"/>
  <c r="E339" i="6"/>
  <c r="C365" i="5"/>
  <c r="BU365" i="5" s="1"/>
  <c r="Q363" i="5"/>
  <c r="V363" i="5" s="1"/>
  <c r="F338" i="6"/>
  <c r="AF364" i="5" l="1"/>
  <c r="AN364" i="5"/>
  <c r="BV365" i="5"/>
  <c r="BT365" i="5"/>
  <c r="BS365" i="5"/>
  <c r="CI365" i="5"/>
  <c r="BH365" i="5"/>
  <c r="BI365" i="5" s="1"/>
  <c r="BJ365" i="5" s="1"/>
  <c r="AR363" i="5"/>
  <c r="AK365" i="5"/>
  <c r="CL365" i="5"/>
  <c r="CM365" i="5" s="1"/>
  <c r="CX365" i="5"/>
  <c r="BK365" i="5"/>
  <c r="BL365" i="5" s="1"/>
  <c r="BM365" i="5" s="1"/>
  <c r="CW365" i="5"/>
  <c r="D365" i="5"/>
  <c r="CY365" i="5"/>
  <c r="AB365" i="5"/>
  <c r="L365" i="5" s="1"/>
  <c r="CS365" i="5"/>
  <c r="CR365" i="5"/>
  <c r="AC365" i="5"/>
  <c r="AD365" i="5" s="1"/>
  <c r="C340" i="6"/>
  <c r="BG364" i="5"/>
  <c r="H364" i="5" s="1"/>
  <c r="AX365" i="5"/>
  <c r="AW365" i="5" s="1"/>
  <c r="CU365" i="5"/>
  <c r="BX365" i="5" s="1"/>
  <c r="CZ364" i="5"/>
  <c r="BF364" i="5"/>
  <c r="BD364" i="5"/>
  <c r="BE365" i="5" s="1"/>
  <c r="G338" i="6"/>
  <c r="CH365" i="5" l="1"/>
  <c r="CK365" i="5"/>
  <c r="CJ365" i="5" s="1"/>
  <c r="X363" i="5"/>
  <c r="Y363" i="5" s="1"/>
  <c r="DA365" i="5"/>
  <c r="DB365" i="5" s="1"/>
  <c r="K365" i="5" s="1"/>
  <c r="BN365" i="5"/>
  <c r="BO365" i="5" s="1"/>
  <c r="BP365" i="5" s="1"/>
  <c r="G365" i="5" s="1"/>
  <c r="CP365" i="5"/>
  <c r="CQ365" i="5" s="1"/>
  <c r="R365" i="5" s="1"/>
  <c r="S365" i="5" s="1"/>
  <c r="W365" i="5"/>
  <c r="T365" i="5"/>
  <c r="U365" i="5" s="1"/>
  <c r="I364" i="5"/>
  <c r="AP364" i="5" s="1"/>
  <c r="AE365" i="5"/>
  <c r="CV365" i="5"/>
  <c r="CT365" i="5"/>
  <c r="AM365" i="5"/>
  <c r="AL366" i="5" s="1"/>
  <c r="H338" i="6" l="1"/>
  <c r="Z363" i="5"/>
  <c r="AA363" i="5" s="1"/>
  <c r="I338" i="6" s="1"/>
  <c r="AH364" i="5"/>
  <c r="AT364" i="5"/>
  <c r="P364" i="5"/>
  <c r="AY364" i="5" s="1"/>
  <c r="M364" i="5"/>
  <c r="CN365" i="5"/>
  <c r="E365" i="5" s="1"/>
  <c r="CO365" i="5"/>
  <c r="F365" i="5" s="1"/>
  <c r="BY365" i="5" l="1"/>
  <c r="J365" i="5" s="1"/>
  <c r="BW365" i="5"/>
  <c r="AS364" i="5"/>
  <c r="AV364" i="5" s="1"/>
  <c r="AO364" i="5"/>
  <c r="AR364" i="5" s="1"/>
  <c r="BC365" i="5"/>
  <c r="D340" i="6"/>
  <c r="N364" i="5"/>
  <c r="AG364" i="5"/>
  <c r="C366" i="5"/>
  <c r="BU366" i="5" s="1"/>
  <c r="E340" i="6"/>
  <c r="Q364" i="5"/>
  <c r="V364" i="5" s="1"/>
  <c r="F339" i="6"/>
  <c r="AF365" i="5" l="1"/>
  <c r="AN365" i="5"/>
  <c r="BV366" i="5"/>
  <c r="BT366" i="5"/>
  <c r="BS366" i="5"/>
  <c r="CI366" i="5"/>
  <c r="BH366" i="5"/>
  <c r="BI366" i="5" s="1"/>
  <c r="BJ366" i="5" s="1"/>
  <c r="G339" i="6"/>
  <c r="AJ364" i="5"/>
  <c r="CL366" i="5"/>
  <c r="CM366" i="5" s="1"/>
  <c r="BK366" i="5"/>
  <c r="BL366" i="5" s="1"/>
  <c r="BM366" i="5" s="1"/>
  <c r="AC366" i="5"/>
  <c r="AB366" i="5"/>
  <c r="L366" i="5" s="1"/>
  <c r="CW366" i="5"/>
  <c r="CX366" i="5"/>
  <c r="CY366" i="5"/>
  <c r="CS366" i="5"/>
  <c r="C341" i="6"/>
  <c r="D366" i="5"/>
  <c r="AK366" i="5"/>
  <c r="CR366" i="5"/>
  <c r="BG365" i="5"/>
  <c r="H365" i="5" s="1"/>
  <c r="AX366" i="5"/>
  <c r="AW366" i="5" s="1"/>
  <c r="CU366" i="5"/>
  <c r="BX366" i="5" s="1"/>
  <c r="CZ365" i="5"/>
  <c r="BF365" i="5"/>
  <c r="BD365" i="5"/>
  <c r="BE366" i="5" s="1"/>
  <c r="AD366" i="5" l="1"/>
  <c r="AE366" i="5" s="1"/>
  <c r="CH366" i="5"/>
  <c r="CK366" i="5"/>
  <c r="CJ366" i="5" s="1"/>
  <c r="X364" i="5"/>
  <c r="Y364" i="5" s="1"/>
  <c r="DA366" i="5"/>
  <c r="DB366" i="5" s="1"/>
  <c r="K366" i="5" s="1"/>
  <c r="CP366" i="5"/>
  <c r="CQ366" i="5" s="1"/>
  <c r="R366" i="5" s="1"/>
  <c r="S366" i="5" s="1"/>
  <c r="BN366" i="5"/>
  <c r="BO366" i="5" s="1"/>
  <c r="BP366" i="5" s="1"/>
  <c r="G366" i="5" s="1"/>
  <c r="W366" i="5"/>
  <c r="T366" i="5"/>
  <c r="U366" i="5" s="1"/>
  <c r="CT366" i="5"/>
  <c r="CV366" i="5"/>
  <c r="I365" i="5"/>
  <c r="AH365" i="5" s="1"/>
  <c r="AM366" i="5"/>
  <c r="AL367" i="5" s="1"/>
  <c r="Z364" i="5" l="1"/>
  <c r="AA364" i="5" s="1"/>
  <c r="I339" i="6" s="1"/>
  <c r="H339" i="6"/>
  <c r="AT365" i="5"/>
  <c r="AP365" i="5"/>
  <c r="P365" i="5"/>
  <c r="AY365" i="5" s="1"/>
  <c r="M365" i="5"/>
  <c r="CN366" i="5"/>
  <c r="E366" i="5" s="1"/>
  <c r="CO366" i="5"/>
  <c r="F366" i="5" s="1"/>
  <c r="BW366" i="5" l="1"/>
  <c r="BY366" i="5"/>
  <c r="J366" i="5" s="1"/>
  <c r="AN366" i="5" s="1"/>
  <c r="AO365" i="5"/>
  <c r="AR365" i="5" s="1"/>
  <c r="AG365" i="5"/>
  <c r="Q365" i="5"/>
  <c r="V365" i="5" s="1"/>
  <c r="G340" i="6" s="1"/>
  <c r="F340" i="6"/>
  <c r="AS365" i="5"/>
  <c r="AV365" i="5" s="1"/>
  <c r="N365" i="5"/>
  <c r="BC366" i="5"/>
  <c r="D341" i="6"/>
  <c r="C367" i="5"/>
  <c r="BU367" i="5" s="1"/>
  <c r="E341" i="6"/>
  <c r="AF366" i="5" l="1"/>
  <c r="BT367" i="5"/>
  <c r="BV367" i="5"/>
  <c r="BS367" i="5"/>
  <c r="CI367" i="5"/>
  <c r="BH367" i="5"/>
  <c r="BI367" i="5" s="1"/>
  <c r="BJ367" i="5" s="1"/>
  <c r="AJ365" i="5"/>
  <c r="BD366" i="5"/>
  <c r="BE367" i="5" s="1"/>
  <c r="CZ366" i="5"/>
  <c r="BF366" i="5"/>
  <c r="AK367" i="5"/>
  <c r="CS367" i="5"/>
  <c r="BK367" i="5"/>
  <c r="BL367" i="5" s="1"/>
  <c r="BM367" i="5" s="1"/>
  <c r="CR367" i="5"/>
  <c r="AB367" i="5"/>
  <c r="BN367" i="5" s="1"/>
  <c r="BO367" i="5" s="1"/>
  <c r="BP367" i="5" s="1"/>
  <c r="AC367" i="5"/>
  <c r="CX367" i="5"/>
  <c r="CL367" i="5"/>
  <c r="CM367" i="5" s="1"/>
  <c r="D367" i="5"/>
  <c r="CW367" i="5"/>
  <c r="CY367" i="5"/>
  <c r="C342" i="6"/>
  <c r="BG366" i="5"/>
  <c r="H366" i="5" s="1"/>
  <c r="AX367" i="5"/>
  <c r="AW367" i="5" s="1"/>
  <c r="CU367" i="5"/>
  <c r="BX367" i="5" s="1"/>
  <c r="AD367" i="5" l="1"/>
  <c r="AE367" i="5" s="1"/>
  <c r="G367" i="5"/>
  <c r="CH367" i="5"/>
  <c r="CK367" i="5"/>
  <c r="CJ367" i="5" s="1"/>
  <c r="X365" i="5"/>
  <c r="Y365" i="5" s="1"/>
  <c r="DA367" i="5"/>
  <c r="DB367" i="5" s="1"/>
  <c r="K367" i="5" s="1"/>
  <c r="L367" i="5"/>
  <c r="CP367" i="5"/>
  <c r="CQ367" i="5" s="1"/>
  <c r="R367" i="5" s="1"/>
  <c r="S367" i="5" s="1"/>
  <c r="I366" i="5"/>
  <c r="AH366" i="5" s="1"/>
  <c r="T367" i="5"/>
  <c r="U367" i="5" s="1"/>
  <c r="W367" i="5"/>
  <c r="AM367" i="5"/>
  <c r="AL368" i="5" s="1"/>
  <c r="CT367" i="5"/>
  <c r="CV367" i="5"/>
  <c r="Z365" i="5" l="1"/>
  <c r="AA365" i="5" s="1"/>
  <c r="I340" i="6" s="1"/>
  <c r="H340" i="6"/>
  <c r="AT366" i="5"/>
  <c r="AP366" i="5"/>
  <c r="CN367" i="5"/>
  <c r="E367" i="5" s="1"/>
  <c r="CO367" i="5"/>
  <c r="F367" i="5" s="1"/>
  <c r="P366" i="5"/>
  <c r="AY366" i="5" s="1"/>
  <c r="M366" i="5"/>
  <c r="BW367" i="5" l="1"/>
  <c r="AO366" i="5"/>
  <c r="AR366" i="5" s="1"/>
  <c r="AG366" i="5"/>
  <c r="N366" i="5"/>
  <c r="AS366" i="5"/>
  <c r="AV366" i="5" s="1"/>
  <c r="F341" i="6"/>
  <c r="Q366" i="5"/>
  <c r="V366" i="5" s="1"/>
  <c r="E342" i="6"/>
  <c r="C368" i="5"/>
  <c r="BU368" i="5" s="1"/>
  <c r="BC367" i="5"/>
  <c r="D342" i="6"/>
  <c r="BY367" i="5" l="1"/>
  <c r="J367" i="5" s="1"/>
  <c r="BT368" i="5"/>
  <c r="BV368" i="5"/>
  <c r="BS368" i="5"/>
  <c r="CI368" i="5"/>
  <c r="BH368" i="5"/>
  <c r="BI368" i="5" s="1"/>
  <c r="BJ368" i="5" s="1"/>
  <c r="AJ366" i="5"/>
  <c r="BD367" i="5"/>
  <c r="BE368" i="5" s="1"/>
  <c r="CZ367" i="5"/>
  <c r="BF367" i="5"/>
  <c r="G341" i="6"/>
  <c r="BK368" i="5"/>
  <c r="BL368" i="5" s="1"/>
  <c r="BM368" i="5" s="1"/>
  <c r="CW368" i="5"/>
  <c r="CY368" i="5"/>
  <c r="AB368" i="5"/>
  <c r="DA368" i="5" s="1"/>
  <c r="DB368" i="5" s="1"/>
  <c r="D368" i="5"/>
  <c r="CS368" i="5"/>
  <c r="CL368" i="5"/>
  <c r="CM368" i="5" s="1"/>
  <c r="CX368" i="5"/>
  <c r="C343" i="6"/>
  <c r="AK368" i="5"/>
  <c r="AM368" i="5" s="1"/>
  <c r="AL369" i="5" s="1"/>
  <c r="AC368" i="5"/>
  <c r="AD368" i="5" s="1"/>
  <c r="CR368" i="5"/>
  <c r="BG367" i="5"/>
  <c r="H367" i="5" s="1"/>
  <c r="AX368" i="5"/>
  <c r="AW368" i="5" s="1"/>
  <c r="CU368" i="5"/>
  <c r="BX368" i="5" s="1"/>
  <c r="AN367" i="5" l="1"/>
  <c r="AF367" i="5"/>
  <c r="CK368" i="5"/>
  <c r="CJ368" i="5" s="1"/>
  <c r="K368" i="5" s="1"/>
  <c r="CH368" i="5"/>
  <c r="X366" i="5"/>
  <c r="Y366" i="5" s="1"/>
  <c r="BN368" i="5"/>
  <c r="BO368" i="5" s="1"/>
  <c r="BP368" i="5" s="1"/>
  <c r="G368" i="5" s="1"/>
  <c r="CP368" i="5"/>
  <c r="CQ368" i="5" s="1"/>
  <c r="R368" i="5" s="1"/>
  <c r="S368" i="5" s="1"/>
  <c r="L368" i="5"/>
  <c r="CT368" i="5"/>
  <c r="CV368" i="5"/>
  <c r="I367" i="5"/>
  <c r="AH367" i="5" s="1"/>
  <c r="T368" i="5"/>
  <c r="U368" i="5" s="1"/>
  <c r="W368" i="5"/>
  <c r="AE368" i="5"/>
  <c r="Z366" i="5" l="1"/>
  <c r="AA366" i="5" s="1"/>
  <c r="I341" i="6" s="1"/>
  <c r="H341" i="6"/>
  <c r="AT367" i="5"/>
  <c r="AP367" i="5"/>
  <c r="P367" i="5"/>
  <c r="AY367" i="5" s="1"/>
  <c r="M367" i="5"/>
  <c r="CN368" i="5"/>
  <c r="E368" i="5" s="1"/>
  <c r="CO368" i="5"/>
  <c r="F368" i="5" s="1"/>
  <c r="BY368" i="5" l="1"/>
  <c r="J368" i="5" s="1"/>
  <c r="AF368" i="5" s="1"/>
  <c r="BW368" i="5"/>
  <c r="AO367" i="5"/>
  <c r="AR367" i="5" s="1"/>
  <c r="AG367" i="5"/>
  <c r="AJ367" i="5" s="1"/>
  <c r="N367" i="5"/>
  <c r="AS367" i="5"/>
  <c r="AV367" i="5" s="1"/>
  <c r="E343" i="6"/>
  <c r="C369" i="5"/>
  <c r="BU369" i="5" s="1"/>
  <c r="D343" i="6"/>
  <c r="BC368" i="5"/>
  <c r="Q367" i="5"/>
  <c r="V367" i="5" s="1"/>
  <c r="F342" i="6"/>
  <c r="AN368" i="5" l="1"/>
  <c r="BT369" i="5"/>
  <c r="BV369" i="5"/>
  <c r="BS369" i="5"/>
  <c r="CI369" i="5"/>
  <c r="BH369" i="5"/>
  <c r="BI369" i="5" s="1"/>
  <c r="BJ369" i="5" s="1"/>
  <c r="X367" i="5"/>
  <c r="Y367" i="5" s="1"/>
  <c r="BD368" i="5"/>
  <c r="BE369" i="5" s="1"/>
  <c r="BF368" i="5"/>
  <c r="CZ368" i="5"/>
  <c r="G342" i="6"/>
  <c r="AB369" i="5"/>
  <c r="DA369" i="5" s="1"/>
  <c r="DB369" i="5" s="1"/>
  <c r="C344" i="6"/>
  <c r="D369" i="5"/>
  <c r="AK369" i="5"/>
  <c r="CY369" i="5"/>
  <c r="CW369" i="5"/>
  <c r="CS369" i="5"/>
  <c r="CL369" i="5"/>
  <c r="CM369" i="5" s="1"/>
  <c r="BK369" i="5"/>
  <c r="BL369" i="5" s="1"/>
  <c r="BM369" i="5" s="1"/>
  <c r="CX369" i="5"/>
  <c r="CR369" i="5"/>
  <c r="AC369" i="5"/>
  <c r="AD369" i="5" s="1"/>
  <c r="BG368" i="5"/>
  <c r="H368" i="5" s="1"/>
  <c r="AX369" i="5"/>
  <c r="AW369" i="5" s="1"/>
  <c r="CU369" i="5"/>
  <c r="BX369" i="5" s="1"/>
  <c r="CH369" i="5" l="1"/>
  <c r="CK369" i="5"/>
  <c r="CJ369" i="5" s="1"/>
  <c r="K369" i="5" s="1"/>
  <c r="L369" i="5"/>
  <c r="BN369" i="5"/>
  <c r="BO369" i="5" s="1"/>
  <c r="BP369" i="5" s="1"/>
  <c r="G369" i="5" s="1"/>
  <c r="CV369" i="5"/>
  <c r="CT369" i="5"/>
  <c r="AE369" i="5"/>
  <c r="H342" i="6"/>
  <c r="Z367" i="5"/>
  <c r="AM369" i="5"/>
  <c r="AL370" i="5" s="1"/>
  <c r="I368" i="5"/>
  <c r="AH368" i="5" s="1"/>
  <c r="CP369" i="5"/>
  <c r="CQ369" i="5" s="1"/>
  <c r="R369" i="5" s="1"/>
  <c r="S369" i="5" s="1"/>
  <c r="T369" i="5"/>
  <c r="U369" i="5" s="1"/>
  <c r="W369" i="5"/>
  <c r="AT368" i="5" l="1"/>
  <c r="AP368" i="5"/>
  <c r="AA367" i="5"/>
  <c r="I342" i="6" s="1"/>
  <c r="M368" i="5"/>
  <c r="P368" i="5"/>
  <c r="AY368" i="5" s="1"/>
  <c r="CN369" i="5"/>
  <c r="E369" i="5" s="1"/>
  <c r="CO369" i="5"/>
  <c r="F369" i="5" s="1"/>
  <c r="BW369" i="5" l="1"/>
  <c r="BY369" i="5"/>
  <c r="J369" i="5" s="1"/>
  <c r="AO368" i="5"/>
  <c r="AR368" i="5" s="1"/>
  <c r="AG368" i="5"/>
  <c r="AJ368" i="5" s="1"/>
  <c r="F343" i="6"/>
  <c r="Q368" i="5"/>
  <c r="V368" i="5" s="1"/>
  <c r="E344" i="6"/>
  <c r="C370" i="5"/>
  <c r="BU370" i="5" s="1"/>
  <c r="N368" i="5"/>
  <c r="AS368" i="5"/>
  <c r="AV368" i="5" s="1"/>
  <c r="BC369" i="5"/>
  <c r="D344" i="6"/>
  <c r="AN369" i="5" l="1"/>
  <c r="AF369" i="5"/>
  <c r="BV370" i="5"/>
  <c r="BT370" i="5"/>
  <c r="BS370" i="5"/>
  <c r="CI370" i="5"/>
  <c r="BH370" i="5"/>
  <c r="BI370" i="5" s="1"/>
  <c r="BJ370" i="5" s="1"/>
  <c r="X368" i="5"/>
  <c r="Y368" i="5" s="1"/>
  <c r="CW370" i="5"/>
  <c r="C345" i="6"/>
  <c r="AC370" i="5"/>
  <c r="AD370" i="5" s="1"/>
  <c r="CY370" i="5"/>
  <c r="CX370" i="5"/>
  <c r="AK370" i="5"/>
  <c r="AM370" i="5" s="1"/>
  <c r="AL371" i="5" s="1"/>
  <c r="CS370" i="5"/>
  <c r="CL370" i="5"/>
  <c r="CM370" i="5" s="1"/>
  <c r="D370" i="5"/>
  <c r="AB370" i="5"/>
  <c r="L370" i="5" s="1"/>
  <c r="CR370" i="5"/>
  <c r="BK370" i="5"/>
  <c r="BL370" i="5" s="1"/>
  <c r="BM370" i="5" s="1"/>
  <c r="BG369" i="5"/>
  <c r="H369" i="5" s="1"/>
  <c r="AX370" i="5"/>
  <c r="AW370" i="5" s="1"/>
  <c r="CU370" i="5"/>
  <c r="BX370" i="5" s="1"/>
  <c r="G343" i="6"/>
  <c r="CZ369" i="5"/>
  <c r="BF369" i="5"/>
  <c r="BD369" i="5"/>
  <c r="BE370" i="5" s="1"/>
  <c r="CH370" i="5" l="1"/>
  <c r="CK370" i="5"/>
  <c r="CJ370" i="5" s="1"/>
  <c r="CP370" i="5"/>
  <c r="CQ370" i="5" s="1"/>
  <c r="R370" i="5" s="1"/>
  <c r="S370" i="5" s="1"/>
  <c r="DA370" i="5"/>
  <c r="DB370" i="5" s="1"/>
  <c r="K370" i="5" s="1"/>
  <c r="AE370" i="5"/>
  <c r="CT370" i="5"/>
  <c r="CV370" i="5"/>
  <c r="H343" i="6"/>
  <c r="Z368" i="5"/>
  <c r="I369" i="5"/>
  <c r="AH369" i="5" s="1"/>
  <c r="BN370" i="5"/>
  <c r="BO370" i="5" s="1"/>
  <c r="BP370" i="5" s="1"/>
  <c r="G370" i="5" s="1"/>
  <c r="W370" i="5"/>
  <c r="T370" i="5"/>
  <c r="U370" i="5" s="1"/>
  <c r="AT369" i="5" l="1"/>
  <c r="AP369" i="5"/>
  <c r="P369" i="5"/>
  <c r="AY369" i="5" s="1"/>
  <c r="M369" i="5"/>
  <c r="AG369" i="5" s="1"/>
  <c r="AJ369" i="5" s="1"/>
  <c r="CO370" i="5"/>
  <c r="F370" i="5" s="1"/>
  <c r="CN370" i="5"/>
  <c r="E370" i="5" s="1"/>
  <c r="AA368" i="5"/>
  <c r="I343" i="6" s="1"/>
  <c r="BW370" i="5" l="1"/>
  <c r="BY370" i="5"/>
  <c r="J370" i="5" s="1"/>
  <c r="AN370" i="5" s="1"/>
  <c r="Q369" i="5"/>
  <c r="V369" i="5" s="1"/>
  <c r="F344" i="6"/>
  <c r="E345" i="6"/>
  <c r="C371" i="5"/>
  <c r="BU371" i="5" s="1"/>
  <c r="BC370" i="5"/>
  <c r="D345" i="6"/>
  <c r="N369" i="5"/>
  <c r="AS369" i="5"/>
  <c r="AV369" i="5" s="1"/>
  <c r="AO369" i="5"/>
  <c r="AF370" i="5" l="1"/>
  <c r="BT371" i="5"/>
  <c r="BV371" i="5"/>
  <c r="BS371" i="5"/>
  <c r="CI371" i="5"/>
  <c r="BH371" i="5"/>
  <c r="BI371" i="5" s="1"/>
  <c r="BJ371" i="5" s="1"/>
  <c r="CZ370" i="5"/>
  <c r="BD370" i="5"/>
  <c r="BE371" i="5" s="1"/>
  <c r="BF370" i="5"/>
  <c r="D371" i="5"/>
  <c r="CX371" i="5"/>
  <c r="CL371" i="5"/>
  <c r="CM371" i="5" s="1"/>
  <c r="CS371" i="5"/>
  <c r="AK371" i="5"/>
  <c r="AM371" i="5" s="1"/>
  <c r="AL372" i="5" s="1"/>
  <c r="CY371" i="5"/>
  <c r="CW371" i="5"/>
  <c r="AB371" i="5"/>
  <c r="DA371" i="5" s="1"/>
  <c r="DB371" i="5" s="1"/>
  <c r="C346" i="6"/>
  <c r="AC371" i="5"/>
  <c r="AD371" i="5" s="1"/>
  <c r="CR371" i="5"/>
  <c r="BK371" i="5"/>
  <c r="BL371" i="5" s="1"/>
  <c r="BM371" i="5" s="1"/>
  <c r="BG370" i="5"/>
  <c r="H370" i="5" s="1"/>
  <c r="AX371" i="5"/>
  <c r="AW371" i="5" s="1"/>
  <c r="CU371" i="5"/>
  <c r="BX371" i="5" s="1"/>
  <c r="AR369" i="5"/>
  <c r="G344" i="6"/>
  <c r="CK371" i="5" l="1"/>
  <c r="CJ371" i="5" s="1"/>
  <c r="K371" i="5" s="1"/>
  <c r="CH371" i="5"/>
  <c r="X369" i="5"/>
  <c r="Y369" i="5" s="1"/>
  <c r="AE371" i="5"/>
  <c r="BN371" i="5"/>
  <c r="BO371" i="5" s="1"/>
  <c r="BP371" i="5" s="1"/>
  <c r="G371" i="5" s="1"/>
  <c r="T371" i="5"/>
  <c r="U371" i="5" s="1"/>
  <c r="W371" i="5"/>
  <c r="I370" i="5"/>
  <c r="AP370" i="5" s="1"/>
  <c r="L371" i="5"/>
  <c r="CV371" i="5"/>
  <c r="CT371" i="5"/>
  <c r="CP371" i="5"/>
  <c r="CQ371" i="5" s="1"/>
  <c r="R371" i="5" s="1"/>
  <c r="S371" i="5" s="1"/>
  <c r="H344" i="6" l="1"/>
  <c r="Z369" i="5"/>
  <c r="AA369" i="5" s="1"/>
  <c r="I344" i="6" s="1"/>
  <c r="AH370" i="5"/>
  <c r="AT370" i="5"/>
  <c r="M370" i="5"/>
  <c r="P370" i="5"/>
  <c r="AY370" i="5" s="1"/>
  <c r="CN371" i="5"/>
  <c r="E371" i="5" s="1"/>
  <c r="CO371" i="5"/>
  <c r="F371" i="5" s="1"/>
  <c r="AS370" i="5" l="1"/>
  <c r="AV370" i="5" s="1"/>
  <c r="AO370" i="5"/>
  <c r="AR370" i="5" s="1"/>
  <c r="N370" i="5"/>
  <c r="AG370" i="5"/>
  <c r="AJ370" i="5" s="1"/>
  <c r="Q370" i="5"/>
  <c r="V370" i="5" s="1"/>
  <c r="F345" i="6"/>
  <c r="C372" i="5"/>
  <c r="BU372" i="5" s="1"/>
  <c r="E346" i="6"/>
  <c r="BC371" i="5"/>
  <c r="D346" i="6"/>
  <c r="BW371" i="5" l="1"/>
  <c r="BY371" i="5"/>
  <c r="J371" i="5" s="1"/>
  <c r="BT372" i="5"/>
  <c r="BV372" i="5"/>
  <c r="BS372" i="5"/>
  <c r="CI372" i="5"/>
  <c r="BH372" i="5"/>
  <c r="BI372" i="5" s="1"/>
  <c r="BJ372" i="5" s="1"/>
  <c r="X370" i="5"/>
  <c r="Y370" i="5" s="1"/>
  <c r="BD371" i="5"/>
  <c r="BE372" i="5" s="1"/>
  <c r="BF371" i="5"/>
  <c r="CZ371" i="5"/>
  <c r="G345" i="6"/>
  <c r="C347" i="6"/>
  <c r="CY372" i="5"/>
  <c r="D372" i="5"/>
  <c r="CR372" i="5"/>
  <c r="AC372" i="5"/>
  <c r="AK372" i="5"/>
  <c r="CX372" i="5"/>
  <c r="CL372" i="5"/>
  <c r="CM372" i="5" s="1"/>
  <c r="BK372" i="5"/>
  <c r="BL372" i="5" s="1"/>
  <c r="BM372" i="5" s="1"/>
  <c r="CS372" i="5"/>
  <c r="CW372" i="5"/>
  <c r="AB372" i="5"/>
  <c r="L372" i="5" s="1"/>
  <c r="BG371" i="5"/>
  <c r="H371" i="5" s="1"/>
  <c r="AX372" i="5"/>
  <c r="AW372" i="5" s="1"/>
  <c r="CU372" i="5"/>
  <c r="AF371" i="5" l="1"/>
  <c r="AN371" i="5"/>
  <c r="BX372" i="5"/>
  <c r="AD372" i="5"/>
  <c r="AE372" i="5" s="1"/>
  <c r="CH372" i="5"/>
  <c r="CK372" i="5"/>
  <c r="CJ372" i="5" s="1"/>
  <c r="DA372" i="5"/>
  <c r="DB372" i="5" s="1"/>
  <c r="K372" i="5" s="1"/>
  <c r="W372" i="5"/>
  <c r="T372" i="5"/>
  <c r="U372" i="5" s="1"/>
  <c r="AM372" i="5"/>
  <c r="AL373" i="5" s="1"/>
  <c r="CT372" i="5"/>
  <c r="CV372" i="5"/>
  <c r="CP372" i="5"/>
  <c r="CQ372" i="5" s="1"/>
  <c r="R372" i="5" s="1"/>
  <c r="S372" i="5" s="1"/>
  <c r="H345" i="6"/>
  <c r="Z370" i="5"/>
  <c r="BN372" i="5"/>
  <c r="BO372" i="5" s="1"/>
  <c r="BP372" i="5" s="1"/>
  <c r="G372" i="5" s="1"/>
  <c r="I371" i="5"/>
  <c r="AP371" i="5" s="1"/>
  <c r="P371" i="5" l="1"/>
  <c r="AY371" i="5" s="1"/>
  <c r="M371" i="5"/>
  <c r="AA370" i="5"/>
  <c r="I345" i="6" s="1"/>
  <c r="AT371" i="5"/>
  <c r="AH371" i="5"/>
  <c r="CN372" i="5"/>
  <c r="E372" i="5" s="1"/>
  <c r="CO372" i="5"/>
  <c r="F372" i="5" s="1"/>
  <c r="AS371" i="5" l="1"/>
  <c r="AV371" i="5" s="1"/>
  <c r="AO371" i="5"/>
  <c r="AR371" i="5" s="1"/>
  <c r="Q371" i="5"/>
  <c r="V371" i="5" s="1"/>
  <c r="F346" i="6"/>
  <c r="C373" i="5"/>
  <c r="BU373" i="5" s="1"/>
  <c r="E347" i="6"/>
  <c r="BC372" i="5"/>
  <c r="D347" i="6"/>
  <c r="N371" i="5"/>
  <c r="AG371" i="5"/>
  <c r="BW372" i="5" l="1"/>
  <c r="BY372" i="5"/>
  <c r="J372" i="5" s="1"/>
  <c r="BV373" i="5"/>
  <c r="BT373" i="5"/>
  <c r="BS373" i="5"/>
  <c r="CI373" i="5"/>
  <c r="BH373" i="5"/>
  <c r="BI373" i="5" s="1"/>
  <c r="BJ373" i="5" s="1"/>
  <c r="BF372" i="5"/>
  <c r="BD372" i="5"/>
  <c r="BE373" i="5" s="1"/>
  <c r="CZ372" i="5"/>
  <c r="AJ371" i="5"/>
  <c r="AB373" i="5"/>
  <c r="CP373" i="5" s="1"/>
  <c r="CQ373" i="5" s="1"/>
  <c r="R373" i="5" s="1"/>
  <c r="S373" i="5" s="1"/>
  <c r="CX373" i="5"/>
  <c r="AC373" i="5"/>
  <c r="CY373" i="5"/>
  <c r="AK373" i="5"/>
  <c r="CL373" i="5"/>
  <c r="CM373" i="5" s="1"/>
  <c r="CW373" i="5"/>
  <c r="CR373" i="5"/>
  <c r="CS373" i="5"/>
  <c r="BK373" i="5"/>
  <c r="BL373" i="5" s="1"/>
  <c r="BM373" i="5" s="1"/>
  <c r="C348" i="6"/>
  <c r="D373" i="5"/>
  <c r="BG372" i="5"/>
  <c r="H372" i="5" s="1"/>
  <c r="AX373" i="5"/>
  <c r="AW373" i="5" s="1"/>
  <c r="CU373" i="5"/>
  <c r="G346" i="6"/>
  <c r="AF372" i="5" l="1"/>
  <c r="AN372" i="5"/>
  <c r="BX373" i="5"/>
  <c r="AD373" i="5"/>
  <c r="AE373" i="5" s="1"/>
  <c r="CH373" i="5"/>
  <c r="CK373" i="5"/>
  <c r="CJ373" i="5" s="1"/>
  <c r="X371" i="5"/>
  <c r="Y371" i="5" s="1"/>
  <c r="DA373" i="5"/>
  <c r="DB373" i="5" s="1"/>
  <c r="BN373" i="5"/>
  <c r="BO373" i="5" s="1"/>
  <c r="BP373" i="5" s="1"/>
  <c r="G373" i="5" s="1"/>
  <c r="L373" i="5"/>
  <c r="AM373" i="5"/>
  <c r="AL374" i="5" s="1"/>
  <c r="CV373" i="5"/>
  <c r="CT373" i="5"/>
  <c r="T373" i="5"/>
  <c r="U373" i="5" s="1"/>
  <c r="W373" i="5"/>
  <c r="I372" i="5"/>
  <c r="AH372" i="5" s="1"/>
  <c r="K373" i="5" l="1"/>
  <c r="Z371" i="5"/>
  <c r="AA371" i="5" s="1"/>
  <c r="I346" i="6" s="1"/>
  <c r="H346" i="6"/>
  <c r="AT372" i="5"/>
  <c r="AP372" i="5"/>
  <c r="CO373" i="5"/>
  <c r="F373" i="5" s="1"/>
  <c r="CN373" i="5"/>
  <c r="E373" i="5" s="1"/>
  <c r="M372" i="5"/>
  <c r="P372" i="5"/>
  <c r="AY372" i="5" s="1"/>
  <c r="BY373" i="5" l="1"/>
  <c r="J373" i="5" s="1"/>
  <c r="BW373" i="5"/>
  <c r="AS372" i="5"/>
  <c r="AV372" i="5" s="1"/>
  <c r="AG372" i="5"/>
  <c r="F347" i="6"/>
  <c r="Q372" i="5"/>
  <c r="V372" i="5" s="1"/>
  <c r="D348" i="6"/>
  <c r="BC373" i="5"/>
  <c r="C374" i="5"/>
  <c r="BU374" i="5" s="1"/>
  <c r="E348" i="6"/>
  <c r="AO372" i="5"/>
  <c r="AR372" i="5" s="1"/>
  <c r="N372" i="5"/>
  <c r="AN373" i="5" l="1"/>
  <c r="AF373" i="5"/>
  <c r="BV374" i="5"/>
  <c r="BT374" i="5"/>
  <c r="BS374" i="5"/>
  <c r="CI374" i="5"/>
  <c r="BH374" i="5"/>
  <c r="BI374" i="5" s="1"/>
  <c r="BJ374" i="5" s="1"/>
  <c r="AJ372" i="5"/>
  <c r="C349" i="6"/>
  <c r="CW374" i="5"/>
  <c r="AK374" i="5"/>
  <c r="D374" i="5"/>
  <c r="CR374" i="5"/>
  <c r="CX374" i="5"/>
  <c r="BK374" i="5"/>
  <c r="BL374" i="5" s="1"/>
  <c r="BM374" i="5" s="1"/>
  <c r="CL374" i="5"/>
  <c r="CM374" i="5" s="1"/>
  <c r="CY374" i="5"/>
  <c r="AC374" i="5"/>
  <c r="AB374" i="5"/>
  <c r="DA374" i="5" s="1"/>
  <c r="DB374" i="5" s="1"/>
  <c r="CS374" i="5"/>
  <c r="BG373" i="5"/>
  <c r="H373" i="5" s="1"/>
  <c r="AX374" i="5"/>
  <c r="AW374" i="5" s="1"/>
  <c r="CU374" i="5"/>
  <c r="BX374" i="5" s="1"/>
  <c r="BD373" i="5"/>
  <c r="BE374" i="5" s="1"/>
  <c r="BF373" i="5"/>
  <c r="CZ373" i="5"/>
  <c r="G347" i="6"/>
  <c r="AD374" i="5" l="1"/>
  <c r="AE374" i="5" s="1"/>
  <c r="CH374" i="5"/>
  <c r="CK374" i="5"/>
  <c r="CJ374" i="5" s="1"/>
  <c r="K374" i="5" s="1"/>
  <c r="X372" i="5"/>
  <c r="Y372" i="5" s="1"/>
  <c r="CP374" i="5"/>
  <c r="CQ374" i="5" s="1"/>
  <c r="R374" i="5" s="1"/>
  <c r="S374" i="5" s="1"/>
  <c r="L374" i="5"/>
  <c r="BN374" i="5"/>
  <c r="BO374" i="5" s="1"/>
  <c r="BP374" i="5" s="1"/>
  <c r="G374" i="5" s="1"/>
  <c r="CV374" i="5"/>
  <c r="CT374" i="5"/>
  <c r="I373" i="5"/>
  <c r="AP373" i="5" s="1"/>
  <c r="T374" i="5"/>
  <c r="U374" i="5" s="1"/>
  <c r="W374" i="5"/>
  <c r="AM374" i="5"/>
  <c r="AL375" i="5" s="1"/>
  <c r="Z372" i="5" l="1"/>
  <c r="AA372" i="5" s="1"/>
  <c r="I347" i="6" s="1"/>
  <c r="H347" i="6"/>
  <c r="AT373" i="5"/>
  <c r="AH373" i="5"/>
  <c r="M373" i="5"/>
  <c r="P373" i="5"/>
  <c r="AY373" i="5" s="1"/>
  <c r="CO374" i="5"/>
  <c r="F374" i="5" s="1"/>
  <c r="CN374" i="5"/>
  <c r="E374" i="5" s="1"/>
  <c r="AG373" i="5" l="1"/>
  <c r="AJ373" i="5" s="1"/>
  <c r="AO373" i="5"/>
  <c r="AR373" i="5" s="1"/>
  <c r="N373" i="5"/>
  <c r="AS373" i="5"/>
  <c r="AV373" i="5" s="1"/>
  <c r="D349" i="6"/>
  <c r="BC374" i="5"/>
  <c r="Q373" i="5"/>
  <c r="V373" i="5" s="1"/>
  <c r="F348" i="6"/>
  <c r="E349" i="6"/>
  <c r="C375" i="5"/>
  <c r="BU375" i="5" s="1"/>
  <c r="BW374" i="5" l="1"/>
  <c r="BY374" i="5"/>
  <c r="J374" i="5" s="1"/>
  <c r="BT375" i="5"/>
  <c r="BV375" i="5"/>
  <c r="BS375" i="5"/>
  <c r="CI375" i="5"/>
  <c r="BH375" i="5"/>
  <c r="BI375" i="5" s="1"/>
  <c r="BJ375" i="5" s="1"/>
  <c r="X373" i="5"/>
  <c r="Y373" i="5" s="1"/>
  <c r="G348" i="6"/>
  <c r="D375" i="5"/>
  <c r="CR375" i="5"/>
  <c r="CL375" i="5"/>
  <c r="CM375" i="5" s="1"/>
  <c r="C350" i="6"/>
  <c r="AC375" i="5"/>
  <c r="AD375" i="5" s="1"/>
  <c r="CY375" i="5"/>
  <c r="AK375" i="5"/>
  <c r="CS375" i="5"/>
  <c r="AB375" i="5"/>
  <c r="DA375" i="5" s="1"/>
  <c r="DB375" i="5" s="1"/>
  <c r="CW375" i="5"/>
  <c r="BK375" i="5"/>
  <c r="BL375" i="5" s="1"/>
  <c r="BM375" i="5" s="1"/>
  <c r="CX375" i="5"/>
  <c r="BG374" i="5"/>
  <c r="H374" i="5" s="1"/>
  <c r="AX375" i="5"/>
  <c r="AW375" i="5" s="1"/>
  <c r="CU375" i="5"/>
  <c r="BD374" i="5"/>
  <c r="BE375" i="5" s="1"/>
  <c r="BF374" i="5"/>
  <c r="CZ374" i="5"/>
  <c r="AF374" i="5" l="1"/>
  <c r="AN374" i="5"/>
  <c r="BX375" i="5"/>
  <c r="CH375" i="5"/>
  <c r="CK375" i="5"/>
  <c r="CJ375" i="5" s="1"/>
  <c r="K375" i="5" s="1"/>
  <c r="L375" i="5"/>
  <c r="I374" i="5"/>
  <c r="AE375" i="5"/>
  <c r="W375" i="5"/>
  <c r="T375" i="5"/>
  <c r="U375" i="5" s="1"/>
  <c r="CV375" i="5"/>
  <c r="CT375" i="5"/>
  <c r="CP375" i="5"/>
  <c r="CQ375" i="5" s="1"/>
  <c r="R375" i="5" s="1"/>
  <c r="S375" i="5" s="1"/>
  <c r="AM375" i="5"/>
  <c r="AL376" i="5" s="1"/>
  <c r="H348" i="6"/>
  <c r="Z373" i="5"/>
  <c r="BN375" i="5"/>
  <c r="BO375" i="5" s="1"/>
  <c r="BP375" i="5" s="1"/>
  <c r="G375" i="5" s="1"/>
  <c r="AH374" i="5" l="1"/>
  <c r="AT374" i="5"/>
  <c r="AP374" i="5"/>
  <c r="CO375" i="5"/>
  <c r="F375" i="5" s="1"/>
  <c r="CN375" i="5"/>
  <c r="E375" i="5" s="1"/>
  <c r="P374" i="5"/>
  <c r="AY374" i="5" s="1"/>
  <c r="M374" i="5"/>
  <c r="AA373" i="5"/>
  <c r="I348" i="6" s="1"/>
  <c r="BW375" i="5" l="1"/>
  <c r="BY375" i="5"/>
  <c r="J375" i="5" s="1"/>
  <c r="AN375" i="5" s="1"/>
  <c r="AS374" i="5"/>
  <c r="AV374" i="5" s="1"/>
  <c r="AO374" i="5"/>
  <c r="AR374" i="5" s="1"/>
  <c r="AG374" i="5"/>
  <c r="N374" i="5"/>
  <c r="C376" i="5"/>
  <c r="BU376" i="5" s="1"/>
  <c r="E350" i="6"/>
  <c r="F349" i="6"/>
  <c r="Q374" i="5"/>
  <c r="V374" i="5" s="1"/>
  <c r="BC375" i="5"/>
  <c r="D350" i="6"/>
  <c r="AF375" i="5" l="1"/>
  <c r="BV376" i="5"/>
  <c r="BT376" i="5"/>
  <c r="BS376" i="5"/>
  <c r="CI376" i="5"/>
  <c r="BH376" i="5"/>
  <c r="BI376" i="5" s="1"/>
  <c r="BJ376" i="5" s="1"/>
  <c r="AJ374" i="5"/>
  <c r="X374" i="5" s="1"/>
  <c r="Y374" i="5" s="1"/>
  <c r="CZ375" i="5"/>
  <c r="BF375" i="5"/>
  <c r="BD375" i="5"/>
  <c r="BE376" i="5" s="1"/>
  <c r="BK376" i="5"/>
  <c r="BL376" i="5" s="1"/>
  <c r="BM376" i="5" s="1"/>
  <c r="C351" i="6"/>
  <c r="CY376" i="5"/>
  <c r="CR376" i="5"/>
  <c r="D376" i="5"/>
  <c r="CL376" i="5"/>
  <c r="CM376" i="5" s="1"/>
  <c r="AB376" i="5"/>
  <c r="CP376" i="5" s="1"/>
  <c r="CQ376" i="5" s="1"/>
  <c r="R376" i="5" s="1"/>
  <c r="S376" i="5" s="1"/>
  <c r="CS376" i="5"/>
  <c r="CX376" i="5"/>
  <c r="AK376" i="5"/>
  <c r="AC376" i="5"/>
  <c r="CW376" i="5"/>
  <c r="BG375" i="5"/>
  <c r="H375" i="5" s="1"/>
  <c r="AX376" i="5"/>
  <c r="AW376" i="5" s="1"/>
  <c r="CU376" i="5"/>
  <c r="BX376" i="5" s="1"/>
  <c r="G349" i="6"/>
  <c r="CK376" i="5" l="1"/>
  <c r="CJ376" i="5" s="1"/>
  <c r="CH376" i="5"/>
  <c r="AD376" i="5"/>
  <c r="AE376" i="5" s="1"/>
  <c r="I375" i="5"/>
  <c r="AH375" i="5" s="1"/>
  <c r="AM376" i="5"/>
  <c r="AL377" i="5" s="1"/>
  <c r="H349" i="6"/>
  <c r="Z374" i="5"/>
  <c r="L376" i="5"/>
  <c r="CT376" i="5"/>
  <c r="CV376" i="5"/>
  <c r="BN376" i="5"/>
  <c r="BO376" i="5" s="1"/>
  <c r="BP376" i="5" s="1"/>
  <c r="G376" i="5" s="1"/>
  <c r="DA376" i="5"/>
  <c r="DB376" i="5" s="1"/>
  <c r="T376" i="5"/>
  <c r="U376" i="5" s="1"/>
  <c r="W376" i="5"/>
  <c r="K376" i="5" l="1"/>
  <c r="AT375" i="5"/>
  <c r="AP375" i="5"/>
  <c r="AA374" i="5"/>
  <c r="I349" i="6" s="1"/>
  <c r="CN376" i="5"/>
  <c r="E376" i="5" s="1"/>
  <c r="CO376" i="5"/>
  <c r="F376" i="5" s="1"/>
  <c r="M375" i="5"/>
  <c r="P375" i="5"/>
  <c r="AY375" i="5" s="1"/>
  <c r="BY376" i="5" l="1"/>
  <c r="J376" i="5" s="1"/>
  <c r="AN376" i="5" s="1"/>
  <c r="BW376" i="5"/>
  <c r="AO375" i="5"/>
  <c r="AR375" i="5" s="1"/>
  <c r="AG375" i="5"/>
  <c r="AJ375" i="5" s="1"/>
  <c r="E351" i="6"/>
  <c r="C377" i="5"/>
  <c r="BU377" i="5" s="1"/>
  <c r="Q375" i="5"/>
  <c r="V375" i="5" s="1"/>
  <c r="G350" i="6" s="1"/>
  <c r="F350" i="6"/>
  <c r="BC376" i="5"/>
  <c r="D351" i="6"/>
  <c r="N375" i="5"/>
  <c r="AS375" i="5"/>
  <c r="AV375" i="5" s="1"/>
  <c r="AF376" i="5" l="1"/>
  <c r="BT377" i="5"/>
  <c r="BV377" i="5"/>
  <c r="BS377" i="5"/>
  <c r="CI377" i="5"/>
  <c r="BH377" i="5"/>
  <c r="BI377" i="5" s="1"/>
  <c r="BJ377" i="5" s="1"/>
  <c r="X375" i="5"/>
  <c r="Y375" i="5" s="1"/>
  <c r="BF376" i="5"/>
  <c r="BD376" i="5"/>
  <c r="BE377" i="5" s="1"/>
  <c r="CZ376" i="5"/>
  <c r="D377" i="5"/>
  <c r="CY377" i="5"/>
  <c r="C352" i="6"/>
  <c r="AK377" i="5"/>
  <c r="AM377" i="5" s="1"/>
  <c r="AL378" i="5" s="1"/>
  <c r="CW377" i="5"/>
  <c r="CR377" i="5"/>
  <c r="BK377" i="5"/>
  <c r="BL377" i="5" s="1"/>
  <c r="BM377" i="5" s="1"/>
  <c r="CX377" i="5"/>
  <c r="AB377" i="5"/>
  <c r="CP377" i="5" s="1"/>
  <c r="CQ377" i="5" s="1"/>
  <c r="R377" i="5" s="1"/>
  <c r="S377" i="5" s="1"/>
  <c r="AC377" i="5"/>
  <c r="AD377" i="5" s="1"/>
  <c r="CL377" i="5"/>
  <c r="CM377" i="5" s="1"/>
  <c r="CS377" i="5"/>
  <c r="BG376" i="5"/>
  <c r="H376" i="5" s="1"/>
  <c r="AX377" i="5"/>
  <c r="AW377" i="5" s="1"/>
  <c r="CU377" i="5"/>
  <c r="BX377" i="5" s="1"/>
  <c r="CH377" i="5" l="1"/>
  <c r="CK377" i="5"/>
  <c r="CJ377" i="5" s="1"/>
  <c r="H350" i="6"/>
  <c r="Z375" i="5"/>
  <c r="AA375" i="5" s="1"/>
  <c r="I350" i="6" s="1"/>
  <c r="L377" i="5"/>
  <c r="T377" i="5"/>
  <c r="U377" i="5" s="1"/>
  <c r="W377" i="5"/>
  <c r="DA377" i="5"/>
  <c r="DB377" i="5" s="1"/>
  <c r="BN377" i="5"/>
  <c r="BO377" i="5" s="1"/>
  <c r="BP377" i="5" s="1"/>
  <c r="G377" i="5" s="1"/>
  <c r="CT377" i="5"/>
  <c r="CV377" i="5"/>
  <c r="I376" i="5"/>
  <c r="AE377" i="5"/>
  <c r="K377" i="5" l="1"/>
  <c r="AH376" i="5"/>
  <c r="AT376" i="5"/>
  <c r="AP376" i="5"/>
  <c r="P376" i="5"/>
  <c r="AY376" i="5" s="1"/>
  <c r="M376" i="5"/>
  <c r="AG376" i="5" s="1"/>
  <c r="CN377" i="5"/>
  <c r="E377" i="5" s="1"/>
  <c r="CO377" i="5"/>
  <c r="F377" i="5" s="1"/>
  <c r="AJ376" i="5" l="1"/>
  <c r="N376" i="5"/>
  <c r="AS376" i="5"/>
  <c r="AV376" i="5" s="1"/>
  <c r="AO376" i="5"/>
  <c r="Q376" i="5"/>
  <c r="V376" i="5" s="1"/>
  <c r="F351" i="6"/>
  <c r="E352" i="6"/>
  <c r="C378" i="5"/>
  <c r="BU378" i="5" s="1"/>
  <c r="D352" i="6"/>
  <c r="BC377" i="5"/>
  <c r="BW377" i="5" l="1"/>
  <c r="BY377" i="5"/>
  <c r="J377" i="5" s="1"/>
  <c r="BV378" i="5"/>
  <c r="BT378" i="5"/>
  <c r="BS378" i="5"/>
  <c r="CI378" i="5"/>
  <c r="BH378" i="5"/>
  <c r="BI378" i="5" s="1"/>
  <c r="BJ378" i="5" s="1"/>
  <c r="C353" i="6"/>
  <c r="CR378" i="5"/>
  <c r="D378" i="5"/>
  <c r="CW378" i="5"/>
  <c r="CL378" i="5"/>
  <c r="CM378" i="5" s="1"/>
  <c r="AK378" i="5"/>
  <c r="AM378" i="5" s="1"/>
  <c r="AL379" i="5" s="1"/>
  <c r="BK378" i="5"/>
  <c r="BL378" i="5" s="1"/>
  <c r="BM378" i="5" s="1"/>
  <c r="CY378" i="5"/>
  <c r="AB378" i="5"/>
  <c r="L378" i="5" s="1"/>
  <c r="CS378" i="5"/>
  <c r="AC378" i="5"/>
  <c r="AD378" i="5" s="1"/>
  <c r="CX378" i="5"/>
  <c r="BG377" i="5"/>
  <c r="H377" i="5" s="1"/>
  <c r="AX378" i="5"/>
  <c r="AW378" i="5" s="1"/>
  <c r="CU378" i="5"/>
  <c r="G351" i="6"/>
  <c r="AR376" i="5"/>
  <c r="CZ377" i="5"/>
  <c r="BF377" i="5"/>
  <c r="BD377" i="5"/>
  <c r="BE378" i="5" s="1"/>
  <c r="AF377" i="5" l="1"/>
  <c r="AN377" i="5"/>
  <c r="BX378" i="5"/>
  <c r="CH378" i="5"/>
  <c r="CK378" i="5"/>
  <c r="CJ378" i="5" s="1"/>
  <c r="X376" i="5"/>
  <c r="Y376" i="5" s="1"/>
  <c r="CP378" i="5"/>
  <c r="CQ378" i="5" s="1"/>
  <c r="R378" i="5" s="1"/>
  <c r="S378" i="5" s="1"/>
  <c r="DA378" i="5"/>
  <c r="DB378" i="5" s="1"/>
  <c r="BN378" i="5"/>
  <c r="BO378" i="5" s="1"/>
  <c r="BP378" i="5" s="1"/>
  <c r="G378" i="5" s="1"/>
  <c r="AE378" i="5"/>
  <c r="I377" i="5"/>
  <c r="AP377" i="5" s="1"/>
  <c r="W378" i="5"/>
  <c r="T378" i="5"/>
  <c r="U378" i="5" s="1"/>
  <c r="CT378" i="5"/>
  <c r="CV378" i="5"/>
  <c r="K378" i="5" l="1"/>
  <c r="Z376" i="5"/>
  <c r="AA376" i="5" s="1"/>
  <c r="I351" i="6" s="1"/>
  <c r="H351" i="6"/>
  <c r="P377" i="5"/>
  <c r="AY377" i="5" s="1"/>
  <c r="M377" i="5"/>
  <c r="CN378" i="5"/>
  <c r="E378" i="5" s="1"/>
  <c r="CO378" i="5"/>
  <c r="F378" i="5" s="1"/>
  <c r="AH377" i="5"/>
  <c r="AT377" i="5"/>
  <c r="BW378" i="5" l="1"/>
  <c r="BY378" i="5"/>
  <c r="J378" i="5" s="1"/>
  <c r="AN378" i="5" s="1"/>
  <c r="AO377" i="5"/>
  <c r="AR377" i="5" s="1"/>
  <c r="AG377" i="5"/>
  <c r="AJ377" i="5" s="1"/>
  <c r="BC378" i="5"/>
  <c r="D353" i="6"/>
  <c r="N377" i="5"/>
  <c r="AS377" i="5"/>
  <c r="AV377" i="5" s="1"/>
  <c r="F352" i="6"/>
  <c r="Q377" i="5"/>
  <c r="V377" i="5" s="1"/>
  <c r="G352" i="6" s="1"/>
  <c r="C379" i="5"/>
  <c r="BU379" i="5" s="1"/>
  <c r="E353" i="6"/>
  <c r="AF378" i="5" l="1"/>
  <c r="BT379" i="5"/>
  <c r="BV379" i="5"/>
  <c r="BS379" i="5"/>
  <c r="CI379" i="5"/>
  <c r="BH379" i="5"/>
  <c r="BI379" i="5" s="1"/>
  <c r="BJ379" i="5" s="1"/>
  <c r="X377" i="5"/>
  <c r="Y377" i="5" s="1"/>
  <c r="H352" i="6" s="1"/>
  <c r="AK379" i="5"/>
  <c r="AM379" i="5" s="1"/>
  <c r="AL380" i="5" s="1"/>
  <c r="BK379" i="5"/>
  <c r="BL379" i="5" s="1"/>
  <c r="BM379" i="5" s="1"/>
  <c r="CS379" i="5"/>
  <c r="AB379" i="5"/>
  <c r="BN379" i="5" s="1"/>
  <c r="BO379" i="5" s="1"/>
  <c r="BP379" i="5" s="1"/>
  <c r="CW379" i="5"/>
  <c r="CY379" i="5"/>
  <c r="CL379" i="5"/>
  <c r="CM379" i="5" s="1"/>
  <c r="CX379" i="5"/>
  <c r="C354" i="6"/>
  <c r="D379" i="5"/>
  <c r="CR379" i="5"/>
  <c r="AC379" i="5"/>
  <c r="AD379" i="5" s="1"/>
  <c r="BG378" i="5"/>
  <c r="H378" i="5" s="1"/>
  <c r="AX379" i="5"/>
  <c r="AW379" i="5" s="1"/>
  <c r="CU379" i="5"/>
  <c r="BX379" i="5" s="1"/>
  <c r="CZ378" i="5"/>
  <c r="BD378" i="5"/>
  <c r="BE379" i="5" s="1"/>
  <c r="BF378" i="5"/>
  <c r="G379" i="5" l="1"/>
  <c r="CK379" i="5"/>
  <c r="CJ379" i="5" s="1"/>
  <c r="CH379" i="5"/>
  <c r="Z377" i="5"/>
  <c r="AA377" i="5" s="1"/>
  <c r="I352" i="6" s="1"/>
  <c r="CP379" i="5"/>
  <c r="CQ379" i="5" s="1"/>
  <c r="R379" i="5" s="1"/>
  <c r="S379" i="5" s="1"/>
  <c r="DA379" i="5"/>
  <c r="DB379" i="5" s="1"/>
  <c r="K379" i="5" s="1"/>
  <c r="I378" i="5"/>
  <c r="AP378" i="5" s="1"/>
  <c r="AE379" i="5"/>
  <c r="T379" i="5"/>
  <c r="U379" i="5" s="1"/>
  <c r="W379" i="5"/>
  <c r="CV379" i="5"/>
  <c r="CT379" i="5"/>
  <c r="L379" i="5"/>
  <c r="M378" i="5" l="1"/>
  <c r="P378" i="5"/>
  <c r="AY378" i="5" s="1"/>
  <c r="CN379" i="5"/>
  <c r="E379" i="5" s="1"/>
  <c r="CO379" i="5"/>
  <c r="F379" i="5" s="1"/>
  <c r="AT378" i="5"/>
  <c r="AH378" i="5"/>
  <c r="AS378" i="5" l="1"/>
  <c r="AV378" i="5" s="1"/>
  <c r="AO378" i="5"/>
  <c r="AR378" i="5" s="1"/>
  <c r="BC379" i="5"/>
  <c r="D354" i="6"/>
  <c r="Q378" i="5"/>
  <c r="V378" i="5" s="1"/>
  <c r="F353" i="6"/>
  <c r="N378" i="5"/>
  <c r="AG378" i="5"/>
  <c r="E354" i="6"/>
  <c r="C380" i="5"/>
  <c r="BU380" i="5" s="1"/>
  <c r="BW379" i="5" l="1"/>
  <c r="BY379" i="5"/>
  <c r="J379" i="5" s="1"/>
  <c r="BT380" i="5"/>
  <c r="BV380" i="5"/>
  <c r="BS380" i="5"/>
  <c r="CI380" i="5"/>
  <c r="BH380" i="5"/>
  <c r="BI380" i="5" s="1"/>
  <c r="BJ380" i="5" s="1"/>
  <c r="AJ378" i="5"/>
  <c r="G353" i="6"/>
  <c r="CL380" i="5"/>
  <c r="CM380" i="5" s="1"/>
  <c r="BK380" i="5"/>
  <c r="BL380" i="5" s="1"/>
  <c r="BM380" i="5" s="1"/>
  <c r="CR380" i="5"/>
  <c r="AC380" i="5"/>
  <c r="AD380" i="5" s="1"/>
  <c r="AK380" i="5"/>
  <c r="CY380" i="5"/>
  <c r="AB380" i="5"/>
  <c r="BN380" i="5" s="1"/>
  <c r="BO380" i="5" s="1"/>
  <c r="BP380" i="5" s="1"/>
  <c r="CX380" i="5"/>
  <c r="C355" i="6"/>
  <c r="D380" i="5"/>
  <c r="CW380" i="5"/>
  <c r="CS380" i="5"/>
  <c r="BG379" i="5"/>
  <c r="H379" i="5" s="1"/>
  <c r="AX380" i="5"/>
  <c r="AW380" i="5" s="1"/>
  <c r="CU380" i="5"/>
  <c r="BD379" i="5"/>
  <c r="BE380" i="5" s="1"/>
  <c r="BF379" i="5"/>
  <c r="CZ379" i="5"/>
  <c r="AF379" i="5" l="1"/>
  <c r="AN379" i="5"/>
  <c r="BX380" i="5"/>
  <c r="G380" i="5"/>
  <c r="CH380" i="5"/>
  <c r="CK380" i="5"/>
  <c r="CJ380" i="5" s="1"/>
  <c r="X378" i="5"/>
  <c r="Y378" i="5" s="1"/>
  <c r="DA380" i="5"/>
  <c r="DB380" i="5" s="1"/>
  <c r="CP380" i="5"/>
  <c r="CQ380" i="5" s="1"/>
  <c r="R380" i="5" s="1"/>
  <c r="S380" i="5" s="1"/>
  <c r="L380" i="5"/>
  <c r="I379" i="5"/>
  <c r="AH379" i="5" s="1"/>
  <c r="W380" i="5"/>
  <c r="T380" i="5"/>
  <c r="U380" i="5" s="1"/>
  <c r="AE380" i="5"/>
  <c r="CT380" i="5"/>
  <c r="CV380" i="5"/>
  <c r="AM380" i="5"/>
  <c r="AL381" i="5" s="1"/>
  <c r="K380" i="5" l="1"/>
  <c r="H353" i="6"/>
  <c r="Z378" i="5"/>
  <c r="AA378" i="5" s="1"/>
  <c r="I353" i="6" s="1"/>
  <c r="AT379" i="5"/>
  <c r="AP379" i="5"/>
  <c r="CN380" i="5"/>
  <c r="E380" i="5" s="1"/>
  <c r="CO380" i="5"/>
  <c r="F380" i="5" s="1"/>
  <c r="M379" i="5"/>
  <c r="AG379" i="5" s="1"/>
  <c r="AJ379" i="5" s="1"/>
  <c r="P379" i="5"/>
  <c r="AY379" i="5" s="1"/>
  <c r="BW380" i="5" l="1"/>
  <c r="BY380" i="5"/>
  <c r="J380" i="5" s="1"/>
  <c r="N379" i="5"/>
  <c r="AS379" i="5"/>
  <c r="AV379" i="5" s="1"/>
  <c r="AO379" i="5"/>
  <c r="Q379" i="5"/>
  <c r="V379" i="5" s="1"/>
  <c r="F354" i="6"/>
  <c r="E355" i="6"/>
  <c r="C381" i="5"/>
  <c r="BU381" i="5" s="1"/>
  <c r="BC380" i="5"/>
  <c r="D355" i="6"/>
  <c r="AN380" i="5" l="1"/>
  <c r="AF380" i="5"/>
  <c r="BV381" i="5"/>
  <c r="BT381" i="5"/>
  <c r="BS381" i="5"/>
  <c r="CI381" i="5"/>
  <c r="BH381" i="5"/>
  <c r="BI381" i="5" s="1"/>
  <c r="BJ381" i="5" s="1"/>
  <c r="AR379" i="5"/>
  <c r="X379" i="5" s="1"/>
  <c r="Y379" i="5" s="1"/>
  <c r="BD380" i="5"/>
  <c r="BE381" i="5" s="1"/>
  <c r="CZ380" i="5"/>
  <c r="BF380" i="5"/>
  <c r="CY381" i="5"/>
  <c r="CR381" i="5"/>
  <c r="C356" i="6"/>
  <c r="CX381" i="5"/>
  <c r="CW381" i="5"/>
  <c r="AK381" i="5"/>
  <c r="AB381" i="5"/>
  <c r="CP381" i="5" s="1"/>
  <c r="CQ381" i="5" s="1"/>
  <c r="R381" i="5" s="1"/>
  <c r="S381" i="5" s="1"/>
  <c r="CS381" i="5"/>
  <c r="AC381" i="5"/>
  <c r="AD381" i="5" s="1"/>
  <c r="BK381" i="5"/>
  <c r="BL381" i="5" s="1"/>
  <c r="BM381" i="5" s="1"/>
  <c r="CL381" i="5"/>
  <c r="CM381" i="5" s="1"/>
  <c r="D381" i="5"/>
  <c r="BG380" i="5"/>
  <c r="H380" i="5" s="1"/>
  <c r="AX381" i="5"/>
  <c r="AW381" i="5" s="1"/>
  <c r="CU381" i="5"/>
  <c r="BX381" i="5" s="1"/>
  <c r="G354" i="6"/>
  <c r="CH381" i="5" l="1"/>
  <c r="CK381" i="5"/>
  <c r="CJ381" i="5" s="1"/>
  <c r="DA381" i="5"/>
  <c r="DB381" i="5" s="1"/>
  <c r="K381" i="5" s="1"/>
  <c r="I380" i="5"/>
  <c r="AH380" i="5" s="1"/>
  <c r="W381" i="5"/>
  <c r="T381" i="5"/>
  <c r="U381" i="5" s="1"/>
  <c r="AE381" i="5"/>
  <c r="H354" i="6"/>
  <c r="Z379" i="5"/>
  <c r="BN381" i="5"/>
  <c r="BO381" i="5" s="1"/>
  <c r="BP381" i="5" s="1"/>
  <c r="G381" i="5" s="1"/>
  <c r="AM381" i="5"/>
  <c r="AL382" i="5" s="1"/>
  <c r="CT381" i="5"/>
  <c r="CV381" i="5"/>
  <c r="L381" i="5"/>
  <c r="AT380" i="5" l="1"/>
  <c r="AP380" i="5"/>
  <c r="CN381" i="5"/>
  <c r="E381" i="5" s="1"/>
  <c r="CO381" i="5"/>
  <c r="F381" i="5" s="1"/>
  <c r="AA379" i="5"/>
  <c r="I354" i="6" s="1"/>
  <c r="M380" i="5"/>
  <c r="AG380" i="5" s="1"/>
  <c r="AJ380" i="5" s="1"/>
  <c r="P380" i="5"/>
  <c r="BY381" i="5" l="1"/>
  <c r="J381" i="5" s="1"/>
  <c r="AF381" i="5" s="1"/>
  <c r="BW381" i="5"/>
  <c r="BB380" i="5"/>
  <c r="AY380" i="5"/>
  <c r="N380" i="5"/>
  <c r="AS380" i="5"/>
  <c r="AV380" i="5" s="1"/>
  <c r="AO380" i="5"/>
  <c r="C382" i="5"/>
  <c r="BU382" i="5" s="1"/>
  <c r="E356" i="6"/>
  <c r="D356" i="6"/>
  <c r="BC381" i="5"/>
  <c r="Q380" i="5"/>
  <c r="V380" i="5" s="1"/>
  <c r="F355" i="6"/>
  <c r="AN381" i="5" l="1"/>
  <c r="BV382" i="5"/>
  <c r="BT382" i="5"/>
  <c r="BS382" i="5"/>
  <c r="CI382" i="5"/>
  <c r="BH382" i="5"/>
  <c r="BI382" i="5" s="1"/>
  <c r="BJ382" i="5" s="1"/>
  <c r="AR380" i="5"/>
  <c r="X380" i="5" s="1"/>
  <c r="Y380" i="5" s="1"/>
  <c r="BD381" i="5"/>
  <c r="BE382" i="5" s="1"/>
  <c r="CZ381" i="5"/>
  <c r="BF381" i="5"/>
  <c r="G355" i="6"/>
  <c r="CR382" i="5"/>
  <c r="AK382" i="5"/>
  <c r="CY382" i="5"/>
  <c r="CW382" i="5"/>
  <c r="C357" i="6"/>
  <c r="D382" i="5"/>
  <c r="BK382" i="5"/>
  <c r="BL382" i="5" s="1"/>
  <c r="BM382" i="5" s="1"/>
  <c r="AC382" i="5"/>
  <c r="AD382" i="5" s="1"/>
  <c r="AB382" i="5"/>
  <c r="BN382" i="5" s="1"/>
  <c r="BO382" i="5" s="1"/>
  <c r="BP382" i="5" s="1"/>
  <c r="CX382" i="5"/>
  <c r="CS382" i="5"/>
  <c r="CL382" i="5"/>
  <c r="CM382" i="5" s="1"/>
  <c r="BG381" i="5"/>
  <c r="H381" i="5" s="1"/>
  <c r="AX382" i="5"/>
  <c r="AW382" i="5" s="1"/>
  <c r="CU382" i="5"/>
  <c r="BX382" i="5" s="1"/>
  <c r="G382" i="5" l="1"/>
  <c r="CH382" i="5"/>
  <c r="CK382" i="5"/>
  <c r="CJ382" i="5" s="1"/>
  <c r="AM382" i="5"/>
  <c r="AL383" i="5" s="1"/>
  <c r="CT382" i="5"/>
  <c r="CV382" i="5"/>
  <c r="AE382" i="5"/>
  <c r="DA382" i="5"/>
  <c r="DB382" i="5" s="1"/>
  <c r="K382" i="5" s="1"/>
  <c r="L382" i="5"/>
  <c r="H355" i="6"/>
  <c r="Z380" i="5"/>
  <c r="CP382" i="5"/>
  <c r="CQ382" i="5" s="1"/>
  <c r="R382" i="5" s="1"/>
  <c r="S382" i="5" s="1"/>
  <c r="T382" i="5"/>
  <c r="U382" i="5" s="1"/>
  <c r="W382" i="5"/>
  <c r="I381" i="5"/>
  <c r="AP381" i="5" s="1"/>
  <c r="AH381" i="5" l="1"/>
  <c r="AT381" i="5"/>
  <c r="CO382" i="5"/>
  <c r="F382" i="5" s="1"/>
  <c r="CN382" i="5"/>
  <c r="E382" i="5" s="1"/>
  <c r="P381" i="5"/>
  <c r="AY381" i="5" s="1"/>
  <c r="M381" i="5"/>
  <c r="AA380" i="5"/>
  <c r="I355" i="6" s="1"/>
  <c r="BW382" i="5" l="1"/>
  <c r="BY382" i="5"/>
  <c r="J382" i="5" s="1"/>
  <c r="AS381" i="5"/>
  <c r="AV381" i="5" s="1"/>
  <c r="AO381" i="5"/>
  <c r="AR381" i="5" s="1"/>
  <c r="AG381" i="5"/>
  <c r="N381" i="5"/>
  <c r="F356" i="6"/>
  <c r="Q381" i="5"/>
  <c r="V381" i="5" s="1"/>
  <c r="BC382" i="5"/>
  <c r="D357" i="6"/>
  <c r="E357" i="6"/>
  <c r="C383" i="5"/>
  <c r="BU383" i="5" s="1"/>
  <c r="AF382" i="5" l="1"/>
  <c r="AN382" i="5"/>
  <c r="BT383" i="5"/>
  <c r="BV383" i="5"/>
  <c r="BS383" i="5"/>
  <c r="CI383" i="5"/>
  <c r="BH383" i="5"/>
  <c r="BI383" i="5" s="1"/>
  <c r="BJ383" i="5" s="1"/>
  <c r="CX383" i="5"/>
  <c r="D383" i="5"/>
  <c r="CW383" i="5"/>
  <c r="AC383" i="5"/>
  <c r="AD383" i="5" s="1"/>
  <c r="C358" i="6"/>
  <c r="CS383" i="5"/>
  <c r="CR383" i="5"/>
  <c r="AB383" i="5"/>
  <c r="L383" i="5" s="1"/>
  <c r="AK383" i="5"/>
  <c r="AM383" i="5" s="1"/>
  <c r="AL384" i="5" s="1"/>
  <c r="BK383" i="5"/>
  <c r="BL383" i="5" s="1"/>
  <c r="BM383" i="5" s="1"/>
  <c r="CY383" i="5"/>
  <c r="CL383" i="5"/>
  <c r="CM383" i="5" s="1"/>
  <c r="BG382" i="5"/>
  <c r="H382" i="5" s="1"/>
  <c r="AX383" i="5"/>
  <c r="AW383" i="5" s="1"/>
  <c r="CU383" i="5"/>
  <c r="BX383" i="5" s="1"/>
  <c r="G356" i="6"/>
  <c r="BD382" i="5"/>
  <c r="BE383" i="5" s="1"/>
  <c r="CZ382" i="5"/>
  <c r="BF382" i="5"/>
  <c r="AJ381" i="5"/>
  <c r="CH383" i="5" l="1"/>
  <c r="CK383" i="5"/>
  <c r="CJ383" i="5" s="1"/>
  <c r="X381" i="5"/>
  <c r="Y381" i="5" s="1"/>
  <c r="CP383" i="5"/>
  <c r="CQ383" i="5" s="1"/>
  <c r="R383" i="5" s="1"/>
  <c r="S383" i="5" s="1"/>
  <c r="DA383" i="5"/>
  <c r="DB383" i="5" s="1"/>
  <c r="K383" i="5" s="1"/>
  <c r="BN383" i="5"/>
  <c r="BO383" i="5" s="1"/>
  <c r="BP383" i="5" s="1"/>
  <c r="G383" i="5" s="1"/>
  <c r="CT383" i="5"/>
  <c r="CV383" i="5"/>
  <c r="I382" i="5"/>
  <c r="AH382" i="5" s="1"/>
  <c r="AE383" i="5"/>
  <c r="T383" i="5"/>
  <c r="U383" i="5" s="1"/>
  <c r="W383" i="5"/>
  <c r="Z381" i="5" l="1"/>
  <c r="AA381" i="5" s="1"/>
  <c r="I356" i="6" s="1"/>
  <c r="H356" i="6"/>
  <c r="AT382" i="5"/>
  <c r="AP382" i="5"/>
  <c r="M382" i="5"/>
  <c r="P382" i="5"/>
  <c r="AY382" i="5" s="1"/>
  <c r="CO383" i="5"/>
  <c r="F383" i="5" s="1"/>
  <c r="CN383" i="5"/>
  <c r="E383" i="5" s="1"/>
  <c r="BW383" i="5" l="1"/>
  <c r="BY383" i="5"/>
  <c r="J383" i="5" s="1"/>
  <c r="AO382" i="5"/>
  <c r="AR382" i="5" s="1"/>
  <c r="AG382" i="5"/>
  <c r="AJ382" i="5" s="1"/>
  <c r="F357" i="6"/>
  <c r="Q382" i="5"/>
  <c r="V382" i="5" s="1"/>
  <c r="BC383" i="5"/>
  <c r="D358" i="6"/>
  <c r="N382" i="5"/>
  <c r="AS382" i="5"/>
  <c r="AV382" i="5" s="1"/>
  <c r="C384" i="5"/>
  <c r="BU384" i="5" s="1"/>
  <c r="E358" i="6"/>
  <c r="AN383" i="5" l="1"/>
  <c r="AF383" i="5"/>
  <c r="BT384" i="5"/>
  <c r="BV384" i="5"/>
  <c r="BS384" i="5"/>
  <c r="CI384" i="5"/>
  <c r="BH384" i="5"/>
  <c r="BI384" i="5" s="1"/>
  <c r="BJ384" i="5" s="1"/>
  <c r="X382" i="5"/>
  <c r="Y382" i="5" s="1"/>
  <c r="AC384" i="5"/>
  <c r="AK384" i="5"/>
  <c r="AB384" i="5"/>
  <c r="DA384" i="5" s="1"/>
  <c r="DB384" i="5" s="1"/>
  <c r="CL384" i="5"/>
  <c r="CM384" i="5" s="1"/>
  <c r="CY384" i="5"/>
  <c r="CW384" i="5"/>
  <c r="D384" i="5"/>
  <c r="CS384" i="5"/>
  <c r="BK384" i="5"/>
  <c r="BL384" i="5" s="1"/>
  <c r="BM384" i="5" s="1"/>
  <c r="CR384" i="5"/>
  <c r="CX384" i="5"/>
  <c r="C359" i="6"/>
  <c r="BG383" i="5"/>
  <c r="H383" i="5" s="1"/>
  <c r="AX384" i="5"/>
  <c r="AW384" i="5" s="1"/>
  <c r="CU384" i="5"/>
  <c r="BX384" i="5" s="1"/>
  <c r="CZ383" i="5"/>
  <c r="BF383" i="5"/>
  <c r="BD383" i="5"/>
  <c r="BE384" i="5" s="1"/>
  <c r="G357" i="6"/>
  <c r="CK384" i="5" l="1"/>
  <c r="CJ384" i="5" s="1"/>
  <c r="K384" i="5" s="1"/>
  <c r="CH384" i="5"/>
  <c r="AD384" i="5"/>
  <c r="AE384" i="5" s="1"/>
  <c r="L384" i="5"/>
  <c r="CT384" i="5"/>
  <c r="CV384" i="5"/>
  <c r="AM384" i="5"/>
  <c r="AL385" i="5" s="1"/>
  <c r="BN384" i="5"/>
  <c r="BO384" i="5" s="1"/>
  <c r="BP384" i="5" s="1"/>
  <c r="G384" i="5" s="1"/>
  <c r="I383" i="5"/>
  <c r="AH383" i="5" s="1"/>
  <c r="CP384" i="5"/>
  <c r="CQ384" i="5" s="1"/>
  <c r="R384" i="5" s="1"/>
  <c r="S384" i="5" s="1"/>
  <c r="W384" i="5"/>
  <c r="T384" i="5"/>
  <c r="U384" i="5" s="1"/>
  <c r="H357" i="6"/>
  <c r="Z382" i="5"/>
  <c r="P383" i="5" l="1"/>
  <c r="AY383" i="5" s="1"/>
  <c r="M383" i="5"/>
  <c r="AG383" i="5" s="1"/>
  <c r="AJ383" i="5" s="1"/>
  <c r="AA382" i="5"/>
  <c r="I357" i="6" s="1"/>
  <c r="AT383" i="5"/>
  <c r="AP383" i="5"/>
  <c r="CO384" i="5"/>
  <c r="F384" i="5" s="1"/>
  <c r="CN384" i="5"/>
  <c r="E384" i="5" s="1"/>
  <c r="BY384" i="5" l="1"/>
  <c r="J384" i="5" s="1"/>
  <c r="AN384" i="5" s="1"/>
  <c r="BW384" i="5"/>
  <c r="BC384" i="5"/>
  <c r="D359" i="6"/>
  <c r="N383" i="5"/>
  <c r="AS383" i="5"/>
  <c r="AV383" i="5" s="1"/>
  <c r="AO383" i="5"/>
  <c r="C385" i="5"/>
  <c r="BU385" i="5" s="1"/>
  <c r="E359" i="6"/>
  <c r="F358" i="6"/>
  <c r="Q383" i="5"/>
  <c r="V383" i="5" s="1"/>
  <c r="AF384" i="5" l="1"/>
  <c r="BT385" i="5"/>
  <c r="BV385" i="5"/>
  <c r="BS385" i="5"/>
  <c r="CI385" i="5"/>
  <c r="BH385" i="5"/>
  <c r="BI385" i="5" s="1"/>
  <c r="BJ385" i="5" s="1"/>
  <c r="AR383" i="5"/>
  <c r="X383" i="5" s="1"/>
  <c r="Y383" i="5" s="1"/>
  <c r="CL385" i="5"/>
  <c r="CM385" i="5" s="1"/>
  <c r="D385" i="5"/>
  <c r="C360" i="6"/>
  <c r="AB385" i="5"/>
  <c r="DA385" i="5" s="1"/>
  <c r="DB385" i="5" s="1"/>
  <c r="AK385" i="5"/>
  <c r="AM385" i="5" s="1"/>
  <c r="AL386" i="5" s="1"/>
  <c r="CX385" i="5"/>
  <c r="CR385" i="5"/>
  <c r="CS385" i="5"/>
  <c r="BK385" i="5"/>
  <c r="BL385" i="5" s="1"/>
  <c r="BM385" i="5" s="1"/>
  <c r="CY385" i="5"/>
  <c r="AC385" i="5"/>
  <c r="CW385" i="5"/>
  <c r="BG384" i="5"/>
  <c r="H384" i="5" s="1"/>
  <c r="AX385" i="5"/>
  <c r="AW385" i="5" s="1"/>
  <c r="CU385" i="5"/>
  <c r="BX385" i="5" s="1"/>
  <c r="G358" i="6"/>
  <c r="CZ384" i="5"/>
  <c r="BD384" i="5"/>
  <c r="BE385" i="5" s="1"/>
  <c r="BF384" i="5"/>
  <c r="CH385" i="5" l="1"/>
  <c r="CK385" i="5"/>
  <c r="CJ385" i="5" s="1"/>
  <c r="K385" i="5" s="1"/>
  <c r="CP385" i="5"/>
  <c r="CQ385" i="5" s="1"/>
  <c r="R385" i="5" s="1"/>
  <c r="S385" i="5" s="1"/>
  <c r="AD385" i="5"/>
  <c r="AE385" i="5" s="1"/>
  <c r="W385" i="5"/>
  <c r="T385" i="5"/>
  <c r="U385" i="5" s="1"/>
  <c r="H358" i="6"/>
  <c r="Z383" i="5"/>
  <c r="BN385" i="5"/>
  <c r="BO385" i="5" s="1"/>
  <c r="BP385" i="5" s="1"/>
  <c r="G385" i="5" s="1"/>
  <c r="I384" i="5"/>
  <c r="AP384" i="5" s="1"/>
  <c r="CT385" i="5"/>
  <c r="CV385" i="5"/>
  <c r="L385" i="5"/>
  <c r="AH384" i="5" l="1"/>
  <c r="AT384" i="5"/>
  <c r="CN385" i="5"/>
  <c r="E385" i="5" s="1"/>
  <c r="CO385" i="5"/>
  <c r="F385" i="5" s="1"/>
  <c r="AA383" i="5"/>
  <c r="I358" i="6" s="1"/>
  <c r="M384" i="5"/>
  <c r="P384" i="5"/>
  <c r="AY384" i="5" s="1"/>
  <c r="BW385" i="5" l="1"/>
  <c r="AS384" i="5"/>
  <c r="AV384" i="5" s="1"/>
  <c r="AO384" i="5"/>
  <c r="AR384" i="5" s="1"/>
  <c r="N384" i="5"/>
  <c r="AG384" i="5"/>
  <c r="AJ384" i="5" s="1"/>
  <c r="E360" i="6"/>
  <c r="C386" i="5"/>
  <c r="BU386" i="5" s="1"/>
  <c r="D360" i="6"/>
  <c r="BC385" i="5"/>
  <c r="F359" i="6"/>
  <c r="Q384" i="5"/>
  <c r="V384" i="5" s="1"/>
  <c r="BY385" i="5" l="1"/>
  <c r="J385" i="5" s="1"/>
  <c r="BT386" i="5"/>
  <c r="BV386" i="5"/>
  <c r="BS386" i="5"/>
  <c r="CI386" i="5"/>
  <c r="BH386" i="5"/>
  <c r="BI386" i="5" s="1"/>
  <c r="BJ386" i="5" s="1"/>
  <c r="X384" i="5"/>
  <c r="Y384" i="5" s="1"/>
  <c r="BD385" i="5"/>
  <c r="BE386" i="5" s="1"/>
  <c r="CZ385" i="5"/>
  <c r="BF385" i="5"/>
  <c r="CY386" i="5"/>
  <c r="D386" i="5"/>
  <c r="AC386" i="5"/>
  <c r="AD386" i="5" s="1"/>
  <c r="CX386" i="5"/>
  <c r="AB386" i="5"/>
  <c r="DA386" i="5" s="1"/>
  <c r="DB386" i="5" s="1"/>
  <c r="CW386" i="5"/>
  <c r="C361" i="6"/>
  <c r="CS386" i="5"/>
  <c r="CL386" i="5"/>
  <c r="CM386" i="5" s="1"/>
  <c r="AK386" i="5"/>
  <c r="AM386" i="5" s="1"/>
  <c r="AL387" i="5" s="1"/>
  <c r="BK386" i="5"/>
  <c r="BL386" i="5" s="1"/>
  <c r="BM386" i="5" s="1"/>
  <c r="CR386" i="5"/>
  <c r="BG385" i="5"/>
  <c r="H385" i="5" s="1"/>
  <c r="AX386" i="5"/>
  <c r="AW386" i="5" s="1"/>
  <c r="CU386" i="5"/>
  <c r="BX386" i="5" s="1"/>
  <c r="G359" i="6"/>
  <c r="AF385" i="5" l="1"/>
  <c r="AN385" i="5"/>
  <c r="CH386" i="5"/>
  <c r="CK386" i="5"/>
  <c r="CJ386" i="5" s="1"/>
  <c r="K386" i="5" s="1"/>
  <c r="AE386" i="5"/>
  <c r="T386" i="5"/>
  <c r="U386" i="5" s="1"/>
  <c r="W386" i="5"/>
  <c r="H359" i="6"/>
  <c r="Z384" i="5"/>
  <c r="CT386" i="5"/>
  <c r="CV386" i="5"/>
  <c r="L386" i="5"/>
  <c r="BN386" i="5"/>
  <c r="BO386" i="5" s="1"/>
  <c r="BP386" i="5" s="1"/>
  <c r="G386" i="5" s="1"/>
  <c r="I385" i="5"/>
  <c r="AP385" i="5" s="1"/>
  <c r="CP386" i="5"/>
  <c r="CQ386" i="5" s="1"/>
  <c r="R386" i="5" s="1"/>
  <c r="S386" i="5" s="1"/>
  <c r="AA384" i="5" l="1"/>
  <c r="I359" i="6" s="1"/>
  <c r="CO386" i="5"/>
  <c r="F386" i="5" s="1"/>
  <c r="CN386" i="5"/>
  <c r="E386" i="5" s="1"/>
  <c r="P385" i="5"/>
  <c r="AY385" i="5" s="1"/>
  <c r="M385" i="5"/>
  <c r="AT385" i="5"/>
  <c r="AH385" i="5"/>
  <c r="BW386" i="5" l="1"/>
  <c r="BY386" i="5"/>
  <c r="J386" i="5" s="1"/>
  <c r="AN386" i="5" s="1"/>
  <c r="AS385" i="5"/>
  <c r="AV385" i="5" s="1"/>
  <c r="AO385" i="5"/>
  <c r="AR385" i="5" s="1"/>
  <c r="N385" i="5"/>
  <c r="AG385" i="5"/>
  <c r="F360" i="6"/>
  <c r="Q385" i="5"/>
  <c r="V385" i="5" s="1"/>
  <c r="D361" i="6"/>
  <c r="BC386" i="5"/>
  <c r="E361" i="6"/>
  <c r="C387" i="5"/>
  <c r="BU387" i="5" s="1"/>
  <c r="AF386" i="5" l="1"/>
  <c r="BT387" i="5"/>
  <c r="BV387" i="5"/>
  <c r="BS387" i="5"/>
  <c r="CI387" i="5"/>
  <c r="BH387" i="5"/>
  <c r="BI387" i="5" s="1"/>
  <c r="BJ387" i="5" s="1"/>
  <c r="G360" i="6"/>
  <c r="AJ385" i="5"/>
  <c r="BD386" i="5"/>
  <c r="BE387" i="5" s="1"/>
  <c r="CZ386" i="5"/>
  <c r="BF386" i="5"/>
  <c r="CR387" i="5"/>
  <c r="AC387" i="5"/>
  <c r="AD387" i="5" s="1"/>
  <c r="C362" i="6"/>
  <c r="BK387" i="5"/>
  <c r="BL387" i="5" s="1"/>
  <c r="BM387" i="5" s="1"/>
  <c r="CL387" i="5"/>
  <c r="CM387" i="5" s="1"/>
  <c r="CX387" i="5"/>
  <c r="AK387" i="5"/>
  <c r="CS387" i="5"/>
  <c r="CY387" i="5"/>
  <c r="CW387" i="5"/>
  <c r="D387" i="5"/>
  <c r="AB387" i="5"/>
  <c r="CP387" i="5" s="1"/>
  <c r="CQ387" i="5" s="1"/>
  <c r="R387" i="5" s="1"/>
  <c r="S387" i="5" s="1"/>
  <c r="BG386" i="5"/>
  <c r="H386" i="5" s="1"/>
  <c r="AX387" i="5"/>
  <c r="AW387" i="5" s="1"/>
  <c r="CU387" i="5"/>
  <c r="BX387" i="5" s="1"/>
  <c r="CK387" i="5" l="1"/>
  <c r="CJ387" i="5" s="1"/>
  <c r="CH387" i="5"/>
  <c r="X385" i="5"/>
  <c r="Y385" i="5" s="1"/>
  <c r="CT387" i="5"/>
  <c r="CV387" i="5"/>
  <c r="BN387" i="5"/>
  <c r="BO387" i="5" s="1"/>
  <c r="BP387" i="5" s="1"/>
  <c r="G387" i="5" s="1"/>
  <c r="AM387" i="5"/>
  <c r="AL388" i="5" s="1"/>
  <c r="L387" i="5"/>
  <c r="DA387" i="5"/>
  <c r="DB387" i="5" s="1"/>
  <c r="K387" i="5" s="1"/>
  <c r="T387" i="5"/>
  <c r="U387" i="5" s="1"/>
  <c r="W387" i="5"/>
  <c r="I386" i="5"/>
  <c r="AH386" i="5" s="1"/>
  <c r="AE387" i="5"/>
  <c r="Z385" i="5" l="1"/>
  <c r="AA385" i="5" s="1"/>
  <c r="I360" i="6" s="1"/>
  <c r="H360" i="6"/>
  <c r="AT386" i="5"/>
  <c r="AP386" i="5"/>
  <c r="CN387" i="5"/>
  <c r="E387" i="5" s="1"/>
  <c r="CO387" i="5"/>
  <c r="F387" i="5" s="1"/>
  <c r="P386" i="5"/>
  <c r="AY386" i="5" s="1"/>
  <c r="M386" i="5"/>
  <c r="AG386" i="5" s="1"/>
  <c r="AJ386" i="5" s="1"/>
  <c r="BW387" i="5" l="1"/>
  <c r="BY387" i="5"/>
  <c r="J387" i="5" s="1"/>
  <c r="N386" i="5"/>
  <c r="AS386" i="5"/>
  <c r="AV386" i="5" s="1"/>
  <c r="AO386" i="5"/>
  <c r="AR386" i="5" s="1"/>
  <c r="C388" i="5"/>
  <c r="BU388" i="5" s="1"/>
  <c r="E362" i="6"/>
  <c r="D362" i="6"/>
  <c r="BC387" i="5"/>
  <c r="Q386" i="5"/>
  <c r="V386" i="5" s="1"/>
  <c r="F361" i="6"/>
  <c r="AN387" i="5" l="1"/>
  <c r="AF387" i="5"/>
  <c r="BT388" i="5"/>
  <c r="BV388" i="5"/>
  <c r="BS388" i="5"/>
  <c r="CI388" i="5"/>
  <c r="BH388" i="5"/>
  <c r="BI388" i="5" s="1"/>
  <c r="BJ388" i="5" s="1"/>
  <c r="X386" i="5"/>
  <c r="Y386" i="5" s="1"/>
  <c r="BF387" i="5"/>
  <c r="CZ387" i="5"/>
  <c r="BD387" i="5"/>
  <c r="BE388" i="5" s="1"/>
  <c r="G361" i="6"/>
  <c r="D388" i="5"/>
  <c r="CL388" i="5"/>
  <c r="CM388" i="5" s="1"/>
  <c r="CY388" i="5"/>
  <c r="CR388" i="5"/>
  <c r="AK388" i="5"/>
  <c r="AM388" i="5" s="1"/>
  <c r="AL389" i="5" s="1"/>
  <c r="AB388" i="5"/>
  <c r="DA388" i="5" s="1"/>
  <c r="DB388" i="5" s="1"/>
  <c r="BK388" i="5"/>
  <c r="BL388" i="5" s="1"/>
  <c r="BM388" i="5" s="1"/>
  <c r="CX388" i="5"/>
  <c r="AC388" i="5"/>
  <c r="AD388" i="5" s="1"/>
  <c r="C363" i="6"/>
  <c r="CW388" i="5"/>
  <c r="CS388" i="5"/>
  <c r="BG387" i="5"/>
  <c r="H387" i="5" s="1"/>
  <c r="AX388" i="5"/>
  <c r="AW388" i="5" s="1"/>
  <c r="CU388" i="5"/>
  <c r="BX388" i="5" s="1"/>
  <c r="CH388" i="5" l="1"/>
  <c r="CK388" i="5"/>
  <c r="CJ388" i="5" s="1"/>
  <c r="K388" i="5" s="1"/>
  <c r="BN388" i="5"/>
  <c r="BO388" i="5" s="1"/>
  <c r="BP388" i="5" s="1"/>
  <c r="G388" i="5" s="1"/>
  <c r="AE388" i="5"/>
  <c r="T388" i="5"/>
  <c r="U388" i="5" s="1"/>
  <c r="W388" i="5"/>
  <c r="CV388" i="5"/>
  <c r="CT388" i="5"/>
  <c r="L388" i="5"/>
  <c r="H361" i="6"/>
  <c r="Z386" i="5"/>
  <c r="I387" i="5"/>
  <c r="AH387" i="5" s="1"/>
  <c r="CP388" i="5"/>
  <c r="CQ388" i="5" s="1"/>
  <c r="R388" i="5" s="1"/>
  <c r="S388" i="5" s="1"/>
  <c r="AT387" i="5" l="1"/>
  <c r="AP387" i="5"/>
  <c r="CO388" i="5"/>
  <c r="F388" i="5" s="1"/>
  <c r="CN388" i="5"/>
  <c r="E388" i="5" s="1"/>
  <c r="P387" i="5"/>
  <c r="AY387" i="5" s="1"/>
  <c r="M387" i="5"/>
  <c r="AA386" i="5"/>
  <c r="I361" i="6" s="1"/>
  <c r="BW388" i="5" l="1"/>
  <c r="BY388" i="5"/>
  <c r="J388" i="5" s="1"/>
  <c r="AO387" i="5"/>
  <c r="AR387" i="5" s="1"/>
  <c r="AG387" i="5"/>
  <c r="AJ387" i="5" s="1"/>
  <c r="N387" i="5"/>
  <c r="AS387" i="5"/>
  <c r="AV387" i="5" s="1"/>
  <c r="Q387" i="5"/>
  <c r="V387" i="5" s="1"/>
  <c r="F362" i="6"/>
  <c r="BC388" i="5"/>
  <c r="D363" i="6"/>
  <c r="C389" i="5"/>
  <c r="BU389" i="5" s="1"/>
  <c r="E363" i="6"/>
  <c r="AF388" i="5" l="1"/>
  <c r="AN388" i="5"/>
  <c r="BV389" i="5"/>
  <c r="BT389" i="5"/>
  <c r="BS389" i="5"/>
  <c r="CI389" i="5"/>
  <c r="BH389" i="5"/>
  <c r="BI389" i="5" s="1"/>
  <c r="BJ389" i="5" s="1"/>
  <c r="X387" i="5"/>
  <c r="Y387" i="5" s="1"/>
  <c r="BK389" i="5"/>
  <c r="BL389" i="5" s="1"/>
  <c r="BM389" i="5" s="1"/>
  <c r="D389" i="5"/>
  <c r="CW389" i="5"/>
  <c r="CY389" i="5"/>
  <c r="CS389" i="5"/>
  <c r="C364" i="6"/>
  <c r="CX389" i="5"/>
  <c r="AK389" i="5"/>
  <c r="CR389" i="5"/>
  <c r="AC389" i="5"/>
  <c r="AB389" i="5"/>
  <c r="CP389" i="5" s="1"/>
  <c r="CQ389" i="5" s="1"/>
  <c r="R389" i="5" s="1"/>
  <c r="S389" i="5" s="1"/>
  <c r="CL389" i="5"/>
  <c r="CM389" i="5" s="1"/>
  <c r="BG388" i="5"/>
  <c r="H388" i="5" s="1"/>
  <c r="AX389" i="5"/>
  <c r="AW389" i="5" s="1"/>
  <c r="CU389" i="5"/>
  <c r="BX389" i="5" s="1"/>
  <c r="BF388" i="5"/>
  <c r="CZ388" i="5"/>
  <c r="BD388" i="5"/>
  <c r="BE389" i="5" s="1"/>
  <c r="G362" i="6"/>
  <c r="CH389" i="5" l="1"/>
  <c r="CK389" i="5"/>
  <c r="CJ389" i="5" s="1"/>
  <c r="DA389" i="5"/>
  <c r="DB389" i="5" s="1"/>
  <c r="K389" i="5" s="1"/>
  <c r="AD389" i="5"/>
  <c r="AE389" i="5" s="1"/>
  <c r="BN389" i="5"/>
  <c r="BO389" i="5" s="1"/>
  <c r="BP389" i="5" s="1"/>
  <c r="G389" i="5" s="1"/>
  <c r="L389" i="5"/>
  <c r="I388" i="5"/>
  <c r="AP388" i="5" s="1"/>
  <c r="H362" i="6"/>
  <c r="Z387" i="5"/>
  <c r="W389" i="5"/>
  <c r="T389" i="5"/>
  <c r="U389" i="5" s="1"/>
  <c r="CT389" i="5"/>
  <c r="CV389" i="5"/>
  <c r="AM389" i="5"/>
  <c r="AL390" i="5" s="1"/>
  <c r="AH388" i="5" l="1"/>
  <c r="AT388" i="5"/>
  <c r="M388" i="5"/>
  <c r="P388" i="5"/>
  <c r="AY388" i="5" s="1"/>
  <c r="AA387" i="5"/>
  <c r="I362" i="6" s="1"/>
  <c r="CN389" i="5"/>
  <c r="E389" i="5" s="1"/>
  <c r="CO389" i="5"/>
  <c r="F389" i="5" s="1"/>
  <c r="D364" i="6" l="1"/>
  <c r="AS388" i="5"/>
  <c r="AV388" i="5" s="1"/>
  <c r="AO388" i="5"/>
  <c r="AR388" i="5" s="1"/>
  <c r="N388" i="5"/>
  <c r="AG388" i="5"/>
  <c r="BC389" i="5"/>
  <c r="E364" i="6"/>
  <c r="C390" i="5"/>
  <c r="BU390" i="5" s="1"/>
  <c r="F363" i="6"/>
  <c r="Q388" i="5"/>
  <c r="V388" i="5" s="1"/>
  <c r="BY389" i="5" l="1"/>
  <c r="J389" i="5" s="1"/>
  <c r="BW389" i="5"/>
  <c r="BV390" i="5"/>
  <c r="BT390" i="5"/>
  <c r="BS390" i="5"/>
  <c r="CI390" i="5"/>
  <c r="BH390" i="5"/>
  <c r="BI390" i="5" s="1"/>
  <c r="BJ390" i="5" s="1"/>
  <c r="AJ388" i="5"/>
  <c r="X388" i="5" s="1"/>
  <c r="Y388" i="5" s="1"/>
  <c r="BF389" i="5"/>
  <c r="BD389" i="5"/>
  <c r="BE390" i="5" s="1"/>
  <c r="CZ389" i="5"/>
  <c r="CY390" i="5"/>
  <c r="CL390" i="5"/>
  <c r="CM390" i="5" s="1"/>
  <c r="C365" i="6"/>
  <c r="CW390" i="5"/>
  <c r="CX390" i="5"/>
  <c r="AC390" i="5"/>
  <c r="AB390" i="5"/>
  <c r="CP390" i="5" s="1"/>
  <c r="CQ390" i="5" s="1"/>
  <c r="R390" i="5" s="1"/>
  <c r="S390" i="5" s="1"/>
  <c r="CS390" i="5"/>
  <c r="CR390" i="5"/>
  <c r="BK390" i="5"/>
  <c r="BL390" i="5" s="1"/>
  <c r="BM390" i="5" s="1"/>
  <c r="AK390" i="5"/>
  <c r="D390" i="5"/>
  <c r="BG389" i="5"/>
  <c r="H389" i="5" s="1"/>
  <c r="AX390" i="5"/>
  <c r="AW390" i="5" s="1"/>
  <c r="CU390" i="5"/>
  <c r="G363" i="6"/>
  <c r="AF389" i="5" l="1"/>
  <c r="AN389" i="5"/>
  <c r="BX390" i="5"/>
  <c r="CH390" i="5"/>
  <c r="CK390" i="5"/>
  <c r="CJ390" i="5" s="1"/>
  <c r="AD390" i="5"/>
  <c r="AE390" i="5" s="1"/>
  <c r="DA390" i="5"/>
  <c r="DB390" i="5" s="1"/>
  <c r="K390" i="5" s="1"/>
  <c r="L390" i="5"/>
  <c r="T390" i="5"/>
  <c r="U390" i="5" s="1"/>
  <c r="W390" i="5"/>
  <c r="I389" i="5"/>
  <c r="AH389" i="5" s="1"/>
  <c r="AM390" i="5"/>
  <c r="AL391" i="5" s="1"/>
  <c r="H363" i="6"/>
  <c r="Z388" i="5"/>
  <c r="CT390" i="5"/>
  <c r="CV390" i="5"/>
  <c r="BN390" i="5"/>
  <c r="BO390" i="5" s="1"/>
  <c r="BP390" i="5" s="1"/>
  <c r="G390" i="5" s="1"/>
  <c r="AT389" i="5" l="1"/>
  <c r="AP389" i="5"/>
  <c r="M389" i="5"/>
  <c r="P389" i="5"/>
  <c r="AY389" i="5" s="1"/>
  <c r="AA388" i="5"/>
  <c r="I363" i="6" s="1"/>
  <c r="CO390" i="5"/>
  <c r="F390" i="5" s="1"/>
  <c r="CN390" i="5"/>
  <c r="E390" i="5" s="1"/>
  <c r="AO389" i="5" l="1"/>
  <c r="AR389" i="5" s="1"/>
  <c r="AG389" i="5"/>
  <c r="AJ389" i="5" s="1"/>
  <c r="F364" i="6"/>
  <c r="Q389" i="5"/>
  <c r="V389" i="5" s="1"/>
  <c r="G364" i="6" s="1"/>
  <c r="N389" i="5"/>
  <c r="AS389" i="5"/>
  <c r="AV389" i="5" s="1"/>
  <c r="BC390" i="5"/>
  <c r="D365" i="6"/>
  <c r="C391" i="5"/>
  <c r="BU391" i="5" s="1"/>
  <c r="E365" i="6"/>
  <c r="BW390" i="5" l="1"/>
  <c r="BY390" i="5"/>
  <c r="J390" i="5" s="1"/>
  <c r="BT391" i="5"/>
  <c r="BV391" i="5"/>
  <c r="BS391" i="5"/>
  <c r="CI391" i="5"/>
  <c r="BH391" i="5"/>
  <c r="BI391" i="5" s="1"/>
  <c r="BJ391" i="5" s="1"/>
  <c r="X389" i="5"/>
  <c r="Y389" i="5" s="1"/>
  <c r="BF390" i="5"/>
  <c r="BD390" i="5"/>
  <c r="BE391" i="5" s="1"/>
  <c r="CZ390" i="5"/>
  <c r="C366" i="6"/>
  <c r="BK391" i="5"/>
  <c r="BL391" i="5" s="1"/>
  <c r="BM391" i="5" s="1"/>
  <c r="CL391" i="5"/>
  <c r="CM391" i="5" s="1"/>
  <c r="CS391" i="5"/>
  <c r="AC391" i="5"/>
  <c r="AD391" i="5" s="1"/>
  <c r="D391" i="5"/>
  <c r="CY391" i="5"/>
  <c r="CX391" i="5"/>
  <c r="AB391" i="5"/>
  <c r="CP391" i="5" s="1"/>
  <c r="CQ391" i="5" s="1"/>
  <c r="R391" i="5" s="1"/>
  <c r="S391" i="5" s="1"/>
  <c r="CW391" i="5"/>
  <c r="AK391" i="5"/>
  <c r="AM391" i="5" s="1"/>
  <c r="AL392" i="5" s="1"/>
  <c r="CR391" i="5"/>
  <c r="BG390" i="5"/>
  <c r="H390" i="5" s="1"/>
  <c r="AX391" i="5"/>
  <c r="AW391" i="5" s="1"/>
  <c r="CU391" i="5"/>
  <c r="AN390" i="5" l="1"/>
  <c r="AF390" i="5"/>
  <c r="BX391" i="5"/>
  <c r="CH391" i="5"/>
  <c r="CK391" i="5"/>
  <c r="CJ391" i="5" s="1"/>
  <c r="H364" i="6"/>
  <c r="Z389" i="5"/>
  <c r="AA389" i="5" s="1"/>
  <c r="I364" i="6" s="1"/>
  <c r="BN391" i="5"/>
  <c r="BO391" i="5" s="1"/>
  <c r="BP391" i="5" s="1"/>
  <c r="G391" i="5" s="1"/>
  <c r="CV391" i="5"/>
  <c r="CT391" i="5"/>
  <c r="L391" i="5"/>
  <c r="T391" i="5"/>
  <c r="U391" i="5" s="1"/>
  <c r="W391" i="5"/>
  <c r="DA391" i="5"/>
  <c r="DB391" i="5" s="1"/>
  <c r="K391" i="5" s="1"/>
  <c r="I390" i="5"/>
  <c r="AH390" i="5" s="1"/>
  <c r="AE391" i="5"/>
  <c r="AT390" i="5" l="1"/>
  <c r="AP390" i="5"/>
  <c r="M390" i="5"/>
  <c r="AG390" i="5" s="1"/>
  <c r="AJ390" i="5" s="1"/>
  <c r="P390" i="5"/>
  <c r="AY390" i="5" s="1"/>
  <c r="CN391" i="5"/>
  <c r="E391" i="5" s="1"/>
  <c r="CO391" i="5"/>
  <c r="F391" i="5" s="1"/>
  <c r="BW391" i="5" l="1"/>
  <c r="BY391" i="5"/>
  <c r="J391" i="5" s="1"/>
  <c r="AN391" i="5" s="1"/>
  <c r="F365" i="6"/>
  <c r="Q390" i="5"/>
  <c r="V390" i="5" s="1"/>
  <c r="N390" i="5"/>
  <c r="AS390" i="5"/>
  <c r="AV390" i="5" s="1"/>
  <c r="AO390" i="5"/>
  <c r="AR390" i="5" s="1"/>
  <c r="C392" i="5"/>
  <c r="BU392" i="5" s="1"/>
  <c r="E366" i="6"/>
  <c r="D366" i="6"/>
  <c r="BC391" i="5"/>
  <c r="AF391" i="5" l="1"/>
  <c r="BV392" i="5"/>
  <c r="BT392" i="5"/>
  <c r="BS392" i="5"/>
  <c r="CI392" i="5"/>
  <c r="BH392" i="5"/>
  <c r="BI392" i="5" s="1"/>
  <c r="BJ392" i="5" s="1"/>
  <c r="X390" i="5"/>
  <c r="Y390" i="5" s="1"/>
  <c r="BK392" i="5"/>
  <c r="BL392" i="5" s="1"/>
  <c r="BM392" i="5" s="1"/>
  <c r="D392" i="5"/>
  <c r="CW392" i="5"/>
  <c r="AC392" i="5"/>
  <c r="AD392" i="5" s="1"/>
  <c r="CS392" i="5"/>
  <c r="CY392" i="5"/>
  <c r="AB392" i="5"/>
  <c r="CP392" i="5" s="1"/>
  <c r="CQ392" i="5" s="1"/>
  <c r="R392" i="5" s="1"/>
  <c r="S392" i="5" s="1"/>
  <c r="CL392" i="5"/>
  <c r="CM392" i="5" s="1"/>
  <c r="AK392" i="5"/>
  <c r="AM392" i="5" s="1"/>
  <c r="AL393" i="5" s="1"/>
  <c r="C367" i="6"/>
  <c r="CX392" i="5"/>
  <c r="CR392" i="5"/>
  <c r="BG391" i="5"/>
  <c r="H391" i="5" s="1"/>
  <c r="AX392" i="5"/>
  <c r="AW392" i="5" s="1"/>
  <c r="CU392" i="5"/>
  <c r="BX392" i="5" s="1"/>
  <c r="G365" i="6"/>
  <c r="BD391" i="5"/>
  <c r="BE392" i="5" s="1"/>
  <c r="CZ391" i="5"/>
  <c r="BF391" i="5"/>
  <c r="CK392" i="5" l="1"/>
  <c r="CJ392" i="5" s="1"/>
  <c r="CH392" i="5"/>
  <c r="L392" i="5"/>
  <c r="DA392" i="5"/>
  <c r="DB392" i="5" s="1"/>
  <c r="K392" i="5" s="1"/>
  <c r="CV392" i="5"/>
  <c r="CT392" i="5"/>
  <c r="BN392" i="5"/>
  <c r="BO392" i="5" s="1"/>
  <c r="BP392" i="5" s="1"/>
  <c r="G392" i="5" s="1"/>
  <c r="H365" i="6"/>
  <c r="Z390" i="5"/>
  <c r="I391" i="5"/>
  <c r="AP391" i="5" s="1"/>
  <c r="AE392" i="5"/>
  <c r="T392" i="5"/>
  <c r="U392" i="5" s="1"/>
  <c r="W392" i="5"/>
  <c r="AH391" i="5" l="1"/>
  <c r="AT391" i="5"/>
  <c r="P391" i="5"/>
  <c r="AY391" i="5" s="1"/>
  <c r="M391" i="5"/>
  <c r="AA390" i="5"/>
  <c r="I365" i="6" s="1"/>
  <c r="CO392" i="5"/>
  <c r="F392" i="5" s="1"/>
  <c r="CN392" i="5"/>
  <c r="E392" i="5" s="1"/>
  <c r="AG391" i="5" l="1"/>
  <c r="AJ391" i="5" s="1"/>
  <c r="AO391" i="5"/>
  <c r="AR391" i="5" s="1"/>
  <c r="N391" i="5"/>
  <c r="AS391" i="5"/>
  <c r="AV391" i="5" s="1"/>
  <c r="D367" i="6"/>
  <c r="BC392" i="5"/>
  <c r="E367" i="6"/>
  <c r="C393" i="5"/>
  <c r="BU393" i="5" s="1"/>
  <c r="Q391" i="5"/>
  <c r="V391" i="5" s="1"/>
  <c r="F366" i="6"/>
  <c r="BY392" i="5" l="1"/>
  <c r="J392" i="5" s="1"/>
  <c r="BW392" i="5"/>
  <c r="BT393" i="5"/>
  <c r="BV393" i="5"/>
  <c r="BS393" i="5"/>
  <c r="CI393" i="5"/>
  <c r="BH393" i="5"/>
  <c r="BI393" i="5" s="1"/>
  <c r="BJ393" i="5" s="1"/>
  <c r="X391" i="5"/>
  <c r="Y391" i="5" s="1"/>
  <c r="BF392" i="5"/>
  <c r="BD392" i="5"/>
  <c r="BE393" i="5" s="1"/>
  <c r="CZ392" i="5"/>
  <c r="G366" i="6"/>
  <c r="CW393" i="5"/>
  <c r="CX393" i="5"/>
  <c r="D393" i="5"/>
  <c r="BK393" i="5"/>
  <c r="BL393" i="5" s="1"/>
  <c r="BM393" i="5" s="1"/>
  <c r="AB393" i="5"/>
  <c r="CP393" i="5" s="1"/>
  <c r="CQ393" i="5" s="1"/>
  <c r="R393" i="5" s="1"/>
  <c r="S393" i="5" s="1"/>
  <c r="CL393" i="5"/>
  <c r="CM393" i="5" s="1"/>
  <c r="AC393" i="5"/>
  <c r="AD393" i="5" s="1"/>
  <c r="AK393" i="5"/>
  <c r="AM393" i="5" s="1"/>
  <c r="AL394" i="5" s="1"/>
  <c r="C368" i="6"/>
  <c r="CS393" i="5"/>
  <c r="CR393" i="5"/>
  <c r="CY393" i="5"/>
  <c r="BG392" i="5"/>
  <c r="H392" i="5" s="1"/>
  <c r="AX393" i="5"/>
  <c r="AW393" i="5" s="1"/>
  <c r="CU393" i="5"/>
  <c r="AF392" i="5" l="1"/>
  <c r="AN392" i="5"/>
  <c r="BX393" i="5"/>
  <c r="CH393" i="5"/>
  <c r="CK393" i="5"/>
  <c r="CJ393" i="5" s="1"/>
  <c r="DA393" i="5"/>
  <c r="DB393" i="5" s="1"/>
  <c r="K393" i="5" s="1"/>
  <c r="BN393" i="5"/>
  <c r="BO393" i="5" s="1"/>
  <c r="BP393" i="5" s="1"/>
  <c r="G393" i="5" s="1"/>
  <c r="L393" i="5"/>
  <c r="W393" i="5"/>
  <c r="T393" i="5"/>
  <c r="U393" i="5" s="1"/>
  <c r="CV393" i="5"/>
  <c r="CT393" i="5"/>
  <c r="H366" i="6"/>
  <c r="Z391" i="5"/>
  <c r="AE393" i="5"/>
  <c r="I392" i="5"/>
  <c r="AP392" i="5" s="1"/>
  <c r="P392" i="5" l="1"/>
  <c r="AY392" i="5" s="1"/>
  <c r="M392" i="5"/>
  <c r="CN393" i="5"/>
  <c r="E393" i="5" s="1"/>
  <c r="CO393" i="5"/>
  <c r="F393" i="5" s="1"/>
  <c r="AA391" i="5"/>
  <c r="I366" i="6" s="1"/>
  <c r="AT392" i="5"/>
  <c r="AH392" i="5"/>
  <c r="BW393" i="5" l="1"/>
  <c r="BY393" i="5"/>
  <c r="J393" i="5" s="1"/>
  <c r="AN393" i="5" s="1"/>
  <c r="AS392" i="5"/>
  <c r="AV392" i="5" s="1"/>
  <c r="AO392" i="5"/>
  <c r="AR392" i="5" s="1"/>
  <c r="C394" i="5"/>
  <c r="BU394" i="5" s="1"/>
  <c r="E368" i="6"/>
  <c r="D368" i="6"/>
  <c r="BC393" i="5"/>
  <c r="N392" i="5"/>
  <c r="AG392" i="5"/>
  <c r="Q392" i="5"/>
  <c r="V392" i="5" s="1"/>
  <c r="F367" i="6"/>
  <c r="AF393" i="5" l="1"/>
  <c r="BV394" i="5"/>
  <c r="BT394" i="5"/>
  <c r="BS394" i="5"/>
  <c r="CI394" i="5"/>
  <c r="BH394" i="5"/>
  <c r="BI394" i="5" s="1"/>
  <c r="BJ394" i="5" s="1"/>
  <c r="AJ392" i="5"/>
  <c r="X392" i="5" s="1"/>
  <c r="Y392" i="5" s="1"/>
  <c r="BF393" i="5"/>
  <c r="BD393" i="5"/>
  <c r="BE394" i="5" s="1"/>
  <c r="CZ393" i="5"/>
  <c r="G367" i="6"/>
  <c r="CW394" i="5"/>
  <c r="CY394" i="5"/>
  <c r="CX394" i="5"/>
  <c r="AB394" i="5"/>
  <c r="DA394" i="5" s="1"/>
  <c r="DB394" i="5" s="1"/>
  <c r="D394" i="5"/>
  <c r="AC394" i="5"/>
  <c r="C369" i="6"/>
  <c r="CR394" i="5"/>
  <c r="CL394" i="5"/>
  <c r="CM394" i="5" s="1"/>
  <c r="BK394" i="5"/>
  <c r="BL394" i="5" s="1"/>
  <c r="BM394" i="5" s="1"/>
  <c r="CS394" i="5"/>
  <c r="AK394" i="5"/>
  <c r="BG393" i="5"/>
  <c r="H393" i="5" s="1"/>
  <c r="AX394" i="5"/>
  <c r="AW394" i="5" s="1"/>
  <c r="CU394" i="5"/>
  <c r="BX394" i="5" s="1"/>
  <c r="AD394" i="5" l="1"/>
  <c r="AE394" i="5" s="1"/>
  <c r="CH394" i="5"/>
  <c r="CK394" i="5"/>
  <c r="CJ394" i="5" s="1"/>
  <c r="K394" i="5" s="1"/>
  <c r="CP394" i="5"/>
  <c r="CQ394" i="5" s="1"/>
  <c r="R394" i="5" s="1"/>
  <c r="S394" i="5" s="1"/>
  <c r="L394" i="5"/>
  <c r="BN394" i="5"/>
  <c r="BO394" i="5" s="1"/>
  <c r="BP394" i="5" s="1"/>
  <c r="G394" i="5" s="1"/>
  <c r="H367" i="6"/>
  <c r="Z392" i="5"/>
  <c r="I393" i="5"/>
  <c r="AH393" i="5" s="1"/>
  <c r="AM394" i="5"/>
  <c r="AL395" i="5" s="1"/>
  <c r="T394" i="5"/>
  <c r="U394" i="5" s="1"/>
  <c r="W394" i="5"/>
  <c r="CT394" i="5"/>
  <c r="CV394" i="5"/>
  <c r="AD395" i="5" l="1"/>
  <c r="AT393" i="5"/>
  <c r="AP393" i="5"/>
  <c r="CO394" i="5"/>
  <c r="F394" i="5" s="1"/>
  <c r="CN394" i="5"/>
  <c r="E394" i="5" s="1"/>
  <c r="M393" i="5"/>
  <c r="AG393" i="5" s="1"/>
  <c r="AJ393" i="5" s="1"/>
  <c r="P393" i="5"/>
  <c r="AY393" i="5" s="1"/>
  <c r="AA392" i="5"/>
  <c r="I367" i="6" s="1"/>
  <c r="BW394" i="5" l="1"/>
  <c r="BY394" i="5"/>
  <c r="J394" i="5" s="1"/>
  <c r="AN394" i="5" s="1"/>
  <c r="N393" i="5"/>
  <c r="AS393" i="5"/>
  <c r="AV393" i="5" s="1"/>
  <c r="AO393" i="5"/>
  <c r="Q393" i="5"/>
  <c r="V393" i="5" s="1"/>
  <c r="F368" i="6"/>
  <c r="D369" i="6"/>
  <c r="BC394" i="5"/>
  <c r="E369" i="6"/>
  <c r="C395" i="5"/>
  <c r="BU395" i="5" s="1"/>
  <c r="AF394" i="5" l="1"/>
  <c r="BT395" i="5"/>
  <c r="BV395" i="5"/>
  <c r="BS395" i="5"/>
  <c r="CI395" i="5"/>
  <c r="BH395" i="5"/>
  <c r="BI395" i="5" s="1"/>
  <c r="BJ395" i="5" s="1"/>
  <c r="AR393" i="5"/>
  <c r="X393" i="5" s="1"/>
  <c r="Y393" i="5" s="1"/>
  <c r="CW395" i="5"/>
  <c r="CR395" i="5"/>
  <c r="AB395" i="5"/>
  <c r="CP395" i="5" s="1"/>
  <c r="CQ395" i="5" s="1"/>
  <c r="R395" i="5" s="1"/>
  <c r="S395" i="5" s="1"/>
  <c r="C370" i="6"/>
  <c r="CS395" i="5"/>
  <c r="AC395" i="5"/>
  <c r="AK395" i="5"/>
  <c r="CL395" i="5"/>
  <c r="CM395" i="5" s="1"/>
  <c r="CX395" i="5"/>
  <c r="CY395" i="5"/>
  <c r="BK395" i="5"/>
  <c r="BL395" i="5" s="1"/>
  <c r="BM395" i="5" s="1"/>
  <c r="D395" i="5"/>
  <c r="BG394" i="5"/>
  <c r="H394" i="5" s="1"/>
  <c r="AX395" i="5"/>
  <c r="AW395" i="5" s="1"/>
  <c r="CU395" i="5"/>
  <c r="BX395" i="5" s="1"/>
  <c r="CZ394" i="5"/>
  <c r="BD394" i="5"/>
  <c r="BE395" i="5" s="1"/>
  <c r="BF394" i="5"/>
  <c r="G368" i="6"/>
  <c r="CK395" i="5" l="1"/>
  <c r="CJ395" i="5" s="1"/>
  <c r="CH395" i="5"/>
  <c r="DA395" i="5"/>
  <c r="DB395" i="5" s="1"/>
  <c r="K395" i="5" s="1"/>
  <c r="L395" i="5"/>
  <c r="BN395" i="5"/>
  <c r="BO395" i="5" s="1"/>
  <c r="BP395" i="5" s="1"/>
  <c r="G395" i="5" s="1"/>
  <c r="CT395" i="5"/>
  <c r="CV395" i="5"/>
  <c r="AM395" i="5"/>
  <c r="AL396" i="5" s="1"/>
  <c r="AE395" i="5"/>
  <c r="AD396" i="5" s="1"/>
  <c r="I394" i="5"/>
  <c r="AH394" i="5" s="1"/>
  <c r="W395" i="5"/>
  <c r="T395" i="5"/>
  <c r="U395" i="5" s="1"/>
  <c r="H368" i="6"/>
  <c r="Z393" i="5"/>
  <c r="AT394" i="5" l="1"/>
  <c r="AP394" i="5"/>
  <c r="AA393" i="5"/>
  <c r="I368" i="6" s="1"/>
  <c r="CN395" i="5"/>
  <c r="E395" i="5" s="1"/>
  <c r="CO395" i="5"/>
  <c r="F395" i="5" s="1"/>
  <c r="M394" i="5"/>
  <c r="P394" i="5"/>
  <c r="AY394" i="5" s="1"/>
  <c r="AO394" i="5" l="1"/>
  <c r="AR394" i="5" s="1"/>
  <c r="AG394" i="5"/>
  <c r="AJ394" i="5" s="1"/>
  <c r="N394" i="5"/>
  <c r="AS394" i="5"/>
  <c r="AV394" i="5" s="1"/>
  <c r="C396" i="5"/>
  <c r="BU396" i="5" s="1"/>
  <c r="E370" i="6"/>
  <c r="F369" i="6"/>
  <c r="Q394" i="5"/>
  <c r="V394" i="5" s="1"/>
  <c r="D370" i="6"/>
  <c r="BC395" i="5"/>
  <c r="BW395" i="5" l="1"/>
  <c r="BY395" i="5"/>
  <c r="J395" i="5" s="1"/>
  <c r="BT396" i="5"/>
  <c r="BV396" i="5"/>
  <c r="BS396" i="5"/>
  <c r="CI396" i="5"/>
  <c r="BH396" i="5"/>
  <c r="BI396" i="5" s="1"/>
  <c r="BJ396" i="5" s="1"/>
  <c r="X394" i="5"/>
  <c r="Y394" i="5" s="1"/>
  <c r="G369" i="6"/>
  <c r="BF395" i="5"/>
  <c r="CZ395" i="5"/>
  <c r="BD395" i="5"/>
  <c r="BE396" i="5" s="1"/>
  <c r="AK396" i="5"/>
  <c r="AM396" i="5" s="1"/>
  <c r="AL397" i="5" s="1"/>
  <c r="CX396" i="5"/>
  <c r="D396" i="5"/>
  <c r="CL396" i="5"/>
  <c r="CM396" i="5" s="1"/>
  <c r="BK396" i="5"/>
  <c r="BL396" i="5" s="1"/>
  <c r="BM396" i="5" s="1"/>
  <c r="CS396" i="5"/>
  <c r="CY396" i="5"/>
  <c r="AB396" i="5"/>
  <c r="BN396" i="5" s="1"/>
  <c r="BO396" i="5" s="1"/>
  <c r="BP396" i="5" s="1"/>
  <c r="CW396" i="5"/>
  <c r="AC396" i="5"/>
  <c r="C371" i="6"/>
  <c r="CR396" i="5"/>
  <c r="BG395" i="5"/>
  <c r="H395" i="5" s="1"/>
  <c r="AX396" i="5"/>
  <c r="AW396" i="5" s="1"/>
  <c r="CU396" i="5"/>
  <c r="AF395" i="5" l="1"/>
  <c r="AN395" i="5"/>
  <c r="BX396" i="5"/>
  <c r="G396" i="5"/>
  <c r="CH396" i="5"/>
  <c r="CK396" i="5"/>
  <c r="CJ396" i="5" s="1"/>
  <c r="T396" i="5"/>
  <c r="U396" i="5" s="1"/>
  <c r="W396" i="5"/>
  <c r="CT396" i="5"/>
  <c r="CV396" i="5"/>
  <c r="DA396" i="5"/>
  <c r="DB396" i="5" s="1"/>
  <c r="L396" i="5"/>
  <c r="AE396" i="5"/>
  <c r="CP396" i="5"/>
  <c r="CQ396" i="5" s="1"/>
  <c r="R396" i="5" s="1"/>
  <c r="S396" i="5" s="1"/>
  <c r="I395" i="5"/>
  <c r="AP395" i="5" s="1"/>
  <c r="H369" i="6"/>
  <c r="Z394" i="5"/>
  <c r="K396" i="5" l="1"/>
  <c r="AH395" i="5"/>
  <c r="AT395" i="5"/>
  <c r="CO396" i="5"/>
  <c r="F396" i="5" s="1"/>
  <c r="CN396" i="5"/>
  <c r="E396" i="5" s="1"/>
  <c r="M395" i="5"/>
  <c r="P395" i="5"/>
  <c r="AY395" i="5" s="1"/>
  <c r="AA394" i="5"/>
  <c r="I369" i="6" s="1"/>
  <c r="BW396" i="5" l="1"/>
  <c r="BY396" i="5"/>
  <c r="J396" i="5" s="1"/>
  <c r="AS395" i="5"/>
  <c r="AV395" i="5" s="1"/>
  <c r="AO395" i="5"/>
  <c r="AR395" i="5" s="1"/>
  <c r="Q395" i="5"/>
  <c r="V395" i="5" s="1"/>
  <c r="F370" i="6"/>
  <c r="AG395" i="5"/>
  <c r="N395" i="5"/>
  <c r="BC396" i="5"/>
  <c r="D371" i="6"/>
  <c r="C397" i="5"/>
  <c r="BU397" i="5" s="1"/>
  <c r="E371" i="6"/>
  <c r="AF396" i="5" l="1"/>
  <c r="AN396" i="5"/>
  <c r="BT397" i="5"/>
  <c r="BV397" i="5"/>
  <c r="BS397" i="5"/>
  <c r="CI397" i="5"/>
  <c r="BH397" i="5"/>
  <c r="BI397" i="5" s="1"/>
  <c r="BJ397" i="5" s="1"/>
  <c r="BD396" i="5"/>
  <c r="BE397" i="5" s="1"/>
  <c r="BF396" i="5"/>
  <c r="CZ396" i="5"/>
  <c r="AJ395" i="5"/>
  <c r="G370" i="6"/>
  <c r="AB397" i="5"/>
  <c r="DA397" i="5" s="1"/>
  <c r="DB397" i="5" s="1"/>
  <c r="CY397" i="5"/>
  <c r="CR397" i="5"/>
  <c r="AC397" i="5"/>
  <c r="AD397" i="5" s="1"/>
  <c r="CS397" i="5"/>
  <c r="D397" i="5"/>
  <c r="CX397" i="5"/>
  <c r="BK397" i="5"/>
  <c r="BL397" i="5" s="1"/>
  <c r="BM397" i="5" s="1"/>
  <c r="CW397" i="5"/>
  <c r="CL397" i="5"/>
  <c r="CM397" i="5" s="1"/>
  <c r="AK397" i="5"/>
  <c r="AM397" i="5" s="1"/>
  <c r="AL398" i="5" s="1"/>
  <c r="C372" i="6"/>
  <c r="BG396" i="5"/>
  <c r="H396" i="5" s="1"/>
  <c r="AX397" i="5"/>
  <c r="AW397" i="5" s="1"/>
  <c r="CU397" i="5"/>
  <c r="BX397" i="5" s="1"/>
  <c r="CH397" i="5" l="1"/>
  <c r="CK397" i="5"/>
  <c r="CJ397" i="5" s="1"/>
  <c r="K397" i="5" s="1"/>
  <c r="X395" i="5"/>
  <c r="Y395" i="5" s="1"/>
  <c r="CP397" i="5"/>
  <c r="CQ397" i="5" s="1"/>
  <c r="R397" i="5" s="1"/>
  <c r="S397" i="5" s="1"/>
  <c r="BN397" i="5"/>
  <c r="BO397" i="5" s="1"/>
  <c r="BP397" i="5" s="1"/>
  <c r="G397" i="5" s="1"/>
  <c r="L397" i="5"/>
  <c r="W397" i="5"/>
  <c r="T397" i="5"/>
  <c r="U397" i="5" s="1"/>
  <c r="I396" i="5"/>
  <c r="AH396" i="5" s="1"/>
  <c r="AE397" i="5"/>
  <c r="CT397" i="5"/>
  <c r="CV397" i="5"/>
  <c r="Z395" i="5" l="1"/>
  <c r="AA395" i="5" s="1"/>
  <c r="I370" i="6" s="1"/>
  <c r="H370" i="6"/>
  <c r="AT396" i="5"/>
  <c r="AP396" i="5"/>
  <c r="CO397" i="5"/>
  <c r="F397" i="5" s="1"/>
  <c r="CN397" i="5"/>
  <c r="E397" i="5" s="1"/>
  <c r="M396" i="5"/>
  <c r="P396" i="5"/>
  <c r="AY396" i="5" s="1"/>
  <c r="AO396" i="5" l="1"/>
  <c r="AR396" i="5" s="1"/>
  <c r="AG396" i="5"/>
  <c r="AJ396" i="5" s="1"/>
  <c r="BC397" i="5"/>
  <c r="D372" i="6"/>
  <c r="E372" i="6"/>
  <c r="C398" i="5"/>
  <c r="BU398" i="5" s="1"/>
  <c r="F371" i="6"/>
  <c r="Q396" i="5"/>
  <c r="V396" i="5" s="1"/>
  <c r="N396" i="5"/>
  <c r="AS396" i="5"/>
  <c r="AV396" i="5" s="1"/>
  <c r="BY397" i="5" l="1"/>
  <c r="J397" i="5" s="1"/>
  <c r="BW397" i="5"/>
  <c r="BT398" i="5"/>
  <c r="BV398" i="5"/>
  <c r="BS398" i="5"/>
  <c r="CI398" i="5"/>
  <c r="BH398" i="5"/>
  <c r="BI398" i="5" s="1"/>
  <c r="BJ398" i="5" s="1"/>
  <c r="X396" i="5"/>
  <c r="AC398" i="5"/>
  <c r="CS398" i="5"/>
  <c r="BK398" i="5"/>
  <c r="BL398" i="5" s="1"/>
  <c r="BM398" i="5" s="1"/>
  <c r="CX398" i="5"/>
  <c r="AK398" i="5"/>
  <c r="CL398" i="5"/>
  <c r="CM398" i="5" s="1"/>
  <c r="D398" i="5"/>
  <c r="C373" i="6"/>
  <c r="AB398" i="5"/>
  <c r="CP398" i="5" s="1"/>
  <c r="CQ398" i="5" s="1"/>
  <c r="R398" i="5" s="1"/>
  <c r="S398" i="5" s="1"/>
  <c r="CW398" i="5"/>
  <c r="CY398" i="5"/>
  <c r="CR398" i="5"/>
  <c r="BG397" i="5"/>
  <c r="H397" i="5" s="1"/>
  <c r="AX398" i="5"/>
  <c r="AW398" i="5" s="1"/>
  <c r="CU398" i="5"/>
  <c r="Y396" i="5"/>
  <c r="G371" i="6"/>
  <c r="CZ397" i="5"/>
  <c r="BF397" i="5"/>
  <c r="BD397" i="5"/>
  <c r="BE398" i="5" s="1"/>
  <c r="AN397" i="5" l="1"/>
  <c r="AF397" i="5"/>
  <c r="BX398" i="5"/>
  <c r="AD398" i="5"/>
  <c r="AE398" i="5" s="1"/>
  <c r="CH398" i="5"/>
  <c r="CK398" i="5"/>
  <c r="CJ398" i="5" s="1"/>
  <c r="DA398" i="5"/>
  <c r="DB398" i="5" s="1"/>
  <c r="K398" i="5" s="1"/>
  <c r="L398" i="5"/>
  <c r="CT398" i="5"/>
  <c r="CV398" i="5"/>
  <c r="W398" i="5"/>
  <c r="T398" i="5"/>
  <c r="U398" i="5" s="1"/>
  <c r="AM398" i="5"/>
  <c r="AL399" i="5" s="1"/>
  <c r="I397" i="5"/>
  <c r="AH397" i="5" s="1"/>
  <c r="H371" i="6"/>
  <c r="Z396" i="5"/>
  <c r="BN398" i="5"/>
  <c r="BO398" i="5" s="1"/>
  <c r="BP398" i="5" s="1"/>
  <c r="G398" i="5" s="1"/>
  <c r="M397" i="5" l="1"/>
  <c r="AG397" i="5" s="1"/>
  <c r="AJ397" i="5" s="1"/>
  <c r="P397" i="5"/>
  <c r="AY397" i="5" s="1"/>
  <c r="AT397" i="5"/>
  <c r="AP397" i="5"/>
  <c r="AA396" i="5"/>
  <c r="I371" i="6" s="1"/>
  <c r="CN398" i="5"/>
  <c r="E398" i="5" s="1"/>
  <c r="CO398" i="5"/>
  <c r="F398" i="5" s="1"/>
  <c r="E373" i="6" l="1"/>
  <c r="C399" i="5"/>
  <c r="BU399" i="5" s="1"/>
  <c r="Q397" i="5"/>
  <c r="V397" i="5" s="1"/>
  <c r="F372" i="6"/>
  <c r="D373" i="6"/>
  <c r="BC398" i="5"/>
  <c r="N397" i="5"/>
  <c r="AS397" i="5"/>
  <c r="AV397" i="5" s="1"/>
  <c r="AO397" i="5"/>
  <c r="BW398" i="5" l="1"/>
  <c r="BY398" i="5"/>
  <c r="J398" i="5" s="1"/>
  <c r="BT399" i="5"/>
  <c r="BV399" i="5"/>
  <c r="BS399" i="5"/>
  <c r="CI399" i="5"/>
  <c r="BH399" i="5"/>
  <c r="BI399" i="5" s="1"/>
  <c r="BJ399" i="5" s="1"/>
  <c r="G372" i="6"/>
  <c r="CS399" i="5"/>
  <c r="CX399" i="5"/>
  <c r="AK399" i="5"/>
  <c r="AM399" i="5" s="1"/>
  <c r="AL400" i="5" s="1"/>
  <c r="CL399" i="5"/>
  <c r="CM399" i="5" s="1"/>
  <c r="C374" i="6"/>
  <c r="AC399" i="5"/>
  <c r="AD399" i="5" s="1"/>
  <c r="CW399" i="5"/>
  <c r="AB399" i="5"/>
  <c r="BN399" i="5" s="1"/>
  <c r="BO399" i="5" s="1"/>
  <c r="BP399" i="5" s="1"/>
  <c r="D399" i="5"/>
  <c r="BK399" i="5"/>
  <c r="BL399" i="5" s="1"/>
  <c r="BM399" i="5" s="1"/>
  <c r="CR399" i="5"/>
  <c r="CY399" i="5"/>
  <c r="BG398" i="5"/>
  <c r="H398" i="5" s="1"/>
  <c r="AX399" i="5"/>
  <c r="AW399" i="5" s="1"/>
  <c r="CU399" i="5"/>
  <c r="BF398" i="5"/>
  <c r="CZ398" i="5"/>
  <c r="BD398" i="5"/>
  <c r="BE399" i="5" s="1"/>
  <c r="AR397" i="5"/>
  <c r="AN398" i="5" l="1"/>
  <c r="AF398" i="5"/>
  <c r="BX399" i="5"/>
  <c r="G399" i="5"/>
  <c r="CH399" i="5"/>
  <c r="CK399" i="5"/>
  <c r="CJ399" i="5" s="1"/>
  <c r="L399" i="5"/>
  <c r="X397" i="5"/>
  <c r="Y397" i="5" s="1"/>
  <c r="DA399" i="5"/>
  <c r="DB399" i="5" s="1"/>
  <c r="AE399" i="5"/>
  <c r="T399" i="5"/>
  <c r="U399" i="5" s="1"/>
  <c r="W399" i="5"/>
  <c r="I398" i="5"/>
  <c r="AP398" i="5" s="1"/>
  <c r="CT399" i="5"/>
  <c r="CV399" i="5"/>
  <c r="CP399" i="5"/>
  <c r="CQ399" i="5" s="1"/>
  <c r="R399" i="5" s="1"/>
  <c r="S399" i="5" s="1"/>
  <c r="K399" i="5" l="1"/>
  <c r="Z397" i="5"/>
  <c r="H372" i="6"/>
  <c r="AH398" i="5"/>
  <c r="AT398" i="5"/>
  <c r="P398" i="5"/>
  <c r="AY398" i="5" s="1"/>
  <c r="M398" i="5"/>
  <c r="CN399" i="5"/>
  <c r="E399" i="5" s="1"/>
  <c r="CO399" i="5"/>
  <c r="F399" i="5" s="1"/>
  <c r="AA397" i="5"/>
  <c r="I372" i="6" s="1"/>
  <c r="AG398" i="5" l="1"/>
  <c r="AJ398" i="5" s="1"/>
  <c r="AO398" i="5"/>
  <c r="AR398" i="5" s="1"/>
  <c r="N398" i="5"/>
  <c r="AS398" i="5"/>
  <c r="AV398" i="5" s="1"/>
  <c r="E374" i="6"/>
  <c r="C400" i="5"/>
  <c r="BU400" i="5" s="1"/>
  <c r="BC399" i="5"/>
  <c r="D374" i="6"/>
  <c r="Q398" i="5"/>
  <c r="V398" i="5" s="1"/>
  <c r="F373" i="6"/>
  <c r="BW399" i="5" l="1"/>
  <c r="BY399" i="5"/>
  <c r="J399" i="5" s="1"/>
  <c r="BV400" i="5"/>
  <c r="BT400" i="5"/>
  <c r="BS400" i="5"/>
  <c r="CI400" i="5"/>
  <c r="BH400" i="5"/>
  <c r="BI400" i="5" s="1"/>
  <c r="BJ400" i="5" s="1"/>
  <c r="X398" i="5"/>
  <c r="Y398" i="5" s="1"/>
  <c r="G373" i="6"/>
  <c r="BF399" i="5"/>
  <c r="CZ399" i="5"/>
  <c r="BD399" i="5"/>
  <c r="BE400" i="5" s="1"/>
  <c r="CW400" i="5"/>
  <c r="CL400" i="5"/>
  <c r="CM400" i="5" s="1"/>
  <c r="AK400" i="5"/>
  <c r="D400" i="5"/>
  <c r="CX400" i="5"/>
  <c r="CR400" i="5"/>
  <c r="BK400" i="5"/>
  <c r="BL400" i="5" s="1"/>
  <c r="BM400" i="5" s="1"/>
  <c r="CY400" i="5"/>
  <c r="CS400" i="5"/>
  <c r="C375" i="6"/>
  <c r="AB400" i="5"/>
  <c r="BN400" i="5" s="1"/>
  <c r="BO400" i="5" s="1"/>
  <c r="BP400" i="5" s="1"/>
  <c r="AC400" i="5"/>
  <c r="AD400" i="5" s="1"/>
  <c r="BG399" i="5"/>
  <c r="H399" i="5" s="1"/>
  <c r="AX400" i="5"/>
  <c r="AW400" i="5" s="1"/>
  <c r="CU400" i="5"/>
  <c r="AF399" i="5" l="1"/>
  <c r="AN399" i="5"/>
  <c r="BX400" i="5"/>
  <c r="G400" i="5"/>
  <c r="CK400" i="5"/>
  <c r="CJ400" i="5" s="1"/>
  <c r="CH400" i="5"/>
  <c r="L400" i="5"/>
  <c r="DA400" i="5"/>
  <c r="DB400" i="5" s="1"/>
  <c r="CT400" i="5"/>
  <c r="CV400" i="5"/>
  <c r="CP400" i="5"/>
  <c r="CQ400" i="5" s="1"/>
  <c r="R400" i="5" s="1"/>
  <c r="S400" i="5" s="1"/>
  <c r="I399" i="5"/>
  <c r="AP399" i="5" s="1"/>
  <c r="AE400" i="5"/>
  <c r="W400" i="5"/>
  <c r="T400" i="5"/>
  <c r="U400" i="5" s="1"/>
  <c r="H373" i="6"/>
  <c r="Z398" i="5"/>
  <c r="AM400" i="5"/>
  <c r="AL401" i="5" s="1"/>
  <c r="K400" i="5" l="1"/>
  <c r="CO400" i="5"/>
  <c r="F400" i="5" s="1"/>
  <c r="CN400" i="5"/>
  <c r="E400" i="5" s="1"/>
  <c r="M399" i="5"/>
  <c r="P399" i="5"/>
  <c r="AY399" i="5" s="1"/>
  <c r="AA398" i="5"/>
  <c r="I373" i="6" s="1"/>
  <c r="AT399" i="5"/>
  <c r="AH399" i="5"/>
  <c r="AS399" i="5" l="1"/>
  <c r="AV399" i="5" s="1"/>
  <c r="AO399" i="5"/>
  <c r="AR399" i="5" s="1"/>
  <c r="F374" i="6"/>
  <c r="Q399" i="5"/>
  <c r="V399" i="5" s="1"/>
  <c r="N399" i="5"/>
  <c r="AG399" i="5"/>
  <c r="D375" i="6"/>
  <c r="BC400" i="5"/>
  <c r="C401" i="5"/>
  <c r="BU401" i="5" s="1"/>
  <c r="E375" i="6"/>
  <c r="BY400" i="5" l="1"/>
  <c r="J400" i="5" s="1"/>
  <c r="BW400" i="5"/>
  <c r="BT401" i="5"/>
  <c r="BV401" i="5"/>
  <c r="BS401" i="5"/>
  <c r="CI401" i="5"/>
  <c r="BH401" i="5"/>
  <c r="BI401" i="5" s="1"/>
  <c r="BJ401" i="5" s="1"/>
  <c r="BD400" i="5"/>
  <c r="BE401" i="5" s="1"/>
  <c r="BF400" i="5"/>
  <c r="CZ400" i="5"/>
  <c r="AJ399" i="5"/>
  <c r="X399" i="5" s="1"/>
  <c r="Y399" i="5" s="1"/>
  <c r="AK401" i="5"/>
  <c r="AM401" i="5" s="1"/>
  <c r="AL402" i="5" s="1"/>
  <c r="AB401" i="5"/>
  <c r="CP401" i="5" s="1"/>
  <c r="CQ401" i="5" s="1"/>
  <c r="R401" i="5" s="1"/>
  <c r="S401" i="5" s="1"/>
  <c r="CL401" i="5"/>
  <c r="CM401" i="5" s="1"/>
  <c r="D401" i="5"/>
  <c r="CX401" i="5"/>
  <c r="CW401" i="5"/>
  <c r="CS401" i="5"/>
  <c r="CR401" i="5"/>
  <c r="CY401" i="5"/>
  <c r="BK401" i="5"/>
  <c r="BL401" i="5" s="1"/>
  <c r="BM401" i="5" s="1"/>
  <c r="AC401" i="5"/>
  <c r="AD401" i="5" s="1"/>
  <c r="C376" i="6"/>
  <c r="BG400" i="5"/>
  <c r="H400" i="5" s="1"/>
  <c r="AX401" i="5"/>
  <c r="AW401" i="5" s="1"/>
  <c r="CU401" i="5"/>
  <c r="G374" i="6"/>
  <c r="AN400" i="5" l="1"/>
  <c r="AF400" i="5"/>
  <c r="BX401" i="5"/>
  <c r="CH401" i="5"/>
  <c r="CK401" i="5"/>
  <c r="CJ401" i="5" s="1"/>
  <c r="BN401" i="5"/>
  <c r="BO401" i="5" s="1"/>
  <c r="BP401" i="5" s="1"/>
  <c r="G401" i="5" s="1"/>
  <c r="DA401" i="5"/>
  <c r="DB401" i="5" s="1"/>
  <c r="K401" i="5" s="1"/>
  <c r="CV401" i="5"/>
  <c r="CT401" i="5"/>
  <c r="H374" i="6"/>
  <c r="Z399" i="5"/>
  <c r="L401" i="5"/>
  <c r="AE401" i="5"/>
  <c r="I400" i="5"/>
  <c r="AH400" i="5" s="1"/>
  <c r="W401" i="5"/>
  <c r="T401" i="5"/>
  <c r="U401" i="5" s="1"/>
  <c r="AT400" i="5" l="1"/>
  <c r="AP400" i="5"/>
  <c r="AA399" i="5"/>
  <c r="I374" i="6" s="1"/>
  <c r="M400" i="5"/>
  <c r="P400" i="5"/>
  <c r="AY400" i="5" s="1"/>
  <c r="CO401" i="5"/>
  <c r="F401" i="5" s="1"/>
  <c r="CN401" i="5"/>
  <c r="E401" i="5" s="1"/>
  <c r="BW401" i="5" l="1"/>
  <c r="BY401" i="5"/>
  <c r="J401" i="5" s="1"/>
  <c r="AN401" i="5" s="1"/>
  <c r="AS400" i="5"/>
  <c r="AV400" i="5" s="1"/>
  <c r="AG400" i="5"/>
  <c r="Q400" i="5"/>
  <c r="V400" i="5" s="1"/>
  <c r="F375" i="6"/>
  <c r="AO400" i="5"/>
  <c r="AR400" i="5" s="1"/>
  <c r="N400" i="5"/>
  <c r="D376" i="6"/>
  <c r="BC401" i="5"/>
  <c r="E376" i="6"/>
  <c r="C402" i="5"/>
  <c r="BU402" i="5" s="1"/>
  <c r="AF401" i="5" l="1"/>
  <c r="BV402" i="5"/>
  <c r="BT402" i="5"/>
  <c r="BS402" i="5"/>
  <c r="CI402" i="5"/>
  <c r="BH402" i="5"/>
  <c r="BI402" i="5" s="1"/>
  <c r="BJ402" i="5" s="1"/>
  <c r="AJ400" i="5"/>
  <c r="BF401" i="5"/>
  <c r="BD401" i="5"/>
  <c r="BE402" i="5" s="1"/>
  <c r="CZ401" i="5"/>
  <c r="CY402" i="5"/>
  <c r="CR402" i="5"/>
  <c r="D402" i="5"/>
  <c r="CX402" i="5"/>
  <c r="AB402" i="5"/>
  <c r="L402" i="5" s="1"/>
  <c r="AK402" i="5"/>
  <c r="AM402" i="5" s="1"/>
  <c r="AL403" i="5" s="1"/>
  <c r="CS402" i="5"/>
  <c r="AC402" i="5"/>
  <c r="AD402" i="5" s="1"/>
  <c r="CW402" i="5"/>
  <c r="CL402" i="5"/>
  <c r="CM402" i="5" s="1"/>
  <c r="BK402" i="5"/>
  <c r="BL402" i="5" s="1"/>
  <c r="BM402" i="5" s="1"/>
  <c r="C377" i="6"/>
  <c r="BG401" i="5"/>
  <c r="H401" i="5" s="1"/>
  <c r="AX402" i="5"/>
  <c r="AW402" i="5" s="1"/>
  <c r="CU402" i="5"/>
  <c r="BX402" i="5" s="1"/>
  <c r="G375" i="6"/>
  <c r="CH402" i="5" l="1"/>
  <c r="CK402" i="5"/>
  <c r="CJ402" i="5" s="1"/>
  <c r="X400" i="5"/>
  <c r="Y400" i="5" s="1"/>
  <c r="DA402" i="5"/>
  <c r="DB402" i="5" s="1"/>
  <c r="W402" i="5"/>
  <c r="T402" i="5"/>
  <c r="U402" i="5" s="1"/>
  <c r="AE402" i="5"/>
  <c r="I401" i="5"/>
  <c r="AH401" i="5" s="1"/>
  <c r="CV402" i="5"/>
  <c r="CT402" i="5"/>
  <c r="BN402" i="5"/>
  <c r="BO402" i="5" s="1"/>
  <c r="BP402" i="5" s="1"/>
  <c r="G402" i="5" s="1"/>
  <c r="CP402" i="5"/>
  <c r="CQ402" i="5" s="1"/>
  <c r="R402" i="5" s="1"/>
  <c r="S402" i="5" s="1"/>
  <c r="K402" i="5" l="1"/>
  <c r="Z400" i="5"/>
  <c r="AA400" i="5" s="1"/>
  <c r="I375" i="6" s="1"/>
  <c r="H375" i="6"/>
  <c r="AT401" i="5"/>
  <c r="AP401" i="5"/>
  <c r="CN402" i="5"/>
  <c r="E402" i="5" s="1"/>
  <c r="CO402" i="5"/>
  <c r="F402" i="5" s="1"/>
  <c r="M401" i="5"/>
  <c r="P401" i="5"/>
  <c r="AY401" i="5" s="1"/>
  <c r="BW402" i="5" l="1"/>
  <c r="BY402" i="5"/>
  <c r="J402" i="5" s="1"/>
  <c r="AO401" i="5"/>
  <c r="AR401" i="5" s="1"/>
  <c r="AG401" i="5"/>
  <c r="AJ401" i="5" s="1"/>
  <c r="N401" i="5"/>
  <c r="AS401" i="5"/>
  <c r="AV401" i="5" s="1"/>
  <c r="C403" i="5"/>
  <c r="BU403" i="5" s="1"/>
  <c r="E377" i="6"/>
  <c r="BC402" i="5"/>
  <c r="D377" i="6"/>
  <c r="F376" i="6"/>
  <c r="Q401" i="5"/>
  <c r="V401" i="5" s="1"/>
  <c r="AF402" i="5" l="1"/>
  <c r="AN402" i="5"/>
  <c r="BV403" i="5"/>
  <c r="BT403" i="5"/>
  <c r="BS403" i="5"/>
  <c r="CI403" i="5"/>
  <c r="BH403" i="5"/>
  <c r="BI403" i="5" s="1"/>
  <c r="BJ403" i="5" s="1"/>
  <c r="X401" i="5"/>
  <c r="Y401" i="5" s="1"/>
  <c r="G376" i="6"/>
  <c r="BD402" i="5"/>
  <c r="BE403" i="5" s="1"/>
  <c r="CZ402" i="5"/>
  <c r="BF402" i="5"/>
  <c r="BK403" i="5"/>
  <c r="BL403" i="5" s="1"/>
  <c r="BM403" i="5" s="1"/>
  <c r="D403" i="5"/>
  <c r="CY403" i="5"/>
  <c r="CX403" i="5"/>
  <c r="AC403" i="5"/>
  <c r="AD403" i="5" s="1"/>
  <c r="CL403" i="5"/>
  <c r="CM403" i="5" s="1"/>
  <c r="CR403" i="5"/>
  <c r="CW403" i="5"/>
  <c r="AK403" i="5"/>
  <c r="AM403" i="5" s="1"/>
  <c r="AL404" i="5" s="1"/>
  <c r="CS403" i="5"/>
  <c r="AB403" i="5"/>
  <c r="BN403" i="5" s="1"/>
  <c r="BO403" i="5" s="1"/>
  <c r="BP403" i="5" s="1"/>
  <c r="C378" i="6"/>
  <c r="BG402" i="5"/>
  <c r="H402" i="5" s="1"/>
  <c r="AX403" i="5"/>
  <c r="AW403" i="5" s="1"/>
  <c r="CU403" i="5"/>
  <c r="BX403" i="5" s="1"/>
  <c r="G403" i="5" l="1"/>
  <c r="CK403" i="5"/>
  <c r="CJ403" i="5" s="1"/>
  <c r="CH403" i="5"/>
  <c r="DA403" i="5"/>
  <c r="DB403" i="5" s="1"/>
  <c r="T403" i="5"/>
  <c r="U403" i="5" s="1"/>
  <c r="W403" i="5"/>
  <c r="AE403" i="5"/>
  <c r="I402" i="5"/>
  <c r="AP402" i="5" s="1"/>
  <c r="L403" i="5"/>
  <c r="CT403" i="5"/>
  <c r="CV403" i="5"/>
  <c r="CP403" i="5"/>
  <c r="CQ403" i="5" s="1"/>
  <c r="R403" i="5" s="1"/>
  <c r="S403" i="5" s="1"/>
  <c r="H376" i="6"/>
  <c r="Z401" i="5"/>
  <c r="K403" i="5" l="1"/>
  <c r="AH402" i="5"/>
  <c r="AT402" i="5"/>
  <c r="M402" i="5"/>
  <c r="P402" i="5"/>
  <c r="CO403" i="5"/>
  <c r="F403" i="5" s="1"/>
  <c r="CN403" i="5"/>
  <c r="E403" i="5" s="1"/>
  <c r="AA401" i="5"/>
  <c r="I376" i="6" s="1"/>
  <c r="BB402" i="5" l="1"/>
  <c r="AY402" i="5"/>
  <c r="AS402" i="5"/>
  <c r="AV402" i="5" s="1"/>
  <c r="AO402" i="5"/>
  <c r="AR402" i="5" s="1"/>
  <c r="D378" i="6"/>
  <c r="BC403" i="5"/>
  <c r="C404" i="5"/>
  <c r="BU404" i="5" s="1"/>
  <c r="E378" i="6"/>
  <c r="F377" i="6"/>
  <c r="Q402" i="5"/>
  <c r="V402" i="5" s="1"/>
  <c r="AG402" i="5"/>
  <c r="N402" i="5"/>
  <c r="BW403" i="5" l="1"/>
  <c r="BY403" i="5"/>
  <c r="J403" i="5" s="1"/>
  <c r="BT404" i="5"/>
  <c r="BV404" i="5"/>
  <c r="BS404" i="5"/>
  <c r="CI404" i="5"/>
  <c r="BH404" i="5"/>
  <c r="BI404" i="5" s="1"/>
  <c r="BJ404" i="5" s="1"/>
  <c r="D404" i="5"/>
  <c r="AK404" i="5"/>
  <c r="AM404" i="5" s="1"/>
  <c r="AL405" i="5" s="1"/>
  <c r="AB404" i="5"/>
  <c r="DA404" i="5" s="1"/>
  <c r="DB404" i="5" s="1"/>
  <c r="CR404" i="5"/>
  <c r="CL404" i="5"/>
  <c r="CM404" i="5" s="1"/>
  <c r="CY404" i="5"/>
  <c r="AC404" i="5"/>
  <c r="C379" i="6"/>
  <c r="CS404" i="5"/>
  <c r="CX404" i="5"/>
  <c r="CW404" i="5"/>
  <c r="BK404" i="5"/>
  <c r="BL404" i="5" s="1"/>
  <c r="BM404" i="5" s="1"/>
  <c r="BG403" i="5"/>
  <c r="H403" i="5" s="1"/>
  <c r="AX404" i="5"/>
  <c r="AW404" i="5" s="1"/>
  <c r="CU404" i="5"/>
  <c r="G377" i="6"/>
  <c r="BD403" i="5"/>
  <c r="BE404" i="5" s="1"/>
  <c r="CZ403" i="5"/>
  <c r="BF403" i="5"/>
  <c r="AJ402" i="5"/>
  <c r="AF403" i="5" l="1"/>
  <c r="AN403" i="5"/>
  <c r="BX404" i="5"/>
  <c r="CH404" i="5"/>
  <c r="CK404" i="5"/>
  <c r="CJ404" i="5" s="1"/>
  <c r="K404" i="5" s="1"/>
  <c r="X402" i="5"/>
  <c r="Y402" i="5" s="1"/>
  <c r="AD404" i="5"/>
  <c r="AE404" i="5" s="1"/>
  <c r="CP404" i="5"/>
  <c r="CQ404" i="5" s="1"/>
  <c r="R404" i="5" s="1"/>
  <c r="S404" i="5" s="1"/>
  <c r="BN404" i="5"/>
  <c r="BO404" i="5" s="1"/>
  <c r="BP404" i="5" s="1"/>
  <c r="G404" i="5" s="1"/>
  <c r="L404" i="5"/>
  <c r="I403" i="5"/>
  <c r="CT404" i="5"/>
  <c r="CV404" i="5"/>
  <c r="W404" i="5"/>
  <c r="T404" i="5"/>
  <c r="U404" i="5" s="1"/>
  <c r="AP403" i="5" l="1"/>
  <c r="H377" i="6"/>
  <c r="Z402" i="5"/>
  <c r="AA402" i="5" s="1"/>
  <c r="I377" i="6" s="1"/>
  <c r="AT403" i="5"/>
  <c r="AH403" i="5"/>
  <c r="P403" i="5"/>
  <c r="AY403" i="5" s="1"/>
  <c r="M403" i="5"/>
  <c r="CO404" i="5"/>
  <c r="F404" i="5" s="1"/>
  <c r="CN404" i="5"/>
  <c r="E404" i="5" s="1"/>
  <c r="BW404" i="5" l="1"/>
  <c r="BY404" i="5"/>
  <c r="J404" i="5" s="1"/>
  <c r="AG403" i="5"/>
  <c r="AJ403" i="5" s="1"/>
  <c r="AO403" i="5"/>
  <c r="AR403" i="5" s="1"/>
  <c r="N403" i="5"/>
  <c r="AS403" i="5"/>
  <c r="AV403" i="5" s="1"/>
  <c r="Q403" i="5"/>
  <c r="V403" i="5" s="1"/>
  <c r="G378" i="6" s="1"/>
  <c r="F378" i="6"/>
  <c r="D379" i="6"/>
  <c r="BC404" i="5"/>
  <c r="C405" i="5"/>
  <c r="BU405" i="5" s="1"/>
  <c r="E379" i="6"/>
  <c r="AN404" i="5" l="1"/>
  <c r="AF404" i="5"/>
  <c r="BT405" i="5"/>
  <c r="BV405" i="5"/>
  <c r="BS405" i="5"/>
  <c r="CI405" i="5"/>
  <c r="BH405" i="5"/>
  <c r="BI405" i="5" s="1"/>
  <c r="BJ405" i="5" s="1"/>
  <c r="X403" i="5"/>
  <c r="Y403" i="5" s="1"/>
  <c r="H378" i="6" s="1"/>
  <c r="BF404" i="5"/>
  <c r="BD404" i="5"/>
  <c r="BE405" i="5" s="1"/>
  <c r="CZ404" i="5"/>
  <c r="BK405" i="5"/>
  <c r="BL405" i="5" s="1"/>
  <c r="BM405" i="5" s="1"/>
  <c r="CW405" i="5"/>
  <c r="CL405" i="5"/>
  <c r="CM405" i="5" s="1"/>
  <c r="D405" i="5"/>
  <c r="AB405" i="5"/>
  <c r="CP405" i="5" s="1"/>
  <c r="CQ405" i="5" s="1"/>
  <c r="R405" i="5" s="1"/>
  <c r="S405" i="5" s="1"/>
  <c r="C380" i="6"/>
  <c r="AC405" i="5"/>
  <c r="AK405" i="5"/>
  <c r="CS405" i="5"/>
  <c r="CX405" i="5"/>
  <c r="CR405" i="5"/>
  <c r="CY405" i="5"/>
  <c r="BG404" i="5"/>
  <c r="H404" i="5" s="1"/>
  <c r="AX405" i="5"/>
  <c r="AW405" i="5" s="1"/>
  <c r="CU405" i="5"/>
  <c r="BX405" i="5" s="1"/>
  <c r="CH405" i="5" l="1"/>
  <c r="CK405" i="5"/>
  <c r="CJ405" i="5" s="1"/>
  <c r="Z403" i="5"/>
  <c r="AD405" i="5"/>
  <c r="AE405" i="5" s="1"/>
  <c r="AM405" i="5"/>
  <c r="AL406" i="5" s="1"/>
  <c r="CT405" i="5"/>
  <c r="CV405" i="5"/>
  <c r="DA405" i="5"/>
  <c r="DB405" i="5" s="1"/>
  <c r="K405" i="5" s="1"/>
  <c r="L405" i="5"/>
  <c r="I404" i="5"/>
  <c r="AH404" i="5" s="1"/>
  <c r="W405" i="5"/>
  <c r="T405" i="5"/>
  <c r="U405" i="5" s="1"/>
  <c r="AA403" i="5"/>
  <c r="I378" i="6" s="1"/>
  <c r="BN405" i="5"/>
  <c r="BO405" i="5" s="1"/>
  <c r="BP405" i="5" s="1"/>
  <c r="G405" i="5" s="1"/>
  <c r="P404" i="5" l="1"/>
  <c r="AY404" i="5" s="1"/>
  <c r="M404" i="5"/>
  <c r="AG404" i="5" s="1"/>
  <c r="AJ404" i="5" s="1"/>
  <c r="CO405" i="5"/>
  <c r="F405" i="5" s="1"/>
  <c r="CN405" i="5"/>
  <c r="E405" i="5" s="1"/>
  <c r="AT404" i="5"/>
  <c r="AP404" i="5"/>
  <c r="BY405" i="5" l="1"/>
  <c r="J405" i="5" s="1"/>
  <c r="AN405" i="5" s="1"/>
  <c r="BW405" i="5"/>
  <c r="D380" i="6"/>
  <c r="BC405" i="5"/>
  <c r="E380" i="6"/>
  <c r="C406" i="5"/>
  <c r="BU406" i="5" s="1"/>
  <c r="N404" i="5"/>
  <c r="AS404" i="5"/>
  <c r="AV404" i="5" s="1"/>
  <c r="AO404" i="5"/>
  <c r="AR404" i="5" s="1"/>
  <c r="F379" i="6"/>
  <c r="Q404" i="5"/>
  <c r="V404" i="5" s="1"/>
  <c r="AF405" i="5" l="1"/>
  <c r="BT406" i="5"/>
  <c r="BV406" i="5"/>
  <c r="BS406" i="5"/>
  <c r="CI406" i="5"/>
  <c r="BH406" i="5"/>
  <c r="BI406" i="5" s="1"/>
  <c r="BJ406" i="5" s="1"/>
  <c r="X404" i="5"/>
  <c r="Y404" i="5" s="1"/>
  <c r="AK406" i="5"/>
  <c r="AM406" i="5" s="1"/>
  <c r="AL407" i="5" s="1"/>
  <c r="CL406" i="5"/>
  <c r="CM406" i="5" s="1"/>
  <c r="CW406" i="5"/>
  <c r="CX406" i="5"/>
  <c r="C381" i="6"/>
  <c r="CY406" i="5"/>
  <c r="AC406" i="5"/>
  <c r="AD406" i="5" s="1"/>
  <c r="CR406" i="5"/>
  <c r="D406" i="5"/>
  <c r="AB406" i="5"/>
  <c r="DA406" i="5" s="1"/>
  <c r="DB406" i="5" s="1"/>
  <c r="CS406" i="5"/>
  <c r="BK406" i="5"/>
  <c r="BL406" i="5" s="1"/>
  <c r="BM406" i="5" s="1"/>
  <c r="BG405" i="5"/>
  <c r="H405" i="5" s="1"/>
  <c r="AX406" i="5"/>
  <c r="AW406" i="5" s="1"/>
  <c r="CU406" i="5"/>
  <c r="BX406" i="5" s="1"/>
  <c r="BD405" i="5"/>
  <c r="BE406" i="5" s="1"/>
  <c r="BF405" i="5"/>
  <c r="CZ405" i="5"/>
  <c r="G379" i="6"/>
  <c r="CH406" i="5" l="1"/>
  <c r="CK406" i="5"/>
  <c r="CJ406" i="5" s="1"/>
  <c r="K406" i="5" s="1"/>
  <c r="BN406" i="5"/>
  <c r="BO406" i="5" s="1"/>
  <c r="BP406" i="5" s="1"/>
  <c r="G406" i="5" s="1"/>
  <c r="W406" i="5"/>
  <c r="T406" i="5"/>
  <c r="U406" i="5" s="1"/>
  <c r="CP406" i="5"/>
  <c r="CQ406" i="5" s="1"/>
  <c r="R406" i="5" s="1"/>
  <c r="S406" i="5" s="1"/>
  <c r="CT406" i="5"/>
  <c r="CV406" i="5"/>
  <c r="AE406" i="5"/>
  <c r="L406" i="5"/>
  <c r="I405" i="5"/>
  <c r="AP405" i="5" s="1"/>
  <c r="H379" i="6"/>
  <c r="Z404" i="5"/>
  <c r="AT405" i="5" l="1"/>
  <c r="AH405" i="5"/>
  <c r="AA404" i="5"/>
  <c r="I379" i="6" s="1"/>
  <c r="CN406" i="5"/>
  <c r="E406" i="5" s="1"/>
  <c r="CO406" i="5"/>
  <c r="F406" i="5" s="1"/>
  <c r="M405" i="5"/>
  <c r="P405" i="5"/>
  <c r="AY405" i="5" s="1"/>
  <c r="AG405" i="5" l="1"/>
  <c r="AJ405" i="5" s="1"/>
  <c r="AO405" i="5"/>
  <c r="E381" i="6"/>
  <c r="C407" i="5"/>
  <c r="BU407" i="5" s="1"/>
  <c r="BC406" i="5"/>
  <c r="D381" i="6"/>
  <c r="Q405" i="5"/>
  <c r="V405" i="5" s="1"/>
  <c r="F380" i="6"/>
  <c r="N405" i="5"/>
  <c r="AS405" i="5"/>
  <c r="AV405" i="5" s="1"/>
  <c r="BW406" i="5" l="1"/>
  <c r="BY406" i="5"/>
  <c r="J406" i="5" s="1"/>
  <c r="BT407" i="5"/>
  <c r="BV407" i="5"/>
  <c r="BS407" i="5"/>
  <c r="CI407" i="5"/>
  <c r="BH407" i="5"/>
  <c r="BI407" i="5" s="1"/>
  <c r="BJ407" i="5" s="1"/>
  <c r="AR405" i="5"/>
  <c r="G380" i="6"/>
  <c r="BD406" i="5"/>
  <c r="BE407" i="5" s="1"/>
  <c r="BF406" i="5"/>
  <c r="CZ406" i="5"/>
  <c r="CX407" i="5"/>
  <c r="CL407" i="5"/>
  <c r="CM407" i="5" s="1"/>
  <c r="AC407" i="5"/>
  <c r="AB407" i="5"/>
  <c r="BN407" i="5" s="1"/>
  <c r="BO407" i="5" s="1"/>
  <c r="BP407" i="5" s="1"/>
  <c r="AK407" i="5"/>
  <c r="CY407" i="5"/>
  <c r="C382" i="6"/>
  <c r="BK407" i="5"/>
  <c r="BL407" i="5" s="1"/>
  <c r="BM407" i="5" s="1"/>
  <c r="CW407" i="5"/>
  <c r="CR407" i="5"/>
  <c r="D407" i="5"/>
  <c r="CS407" i="5"/>
  <c r="BG406" i="5"/>
  <c r="H406" i="5" s="1"/>
  <c r="AX407" i="5"/>
  <c r="AW407" i="5" s="1"/>
  <c r="CU407" i="5"/>
  <c r="AF406" i="5" l="1"/>
  <c r="AN406" i="5"/>
  <c r="BX407" i="5"/>
  <c r="G407" i="5"/>
  <c r="CH407" i="5"/>
  <c r="CK407" i="5"/>
  <c r="CJ407" i="5" s="1"/>
  <c r="X405" i="5"/>
  <c r="Y405" i="5" s="1"/>
  <c r="DA407" i="5"/>
  <c r="DB407" i="5" s="1"/>
  <c r="K407" i="5" s="1"/>
  <c r="AD407" i="5"/>
  <c r="AE407" i="5" s="1"/>
  <c r="CP407" i="5"/>
  <c r="CQ407" i="5" s="1"/>
  <c r="R407" i="5" s="1"/>
  <c r="S407" i="5" s="1"/>
  <c r="L407" i="5"/>
  <c r="CT407" i="5"/>
  <c r="CV407" i="5"/>
  <c r="I406" i="5"/>
  <c r="AP406" i="5" s="1"/>
  <c r="AM407" i="5"/>
  <c r="AL408" i="5" s="1"/>
  <c r="W407" i="5"/>
  <c r="T407" i="5"/>
  <c r="U407" i="5" s="1"/>
  <c r="H380" i="6" l="1"/>
  <c r="Z405" i="5"/>
  <c r="AA405" i="5" s="1"/>
  <c r="I380" i="6" s="1"/>
  <c r="P406" i="5"/>
  <c r="AY406" i="5" s="1"/>
  <c r="M406" i="5"/>
  <c r="AT406" i="5"/>
  <c r="AH406" i="5"/>
  <c r="CO407" i="5"/>
  <c r="F407" i="5" s="1"/>
  <c r="CN407" i="5"/>
  <c r="E407" i="5" s="1"/>
  <c r="AS406" i="5" l="1"/>
  <c r="AV406" i="5" s="1"/>
  <c r="AO406" i="5"/>
  <c r="AR406" i="5" s="1"/>
  <c r="D382" i="6"/>
  <c r="BC407" i="5"/>
  <c r="N406" i="5"/>
  <c r="AG406" i="5"/>
  <c r="C408" i="5"/>
  <c r="BU408" i="5" s="1"/>
  <c r="E382" i="6"/>
  <c r="F381" i="6"/>
  <c r="Q406" i="5"/>
  <c r="V406" i="5" s="1"/>
  <c r="BW407" i="5" l="1"/>
  <c r="BY407" i="5"/>
  <c r="J407" i="5" s="1"/>
  <c r="BV408" i="5"/>
  <c r="BT408" i="5"/>
  <c r="BS408" i="5"/>
  <c r="CI408" i="5"/>
  <c r="BH408" i="5"/>
  <c r="BI408" i="5" s="1"/>
  <c r="BJ408" i="5" s="1"/>
  <c r="AJ406" i="5"/>
  <c r="X406" i="5" s="1"/>
  <c r="Y406" i="5" s="1"/>
  <c r="CX408" i="5"/>
  <c r="CY408" i="5"/>
  <c r="C383" i="6"/>
  <c r="CS408" i="5"/>
  <c r="AK408" i="5"/>
  <c r="CW408" i="5"/>
  <c r="CR408" i="5"/>
  <c r="AB408" i="5"/>
  <c r="L408" i="5" s="1"/>
  <c r="AC408" i="5"/>
  <c r="D408" i="5"/>
  <c r="CL408" i="5"/>
  <c r="CM408" i="5" s="1"/>
  <c r="BK408" i="5"/>
  <c r="BL408" i="5" s="1"/>
  <c r="BM408" i="5" s="1"/>
  <c r="BG407" i="5"/>
  <c r="H407" i="5" s="1"/>
  <c r="AX408" i="5"/>
  <c r="AW408" i="5" s="1"/>
  <c r="CU408" i="5"/>
  <c r="BD407" i="5"/>
  <c r="BE408" i="5" s="1"/>
  <c r="BF407" i="5"/>
  <c r="CZ407" i="5"/>
  <c r="G381" i="6"/>
  <c r="AN407" i="5" l="1"/>
  <c r="AF407" i="5"/>
  <c r="BX408" i="5"/>
  <c r="CK408" i="5"/>
  <c r="CJ408" i="5" s="1"/>
  <c r="CH408" i="5"/>
  <c r="AD408" i="5"/>
  <c r="AE408" i="5" s="1"/>
  <c r="CP408" i="5"/>
  <c r="CQ408" i="5" s="1"/>
  <c r="R408" i="5" s="1"/>
  <c r="S408" i="5" s="1"/>
  <c r="DA408" i="5"/>
  <c r="DB408" i="5" s="1"/>
  <c r="AM408" i="5"/>
  <c r="AL409" i="5" s="1"/>
  <c r="W408" i="5"/>
  <c r="T408" i="5"/>
  <c r="U408" i="5" s="1"/>
  <c r="BN408" i="5"/>
  <c r="BO408" i="5" s="1"/>
  <c r="BP408" i="5" s="1"/>
  <c r="G408" i="5" s="1"/>
  <c r="I407" i="5"/>
  <c r="AH407" i="5" s="1"/>
  <c r="H381" i="6"/>
  <c r="Z406" i="5"/>
  <c r="CV408" i="5"/>
  <c r="CT408" i="5"/>
  <c r="K408" i="5" l="1"/>
  <c r="AT407" i="5"/>
  <c r="AP407" i="5"/>
  <c r="CN408" i="5"/>
  <c r="E408" i="5" s="1"/>
  <c r="CO408" i="5"/>
  <c r="F408" i="5" s="1"/>
  <c r="AA406" i="5"/>
  <c r="I381" i="6" s="1"/>
  <c r="P407" i="5"/>
  <c r="AY407" i="5" s="1"/>
  <c r="M407" i="5"/>
  <c r="AG407" i="5" s="1"/>
  <c r="AJ407" i="5" s="1"/>
  <c r="BY408" i="5" l="1"/>
  <c r="J408" i="5" s="1"/>
  <c r="BW408" i="5"/>
  <c r="N407" i="5"/>
  <c r="AS407" i="5"/>
  <c r="AV407" i="5" s="1"/>
  <c r="AO407" i="5"/>
  <c r="Q407" i="5"/>
  <c r="V407" i="5" s="1"/>
  <c r="F382" i="6"/>
  <c r="C409" i="5"/>
  <c r="BU409" i="5" s="1"/>
  <c r="E383" i="6"/>
  <c r="D383" i="6"/>
  <c r="BC408" i="5"/>
  <c r="AN408" i="5" l="1"/>
  <c r="AF408" i="5"/>
  <c r="BT409" i="5"/>
  <c r="BV409" i="5"/>
  <c r="BS409" i="5"/>
  <c r="CI409" i="5"/>
  <c r="BH409" i="5"/>
  <c r="BI409" i="5" s="1"/>
  <c r="BJ409" i="5" s="1"/>
  <c r="AR407" i="5"/>
  <c r="X407" i="5" s="1"/>
  <c r="Y407" i="5" s="1"/>
  <c r="D409" i="5"/>
  <c r="AK409" i="5"/>
  <c r="AM409" i="5" s="1"/>
  <c r="AL410" i="5" s="1"/>
  <c r="AC409" i="5"/>
  <c r="AD409" i="5" s="1"/>
  <c r="CW409" i="5"/>
  <c r="BK409" i="5"/>
  <c r="BL409" i="5" s="1"/>
  <c r="BM409" i="5" s="1"/>
  <c r="CL409" i="5"/>
  <c r="CM409" i="5" s="1"/>
  <c r="CY409" i="5"/>
  <c r="CS409" i="5"/>
  <c r="CX409" i="5"/>
  <c r="CR409" i="5"/>
  <c r="AB409" i="5"/>
  <c r="DA409" i="5" s="1"/>
  <c r="DB409" i="5" s="1"/>
  <c r="C384" i="6"/>
  <c r="BG408" i="5"/>
  <c r="H408" i="5" s="1"/>
  <c r="AX409" i="5"/>
  <c r="AW409" i="5" s="1"/>
  <c r="CU409" i="5"/>
  <c r="BX409" i="5" s="1"/>
  <c r="CZ408" i="5"/>
  <c r="BD408" i="5"/>
  <c r="BE409" i="5" s="1"/>
  <c r="BF408" i="5"/>
  <c r="G382" i="6"/>
  <c r="CH409" i="5" l="1"/>
  <c r="CK409" i="5"/>
  <c r="CJ409" i="5" s="1"/>
  <c r="K409" i="5" s="1"/>
  <c r="L409" i="5"/>
  <c r="CP409" i="5"/>
  <c r="CQ409" i="5" s="1"/>
  <c r="R409" i="5" s="1"/>
  <c r="S409" i="5" s="1"/>
  <c r="BN409" i="5"/>
  <c r="BO409" i="5" s="1"/>
  <c r="BP409" i="5" s="1"/>
  <c r="G409" i="5" s="1"/>
  <c r="AE409" i="5"/>
  <c r="I408" i="5"/>
  <c r="AH408" i="5" s="1"/>
  <c r="H382" i="6"/>
  <c r="Z407" i="5"/>
  <c r="CT409" i="5"/>
  <c r="CV409" i="5"/>
  <c r="T409" i="5"/>
  <c r="U409" i="5" s="1"/>
  <c r="W409" i="5"/>
  <c r="AT408" i="5" l="1"/>
  <c r="AP408" i="5"/>
  <c r="AA407" i="5"/>
  <c r="I382" i="6" s="1"/>
  <c r="P408" i="5"/>
  <c r="AY408" i="5" s="1"/>
  <c r="M408" i="5"/>
  <c r="AG408" i="5" s="1"/>
  <c r="AJ408" i="5" s="1"/>
  <c r="CN409" i="5"/>
  <c r="E409" i="5" s="1"/>
  <c r="CO409" i="5"/>
  <c r="F409" i="5" s="1"/>
  <c r="BW409" i="5" l="1"/>
  <c r="BY409" i="5"/>
  <c r="J409" i="5" s="1"/>
  <c r="N408" i="5"/>
  <c r="AS408" i="5"/>
  <c r="AV408" i="5" s="1"/>
  <c r="AO408" i="5"/>
  <c r="AR408" i="5" s="1"/>
  <c r="D384" i="6"/>
  <c r="BC409" i="5"/>
  <c r="F383" i="6"/>
  <c r="Q408" i="5"/>
  <c r="V408" i="5" s="1"/>
  <c r="E384" i="6"/>
  <c r="C410" i="5"/>
  <c r="BU410" i="5" s="1"/>
  <c r="AF409" i="5" l="1"/>
  <c r="AN409" i="5"/>
  <c r="BV410" i="5"/>
  <c r="BT410" i="5"/>
  <c r="BS410" i="5"/>
  <c r="CI410" i="5"/>
  <c r="BH410" i="5"/>
  <c r="BI410" i="5" s="1"/>
  <c r="BJ410" i="5" s="1"/>
  <c r="X408" i="5"/>
  <c r="Y408" i="5" s="1"/>
  <c r="G383" i="6"/>
  <c r="AB410" i="5"/>
  <c r="L410" i="5" s="1"/>
  <c r="CS410" i="5"/>
  <c r="CL410" i="5"/>
  <c r="CM410" i="5" s="1"/>
  <c r="CR410" i="5"/>
  <c r="CX410" i="5"/>
  <c r="BK410" i="5"/>
  <c r="BL410" i="5" s="1"/>
  <c r="BM410" i="5" s="1"/>
  <c r="AK410" i="5"/>
  <c r="AM410" i="5" s="1"/>
  <c r="AL411" i="5" s="1"/>
  <c r="C385" i="6"/>
  <c r="CY410" i="5"/>
  <c r="D410" i="5"/>
  <c r="AC410" i="5"/>
  <c r="CW410" i="5"/>
  <c r="BG409" i="5"/>
  <c r="H409" i="5" s="1"/>
  <c r="AX410" i="5"/>
  <c r="AW410" i="5" s="1"/>
  <c r="CU410" i="5"/>
  <c r="BX410" i="5" s="1"/>
  <c r="BD409" i="5"/>
  <c r="BE410" i="5" s="1"/>
  <c r="CZ409" i="5"/>
  <c r="BF409" i="5"/>
  <c r="CH410" i="5" l="1"/>
  <c r="CK410" i="5"/>
  <c r="CJ410" i="5" s="1"/>
  <c r="AD410" i="5"/>
  <c r="AE410" i="5" s="1"/>
  <c r="BN410" i="5"/>
  <c r="BO410" i="5" s="1"/>
  <c r="BP410" i="5" s="1"/>
  <c r="G410" i="5" s="1"/>
  <c r="DA410" i="5"/>
  <c r="DB410" i="5" s="1"/>
  <c r="K410" i="5" s="1"/>
  <c r="I409" i="5"/>
  <c r="AP409" i="5" s="1"/>
  <c r="W410" i="5"/>
  <c r="T410" i="5"/>
  <c r="U410" i="5" s="1"/>
  <c r="CT410" i="5"/>
  <c r="CV410" i="5"/>
  <c r="CP410" i="5"/>
  <c r="CQ410" i="5" s="1"/>
  <c r="R410" i="5" s="1"/>
  <c r="S410" i="5" s="1"/>
  <c r="H383" i="6"/>
  <c r="Z408" i="5"/>
  <c r="AH409" i="5" l="1"/>
  <c r="AT409" i="5"/>
  <c r="M409" i="5"/>
  <c r="P409" i="5"/>
  <c r="AY409" i="5" s="1"/>
  <c r="AA408" i="5"/>
  <c r="I383" i="6" s="1"/>
  <c r="CO410" i="5"/>
  <c r="F410" i="5" s="1"/>
  <c r="CN410" i="5"/>
  <c r="E410" i="5" s="1"/>
  <c r="AS409" i="5" l="1"/>
  <c r="AV409" i="5" s="1"/>
  <c r="AO409" i="5"/>
  <c r="AR409" i="5" s="1"/>
  <c r="E385" i="6"/>
  <c r="C411" i="5"/>
  <c r="BU411" i="5" s="1"/>
  <c r="BC410" i="5"/>
  <c r="D385" i="6"/>
  <c r="F384" i="6"/>
  <c r="Q409" i="5"/>
  <c r="V409" i="5" s="1"/>
  <c r="G384" i="6" s="1"/>
  <c r="AG409" i="5"/>
  <c r="N409" i="5"/>
  <c r="BW410" i="5" l="1"/>
  <c r="BY410" i="5"/>
  <c r="J410" i="5" s="1"/>
  <c r="BV411" i="5"/>
  <c r="BT411" i="5"/>
  <c r="BS411" i="5"/>
  <c r="CI411" i="5"/>
  <c r="BH411" i="5"/>
  <c r="BI411" i="5" s="1"/>
  <c r="BJ411" i="5" s="1"/>
  <c r="BF410" i="5"/>
  <c r="BD410" i="5"/>
  <c r="BE411" i="5" s="1"/>
  <c r="CZ410" i="5"/>
  <c r="AJ409" i="5"/>
  <c r="CW411" i="5"/>
  <c r="AC411" i="5"/>
  <c r="CY411" i="5"/>
  <c r="CX411" i="5"/>
  <c r="BK411" i="5"/>
  <c r="BL411" i="5" s="1"/>
  <c r="BM411" i="5" s="1"/>
  <c r="AK411" i="5"/>
  <c r="AM411" i="5" s="1"/>
  <c r="AL412" i="5" s="1"/>
  <c r="D411" i="5"/>
  <c r="CR411" i="5"/>
  <c r="AB411" i="5"/>
  <c r="DA411" i="5" s="1"/>
  <c r="DB411" i="5" s="1"/>
  <c r="C386" i="6"/>
  <c r="CS411" i="5"/>
  <c r="CL411" i="5"/>
  <c r="CM411" i="5" s="1"/>
  <c r="BG410" i="5"/>
  <c r="H410" i="5" s="1"/>
  <c r="AX411" i="5"/>
  <c r="AW411" i="5" s="1"/>
  <c r="CU411" i="5"/>
  <c r="AF410" i="5" l="1"/>
  <c r="AN410" i="5"/>
  <c r="BX411" i="5"/>
  <c r="CK411" i="5"/>
  <c r="CJ411" i="5" s="1"/>
  <c r="K411" i="5" s="1"/>
  <c r="CH411" i="5"/>
  <c r="X409" i="5"/>
  <c r="Y409" i="5" s="1"/>
  <c r="AD411" i="5"/>
  <c r="AE411" i="5" s="1"/>
  <c r="BN411" i="5"/>
  <c r="BO411" i="5" s="1"/>
  <c r="BP411" i="5" s="1"/>
  <c r="G411" i="5" s="1"/>
  <c r="W411" i="5"/>
  <c r="T411" i="5"/>
  <c r="U411" i="5" s="1"/>
  <c r="I410" i="5"/>
  <c r="AP410" i="5" s="1"/>
  <c r="CP411" i="5"/>
  <c r="CQ411" i="5" s="1"/>
  <c r="R411" i="5" s="1"/>
  <c r="S411" i="5" s="1"/>
  <c r="CV411" i="5"/>
  <c r="CT411" i="5"/>
  <c r="L411" i="5"/>
  <c r="H384" i="6" l="1"/>
  <c r="Z409" i="5"/>
  <c r="AA409" i="5" s="1"/>
  <c r="I384" i="6" s="1"/>
  <c r="AT410" i="5"/>
  <c r="AH410" i="5"/>
  <c r="P410" i="5"/>
  <c r="AY410" i="5" s="1"/>
  <c r="M410" i="5"/>
  <c r="CN411" i="5"/>
  <c r="E411" i="5" s="1"/>
  <c r="CO411" i="5"/>
  <c r="F411" i="5" s="1"/>
  <c r="BW411" i="5" l="1"/>
  <c r="BY411" i="5"/>
  <c r="J411" i="5" s="1"/>
  <c r="AN411" i="5" s="1"/>
  <c r="AG410" i="5"/>
  <c r="AJ410" i="5" s="1"/>
  <c r="AO410" i="5"/>
  <c r="AR410" i="5" s="1"/>
  <c r="N410" i="5"/>
  <c r="AS410" i="5"/>
  <c r="AV410" i="5" s="1"/>
  <c r="F385" i="6"/>
  <c r="Q410" i="5"/>
  <c r="V410" i="5" s="1"/>
  <c r="E386" i="6"/>
  <c r="C412" i="5"/>
  <c r="BU412" i="5" s="1"/>
  <c r="BC411" i="5"/>
  <c r="D386" i="6"/>
  <c r="AF411" i="5" l="1"/>
  <c r="BT412" i="5"/>
  <c r="BV412" i="5"/>
  <c r="BS412" i="5"/>
  <c r="CI412" i="5"/>
  <c r="BH412" i="5"/>
  <c r="BI412" i="5" s="1"/>
  <c r="BJ412" i="5" s="1"/>
  <c r="X410" i="5"/>
  <c r="Y410" i="5" s="1"/>
  <c r="CZ411" i="5"/>
  <c r="BD411" i="5"/>
  <c r="BE412" i="5" s="1"/>
  <c r="BF411" i="5"/>
  <c r="G385" i="6"/>
  <c r="BK412" i="5"/>
  <c r="BL412" i="5" s="1"/>
  <c r="BM412" i="5" s="1"/>
  <c r="C387" i="6"/>
  <c r="AB412" i="5"/>
  <c r="CP412" i="5" s="1"/>
  <c r="CQ412" i="5" s="1"/>
  <c r="R412" i="5" s="1"/>
  <c r="S412" i="5" s="1"/>
  <c r="CR412" i="5"/>
  <c r="CY412" i="5"/>
  <c r="D412" i="5"/>
  <c r="CL412" i="5"/>
  <c r="CM412" i="5" s="1"/>
  <c r="AK412" i="5"/>
  <c r="AM412" i="5" s="1"/>
  <c r="AL413" i="5" s="1"/>
  <c r="CX412" i="5"/>
  <c r="CS412" i="5"/>
  <c r="AC412" i="5"/>
  <c r="CW412" i="5"/>
  <c r="BG411" i="5"/>
  <c r="H411" i="5" s="1"/>
  <c r="AX412" i="5"/>
  <c r="AW412" i="5" s="1"/>
  <c r="CU412" i="5"/>
  <c r="BX412" i="5" s="1"/>
  <c r="CH412" i="5" l="1"/>
  <c r="CK412" i="5"/>
  <c r="CJ412" i="5" s="1"/>
  <c r="AD412" i="5"/>
  <c r="AE412" i="5" s="1"/>
  <c r="DA412" i="5"/>
  <c r="DB412" i="5" s="1"/>
  <c r="K412" i="5" s="1"/>
  <c r="L412" i="5"/>
  <c r="CV412" i="5"/>
  <c r="CT412" i="5"/>
  <c r="BN412" i="5"/>
  <c r="BO412" i="5" s="1"/>
  <c r="BP412" i="5" s="1"/>
  <c r="G412" i="5" s="1"/>
  <c r="H385" i="6"/>
  <c r="Z410" i="5"/>
  <c r="W412" i="5"/>
  <c r="T412" i="5"/>
  <c r="U412" i="5" s="1"/>
  <c r="I411" i="5"/>
  <c r="AH411" i="5" s="1"/>
  <c r="CN412" i="5" l="1"/>
  <c r="E412" i="5" s="1"/>
  <c r="CO412" i="5"/>
  <c r="F412" i="5" s="1"/>
  <c r="AT411" i="5"/>
  <c r="AP411" i="5"/>
  <c r="P411" i="5"/>
  <c r="AY411" i="5" s="1"/>
  <c r="M411" i="5"/>
  <c r="AA410" i="5"/>
  <c r="I385" i="6" s="1"/>
  <c r="E387" i="6" l="1"/>
  <c r="C413" i="5"/>
  <c r="BU413" i="5" s="1"/>
  <c r="D387" i="6"/>
  <c r="BC412" i="5"/>
  <c r="AG411" i="5"/>
  <c r="N411" i="5"/>
  <c r="AS411" i="5"/>
  <c r="AV411" i="5" s="1"/>
  <c r="AO411" i="5"/>
  <c r="F386" i="6"/>
  <c r="Q411" i="5"/>
  <c r="V411" i="5" s="1"/>
  <c r="BW412" i="5" l="1"/>
  <c r="BY412" i="5"/>
  <c r="J412" i="5" s="1"/>
  <c r="BT413" i="5"/>
  <c r="BV413" i="5"/>
  <c r="BS413" i="5"/>
  <c r="CI413" i="5"/>
  <c r="BH413" i="5"/>
  <c r="BI413" i="5" s="1"/>
  <c r="BJ413" i="5" s="1"/>
  <c r="AR411" i="5"/>
  <c r="AJ411" i="5"/>
  <c r="CZ412" i="5"/>
  <c r="BF412" i="5"/>
  <c r="BD412" i="5"/>
  <c r="BE413" i="5" s="1"/>
  <c r="G386" i="6"/>
  <c r="CS413" i="5"/>
  <c r="CX413" i="5"/>
  <c r="AC413" i="5"/>
  <c r="AB413" i="5"/>
  <c r="CP413" i="5" s="1"/>
  <c r="CQ413" i="5" s="1"/>
  <c r="R413" i="5" s="1"/>
  <c r="S413" i="5" s="1"/>
  <c r="CW413" i="5"/>
  <c r="CR413" i="5"/>
  <c r="CL413" i="5"/>
  <c r="CM413" i="5" s="1"/>
  <c r="D413" i="5"/>
  <c r="C388" i="6"/>
  <c r="BK413" i="5"/>
  <c r="BL413" i="5" s="1"/>
  <c r="BM413" i="5" s="1"/>
  <c r="CY413" i="5"/>
  <c r="AK413" i="5"/>
  <c r="BG412" i="5"/>
  <c r="H412" i="5" s="1"/>
  <c r="AX413" i="5"/>
  <c r="AW413" i="5" s="1"/>
  <c r="CU413" i="5"/>
  <c r="AN412" i="5" l="1"/>
  <c r="AF412" i="5"/>
  <c r="BX413" i="5"/>
  <c r="CH413" i="5"/>
  <c r="CK413" i="5"/>
  <c r="CJ413" i="5" s="1"/>
  <c r="X411" i="5"/>
  <c r="Y411" i="5" s="1"/>
  <c r="Z411" i="5" s="1"/>
  <c r="AD413" i="5"/>
  <c r="AE413" i="5" s="1"/>
  <c r="DA413" i="5"/>
  <c r="DB413" i="5" s="1"/>
  <c r="K413" i="5" s="1"/>
  <c r="L413" i="5"/>
  <c r="I412" i="5"/>
  <c r="AP412" i="5" s="1"/>
  <c r="T413" i="5"/>
  <c r="U413" i="5" s="1"/>
  <c r="W413" i="5"/>
  <c r="AM413" i="5"/>
  <c r="AL414" i="5" s="1"/>
  <c r="CT413" i="5"/>
  <c r="CV413" i="5"/>
  <c r="BN413" i="5"/>
  <c r="BO413" i="5" s="1"/>
  <c r="BP413" i="5" s="1"/>
  <c r="G413" i="5" s="1"/>
  <c r="H386" i="6" l="1"/>
  <c r="AH412" i="5"/>
  <c r="AT412" i="5"/>
  <c r="CN413" i="5"/>
  <c r="E413" i="5" s="1"/>
  <c r="CO413" i="5"/>
  <c r="F413" i="5" s="1"/>
  <c r="M412" i="5"/>
  <c r="P412" i="5"/>
  <c r="AY412" i="5" s="1"/>
  <c r="AA411" i="5"/>
  <c r="I386" i="6" s="1"/>
  <c r="BY413" i="5" l="1"/>
  <c r="J413" i="5" s="1"/>
  <c r="BW413" i="5"/>
  <c r="AG412" i="5"/>
  <c r="AJ412" i="5" s="1"/>
  <c r="AO412" i="5"/>
  <c r="AR412" i="5" s="1"/>
  <c r="N412" i="5"/>
  <c r="AS412" i="5"/>
  <c r="AV412" i="5" s="1"/>
  <c r="Q412" i="5"/>
  <c r="V412" i="5" s="1"/>
  <c r="F387" i="6"/>
  <c r="C414" i="5"/>
  <c r="BU414" i="5" s="1"/>
  <c r="E388" i="6"/>
  <c r="BC413" i="5"/>
  <c r="D388" i="6"/>
  <c r="AF413" i="5" l="1"/>
  <c r="AN413" i="5"/>
  <c r="BT414" i="5"/>
  <c r="BV414" i="5"/>
  <c r="BS414" i="5"/>
  <c r="CI414" i="5"/>
  <c r="BH414" i="5"/>
  <c r="BI414" i="5" s="1"/>
  <c r="BJ414" i="5" s="1"/>
  <c r="X412" i="5"/>
  <c r="Y412" i="5" s="1"/>
  <c r="BF413" i="5"/>
  <c r="BD413" i="5"/>
  <c r="BE414" i="5" s="1"/>
  <c r="CZ413" i="5"/>
  <c r="CY414" i="5"/>
  <c r="AC414" i="5"/>
  <c r="CX414" i="5"/>
  <c r="BK414" i="5"/>
  <c r="BL414" i="5" s="1"/>
  <c r="BM414" i="5" s="1"/>
  <c r="D414" i="5"/>
  <c r="AB414" i="5"/>
  <c r="DA414" i="5" s="1"/>
  <c r="DB414" i="5" s="1"/>
  <c r="CW414" i="5"/>
  <c r="CS414" i="5"/>
  <c r="C389" i="6"/>
  <c r="AK414" i="5"/>
  <c r="AM414" i="5" s="1"/>
  <c r="AL415" i="5" s="1"/>
  <c r="CL414" i="5"/>
  <c r="CM414" i="5" s="1"/>
  <c r="CR414" i="5"/>
  <c r="BG413" i="5"/>
  <c r="H413" i="5" s="1"/>
  <c r="AX414" i="5"/>
  <c r="AW414" i="5" s="1"/>
  <c r="CU414" i="5"/>
  <c r="BX414" i="5" s="1"/>
  <c r="G387" i="6"/>
  <c r="AD414" i="5" l="1"/>
  <c r="AE414" i="5" s="1"/>
  <c r="CH414" i="5"/>
  <c r="CK414" i="5"/>
  <c r="CJ414" i="5" s="1"/>
  <c r="K414" i="5" s="1"/>
  <c r="CP414" i="5"/>
  <c r="CQ414" i="5" s="1"/>
  <c r="R414" i="5" s="1"/>
  <c r="S414" i="5" s="1"/>
  <c r="BN414" i="5"/>
  <c r="BO414" i="5" s="1"/>
  <c r="BP414" i="5" s="1"/>
  <c r="G414" i="5" s="1"/>
  <c r="T414" i="5"/>
  <c r="U414" i="5" s="1"/>
  <c r="W414" i="5"/>
  <c r="H387" i="6"/>
  <c r="Z412" i="5"/>
  <c r="I413" i="5"/>
  <c r="AP413" i="5" s="1"/>
  <c r="CT414" i="5"/>
  <c r="CV414" i="5"/>
  <c r="L414" i="5"/>
  <c r="M413" i="5" l="1"/>
  <c r="P413" i="5"/>
  <c r="AY413" i="5" s="1"/>
  <c r="AA412" i="5"/>
  <c r="I387" i="6" s="1"/>
  <c r="CO414" i="5"/>
  <c r="F414" i="5" s="1"/>
  <c r="CN414" i="5"/>
  <c r="E414" i="5" s="1"/>
  <c r="AT413" i="5"/>
  <c r="AH413" i="5"/>
  <c r="BW414" i="5" l="1"/>
  <c r="AS413" i="5"/>
  <c r="AV413" i="5" s="1"/>
  <c r="AO413" i="5"/>
  <c r="D389" i="6"/>
  <c r="BC414" i="5"/>
  <c r="E389" i="6"/>
  <c r="C415" i="5"/>
  <c r="BU415" i="5" s="1"/>
  <c r="F388" i="6"/>
  <c r="Q413" i="5"/>
  <c r="V413" i="5" s="1"/>
  <c r="N413" i="5"/>
  <c r="AG413" i="5"/>
  <c r="BY414" i="5" l="1"/>
  <c r="J414" i="5" s="1"/>
  <c r="BT415" i="5"/>
  <c r="BV415" i="5"/>
  <c r="BS415" i="5"/>
  <c r="CI415" i="5"/>
  <c r="BH415" i="5"/>
  <c r="BI415" i="5" s="1"/>
  <c r="BJ415" i="5" s="1"/>
  <c r="AR413" i="5"/>
  <c r="AJ413" i="5"/>
  <c r="CR415" i="5"/>
  <c r="AC415" i="5"/>
  <c r="CY415" i="5"/>
  <c r="CL415" i="5"/>
  <c r="CM415" i="5" s="1"/>
  <c r="AB415" i="5"/>
  <c r="DA415" i="5" s="1"/>
  <c r="DB415" i="5" s="1"/>
  <c r="CS415" i="5"/>
  <c r="CW415" i="5"/>
  <c r="CX415" i="5"/>
  <c r="AK415" i="5"/>
  <c r="C390" i="6"/>
  <c r="D415" i="5"/>
  <c r="BK415" i="5"/>
  <c r="BL415" i="5" s="1"/>
  <c r="BM415" i="5" s="1"/>
  <c r="BG414" i="5"/>
  <c r="H414" i="5" s="1"/>
  <c r="AX415" i="5"/>
  <c r="AW415" i="5" s="1"/>
  <c r="CU415" i="5"/>
  <c r="BX415" i="5" s="1"/>
  <c r="G388" i="6"/>
  <c r="BF414" i="5"/>
  <c r="CZ414" i="5"/>
  <c r="BD414" i="5"/>
  <c r="BE415" i="5" s="1"/>
  <c r="AN414" i="5" l="1"/>
  <c r="AF414" i="5"/>
  <c r="AD415" i="5"/>
  <c r="AE415" i="5" s="1"/>
  <c r="CH415" i="5"/>
  <c r="CK415" i="5"/>
  <c r="CJ415" i="5" s="1"/>
  <c r="K415" i="5" s="1"/>
  <c r="X413" i="5"/>
  <c r="Y413" i="5" s="1"/>
  <c r="Z413" i="5" s="1"/>
  <c r="BN415" i="5"/>
  <c r="BO415" i="5" s="1"/>
  <c r="BP415" i="5" s="1"/>
  <c r="G415" i="5" s="1"/>
  <c r="W415" i="5"/>
  <c r="T415" i="5"/>
  <c r="U415" i="5" s="1"/>
  <c r="AM415" i="5"/>
  <c r="AL416" i="5" s="1"/>
  <c r="CP415" i="5"/>
  <c r="CQ415" i="5" s="1"/>
  <c r="R415" i="5" s="1"/>
  <c r="S415" i="5" s="1"/>
  <c r="I414" i="5"/>
  <c r="AH414" i="5" s="1"/>
  <c r="CT415" i="5"/>
  <c r="CV415" i="5"/>
  <c r="L415" i="5"/>
  <c r="H388" i="6" l="1"/>
  <c r="AT414" i="5"/>
  <c r="AP414" i="5"/>
  <c r="CO415" i="5"/>
  <c r="F415" i="5" s="1"/>
  <c r="CN415" i="5"/>
  <c r="E415" i="5" s="1"/>
  <c r="AA413" i="5"/>
  <c r="I388" i="6" s="1"/>
  <c r="M414" i="5"/>
  <c r="P414" i="5"/>
  <c r="AY414" i="5" s="1"/>
  <c r="BW415" i="5" l="1"/>
  <c r="BY415" i="5"/>
  <c r="J415" i="5" s="1"/>
  <c r="AO414" i="5"/>
  <c r="AR414" i="5" s="1"/>
  <c r="AG414" i="5"/>
  <c r="AJ414" i="5" s="1"/>
  <c r="N414" i="5"/>
  <c r="AS414" i="5"/>
  <c r="AV414" i="5" s="1"/>
  <c r="F389" i="6"/>
  <c r="Q414" i="5"/>
  <c r="V414" i="5" s="1"/>
  <c r="D390" i="6"/>
  <c r="BC415" i="5"/>
  <c r="E390" i="6"/>
  <c r="C416" i="5"/>
  <c r="BU416" i="5" s="1"/>
  <c r="AN415" i="5" l="1"/>
  <c r="AF415" i="5"/>
  <c r="BV416" i="5"/>
  <c r="BT416" i="5"/>
  <c r="BS416" i="5"/>
  <c r="CI416" i="5"/>
  <c r="BH416" i="5"/>
  <c r="BI416" i="5" s="1"/>
  <c r="BJ416" i="5" s="1"/>
  <c r="X414" i="5"/>
  <c r="Y414" i="5" s="1"/>
  <c r="G389" i="6"/>
  <c r="BF415" i="5"/>
  <c r="CZ415" i="5"/>
  <c r="BD415" i="5"/>
  <c r="BE416" i="5" s="1"/>
  <c r="CY416" i="5"/>
  <c r="CX416" i="5"/>
  <c r="AC416" i="5"/>
  <c r="BK416" i="5"/>
  <c r="BL416" i="5" s="1"/>
  <c r="BM416" i="5" s="1"/>
  <c r="CS416" i="5"/>
  <c r="C391" i="6"/>
  <c r="D416" i="5"/>
  <c r="CW416" i="5"/>
  <c r="CR416" i="5"/>
  <c r="AB416" i="5"/>
  <c r="BN416" i="5" s="1"/>
  <c r="BO416" i="5" s="1"/>
  <c r="BP416" i="5" s="1"/>
  <c r="CL416" i="5"/>
  <c r="CM416" i="5" s="1"/>
  <c r="AK416" i="5"/>
  <c r="BG415" i="5"/>
  <c r="H415" i="5" s="1"/>
  <c r="AX416" i="5"/>
  <c r="AW416" i="5" s="1"/>
  <c r="CU416" i="5"/>
  <c r="BX416" i="5" s="1"/>
  <c r="G416" i="5" l="1"/>
  <c r="AD416" i="5"/>
  <c r="AE416" i="5" s="1"/>
  <c r="CK416" i="5"/>
  <c r="CJ416" i="5" s="1"/>
  <c r="CH416" i="5"/>
  <c r="CT416" i="5"/>
  <c r="CV416" i="5"/>
  <c r="W416" i="5"/>
  <c r="T416" i="5"/>
  <c r="U416" i="5" s="1"/>
  <c r="L416" i="5"/>
  <c r="DA416" i="5"/>
  <c r="DB416" i="5" s="1"/>
  <c r="K416" i="5" s="1"/>
  <c r="CP416" i="5"/>
  <c r="CQ416" i="5" s="1"/>
  <c r="R416" i="5" s="1"/>
  <c r="S416" i="5" s="1"/>
  <c r="I415" i="5"/>
  <c r="AH415" i="5" s="1"/>
  <c r="AM416" i="5"/>
  <c r="AL417" i="5" s="1"/>
  <c r="H389" i="6"/>
  <c r="Z414" i="5"/>
  <c r="AT415" i="5" l="1"/>
  <c r="AP415" i="5"/>
  <c r="P415" i="5"/>
  <c r="AY415" i="5" s="1"/>
  <c r="M415" i="5"/>
  <c r="AG415" i="5" s="1"/>
  <c r="AJ415" i="5" s="1"/>
  <c r="AA414" i="5"/>
  <c r="I389" i="6" s="1"/>
  <c r="CN416" i="5"/>
  <c r="E416" i="5" s="1"/>
  <c r="CO416" i="5"/>
  <c r="F416" i="5" s="1"/>
  <c r="BY416" i="5" l="1"/>
  <c r="J416" i="5" s="1"/>
  <c r="BW416" i="5"/>
  <c r="N415" i="5"/>
  <c r="AS415" i="5"/>
  <c r="AV415" i="5" s="1"/>
  <c r="AO415" i="5"/>
  <c r="AR415" i="5" s="1"/>
  <c r="F390" i="6"/>
  <c r="Q415" i="5"/>
  <c r="V415" i="5" s="1"/>
  <c r="C417" i="5"/>
  <c r="BU417" i="5" s="1"/>
  <c r="E391" i="6"/>
  <c r="BC416" i="5"/>
  <c r="D391" i="6"/>
  <c r="AF416" i="5" l="1"/>
  <c r="AN416" i="5"/>
  <c r="BT417" i="5"/>
  <c r="BV417" i="5"/>
  <c r="BS417" i="5"/>
  <c r="CI417" i="5"/>
  <c r="BH417" i="5"/>
  <c r="BI417" i="5" s="1"/>
  <c r="BJ417" i="5" s="1"/>
  <c r="X415" i="5"/>
  <c r="Y415" i="5" s="1"/>
  <c r="BD416" i="5"/>
  <c r="BE417" i="5" s="1"/>
  <c r="BF416" i="5"/>
  <c r="CZ416" i="5"/>
  <c r="CS417" i="5"/>
  <c r="CX417" i="5"/>
  <c r="C392" i="6"/>
  <c r="AK417" i="5"/>
  <c r="CY417" i="5"/>
  <c r="CW417" i="5"/>
  <c r="AB417" i="5"/>
  <c r="CP417" i="5" s="1"/>
  <c r="CQ417" i="5" s="1"/>
  <c r="R417" i="5" s="1"/>
  <c r="S417" i="5" s="1"/>
  <c r="BK417" i="5"/>
  <c r="BL417" i="5" s="1"/>
  <c r="BM417" i="5" s="1"/>
  <c r="CL417" i="5"/>
  <c r="CM417" i="5" s="1"/>
  <c r="D417" i="5"/>
  <c r="CR417" i="5"/>
  <c r="AC417" i="5"/>
  <c r="BG416" i="5"/>
  <c r="H416" i="5" s="1"/>
  <c r="AX417" i="5"/>
  <c r="AW417" i="5" s="1"/>
  <c r="CU417" i="5"/>
  <c r="BX417" i="5" s="1"/>
  <c r="G390" i="6"/>
  <c r="CH417" i="5" l="1"/>
  <c r="CK417" i="5"/>
  <c r="CJ417" i="5" s="1"/>
  <c r="AD417" i="5"/>
  <c r="AE417" i="5" s="1"/>
  <c r="I416" i="5"/>
  <c r="AH416" i="5" s="1"/>
  <c r="AM417" i="5"/>
  <c r="AL418" i="5" s="1"/>
  <c r="T417" i="5"/>
  <c r="U417" i="5" s="1"/>
  <c r="W417" i="5"/>
  <c r="H390" i="6"/>
  <c r="Z415" i="5"/>
  <c r="DA417" i="5"/>
  <c r="DB417" i="5" s="1"/>
  <c r="K417" i="5" s="1"/>
  <c r="L417" i="5"/>
  <c r="CV417" i="5"/>
  <c r="CT417" i="5"/>
  <c r="BN417" i="5"/>
  <c r="BO417" i="5" s="1"/>
  <c r="BP417" i="5" s="1"/>
  <c r="G417" i="5" s="1"/>
  <c r="AT416" i="5" l="1"/>
  <c r="AP416" i="5"/>
  <c r="CO417" i="5"/>
  <c r="F417" i="5" s="1"/>
  <c r="CN417" i="5"/>
  <c r="E417" i="5" s="1"/>
  <c r="AA415" i="5"/>
  <c r="I390" i="6" s="1"/>
  <c r="M416" i="5"/>
  <c r="P416" i="5"/>
  <c r="AY416" i="5" s="1"/>
  <c r="AS416" i="5" l="1"/>
  <c r="AV416" i="5" s="1"/>
  <c r="AG416" i="5"/>
  <c r="AJ416" i="5" s="1"/>
  <c r="BC417" i="5"/>
  <c r="D392" i="6"/>
  <c r="E392" i="6"/>
  <c r="C418" i="5"/>
  <c r="BU418" i="5" s="1"/>
  <c r="F391" i="6"/>
  <c r="Q416" i="5"/>
  <c r="V416" i="5" s="1"/>
  <c r="AO416" i="5"/>
  <c r="AR416" i="5" s="1"/>
  <c r="N416" i="5"/>
  <c r="BW417" i="5" l="1"/>
  <c r="BY417" i="5"/>
  <c r="J417" i="5" s="1"/>
  <c r="BV418" i="5"/>
  <c r="BT418" i="5"/>
  <c r="BS418" i="5"/>
  <c r="CI418" i="5"/>
  <c r="BH418" i="5"/>
  <c r="BI418" i="5" s="1"/>
  <c r="BJ418" i="5" s="1"/>
  <c r="X416" i="5"/>
  <c r="Y416" i="5" s="1"/>
  <c r="G391" i="6"/>
  <c r="CL418" i="5"/>
  <c r="CM418" i="5" s="1"/>
  <c r="CS418" i="5"/>
  <c r="C393" i="6"/>
  <c r="AK418" i="5"/>
  <c r="AM418" i="5" s="1"/>
  <c r="AL419" i="5" s="1"/>
  <c r="D418" i="5"/>
  <c r="BK418" i="5"/>
  <c r="BL418" i="5" s="1"/>
  <c r="BM418" i="5" s="1"/>
  <c r="CW418" i="5"/>
  <c r="AC418" i="5"/>
  <c r="AD418" i="5" s="1"/>
  <c r="CY418" i="5"/>
  <c r="CR418" i="5"/>
  <c r="CX418" i="5"/>
  <c r="AB418" i="5"/>
  <c r="DA418" i="5" s="1"/>
  <c r="DB418" i="5" s="1"/>
  <c r="BG417" i="5"/>
  <c r="H417" i="5" s="1"/>
  <c r="AX418" i="5"/>
  <c r="AW418" i="5" s="1"/>
  <c r="CU418" i="5"/>
  <c r="CZ417" i="5"/>
  <c r="BD417" i="5"/>
  <c r="BE418" i="5" s="1"/>
  <c r="BF417" i="5"/>
  <c r="AF417" i="5" l="1"/>
  <c r="AN417" i="5"/>
  <c r="BX418" i="5"/>
  <c r="CH418" i="5"/>
  <c r="CK418" i="5"/>
  <c r="CJ418" i="5" s="1"/>
  <c r="K418" i="5" s="1"/>
  <c r="BN418" i="5"/>
  <c r="BO418" i="5" s="1"/>
  <c r="BP418" i="5" s="1"/>
  <c r="G418" i="5" s="1"/>
  <c r="I417" i="5"/>
  <c r="AP417" i="5" s="1"/>
  <c r="T418" i="5"/>
  <c r="U418" i="5" s="1"/>
  <c r="W418" i="5"/>
  <c r="AE418" i="5"/>
  <c r="CT418" i="5"/>
  <c r="CV418" i="5"/>
  <c r="CP418" i="5"/>
  <c r="CQ418" i="5" s="1"/>
  <c r="R418" i="5" s="1"/>
  <c r="S418" i="5" s="1"/>
  <c r="H391" i="6"/>
  <c r="Z416" i="5"/>
  <c r="L418" i="5"/>
  <c r="AT417" i="5" l="1"/>
  <c r="AH417" i="5"/>
  <c r="AA416" i="5"/>
  <c r="I391" i="6" s="1"/>
  <c r="P417" i="5"/>
  <c r="AY417" i="5" s="1"/>
  <c r="M417" i="5"/>
  <c r="CO418" i="5"/>
  <c r="F418" i="5" s="1"/>
  <c r="CN418" i="5"/>
  <c r="E418" i="5" s="1"/>
  <c r="BW418" i="5" l="1"/>
  <c r="BY418" i="5"/>
  <c r="J418" i="5" s="1"/>
  <c r="AN418" i="5" s="1"/>
  <c r="AG417" i="5"/>
  <c r="AJ417" i="5" s="1"/>
  <c r="AO417" i="5"/>
  <c r="AR417" i="5" s="1"/>
  <c r="N417" i="5"/>
  <c r="AS417" i="5"/>
  <c r="AV417" i="5" s="1"/>
  <c r="Q417" i="5"/>
  <c r="V417" i="5" s="1"/>
  <c r="G392" i="6" s="1"/>
  <c r="F392" i="6"/>
  <c r="BC418" i="5"/>
  <c r="D393" i="6"/>
  <c r="E393" i="6"/>
  <c r="C419" i="5"/>
  <c r="BU419" i="5" s="1"/>
  <c r="AF418" i="5" l="1"/>
  <c r="BV419" i="5"/>
  <c r="BT419" i="5"/>
  <c r="BS419" i="5"/>
  <c r="CI419" i="5"/>
  <c r="BH419" i="5"/>
  <c r="BI419" i="5" s="1"/>
  <c r="BJ419" i="5" s="1"/>
  <c r="X417" i="5"/>
  <c r="Y417" i="5" s="1"/>
  <c r="BF418" i="5"/>
  <c r="BD418" i="5"/>
  <c r="BE419" i="5" s="1"/>
  <c r="CZ418" i="5"/>
  <c r="AC419" i="5"/>
  <c r="D419" i="5"/>
  <c r="CW419" i="5"/>
  <c r="CS419" i="5"/>
  <c r="CL419" i="5"/>
  <c r="CM419" i="5" s="1"/>
  <c r="CX419" i="5"/>
  <c r="CR419" i="5"/>
  <c r="BK419" i="5"/>
  <c r="BL419" i="5" s="1"/>
  <c r="BM419" i="5" s="1"/>
  <c r="C394" i="6"/>
  <c r="CY419" i="5"/>
  <c r="AK419" i="5"/>
  <c r="AB419" i="5"/>
  <c r="BN419" i="5" s="1"/>
  <c r="BO419" i="5" s="1"/>
  <c r="BP419" i="5" s="1"/>
  <c r="BG418" i="5"/>
  <c r="H418" i="5" s="1"/>
  <c r="AX419" i="5"/>
  <c r="AW419" i="5" s="1"/>
  <c r="CU419" i="5"/>
  <c r="BX419" i="5" s="1"/>
  <c r="G419" i="5" l="1"/>
  <c r="AD419" i="5"/>
  <c r="AE419" i="5" s="1"/>
  <c r="CK419" i="5"/>
  <c r="CJ419" i="5" s="1"/>
  <c r="CH419" i="5"/>
  <c r="DA419" i="5"/>
  <c r="DB419" i="5" s="1"/>
  <c r="K419" i="5" s="1"/>
  <c r="AM419" i="5"/>
  <c r="AL420" i="5" s="1"/>
  <c r="I418" i="5"/>
  <c r="AH418" i="5" s="1"/>
  <c r="W419" i="5"/>
  <c r="T419" i="5"/>
  <c r="U419" i="5" s="1"/>
  <c r="H392" i="6"/>
  <c r="Z417" i="5"/>
  <c r="CT419" i="5"/>
  <c r="CV419" i="5"/>
  <c r="L419" i="5"/>
  <c r="CP419" i="5"/>
  <c r="CQ419" i="5" s="1"/>
  <c r="R419" i="5" s="1"/>
  <c r="S419" i="5" s="1"/>
  <c r="CO419" i="5" l="1"/>
  <c r="F419" i="5" s="1"/>
  <c r="CN419" i="5"/>
  <c r="E419" i="5" s="1"/>
  <c r="AT418" i="5"/>
  <c r="AP418" i="5"/>
  <c r="AA417" i="5"/>
  <c r="I392" i="6" s="1"/>
  <c r="P418" i="5"/>
  <c r="AY418" i="5" s="1"/>
  <c r="M418" i="5"/>
  <c r="AG418" i="5" s="1"/>
  <c r="AJ418" i="5" s="1"/>
  <c r="BW419" i="5" l="1"/>
  <c r="BY419" i="5"/>
  <c r="J419" i="5" s="1"/>
  <c r="D394" i="6"/>
  <c r="BC419" i="5"/>
  <c r="E394" i="6"/>
  <c r="C420" i="5"/>
  <c r="BU420" i="5" s="1"/>
  <c r="N418" i="5"/>
  <c r="AS418" i="5"/>
  <c r="AV418" i="5" s="1"/>
  <c r="AO418" i="5"/>
  <c r="F393" i="6"/>
  <c r="Q418" i="5"/>
  <c r="V418" i="5" s="1"/>
  <c r="AN419" i="5" l="1"/>
  <c r="AF419" i="5"/>
  <c r="BT420" i="5"/>
  <c r="BV420" i="5"/>
  <c r="BS420" i="5"/>
  <c r="CI420" i="5"/>
  <c r="BH420" i="5"/>
  <c r="BI420" i="5" s="1"/>
  <c r="BJ420" i="5" s="1"/>
  <c r="AR418" i="5"/>
  <c r="CL420" i="5"/>
  <c r="CM420" i="5" s="1"/>
  <c r="AB420" i="5"/>
  <c r="L420" i="5" s="1"/>
  <c r="AK420" i="5"/>
  <c r="CX420" i="5"/>
  <c r="BK420" i="5"/>
  <c r="BL420" i="5" s="1"/>
  <c r="BM420" i="5" s="1"/>
  <c r="CW420" i="5"/>
  <c r="D420" i="5"/>
  <c r="CS420" i="5"/>
  <c r="CY420" i="5"/>
  <c r="C395" i="6"/>
  <c r="AC420" i="5"/>
  <c r="CR420" i="5"/>
  <c r="BG419" i="5"/>
  <c r="H419" i="5" s="1"/>
  <c r="AX420" i="5"/>
  <c r="AW420" i="5" s="1"/>
  <c r="CU420" i="5"/>
  <c r="BX420" i="5" s="1"/>
  <c r="G393" i="6"/>
  <c r="BF419" i="5"/>
  <c r="BD419" i="5"/>
  <c r="BE420" i="5" s="1"/>
  <c r="CZ419" i="5"/>
  <c r="CH420" i="5" l="1"/>
  <c r="CK420" i="5"/>
  <c r="CJ420" i="5" s="1"/>
  <c r="X418" i="5"/>
  <c r="Y418" i="5" s="1"/>
  <c r="DA420" i="5"/>
  <c r="DB420" i="5" s="1"/>
  <c r="K420" i="5" s="1"/>
  <c r="BN420" i="5"/>
  <c r="BO420" i="5" s="1"/>
  <c r="BP420" i="5" s="1"/>
  <c r="G420" i="5" s="1"/>
  <c r="AD420" i="5"/>
  <c r="AE420" i="5" s="1"/>
  <c r="W420" i="5"/>
  <c r="T420" i="5"/>
  <c r="U420" i="5" s="1"/>
  <c r="I419" i="5"/>
  <c r="AP419" i="5" s="1"/>
  <c r="AM420" i="5"/>
  <c r="AL421" i="5" s="1"/>
  <c r="CT420" i="5"/>
  <c r="CV420" i="5"/>
  <c r="CP420" i="5"/>
  <c r="CQ420" i="5" s="1"/>
  <c r="R420" i="5" s="1"/>
  <c r="S420" i="5" s="1"/>
  <c r="Z418" i="5" l="1"/>
  <c r="AA418" i="5" s="1"/>
  <c r="I393" i="6" s="1"/>
  <c r="H393" i="6"/>
  <c r="AT419" i="5"/>
  <c r="AH419" i="5"/>
  <c r="P419" i="5"/>
  <c r="AY419" i="5" s="1"/>
  <c r="M419" i="5"/>
  <c r="CO420" i="5"/>
  <c r="F420" i="5" s="1"/>
  <c r="CN420" i="5"/>
  <c r="E420" i="5" s="1"/>
  <c r="AG419" i="5" l="1"/>
  <c r="AJ419" i="5" s="1"/>
  <c r="AO419" i="5"/>
  <c r="AR419" i="5" s="1"/>
  <c r="BC420" i="5"/>
  <c r="D395" i="6"/>
  <c r="C421" i="5"/>
  <c r="BU421" i="5" s="1"/>
  <c r="E395" i="6"/>
  <c r="AS419" i="5"/>
  <c r="AV419" i="5" s="1"/>
  <c r="N419" i="5"/>
  <c r="Q419" i="5"/>
  <c r="V419" i="5" s="1"/>
  <c r="G394" i="6" s="1"/>
  <c r="F394" i="6"/>
  <c r="BW420" i="5" l="1"/>
  <c r="BY420" i="5"/>
  <c r="J420" i="5" s="1"/>
  <c r="BT421" i="5"/>
  <c r="BV421" i="5"/>
  <c r="BS421" i="5"/>
  <c r="CI421" i="5"/>
  <c r="BH421" i="5"/>
  <c r="BI421" i="5" s="1"/>
  <c r="BJ421" i="5" s="1"/>
  <c r="X419" i="5"/>
  <c r="Y419" i="5" s="1"/>
  <c r="CR421" i="5"/>
  <c r="CW421" i="5"/>
  <c r="CY421" i="5"/>
  <c r="D421" i="5"/>
  <c r="CS421" i="5"/>
  <c r="AC421" i="5"/>
  <c r="AK421" i="5"/>
  <c r="AM421" i="5" s="1"/>
  <c r="AL422" i="5" s="1"/>
  <c r="C396" i="6"/>
  <c r="AB421" i="5"/>
  <c r="L421" i="5" s="1"/>
  <c r="CX421" i="5"/>
  <c r="BK421" i="5"/>
  <c r="BL421" i="5" s="1"/>
  <c r="BM421" i="5" s="1"/>
  <c r="CL421" i="5"/>
  <c r="CM421" i="5" s="1"/>
  <c r="BG420" i="5"/>
  <c r="H420" i="5" s="1"/>
  <c r="AX421" i="5"/>
  <c r="AW421" i="5" s="1"/>
  <c r="CU421" i="5"/>
  <c r="BF420" i="5"/>
  <c r="BD420" i="5"/>
  <c r="BE421" i="5" s="1"/>
  <c r="CZ420" i="5"/>
  <c r="AF420" i="5" l="1"/>
  <c r="AN420" i="5"/>
  <c r="BX421" i="5"/>
  <c r="AD421" i="5"/>
  <c r="AE421" i="5" s="1"/>
  <c r="CH421" i="5"/>
  <c r="CK421" i="5"/>
  <c r="CJ421" i="5" s="1"/>
  <c r="H394" i="6"/>
  <c r="Z419" i="5"/>
  <c r="AA419" i="5" s="1"/>
  <c r="I394" i="6" s="1"/>
  <c r="DA421" i="5"/>
  <c r="DB421" i="5" s="1"/>
  <c r="T421" i="5"/>
  <c r="U421" i="5" s="1"/>
  <c r="W421" i="5"/>
  <c r="BN421" i="5"/>
  <c r="BO421" i="5" s="1"/>
  <c r="BP421" i="5" s="1"/>
  <c r="G421" i="5" s="1"/>
  <c r="CT421" i="5"/>
  <c r="CV421" i="5"/>
  <c r="CP421" i="5"/>
  <c r="CQ421" i="5" s="1"/>
  <c r="R421" i="5" s="1"/>
  <c r="S421" i="5" s="1"/>
  <c r="I420" i="5"/>
  <c r="K421" i="5" l="1"/>
  <c r="P420" i="5"/>
  <c r="AY420" i="5" s="1"/>
  <c r="M420" i="5"/>
  <c r="AH420" i="5"/>
  <c r="AT420" i="5"/>
  <c r="AP420" i="5"/>
  <c r="CO421" i="5"/>
  <c r="F421" i="5" s="1"/>
  <c r="CN421" i="5"/>
  <c r="E421" i="5" s="1"/>
  <c r="D396" i="6" l="1"/>
  <c r="BC421" i="5"/>
  <c r="E396" i="6"/>
  <c r="C422" i="5"/>
  <c r="BU422" i="5" s="1"/>
  <c r="AG420" i="5"/>
  <c r="N420" i="5"/>
  <c r="AS420" i="5"/>
  <c r="AV420" i="5" s="1"/>
  <c r="AO420" i="5"/>
  <c r="Q420" i="5"/>
  <c r="V420" i="5" s="1"/>
  <c r="F395" i="6"/>
  <c r="BY421" i="5" l="1"/>
  <c r="J421" i="5" s="1"/>
  <c r="BW421" i="5"/>
  <c r="BT422" i="5"/>
  <c r="BV422" i="5"/>
  <c r="BS422" i="5"/>
  <c r="CI422" i="5"/>
  <c r="BH422" i="5"/>
  <c r="BI422" i="5" s="1"/>
  <c r="BJ422" i="5" s="1"/>
  <c r="AR420" i="5"/>
  <c r="AJ420" i="5"/>
  <c r="CL422" i="5"/>
  <c r="CM422" i="5" s="1"/>
  <c r="AC422" i="5"/>
  <c r="BK422" i="5"/>
  <c r="BL422" i="5" s="1"/>
  <c r="BM422" i="5" s="1"/>
  <c r="CS422" i="5"/>
  <c r="AB422" i="5"/>
  <c r="CP422" i="5" s="1"/>
  <c r="CQ422" i="5" s="1"/>
  <c r="R422" i="5" s="1"/>
  <c r="S422" i="5" s="1"/>
  <c r="CY422" i="5"/>
  <c r="AK422" i="5"/>
  <c r="AM422" i="5" s="1"/>
  <c r="AL423" i="5" s="1"/>
  <c r="C397" i="6"/>
  <c r="CX422" i="5"/>
  <c r="D422" i="5"/>
  <c r="CW422" i="5"/>
  <c r="CR422" i="5"/>
  <c r="BG421" i="5"/>
  <c r="H421" i="5" s="1"/>
  <c r="AX422" i="5"/>
  <c r="AW422" i="5" s="1"/>
  <c r="CU422" i="5"/>
  <c r="G395" i="6"/>
  <c r="BF421" i="5"/>
  <c r="CZ421" i="5"/>
  <c r="BD421" i="5"/>
  <c r="BE422" i="5" s="1"/>
  <c r="AN421" i="5" l="1"/>
  <c r="AF421" i="5"/>
  <c r="BX422" i="5"/>
  <c r="AD422" i="5"/>
  <c r="AE422" i="5" s="1"/>
  <c r="CH422" i="5"/>
  <c r="CK422" i="5"/>
  <c r="CJ422" i="5" s="1"/>
  <c r="X420" i="5"/>
  <c r="Y420" i="5" s="1"/>
  <c r="DA422" i="5"/>
  <c r="DB422" i="5" s="1"/>
  <c r="CV422" i="5"/>
  <c r="CT422" i="5"/>
  <c r="BN422" i="5"/>
  <c r="BO422" i="5" s="1"/>
  <c r="BP422" i="5" s="1"/>
  <c r="G422" i="5" s="1"/>
  <c r="W422" i="5"/>
  <c r="T422" i="5"/>
  <c r="U422" i="5" s="1"/>
  <c r="I421" i="5"/>
  <c r="AP421" i="5" s="1"/>
  <c r="L422" i="5"/>
  <c r="K422" i="5" l="1"/>
  <c r="H395" i="6"/>
  <c r="Z420" i="5"/>
  <c r="AA420" i="5" s="1"/>
  <c r="I395" i="6" s="1"/>
  <c r="AT421" i="5"/>
  <c r="AH421" i="5"/>
  <c r="M421" i="5"/>
  <c r="N421" i="5" s="1"/>
  <c r="P421" i="5"/>
  <c r="AY421" i="5" s="1"/>
  <c r="CO422" i="5"/>
  <c r="F422" i="5" s="1"/>
  <c r="CN422" i="5"/>
  <c r="E422" i="5" s="1"/>
  <c r="BW422" i="5" l="1"/>
  <c r="BY422" i="5"/>
  <c r="J422" i="5" s="1"/>
  <c r="AS421" i="5"/>
  <c r="AV421" i="5" s="1"/>
  <c r="AG421" i="5"/>
  <c r="AJ421" i="5" s="1"/>
  <c r="AO421" i="5"/>
  <c r="AR421" i="5" s="1"/>
  <c r="Q421" i="5"/>
  <c r="V421" i="5" s="1"/>
  <c r="G396" i="6" s="1"/>
  <c r="F396" i="6"/>
  <c r="BC422" i="5"/>
  <c r="D397" i="6"/>
  <c r="E397" i="6"/>
  <c r="C423" i="5"/>
  <c r="BU423" i="5" s="1"/>
  <c r="AN422" i="5" l="1"/>
  <c r="AF422" i="5"/>
  <c r="BT423" i="5"/>
  <c r="BV423" i="5"/>
  <c r="BS423" i="5"/>
  <c r="CI423" i="5"/>
  <c r="BH423" i="5"/>
  <c r="BI423" i="5" s="1"/>
  <c r="BJ423" i="5" s="1"/>
  <c r="X421" i="5"/>
  <c r="Y421" i="5" s="1"/>
  <c r="AC423" i="5"/>
  <c r="BK423" i="5"/>
  <c r="BL423" i="5" s="1"/>
  <c r="BM423" i="5" s="1"/>
  <c r="CX423" i="5"/>
  <c r="CL423" i="5"/>
  <c r="CM423" i="5" s="1"/>
  <c r="CY423" i="5"/>
  <c r="CR423" i="5"/>
  <c r="CS423" i="5"/>
  <c r="AK423" i="5"/>
  <c r="AM423" i="5" s="1"/>
  <c r="AL424" i="5" s="1"/>
  <c r="CW423" i="5"/>
  <c r="AB423" i="5"/>
  <c r="L423" i="5" s="1"/>
  <c r="D423" i="5"/>
  <c r="C398" i="6"/>
  <c r="BG422" i="5"/>
  <c r="H422" i="5" s="1"/>
  <c r="AX423" i="5"/>
  <c r="AW423" i="5" s="1"/>
  <c r="CU423" i="5"/>
  <c r="BX423" i="5" s="1"/>
  <c r="BD422" i="5"/>
  <c r="BE423" i="5" s="1"/>
  <c r="BF422" i="5"/>
  <c r="CZ422" i="5"/>
  <c r="AD423" i="5" l="1"/>
  <c r="AE423" i="5" s="1"/>
  <c r="CH423" i="5"/>
  <c r="CK423" i="5"/>
  <c r="CJ423" i="5" s="1"/>
  <c r="BN423" i="5"/>
  <c r="BO423" i="5" s="1"/>
  <c r="BP423" i="5" s="1"/>
  <c r="G423" i="5" s="1"/>
  <c r="CP423" i="5"/>
  <c r="CQ423" i="5" s="1"/>
  <c r="R423" i="5" s="1"/>
  <c r="S423" i="5" s="1"/>
  <c r="DA423" i="5"/>
  <c r="DB423" i="5" s="1"/>
  <c r="K423" i="5" s="1"/>
  <c r="H396" i="6"/>
  <c r="Z421" i="5"/>
  <c r="AA421" i="5" s="1"/>
  <c r="I396" i="6" s="1"/>
  <c r="CT423" i="5"/>
  <c r="CV423" i="5"/>
  <c r="T423" i="5"/>
  <c r="U423" i="5" s="1"/>
  <c r="W423" i="5"/>
  <c r="I422" i="5"/>
  <c r="AH422" i="5" s="1"/>
  <c r="AT422" i="5" l="1"/>
  <c r="AP422" i="5"/>
  <c r="CN423" i="5"/>
  <c r="E423" i="5" s="1"/>
  <c r="CO423" i="5"/>
  <c r="F423" i="5" s="1"/>
  <c r="P422" i="5"/>
  <c r="AY422" i="5" s="1"/>
  <c r="M422" i="5"/>
  <c r="AG422" i="5" s="1"/>
  <c r="AJ422" i="5" s="1"/>
  <c r="BW423" i="5" l="1"/>
  <c r="F397" i="6"/>
  <c r="Q422" i="5"/>
  <c r="V422" i="5" s="1"/>
  <c r="G397" i="6" s="1"/>
  <c r="C424" i="5"/>
  <c r="BU424" i="5" s="1"/>
  <c r="E398" i="6"/>
  <c r="D398" i="6"/>
  <c r="BC423" i="5"/>
  <c r="AS422" i="5"/>
  <c r="AV422" i="5" s="1"/>
  <c r="N422" i="5"/>
  <c r="AO422" i="5"/>
  <c r="AR422" i="5" s="1"/>
  <c r="BY423" i="5" l="1"/>
  <c r="J423" i="5" s="1"/>
  <c r="BV424" i="5"/>
  <c r="BT424" i="5"/>
  <c r="BS424" i="5"/>
  <c r="CI424" i="5"/>
  <c r="BH424" i="5"/>
  <c r="BI424" i="5" s="1"/>
  <c r="BJ424" i="5" s="1"/>
  <c r="X422" i="5"/>
  <c r="Y422" i="5" s="1"/>
  <c r="BF423" i="5"/>
  <c r="CZ423" i="5"/>
  <c r="BD423" i="5"/>
  <c r="BE424" i="5" s="1"/>
  <c r="AK424" i="5"/>
  <c r="AM424" i="5" s="1"/>
  <c r="AL425" i="5" s="1"/>
  <c r="AB424" i="5"/>
  <c r="BN424" i="5" s="1"/>
  <c r="BO424" i="5" s="1"/>
  <c r="BP424" i="5" s="1"/>
  <c r="CL424" i="5"/>
  <c r="CM424" i="5" s="1"/>
  <c r="AC424" i="5"/>
  <c r="BK424" i="5"/>
  <c r="BL424" i="5" s="1"/>
  <c r="BM424" i="5" s="1"/>
  <c r="C399" i="6"/>
  <c r="CR424" i="5"/>
  <c r="CY424" i="5"/>
  <c r="CS424" i="5"/>
  <c r="CW424" i="5"/>
  <c r="CX424" i="5"/>
  <c r="D424" i="5"/>
  <c r="BG423" i="5"/>
  <c r="H423" i="5" s="1"/>
  <c r="AX424" i="5"/>
  <c r="AW424" i="5" s="1"/>
  <c r="CU424" i="5"/>
  <c r="BX424" i="5" s="1"/>
  <c r="AN423" i="5" l="1"/>
  <c r="AF423" i="5"/>
  <c r="G424" i="5"/>
  <c r="CK424" i="5"/>
  <c r="CJ424" i="5" s="1"/>
  <c r="CH424" i="5"/>
  <c r="H397" i="6"/>
  <c r="Z422" i="5"/>
  <c r="AA422" i="5" s="1"/>
  <c r="I397" i="6" s="1"/>
  <c r="AD424" i="5"/>
  <c r="AE424" i="5" s="1"/>
  <c r="DA424" i="5"/>
  <c r="DB424" i="5" s="1"/>
  <c r="K424" i="5" s="1"/>
  <c r="CV424" i="5"/>
  <c r="CT424" i="5"/>
  <c r="CP424" i="5"/>
  <c r="CQ424" i="5" s="1"/>
  <c r="R424" i="5" s="1"/>
  <c r="S424" i="5" s="1"/>
  <c r="L424" i="5"/>
  <c r="I423" i="5"/>
  <c r="AH423" i="5" s="1"/>
  <c r="T424" i="5"/>
  <c r="U424" i="5" s="1"/>
  <c r="W424" i="5"/>
  <c r="AT423" i="5" l="1"/>
  <c r="AP423" i="5"/>
  <c r="CO424" i="5"/>
  <c r="F424" i="5" s="1"/>
  <c r="CN424" i="5"/>
  <c r="E424" i="5" s="1"/>
  <c r="P423" i="5"/>
  <c r="AY423" i="5" s="1"/>
  <c r="M423" i="5"/>
  <c r="AG423" i="5" s="1"/>
  <c r="AJ423" i="5" s="1"/>
  <c r="BY424" i="5" l="1"/>
  <c r="J424" i="5" s="1"/>
  <c r="BW424" i="5"/>
  <c r="AO423" i="5"/>
  <c r="N423" i="5"/>
  <c r="AS423" i="5"/>
  <c r="AV423" i="5" s="1"/>
  <c r="F398" i="6"/>
  <c r="Q423" i="5"/>
  <c r="V423" i="5" s="1"/>
  <c r="D399" i="6"/>
  <c r="BC424" i="5"/>
  <c r="C425" i="5"/>
  <c r="BU425" i="5" s="1"/>
  <c r="E399" i="6"/>
  <c r="AF424" i="5" l="1"/>
  <c r="AN424" i="5"/>
  <c r="BT425" i="5"/>
  <c r="BV425" i="5"/>
  <c r="BS425" i="5"/>
  <c r="CI425" i="5"/>
  <c r="BH425" i="5"/>
  <c r="BI425" i="5" s="1"/>
  <c r="BJ425" i="5" s="1"/>
  <c r="G398" i="6"/>
  <c r="BF424" i="5"/>
  <c r="CZ424" i="5"/>
  <c r="BD424" i="5"/>
  <c r="BE425" i="5" s="1"/>
  <c r="C400" i="6"/>
  <c r="AK425" i="5"/>
  <c r="D425" i="5"/>
  <c r="CR425" i="5"/>
  <c r="CW425" i="5"/>
  <c r="AB425" i="5"/>
  <c r="DA425" i="5" s="1"/>
  <c r="DB425" i="5" s="1"/>
  <c r="AC425" i="5"/>
  <c r="CL425" i="5"/>
  <c r="CM425" i="5" s="1"/>
  <c r="CY425" i="5"/>
  <c r="CX425" i="5"/>
  <c r="BK425" i="5"/>
  <c r="BL425" i="5" s="1"/>
  <c r="BM425" i="5" s="1"/>
  <c r="CS425" i="5"/>
  <c r="BG424" i="5"/>
  <c r="H424" i="5" s="1"/>
  <c r="AX425" i="5"/>
  <c r="AW425" i="5" s="1"/>
  <c r="CU425" i="5"/>
  <c r="BX425" i="5" s="1"/>
  <c r="AR423" i="5"/>
  <c r="AD425" i="5" l="1"/>
  <c r="AE425" i="5" s="1"/>
  <c r="CH425" i="5"/>
  <c r="CK425" i="5"/>
  <c r="CJ425" i="5" s="1"/>
  <c r="K425" i="5" s="1"/>
  <c r="X423" i="5"/>
  <c r="Y423" i="5" s="1"/>
  <c r="L425" i="5"/>
  <c r="BN425" i="5"/>
  <c r="BO425" i="5" s="1"/>
  <c r="BP425" i="5" s="1"/>
  <c r="G425" i="5" s="1"/>
  <c r="AM425" i="5"/>
  <c r="AL426" i="5" s="1"/>
  <c r="CP425" i="5"/>
  <c r="CQ425" i="5" s="1"/>
  <c r="R425" i="5" s="1"/>
  <c r="S425" i="5" s="1"/>
  <c r="I424" i="5"/>
  <c r="CT425" i="5"/>
  <c r="CV425" i="5"/>
  <c r="W425" i="5"/>
  <c r="T425" i="5"/>
  <c r="U425" i="5" s="1"/>
  <c r="H398" i="6" l="1"/>
  <c r="Z423" i="5"/>
  <c r="AA423" i="5" s="1"/>
  <c r="I398" i="6" s="1"/>
  <c r="AH424" i="5"/>
  <c r="AT424" i="5"/>
  <c r="AP424" i="5"/>
  <c r="CO425" i="5"/>
  <c r="F425" i="5" s="1"/>
  <c r="CN425" i="5"/>
  <c r="E425" i="5" s="1"/>
  <c r="M424" i="5"/>
  <c r="P424" i="5"/>
  <c r="BB424" i="5" l="1"/>
  <c r="AY424" i="5"/>
  <c r="AS424" i="5"/>
  <c r="AV424" i="5" s="1"/>
  <c r="AO424" i="5"/>
  <c r="AR424" i="5" s="1"/>
  <c r="Q424" i="5"/>
  <c r="V424" i="5" s="1"/>
  <c r="F399" i="6"/>
  <c r="N424" i="5"/>
  <c r="AG424" i="5"/>
  <c r="BC425" i="5"/>
  <c r="D400" i="6"/>
  <c r="C426" i="5"/>
  <c r="BU426" i="5" s="1"/>
  <c r="E400" i="6"/>
  <c r="BW425" i="5" l="1"/>
  <c r="BY425" i="5"/>
  <c r="J425" i="5" s="1"/>
  <c r="BV426" i="5"/>
  <c r="BT426" i="5"/>
  <c r="BS426" i="5"/>
  <c r="CI426" i="5"/>
  <c r="BH426" i="5"/>
  <c r="BI426" i="5" s="1"/>
  <c r="BJ426" i="5" s="1"/>
  <c r="CZ425" i="5"/>
  <c r="BF425" i="5"/>
  <c r="BD425" i="5"/>
  <c r="BE426" i="5" s="1"/>
  <c r="AJ424" i="5"/>
  <c r="X424" i="5" s="1"/>
  <c r="Y424" i="5" s="1"/>
  <c r="AC426" i="5"/>
  <c r="AD426" i="5" s="1"/>
  <c r="AK426" i="5"/>
  <c r="AM426" i="5" s="1"/>
  <c r="AL427" i="5" s="1"/>
  <c r="CW426" i="5"/>
  <c r="CS426" i="5"/>
  <c r="AB426" i="5"/>
  <c r="L426" i="5" s="1"/>
  <c r="BK426" i="5"/>
  <c r="BL426" i="5" s="1"/>
  <c r="BM426" i="5" s="1"/>
  <c r="D426" i="5"/>
  <c r="C401" i="6"/>
  <c r="CX426" i="5"/>
  <c r="CL426" i="5"/>
  <c r="CM426" i="5" s="1"/>
  <c r="CY426" i="5"/>
  <c r="CR426" i="5"/>
  <c r="BG425" i="5"/>
  <c r="H425" i="5" s="1"/>
  <c r="AX426" i="5"/>
  <c r="AW426" i="5" s="1"/>
  <c r="CU426" i="5"/>
  <c r="G399" i="6"/>
  <c r="AN425" i="5" l="1"/>
  <c r="AF425" i="5"/>
  <c r="BX426" i="5"/>
  <c r="CH426" i="5"/>
  <c r="CK426" i="5"/>
  <c r="CJ426" i="5" s="1"/>
  <c r="DA426" i="5"/>
  <c r="DB426" i="5" s="1"/>
  <c r="K426" i="5" s="1"/>
  <c r="BN426" i="5"/>
  <c r="BO426" i="5" s="1"/>
  <c r="BP426" i="5" s="1"/>
  <c r="G426" i="5" s="1"/>
  <c r="CP426" i="5"/>
  <c r="CQ426" i="5" s="1"/>
  <c r="R426" i="5" s="1"/>
  <c r="S426" i="5" s="1"/>
  <c r="H399" i="6"/>
  <c r="Z424" i="5"/>
  <c r="T426" i="5"/>
  <c r="U426" i="5" s="1"/>
  <c r="W426" i="5"/>
  <c r="AE426" i="5"/>
  <c r="CV426" i="5"/>
  <c r="CT426" i="5"/>
  <c r="I425" i="5"/>
  <c r="AH425" i="5" l="1"/>
  <c r="AT425" i="5"/>
  <c r="AP425" i="5"/>
  <c r="AA424" i="5"/>
  <c r="I399" i="6" s="1"/>
  <c r="P425" i="5"/>
  <c r="AY425" i="5" s="1"/>
  <c r="M425" i="5"/>
  <c r="AG425" i="5" s="1"/>
  <c r="AJ425" i="5" s="1"/>
  <c r="CO426" i="5"/>
  <c r="F426" i="5" s="1"/>
  <c r="CN426" i="5"/>
  <c r="E426" i="5" s="1"/>
  <c r="BW426" i="5" l="1"/>
  <c r="BY426" i="5"/>
  <c r="J426" i="5" s="1"/>
  <c r="AN426" i="5" s="1"/>
  <c r="N425" i="5"/>
  <c r="AS425" i="5"/>
  <c r="AV425" i="5" s="1"/>
  <c r="AO425" i="5"/>
  <c r="F400" i="6"/>
  <c r="Q425" i="5"/>
  <c r="V425" i="5" s="1"/>
  <c r="E401" i="6"/>
  <c r="C427" i="5"/>
  <c r="BU427" i="5" s="1"/>
  <c r="BC426" i="5"/>
  <c r="D401" i="6"/>
  <c r="AF426" i="5" l="1"/>
  <c r="BV427" i="5"/>
  <c r="BT427" i="5"/>
  <c r="BS427" i="5"/>
  <c r="CI427" i="5"/>
  <c r="BH427" i="5"/>
  <c r="BI427" i="5" s="1"/>
  <c r="BJ427" i="5" s="1"/>
  <c r="AR425" i="5"/>
  <c r="X425" i="5" s="1"/>
  <c r="Y425" i="5" s="1"/>
  <c r="CW427" i="5"/>
  <c r="CR427" i="5"/>
  <c r="AC427" i="5"/>
  <c r="CL427" i="5"/>
  <c r="CM427" i="5" s="1"/>
  <c r="AB427" i="5"/>
  <c r="BN427" i="5" s="1"/>
  <c r="BO427" i="5" s="1"/>
  <c r="BP427" i="5" s="1"/>
  <c r="CX427" i="5"/>
  <c r="D427" i="5"/>
  <c r="CS427" i="5"/>
  <c r="BK427" i="5"/>
  <c r="BL427" i="5" s="1"/>
  <c r="BM427" i="5" s="1"/>
  <c r="CY427" i="5"/>
  <c r="C402" i="6"/>
  <c r="AK427" i="5"/>
  <c r="BG426" i="5"/>
  <c r="H426" i="5" s="1"/>
  <c r="AX427" i="5"/>
  <c r="AW427" i="5" s="1"/>
  <c r="CU427" i="5"/>
  <c r="BX427" i="5" s="1"/>
  <c r="G400" i="6"/>
  <c r="BF426" i="5"/>
  <c r="BD426" i="5"/>
  <c r="BE427" i="5" s="1"/>
  <c r="CZ426" i="5"/>
  <c r="G427" i="5" l="1"/>
  <c r="AD427" i="5"/>
  <c r="AE427" i="5" s="1"/>
  <c r="CK427" i="5"/>
  <c r="CJ427" i="5" s="1"/>
  <c r="CH427" i="5"/>
  <c r="DA427" i="5"/>
  <c r="DB427" i="5" s="1"/>
  <c r="K427" i="5" s="1"/>
  <c r="I426" i="5"/>
  <c r="AM427" i="5"/>
  <c r="AL428" i="5" s="1"/>
  <c r="H400" i="6"/>
  <c r="Z425" i="5"/>
  <c r="T427" i="5"/>
  <c r="U427" i="5" s="1"/>
  <c r="W427" i="5"/>
  <c r="CP427" i="5"/>
  <c r="CQ427" i="5" s="1"/>
  <c r="R427" i="5" s="1"/>
  <c r="S427" i="5" s="1"/>
  <c r="CV427" i="5"/>
  <c r="CT427" i="5"/>
  <c r="L427" i="5"/>
  <c r="AH426" i="5" l="1"/>
  <c r="AT426" i="5"/>
  <c r="AP426" i="5"/>
  <c r="CO427" i="5"/>
  <c r="F427" i="5" s="1"/>
  <c r="CN427" i="5"/>
  <c r="E427" i="5" s="1"/>
  <c r="AA425" i="5"/>
  <c r="I400" i="6" s="1"/>
  <c r="M426" i="5"/>
  <c r="P426" i="5"/>
  <c r="AY426" i="5" s="1"/>
  <c r="BW427" i="5" l="1"/>
  <c r="BY427" i="5"/>
  <c r="J427" i="5" s="1"/>
  <c r="AS426" i="5"/>
  <c r="AV426" i="5" s="1"/>
  <c r="AO426" i="5"/>
  <c r="AR426" i="5" s="1"/>
  <c r="N426" i="5"/>
  <c r="AG426" i="5"/>
  <c r="D402" i="6"/>
  <c r="BC427" i="5"/>
  <c r="C428" i="5"/>
  <c r="BU428" i="5" s="1"/>
  <c r="E402" i="6"/>
  <c r="Q426" i="5"/>
  <c r="V426" i="5" s="1"/>
  <c r="F401" i="6"/>
  <c r="AN427" i="5" l="1"/>
  <c r="AF427" i="5"/>
  <c r="BT428" i="5"/>
  <c r="BV428" i="5"/>
  <c r="BS428" i="5"/>
  <c r="CI428" i="5"/>
  <c r="BH428" i="5"/>
  <c r="BI428" i="5" s="1"/>
  <c r="BJ428" i="5" s="1"/>
  <c r="AJ426" i="5"/>
  <c r="X426" i="5" s="1"/>
  <c r="Y426" i="5" s="1"/>
  <c r="D428" i="5"/>
  <c r="AB428" i="5"/>
  <c r="CP428" i="5" s="1"/>
  <c r="CQ428" i="5" s="1"/>
  <c r="R428" i="5" s="1"/>
  <c r="S428" i="5" s="1"/>
  <c r="CS428" i="5"/>
  <c r="CX428" i="5"/>
  <c r="C403" i="6"/>
  <c r="BK428" i="5"/>
  <c r="BL428" i="5" s="1"/>
  <c r="BM428" i="5" s="1"/>
  <c r="CY428" i="5"/>
  <c r="CR428" i="5"/>
  <c r="CL428" i="5"/>
  <c r="CM428" i="5" s="1"/>
  <c r="AK428" i="5"/>
  <c r="AM428" i="5" s="1"/>
  <c r="AL429" i="5" s="1"/>
  <c r="AC428" i="5"/>
  <c r="AD428" i="5" s="1"/>
  <c r="CW428" i="5"/>
  <c r="BG427" i="5"/>
  <c r="H427" i="5" s="1"/>
  <c r="AX428" i="5"/>
  <c r="AW428" i="5" s="1"/>
  <c r="CU428" i="5"/>
  <c r="BX428" i="5" s="1"/>
  <c r="CZ427" i="5"/>
  <c r="BD427" i="5"/>
  <c r="BE428" i="5" s="1"/>
  <c r="BF427" i="5"/>
  <c r="G401" i="6"/>
  <c r="CH428" i="5" l="1"/>
  <c r="CK428" i="5"/>
  <c r="CJ428" i="5" s="1"/>
  <c r="L428" i="5"/>
  <c r="DA428" i="5"/>
  <c r="DB428" i="5" s="1"/>
  <c r="K428" i="5" s="1"/>
  <c r="CV428" i="5"/>
  <c r="CT428" i="5"/>
  <c r="AE428" i="5"/>
  <c r="I427" i="5"/>
  <c r="AP427" i="5" s="1"/>
  <c r="W428" i="5"/>
  <c r="T428" i="5"/>
  <c r="U428" i="5" s="1"/>
  <c r="H401" i="6"/>
  <c r="Z426" i="5"/>
  <c r="BN428" i="5"/>
  <c r="BO428" i="5" s="1"/>
  <c r="BP428" i="5" s="1"/>
  <c r="G428" i="5" s="1"/>
  <c r="AH427" i="5" l="1"/>
  <c r="AT427" i="5"/>
  <c r="M427" i="5"/>
  <c r="P427" i="5"/>
  <c r="AY427" i="5" s="1"/>
  <c r="AA426" i="5"/>
  <c r="I401" i="6" s="1"/>
  <c r="CN428" i="5"/>
  <c r="E428" i="5" s="1"/>
  <c r="CO428" i="5"/>
  <c r="F428" i="5" s="1"/>
  <c r="BW428" i="5" l="1"/>
  <c r="BY428" i="5"/>
  <c r="J428" i="5" s="1"/>
  <c r="AN428" i="5" s="1"/>
  <c r="AS427" i="5"/>
  <c r="AV427" i="5" s="1"/>
  <c r="AO427" i="5"/>
  <c r="AR427" i="5" s="1"/>
  <c r="N427" i="5"/>
  <c r="AG427" i="5"/>
  <c r="BC428" i="5"/>
  <c r="D403" i="6"/>
  <c r="E403" i="6"/>
  <c r="C429" i="5"/>
  <c r="BU429" i="5" s="1"/>
  <c r="Q427" i="5"/>
  <c r="V427" i="5" s="1"/>
  <c r="F402" i="6"/>
  <c r="AF428" i="5" l="1"/>
  <c r="BT429" i="5"/>
  <c r="BV429" i="5"/>
  <c r="BS429" i="5"/>
  <c r="CI429" i="5"/>
  <c r="BH429" i="5"/>
  <c r="BI429" i="5" s="1"/>
  <c r="BJ429" i="5" s="1"/>
  <c r="AJ427" i="5"/>
  <c r="G402" i="6"/>
  <c r="CW429" i="5"/>
  <c r="D429" i="5"/>
  <c r="AB429" i="5"/>
  <c r="CP429" i="5" s="1"/>
  <c r="CQ429" i="5" s="1"/>
  <c r="R429" i="5" s="1"/>
  <c r="S429" i="5" s="1"/>
  <c r="CY429" i="5"/>
  <c r="CL429" i="5"/>
  <c r="CM429" i="5" s="1"/>
  <c r="CX429" i="5"/>
  <c r="BK429" i="5"/>
  <c r="BL429" i="5" s="1"/>
  <c r="BM429" i="5" s="1"/>
  <c r="C404" i="6"/>
  <c r="AK429" i="5"/>
  <c r="AM429" i="5" s="1"/>
  <c r="AL430" i="5" s="1"/>
  <c r="CR429" i="5"/>
  <c r="CS429" i="5"/>
  <c r="AC429" i="5"/>
  <c r="AD429" i="5" s="1"/>
  <c r="BG428" i="5"/>
  <c r="H428" i="5" s="1"/>
  <c r="AX429" i="5"/>
  <c r="AW429" i="5" s="1"/>
  <c r="CU429" i="5"/>
  <c r="BX429" i="5" s="1"/>
  <c r="BF428" i="5"/>
  <c r="CZ428" i="5"/>
  <c r="BD428" i="5"/>
  <c r="BE429" i="5" s="1"/>
  <c r="CH429" i="5" l="1"/>
  <c r="CK429" i="5"/>
  <c r="CJ429" i="5" s="1"/>
  <c r="X427" i="5"/>
  <c r="Y427" i="5" s="1"/>
  <c r="BN429" i="5"/>
  <c r="BO429" i="5" s="1"/>
  <c r="BP429" i="5" s="1"/>
  <c r="G429" i="5" s="1"/>
  <c r="DA429" i="5"/>
  <c r="DB429" i="5" s="1"/>
  <c r="K429" i="5" s="1"/>
  <c r="AE429" i="5"/>
  <c r="W429" i="5"/>
  <c r="T429" i="5"/>
  <c r="U429" i="5" s="1"/>
  <c r="CT429" i="5"/>
  <c r="CV429" i="5"/>
  <c r="I428" i="5"/>
  <c r="AH428" i="5" s="1"/>
  <c r="L429" i="5"/>
  <c r="Z427" i="5" l="1"/>
  <c r="AA427" i="5" s="1"/>
  <c r="I402" i="6" s="1"/>
  <c r="H402" i="6"/>
  <c r="AT428" i="5"/>
  <c r="AP428" i="5"/>
  <c r="P428" i="5"/>
  <c r="AY428" i="5" s="1"/>
  <c r="M428" i="5"/>
  <c r="CN429" i="5"/>
  <c r="E429" i="5" s="1"/>
  <c r="CO429" i="5"/>
  <c r="F429" i="5" s="1"/>
  <c r="BY429" i="5" l="1"/>
  <c r="J429" i="5" s="1"/>
  <c r="BW429" i="5"/>
  <c r="AO428" i="5"/>
  <c r="AR428" i="5" s="1"/>
  <c r="AG428" i="5"/>
  <c r="AJ428" i="5" s="1"/>
  <c r="N428" i="5"/>
  <c r="AS428" i="5"/>
  <c r="AV428" i="5" s="1"/>
  <c r="F403" i="6"/>
  <c r="Q428" i="5"/>
  <c r="V428" i="5" s="1"/>
  <c r="C430" i="5"/>
  <c r="BU430" i="5" s="1"/>
  <c r="E404" i="6"/>
  <c r="BC429" i="5"/>
  <c r="D404" i="6"/>
  <c r="AN429" i="5" l="1"/>
  <c r="AF429" i="5"/>
  <c r="BT430" i="5"/>
  <c r="BV430" i="5"/>
  <c r="BS430" i="5"/>
  <c r="CI430" i="5"/>
  <c r="BH430" i="5"/>
  <c r="BI430" i="5" s="1"/>
  <c r="BJ430" i="5" s="1"/>
  <c r="X428" i="5"/>
  <c r="Y428" i="5" s="1"/>
  <c r="G403" i="6"/>
  <c r="CZ429" i="5"/>
  <c r="BD429" i="5"/>
  <c r="BE430" i="5" s="1"/>
  <c r="BF429" i="5"/>
  <c r="C405" i="6"/>
  <c r="CY430" i="5"/>
  <c r="CR430" i="5"/>
  <c r="CS430" i="5"/>
  <c r="CL430" i="5"/>
  <c r="CM430" i="5" s="1"/>
  <c r="D430" i="5"/>
  <c r="BK430" i="5"/>
  <c r="BL430" i="5" s="1"/>
  <c r="BM430" i="5" s="1"/>
  <c r="AK430" i="5"/>
  <c r="AB430" i="5"/>
  <c r="BN430" i="5" s="1"/>
  <c r="BO430" i="5" s="1"/>
  <c r="BP430" i="5" s="1"/>
  <c r="CX430" i="5"/>
  <c r="CW430" i="5"/>
  <c r="AC430" i="5"/>
  <c r="BG429" i="5"/>
  <c r="H429" i="5" s="1"/>
  <c r="AX430" i="5"/>
  <c r="AW430" i="5" s="1"/>
  <c r="CU430" i="5"/>
  <c r="BX430" i="5" s="1"/>
  <c r="G430" i="5" l="1"/>
  <c r="AD430" i="5"/>
  <c r="AE430" i="5" s="1"/>
  <c r="CH430" i="5"/>
  <c r="CK430" i="5"/>
  <c r="CJ430" i="5" s="1"/>
  <c r="AM430" i="5"/>
  <c r="AL431" i="5" s="1"/>
  <c r="CP430" i="5"/>
  <c r="CQ430" i="5" s="1"/>
  <c r="R430" i="5" s="1"/>
  <c r="S430" i="5" s="1"/>
  <c r="DA430" i="5"/>
  <c r="DB430" i="5" s="1"/>
  <c r="K430" i="5" s="1"/>
  <c r="L430" i="5"/>
  <c r="W430" i="5"/>
  <c r="T430" i="5"/>
  <c r="U430" i="5" s="1"/>
  <c r="CT430" i="5"/>
  <c r="CV430" i="5"/>
  <c r="I429" i="5"/>
  <c r="AH429" i="5" s="1"/>
  <c r="H403" i="6"/>
  <c r="Z428" i="5"/>
  <c r="AD431" i="5" l="1"/>
  <c r="AT429" i="5"/>
  <c r="AP429" i="5"/>
  <c r="M429" i="5"/>
  <c r="AG429" i="5" s="1"/>
  <c r="P429" i="5"/>
  <c r="AY429" i="5" s="1"/>
  <c r="CN430" i="5"/>
  <c r="E430" i="5" s="1"/>
  <c r="CO430" i="5"/>
  <c r="F430" i="5" s="1"/>
  <c r="AA428" i="5"/>
  <c r="I403" i="6" s="1"/>
  <c r="AJ429" i="5" l="1"/>
  <c r="E405" i="6"/>
  <c r="C431" i="5"/>
  <c r="BU431" i="5" s="1"/>
  <c r="D405" i="6"/>
  <c r="BC430" i="5"/>
  <c r="Q429" i="5"/>
  <c r="V429" i="5" s="1"/>
  <c r="G404" i="6" s="1"/>
  <c r="F404" i="6"/>
  <c r="AS429" i="5"/>
  <c r="AV429" i="5" s="1"/>
  <c r="N429" i="5"/>
  <c r="AO429" i="5"/>
  <c r="AR429" i="5" s="1"/>
  <c r="BW430" i="5" l="1"/>
  <c r="BY430" i="5"/>
  <c r="J430" i="5" s="1"/>
  <c r="BT431" i="5"/>
  <c r="BV431" i="5"/>
  <c r="BS431" i="5"/>
  <c r="CI431" i="5"/>
  <c r="BH431" i="5"/>
  <c r="BI431" i="5" s="1"/>
  <c r="BJ431" i="5" s="1"/>
  <c r="X429" i="5"/>
  <c r="Y429" i="5" s="1"/>
  <c r="CR431" i="5"/>
  <c r="BK431" i="5"/>
  <c r="BL431" i="5" s="1"/>
  <c r="BM431" i="5" s="1"/>
  <c r="CW431" i="5"/>
  <c r="C406" i="6"/>
  <c r="AC431" i="5"/>
  <c r="AE431" i="5" s="1"/>
  <c r="CY431" i="5"/>
  <c r="AB431" i="5"/>
  <c r="CP431" i="5" s="1"/>
  <c r="CQ431" i="5" s="1"/>
  <c r="R431" i="5" s="1"/>
  <c r="S431" i="5" s="1"/>
  <c r="CL431" i="5"/>
  <c r="CM431" i="5" s="1"/>
  <c r="D431" i="5"/>
  <c r="CS431" i="5"/>
  <c r="CX431" i="5"/>
  <c r="AK431" i="5"/>
  <c r="AM431" i="5" s="1"/>
  <c r="AL432" i="5" s="1"/>
  <c r="BG430" i="5"/>
  <c r="H430" i="5" s="1"/>
  <c r="AX431" i="5"/>
  <c r="AW431" i="5" s="1"/>
  <c r="CU431" i="5"/>
  <c r="BF430" i="5"/>
  <c r="BD430" i="5"/>
  <c r="BE431" i="5" s="1"/>
  <c r="CZ430" i="5"/>
  <c r="AF430" i="5" l="1"/>
  <c r="AN430" i="5"/>
  <c r="BX431" i="5"/>
  <c r="CH431" i="5"/>
  <c r="CK431" i="5"/>
  <c r="CJ431" i="5" s="1"/>
  <c r="DA431" i="5"/>
  <c r="DB431" i="5" s="1"/>
  <c r="K431" i="5" s="1"/>
  <c r="L431" i="5"/>
  <c r="CT431" i="5"/>
  <c r="CV431" i="5"/>
  <c r="I430" i="5"/>
  <c r="H404" i="6"/>
  <c r="Z429" i="5"/>
  <c r="T431" i="5"/>
  <c r="U431" i="5" s="1"/>
  <c r="W431" i="5"/>
  <c r="BN431" i="5"/>
  <c r="BO431" i="5" s="1"/>
  <c r="BP431" i="5" s="1"/>
  <c r="G431" i="5" s="1"/>
  <c r="AH430" i="5" l="1"/>
  <c r="AT430" i="5"/>
  <c r="AP430" i="5"/>
  <c r="M430" i="5"/>
  <c r="P430" i="5"/>
  <c r="AY430" i="5" s="1"/>
  <c r="CO431" i="5"/>
  <c r="F431" i="5" s="1"/>
  <c r="CN431" i="5"/>
  <c r="E431" i="5" s="1"/>
  <c r="AA429" i="5"/>
  <c r="I404" i="6" s="1"/>
  <c r="BW431" i="5" l="1"/>
  <c r="BY431" i="5"/>
  <c r="J431" i="5" s="1"/>
  <c r="AS430" i="5"/>
  <c r="AV430" i="5" s="1"/>
  <c r="AG430" i="5"/>
  <c r="AJ430" i="5" s="1"/>
  <c r="C432" i="5"/>
  <c r="BU432" i="5" s="1"/>
  <c r="E406" i="6"/>
  <c r="BC431" i="5"/>
  <c r="D406" i="6"/>
  <c r="Q430" i="5"/>
  <c r="V430" i="5" s="1"/>
  <c r="F405" i="6"/>
  <c r="AO430" i="5"/>
  <c r="AR430" i="5" s="1"/>
  <c r="N430" i="5"/>
  <c r="AF431" i="5" l="1"/>
  <c r="AN431" i="5"/>
  <c r="BV432" i="5"/>
  <c r="BT432" i="5"/>
  <c r="BS432" i="5"/>
  <c r="CI432" i="5"/>
  <c r="BH432" i="5"/>
  <c r="BI432" i="5" s="1"/>
  <c r="BJ432" i="5" s="1"/>
  <c r="X430" i="5"/>
  <c r="Y430" i="5" s="1"/>
  <c r="G405" i="6"/>
  <c r="BF431" i="5"/>
  <c r="CZ431" i="5"/>
  <c r="BD431" i="5"/>
  <c r="BE432" i="5" s="1"/>
  <c r="CX432" i="5"/>
  <c r="CW432" i="5"/>
  <c r="AC432" i="5"/>
  <c r="AD432" i="5" s="1"/>
  <c r="CS432" i="5"/>
  <c r="CY432" i="5"/>
  <c r="C407" i="6"/>
  <c r="AB432" i="5"/>
  <c r="L432" i="5" s="1"/>
  <c r="AK432" i="5"/>
  <c r="AM432" i="5" s="1"/>
  <c r="AL433" i="5" s="1"/>
  <c r="BK432" i="5"/>
  <c r="BL432" i="5" s="1"/>
  <c r="BM432" i="5" s="1"/>
  <c r="D432" i="5"/>
  <c r="CR432" i="5"/>
  <c r="CL432" i="5"/>
  <c r="CM432" i="5" s="1"/>
  <c r="BG431" i="5"/>
  <c r="H431" i="5" s="1"/>
  <c r="AX432" i="5"/>
  <c r="AW432" i="5" s="1"/>
  <c r="CU432" i="5"/>
  <c r="BX432" i="5" s="1"/>
  <c r="CK432" i="5" l="1"/>
  <c r="CJ432" i="5" s="1"/>
  <c r="CH432" i="5"/>
  <c r="DA432" i="5"/>
  <c r="DB432" i="5" s="1"/>
  <c r="K432" i="5" s="1"/>
  <c r="CV432" i="5"/>
  <c r="CT432" i="5"/>
  <c r="CP432" i="5"/>
  <c r="CQ432" i="5" s="1"/>
  <c r="R432" i="5" s="1"/>
  <c r="S432" i="5" s="1"/>
  <c r="BN432" i="5"/>
  <c r="BO432" i="5" s="1"/>
  <c r="BP432" i="5" s="1"/>
  <c r="G432" i="5" s="1"/>
  <c r="I431" i="5"/>
  <c r="H405" i="6"/>
  <c r="Z430" i="5"/>
  <c r="W432" i="5"/>
  <c r="T432" i="5"/>
  <c r="U432" i="5" s="1"/>
  <c r="AE432" i="5"/>
  <c r="AH431" i="5" l="1"/>
  <c r="AT431" i="5"/>
  <c r="AP431" i="5"/>
  <c r="M431" i="5"/>
  <c r="P431" i="5"/>
  <c r="AY431" i="5" s="1"/>
  <c r="AA430" i="5"/>
  <c r="I405" i="6" s="1"/>
  <c r="CN432" i="5"/>
  <c r="E432" i="5" s="1"/>
  <c r="CO432" i="5"/>
  <c r="F432" i="5" s="1"/>
  <c r="AS431" i="5" l="1"/>
  <c r="AV431" i="5" s="1"/>
  <c r="AO431" i="5"/>
  <c r="BC432" i="5"/>
  <c r="D407" i="6"/>
  <c r="Q431" i="5"/>
  <c r="V431" i="5" s="1"/>
  <c r="G406" i="6" s="1"/>
  <c r="F406" i="6"/>
  <c r="C433" i="5"/>
  <c r="BU433" i="5" s="1"/>
  <c r="E407" i="6"/>
  <c r="N431" i="5"/>
  <c r="AG431" i="5"/>
  <c r="BY432" i="5" l="1"/>
  <c r="J432" i="5" s="1"/>
  <c r="BW432" i="5"/>
  <c r="BT433" i="5"/>
  <c r="BV433" i="5"/>
  <c r="BS433" i="5"/>
  <c r="CI433" i="5"/>
  <c r="BH433" i="5"/>
  <c r="BI433" i="5" s="1"/>
  <c r="BJ433" i="5" s="1"/>
  <c r="AR431" i="5"/>
  <c r="C408" i="6"/>
  <c r="AK433" i="5"/>
  <c r="CY433" i="5"/>
  <c r="AC433" i="5"/>
  <c r="CW433" i="5"/>
  <c r="CX433" i="5"/>
  <c r="CR433" i="5"/>
  <c r="AB433" i="5"/>
  <c r="DA433" i="5" s="1"/>
  <c r="DB433" i="5" s="1"/>
  <c r="BK433" i="5"/>
  <c r="BL433" i="5" s="1"/>
  <c r="BM433" i="5" s="1"/>
  <c r="D433" i="5"/>
  <c r="CL433" i="5"/>
  <c r="CM433" i="5" s="1"/>
  <c r="CS433" i="5"/>
  <c r="BG432" i="5"/>
  <c r="H432" i="5" s="1"/>
  <c r="AX433" i="5"/>
  <c r="AW433" i="5" s="1"/>
  <c r="CU433" i="5"/>
  <c r="AJ431" i="5"/>
  <c r="BD432" i="5"/>
  <c r="BE433" i="5" s="1"/>
  <c r="CZ432" i="5"/>
  <c r="BF432" i="5"/>
  <c r="AN432" i="5" l="1"/>
  <c r="AF432" i="5"/>
  <c r="BX433" i="5"/>
  <c r="CH433" i="5"/>
  <c r="CK433" i="5"/>
  <c r="CJ433" i="5" s="1"/>
  <c r="K433" i="5" s="1"/>
  <c r="X431" i="5"/>
  <c r="Y431" i="5" s="1"/>
  <c r="AD433" i="5"/>
  <c r="AE433" i="5" s="1"/>
  <c r="L433" i="5"/>
  <c r="CT433" i="5"/>
  <c r="CV433" i="5"/>
  <c r="I432" i="5"/>
  <c r="AH432" i="5" s="1"/>
  <c r="T433" i="5"/>
  <c r="U433" i="5" s="1"/>
  <c r="W433" i="5"/>
  <c r="CP433" i="5"/>
  <c r="CQ433" i="5" s="1"/>
  <c r="R433" i="5" s="1"/>
  <c r="S433" i="5" s="1"/>
  <c r="BN433" i="5"/>
  <c r="BO433" i="5" s="1"/>
  <c r="BP433" i="5" s="1"/>
  <c r="G433" i="5" s="1"/>
  <c r="AM433" i="5"/>
  <c r="AL434" i="5" s="1"/>
  <c r="H406" i="6" l="1"/>
  <c r="Z431" i="5"/>
  <c r="AA431" i="5" s="1"/>
  <c r="I406" i="6" s="1"/>
  <c r="AP432" i="5"/>
  <c r="AT432" i="5"/>
  <c r="M432" i="5"/>
  <c r="AG432" i="5" s="1"/>
  <c r="AJ432" i="5" s="1"/>
  <c r="P432" i="5"/>
  <c r="AY432" i="5" s="1"/>
  <c r="CO433" i="5"/>
  <c r="F433" i="5" s="1"/>
  <c r="CN433" i="5"/>
  <c r="E433" i="5" s="1"/>
  <c r="BW433" i="5" l="1"/>
  <c r="BY433" i="5"/>
  <c r="J433" i="5" s="1"/>
  <c r="AN433" i="5" s="1"/>
  <c r="N432" i="5"/>
  <c r="AS432" i="5"/>
  <c r="AV432" i="5" s="1"/>
  <c r="AO432" i="5"/>
  <c r="AR432" i="5" s="1"/>
  <c r="Q432" i="5"/>
  <c r="V432" i="5" s="1"/>
  <c r="F407" i="6"/>
  <c r="BC433" i="5"/>
  <c r="D408" i="6"/>
  <c r="C434" i="5"/>
  <c r="BU434" i="5" s="1"/>
  <c r="E408" i="6"/>
  <c r="AF433" i="5" l="1"/>
  <c r="BV434" i="5"/>
  <c r="BT434" i="5"/>
  <c r="BS434" i="5"/>
  <c r="CI434" i="5"/>
  <c r="BH434" i="5"/>
  <c r="BI434" i="5" s="1"/>
  <c r="BJ434" i="5" s="1"/>
  <c r="X432" i="5"/>
  <c r="Y432" i="5" s="1"/>
  <c r="BD433" i="5"/>
  <c r="BE434" i="5" s="1"/>
  <c r="BF433" i="5"/>
  <c r="CZ433" i="5"/>
  <c r="G407" i="6"/>
  <c r="CR434" i="5"/>
  <c r="AC434" i="5"/>
  <c r="D434" i="5"/>
  <c r="C409" i="6"/>
  <c r="BK434" i="5"/>
  <c r="BL434" i="5" s="1"/>
  <c r="BM434" i="5" s="1"/>
  <c r="CW434" i="5"/>
  <c r="CL434" i="5"/>
  <c r="CM434" i="5" s="1"/>
  <c r="CX434" i="5"/>
  <c r="AB434" i="5"/>
  <c r="DA434" i="5" s="1"/>
  <c r="DB434" i="5" s="1"/>
  <c r="AK434" i="5"/>
  <c r="AM434" i="5" s="1"/>
  <c r="AL435" i="5" s="1"/>
  <c r="CS434" i="5"/>
  <c r="CY434" i="5"/>
  <c r="BG433" i="5"/>
  <c r="H433" i="5" s="1"/>
  <c r="AX434" i="5"/>
  <c r="AW434" i="5" s="1"/>
  <c r="CU434" i="5"/>
  <c r="BX434" i="5" s="1"/>
  <c r="AD434" i="5" l="1"/>
  <c r="AE434" i="5" s="1"/>
  <c r="CH434" i="5"/>
  <c r="CK434" i="5"/>
  <c r="CJ434" i="5" s="1"/>
  <c r="K434" i="5" s="1"/>
  <c r="CT434" i="5"/>
  <c r="CV434" i="5"/>
  <c r="L434" i="5"/>
  <c r="H407" i="6"/>
  <c r="Z432" i="5"/>
  <c r="CP434" i="5"/>
  <c r="CQ434" i="5" s="1"/>
  <c r="R434" i="5" s="1"/>
  <c r="S434" i="5" s="1"/>
  <c r="I433" i="5"/>
  <c r="AP433" i="5" s="1"/>
  <c r="BN434" i="5"/>
  <c r="BO434" i="5" s="1"/>
  <c r="BP434" i="5" s="1"/>
  <c r="G434" i="5" s="1"/>
  <c r="W434" i="5"/>
  <c r="T434" i="5"/>
  <c r="U434" i="5" s="1"/>
  <c r="AH433" i="5" l="1"/>
  <c r="AT433" i="5"/>
  <c r="AA432" i="5"/>
  <c r="I407" i="6" s="1"/>
  <c r="M433" i="5"/>
  <c r="P433" i="5"/>
  <c r="AY433" i="5" s="1"/>
  <c r="CN434" i="5"/>
  <c r="E434" i="5" s="1"/>
  <c r="CO434" i="5"/>
  <c r="F434" i="5" s="1"/>
  <c r="BW434" i="5" l="1"/>
  <c r="BY434" i="5"/>
  <c r="J434" i="5" s="1"/>
  <c r="AS433" i="5"/>
  <c r="AV433" i="5" s="1"/>
  <c r="AO433" i="5"/>
  <c r="AR433" i="5" s="1"/>
  <c r="N433" i="5"/>
  <c r="AG433" i="5"/>
  <c r="AJ433" i="5" s="1"/>
  <c r="Q433" i="5"/>
  <c r="V433" i="5" s="1"/>
  <c r="F408" i="6"/>
  <c r="BC434" i="5"/>
  <c r="D409" i="6"/>
  <c r="C435" i="5"/>
  <c r="BU435" i="5" s="1"/>
  <c r="E409" i="6"/>
  <c r="AN434" i="5" l="1"/>
  <c r="AF434" i="5"/>
  <c r="BV435" i="5"/>
  <c r="BT435" i="5"/>
  <c r="BS435" i="5"/>
  <c r="CI435" i="5"/>
  <c r="BH435" i="5"/>
  <c r="BI435" i="5" s="1"/>
  <c r="BJ435" i="5" s="1"/>
  <c r="X433" i="5"/>
  <c r="Y433" i="5" s="1"/>
  <c r="AC435" i="5"/>
  <c r="AD435" i="5" s="1"/>
  <c r="C410" i="6"/>
  <c r="D435" i="5"/>
  <c r="CS435" i="5"/>
  <c r="CY435" i="5"/>
  <c r="CX435" i="5"/>
  <c r="CL435" i="5"/>
  <c r="CM435" i="5" s="1"/>
  <c r="AB435" i="5"/>
  <c r="CP435" i="5" s="1"/>
  <c r="CQ435" i="5" s="1"/>
  <c r="R435" i="5" s="1"/>
  <c r="S435" i="5" s="1"/>
  <c r="AK435" i="5"/>
  <c r="BK435" i="5"/>
  <c r="BL435" i="5" s="1"/>
  <c r="BM435" i="5" s="1"/>
  <c r="CW435" i="5"/>
  <c r="CR435" i="5"/>
  <c r="BG434" i="5"/>
  <c r="H434" i="5" s="1"/>
  <c r="AX435" i="5"/>
  <c r="AW435" i="5" s="1"/>
  <c r="CU435" i="5"/>
  <c r="BX435" i="5" s="1"/>
  <c r="BF434" i="5"/>
  <c r="BD434" i="5"/>
  <c r="BE435" i="5" s="1"/>
  <c r="CZ434" i="5"/>
  <c r="G408" i="6"/>
  <c r="CK435" i="5" l="1"/>
  <c r="CJ435" i="5" s="1"/>
  <c r="CH435" i="5"/>
  <c r="L435" i="5"/>
  <c r="DA435" i="5"/>
  <c r="DB435" i="5" s="1"/>
  <c r="K435" i="5" s="1"/>
  <c r="CT435" i="5"/>
  <c r="CV435" i="5"/>
  <c r="I434" i="5"/>
  <c r="W435" i="5"/>
  <c r="T435" i="5"/>
  <c r="U435" i="5" s="1"/>
  <c r="H408" i="6"/>
  <c r="Z433" i="5"/>
  <c r="AM435" i="5"/>
  <c r="AL436" i="5" s="1"/>
  <c r="BN435" i="5"/>
  <c r="BO435" i="5" s="1"/>
  <c r="BP435" i="5" s="1"/>
  <c r="G435" i="5" s="1"/>
  <c r="AE435" i="5"/>
  <c r="AH434" i="5" l="1"/>
  <c r="AT434" i="5"/>
  <c r="AP434" i="5"/>
  <c r="P434" i="5"/>
  <c r="AY434" i="5" s="1"/>
  <c r="M434" i="5"/>
  <c r="AA433" i="5"/>
  <c r="I408" i="6" s="1"/>
  <c r="CO435" i="5"/>
  <c r="F435" i="5" s="1"/>
  <c r="CN435" i="5"/>
  <c r="E435" i="5" s="1"/>
  <c r="AS434" i="5" l="1"/>
  <c r="AV434" i="5" s="1"/>
  <c r="AO434" i="5"/>
  <c r="AG434" i="5"/>
  <c r="N434" i="5"/>
  <c r="Q434" i="5"/>
  <c r="V434" i="5" s="1"/>
  <c r="F409" i="6"/>
  <c r="D410" i="6"/>
  <c r="BC435" i="5"/>
  <c r="E410" i="6"/>
  <c r="C436" i="5"/>
  <c r="BU436" i="5" s="1"/>
  <c r="BW435" i="5" l="1"/>
  <c r="BY435" i="5"/>
  <c r="J435" i="5" s="1"/>
  <c r="BT436" i="5"/>
  <c r="BV436" i="5"/>
  <c r="BS436" i="5"/>
  <c r="CI436" i="5"/>
  <c r="BH436" i="5"/>
  <c r="BI436" i="5" s="1"/>
  <c r="BJ436" i="5" s="1"/>
  <c r="AR434" i="5"/>
  <c r="BF435" i="5"/>
  <c r="BD435" i="5"/>
  <c r="BE436" i="5" s="1"/>
  <c r="CZ435" i="5"/>
  <c r="G409" i="6"/>
  <c r="CR436" i="5"/>
  <c r="BK436" i="5"/>
  <c r="BL436" i="5" s="1"/>
  <c r="BM436" i="5" s="1"/>
  <c r="AC436" i="5"/>
  <c r="AD436" i="5" s="1"/>
  <c r="CL436" i="5"/>
  <c r="CM436" i="5" s="1"/>
  <c r="CY436" i="5"/>
  <c r="CW436" i="5"/>
  <c r="AK436" i="5"/>
  <c r="AM436" i="5" s="1"/>
  <c r="AL437" i="5" s="1"/>
  <c r="D436" i="5"/>
  <c r="CS436" i="5"/>
  <c r="AB436" i="5"/>
  <c r="BN436" i="5" s="1"/>
  <c r="BO436" i="5" s="1"/>
  <c r="BP436" i="5" s="1"/>
  <c r="C411" i="6"/>
  <c r="CX436" i="5"/>
  <c r="BG435" i="5"/>
  <c r="H435" i="5" s="1"/>
  <c r="AX436" i="5"/>
  <c r="AW436" i="5" s="1"/>
  <c r="CU436" i="5"/>
  <c r="AJ434" i="5"/>
  <c r="AN435" i="5" l="1"/>
  <c r="AF435" i="5"/>
  <c r="BX436" i="5"/>
  <c r="G436" i="5"/>
  <c r="CH436" i="5"/>
  <c r="CK436" i="5"/>
  <c r="CJ436" i="5" s="1"/>
  <c r="X434" i="5"/>
  <c r="Y434" i="5" s="1"/>
  <c r="AE436" i="5"/>
  <c r="W436" i="5"/>
  <c r="T436" i="5"/>
  <c r="U436" i="5" s="1"/>
  <c r="CT436" i="5"/>
  <c r="CV436" i="5"/>
  <c r="CP436" i="5"/>
  <c r="CQ436" i="5" s="1"/>
  <c r="R436" i="5" s="1"/>
  <c r="S436" i="5" s="1"/>
  <c r="L436" i="5"/>
  <c r="DA436" i="5"/>
  <c r="DB436" i="5" s="1"/>
  <c r="K436" i="5" s="1"/>
  <c r="I435" i="5"/>
  <c r="AP435" i="5" s="1"/>
  <c r="Z434" i="5" l="1"/>
  <c r="AA434" i="5" s="1"/>
  <c r="I409" i="6" s="1"/>
  <c r="H409" i="6"/>
  <c r="AT435" i="5"/>
  <c r="AH435" i="5"/>
  <c r="CN436" i="5"/>
  <c r="E436" i="5" s="1"/>
  <c r="CO436" i="5"/>
  <c r="F436" i="5" s="1"/>
  <c r="P435" i="5"/>
  <c r="AY435" i="5" s="1"/>
  <c r="M435" i="5"/>
  <c r="BW436" i="5" l="1"/>
  <c r="BY436" i="5"/>
  <c r="J436" i="5" s="1"/>
  <c r="AG435" i="5"/>
  <c r="AJ435" i="5" s="1"/>
  <c r="AO435" i="5"/>
  <c r="AR435" i="5" s="1"/>
  <c r="N435" i="5"/>
  <c r="AS435" i="5"/>
  <c r="AV435" i="5" s="1"/>
  <c r="Q435" i="5"/>
  <c r="V435" i="5" s="1"/>
  <c r="G410" i="6" s="1"/>
  <c r="F410" i="6"/>
  <c r="C437" i="5"/>
  <c r="BU437" i="5" s="1"/>
  <c r="E411" i="6"/>
  <c r="BC436" i="5"/>
  <c r="D411" i="6"/>
  <c r="AN436" i="5" l="1"/>
  <c r="AF436" i="5"/>
  <c r="BT437" i="5"/>
  <c r="BV437" i="5"/>
  <c r="BS437" i="5"/>
  <c r="CI437" i="5"/>
  <c r="BH437" i="5"/>
  <c r="BI437" i="5" s="1"/>
  <c r="BJ437" i="5" s="1"/>
  <c r="X435" i="5"/>
  <c r="Y435" i="5" s="1"/>
  <c r="C412" i="6"/>
  <c r="CS437" i="5"/>
  <c r="D437" i="5"/>
  <c r="CY437" i="5"/>
  <c r="AC437" i="5"/>
  <c r="AD437" i="5" s="1"/>
  <c r="AK437" i="5"/>
  <c r="AM437" i="5" s="1"/>
  <c r="AL438" i="5" s="1"/>
  <c r="CR437" i="5"/>
  <c r="AB437" i="5"/>
  <c r="CP437" i="5" s="1"/>
  <c r="CQ437" i="5" s="1"/>
  <c r="R437" i="5" s="1"/>
  <c r="S437" i="5" s="1"/>
  <c r="CL437" i="5"/>
  <c r="CM437" i="5" s="1"/>
  <c r="CW437" i="5"/>
  <c r="CX437" i="5"/>
  <c r="BK437" i="5"/>
  <c r="BL437" i="5" s="1"/>
  <c r="BM437" i="5" s="1"/>
  <c r="BG436" i="5"/>
  <c r="H436" i="5" s="1"/>
  <c r="AX437" i="5"/>
  <c r="AW437" i="5" s="1"/>
  <c r="CU437" i="5"/>
  <c r="BX437" i="5" s="1"/>
  <c r="CZ436" i="5"/>
  <c r="BF436" i="5"/>
  <c r="BD436" i="5"/>
  <c r="BE437" i="5" s="1"/>
  <c r="CH437" i="5" l="1"/>
  <c r="CK437" i="5"/>
  <c r="CJ437" i="5" s="1"/>
  <c r="I436" i="5"/>
  <c r="AH436" i="5" s="1"/>
  <c r="L437" i="5"/>
  <c r="W437" i="5"/>
  <c r="T437" i="5"/>
  <c r="U437" i="5" s="1"/>
  <c r="BN437" i="5"/>
  <c r="BO437" i="5" s="1"/>
  <c r="BP437" i="5" s="1"/>
  <c r="G437" i="5" s="1"/>
  <c r="CT437" i="5"/>
  <c r="CV437" i="5"/>
  <c r="AE437" i="5"/>
  <c r="DA437" i="5"/>
  <c r="DB437" i="5" s="1"/>
  <c r="K437" i="5" s="1"/>
  <c r="H410" i="6"/>
  <c r="Z435" i="5"/>
  <c r="CO437" i="5" l="1"/>
  <c r="F437" i="5" s="1"/>
  <c r="CN437" i="5"/>
  <c r="E437" i="5" s="1"/>
  <c r="P436" i="5"/>
  <c r="AY436" i="5" s="1"/>
  <c r="M436" i="5"/>
  <c r="AG436" i="5" s="1"/>
  <c r="AT436" i="5"/>
  <c r="AP436" i="5"/>
  <c r="AA435" i="5"/>
  <c r="I410" i="6" s="1"/>
  <c r="BY437" i="5" l="1"/>
  <c r="J437" i="5" s="1"/>
  <c r="AF437" i="5" s="1"/>
  <c r="AJ436" i="5"/>
  <c r="D412" i="6"/>
  <c r="BC437" i="5"/>
  <c r="C438" i="5"/>
  <c r="BU438" i="5" s="1"/>
  <c r="E412" i="6"/>
  <c r="N436" i="5"/>
  <c r="AS436" i="5"/>
  <c r="AV436" i="5" s="1"/>
  <c r="AO436" i="5"/>
  <c r="AR436" i="5" s="1"/>
  <c r="Q436" i="5"/>
  <c r="V436" i="5" s="1"/>
  <c r="F411" i="6"/>
  <c r="AN437" i="5" l="1"/>
  <c r="BW437" i="5"/>
  <c r="BT438" i="5"/>
  <c r="BV438" i="5"/>
  <c r="BS438" i="5"/>
  <c r="CI438" i="5"/>
  <c r="BH438" i="5"/>
  <c r="BI438" i="5" s="1"/>
  <c r="BJ438" i="5" s="1"/>
  <c r="X436" i="5"/>
  <c r="Y436" i="5" s="1"/>
  <c r="AB438" i="5"/>
  <c r="CP438" i="5" s="1"/>
  <c r="CQ438" i="5" s="1"/>
  <c r="R438" i="5" s="1"/>
  <c r="S438" i="5" s="1"/>
  <c r="BK438" i="5"/>
  <c r="BL438" i="5" s="1"/>
  <c r="BM438" i="5" s="1"/>
  <c r="AC438" i="5"/>
  <c r="CY438" i="5"/>
  <c r="AK438" i="5"/>
  <c r="CL438" i="5"/>
  <c r="CM438" i="5" s="1"/>
  <c r="CX438" i="5"/>
  <c r="CW438" i="5"/>
  <c r="CR438" i="5"/>
  <c r="D438" i="5"/>
  <c r="C413" i="6"/>
  <c r="CS438" i="5"/>
  <c r="BG437" i="5"/>
  <c r="H437" i="5" s="1"/>
  <c r="AX438" i="5"/>
  <c r="AW438" i="5" s="1"/>
  <c r="CU438" i="5"/>
  <c r="BF437" i="5"/>
  <c r="BD437" i="5"/>
  <c r="BE438" i="5" s="1"/>
  <c r="CZ437" i="5"/>
  <c r="G411" i="6"/>
  <c r="AD438" i="5" l="1"/>
  <c r="AE438" i="5" s="1"/>
  <c r="BX438" i="5"/>
  <c r="CH438" i="5"/>
  <c r="CK438" i="5"/>
  <c r="CJ438" i="5" s="1"/>
  <c r="L438" i="5"/>
  <c r="DA438" i="5"/>
  <c r="DB438" i="5" s="1"/>
  <c r="K438" i="5" s="1"/>
  <c r="BN438" i="5"/>
  <c r="BO438" i="5" s="1"/>
  <c r="BP438" i="5" s="1"/>
  <c r="G438" i="5" s="1"/>
  <c r="AM438" i="5"/>
  <c r="AL439" i="5" s="1"/>
  <c r="I437" i="5"/>
  <c r="AH437" i="5" s="1"/>
  <c r="T438" i="5"/>
  <c r="U438" i="5" s="1"/>
  <c r="W438" i="5"/>
  <c r="H411" i="6"/>
  <c r="Z436" i="5"/>
  <c r="CT438" i="5"/>
  <c r="CV438" i="5"/>
  <c r="AT437" i="5" l="1"/>
  <c r="AP437" i="5"/>
  <c r="CN438" i="5"/>
  <c r="E438" i="5" s="1"/>
  <c r="CO438" i="5"/>
  <c r="F438" i="5" s="1"/>
  <c r="AA436" i="5"/>
  <c r="I411" i="6" s="1"/>
  <c r="M437" i="5"/>
  <c r="P437" i="5"/>
  <c r="AY437" i="5" s="1"/>
  <c r="BW438" i="5" l="1"/>
  <c r="BY438" i="5"/>
  <c r="J438" i="5" s="1"/>
  <c r="AO437" i="5"/>
  <c r="AR437" i="5" s="1"/>
  <c r="AG437" i="5"/>
  <c r="AJ437" i="5" s="1"/>
  <c r="E413" i="6"/>
  <c r="C439" i="5"/>
  <c r="BU439" i="5" s="1"/>
  <c r="D413" i="6"/>
  <c r="BC438" i="5"/>
  <c r="Q437" i="5"/>
  <c r="V437" i="5" s="1"/>
  <c r="G412" i="6" s="1"/>
  <c r="F412" i="6"/>
  <c r="N437" i="5"/>
  <c r="AS437" i="5"/>
  <c r="AV437" i="5" s="1"/>
  <c r="AF438" i="5" l="1"/>
  <c r="AN438" i="5"/>
  <c r="BT439" i="5"/>
  <c r="BV439" i="5"/>
  <c r="BS439" i="5"/>
  <c r="CI439" i="5"/>
  <c r="BH439" i="5"/>
  <c r="BI439" i="5" s="1"/>
  <c r="BJ439" i="5" s="1"/>
  <c r="X437" i="5"/>
  <c r="Y437" i="5" s="1"/>
  <c r="BF438" i="5"/>
  <c r="BD438" i="5"/>
  <c r="BE439" i="5" s="1"/>
  <c r="CZ438" i="5"/>
  <c r="CR439" i="5"/>
  <c r="CS439" i="5"/>
  <c r="CW439" i="5"/>
  <c r="D439" i="5"/>
  <c r="CY439" i="5"/>
  <c r="CL439" i="5"/>
  <c r="CM439" i="5" s="1"/>
  <c r="C414" i="6"/>
  <c r="AC439" i="5"/>
  <c r="AD439" i="5" s="1"/>
  <c r="AB439" i="5"/>
  <c r="DA439" i="5" s="1"/>
  <c r="DB439" i="5" s="1"/>
  <c r="BK439" i="5"/>
  <c r="BL439" i="5" s="1"/>
  <c r="BM439" i="5" s="1"/>
  <c r="CX439" i="5"/>
  <c r="AK439" i="5"/>
  <c r="AM439" i="5" s="1"/>
  <c r="AL440" i="5" s="1"/>
  <c r="BG438" i="5"/>
  <c r="H438" i="5" s="1"/>
  <c r="AX439" i="5"/>
  <c r="AW439" i="5" s="1"/>
  <c r="CU439" i="5"/>
  <c r="BX439" i="5" s="1"/>
  <c r="CH439" i="5" l="1"/>
  <c r="CK439" i="5"/>
  <c r="CJ439" i="5" s="1"/>
  <c r="K439" i="5" s="1"/>
  <c r="H412" i="6"/>
  <c r="Z437" i="5"/>
  <c r="AA437" i="5" s="1"/>
  <c r="I412" i="6" s="1"/>
  <c r="CP439" i="5"/>
  <c r="CQ439" i="5" s="1"/>
  <c r="R439" i="5" s="1"/>
  <c r="S439" i="5" s="1"/>
  <c r="W439" i="5"/>
  <c r="T439" i="5"/>
  <c r="U439" i="5" s="1"/>
  <c r="CT439" i="5"/>
  <c r="CV439" i="5"/>
  <c r="BN439" i="5"/>
  <c r="BO439" i="5" s="1"/>
  <c r="BP439" i="5" s="1"/>
  <c r="G439" i="5" s="1"/>
  <c r="AE439" i="5"/>
  <c r="L439" i="5"/>
  <c r="I438" i="5"/>
  <c r="AH438" i="5" l="1"/>
  <c r="AT438" i="5"/>
  <c r="AP438" i="5"/>
  <c r="CO439" i="5"/>
  <c r="F439" i="5" s="1"/>
  <c r="CN439" i="5"/>
  <c r="E439" i="5" s="1"/>
  <c r="P438" i="5"/>
  <c r="AY438" i="5" s="1"/>
  <c r="M438" i="5"/>
  <c r="BW439" i="5" l="1"/>
  <c r="BY439" i="5"/>
  <c r="J439" i="5" s="1"/>
  <c r="AN439" i="5" s="1"/>
  <c r="AS438" i="5"/>
  <c r="AV438" i="5" s="1"/>
  <c r="AO438" i="5"/>
  <c r="AR438" i="5" s="1"/>
  <c r="N438" i="5"/>
  <c r="AG438" i="5"/>
  <c r="Q438" i="5"/>
  <c r="V438" i="5" s="1"/>
  <c r="F413" i="6"/>
  <c r="BC439" i="5"/>
  <c r="D414" i="6"/>
  <c r="C440" i="5"/>
  <c r="BU440" i="5" s="1"/>
  <c r="E414" i="6"/>
  <c r="AF439" i="5" l="1"/>
  <c r="BV440" i="5"/>
  <c r="BT440" i="5"/>
  <c r="BS440" i="5"/>
  <c r="CI440" i="5"/>
  <c r="BH440" i="5"/>
  <c r="BI440" i="5" s="1"/>
  <c r="BJ440" i="5" s="1"/>
  <c r="AJ438" i="5"/>
  <c r="X438" i="5" s="1"/>
  <c r="Y438" i="5" s="1"/>
  <c r="BD439" i="5"/>
  <c r="BE440" i="5" s="1"/>
  <c r="BF439" i="5"/>
  <c r="CZ439" i="5"/>
  <c r="CX440" i="5"/>
  <c r="AB440" i="5"/>
  <c r="DA440" i="5" s="1"/>
  <c r="DB440" i="5" s="1"/>
  <c r="AC440" i="5"/>
  <c r="AD440" i="5" s="1"/>
  <c r="D440" i="5"/>
  <c r="BK440" i="5"/>
  <c r="BL440" i="5" s="1"/>
  <c r="BM440" i="5" s="1"/>
  <c r="AK440" i="5"/>
  <c r="AM440" i="5" s="1"/>
  <c r="AL441" i="5" s="1"/>
  <c r="CY440" i="5"/>
  <c r="CR440" i="5"/>
  <c r="CW440" i="5"/>
  <c r="CL440" i="5"/>
  <c r="CM440" i="5" s="1"/>
  <c r="C415" i="6"/>
  <c r="CS440" i="5"/>
  <c r="BG439" i="5"/>
  <c r="H439" i="5" s="1"/>
  <c r="AX440" i="5"/>
  <c r="AW440" i="5" s="1"/>
  <c r="CU440" i="5"/>
  <c r="BX440" i="5" s="1"/>
  <c r="G413" i="6"/>
  <c r="CK440" i="5" l="1"/>
  <c r="CJ440" i="5" s="1"/>
  <c r="K440" i="5" s="1"/>
  <c r="CH440" i="5"/>
  <c r="CP440" i="5"/>
  <c r="CQ440" i="5" s="1"/>
  <c r="R440" i="5" s="1"/>
  <c r="S440" i="5" s="1"/>
  <c r="W440" i="5"/>
  <c r="T440" i="5"/>
  <c r="U440" i="5" s="1"/>
  <c r="AE440" i="5"/>
  <c r="H413" i="6"/>
  <c r="Z438" i="5"/>
  <c r="BN440" i="5"/>
  <c r="BO440" i="5" s="1"/>
  <c r="BP440" i="5" s="1"/>
  <c r="G440" i="5" s="1"/>
  <c r="I439" i="5"/>
  <c r="AH439" i="5" s="1"/>
  <c r="L440" i="5"/>
  <c r="CV440" i="5"/>
  <c r="CT440" i="5"/>
  <c r="AT439" i="5" l="1"/>
  <c r="AP439" i="5"/>
  <c r="P439" i="5"/>
  <c r="AY439" i="5" s="1"/>
  <c r="M439" i="5"/>
  <c r="CN440" i="5"/>
  <c r="E440" i="5" s="1"/>
  <c r="CO440" i="5"/>
  <c r="F440" i="5" s="1"/>
  <c r="AA438" i="5"/>
  <c r="I413" i="6" s="1"/>
  <c r="BY440" i="5" l="1"/>
  <c r="J440" i="5" s="1"/>
  <c r="AN440" i="5" s="1"/>
  <c r="BW440" i="5"/>
  <c r="AS439" i="5"/>
  <c r="AV439" i="5" s="1"/>
  <c r="AG439" i="5"/>
  <c r="E415" i="6"/>
  <c r="C441" i="5"/>
  <c r="BU441" i="5" s="1"/>
  <c r="D415" i="6"/>
  <c r="BC440" i="5"/>
  <c r="AO439" i="5"/>
  <c r="AR439" i="5" s="1"/>
  <c r="N439" i="5"/>
  <c r="Q439" i="5"/>
  <c r="V439" i="5" s="1"/>
  <c r="F414" i="6"/>
  <c r="AF440" i="5" l="1"/>
  <c r="BT441" i="5"/>
  <c r="BV441" i="5"/>
  <c r="BS441" i="5"/>
  <c r="CI441" i="5"/>
  <c r="BH441" i="5"/>
  <c r="BI441" i="5" s="1"/>
  <c r="BJ441" i="5" s="1"/>
  <c r="AJ439" i="5"/>
  <c r="G414" i="6"/>
  <c r="BD440" i="5"/>
  <c r="BE441" i="5" s="1"/>
  <c r="BF440" i="5"/>
  <c r="CZ440" i="5"/>
  <c r="CL441" i="5"/>
  <c r="CM441" i="5" s="1"/>
  <c r="AK441" i="5"/>
  <c r="AM441" i="5" s="1"/>
  <c r="AL442" i="5" s="1"/>
  <c r="AC441" i="5"/>
  <c r="CY441" i="5"/>
  <c r="AB441" i="5"/>
  <c r="L441" i="5" s="1"/>
  <c r="CW441" i="5"/>
  <c r="BK441" i="5"/>
  <c r="BL441" i="5" s="1"/>
  <c r="BM441" i="5" s="1"/>
  <c r="CR441" i="5"/>
  <c r="D441" i="5"/>
  <c r="CX441" i="5"/>
  <c r="C416" i="6"/>
  <c r="CS441" i="5"/>
  <c r="BG440" i="5"/>
  <c r="H440" i="5" s="1"/>
  <c r="AX441" i="5"/>
  <c r="AW441" i="5" s="1"/>
  <c r="CU441" i="5"/>
  <c r="BX441" i="5" s="1"/>
  <c r="AD441" i="5" l="1"/>
  <c r="AE441" i="5" s="1"/>
  <c r="CH441" i="5"/>
  <c r="CK441" i="5"/>
  <c r="CJ441" i="5" s="1"/>
  <c r="X439" i="5"/>
  <c r="Y439" i="5" s="1"/>
  <c r="DA441" i="5"/>
  <c r="DB441" i="5" s="1"/>
  <c r="K441" i="5" s="1"/>
  <c r="BN441" i="5"/>
  <c r="BO441" i="5" s="1"/>
  <c r="BP441" i="5" s="1"/>
  <c r="G441" i="5" s="1"/>
  <c r="T441" i="5"/>
  <c r="U441" i="5" s="1"/>
  <c r="W441" i="5"/>
  <c r="CV441" i="5"/>
  <c r="CT441" i="5"/>
  <c r="CP441" i="5"/>
  <c r="CQ441" i="5" s="1"/>
  <c r="R441" i="5" s="1"/>
  <c r="S441" i="5" s="1"/>
  <c r="I440" i="5"/>
  <c r="AH440" i="5" s="1"/>
  <c r="Z439" i="5" l="1"/>
  <c r="AA439" i="5" s="1"/>
  <c r="I414" i="6" s="1"/>
  <c r="H414" i="6"/>
  <c r="AT440" i="5"/>
  <c r="AP440" i="5"/>
  <c r="CO441" i="5"/>
  <c r="F441" i="5" s="1"/>
  <c r="CN441" i="5"/>
  <c r="E441" i="5" s="1"/>
  <c r="M440" i="5"/>
  <c r="P440" i="5"/>
  <c r="AY440" i="5" s="1"/>
  <c r="BW441" i="5" l="1"/>
  <c r="BY441" i="5"/>
  <c r="J441" i="5" s="1"/>
  <c r="AF441" i="5" s="1"/>
  <c r="AS440" i="5"/>
  <c r="AV440" i="5" s="1"/>
  <c r="AG440" i="5"/>
  <c r="AJ440" i="5" s="1"/>
  <c r="F415" i="6"/>
  <c r="Q440" i="5"/>
  <c r="V440" i="5" s="1"/>
  <c r="E416" i="6"/>
  <c r="C442" i="5"/>
  <c r="BU442" i="5" s="1"/>
  <c r="AO440" i="5"/>
  <c r="N440" i="5"/>
  <c r="D416" i="6"/>
  <c r="BC441" i="5"/>
  <c r="AN441" i="5" l="1"/>
  <c r="BV442" i="5"/>
  <c r="BT442" i="5"/>
  <c r="BS442" i="5"/>
  <c r="CI442" i="5"/>
  <c r="BH442" i="5"/>
  <c r="BI442" i="5" s="1"/>
  <c r="BJ442" i="5" s="1"/>
  <c r="BK442" i="5"/>
  <c r="BL442" i="5" s="1"/>
  <c r="BM442" i="5" s="1"/>
  <c r="CX442" i="5"/>
  <c r="CY442" i="5"/>
  <c r="CR442" i="5"/>
  <c r="AK442" i="5"/>
  <c r="AM442" i="5" s="1"/>
  <c r="AL443" i="5" s="1"/>
  <c r="CS442" i="5"/>
  <c r="CW442" i="5"/>
  <c r="AB442" i="5"/>
  <c r="BN442" i="5" s="1"/>
  <c r="BO442" i="5" s="1"/>
  <c r="BP442" i="5" s="1"/>
  <c r="C417" i="6"/>
  <c r="AC442" i="5"/>
  <c r="AD442" i="5" s="1"/>
  <c r="D442" i="5"/>
  <c r="CL442" i="5"/>
  <c r="CM442" i="5" s="1"/>
  <c r="BG441" i="5"/>
  <c r="H441" i="5" s="1"/>
  <c r="AX442" i="5"/>
  <c r="AW442" i="5" s="1"/>
  <c r="CU442" i="5"/>
  <c r="BX442" i="5" s="1"/>
  <c r="CZ441" i="5"/>
  <c r="BD441" i="5"/>
  <c r="BE442" i="5" s="1"/>
  <c r="BF441" i="5"/>
  <c r="AR440" i="5"/>
  <c r="G415" i="6"/>
  <c r="G442" i="5" l="1"/>
  <c r="CP442" i="5"/>
  <c r="CQ442" i="5" s="1"/>
  <c r="R442" i="5" s="1"/>
  <c r="S442" i="5" s="1"/>
  <c r="DA442" i="5"/>
  <c r="DB442" i="5" s="1"/>
  <c r="K442" i="5" s="1"/>
  <c r="CH442" i="5"/>
  <c r="CK442" i="5"/>
  <c r="CJ442" i="5" s="1"/>
  <c r="L442" i="5"/>
  <c r="X440" i="5"/>
  <c r="Y440" i="5" s="1"/>
  <c r="CT442" i="5"/>
  <c r="CV442" i="5"/>
  <c r="W442" i="5"/>
  <c r="T442" i="5"/>
  <c r="U442" i="5" s="1"/>
  <c r="AE442" i="5"/>
  <c r="I441" i="5"/>
  <c r="AP441" i="5" s="1"/>
  <c r="H415" i="6" l="1"/>
  <c r="Z440" i="5"/>
  <c r="AA440" i="5" s="1"/>
  <c r="I415" i="6" s="1"/>
  <c r="AT441" i="5"/>
  <c r="AH441" i="5"/>
  <c r="M441" i="5"/>
  <c r="P441" i="5"/>
  <c r="AY441" i="5" s="1"/>
  <c r="CO442" i="5"/>
  <c r="F442" i="5" s="1"/>
  <c r="CN442" i="5"/>
  <c r="E442" i="5" s="1"/>
  <c r="AS441" i="5" l="1"/>
  <c r="AV441" i="5" s="1"/>
  <c r="AO441" i="5"/>
  <c r="AR441" i="5" s="1"/>
  <c r="D417" i="6"/>
  <c r="BC442" i="5"/>
  <c r="F416" i="6"/>
  <c r="Q441" i="5"/>
  <c r="V441" i="5" s="1"/>
  <c r="E417" i="6"/>
  <c r="C443" i="5"/>
  <c r="BU443" i="5" s="1"/>
  <c r="AG441" i="5"/>
  <c r="N441" i="5"/>
  <c r="BW442" i="5" l="1"/>
  <c r="BY442" i="5"/>
  <c r="J442" i="5" s="1"/>
  <c r="BV443" i="5"/>
  <c r="BT443" i="5"/>
  <c r="BS443" i="5"/>
  <c r="CI443" i="5"/>
  <c r="BH443" i="5"/>
  <c r="BI443" i="5" s="1"/>
  <c r="BJ443" i="5" s="1"/>
  <c r="AJ441" i="5"/>
  <c r="X441" i="5" s="1"/>
  <c r="Y441" i="5" s="1"/>
  <c r="AC443" i="5"/>
  <c r="AK443" i="5"/>
  <c r="AM443" i="5" s="1"/>
  <c r="AL444" i="5" s="1"/>
  <c r="D443" i="5"/>
  <c r="CY443" i="5"/>
  <c r="C418" i="6"/>
  <c r="CL443" i="5"/>
  <c r="CM443" i="5" s="1"/>
  <c r="CS443" i="5"/>
  <c r="CW443" i="5"/>
  <c r="AB443" i="5"/>
  <c r="CP443" i="5" s="1"/>
  <c r="CQ443" i="5" s="1"/>
  <c r="R443" i="5" s="1"/>
  <c r="S443" i="5" s="1"/>
  <c r="BK443" i="5"/>
  <c r="BL443" i="5" s="1"/>
  <c r="BM443" i="5" s="1"/>
  <c r="CX443" i="5"/>
  <c r="CR443" i="5"/>
  <c r="BG442" i="5"/>
  <c r="H442" i="5" s="1"/>
  <c r="AX443" i="5"/>
  <c r="AW443" i="5" s="1"/>
  <c r="CU443" i="5"/>
  <c r="G416" i="6"/>
  <c r="BD442" i="5"/>
  <c r="BE443" i="5" s="1"/>
  <c r="CZ442" i="5"/>
  <c r="BF442" i="5"/>
  <c r="AN442" i="5" l="1"/>
  <c r="AF442" i="5"/>
  <c r="BX443" i="5"/>
  <c r="AD443" i="5"/>
  <c r="AE443" i="5" s="1"/>
  <c r="CK443" i="5"/>
  <c r="CJ443" i="5" s="1"/>
  <c r="CH443" i="5"/>
  <c r="W443" i="5"/>
  <c r="T443" i="5"/>
  <c r="U443" i="5" s="1"/>
  <c r="H416" i="6"/>
  <c r="Z441" i="5"/>
  <c r="I442" i="5"/>
  <c r="AH442" i="5" s="1"/>
  <c r="CV443" i="5"/>
  <c r="CT443" i="5"/>
  <c r="DA443" i="5"/>
  <c r="DB443" i="5" s="1"/>
  <c r="K443" i="5" s="1"/>
  <c r="L443" i="5"/>
  <c r="BN443" i="5"/>
  <c r="BO443" i="5" s="1"/>
  <c r="BP443" i="5" s="1"/>
  <c r="G443" i="5" s="1"/>
  <c r="AT442" i="5" l="1"/>
  <c r="AP442" i="5"/>
  <c r="CO443" i="5"/>
  <c r="F443" i="5" s="1"/>
  <c r="CN443" i="5"/>
  <c r="E443" i="5" s="1"/>
  <c r="AA441" i="5"/>
  <c r="I416" i="6" s="1"/>
  <c r="M442" i="5"/>
  <c r="P442" i="5"/>
  <c r="AY442" i="5" s="1"/>
  <c r="BW443" i="5" l="1"/>
  <c r="BY443" i="5"/>
  <c r="J443" i="5" s="1"/>
  <c r="AO442" i="5"/>
  <c r="AR442" i="5" s="1"/>
  <c r="AG442" i="5"/>
  <c r="AJ442" i="5" s="1"/>
  <c r="D418" i="6"/>
  <c r="BC443" i="5"/>
  <c r="C444" i="5"/>
  <c r="BU444" i="5" s="1"/>
  <c r="E418" i="6"/>
  <c r="Q442" i="5"/>
  <c r="V442" i="5" s="1"/>
  <c r="F417" i="6"/>
  <c r="N442" i="5"/>
  <c r="AS442" i="5"/>
  <c r="AV442" i="5" s="1"/>
  <c r="AN443" i="5" l="1"/>
  <c r="AF443" i="5"/>
  <c r="BT444" i="5"/>
  <c r="BV444" i="5"/>
  <c r="BS444" i="5"/>
  <c r="CI444" i="5"/>
  <c r="BH444" i="5"/>
  <c r="BI444" i="5" s="1"/>
  <c r="BJ444" i="5" s="1"/>
  <c r="X442" i="5"/>
  <c r="Y442" i="5" s="1"/>
  <c r="G417" i="6"/>
  <c r="CX444" i="5"/>
  <c r="CY444" i="5"/>
  <c r="D444" i="5"/>
  <c r="CR444" i="5"/>
  <c r="AB444" i="5"/>
  <c r="L444" i="5" s="1"/>
  <c r="CS444" i="5"/>
  <c r="AC444" i="5"/>
  <c r="AD444" i="5" s="1"/>
  <c r="C419" i="6"/>
  <c r="BK444" i="5"/>
  <c r="BL444" i="5" s="1"/>
  <c r="BM444" i="5" s="1"/>
  <c r="AK444" i="5"/>
  <c r="AM444" i="5" s="1"/>
  <c r="AL445" i="5" s="1"/>
  <c r="CL444" i="5"/>
  <c r="CM444" i="5" s="1"/>
  <c r="CW444" i="5"/>
  <c r="BG443" i="5"/>
  <c r="H443" i="5" s="1"/>
  <c r="AX444" i="5"/>
  <c r="AW444" i="5" s="1"/>
  <c r="CU444" i="5"/>
  <c r="BX444" i="5" s="1"/>
  <c r="BF443" i="5"/>
  <c r="BD443" i="5"/>
  <c r="BE444" i="5" s="1"/>
  <c r="CZ443" i="5"/>
  <c r="CH444" i="5" l="1"/>
  <c r="CK444" i="5"/>
  <c r="CJ444" i="5" s="1"/>
  <c r="DA444" i="5"/>
  <c r="DB444" i="5" s="1"/>
  <c r="CP444" i="5"/>
  <c r="CQ444" i="5" s="1"/>
  <c r="R444" i="5" s="1"/>
  <c r="S444" i="5" s="1"/>
  <c r="BN444" i="5"/>
  <c r="BO444" i="5" s="1"/>
  <c r="BP444" i="5" s="1"/>
  <c r="G444" i="5" s="1"/>
  <c r="T444" i="5"/>
  <c r="U444" i="5" s="1"/>
  <c r="W444" i="5"/>
  <c r="AE444" i="5"/>
  <c r="I443" i="5"/>
  <c r="AH443" i="5" s="1"/>
  <c r="CT444" i="5"/>
  <c r="CV444" i="5"/>
  <c r="H417" i="6"/>
  <c r="Z442" i="5"/>
  <c r="K444" i="5" l="1"/>
  <c r="CO444" i="5"/>
  <c r="F444" i="5" s="1"/>
  <c r="CN444" i="5"/>
  <c r="E444" i="5" s="1"/>
  <c r="AT443" i="5"/>
  <c r="AP443" i="5"/>
  <c r="AA442" i="5"/>
  <c r="I417" i="6" s="1"/>
  <c r="P443" i="5"/>
  <c r="AY443" i="5" s="1"/>
  <c r="M443" i="5"/>
  <c r="AG443" i="5" s="1"/>
  <c r="AJ443" i="5" s="1"/>
  <c r="BW444" i="5" l="1"/>
  <c r="BY444" i="5"/>
  <c r="J444" i="5" s="1"/>
  <c r="AF444" i="5" s="1"/>
  <c r="N443" i="5"/>
  <c r="AS443" i="5"/>
  <c r="AV443" i="5" s="1"/>
  <c r="AO443" i="5"/>
  <c r="BC444" i="5"/>
  <c r="D419" i="6"/>
  <c r="E419" i="6"/>
  <c r="C445" i="5"/>
  <c r="BU445" i="5" s="1"/>
  <c r="F418" i="6"/>
  <c r="Q443" i="5"/>
  <c r="V443" i="5" s="1"/>
  <c r="AN444" i="5" l="1"/>
  <c r="BT445" i="5"/>
  <c r="BV445" i="5"/>
  <c r="BS445" i="5"/>
  <c r="CI445" i="5"/>
  <c r="BH445" i="5"/>
  <c r="BI445" i="5" s="1"/>
  <c r="BJ445" i="5" s="1"/>
  <c r="BD444" i="5"/>
  <c r="BE445" i="5" s="1"/>
  <c r="BF444" i="5"/>
  <c r="CZ444" i="5"/>
  <c r="CU445" i="5"/>
  <c r="BX445" i="5" s="1"/>
  <c r="AB445" i="5"/>
  <c r="CP445" i="5" s="1"/>
  <c r="CQ445" i="5" s="1"/>
  <c r="R445" i="5" s="1"/>
  <c r="S445" i="5" s="1"/>
  <c r="AC445" i="5"/>
  <c r="D445" i="5"/>
  <c r="CW445" i="5"/>
  <c r="CL445" i="5"/>
  <c r="CM445" i="5" s="1"/>
  <c r="C420" i="6"/>
  <c r="AK445" i="5"/>
  <c r="BK445" i="5"/>
  <c r="BL445" i="5" s="1"/>
  <c r="BM445" i="5" s="1"/>
  <c r="CY445" i="5"/>
  <c r="CX445" i="5"/>
  <c r="CS445" i="5"/>
  <c r="CR445" i="5"/>
  <c r="BG444" i="5"/>
  <c r="H444" i="5" s="1"/>
  <c r="AX445" i="5"/>
  <c r="AW445" i="5" s="1"/>
  <c r="AR443" i="5"/>
  <c r="G418" i="6"/>
  <c r="AD445" i="5" l="1"/>
  <c r="AE445" i="5" s="1"/>
  <c r="CH445" i="5"/>
  <c r="CK445" i="5"/>
  <c r="CJ445" i="5" s="1"/>
  <c r="X443" i="5"/>
  <c r="Y443" i="5" s="1"/>
  <c r="BN445" i="5"/>
  <c r="BO445" i="5" s="1"/>
  <c r="BP445" i="5" s="1"/>
  <c r="G445" i="5" s="1"/>
  <c r="DA445" i="5"/>
  <c r="DB445" i="5" s="1"/>
  <c r="K445" i="5" s="1"/>
  <c r="L445" i="5"/>
  <c r="T445" i="5"/>
  <c r="U445" i="5" s="1"/>
  <c r="W445" i="5"/>
  <c r="I444" i="5"/>
  <c r="AH444" i="5" s="1"/>
  <c r="CV445" i="5"/>
  <c r="CT445" i="5"/>
  <c r="AM445" i="5"/>
  <c r="AL446" i="5" s="1"/>
  <c r="H418" i="6" l="1"/>
  <c r="Z443" i="5"/>
  <c r="AA443" i="5" s="1"/>
  <c r="I418" i="6" s="1"/>
  <c r="AT444" i="5"/>
  <c r="AP444" i="5"/>
  <c r="CO445" i="5"/>
  <c r="F445" i="5" s="1"/>
  <c r="CN445" i="5"/>
  <c r="E445" i="5" s="1"/>
  <c r="P444" i="5"/>
  <c r="AY444" i="5" s="1"/>
  <c r="M444" i="5"/>
  <c r="AG444" i="5" s="1"/>
  <c r="AJ444" i="5" s="1"/>
  <c r="N444" i="5" l="1"/>
  <c r="AS444" i="5"/>
  <c r="AV444" i="5" s="1"/>
  <c r="AO444" i="5"/>
  <c r="AR444" i="5" s="1"/>
  <c r="C446" i="5"/>
  <c r="BU446" i="5" s="1"/>
  <c r="E420" i="6"/>
  <c r="F419" i="6"/>
  <c r="Q444" i="5"/>
  <c r="V444" i="5" s="1"/>
  <c r="D420" i="6"/>
  <c r="BC445" i="5"/>
  <c r="BY445" i="5" l="1"/>
  <c r="J445" i="5" s="1"/>
  <c r="BW445" i="5"/>
  <c r="BT446" i="5"/>
  <c r="BV446" i="5"/>
  <c r="BS446" i="5"/>
  <c r="CI446" i="5"/>
  <c r="BH446" i="5"/>
  <c r="BI446" i="5" s="1"/>
  <c r="BJ446" i="5" s="1"/>
  <c r="X444" i="5"/>
  <c r="Y444" i="5" s="1"/>
  <c r="BF445" i="5"/>
  <c r="CZ445" i="5"/>
  <c r="BD445" i="5"/>
  <c r="BE446" i="5" s="1"/>
  <c r="G419" i="6"/>
  <c r="CS446" i="5"/>
  <c r="D446" i="5"/>
  <c r="AC446" i="5"/>
  <c r="AD446" i="5" s="1"/>
  <c r="CW446" i="5"/>
  <c r="AK446" i="5"/>
  <c r="AM446" i="5" s="1"/>
  <c r="AL447" i="5" s="1"/>
  <c r="CY446" i="5"/>
  <c r="CR446" i="5"/>
  <c r="CX446" i="5"/>
  <c r="BK446" i="5"/>
  <c r="BL446" i="5" s="1"/>
  <c r="BM446" i="5" s="1"/>
  <c r="CL446" i="5"/>
  <c r="CM446" i="5" s="1"/>
  <c r="C421" i="6"/>
  <c r="AB446" i="5"/>
  <c r="L446" i="5" s="1"/>
  <c r="BG445" i="5"/>
  <c r="H445" i="5" s="1"/>
  <c r="AX446" i="5"/>
  <c r="AW446" i="5" s="1"/>
  <c r="CU446" i="5"/>
  <c r="AF445" i="5" l="1"/>
  <c r="AN445" i="5"/>
  <c r="BX446" i="5"/>
  <c r="CH446" i="5"/>
  <c r="CK446" i="5"/>
  <c r="CJ446" i="5" s="1"/>
  <c r="DA446" i="5"/>
  <c r="DB446" i="5" s="1"/>
  <c r="K446" i="5" s="1"/>
  <c r="W446" i="5"/>
  <c r="T446" i="5"/>
  <c r="U446" i="5" s="1"/>
  <c r="CT446" i="5"/>
  <c r="CV446" i="5"/>
  <c r="H419" i="6"/>
  <c r="Z444" i="5"/>
  <c r="CP446" i="5"/>
  <c r="CQ446" i="5" s="1"/>
  <c r="R446" i="5" s="1"/>
  <c r="S446" i="5" s="1"/>
  <c r="BN446" i="5"/>
  <c r="BO446" i="5" s="1"/>
  <c r="BP446" i="5" s="1"/>
  <c r="G446" i="5" s="1"/>
  <c r="I445" i="5"/>
  <c r="AP445" i="5" s="1"/>
  <c r="AE446" i="5"/>
  <c r="AA444" i="5" l="1"/>
  <c r="I419" i="6" s="1"/>
  <c r="P445" i="5"/>
  <c r="AY445" i="5" s="1"/>
  <c r="M445" i="5"/>
  <c r="CO446" i="5"/>
  <c r="F446" i="5" s="1"/>
  <c r="CN446" i="5"/>
  <c r="E446" i="5" s="1"/>
  <c r="AT445" i="5"/>
  <c r="AH445" i="5"/>
  <c r="AS445" i="5" l="1"/>
  <c r="AV445" i="5" s="1"/>
  <c r="AO445" i="5"/>
  <c r="AR445" i="5" s="1"/>
  <c r="D421" i="6"/>
  <c r="BC446" i="5"/>
  <c r="N445" i="5"/>
  <c r="AG445" i="5"/>
  <c r="E421" i="6"/>
  <c r="C447" i="5"/>
  <c r="BU447" i="5" s="1"/>
  <c r="F420" i="6"/>
  <c r="Q445" i="5"/>
  <c r="V445" i="5" s="1"/>
  <c r="BW446" i="5" l="1"/>
  <c r="BY446" i="5"/>
  <c r="J446" i="5" s="1"/>
  <c r="BT447" i="5"/>
  <c r="BV447" i="5"/>
  <c r="BS447" i="5"/>
  <c r="CI447" i="5"/>
  <c r="BH447" i="5"/>
  <c r="BI447" i="5" s="1"/>
  <c r="BJ447" i="5" s="1"/>
  <c r="AJ445" i="5"/>
  <c r="G420" i="6"/>
  <c r="BD446" i="5"/>
  <c r="BE447" i="5" s="1"/>
  <c r="CZ446" i="5"/>
  <c r="BF446" i="5"/>
  <c r="C422" i="6"/>
  <c r="CX447" i="5"/>
  <c r="CS447" i="5"/>
  <c r="CL447" i="5"/>
  <c r="CM447" i="5" s="1"/>
  <c r="D447" i="5"/>
  <c r="BK447" i="5"/>
  <c r="BL447" i="5" s="1"/>
  <c r="BM447" i="5" s="1"/>
  <c r="AK447" i="5"/>
  <c r="AM447" i="5" s="1"/>
  <c r="AL448" i="5" s="1"/>
  <c r="AB447" i="5"/>
  <c r="CP447" i="5" s="1"/>
  <c r="CQ447" i="5" s="1"/>
  <c r="R447" i="5" s="1"/>
  <c r="S447" i="5" s="1"/>
  <c r="CR447" i="5"/>
  <c r="AC447" i="5"/>
  <c r="AD447" i="5" s="1"/>
  <c r="CY447" i="5"/>
  <c r="CW447" i="5"/>
  <c r="BG446" i="5"/>
  <c r="H446" i="5" s="1"/>
  <c r="AX447" i="5"/>
  <c r="AW447" i="5" s="1"/>
  <c r="CU447" i="5"/>
  <c r="AN446" i="5" l="1"/>
  <c r="AF446" i="5"/>
  <c r="BX447" i="5"/>
  <c r="CH447" i="5"/>
  <c r="CK447" i="5"/>
  <c r="CJ447" i="5" s="1"/>
  <c r="X445" i="5"/>
  <c r="Y445" i="5" s="1"/>
  <c r="BN447" i="5"/>
  <c r="BO447" i="5" s="1"/>
  <c r="BP447" i="5" s="1"/>
  <c r="G447" i="5" s="1"/>
  <c r="L447" i="5"/>
  <c r="DA447" i="5"/>
  <c r="DB447" i="5" s="1"/>
  <c r="K447" i="5" s="1"/>
  <c r="T447" i="5"/>
  <c r="U447" i="5" s="1"/>
  <c r="W447" i="5"/>
  <c r="I446" i="5"/>
  <c r="AE447" i="5"/>
  <c r="CT447" i="5"/>
  <c r="CV447" i="5"/>
  <c r="Z445" i="5" l="1"/>
  <c r="AA445" i="5" s="1"/>
  <c r="I420" i="6" s="1"/>
  <c r="H420" i="6"/>
  <c r="AH446" i="5"/>
  <c r="AT446" i="5"/>
  <c r="AP446" i="5"/>
  <c r="P446" i="5"/>
  <c r="M446" i="5"/>
  <c r="CN447" i="5"/>
  <c r="E447" i="5" s="1"/>
  <c r="CO447" i="5"/>
  <c r="F447" i="5" s="1"/>
  <c r="BW447" i="5" l="1"/>
  <c r="AY446" i="5"/>
  <c r="BB446" i="5"/>
  <c r="AS446" i="5"/>
  <c r="AV446" i="5" s="1"/>
  <c r="AO446" i="5"/>
  <c r="AR446" i="5" s="1"/>
  <c r="N446" i="5"/>
  <c r="AG446" i="5"/>
  <c r="E422" i="6"/>
  <c r="C448" i="5"/>
  <c r="BU448" i="5" s="1"/>
  <c r="Q446" i="5"/>
  <c r="V446" i="5" s="1"/>
  <c r="F421" i="6"/>
  <c r="D422" i="6"/>
  <c r="BC447" i="5"/>
  <c r="BY447" i="5" l="1"/>
  <c r="J447" i="5" s="1"/>
  <c r="BV448" i="5"/>
  <c r="BT448" i="5"/>
  <c r="BS448" i="5"/>
  <c r="CI448" i="5"/>
  <c r="BH448" i="5"/>
  <c r="BI448" i="5" s="1"/>
  <c r="BJ448" i="5" s="1"/>
  <c r="AJ446" i="5"/>
  <c r="G421" i="6"/>
  <c r="AK448" i="5"/>
  <c r="CX448" i="5"/>
  <c r="CR448" i="5"/>
  <c r="CL448" i="5"/>
  <c r="CM448" i="5" s="1"/>
  <c r="AC448" i="5"/>
  <c r="CW448" i="5"/>
  <c r="D448" i="5"/>
  <c r="AB448" i="5"/>
  <c r="L448" i="5" s="1"/>
  <c r="C423" i="6"/>
  <c r="BK448" i="5"/>
  <c r="BL448" i="5" s="1"/>
  <c r="BM448" i="5" s="1"/>
  <c r="CY448" i="5"/>
  <c r="CS448" i="5"/>
  <c r="BG447" i="5"/>
  <c r="H447" i="5" s="1"/>
  <c r="AX448" i="5"/>
  <c r="AW448" i="5" s="1"/>
  <c r="CU448" i="5"/>
  <c r="BX448" i="5" s="1"/>
  <c r="BD447" i="5"/>
  <c r="BE448" i="5" s="1"/>
  <c r="BF447" i="5"/>
  <c r="CZ447" i="5"/>
  <c r="AN447" i="5" l="1"/>
  <c r="AF447" i="5"/>
  <c r="AD448" i="5"/>
  <c r="AE448" i="5" s="1"/>
  <c r="CK448" i="5"/>
  <c r="CJ448" i="5" s="1"/>
  <c r="CH448" i="5"/>
  <c r="X446" i="5"/>
  <c r="Y446" i="5" s="1"/>
  <c r="DA448" i="5"/>
  <c r="DB448" i="5" s="1"/>
  <c r="K448" i="5" s="1"/>
  <c r="CP448" i="5"/>
  <c r="CQ448" i="5" s="1"/>
  <c r="R448" i="5" s="1"/>
  <c r="S448" i="5" s="1"/>
  <c r="AM448" i="5"/>
  <c r="AL449" i="5" s="1"/>
  <c r="I447" i="5"/>
  <c r="AH447" i="5" s="1"/>
  <c r="CV448" i="5"/>
  <c r="CT448" i="5"/>
  <c r="W448" i="5"/>
  <c r="T448" i="5"/>
  <c r="U448" i="5" s="1"/>
  <c r="BN448" i="5"/>
  <c r="BO448" i="5" s="1"/>
  <c r="BP448" i="5" s="1"/>
  <c r="G448" i="5" s="1"/>
  <c r="H421" i="6" l="1"/>
  <c r="Z446" i="5"/>
  <c r="AA446" i="5" s="1"/>
  <c r="I421" i="6" s="1"/>
  <c r="AT447" i="5"/>
  <c r="AP447" i="5"/>
  <c r="CO448" i="5"/>
  <c r="F448" i="5" s="1"/>
  <c r="CN448" i="5"/>
  <c r="E448" i="5" s="1"/>
  <c r="M447" i="5"/>
  <c r="P447" i="5"/>
  <c r="AY447" i="5" s="1"/>
  <c r="AO447" i="5" l="1"/>
  <c r="AR447" i="5" s="1"/>
  <c r="AG447" i="5"/>
  <c r="AJ447" i="5" s="1"/>
  <c r="N447" i="5"/>
  <c r="AS447" i="5"/>
  <c r="AV447" i="5" s="1"/>
  <c r="Q447" i="5"/>
  <c r="V447" i="5" s="1"/>
  <c r="F422" i="6"/>
  <c r="E423" i="6"/>
  <c r="C449" i="5"/>
  <c r="BU449" i="5" s="1"/>
  <c r="BC448" i="5"/>
  <c r="D423" i="6"/>
  <c r="BY448" i="5" l="1"/>
  <c r="J448" i="5" s="1"/>
  <c r="BW448" i="5"/>
  <c r="BT449" i="5"/>
  <c r="BV449" i="5"/>
  <c r="BS449" i="5"/>
  <c r="CI449" i="5"/>
  <c r="BH449" i="5"/>
  <c r="BI449" i="5" s="1"/>
  <c r="BJ449" i="5" s="1"/>
  <c r="X447" i="5"/>
  <c r="Y447" i="5" s="1"/>
  <c r="BD448" i="5"/>
  <c r="BE449" i="5" s="1"/>
  <c r="CZ448" i="5"/>
  <c r="BF448" i="5"/>
  <c r="CR449" i="5"/>
  <c r="C424" i="6"/>
  <c r="CL449" i="5"/>
  <c r="CM449" i="5" s="1"/>
  <c r="AC449" i="5"/>
  <c r="AD449" i="5" s="1"/>
  <c r="CW449" i="5"/>
  <c r="AK449" i="5"/>
  <c r="AM449" i="5" s="1"/>
  <c r="AL450" i="5" s="1"/>
  <c r="D449" i="5"/>
  <c r="CX449" i="5"/>
  <c r="CY449" i="5"/>
  <c r="AB449" i="5"/>
  <c r="CP449" i="5" s="1"/>
  <c r="CQ449" i="5" s="1"/>
  <c r="R449" i="5" s="1"/>
  <c r="S449" i="5" s="1"/>
  <c r="BK449" i="5"/>
  <c r="BL449" i="5" s="1"/>
  <c r="BM449" i="5" s="1"/>
  <c r="CS449" i="5"/>
  <c r="BG448" i="5"/>
  <c r="H448" i="5" s="1"/>
  <c r="AX449" i="5"/>
  <c r="AW449" i="5" s="1"/>
  <c r="CU449" i="5"/>
  <c r="G422" i="6"/>
  <c r="AN448" i="5" l="1"/>
  <c r="AF448" i="5"/>
  <c r="BX449" i="5"/>
  <c r="CH449" i="5"/>
  <c r="CK449" i="5"/>
  <c r="CJ449" i="5" s="1"/>
  <c r="I448" i="5"/>
  <c r="AE449" i="5"/>
  <c r="H422" i="6"/>
  <c r="Z447" i="5"/>
  <c r="T449" i="5"/>
  <c r="U449" i="5" s="1"/>
  <c r="W449" i="5"/>
  <c r="CT449" i="5"/>
  <c r="CV449" i="5"/>
  <c r="DA449" i="5"/>
  <c r="DB449" i="5" s="1"/>
  <c r="K449" i="5" s="1"/>
  <c r="L449" i="5"/>
  <c r="BN449" i="5"/>
  <c r="BO449" i="5" s="1"/>
  <c r="BP449" i="5" s="1"/>
  <c r="G449" i="5" s="1"/>
  <c r="AH448" i="5" l="1"/>
  <c r="AT448" i="5"/>
  <c r="AP448" i="5"/>
  <c r="AA447" i="5"/>
  <c r="I422" i="6" s="1"/>
  <c r="CN449" i="5"/>
  <c r="E449" i="5" s="1"/>
  <c r="CO449" i="5"/>
  <c r="F449" i="5" s="1"/>
  <c r="M448" i="5"/>
  <c r="P448" i="5"/>
  <c r="AY448" i="5" s="1"/>
  <c r="AG448" i="5" l="1"/>
  <c r="AJ448" i="5" s="1"/>
  <c r="AS448" i="5"/>
  <c r="AV448" i="5" s="1"/>
  <c r="E424" i="6"/>
  <c r="C450" i="5"/>
  <c r="BU450" i="5" s="1"/>
  <c r="BC449" i="5"/>
  <c r="D424" i="6"/>
  <c r="AO448" i="5"/>
  <c r="AR448" i="5" s="1"/>
  <c r="N448" i="5"/>
  <c r="F423" i="6"/>
  <c r="Q448" i="5"/>
  <c r="V448" i="5" s="1"/>
  <c r="BW449" i="5" l="1"/>
  <c r="BY449" i="5"/>
  <c r="J449" i="5" s="1"/>
  <c r="BV450" i="5"/>
  <c r="BT450" i="5"/>
  <c r="BS450" i="5"/>
  <c r="CI450" i="5"/>
  <c r="BH450" i="5"/>
  <c r="BI450" i="5" s="1"/>
  <c r="BJ450" i="5" s="1"/>
  <c r="X448" i="5"/>
  <c r="Y448" i="5" s="1"/>
  <c r="BF449" i="5"/>
  <c r="CZ449" i="5"/>
  <c r="BD449" i="5"/>
  <c r="BE450" i="5" s="1"/>
  <c r="G423" i="6"/>
  <c r="CW450" i="5"/>
  <c r="AB450" i="5"/>
  <c r="CP450" i="5" s="1"/>
  <c r="CQ450" i="5" s="1"/>
  <c r="R450" i="5" s="1"/>
  <c r="S450" i="5" s="1"/>
  <c r="CX450" i="5"/>
  <c r="CL450" i="5"/>
  <c r="CM450" i="5" s="1"/>
  <c r="D450" i="5"/>
  <c r="BK450" i="5"/>
  <c r="BL450" i="5" s="1"/>
  <c r="BM450" i="5" s="1"/>
  <c r="CY450" i="5"/>
  <c r="C425" i="6"/>
  <c r="CR450" i="5"/>
  <c r="CS450" i="5"/>
  <c r="AK450" i="5"/>
  <c r="AM450" i="5" s="1"/>
  <c r="AL451" i="5" s="1"/>
  <c r="AC450" i="5"/>
  <c r="AD450" i="5" s="1"/>
  <c r="BG449" i="5"/>
  <c r="H449" i="5" s="1"/>
  <c r="AX450" i="5"/>
  <c r="AW450" i="5" s="1"/>
  <c r="CU450" i="5"/>
  <c r="AN449" i="5" l="1"/>
  <c r="AF449" i="5"/>
  <c r="BX450" i="5"/>
  <c r="CH450" i="5"/>
  <c r="CK450" i="5"/>
  <c r="CJ450" i="5" s="1"/>
  <c r="BN450" i="5"/>
  <c r="BO450" i="5" s="1"/>
  <c r="BP450" i="5" s="1"/>
  <c r="G450" i="5" s="1"/>
  <c r="CT450" i="5"/>
  <c r="CV450" i="5"/>
  <c r="H423" i="6"/>
  <c r="Z448" i="5"/>
  <c r="DA450" i="5"/>
  <c r="DB450" i="5" s="1"/>
  <c r="K450" i="5" s="1"/>
  <c r="AE450" i="5"/>
  <c r="I449" i="5"/>
  <c r="AH449" i="5" s="1"/>
  <c r="W450" i="5"/>
  <c r="T450" i="5"/>
  <c r="U450" i="5" s="1"/>
  <c r="L450" i="5"/>
  <c r="AT449" i="5" l="1"/>
  <c r="AP449" i="5"/>
  <c r="AA448" i="5"/>
  <c r="I423" i="6" s="1"/>
  <c r="P449" i="5"/>
  <c r="AY449" i="5" s="1"/>
  <c r="M449" i="5"/>
  <c r="CN450" i="5"/>
  <c r="E450" i="5" s="1"/>
  <c r="CO450" i="5"/>
  <c r="F450" i="5" s="1"/>
  <c r="BW450" i="5" l="1"/>
  <c r="BY450" i="5"/>
  <c r="J450" i="5" s="1"/>
  <c r="AO449" i="5"/>
  <c r="AR449" i="5" s="1"/>
  <c r="AG449" i="5"/>
  <c r="AJ449" i="5" s="1"/>
  <c r="N449" i="5"/>
  <c r="AS449" i="5"/>
  <c r="AV449" i="5" s="1"/>
  <c r="F424" i="6"/>
  <c r="Q449" i="5"/>
  <c r="V449" i="5" s="1"/>
  <c r="C451" i="5"/>
  <c r="BU451" i="5" s="1"/>
  <c r="E425" i="6"/>
  <c r="BC450" i="5"/>
  <c r="D425" i="6"/>
  <c r="AN450" i="5" l="1"/>
  <c r="AF450" i="5"/>
  <c r="BV451" i="5"/>
  <c r="BT451" i="5"/>
  <c r="BS451" i="5"/>
  <c r="CI451" i="5"/>
  <c r="BH451" i="5"/>
  <c r="BI451" i="5" s="1"/>
  <c r="BJ451" i="5" s="1"/>
  <c r="X449" i="5"/>
  <c r="Y449" i="5" s="1"/>
  <c r="CW451" i="5"/>
  <c r="D451" i="5"/>
  <c r="CL451" i="5"/>
  <c r="CM451" i="5" s="1"/>
  <c r="AK451" i="5"/>
  <c r="AM451" i="5" s="1"/>
  <c r="AL452" i="5" s="1"/>
  <c r="C426" i="6"/>
  <c r="CS451" i="5"/>
  <c r="CY451" i="5"/>
  <c r="AB451" i="5"/>
  <c r="L451" i="5" s="1"/>
  <c r="CR451" i="5"/>
  <c r="BK451" i="5"/>
  <c r="BL451" i="5" s="1"/>
  <c r="BM451" i="5" s="1"/>
  <c r="CX451" i="5"/>
  <c r="AC451" i="5"/>
  <c r="AD451" i="5" s="1"/>
  <c r="BG450" i="5"/>
  <c r="H450" i="5" s="1"/>
  <c r="AX451" i="5"/>
  <c r="AW451" i="5" s="1"/>
  <c r="CU451" i="5"/>
  <c r="BX451" i="5" s="1"/>
  <c r="G424" i="6"/>
  <c r="BF450" i="5"/>
  <c r="BD450" i="5"/>
  <c r="BE451" i="5" s="1"/>
  <c r="CZ450" i="5"/>
  <c r="CK451" i="5" l="1"/>
  <c r="CJ451" i="5" s="1"/>
  <c r="CH451" i="5"/>
  <c r="BN451" i="5"/>
  <c r="BO451" i="5" s="1"/>
  <c r="BP451" i="5" s="1"/>
  <c r="G451" i="5" s="1"/>
  <c r="DA451" i="5"/>
  <c r="DB451" i="5" s="1"/>
  <c r="CP451" i="5"/>
  <c r="CQ451" i="5" s="1"/>
  <c r="R451" i="5" s="1"/>
  <c r="S451" i="5" s="1"/>
  <c r="I450" i="5"/>
  <c r="AH450" i="5" s="1"/>
  <c r="AE451" i="5"/>
  <c r="CT451" i="5"/>
  <c r="CV451" i="5"/>
  <c r="W451" i="5"/>
  <c r="T451" i="5"/>
  <c r="U451" i="5" s="1"/>
  <c r="H424" i="6"/>
  <c r="Z449" i="5"/>
  <c r="K451" i="5" l="1"/>
  <c r="AA449" i="5"/>
  <c r="I424" i="6" s="1"/>
  <c r="CN451" i="5"/>
  <c r="E451" i="5" s="1"/>
  <c r="CO451" i="5"/>
  <c r="F451" i="5" s="1"/>
  <c r="P450" i="5"/>
  <c r="AY450" i="5" s="1"/>
  <c r="M450" i="5"/>
  <c r="AG450" i="5" s="1"/>
  <c r="AJ450" i="5" s="1"/>
  <c r="AT450" i="5"/>
  <c r="AP450" i="5"/>
  <c r="F425" i="6" l="1"/>
  <c r="Q450" i="5"/>
  <c r="V450" i="5" s="1"/>
  <c r="C452" i="5"/>
  <c r="BU452" i="5" s="1"/>
  <c r="E426" i="6"/>
  <c r="D426" i="6"/>
  <c r="BC451" i="5"/>
  <c r="N450" i="5"/>
  <c r="AS450" i="5"/>
  <c r="AV450" i="5" s="1"/>
  <c r="AO450" i="5"/>
  <c r="AR450" i="5" s="1"/>
  <c r="BW451" i="5" l="1"/>
  <c r="BY451" i="5"/>
  <c r="J451" i="5" s="1"/>
  <c r="BT452" i="5"/>
  <c r="BV452" i="5"/>
  <c r="BS452" i="5"/>
  <c r="CI452" i="5"/>
  <c r="BH452" i="5"/>
  <c r="BI452" i="5" s="1"/>
  <c r="BJ452" i="5" s="1"/>
  <c r="X450" i="5"/>
  <c r="Y450" i="5" s="1"/>
  <c r="BD451" i="5"/>
  <c r="BE452" i="5" s="1"/>
  <c r="CZ451" i="5"/>
  <c r="BF451" i="5"/>
  <c r="CX452" i="5"/>
  <c r="AC452" i="5"/>
  <c r="CL452" i="5"/>
  <c r="CM452" i="5" s="1"/>
  <c r="CY452" i="5"/>
  <c r="CS452" i="5"/>
  <c r="AB452" i="5"/>
  <c r="L452" i="5" s="1"/>
  <c r="BK452" i="5"/>
  <c r="BL452" i="5" s="1"/>
  <c r="BM452" i="5" s="1"/>
  <c r="CW452" i="5"/>
  <c r="AK452" i="5"/>
  <c r="C427" i="6"/>
  <c r="CR452" i="5"/>
  <c r="D452" i="5"/>
  <c r="BG451" i="5"/>
  <c r="H451" i="5" s="1"/>
  <c r="AX452" i="5"/>
  <c r="AW452" i="5" s="1"/>
  <c r="CU452" i="5"/>
  <c r="G425" i="6"/>
  <c r="AF451" i="5" l="1"/>
  <c r="AN451" i="5"/>
  <c r="BX452" i="5"/>
  <c r="AD452" i="5"/>
  <c r="AE452" i="5" s="1"/>
  <c r="CH452" i="5"/>
  <c r="CK452" i="5"/>
  <c r="CJ452" i="5" s="1"/>
  <c r="DA452" i="5"/>
  <c r="DB452" i="5" s="1"/>
  <c r="K452" i="5" s="1"/>
  <c r="BN452" i="5"/>
  <c r="BO452" i="5" s="1"/>
  <c r="BP452" i="5" s="1"/>
  <c r="G452" i="5" s="1"/>
  <c r="CP452" i="5"/>
  <c r="CQ452" i="5" s="1"/>
  <c r="R452" i="5" s="1"/>
  <c r="S452" i="5" s="1"/>
  <c r="AM452" i="5"/>
  <c r="AL453" i="5" s="1"/>
  <c r="H425" i="6"/>
  <c r="Z450" i="5"/>
  <c r="CV452" i="5"/>
  <c r="CT452" i="5"/>
  <c r="I451" i="5"/>
  <c r="W452" i="5"/>
  <c r="T452" i="5"/>
  <c r="U452" i="5" s="1"/>
  <c r="AH451" i="5" l="1"/>
  <c r="AT451" i="5"/>
  <c r="AP451" i="5"/>
  <c r="CO452" i="5"/>
  <c r="F452" i="5" s="1"/>
  <c r="CN452" i="5"/>
  <c r="E452" i="5" s="1"/>
  <c r="AA450" i="5"/>
  <c r="I425" i="6" s="1"/>
  <c r="M451" i="5"/>
  <c r="P451" i="5"/>
  <c r="AY451" i="5" s="1"/>
  <c r="BW452" i="5" l="1"/>
  <c r="BY452" i="5"/>
  <c r="J452" i="5" s="1"/>
  <c r="AF452" i="5" s="1"/>
  <c r="AO451" i="5"/>
  <c r="AR451" i="5" s="1"/>
  <c r="AG451" i="5"/>
  <c r="AJ451" i="5" s="1"/>
  <c r="N451" i="5"/>
  <c r="AS451" i="5"/>
  <c r="AV451" i="5" s="1"/>
  <c r="F426" i="6"/>
  <c r="Q451" i="5"/>
  <c r="V451" i="5" s="1"/>
  <c r="D427" i="6"/>
  <c r="BC452" i="5"/>
  <c r="C453" i="5"/>
  <c r="BU453" i="5" s="1"/>
  <c r="E427" i="6"/>
  <c r="AN452" i="5" l="1"/>
  <c r="BT453" i="5"/>
  <c r="BV453" i="5"/>
  <c r="BS453" i="5"/>
  <c r="CI453" i="5"/>
  <c r="BH453" i="5"/>
  <c r="BI453" i="5" s="1"/>
  <c r="BJ453" i="5" s="1"/>
  <c r="X451" i="5"/>
  <c r="Y451" i="5" s="1"/>
  <c r="CL453" i="5"/>
  <c r="CM453" i="5" s="1"/>
  <c r="CW453" i="5"/>
  <c r="AC453" i="5"/>
  <c r="AD453" i="5" s="1"/>
  <c r="CR453" i="5"/>
  <c r="CY453" i="5"/>
  <c r="AK453" i="5"/>
  <c r="AM453" i="5" s="1"/>
  <c r="AL454" i="5" s="1"/>
  <c r="D453" i="5"/>
  <c r="BK453" i="5"/>
  <c r="BL453" i="5" s="1"/>
  <c r="BM453" i="5" s="1"/>
  <c r="CS453" i="5"/>
  <c r="CX453" i="5"/>
  <c r="C428" i="6"/>
  <c r="AB453" i="5"/>
  <c r="CP453" i="5" s="1"/>
  <c r="CQ453" i="5" s="1"/>
  <c r="R453" i="5" s="1"/>
  <c r="S453" i="5" s="1"/>
  <c r="BG452" i="5"/>
  <c r="H452" i="5" s="1"/>
  <c r="AX453" i="5"/>
  <c r="AW453" i="5" s="1"/>
  <c r="CU453" i="5"/>
  <c r="BX453" i="5" s="1"/>
  <c r="CZ452" i="5"/>
  <c r="BF452" i="5"/>
  <c r="BD452" i="5"/>
  <c r="BE453" i="5" s="1"/>
  <c r="G426" i="6"/>
  <c r="CH453" i="5" l="1"/>
  <c r="CK453" i="5"/>
  <c r="CJ453" i="5" s="1"/>
  <c r="DA453" i="5"/>
  <c r="DB453" i="5" s="1"/>
  <c r="K453" i="5" s="1"/>
  <c r="W453" i="5"/>
  <c r="T453" i="5"/>
  <c r="U453" i="5" s="1"/>
  <c r="CV453" i="5"/>
  <c r="CT453" i="5"/>
  <c r="L453" i="5"/>
  <c r="BN453" i="5"/>
  <c r="BO453" i="5" s="1"/>
  <c r="BP453" i="5" s="1"/>
  <c r="G453" i="5" s="1"/>
  <c r="I452" i="5"/>
  <c r="AP452" i="5" s="1"/>
  <c r="AE453" i="5"/>
  <c r="H426" i="6"/>
  <c r="Z451" i="5"/>
  <c r="AH452" i="5" l="1"/>
  <c r="AT452" i="5"/>
  <c r="CN453" i="5"/>
  <c r="E453" i="5" s="1"/>
  <c r="CO453" i="5"/>
  <c r="F453" i="5" s="1"/>
  <c r="P452" i="5"/>
  <c r="AY452" i="5" s="1"/>
  <c r="M452" i="5"/>
  <c r="AS452" i="5" s="1"/>
  <c r="AV452" i="5" s="1"/>
  <c r="AA451" i="5"/>
  <c r="I426" i="6" s="1"/>
  <c r="BY453" i="5" l="1"/>
  <c r="J453" i="5" s="1"/>
  <c r="BW453" i="5"/>
  <c r="E428" i="6"/>
  <c r="C454" i="5"/>
  <c r="BU454" i="5" s="1"/>
  <c r="Q452" i="5"/>
  <c r="V452" i="5" s="1"/>
  <c r="F427" i="6"/>
  <c r="BC453" i="5"/>
  <c r="D428" i="6"/>
  <c r="AO452" i="5"/>
  <c r="N452" i="5"/>
  <c r="AG452" i="5"/>
  <c r="AN453" i="5" l="1"/>
  <c r="AF453" i="5"/>
  <c r="BT454" i="5"/>
  <c r="BV454" i="5"/>
  <c r="BS454" i="5"/>
  <c r="CI454" i="5"/>
  <c r="BH454" i="5"/>
  <c r="BI454" i="5" s="1"/>
  <c r="BJ454" i="5" s="1"/>
  <c r="G427" i="6"/>
  <c r="CZ453" i="5"/>
  <c r="BD453" i="5"/>
  <c r="BE454" i="5" s="1"/>
  <c r="BF453" i="5"/>
  <c r="CR454" i="5"/>
  <c r="CL454" i="5"/>
  <c r="CM454" i="5" s="1"/>
  <c r="BK454" i="5"/>
  <c r="BL454" i="5" s="1"/>
  <c r="BM454" i="5" s="1"/>
  <c r="CX454" i="5"/>
  <c r="D454" i="5"/>
  <c r="AK454" i="5"/>
  <c r="CW454" i="5"/>
  <c r="CS454" i="5"/>
  <c r="AC454" i="5"/>
  <c r="AB454" i="5"/>
  <c r="CP454" i="5" s="1"/>
  <c r="CQ454" i="5" s="1"/>
  <c r="R454" i="5" s="1"/>
  <c r="S454" i="5" s="1"/>
  <c r="C429" i="6"/>
  <c r="CY454" i="5"/>
  <c r="BG453" i="5"/>
  <c r="H453" i="5" s="1"/>
  <c r="AX454" i="5"/>
  <c r="AW454" i="5" s="1"/>
  <c r="CU454" i="5"/>
  <c r="BX454" i="5" s="1"/>
  <c r="AR452" i="5"/>
  <c r="AJ452" i="5"/>
  <c r="AD454" i="5" l="1"/>
  <c r="AE454" i="5" s="1"/>
  <c r="CH454" i="5"/>
  <c r="CK454" i="5"/>
  <c r="CJ454" i="5" s="1"/>
  <c r="X452" i="5"/>
  <c r="Y452" i="5" s="1"/>
  <c r="H427" i="6" s="1"/>
  <c r="DA454" i="5"/>
  <c r="DB454" i="5" s="1"/>
  <c r="L454" i="5"/>
  <c r="AM454" i="5"/>
  <c r="AL455" i="5" s="1"/>
  <c r="T454" i="5"/>
  <c r="U454" i="5" s="1"/>
  <c r="W454" i="5"/>
  <c r="I453" i="5"/>
  <c r="BN454" i="5"/>
  <c r="BO454" i="5" s="1"/>
  <c r="BP454" i="5" s="1"/>
  <c r="G454" i="5" s="1"/>
  <c r="CT454" i="5"/>
  <c r="CV454" i="5"/>
  <c r="K454" i="5" l="1"/>
  <c r="Z452" i="5"/>
  <c r="AA452" i="5" s="1"/>
  <c r="I427" i="6" s="1"/>
  <c r="AH453" i="5"/>
  <c r="AT453" i="5"/>
  <c r="AP453" i="5"/>
  <c r="P453" i="5"/>
  <c r="AY453" i="5" s="1"/>
  <c r="M453" i="5"/>
  <c r="CO454" i="5"/>
  <c r="F454" i="5" s="1"/>
  <c r="CN454" i="5"/>
  <c r="E454" i="5" s="1"/>
  <c r="BW454" i="5" l="1"/>
  <c r="BY454" i="5"/>
  <c r="J454" i="5" s="1"/>
  <c r="AG453" i="5"/>
  <c r="AJ453" i="5" s="1"/>
  <c r="AO453" i="5"/>
  <c r="D429" i="6"/>
  <c r="BC454" i="5"/>
  <c r="AS453" i="5"/>
  <c r="AV453" i="5" s="1"/>
  <c r="N453" i="5"/>
  <c r="C455" i="5"/>
  <c r="BU455" i="5" s="1"/>
  <c r="E429" i="6"/>
  <c r="Q453" i="5"/>
  <c r="V453" i="5" s="1"/>
  <c r="F428" i="6"/>
  <c r="AN454" i="5" l="1"/>
  <c r="AF454" i="5"/>
  <c r="BT455" i="5"/>
  <c r="BV455" i="5"/>
  <c r="BS455" i="5"/>
  <c r="CI455" i="5"/>
  <c r="BH455" i="5"/>
  <c r="BI455" i="5" s="1"/>
  <c r="BJ455" i="5" s="1"/>
  <c r="AR453" i="5"/>
  <c r="G428" i="6"/>
  <c r="CX455" i="5"/>
  <c r="C430" i="6"/>
  <c r="AC455" i="5"/>
  <c r="CL455" i="5"/>
  <c r="CM455" i="5" s="1"/>
  <c r="CS455" i="5"/>
  <c r="D455" i="5"/>
  <c r="BK455" i="5"/>
  <c r="BL455" i="5" s="1"/>
  <c r="BM455" i="5" s="1"/>
  <c r="CY455" i="5"/>
  <c r="CW455" i="5"/>
  <c r="CR455" i="5"/>
  <c r="AK455" i="5"/>
  <c r="AM455" i="5" s="1"/>
  <c r="AL456" i="5" s="1"/>
  <c r="AB455" i="5"/>
  <c r="L455" i="5" s="1"/>
  <c r="BG454" i="5"/>
  <c r="H454" i="5" s="1"/>
  <c r="AX455" i="5"/>
  <c r="AW455" i="5" s="1"/>
  <c r="CU455" i="5"/>
  <c r="BX455" i="5" s="1"/>
  <c r="BD454" i="5"/>
  <c r="BE455" i="5" s="1"/>
  <c r="CZ454" i="5"/>
  <c r="BF454" i="5"/>
  <c r="AD455" i="5" l="1"/>
  <c r="AE455" i="5" s="1"/>
  <c r="CH455" i="5"/>
  <c r="CK455" i="5"/>
  <c r="CJ455" i="5" s="1"/>
  <c r="X453" i="5"/>
  <c r="Y453" i="5" s="1"/>
  <c r="DA455" i="5"/>
  <c r="DB455" i="5" s="1"/>
  <c r="K455" i="5" s="1"/>
  <c r="W455" i="5"/>
  <c r="T455" i="5"/>
  <c r="U455" i="5" s="1"/>
  <c r="I454" i="5"/>
  <c r="AP454" i="5" s="1"/>
  <c r="CP455" i="5"/>
  <c r="CQ455" i="5" s="1"/>
  <c r="R455" i="5" s="1"/>
  <c r="S455" i="5" s="1"/>
  <c r="CT455" i="5"/>
  <c r="CV455" i="5"/>
  <c r="BN455" i="5"/>
  <c r="BO455" i="5" s="1"/>
  <c r="BP455" i="5" s="1"/>
  <c r="G455" i="5" s="1"/>
  <c r="H428" i="6" l="1"/>
  <c r="Z453" i="5"/>
  <c r="AA453" i="5" s="1"/>
  <c r="I428" i="6" s="1"/>
  <c r="AH454" i="5"/>
  <c r="AT454" i="5"/>
  <c r="CO455" i="5"/>
  <c r="F455" i="5" s="1"/>
  <c r="CN455" i="5"/>
  <c r="E455" i="5" s="1"/>
  <c r="P454" i="5"/>
  <c r="AY454" i="5" s="1"/>
  <c r="M454" i="5"/>
  <c r="D430" i="6" l="1"/>
  <c r="AO454" i="5"/>
  <c r="AR454" i="5" s="1"/>
  <c r="AG454" i="5"/>
  <c r="AJ454" i="5" s="1"/>
  <c r="N454" i="5"/>
  <c r="AS454" i="5"/>
  <c r="AV454" i="5" s="1"/>
  <c r="Q454" i="5"/>
  <c r="V454" i="5" s="1"/>
  <c r="F429" i="6"/>
  <c r="BC455" i="5"/>
  <c r="C456" i="5"/>
  <c r="BU456" i="5" s="1"/>
  <c r="E430" i="6"/>
  <c r="BW455" i="5" l="1"/>
  <c r="BY455" i="5"/>
  <c r="J455" i="5" s="1"/>
  <c r="BV456" i="5"/>
  <c r="BT456" i="5"/>
  <c r="BS456" i="5"/>
  <c r="CI456" i="5"/>
  <c r="BH456" i="5"/>
  <c r="BI456" i="5" s="1"/>
  <c r="BJ456" i="5" s="1"/>
  <c r="X454" i="5"/>
  <c r="Y454" i="5" s="1"/>
  <c r="BF455" i="5"/>
  <c r="BD455" i="5"/>
  <c r="BE456" i="5" s="1"/>
  <c r="CZ455" i="5"/>
  <c r="G429" i="6"/>
  <c r="BK456" i="5"/>
  <c r="BL456" i="5" s="1"/>
  <c r="BM456" i="5" s="1"/>
  <c r="CX456" i="5"/>
  <c r="CY456" i="5"/>
  <c r="AK456" i="5"/>
  <c r="AM456" i="5" s="1"/>
  <c r="AL457" i="5" s="1"/>
  <c r="CL456" i="5"/>
  <c r="CM456" i="5" s="1"/>
  <c r="AB456" i="5"/>
  <c r="L456" i="5" s="1"/>
  <c r="CR456" i="5"/>
  <c r="C431" i="6"/>
  <c r="AC456" i="5"/>
  <c r="AD456" i="5" s="1"/>
  <c r="CW456" i="5"/>
  <c r="D456" i="5"/>
  <c r="CS456" i="5"/>
  <c r="BG455" i="5"/>
  <c r="H455" i="5" s="1"/>
  <c r="AX456" i="5"/>
  <c r="AW456" i="5" s="1"/>
  <c r="CU456" i="5"/>
  <c r="AN455" i="5" l="1"/>
  <c r="AF455" i="5"/>
  <c r="BX456" i="5"/>
  <c r="CH456" i="5"/>
  <c r="CK456" i="5"/>
  <c r="CJ456" i="5" s="1"/>
  <c r="DA456" i="5"/>
  <c r="DB456" i="5" s="1"/>
  <c r="K456" i="5" s="1"/>
  <c r="BN456" i="5"/>
  <c r="BO456" i="5" s="1"/>
  <c r="BP456" i="5" s="1"/>
  <c r="G456" i="5" s="1"/>
  <c r="CP456" i="5"/>
  <c r="CQ456" i="5" s="1"/>
  <c r="R456" i="5" s="1"/>
  <c r="S456" i="5" s="1"/>
  <c r="AE456" i="5"/>
  <c r="CV456" i="5"/>
  <c r="CT456" i="5"/>
  <c r="H429" i="6"/>
  <c r="Z454" i="5"/>
  <c r="I455" i="5"/>
  <c r="AP455" i="5" s="1"/>
  <c r="T456" i="5"/>
  <c r="U456" i="5" s="1"/>
  <c r="W456" i="5"/>
  <c r="AT455" i="5" l="1"/>
  <c r="AH455" i="5"/>
  <c r="P455" i="5"/>
  <c r="AY455" i="5" s="1"/>
  <c r="M455" i="5"/>
  <c r="CO456" i="5"/>
  <c r="F456" i="5" s="1"/>
  <c r="CN456" i="5"/>
  <c r="E456" i="5" s="1"/>
  <c r="AA454" i="5"/>
  <c r="I429" i="6" s="1"/>
  <c r="BY456" i="5" l="1"/>
  <c r="J456" i="5" s="1"/>
  <c r="AN456" i="5" s="1"/>
  <c r="BW456" i="5"/>
  <c r="AS455" i="5"/>
  <c r="AV455" i="5" s="1"/>
  <c r="AO455" i="5"/>
  <c r="N455" i="5"/>
  <c r="AG455" i="5"/>
  <c r="BC456" i="5"/>
  <c r="D431" i="6"/>
  <c r="F430" i="6"/>
  <c r="Q455" i="5"/>
  <c r="V455" i="5" s="1"/>
  <c r="C457" i="5"/>
  <c r="BU457" i="5" s="1"/>
  <c r="E431" i="6"/>
  <c r="AF456" i="5" l="1"/>
  <c r="BT457" i="5"/>
  <c r="BV457" i="5"/>
  <c r="BS457" i="5"/>
  <c r="CI457" i="5"/>
  <c r="BH457" i="5"/>
  <c r="BI457" i="5" s="1"/>
  <c r="BJ457" i="5" s="1"/>
  <c r="AR455" i="5"/>
  <c r="AJ455" i="5"/>
  <c r="G430" i="6"/>
  <c r="CZ456" i="5"/>
  <c r="BF456" i="5"/>
  <c r="BD456" i="5"/>
  <c r="BE457" i="5" s="1"/>
  <c r="AC457" i="5"/>
  <c r="AD457" i="5" s="1"/>
  <c r="CS457" i="5"/>
  <c r="CW457" i="5"/>
  <c r="CX457" i="5"/>
  <c r="CL457" i="5"/>
  <c r="CM457" i="5" s="1"/>
  <c r="CR457" i="5"/>
  <c r="BK457" i="5"/>
  <c r="BL457" i="5" s="1"/>
  <c r="BM457" i="5" s="1"/>
  <c r="AB457" i="5"/>
  <c r="L457" i="5" s="1"/>
  <c r="C432" i="6"/>
  <c r="D457" i="5"/>
  <c r="CY457" i="5"/>
  <c r="AK457" i="5"/>
  <c r="AM457" i="5" s="1"/>
  <c r="AL458" i="5" s="1"/>
  <c r="BG456" i="5"/>
  <c r="H456" i="5" s="1"/>
  <c r="AX457" i="5"/>
  <c r="AW457" i="5" s="1"/>
  <c r="CU457" i="5"/>
  <c r="BX457" i="5" s="1"/>
  <c r="CK457" i="5" l="1"/>
  <c r="CJ457" i="5" s="1"/>
  <c r="CH457" i="5"/>
  <c r="X455" i="5"/>
  <c r="Y455" i="5" s="1"/>
  <c r="H430" i="6" s="1"/>
  <c r="AE457" i="5"/>
  <c r="BN457" i="5"/>
  <c r="BO457" i="5" s="1"/>
  <c r="BP457" i="5" s="1"/>
  <c r="G457" i="5" s="1"/>
  <c r="CP457" i="5"/>
  <c r="CQ457" i="5" s="1"/>
  <c r="R457" i="5" s="1"/>
  <c r="S457" i="5" s="1"/>
  <c r="CV457" i="5"/>
  <c r="CT457" i="5"/>
  <c r="DA457" i="5"/>
  <c r="DB457" i="5" s="1"/>
  <c r="K457" i="5" s="1"/>
  <c r="I456" i="5"/>
  <c r="AP456" i="5" s="1"/>
  <c r="W457" i="5"/>
  <c r="T457" i="5"/>
  <c r="U457" i="5" s="1"/>
  <c r="Z455" i="5" l="1"/>
  <c r="AA455" i="5" s="1"/>
  <c r="I430" i="6" s="1"/>
  <c r="AT456" i="5"/>
  <c r="AH456" i="5"/>
  <c r="CO457" i="5"/>
  <c r="F457" i="5" s="1"/>
  <c r="CN457" i="5"/>
  <c r="E457" i="5" s="1"/>
  <c r="M456" i="5"/>
  <c r="P456" i="5"/>
  <c r="AY456" i="5" s="1"/>
  <c r="BY457" i="5" l="1"/>
  <c r="J457" i="5" s="1"/>
  <c r="AN457" i="5" s="1"/>
  <c r="BW457" i="5"/>
  <c r="AG456" i="5"/>
  <c r="AJ456" i="5" s="1"/>
  <c r="AO456" i="5"/>
  <c r="AR456" i="5" s="1"/>
  <c r="F431" i="6"/>
  <c r="Q456" i="5"/>
  <c r="V456" i="5" s="1"/>
  <c r="G431" i="6" s="1"/>
  <c r="N456" i="5"/>
  <c r="AS456" i="5"/>
  <c r="AV456" i="5" s="1"/>
  <c r="D432" i="6"/>
  <c r="BC457" i="5"/>
  <c r="E432" i="6"/>
  <c r="C458" i="5"/>
  <c r="BU458" i="5" s="1"/>
  <c r="AF457" i="5" l="1"/>
  <c r="BV458" i="5"/>
  <c r="BT458" i="5"/>
  <c r="BS458" i="5"/>
  <c r="CI458" i="5"/>
  <c r="BH458" i="5"/>
  <c r="BI458" i="5" s="1"/>
  <c r="BJ458" i="5" s="1"/>
  <c r="X456" i="5"/>
  <c r="Y456" i="5" s="1"/>
  <c r="BF457" i="5"/>
  <c r="CZ457" i="5"/>
  <c r="BD457" i="5"/>
  <c r="BE458" i="5" s="1"/>
  <c r="CX458" i="5"/>
  <c r="CR458" i="5"/>
  <c r="CS458" i="5"/>
  <c r="CY458" i="5"/>
  <c r="AB458" i="5"/>
  <c r="CP458" i="5" s="1"/>
  <c r="CQ458" i="5" s="1"/>
  <c r="R458" i="5" s="1"/>
  <c r="S458" i="5" s="1"/>
  <c r="AC458" i="5"/>
  <c r="AK458" i="5"/>
  <c r="C433" i="6"/>
  <c r="D458" i="5"/>
  <c r="BK458" i="5"/>
  <c r="BL458" i="5" s="1"/>
  <c r="BM458" i="5" s="1"/>
  <c r="CW458" i="5"/>
  <c r="CL458" i="5"/>
  <c r="CM458" i="5" s="1"/>
  <c r="BG457" i="5"/>
  <c r="H457" i="5" s="1"/>
  <c r="AX458" i="5"/>
  <c r="AW458" i="5" s="1"/>
  <c r="CU458" i="5"/>
  <c r="BX458" i="5" s="1"/>
  <c r="AD458" i="5" l="1"/>
  <c r="AE458" i="5" s="1"/>
  <c r="CH458" i="5"/>
  <c r="CK458" i="5"/>
  <c r="CJ458" i="5" s="1"/>
  <c r="H431" i="6"/>
  <c r="Z456" i="5"/>
  <c r="AA456" i="5" s="1"/>
  <c r="I431" i="6" s="1"/>
  <c r="L458" i="5"/>
  <c r="BN458" i="5"/>
  <c r="BO458" i="5" s="1"/>
  <c r="BP458" i="5" s="1"/>
  <c r="G458" i="5" s="1"/>
  <c r="DA458" i="5"/>
  <c r="DB458" i="5" s="1"/>
  <c r="K458" i="5" s="1"/>
  <c r="W458" i="5"/>
  <c r="T458" i="5"/>
  <c r="U458" i="5" s="1"/>
  <c r="AM458" i="5"/>
  <c r="AL459" i="5" s="1"/>
  <c r="CT458" i="5"/>
  <c r="CV458" i="5"/>
  <c r="I457" i="5"/>
  <c r="AH457" i="5" s="1"/>
  <c r="M457" i="5" l="1"/>
  <c r="AG457" i="5" s="1"/>
  <c r="AJ457" i="5" s="1"/>
  <c r="P457" i="5"/>
  <c r="AY457" i="5" s="1"/>
  <c r="AT457" i="5"/>
  <c r="AP457" i="5"/>
  <c r="CO458" i="5"/>
  <c r="F458" i="5" s="1"/>
  <c r="CN458" i="5"/>
  <c r="E458" i="5" s="1"/>
  <c r="BW458" i="5" l="1"/>
  <c r="BY458" i="5"/>
  <c r="J458" i="5" s="1"/>
  <c r="AF458" i="5" s="1"/>
  <c r="D433" i="6"/>
  <c r="BC458" i="5"/>
  <c r="Q457" i="5"/>
  <c r="V457" i="5" s="1"/>
  <c r="F432" i="6"/>
  <c r="E433" i="6"/>
  <c r="C459" i="5"/>
  <c r="BU459" i="5" s="1"/>
  <c r="AS457" i="5"/>
  <c r="AV457" i="5" s="1"/>
  <c r="N457" i="5"/>
  <c r="AO457" i="5"/>
  <c r="AN458" i="5" l="1"/>
  <c r="BV459" i="5"/>
  <c r="BT459" i="5"/>
  <c r="BS459" i="5"/>
  <c r="CI459" i="5"/>
  <c r="BH459" i="5"/>
  <c r="BI459" i="5" s="1"/>
  <c r="BJ459" i="5" s="1"/>
  <c r="C434" i="6"/>
  <c r="CS459" i="5"/>
  <c r="AK459" i="5"/>
  <c r="AM459" i="5" s="1"/>
  <c r="AL460" i="5" s="1"/>
  <c r="CR459" i="5"/>
  <c r="CL459" i="5"/>
  <c r="CM459" i="5" s="1"/>
  <c r="CW459" i="5"/>
  <c r="D459" i="5"/>
  <c r="AC459" i="5"/>
  <c r="AD459" i="5" s="1"/>
  <c r="CX459" i="5"/>
  <c r="BK459" i="5"/>
  <c r="BL459" i="5" s="1"/>
  <c r="BM459" i="5" s="1"/>
  <c r="AB459" i="5"/>
  <c r="DA459" i="5" s="1"/>
  <c r="DB459" i="5" s="1"/>
  <c r="CY459" i="5"/>
  <c r="BG458" i="5"/>
  <c r="H458" i="5" s="1"/>
  <c r="AX459" i="5"/>
  <c r="AW459" i="5" s="1"/>
  <c r="CU459" i="5"/>
  <c r="BX459" i="5" s="1"/>
  <c r="G432" i="6"/>
  <c r="BD458" i="5"/>
  <c r="BE459" i="5" s="1"/>
  <c r="BF458" i="5"/>
  <c r="CZ458" i="5"/>
  <c r="AR457" i="5"/>
  <c r="CH459" i="5" l="1"/>
  <c r="CK459" i="5"/>
  <c r="CJ459" i="5" s="1"/>
  <c r="K459" i="5" s="1"/>
  <c r="X457" i="5"/>
  <c r="Y457" i="5" s="1"/>
  <c r="L459" i="5"/>
  <c r="BN459" i="5"/>
  <c r="BO459" i="5" s="1"/>
  <c r="BP459" i="5" s="1"/>
  <c r="G459" i="5" s="1"/>
  <c r="AE459" i="5"/>
  <c r="W459" i="5"/>
  <c r="T459" i="5"/>
  <c r="U459" i="5" s="1"/>
  <c r="I458" i="5"/>
  <c r="AH458" i="5" s="1"/>
  <c r="CT459" i="5"/>
  <c r="CV459" i="5"/>
  <c r="CP459" i="5"/>
  <c r="CQ459" i="5" s="1"/>
  <c r="R459" i="5" s="1"/>
  <c r="S459" i="5" s="1"/>
  <c r="H432" i="6" l="1"/>
  <c r="Z457" i="5"/>
  <c r="AA457" i="5" s="1"/>
  <c r="I432" i="6" s="1"/>
  <c r="AT458" i="5"/>
  <c r="AP458" i="5"/>
  <c r="M458" i="5"/>
  <c r="AG458" i="5" s="1"/>
  <c r="AJ458" i="5" s="1"/>
  <c r="P458" i="5"/>
  <c r="AY458" i="5" s="1"/>
  <c r="CO459" i="5"/>
  <c r="F459" i="5" s="1"/>
  <c r="CN459" i="5"/>
  <c r="E459" i="5" s="1"/>
  <c r="N458" i="5" l="1"/>
  <c r="AS458" i="5"/>
  <c r="AV458" i="5" s="1"/>
  <c r="AO458" i="5"/>
  <c r="AR458" i="5" s="1"/>
  <c r="F433" i="6"/>
  <c r="Q458" i="5"/>
  <c r="V458" i="5" s="1"/>
  <c r="D434" i="6"/>
  <c r="BC459" i="5"/>
  <c r="E434" i="6"/>
  <c r="C460" i="5"/>
  <c r="BU460" i="5" s="1"/>
  <c r="BW459" i="5" l="1"/>
  <c r="BY459" i="5"/>
  <c r="J459" i="5" s="1"/>
  <c r="BT460" i="5"/>
  <c r="BV460" i="5"/>
  <c r="BS460" i="5"/>
  <c r="CI460" i="5"/>
  <c r="BH460" i="5"/>
  <c r="BI460" i="5" s="1"/>
  <c r="BJ460" i="5" s="1"/>
  <c r="X458" i="5"/>
  <c r="Y458" i="5" s="1"/>
  <c r="BD459" i="5"/>
  <c r="BE460" i="5" s="1"/>
  <c r="BF459" i="5"/>
  <c r="CZ459" i="5"/>
  <c r="G433" i="6"/>
  <c r="CL460" i="5"/>
  <c r="CM460" i="5" s="1"/>
  <c r="C435" i="6"/>
  <c r="AC460" i="5"/>
  <c r="CX460" i="5"/>
  <c r="CS460" i="5"/>
  <c r="AB460" i="5"/>
  <c r="CP460" i="5" s="1"/>
  <c r="CQ460" i="5" s="1"/>
  <c r="R460" i="5" s="1"/>
  <c r="S460" i="5" s="1"/>
  <c r="D460" i="5"/>
  <c r="AK460" i="5"/>
  <c r="BK460" i="5"/>
  <c r="BL460" i="5" s="1"/>
  <c r="BM460" i="5" s="1"/>
  <c r="CY460" i="5"/>
  <c r="CR460" i="5"/>
  <c r="CW460" i="5"/>
  <c r="BG459" i="5"/>
  <c r="H459" i="5" s="1"/>
  <c r="AX460" i="5"/>
  <c r="AW460" i="5" s="1"/>
  <c r="CU460" i="5"/>
  <c r="AD460" i="5" l="1"/>
  <c r="AE460" i="5" s="1"/>
  <c r="AF459" i="5"/>
  <c r="AN459" i="5"/>
  <c r="BX460" i="5"/>
  <c r="CK460" i="5"/>
  <c r="CJ460" i="5" s="1"/>
  <c r="CH460" i="5"/>
  <c r="DA460" i="5"/>
  <c r="DB460" i="5" s="1"/>
  <c r="K460" i="5" s="1"/>
  <c r="BN460" i="5"/>
  <c r="BO460" i="5" s="1"/>
  <c r="BP460" i="5" s="1"/>
  <c r="G460" i="5" s="1"/>
  <c r="CT460" i="5"/>
  <c r="CV460" i="5"/>
  <c r="L460" i="5"/>
  <c r="AM460" i="5"/>
  <c r="AL461" i="5" s="1"/>
  <c r="H433" i="6"/>
  <c r="Z458" i="5"/>
  <c r="W460" i="5"/>
  <c r="T460" i="5"/>
  <c r="U460" i="5" s="1"/>
  <c r="I459" i="5"/>
  <c r="AP459" i="5" s="1"/>
  <c r="AH459" i="5" l="1"/>
  <c r="AT459" i="5"/>
  <c r="CO460" i="5"/>
  <c r="F460" i="5" s="1"/>
  <c r="CN460" i="5"/>
  <c r="E460" i="5" s="1"/>
  <c r="P459" i="5"/>
  <c r="AY459" i="5" s="1"/>
  <c r="M459" i="5"/>
  <c r="AA458" i="5"/>
  <c r="I433" i="6" s="1"/>
  <c r="BY460" i="5" l="1"/>
  <c r="J460" i="5" s="1"/>
  <c r="AF460" i="5" s="1"/>
  <c r="BW460" i="5"/>
  <c r="AS459" i="5"/>
  <c r="AV459" i="5" s="1"/>
  <c r="AO459" i="5"/>
  <c r="AR459" i="5" s="1"/>
  <c r="BC460" i="5"/>
  <c r="D435" i="6"/>
  <c r="E435" i="6"/>
  <c r="C461" i="5"/>
  <c r="BU461" i="5" s="1"/>
  <c r="Q459" i="5"/>
  <c r="V459" i="5" s="1"/>
  <c r="F434" i="6"/>
  <c r="N459" i="5"/>
  <c r="AG459" i="5"/>
  <c r="AN460" i="5" l="1"/>
  <c r="BT461" i="5"/>
  <c r="BV461" i="5"/>
  <c r="BS461" i="5"/>
  <c r="CI461" i="5"/>
  <c r="BH461" i="5"/>
  <c r="BI461" i="5" s="1"/>
  <c r="BJ461" i="5" s="1"/>
  <c r="BK461" i="5"/>
  <c r="BL461" i="5" s="1"/>
  <c r="BM461" i="5" s="1"/>
  <c r="CR461" i="5"/>
  <c r="C436" i="6"/>
  <c r="CW461" i="5"/>
  <c r="CL461" i="5"/>
  <c r="CM461" i="5" s="1"/>
  <c r="CY461" i="5"/>
  <c r="AC461" i="5"/>
  <c r="AB461" i="5"/>
  <c r="CP461" i="5" s="1"/>
  <c r="CQ461" i="5" s="1"/>
  <c r="R461" i="5" s="1"/>
  <c r="S461" i="5" s="1"/>
  <c r="D461" i="5"/>
  <c r="AK461" i="5"/>
  <c r="CS461" i="5"/>
  <c r="CX461" i="5"/>
  <c r="BG460" i="5"/>
  <c r="H460" i="5" s="1"/>
  <c r="AX461" i="5"/>
  <c r="AW461" i="5" s="1"/>
  <c r="CU461" i="5"/>
  <c r="BX461" i="5" s="1"/>
  <c r="G434" i="6"/>
  <c r="AJ459" i="5"/>
  <c r="CZ460" i="5"/>
  <c r="BD460" i="5"/>
  <c r="BE461" i="5" s="1"/>
  <c r="BF460" i="5"/>
  <c r="AD461" i="5" l="1"/>
  <c r="AE461" i="5" s="1"/>
  <c r="CH461" i="5"/>
  <c r="CK461" i="5"/>
  <c r="CJ461" i="5" s="1"/>
  <c r="X459" i="5"/>
  <c r="Y459" i="5" s="1"/>
  <c r="DA461" i="5"/>
  <c r="DB461" i="5" s="1"/>
  <c r="K461" i="5" s="1"/>
  <c r="BN461" i="5"/>
  <c r="BO461" i="5" s="1"/>
  <c r="BP461" i="5" s="1"/>
  <c r="G461" i="5" s="1"/>
  <c r="CV461" i="5"/>
  <c r="CT461" i="5"/>
  <c r="I460" i="5"/>
  <c r="AM461" i="5"/>
  <c r="AL462" i="5" s="1"/>
  <c r="T461" i="5"/>
  <c r="U461" i="5" s="1"/>
  <c r="W461" i="5"/>
  <c r="L461" i="5"/>
  <c r="H434" i="6" l="1"/>
  <c r="Z459" i="5"/>
  <c r="AA459" i="5" s="1"/>
  <c r="I434" i="6" s="1"/>
  <c r="AH460" i="5"/>
  <c r="AT460" i="5"/>
  <c r="AP460" i="5"/>
  <c r="P460" i="5"/>
  <c r="AY460" i="5" s="1"/>
  <c r="M460" i="5"/>
  <c r="CO461" i="5"/>
  <c r="F461" i="5" s="1"/>
  <c r="CN461" i="5"/>
  <c r="E461" i="5" s="1"/>
  <c r="BW461" i="5" l="1"/>
  <c r="BY461" i="5"/>
  <c r="J461" i="5" s="1"/>
  <c r="AS460" i="5"/>
  <c r="AV460" i="5" s="1"/>
  <c r="AO460" i="5"/>
  <c r="N460" i="5"/>
  <c r="AG460" i="5"/>
  <c r="BC461" i="5"/>
  <c r="D436" i="6"/>
  <c r="C462" i="5"/>
  <c r="BU462" i="5" s="1"/>
  <c r="E436" i="6"/>
  <c r="Q460" i="5"/>
  <c r="V460" i="5" s="1"/>
  <c r="F435" i="6"/>
  <c r="AN461" i="5" l="1"/>
  <c r="AF461" i="5"/>
  <c r="BT462" i="5"/>
  <c r="BV462" i="5"/>
  <c r="BS462" i="5"/>
  <c r="CI462" i="5"/>
  <c r="BH462" i="5"/>
  <c r="BI462" i="5" s="1"/>
  <c r="BJ462" i="5" s="1"/>
  <c r="AR460" i="5"/>
  <c r="AJ460" i="5"/>
  <c r="AB462" i="5"/>
  <c r="DA462" i="5" s="1"/>
  <c r="DB462" i="5" s="1"/>
  <c r="BK462" i="5"/>
  <c r="BL462" i="5" s="1"/>
  <c r="BM462" i="5" s="1"/>
  <c r="C437" i="6"/>
  <c r="CR462" i="5"/>
  <c r="CY462" i="5"/>
  <c r="AC462" i="5"/>
  <c r="AD462" i="5" s="1"/>
  <c r="CW462" i="5"/>
  <c r="CX462" i="5"/>
  <c r="CS462" i="5"/>
  <c r="D462" i="5"/>
  <c r="CL462" i="5"/>
  <c r="CM462" i="5" s="1"/>
  <c r="AK462" i="5"/>
  <c r="AM462" i="5" s="1"/>
  <c r="AL463" i="5" s="1"/>
  <c r="BG461" i="5"/>
  <c r="H461" i="5" s="1"/>
  <c r="AX462" i="5"/>
  <c r="AW462" i="5" s="1"/>
  <c r="CU462" i="5"/>
  <c r="BX462" i="5" s="1"/>
  <c r="G435" i="6"/>
  <c r="CZ461" i="5"/>
  <c r="BD461" i="5"/>
  <c r="BE462" i="5" s="1"/>
  <c r="BF461" i="5"/>
  <c r="CH462" i="5" l="1"/>
  <c r="CK462" i="5"/>
  <c r="CJ462" i="5" s="1"/>
  <c r="K462" i="5" s="1"/>
  <c r="X460" i="5"/>
  <c r="Y460" i="5" s="1"/>
  <c r="BN462" i="5"/>
  <c r="BO462" i="5" s="1"/>
  <c r="BP462" i="5" s="1"/>
  <c r="G462" i="5" s="1"/>
  <c r="L462" i="5"/>
  <c r="CP462" i="5"/>
  <c r="CQ462" i="5" s="1"/>
  <c r="R462" i="5" s="1"/>
  <c r="S462" i="5" s="1"/>
  <c r="AE462" i="5"/>
  <c r="CT462" i="5"/>
  <c r="CV462" i="5"/>
  <c r="W462" i="5"/>
  <c r="T462" i="5"/>
  <c r="U462" i="5" s="1"/>
  <c r="I461" i="5"/>
  <c r="AP461" i="5" s="1"/>
  <c r="H435" i="6" l="1"/>
  <c r="Z460" i="5"/>
  <c r="AH461" i="5"/>
  <c r="AT461" i="5"/>
  <c r="AA460" i="5"/>
  <c r="I435" i="6" s="1"/>
  <c r="CO462" i="5"/>
  <c r="F462" i="5" s="1"/>
  <c r="CN462" i="5"/>
  <c r="E462" i="5" s="1"/>
  <c r="M461" i="5"/>
  <c r="P461" i="5"/>
  <c r="AY461" i="5" s="1"/>
  <c r="BW462" i="5" l="1"/>
  <c r="AO461" i="5"/>
  <c r="AR461" i="5" s="1"/>
  <c r="AG461" i="5"/>
  <c r="AJ461" i="5" s="1"/>
  <c r="N461" i="5"/>
  <c r="AS461" i="5"/>
  <c r="AV461" i="5" s="1"/>
  <c r="E437" i="6"/>
  <c r="C463" i="5"/>
  <c r="BU463" i="5" s="1"/>
  <c r="Q461" i="5"/>
  <c r="V461" i="5" s="1"/>
  <c r="F436" i="6"/>
  <c r="D437" i="6"/>
  <c r="BC462" i="5"/>
  <c r="BY462" i="5" l="1"/>
  <c r="J462" i="5" s="1"/>
  <c r="BT463" i="5"/>
  <c r="BV463" i="5"/>
  <c r="BS463" i="5"/>
  <c r="CI463" i="5"/>
  <c r="BH463" i="5"/>
  <c r="BI463" i="5" s="1"/>
  <c r="BJ463" i="5" s="1"/>
  <c r="X461" i="5"/>
  <c r="Y461" i="5" s="1"/>
  <c r="BD462" i="5"/>
  <c r="BE463" i="5" s="1"/>
  <c r="BF462" i="5"/>
  <c r="CZ462" i="5"/>
  <c r="G436" i="6"/>
  <c r="CX463" i="5"/>
  <c r="CS463" i="5"/>
  <c r="CW463" i="5"/>
  <c r="AC463" i="5"/>
  <c r="CR463" i="5"/>
  <c r="D463" i="5"/>
  <c r="AB463" i="5"/>
  <c r="BN463" i="5" s="1"/>
  <c r="BO463" i="5" s="1"/>
  <c r="BP463" i="5" s="1"/>
  <c r="CL463" i="5"/>
  <c r="CM463" i="5" s="1"/>
  <c r="BK463" i="5"/>
  <c r="BL463" i="5" s="1"/>
  <c r="BM463" i="5" s="1"/>
  <c r="AK463" i="5"/>
  <c r="CY463" i="5"/>
  <c r="C438" i="6"/>
  <c r="BG462" i="5"/>
  <c r="H462" i="5" s="1"/>
  <c r="AX463" i="5"/>
  <c r="AW463" i="5" s="1"/>
  <c r="CU463" i="5"/>
  <c r="BX463" i="5" s="1"/>
  <c r="AN462" i="5" l="1"/>
  <c r="AF462" i="5"/>
  <c r="AD463" i="5"/>
  <c r="AE463" i="5" s="1"/>
  <c r="G463" i="5"/>
  <c r="CH463" i="5"/>
  <c r="CK463" i="5"/>
  <c r="CJ463" i="5" s="1"/>
  <c r="DA463" i="5"/>
  <c r="DB463" i="5" s="1"/>
  <c r="K463" i="5" s="1"/>
  <c r="CP463" i="5"/>
  <c r="CQ463" i="5" s="1"/>
  <c r="R463" i="5" s="1"/>
  <c r="S463" i="5" s="1"/>
  <c r="AM463" i="5"/>
  <c r="AL464" i="5" s="1"/>
  <c r="H436" i="6"/>
  <c r="Z461" i="5"/>
  <c r="T463" i="5"/>
  <c r="U463" i="5" s="1"/>
  <c r="W463" i="5"/>
  <c r="L463" i="5"/>
  <c r="CT463" i="5"/>
  <c r="CV463" i="5"/>
  <c r="I462" i="5"/>
  <c r="AP462" i="5" s="1"/>
  <c r="AT462" i="5" l="1"/>
  <c r="AH462" i="5"/>
  <c r="AA461" i="5"/>
  <c r="I436" i="6" s="1"/>
  <c r="CO463" i="5"/>
  <c r="F463" i="5" s="1"/>
  <c r="CN463" i="5"/>
  <c r="E463" i="5" s="1"/>
  <c r="M462" i="5"/>
  <c r="P462" i="5"/>
  <c r="AY462" i="5" s="1"/>
  <c r="BW463" i="5" l="1"/>
  <c r="BY463" i="5"/>
  <c r="J463" i="5" s="1"/>
  <c r="AS462" i="5"/>
  <c r="AV462" i="5" s="1"/>
  <c r="AO462" i="5"/>
  <c r="N462" i="5"/>
  <c r="AG462" i="5"/>
  <c r="E438" i="6"/>
  <c r="C464" i="5"/>
  <c r="BU464" i="5" s="1"/>
  <c r="F437" i="6"/>
  <c r="Q462" i="5"/>
  <c r="V462" i="5" s="1"/>
  <c r="D438" i="6"/>
  <c r="BC463" i="5"/>
  <c r="AN463" i="5" l="1"/>
  <c r="AF463" i="5"/>
  <c r="BV464" i="5"/>
  <c r="BT464" i="5"/>
  <c r="BS464" i="5"/>
  <c r="CI464" i="5"/>
  <c r="BH464" i="5"/>
  <c r="BI464" i="5" s="1"/>
  <c r="BJ464" i="5" s="1"/>
  <c r="AR462" i="5"/>
  <c r="AJ462" i="5"/>
  <c r="BD463" i="5"/>
  <c r="BE464" i="5" s="1"/>
  <c r="CZ463" i="5"/>
  <c r="BF463" i="5"/>
  <c r="CX464" i="5"/>
  <c r="CW464" i="5"/>
  <c r="C439" i="6"/>
  <c r="AB464" i="5"/>
  <c r="L464" i="5" s="1"/>
  <c r="AC464" i="5"/>
  <c r="CR464" i="5"/>
  <c r="CL464" i="5"/>
  <c r="CM464" i="5" s="1"/>
  <c r="CY464" i="5"/>
  <c r="BK464" i="5"/>
  <c r="BL464" i="5" s="1"/>
  <c r="BM464" i="5" s="1"/>
  <c r="AK464" i="5"/>
  <c r="AM464" i="5" s="1"/>
  <c r="AL465" i="5" s="1"/>
  <c r="D464" i="5"/>
  <c r="CS464" i="5"/>
  <c r="BG463" i="5"/>
  <c r="H463" i="5" s="1"/>
  <c r="AX464" i="5"/>
  <c r="AW464" i="5" s="1"/>
  <c r="CU464" i="5"/>
  <c r="BX464" i="5" s="1"/>
  <c r="G437" i="6"/>
  <c r="AD464" i="5" l="1"/>
  <c r="AE464" i="5" s="1"/>
  <c r="CH464" i="5"/>
  <c r="CK464" i="5"/>
  <c r="CJ464" i="5" s="1"/>
  <c r="X462" i="5"/>
  <c r="Y462" i="5" s="1"/>
  <c r="BN464" i="5"/>
  <c r="BO464" i="5" s="1"/>
  <c r="BP464" i="5" s="1"/>
  <c r="G464" i="5" s="1"/>
  <c r="DA464" i="5"/>
  <c r="DB464" i="5" s="1"/>
  <c r="I463" i="5"/>
  <c r="AP463" i="5" s="1"/>
  <c r="CV464" i="5"/>
  <c r="CT464" i="5"/>
  <c r="CP464" i="5"/>
  <c r="CQ464" i="5" s="1"/>
  <c r="R464" i="5" s="1"/>
  <c r="S464" i="5" s="1"/>
  <c r="T464" i="5"/>
  <c r="U464" i="5" s="1"/>
  <c r="W464" i="5"/>
  <c r="K464" i="5" l="1"/>
  <c r="H437" i="6"/>
  <c r="Z462" i="5"/>
  <c r="AA462" i="5" s="1"/>
  <c r="I437" i="6" s="1"/>
  <c r="AT463" i="5"/>
  <c r="AH463" i="5"/>
  <c r="CO464" i="5"/>
  <c r="F464" i="5" s="1"/>
  <c r="CN464" i="5"/>
  <c r="E464" i="5" s="1"/>
  <c r="P463" i="5"/>
  <c r="AY463" i="5" s="1"/>
  <c r="M463" i="5"/>
  <c r="AG463" i="5" l="1"/>
  <c r="AJ463" i="5" s="1"/>
  <c r="AO463" i="5"/>
  <c r="AR463" i="5" s="1"/>
  <c r="Q463" i="5"/>
  <c r="V463" i="5" s="1"/>
  <c r="G438" i="6" s="1"/>
  <c r="F438" i="6"/>
  <c r="N463" i="5"/>
  <c r="AS463" i="5"/>
  <c r="AV463" i="5" s="1"/>
  <c r="D439" i="6"/>
  <c r="BC464" i="5"/>
  <c r="E439" i="6"/>
  <c r="C465" i="5"/>
  <c r="BU465" i="5" s="1"/>
  <c r="BY464" i="5" l="1"/>
  <c r="J464" i="5" s="1"/>
  <c r="BW464" i="5"/>
  <c r="BT465" i="5"/>
  <c r="BV465" i="5"/>
  <c r="BS465" i="5"/>
  <c r="CI465" i="5"/>
  <c r="BH465" i="5"/>
  <c r="BI465" i="5" s="1"/>
  <c r="BJ465" i="5" s="1"/>
  <c r="X463" i="5"/>
  <c r="Y463" i="5" s="1"/>
  <c r="BF464" i="5"/>
  <c r="BD464" i="5"/>
  <c r="BE465" i="5" s="1"/>
  <c r="CZ464" i="5"/>
  <c r="CL465" i="5"/>
  <c r="CM465" i="5" s="1"/>
  <c r="AK465" i="5"/>
  <c r="AB465" i="5"/>
  <c r="L465" i="5" s="1"/>
  <c r="CS465" i="5"/>
  <c r="AC465" i="5"/>
  <c r="AD465" i="5" s="1"/>
  <c r="CW465" i="5"/>
  <c r="BK465" i="5"/>
  <c r="BL465" i="5" s="1"/>
  <c r="BM465" i="5" s="1"/>
  <c r="D465" i="5"/>
  <c r="CY465" i="5"/>
  <c r="CX465" i="5"/>
  <c r="CR465" i="5"/>
  <c r="C440" i="6"/>
  <c r="BG464" i="5"/>
  <c r="H464" i="5" s="1"/>
  <c r="AX465" i="5"/>
  <c r="AW465" i="5" s="1"/>
  <c r="CU465" i="5"/>
  <c r="AN464" i="5" l="1"/>
  <c r="AF464" i="5"/>
  <c r="BX465" i="5"/>
  <c r="CK465" i="5"/>
  <c r="CJ465" i="5" s="1"/>
  <c r="CH465" i="5"/>
  <c r="H438" i="6"/>
  <c r="Z463" i="5"/>
  <c r="AA463" i="5" s="1"/>
  <c r="I438" i="6" s="1"/>
  <c r="CP465" i="5"/>
  <c r="CQ465" i="5" s="1"/>
  <c r="R465" i="5" s="1"/>
  <c r="S465" i="5" s="1"/>
  <c r="DA465" i="5"/>
  <c r="DB465" i="5" s="1"/>
  <c r="K465" i="5" s="1"/>
  <c r="BN465" i="5"/>
  <c r="BO465" i="5" s="1"/>
  <c r="BP465" i="5" s="1"/>
  <c r="G465" i="5" s="1"/>
  <c r="W465" i="5"/>
  <c r="T465" i="5"/>
  <c r="U465" i="5" s="1"/>
  <c r="CT465" i="5"/>
  <c r="CV465" i="5"/>
  <c r="AE465" i="5"/>
  <c r="AM465" i="5"/>
  <c r="AL466" i="5" s="1"/>
  <c r="I464" i="5"/>
  <c r="AH464" i="5" s="1"/>
  <c r="P464" i="5" l="1"/>
  <c r="AY464" i="5" s="1"/>
  <c r="M464" i="5"/>
  <c r="AG464" i="5" s="1"/>
  <c r="AJ464" i="5" s="1"/>
  <c r="CO465" i="5"/>
  <c r="F465" i="5" s="1"/>
  <c r="CN465" i="5"/>
  <c r="E465" i="5" s="1"/>
  <c r="AT464" i="5"/>
  <c r="AP464" i="5"/>
  <c r="BY465" i="5" l="1"/>
  <c r="J465" i="5" s="1"/>
  <c r="D440" i="6"/>
  <c r="BC465" i="5"/>
  <c r="E440" i="6"/>
  <c r="C466" i="5"/>
  <c r="BU466" i="5" s="1"/>
  <c r="N464" i="5"/>
  <c r="AS464" i="5"/>
  <c r="AV464" i="5" s="1"/>
  <c r="AO464" i="5"/>
  <c r="AR464" i="5" s="1"/>
  <c r="F439" i="6"/>
  <c r="Q464" i="5"/>
  <c r="V464" i="5" s="1"/>
  <c r="AF465" i="5" l="1"/>
  <c r="AN465" i="5"/>
  <c r="BW465" i="5"/>
  <c r="BV466" i="5"/>
  <c r="BT466" i="5"/>
  <c r="BS466" i="5"/>
  <c r="CI466" i="5"/>
  <c r="BH466" i="5"/>
  <c r="BI466" i="5" s="1"/>
  <c r="BJ466" i="5" s="1"/>
  <c r="X464" i="5"/>
  <c r="Y464" i="5" s="1"/>
  <c r="CR466" i="5"/>
  <c r="CS466" i="5"/>
  <c r="CY466" i="5"/>
  <c r="D466" i="5"/>
  <c r="CX466" i="5"/>
  <c r="CL466" i="5"/>
  <c r="CM466" i="5" s="1"/>
  <c r="AK466" i="5"/>
  <c r="AM466" i="5" s="1"/>
  <c r="AL467" i="5" s="1"/>
  <c r="BK466" i="5"/>
  <c r="BL466" i="5" s="1"/>
  <c r="BM466" i="5" s="1"/>
  <c r="AC466" i="5"/>
  <c r="AD466" i="5" s="1"/>
  <c r="AB466" i="5"/>
  <c r="L466" i="5" s="1"/>
  <c r="CW466" i="5"/>
  <c r="C441" i="6"/>
  <c r="BG465" i="5"/>
  <c r="H465" i="5" s="1"/>
  <c r="AX466" i="5"/>
  <c r="AW466" i="5" s="1"/>
  <c r="CU466" i="5"/>
  <c r="CZ465" i="5"/>
  <c r="BF465" i="5"/>
  <c r="BD465" i="5"/>
  <c r="BE466" i="5" s="1"/>
  <c r="G439" i="6"/>
  <c r="BX466" i="5" l="1"/>
  <c r="CH466" i="5"/>
  <c r="CK466" i="5"/>
  <c r="CJ466" i="5" s="1"/>
  <c r="CP466" i="5"/>
  <c r="CQ466" i="5" s="1"/>
  <c r="R466" i="5" s="1"/>
  <c r="S466" i="5" s="1"/>
  <c r="DA466" i="5"/>
  <c r="DB466" i="5" s="1"/>
  <c r="K466" i="5" s="1"/>
  <c r="BN466" i="5"/>
  <c r="BO466" i="5" s="1"/>
  <c r="BP466" i="5" s="1"/>
  <c r="G466" i="5" s="1"/>
  <c r="W466" i="5"/>
  <c r="T466" i="5"/>
  <c r="U466" i="5" s="1"/>
  <c r="I465" i="5"/>
  <c r="AH465" i="5" s="1"/>
  <c r="H439" i="6"/>
  <c r="Z464" i="5"/>
  <c r="AE466" i="5"/>
  <c r="CV466" i="5"/>
  <c r="CT466" i="5"/>
  <c r="AT465" i="5" l="1"/>
  <c r="AP465" i="5"/>
  <c r="CO466" i="5"/>
  <c r="F466" i="5" s="1"/>
  <c r="CN466" i="5"/>
  <c r="E466" i="5" s="1"/>
  <c r="M465" i="5"/>
  <c r="P465" i="5"/>
  <c r="AY465" i="5" s="1"/>
  <c r="AA464" i="5"/>
  <c r="I439" i="6" s="1"/>
  <c r="AO465" i="5" l="1"/>
  <c r="AR465" i="5" s="1"/>
  <c r="AG465" i="5"/>
  <c r="AJ465" i="5" s="1"/>
  <c r="F440" i="6"/>
  <c r="Q465" i="5"/>
  <c r="V465" i="5" s="1"/>
  <c r="N465" i="5"/>
  <c r="AS465" i="5"/>
  <c r="AV465" i="5" s="1"/>
  <c r="BC466" i="5"/>
  <c r="D441" i="6"/>
  <c r="E441" i="6"/>
  <c r="C467" i="5"/>
  <c r="BU467" i="5" s="1"/>
  <c r="BW466" i="5" l="1"/>
  <c r="BY466" i="5"/>
  <c r="J466" i="5" s="1"/>
  <c r="BV467" i="5"/>
  <c r="BT467" i="5"/>
  <c r="BS467" i="5"/>
  <c r="CI467" i="5"/>
  <c r="X465" i="5"/>
  <c r="Y465" i="5" s="1"/>
  <c r="BH467" i="5"/>
  <c r="BI467" i="5" s="1"/>
  <c r="BJ467" i="5" s="1"/>
  <c r="G440" i="6"/>
  <c r="BD466" i="5"/>
  <c r="BE467" i="5" s="1"/>
  <c r="CZ466" i="5"/>
  <c r="BF466" i="5"/>
  <c r="CS467" i="5"/>
  <c r="CL467" i="5"/>
  <c r="CM467" i="5" s="1"/>
  <c r="CX467" i="5"/>
  <c r="CR467" i="5"/>
  <c r="BK467" i="5"/>
  <c r="BL467" i="5" s="1"/>
  <c r="BM467" i="5" s="1"/>
  <c r="CY467" i="5"/>
  <c r="D467" i="5"/>
  <c r="AB467" i="5"/>
  <c r="CP467" i="5" s="1"/>
  <c r="CQ467" i="5" s="1"/>
  <c r="R467" i="5" s="1"/>
  <c r="S467" i="5" s="1"/>
  <c r="AC467" i="5"/>
  <c r="C442" i="6"/>
  <c r="CW467" i="5"/>
  <c r="AK467" i="5"/>
  <c r="BG466" i="5"/>
  <c r="H466" i="5" s="1"/>
  <c r="AX467" i="5"/>
  <c r="AW467" i="5" s="1"/>
  <c r="CU467" i="5"/>
  <c r="AF466" i="5" l="1"/>
  <c r="AN466" i="5"/>
  <c r="BX467" i="5"/>
  <c r="AD467" i="5"/>
  <c r="AE467" i="5" s="1"/>
  <c r="CH467" i="5"/>
  <c r="CK467" i="5"/>
  <c r="CJ467" i="5" s="1"/>
  <c r="T467" i="5"/>
  <c r="U467" i="5" s="1"/>
  <c r="W467" i="5"/>
  <c r="L467" i="5"/>
  <c r="CT467" i="5"/>
  <c r="CV467" i="5"/>
  <c r="AM467" i="5"/>
  <c r="AL468" i="5" s="1"/>
  <c r="DA467" i="5"/>
  <c r="DB467" i="5" s="1"/>
  <c r="K467" i="5" s="1"/>
  <c r="I466" i="5"/>
  <c r="AP466" i="5" s="1"/>
  <c r="BN467" i="5"/>
  <c r="BO467" i="5" s="1"/>
  <c r="BP467" i="5" s="1"/>
  <c r="G467" i="5" s="1"/>
  <c r="H440" i="6"/>
  <c r="Z465" i="5"/>
  <c r="AH466" i="5" l="1"/>
  <c r="AT466" i="5"/>
  <c r="P466" i="5"/>
  <c r="AY466" i="5" s="1"/>
  <c r="M466" i="5"/>
  <c r="AA465" i="5"/>
  <c r="I440" i="6" s="1"/>
  <c r="CN467" i="5"/>
  <c r="E467" i="5" s="1"/>
  <c r="CO467" i="5"/>
  <c r="F467" i="5" s="1"/>
  <c r="BW467" i="5" l="1"/>
  <c r="BY467" i="5"/>
  <c r="J467" i="5" s="1"/>
  <c r="AF467" i="5" s="1"/>
  <c r="AS466" i="5"/>
  <c r="AV466" i="5" s="1"/>
  <c r="AO466" i="5"/>
  <c r="AR466" i="5" s="1"/>
  <c r="N466" i="5"/>
  <c r="AG466" i="5"/>
  <c r="Q466" i="5"/>
  <c r="V466" i="5" s="1"/>
  <c r="F441" i="6"/>
  <c r="E442" i="6"/>
  <c r="C468" i="5"/>
  <c r="BU468" i="5" s="1"/>
  <c r="D442" i="6"/>
  <c r="BC467" i="5"/>
  <c r="AN467" i="5" l="1"/>
  <c r="BT468" i="5"/>
  <c r="BV468" i="5"/>
  <c r="BS468" i="5"/>
  <c r="CI468" i="5"/>
  <c r="BH468" i="5"/>
  <c r="BI468" i="5" s="1"/>
  <c r="BJ468" i="5" s="1"/>
  <c r="AJ466" i="5"/>
  <c r="X466" i="5" s="1"/>
  <c r="Y466" i="5" s="1"/>
  <c r="C443" i="6"/>
  <c r="BK468" i="5"/>
  <c r="BL468" i="5" s="1"/>
  <c r="BM468" i="5" s="1"/>
  <c r="CR468" i="5"/>
  <c r="CY468" i="5"/>
  <c r="AC468" i="5"/>
  <c r="CW468" i="5"/>
  <c r="CL468" i="5"/>
  <c r="CM468" i="5" s="1"/>
  <c r="AB468" i="5"/>
  <c r="CP468" i="5" s="1"/>
  <c r="CQ468" i="5" s="1"/>
  <c r="R468" i="5" s="1"/>
  <c r="S468" i="5" s="1"/>
  <c r="CX468" i="5"/>
  <c r="AK468" i="5"/>
  <c r="CS468" i="5"/>
  <c r="D468" i="5"/>
  <c r="BG467" i="5"/>
  <c r="H467" i="5" s="1"/>
  <c r="AX468" i="5"/>
  <c r="AW468" i="5" s="1"/>
  <c r="CU468" i="5"/>
  <c r="BX468" i="5" s="1"/>
  <c r="BD467" i="5"/>
  <c r="BE468" i="5" s="1"/>
  <c r="BF467" i="5"/>
  <c r="CZ467" i="5"/>
  <c r="G441" i="6"/>
  <c r="AD468" i="5" l="1"/>
  <c r="AE468" i="5" s="1"/>
  <c r="CK468" i="5"/>
  <c r="CJ468" i="5" s="1"/>
  <c r="CH468" i="5"/>
  <c r="L468" i="5"/>
  <c r="DA468" i="5"/>
  <c r="DB468" i="5" s="1"/>
  <c r="K468" i="5" s="1"/>
  <c r="BN468" i="5"/>
  <c r="BO468" i="5" s="1"/>
  <c r="BP468" i="5" s="1"/>
  <c r="G468" i="5" s="1"/>
  <c r="CT468" i="5"/>
  <c r="CV468" i="5"/>
  <c r="I467" i="5"/>
  <c r="W468" i="5"/>
  <c r="T468" i="5"/>
  <c r="U468" i="5" s="1"/>
  <c r="H441" i="6"/>
  <c r="Z466" i="5"/>
  <c r="AM468" i="5"/>
  <c r="AL469" i="5" s="1"/>
  <c r="AH467" i="5" l="1"/>
  <c r="AT467" i="5"/>
  <c r="AP467" i="5"/>
  <c r="P467" i="5"/>
  <c r="AY467" i="5" s="1"/>
  <c r="M467" i="5"/>
  <c r="AA466" i="5"/>
  <c r="I441" i="6" s="1"/>
  <c r="CN468" i="5"/>
  <c r="E468" i="5" s="1"/>
  <c r="CO468" i="5"/>
  <c r="F468" i="5" s="1"/>
  <c r="BY468" i="5" l="1"/>
  <c r="J468" i="5" s="1"/>
  <c r="AF468" i="5" s="1"/>
  <c r="BW468" i="5"/>
  <c r="AS467" i="5"/>
  <c r="AV467" i="5" s="1"/>
  <c r="AO467" i="5"/>
  <c r="AR467" i="5" s="1"/>
  <c r="N467" i="5"/>
  <c r="AG467" i="5"/>
  <c r="BC468" i="5"/>
  <c r="D443" i="6"/>
  <c r="C469" i="5"/>
  <c r="BU469" i="5" s="1"/>
  <c r="E443" i="6"/>
  <c r="Q467" i="5"/>
  <c r="V467" i="5" s="1"/>
  <c r="F442" i="6"/>
  <c r="AN468" i="5" l="1"/>
  <c r="BT469" i="5"/>
  <c r="BV469" i="5"/>
  <c r="BS469" i="5"/>
  <c r="CI469" i="5"/>
  <c r="BH469" i="5"/>
  <c r="BI469" i="5" s="1"/>
  <c r="BJ469" i="5" s="1"/>
  <c r="AJ467" i="5"/>
  <c r="G442" i="6"/>
  <c r="AC469" i="5"/>
  <c r="AD469" i="5" s="1"/>
  <c r="D469" i="5"/>
  <c r="CY469" i="5"/>
  <c r="CR469" i="5"/>
  <c r="CS469" i="5"/>
  <c r="CW469" i="5"/>
  <c r="AB469" i="5"/>
  <c r="BN469" i="5" s="1"/>
  <c r="BO469" i="5" s="1"/>
  <c r="BP469" i="5" s="1"/>
  <c r="CL469" i="5"/>
  <c r="CM469" i="5" s="1"/>
  <c r="AK469" i="5"/>
  <c r="AM469" i="5" s="1"/>
  <c r="AL470" i="5" s="1"/>
  <c r="CX469" i="5"/>
  <c r="BK469" i="5"/>
  <c r="BL469" i="5" s="1"/>
  <c r="BM469" i="5" s="1"/>
  <c r="C444" i="6"/>
  <c r="BG468" i="5"/>
  <c r="H468" i="5" s="1"/>
  <c r="AX469" i="5"/>
  <c r="AW469" i="5" s="1"/>
  <c r="CU469" i="5"/>
  <c r="BX469" i="5" s="1"/>
  <c r="CZ468" i="5"/>
  <c r="BD468" i="5"/>
  <c r="BE469" i="5" s="1"/>
  <c r="BF468" i="5"/>
  <c r="G469" i="5" l="1"/>
  <c r="DA469" i="5"/>
  <c r="DB469" i="5" s="1"/>
  <c r="K469" i="5" s="1"/>
  <c r="CH469" i="5"/>
  <c r="CK469" i="5"/>
  <c r="CJ469" i="5" s="1"/>
  <c r="X467" i="5"/>
  <c r="Y467" i="5" s="1"/>
  <c r="L469" i="5"/>
  <c r="I468" i="5"/>
  <c r="T469" i="5"/>
  <c r="U469" i="5" s="1"/>
  <c r="W469" i="5"/>
  <c r="AE469" i="5"/>
  <c r="CV469" i="5"/>
  <c r="CT469" i="5"/>
  <c r="CP469" i="5"/>
  <c r="CQ469" i="5" s="1"/>
  <c r="R469" i="5" s="1"/>
  <c r="S469" i="5" s="1"/>
  <c r="H442" i="6" l="1"/>
  <c r="Z467" i="5"/>
  <c r="AA467" i="5" s="1"/>
  <c r="I442" i="6" s="1"/>
  <c r="AH468" i="5"/>
  <c r="AT468" i="5"/>
  <c r="AP468" i="5"/>
  <c r="CN469" i="5"/>
  <c r="E469" i="5" s="1"/>
  <c r="CO469" i="5"/>
  <c r="F469" i="5" s="1"/>
  <c r="P468" i="5"/>
  <c r="M468" i="5"/>
  <c r="AG468" i="5" s="1"/>
  <c r="BW469" i="5" l="1"/>
  <c r="BY469" i="5"/>
  <c r="J469" i="5" s="1"/>
  <c r="BB468" i="5"/>
  <c r="AY468" i="5"/>
  <c r="AJ468" i="5"/>
  <c r="C470" i="5"/>
  <c r="BU470" i="5" s="1"/>
  <c r="E444" i="6"/>
  <c r="BC469" i="5"/>
  <c r="D444" i="6"/>
  <c r="N468" i="5"/>
  <c r="AS468" i="5"/>
  <c r="AV468" i="5" s="1"/>
  <c r="AO468" i="5"/>
  <c r="AR468" i="5" s="1"/>
  <c r="F443" i="6"/>
  <c r="Q468" i="5"/>
  <c r="V468" i="5" s="1"/>
  <c r="AF469" i="5" l="1"/>
  <c r="AN469" i="5"/>
  <c r="BT470" i="5"/>
  <c r="BV470" i="5"/>
  <c r="BS470" i="5"/>
  <c r="CI470" i="5"/>
  <c r="BH470" i="5"/>
  <c r="BI470" i="5" s="1"/>
  <c r="BJ470" i="5" s="1"/>
  <c r="X468" i="5"/>
  <c r="Y468" i="5" s="1"/>
  <c r="BF469" i="5"/>
  <c r="BD469" i="5"/>
  <c r="BE470" i="5" s="1"/>
  <c r="CZ469" i="5"/>
  <c r="G443" i="6"/>
  <c r="CL470" i="5"/>
  <c r="CM470" i="5" s="1"/>
  <c r="BK470" i="5"/>
  <c r="BL470" i="5" s="1"/>
  <c r="BM470" i="5" s="1"/>
  <c r="AC470" i="5"/>
  <c r="AB470" i="5"/>
  <c r="BN470" i="5" s="1"/>
  <c r="BO470" i="5" s="1"/>
  <c r="BP470" i="5" s="1"/>
  <c r="CR470" i="5"/>
  <c r="CX470" i="5"/>
  <c r="D470" i="5"/>
  <c r="CY470" i="5"/>
  <c r="AK470" i="5"/>
  <c r="C445" i="6"/>
  <c r="CW470" i="5"/>
  <c r="CS470" i="5"/>
  <c r="BG469" i="5"/>
  <c r="H469" i="5" s="1"/>
  <c r="AX470" i="5"/>
  <c r="AW470" i="5" s="1"/>
  <c r="CU470" i="5"/>
  <c r="BX470" i="5" s="1"/>
  <c r="DA470" i="5" l="1"/>
  <c r="DB470" i="5" s="1"/>
  <c r="G470" i="5"/>
  <c r="AD470" i="5"/>
  <c r="AE470" i="5" s="1"/>
  <c r="CH470" i="5"/>
  <c r="CK470" i="5"/>
  <c r="CJ470" i="5" s="1"/>
  <c r="CP470" i="5"/>
  <c r="CQ470" i="5" s="1"/>
  <c r="R470" i="5" s="1"/>
  <c r="S470" i="5" s="1"/>
  <c r="AM470" i="5"/>
  <c r="AL471" i="5" s="1"/>
  <c r="CT470" i="5"/>
  <c r="CV470" i="5"/>
  <c r="T470" i="5"/>
  <c r="U470" i="5" s="1"/>
  <c r="W470" i="5"/>
  <c r="H443" i="6"/>
  <c r="Z468" i="5"/>
  <c r="L470" i="5"/>
  <c r="I469" i="5"/>
  <c r="AP469" i="5" s="1"/>
  <c r="K470" i="5" l="1"/>
  <c r="AT469" i="5"/>
  <c r="AH469" i="5"/>
  <c r="CO470" i="5"/>
  <c r="F470" i="5" s="1"/>
  <c r="CN470" i="5"/>
  <c r="E470" i="5" s="1"/>
  <c r="AA468" i="5"/>
  <c r="I443" i="6" s="1"/>
  <c r="M469" i="5"/>
  <c r="P469" i="5"/>
  <c r="AY469" i="5" s="1"/>
  <c r="BW470" i="5" l="1"/>
  <c r="BY470" i="5"/>
  <c r="J470" i="5" s="1"/>
  <c r="AG469" i="5"/>
  <c r="AJ469" i="5" s="1"/>
  <c r="AO469" i="5"/>
  <c r="AR469" i="5" s="1"/>
  <c r="C471" i="5"/>
  <c r="BU471" i="5" s="1"/>
  <c r="E445" i="6"/>
  <c r="BC470" i="5"/>
  <c r="D445" i="6"/>
  <c r="N469" i="5"/>
  <c r="AS469" i="5"/>
  <c r="AV469" i="5" s="1"/>
  <c r="F444" i="6"/>
  <c r="Q469" i="5"/>
  <c r="V469" i="5" s="1"/>
  <c r="AN470" i="5" l="1"/>
  <c r="AF470" i="5"/>
  <c r="BT471" i="5"/>
  <c r="BV471" i="5"/>
  <c r="BS471" i="5"/>
  <c r="CI471" i="5"/>
  <c r="BH471" i="5"/>
  <c r="BI471" i="5" s="1"/>
  <c r="BJ471" i="5" s="1"/>
  <c r="X469" i="5"/>
  <c r="Y469" i="5" s="1"/>
  <c r="CZ470" i="5"/>
  <c r="BD470" i="5"/>
  <c r="BE471" i="5" s="1"/>
  <c r="BF470" i="5"/>
  <c r="G444" i="6"/>
  <c r="D471" i="5"/>
  <c r="CW471" i="5"/>
  <c r="CS471" i="5"/>
  <c r="BK471" i="5"/>
  <c r="BL471" i="5" s="1"/>
  <c r="BM471" i="5" s="1"/>
  <c r="C446" i="6"/>
  <c r="AC471" i="5"/>
  <c r="AD471" i="5" s="1"/>
  <c r="CR471" i="5"/>
  <c r="AK471" i="5"/>
  <c r="AM471" i="5" s="1"/>
  <c r="AL472" i="5" s="1"/>
  <c r="CY471" i="5"/>
  <c r="CX471" i="5"/>
  <c r="CL471" i="5"/>
  <c r="CM471" i="5" s="1"/>
  <c r="AB471" i="5"/>
  <c r="L471" i="5" s="1"/>
  <c r="BG470" i="5"/>
  <c r="H470" i="5" s="1"/>
  <c r="AX471" i="5"/>
  <c r="AW471" i="5" s="1"/>
  <c r="CU471" i="5"/>
  <c r="BX471" i="5" s="1"/>
  <c r="CH471" i="5" l="1"/>
  <c r="CK471" i="5"/>
  <c r="CJ471" i="5" s="1"/>
  <c r="CP471" i="5"/>
  <c r="CQ471" i="5" s="1"/>
  <c r="R471" i="5" s="1"/>
  <c r="S471" i="5" s="1"/>
  <c r="W471" i="5"/>
  <c r="T471" i="5"/>
  <c r="U471" i="5" s="1"/>
  <c r="CV471" i="5"/>
  <c r="CT471" i="5"/>
  <c r="H444" i="6"/>
  <c r="Z469" i="5"/>
  <c r="DA471" i="5"/>
  <c r="DB471" i="5" s="1"/>
  <c r="K471" i="5" s="1"/>
  <c r="BN471" i="5"/>
  <c r="BO471" i="5" s="1"/>
  <c r="BP471" i="5" s="1"/>
  <c r="G471" i="5" s="1"/>
  <c r="AE471" i="5"/>
  <c r="I470" i="5"/>
  <c r="AH470" i="5" s="1"/>
  <c r="CN471" i="5" l="1"/>
  <c r="E471" i="5" s="1"/>
  <c r="CO471" i="5"/>
  <c r="F471" i="5" s="1"/>
  <c r="M470" i="5"/>
  <c r="AG470" i="5" s="1"/>
  <c r="AJ470" i="5" s="1"/>
  <c r="P470" i="5"/>
  <c r="AY470" i="5" s="1"/>
  <c r="AT470" i="5"/>
  <c r="AP470" i="5"/>
  <c r="AA469" i="5"/>
  <c r="I444" i="6" s="1"/>
  <c r="BW471" i="5" l="1"/>
  <c r="N470" i="5"/>
  <c r="AS470" i="5"/>
  <c r="AV470" i="5" s="1"/>
  <c r="AO470" i="5"/>
  <c r="AR470" i="5" s="1"/>
  <c r="C472" i="5"/>
  <c r="BU472" i="5" s="1"/>
  <c r="E446" i="6"/>
  <c r="D446" i="6"/>
  <c r="BC471" i="5"/>
  <c r="F445" i="6"/>
  <c r="Q470" i="5"/>
  <c r="V470" i="5" s="1"/>
  <c r="BY471" i="5" l="1"/>
  <c r="J471" i="5" s="1"/>
  <c r="BV472" i="5"/>
  <c r="BT472" i="5"/>
  <c r="BS472" i="5"/>
  <c r="CI472" i="5"/>
  <c r="BH472" i="5"/>
  <c r="BI472" i="5" s="1"/>
  <c r="BJ472" i="5" s="1"/>
  <c r="X470" i="5"/>
  <c r="Y470" i="5" s="1"/>
  <c r="CZ471" i="5"/>
  <c r="BF471" i="5"/>
  <c r="BD471" i="5"/>
  <c r="BE472" i="5" s="1"/>
  <c r="CL472" i="5"/>
  <c r="CM472" i="5" s="1"/>
  <c r="AK472" i="5"/>
  <c r="AM472" i="5" s="1"/>
  <c r="AL473" i="5" s="1"/>
  <c r="CS472" i="5"/>
  <c r="D472" i="5"/>
  <c r="CX472" i="5"/>
  <c r="CR472" i="5"/>
  <c r="CW472" i="5"/>
  <c r="AB472" i="5"/>
  <c r="CP472" i="5" s="1"/>
  <c r="CQ472" i="5" s="1"/>
  <c r="R472" i="5" s="1"/>
  <c r="S472" i="5" s="1"/>
  <c r="C447" i="6"/>
  <c r="BK472" i="5"/>
  <c r="BL472" i="5" s="1"/>
  <c r="BM472" i="5" s="1"/>
  <c r="AC472" i="5"/>
  <c r="CY472" i="5"/>
  <c r="BG471" i="5"/>
  <c r="H471" i="5" s="1"/>
  <c r="AX472" i="5"/>
  <c r="AW472" i="5" s="1"/>
  <c r="CU472" i="5"/>
  <c r="BX472" i="5" s="1"/>
  <c r="G445" i="6"/>
  <c r="AN471" i="5" l="1"/>
  <c r="AF471" i="5"/>
  <c r="CH472" i="5"/>
  <c r="CK472" i="5"/>
  <c r="CJ472" i="5" s="1"/>
  <c r="AD472" i="5"/>
  <c r="AE472" i="5" s="1"/>
  <c r="T472" i="5"/>
  <c r="U472" i="5" s="1"/>
  <c r="W472" i="5"/>
  <c r="I471" i="5"/>
  <c r="H445" i="6"/>
  <c r="Z470" i="5"/>
  <c r="DA472" i="5"/>
  <c r="DB472" i="5" s="1"/>
  <c r="K472" i="5" s="1"/>
  <c r="L472" i="5"/>
  <c r="CT472" i="5"/>
  <c r="CV472" i="5"/>
  <c r="BN472" i="5"/>
  <c r="BO472" i="5" s="1"/>
  <c r="BP472" i="5" s="1"/>
  <c r="G472" i="5" s="1"/>
  <c r="AH471" i="5" l="1"/>
  <c r="AT471" i="5"/>
  <c r="AP471" i="5"/>
  <c r="AA470" i="5"/>
  <c r="I445" i="6" s="1"/>
  <c r="P471" i="5"/>
  <c r="AY471" i="5" s="1"/>
  <c r="M471" i="5"/>
  <c r="CO472" i="5"/>
  <c r="F472" i="5" s="1"/>
  <c r="CN472" i="5"/>
  <c r="E472" i="5" s="1"/>
  <c r="BY472" i="5" l="1"/>
  <c r="J472" i="5" s="1"/>
  <c r="BW472" i="5"/>
  <c r="AO471" i="5"/>
  <c r="AR471" i="5" s="1"/>
  <c r="AG471" i="5"/>
  <c r="F446" i="6"/>
  <c r="Q471" i="5"/>
  <c r="V471" i="5" s="1"/>
  <c r="BC472" i="5"/>
  <c r="D447" i="6"/>
  <c r="C473" i="5"/>
  <c r="BU473" i="5" s="1"/>
  <c r="E447" i="6"/>
  <c r="N471" i="5"/>
  <c r="AS471" i="5"/>
  <c r="AV471" i="5" s="1"/>
  <c r="AF472" i="5" l="1"/>
  <c r="AN472" i="5"/>
  <c r="BT473" i="5"/>
  <c r="BV473" i="5"/>
  <c r="BS473" i="5"/>
  <c r="CI473" i="5"/>
  <c r="BH473" i="5"/>
  <c r="BI473" i="5" s="1"/>
  <c r="BJ473" i="5" s="1"/>
  <c r="AJ471" i="5"/>
  <c r="BK473" i="5"/>
  <c r="BL473" i="5" s="1"/>
  <c r="BM473" i="5" s="1"/>
  <c r="CL473" i="5"/>
  <c r="CM473" i="5" s="1"/>
  <c r="AK473" i="5"/>
  <c r="AM473" i="5" s="1"/>
  <c r="AL474" i="5" s="1"/>
  <c r="AC473" i="5"/>
  <c r="CX473" i="5"/>
  <c r="CR473" i="5"/>
  <c r="CS473" i="5"/>
  <c r="CY473" i="5"/>
  <c r="CW473" i="5"/>
  <c r="C448" i="6"/>
  <c r="AB473" i="5"/>
  <c r="BN473" i="5" s="1"/>
  <c r="BO473" i="5" s="1"/>
  <c r="BP473" i="5" s="1"/>
  <c r="D473" i="5"/>
  <c r="BG472" i="5"/>
  <c r="H472" i="5" s="1"/>
  <c r="AX473" i="5"/>
  <c r="AW473" i="5" s="1"/>
  <c r="CU473" i="5"/>
  <c r="BX473" i="5" s="1"/>
  <c r="BF472" i="5"/>
  <c r="CZ472" i="5"/>
  <c r="BD472" i="5"/>
  <c r="BE473" i="5" s="1"/>
  <c r="G446" i="6"/>
  <c r="G473" i="5" l="1"/>
  <c r="CK473" i="5"/>
  <c r="CJ473" i="5" s="1"/>
  <c r="CH473" i="5"/>
  <c r="AD473" i="5"/>
  <c r="AE473" i="5" s="1"/>
  <c r="X471" i="5"/>
  <c r="Y471" i="5" s="1"/>
  <c r="DA473" i="5"/>
  <c r="DB473" i="5" s="1"/>
  <c r="K473" i="5" s="1"/>
  <c r="CP473" i="5"/>
  <c r="CQ473" i="5" s="1"/>
  <c r="R473" i="5" s="1"/>
  <c r="S473" i="5" s="1"/>
  <c r="L473" i="5"/>
  <c r="CV473" i="5"/>
  <c r="CT473" i="5"/>
  <c r="I472" i="5"/>
  <c r="AH472" i="5" s="1"/>
  <c r="T473" i="5"/>
  <c r="U473" i="5" s="1"/>
  <c r="W473" i="5"/>
  <c r="H446" i="6" l="1"/>
  <c r="Z471" i="5"/>
  <c r="AA471" i="5" s="1"/>
  <c r="I446" i="6" s="1"/>
  <c r="AT472" i="5"/>
  <c r="AP472" i="5"/>
  <c r="M472" i="5"/>
  <c r="AG472" i="5" s="1"/>
  <c r="AJ472" i="5" s="1"/>
  <c r="P472" i="5"/>
  <c r="AY472" i="5" s="1"/>
  <c r="CO473" i="5"/>
  <c r="F473" i="5" s="1"/>
  <c r="CN473" i="5"/>
  <c r="E473" i="5" s="1"/>
  <c r="F447" i="6" l="1"/>
  <c r="Q472" i="5"/>
  <c r="V472" i="5" s="1"/>
  <c r="G447" i="6" s="1"/>
  <c r="N472" i="5"/>
  <c r="AS472" i="5"/>
  <c r="AV472" i="5" s="1"/>
  <c r="AO472" i="5"/>
  <c r="AR472" i="5" s="1"/>
  <c r="C474" i="5"/>
  <c r="BU474" i="5" s="1"/>
  <c r="E448" i="6"/>
  <c r="D448" i="6"/>
  <c r="BC473" i="5"/>
  <c r="BY473" i="5" l="1"/>
  <c r="J473" i="5" s="1"/>
  <c r="BW473" i="5"/>
  <c r="BV474" i="5"/>
  <c r="BT474" i="5"/>
  <c r="BS474" i="5"/>
  <c r="CI474" i="5"/>
  <c r="BH474" i="5"/>
  <c r="BI474" i="5" s="1"/>
  <c r="BJ474" i="5" s="1"/>
  <c r="X472" i="5"/>
  <c r="Y472" i="5" s="1"/>
  <c r="CW474" i="5"/>
  <c r="CR474" i="5"/>
  <c r="CY474" i="5"/>
  <c r="CX474" i="5"/>
  <c r="CL474" i="5"/>
  <c r="CM474" i="5" s="1"/>
  <c r="D474" i="5"/>
  <c r="BK474" i="5"/>
  <c r="BL474" i="5" s="1"/>
  <c r="BM474" i="5" s="1"/>
  <c r="CS474" i="5"/>
  <c r="AC474" i="5"/>
  <c r="AK474" i="5"/>
  <c r="AB474" i="5"/>
  <c r="DA474" i="5" s="1"/>
  <c r="DB474" i="5" s="1"/>
  <c r="C449" i="6"/>
  <c r="BG473" i="5"/>
  <c r="H473" i="5" s="1"/>
  <c r="AX474" i="5"/>
  <c r="AW474" i="5" s="1"/>
  <c r="CU474" i="5"/>
  <c r="BF473" i="5"/>
  <c r="CZ473" i="5"/>
  <c r="BD473" i="5"/>
  <c r="BE474" i="5" s="1"/>
  <c r="AF473" i="5" l="1"/>
  <c r="AN473" i="5"/>
  <c r="BX474" i="5"/>
  <c r="CH474" i="5"/>
  <c r="CK474" i="5"/>
  <c r="CJ474" i="5" s="1"/>
  <c r="K474" i="5" s="1"/>
  <c r="AD474" i="5"/>
  <c r="AE474" i="5" s="1"/>
  <c r="H447" i="6"/>
  <c r="Z472" i="5"/>
  <c r="AA472" i="5" s="1"/>
  <c r="I447" i="6" s="1"/>
  <c r="AM474" i="5"/>
  <c r="AL475" i="5" s="1"/>
  <c r="W474" i="5"/>
  <c r="T474" i="5"/>
  <c r="U474" i="5" s="1"/>
  <c r="I473" i="5"/>
  <c r="AP473" i="5" s="1"/>
  <c r="CP474" i="5"/>
  <c r="CQ474" i="5" s="1"/>
  <c r="R474" i="5" s="1"/>
  <c r="S474" i="5" s="1"/>
  <c r="L474" i="5"/>
  <c r="CV474" i="5"/>
  <c r="CT474" i="5"/>
  <c r="BN474" i="5"/>
  <c r="BO474" i="5" s="1"/>
  <c r="BP474" i="5" s="1"/>
  <c r="G474" i="5" s="1"/>
  <c r="AT473" i="5" l="1"/>
  <c r="AH473" i="5"/>
  <c r="CN474" i="5"/>
  <c r="E474" i="5" s="1"/>
  <c r="CO474" i="5"/>
  <c r="F474" i="5" s="1"/>
  <c r="M473" i="5"/>
  <c r="P473" i="5"/>
  <c r="AY473" i="5" s="1"/>
  <c r="BW474" i="5" l="1"/>
  <c r="BY474" i="5"/>
  <c r="J474" i="5" s="1"/>
  <c r="AF474" i="5" s="1"/>
  <c r="AG473" i="5"/>
  <c r="AJ473" i="5" s="1"/>
  <c r="AO473" i="5"/>
  <c r="AR473" i="5" s="1"/>
  <c r="N473" i="5"/>
  <c r="AS473" i="5"/>
  <c r="AV473" i="5" s="1"/>
  <c r="Q473" i="5"/>
  <c r="V473" i="5" s="1"/>
  <c r="F448" i="6"/>
  <c r="E449" i="6"/>
  <c r="C475" i="5"/>
  <c r="BU475" i="5" s="1"/>
  <c r="D449" i="6"/>
  <c r="BC474" i="5"/>
  <c r="AN474" i="5" l="1"/>
  <c r="BV475" i="5"/>
  <c r="BT475" i="5"/>
  <c r="BS475" i="5"/>
  <c r="CI475" i="5"/>
  <c r="BH475" i="5"/>
  <c r="BI475" i="5" s="1"/>
  <c r="BJ475" i="5" s="1"/>
  <c r="X473" i="5"/>
  <c r="Y473" i="5" s="1"/>
  <c r="AK475" i="5"/>
  <c r="D475" i="5"/>
  <c r="CL475" i="5"/>
  <c r="CM475" i="5" s="1"/>
  <c r="CW475" i="5"/>
  <c r="CY475" i="5"/>
  <c r="CS475" i="5"/>
  <c r="AC475" i="5"/>
  <c r="C450" i="6"/>
  <c r="AB475" i="5"/>
  <c r="CP475" i="5" s="1"/>
  <c r="CQ475" i="5" s="1"/>
  <c r="R475" i="5" s="1"/>
  <c r="S475" i="5" s="1"/>
  <c r="CR475" i="5"/>
  <c r="BK475" i="5"/>
  <c r="BL475" i="5" s="1"/>
  <c r="BM475" i="5" s="1"/>
  <c r="CX475" i="5"/>
  <c r="BG474" i="5"/>
  <c r="H474" i="5" s="1"/>
  <c r="AX475" i="5"/>
  <c r="AW475" i="5" s="1"/>
  <c r="CU475" i="5"/>
  <c r="BX475" i="5" s="1"/>
  <c r="G448" i="6"/>
  <c r="BD474" i="5"/>
  <c r="BE475" i="5" s="1"/>
  <c r="CZ474" i="5"/>
  <c r="BF474" i="5"/>
  <c r="CH475" i="5" l="1"/>
  <c r="CK475" i="5"/>
  <c r="CJ475" i="5" s="1"/>
  <c r="DA475" i="5"/>
  <c r="DB475" i="5" s="1"/>
  <c r="K475" i="5" s="1"/>
  <c r="AD475" i="5"/>
  <c r="AE475" i="5" s="1"/>
  <c r="CV475" i="5"/>
  <c r="CT475" i="5"/>
  <c r="I474" i="5"/>
  <c r="BN475" i="5"/>
  <c r="BO475" i="5" s="1"/>
  <c r="BP475" i="5" s="1"/>
  <c r="G475" i="5" s="1"/>
  <c r="W475" i="5"/>
  <c r="T475" i="5"/>
  <c r="U475" i="5" s="1"/>
  <c r="H448" i="6"/>
  <c r="Z473" i="5"/>
  <c r="L475" i="5"/>
  <c r="AM475" i="5"/>
  <c r="AL476" i="5" s="1"/>
  <c r="AH474" i="5" l="1"/>
  <c r="AT474" i="5"/>
  <c r="AP474" i="5"/>
  <c r="AA473" i="5"/>
  <c r="I448" i="6" s="1"/>
  <c r="M474" i="5"/>
  <c r="P474" i="5"/>
  <c r="AY474" i="5" s="1"/>
  <c r="CN475" i="5"/>
  <c r="E475" i="5" s="1"/>
  <c r="CO475" i="5"/>
  <c r="F475" i="5" s="1"/>
  <c r="BW475" i="5" l="1"/>
  <c r="BY475" i="5"/>
  <c r="J475" i="5" s="1"/>
  <c r="AS474" i="5"/>
  <c r="AV474" i="5" s="1"/>
  <c r="AO474" i="5"/>
  <c r="AR474" i="5" s="1"/>
  <c r="F449" i="6"/>
  <c r="Q474" i="5"/>
  <c r="V474" i="5" s="1"/>
  <c r="N474" i="5"/>
  <c r="AG474" i="5"/>
  <c r="E450" i="6"/>
  <c r="C476" i="5"/>
  <c r="BU476" i="5" s="1"/>
  <c r="D450" i="6"/>
  <c r="BC475" i="5"/>
  <c r="AF475" i="5" l="1"/>
  <c r="AN475" i="5"/>
  <c r="BT476" i="5"/>
  <c r="BV476" i="5"/>
  <c r="BS476" i="5"/>
  <c r="CI476" i="5"/>
  <c r="BH476" i="5"/>
  <c r="BI476" i="5" s="1"/>
  <c r="BJ476" i="5" s="1"/>
  <c r="AJ474" i="5"/>
  <c r="X474" i="5" s="1"/>
  <c r="Y474" i="5" s="1"/>
  <c r="CS476" i="5"/>
  <c r="CW476" i="5"/>
  <c r="CY476" i="5"/>
  <c r="AC476" i="5"/>
  <c r="AD476" i="5" s="1"/>
  <c r="CL476" i="5"/>
  <c r="CM476" i="5" s="1"/>
  <c r="BK476" i="5"/>
  <c r="BL476" i="5" s="1"/>
  <c r="BM476" i="5" s="1"/>
  <c r="AK476" i="5"/>
  <c r="AM476" i="5" s="1"/>
  <c r="AL477" i="5" s="1"/>
  <c r="C451" i="6"/>
  <c r="D476" i="5"/>
  <c r="CX476" i="5"/>
  <c r="CR476" i="5"/>
  <c r="AB476" i="5"/>
  <c r="CP476" i="5" s="1"/>
  <c r="CQ476" i="5" s="1"/>
  <c r="R476" i="5" s="1"/>
  <c r="S476" i="5" s="1"/>
  <c r="BG475" i="5"/>
  <c r="H475" i="5" s="1"/>
  <c r="AX476" i="5"/>
  <c r="AW476" i="5" s="1"/>
  <c r="CU476" i="5"/>
  <c r="BX476" i="5" s="1"/>
  <c r="BF475" i="5"/>
  <c r="CZ475" i="5"/>
  <c r="BD475" i="5"/>
  <c r="BE476" i="5" s="1"/>
  <c r="G449" i="6"/>
  <c r="CK476" i="5" l="1"/>
  <c r="CJ476" i="5" s="1"/>
  <c r="CH476" i="5"/>
  <c r="L476" i="5"/>
  <c r="DA476" i="5"/>
  <c r="DB476" i="5" s="1"/>
  <c r="K476" i="5" s="1"/>
  <c r="BN476" i="5"/>
  <c r="BO476" i="5" s="1"/>
  <c r="BP476" i="5" s="1"/>
  <c r="G476" i="5" s="1"/>
  <c r="AE476" i="5"/>
  <c r="I475" i="5"/>
  <c r="AP475" i="5" s="1"/>
  <c r="H449" i="6"/>
  <c r="Z474" i="5"/>
  <c r="CT476" i="5"/>
  <c r="CV476" i="5"/>
  <c r="W476" i="5"/>
  <c r="T476" i="5"/>
  <c r="U476" i="5" s="1"/>
  <c r="AH475" i="5" l="1"/>
  <c r="AT475" i="5"/>
  <c r="AA474" i="5"/>
  <c r="I449" i="6" s="1"/>
  <c r="M475" i="5"/>
  <c r="P475" i="5"/>
  <c r="AY475" i="5" s="1"/>
  <c r="CO476" i="5"/>
  <c r="F476" i="5" s="1"/>
  <c r="CN476" i="5"/>
  <c r="E476" i="5" s="1"/>
  <c r="BY476" i="5" l="1"/>
  <c r="J476" i="5" s="1"/>
  <c r="AN476" i="5" s="1"/>
  <c r="BW476" i="5"/>
  <c r="AO475" i="5"/>
  <c r="AR475" i="5" s="1"/>
  <c r="AG475" i="5"/>
  <c r="AJ475" i="5" s="1"/>
  <c r="N475" i="5"/>
  <c r="AS475" i="5"/>
  <c r="AV475" i="5" s="1"/>
  <c r="C477" i="5"/>
  <c r="BU477" i="5" s="1"/>
  <c r="E451" i="6"/>
  <c r="Q475" i="5"/>
  <c r="V475" i="5" s="1"/>
  <c r="F450" i="6"/>
  <c r="D451" i="6"/>
  <c r="BC476" i="5"/>
  <c r="AF476" i="5" l="1"/>
  <c r="BT477" i="5"/>
  <c r="BV477" i="5"/>
  <c r="BS477" i="5"/>
  <c r="CI477" i="5"/>
  <c r="BH477" i="5"/>
  <c r="BI477" i="5" s="1"/>
  <c r="BJ477" i="5" s="1"/>
  <c r="X475" i="5"/>
  <c r="Y475" i="5" s="1"/>
  <c r="G450" i="6"/>
  <c r="BD476" i="5"/>
  <c r="BE477" i="5" s="1"/>
  <c r="CZ476" i="5"/>
  <c r="BF476" i="5"/>
  <c r="CY477" i="5"/>
  <c r="CX477" i="5"/>
  <c r="BK477" i="5"/>
  <c r="BL477" i="5" s="1"/>
  <c r="BM477" i="5" s="1"/>
  <c r="AB477" i="5"/>
  <c r="CP477" i="5" s="1"/>
  <c r="CQ477" i="5" s="1"/>
  <c r="R477" i="5" s="1"/>
  <c r="S477" i="5" s="1"/>
  <c r="CW477" i="5"/>
  <c r="CR477" i="5"/>
  <c r="AC477" i="5"/>
  <c r="AK477" i="5"/>
  <c r="C452" i="6"/>
  <c r="CS477" i="5"/>
  <c r="CL477" i="5"/>
  <c r="CM477" i="5" s="1"/>
  <c r="D477" i="5"/>
  <c r="BG476" i="5"/>
  <c r="H476" i="5" s="1"/>
  <c r="AX477" i="5"/>
  <c r="AW477" i="5" s="1"/>
  <c r="CU477" i="5"/>
  <c r="BX477" i="5" s="1"/>
  <c r="CH477" i="5" l="1"/>
  <c r="CK477" i="5"/>
  <c r="CJ477" i="5" s="1"/>
  <c r="DA477" i="5"/>
  <c r="DB477" i="5" s="1"/>
  <c r="K477" i="5" s="1"/>
  <c r="BN477" i="5"/>
  <c r="BO477" i="5" s="1"/>
  <c r="BP477" i="5" s="1"/>
  <c r="G477" i="5" s="1"/>
  <c r="AD477" i="5"/>
  <c r="AE477" i="5" s="1"/>
  <c r="L477" i="5"/>
  <c r="AM477" i="5"/>
  <c r="AL478" i="5" s="1"/>
  <c r="CV477" i="5"/>
  <c r="CT477" i="5"/>
  <c r="I476" i="5"/>
  <c r="AP476" i="5" s="1"/>
  <c r="T477" i="5"/>
  <c r="U477" i="5" s="1"/>
  <c r="W477" i="5"/>
  <c r="H450" i="6"/>
  <c r="Z475" i="5"/>
  <c r="AT476" i="5" l="1"/>
  <c r="AH476" i="5"/>
  <c r="CN477" i="5"/>
  <c r="E477" i="5" s="1"/>
  <c r="CO477" i="5"/>
  <c r="F477" i="5" s="1"/>
  <c r="M476" i="5"/>
  <c r="P476" i="5"/>
  <c r="AY476" i="5" s="1"/>
  <c r="AA475" i="5"/>
  <c r="I450" i="6" s="1"/>
  <c r="BW477" i="5" l="1"/>
  <c r="BY477" i="5"/>
  <c r="J477" i="5" s="1"/>
  <c r="AS476" i="5"/>
  <c r="AV476" i="5" s="1"/>
  <c r="AO476" i="5"/>
  <c r="N476" i="5"/>
  <c r="AG476" i="5"/>
  <c r="Q476" i="5"/>
  <c r="V476" i="5" s="1"/>
  <c r="F451" i="6"/>
  <c r="E452" i="6"/>
  <c r="C478" i="5"/>
  <c r="BU478" i="5" s="1"/>
  <c r="D452" i="6"/>
  <c r="BC477" i="5"/>
  <c r="AN477" i="5" l="1"/>
  <c r="AF477" i="5"/>
  <c r="BT478" i="5"/>
  <c r="BV478" i="5"/>
  <c r="BS478" i="5"/>
  <c r="CI478" i="5"/>
  <c r="BH478" i="5"/>
  <c r="BI478" i="5" s="1"/>
  <c r="BJ478" i="5" s="1"/>
  <c r="AR476" i="5"/>
  <c r="AJ476" i="5"/>
  <c r="BD477" i="5"/>
  <c r="BE478" i="5" s="1"/>
  <c r="BF477" i="5"/>
  <c r="CZ477" i="5"/>
  <c r="G451" i="6"/>
  <c r="CR478" i="5"/>
  <c r="AC478" i="5"/>
  <c r="AD478" i="5" s="1"/>
  <c r="AB478" i="5"/>
  <c r="L478" i="5" s="1"/>
  <c r="C453" i="6"/>
  <c r="CY478" i="5"/>
  <c r="CL478" i="5"/>
  <c r="CM478" i="5" s="1"/>
  <c r="AK478" i="5"/>
  <c r="AM478" i="5" s="1"/>
  <c r="AL479" i="5" s="1"/>
  <c r="CX478" i="5"/>
  <c r="BK478" i="5"/>
  <c r="BL478" i="5" s="1"/>
  <c r="BM478" i="5" s="1"/>
  <c r="CW478" i="5"/>
  <c r="D478" i="5"/>
  <c r="CS478" i="5"/>
  <c r="BG477" i="5"/>
  <c r="H477" i="5" s="1"/>
  <c r="AX478" i="5"/>
  <c r="AW478" i="5" s="1"/>
  <c r="CU478" i="5"/>
  <c r="BX478" i="5" s="1"/>
  <c r="X476" i="5" l="1"/>
  <c r="Y476" i="5" s="1"/>
  <c r="H451" i="6" s="1"/>
  <c r="CH478" i="5"/>
  <c r="CK478" i="5"/>
  <c r="CJ478" i="5" s="1"/>
  <c r="AE478" i="5"/>
  <c r="CT478" i="5"/>
  <c r="CV478" i="5"/>
  <c r="CP478" i="5"/>
  <c r="CQ478" i="5" s="1"/>
  <c r="R478" i="5" s="1"/>
  <c r="S478" i="5" s="1"/>
  <c r="BN478" i="5"/>
  <c r="BO478" i="5" s="1"/>
  <c r="BP478" i="5" s="1"/>
  <c r="G478" i="5" s="1"/>
  <c r="DA478" i="5"/>
  <c r="DB478" i="5" s="1"/>
  <c r="I477" i="5"/>
  <c r="AP477" i="5" s="1"/>
  <c r="W478" i="5"/>
  <c r="T478" i="5"/>
  <c r="U478" i="5" s="1"/>
  <c r="Z476" i="5" l="1"/>
  <c r="AA476" i="5" s="1"/>
  <c r="I451" i="6" s="1"/>
  <c r="K478" i="5"/>
  <c r="AT477" i="5"/>
  <c r="AH477" i="5"/>
  <c r="CO478" i="5"/>
  <c r="F478" i="5" s="1"/>
  <c r="CN478" i="5"/>
  <c r="E478" i="5" s="1"/>
  <c r="P477" i="5"/>
  <c r="AY477" i="5" s="1"/>
  <c r="M477" i="5"/>
  <c r="BW478" i="5" l="1"/>
  <c r="BY478" i="5"/>
  <c r="J478" i="5" s="1"/>
  <c r="AG477" i="5"/>
  <c r="AJ477" i="5" s="1"/>
  <c r="AO477" i="5"/>
  <c r="AR477" i="5" s="1"/>
  <c r="N477" i="5"/>
  <c r="AS477" i="5"/>
  <c r="AV477" i="5" s="1"/>
  <c r="D453" i="6"/>
  <c r="BC478" i="5"/>
  <c r="E453" i="6"/>
  <c r="C479" i="5"/>
  <c r="BU479" i="5" s="1"/>
  <c r="Q477" i="5"/>
  <c r="V477" i="5" s="1"/>
  <c r="F452" i="6"/>
  <c r="AN478" i="5" l="1"/>
  <c r="AF478" i="5"/>
  <c r="BT479" i="5"/>
  <c r="BV479" i="5"/>
  <c r="BS479" i="5"/>
  <c r="CI479" i="5"/>
  <c r="BH479" i="5"/>
  <c r="BI479" i="5" s="1"/>
  <c r="BJ479" i="5" s="1"/>
  <c r="X477" i="5"/>
  <c r="Y477" i="5" s="1"/>
  <c r="G452" i="6"/>
  <c r="CY479" i="5"/>
  <c r="C454" i="6"/>
  <c r="BK479" i="5"/>
  <c r="BL479" i="5" s="1"/>
  <c r="BM479" i="5" s="1"/>
  <c r="AC479" i="5"/>
  <c r="CS479" i="5"/>
  <c r="CW479" i="5"/>
  <c r="AK479" i="5"/>
  <c r="CX479" i="5"/>
  <c r="CL479" i="5"/>
  <c r="CM479" i="5" s="1"/>
  <c r="CR479" i="5"/>
  <c r="AB479" i="5"/>
  <c r="DA479" i="5" s="1"/>
  <c r="DB479" i="5" s="1"/>
  <c r="D479" i="5"/>
  <c r="BG478" i="5"/>
  <c r="H478" i="5" s="1"/>
  <c r="AX479" i="5"/>
  <c r="AW479" i="5" s="1"/>
  <c r="CU479" i="5"/>
  <c r="BX479" i="5" s="1"/>
  <c r="BF478" i="5"/>
  <c r="BD478" i="5"/>
  <c r="BE479" i="5" s="1"/>
  <c r="CZ478" i="5"/>
  <c r="CH479" i="5" l="1"/>
  <c r="CK479" i="5"/>
  <c r="CJ479" i="5" s="1"/>
  <c r="K479" i="5" s="1"/>
  <c r="AD479" i="5"/>
  <c r="AE479" i="5" s="1"/>
  <c r="I478" i="5"/>
  <c r="AH478" i="5" s="1"/>
  <c r="BN479" i="5"/>
  <c r="BO479" i="5" s="1"/>
  <c r="BP479" i="5" s="1"/>
  <c r="G479" i="5" s="1"/>
  <c r="T479" i="5"/>
  <c r="U479" i="5" s="1"/>
  <c r="W479" i="5"/>
  <c r="CT479" i="5"/>
  <c r="CV479" i="5"/>
  <c r="L479" i="5"/>
  <c r="H452" i="6"/>
  <c r="Z477" i="5"/>
  <c r="CP479" i="5"/>
  <c r="CQ479" i="5" s="1"/>
  <c r="R479" i="5" s="1"/>
  <c r="S479" i="5" s="1"/>
  <c r="AM479" i="5"/>
  <c r="AL480" i="5" s="1"/>
  <c r="AT478" i="5" l="1"/>
  <c r="AP478" i="5"/>
  <c r="AA477" i="5"/>
  <c r="I452" i="6" s="1"/>
  <c r="M478" i="5"/>
  <c r="P478" i="5"/>
  <c r="AY478" i="5" s="1"/>
  <c r="CO479" i="5"/>
  <c r="F479" i="5" s="1"/>
  <c r="CN479" i="5"/>
  <c r="E479" i="5" s="1"/>
  <c r="AO478" i="5" l="1"/>
  <c r="AR478" i="5" s="1"/>
  <c r="AG478" i="5"/>
  <c r="E454" i="6"/>
  <c r="C480" i="5"/>
  <c r="BU480" i="5" s="1"/>
  <c r="Q478" i="5"/>
  <c r="V478" i="5" s="1"/>
  <c r="F453" i="6"/>
  <c r="AS478" i="5"/>
  <c r="AV478" i="5" s="1"/>
  <c r="N478" i="5"/>
  <c r="D454" i="6"/>
  <c r="BC479" i="5"/>
  <c r="BW479" i="5" l="1"/>
  <c r="BY479" i="5"/>
  <c r="J479" i="5" s="1"/>
  <c r="BV480" i="5"/>
  <c r="BT480" i="5"/>
  <c r="BS480" i="5"/>
  <c r="CI480" i="5"/>
  <c r="BH480" i="5"/>
  <c r="BI480" i="5" s="1"/>
  <c r="BJ480" i="5" s="1"/>
  <c r="AJ478" i="5"/>
  <c r="G453" i="6"/>
  <c r="CS480" i="5"/>
  <c r="AC480" i="5"/>
  <c r="AD480" i="5" s="1"/>
  <c r="CX480" i="5"/>
  <c r="CL480" i="5"/>
  <c r="CM480" i="5" s="1"/>
  <c r="D480" i="5"/>
  <c r="C455" i="6"/>
  <c r="CR480" i="5"/>
  <c r="AB480" i="5"/>
  <c r="CP480" i="5" s="1"/>
  <c r="CQ480" i="5" s="1"/>
  <c r="R480" i="5" s="1"/>
  <c r="S480" i="5" s="1"/>
  <c r="BK480" i="5"/>
  <c r="BL480" i="5" s="1"/>
  <c r="BM480" i="5" s="1"/>
  <c r="AK480" i="5"/>
  <c r="CW480" i="5"/>
  <c r="CY480" i="5"/>
  <c r="BG479" i="5"/>
  <c r="H479" i="5" s="1"/>
  <c r="AX480" i="5"/>
  <c r="AW480" i="5" s="1"/>
  <c r="CU480" i="5"/>
  <c r="BD479" i="5"/>
  <c r="BE480" i="5" s="1"/>
  <c r="BF479" i="5"/>
  <c r="CZ479" i="5"/>
  <c r="AF479" i="5" l="1"/>
  <c r="AN479" i="5"/>
  <c r="BX480" i="5"/>
  <c r="CH480" i="5"/>
  <c r="CK480" i="5"/>
  <c r="CJ480" i="5" s="1"/>
  <c r="X478" i="5"/>
  <c r="Y478" i="5" s="1"/>
  <c r="DA480" i="5"/>
  <c r="DB480" i="5" s="1"/>
  <c r="K480" i="5" s="1"/>
  <c r="BN480" i="5"/>
  <c r="BO480" i="5" s="1"/>
  <c r="BP480" i="5" s="1"/>
  <c r="G480" i="5" s="1"/>
  <c r="I479" i="5"/>
  <c r="AH479" i="5" s="1"/>
  <c r="T480" i="5"/>
  <c r="U480" i="5" s="1"/>
  <c r="W480" i="5"/>
  <c r="AM480" i="5"/>
  <c r="AL481" i="5" s="1"/>
  <c r="AE480" i="5"/>
  <c r="CV480" i="5"/>
  <c r="CT480" i="5"/>
  <c r="L480" i="5"/>
  <c r="Z478" i="5" l="1"/>
  <c r="AA478" i="5" s="1"/>
  <c r="I453" i="6" s="1"/>
  <c r="H453" i="6"/>
  <c r="CN480" i="5"/>
  <c r="E480" i="5" s="1"/>
  <c r="CO480" i="5"/>
  <c r="F480" i="5" s="1"/>
  <c r="M479" i="5"/>
  <c r="AG479" i="5" s="1"/>
  <c r="AJ479" i="5" s="1"/>
  <c r="P479" i="5"/>
  <c r="AY479" i="5" s="1"/>
  <c r="AT479" i="5"/>
  <c r="AP479" i="5"/>
  <c r="BY480" i="5" l="1"/>
  <c r="J480" i="5" s="1"/>
  <c r="BW480" i="5"/>
  <c r="N479" i="5"/>
  <c r="AS479" i="5"/>
  <c r="AV479" i="5" s="1"/>
  <c r="AO479" i="5"/>
  <c r="AR479" i="5" s="1"/>
  <c r="Q479" i="5"/>
  <c r="V479" i="5" s="1"/>
  <c r="G454" i="6" s="1"/>
  <c r="F454" i="6"/>
  <c r="C481" i="5"/>
  <c r="BU481" i="5" s="1"/>
  <c r="E455" i="6"/>
  <c r="BC480" i="5"/>
  <c r="D455" i="6"/>
  <c r="AF480" i="5" l="1"/>
  <c r="AN480" i="5"/>
  <c r="BT481" i="5"/>
  <c r="BV481" i="5"/>
  <c r="BS481" i="5"/>
  <c r="CI481" i="5"/>
  <c r="BH481" i="5"/>
  <c r="BI481" i="5" s="1"/>
  <c r="BJ481" i="5" s="1"/>
  <c r="X479" i="5"/>
  <c r="CU481" i="5"/>
  <c r="BX481" i="5" s="1"/>
  <c r="C456" i="6"/>
  <c r="CW481" i="5"/>
  <c r="CY481" i="5"/>
  <c r="D481" i="5"/>
  <c r="BK481" i="5"/>
  <c r="BL481" i="5" s="1"/>
  <c r="BM481" i="5" s="1"/>
  <c r="AK481" i="5"/>
  <c r="AM481" i="5" s="1"/>
  <c r="AL482" i="5" s="1"/>
  <c r="AC481" i="5"/>
  <c r="CX481" i="5"/>
  <c r="CS481" i="5"/>
  <c r="CR481" i="5"/>
  <c r="AB481" i="5"/>
  <c r="DA481" i="5" s="1"/>
  <c r="DB481" i="5" s="1"/>
  <c r="CL481" i="5"/>
  <c r="CM481" i="5" s="1"/>
  <c r="BG480" i="5"/>
  <c r="H480" i="5" s="1"/>
  <c r="AX481" i="5"/>
  <c r="AW481" i="5" s="1"/>
  <c r="Y479" i="5"/>
  <c r="BF480" i="5"/>
  <c r="BD480" i="5"/>
  <c r="BE481" i="5" s="1"/>
  <c r="CZ480" i="5"/>
  <c r="CK481" i="5" l="1"/>
  <c r="CJ481" i="5" s="1"/>
  <c r="K481" i="5" s="1"/>
  <c r="CH481" i="5"/>
  <c r="AD481" i="5"/>
  <c r="AE481" i="5" s="1"/>
  <c r="BN481" i="5"/>
  <c r="BO481" i="5" s="1"/>
  <c r="BP481" i="5" s="1"/>
  <c r="G481" i="5" s="1"/>
  <c r="L481" i="5"/>
  <c r="T481" i="5"/>
  <c r="U481" i="5" s="1"/>
  <c r="W481" i="5"/>
  <c r="H454" i="6"/>
  <c r="Z479" i="5"/>
  <c r="CP481" i="5"/>
  <c r="CQ481" i="5" s="1"/>
  <c r="R481" i="5" s="1"/>
  <c r="S481" i="5" s="1"/>
  <c r="I480" i="5"/>
  <c r="AP480" i="5" s="1"/>
  <c r="CV481" i="5"/>
  <c r="CT481" i="5"/>
  <c r="AH480" i="5" l="1"/>
  <c r="AT480" i="5"/>
  <c r="CO481" i="5"/>
  <c r="F481" i="5" s="1"/>
  <c r="CN481" i="5"/>
  <c r="E481" i="5" s="1"/>
  <c r="AA479" i="5"/>
  <c r="I454" i="6" s="1"/>
  <c r="P480" i="5"/>
  <c r="AY480" i="5" s="1"/>
  <c r="M480" i="5"/>
  <c r="BY481" i="5" l="1"/>
  <c r="J481" i="5" s="1"/>
  <c r="AF481" i="5" s="1"/>
  <c r="BW481" i="5"/>
  <c r="AG480" i="5"/>
  <c r="AJ480" i="5" s="1"/>
  <c r="AS480" i="5"/>
  <c r="AV480" i="5" s="1"/>
  <c r="Q480" i="5"/>
  <c r="V480" i="5" s="1"/>
  <c r="F455" i="6"/>
  <c r="AO480" i="5"/>
  <c r="N480" i="5"/>
  <c r="D456" i="6"/>
  <c r="BC481" i="5"/>
  <c r="E456" i="6"/>
  <c r="C482" i="5"/>
  <c r="BU482" i="5" s="1"/>
  <c r="AN481" i="5" l="1"/>
  <c r="BV482" i="5"/>
  <c r="BT482" i="5"/>
  <c r="BS482" i="5"/>
  <c r="CI482" i="5"/>
  <c r="BH482" i="5"/>
  <c r="BI482" i="5" s="1"/>
  <c r="BJ482" i="5" s="1"/>
  <c r="D482" i="5"/>
  <c r="AC482" i="5"/>
  <c r="AD482" i="5" s="1"/>
  <c r="CX482" i="5"/>
  <c r="CY482" i="5"/>
  <c r="AB482" i="5"/>
  <c r="BN482" i="5" s="1"/>
  <c r="BO482" i="5" s="1"/>
  <c r="BP482" i="5" s="1"/>
  <c r="CW482" i="5"/>
  <c r="BK482" i="5"/>
  <c r="BL482" i="5" s="1"/>
  <c r="BM482" i="5" s="1"/>
  <c r="C457" i="6"/>
  <c r="AK482" i="5"/>
  <c r="CS482" i="5"/>
  <c r="CR482" i="5"/>
  <c r="CL482" i="5"/>
  <c r="CM482" i="5" s="1"/>
  <c r="BG481" i="5"/>
  <c r="H481" i="5" s="1"/>
  <c r="AX482" i="5"/>
  <c r="AW482" i="5" s="1"/>
  <c r="CU482" i="5"/>
  <c r="BX482" i="5" s="1"/>
  <c r="CZ481" i="5"/>
  <c r="BD481" i="5"/>
  <c r="BE482" i="5" s="1"/>
  <c r="BF481" i="5"/>
  <c r="AR480" i="5"/>
  <c r="G455" i="6"/>
  <c r="G482" i="5" l="1"/>
  <c r="CH482" i="5"/>
  <c r="CK482" i="5"/>
  <c r="CJ482" i="5" s="1"/>
  <c r="X480" i="5"/>
  <c r="Y480" i="5" s="1"/>
  <c r="L482" i="5"/>
  <c r="DA482" i="5"/>
  <c r="DB482" i="5" s="1"/>
  <c r="K482" i="5" s="1"/>
  <c r="CV482" i="5"/>
  <c r="CT482" i="5"/>
  <c r="I481" i="5"/>
  <c r="AP481" i="5" s="1"/>
  <c r="AM482" i="5"/>
  <c r="AL483" i="5" s="1"/>
  <c r="AE482" i="5"/>
  <c r="CP482" i="5"/>
  <c r="CQ482" i="5" s="1"/>
  <c r="R482" i="5" s="1"/>
  <c r="S482" i="5" s="1"/>
  <c r="T482" i="5"/>
  <c r="U482" i="5" s="1"/>
  <c r="W482" i="5"/>
  <c r="H455" i="6" l="1"/>
  <c r="Z480" i="5"/>
  <c r="AA480" i="5" s="1"/>
  <c r="I455" i="6" s="1"/>
  <c r="AT481" i="5"/>
  <c r="AH481" i="5"/>
  <c r="P481" i="5"/>
  <c r="AY481" i="5" s="1"/>
  <c r="M481" i="5"/>
  <c r="CO482" i="5"/>
  <c r="F482" i="5" s="1"/>
  <c r="CN482" i="5"/>
  <c r="E482" i="5" s="1"/>
  <c r="AS481" i="5" l="1"/>
  <c r="AV481" i="5" s="1"/>
  <c r="AO481" i="5"/>
  <c r="BC482" i="5"/>
  <c r="D457" i="6"/>
  <c r="E457" i="6"/>
  <c r="C483" i="5"/>
  <c r="BU483" i="5" s="1"/>
  <c r="N481" i="5"/>
  <c r="AG481" i="5"/>
  <c r="Q481" i="5"/>
  <c r="V481" i="5" s="1"/>
  <c r="F456" i="6"/>
  <c r="BW482" i="5" l="1"/>
  <c r="BY482" i="5"/>
  <c r="J482" i="5" s="1"/>
  <c r="BV483" i="5"/>
  <c r="BT483" i="5"/>
  <c r="BS483" i="5"/>
  <c r="CI483" i="5"/>
  <c r="BH483" i="5"/>
  <c r="BI483" i="5" s="1"/>
  <c r="BJ483" i="5" s="1"/>
  <c r="AR481" i="5"/>
  <c r="G456" i="6"/>
  <c r="AJ481" i="5"/>
  <c r="AB483" i="5"/>
  <c r="DA483" i="5" s="1"/>
  <c r="DB483" i="5" s="1"/>
  <c r="D483" i="5"/>
  <c r="AK483" i="5"/>
  <c r="CX483" i="5"/>
  <c r="CY483" i="5"/>
  <c r="CS483" i="5"/>
  <c r="CL483" i="5"/>
  <c r="CM483" i="5" s="1"/>
  <c r="CR483" i="5"/>
  <c r="C458" i="6"/>
  <c r="CW483" i="5"/>
  <c r="BK483" i="5"/>
  <c r="BL483" i="5" s="1"/>
  <c r="BM483" i="5" s="1"/>
  <c r="AC483" i="5"/>
  <c r="BG482" i="5"/>
  <c r="H482" i="5" s="1"/>
  <c r="AX483" i="5"/>
  <c r="AW483" i="5" s="1"/>
  <c r="CU483" i="5"/>
  <c r="BD482" i="5"/>
  <c r="BE483" i="5" s="1"/>
  <c r="BF482" i="5"/>
  <c r="CZ482" i="5"/>
  <c r="AF482" i="5" l="1"/>
  <c r="AN482" i="5"/>
  <c r="BX483" i="5"/>
  <c r="CH483" i="5"/>
  <c r="CK483" i="5"/>
  <c r="CJ483" i="5" s="1"/>
  <c r="K483" i="5" s="1"/>
  <c r="X481" i="5"/>
  <c r="Y481" i="5" s="1"/>
  <c r="H456" i="6" s="1"/>
  <c r="CP483" i="5"/>
  <c r="CQ483" i="5" s="1"/>
  <c r="R483" i="5" s="1"/>
  <c r="S483" i="5" s="1"/>
  <c r="AD483" i="5"/>
  <c r="AE483" i="5" s="1"/>
  <c r="W483" i="5"/>
  <c r="T483" i="5"/>
  <c r="U483" i="5" s="1"/>
  <c r="L483" i="5"/>
  <c r="BN483" i="5"/>
  <c r="BO483" i="5" s="1"/>
  <c r="BP483" i="5" s="1"/>
  <c r="G483" i="5" s="1"/>
  <c r="AM483" i="5"/>
  <c r="AL484" i="5" s="1"/>
  <c r="CV483" i="5"/>
  <c r="CT483" i="5"/>
  <c r="I482" i="5"/>
  <c r="AP482" i="5" l="1"/>
  <c r="Z481" i="5"/>
  <c r="AA481" i="5" s="1"/>
  <c r="I456" i="6" s="1"/>
  <c r="AH482" i="5"/>
  <c r="AT482" i="5"/>
  <c r="CN483" i="5"/>
  <c r="E483" i="5" s="1"/>
  <c r="CO483" i="5"/>
  <c r="F483" i="5" s="1"/>
  <c r="P482" i="5"/>
  <c r="AY482" i="5" s="1"/>
  <c r="M482" i="5"/>
  <c r="AO482" i="5" l="1"/>
  <c r="AR482" i="5" s="1"/>
  <c r="AG482" i="5"/>
  <c r="AJ482" i="5" s="1"/>
  <c r="N482" i="5"/>
  <c r="AS482" i="5"/>
  <c r="AV482" i="5" s="1"/>
  <c r="E458" i="6"/>
  <c r="C484" i="5"/>
  <c r="BU484" i="5" s="1"/>
  <c r="BC483" i="5"/>
  <c r="D458" i="6"/>
  <c r="F457" i="6"/>
  <c r="Q482" i="5"/>
  <c r="V482" i="5" s="1"/>
  <c r="BW483" i="5" l="1"/>
  <c r="BY483" i="5"/>
  <c r="J483" i="5" s="1"/>
  <c r="BT484" i="5"/>
  <c r="BV484" i="5"/>
  <c r="BS484" i="5"/>
  <c r="CI484" i="5"/>
  <c r="BH484" i="5"/>
  <c r="BI484" i="5" s="1"/>
  <c r="BJ484" i="5" s="1"/>
  <c r="X482" i="5"/>
  <c r="Y482" i="5" s="1"/>
  <c r="BF483" i="5"/>
  <c r="CZ483" i="5"/>
  <c r="BD483" i="5"/>
  <c r="BE484" i="5" s="1"/>
  <c r="CY484" i="5"/>
  <c r="CR484" i="5"/>
  <c r="D484" i="5"/>
  <c r="AB484" i="5"/>
  <c r="L484" i="5" s="1"/>
  <c r="C459" i="6"/>
  <c r="BK484" i="5"/>
  <c r="BL484" i="5" s="1"/>
  <c r="BM484" i="5" s="1"/>
  <c r="CS484" i="5"/>
  <c r="CL484" i="5"/>
  <c r="CM484" i="5" s="1"/>
  <c r="AC484" i="5"/>
  <c r="CW484" i="5"/>
  <c r="CX484" i="5"/>
  <c r="AK484" i="5"/>
  <c r="AM484" i="5" s="1"/>
  <c r="AL485" i="5" s="1"/>
  <c r="BG483" i="5"/>
  <c r="H483" i="5" s="1"/>
  <c r="AX484" i="5"/>
  <c r="AW484" i="5" s="1"/>
  <c r="CU484" i="5"/>
  <c r="G457" i="6"/>
  <c r="AF483" i="5" l="1"/>
  <c r="AN483" i="5"/>
  <c r="BX484" i="5"/>
  <c r="CK484" i="5"/>
  <c r="CJ484" i="5" s="1"/>
  <c r="CH484" i="5"/>
  <c r="AD484" i="5"/>
  <c r="AE484" i="5" s="1"/>
  <c r="T484" i="5"/>
  <c r="U484" i="5" s="1"/>
  <c r="W484" i="5"/>
  <c r="I483" i="5"/>
  <c r="AP483" i="5" s="1"/>
  <c r="H457" i="6"/>
  <c r="Z482" i="5"/>
  <c r="CV484" i="5"/>
  <c r="CT484" i="5"/>
  <c r="CP484" i="5"/>
  <c r="CQ484" i="5" s="1"/>
  <c r="R484" i="5" s="1"/>
  <c r="S484" i="5" s="1"/>
  <c r="DA484" i="5"/>
  <c r="DB484" i="5" s="1"/>
  <c r="K484" i="5" s="1"/>
  <c r="BN484" i="5"/>
  <c r="BO484" i="5" s="1"/>
  <c r="BP484" i="5" s="1"/>
  <c r="G484" i="5" s="1"/>
  <c r="AT483" i="5" l="1"/>
  <c r="AH483" i="5"/>
  <c r="M483" i="5"/>
  <c r="P483" i="5"/>
  <c r="AY483" i="5" s="1"/>
  <c r="CO484" i="5"/>
  <c r="F484" i="5" s="1"/>
  <c r="CN484" i="5"/>
  <c r="E484" i="5" s="1"/>
  <c r="AA482" i="5"/>
  <c r="I457" i="6" s="1"/>
  <c r="BY484" i="5" l="1"/>
  <c r="J484" i="5" s="1"/>
  <c r="AN484" i="5" s="1"/>
  <c r="BW484" i="5"/>
  <c r="AG483" i="5"/>
  <c r="AJ483" i="5" s="1"/>
  <c r="AO483" i="5"/>
  <c r="AR483" i="5" s="1"/>
  <c r="N483" i="5"/>
  <c r="AS483" i="5"/>
  <c r="AV483" i="5" s="1"/>
  <c r="BC484" i="5"/>
  <c r="D459" i="6"/>
  <c r="E459" i="6"/>
  <c r="C485" i="5"/>
  <c r="BU485" i="5" s="1"/>
  <c r="Q483" i="5"/>
  <c r="V483" i="5" s="1"/>
  <c r="F458" i="6"/>
  <c r="AF484" i="5" l="1"/>
  <c r="BT485" i="5"/>
  <c r="BV485" i="5"/>
  <c r="BS485" i="5"/>
  <c r="CI485" i="5"/>
  <c r="BH485" i="5"/>
  <c r="BI485" i="5" s="1"/>
  <c r="BJ485" i="5" s="1"/>
  <c r="X483" i="5"/>
  <c r="Y483" i="5" s="1"/>
  <c r="G458" i="6"/>
  <c r="C460" i="6"/>
  <c r="CR485" i="5"/>
  <c r="CW485" i="5"/>
  <c r="CY485" i="5"/>
  <c r="AB485" i="5"/>
  <c r="L485" i="5" s="1"/>
  <c r="CS485" i="5"/>
  <c r="BK485" i="5"/>
  <c r="BL485" i="5" s="1"/>
  <c r="BM485" i="5" s="1"/>
  <c r="AC485" i="5"/>
  <c r="AD485" i="5" s="1"/>
  <c r="D485" i="5"/>
  <c r="CX485" i="5"/>
  <c r="AK485" i="5"/>
  <c r="AM485" i="5" s="1"/>
  <c r="AL486" i="5" s="1"/>
  <c r="CL485" i="5"/>
  <c r="CM485" i="5" s="1"/>
  <c r="BG484" i="5"/>
  <c r="H484" i="5" s="1"/>
  <c r="AX485" i="5"/>
  <c r="AW485" i="5" s="1"/>
  <c r="CU485" i="5"/>
  <c r="BX485" i="5" s="1"/>
  <c r="CZ484" i="5"/>
  <c r="BF484" i="5"/>
  <c r="BD484" i="5"/>
  <c r="BE485" i="5" s="1"/>
  <c r="CH485" i="5" l="1"/>
  <c r="CK485" i="5"/>
  <c r="CJ485" i="5" s="1"/>
  <c r="BN485" i="5"/>
  <c r="BO485" i="5" s="1"/>
  <c r="BP485" i="5" s="1"/>
  <c r="G485" i="5" s="1"/>
  <c r="CP485" i="5"/>
  <c r="CQ485" i="5" s="1"/>
  <c r="R485" i="5" s="1"/>
  <c r="S485" i="5" s="1"/>
  <c r="T485" i="5"/>
  <c r="U485" i="5" s="1"/>
  <c r="W485" i="5"/>
  <c r="I484" i="5"/>
  <c r="AH484" i="5" s="1"/>
  <c r="AE485" i="5"/>
  <c r="CV485" i="5"/>
  <c r="CT485" i="5"/>
  <c r="H458" i="6"/>
  <c r="Z483" i="5"/>
  <c r="DA485" i="5"/>
  <c r="DB485" i="5" s="1"/>
  <c r="K485" i="5" s="1"/>
  <c r="AT484" i="5" l="1"/>
  <c r="AP484" i="5"/>
  <c r="CO485" i="5"/>
  <c r="F485" i="5" s="1"/>
  <c r="CN485" i="5"/>
  <c r="E485" i="5" s="1"/>
  <c r="AA483" i="5"/>
  <c r="I458" i="6" s="1"/>
  <c r="P484" i="5"/>
  <c r="AY484" i="5" s="1"/>
  <c r="M484" i="5"/>
  <c r="AG484" i="5" s="1"/>
  <c r="AJ484" i="5" s="1"/>
  <c r="BW485" i="5" l="1"/>
  <c r="BY485" i="5"/>
  <c r="J485" i="5" s="1"/>
  <c r="N484" i="5"/>
  <c r="AS484" i="5"/>
  <c r="AV484" i="5" s="1"/>
  <c r="AO484" i="5"/>
  <c r="AR484" i="5" s="1"/>
  <c r="Q484" i="5"/>
  <c r="V484" i="5" s="1"/>
  <c r="F459" i="6"/>
  <c r="BC485" i="5"/>
  <c r="D460" i="6"/>
  <c r="C486" i="5"/>
  <c r="BU486" i="5" s="1"/>
  <c r="E460" i="6"/>
  <c r="AN485" i="5" l="1"/>
  <c r="AF485" i="5"/>
  <c r="BT486" i="5"/>
  <c r="BV486" i="5"/>
  <c r="BS486" i="5"/>
  <c r="CI486" i="5"/>
  <c r="BH486" i="5"/>
  <c r="BI486" i="5" s="1"/>
  <c r="BJ486" i="5" s="1"/>
  <c r="X484" i="5"/>
  <c r="Y484" i="5" s="1"/>
  <c r="CL486" i="5"/>
  <c r="CM486" i="5" s="1"/>
  <c r="BK486" i="5"/>
  <c r="BL486" i="5" s="1"/>
  <c r="BM486" i="5" s="1"/>
  <c r="CR486" i="5"/>
  <c r="CX486" i="5"/>
  <c r="CY486" i="5"/>
  <c r="D486" i="5"/>
  <c r="AK486" i="5"/>
  <c r="AM486" i="5" s="1"/>
  <c r="AL487" i="5" s="1"/>
  <c r="C461" i="6"/>
  <c r="CS486" i="5"/>
  <c r="AB486" i="5"/>
  <c r="CP486" i="5" s="1"/>
  <c r="CQ486" i="5" s="1"/>
  <c r="R486" i="5" s="1"/>
  <c r="S486" i="5" s="1"/>
  <c r="AC486" i="5"/>
  <c r="AD486" i="5" s="1"/>
  <c r="CW486" i="5"/>
  <c r="BG485" i="5"/>
  <c r="H485" i="5" s="1"/>
  <c r="AX486" i="5"/>
  <c r="AW486" i="5" s="1"/>
  <c r="CU486" i="5"/>
  <c r="BX486" i="5" s="1"/>
  <c r="CZ485" i="5"/>
  <c r="BF485" i="5"/>
  <c r="BD485" i="5"/>
  <c r="BE486" i="5" s="1"/>
  <c r="G459" i="6"/>
  <c r="CH486" i="5" l="1"/>
  <c r="CK486" i="5"/>
  <c r="CJ486" i="5" s="1"/>
  <c r="BN486" i="5"/>
  <c r="BO486" i="5" s="1"/>
  <c r="BP486" i="5" s="1"/>
  <c r="G486" i="5" s="1"/>
  <c r="CT486" i="5"/>
  <c r="CV486" i="5"/>
  <c r="T486" i="5"/>
  <c r="U486" i="5" s="1"/>
  <c r="W486" i="5"/>
  <c r="DA486" i="5"/>
  <c r="DB486" i="5" s="1"/>
  <c r="K486" i="5" s="1"/>
  <c r="L486" i="5"/>
  <c r="H459" i="6"/>
  <c r="Z484" i="5"/>
  <c r="I485" i="5"/>
  <c r="AH485" i="5" s="1"/>
  <c r="AE486" i="5"/>
  <c r="AT485" i="5" l="1"/>
  <c r="AP485" i="5"/>
  <c r="AA484" i="5"/>
  <c r="I459" i="6" s="1"/>
  <c r="CN486" i="5"/>
  <c r="E486" i="5" s="1"/>
  <c r="CO486" i="5"/>
  <c r="F486" i="5" s="1"/>
  <c r="M485" i="5"/>
  <c r="P485" i="5"/>
  <c r="AY485" i="5" s="1"/>
  <c r="BW486" i="5" l="1"/>
  <c r="BY486" i="5"/>
  <c r="J486" i="5" s="1"/>
  <c r="AO485" i="5"/>
  <c r="AR485" i="5" s="1"/>
  <c r="AG485" i="5"/>
  <c r="D461" i="6"/>
  <c r="BC486" i="5"/>
  <c r="Q485" i="5"/>
  <c r="V485" i="5" s="1"/>
  <c r="F460" i="6"/>
  <c r="N485" i="5"/>
  <c r="AS485" i="5"/>
  <c r="AV485" i="5" s="1"/>
  <c r="C487" i="5"/>
  <c r="BU487" i="5" s="1"/>
  <c r="E461" i="6"/>
  <c r="AF486" i="5" l="1"/>
  <c r="AN486" i="5"/>
  <c r="BT487" i="5"/>
  <c r="BV487" i="5"/>
  <c r="BS487" i="5"/>
  <c r="CI487" i="5"/>
  <c r="BH487" i="5"/>
  <c r="BI487" i="5" s="1"/>
  <c r="BJ487" i="5" s="1"/>
  <c r="AJ485" i="5"/>
  <c r="CY487" i="5"/>
  <c r="CW487" i="5"/>
  <c r="CR487" i="5"/>
  <c r="BK487" i="5"/>
  <c r="BL487" i="5" s="1"/>
  <c r="BM487" i="5" s="1"/>
  <c r="C462" i="6"/>
  <c r="CX487" i="5"/>
  <c r="CL487" i="5"/>
  <c r="CM487" i="5" s="1"/>
  <c r="CS487" i="5"/>
  <c r="AB487" i="5"/>
  <c r="DA487" i="5" s="1"/>
  <c r="DB487" i="5" s="1"/>
  <c r="AK487" i="5"/>
  <c r="AM487" i="5" s="1"/>
  <c r="AL488" i="5" s="1"/>
  <c r="AC487" i="5"/>
  <c r="AD487" i="5" s="1"/>
  <c r="D487" i="5"/>
  <c r="BG486" i="5"/>
  <c r="H486" i="5" s="1"/>
  <c r="AX487" i="5"/>
  <c r="AW487" i="5" s="1"/>
  <c r="CU487" i="5"/>
  <c r="BX487" i="5" s="1"/>
  <c r="G460" i="6"/>
  <c r="BD486" i="5"/>
  <c r="BE487" i="5" s="1"/>
  <c r="CZ486" i="5"/>
  <c r="BF486" i="5"/>
  <c r="CH487" i="5" l="1"/>
  <c r="CK487" i="5"/>
  <c r="CJ487" i="5" s="1"/>
  <c r="K487" i="5" s="1"/>
  <c r="X485" i="5"/>
  <c r="Y485" i="5" s="1"/>
  <c r="BN487" i="5"/>
  <c r="BO487" i="5" s="1"/>
  <c r="BP487" i="5" s="1"/>
  <c r="G487" i="5" s="1"/>
  <c r="L487" i="5"/>
  <c r="I486" i="5"/>
  <c r="AH486" i="5" s="1"/>
  <c r="T487" i="5"/>
  <c r="U487" i="5" s="1"/>
  <c r="W487" i="5"/>
  <c r="AE487" i="5"/>
  <c r="CT487" i="5"/>
  <c r="CV487" i="5"/>
  <c r="CP487" i="5"/>
  <c r="CQ487" i="5" s="1"/>
  <c r="R487" i="5" s="1"/>
  <c r="S487" i="5" s="1"/>
  <c r="Z485" i="5" l="1"/>
  <c r="AA485" i="5" s="1"/>
  <c r="I460" i="6" s="1"/>
  <c r="H460" i="6"/>
  <c r="P486" i="5"/>
  <c r="AY486" i="5" s="1"/>
  <c r="M486" i="5"/>
  <c r="AG486" i="5" s="1"/>
  <c r="AJ486" i="5" s="1"/>
  <c r="AT486" i="5"/>
  <c r="AP486" i="5"/>
  <c r="CO487" i="5"/>
  <c r="F487" i="5" s="1"/>
  <c r="CN487" i="5"/>
  <c r="E487" i="5" s="1"/>
  <c r="BW487" i="5" l="1"/>
  <c r="BY487" i="5"/>
  <c r="J487" i="5" s="1"/>
  <c r="C488" i="5"/>
  <c r="BU488" i="5" s="1"/>
  <c r="E462" i="6"/>
  <c r="N486" i="5"/>
  <c r="AS486" i="5"/>
  <c r="AV486" i="5" s="1"/>
  <c r="AO486" i="5"/>
  <c r="AR486" i="5" s="1"/>
  <c r="Q486" i="5"/>
  <c r="V486" i="5" s="1"/>
  <c r="G461" i="6" s="1"/>
  <c r="F461" i="6"/>
  <c r="D462" i="6"/>
  <c r="BC487" i="5"/>
  <c r="AF487" i="5" l="1"/>
  <c r="AN487" i="5"/>
  <c r="BV488" i="5"/>
  <c r="BT488" i="5"/>
  <c r="BS488" i="5"/>
  <c r="CI488" i="5"/>
  <c r="BH488" i="5"/>
  <c r="BI488" i="5" s="1"/>
  <c r="BJ488" i="5" s="1"/>
  <c r="X486" i="5"/>
  <c r="Y486" i="5" s="1"/>
  <c r="CZ487" i="5"/>
  <c r="BD487" i="5"/>
  <c r="BE488" i="5" s="1"/>
  <c r="BF487" i="5"/>
  <c r="CS488" i="5"/>
  <c r="CL488" i="5"/>
  <c r="CM488" i="5" s="1"/>
  <c r="AB488" i="5"/>
  <c r="CP488" i="5" s="1"/>
  <c r="CQ488" i="5" s="1"/>
  <c r="R488" i="5" s="1"/>
  <c r="S488" i="5" s="1"/>
  <c r="AK488" i="5"/>
  <c r="AM488" i="5" s="1"/>
  <c r="AL489" i="5" s="1"/>
  <c r="CW488" i="5"/>
  <c r="C463" i="6"/>
  <c r="CR488" i="5"/>
  <c r="BK488" i="5"/>
  <c r="BL488" i="5" s="1"/>
  <c r="BM488" i="5" s="1"/>
  <c r="CX488" i="5"/>
  <c r="D488" i="5"/>
  <c r="CY488" i="5"/>
  <c r="AC488" i="5"/>
  <c r="AD488" i="5" s="1"/>
  <c r="BG487" i="5"/>
  <c r="H487" i="5" s="1"/>
  <c r="AX488" i="5"/>
  <c r="AW488" i="5" s="1"/>
  <c r="CU488" i="5"/>
  <c r="BX488" i="5" s="1"/>
  <c r="CH488" i="5" l="1"/>
  <c r="CK488" i="5"/>
  <c r="CJ488" i="5" s="1"/>
  <c r="DA488" i="5"/>
  <c r="DB488" i="5" s="1"/>
  <c r="K488" i="5" s="1"/>
  <c r="L488" i="5"/>
  <c r="BN488" i="5"/>
  <c r="BO488" i="5" s="1"/>
  <c r="BP488" i="5" s="1"/>
  <c r="G488" i="5" s="1"/>
  <c r="AE488" i="5"/>
  <c r="CT488" i="5"/>
  <c r="CV488" i="5"/>
  <c r="I487" i="5"/>
  <c r="AP487" i="5" s="1"/>
  <c r="W488" i="5"/>
  <c r="T488" i="5"/>
  <c r="U488" i="5" s="1"/>
  <c r="H461" i="6"/>
  <c r="Z486" i="5"/>
  <c r="AT487" i="5" l="1"/>
  <c r="AH487" i="5"/>
  <c r="P487" i="5"/>
  <c r="AY487" i="5" s="1"/>
  <c r="M487" i="5"/>
  <c r="CN488" i="5"/>
  <c r="E488" i="5" s="1"/>
  <c r="CO488" i="5"/>
  <c r="F488" i="5" s="1"/>
  <c r="AA486" i="5"/>
  <c r="I461" i="6" s="1"/>
  <c r="AG487" i="5" l="1"/>
  <c r="AJ487" i="5" s="1"/>
  <c r="AO487" i="5"/>
  <c r="AR487" i="5" s="1"/>
  <c r="N487" i="5"/>
  <c r="AS487" i="5"/>
  <c r="AV487" i="5" s="1"/>
  <c r="E463" i="6"/>
  <c r="C489" i="5"/>
  <c r="BU489" i="5" s="1"/>
  <c r="D463" i="6"/>
  <c r="BC488" i="5"/>
  <c r="Q487" i="5"/>
  <c r="V487" i="5" s="1"/>
  <c r="F462" i="6"/>
  <c r="BY488" i="5" l="1"/>
  <c r="J488" i="5" s="1"/>
  <c r="BW488" i="5"/>
  <c r="BT489" i="5"/>
  <c r="BV489" i="5"/>
  <c r="BS489" i="5"/>
  <c r="CI489" i="5"/>
  <c r="BH489" i="5"/>
  <c r="BI489" i="5" s="1"/>
  <c r="BJ489" i="5" s="1"/>
  <c r="X487" i="5"/>
  <c r="Y487" i="5" s="1"/>
  <c r="BF488" i="5"/>
  <c r="CZ488" i="5"/>
  <c r="BD488" i="5"/>
  <c r="BE489" i="5" s="1"/>
  <c r="CW489" i="5"/>
  <c r="AB489" i="5"/>
  <c r="BN489" i="5" s="1"/>
  <c r="BO489" i="5" s="1"/>
  <c r="BP489" i="5" s="1"/>
  <c r="CS489" i="5"/>
  <c r="CX489" i="5"/>
  <c r="D489" i="5"/>
  <c r="AC489" i="5"/>
  <c r="CR489" i="5"/>
  <c r="C464" i="6"/>
  <c r="CY489" i="5"/>
  <c r="CL489" i="5"/>
  <c r="CM489" i="5" s="1"/>
  <c r="AK489" i="5"/>
  <c r="BK489" i="5"/>
  <c r="BL489" i="5" s="1"/>
  <c r="BM489" i="5" s="1"/>
  <c r="BG488" i="5"/>
  <c r="H488" i="5" s="1"/>
  <c r="AX489" i="5"/>
  <c r="AW489" i="5" s="1"/>
  <c r="CU489" i="5"/>
  <c r="G462" i="6"/>
  <c r="AF488" i="5" l="1"/>
  <c r="AN488" i="5"/>
  <c r="BX489" i="5"/>
  <c r="G489" i="5"/>
  <c r="AD489" i="5"/>
  <c r="AE489" i="5" s="1"/>
  <c r="CK489" i="5"/>
  <c r="CJ489" i="5" s="1"/>
  <c r="CH489" i="5"/>
  <c r="L489" i="5"/>
  <c r="CP489" i="5"/>
  <c r="CQ489" i="5" s="1"/>
  <c r="R489" i="5" s="1"/>
  <c r="S489" i="5" s="1"/>
  <c r="H462" i="6"/>
  <c r="Z487" i="5"/>
  <c r="DA489" i="5"/>
  <c r="DB489" i="5" s="1"/>
  <c r="K489" i="5" s="1"/>
  <c r="CT489" i="5"/>
  <c r="CV489" i="5"/>
  <c r="I488" i="5"/>
  <c r="AM489" i="5"/>
  <c r="AL490" i="5" s="1"/>
  <c r="W489" i="5"/>
  <c r="T489" i="5"/>
  <c r="U489" i="5" s="1"/>
  <c r="AH488" i="5" l="1"/>
  <c r="AT488" i="5"/>
  <c r="AP488" i="5"/>
  <c r="CN489" i="5"/>
  <c r="E489" i="5" s="1"/>
  <c r="CO489" i="5"/>
  <c r="F489" i="5" s="1"/>
  <c r="AA487" i="5"/>
  <c r="I462" i="6" s="1"/>
  <c r="P488" i="5"/>
  <c r="AY488" i="5" s="1"/>
  <c r="M488" i="5"/>
  <c r="BY489" i="5" l="1"/>
  <c r="J489" i="5" s="1"/>
  <c r="BW489" i="5"/>
  <c r="AS488" i="5"/>
  <c r="AV488" i="5" s="1"/>
  <c r="AO488" i="5"/>
  <c r="N488" i="5"/>
  <c r="AG488" i="5"/>
  <c r="Q488" i="5"/>
  <c r="V488" i="5" s="1"/>
  <c r="F463" i="6"/>
  <c r="C490" i="5"/>
  <c r="BU490" i="5" s="1"/>
  <c r="E464" i="6"/>
  <c r="D464" i="6"/>
  <c r="BC489" i="5"/>
  <c r="AF489" i="5" l="1"/>
  <c r="AN489" i="5"/>
  <c r="BV490" i="5"/>
  <c r="BT490" i="5"/>
  <c r="BS490" i="5"/>
  <c r="CI490" i="5"/>
  <c r="BH490" i="5"/>
  <c r="BI490" i="5" s="1"/>
  <c r="BJ490" i="5" s="1"/>
  <c r="AJ488" i="5"/>
  <c r="AR488" i="5"/>
  <c r="CX490" i="5"/>
  <c r="BK490" i="5"/>
  <c r="BL490" i="5" s="1"/>
  <c r="BM490" i="5" s="1"/>
  <c r="CW490" i="5"/>
  <c r="C465" i="6"/>
  <c r="CL490" i="5"/>
  <c r="CM490" i="5" s="1"/>
  <c r="CR490" i="5"/>
  <c r="AB490" i="5"/>
  <c r="L490" i="5" s="1"/>
  <c r="AC490" i="5"/>
  <c r="AD490" i="5" s="1"/>
  <c r="CS490" i="5"/>
  <c r="D490" i="5"/>
  <c r="CY490" i="5"/>
  <c r="AK490" i="5"/>
  <c r="BG489" i="5"/>
  <c r="H489" i="5" s="1"/>
  <c r="AX490" i="5"/>
  <c r="AW490" i="5" s="1"/>
  <c r="CU490" i="5"/>
  <c r="BX490" i="5" s="1"/>
  <c r="G463" i="6"/>
  <c r="CZ489" i="5"/>
  <c r="BF489" i="5"/>
  <c r="BD489" i="5"/>
  <c r="BE490" i="5" s="1"/>
  <c r="CH490" i="5" l="1"/>
  <c r="CK490" i="5"/>
  <c r="CJ490" i="5" s="1"/>
  <c r="X488" i="5"/>
  <c r="Y488" i="5" s="1"/>
  <c r="BN490" i="5"/>
  <c r="BO490" i="5" s="1"/>
  <c r="BP490" i="5" s="1"/>
  <c r="G490" i="5" s="1"/>
  <c r="AM490" i="5"/>
  <c r="AL491" i="5" s="1"/>
  <c r="I489" i="5"/>
  <c r="AP489" i="5" s="1"/>
  <c r="W490" i="5"/>
  <c r="T490" i="5"/>
  <c r="U490" i="5" s="1"/>
  <c r="CV490" i="5"/>
  <c r="CT490" i="5"/>
  <c r="DA490" i="5"/>
  <c r="DB490" i="5" s="1"/>
  <c r="K490" i="5" s="1"/>
  <c r="CP490" i="5"/>
  <c r="CQ490" i="5" s="1"/>
  <c r="R490" i="5" s="1"/>
  <c r="S490" i="5" s="1"/>
  <c r="AE490" i="5"/>
  <c r="H463" i="6" l="1"/>
  <c r="Z488" i="5"/>
  <c r="AA488" i="5" s="1"/>
  <c r="I463" i="6" s="1"/>
  <c r="AH489" i="5"/>
  <c r="AT489" i="5"/>
  <c r="M489" i="5"/>
  <c r="P489" i="5"/>
  <c r="AY489" i="5" s="1"/>
  <c r="CN490" i="5"/>
  <c r="E490" i="5" s="1"/>
  <c r="CO490" i="5"/>
  <c r="F490" i="5" s="1"/>
  <c r="AO489" i="5" l="1"/>
  <c r="AR489" i="5" s="1"/>
  <c r="AG489" i="5"/>
  <c r="AJ489" i="5" s="1"/>
  <c r="N489" i="5"/>
  <c r="AS489" i="5"/>
  <c r="AV489" i="5" s="1"/>
  <c r="E465" i="6"/>
  <c r="C491" i="5"/>
  <c r="BU491" i="5" s="1"/>
  <c r="D465" i="6"/>
  <c r="BC490" i="5"/>
  <c r="F464" i="6"/>
  <c r="Q489" i="5"/>
  <c r="V489" i="5" s="1"/>
  <c r="BW490" i="5" l="1"/>
  <c r="BY490" i="5"/>
  <c r="J490" i="5" s="1"/>
  <c r="BV491" i="5"/>
  <c r="BT491" i="5"/>
  <c r="BS491" i="5"/>
  <c r="CI491" i="5"/>
  <c r="BH491" i="5"/>
  <c r="BI491" i="5" s="1"/>
  <c r="BJ491" i="5" s="1"/>
  <c r="X489" i="5"/>
  <c r="Y489" i="5" s="1"/>
  <c r="G464" i="6"/>
  <c r="BK491" i="5"/>
  <c r="BL491" i="5" s="1"/>
  <c r="BM491" i="5" s="1"/>
  <c r="C466" i="6"/>
  <c r="AB491" i="5"/>
  <c r="CP491" i="5" s="1"/>
  <c r="CQ491" i="5" s="1"/>
  <c r="R491" i="5" s="1"/>
  <c r="S491" i="5" s="1"/>
  <c r="AC491" i="5"/>
  <c r="AD491" i="5" s="1"/>
  <c r="D491" i="5"/>
  <c r="CW491" i="5"/>
  <c r="CX491" i="5"/>
  <c r="CL491" i="5"/>
  <c r="CM491" i="5" s="1"/>
  <c r="CS491" i="5"/>
  <c r="CY491" i="5"/>
  <c r="CR491" i="5"/>
  <c r="AK491" i="5"/>
  <c r="AM491" i="5" s="1"/>
  <c r="AL492" i="5" s="1"/>
  <c r="BG490" i="5"/>
  <c r="H490" i="5" s="1"/>
  <c r="AX491" i="5"/>
  <c r="AW491" i="5" s="1"/>
  <c r="CU491" i="5"/>
  <c r="CZ490" i="5"/>
  <c r="BD490" i="5"/>
  <c r="BE491" i="5" s="1"/>
  <c r="BF490" i="5"/>
  <c r="AF490" i="5" l="1"/>
  <c r="AN490" i="5"/>
  <c r="BX491" i="5"/>
  <c r="CH491" i="5"/>
  <c r="CK491" i="5"/>
  <c r="CJ491" i="5" s="1"/>
  <c r="L491" i="5"/>
  <c r="I490" i="5"/>
  <c r="W491" i="5"/>
  <c r="T491" i="5"/>
  <c r="U491" i="5" s="1"/>
  <c r="AE491" i="5"/>
  <c r="CV491" i="5"/>
  <c r="CT491" i="5"/>
  <c r="H464" i="6"/>
  <c r="Z489" i="5"/>
  <c r="DA491" i="5"/>
  <c r="DB491" i="5" s="1"/>
  <c r="K491" i="5" s="1"/>
  <c r="BN491" i="5"/>
  <c r="BO491" i="5" s="1"/>
  <c r="BP491" i="5" s="1"/>
  <c r="G491" i="5" s="1"/>
  <c r="AP490" i="5" l="1"/>
  <c r="AT490" i="5"/>
  <c r="AH490" i="5"/>
  <c r="CN491" i="5"/>
  <c r="E491" i="5" s="1"/>
  <c r="CO491" i="5"/>
  <c r="F491" i="5" s="1"/>
  <c r="P490" i="5"/>
  <c r="M490" i="5"/>
  <c r="AA489" i="5"/>
  <c r="I464" i="6" s="1"/>
  <c r="BW491" i="5" l="1"/>
  <c r="BB490" i="5"/>
  <c r="AY490" i="5"/>
  <c r="AS490" i="5"/>
  <c r="AV490" i="5" s="1"/>
  <c r="AO490" i="5"/>
  <c r="N490" i="5"/>
  <c r="AG490" i="5"/>
  <c r="F465" i="6"/>
  <c r="Q490" i="5"/>
  <c r="V490" i="5" s="1"/>
  <c r="E466" i="6"/>
  <c r="C492" i="5"/>
  <c r="BU492" i="5" s="1"/>
  <c r="D466" i="6"/>
  <c r="BC491" i="5"/>
  <c r="BY491" i="5" l="1"/>
  <c r="J491" i="5" s="1"/>
  <c r="BT492" i="5"/>
  <c r="BV492" i="5"/>
  <c r="BS492" i="5"/>
  <c r="CI492" i="5"/>
  <c r="BH492" i="5"/>
  <c r="BI492" i="5" s="1"/>
  <c r="BJ492" i="5" s="1"/>
  <c r="AR490" i="5"/>
  <c r="AJ490" i="5"/>
  <c r="AC492" i="5"/>
  <c r="AD492" i="5" s="1"/>
  <c r="CW492" i="5"/>
  <c r="AK492" i="5"/>
  <c r="AM492" i="5" s="1"/>
  <c r="AL493" i="5" s="1"/>
  <c r="CX492" i="5"/>
  <c r="C467" i="6"/>
  <c r="CR492" i="5"/>
  <c r="AB492" i="5"/>
  <c r="L492" i="5" s="1"/>
  <c r="CY492" i="5"/>
  <c r="D492" i="5"/>
  <c r="BK492" i="5"/>
  <c r="BL492" i="5" s="1"/>
  <c r="BM492" i="5" s="1"/>
  <c r="CS492" i="5"/>
  <c r="CL492" i="5"/>
  <c r="CM492" i="5" s="1"/>
  <c r="BG491" i="5"/>
  <c r="H491" i="5" s="1"/>
  <c r="AX492" i="5"/>
  <c r="AW492" i="5" s="1"/>
  <c r="CU492" i="5"/>
  <c r="BX492" i="5" s="1"/>
  <c r="G465" i="6"/>
  <c r="CZ491" i="5"/>
  <c r="BD491" i="5"/>
  <c r="BE492" i="5" s="1"/>
  <c r="BF491" i="5"/>
  <c r="AN491" i="5" l="1"/>
  <c r="AF491" i="5"/>
  <c r="CK492" i="5"/>
  <c r="CJ492" i="5" s="1"/>
  <c r="CH492" i="5"/>
  <c r="X490" i="5"/>
  <c r="Y490" i="5" s="1"/>
  <c r="CP492" i="5"/>
  <c r="CQ492" i="5" s="1"/>
  <c r="R492" i="5" s="1"/>
  <c r="S492" i="5" s="1"/>
  <c r="DA492" i="5"/>
  <c r="DB492" i="5" s="1"/>
  <c r="K492" i="5" s="1"/>
  <c r="CT492" i="5"/>
  <c r="CV492" i="5"/>
  <c r="BN492" i="5"/>
  <c r="BO492" i="5" s="1"/>
  <c r="BP492" i="5" s="1"/>
  <c r="G492" i="5" s="1"/>
  <c r="W492" i="5"/>
  <c r="T492" i="5"/>
  <c r="U492" i="5" s="1"/>
  <c r="I491" i="5"/>
  <c r="AE492" i="5"/>
  <c r="AP491" i="5" l="1"/>
  <c r="H465" i="6"/>
  <c r="Z490" i="5"/>
  <c r="AA490" i="5" s="1"/>
  <c r="I465" i="6" s="1"/>
  <c r="AT491" i="5"/>
  <c r="AH491" i="5"/>
  <c r="CN492" i="5"/>
  <c r="E492" i="5" s="1"/>
  <c r="CO492" i="5"/>
  <c r="F492" i="5" s="1"/>
  <c r="M491" i="5"/>
  <c r="P491" i="5"/>
  <c r="AY491" i="5" s="1"/>
  <c r="BY492" i="5" l="1"/>
  <c r="J492" i="5" s="1"/>
  <c r="AG491" i="5"/>
  <c r="AJ491" i="5" s="1"/>
  <c r="AO491" i="5"/>
  <c r="AR491" i="5" s="1"/>
  <c r="N491" i="5"/>
  <c r="AS491" i="5"/>
  <c r="AV491" i="5" s="1"/>
  <c r="E467" i="6"/>
  <c r="C493" i="5"/>
  <c r="BU493" i="5" s="1"/>
  <c r="BC492" i="5"/>
  <c r="D467" i="6"/>
  <c r="F466" i="6"/>
  <c r="Q491" i="5"/>
  <c r="V491" i="5" s="1"/>
  <c r="AN492" i="5" l="1"/>
  <c r="AF492" i="5"/>
  <c r="BW492" i="5"/>
  <c r="BT493" i="5"/>
  <c r="BV493" i="5"/>
  <c r="BS493" i="5"/>
  <c r="CI493" i="5"/>
  <c r="BH493" i="5"/>
  <c r="BI493" i="5" s="1"/>
  <c r="BJ493" i="5" s="1"/>
  <c r="X491" i="5"/>
  <c r="Y491" i="5" s="1"/>
  <c r="BF492" i="5"/>
  <c r="CZ492" i="5"/>
  <c r="BD492" i="5"/>
  <c r="BE493" i="5" s="1"/>
  <c r="CS493" i="5"/>
  <c r="AC493" i="5"/>
  <c r="AD493" i="5" s="1"/>
  <c r="CX493" i="5"/>
  <c r="BK493" i="5"/>
  <c r="BL493" i="5" s="1"/>
  <c r="BM493" i="5" s="1"/>
  <c r="D493" i="5"/>
  <c r="CL493" i="5"/>
  <c r="CM493" i="5" s="1"/>
  <c r="CW493" i="5"/>
  <c r="CR493" i="5"/>
  <c r="AK493" i="5"/>
  <c r="AM493" i="5" s="1"/>
  <c r="AL494" i="5" s="1"/>
  <c r="AB493" i="5"/>
  <c r="L493" i="5" s="1"/>
  <c r="CY493" i="5"/>
  <c r="C468" i="6"/>
  <c r="BG492" i="5"/>
  <c r="H492" i="5" s="1"/>
  <c r="AX493" i="5"/>
  <c r="AW493" i="5" s="1"/>
  <c r="CU493" i="5"/>
  <c r="G466" i="6"/>
  <c r="BX493" i="5" l="1"/>
  <c r="CH493" i="5"/>
  <c r="CK493" i="5"/>
  <c r="CJ493" i="5" s="1"/>
  <c r="DA493" i="5"/>
  <c r="DB493" i="5" s="1"/>
  <c r="K493" i="5" s="1"/>
  <c r="BN493" i="5"/>
  <c r="BO493" i="5" s="1"/>
  <c r="BP493" i="5" s="1"/>
  <c r="G493" i="5" s="1"/>
  <c r="AE493" i="5"/>
  <c r="I492" i="5"/>
  <c r="AH492" i="5" s="1"/>
  <c r="H466" i="6"/>
  <c r="Z491" i="5"/>
  <c r="CT493" i="5"/>
  <c r="CV493" i="5"/>
  <c r="CP493" i="5"/>
  <c r="CQ493" i="5" s="1"/>
  <c r="R493" i="5" s="1"/>
  <c r="S493" i="5" s="1"/>
  <c r="T493" i="5"/>
  <c r="U493" i="5" s="1"/>
  <c r="W493" i="5"/>
  <c r="AT492" i="5" l="1"/>
  <c r="AP492" i="5"/>
  <c r="AA491" i="5"/>
  <c r="I466" i="6" s="1"/>
  <c r="P492" i="5"/>
  <c r="AY492" i="5" s="1"/>
  <c r="M492" i="5"/>
  <c r="CN493" i="5"/>
  <c r="E493" i="5" s="1"/>
  <c r="CO493" i="5"/>
  <c r="F493" i="5" s="1"/>
  <c r="BW493" i="5" l="1"/>
  <c r="BY493" i="5"/>
  <c r="J493" i="5" s="1"/>
  <c r="AF493" i="5" s="1"/>
  <c r="AO492" i="5"/>
  <c r="AR492" i="5" s="1"/>
  <c r="AG492" i="5"/>
  <c r="AS492" i="5"/>
  <c r="AV492" i="5" s="1"/>
  <c r="N492" i="5"/>
  <c r="F467" i="6"/>
  <c r="Q492" i="5"/>
  <c r="V492" i="5" s="1"/>
  <c r="C494" i="5"/>
  <c r="BU494" i="5" s="1"/>
  <c r="E468" i="6"/>
  <c r="BC493" i="5"/>
  <c r="D468" i="6"/>
  <c r="AN493" i="5" l="1"/>
  <c r="BT494" i="5"/>
  <c r="BV494" i="5"/>
  <c r="BS494" i="5"/>
  <c r="CI494" i="5"/>
  <c r="BH494" i="5"/>
  <c r="BI494" i="5" s="1"/>
  <c r="BJ494" i="5" s="1"/>
  <c r="AJ492" i="5"/>
  <c r="G467" i="6"/>
  <c r="CZ493" i="5"/>
  <c r="BF493" i="5"/>
  <c r="BD493" i="5"/>
  <c r="BE494" i="5" s="1"/>
  <c r="D494" i="5"/>
  <c r="AB494" i="5"/>
  <c r="BN494" i="5" s="1"/>
  <c r="BO494" i="5" s="1"/>
  <c r="BP494" i="5" s="1"/>
  <c r="CL494" i="5"/>
  <c r="CM494" i="5" s="1"/>
  <c r="AC494" i="5"/>
  <c r="AD494" i="5" s="1"/>
  <c r="CY494" i="5"/>
  <c r="BK494" i="5"/>
  <c r="BL494" i="5" s="1"/>
  <c r="BM494" i="5" s="1"/>
  <c r="AK494" i="5"/>
  <c r="AM494" i="5" s="1"/>
  <c r="AL495" i="5" s="1"/>
  <c r="C469" i="6"/>
  <c r="CW494" i="5"/>
  <c r="CX494" i="5"/>
  <c r="CR494" i="5"/>
  <c r="CS494" i="5"/>
  <c r="BG493" i="5"/>
  <c r="H493" i="5" s="1"/>
  <c r="AX494" i="5"/>
  <c r="AW494" i="5" s="1"/>
  <c r="CU494" i="5"/>
  <c r="BX494" i="5" s="1"/>
  <c r="G494" i="5" l="1"/>
  <c r="CH494" i="5"/>
  <c r="CK494" i="5"/>
  <c r="CJ494" i="5" s="1"/>
  <c r="X492" i="5"/>
  <c r="Y492" i="5" s="1"/>
  <c r="DA494" i="5"/>
  <c r="DB494" i="5" s="1"/>
  <c r="K494" i="5" s="1"/>
  <c r="CP494" i="5"/>
  <c r="CQ494" i="5" s="1"/>
  <c r="R494" i="5" s="1"/>
  <c r="S494" i="5" s="1"/>
  <c r="T494" i="5"/>
  <c r="U494" i="5" s="1"/>
  <c r="W494" i="5"/>
  <c r="L494" i="5"/>
  <c r="I493" i="5"/>
  <c r="AH493" i="5" s="1"/>
  <c r="CT494" i="5"/>
  <c r="CV494" i="5"/>
  <c r="AE494" i="5"/>
  <c r="H467" i="6" l="1"/>
  <c r="Z492" i="5"/>
  <c r="AA492" i="5" s="1"/>
  <c r="I467" i="6" s="1"/>
  <c r="CO494" i="5"/>
  <c r="F494" i="5" s="1"/>
  <c r="CN494" i="5"/>
  <c r="E494" i="5" s="1"/>
  <c r="AT493" i="5"/>
  <c r="AP493" i="5"/>
  <c r="P493" i="5"/>
  <c r="AY493" i="5" s="1"/>
  <c r="M493" i="5"/>
  <c r="AG493" i="5" s="1"/>
  <c r="AJ493" i="5" s="1"/>
  <c r="BW494" i="5" l="1"/>
  <c r="BY494" i="5"/>
  <c r="J494" i="5" s="1"/>
  <c r="N493" i="5"/>
  <c r="AS493" i="5"/>
  <c r="AV493" i="5" s="1"/>
  <c r="AO493" i="5"/>
  <c r="AR493" i="5" s="1"/>
  <c r="BC494" i="5"/>
  <c r="D469" i="6"/>
  <c r="F468" i="6"/>
  <c r="Q493" i="5"/>
  <c r="V493" i="5" s="1"/>
  <c r="G468" i="6" s="1"/>
  <c r="C495" i="5"/>
  <c r="BU495" i="5" s="1"/>
  <c r="E469" i="6"/>
  <c r="AF494" i="5" l="1"/>
  <c r="AN494" i="5"/>
  <c r="BT495" i="5"/>
  <c r="BV495" i="5"/>
  <c r="BS495" i="5"/>
  <c r="CI495" i="5"/>
  <c r="BH495" i="5"/>
  <c r="BI495" i="5" s="1"/>
  <c r="BJ495" i="5" s="1"/>
  <c r="X493" i="5"/>
  <c r="Y493" i="5" s="1"/>
  <c r="BF494" i="5"/>
  <c r="CZ494" i="5"/>
  <c r="BD494" i="5"/>
  <c r="BE495" i="5" s="1"/>
  <c r="D495" i="5"/>
  <c r="CS495" i="5"/>
  <c r="CL495" i="5"/>
  <c r="CM495" i="5" s="1"/>
  <c r="CR495" i="5"/>
  <c r="AB495" i="5"/>
  <c r="BN495" i="5" s="1"/>
  <c r="BO495" i="5" s="1"/>
  <c r="BP495" i="5" s="1"/>
  <c r="AK495" i="5"/>
  <c r="AM495" i="5" s="1"/>
  <c r="AL496" i="5" s="1"/>
  <c r="CW495" i="5"/>
  <c r="CX495" i="5"/>
  <c r="CY495" i="5"/>
  <c r="BK495" i="5"/>
  <c r="BL495" i="5" s="1"/>
  <c r="BM495" i="5" s="1"/>
  <c r="AC495" i="5"/>
  <c r="AD495" i="5" s="1"/>
  <c r="C470" i="6"/>
  <c r="BG494" i="5"/>
  <c r="H494" i="5" s="1"/>
  <c r="AX495" i="5"/>
  <c r="AW495" i="5" s="1"/>
  <c r="CU495" i="5"/>
  <c r="BX495" i="5" s="1"/>
  <c r="G495" i="5" l="1"/>
  <c r="CH495" i="5"/>
  <c r="CK495" i="5"/>
  <c r="CJ495" i="5" s="1"/>
  <c r="CP495" i="5"/>
  <c r="CQ495" i="5" s="1"/>
  <c r="R495" i="5" s="1"/>
  <c r="S495" i="5" s="1"/>
  <c r="L495" i="5"/>
  <c r="DA495" i="5"/>
  <c r="DB495" i="5" s="1"/>
  <c r="K495" i="5" s="1"/>
  <c r="I494" i="5"/>
  <c r="AH494" i="5" s="1"/>
  <c r="AE495" i="5"/>
  <c r="T495" i="5"/>
  <c r="U495" i="5" s="1"/>
  <c r="W495" i="5"/>
  <c r="H468" i="6"/>
  <c r="Z493" i="5"/>
  <c r="CT495" i="5"/>
  <c r="CV495" i="5"/>
  <c r="AP494" i="5" l="1"/>
  <c r="AT494" i="5"/>
  <c r="CO495" i="5"/>
  <c r="F495" i="5" s="1"/>
  <c r="CN495" i="5"/>
  <c r="E495" i="5" s="1"/>
  <c r="AA493" i="5"/>
  <c r="I468" i="6" s="1"/>
  <c r="P494" i="5"/>
  <c r="AY494" i="5" s="1"/>
  <c r="M494" i="5"/>
  <c r="AS494" i="5" l="1"/>
  <c r="AV494" i="5" s="1"/>
  <c r="AG494" i="5"/>
  <c r="AJ494" i="5" s="1"/>
  <c r="D470" i="6"/>
  <c r="BC495" i="5"/>
  <c r="AO494" i="5"/>
  <c r="N494" i="5"/>
  <c r="E470" i="6"/>
  <c r="C496" i="5"/>
  <c r="BU496" i="5" s="1"/>
  <c r="F469" i="6"/>
  <c r="Q494" i="5"/>
  <c r="V494" i="5" s="1"/>
  <c r="BW495" i="5" l="1"/>
  <c r="BY495" i="5"/>
  <c r="J495" i="5" s="1"/>
  <c r="BV496" i="5"/>
  <c r="BT496" i="5"/>
  <c r="BS496" i="5"/>
  <c r="CI496" i="5"/>
  <c r="BH496" i="5"/>
  <c r="BI496" i="5" s="1"/>
  <c r="BJ496" i="5" s="1"/>
  <c r="G469" i="6"/>
  <c r="AR494" i="5"/>
  <c r="CY496" i="5"/>
  <c r="CX496" i="5"/>
  <c r="AK496" i="5"/>
  <c r="AM496" i="5" s="1"/>
  <c r="AL497" i="5" s="1"/>
  <c r="AC496" i="5"/>
  <c r="AD496" i="5" s="1"/>
  <c r="BK496" i="5"/>
  <c r="BL496" i="5" s="1"/>
  <c r="BM496" i="5" s="1"/>
  <c r="CL496" i="5"/>
  <c r="CM496" i="5" s="1"/>
  <c r="AB496" i="5"/>
  <c r="DA496" i="5" s="1"/>
  <c r="DB496" i="5" s="1"/>
  <c r="CW496" i="5"/>
  <c r="C471" i="6"/>
  <c r="D496" i="5"/>
  <c r="CS496" i="5"/>
  <c r="CR496" i="5"/>
  <c r="BG495" i="5"/>
  <c r="H495" i="5" s="1"/>
  <c r="AX496" i="5"/>
  <c r="AW496" i="5" s="1"/>
  <c r="CU496" i="5"/>
  <c r="BD495" i="5"/>
  <c r="BE496" i="5" s="1"/>
  <c r="CZ495" i="5"/>
  <c r="BF495" i="5"/>
  <c r="AF495" i="5" l="1"/>
  <c r="AN495" i="5"/>
  <c r="BX496" i="5"/>
  <c r="CH496" i="5"/>
  <c r="CK496" i="5"/>
  <c r="CJ496" i="5" s="1"/>
  <c r="K496" i="5" s="1"/>
  <c r="X494" i="5"/>
  <c r="Y494" i="5" s="1"/>
  <c r="T496" i="5"/>
  <c r="U496" i="5" s="1"/>
  <c r="W496" i="5"/>
  <c r="CP496" i="5"/>
  <c r="CQ496" i="5" s="1"/>
  <c r="R496" i="5" s="1"/>
  <c r="S496" i="5" s="1"/>
  <c r="L496" i="5"/>
  <c r="CV496" i="5"/>
  <c r="CT496" i="5"/>
  <c r="I495" i="5"/>
  <c r="BN496" i="5"/>
  <c r="BO496" i="5" s="1"/>
  <c r="BP496" i="5" s="1"/>
  <c r="G496" i="5" s="1"/>
  <c r="AE496" i="5"/>
  <c r="Z494" i="5" l="1"/>
  <c r="AA494" i="5" s="1"/>
  <c r="I469" i="6" s="1"/>
  <c r="H469" i="6"/>
  <c r="AH495" i="5"/>
  <c r="AT495" i="5"/>
  <c r="AP495" i="5"/>
  <c r="CO496" i="5"/>
  <c r="F496" i="5" s="1"/>
  <c r="CN496" i="5"/>
  <c r="E496" i="5" s="1"/>
  <c r="M495" i="5"/>
  <c r="P495" i="5"/>
  <c r="AY495" i="5" s="1"/>
  <c r="AS495" i="5" l="1"/>
  <c r="AV495" i="5" s="1"/>
  <c r="AO495" i="5"/>
  <c r="N495" i="5"/>
  <c r="AG495" i="5"/>
  <c r="AJ495" i="5" s="1"/>
  <c r="BC496" i="5"/>
  <c r="D471" i="6"/>
  <c r="C497" i="5"/>
  <c r="BU497" i="5" s="1"/>
  <c r="E471" i="6"/>
  <c r="F470" i="6"/>
  <c r="Q495" i="5"/>
  <c r="V495" i="5" s="1"/>
  <c r="BY496" i="5" l="1"/>
  <c r="J496" i="5" s="1"/>
  <c r="BW496" i="5"/>
  <c r="BT497" i="5"/>
  <c r="BV497" i="5"/>
  <c r="BS497" i="5"/>
  <c r="CI497" i="5"/>
  <c r="BH497" i="5"/>
  <c r="BI497" i="5" s="1"/>
  <c r="BJ497" i="5" s="1"/>
  <c r="AR495" i="5"/>
  <c r="D497" i="5"/>
  <c r="CX497" i="5"/>
  <c r="CR497" i="5"/>
  <c r="AK497" i="5"/>
  <c r="AM497" i="5" s="1"/>
  <c r="AL498" i="5" s="1"/>
  <c r="C472" i="6"/>
  <c r="AB497" i="5"/>
  <c r="BN497" i="5" s="1"/>
  <c r="BO497" i="5" s="1"/>
  <c r="BP497" i="5" s="1"/>
  <c r="CW497" i="5"/>
  <c r="AC497" i="5"/>
  <c r="AD497" i="5" s="1"/>
  <c r="CY497" i="5"/>
  <c r="CS497" i="5"/>
  <c r="CL497" i="5"/>
  <c r="CM497" i="5" s="1"/>
  <c r="BK497" i="5"/>
  <c r="BL497" i="5" s="1"/>
  <c r="BM497" i="5" s="1"/>
  <c r="BG496" i="5"/>
  <c r="H496" i="5" s="1"/>
  <c r="AX497" i="5"/>
  <c r="AW497" i="5" s="1"/>
  <c r="CU497" i="5"/>
  <c r="CZ496" i="5"/>
  <c r="BF496" i="5"/>
  <c r="BD496" i="5"/>
  <c r="BE497" i="5" s="1"/>
  <c r="G470" i="6"/>
  <c r="AF496" i="5" l="1"/>
  <c r="AN496" i="5"/>
  <c r="BX497" i="5"/>
  <c r="G497" i="5"/>
  <c r="CK497" i="5"/>
  <c r="CJ497" i="5" s="1"/>
  <c r="CH497" i="5"/>
  <c r="X495" i="5"/>
  <c r="Y495" i="5" s="1"/>
  <c r="L497" i="5"/>
  <c r="DA497" i="5"/>
  <c r="DB497" i="5" s="1"/>
  <c r="K497" i="5" s="1"/>
  <c r="CT497" i="5"/>
  <c r="CV497" i="5"/>
  <c r="I496" i="5"/>
  <c r="AH496" i="5" s="1"/>
  <c r="CP497" i="5"/>
  <c r="CQ497" i="5" s="1"/>
  <c r="R497" i="5" s="1"/>
  <c r="S497" i="5" s="1"/>
  <c r="AE497" i="5"/>
  <c r="W497" i="5"/>
  <c r="T497" i="5"/>
  <c r="U497" i="5" s="1"/>
  <c r="Z495" i="5" l="1"/>
  <c r="AA495" i="5" s="1"/>
  <c r="I470" i="6" s="1"/>
  <c r="H470" i="6"/>
  <c r="AT496" i="5"/>
  <c r="AP496" i="5"/>
  <c r="P496" i="5"/>
  <c r="AY496" i="5" s="1"/>
  <c r="M496" i="5"/>
  <c r="CN497" i="5"/>
  <c r="E497" i="5" s="1"/>
  <c r="CO497" i="5"/>
  <c r="F497" i="5" s="1"/>
  <c r="BY497" i="5" l="1"/>
  <c r="J497" i="5" s="1"/>
  <c r="BW497" i="5"/>
  <c r="AS496" i="5"/>
  <c r="AV496" i="5" s="1"/>
  <c r="AO496" i="5"/>
  <c r="AR496" i="5" s="1"/>
  <c r="D472" i="6"/>
  <c r="BC497" i="5"/>
  <c r="AG496" i="5"/>
  <c r="N496" i="5"/>
  <c r="C498" i="5"/>
  <c r="BU498" i="5" s="1"/>
  <c r="E472" i="6"/>
  <c r="Q496" i="5"/>
  <c r="V496" i="5" s="1"/>
  <c r="F471" i="6"/>
  <c r="AF497" i="5" l="1"/>
  <c r="AN497" i="5"/>
  <c r="BV498" i="5"/>
  <c r="BT498" i="5"/>
  <c r="BS498" i="5"/>
  <c r="CI498" i="5"/>
  <c r="BH498" i="5"/>
  <c r="BI498" i="5" s="1"/>
  <c r="BJ498" i="5" s="1"/>
  <c r="CW498" i="5"/>
  <c r="CX498" i="5"/>
  <c r="BK498" i="5"/>
  <c r="BL498" i="5" s="1"/>
  <c r="BM498" i="5" s="1"/>
  <c r="AK498" i="5"/>
  <c r="AM498" i="5" s="1"/>
  <c r="AL499" i="5" s="1"/>
  <c r="CL498" i="5"/>
  <c r="CM498" i="5" s="1"/>
  <c r="CY498" i="5"/>
  <c r="CS498" i="5"/>
  <c r="C473" i="6"/>
  <c r="D498" i="5"/>
  <c r="AC498" i="5"/>
  <c r="CR498" i="5"/>
  <c r="AB498" i="5"/>
  <c r="BN498" i="5" s="1"/>
  <c r="BO498" i="5" s="1"/>
  <c r="BP498" i="5" s="1"/>
  <c r="BG497" i="5"/>
  <c r="H497" i="5" s="1"/>
  <c r="AX498" i="5"/>
  <c r="AW498" i="5" s="1"/>
  <c r="CU498" i="5"/>
  <c r="BX498" i="5" s="1"/>
  <c r="G471" i="6"/>
  <c r="AJ496" i="5"/>
  <c r="CZ497" i="5"/>
  <c r="BF497" i="5"/>
  <c r="BD497" i="5"/>
  <c r="BE498" i="5" s="1"/>
  <c r="G498" i="5" l="1"/>
  <c r="AD498" i="5"/>
  <c r="AE498" i="5" s="1"/>
  <c r="CH498" i="5"/>
  <c r="CK498" i="5"/>
  <c r="CJ498" i="5" s="1"/>
  <c r="X496" i="5"/>
  <c r="Y496" i="5" s="1"/>
  <c r="CP498" i="5"/>
  <c r="CQ498" i="5" s="1"/>
  <c r="R498" i="5" s="1"/>
  <c r="S498" i="5" s="1"/>
  <c r="DA498" i="5"/>
  <c r="DB498" i="5" s="1"/>
  <c r="K498" i="5" s="1"/>
  <c r="L498" i="5"/>
  <c r="CV498" i="5"/>
  <c r="CT498" i="5"/>
  <c r="W498" i="5"/>
  <c r="T498" i="5"/>
  <c r="U498" i="5" s="1"/>
  <c r="I497" i="5"/>
  <c r="H471" i="6" l="1"/>
  <c r="Z496" i="5"/>
  <c r="AA496" i="5" s="1"/>
  <c r="I471" i="6" s="1"/>
  <c r="AH497" i="5"/>
  <c r="AT497" i="5"/>
  <c r="AP497" i="5"/>
  <c r="CN498" i="5"/>
  <c r="E498" i="5" s="1"/>
  <c r="CO498" i="5"/>
  <c r="F498" i="5" s="1"/>
  <c r="P497" i="5"/>
  <c r="AY497" i="5" s="1"/>
  <c r="M497" i="5"/>
  <c r="BW498" i="5" l="1"/>
  <c r="BY498" i="5"/>
  <c r="J498" i="5" s="1"/>
  <c r="AG497" i="5"/>
  <c r="AJ497" i="5" s="1"/>
  <c r="AS497" i="5"/>
  <c r="AV497" i="5" s="1"/>
  <c r="AO497" i="5"/>
  <c r="N497" i="5"/>
  <c r="Q497" i="5"/>
  <c r="V497" i="5" s="1"/>
  <c r="F472" i="6"/>
  <c r="E473" i="6"/>
  <c r="C499" i="5"/>
  <c r="BU499" i="5" s="1"/>
  <c r="D473" i="6"/>
  <c r="BC498" i="5"/>
  <c r="AN498" i="5" l="1"/>
  <c r="AF498" i="5"/>
  <c r="BV499" i="5"/>
  <c r="BT499" i="5"/>
  <c r="BS499" i="5"/>
  <c r="CI499" i="5"/>
  <c r="BH499" i="5"/>
  <c r="BI499" i="5" s="1"/>
  <c r="BJ499" i="5" s="1"/>
  <c r="CX499" i="5"/>
  <c r="AK499" i="5"/>
  <c r="AC499" i="5"/>
  <c r="AB499" i="5"/>
  <c r="DA499" i="5" s="1"/>
  <c r="DB499" i="5" s="1"/>
  <c r="CS499" i="5"/>
  <c r="CL499" i="5"/>
  <c r="CM499" i="5" s="1"/>
  <c r="D499" i="5"/>
  <c r="C474" i="6"/>
  <c r="BK499" i="5"/>
  <c r="BL499" i="5" s="1"/>
  <c r="BM499" i="5" s="1"/>
  <c r="CY499" i="5"/>
  <c r="CW499" i="5"/>
  <c r="CR499" i="5"/>
  <c r="BG498" i="5"/>
  <c r="H498" i="5" s="1"/>
  <c r="AX499" i="5"/>
  <c r="AW499" i="5" s="1"/>
  <c r="CU499" i="5"/>
  <c r="BX499" i="5" s="1"/>
  <c r="G472" i="6"/>
  <c r="AR497" i="5"/>
  <c r="CZ498" i="5"/>
  <c r="BF498" i="5"/>
  <c r="BD498" i="5"/>
  <c r="BE499" i="5" s="1"/>
  <c r="AD499" i="5" l="1"/>
  <c r="AE499" i="5" s="1"/>
  <c r="CH499" i="5"/>
  <c r="CK499" i="5"/>
  <c r="CJ499" i="5" s="1"/>
  <c r="K499" i="5" s="1"/>
  <c r="X497" i="5"/>
  <c r="Y497" i="5" s="1"/>
  <c r="BN499" i="5"/>
  <c r="BO499" i="5" s="1"/>
  <c r="BP499" i="5" s="1"/>
  <c r="G499" i="5" s="1"/>
  <c r="CP499" i="5"/>
  <c r="CQ499" i="5" s="1"/>
  <c r="R499" i="5" s="1"/>
  <c r="S499" i="5" s="1"/>
  <c r="L499" i="5"/>
  <c r="T499" i="5"/>
  <c r="U499" i="5" s="1"/>
  <c r="W499" i="5"/>
  <c r="CT499" i="5"/>
  <c r="CV499" i="5"/>
  <c r="AM499" i="5"/>
  <c r="AL500" i="5" s="1"/>
  <c r="I498" i="5"/>
  <c r="AP498" i="5" s="1"/>
  <c r="Z497" i="5" l="1"/>
  <c r="AA497" i="5" s="1"/>
  <c r="I472" i="6" s="1"/>
  <c r="H472" i="6"/>
  <c r="AT498" i="5"/>
  <c r="AH498" i="5"/>
  <c r="M498" i="5"/>
  <c r="P498" i="5"/>
  <c r="AY498" i="5" s="1"/>
  <c r="CO499" i="5"/>
  <c r="F499" i="5" s="1"/>
  <c r="CN499" i="5"/>
  <c r="E499" i="5" s="1"/>
  <c r="AG498" i="5" l="1"/>
  <c r="AJ498" i="5" s="1"/>
  <c r="AO498" i="5"/>
  <c r="AR498" i="5" s="1"/>
  <c r="N498" i="5"/>
  <c r="AS498" i="5"/>
  <c r="AV498" i="5" s="1"/>
  <c r="E474" i="6"/>
  <c r="C500" i="5"/>
  <c r="BU500" i="5" s="1"/>
  <c r="F473" i="6"/>
  <c r="Q498" i="5"/>
  <c r="V498" i="5" s="1"/>
  <c r="BC499" i="5"/>
  <c r="D474" i="6"/>
  <c r="BW499" i="5" l="1"/>
  <c r="BY499" i="5"/>
  <c r="J499" i="5" s="1"/>
  <c r="BT500" i="5"/>
  <c r="BV500" i="5"/>
  <c r="BS500" i="5"/>
  <c r="CI500" i="5"/>
  <c r="BH500" i="5"/>
  <c r="BI500" i="5" s="1"/>
  <c r="BJ500" i="5" s="1"/>
  <c r="X498" i="5"/>
  <c r="Y498" i="5" s="1"/>
  <c r="BD499" i="5"/>
  <c r="BE500" i="5" s="1"/>
  <c r="CZ499" i="5"/>
  <c r="BF499" i="5"/>
  <c r="G473" i="6"/>
  <c r="D500" i="5"/>
  <c r="C475" i="6"/>
  <c r="CY500" i="5"/>
  <c r="AB500" i="5"/>
  <c r="L500" i="5" s="1"/>
  <c r="CL500" i="5"/>
  <c r="CM500" i="5" s="1"/>
  <c r="BK500" i="5"/>
  <c r="BL500" i="5" s="1"/>
  <c r="BM500" i="5" s="1"/>
  <c r="CS500" i="5"/>
  <c r="AK500" i="5"/>
  <c r="AC500" i="5"/>
  <c r="AD500" i="5" s="1"/>
  <c r="CR500" i="5"/>
  <c r="CX500" i="5"/>
  <c r="CW500" i="5"/>
  <c r="BG499" i="5"/>
  <c r="H499" i="5" s="1"/>
  <c r="AX500" i="5"/>
  <c r="AW500" i="5" s="1"/>
  <c r="CU500" i="5"/>
  <c r="AN499" i="5" l="1"/>
  <c r="AF499" i="5"/>
  <c r="BX500" i="5"/>
  <c r="DA500" i="5"/>
  <c r="DB500" i="5" s="1"/>
  <c r="CK500" i="5"/>
  <c r="CJ500" i="5" s="1"/>
  <c r="CH500" i="5"/>
  <c r="BN500" i="5"/>
  <c r="BO500" i="5" s="1"/>
  <c r="BP500" i="5" s="1"/>
  <c r="G500" i="5" s="1"/>
  <c r="AM500" i="5"/>
  <c r="AL501" i="5" s="1"/>
  <c r="T500" i="5"/>
  <c r="U500" i="5" s="1"/>
  <c r="W500" i="5"/>
  <c r="CV500" i="5"/>
  <c r="CT500" i="5"/>
  <c r="H473" i="6"/>
  <c r="Z498" i="5"/>
  <c r="I499" i="5"/>
  <c r="AH499" i="5" s="1"/>
  <c r="CP500" i="5"/>
  <c r="CQ500" i="5" s="1"/>
  <c r="R500" i="5" s="1"/>
  <c r="S500" i="5" s="1"/>
  <c r="AE500" i="5"/>
  <c r="K500" i="5" l="1"/>
  <c r="AT499" i="5"/>
  <c r="AP499" i="5"/>
  <c r="CN500" i="5"/>
  <c r="E500" i="5" s="1"/>
  <c r="CO500" i="5"/>
  <c r="F500" i="5" s="1"/>
  <c r="M499" i="5"/>
  <c r="AO499" i="5" s="1"/>
  <c r="AR499" i="5" s="1"/>
  <c r="P499" i="5"/>
  <c r="AY499" i="5" s="1"/>
  <c r="AA498" i="5"/>
  <c r="I473" i="6" s="1"/>
  <c r="BY500" i="5" l="1"/>
  <c r="J500" i="5" s="1"/>
  <c r="AF500" i="5" s="1"/>
  <c r="BW500" i="5"/>
  <c r="AG499" i="5"/>
  <c r="N499" i="5"/>
  <c r="AS499" i="5"/>
  <c r="AV499" i="5" s="1"/>
  <c r="C501" i="5"/>
  <c r="BU501" i="5" s="1"/>
  <c r="E475" i="6"/>
  <c r="BC500" i="5"/>
  <c r="D475" i="6"/>
  <c r="Q499" i="5"/>
  <c r="V499" i="5" s="1"/>
  <c r="F474" i="6"/>
  <c r="AN500" i="5" l="1"/>
  <c r="BT501" i="5"/>
  <c r="BV501" i="5"/>
  <c r="BS501" i="5"/>
  <c r="CI501" i="5"/>
  <c r="BH501" i="5"/>
  <c r="BI501" i="5" s="1"/>
  <c r="BJ501" i="5" s="1"/>
  <c r="BF500" i="5"/>
  <c r="CZ500" i="5"/>
  <c r="BD500" i="5"/>
  <c r="BE501" i="5" s="1"/>
  <c r="C476" i="6"/>
  <c r="BK501" i="5"/>
  <c r="BL501" i="5" s="1"/>
  <c r="BM501" i="5" s="1"/>
  <c r="CX501" i="5"/>
  <c r="CY501" i="5"/>
  <c r="D501" i="5"/>
  <c r="CR501" i="5"/>
  <c r="AK501" i="5"/>
  <c r="AM501" i="5" s="1"/>
  <c r="AL502" i="5" s="1"/>
  <c r="AC501" i="5"/>
  <c r="CS501" i="5"/>
  <c r="CW501" i="5"/>
  <c r="CL501" i="5"/>
  <c r="CM501" i="5" s="1"/>
  <c r="AB501" i="5"/>
  <c r="CP501" i="5" s="1"/>
  <c r="CQ501" i="5" s="1"/>
  <c r="R501" i="5" s="1"/>
  <c r="S501" i="5" s="1"/>
  <c r="BG500" i="5"/>
  <c r="H500" i="5" s="1"/>
  <c r="AX501" i="5"/>
  <c r="AW501" i="5" s="1"/>
  <c r="CU501" i="5"/>
  <c r="BX501" i="5" s="1"/>
  <c r="G474" i="6"/>
  <c r="AJ499" i="5"/>
  <c r="AD501" i="5" l="1"/>
  <c r="AE501" i="5" s="1"/>
  <c r="CH501" i="5"/>
  <c r="CK501" i="5"/>
  <c r="CJ501" i="5" s="1"/>
  <c r="X499" i="5"/>
  <c r="Y499" i="5" s="1"/>
  <c r="L501" i="5"/>
  <c r="DA501" i="5"/>
  <c r="DB501" i="5" s="1"/>
  <c r="K501" i="5" s="1"/>
  <c r="BN501" i="5"/>
  <c r="BO501" i="5" s="1"/>
  <c r="BP501" i="5" s="1"/>
  <c r="G501" i="5" s="1"/>
  <c r="CT501" i="5"/>
  <c r="CV501" i="5"/>
  <c r="W501" i="5"/>
  <c r="T501" i="5"/>
  <c r="U501" i="5" s="1"/>
  <c r="I500" i="5"/>
  <c r="AH500" i="5" s="1"/>
  <c r="Z499" i="5" l="1"/>
  <c r="AA499" i="5" s="1"/>
  <c r="I474" i="6" s="1"/>
  <c r="H474" i="6"/>
  <c r="AT500" i="5"/>
  <c r="AP500" i="5"/>
  <c r="P500" i="5"/>
  <c r="AY500" i="5" s="1"/>
  <c r="M500" i="5"/>
  <c r="AG500" i="5" s="1"/>
  <c r="AJ500" i="5" s="1"/>
  <c r="CN501" i="5"/>
  <c r="E501" i="5" s="1"/>
  <c r="CO501" i="5"/>
  <c r="F501" i="5" s="1"/>
  <c r="BC501" i="5" l="1"/>
  <c r="D476" i="6"/>
  <c r="AS500" i="5"/>
  <c r="AV500" i="5" s="1"/>
  <c r="N500" i="5"/>
  <c r="AO500" i="5"/>
  <c r="Q500" i="5"/>
  <c r="V500" i="5" s="1"/>
  <c r="G475" i="6" s="1"/>
  <c r="F475" i="6"/>
  <c r="E476" i="6"/>
  <c r="C502" i="5"/>
  <c r="BU502" i="5" s="1"/>
  <c r="BW501" i="5" l="1"/>
  <c r="BY501" i="5"/>
  <c r="J501" i="5" s="1"/>
  <c r="BT502" i="5"/>
  <c r="BV502" i="5"/>
  <c r="BS502" i="5"/>
  <c r="CI502" i="5"/>
  <c r="BH502" i="5"/>
  <c r="BI502" i="5" s="1"/>
  <c r="BJ502" i="5" s="1"/>
  <c r="AR500" i="5"/>
  <c r="CY502" i="5"/>
  <c r="BK502" i="5"/>
  <c r="BL502" i="5" s="1"/>
  <c r="BM502" i="5" s="1"/>
  <c r="CS502" i="5"/>
  <c r="AK502" i="5"/>
  <c r="CR502" i="5"/>
  <c r="C477" i="6"/>
  <c r="D502" i="5"/>
  <c r="CX502" i="5"/>
  <c r="AC502" i="5"/>
  <c r="AB502" i="5"/>
  <c r="DA502" i="5" s="1"/>
  <c r="DB502" i="5" s="1"/>
  <c r="CL502" i="5"/>
  <c r="CM502" i="5" s="1"/>
  <c r="CW502" i="5"/>
  <c r="BG501" i="5"/>
  <c r="H501" i="5" s="1"/>
  <c r="AX502" i="5"/>
  <c r="AW502" i="5" s="1"/>
  <c r="CU502" i="5"/>
  <c r="BD501" i="5"/>
  <c r="BE502" i="5" s="1"/>
  <c r="CZ501" i="5"/>
  <c r="BF501" i="5"/>
  <c r="AF501" i="5" l="1"/>
  <c r="AN501" i="5"/>
  <c r="BX502" i="5"/>
  <c r="CH502" i="5"/>
  <c r="CK502" i="5"/>
  <c r="CJ502" i="5" s="1"/>
  <c r="K502" i="5" s="1"/>
  <c r="X500" i="5"/>
  <c r="Y500" i="5" s="1"/>
  <c r="AD502" i="5"/>
  <c r="AE502" i="5" s="1"/>
  <c r="CP502" i="5"/>
  <c r="CQ502" i="5" s="1"/>
  <c r="R502" i="5" s="1"/>
  <c r="S502" i="5" s="1"/>
  <c r="I501" i="5"/>
  <c r="AP501" i="5" s="1"/>
  <c r="AM502" i="5"/>
  <c r="AL503" i="5" s="1"/>
  <c r="BN502" i="5"/>
  <c r="BO502" i="5" s="1"/>
  <c r="BP502" i="5" s="1"/>
  <c r="G502" i="5" s="1"/>
  <c r="CV502" i="5"/>
  <c r="CT502" i="5"/>
  <c r="T502" i="5"/>
  <c r="U502" i="5" s="1"/>
  <c r="W502" i="5"/>
  <c r="L502" i="5"/>
  <c r="H475" i="6" l="1"/>
  <c r="Z500" i="5"/>
  <c r="AA500" i="5" s="1"/>
  <c r="I475" i="6" s="1"/>
  <c r="AT501" i="5"/>
  <c r="AH501" i="5"/>
  <c r="CN502" i="5"/>
  <c r="E502" i="5" s="1"/>
  <c r="CO502" i="5"/>
  <c r="F502" i="5" s="1"/>
  <c r="M501" i="5"/>
  <c r="P501" i="5"/>
  <c r="AY501" i="5" s="1"/>
  <c r="AG501" i="5" l="1"/>
  <c r="AJ501" i="5" s="1"/>
  <c r="AO501" i="5"/>
  <c r="AR501" i="5" s="1"/>
  <c r="N501" i="5"/>
  <c r="AS501" i="5"/>
  <c r="AV501" i="5" s="1"/>
  <c r="Q501" i="5"/>
  <c r="V501" i="5" s="1"/>
  <c r="F476" i="6"/>
  <c r="E477" i="6"/>
  <c r="C503" i="5"/>
  <c r="BU503" i="5" s="1"/>
  <c r="D477" i="6"/>
  <c r="BC502" i="5"/>
  <c r="BW502" i="5" l="1"/>
  <c r="BY502" i="5"/>
  <c r="J502" i="5" s="1"/>
  <c r="BT503" i="5"/>
  <c r="BV503" i="5"/>
  <c r="BS503" i="5"/>
  <c r="CI503" i="5"/>
  <c r="BH503" i="5"/>
  <c r="BI503" i="5" s="1"/>
  <c r="BJ503" i="5" s="1"/>
  <c r="X501" i="5"/>
  <c r="Y501" i="5" s="1"/>
  <c r="BF502" i="5"/>
  <c r="CZ502" i="5"/>
  <c r="BD502" i="5"/>
  <c r="BE503" i="5" s="1"/>
  <c r="C478" i="6"/>
  <c r="CR503" i="5"/>
  <c r="CX503" i="5"/>
  <c r="CY503" i="5"/>
  <c r="AK503" i="5"/>
  <c r="AM503" i="5" s="1"/>
  <c r="AL504" i="5" s="1"/>
  <c r="CL503" i="5"/>
  <c r="CM503" i="5" s="1"/>
  <c r="AC503" i="5"/>
  <c r="D503" i="5"/>
  <c r="AB503" i="5"/>
  <c r="L503" i="5" s="1"/>
  <c r="CW503" i="5"/>
  <c r="BK503" i="5"/>
  <c r="BL503" i="5" s="1"/>
  <c r="BM503" i="5" s="1"/>
  <c r="CS503" i="5"/>
  <c r="BG502" i="5"/>
  <c r="H502" i="5" s="1"/>
  <c r="AX503" i="5"/>
  <c r="AW503" i="5" s="1"/>
  <c r="CU503" i="5"/>
  <c r="G476" i="6"/>
  <c r="AF502" i="5" l="1"/>
  <c r="AN502" i="5"/>
  <c r="BX503" i="5"/>
  <c r="CH503" i="5"/>
  <c r="CK503" i="5"/>
  <c r="CJ503" i="5" s="1"/>
  <c r="AD503" i="5"/>
  <c r="AE503" i="5" s="1"/>
  <c r="I502" i="5"/>
  <c r="AP502" i="5" s="1"/>
  <c r="H476" i="6"/>
  <c r="Z501" i="5"/>
  <c r="W503" i="5"/>
  <c r="T503" i="5"/>
  <c r="U503" i="5" s="1"/>
  <c r="CV503" i="5"/>
  <c r="CT503" i="5"/>
  <c r="BN503" i="5"/>
  <c r="BO503" i="5" s="1"/>
  <c r="BP503" i="5" s="1"/>
  <c r="G503" i="5" s="1"/>
  <c r="DA503" i="5"/>
  <c r="DB503" i="5" s="1"/>
  <c r="K503" i="5" s="1"/>
  <c r="CP503" i="5"/>
  <c r="CQ503" i="5" s="1"/>
  <c r="R503" i="5" s="1"/>
  <c r="S503" i="5" s="1"/>
  <c r="AA501" i="5" l="1"/>
  <c r="I476" i="6" s="1"/>
  <c r="CO503" i="5"/>
  <c r="F503" i="5" s="1"/>
  <c r="CN503" i="5"/>
  <c r="E503" i="5" s="1"/>
  <c r="P502" i="5"/>
  <c r="AY502" i="5" s="1"/>
  <c r="M502" i="5"/>
  <c r="AT502" i="5"/>
  <c r="AH502" i="5"/>
  <c r="AS502" i="5" l="1"/>
  <c r="AV502" i="5" s="1"/>
  <c r="AO502" i="5"/>
  <c r="E478" i="6"/>
  <c r="C504" i="5"/>
  <c r="BU504" i="5" s="1"/>
  <c r="N502" i="5"/>
  <c r="AG502" i="5"/>
  <c r="AJ502" i="5" s="1"/>
  <c r="Q502" i="5"/>
  <c r="V502" i="5" s="1"/>
  <c r="F477" i="6"/>
  <c r="BC503" i="5"/>
  <c r="D478" i="6"/>
  <c r="BW503" i="5" l="1"/>
  <c r="BY503" i="5"/>
  <c r="J503" i="5" s="1"/>
  <c r="BV504" i="5"/>
  <c r="BT504" i="5"/>
  <c r="BS504" i="5"/>
  <c r="CI504" i="5"/>
  <c r="BH504" i="5"/>
  <c r="BI504" i="5" s="1"/>
  <c r="BJ504" i="5" s="1"/>
  <c r="AR502" i="5"/>
  <c r="BD503" i="5"/>
  <c r="BE504" i="5" s="1"/>
  <c r="CZ503" i="5"/>
  <c r="BF503" i="5"/>
  <c r="AB504" i="5"/>
  <c r="CP504" i="5" s="1"/>
  <c r="CQ504" i="5" s="1"/>
  <c r="R504" i="5" s="1"/>
  <c r="S504" i="5" s="1"/>
  <c r="BK504" i="5"/>
  <c r="BL504" i="5" s="1"/>
  <c r="BM504" i="5" s="1"/>
  <c r="AK504" i="5"/>
  <c r="AM504" i="5" s="1"/>
  <c r="AL505" i="5" s="1"/>
  <c r="CX504" i="5"/>
  <c r="CL504" i="5"/>
  <c r="CM504" i="5" s="1"/>
  <c r="AC504" i="5"/>
  <c r="AD504" i="5" s="1"/>
  <c r="CS504" i="5"/>
  <c r="CW504" i="5"/>
  <c r="D504" i="5"/>
  <c r="C479" i="6"/>
  <c r="CY504" i="5"/>
  <c r="CR504" i="5"/>
  <c r="BG503" i="5"/>
  <c r="H503" i="5" s="1"/>
  <c r="AX504" i="5"/>
  <c r="AW504" i="5" s="1"/>
  <c r="CU504" i="5"/>
  <c r="G477" i="6"/>
  <c r="AF503" i="5" l="1"/>
  <c r="AN503" i="5"/>
  <c r="BX504" i="5"/>
  <c r="CH504" i="5"/>
  <c r="CK504" i="5"/>
  <c r="CJ504" i="5" s="1"/>
  <c r="X502" i="5"/>
  <c r="Y502" i="5" s="1"/>
  <c r="DA504" i="5"/>
  <c r="DB504" i="5" s="1"/>
  <c r="K504" i="5" s="1"/>
  <c r="I503" i="5"/>
  <c r="AH503" i="5" s="1"/>
  <c r="T504" i="5"/>
  <c r="U504" i="5" s="1"/>
  <c r="W504" i="5"/>
  <c r="CT504" i="5"/>
  <c r="CV504" i="5"/>
  <c r="L504" i="5"/>
  <c r="BN504" i="5"/>
  <c r="BO504" i="5" s="1"/>
  <c r="BP504" i="5" s="1"/>
  <c r="G504" i="5" s="1"/>
  <c r="AE504" i="5"/>
  <c r="Z502" i="5" l="1"/>
  <c r="AA502" i="5" s="1"/>
  <c r="I477" i="6" s="1"/>
  <c r="H477" i="6"/>
  <c r="AT503" i="5"/>
  <c r="AP503" i="5"/>
  <c r="CN504" i="5"/>
  <c r="E504" i="5" s="1"/>
  <c r="CO504" i="5"/>
  <c r="F504" i="5" s="1"/>
  <c r="P503" i="5"/>
  <c r="AY503" i="5" s="1"/>
  <c r="M503" i="5"/>
  <c r="AS503" i="5" l="1"/>
  <c r="AV503" i="5" s="1"/>
  <c r="AO503" i="5"/>
  <c r="AR503" i="5" s="1"/>
  <c r="C505" i="5"/>
  <c r="BU505" i="5" s="1"/>
  <c r="E479" i="6"/>
  <c r="D479" i="6"/>
  <c r="BC504" i="5"/>
  <c r="AG503" i="5"/>
  <c r="N503" i="5"/>
  <c r="F478" i="6"/>
  <c r="Q503" i="5"/>
  <c r="V503" i="5" s="1"/>
  <c r="BY504" i="5" l="1"/>
  <c r="J504" i="5" s="1"/>
  <c r="BW504" i="5"/>
  <c r="BT505" i="5"/>
  <c r="BV505" i="5"/>
  <c r="BS505" i="5"/>
  <c r="CI505" i="5"/>
  <c r="BH505" i="5"/>
  <c r="BI505" i="5" s="1"/>
  <c r="BJ505" i="5" s="1"/>
  <c r="AJ503" i="5"/>
  <c r="X503" i="5" s="1"/>
  <c r="Y503" i="5" s="1"/>
  <c r="BF504" i="5"/>
  <c r="BD504" i="5"/>
  <c r="BE505" i="5" s="1"/>
  <c r="CZ504" i="5"/>
  <c r="G478" i="6"/>
  <c r="CL505" i="5"/>
  <c r="CM505" i="5" s="1"/>
  <c r="CR505" i="5"/>
  <c r="CW505" i="5"/>
  <c r="AC505" i="5"/>
  <c r="AK505" i="5"/>
  <c r="CY505" i="5"/>
  <c r="BK505" i="5"/>
  <c r="BL505" i="5" s="1"/>
  <c r="BM505" i="5" s="1"/>
  <c r="D505" i="5"/>
  <c r="CS505" i="5"/>
  <c r="CX505" i="5"/>
  <c r="C480" i="6"/>
  <c r="AB505" i="5"/>
  <c r="CP505" i="5" s="1"/>
  <c r="CQ505" i="5" s="1"/>
  <c r="R505" i="5" s="1"/>
  <c r="S505" i="5" s="1"/>
  <c r="BG504" i="5"/>
  <c r="H504" i="5" s="1"/>
  <c r="AX505" i="5"/>
  <c r="AW505" i="5" s="1"/>
  <c r="CU505" i="5"/>
  <c r="AF504" i="5" l="1"/>
  <c r="AN504" i="5"/>
  <c r="BX505" i="5"/>
  <c r="CK505" i="5"/>
  <c r="CJ505" i="5" s="1"/>
  <c r="CH505" i="5"/>
  <c r="AD505" i="5"/>
  <c r="AE505" i="5" s="1"/>
  <c r="L505" i="5"/>
  <c r="DA505" i="5"/>
  <c r="DB505" i="5" s="1"/>
  <c r="W505" i="5"/>
  <c r="T505" i="5"/>
  <c r="U505" i="5" s="1"/>
  <c r="CT505" i="5"/>
  <c r="CV505" i="5"/>
  <c r="H478" i="6"/>
  <c r="Z503" i="5"/>
  <c r="BN505" i="5"/>
  <c r="BO505" i="5" s="1"/>
  <c r="BP505" i="5" s="1"/>
  <c r="G505" i="5" s="1"/>
  <c r="AM505" i="5"/>
  <c r="AL506" i="5" s="1"/>
  <c r="I504" i="5"/>
  <c r="K505" i="5" l="1"/>
  <c r="AH504" i="5"/>
  <c r="AT504" i="5"/>
  <c r="AP504" i="5"/>
  <c r="M504" i="5"/>
  <c r="P504" i="5"/>
  <c r="AY504" i="5" s="1"/>
  <c r="AA503" i="5"/>
  <c r="I478" i="6" s="1"/>
  <c r="CN505" i="5"/>
  <c r="E505" i="5" s="1"/>
  <c r="CO505" i="5"/>
  <c r="F505" i="5" s="1"/>
  <c r="AS504" i="5" l="1"/>
  <c r="AV504" i="5" s="1"/>
  <c r="AO504" i="5"/>
  <c r="N504" i="5"/>
  <c r="AG504" i="5"/>
  <c r="D480" i="6"/>
  <c r="BC505" i="5"/>
  <c r="F479" i="6"/>
  <c r="Q504" i="5"/>
  <c r="V504" i="5" s="1"/>
  <c r="E480" i="6"/>
  <c r="C506" i="5"/>
  <c r="BU506" i="5" s="1"/>
  <c r="BY505" i="5" l="1"/>
  <c r="J505" i="5" s="1"/>
  <c r="BW505" i="5"/>
  <c r="BV506" i="5"/>
  <c r="BT506" i="5"/>
  <c r="BS506" i="5"/>
  <c r="CI506" i="5"/>
  <c r="BH506" i="5"/>
  <c r="BI506" i="5" s="1"/>
  <c r="BJ506" i="5" s="1"/>
  <c r="AR504" i="5"/>
  <c r="AJ504" i="5"/>
  <c r="G479" i="6"/>
  <c r="BF505" i="5"/>
  <c r="CZ505" i="5"/>
  <c r="BD505" i="5"/>
  <c r="BE506" i="5" s="1"/>
  <c r="AK506" i="5"/>
  <c r="AM506" i="5" s="1"/>
  <c r="AL507" i="5" s="1"/>
  <c r="CS506" i="5"/>
  <c r="CY506" i="5"/>
  <c r="C481" i="6"/>
  <c r="BK506" i="5"/>
  <c r="BL506" i="5" s="1"/>
  <c r="BM506" i="5" s="1"/>
  <c r="CX506" i="5"/>
  <c r="CW506" i="5"/>
  <c r="CR506" i="5"/>
  <c r="AB506" i="5"/>
  <c r="DA506" i="5" s="1"/>
  <c r="DB506" i="5" s="1"/>
  <c r="D506" i="5"/>
  <c r="AC506" i="5"/>
  <c r="AD506" i="5" s="1"/>
  <c r="CL506" i="5"/>
  <c r="CM506" i="5" s="1"/>
  <c r="BG505" i="5"/>
  <c r="H505" i="5" s="1"/>
  <c r="AX506" i="5"/>
  <c r="AW506" i="5" s="1"/>
  <c r="CU506" i="5"/>
  <c r="AN505" i="5" l="1"/>
  <c r="AF505" i="5"/>
  <c r="BX506" i="5"/>
  <c r="CH506" i="5"/>
  <c r="CK506" i="5"/>
  <c r="CJ506" i="5" s="1"/>
  <c r="K506" i="5" s="1"/>
  <c r="X504" i="5"/>
  <c r="Y504" i="5" s="1"/>
  <c r="BN506" i="5"/>
  <c r="BO506" i="5" s="1"/>
  <c r="BP506" i="5" s="1"/>
  <c r="G506" i="5" s="1"/>
  <c r="L506" i="5"/>
  <c r="CT506" i="5"/>
  <c r="CV506" i="5"/>
  <c r="CP506" i="5"/>
  <c r="CQ506" i="5" s="1"/>
  <c r="R506" i="5" s="1"/>
  <c r="S506" i="5" s="1"/>
  <c r="I505" i="5"/>
  <c r="AP505" i="5" s="1"/>
  <c r="AE506" i="5"/>
  <c r="T506" i="5"/>
  <c r="U506" i="5" s="1"/>
  <c r="W506" i="5"/>
  <c r="H479" i="6" l="1"/>
  <c r="Z504" i="5"/>
  <c r="AA504" i="5" s="1"/>
  <c r="I479" i="6" s="1"/>
  <c r="AT505" i="5"/>
  <c r="AH505" i="5"/>
  <c r="CN506" i="5"/>
  <c r="E506" i="5" s="1"/>
  <c r="CO506" i="5"/>
  <c r="F506" i="5" s="1"/>
  <c r="P505" i="5"/>
  <c r="AY505" i="5" s="1"/>
  <c r="M505" i="5"/>
  <c r="AG505" i="5" l="1"/>
  <c r="AJ505" i="5" s="1"/>
  <c r="AO505" i="5"/>
  <c r="AR505" i="5" s="1"/>
  <c r="N505" i="5"/>
  <c r="AS505" i="5"/>
  <c r="AV505" i="5" s="1"/>
  <c r="Q505" i="5"/>
  <c r="V505" i="5" s="1"/>
  <c r="F480" i="6"/>
  <c r="E481" i="6"/>
  <c r="C507" i="5"/>
  <c r="BU507" i="5" s="1"/>
  <c r="D481" i="6"/>
  <c r="BC506" i="5"/>
  <c r="BW506" i="5" l="1"/>
  <c r="BY506" i="5"/>
  <c r="J506" i="5" s="1"/>
  <c r="BV507" i="5"/>
  <c r="BT507" i="5"/>
  <c r="BS507" i="5"/>
  <c r="CI507" i="5"/>
  <c r="BH507" i="5"/>
  <c r="BI507" i="5" s="1"/>
  <c r="BJ507" i="5" s="1"/>
  <c r="X505" i="5"/>
  <c r="Y505" i="5" s="1"/>
  <c r="CL507" i="5"/>
  <c r="CM507" i="5" s="1"/>
  <c r="C482" i="6"/>
  <c r="D507" i="5"/>
  <c r="BK507" i="5"/>
  <c r="BL507" i="5" s="1"/>
  <c r="BM507" i="5" s="1"/>
  <c r="AK507" i="5"/>
  <c r="AB507" i="5"/>
  <c r="DA507" i="5" s="1"/>
  <c r="DB507" i="5" s="1"/>
  <c r="CY507" i="5"/>
  <c r="CS507" i="5"/>
  <c r="CW507" i="5"/>
  <c r="CR507" i="5"/>
  <c r="AC507" i="5"/>
  <c r="AD507" i="5" s="1"/>
  <c r="CX507" i="5"/>
  <c r="BG506" i="5"/>
  <c r="H506" i="5" s="1"/>
  <c r="AX507" i="5"/>
  <c r="AW507" i="5" s="1"/>
  <c r="CU507" i="5"/>
  <c r="CZ506" i="5"/>
  <c r="BD506" i="5"/>
  <c r="BE507" i="5" s="1"/>
  <c r="BF506" i="5"/>
  <c r="G480" i="6"/>
  <c r="AN506" i="5" l="1"/>
  <c r="AF506" i="5"/>
  <c r="BX507" i="5"/>
  <c r="CH507" i="5"/>
  <c r="CK507" i="5"/>
  <c r="CJ507" i="5" s="1"/>
  <c r="K507" i="5" s="1"/>
  <c r="CP507" i="5"/>
  <c r="CQ507" i="5" s="1"/>
  <c r="R507" i="5" s="1"/>
  <c r="S507" i="5" s="1"/>
  <c r="BN507" i="5"/>
  <c r="BO507" i="5" s="1"/>
  <c r="BP507" i="5" s="1"/>
  <c r="G507" i="5" s="1"/>
  <c r="I506" i="5"/>
  <c r="AP506" i="5" s="1"/>
  <c r="AE507" i="5"/>
  <c r="AM507" i="5"/>
  <c r="AL508" i="5" s="1"/>
  <c r="T507" i="5"/>
  <c r="U507" i="5" s="1"/>
  <c r="W507" i="5"/>
  <c r="H480" i="6"/>
  <c r="Z505" i="5"/>
  <c r="CT507" i="5"/>
  <c r="CV507" i="5"/>
  <c r="L507" i="5"/>
  <c r="AA505" i="5" l="1"/>
  <c r="I480" i="6" s="1"/>
  <c r="AH506" i="5"/>
  <c r="AT506" i="5"/>
  <c r="M506" i="5"/>
  <c r="P506" i="5"/>
  <c r="AY506" i="5" s="1"/>
  <c r="CN507" i="5"/>
  <c r="E507" i="5" s="1"/>
  <c r="CO507" i="5"/>
  <c r="F507" i="5" s="1"/>
  <c r="AO506" i="5" l="1"/>
  <c r="AR506" i="5" s="1"/>
  <c r="AG506" i="5"/>
  <c r="AJ506" i="5" s="1"/>
  <c r="E482" i="6"/>
  <c r="C508" i="5"/>
  <c r="BU508" i="5" s="1"/>
  <c r="D482" i="6"/>
  <c r="BC507" i="5"/>
  <c r="F481" i="6"/>
  <c r="Q506" i="5"/>
  <c r="V506" i="5" s="1"/>
  <c r="N506" i="5"/>
  <c r="AS506" i="5"/>
  <c r="AV506" i="5" s="1"/>
  <c r="BW507" i="5" l="1"/>
  <c r="BY507" i="5"/>
  <c r="J507" i="5" s="1"/>
  <c r="BT508" i="5"/>
  <c r="BV508" i="5"/>
  <c r="BS508" i="5"/>
  <c r="CI508" i="5"/>
  <c r="BH508" i="5"/>
  <c r="BI508" i="5" s="1"/>
  <c r="BJ508" i="5" s="1"/>
  <c r="X506" i="5"/>
  <c r="Y506" i="5" s="1"/>
  <c r="CR508" i="5"/>
  <c r="CY508" i="5"/>
  <c r="C483" i="6"/>
  <c r="BK508" i="5"/>
  <c r="BL508" i="5" s="1"/>
  <c r="BM508" i="5" s="1"/>
  <c r="AK508" i="5"/>
  <c r="AM508" i="5" s="1"/>
  <c r="AL509" i="5" s="1"/>
  <c r="CS508" i="5"/>
  <c r="CL508" i="5"/>
  <c r="CM508" i="5" s="1"/>
  <c r="CW508" i="5"/>
  <c r="AC508" i="5"/>
  <c r="AD508" i="5" s="1"/>
  <c r="D508" i="5"/>
  <c r="CX508" i="5"/>
  <c r="AB508" i="5"/>
  <c r="L508" i="5" s="1"/>
  <c r="BG507" i="5"/>
  <c r="H507" i="5" s="1"/>
  <c r="AX508" i="5"/>
  <c r="AW508" i="5" s="1"/>
  <c r="CU508" i="5"/>
  <c r="BD507" i="5"/>
  <c r="BE508" i="5" s="1"/>
  <c r="CZ507" i="5"/>
  <c r="BF507" i="5"/>
  <c r="G481" i="6"/>
  <c r="AF507" i="5" l="1"/>
  <c r="AN507" i="5"/>
  <c r="BX508" i="5"/>
  <c r="CK508" i="5"/>
  <c r="CJ508" i="5" s="1"/>
  <c r="CH508" i="5"/>
  <c r="BN508" i="5"/>
  <c r="BO508" i="5" s="1"/>
  <c r="BP508" i="5" s="1"/>
  <c r="G508" i="5" s="1"/>
  <c r="DA508" i="5"/>
  <c r="DB508" i="5" s="1"/>
  <c r="K508" i="5" s="1"/>
  <c r="CP508" i="5"/>
  <c r="CQ508" i="5" s="1"/>
  <c r="R508" i="5" s="1"/>
  <c r="S508" i="5" s="1"/>
  <c r="CV508" i="5"/>
  <c r="CT508" i="5"/>
  <c r="H481" i="6"/>
  <c r="Z506" i="5"/>
  <c r="W508" i="5"/>
  <c r="T508" i="5"/>
  <c r="U508" i="5" s="1"/>
  <c r="AE508" i="5"/>
  <c r="I507" i="5"/>
  <c r="AH507" i="5" s="1"/>
  <c r="CO508" i="5" l="1"/>
  <c r="F508" i="5" s="1"/>
  <c r="CN508" i="5"/>
  <c r="E508" i="5" s="1"/>
  <c r="M507" i="5"/>
  <c r="AG507" i="5" s="1"/>
  <c r="AJ507" i="5" s="1"/>
  <c r="P507" i="5"/>
  <c r="AY507" i="5" s="1"/>
  <c r="AA506" i="5"/>
  <c r="I481" i="6" s="1"/>
  <c r="AT507" i="5"/>
  <c r="AP507" i="5"/>
  <c r="BY508" i="5" l="1"/>
  <c r="J508" i="5" s="1"/>
  <c r="AN508" i="5" s="1"/>
  <c r="BW508" i="5"/>
  <c r="F482" i="6"/>
  <c r="Q507" i="5"/>
  <c r="V507" i="5" s="1"/>
  <c r="AS507" i="5"/>
  <c r="AV507" i="5" s="1"/>
  <c r="N507" i="5"/>
  <c r="AO507" i="5"/>
  <c r="D483" i="6"/>
  <c r="BC508" i="5"/>
  <c r="C509" i="5"/>
  <c r="BU509" i="5" s="1"/>
  <c r="E483" i="6"/>
  <c r="AF508" i="5" l="1"/>
  <c r="BT509" i="5"/>
  <c r="BV509" i="5"/>
  <c r="BS509" i="5"/>
  <c r="CI509" i="5"/>
  <c r="BH509" i="5"/>
  <c r="BI509" i="5" s="1"/>
  <c r="BJ509" i="5" s="1"/>
  <c r="CR509" i="5"/>
  <c r="CL509" i="5"/>
  <c r="CM509" i="5" s="1"/>
  <c r="CW509" i="5"/>
  <c r="CX509" i="5"/>
  <c r="C484" i="6"/>
  <c r="AK509" i="5"/>
  <c r="AM509" i="5" s="1"/>
  <c r="AL510" i="5" s="1"/>
  <c r="D509" i="5"/>
  <c r="AC509" i="5"/>
  <c r="AD509" i="5" s="1"/>
  <c r="AB509" i="5"/>
  <c r="BN509" i="5" s="1"/>
  <c r="BO509" i="5" s="1"/>
  <c r="BP509" i="5" s="1"/>
  <c r="CY509" i="5"/>
  <c r="BK509" i="5"/>
  <c r="BL509" i="5" s="1"/>
  <c r="BM509" i="5" s="1"/>
  <c r="CS509" i="5"/>
  <c r="BG508" i="5"/>
  <c r="H508" i="5" s="1"/>
  <c r="AX509" i="5"/>
  <c r="AW509" i="5" s="1"/>
  <c r="CU509" i="5"/>
  <c r="BX509" i="5" s="1"/>
  <c r="AR507" i="5"/>
  <c r="CZ508" i="5"/>
  <c r="BD508" i="5"/>
  <c r="BE509" i="5" s="1"/>
  <c r="BF508" i="5"/>
  <c r="G482" i="6"/>
  <c r="G509" i="5" l="1"/>
  <c r="CH509" i="5"/>
  <c r="CK509" i="5"/>
  <c r="CJ509" i="5" s="1"/>
  <c r="X507" i="5"/>
  <c r="Y507" i="5" s="1"/>
  <c r="L509" i="5"/>
  <c r="CP509" i="5"/>
  <c r="CQ509" i="5" s="1"/>
  <c r="R509" i="5" s="1"/>
  <c r="S509" i="5" s="1"/>
  <c r="DA509" i="5"/>
  <c r="DB509" i="5" s="1"/>
  <c r="K509" i="5" s="1"/>
  <c r="CT509" i="5"/>
  <c r="CV509" i="5"/>
  <c r="T509" i="5"/>
  <c r="U509" i="5" s="1"/>
  <c r="W509" i="5"/>
  <c r="I508" i="5"/>
  <c r="AP508" i="5" s="1"/>
  <c r="AE509" i="5"/>
  <c r="Z507" i="5" l="1"/>
  <c r="AA507" i="5" s="1"/>
  <c r="I482" i="6" s="1"/>
  <c r="H482" i="6"/>
  <c r="AT508" i="5"/>
  <c r="AH508" i="5"/>
  <c r="P508" i="5"/>
  <c r="AY508" i="5" s="1"/>
  <c r="M508" i="5"/>
  <c r="CN509" i="5"/>
  <c r="E509" i="5" s="1"/>
  <c r="CO509" i="5"/>
  <c r="F509" i="5" s="1"/>
  <c r="BW509" i="5" l="1"/>
  <c r="BY509" i="5"/>
  <c r="J509" i="5" s="1"/>
  <c r="AG508" i="5"/>
  <c r="AJ508" i="5" s="1"/>
  <c r="AO508" i="5"/>
  <c r="AR508" i="5" s="1"/>
  <c r="N508" i="5"/>
  <c r="AS508" i="5"/>
  <c r="AV508" i="5" s="1"/>
  <c r="BC509" i="5"/>
  <c r="D484" i="6"/>
  <c r="Q508" i="5"/>
  <c r="V508" i="5" s="1"/>
  <c r="F483" i="6"/>
  <c r="C510" i="5"/>
  <c r="BU510" i="5" s="1"/>
  <c r="E484" i="6"/>
  <c r="AF509" i="5" l="1"/>
  <c r="AN509" i="5"/>
  <c r="BT510" i="5"/>
  <c r="BV510" i="5"/>
  <c r="BS510" i="5"/>
  <c r="CI510" i="5"/>
  <c r="BH510" i="5"/>
  <c r="BI510" i="5" s="1"/>
  <c r="BJ510" i="5" s="1"/>
  <c r="X508" i="5"/>
  <c r="Y508" i="5" s="1"/>
  <c r="BF509" i="5"/>
  <c r="CZ509" i="5"/>
  <c r="BD509" i="5"/>
  <c r="BE510" i="5" s="1"/>
  <c r="BK510" i="5"/>
  <c r="BL510" i="5" s="1"/>
  <c r="BM510" i="5" s="1"/>
  <c r="CX510" i="5"/>
  <c r="D510" i="5"/>
  <c r="CS510" i="5"/>
  <c r="AC510" i="5"/>
  <c r="CW510" i="5"/>
  <c r="CL510" i="5"/>
  <c r="CM510" i="5" s="1"/>
  <c r="C485" i="6"/>
  <c r="AB510" i="5"/>
  <c r="CP510" i="5" s="1"/>
  <c r="CQ510" i="5" s="1"/>
  <c r="R510" i="5" s="1"/>
  <c r="S510" i="5" s="1"/>
  <c r="CR510" i="5"/>
  <c r="CY510" i="5"/>
  <c r="AK510" i="5"/>
  <c r="BG509" i="5"/>
  <c r="H509" i="5" s="1"/>
  <c r="AX510" i="5"/>
  <c r="AW510" i="5" s="1"/>
  <c r="CU510" i="5"/>
  <c r="BX510" i="5" s="1"/>
  <c r="G483" i="6"/>
  <c r="CH510" i="5" l="1"/>
  <c r="CK510" i="5"/>
  <c r="CJ510" i="5" s="1"/>
  <c r="AD510" i="5"/>
  <c r="AE510" i="5" s="1"/>
  <c r="DA510" i="5"/>
  <c r="DB510" i="5" s="1"/>
  <c r="K510" i="5" s="1"/>
  <c r="I509" i="5"/>
  <c r="AM510" i="5"/>
  <c r="AL511" i="5" s="1"/>
  <c r="W510" i="5"/>
  <c r="T510" i="5"/>
  <c r="U510" i="5" s="1"/>
  <c r="H483" i="6"/>
  <c r="Z508" i="5"/>
  <c r="CT510" i="5"/>
  <c r="CV510" i="5"/>
  <c r="BN510" i="5"/>
  <c r="BO510" i="5" s="1"/>
  <c r="BP510" i="5" s="1"/>
  <c r="G510" i="5" s="1"/>
  <c r="L510" i="5"/>
  <c r="AH509" i="5" l="1"/>
  <c r="AT509" i="5"/>
  <c r="AP509" i="5"/>
  <c r="CN510" i="5"/>
  <c r="E510" i="5" s="1"/>
  <c r="CO510" i="5"/>
  <c r="F510" i="5" s="1"/>
  <c r="AA508" i="5"/>
  <c r="I483" i="6" s="1"/>
  <c r="M509" i="5"/>
  <c r="P509" i="5"/>
  <c r="AY509" i="5" s="1"/>
  <c r="BW510" i="5" l="1"/>
  <c r="AS509" i="5"/>
  <c r="AV509" i="5" s="1"/>
  <c r="AO509" i="5"/>
  <c r="F484" i="6"/>
  <c r="Q509" i="5"/>
  <c r="V509" i="5" s="1"/>
  <c r="N509" i="5"/>
  <c r="AG509" i="5"/>
  <c r="AJ509" i="5" s="1"/>
  <c r="E485" i="6"/>
  <c r="C511" i="5"/>
  <c r="BU511" i="5" s="1"/>
  <c r="D485" i="6"/>
  <c r="BC510" i="5"/>
  <c r="BY510" i="5" l="1"/>
  <c r="J510" i="5" s="1"/>
  <c r="BT511" i="5"/>
  <c r="BV511" i="5"/>
  <c r="BS511" i="5"/>
  <c r="CI511" i="5"/>
  <c r="BH511" i="5"/>
  <c r="BI511" i="5" s="1"/>
  <c r="BJ511" i="5" s="1"/>
  <c r="AR509" i="5"/>
  <c r="BF510" i="5"/>
  <c r="CZ510" i="5"/>
  <c r="BD510" i="5"/>
  <c r="BE511" i="5" s="1"/>
  <c r="AK511" i="5"/>
  <c r="AM511" i="5" s="1"/>
  <c r="AL512" i="5" s="1"/>
  <c r="D511" i="5"/>
  <c r="CR511" i="5"/>
  <c r="AC511" i="5"/>
  <c r="AD511" i="5" s="1"/>
  <c r="BK511" i="5"/>
  <c r="BL511" i="5" s="1"/>
  <c r="BM511" i="5" s="1"/>
  <c r="CL511" i="5"/>
  <c r="CM511" i="5" s="1"/>
  <c r="CS511" i="5"/>
  <c r="C486" i="6"/>
  <c r="CX511" i="5"/>
  <c r="CW511" i="5"/>
  <c r="AB511" i="5"/>
  <c r="CP511" i="5" s="1"/>
  <c r="CQ511" i="5" s="1"/>
  <c r="R511" i="5" s="1"/>
  <c r="S511" i="5" s="1"/>
  <c r="CY511" i="5"/>
  <c r="BG510" i="5"/>
  <c r="H510" i="5" s="1"/>
  <c r="AX511" i="5"/>
  <c r="AW511" i="5" s="1"/>
  <c r="CU511" i="5"/>
  <c r="BX511" i="5" s="1"/>
  <c r="G484" i="6"/>
  <c r="AF510" i="5" l="1"/>
  <c r="AN510" i="5"/>
  <c r="CH511" i="5"/>
  <c r="CK511" i="5"/>
  <c r="CJ511" i="5" s="1"/>
  <c r="X509" i="5"/>
  <c r="Y509" i="5" s="1"/>
  <c r="AE511" i="5"/>
  <c r="T511" i="5"/>
  <c r="U511" i="5" s="1"/>
  <c r="W511" i="5"/>
  <c r="I510" i="5"/>
  <c r="CV511" i="5"/>
  <c r="CT511" i="5"/>
  <c r="L511" i="5"/>
  <c r="DA511" i="5"/>
  <c r="DB511" i="5" s="1"/>
  <c r="K511" i="5" s="1"/>
  <c r="BN511" i="5"/>
  <c r="BO511" i="5" s="1"/>
  <c r="BP511" i="5" s="1"/>
  <c r="G511" i="5" s="1"/>
  <c r="AH510" i="5" l="1"/>
  <c r="H484" i="6"/>
  <c r="Z509" i="5"/>
  <c r="AA509" i="5" s="1"/>
  <c r="I484" i="6" s="1"/>
  <c r="AT510" i="5"/>
  <c r="AP510" i="5"/>
  <c r="CO511" i="5"/>
  <c r="F511" i="5" s="1"/>
  <c r="E486" i="6" s="1"/>
  <c r="CN511" i="5"/>
  <c r="E511" i="5" s="1"/>
  <c r="M510" i="5"/>
  <c r="P510" i="5"/>
  <c r="AY510" i="5" s="1"/>
  <c r="BW511" i="5" l="1"/>
  <c r="BY511" i="5"/>
  <c r="J511" i="5" s="1"/>
  <c r="AS510" i="5"/>
  <c r="AV510" i="5" s="1"/>
  <c r="AO510" i="5"/>
  <c r="AR510" i="5" s="1"/>
  <c r="AG510" i="5"/>
  <c r="N510" i="5"/>
  <c r="Q510" i="5"/>
  <c r="V510" i="5" s="1"/>
  <c r="F485" i="6"/>
  <c r="C512" i="5"/>
  <c r="BU512" i="5" s="1"/>
  <c r="BC511" i="5"/>
  <c r="D486" i="6"/>
  <c r="AF511" i="5" l="1"/>
  <c r="AN511" i="5"/>
  <c r="BV512" i="5"/>
  <c r="BT512" i="5"/>
  <c r="BS512" i="5"/>
  <c r="CI512" i="5"/>
  <c r="BH512" i="5"/>
  <c r="BI512" i="5" s="1"/>
  <c r="BJ512" i="5" s="1"/>
  <c r="D512" i="5"/>
  <c r="CW512" i="5"/>
  <c r="C487" i="6"/>
  <c r="AB512" i="5"/>
  <c r="CP512" i="5" s="1"/>
  <c r="CQ512" i="5" s="1"/>
  <c r="R512" i="5" s="1"/>
  <c r="S512" i="5" s="1"/>
  <c r="CL512" i="5"/>
  <c r="CM512" i="5" s="1"/>
  <c r="CX512" i="5"/>
  <c r="AC512" i="5"/>
  <c r="AD512" i="5" s="1"/>
  <c r="CS512" i="5"/>
  <c r="AK512" i="5"/>
  <c r="AM512" i="5" s="1"/>
  <c r="AL513" i="5" s="1"/>
  <c r="BK512" i="5"/>
  <c r="BL512" i="5" s="1"/>
  <c r="BM512" i="5" s="1"/>
  <c r="CY512" i="5"/>
  <c r="CR512" i="5"/>
  <c r="BG511" i="5"/>
  <c r="H511" i="5" s="1"/>
  <c r="AX512" i="5"/>
  <c r="AW512" i="5" s="1"/>
  <c r="CU512" i="5"/>
  <c r="BX512" i="5" s="1"/>
  <c r="G485" i="6"/>
  <c r="CZ511" i="5"/>
  <c r="BD511" i="5"/>
  <c r="BE512" i="5" s="1"/>
  <c r="BF511" i="5"/>
  <c r="AJ510" i="5"/>
  <c r="CH512" i="5" l="1"/>
  <c r="CK512" i="5"/>
  <c r="CJ512" i="5" s="1"/>
  <c r="X510" i="5"/>
  <c r="Y510" i="5" s="1"/>
  <c r="BN512" i="5"/>
  <c r="BO512" i="5" s="1"/>
  <c r="BP512" i="5" s="1"/>
  <c r="G512" i="5" s="1"/>
  <c r="DA512" i="5"/>
  <c r="DB512" i="5" s="1"/>
  <c r="K512" i="5" s="1"/>
  <c r="CT512" i="5"/>
  <c r="CV512" i="5"/>
  <c r="AE512" i="5"/>
  <c r="L512" i="5"/>
  <c r="I511" i="5"/>
  <c r="W512" i="5"/>
  <c r="T512" i="5"/>
  <c r="U512" i="5" s="1"/>
  <c r="Z510" i="5" l="1"/>
  <c r="AA510" i="5" s="1"/>
  <c r="I485" i="6" s="1"/>
  <c r="H485" i="6"/>
  <c r="AH511" i="5"/>
  <c r="AT511" i="5"/>
  <c r="AP511" i="5"/>
  <c r="P511" i="5"/>
  <c r="AY511" i="5" s="1"/>
  <c r="M511" i="5"/>
  <c r="CO512" i="5"/>
  <c r="F512" i="5" s="1"/>
  <c r="CN512" i="5"/>
  <c r="E512" i="5" s="1"/>
  <c r="AG511" i="5" l="1"/>
  <c r="AJ511" i="5" s="1"/>
  <c r="AS511" i="5"/>
  <c r="AV511" i="5" s="1"/>
  <c r="D487" i="6"/>
  <c r="BC512" i="5"/>
  <c r="C513" i="5"/>
  <c r="BU513" i="5" s="1"/>
  <c r="E487" i="6"/>
  <c r="AO511" i="5"/>
  <c r="N511" i="5"/>
  <c r="Q511" i="5"/>
  <c r="V511" i="5" s="1"/>
  <c r="F486" i="6"/>
  <c r="BY512" i="5" l="1"/>
  <c r="J512" i="5" s="1"/>
  <c r="BW512" i="5"/>
  <c r="BT513" i="5"/>
  <c r="BV513" i="5"/>
  <c r="BS513" i="5"/>
  <c r="CI513" i="5"/>
  <c r="BH513" i="5"/>
  <c r="BI513" i="5" s="1"/>
  <c r="BJ513" i="5" s="1"/>
  <c r="G486" i="6"/>
  <c r="AR511" i="5"/>
  <c r="CY513" i="5"/>
  <c r="CX513" i="5"/>
  <c r="AK513" i="5"/>
  <c r="AM513" i="5" s="1"/>
  <c r="AL514" i="5" s="1"/>
  <c r="CS513" i="5"/>
  <c r="C488" i="6"/>
  <c r="AC513" i="5"/>
  <c r="BK513" i="5"/>
  <c r="BL513" i="5" s="1"/>
  <c r="BM513" i="5" s="1"/>
  <c r="CW513" i="5"/>
  <c r="CR513" i="5"/>
  <c r="CL513" i="5"/>
  <c r="CM513" i="5" s="1"/>
  <c r="AB513" i="5"/>
  <c r="L513" i="5" s="1"/>
  <c r="D513" i="5"/>
  <c r="BG512" i="5"/>
  <c r="H512" i="5" s="1"/>
  <c r="AX513" i="5"/>
  <c r="AW513" i="5" s="1"/>
  <c r="CU513" i="5"/>
  <c r="CZ512" i="5"/>
  <c r="BD512" i="5"/>
  <c r="BE513" i="5" s="1"/>
  <c r="BF512" i="5"/>
  <c r="AN512" i="5" l="1"/>
  <c r="AF512" i="5"/>
  <c r="BX513" i="5"/>
  <c r="CK513" i="5"/>
  <c r="CJ513" i="5" s="1"/>
  <c r="CH513" i="5"/>
  <c r="AD513" i="5"/>
  <c r="AE513" i="5" s="1"/>
  <c r="X511" i="5"/>
  <c r="Y511" i="5" s="1"/>
  <c r="BN513" i="5"/>
  <c r="BO513" i="5" s="1"/>
  <c r="BP513" i="5" s="1"/>
  <c r="G513" i="5" s="1"/>
  <c r="CV513" i="5"/>
  <c r="CT513" i="5"/>
  <c r="T513" i="5"/>
  <c r="U513" i="5" s="1"/>
  <c r="W513" i="5"/>
  <c r="CP513" i="5"/>
  <c r="CQ513" i="5" s="1"/>
  <c r="R513" i="5" s="1"/>
  <c r="S513" i="5" s="1"/>
  <c r="DA513" i="5"/>
  <c r="DB513" i="5" s="1"/>
  <c r="K513" i="5" s="1"/>
  <c r="I512" i="5"/>
  <c r="AP512" i="5" s="1"/>
  <c r="Z511" i="5" l="1"/>
  <c r="AA511" i="5" s="1"/>
  <c r="I486" i="6" s="1"/>
  <c r="H486" i="6"/>
  <c r="AT512" i="5"/>
  <c r="AH512" i="5"/>
  <c r="CN513" i="5"/>
  <c r="E513" i="5" s="1"/>
  <c r="CO513" i="5"/>
  <c r="F513" i="5" s="1"/>
  <c r="M512" i="5"/>
  <c r="P512" i="5"/>
  <c r="BY513" i="5" l="1"/>
  <c r="J513" i="5" s="1"/>
  <c r="AN513" i="5" s="1"/>
  <c r="BW513" i="5"/>
  <c r="AG512" i="5"/>
  <c r="AJ512" i="5" s="1"/>
  <c r="AO512" i="5"/>
  <c r="AR512" i="5" s="1"/>
  <c r="BB512" i="5"/>
  <c r="AY512" i="5"/>
  <c r="N512" i="5"/>
  <c r="AS512" i="5"/>
  <c r="AV512" i="5" s="1"/>
  <c r="E488" i="6"/>
  <c r="C514" i="5"/>
  <c r="BU514" i="5" s="1"/>
  <c r="D488" i="6"/>
  <c r="BC513" i="5"/>
  <c r="Q512" i="5"/>
  <c r="V512" i="5" s="1"/>
  <c r="F487" i="6"/>
  <c r="AF513" i="5" l="1"/>
  <c r="BV514" i="5"/>
  <c r="BT514" i="5"/>
  <c r="BS514" i="5"/>
  <c r="CI514" i="5"/>
  <c r="BH514" i="5"/>
  <c r="BI514" i="5" s="1"/>
  <c r="BJ514" i="5" s="1"/>
  <c r="X512" i="5"/>
  <c r="Y512" i="5" s="1"/>
  <c r="CZ513" i="5"/>
  <c r="BF513" i="5"/>
  <c r="BD513" i="5"/>
  <c r="BE514" i="5" s="1"/>
  <c r="CL514" i="5"/>
  <c r="CM514" i="5" s="1"/>
  <c r="AK514" i="5"/>
  <c r="AM514" i="5" s="1"/>
  <c r="AL515" i="5" s="1"/>
  <c r="D514" i="5"/>
  <c r="CR514" i="5"/>
  <c r="CY514" i="5"/>
  <c r="BK514" i="5"/>
  <c r="BL514" i="5" s="1"/>
  <c r="BM514" i="5" s="1"/>
  <c r="C489" i="6"/>
  <c r="CX514" i="5"/>
  <c r="AC514" i="5"/>
  <c r="AD514" i="5" s="1"/>
  <c r="CS514" i="5"/>
  <c r="CW514" i="5"/>
  <c r="AB514" i="5"/>
  <c r="CP514" i="5" s="1"/>
  <c r="CQ514" i="5" s="1"/>
  <c r="R514" i="5" s="1"/>
  <c r="S514" i="5" s="1"/>
  <c r="BG513" i="5"/>
  <c r="H513" i="5" s="1"/>
  <c r="AX514" i="5"/>
  <c r="AW514" i="5" s="1"/>
  <c r="CU514" i="5"/>
  <c r="BX514" i="5" s="1"/>
  <c r="G487" i="6"/>
  <c r="CH514" i="5" l="1"/>
  <c r="CK514" i="5"/>
  <c r="CJ514" i="5" s="1"/>
  <c r="DA514" i="5"/>
  <c r="DB514" i="5" s="1"/>
  <c r="K514" i="5" s="1"/>
  <c r="L514" i="5"/>
  <c r="I513" i="5"/>
  <c r="AP513" i="5" s="1"/>
  <c r="W514" i="5"/>
  <c r="T514" i="5"/>
  <c r="U514" i="5" s="1"/>
  <c r="AE514" i="5"/>
  <c r="H487" i="6"/>
  <c r="Z512" i="5"/>
  <c r="CV514" i="5"/>
  <c r="CT514" i="5"/>
  <c r="BN514" i="5"/>
  <c r="BO514" i="5" s="1"/>
  <c r="BP514" i="5" s="1"/>
  <c r="G514" i="5" s="1"/>
  <c r="AH513" i="5" l="1"/>
  <c r="AT513" i="5"/>
  <c r="P513" i="5"/>
  <c r="AY513" i="5" s="1"/>
  <c r="M513" i="5"/>
  <c r="AA512" i="5"/>
  <c r="I487" i="6" s="1"/>
  <c r="CO514" i="5"/>
  <c r="F514" i="5" s="1"/>
  <c r="CN514" i="5"/>
  <c r="E514" i="5" s="1"/>
  <c r="BW514" i="5" l="1"/>
  <c r="BY514" i="5"/>
  <c r="J514" i="5" s="1"/>
  <c r="AF514" i="5" s="1"/>
  <c r="AO513" i="5"/>
  <c r="AR513" i="5" s="1"/>
  <c r="AG513" i="5"/>
  <c r="AJ513" i="5" s="1"/>
  <c r="E489" i="6"/>
  <c r="C515" i="5"/>
  <c r="BU515" i="5" s="1"/>
  <c r="BC514" i="5"/>
  <c r="D489" i="6"/>
  <c r="F488" i="6"/>
  <c r="Q513" i="5"/>
  <c r="V513" i="5" s="1"/>
  <c r="N513" i="5"/>
  <c r="AS513" i="5"/>
  <c r="AV513" i="5" s="1"/>
  <c r="AN514" i="5" l="1"/>
  <c r="BV515" i="5"/>
  <c r="BT515" i="5"/>
  <c r="BS515" i="5"/>
  <c r="CI515" i="5"/>
  <c r="BH515" i="5"/>
  <c r="BI515" i="5" s="1"/>
  <c r="BJ515" i="5" s="1"/>
  <c r="X513" i="5"/>
  <c r="Y513" i="5" s="1"/>
  <c r="G488" i="6"/>
  <c r="CZ514" i="5"/>
  <c r="BF514" i="5"/>
  <c r="BD514" i="5"/>
  <c r="BE515" i="5" s="1"/>
  <c r="CS515" i="5"/>
  <c r="D515" i="5"/>
  <c r="AK515" i="5"/>
  <c r="AM515" i="5" s="1"/>
  <c r="AL516" i="5" s="1"/>
  <c r="CR515" i="5"/>
  <c r="CW515" i="5"/>
  <c r="CY515" i="5"/>
  <c r="BK515" i="5"/>
  <c r="BL515" i="5" s="1"/>
  <c r="BM515" i="5" s="1"/>
  <c r="CL515" i="5"/>
  <c r="CM515" i="5" s="1"/>
  <c r="AC515" i="5"/>
  <c r="C490" i="6"/>
  <c r="AB515" i="5"/>
  <c r="CP515" i="5" s="1"/>
  <c r="CQ515" i="5" s="1"/>
  <c r="R515" i="5" s="1"/>
  <c r="S515" i="5" s="1"/>
  <c r="CX515" i="5"/>
  <c r="BG514" i="5"/>
  <c r="H514" i="5" s="1"/>
  <c r="AX515" i="5"/>
  <c r="AW515" i="5" s="1"/>
  <c r="CU515" i="5"/>
  <c r="BX515" i="5" s="1"/>
  <c r="CH515" i="5" l="1"/>
  <c r="CK515" i="5"/>
  <c r="CJ515" i="5" s="1"/>
  <c r="AD515" i="5"/>
  <c r="AE515" i="5" s="1"/>
  <c r="DA515" i="5"/>
  <c r="DB515" i="5" s="1"/>
  <c r="K515" i="5" s="1"/>
  <c r="BN515" i="5"/>
  <c r="BO515" i="5" s="1"/>
  <c r="BP515" i="5" s="1"/>
  <c r="G515" i="5" s="1"/>
  <c r="L515" i="5"/>
  <c r="W515" i="5"/>
  <c r="T515" i="5"/>
  <c r="U515" i="5" s="1"/>
  <c r="CT515" i="5"/>
  <c r="CV515" i="5"/>
  <c r="I514" i="5"/>
  <c r="AH514" i="5" s="1"/>
  <c r="H488" i="6"/>
  <c r="Z513" i="5"/>
  <c r="AA513" i="5" l="1"/>
  <c r="I488" i="6" s="1"/>
  <c r="CN515" i="5"/>
  <c r="E515" i="5" s="1"/>
  <c r="CO515" i="5"/>
  <c r="F515" i="5" s="1"/>
  <c r="AT514" i="5"/>
  <c r="AP514" i="5"/>
  <c r="M514" i="5"/>
  <c r="AG514" i="5" s="1"/>
  <c r="AJ514" i="5" s="1"/>
  <c r="P514" i="5"/>
  <c r="AY514" i="5" s="1"/>
  <c r="E490" i="6" l="1"/>
  <c r="C516" i="5"/>
  <c r="BU516" i="5" s="1"/>
  <c r="BC515" i="5"/>
  <c r="D490" i="6"/>
  <c r="F489" i="6"/>
  <c r="Q514" i="5"/>
  <c r="V514" i="5" s="1"/>
  <c r="G489" i="6" s="1"/>
  <c r="AS514" i="5"/>
  <c r="AV514" i="5" s="1"/>
  <c r="N514" i="5"/>
  <c r="AO514" i="5"/>
  <c r="AR514" i="5" s="1"/>
  <c r="BW515" i="5" l="1"/>
  <c r="BY515" i="5"/>
  <c r="J515" i="5" s="1"/>
  <c r="BT516" i="5"/>
  <c r="BV516" i="5"/>
  <c r="BS516" i="5"/>
  <c r="CI516" i="5"/>
  <c r="BH516" i="5"/>
  <c r="BI516" i="5" s="1"/>
  <c r="BJ516" i="5" s="1"/>
  <c r="X514" i="5"/>
  <c r="Y514" i="5" s="1"/>
  <c r="BF515" i="5"/>
  <c r="BD515" i="5"/>
  <c r="BE516" i="5" s="1"/>
  <c r="CZ515" i="5"/>
  <c r="CW516" i="5"/>
  <c r="CX516" i="5"/>
  <c r="CY516" i="5"/>
  <c r="C491" i="6"/>
  <c r="CS516" i="5"/>
  <c r="AB516" i="5"/>
  <c r="BN516" i="5" s="1"/>
  <c r="BO516" i="5" s="1"/>
  <c r="BP516" i="5" s="1"/>
  <c r="D516" i="5"/>
  <c r="CR516" i="5"/>
  <c r="BK516" i="5"/>
  <c r="BL516" i="5" s="1"/>
  <c r="BM516" i="5" s="1"/>
  <c r="AC516" i="5"/>
  <c r="CL516" i="5"/>
  <c r="CM516" i="5" s="1"/>
  <c r="AK516" i="5"/>
  <c r="BG515" i="5"/>
  <c r="H515" i="5" s="1"/>
  <c r="AX516" i="5"/>
  <c r="AW516" i="5" s="1"/>
  <c r="CU516" i="5"/>
  <c r="AF515" i="5" l="1"/>
  <c r="AN515" i="5"/>
  <c r="BX516" i="5"/>
  <c r="G516" i="5"/>
  <c r="CK516" i="5"/>
  <c r="CJ516" i="5" s="1"/>
  <c r="CH516" i="5"/>
  <c r="AD516" i="5"/>
  <c r="AE516" i="5" s="1"/>
  <c r="H489" i="6"/>
  <c r="Z514" i="5"/>
  <c r="AA514" i="5" s="1"/>
  <c r="I489" i="6" s="1"/>
  <c r="DA516" i="5"/>
  <c r="DB516" i="5" s="1"/>
  <c r="K516" i="5" s="1"/>
  <c r="CP516" i="5"/>
  <c r="CQ516" i="5" s="1"/>
  <c r="R516" i="5" s="1"/>
  <c r="S516" i="5" s="1"/>
  <c r="CV516" i="5"/>
  <c r="CT516" i="5"/>
  <c r="L516" i="5"/>
  <c r="W516" i="5"/>
  <c r="T516" i="5"/>
  <c r="U516" i="5" s="1"/>
  <c r="I515" i="5"/>
  <c r="AP515" i="5" s="1"/>
  <c r="AM516" i="5"/>
  <c r="AL517" i="5" s="1"/>
  <c r="AT515" i="5" l="1"/>
  <c r="AH515" i="5"/>
  <c r="P515" i="5"/>
  <c r="AY515" i="5" s="1"/>
  <c r="M515" i="5"/>
  <c r="CN516" i="5"/>
  <c r="E516" i="5" s="1"/>
  <c r="CO516" i="5"/>
  <c r="F516" i="5" s="1"/>
  <c r="BY516" i="5" l="1"/>
  <c r="J516" i="5" s="1"/>
  <c r="AG515" i="5"/>
  <c r="AJ515" i="5" s="1"/>
  <c r="AO515" i="5"/>
  <c r="AR515" i="5" s="1"/>
  <c r="N515" i="5"/>
  <c r="AS515" i="5"/>
  <c r="AV515" i="5" s="1"/>
  <c r="BC516" i="5"/>
  <c r="D491" i="6"/>
  <c r="E491" i="6"/>
  <c r="C517" i="5"/>
  <c r="BU517" i="5" s="1"/>
  <c r="F490" i="6"/>
  <c r="Q515" i="5"/>
  <c r="V515" i="5" s="1"/>
  <c r="AF516" i="5" l="1"/>
  <c r="AN516" i="5"/>
  <c r="BW516" i="5"/>
  <c r="BT517" i="5"/>
  <c r="BV517" i="5"/>
  <c r="BS517" i="5"/>
  <c r="CI517" i="5"/>
  <c r="BH517" i="5"/>
  <c r="BI517" i="5" s="1"/>
  <c r="BJ517" i="5" s="1"/>
  <c r="X515" i="5"/>
  <c r="Y515" i="5" s="1"/>
  <c r="G490" i="6"/>
  <c r="CW517" i="5"/>
  <c r="AB517" i="5"/>
  <c r="L517" i="5" s="1"/>
  <c r="CL517" i="5"/>
  <c r="CM517" i="5" s="1"/>
  <c r="C492" i="6"/>
  <c r="CR517" i="5"/>
  <c r="CY517" i="5"/>
  <c r="AC517" i="5"/>
  <c r="CX517" i="5"/>
  <c r="AK517" i="5"/>
  <c r="BK517" i="5"/>
  <c r="BL517" i="5" s="1"/>
  <c r="BM517" i="5" s="1"/>
  <c r="D517" i="5"/>
  <c r="CS517" i="5"/>
  <c r="BG516" i="5"/>
  <c r="H516" i="5" s="1"/>
  <c r="AX517" i="5"/>
  <c r="AW517" i="5" s="1"/>
  <c r="CU517" i="5"/>
  <c r="BF516" i="5"/>
  <c r="CZ516" i="5"/>
  <c r="BD516" i="5"/>
  <c r="BE517" i="5" s="1"/>
  <c r="BX517" i="5" l="1"/>
  <c r="CH517" i="5"/>
  <c r="CK517" i="5"/>
  <c r="CJ517" i="5" s="1"/>
  <c r="AD517" i="5"/>
  <c r="AE517" i="5" s="1"/>
  <c r="W517" i="5"/>
  <c r="T517" i="5"/>
  <c r="U517" i="5" s="1"/>
  <c r="I516" i="5"/>
  <c r="AP516" i="5" s="1"/>
  <c r="AM517" i="5"/>
  <c r="AL518" i="5" s="1"/>
  <c r="CV517" i="5"/>
  <c r="CT517" i="5"/>
  <c r="BN517" i="5"/>
  <c r="BO517" i="5" s="1"/>
  <c r="BP517" i="5" s="1"/>
  <c r="G517" i="5" s="1"/>
  <c r="CP517" i="5"/>
  <c r="CQ517" i="5" s="1"/>
  <c r="R517" i="5" s="1"/>
  <c r="S517" i="5" s="1"/>
  <c r="DA517" i="5"/>
  <c r="DB517" i="5" s="1"/>
  <c r="K517" i="5" s="1"/>
  <c r="H490" i="6"/>
  <c r="Z515" i="5"/>
  <c r="M516" i="5" l="1"/>
  <c r="P516" i="5"/>
  <c r="AY516" i="5" s="1"/>
  <c r="AH516" i="5"/>
  <c r="AT516" i="5"/>
  <c r="AA515" i="5"/>
  <c r="I490" i="6" s="1"/>
  <c r="CN517" i="5"/>
  <c r="E517" i="5" s="1"/>
  <c r="CO517" i="5"/>
  <c r="F517" i="5" s="1"/>
  <c r="BW517" i="5" l="1"/>
  <c r="AO516" i="5"/>
  <c r="AR516" i="5" s="1"/>
  <c r="AG516" i="5"/>
  <c r="AJ516" i="5" s="1"/>
  <c r="F491" i="6"/>
  <c r="Q516" i="5"/>
  <c r="V516" i="5" s="1"/>
  <c r="BC517" i="5"/>
  <c r="D492" i="6"/>
  <c r="N516" i="5"/>
  <c r="AS516" i="5"/>
  <c r="AV516" i="5" s="1"/>
  <c r="E492" i="6"/>
  <c r="C518" i="5"/>
  <c r="BU518" i="5" s="1"/>
  <c r="BY517" i="5" l="1"/>
  <c r="J517" i="5" s="1"/>
  <c r="BT518" i="5"/>
  <c r="BV518" i="5"/>
  <c r="BS518" i="5"/>
  <c r="CI518" i="5"/>
  <c r="BH518" i="5"/>
  <c r="BI518" i="5" s="1"/>
  <c r="BJ518" i="5" s="1"/>
  <c r="X516" i="5"/>
  <c r="Y516" i="5" s="1"/>
  <c r="BF517" i="5"/>
  <c r="CZ517" i="5"/>
  <c r="BD517" i="5"/>
  <c r="BE518" i="5" s="1"/>
  <c r="G491" i="6"/>
  <c r="CW518" i="5"/>
  <c r="CR518" i="5"/>
  <c r="AC518" i="5"/>
  <c r="AD518" i="5" s="1"/>
  <c r="CY518" i="5"/>
  <c r="AB518" i="5"/>
  <c r="L518" i="5" s="1"/>
  <c r="D518" i="5"/>
  <c r="CX518" i="5"/>
  <c r="CL518" i="5"/>
  <c r="CM518" i="5" s="1"/>
  <c r="CS518" i="5"/>
  <c r="BK518" i="5"/>
  <c r="BL518" i="5" s="1"/>
  <c r="BM518" i="5" s="1"/>
  <c r="AK518" i="5"/>
  <c r="AM518" i="5" s="1"/>
  <c r="AL519" i="5" s="1"/>
  <c r="C493" i="6"/>
  <c r="BG517" i="5"/>
  <c r="H517" i="5" s="1"/>
  <c r="AX518" i="5"/>
  <c r="AW518" i="5" s="1"/>
  <c r="CU518" i="5"/>
  <c r="BX518" i="5" s="1"/>
  <c r="AF517" i="5" l="1"/>
  <c r="AN517" i="5"/>
  <c r="CH518" i="5"/>
  <c r="CK518" i="5"/>
  <c r="CJ518" i="5" s="1"/>
  <c r="CP518" i="5"/>
  <c r="CQ518" i="5" s="1"/>
  <c r="R518" i="5" s="1"/>
  <c r="S518" i="5" s="1"/>
  <c r="BN518" i="5"/>
  <c r="BO518" i="5" s="1"/>
  <c r="BP518" i="5" s="1"/>
  <c r="G518" i="5" s="1"/>
  <c r="DA518" i="5"/>
  <c r="DB518" i="5" s="1"/>
  <c r="AE518" i="5"/>
  <c r="H491" i="6"/>
  <c r="Z516" i="5"/>
  <c r="W518" i="5"/>
  <c r="T518" i="5"/>
  <c r="U518" i="5" s="1"/>
  <c r="CV518" i="5"/>
  <c r="CT518" i="5"/>
  <c r="I517" i="5"/>
  <c r="AH517" i="5" s="1"/>
  <c r="K518" i="5" l="1"/>
  <c r="AT517" i="5"/>
  <c r="AP517" i="5"/>
  <c r="CN518" i="5"/>
  <c r="E518" i="5" s="1"/>
  <c r="CO518" i="5"/>
  <c r="F518" i="5" s="1"/>
  <c r="AA516" i="5"/>
  <c r="I491" i="6" s="1"/>
  <c r="P517" i="5"/>
  <c r="AY517" i="5" s="1"/>
  <c r="M517" i="5"/>
  <c r="BW518" i="5" l="1"/>
  <c r="BY518" i="5"/>
  <c r="J518" i="5" s="1"/>
  <c r="C519" i="5"/>
  <c r="BU519" i="5" s="1"/>
  <c r="E493" i="6"/>
  <c r="BC518" i="5"/>
  <c r="D493" i="6"/>
  <c r="F492" i="6"/>
  <c r="Q517" i="5"/>
  <c r="V517" i="5" s="1"/>
  <c r="AG517" i="5"/>
  <c r="N517" i="5"/>
  <c r="AS517" i="5"/>
  <c r="AV517" i="5" s="1"/>
  <c r="AO517" i="5"/>
  <c r="AR517" i="5" s="1"/>
  <c r="AF518" i="5" l="1"/>
  <c r="AN518" i="5"/>
  <c r="BT519" i="5"/>
  <c r="BV519" i="5"/>
  <c r="BS519" i="5"/>
  <c r="CI519" i="5"/>
  <c r="BH519" i="5"/>
  <c r="BI519" i="5" s="1"/>
  <c r="BJ519" i="5" s="1"/>
  <c r="G492" i="6"/>
  <c r="AJ517" i="5"/>
  <c r="X517" i="5" s="1"/>
  <c r="Y517" i="5" s="1"/>
  <c r="CZ518" i="5"/>
  <c r="BF518" i="5"/>
  <c r="BD518" i="5"/>
  <c r="BE519" i="5" s="1"/>
  <c r="CR519" i="5"/>
  <c r="CY519" i="5"/>
  <c r="CL519" i="5"/>
  <c r="CM519" i="5" s="1"/>
  <c r="CS519" i="5"/>
  <c r="BK519" i="5"/>
  <c r="BL519" i="5" s="1"/>
  <c r="BM519" i="5" s="1"/>
  <c r="C494" i="6"/>
  <c r="AK519" i="5"/>
  <c r="AC519" i="5"/>
  <c r="AD519" i="5" s="1"/>
  <c r="CX519" i="5"/>
  <c r="CW519" i="5"/>
  <c r="AB519" i="5"/>
  <c r="CP519" i="5" s="1"/>
  <c r="CQ519" i="5" s="1"/>
  <c r="R519" i="5" s="1"/>
  <c r="S519" i="5" s="1"/>
  <c r="D519" i="5"/>
  <c r="BG518" i="5"/>
  <c r="H518" i="5" s="1"/>
  <c r="AX519" i="5"/>
  <c r="AW519" i="5" s="1"/>
  <c r="CU519" i="5"/>
  <c r="BX519" i="5" s="1"/>
  <c r="CH519" i="5" l="1"/>
  <c r="CK519" i="5"/>
  <c r="CJ519" i="5" s="1"/>
  <c r="DA519" i="5"/>
  <c r="DB519" i="5" s="1"/>
  <c r="K519" i="5" s="1"/>
  <c r="H492" i="6"/>
  <c r="Z517" i="5"/>
  <c r="CT519" i="5"/>
  <c r="CV519" i="5"/>
  <c r="AE519" i="5"/>
  <c r="BN519" i="5"/>
  <c r="BO519" i="5" s="1"/>
  <c r="BP519" i="5" s="1"/>
  <c r="G519" i="5" s="1"/>
  <c r="AM519" i="5"/>
  <c r="AL520" i="5" s="1"/>
  <c r="T519" i="5"/>
  <c r="U519" i="5" s="1"/>
  <c r="W519" i="5"/>
  <c r="L519" i="5"/>
  <c r="I518" i="5"/>
  <c r="AP518" i="5" s="1"/>
  <c r="AT518" i="5" l="1"/>
  <c r="AH518" i="5"/>
  <c r="CN519" i="5"/>
  <c r="E519" i="5" s="1"/>
  <c r="CO519" i="5"/>
  <c r="F519" i="5" s="1"/>
  <c r="AA517" i="5"/>
  <c r="I492" i="6" s="1"/>
  <c r="P518" i="5"/>
  <c r="AY518" i="5" s="1"/>
  <c r="M518" i="5"/>
  <c r="AG518" i="5" s="1"/>
  <c r="AJ518" i="5" l="1"/>
  <c r="E494" i="6"/>
  <c r="C520" i="5"/>
  <c r="BU520" i="5" s="1"/>
  <c r="AO518" i="5"/>
  <c r="AR518" i="5" s="1"/>
  <c r="N518" i="5"/>
  <c r="AS518" i="5"/>
  <c r="AV518" i="5" s="1"/>
  <c r="D494" i="6"/>
  <c r="BC519" i="5"/>
  <c r="Q518" i="5"/>
  <c r="V518" i="5" s="1"/>
  <c r="F493" i="6"/>
  <c r="BW519" i="5" l="1"/>
  <c r="BY519" i="5"/>
  <c r="J519" i="5" s="1"/>
  <c r="BV520" i="5"/>
  <c r="BT520" i="5"/>
  <c r="BS520" i="5"/>
  <c r="CI520" i="5"/>
  <c r="BH520" i="5"/>
  <c r="BI520" i="5" s="1"/>
  <c r="BJ520" i="5" s="1"/>
  <c r="X518" i="5"/>
  <c r="Y518" i="5" s="1"/>
  <c r="G493" i="6"/>
  <c r="BD519" i="5"/>
  <c r="BE520" i="5" s="1"/>
  <c r="CZ519" i="5"/>
  <c r="BF519" i="5"/>
  <c r="CY520" i="5"/>
  <c r="D520" i="5"/>
  <c r="C495" i="6"/>
  <c r="CW520" i="5"/>
  <c r="CX520" i="5"/>
  <c r="CL520" i="5"/>
  <c r="CM520" i="5" s="1"/>
  <c r="AB520" i="5"/>
  <c r="BN520" i="5" s="1"/>
  <c r="BO520" i="5" s="1"/>
  <c r="BP520" i="5" s="1"/>
  <c r="BK520" i="5"/>
  <c r="BL520" i="5" s="1"/>
  <c r="BM520" i="5" s="1"/>
  <c r="AK520" i="5"/>
  <c r="CS520" i="5"/>
  <c r="CR520" i="5"/>
  <c r="AC520" i="5"/>
  <c r="BG519" i="5"/>
  <c r="H519" i="5" s="1"/>
  <c r="AX520" i="5"/>
  <c r="AW520" i="5" s="1"/>
  <c r="CU520" i="5"/>
  <c r="AN519" i="5" l="1"/>
  <c r="AF519" i="5"/>
  <c r="BX520" i="5"/>
  <c r="G520" i="5"/>
  <c r="AD520" i="5"/>
  <c r="AE520" i="5" s="1"/>
  <c r="CH520" i="5"/>
  <c r="CK520" i="5"/>
  <c r="CJ520" i="5" s="1"/>
  <c r="W520" i="5"/>
  <c r="T520" i="5"/>
  <c r="U520" i="5" s="1"/>
  <c r="CP520" i="5"/>
  <c r="CQ520" i="5" s="1"/>
  <c r="R520" i="5" s="1"/>
  <c r="S520" i="5" s="1"/>
  <c r="L520" i="5"/>
  <c r="DA520" i="5"/>
  <c r="DB520" i="5" s="1"/>
  <c r="K520" i="5" s="1"/>
  <c r="AM520" i="5"/>
  <c r="AL521" i="5" s="1"/>
  <c r="CT520" i="5"/>
  <c r="CV520" i="5"/>
  <c r="I519" i="5"/>
  <c r="AH519" i="5" s="1"/>
  <c r="H493" i="6"/>
  <c r="Z518" i="5"/>
  <c r="M519" i="5" l="1"/>
  <c r="AG519" i="5" s="1"/>
  <c r="AJ519" i="5" s="1"/>
  <c r="P519" i="5"/>
  <c r="AY519" i="5" s="1"/>
  <c r="CN520" i="5"/>
  <c r="E520" i="5" s="1"/>
  <c r="CO520" i="5"/>
  <c r="F520" i="5" s="1"/>
  <c r="AT519" i="5"/>
  <c r="AP519" i="5"/>
  <c r="AA518" i="5"/>
  <c r="I493" i="6" s="1"/>
  <c r="BY520" i="5" l="1"/>
  <c r="J520" i="5" s="1"/>
  <c r="BW520" i="5"/>
  <c r="BC520" i="5"/>
  <c r="D495" i="6"/>
  <c r="F494" i="6"/>
  <c r="Q519" i="5"/>
  <c r="V519" i="5" s="1"/>
  <c r="G494" i="6" s="1"/>
  <c r="N519" i="5"/>
  <c r="AS519" i="5"/>
  <c r="AV519" i="5" s="1"/>
  <c r="AO519" i="5"/>
  <c r="E495" i="6"/>
  <c r="C521" i="5"/>
  <c r="BU521" i="5" s="1"/>
  <c r="AN520" i="5" l="1"/>
  <c r="AF520" i="5"/>
  <c r="BT521" i="5"/>
  <c r="BV521" i="5"/>
  <c r="BS521" i="5"/>
  <c r="CI521" i="5"/>
  <c r="BH521" i="5"/>
  <c r="BI521" i="5" s="1"/>
  <c r="BJ521" i="5" s="1"/>
  <c r="AR519" i="5"/>
  <c r="AC521" i="5"/>
  <c r="CL521" i="5"/>
  <c r="CM521" i="5" s="1"/>
  <c r="AK521" i="5"/>
  <c r="AB521" i="5"/>
  <c r="CP521" i="5" s="1"/>
  <c r="CQ521" i="5" s="1"/>
  <c r="R521" i="5" s="1"/>
  <c r="S521" i="5" s="1"/>
  <c r="CS521" i="5"/>
  <c r="BK521" i="5"/>
  <c r="BL521" i="5" s="1"/>
  <c r="BM521" i="5" s="1"/>
  <c r="CR521" i="5"/>
  <c r="CX521" i="5"/>
  <c r="CY521" i="5"/>
  <c r="C496" i="6"/>
  <c r="D521" i="5"/>
  <c r="CW521" i="5"/>
  <c r="BG520" i="5"/>
  <c r="H520" i="5" s="1"/>
  <c r="AX521" i="5"/>
  <c r="AW521" i="5" s="1"/>
  <c r="CU521" i="5"/>
  <c r="BX521" i="5" s="1"/>
  <c r="CZ520" i="5"/>
  <c r="BD520" i="5"/>
  <c r="BE521" i="5" s="1"/>
  <c r="BF520" i="5"/>
  <c r="AD521" i="5" l="1"/>
  <c r="AE521" i="5" s="1"/>
  <c r="CK521" i="5"/>
  <c r="CJ521" i="5" s="1"/>
  <c r="CH521" i="5"/>
  <c r="X519" i="5"/>
  <c r="Y519" i="5" s="1"/>
  <c r="AM521" i="5"/>
  <c r="AL522" i="5" s="1"/>
  <c r="T521" i="5"/>
  <c r="U521" i="5" s="1"/>
  <c r="W521" i="5"/>
  <c r="I520" i="5"/>
  <c r="AP520" i="5" s="1"/>
  <c r="CT521" i="5"/>
  <c r="CV521" i="5"/>
  <c r="L521" i="5"/>
  <c r="DA521" i="5"/>
  <c r="DB521" i="5" s="1"/>
  <c r="K521" i="5" s="1"/>
  <c r="BN521" i="5"/>
  <c r="BO521" i="5" s="1"/>
  <c r="BP521" i="5" s="1"/>
  <c r="G521" i="5" s="1"/>
  <c r="H494" i="6" l="1"/>
  <c r="Z519" i="5"/>
  <c r="CO521" i="5"/>
  <c r="F521" i="5" s="1"/>
  <c r="CN521" i="5"/>
  <c r="E521" i="5" s="1"/>
  <c r="AA519" i="5"/>
  <c r="I494" i="6" s="1"/>
  <c r="AH520" i="5"/>
  <c r="AT520" i="5"/>
  <c r="P520" i="5"/>
  <c r="AY520" i="5" s="1"/>
  <c r="M520" i="5"/>
  <c r="BY521" i="5" l="1"/>
  <c r="J521" i="5" s="1"/>
  <c r="BW521" i="5"/>
  <c r="AO520" i="5"/>
  <c r="AR520" i="5" s="1"/>
  <c r="AG520" i="5"/>
  <c r="AJ520" i="5" s="1"/>
  <c r="F495" i="6"/>
  <c r="Q520" i="5"/>
  <c r="V520" i="5" s="1"/>
  <c r="N520" i="5"/>
  <c r="AS520" i="5"/>
  <c r="AV520" i="5" s="1"/>
  <c r="D496" i="6"/>
  <c r="BC521" i="5"/>
  <c r="E496" i="6"/>
  <c r="C522" i="5"/>
  <c r="BU522" i="5" s="1"/>
  <c r="AF521" i="5" l="1"/>
  <c r="AN521" i="5"/>
  <c r="BV522" i="5"/>
  <c r="BT522" i="5"/>
  <c r="BS522" i="5"/>
  <c r="CI522" i="5"/>
  <c r="BH522" i="5"/>
  <c r="BI522" i="5" s="1"/>
  <c r="BJ522" i="5" s="1"/>
  <c r="X520" i="5"/>
  <c r="Y520" i="5" s="1"/>
  <c r="CW522" i="5"/>
  <c r="C497" i="6"/>
  <c r="CL522" i="5"/>
  <c r="CM522" i="5" s="1"/>
  <c r="CY522" i="5"/>
  <c r="CR522" i="5"/>
  <c r="AB522" i="5"/>
  <c r="BN522" i="5" s="1"/>
  <c r="BO522" i="5" s="1"/>
  <c r="BP522" i="5" s="1"/>
  <c r="CX522" i="5"/>
  <c r="BK522" i="5"/>
  <c r="BL522" i="5" s="1"/>
  <c r="BM522" i="5" s="1"/>
  <c r="CS522" i="5"/>
  <c r="AK522" i="5"/>
  <c r="D522" i="5"/>
  <c r="AC522" i="5"/>
  <c r="BG521" i="5"/>
  <c r="H521" i="5" s="1"/>
  <c r="AX522" i="5"/>
  <c r="AW522" i="5" s="1"/>
  <c r="CU522" i="5"/>
  <c r="BX522" i="5" s="1"/>
  <c r="G495" i="6"/>
  <c r="BD521" i="5"/>
  <c r="BE522" i="5" s="1"/>
  <c r="BF521" i="5"/>
  <c r="CZ521" i="5"/>
  <c r="G522" i="5" l="1"/>
  <c r="CH522" i="5"/>
  <c r="CK522" i="5"/>
  <c r="CJ522" i="5" s="1"/>
  <c r="CP522" i="5"/>
  <c r="CQ522" i="5" s="1"/>
  <c r="R522" i="5" s="1"/>
  <c r="S522" i="5" s="1"/>
  <c r="L522" i="5"/>
  <c r="I521" i="5"/>
  <c r="AH521" i="5" s="1"/>
  <c r="AD522" i="5"/>
  <c r="W522" i="5"/>
  <c r="T522" i="5"/>
  <c r="U522" i="5" s="1"/>
  <c r="AM522" i="5"/>
  <c r="AL523" i="5" s="1"/>
  <c r="CV522" i="5"/>
  <c r="CT522" i="5"/>
  <c r="H495" i="6"/>
  <c r="Z520" i="5"/>
  <c r="DA522" i="5"/>
  <c r="DB522" i="5" s="1"/>
  <c r="K522" i="5" s="1"/>
  <c r="CN522" i="5" l="1"/>
  <c r="E522" i="5" s="1"/>
  <c r="CO522" i="5"/>
  <c r="F522" i="5" s="1"/>
  <c r="AE522" i="5"/>
  <c r="M521" i="5"/>
  <c r="AG521" i="5" s="1"/>
  <c r="AJ521" i="5" s="1"/>
  <c r="P521" i="5"/>
  <c r="AY521" i="5" s="1"/>
  <c r="AA520" i="5"/>
  <c r="I495" i="6" s="1"/>
  <c r="AT521" i="5"/>
  <c r="AP521" i="5"/>
  <c r="Q521" i="5" l="1"/>
  <c r="V521" i="5" s="1"/>
  <c r="F496" i="6"/>
  <c r="BC522" i="5"/>
  <c r="D497" i="6"/>
  <c r="E497" i="6"/>
  <c r="C523" i="5"/>
  <c r="BU523" i="5" s="1"/>
  <c r="AS521" i="5"/>
  <c r="AV521" i="5" s="1"/>
  <c r="N521" i="5"/>
  <c r="AO521" i="5"/>
  <c r="BW522" i="5" l="1"/>
  <c r="BY522" i="5"/>
  <c r="J522" i="5" s="1"/>
  <c r="BV523" i="5"/>
  <c r="BT523" i="5"/>
  <c r="BS523" i="5"/>
  <c r="CI523" i="5"/>
  <c r="BH523" i="5"/>
  <c r="BI523" i="5" s="1"/>
  <c r="BJ523" i="5" s="1"/>
  <c r="AK523" i="5"/>
  <c r="CL523" i="5"/>
  <c r="CM523" i="5" s="1"/>
  <c r="AB523" i="5"/>
  <c r="BN523" i="5" s="1"/>
  <c r="BO523" i="5" s="1"/>
  <c r="BP523" i="5" s="1"/>
  <c r="CX523" i="5"/>
  <c r="C498" i="6"/>
  <c r="D523" i="5"/>
  <c r="BK523" i="5"/>
  <c r="BL523" i="5" s="1"/>
  <c r="BM523" i="5" s="1"/>
  <c r="CY523" i="5"/>
  <c r="AC523" i="5"/>
  <c r="CR523" i="5"/>
  <c r="CS523" i="5"/>
  <c r="CW523" i="5"/>
  <c r="BG522" i="5"/>
  <c r="H522" i="5" s="1"/>
  <c r="AX523" i="5"/>
  <c r="AW523" i="5" s="1"/>
  <c r="CU523" i="5"/>
  <c r="CZ522" i="5"/>
  <c r="BD522" i="5"/>
  <c r="BE523" i="5" s="1"/>
  <c r="BF522" i="5"/>
  <c r="AR521" i="5"/>
  <c r="G496" i="6"/>
  <c r="AF522" i="5" l="1"/>
  <c r="AN522" i="5"/>
  <c r="BX523" i="5"/>
  <c r="G523" i="5"/>
  <c r="CH523" i="5"/>
  <c r="CK523" i="5"/>
  <c r="CJ523" i="5" s="1"/>
  <c r="X521" i="5"/>
  <c r="Y521" i="5" s="1"/>
  <c r="CP523" i="5"/>
  <c r="CQ523" i="5" s="1"/>
  <c r="R523" i="5" s="1"/>
  <c r="S523" i="5" s="1"/>
  <c r="DA523" i="5"/>
  <c r="DB523" i="5" s="1"/>
  <c r="AD523" i="5"/>
  <c r="AM523" i="5"/>
  <c r="AL524" i="5" s="1"/>
  <c r="I522" i="5"/>
  <c r="AH522" i="5" s="1"/>
  <c r="CT523" i="5"/>
  <c r="CV523" i="5"/>
  <c r="L523" i="5"/>
  <c r="W523" i="5"/>
  <c r="T523" i="5"/>
  <c r="U523" i="5" s="1"/>
  <c r="K523" i="5" l="1"/>
  <c r="H496" i="6"/>
  <c r="Z521" i="5"/>
  <c r="AT522" i="5"/>
  <c r="AP522" i="5"/>
  <c r="AE523" i="5"/>
  <c r="CN523" i="5"/>
  <c r="E523" i="5" s="1"/>
  <c r="CO523" i="5"/>
  <c r="F523" i="5" s="1"/>
  <c r="AA521" i="5"/>
  <c r="I496" i="6" s="1"/>
  <c r="M522" i="5"/>
  <c r="P522" i="5"/>
  <c r="AY522" i="5" s="1"/>
  <c r="BW523" i="5" l="1"/>
  <c r="BY523" i="5"/>
  <c r="J523" i="5" s="1"/>
  <c r="AO522" i="5"/>
  <c r="AR522" i="5" s="1"/>
  <c r="AG522" i="5"/>
  <c r="AJ522" i="5" s="1"/>
  <c r="N522" i="5"/>
  <c r="AS522" i="5"/>
  <c r="AV522" i="5" s="1"/>
  <c r="D498" i="6"/>
  <c r="BC523" i="5"/>
  <c r="C524" i="5"/>
  <c r="BU524" i="5" s="1"/>
  <c r="E498" i="6"/>
  <c r="Q522" i="5"/>
  <c r="V522" i="5" s="1"/>
  <c r="F497" i="6"/>
  <c r="AF523" i="5" l="1"/>
  <c r="AN523" i="5"/>
  <c r="BT524" i="5"/>
  <c r="BV524" i="5"/>
  <c r="BS524" i="5"/>
  <c r="CI524" i="5"/>
  <c r="BH524" i="5"/>
  <c r="BI524" i="5" s="1"/>
  <c r="BJ524" i="5" s="1"/>
  <c r="X522" i="5"/>
  <c r="Y522" i="5" s="1"/>
  <c r="CX524" i="5"/>
  <c r="C499" i="6"/>
  <c r="AB524" i="5"/>
  <c r="DA524" i="5" s="1"/>
  <c r="DB524" i="5" s="1"/>
  <c r="CW524" i="5"/>
  <c r="AK524" i="5"/>
  <c r="AM524" i="5" s="1"/>
  <c r="AL525" i="5" s="1"/>
  <c r="CR524" i="5"/>
  <c r="CY524" i="5"/>
  <c r="AC524" i="5"/>
  <c r="AD524" i="5" s="1"/>
  <c r="CS524" i="5"/>
  <c r="D524" i="5"/>
  <c r="CL524" i="5"/>
  <c r="CM524" i="5" s="1"/>
  <c r="BK524" i="5"/>
  <c r="BL524" i="5" s="1"/>
  <c r="BM524" i="5" s="1"/>
  <c r="BG523" i="5"/>
  <c r="H523" i="5" s="1"/>
  <c r="AX524" i="5"/>
  <c r="AW524" i="5" s="1"/>
  <c r="CU524" i="5"/>
  <c r="BX524" i="5" s="1"/>
  <c r="BF523" i="5"/>
  <c r="BD523" i="5"/>
  <c r="BE524" i="5" s="1"/>
  <c r="CZ523" i="5"/>
  <c r="G497" i="6"/>
  <c r="CK524" i="5" l="1"/>
  <c r="CJ524" i="5" s="1"/>
  <c r="K524" i="5" s="1"/>
  <c r="CH524" i="5"/>
  <c r="BN524" i="5"/>
  <c r="BO524" i="5" s="1"/>
  <c r="BP524" i="5" s="1"/>
  <c r="G524" i="5" s="1"/>
  <c r="L524" i="5"/>
  <c r="I523" i="5"/>
  <c r="H497" i="6"/>
  <c r="Z522" i="5"/>
  <c r="W524" i="5"/>
  <c r="T524" i="5"/>
  <c r="U524" i="5" s="1"/>
  <c r="CT524" i="5"/>
  <c r="CV524" i="5"/>
  <c r="CP524" i="5"/>
  <c r="CQ524" i="5" s="1"/>
  <c r="R524" i="5" s="1"/>
  <c r="S524" i="5" s="1"/>
  <c r="AE524" i="5"/>
  <c r="AH523" i="5" l="1"/>
  <c r="AT523" i="5"/>
  <c r="AP523" i="5"/>
  <c r="CN524" i="5"/>
  <c r="E524" i="5" s="1"/>
  <c r="CO524" i="5"/>
  <c r="F524" i="5" s="1"/>
  <c r="AA522" i="5"/>
  <c r="I497" i="6" s="1"/>
  <c r="M523" i="5"/>
  <c r="P523" i="5"/>
  <c r="AY523" i="5" s="1"/>
  <c r="AS523" i="5" l="1"/>
  <c r="AV523" i="5" s="1"/>
  <c r="AO523" i="5"/>
  <c r="N523" i="5"/>
  <c r="AG523" i="5"/>
  <c r="AJ523" i="5" s="1"/>
  <c r="F498" i="6"/>
  <c r="Q523" i="5"/>
  <c r="V523" i="5" s="1"/>
  <c r="E499" i="6"/>
  <c r="C525" i="5"/>
  <c r="BU525" i="5" s="1"/>
  <c r="D499" i="6"/>
  <c r="BC524" i="5"/>
  <c r="BY524" i="5" l="1"/>
  <c r="J524" i="5" s="1"/>
  <c r="BW524" i="5"/>
  <c r="BT525" i="5"/>
  <c r="BV525" i="5"/>
  <c r="BS525" i="5"/>
  <c r="CI525" i="5"/>
  <c r="BH525" i="5"/>
  <c r="BI525" i="5" s="1"/>
  <c r="BJ525" i="5" s="1"/>
  <c r="AR523" i="5"/>
  <c r="CW525" i="5"/>
  <c r="BK525" i="5"/>
  <c r="BL525" i="5" s="1"/>
  <c r="BM525" i="5" s="1"/>
  <c r="CX525" i="5"/>
  <c r="D525" i="5"/>
  <c r="AK525" i="5"/>
  <c r="AM525" i="5" s="1"/>
  <c r="AL526" i="5" s="1"/>
  <c r="CR525" i="5"/>
  <c r="AB525" i="5"/>
  <c r="BN525" i="5" s="1"/>
  <c r="BO525" i="5" s="1"/>
  <c r="BP525" i="5" s="1"/>
  <c r="CS525" i="5"/>
  <c r="AC525" i="5"/>
  <c r="AD525" i="5" s="1"/>
  <c r="CY525" i="5"/>
  <c r="C500" i="6"/>
  <c r="CL525" i="5"/>
  <c r="CM525" i="5" s="1"/>
  <c r="BG524" i="5"/>
  <c r="H524" i="5" s="1"/>
  <c r="AX525" i="5"/>
  <c r="AW525" i="5" s="1"/>
  <c r="CU525" i="5"/>
  <c r="G498" i="6"/>
  <c r="BD524" i="5"/>
  <c r="BE525" i="5" s="1"/>
  <c r="CZ524" i="5"/>
  <c r="BF524" i="5"/>
  <c r="AF524" i="5" l="1"/>
  <c r="AN524" i="5"/>
  <c r="BX525" i="5"/>
  <c r="G525" i="5"/>
  <c r="CH525" i="5"/>
  <c r="CK525" i="5"/>
  <c r="CJ525" i="5" s="1"/>
  <c r="X523" i="5"/>
  <c r="Y523" i="5" s="1"/>
  <c r="DA525" i="5"/>
  <c r="DB525" i="5" s="1"/>
  <c r="CP525" i="5"/>
  <c r="CQ525" i="5" s="1"/>
  <c r="R525" i="5" s="1"/>
  <c r="S525" i="5" s="1"/>
  <c r="L525" i="5"/>
  <c r="W525" i="5"/>
  <c r="T525" i="5"/>
  <c r="U525" i="5" s="1"/>
  <c r="I524" i="5"/>
  <c r="AH524" i="5" s="1"/>
  <c r="AE525" i="5"/>
  <c r="CV525" i="5"/>
  <c r="CT525" i="5"/>
  <c r="K525" i="5" l="1"/>
  <c r="H498" i="6"/>
  <c r="Z523" i="5"/>
  <c r="AA523" i="5" s="1"/>
  <c r="I498" i="6" s="1"/>
  <c r="AT524" i="5"/>
  <c r="AP524" i="5"/>
  <c r="CO525" i="5"/>
  <c r="F525" i="5" s="1"/>
  <c r="CN525" i="5"/>
  <c r="E525" i="5" s="1"/>
  <c r="P524" i="5"/>
  <c r="AY524" i="5" s="1"/>
  <c r="M524" i="5"/>
  <c r="BW525" i="5" l="1"/>
  <c r="BY525" i="5"/>
  <c r="J525" i="5" s="1"/>
  <c r="AS524" i="5"/>
  <c r="AV524" i="5" s="1"/>
  <c r="AO524" i="5"/>
  <c r="AR524" i="5" s="1"/>
  <c r="Q524" i="5"/>
  <c r="V524" i="5" s="1"/>
  <c r="F499" i="6"/>
  <c r="BC525" i="5"/>
  <c r="D500" i="6"/>
  <c r="AG524" i="5"/>
  <c r="N524" i="5"/>
  <c r="E500" i="6"/>
  <c r="C526" i="5"/>
  <c r="BU526" i="5" s="1"/>
  <c r="AF525" i="5" l="1"/>
  <c r="AN525" i="5"/>
  <c r="BT526" i="5"/>
  <c r="BV526" i="5"/>
  <c r="BS526" i="5"/>
  <c r="CI526" i="5"/>
  <c r="BH526" i="5"/>
  <c r="BI526" i="5" s="1"/>
  <c r="BJ526" i="5" s="1"/>
  <c r="CL526" i="5"/>
  <c r="CM526" i="5" s="1"/>
  <c r="AB526" i="5"/>
  <c r="L526" i="5" s="1"/>
  <c r="D526" i="5"/>
  <c r="C501" i="6"/>
  <c r="AC526" i="5"/>
  <c r="BK526" i="5"/>
  <c r="BL526" i="5" s="1"/>
  <c r="BM526" i="5" s="1"/>
  <c r="CR526" i="5"/>
  <c r="CX526" i="5"/>
  <c r="CW526" i="5"/>
  <c r="CY526" i="5"/>
  <c r="CS526" i="5"/>
  <c r="AK526" i="5"/>
  <c r="AM526" i="5" s="1"/>
  <c r="AL527" i="5" s="1"/>
  <c r="BG525" i="5"/>
  <c r="H525" i="5" s="1"/>
  <c r="AX526" i="5"/>
  <c r="AW526" i="5" s="1"/>
  <c r="CU526" i="5"/>
  <c r="BX526" i="5" s="1"/>
  <c r="AJ524" i="5"/>
  <c r="BF525" i="5"/>
  <c r="CZ525" i="5"/>
  <c r="BD525" i="5"/>
  <c r="BE526" i="5" s="1"/>
  <c r="G499" i="6"/>
  <c r="DA526" i="5" l="1"/>
  <c r="DB526" i="5" s="1"/>
  <c r="CH526" i="5"/>
  <c r="CK526" i="5"/>
  <c r="CJ526" i="5" s="1"/>
  <c r="AD526" i="5"/>
  <c r="AE526" i="5" s="1"/>
  <c r="X524" i="5"/>
  <c r="Y524" i="5" s="1"/>
  <c r="BN526" i="5"/>
  <c r="BO526" i="5" s="1"/>
  <c r="BP526" i="5" s="1"/>
  <c r="G526" i="5" s="1"/>
  <c r="CP526" i="5"/>
  <c r="CQ526" i="5" s="1"/>
  <c r="R526" i="5" s="1"/>
  <c r="S526" i="5" s="1"/>
  <c r="I525" i="5"/>
  <c r="AP525" i="5" s="1"/>
  <c r="T526" i="5"/>
  <c r="U526" i="5" s="1"/>
  <c r="W526" i="5"/>
  <c r="CT526" i="5"/>
  <c r="CV526" i="5"/>
  <c r="K526" i="5" l="1"/>
  <c r="Z524" i="5"/>
  <c r="AA524" i="5" s="1"/>
  <c r="I499" i="6" s="1"/>
  <c r="H499" i="6"/>
  <c r="AH525" i="5"/>
  <c r="AT525" i="5"/>
  <c r="M525" i="5"/>
  <c r="P525" i="5"/>
  <c r="AY525" i="5" s="1"/>
  <c r="CN526" i="5"/>
  <c r="E526" i="5" s="1"/>
  <c r="CO526" i="5"/>
  <c r="F526" i="5" s="1"/>
  <c r="AG525" i="5" l="1"/>
  <c r="AJ525" i="5" s="1"/>
  <c r="AS525" i="5"/>
  <c r="AV525" i="5" s="1"/>
  <c r="D501" i="6"/>
  <c r="BC526" i="5"/>
  <c r="E501" i="6"/>
  <c r="C527" i="5"/>
  <c r="BU527" i="5" s="1"/>
  <c r="F500" i="6"/>
  <c r="Q525" i="5"/>
  <c r="V525" i="5" s="1"/>
  <c r="AO525" i="5"/>
  <c r="N525" i="5"/>
  <c r="BW526" i="5" l="1"/>
  <c r="BY526" i="5"/>
  <c r="J526" i="5" s="1"/>
  <c r="BT527" i="5"/>
  <c r="BV527" i="5"/>
  <c r="BS527" i="5"/>
  <c r="CI527" i="5"/>
  <c r="BH527" i="5"/>
  <c r="BI527" i="5" s="1"/>
  <c r="BJ527" i="5" s="1"/>
  <c r="AR525" i="5"/>
  <c r="X525" i="5" s="1"/>
  <c r="Y525" i="5" s="1"/>
  <c r="CS527" i="5"/>
  <c r="CX527" i="5"/>
  <c r="D527" i="5"/>
  <c r="CR527" i="5"/>
  <c r="CL527" i="5"/>
  <c r="CM527" i="5" s="1"/>
  <c r="CW527" i="5"/>
  <c r="AK527" i="5"/>
  <c r="CY527" i="5"/>
  <c r="AB527" i="5"/>
  <c r="BN527" i="5" s="1"/>
  <c r="BO527" i="5" s="1"/>
  <c r="BP527" i="5" s="1"/>
  <c r="C502" i="6"/>
  <c r="AC527" i="5"/>
  <c r="BK527" i="5"/>
  <c r="BL527" i="5" s="1"/>
  <c r="BM527" i="5" s="1"/>
  <c r="BG526" i="5"/>
  <c r="H526" i="5" s="1"/>
  <c r="AX527" i="5"/>
  <c r="AW527" i="5" s="1"/>
  <c r="CU527" i="5"/>
  <c r="CZ526" i="5"/>
  <c r="BD526" i="5"/>
  <c r="BE527" i="5" s="1"/>
  <c r="BF526" i="5"/>
  <c r="G500" i="6"/>
  <c r="AN526" i="5" l="1"/>
  <c r="AF526" i="5"/>
  <c r="BX527" i="5"/>
  <c r="G527" i="5"/>
  <c r="CH527" i="5"/>
  <c r="CK527" i="5"/>
  <c r="CJ527" i="5" s="1"/>
  <c r="AD527" i="5"/>
  <c r="AE527" i="5" s="1"/>
  <c r="CP527" i="5"/>
  <c r="CQ527" i="5" s="1"/>
  <c r="R527" i="5" s="1"/>
  <c r="S527" i="5" s="1"/>
  <c r="DA527" i="5"/>
  <c r="DB527" i="5" s="1"/>
  <c r="T527" i="5"/>
  <c r="U527" i="5" s="1"/>
  <c r="W527" i="5"/>
  <c r="I526" i="5"/>
  <c r="AP526" i="5" s="1"/>
  <c r="AM527" i="5"/>
  <c r="AL528" i="5" s="1"/>
  <c r="H500" i="6"/>
  <c r="Z525" i="5"/>
  <c r="CV527" i="5"/>
  <c r="CT527" i="5"/>
  <c r="L527" i="5"/>
  <c r="K527" i="5" l="1"/>
  <c r="AH526" i="5"/>
  <c r="AT526" i="5"/>
  <c r="AA525" i="5"/>
  <c r="I500" i="6" s="1"/>
  <c r="P526" i="5"/>
  <c r="AY526" i="5" s="1"/>
  <c r="M526" i="5"/>
  <c r="CN527" i="5"/>
  <c r="E527" i="5" s="1"/>
  <c r="CO527" i="5"/>
  <c r="F527" i="5" s="1"/>
  <c r="BW527" i="5" l="1"/>
  <c r="BY527" i="5"/>
  <c r="J527" i="5" s="1"/>
  <c r="AS526" i="5"/>
  <c r="AV526" i="5" s="1"/>
  <c r="AO526" i="5"/>
  <c r="AR526" i="5" s="1"/>
  <c r="N526" i="5"/>
  <c r="AG526" i="5"/>
  <c r="Q526" i="5"/>
  <c r="V526" i="5" s="1"/>
  <c r="F501" i="6"/>
  <c r="D502" i="6"/>
  <c r="BC527" i="5"/>
  <c r="E502" i="6"/>
  <c r="C528" i="5"/>
  <c r="BU528" i="5" s="1"/>
  <c r="AN527" i="5" l="1"/>
  <c r="AF527" i="5"/>
  <c r="BV528" i="5"/>
  <c r="BT528" i="5"/>
  <c r="BS528" i="5"/>
  <c r="CI528" i="5"/>
  <c r="BH528" i="5"/>
  <c r="BI528" i="5" s="1"/>
  <c r="BJ528" i="5" s="1"/>
  <c r="AJ526" i="5"/>
  <c r="X526" i="5" s="1"/>
  <c r="Y526" i="5" s="1"/>
  <c r="BK528" i="5"/>
  <c r="BL528" i="5" s="1"/>
  <c r="BM528" i="5" s="1"/>
  <c r="CR528" i="5"/>
  <c r="CW528" i="5"/>
  <c r="CS528" i="5"/>
  <c r="CL528" i="5"/>
  <c r="CM528" i="5" s="1"/>
  <c r="C503" i="6"/>
  <c r="AC528" i="5"/>
  <c r="CX528" i="5"/>
  <c r="AK528" i="5"/>
  <c r="CY528" i="5"/>
  <c r="D528" i="5"/>
  <c r="AB528" i="5"/>
  <c r="CP528" i="5" s="1"/>
  <c r="CQ528" i="5" s="1"/>
  <c r="R528" i="5" s="1"/>
  <c r="S528" i="5" s="1"/>
  <c r="BG527" i="5"/>
  <c r="H527" i="5" s="1"/>
  <c r="AX528" i="5"/>
  <c r="AW528" i="5" s="1"/>
  <c r="CU528" i="5"/>
  <c r="BX528" i="5" s="1"/>
  <c r="BF527" i="5"/>
  <c r="CZ527" i="5"/>
  <c r="BD527" i="5"/>
  <c r="BE528" i="5" s="1"/>
  <c r="G501" i="6"/>
  <c r="CH528" i="5" l="1"/>
  <c r="CK528" i="5"/>
  <c r="CJ528" i="5" s="1"/>
  <c r="AD528" i="5"/>
  <c r="AE528" i="5" s="1"/>
  <c r="BN528" i="5"/>
  <c r="BO528" i="5" s="1"/>
  <c r="BP528" i="5" s="1"/>
  <c r="G528" i="5" s="1"/>
  <c r="DA528" i="5"/>
  <c r="DB528" i="5" s="1"/>
  <c r="K528" i="5" s="1"/>
  <c r="L528" i="5"/>
  <c r="W528" i="5"/>
  <c r="T528" i="5"/>
  <c r="U528" i="5" s="1"/>
  <c r="H501" i="6"/>
  <c r="Z526" i="5"/>
  <c r="I527" i="5"/>
  <c r="AH527" i="5" s="1"/>
  <c r="CV528" i="5"/>
  <c r="CT528" i="5"/>
  <c r="AM528" i="5"/>
  <c r="AL529" i="5" s="1"/>
  <c r="AT527" i="5" l="1"/>
  <c r="AP527" i="5"/>
  <c r="CO528" i="5"/>
  <c r="F528" i="5" s="1"/>
  <c r="CN528" i="5"/>
  <c r="E528" i="5" s="1"/>
  <c r="AA526" i="5"/>
  <c r="I501" i="6" s="1"/>
  <c r="P527" i="5"/>
  <c r="AY527" i="5" s="1"/>
  <c r="M527" i="5"/>
  <c r="AO527" i="5" l="1"/>
  <c r="AR527" i="5" s="1"/>
  <c r="AG527" i="5"/>
  <c r="Q527" i="5"/>
  <c r="V527" i="5" s="1"/>
  <c r="F502" i="6"/>
  <c r="D503" i="6"/>
  <c r="BC528" i="5"/>
  <c r="C529" i="5"/>
  <c r="BU529" i="5" s="1"/>
  <c r="E503" i="6"/>
  <c r="N527" i="5"/>
  <c r="AS527" i="5"/>
  <c r="AV527" i="5" s="1"/>
  <c r="BY528" i="5" l="1"/>
  <c r="J528" i="5" s="1"/>
  <c r="BW528" i="5"/>
  <c r="BT529" i="5"/>
  <c r="BV529" i="5"/>
  <c r="BS529" i="5"/>
  <c r="CI529" i="5"/>
  <c r="BH529" i="5"/>
  <c r="BI529" i="5" s="1"/>
  <c r="BJ529" i="5" s="1"/>
  <c r="AJ527" i="5"/>
  <c r="AK529" i="5"/>
  <c r="C504" i="6"/>
  <c r="AB529" i="5"/>
  <c r="L529" i="5" s="1"/>
  <c r="CL529" i="5"/>
  <c r="CM529" i="5" s="1"/>
  <c r="BK529" i="5"/>
  <c r="BL529" i="5" s="1"/>
  <c r="BM529" i="5" s="1"/>
  <c r="D529" i="5"/>
  <c r="CY529" i="5"/>
  <c r="AC529" i="5"/>
  <c r="AD529" i="5" s="1"/>
  <c r="CX529" i="5"/>
  <c r="CR529" i="5"/>
  <c r="CS529" i="5"/>
  <c r="CW529" i="5"/>
  <c r="BG528" i="5"/>
  <c r="H528" i="5" s="1"/>
  <c r="AX529" i="5"/>
  <c r="AW529" i="5" s="1"/>
  <c r="CU529" i="5"/>
  <c r="BF528" i="5"/>
  <c r="CZ528" i="5"/>
  <c r="BD528" i="5"/>
  <c r="BE529" i="5" s="1"/>
  <c r="G502" i="6"/>
  <c r="AF528" i="5" l="1"/>
  <c r="AN528" i="5"/>
  <c r="BX529" i="5"/>
  <c r="CK529" i="5"/>
  <c r="CJ529" i="5" s="1"/>
  <c r="CH529" i="5"/>
  <c r="X527" i="5"/>
  <c r="Y527" i="5" s="1"/>
  <c r="CP529" i="5"/>
  <c r="CQ529" i="5" s="1"/>
  <c r="R529" i="5" s="1"/>
  <c r="S529" i="5" s="1"/>
  <c r="DA529" i="5"/>
  <c r="DB529" i="5" s="1"/>
  <c r="K529" i="5" s="1"/>
  <c r="CT529" i="5"/>
  <c r="CV529" i="5"/>
  <c r="T529" i="5"/>
  <c r="U529" i="5" s="1"/>
  <c r="W529" i="5"/>
  <c r="AE529" i="5"/>
  <c r="BN529" i="5"/>
  <c r="BO529" i="5" s="1"/>
  <c r="BP529" i="5" s="1"/>
  <c r="G529" i="5" s="1"/>
  <c r="AM529" i="5"/>
  <c r="AL530" i="5" s="1"/>
  <c r="I528" i="5"/>
  <c r="AH528" i="5" s="1"/>
  <c r="Z527" i="5" l="1"/>
  <c r="AA527" i="5" s="1"/>
  <c r="I502" i="6" s="1"/>
  <c r="H502" i="6"/>
  <c r="AT528" i="5"/>
  <c r="AP528" i="5"/>
  <c r="CN529" i="5"/>
  <c r="E529" i="5" s="1"/>
  <c r="CO529" i="5"/>
  <c r="F529" i="5" s="1"/>
  <c r="P528" i="5"/>
  <c r="AY528" i="5" s="1"/>
  <c r="M528" i="5"/>
  <c r="AG528" i="5" s="1"/>
  <c r="AJ528" i="5" s="1"/>
  <c r="BY529" i="5" l="1"/>
  <c r="J529" i="5" s="1"/>
  <c r="BW529" i="5"/>
  <c r="C530" i="5"/>
  <c r="BU530" i="5" s="1"/>
  <c r="E504" i="6"/>
  <c r="BC529" i="5"/>
  <c r="D504" i="6"/>
  <c r="N528" i="5"/>
  <c r="AS528" i="5"/>
  <c r="AV528" i="5" s="1"/>
  <c r="AO528" i="5"/>
  <c r="AR528" i="5" s="1"/>
  <c r="Q528" i="5"/>
  <c r="V528" i="5" s="1"/>
  <c r="G503" i="6" s="1"/>
  <c r="F503" i="6"/>
  <c r="AF529" i="5" l="1"/>
  <c r="AN529" i="5"/>
  <c r="BV530" i="5"/>
  <c r="BT530" i="5"/>
  <c r="BS530" i="5"/>
  <c r="CI530" i="5"/>
  <c r="BH530" i="5"/>
  <c r="BI530" i="5" s="1"/>
  <c r="BJ530" i="5" s="1"/>
  <c r="X528" i="5"/>
  <c r="Y528" i="5" s="1"/>
  <c r="CZ529" i="5"/>
  <c r="BF529" i="5"/>
  <c r="BD529" i="5"/>
  <c r="BE530" i="5" s="1"/>
  <c r="CW530" i="5"/>
  <c r="CR530" i="5"/>
  <c r="AB530" i="5"/>
  <c r="BN530" i="5" s="1"/>
  <c r="BO530" i="5" s="1"/>
  <c r="BP530" i="5" s="1"/>
  <c r="CX530" i="5"/>
  <c r="D530" i="5"/>
  <c r="AC530" i="5"/>
  <c r="AD530" i="5" s="1"/>
  <c r="AK530" i="5"/>
  <c r="AM530" i="5" s="1"/>
  <c r="AL531" i="5" s="1"/>
  <c r="BK530" i="5"/>
  <c r="BL530" i="5" s="1"/>
  <c r="BM530" i="5" s="1"/>
  <c r="CY530" i="5"/>
  <c r="CS530" i="5"/>
  <c r="C505" i="6"/>
  <c r="CL530" i="5"/>
  <c r="CM530" i="5" s="1"/>
  <c r="BG529" i="5"/>
  <c r="H529" i="5" s="1"/>
  <c r="AX530" i="5"/>
  <c r="AW530" i="5" s="1"/>
  <c r="CU530" i="5"/>
  <c r="BX530" i="5" s="1"/>
  <c r="G530" i="5" l="1"/>
  <c r="CH530" i="5"/>
  <c r="CK530" i="5"/>
  <c r="CJ530" i="5" s="1"/>
  <c r="H503" i="6"/>
  <c r="Z528" i="5"/>
  <c r="AA528" i="5" s="1"/>
  <c r="I503" i="6" s="1"/>
  <c r="DA530" i="5"/>
  <c r="DB530" i="5" s="1"/>
  <c r="CP530" i="5"/>
  <c r="CQ530" i="5" s="1"/>
  <c r="R530" i="5" s="1"/>
  <c r="S530" i="5" s="1"/>
  <c r="L530" i="5"/>
  <c r="CT530" i="5"/>
  <c r="CV530" i="5"/>
  <c r="AE530" i="5"/>
  <c r="W530" i="5"/>
  <c r="T530" i="5"/>
  <c r="U530" i="5" s="1"/>
  <c r="I529" i="5"/>
  <c r="AH529" i="5" s="1"/>
  <c r="K530" i="5" l="1"/>
  <c r="AP529" i="5"/>
  <c r="AT529" i="5"/>
  <c r="M529" i="5"/>
  <c r="AG529" i="5" s="1"/>
  <c r="AJ529" i="5" s="1"/>
  <c r="P529" i="5"/>
  <c r="AY529" i="5" s="1"/>
  <c r="CN530" i="5"/>
  <c r="E530" i="5" s="1"/>
  <c r="CO530" i="5"/>
  <c r="F530" i="5" s="1"/>
  <c r="BW530" i="5" l="1"/>
  <c r="BY530" i="5"/>
  <c r="J530" i="5" s="1"/>
  <c r="E505" i="6"/>
  <c r="C531" i="5"/>
  <c r="BU531" i="5" s="1"/>
  <c r="F504" i="6"/>
  <c r="Q529" i="5"/>
  <c r="V529" i="5" s="1"/>
  <c r="AO529" i="5"/>
  <c r="N529" i="5"/>
  <c r="AS529" i="5"/>
  <c r="AV529" i="5" s="1"/>
  <c r="BC530" i="5"/>
  <c r="D505" i="6"/>
  <c r="AF530" i="5" l="1"/>
  <c r="AN530" i="5"/>
  <c r="BV531" i="5"/>
  <c r="BT531" i="5"/>
  <c r="BS531" i="5"/>
  <c r="CI531" i="5"/>
  <c r="BH531" i="5"/>
  <c r="BI531" i="5" s="1"/>
  <c r="BJ531" i="5" s="1"/>
  <c r="G504" i="6"/>
  <c r="AC531" i="5"/>
  <c r="CX531" i="5"/>
  <c r="CS531" i="5"/>
  <c r="C506" i="6"/>
  <c r="AK531" i="5"/>
  <c r="BK531" i="5"/>
  <c r="BL531" i="5" s="1"/>
  <c r="BM531" i="5" s="1"/>
  <c r="CY531" i="5"/>
  <c r="CR531" i="5"/>
  <c r="CW531" i="5"/>
  <c r="CL531" i="5"/>
  <c r="CM531" i="5" s="1"/>
  <c r="AB531" i="5"/>
  <c r="L531" i="5" s="1"/>
  <c r="D531" i="5"/>
  <c r="BG530" i="5"/>
  <c r="H530" i="5" s="1"/>
  <c r="AX531" i="5"/>
  <c r="AW531" i="5" s="1"/>
  <c r="CU531" i="5"/>
  <c r="BX531" i="5" s="1"/>
  <c r="AR529" i="5"/>
  <c r="BF530" i="5"/>
  <c r="CZ530" i="5"/>
  <c r="BD530" i="5"/>
  <c r="BE531" i="5" s="1"/>
  <c r="CH531" i="5" l="1"/>
  <c r="CK531" i="5"/>
  <c r="CJ531" i="5" s="1"/>
  <c r="X529" i="5"/>
  <c r="Y529" i="5" s="1"/>
  <c r="AD531" i="5"/>
  <c r="AE531" i="5" s="1"/>
  <c r="DA531" i="5"/>
  <c r="DB531" i="5" s="1"/>
  <c r="K531" i="5" s="1"/>
  <c r="CP531" i="5"/>
  <c r="CQ531" i="5" s="1"/>
  <c r="R531" i="5" s="1"/>
  <c r="S531" i="5" s="1"/>
  <c r="AM531" i="5"/>
  <c r="AL532" i="5" s="1"/>
  <c r="W531" i="5"/>
  <c r="T531" i="5"/>
  <c r="U531" i="5" s="1"/>
  <c r="I530" i="5"/>
  <c r="CV531" i="5"/>
  <c r="CT531" i="5"/>
  <c r="BN531" i="5"/>
  <c r="BO531" i="5" s="1"/>
  <c r="BP531" i="5" s="1"/>
  <c r="G531" i="5" s="1"/>
  <c r="H504" i="6" l="1"/>
  <c r="Z529" i="5"/>
  <c r="AA529" i="5" s="1"/>
  <c r="I504" i="6" s="1"/>
  <c r="AH530" i="5"/>
  <c r="AT530" i="5"/>
  <c r="AP530" i="5"/>
  <c r="CO531" i="5"/>
  <c r="F531" i="5" s="1"/>
  <c r="CN531" i="5"/>
  <c r="E531" i="5" s="1"/>
  <c r="M530" i="5"/>
  <c r="P530" i="5"/>
  <c r="AY530" i="5" s="1"/>
  <c r="AS530" i="5" l="1"/>
  <c r="AV530" i="5" s="1"/>
  <c r="AO530" i="5"/>
  <c r="AR530" i="5" s="1"/>
  <c r="F505" i="6"/>
  <c r="Q530" i="5"/>
  <c r="V530" i="5" s="1"/>
  <c r="N530" i="5"/>
  <c r="AG530" i="5"/>
  <c r="AJ530" i="5" s="1"/>
  <c r="BC531" i="5"/>
  <c r="D506" i="6"/>
  <c r="C532" i="5"/>
  <c r="BU532" i="5" s="1"/>
  <c r="E506" i="6"/>
  <c r="BW531" i="5" l="1"/>
  <c r="BY531" i="5"/>
  <c r="J531" i="5" s="1"/>
  <c r="BT532" i="5"/>
  <c r="BV532" i="5"/>
  <c r="BS532" i="5"/>
  <c r="CI532" i="5"/>
  <c r="BH532" i="5"/>
  <c r="BI532" i="5" s="1"/>
  <c r="BJ532" i="5" s="1"/>
  <c r="X530" i="5"/>
  <c r="Y530" i="5" s="1"/>
  <c r="BD531" i="5"/>
  <c r="BE532" i="5" s="1"/>
  <c r="CZ531" i="5"/>
  <c r="BF531" i="5"/>
  <c r="G505" i="6"/>
  <c r="CS532" i="5"/>
  <c r="AC532" i="5"/>
  <c r="AD532" i="5" s="1"/>
  <c r="CY532" i="5"/>
  <c r="CR532" i="5"/>
  <c r="C507" i="6"/>
  <c r="D532" i="5"/>
  <c r="CX532" i="5"/>
  <c r="CL532" i="5"/>
  <c r="CM532" i="5" s="1"/>
  <c r="AB532" i="5"/>
  <c r="L532" i="5" s="1"/>
  <c r="AK532" i="5"/>
  <c r="CW532" i="5"/>
  <c r="BK532" i="5"/>
  <c r="BL532" i="5" s="1"/>
  <c r="BM532" i="5" s="1"/>
  <c r="BG531" i="5"/>
  <c r="H531" i="5" s="1"/>
  <c r="AX532" i="5"/>
  <c r="AW532" i="5" s="1"/>
  <c r="CU532" i="5"/>
  <c r="AF531" i="5" l="1"/>
  <c r="AN531" i="5"/>
  <c r="BX532" i="5"/>
  <c r="CK532" i="5"/>
  <c r="CJ532" i="5" s="1"/>
  <c r="CH532" i="5"/>
  <c r="BN532" i="5"/>
  <c r="BO532" i="5" s="1"/>
  <c r="BP532" i="5" s="1"/>
  <c r="G532" i="5" s="1"/>
  <c r="AM532" i="5"/>
  <c r="AL533" i="5" s="1"/>
  <c r="AE532" i="5"/>
  <c r="DA532" i="5"/>
  <c r="DB532" i="5" s="1"/>
  <c r="K532" i="5" s="1"/>
  <c r="H505" i="6"/>
  <c r="Z530" i="5"/>
  <c r="CV532" i="5"/>
  <c r="CT532" i="5"/>
  <c r="W532" i="5"/>
  <c r="T532" i="5"/>
  <c r="U532" i="5" s="1"/>
  <c r="CP532" i="5"/>
  <c r="CQ532" i="5" s="1"/>
  <c r="R532" i="5" s="1"/>
  <c r="S532" i="5" s="1"/>
  <c r="I531" i="5"/>
  <c r="AH531" i="5" s="1"/>
  <c r="AT531" i="5" l="1"/>
  <c r="AP531" i="5"/>
  <c r="CO532" i="5"/>
  <c r="F532" i="5" s="1"/>
  <c r="CN532" i="5"/>
  <c r="E532" i="5" s="1"/>
  <c r="AA530" i="5"/>
  <c r="I505" i="6" s="1"/>
  <c r="P531" i="5"/>
  <c r="AY531" i="5" s="1"/>
  <c r="M531" i="5"/>
  <c r="BY532" i="5" l="1"/>
  <c r="J532" i="5" s="1"/>
  <c r="AF532" i="5" s="1"/>
  <c r="BW532" i="5"/>
  <c r="AS531" i="5"/>
  <c r="AV531" i="5" s="1"/>
  <c r="AO531" i="5"/>
  <c r="AG531" i="5"/>
  <c r="N531" i="5"/>
  <c r="Q531" i="5"/>
  <c r="V531" i="5" s="1"/>
  <c r="F506" i="6"/>
  <c r="D507" i="6"/>
  <c r="BC532" i="5"/>
  <c r="C533" i="5"/>
  <c r="BU533" i="5" s="1"/>
  <c r="E507" i="6"/>
  <c r="AN532" i="5" l="1"/>
  <c r="BT533" i="5"/>
  <c r="BV533" i="5"/>
  <c r="BS533" i="5"/>
  <c r="CI533" i="5"/>
  <c r="BH533" i="5"/>
  <c r="BI533" i="5" s="1"/>
  <c r="BJ533" i="5" s="1"/>
  <c r="AR531" i="5"/>
  <c r="BF532" i="5"/>
  <c r="CZ532" i="5"/>
  <c r="BD532" i="5"/>
  <c r="BE533" i="5" s="1"/>
  <c r="G506" i="6"/>
  <c r="CL533" i="5"/>
  <c r="CM533" i="5" s="1"/>
  <c r="CR533" i="5"/>
  <c r="AC533" i="5"/>
  <c r="AB533" i="5"/>
  <c r="CP533" i="5" s="1"/>
  <c r="CQ533" i="5" s="1"/>
  <c r="R533" i="5" s="1"/>
  <c r="S533" i="5" s="1"/>
  <c r="D533" i="5"/>
  <c r="CY533" i="5"/>
  <c r="AK533" i="5"/>
  <c r="CS533" i="5"/>
  <c r="BK533" i="5"/>
  <c r="BL533" i="5" s="1"/>
  <c r="BM533" i="5" s="1"/>
  <c r="CX533" i="5"/>
  <c r="C508" i="6"/>
  <c r="CW533" i="5"/>
  <c r="BG532" i="5"/>
  <c r="H532" i="5" s="1"/>
  <c r="AX533" i="5"/>
  <c r="AW533" i="5" s="1"/>
  <c r="CU533" i="5"/>
  <c r="BX533" i="5" s="1"/>
  <c r="AJ531" i="5"/>
  <c r="DA533" i="5" l="1"/>
  <c r="DB533" i="5" s="1"/>
  <c r="CH533" i="5"/>
  <c r="CK533" i="5"/>
  <c r="CJ533" i="5" s="1"/>
  <c r="X531" i="5"/>
  <c r="Y531" i="5" s="1"/>
  <c r="BN533" i="5"/>
  <c r="BO533" i="5" s="1"/>
  <c r="BP533" i="5" s="1"/>
  <c r="G533" i="5" s="1"/>
  <c r="L533" i="5"/>
  <c r="AD533" i="5"/>
  <c r="AE533" i="5" s="1"/>
  <c r="CT533" i="5"/>
  <c r="CV533" i="5"/>
  <c r="AM533" i="5"/>
  <c r="AL534" i="5" s="1"/>
  <c r="T533" i="5"/>
  <c r="U533" i="5" s="1"/>
  <c r="W533" i="5"/>
  <c r="I532" i="5"/>
  <c r="AP532" i="5" s="1"/>
  <c r="K533" i="5" l="1"/>
  <c r="Z531" i="5"/>
  <c r="AA531" i="5" s="1"/>
  <c r="I506" i="6" s="1"/>
  <c r="H506" i="6"/>
  <c r="AH532" i="5"/>
  <c r="AT532" i="5"/>
  <c r="CN533" i="5"/>
  <c r="E533" i="5" s="1"/>
  <c r="CO533" i="5"/>
  <c r="F533" i="5" s="1"/>
  <c r="M532" i="5"/>
  <c r="P532" i="5"/>
  <c r="AY532" i="5" s="1"/>
  <c r="BW533" i="5" l="1"/>
  <c r="BY533" i="5"/>
  <c r="J533" i="5" s="1"/>
  <c r="AS532" i="5"/>
  <c r="AV532" i="5" s="1"/>
  <c r="AO532" i="5"/>
  <c r="AR532" i="5" s="1"/>
  <c r="N532" i="5"/>
  <c r="AG532" i="5"/>
  <c r="F507" i="6"/>
  <c r="Q532" i="5"/>
  <c r="V532" i="5" s="1"/>
  <c r="E508" i="6"/>
  <c r="C534" i="5"/>
  <c r="BU534" i="5" s="1"/>
  <c r="BC533" i="5"/>
  <c r="D508" i="6"/>
  <c r="AN533" i="5" l="1"/>
  <c r="AF533" i="5"/>
  <c r="BT534" i="5"/>
  <c r="BV534" i="5"/>
  <c r="BS534" i="5"/>
  <c r="CI534" i="5"/>
  <c r="BH534" i="5"/>
  <c r="BI534" i="5" s="1"/>
  <c r="BJ534" i="5" s="1"/>
  <c r="AJ532" i="5"/>
  <c r="X532" i="5" s="1"/>
  <c r="Y532" i="5" s="1"/>
  <c r="CU534" i="5"/>
  <c r="BX534" i="5" s="1"/>
  <c r="CR534" i="5"/>
  <c r="CY534" i="5"/>
  <c r="AK534" i="5"/>
  <c r="BK534" i="5"/>
  <c r="BL534" i="5" s="1"/>
  <c r="BM534" i="5" s="1"/>
  <c r="C509" i="6"/>
  <c r="CL534" i="5"/>
  <c r="CM534" i="5" s="1"/>
  <c r="D534" i="5"/>
  <c r="AC534" i="5"/>
  <c r="CS534" i="5"/>
  <c r="AB534" i="5"/>
  <c r="CP534" i="5" s="1"/>
  <c r="CQ534" i="5" s="1"/>
  <c r="R534" i="5" s="1"/>
  <c r="S534" i="5" s="1"/>
  <c r="CW534" i="5"/>
  <c r="CX534" i="5"/>
  <c r="BG533" i="5"/>
  <c r="H533" i="5" s="1"/>
  <c r="AX534" i="5"/>
  <c r="AW534" i="5" s="1"/>
  <c r="G507" i="6"/>
  <c r="CZ533" i="5"/>
  <c r="BF533" i="5"/>
  <c r="BD533" i="5"/>
  <c r="BE534" i="5" s="1"/>
  <c r="CH534" i="5" l="1"/>
  <c r="CK534" i="5"/>
  <c r="CJ534" i="5" s="1"/>
  <c r="AD534" i="5"/>
  <c r="AE534" i="5" s="1"/>
  <c r="DA534" i="5"/>
  <c r="DB534" i="5" s="1"/>
  <c r="K534" i="5" s="1"/>
  <c r="L534" i="5"/>
  <c r="W534" i="5"/>
  <c r="T534" i="5"/>
  <c r="U534" i="5" s="1"/>
  <c r="I533" i="5"/>
  <c r="AP533" i="5" s="1"/>
  <c r="AM534" i="5"/>
  <c r="AL535" i="5" s="1"/>
  <c r="BN534" i="5"/>
  <c r="BO534" i="5" s="1"/>
  <c r="BP534" i="5" s="1"/>
  <c r="G534" i="5" s="1"/>
  <c r="H507" i="6"/>
  <c r="Z532" i="5"/>
  <c r="CT534" i="5"/>
  <c r="CV534" i="5"/>
  <c r="AH533" i="5" l="1"/>
  <c r="AT533" i="5"/>
  <c r="P533" i="5"/>
  <c r="AY533" i="5" s="1"/>
  <c r="M533" i="5"/>
  <c r="AA532" i="5"/>
  <c r="I507" i="6" s="1"/>
  <c r="CO534" i="5"/>
  <c r="F534" i="5" s="1"/>
  <c r="CN534" i="5"/>
  <c r="E534" i="5" s="1"/>
  <c r="AS533" i="5" l="1"/>
  <c r="AV533" i="5" s="1"/>
  <c r="AO533" i="5"/>
  <c r="AR533" i="5" s="1"/>
  <c r="N533" i="5"/>
  <c r="AG533" i="5"/>
  <c r="BC534" i="5"/>
  <c r="D509" i="6"/>
  <c r="C535" i="5"/>
  <c r="BU535" i="5" s="1"/>
  <c r="E509" i="6"/>
  <c r="Q533" i="5"/>
  <c r="V533" i="5" s="1"/>
  <c r="F508" i="6"/>
  <c r="BW534" i="5" l="1"/>
  <c r="BY534" i="5"/>
  <c r="J534" i="5" s="1"/>
  <c r="BT535" i="5"/>
  <c r="BV535" i="5"/>
  <c r="BS535" i="5"/>
  <c r="CI535" i="5"/>
  <c r="BH535" i="5"/>
  <c r="BI535" i="5" s="1"/>
  <c r="BJ535" i="5" s="1"/>
  <c r="AJ533" i="5"/>
  <c r="G508" i="6"/>
  <c r="AB535" i="5"/>
  <c r="DA535" i="5" s="1"/>
  <c r="DB535" i="5" s="1"/>
  <c r="CW535" i="5"/>
  <c r="CY535" i="5"/>
  <c r="AK535" i="5"/>
  <c r="CX535" i="5"/>
  <c r="CR535" i="5"/>
  <c r="C510" i="6"/>
  <c r="BK535" i="5"/>
  <c r="BL535" i="5" s="1"/>
  <c r="BM535" i="5" s="1"/>
  <c r="CS535" i="5"/>
  <c r="AC535" i="5"/>
  <c r="CL535" i="5"/>
  <c r="CM535" i="5" s="1"/>
  <c r="D535" i="5"/>
  <c r="BG534" i="5"/>
  <c r="H534" i="5" s="1"/>
  <c r="AX535" i="5"/>
  <c r="AW535" i="5" s="1"/>
  <c r="CU535" i="5"/>
  <c r="CZ534" i="5"/>
  <c r="BD534" i="5"/>
  <c r="BE535" i="5" s="1"/>
  <c r="BF534" i="5"/>
  <c r="AN534" i="5" l="1"/>
  <c r="AF534" i="5"/>
  <c r="BX535" i="5"/>
  <c r="CH535" i="5"/>
  <c r="CK535" i="5"/>
  <c r="CJ535" i="5" s="1"/>
  <c r="K535" i="5" s="1"/>
  <c r="X533" i="5"/>
  <c r="Y533" i="5" s="1"/>
  <c r="AD535" i="5"/>
  <c r="AE535" i="5" s="1"/>
  <c r="L535" i="5"/>
  <c r="I534" i="5"/>
  <c r="W535" i="5"/>
  <c r="T535" i="5"/>
  <c r="U535" i="5" s="1"/>
  <c r="AM535" i="5"/>
  <c r="AL536" i="5" s="1"/>
  <c r="CV535" i="5"/>
  <c r="CT535" i="5"/>
  <c r="CP535" i="5"/>
  <c r="CQ535" i="5" s="1"/>
  <c r="R535" i="5" s="1"/>
  <c r="S535" i="5" s="1"/>
  <c r="BN535" i="5"/>
  <c r="BO535" i="5" s="1"/>
  <c r="BP535" i="5" s="1"/>
  <c r="G535" i="5" s="1"/>
  <c r="AH534" i="5" l="1"/>
  <c r="H508" i="6"/>
  <c r="Z533" i="5"/>
  <c r="AA533" i="5" s="1"/>
  <c r="I508" i="6" s="1"/>
  <c r="AT534" i="5"/>
  <c r="AP534" i="5"/>
  <c r="CN535" i="5"/>
  <c r="E535" i="5" s="1"/>
  <c r="CO535" i="5"/>
  <c r="F535" i="5" s="1"/>
  <c r="M534" i="5"/>
  <c r="P534" i="5"/>
  <c r="BB534" i="5" l="1"/>
  <c r="AY534" i="5"/>
  <c r="AO534" i="5"/>
  <c r="AR534" i="5" s="1"/>
  <c r="AG534" i="5"/>
  <c r="F509" i="6"/>
  <c r="Q534" i="5"/>
  <c r="V534" i="5" s="1"/>
  <c r="G509" i="6" s="1"/>
  <c r="AS534" i="5"/>
  <c r="AV534" i="5" s="1"/>
  <c r="N534" i="5"/>
  <c r="E510" i="6"/>
  <c r="C536" i="5"/>
  <c r="BU536" i="5" s="1"/>
  <c r="BC535" i="5"/>
  <c r="D510" i="6"/>
  <c r="BW535" i="5" l="1"/>
  <c r="BY535" i="5"/>
  <c r="J535" i="5" s="1"/>
  <c r="BV536" i="5"/>
  <c r="BT536" i="5"/>
  <c r="BS536" i="5"/>
  <c r="CI536" i="5"/>
  <c r="BH536" i="5"/>
  <c r="BI536" i="5" s="1"/>
  <c r="BJ536" i="5" s="1"/>
  <c r="AJ534" i="5"/>
  <c r="AB536" i="5"/>
  <c r="BN536" i="5" s="1"/>
  <c r="BO536" i="5" s="1"/>
  <c r="BP536" i="5" s="1"/>
  <c r="CX536" i="5"/>
  <c r="CL536" i="5"/>
  <c r="CM536" i="5" s="1"/>
  <c r="C511" i="6"/>
  <c r="BK536" i="5"/>
  <c r="BL536" i="5" s="1"/>
  <c r="BM536" i="5" s="1"/>
  <c r="CS536" i="5"/>
  <c r="CY536" i="5"/>
  <c r="AK536" i="5"/>
  <c r="CW536" i="5"/>
  <c r="D536" i="5"/>
  <c r="CR536" i="5"/>
  <c r="AC536" i="5"/>
  <c r="AD536" i="5" s="1"/>
  <c r="BG535" i="5"/>
  <c r="H535" i="5" s="1"/>
  <c r="AX536" i="5"/>
  <c r="AW536" i="5" s="1"/>
  <c r="CU536" i="5"/>
  <c r="BD535" i="5"/>
  <c r="BE536" i="5" s="1"/>
  <c r="CZ535" i="5"/>
  <c r="BF535" i="5"/>
  <c r="AF535" i="5" l="1"/>
  <c r="AN535" i="5"/>
  <c r="BX536" i="5"/>
  <c r="G536" i="5"/>
  <c r="CH536" i="5"/>
  <c r="CK536" i="5"/>
  <c r="CJ536" i="5" s="1"/>
  <c r="X534" i="5"/>
  <c r="Y534" i="5" s="1"/>
  <c r="L536" i="5"/>
  <c r="CP536" i="5"/>
  <c r="CQ536" i="5" s="1"/>
  <c r="R536" i="5" s="1"/>
  <c r="S536" i="5" s="1"/>
  <c r="DA536" i="5"/>
  <c r="DB536" i="5" s="1"/>
  <c r="K536" i="5" s="1"/>
  <c r="CT536" i="5"/>
  <c r="CV536" i="5"/>
  <c r="I535" i="5"/>
  <c r="AH535" i="5" s="1"/>
  <c r="AE536" i="5"/>
  <c r="W536" i="5"/>
  <c r="T536" i="5"/>
  <c r="U536" i="5" s="1"/>
  <c r="AM536" i="5"/>
  <c r="AL537" i="5" s="1"/>
  <c r="Z534" i="5" l="1"/>
  <c r="AA534" i="5" s="1"/>
  <c r="I509" i="6" s="1"/>
  <c r="H509" i="6"/>
  <c r="AT535" i="5"/>
  <c r="AP535" i="5"/>
  <c r="M535" i="5"/>
  <c r="AG535" i="5" s="1"/>
  <c r="AJ535" i="5" s="1"/>
  <c r="P535" i="5"/>
  <c r="AY535" i="5" s="1"/>
  <c r="CO536" i="5"/>
  <c r="F536" i="5" s="1"/>
  <c r="CN536" i="5"/>
  <c r="E536" i="5" s="1"/>
  <c r="BY536" i="5" l="1"/>
  <c r="J536" i="5" s="1"/>
  <c r="BW536" i="5"/>
  <c r="F510" i="6"/>
  <c r="Q535" i="5"/>
  <c r="V535" i="5" s="1"/>
  <c r="C537" i="5"/>
  <c r="BU537" i="5" s="1"/>
  <c r="E511" i="6"/>
  <c r="D511" i="6"/>
  <c r="BC536" i="5"/>
  <c r="N535" i="5"/>
  <c r="AS535" i="5"/>
  <c r="AV535" i="5" s="1"/>
  <c r="AO535" i="5"/>
  <c r="AF536" i="5" l="1"/>
  <c r="AN536" i="5"/>
  <c r="BT537" i="5"/>
  <c r="BV537" i="5"/>
  <c r="BS537" i="5"/>
  <c r="CI537" i="5"/>
  <c r="BH537" i="5"/>
  <c r="BI537" i="5" s="1"/>
  <c r="BJ537" i="5" s="1"/>
  <c r="BD536" i="5"/>
  <c r="BE537" i="5" s="1"/>
  <c r="BF536" i="5"/>
  <c r="CZ536" i="5"/>
  <c r="D537" i="5"/>
  <c r="CS537" i="5"/>
  <c r="AB537" i="5"/>
  <c r="CP537" i="5" s="1"/>
  <c r="CQ537" i="5" s="1"/>
  <c r="R537" i="5" s="1"/>
  <c r="S537" i="5" s="1"/>
  <c r="CY537" i="5"/>
  <c r="C512" i="6"/>
  <c r="CX537" i="5"/>
  <c r="AC537" i="5"/>
  <c r="BK537" i="5"/>
  <c r="BL537" i="5" s="1"/>
  <c r="BM537" i="5" s="1"/>
  <c r="CL537" i="5"/>
  <c r="CM537" i="5" s="1"/>
  <c r="CW537" i="5"/>
  <c r="AK537" i="5"/>
  <c r="CR537" i="5"/>
  <c r="BG536" i="5"/>
  <c r="H536" i="5" s="1"/>
  <c r="AX537" i="5"/>
  <c r="AW537" i="5" s="1"/>
  <c r="CU537" i="5"/>
  <c r="BX537" i="5" s="1"/>
  <c r="AR535" i="5"/>
  <c r="G510" i="6"/>
  <c r="CK537" i="5" l="1"/>
  <c r="CJ537" i="5" s="1"/>
  <c r="CH537" i="5"/>
  <c r="AD537" i="5"/>
  <c r="AE537" i="5" s="1"/>
  <c r="X535" i="5"/>
  <c r="Y535" i="5" s="1"/>
  <c r="I536" i="5"/>
  <c r="AP536" i="5" s="1"/>
  <c r="AM537" i="5"/>
  <c r="AL538" i="5" s="1"/>
  <c r="W537" i="5"/>
  <c r="T537" i="5"/>
  <c r="U537" i="5" s="1"/>
  <c r="CT537" i="5"/>
  <c r="CV537" i="5"/>
  <c r="DA537" i="5"/>
  <c r="DB537" i="5" s="1"/>
  <c r="K537" i="5" s="1"/>
  <c r="L537" i="5"/>
  <c r="BN537" i="5"/>
  <c r="BO537" i="5" s="1"/>
  <c r="BP537" i="5" s="1"/>
  <c r="G537" i="5" s="1"/>
  <c r="H510" i="6" l="1"/>
  <c r="Z535" i="5"/>
  <c r="AA535" i="5" s="1"/>
  <c r="I510" i="6" s="1"/>
  <c r="AT536" i="5"/>
  <c r="AH536" i="5"/>
  <c r="CO537" i="5"/>
  <c r="F537" i="5" s="1"/>
  <c r="CN537" i="5"/>
  <c r="E537" i="5" s="1"/>
  <c r="P536" i="5"/>
  <c r="AY536" i="5" s="1"/>
  <c r="M536" i="5"/>
  <c r="BY537" i="5" l="1"/>
  <c r="J537" i="5" s="1"/>
  <c r="BW537" i="5"/>
  <c r="AG536" i="5"/>
  <c r="AJ536" i="5" s="1"/>
  <c r="AO536" i="5"/>
  <c r="AR536" i="5" s="1"/>
  <c r="N536" i="5"/>
  <c r="AS536" i="5"/>
  <c r="AV536" i="5" s="1"/>
  <c r="BC537" i="5"/>
  <c r="D512" i="6"/>
  <c r="E512" i="6"/>
  <c r="C538" i="5"/>
  <c r="BU538" i="5" s="1"/>
  <c r="Q536" i="5"/>
  <c r="V536" i="5" s="1"/>
  <c r="F511" i="6"/>
  <c r="AF537" i="5" l="1"/>
  <c r="AN537" i="5"/>
  <c r="BV538" i="5"/>
  <c r="BT538" i="5"/>
  <c r="BS538" i="5"/>
  <c r="CI538" i="5"/>
  <c r="BH538" i="5"/>
  <c r="BI538" i="5" s="1"/>
  <c r="BJ538" i="5" s="1"/>
  <c r="X536" i="5"/>
  <c r="Y536" i="5" s="1"/>
  <c r="CY538" i="5"/>
  <c r="CS538" i="5"/>
  <c r="BK538" i="5"/>
  <c r="BL538" i="5" s="1"/>
  <c r="BM538" i="5" s="1"/>
  <c r="CW538" i="5"/>
  <c r="CX538" i="5"/>
  <c r="CL538" i="5"/>
  <c r="CM538" i="5" s="1"/>
  <c r="CR538" i="5"/>
  <c r="C513" i="6"/>
  <c r="D538" i="5"/>
  <c r="AC538" i="5"/>
  <c r="AD538" i="5" s="1"/>
  <c r="AB538" i="5"/>
  <c r="CP538" i="5" s="1"/>
  <c r="CQ538" i="5" s="1"/>
  <c r="R538" i="5" s="1"/>
  <c r="S538" i="5" s="1"/>
  <c r="AK538" i="5"/>
  <c r="AM538" i="5" s="1"/>
  <c r="AL539" i="5" s="1"/>
  <c r="BG537" i="5"/>
  <c r="H537" i="5" s="1"/>
  <c r="AX538" i="5"/>
  <c r="AW538" i="5" s="1"/>
  <c r="CU538" i="5"/>
  <c r="BX538" i="5" s="1"/>
  <c r="G511" i="6"/>
  <c r="BF537" i="5"/>
  <c r="CZ537" i="5"/>
  <c r="BD537" i="5"/>
  <c r="BE538" i="5" s="1"/>
  <c r="CH538" i="5" l="1"/>
  <c r="CK538" i="5"/>
  <c r="CJ538" i="5" s="1"/>
  <c r="BN538" i="5"/>
  <c r="BO538" i="5" s="1"/>
  <c r="BP538" i="5" s="1"/>
  <c r="G538" i="5" s="1"/>
  <c r="L538" i="5"/>
  <c r="DA538" i="5"/>
  <c r="DB538" i="5" s="1"/>
  <c r="K538" i="5" s="1"/>
  <c r="CT538" i="5"/>
  <c r="CV538" i="5"/>
  <c r="H511" i="6"/>
  <c r="Z536" i="5"/>
  <c r="I537" i="5"/>
  <c r="AE538" i="5"/>
  <c r="W538" i="5"/>
  <c r="T538" i="5"/>
  <c r="U538" i="5" s="1"/>
  <c r="AH537" i="5" l="1"/>
  <c r="AT537" i="5"/>
  <c r="AP537" i="5"/>
  <c r="AA536" i="5"/>
  <c r="I511" i="6" s="1"/>
  <c r="M537" i="5"/>
  <c r="P537" i="5"/>
  <c r="AY537" i="5" s="1"/>
  <c r="CN538" i="5"/>
  <c r="E538" i="5" s="1"/>
  <c r="CO538" i="5"/>
  <c r="F538" i="5" s="1"/>
  <c r="BW538" i="5" l="1"/>
  <c r="BY538" i="5"/>
  <c r="J538" i="5" s="1"/>
  <c r="AF538" i="5" s="1"/>
  <c r="AS537" i="5"/>
  <c r="AV537" i="5" s="1"/>
  <c r="AO537" i="5"/>
  <c r="BC538" i="5"/>
  <c r="D513" i="6"/>
  <c r="F512" i="6"/>
  <c r="Q537" i="5"/>
  <c r="V537" i="5" s="1"/>
  <c r="N537" i="5"/>
  <c r="AG537" i="5"/>
  <c r="E513" i="6"/>
  <c r="C539" i="5"/>
  <c r="BU539" i="5" s="1"/>
  <c r="AN538" i="5" l="1"/>
  <c r="BV539" i="5"/>
  <c r="BT539" i="5"/>
  <c r="BS539" i="5"/>
  <c r="CI539" i="5"/>
  <c r="BH539" i="5"/>
  <c r="BI539" i="5" s="1"/>
  <c r="BJ539" i="5" s="1"/>
  <c r="AR537" i="5"/>
  <c r="G512" i="6"/>
  <c r="AB539" i="5"/>
  <c r="CP539" i="5" s="1"/>
  <c r="CQ539" i="5" s="1"/>
  <c r="R539" i="5" s="1"/>
  <c r="S539" i="5" s="1"/>
  <c r="CS539" i="5"/>
  <c r="BK539" i="5"/>
  <c r="BL539" i="5" s="1"/>
  <c r="BM539" i="5" s="1"/>
  <c r="AK539" i="5"/>
  <c r="AM539" i="5" s="1"/>
  <c r="AL540" i="5" s="1"/>
  <c r="AC539" i="5"/>
  <c r="AD539" i="5" s="1"/>
  <c r="CR539" i="5"/>
  <c r="C514" i="6"/>
  <c r="CL539" i="5"/>
  <c r="CM539" i="5" s="1"/>
  <c r="CY539" i="5"/>
  <c r="CX539" i="5"/>
  <c r="D539" i="5"/>
  <c r="CW539" i="5"/>
  <c r="BG538" i="5"/>
  <c r="H538" i="5" s="1"/>
  <c r="AX539" i="5"/>
  <c r="AW539" i="5" s="1"/>
  <c r="CU539" i="5"/>
  <c r="BX539" i="5" s="1"/>
  <c r="AJ537" i="5"/>
  <c r="BD538" i="5"/>
  <c r="BE539" i="5" s="1"/>
  <c r="BF538" i="5"/>
  <c r="CZ538" i="5"/>
  <c r="CH539" i="5" l="1"/>
  <c r="CK539" i="5"/>
  <c r="CJ539" i="5" s="1"/>
  <c r="X537" i="5"/>
  <c r="Y537" i="5" s="1"/>
  <c r="DA539" i="5"/>
  <c r="DB539" i="5" s="1"/>
  <c r="K539" i="5" s="1"/>
  <c r="BN539" i="5"/>
  <c r="BO539" i="5" s="1"/>
  <c r="BP539" i="5" s="1"/>
  <c r="G539" i="5" s="1"/>
  <c r="L539" i="5"/>
  <c r="I538" i="5"/>
  <c r="AH538" i="5" s="1"/>
  <c r="AE539" i="5"/>
  <c r="W539" i="5"/>
  <c r="T539" i="5"/>
  <c r="U539" i="5" s="1"/>
  <c r="CV539" i="5"/>
  <c r="CT539" i="5"/>
  <c r="Z537" i="5" l="1"/>
  <c r="H512" i="6"/>
  <c r="AT538" i="5"/>
  <c r="AP538" i="5"/>
  <c r="CO539" i="5"/>
  <c r="F539" i="5" s="1"/>
  <c r="CN539" i="5"/>
  <c r="E539" i="5" s="1"/>
  <c r="P538" i="5"/>
  <c r="AY538" i="5" s="1"/>
  <c r="M538" i="5"/>
  <c r="AG538" i="5" s="1"/>
  <c r="AJ538" i="5" s="1"/>
  <c r="AA537" i="5"/>
  <c r="I512" i="6" s="1"/>
  <c r="BW539" i="5" l="1"/>
  <c r="BY539" i="5"/>
  <c r="J539" i="5" s="1"/>
  <c r="N538" i="5"/>
  <c r="AS538" i="5"/>
  <c r="AV538" i="5" s="1"/>
  <c r="AO538" i="5"/>
  <c r="C540" i="5"/>
  <c r="BU540" i="5" s="1"/>
  <c r="E514" i="6"/>
  <c r="Q538" i="5"/>
  <c r="V538" i="5" s="1"/>
  <c r="F513" i="6"/>
  <c r="BC539" i="5"/>
  <c r="D514" i="6"/>
  <c r="AF539" i="5" l="1"/>
  <c r="AN539" i="5"/>
  <c r="BT540" i="5"/>
  <c r="BV540" i="5"/>
  <c r="BS540" i="5"/>
  <c r="CI540" i="5"/>
  <c r="BH540" i="5"/>
  <c r="BI540" i="5" s="1"/>
  <c r="BJ540" i="5" s="1"/>
  <c r="AR538" i="5"/>
  <c r="X538" i="5" s="1"/>
  <c r="Y538" i="5" s="1"/>
  <c r="BD539" i="5"/>
  <c r="BE540" i="5" s="1"/>
  <c r="CZ539" i="5"/>
  <c r="BF539" i="5"/>
  <c r="G513" i="6"/>
  <c r="AC540" i="5"/>
  <c r="D540" i="5"/>
  <c r="CX540" i="5"/>
  <c r="BK540" i="5"/>
  <c r="BL540" i="5" s="1"/>
  <c r="BM540" i="5" s="1"/>
  <c r="CS540" i="5"/>
  <c r="CY540" i="5"/>
  <c r="AK540" i="5"/>
  <c r="CW540" i="5"/>
  <c r="CL540" i="5"/>
  <c r="CM540" i="5" s="1"/>
  <c r="AB540" i="5"/>
  <c r="CP540" i="5" s="1"/>
  <c r="CQ540" i="5" s="1"/>
  <c r="R540" i="5" s="1"/>
  <c r="S540" i="5" s="1"/>
  <c r="C515" i="6"/>
  <c r="CR540" i="5"/>
  <c r="BG539" i="5"/>
  <c r="H539" i="5" s="1"/>
  <c r="AX540" i="5"/>
  <c r="AW540" i="5" s="1"/>
  <c r="CU540" i="5"/>
  <c r="BX540" i="5" s="1"/>
  <c r="CK540" i="5" l="1"/>
  <c r="CJ540" i="5" s="1"/>
  <c r="CH540" i="5"/>
  <c r="AD540" i="5"/>
  <c r="AE540" i="5" s="1"/>
  <c r="W540" i="5"/>
  <c r="T540" i="5"/>
  <c r="U540" i="5" s="1"/>
  <c r="AM540" i="5"/>
  <c r="AL541" i="5" s="1"/>
  <c r="H513" i="6"/>
  <c r="Z538" i="5"/>
  <c r="CV540" i="5"/>
  <c r="CT540" i="5"/>
  <c r="BN540" i="5"/>
  <c r="BO540" i="5" s="1"/>
  <c r="BP540" i="5" s="1"/>
  <c r="G540" i="5" s="1"/>
  <c r="L540" i="5"/>
  <c r="DA540" i="5"/>
  <c r="DB540" i="5" s="1"/>
  <c r="K540" i="5" s="1"/>
  <c r="I539" i="5"/>
  <c r="AP539" i="5" s="1"/>
  <c r="AH539" i="5" l="1"/>
  <c r="AT539" i="5"/>
  <c r="M539" i="5"/>
  <c r="P539" i="5"/>
  <c r="AY539" i="5" s="1"/>
  <c r="CN540" i="5"/>
  <c r="E540" i="5" s="1"/>
  <c r="CO540" i="5"/>
  <c r="F540" i="5" s="1"/>
  <c r="AA538" i="5"/>
  <c r="I513" i="6" s="1"/>
  <c r="BY540" i="5" l="1"/>
  <c r="J540" i="5" s="1"/>
  <c r="BW540" i="5"/>
  <c r="AS539" i="5"/>
  <c r="AV539" i="5" s="1"/>
  <c r="AO539" i="5"/>
  <c r="N539" i="5"/>
  <c r="AG539" i="5"/>
  <c r="E515" i="6"/>
  <c r="C541" i="5"/>
  <c r="BU541" i="5" s="1"/>
  <c r="D515" i="6"/>
  <c r="BC540" i="5"/>
  <c r="F514" i="6"/>
  <c r="Q539" i="5"/>
  <c r="V539" i="5" s="1"/>
  <c r="AN540" i="5" l="1"/>
  <c r="AF540" i="5"/>
  <c r="BT541" i="5"/>
  <c r="BV541" i="5"/>
  <c r="BS541" i="5"/>
  <c r="CI541" i="5"/>
  <c r="BH541" i="5"/>
  <c r="BI541" i="5" s="1"/>
  <c r="BJ541" i="5" s="1"/>
  <c r="AR539" i="5"/>
  <c r="AJ539" i="5"/>
  <c r="BD540" i="5"/>
  <c r="BE541" i="5" s="1"/>
  <c r="CZ540" i="5"/>
  <c r="BF540" i="5"/>
  <c r="C516" i="6"/>
  <c r="CW541" i="5"/>
  <c r="CS541" i="5"/>
  <c r="AK541" i="5"/>
  <c r="AM541" i="5" s="1"/>
  <c r="AL542" i="5" s="1"/>
  <c r="D541" i="5"/>
  <c r="CX541" i="5"/>
  <c r="AC541" i="5"/>
  <c r="CY541" i="5"/>
  <c r="AB541" i="5"/>
  <c r="BN541" i="5" s="1"/>
  <c r="BO541" i="5" s="1"/>
  <c r="BP541" i="5" s="1"/>
  <c r="CL541" i="5"/>
  <c r="CM541" i="5" s="1"/>
  <c r="CR541" i="5"/>
  <c r="BK541" i="5"/>
  <c r="BL541" i="5" s="1"/>
  <c r="BM541" i="5" s="1"/>
  <c r="BG540" i="5"/>
  <c r="H540" i="5" s="1"/>
  <c r="AX541" i="5"/>
  <c r="AW541" i="5" s="1"/>
  <c r="CU541" i="5"/>
  <c r="BX541" i="5" s="1"/>
  <c r="G514" i="6"/>
  <c r="G541" i="5" l="1"/>
  <c r="CH541" i="5"/>
  <c r="CK541" i="5"/>
  <c r="CJ541" i="5" s="1"/>
  <c r="AD541" i="5"/>
  <c r="AE541" i="5" s="1"/>
  <c r="X539" i="5"/>
  <c r="Y539" i="5" s="1"/>
  <c r="Z539" i="5" s="1"/>
  <c r="CP541" i="5"/>
  <c r="CQ541" i="5" s="1"/>
  <c r="R541" i="5" s="1"/>
  <c r="S541" i="5" s="1"/>
  <c r="I540" i="5"/>
  <c r="AP540" i="5" s="1"/>
  <c r="W541" i="5"/>
  <c r="T541" i="5"/>
  <c r="U541" i="5" s="1"/>
  <c r="DA541" i="5"/>
  <c r="DB541" i="5" s="1"/>
  <c r="K541" i="5" s="1"/>
  <c r="L541" i="5"/>
  <c r="CT541" i="5"/>
  <c r="CV541" i="5"/>
  <c r="H514" i="6" l="1"/>
  <c r="AT540" i="5"/>
  <c r="AH540" i="5"/>
  <c r="CO541" i="5"/>
  <c r="F541" i="5" s="1"/>
  <c r="CN541" i="5"/>
  <c r="E541" i="5" s="1"/>
  <c r="P540" i="5"/>
  <c r="AY540" i="5" s="1"/>
  <c r="M540" i="5"/>
  <c r="AA539" i="5"/>
  <c r="I514" i="6" s="1"/>
  <c r="BW541" i="5" l="1"/>
  <c r="BY541" i="5"/>
  <c r="J541" i="5" s="1"/>
  <c r="AS540" i="5"/>
  <c r="AV540" i="5" s="1"/>
  <c r="AO540" i="5"/>
  <c r="AR540" i="5" s="1"/>
  <c r="N540" i="5"/>
  <c r="AG540" i="5"/>
  <c r="F515" i="6"/>
  <c r="Q540" i="5"/>
  <c r="V540" i="5" s="1"/>
  <c r="BC541" i="5"/>
  <c r="D516" i="6"/>
  <c r="E516" i="6"/>
  <c r="C542" i="5"/>
  <c r="BU542" i="5" s="1"/>
  <c r="AN541" i="5" l="1"/>
  <c r="AF541" i="5"/>
  <c r="BT542" i="5"/>
  <c r="BV542" i="5"/>
  <c r="BS542" i="5"/>
  <c r="CI542" i="5"/>
  <c r="BH542" i="5"/>
  <c r="BI542" i="5" s="1"/>
  <c r="BJ542" i="5" s="1"/>
  <c r="AJ540" i="5"/>
  <c r="X540" i="5" s="1"/>
  <c r="Y540" i="5" s="1"/>
  <c r="CZ541" i="5"/>
  <c r="BF541" i="5"/>
  <c r="BD541" i="5"/>
  <c r="BE542" i="5" s="1"/>
  <c r="G515" i="6"/>
  <c r="C517" i="6"/>
  <c r="BK542" i="5"/>
  <c r="BL542" i="5" s="1"/>
  <c r="BM542" i="5" s="1"/>
  <c r="CX542" i="5"/>
  <c r="CY542" i="5"/>
  <c r="AB542" i="5"/>
  <c r="CP542" i="5" s="1"/>
  <c r="CQ542" i="5" s="1"/>
  <c r="R542" i="5" s="1"/>
  <c r="S542" i="5" s="1"/>
  <c r="CW542" i="5"/>
  <c r="D542" i="5"/>
  <c r="AC542" i="5"/>
  <c r="CS542" i="5"/>
  <c r="AK542" i="5"/>
  <c r="AM542" i="5" s="1"/>
  <c r="AL543" i="5" s="1"/>
  <c r="CR542" i="5"/>
  <c r="CL542" i="5"/>
  <c r="CM542" i="5" s="1"/>
  <c r="BG541" i="5"/>
  <c r="H541" i="5" s="1"/>
  <c r="AX542" i="5"/>
  <c r="AW542" i="5" s="1"/>
  <c r="CU542" i="5"/>
  <c r="BX542" i="5" s="1"/>
  <c r="CH542" i="5" l="1"/>
  <c r="CK542" i="5"/>
  <c r="CJ542" i="5" s="1"/>
  <c r="AD542" i="5"/>
  <c r="AE542" i="5" s="1"/>
  <c r="DA542" i="5"/>
  <c r="DB542" i="5" s="1"/>
  <c r="K542" i="5" s="1"/>
  <c r="L542" i="5"/>
  <c r="T542" i="5"/>
  <c r="U542" i="5" s="1"/>
  <c r="W542" i="5"/>
  <c r="H515" i="6"/>
  <c r="Z540" i="5"/>
  <c r="CT542" i="5"/>
  <c r="CV542" i="5"/>
  <c r="I541" i="5"/>
  <c r="AP541" i="5" s="1"/>
  <c r="BN542" i="5"/>
  <c r="BO542" i="5" s="1"/>
  <c r="BP542" i="5" s="1"/>
  <c r="G542" i="5" s="1"/>
  <c r="CN542" i="5" l="1"/>
  <c r="E542" i="5" s="1"/>
  <c r="CO542" i="5"/>
  <c r="F542" i="5" s="1"/>
  <c r="AA540" i="5"/>
  <c r="I515" i="6" s="1"/>
  <c r="P541" i="5"/>
  <c r="AY541" i="5" s="1"/>
  <c r="M541" i="5"/>
  <c r="AH541" i="5"/>
  <c r="AT541" i="5"/>
  <c r="BW542" i="5" l="1"/>
  <c r="BY542" i="5"/>
  <c r="J542" i="5" s="1"/>
  <c r="AO541" i="5"/>
  <c r="AR541" i="5" s="1"/>
  <c r="AG541" i="5"/>
  <c r="Q541" i="5"/>
  <c r="V541" i="5" s="1"/>
  <c r="F516" i="6"/>
  <c r="N541" i="5"/>
  <c r="AS541" i="5"/>
  <c r="AV541" i="5" s="1"/>
  <c r="E517" i="6"/>
  <c r="C543" i="5"/>
  <c r="BU543" i="5" s="1"/>
  <c r="D517" i="6"/>
  <c r="BC542" i="5"/>
  <c r="AF542" i="5" l="1"/>
  <c r="AN542" i="5"/>
  <c r="BT543" i="5"/>
  <c r="BV543" i="5"/>
  <c r="BS543" i="5"/>
  <c r="CI543" i="5"/>
  <c r="BH543" i="5"/>
  <c r="BI543" i="5" s="1"/>
  <c r="BJ543" i="5" s="1"/>
  <c r="AJ541" i="5"/>
  <c r="AC543" i="5"/>
  <c r="AD543" i="5" s="1"/>
  <c r="C518" i="6"/>
  <c r="CS543" i="5"/>
  <c r="D543" i="5"/>
  <c r="BK543" i="5"/>
  <c r="BL543" i="5" s="1"/>
  <c r="BM543" i="5" s="1"/>
  <c r="AB543" i="5"/>
  <c r="DA543" i="5" s="1"/>
  <c r="DB543" i="5" s="1"/>
  <c r="CW543" i="5"/>
  <c r="CY543" i="5"/>
  <c r="CL543" i="5"/>
  <c r="CM543" i="5" s="1"/>
  <c r="AK543" i="5"/>
  <c r="CR543" i="5"/>
  <c r="CX543" i="5"/>
  <c r="BG542" i="5"/>
  <c r="H542" i="5" s="1"/>
  <c r="AX543" i="5"/>
  <c r="AW543" i="5" s="1"/>
  <c r="CU543" i="5"/>
  <c r="BX543" i="5" s="1"/>
  <c r="BF542" i="5"/>
  <c r="CZ542" i="5"/>
  <c r="BD542" i="5"/>
  <c r="BE543" i="5" s="1"/>
  <c r="G516" i="6"/>
  <c r="CH543" i="5" l="1"/>
  <c r="CK543" i="5"/>
  <c r="CJ543" i="5" s="1"/>
  <c r="K543" i="5" s="1"/>
  <c r="X541" i="5"/>
  <c r="Y541" i="5" s="1"/>
  <c r="L543" i="5"/>
  <c r="CP543" i="5"/>
  <c r="CQ543" i="5" s="1"/>
  <c r="R543" i="5" s="1"/>
  <c r="S543" i="5" s="1"/>
  <c r="I542" i="5"/>
  <c r="AH542" i="5" s="1"/>
  <c r="AM543" i="5"/>
  <c r="AL544" i="5" s="1"/>
  <c r="W543" i="5"/>
  <c r="T543" i="5"/>
  <c r="U543" i="5" s="1"/>
  <c r="CT543" i="5"/>
  <c r="CV543" i="5"/>
  <c r="BN543" i="5"/>
  <c r="BO543" i="5" s="1"/>
  <c r="BP543" i="5" s="1"/>
  <c r="G543" i="5" s="1"/>
  <c r="AE543" i="5"/>
  <c r="H516" i="6" l="1"/>
  <c r="Z541" i="5"/>
  <c r="CN543" i="5"/>
  <c r="E543" i="5" s="1"/>
  <c r="CO543" i="5"/>
  <c r="F543" i="5" s="1"/>
  <c r="AA541" i="5"/>
  <c r="I516" i="6" s="1"/>
  <c r="P542" i="5"/>
  <c r="AY542" i="5" s="1"/>
  <c r="M542" i="5"/>
  <c r="AG542" i="5" s="1"/>
  <c r="AJ542" i="5" s="1"/>
  <c r="AT542" i="5"/>
  <c r="AP542" i="5"/>
  <c r="N542" i="5" l="1"/>
  <c r="AS542" i="5"/>
  <c r="AV542" i="5" s="1"/>
  <c r="AO542" i="5"/>
  <c r="AR542" i="5" s="1"/>
  <c r="C544" i="5"/>
  <c r="BU544" i="5" s="1"/>
  <c r="E518" i="6"/>
  <c r="F517" i="6"/>
  <c r="Q542" i="5"/>
  <c r="V542" i="5" s="1"/>
  <c r="BC543" i="5"/>
  <c r="D518" i="6"/>
  <c r="BW543" i="5" l="1"/>
  <c r="BY543" i="5"/>
  <c r="J543" i="5" s="1"/>
  <c r="BV544" i="5"/>
  <c r="BT544" i="5"/>
  <c r="BS544" i="5"/>
  <c r="CI544" i="5"/>
  <c r="BH544" i="5"/>
  <c r="BI544" i="5" s="1"/>
  <c r="BJ544" i="5" s="1"/>
  <c r="X542" i="5"/>
  <c r="Y542" i="5" s="1"/>
  <c r="CW544" i="5"/>
  <c r="CX544" i="5"/>
  <c r="AK544" i="5"/>
  <c r="AM544" i="5" s="1"/>
  <c r="AL545" i="5" s="1"/>
  <c r="BK544" i="5"/>
  <c r="BL544" i="5" s="1"/>
  <c r="BM544" i="5" s="1"/>
  <c r="CL544" i="5"/>
  <c r="CM544" i="5" s="1"/>
  <c r="AC544" i="5"/>
  <c r="AD544" i="5" s="1"/>
  <c r="CR544" i="5"/>
  <c r="CY544" i="5"/>
  <c r="CS544" i="5"/>
  <c r="AB544" i="5"/>
  <c r="L544" i="5" s="1"/>
  <c r="C519" i="6"/>
  <c r="D544" i="5"/>
  <c r="BG543" i="5"/>
  <c r="H543" i="5" s="1"/>
  <c r="AX544" i="5"/>
  <c r="AW544" i="5" s="1"/>
  <c r="CU544" i="5"/>
  <c r="G517" i="6"/>
  <c r="CZ543" i="5"/>
  <c r="BD543" i="5"/>
  <c r="BE544" i="5" s="1"/>
  <c r="BF543" i="5"/>
  <c r="AF543" i="5" l="1"/>
  <c r="AN543" i="5"/>
  <c r="BX544" i="5"/>
  <c r="CH544" i="5"/>
  <c r="CK544" i="5"/>
  <c r="CJ544" i="5" s="1"/>
  <c r="CP544" i="5"/>
  <c r="CQ544" i="5" s="1"/>
  <c r="R544" i="5" s="1"/>
  <c r="S544" i="5" s="1"/>
  <c r="DA544" i="5"/>
  <c r="DB544" i="5" s="1"/>
  <c r="K544" i="5" s="1"/>
  <c r="CV544" i="5"/>
  <c r="CT544" i="5"/>
  <c r="W544" i="5"/>
  <c r="T544" i="5"/>
  <c r="U544" i="5" s="1"/>
  <c r="I543" i="5"/>
  <c r="AP543" i="5" s="1"/>
  <c r="H517" i="6"/>
  <c r="Z542" i="5"/>
  <c r="BN544" i="5"/>
  <c r="BO544" i="5" s="1"/>
  <c r="BP544" i="5" s="1"/>
  <c r="G544" i="5" s="1"/>
  <c r="AE544" i="5"/>
  <c r="AT543" i="5" l="1"/>
  <c r="AH543" i="5"/>
  <c r="AA542" i="5"/>
  <c r="I517" i="6" s="1"/>
  <c r="M543" i="5"/>
  <c r="P543" i="5"/>
  <c r="AY543" i="5" s="1"/>
  <c r="CO544" i="5"/>
  <c r="F544" i="5" s="1"/>
  <c r="CN544" i="5"/>
  <c r="E544" i="5" s="1"/>
  <c r="AG543" i="5" l="1"/>
  <c r="AJ543" i="5" s="1"/>
  <c r="AO543" i="5"/>
  <c r="AR543" i="5" s="1"/>
  <c r="N543" i="5"/>
  <c r="AS543" i="5"/>
  <c r="AV543" i="5" s="1"/>
  <c r="F518" i="6"/>
  <c r="Q543" i="5"/>
  <c r="V543" i="5" s="1"/>
  <c r="BC544" i="5"/>
  <c r="D519" i="6"/>
  <c r="C545" i="5"/>
  <c r="BU545" i="5" s="1"/>
  <c r="E519" i="6"/>
  <c r="BY544" i="5" l="1"/>
  <c r="J544" i="5" s="1"/>
  <c r="BW544" i="5"/>
  <c r="BT545" i="5"/>
  <c r="BV545" i="5"/>
  <c r="BS545" i="5"/>
  <c r="CI545" i="5"/>
  <c r="BH545" i="5"/>
  <c r="BI545" i="5" s="1"/>
  <c r="BJ545" i="5" s="1"/>
  <c r="X543" i="5"/>
  <c r="Y543" i="5" s="1"/>
  <c r="BD544" i="5"/>
  <c r="BE545" i="5" s="1"/>
  <c r="BF544" i="5"/>
  <c r="CZ544" i="5"/>
  <c r="G518" i="6"/>
  <c r="D545" i="5"/>
  <c r="CR545" i="5"/>
  <c r="CX545" i="5"/>
  <c r="CS545" i="5"/>
  <c r="CL545" i="5"/>
  <c r="CM545" i="5" s="1"/>
  <c r="AK545" i="5"/>
  <c r="AM545" i="5" s="1"/>
  <c r="AL546" i="5" s="1"/>
  <c r="CY545" i="5"/>
  <c r="AB545" i="5"/>
  <c r="CP545" i="5" s="1"/>
  <c r="CQ545" i="5" s="1"/>
  <c r="R545" i="5" s="1"/>
  <c r="S545" i="5" s="1"/>
  <c r="CW545" i="5"/>
  <c r="AC545" i="5"/>
  <c r="AD545" i="5" s="1"/>
  <c r="BK545" i="5"/>
  <c r="BL545" i="5" s="1"/>
  <c r="BM545" i="5" s="1"/>
  <c r="C520" i="6"/>
  <c r="BG544" i="5"/>
  <c r="H544" i="5" s="1"/>
  <c r="AX545" i="5"/>
  <c r="AW545" i="5" s="1"/>
  <c r="CU545" i="5"/>
  <c r="AF544" i="5" l="1"/>
  <c r="AN544" i="5"/>
  <c r="BX545" i="5"/>
  <c r="CK545" i="5"/>
  <c r="CJ545" i="5" s="1"/>
  <c r="CH545" i="5"/>
  <c r="AE545" i="5"/>
  <c r="W545" i="5"/>
  <c r="T545" i="5"/>
  <c r="U545" i="5" s="1"/>
  <c r="CT545" i="5"/>
  <c r="CV545" i="5"/>
  <c r="BN545" i="5"/>
  <c r="BO545" i="5" s="1"/>
  <c r="BP545" i="5" s="1"/>
  <c r="G545" i="5" s="1"/>
  <c r="H518" i="6"/>
  <c r="Z543" i="5"/>
  <c r="DA545" i="5"/>
  <c r="DB545" i="5" s="1"/>
  <c r="K545" i="5" s="1"/>
  <c r="L545" i="5"/>
  <c r="I544" i="5"/>
  <c r="AH544" i="5" l="1"/>
  <c r="AT544" i="5"/>
  <c r="AP544" i="5"/>
  <c r="AA543" i="5"/>
  <c r="I518" i="6" s="1"/>
  <c r="M544" i="5"/>
  <c r="P544" i="5"/>
  <c r="AY544" i="5" s="1"/>
  <c r="CO545" i="5"/>
  <c r="F545" i="5" s="1"/>
  <c r="CN545" i="5"/>
  <c r="E545" i="5" s="1"/>
  <c r="AS544" i="5" l="1"/>
  <c r="AV544" i="5" s="1"/>
  <c r="AO544" i="5"/>
  <c r="AR544" i="5" s="1"/>
  <c r="C546" i="5"/>
  <c r="BU546" i="5" s="1"/>
  <c r="E520" i="6"/>
  <c r="Q544" i="5"/>
  <c r="V544" i="5" s="1"/>
  <c r="F519" i="6"/>
  <c r="N544" i="5"/>
  <c r="AG544" i="5"/>
  <c r="D520" i="6"/>
  <c r="BC545" i="5"/>
  <c r="BY545" i="5" l="1"/>
  <c r="J545" i="5" s="1"/>
  <c r="BW545" i="5"/>
  <c r="BV546" i="5"/>
  <c r="BT546" i="5"/>
  <c r="BS546" i="5"/>
  <c r="CI546" i="5"/>
  <c r="BH546" i="5"/>
  <c r="BI546" i="5" s="1"/>
  <c r="BJ546" i="5" s="1"/>
  <c r="AJ544" i="5"/>
  <c r="G519" i="6"/>
  <c r="BD545" i="5"/>
  <c r="BE546" i="5" s="1"/>
  <c r="BF545" i="5"/>
  <c r="CZ545" i="5"/>
  <c r="AB546" i="5"/>
  <c r="CP546" i="5" s="1"/>
  <c r="CQ546" i="5" s="1"/>
  <c r="R546" i="5" s="1"/>
  <c r="S546" i="5" s="1"/>
  <c r="D546" i="5"/>
  <c r="CY546" i="5"/>
  <c r="CS546" i="5"/>
  <c r="CL546" i="5"/>
  <c r="CM546" i="5" s="1"/>
  <c r="C521" i="6"/>
  <c r="CW546" i="5"/>
  <c r="CX546" i="5"/>
  <c r="CR546" i="5"/>
  <c r="AK546" i="5"/>
  <c r="BK546" i="5"/>
  <c r="BL546" i="5" s="1"/>
  <c r="BM546" i="5" s="1"/>
  <c r="AC546" i="5"/>
  <c r="BG545" i="5"/>
  <c r="H545" i="5" s="1"/>
  <c r="AX546" i="5"/>
  <c r="AW546" i="5" s="1"/>
  <c r="CU546" i="5"/>
  <c r="AN545" i="5" l="1"/>
  <c r="AF545" i="5"/>
  <c r="BX546" i="5"/>
  <c r="AD546" i="5"/>
  <c r="AE546" i="5" s="1"/>
  <c r="CH546" i="5"/>
  <c r="CK546" i="5"/>
  <c r="CJ546" i="5" s="1"/>
  <c r="X544" i="5"/>
  <c r="Y544" i="5" s="1"/>
  <c r="T546" i="5"/>
  <c r="U546" i="5" s="1"/>
  <c r="W546" i="5"/>
  <c r="DA546" i="5"/>
  <c r="DB546" i="5" s="1"/>
  <c r="K546" i="5" s="1"/>
  <c r="BN546" i="5"/>
  <c r="BO546" i="5" s="1"/>
  <c r="BP546" i="5" s="1"/>
  <c r="G546" i="5" s="1"/>
  <c r="CT546" i="5"/>
  <c r="CV546" i="5"/>
  <c r="I545" i="5"/>
  <c r="L546" i="5"/>
  <c r="AM546" i="5"/>
  <c r="AL547" i="5" s="1"/>
  <c r="AH545" i="5" l="1"/>
  <c r="Z544" i="5"/>
  <c r="AA544" i="5" s="1"/>
  <c r="I519" i="6" s="1"/>
  <c r="H519" i="6"/>
  <c r="AT545" i="5"/>
  <c r="AP545" i="5"/>
  <c r="M545" i="5"/>
  <c r="AG545" i="5" s="1"/>
  <c r="AJ545" i="5" s="1"/>
  <c r="P545" i="5"/>
  <c r="AY545" i="5" s="1"/>
  <c r="CN546" i="5"/>
  <c r="E546" i="5" s="1"/>
  <c r="CO546" i="5"/>
  <c r="F546" i="5" s="1"/>
  <c r="N545" i="5" l="1"/>
  <c r="AS545" i="5"/>
  <c r="AV545" i="5" s="1"/>
  <c r="AO545" i="5"/>
  <c r="F520" i="6"/>
  <c r="Q545" i="5"/>
  <c r="V545" i="5" s="1"/>
  <c r="E521" i="6"/>
  <c r="C547" i="5"/>
  <c r="BU547" i="5" s="1"/>
  <c r="BC546" i="5"/>
  <c r="D521" i="6"/>
  <c r="BW546" i="5" l="1"/>
  <c r="BY546" i="5"/>
  <c r="J546" i="5" s="1"/>
  <c r="BV547" i="5"/>
  <c r="BT547" i="5"/>
  <c r="BS547" i="5"/>
  <c r="CI547" i="5"/>
  <c r="BH547" i="5"/>
  <c r="BI547" i="5" s="1"/>
  <c r="BJ547" i="5" s="1"/>
  <c r="AR545" i="5"/>
  <c r="X545" i="5" s="1"/>
  <c r="Y545" i="5" s="1"/>
  <c r="BD546" i="5"/>
  <c r="BE547" i="5" s="1"/>
  <c r="BF546" i="5"/>
  <c r="CZ546" i="5"/>
  <c r="CX547" i="5"/>
  <c r="AB547" i="5"/>
  <c r="CP547" i="5" s="1"/>
  <c r="CQ547" i="5" s="1"/>
  <c r="R547" i="5" s="1"/>
  <c r="S547" i="5" s="1"/>
  <c r="AC547" i="5"/>
  <c r="AD547" i="5" s="1"/>
  <c r="CW547" i="5"/>
  <c r="CY547" i="5"/>
  <c r="CR547" i="5"/>
  <c r="CS547" i="5"/>
  <c r="D547" i="5"/>
  <c r="C522" i="6"/>
  <c r="CL547" i="5"/>
  <c r="CM547" i="5" s="1"/>
  <c r="BK547" i="5"/>
  <c r="BL547" i="5" s="1"/>
  <c r="BM547" i="5" s="1"/>
  <c r="AK547" i="5"/>
  <c r="AM547" i="5" s="1"/>
  <c r="AL548" i="5" s="1"/>
  <c r="BG546" i="5"/>
  <c r="H546" i="5" s="1"/>
  <c r="AX547" i="5"/>
  <c r="AW547" i="5" s="1"/>
  <c r="CU547" i="5"/>
  <c r="G520" i="6"/>
  <c r="AF546" i="5" l="1"/>
  <c r="AN546" i="5"/>
  <c r="BX547" i="5"/>
  <c r="CH547" i="5"/>
  <c r="CK547" i="5"/>
  <c r="CJ547" i="5" s="1"/>
  <c r="BN547" i="5"/>
  <c r="BO547" i="5" s="1"/>
  <c r="BP547" i="5" s="1"/>
  <c r="G547" i="5" s="1"/>
  <c r="DA547" i="5"/>
  <c r="DB547" i="5" s="1"/>
  <c r="K547" i="5" s="1"/>
  <c r="AE547" i="5"/>
  <c r="W547" i="5"/>
  <c r="T547" i="5"/>
  <c r="U547" i="5" s="1"/>
  <c r="CT547" i="5"/>
  <c r="CV547" i="5"/>
  <c r="L547" i="5"/>
  <c r="H520" i="6"/>
  <c r="Z545" i="5"/>
  <c r="I546" i="5"/>
  <c r="AP546" i="5" s="1"/>
  <c r="AH546" i="5" l="1"/>
  <c r="AT546" i="5"/>
  <c r="AA545" i="5"/>
  <c r="I520" i="6" s="1"/>
  <c r="CO547" i="5"/>
  <c r="F547" i="5" s="1"/>
  <c r="CN547" i="5"/>
  <c r="E547" i="5" s="1"/>
  <c r="P546" i="5"/>
  <c r="AY546" i="5" s="1"/>
  <c r="M546" i="5"/>
  <c r="BW547" i="5" l="1"/>
  <c r="BY547" i="5"/>
  <c r="J547" i="5" s="1"/>
  <c r="AS546" i="5"/>
  <c r="AV546" i="5" s="1"/>
  <c r="AO546" i="5"/>
  <c r="N546" i="5"/>
  <c r="AG546" i="5"/>
  <c r="BC547" i="5"/>
  <c r="D522" i="6"/>
  <c r="E522" i="6"/>
  <c r="C548" i="5"/>
  <c r="BU548" i="5" s="1"/>
  <c r="Q546" i="5"/>
  <c r="V546" i="5" s="1"/>
  <c r="F521" i="6"/>
  <c r="AN547" i="5" l="1"/>
  <c r="AF547" i="5"/>
  <c r="BT548" i="5"/>
  <c r="BV548" i="5"/>
  <c r="BS548" i="5"/>
  <c r="CI548" i="5"/>
  <c r="BH548" i="5"/>
  <c r="BI548" i="5" s="1"/>
  <c r="BJ548" i="5" s="1"/>
  <c r="AR546" i="5"/>
  <c r="AJ546" i="5"/>
  <c r="CL548" i="5"/>
  <c r="CM548" i="5" s="1"/>
  <c r="CS548" i="5"/>
  <c r="AC548" i="5"/>
  <c r="CX548" i="5"/>
  <c r="CR548" i="5"/>
  <c r="AK548" i="5"/>
  <c r="CW548" i="5"/>
  <c r="AB548" i="5"/>
  <c r="BN548" i="5" s="1"/>
  <c r="BO548" i="5" s="1"/>
  <c r="BP548" i="5" s="1"/>
  <c r="CY548" i="5"/>
  <c r="C523" i="6"/>
  <c r="BK548" i="5"/>
  <c r="BL548" i="5" s="1"/>
  <c r="BM548" i="5" s="1"/>
  <c r="D548" i="5"/>
  <c r="BG547" i="5"/>
  <c r="H547" i="5" s="1"/>
  <c r="AX548" i="5"/>
  <c r="AW548" i="5" s="1"/>
  <c r="CU548" i="5"/>
  <c r="BX548" i="5" s="1"/>
  <c r="G521" i="6"/>
  <c r="CZ547" i="5"/>
  <c r="BF547" i="5"/>
  <c r="BD547" i="5"/>
  <c r="BE548" i="5" s="1"/>
  <c r="G548" i="5" l="1"/>
  <c r="AD548" i="5"/>
  <c r="AE548" i="5" s="1"/>
  <c r="CK548" i="5"/>
  <c r="CJ548" i="5" s="1"/>
  <c r="CH548" i="5"/>
  <c r="X546" i="5"/>
  <c r="Y546" i="5" s="1"/>
  <c r="Z546" i="5" s="1"/>
  <c r="DA548" i="5"/>
  <c r="DB548" i="5" s="1"/>
  <c r="K548" i="5" s="1"/>
  <c r="CT548" i="5"/>
  <c r="CV548" i="5"/>
  <c r="I547" i="5"/>
  <c r="AT547" i="5" s="1"/>
  <c r="L548" i="5"/>
  <c r="CP548" i="5"/>
  <c r="CQ548" i="5" s="1"/>
  <c r="R548" i="5" s="1"/>
  <c r="S548" i="5" s="1"/>
  <c r="W548" i="5"/>
  <c r="T548" i="5"/>
  <c r="U548" i="5" s="1"/>
  <c r="AM548" i="5"/>
  <c r="AL549" i="5" s="1"/>
  <c r="H521" i="6" l="1"/>
  <c r="AP547" i="5"/>
  <c r="AH547" i="5"/>
  <c r="M547" i="5"/>
  <c r="P547" i="5"/>
  <c r="AY547" i="5" s="1"/>
  <c r="AA546" i="5"/>
  <c r="I521" i="6" s="1"/>
  <c r="CO548" i="5"/>
  <c r="F548" i="5" s="1"/>
  <c r="CN548" i="5"/>
  <c r="E548" i="5" s="1"/>
  <c r="AS547" i="5" l="1"/>
  <c r="AV547" i="5" s="1"/>
  <c r="AO547" i="5"/>
  <c r="AR547" i="5" s="1"/>
  <c r="N547" i="5"/>
  <c r="AG547" i="5"/>
  <c r="Q547" i="5"/>
  <c r="V547" i="5" s="1"/>
  <c r="F522" i="6"/>
  <c r="BC548" i="5"/>
  <c r="D523" i="6"/>
  <c r="C549" i="5"/>
  <c r="BU549" i="5" s="1"/>
  <c r="E523" i="6"/>
  <c r="BY548" i="5" l="1"/>
  <c r="J548" i="5" s="1"/>
  <c r="BW548" i="5"/>
  <c r="BT549" i="5"/>
  <c r="BV549" i="5"/>
  <c r="BS549" i="5"/>
  <c r="CI549" i="5"/>
  <c r="BH549" i="5"/>
  <c r="BI549" i="5" s="1"/>
  <c r="BJ549" i="5" s="1"/>
  <c r="AJ547" i="5"/>
  <c r="X547" i="5" s="1"/>
  <c r="Y547" i="5" s="1"/>
  <c r="BD548" i="5"/>
  <c r="BE549" i="5" s="1"/>
  <c r="CZ548" i="5"/>
  <c r="BF548" i="5"/>
  <c r="AC549" i="5"/>
  <c r="CL549" i="5"/>
  <c r="CM549" i="5" s="1"/>
  <c r="CX549" i="5"/>
  <c r="AB549" i="5"/>
  <c r="L549" i="5" s="1"/>
  <c r="CS549" i="5"/>
  <c r="AK549" i="5"/>
  <c r="AM549" i="5" s="1"/>
  <c r="AL550" i="5" s="1"/>
  <c r="BK549" i="5"/>
  <c r="BL549" i="5" s="1"/>
  <c r="BM549" i="5" s="1"/>
  <c r="D549" i="5"/>
  <c r="CW549" i="5"/>
  <c r="CR549" i="5"/>
  <c r="C524" i="6"/>
  <c r="CY549" i="5"/>
  <c r="BG548" i="5"/>
  <c r="H548" i="5" s="1"/>
  <c r="AX549" i="5"/>
  <c r="AW549" i="5" s="1"/>
  <c r="CU549" i="5"/>
  <c r="G522" i="6"/>
  <c r="AN548" i="5" l="1"/>
  <c r="AF548" i="5"/>
  <c r="BX549" i="5"/>
  <c r="AD549" i="5"/>
  <c r="AE549" i="5" s="1"/>
  <c r="CH549" i="5"/>
  <c r="CK549" i="5"/>
  <c r="CJ549" i="5" s="1"/>
  <c r="T549" i="5"/>
  <c r="U549" i="5" s="1"/>
  <c r="W549" i="5"/>
  <c r="CP549" i="5"/>
  <c r="CQ549" i="5" s="1"/>
  <c r="R549" i="5" s="1"/>
  <c r="S549" i="5" s="1"/>
  <c r="H522" i="6"/>
  <c r="Z547" i="5"/>
  <c r="CT549" i="5"/>
  <c r="CV549" i="5"/>
  <c r="BN549" i="5"/>
  <c r="BO549" i="5" s="1"/>
  <c r="BP549" i="5" s="1"/>
  <c r="G549" i="5" s="1"/>
  <c r="I548" i="5"/>
  <c r="AP548" i="5" s="1"/>
  <c r="DA549" i="5"/>
  <c r="DB549" i="5" s="1"/>
  <c r="K549" i="5" s="1"/>
  <c r="AH548" i="5" l="1"/>
  <c r="AT548" i="5"/>
  <c r="CN549" i="5"/>
  <c r="E549" i="5" s="1"/>
  <c r="CO549" i="5"/>
  <c r="F549" i="5" s="1"/>
  <c r="P548" i="5"/>
  <c r="AY548" i="5" s="1"/>
  <c r="M548" i="5"/>
  <c r="AA547" i="5"/>
  <c r="I522" i="6" s="1"/>
  <c r="AO548" i="5" l="1"/>
  <c r="AR548" i="5" s="1"/>
  <c r="AG548" i="5"/>
  <c r="F523" i="6"/>
  <c r="Q548" i="5"/>
  <c r="V548" i="5" s="1"/>
  <c r="G523" i="6" s="1"/>
  <c r="E524" i="6"/>
  <c r="C550" i="5"/>
  <c r="BU550" i="5" s="1"/>
  <c r="D524" i="6"/>
  <c r="BC549" i="5"/>
  <c r="N548" i="5"/>
  <c r="AS548" i="5"/>
  <c r="AV548" i="5" s="1"/>
  <c r="BW549" i="5" l="1"/>
  <c r="BY549" i="5"/>
  <c r="J549" i="5" s="1"/>
  <c r="BT550" i="5"/>
  <c r="BV550" i="5"/>
  <c r="BS550" i="5"/>
  <c r="CI550" i="5"/>
  <c r="BH550" i="5"/>
  <c r="BI550" i="5" s="1"/>
  <c r="BJ550" i="5" s="1"/>
  <c r="AJ548" i="5"/>
  <c r="BD549" i="5"/>
  <c r="BE550" i="5" s="1"/>
  <c r="BF549" i="5"/>
  <c r="CZ549" i="5"/>
  <c r="CS550" i="5"/>
  <c r="CY550" i="5"/>
  <c r="AB550" i="5"/>
  <c r="L550" i="5" s="1"/>
  <c r="CW550" i="5"/>
  <c r="AC550" i="5"/>
  <c r="AD550" i="5" s="1"/>
  <c r="CL550" i="5"/>
  <c r="CM550" i="5" s="1"/>
  <c r="BK550" i="5"/>
  <c r="BL550" i="5" s="1"/>
  <c r="BM550" i="5" s="1"/>
  <c r="D550" i="5"/>
  <c r="AK550" i="5"/>
  <c r="CX550" i="5"/>
  <c r="CR550" i="5"/>
  <c r="C525" i="6"/>
  <c r="BG549" i="5"/>
  <c r="H549" i="5" s="1"/>
  <c r="AX550" i="5"/>
  <c r="AW550" i="5" s="1"/>
  <c r="CU550" i="5"/>
  <c r="AF549" i="5" l="1"/>
  <c r="AN549" i="5"/>
  <c r="BX550" i="5"/>
  <c r="CH550" i="5"/>
  <c r="CK550" i="5"/>
  <c r="CJ550" i="5" s="1"/>
  <c r="X548" i="5"/>
  <c r="Y548" i="5" s="1"/>
  <c r="DA550" i="5"/>
  <c r="DB550" i="5" s="1"/>
  <c r="K550" i="5" s="1"/>
  <c r="CP550" i="5"/>
  <c r="CQ550" i="5" s="1"/>
  <c r="R550" i="5" s="1"/>
  <c r="S550" i="5" s="1"/>
  <c r="BN550" i="5"/>
  <c r="BO550" i="5" s="1"/>
  <c r="BP550" i="5" s="1"/>
  <c r="G550" i="5" s="1"/>
  <c r="AM550" i="5"/>
  <c r="AL551" i="5" s="1"/>
  <c r="T550" i="5"/>
  <c r="U550" i="5" s="1"/>
  <c r="W550" i="5"/>
  <c r="I549" i="5"/>
  <c r="AH549" i="5" s="1"/>
  <c r="AE550" i="5"/>
  <c r="CT550" i="5"/>
  <c r="CV550" i="5"/>
  <c r="H523" i="6" l="1"/>
  <c r="Z548" i="5"/>
  <c r="AA548" i="5" s="1"/>
  <c r="I523" i="6" s="1"/>
  <c r="M549" i="5"/>
  <c r="AG549" i="5" s="1"/>
  <c r="AJ549" i="5" s="1"/>
  <c r="P549" i="5"/>
  <c r="AY549" i="5" s="1"/>
  <c r="CN550" i="5"/>
  <c r="E550" i="5" s="1"/>
  <c r="CO550" i="5"/>
  <c r="F550" i="5" s="1"/>
  <c r="AT549" i="5"/>
  <c r="AP549" i="5"/>
  <c r="BC550" i="5" l="1"/>
  <c r="D525" i="6"/>
  <c r="C551" i="5"/>
  <c r="BU551" i="5" s="1"/>
  <c r="E525" i="6"/>
  <c r="Q549" i="5"/>
  <c r="V549" i="5" s="1"/>
  <c r="F524" i="6"/>
  <c r="N549" i="5"/>
  <c r="AS549" i="5"/>
  <c r="AV549" i="5" s="1"/>
  <c r="AO549" i="5"/>
  <c r="BW550" i="5" l="1"/>
  <c r="BY550" i="5"/>
  <c r="J550" i="5" s="1"/>
  <c r="BT551" i="5"/>
  <c r="BV551" i="5"/>
  <c r="BS551" i="5"/>
  <c r="CI551" i="5"/>
  <c r="BH551" i="5"/>
  <c r="BI551" i="5" s="1"/>
  <c r="BJ551" i="5" s="1"/>
  <c r="G524" i="6"/>
  <c r="BK551" i="5"/>
  <c r="BL551" i="5" s="1"/>
  <c r="BM551" i="5" s="1"/>
  <c r="CL551" i="5"/>
  <c r="CM551" i="5" s="1"/>
  <c r="CX551" i="5"/>
  <c r="CY551" i="5"/>
  <c r="AB551" i="5"/>
  <c r="L551" i="5" s="1"/>
  <c r="C526" i="6"/>
  <c r="CS551" i="5"/>
  <c r="CR551" i="5"/>
  <c r="D551" i="5"/>
  <c r="AC551" i="5"/>
  <c r="AK551" i="5"/>
  <c r="CW551" i="5"/>
  <c r="BG550" i="5"/>
  <c r="H550" i="5" s="1"/>
  <c r="AX551" i="5"/>
  <c r="AW551" i="5" s="1"/>
  <c r="CU551" i="5"/>
  <c r="AR549" i="5"/>
  <c r="BF550" i="5"/>
  <c r="BD550" i="5"/>
  <c r="BE551" i="5" s="1"/>
  <c r="CZ550" i="5"/>
  <c r="AF550" i="5" l="1"/>
  <c r="AN550" i="5"/>
  <c r="BX551" i="5"/>
  <c r="AD551" i="5"/>
  <c r="AE551" i="5" s="1"/>
  <c r="CH551" i="5"/>
  <c r="CK551" i="5"/>
  <c r="CJ551" i="5" s="1"/>
  <c r="X549" i="5"/>
  <c r="Y549" i="5" s="1"/>
  <c r="DA551" i="5"/>
  <c r="DB551" i="5" s="1"/>
  <c r="I550" i="5"/>
  <c r="AP550" i="5" s="1"/>
  <c r="CP551" i="5"/>
  <c r="CQ551" i="5" s="1"/>
  <c r="R551" i="5" s="1"/>
  <c r="S551" i="5" s="1"/>
  <c r="CT551" i="5"/>
  <c r="CV551" i="5"/>
  <c r="AM551" i="5"/>
  <c r="AL552" i="5" s="1"/>
  <c r="BN551" i="5"/>
  <c r="BO551" i="5" s="1"/>
  <c r="BP551" i="5" s="1"/>
  <c r="G551" i="5" s="1"/>
  <c r="T551" i="5"/>
  <c r="U551" i="5" s="1"/>
  <c r="W551" i="5"/>
  <c r="K551" i="5" l="1"/>
  <c r="Z549" i="5"/>
  <c r="AA549" i="5" s="1"/>
  <c r="I524" i="6" s="1"/>
  <c r="H524" i="6"/>
  <c r="AH550" i="5"/>
  <c r="AT550" i="5"/>
  <c r="M550" i="5"/>
  <c r="P550" i="5"/>
  <c r="AY550" i="5" s="1"/>
  <c r="CO551" i="5"/>
  <c r="F551" i="5" s="1"/>
  <c r="CN551" i="5"/>
  <c r="E551" i="5" s="1"/>
  <c r="BW551" i="5" l="1"/>
  <c r="AG550" i="5"/>
  <c r="AJ550" i="5" s="1"/>
  <c r="AO550" i="5"/>
  <c r="AR550" i="5" s="1"/>
  <c r="N550" i="5"/>
  <c r="AS550" i="5"/>
  <c r="AV550" i="5" s="1"/>
  <c r="Q550" i="5"/>
  <c r="V550" i="5" s="1"/>
  <c r="F525" i="6"/>
  <c r="BC551" i="5"/>
  <c r="D526" i="6"/>
  <c r="E526" i="6"/>
  <c r="C552" i="5"/>
  <c r="BU552" i="5" s="1"/>
  <c r="BY551" i="5" l="1"/>
  <c r="J551" i="5" s="1"/>
  <c r="BV552" i="5"/>
  <c r="BT552" i="5"/>
  <c r="BS552" i="5"/>
  <c r="CI552" i="5"/>
  <c r="BH552" i="5"/>
  <c r="BI552" i="5" s="1"/>
  <c r="BJ552" i="5" s="1"/>
  <c r="X550" i="5"/>
  <c r="Y550" i="5" s="1"/>
  <c r="BD551" i="5"/>
  <c r="BE552" i="5" s="1"/>
  <c r="BF551" i="5"/>
  <c r="CZ551" i="5"/>
  <c r="G525" i="6"/>
  <c r="AB552" i="5"/>
  <c r="L552" i="5" s="1"/>
  <c r="AC552" i="5"/>
  <c r="CS552" i="5"/>
  <c r="CW552" i="5"/>
  <c r="C527" i="6"/>
  <c r="CR552" i="5"/>
  <c r="D552" i="5"/>
  <c r="AK552" i="5"/>
  <c r="CX552" i="5"/>
  <c r="CL552" i="5"/>
  <c r="CM552" i="5" s="1"/>
  <c r="CY552" i="5"/>
  <c r="BK552" i="5"/>
  <c r="BL552" i="5" s="1"/>
  <c r="BM552" i="5" s="1"/>
  <c r="BG551" i="5"/>
  <c r="H551" i="5" s="1"/>
  <c r="AX552" i="5"/>
  <c r="AW552" i="5" s="1"/>
  <c r="CU552" i="5"/>
  <c r="BX552" i="5" s="1"/>
  <c r="AF551" i="5" l="1"/>
  <c r="AN551" i="5"/>
  <c r="AD552" i="5"/>
  <c r="AE552" i="5" s="1"/>
  <c r="CH552" i="5"/>
  <c r="CK552" i="5"/>
  <c r="CJ552" i="5" s="1"/>
  <c r="BN552" i="5"/>
  <c r="BO552" i="5" s="1"/>
  <c r="BP552" i="5" s="1"/>
  <c r="G552" i="5" s="1"/>
  <c r="DA552" i="5"/>
  <c r="DB552" i="5" s="1"/>
  <c r="K552" i="5" s="1"/>
  <c r="AM552" i="5"/>
  <c r="AL553" i="5" s="1"/>
  <c r="CP552" i="5"/>
  <c r="CQ552" i="5" s="1"/>
  <c r="R552" i="5" s="1"/>
  <c r="S552" i="5" s="1"/>
  <c r="W552" i="5"/>
  <c r="T552" i="5"/>
  <c r="U552" i="5" s="1"/>
  <c r="H525" i="6"/>
  <c r="Z550" i="5"/>
  <c r="CV552" i="5"/>
  <c r="CT552" i="5"/>
  <c r="I551" i="5"/>
  <c r="AH551" i="5" l="1"/>
  <c r="AT551" i="5"/>
  <c r="AP551" i="5"/>
  <c r="CO552" i="5"/>
  <c r="F552" i="5" s="1"/>
  <c r="CN552" i="5"/>
  <c r="E552" i="5" s="1"/>
  <c r="AA550" i="5"/>
  <c r="I525" i="6" s="1"/>
  <c r="P551" i="5"/>
  <c r="AY551" i="5" s="1"/>
  <c r="M551" i="5"/>
  <c r="BW552" i="5" l="1"/>
  <c r="AS551" i="5"/>
  <c r="AV551" i="5" s="1"/>
  <c r="AO551" i="5"/>
  <c r="Q551" i="5"/>
  <c r="V551" i="5" s="1"/>
  <c r="F526" i="6"/>
  <c r="D527" i="6"/>
  <c r="BC552" i="5"/>
  <c r="C553" i="5"/>
  <c r="BU553" i="5" s="1"/>
  <c r="E527" i="6"/>
  <c r="N551" i="5"/>
  <c r="AG551" i="5"/>
  <c r="BY552" i="5" l="1"/>
  <c r="J552" i="5" s="1"/>
  <c r="BT553" i="5"/>
  <c r="BV553" i="5"/>
  <c r="BS553" i="5"/>
  <c r="CI553" i="5"/>
  <c r="BH553" i="5"/>
  <c r="BI553" i="5" s="1"/>
  <c r="BJ553" i="5" s="1"/>
  <c r="AR551" i="5"/>
  <c r="CS553" i="5"/>
  <c r="AC553" i="5"/>
  <c r="AD553" i="5" s="1"/>
  <c r="AB553" i="5"/>
  <c r="DA553" i="5" s="1"/>
  <c r="DB553" i="5" s="1"/>
  <c r="CL553" i="5"/>
  <c r="CM553" i="5" s="1"/>
  <c r="CY553" i="5"/>
  <c r="BK553" i="5"/>
  <c r="BL553" i="5" s="1"/>
  <c r="BM553" i="5" s="1"/>
  <c r="C528" i="6"/>
  <c r="CR553" i="5"/>
  <c r="CW553" i="5"/>
  <c r="AK553" i="5"/>
  <c r="D553" i="5"/>
  <c r="CX553" i="5"/>
  <c r="BG552" i="5"/>
  <c r="H552" i="5" s="1"/>
  <c r="AX553" i="5"/>
  <c r="AW553" i="5" s="1"/>
  <c r="CU553" i="5"/>
  <c r="BX553" i="5" s="1"/>
  <c r="G526" i="6"/>
  <c r="BD552" i="5"/>
  <c r="BE553" i="5" s="1"/>
  <c r="CZ552" i="5"/>
  <c r="BF552" i="5"/>
  <c r="AJ551" i="5"/>
  <c r="AN552" i="5" l="1"/>
  <c r="AF552" i="5"/>
  <c r="CK553" i="5"/>
  <c r="CJ553" i="5" s="1"/>
  <c r="K553" i="5" s="1"/>
  <c r="CH553" i="5"/>
  <c r="X551" i="5"/>
  <c r="Y551" i="5" s="1"/>
  <c r="CP553" i="5"/>
  <c r="CQ553" i="5" s="1"/>
  <c r="R553" i="5" s="1"/>
  <c r="S553" i="5" s="1"/>
  <c r="L553" i="5"/>
  <c r="AM553" i="5"/>
  <c r="AL554" i="5" s="1"/>
  <c r="AE553" i="5"/>
  <c r="I552" i="5"/>
  <c r="AH552" i="5" s="1"/>
  <c r="T553" i="5"/>
  <c r="U553" i="5" s="1"/>
  <c r="W553" i="5"/>
  <c r="CV553" i="5"/>
  <c r="CT553" i="5"/>
  <c r="BN553" i="5"/>
  <c r="BO553" i="5" s="1"/>
  <c r="BP553" i="5" s="1"/>
  <c r="G553" i="5" s="1"/>
  <c r="H526" i="6" l="1"/>
  <c r="Z551" i="5"/>
  <c r="AA551" i="5" s="1"/>
  <c r="I526" i="6" s="1"/>
  <c r="AT552" i="5"/>
  <c r="AP552" i="5"/>
  <c r="CO553" i="5"/>
  <c r="F553" i="5" s="1"/>
  <c r="CN553" i="5"/>
  <c r="E553" i="5" s="1"/>
  <c r="P552" i="5"/>
  <c r="AY552" i="5" s="1"/>
  <c r="M552" i="5"/>
  <c r="BY553" i="5" l="1"/>
  <c r="J553" i="5" s="1"/>
  <c r="AF553" i="5" s="1"/>
  <c r="BW553" i="5"/>
  <c r="AO552" i="5"/>
  <c r="AG552" i="5"/>
  <c r="AJ552" i="5" s="1"/>
  <c r="N552" i="5"/>
  <c r="AS552" i="5"/>
  <c r="AV552" i="5" s="1"/>
  <c r="F527" i="6"/>
  <c r="Q552" i="5"/>
  <c r="V552" i="5" s="1"/>
  <c r="BC553" i="5"/>
  <c r="D528" i="6"/>
  <c r="C554" i="5"/>
  <c r="BU554" i="5" s="1"/>
  <c r="E528" i="6"/>
  <c r="AN553" i="5" l="1"/>
  <c r="BV554" i="5"/>
  <c r="BT554" i="5"/>
  <c r="BS554" i="5"/>
  <c r="CI554" i="5"/>
  <c r="BH554" i="5"/>
  <c r="BI554" i="5" s="1"/>
  <c r="BJ554" i="5" s="1"/>
  <c r="AR552" i="5"/>
  <c r="C529" i="6"/>
  <c r="AB554" i="5"/>
  <c r="DA554" i="5" s="1"/>
  <c r="DB554" i="5" s="1"/>
  <c r="D554" i="5"/>
  <c r="CS554" i="5"/>
  <c r="CY554" i="5"/>
  <c r="AK554" i="5"/>
  <c r="AM554" i="5" s="1"/>
  <c r="AL555" i="5" s="1"/>
  <c r="AC554" i="5"/>
  <c r="AD554" i="5" s="1"/>
  <c r="CL554" i="5"/>
  <c r="CM554" i="5" s="1"/>
  <c r="BK554" i="5"/>
  <c r="BL554" i="5" s="1"/>
  <c r="BM554" i="5" s="1"/>
  <c r="CX554" i="5"/>
  <c r="CR554" i="5"/>
  <c r="CW554" i="5"/>
  <c r="BG553" i="5"/>
  <c r="H553" i="5" s="1"/>
  <c r="AX554" i="5"/>
  <c r="AW554" i="5" s="1"/>
  <c r="CU554" i="5"/>
  <c r="BX554" i="5" s="1"/>
  <c r="BF553" i="5"/>
  <c r="CZ553" i="5"/>
  <c r="BD553" i="5"/>
  <c r="BE554" i="5" s="1"/>
  <c r="G527" i="6"/>
  <c r="CH554" i="5" l="1"/>
  <c r="CK554" i="5"/>
  <c r="CJ554" i="5" s="1"/>
  <c r="K554" i="5" s="1"/>
  <c r="X552" i="5"/>
  <c r="Y552" i="5" s="1"/>
  <c r="L554" i="5"/>
  <c r="BN554" i="5"/>
  <c r="BO554" i="5" s="1"/>
  <c r="BP554" i="5" s="1"/>
  <c r="G554" i="5" s="1"/>
  <c r="CP554" i="5"/>
  <c r="CQ554" i="5" s="1"/>
  <c r="R554" i="5" s="1"/>
  <c r="S554" i="5" s="1"/>
  <c r="I553" i="5"/>
  <c r="AP553" i="5" s="1"/>
  <c r="W554" i="5"/>
  <c r="T554" i="5"/>
  <c r="U554" i="5" s="1"/>
  <c r="CT554" i="5"/>
  <c r="CV554" i="5"/>
  <c r="AE554" i="5"/>
  <c r="H527" i="6" l="1"/>
  <c r="Z552" i="5"/>
  <c r="AA552" i="5" s="1"/>
  <c r="I527" i="6" s="1"/>
  <c r="AH553" i="5"/>
  <c r="AT553" i="5"/>
  <c r="CO554" i="5"/>
  <c r="F554" i="5" s="1"/>
  <c r="CN554" i="5"/>
  <c r="E554" i="5" s="1"/>
  <c r="M553" i="5"/>
  <c r="P553" i="5"/>
  <c r="AY553" i="5" s="1"/>
  <c r="AS553" i="5" l="1"/>
  <c r="AV553" i="5" s="1"/>
  <c r="AO553" i="5"/>
  <c r="AR553" i="5" s="1"/>
  <c r="N553" i="5"/>
  <c r="AG553" i="5"/>
  <c r="D529" i="6"/>
  <c r="BC554" i="5"/>
  <c r="C555" i="5"/>
  <c r="BU555" i="5" s="1"/>
  <c r="E529" i="6"/>
  <c r="F528" i="6"/>
  <c r="Q553" i="5"/>
  <c r="V553" i="5" s="1"/>
  <c r="BW554" i="5" l="1"/>
  <c r="BY554" i="5"/>
  <c r="J554" i="5" s="1"/>
  <c r="BV555" i="5"/>
  <c r="BT555" i="5"/>
  <c r="BS555" i="5"/>
  <c r="CI555" i="5"/>
  <c r="BH555" i="5"/>
  <c r="BI555" i="5" s="1"/>
  <c r="BJ555" i="5" s="1"/>
  <c r="AJ553" i="5"/>
  <c r="BK555" i="5"/>
  <c r="BL555" i="5" s="1"/>
  <c r="BM555" i="5" s="1"/>
  <c r="AC555" i="5"/>
  <c r="AD555" i="5" s="1"/>
  <c r="CX555" i="5"/>
  <c r="CY555" i="5"/>
  <c r="CW555" i="5"/>
  <c r="CL555" i="5"/>
  <c r="CM555" i="5" s="1"/>
  <c r="CR555" i="5"/>
  <c r="AB555" i="5"/>
  <c r="CP555" i="5" s="1"/>
  <c r="CQ555" i="5" s="1"/>
  <c r="R555" i="5" s="1"/>
  <c r="S555" i="5" s="1"/>
  <c r="C530" i="6"/>
  <c r="AK555" i="5"/>
  <c r="AM555" i="5" s="1"/>
  <c r="AL556" i="5" s="1"/>
  <c r="CS555" i="5"/>
  <c r="D555" i="5"/>
  <c r="BG554" i="5"/>
  <c r="H554" i="5" s="1"/>
  <c r="AX555" i="5"/>
  <c r="AW555" i="5" s="1"/>
  <c r="CU555" i="5"/>
  <c r="G528" i="6"/>
  <c r="CZ554" i="5"/>
  <c r="BF554" i="5"/>
  <c r="BD554" i="5"/>
  <c r="BE555" i="5" s="1"/>
  <c r="AN554" i="5" l="1"/>
  <c r="AF554" i="5"/>
  <c r="BX555" i="5"/>
  <c r="CH555" i="5"/>
  <c r="CK555" i="5"/>
  <c r="CJ555" i="5" s="1"/>
  <c r="X553" i="5"/>
  <c r="Y553" i="5" s="1"/>
  <c r="DA555" i="5"/>
  <c r="DB555" i="5" s="1"/>
  <c r="K555" i="5" s="1"/>
  <c r="BN555" i="5"/>
  <c r="BO555" i="5" s="1"/>
  <c r="BP555" i="5" s="1"/>
  <c r="G555" i="5" s="1"/>
  <c r="CT555" i="5"/>
  <c r="CV555" i="5"/>
  <c r="I554" i="5"/>
  <c r="AP554" i="5" s="1"/>
  <c r="AE555" i="5"/>
  <c r="T555" i="5"/>
  <c r="U555" i="5" s="1"/>
  <c r="W555" i="5"/>
  <c r="L555" i="5"/>
  <c r="H528" i="6" l="1"/>
  <c r="Z553" i="5"/>
  <c r="AA553" i="5" s="1"/>
  <c r="I528" i="6" s="1"/>
  <c r="AH554" i="5"/>
  <c r="AT554" i="5"/>
  <c r="M554" i="5"/>
  <c r="P554" i="5"/>
  <c r="AY554" i="5" s="1"/>
  <c r="CO555" i="5"/>
  <c r="F555" i="5" s="1"/>
  <c r="CN555" i="5"/>
  <c r="E555" i="5" s="1"/>
  <c r="BW555" i="5" l="1"/>
  <c r="BY555" i="5"/>
  <c r="J555" i="5" s="1"/>
  <c r="AN555" i="5" s="1"/>
  <c r="AS554" i="5"/>
  <c r="AV554" i="5" s="1"/>
  <c r="AO554" i="5"/>
  <c r="AR554" i="5" s="1"/>
  <c r="N554" i="5"/>
  <c r="AG554" i="5"/>
  <c r="D530" i="6"/>
  <c r="BC555" i="5"/>
  <c r="E530" i="6"/>
  <c r="C556" i="5"/>
  <c r="BU556" i="5" s="1"/>
  <c r="Q554" i="5"/>
  <c r="V554" i="5" s="1"/>
  <c r="F529" i="6"/>
  <c r="AF555" i="5" l="1"/>
  <c r="BT556" i="5"/>
  <c r="BV556" i="5"/>
  <c r="BS556" i="5"/>
  <c r="CI556" i="5"/>
  <c r="BH556" i="5"/>
  <c r="BI556" i="5" s="1"/>
  <c r="BJ556" i="5" s="1"/>
  <c r="AJ554" i="5"/>
  <c r="X554" i="5" s="1"/>
  <c r="Y554" i="5" s="1"/>
  <c r="CR556" i="5"/>
  <c r="AB556" i="5"/>
  <c r="DA556" i="5" s="1"/>
  <c r="DB556" i="5" s="1"/>
  <c r="BK556" i="5"/>
  <c r="BL556" i="5" s="1"/>
  <c r="BM556" i="5" s="1"/>
  <c r="AK556" i="5"/>
  <c r="AM556" i="5" s="1"/>
  <c r="AL557" i="5" s="1"/>
  <c r="AC556" i="5"/>
  <c r="CX556" i="5"/>
  <c r="CY556" i="5"/>
  <c r="CW556" i="5"/>
  <c r="C531" i="6"/>
  <c r="CL556" i="5"/>
  <c r="CM556" i="5" s="1"/>
  <c r="CS556" i="5"/>
  <c r="D556" i="5"/>
  <c r="BG555" i="5"/>
  <c r="H555" i="5" s="1"/>
  <c r="AX556" i="5"/>
  <c r="AW556" i="5" s="1"/>
  <c r="CU556" i="5"/>
  <c r="BX556" i="5" s="1"/>
  <c r="G529" i="6"/>
  <c r="CZ555" i="5"/>
  <c r="BF555" i="5"/>
  <c r="BD555" i="5"/>
  <c r="BE556" i="5" s="1"/>
  <c r="AD556" i="5" l="1"/>
  <c r="AE556" i="5" s="1"/>
  <c r="CK556" i="5"/>
  <c r="CJ556" i="5" s="1"/>
  <c r="K556" i="5" s="1"/>
  <c r="CH556" i="5"/>
  <c r="CP556" i="5"/>
  <c r="CQ556" i="5" s="1"/>
  <c r="R556" i="5" s="1"/>
  <c r="S556" i="5" s="1"/>
  <c r="BN556" i="5"/>
  <c r="BO556" i="5" s="1"/>
  <c r="BP556" i="5" s="1"/>
  <c r="G556" i="5" s="1"/>
  <c r="L556" i="5"/>
  <c r="CT556" i="5"/>
  <c r="CV556" i="5"/>
  <c r="W556" i="5"/>
  <c r="T556" i="5"/>
  <c r="U556" i="5" s="1"/>
  <c r="I555" i="5"/>
  <c r="AP555" i="5" s="1"/>
  <c r="H529" i="6"/>
  <c r="Z554" i="5"/>
  <c r="P555" i="5" l="1"/>
  <c r="AY555" i="5" s="1"/>
  <c r="M555" i="5"/>
  <c r="CN556" i="5"/>
  <c r="E556" i="5" s="1"/>
  <c r="CO556" i="5"/>
  <c r="F556" i="5" s="1"/>
  <c r="AA554" i="5"/>
  <c r="I529" i="6" s="1"/>
  <c r="AH555" i="5"/>
  <c r="AT555" i="5"/>
  <c r="BY556" i="5" l="1"/>
  <c r="J556" i="5" s="1"/>
  <c r="AF556" i="5" s="1"/>
  <c r="BW556" i="5"/>
  <c r="AO555" i="5"/>
  <c r="AR555" i="5" s="1"/>
  <c r="AG555" i="5"/>
  <c r="AJ555" i="5" s="1"/>
  <c r="D531" i="6"/>
  <c r="BC556" i="5"/>
  <c r="C557" i="5"/>
  <c r="BU557" i="5" s="1"/>
  <c r="E531" i="6"/>
  <c r="N555" i="5"/>
  <c r="AS555" i="5"/>
  <c r="AV555" i="5" s="1"/>
  <c r="Q555" i="5"/>
  <c r="V555" i="5" s="1"/>
  <c r="G530" i="6" s="1"/>
  <c r="F530" i="6"/>
  <c r="AN556" i="5" l="1"/>
  <c r="BT557" i="5"/>
  <c r="BV557" i="5"/>
  <c r="BS557" i="5"/>
  <c r="CI557" i="5"/>
  <c r="BH557" i="5"/>
  <c r="BI557" i="5" s="1"/>
  <c r="BJ557" i="5" s="1"/>
  <c r="X555" i="5"/>
  <c r="Y555" i="5" s="1"/>
  <c r="CL557" i="5"/>
  <c r="CM557" i="5" s="1"/>
  <c r="BK557" i="5"/>
  <c r="BL557" i="5" s="1"/>
  <c r="BM557" i="5" s="1"/>
  <c r="AB557" i="5"/>
  <c r="CP557" i="5" s="1"/>
  <c r="CQ557" i="5" s="1"/>
  <c r="R557" i="5" s="1"/>
  <c r="S557" i="5" s="1"/>
  <c r="CY557" i="5"/>
  <c r="AK557" i="5"/>
  <c r="AM557" i="5" s="1"/>
  <c r="AL558" i="5" s="1"/>
  <c r="CR557" i="5"/>
  <c r="D557" i="5"/>
  <c r="AC557" i="5"/>
  <c r="AD557" i="5" s="1"/>
  <c r="CS557" i="5"/>
  <c r="C532" i="6"/>
  <c r="CX557" i="5"/>
  <c r="CW557" i="5"/>
  <c r="BG556" i="5"/>
  <c r="H556" i="5" s="1"/>
  <c r="AX557" i="5"/>
  <c r="AW557" i="5" s="1"/>
  <c r="CU557" i="5"/>
  <c r="BX557" i="5" s="1"/>
  <c r="BF556" i="5"/>
  <c r="CZ556" i="5"/>
  <c r="BD556" i="5"/>
  <c r="BE557" i="5" s="1"/>
  <c r="CH557" i="5" l="1"/>
  <c r="CK557" i="5"/>
  <c r="CJ557" i="5" s="1"/>
  <c r="AE557" i="5"/>
  <c r="DA557" i="5"/>
  <c r="DB557" i="5" s="1"/>
  <c r="K557" i="5" s="1"/>
  <c r="W557" i="5"/>
  <c r="T557" i="5"/>
  <c r="U557" i="5" s="1"/>
  <c r="I556" i="5"/>
  <c r="AH556" i="5" s="1"/>
  <c r="L557" i="5"/>
  <c r="CT557" i="5"/>
  <c r="CV557" i="5"/>
  <c r="BN557" i="5"/>
  <c r="BO557" i="5" s="1"/>
  <c r="BP557" i="5" s="1"/>
  <c r="G557" i="5" s="1"/>
  <c r="H530" i="6"/>
  <c r="Z555" i="5"/>
  <c r="CN557" i="5" l="1"/>
  <c r="E557" i="5" s="1"/>
  <c r="CO557" i="5"/>
  <c r="F557" i="5" s="1"/>
  <c r="AA555" i="5"/>
  <c r="I530" i="6" s="1"/>
  <c r="AT556" i="5"/>
  <c r="AP556" i="5"/>
  <c r="P556" i="5"/>
  <c r="M556" i="5"/>
  <c r="AG556" i="5" s="1"/>
  <c r="AJ556" i="5" s="1"/>
  <c r="BW557" i="5" l="1"/>
  <c r="BY557" i="5"/>
  <c r="J557" i="5" s="1"/>
  <c r="AN557" i="5" s="1"/>
  <c r="BB556" i="5"/>
  <c r="AY556" i="5"/>
  <c r="N556" i="5"/>
  <c r="AS556" i="5"/>
  <c r="AV556" i="5" s="1"/>
  <c r="AO556" i="5"/>
  <c r="AR556" i="5" s="1"/>
  <c r="D532" i="6"/>
  <c r="BC557" i="5"/>
  <c r="Q556" i="5"/>
  <c r="V556" i="5" s="1"/>
  <c r="F531" i="6"/>
  <c r="C558" i="5"/>
  <c r="BU558" i="5" s="1"/>
  <c r="E532" i="6"/>
  <c r="AF557" i="5" l="1"/>
  <c r="BT558" i="5"/>
  <c r="BV558" i="5"/>
  <c r="BS558" i="5"/>
  <c r="CI558" i="5"/>
  <c r="BH558" i="5"/>
  <c r="BI558" i="5" s="1"/>
  <c r="BJ558" i="5" s="1"/>
  <c r="X556" i="5"/>
  <c r="Y556" i="5" s="1"/>
  <c r="CL558" i="5"/>
  <c r="CM558" i="5" s="1"/>
  <c r="CR558" i="5"/>
  <c r="CW558" i="5"/>
  <c r="AC558" i="5"/>
  <c r="AD558" i="5" s="1"/>
  <c r="CY558" i="5"/>
  <c r="C533" i="6"/>
  <c r="CS558" i="5"/>
  <c r="CX558" i="5"/>
  <c r="BK558" i="5"/>
  <c r="BL558" i="5" s="1"/>
  <c r="BM558" i="5" s="1"/>
  <c r="D558" i="5"/>
  <c r="AB558" i="5"/>
  <c r="BN558" i="5" s="1"/>
  <c r="BO558" i="5" s="1"/>
  <c r="BP558" i="5" s="1"/>
  <c r="AK558" i="5"/>
  <c r="AM558" i="5" s="1"/>
  <c r="AL559" i="5" s="1"/>
  <c r="BG557" i="5"/>
  <c r="H557" i="5" s="1"/>
  <c r="AX558" i="5"/>
  <c r="AW558" i="5" s="1"/>
  <c r="CU558" i="5"/>
  <c r="BX558" i="5" s="1"/>
  <c r="G531" i="6"/>
  <c r="BF557" i="5"/>
  <c r="BD557" i="5"/>
  <c r="BE558" i="5" s="1"/>
  <c r="CZ557" i="5"/>
  <c r="G558" i="5" l="1"/>
  <c r="CH558" i="5"/>
  <c r="CK558" i="5"/>
  <c r="CJ558" i="5" s="1"/>
  <c r="CP558" i="5"/>
  <c r="CQ558" i="5" s="1"/>
  <c r="R558" i="5" s="1"/>
  <c r="S558" i="5" s="1"/>
  <c r="DA558" i="5"/>
  <c r="DB558" i="5" s="1"/>
  <c r="K558" i="5" s="1"/>
  <c r="I557" i="5"/>
  <c r="AP557" i="5" s="1"/>
  <c r="T558" i="5"/>
  <c r="U558" i="5" s="1"/>
  <c r="W558" i="5"/>
  <c r="AE558" i="5"/>
  <c r="CV558" i="5"/>
  <c r="CT558" i="5"/>
  <c r="H531" i="6"/>
  <c r="Z556" i="5"/>
  <c r="L558" i="5"/>
  <c r="AA556" i="5" l="1"/>
  <c r="I531" i="6" s="1"/>
  <c r="CO558" i="5"/>
  <c r="F558" i="5" s="1"/>
  <c r="CN558" i="5"/>
  <c r="E558" i="5" s="1"/>
  <c r="M557" i="5"/>
  <c r="P557" i="5"/>
  <c r="AY557" i="5" s="1"/>
  <c r="AH557" i="5"/>
  <c r="AT557" i="5"/>
  <c r="BW558" i="5" l="1"/>
  <c r="BY558" i="5"/>
  <c r="J558" i="5" s="1"/>
  <c r="AG557" i="5"/>
  <c r="AJ557" i="5" s="1"/>
  <c r="AO557" i="5"/>
  <c r="AR557" i="5" s="1"/>
  <c r="E533" i="6"/>
  <c r="C559" i="5"/>
  <c r="BU559" i="5" s="1"/>
  <c r="D533" i="6"/>
  <c r="BC558" i="5"/>
  <c r="F532" i="6"/>
  <c r="Q557" i="5"/>
  <c r="V557" i="5" s="1"/>
  <c r="N557" i="5"/>
  <c r="AS557" i="5"/>
  <c r="AV557" i="5" s="1"/>
  <c r="AN558" i="5" l="1"/>
  <c r="AF558" i="5"/>
  <c r="BT559" i="5"/>
  <c r="BV559" i="5"/>
  <c r="BS559" i="5"/>
  <c r="CI559" i="5"/>
  <c r="BH559" i="5"/>
  <c r="BI559" i="5" s="1"/>
  <c r="BJ559" i="5" s="1"/>
  <c r="X557" i="5"/>
  <c r="Y557" i="5" s="1"/>
  <c r="G532" i="6"/>
  <c r="BF558" i="5"/>
  <c r="BD558" i="5"/>
  <c r="BE559" i="5" s="1"/>
  <c r="CZ558" i="5"/>
  <c r="CX559" i="5"/>
  <c r="D559" i="5"/>
  <c r="BK559" i="5"/>
  <c r="BL559" i="5" s="1"/>
  <c r="BM559" i="5" s="1"/>
  <c r="CS559" i="5"/>
  <c r="CL559" i="5"/>
  <c r="CM559" i="5" s="1"/>
  <c r="CW559" i="5"/>
  <c r="AC559" i="5"/>
  <c r="AD559" i="5" s="1"/>
  <c r="AK559" i="5"/>
  <c r="CY559" i="5"/>
  <c r="C534" i="6"/>
  <c r="AB559" i="5"/>
  <c r="CP559" i="5" s="1"/>
  <c r="CQ559" i="5" s="1"/>
  <c r="R559" i="5" s="1"/>
  <c r="S559" i="5" s="1"/>
  <c r="CR559" i="5"/>
  <c r="BG558" i="5"/>
  <c r="H558" i="5" s="1"/>
  <c r="AX559" i="5"/>
  <c r="AW559" i="5" s="1"/>
  <c r="CU559" i="5"/>
  <c r="BX559" i="5" s="1"/>
  <c r="CH559" i="5" l="1"/>
  <c r="CK559" i="5"/>
  <c r="CJ559" i="5" s="1"/>
  <c r="DA559" i="5"/>
  <c r="DB559" i="5" s="1"/>
  <c r="K559" i="5" s="1"/>
  <c r="I558" i="5"/>
  <c r="T559" i="5"/>
  <c r="U559" i="5" s="1"/>
  <c r="W559" i="5"/>
  <c r="AM559" i="5"/>
  <c r="AL560" i="5" s="1"/>
  <c r="CV559" i="5"/>
  <c r="CT559" i="5"/>
  <c r="L559" i="5"/>
  <c r="AE559" i="5"/>
  <c r="BN559" i="5"/>
  <c r="BO559" i="5" s="1"/>
  <c r="BP559" i="5" s="1"/>
  <c r="G559" i="5" s="1"/>
  <c r="H532" i="6"/>
  <c r="Z557" i="5"/>
  <c r="AH558" i="5" l="1"/>
  <c r="AT558" i="5"/>
  <c r="AP558" i="5"/>
  <c r="AA557" i="5"/>
  <c r="I532" i="6" s="1"/>
  <c r="CN559" i="5"/>
  <c r="E559" i="5" s="1"/>
  <c r="CO559" i="5"/>
  <c r="F559" i="5" s="1"/>
  <c r="M558" i="5"/>
  <c r="P558" i="5"/>
  <c r="AY558" i="5" s="1"/>
  <c r="BW559" i="5" l="1"/>
  <c r="BY559" i="5"/>
  <c r="J559" i="5" s="1"/>
  <c r="AN559" i="5" s="1"/>
  <c r="AS558" i="5"/>
  <c r="AV558" i="5" s="1"/>
  <c r="AO558" i="5"/>
  <c r="AR558" i="5" s="1"/>
  <c r="BC559" i="5"/>
  <c r="D534" i="6"/>
  <c r="Q558" i="5"/>
  <c r="V558" i="5" s="1"/>
  <c r="F533" i="6"/>
  <c r="N558" i="5"/>
  <c r="AG558" i="5"/>
  <c r="C560" i="5"/>
  <c r="BU560" i="5" s="1"/>
  <c r="E534" i="6"/>
  <c r="AF559" i="5" l="1"/>
  <c r="BV560" i="5"/>
  <c r="BT560" i="5"/>
  <c r="BS560" i="5"/>
  <c r="CI560" i="5"/>
  <c r="BH560" i="5"/>
  <c r="BI560" i="5" s="1"/>
  <c r="BJ560" i="5" s="1"/>
  <c r="G533" i="6"/>
  <c r="AJ558" i="5"/>
  <c r="CR560" i="5"/>
  <c r="CX560" i="5"/>
  <c r="CS560" i="5"/>
  <c r="CL560" i="5"/>
  <c r="CM560" i="5" s="1"/>
  <c r="C535" i="6"/>
  <c r="AC560" i="5"/>
  <c r="CW560" i="5"/>
  <c r="CY560" i="5"/>
  <c r="BK560" i="5"/>
  <c r="BL560" i="5" s="1"/>
  <c r="BM560" i="5" s="1"/>
  <c r="D560" i="5"/>
  <c r="AK560" i="5"/>
  <c r="AM560" i="5" s="1"/>
  <c r="AL561" i="5" s="1"/>
  <c r="AB560" i="5"/>
  <c r="BN560" i="5" s="1"/>
  <c r="BO560" i="5" s="1"/>
  <c r="BP560" i="5" s="1"/>
  <c r="BG559" i="5"/>
  <c r="H559" i="5" s="1"/>
  <c r="AX560" i="5"/>
  <c r="AW560" i="5" s="1"/>
  <c r="CU560" i="5"/>
  <c r="BX560" i="5" s="1"/>
  <c r="BF559" i="5"/>
  <c r="BD559" i="5"/>
  <c r="BE560" i="5" s="1"/>
  <c r="CZ559" i="5"/>
  <c r="G560" i="5" l="1"/>
  <c r="AD560" i="5"/>
  <c r="AE560" i="5" s="1"/>
  <c r="CH560" i="5"/>
  <c r="CK560" i="5"/>
  <c r="CJ560" i="5" s="1"/>
  <c r="X558" i="5"/>
  <c r="Y558" i="5" s="1"/>
  <c r="DA560" i="5"/>
  <c r="DB560" i="5" s="1"/>
  <c r="K560" i="5" s="1"/>
  <c r="W560" i="5"/>
  <c r="T560" i="5"/>
  <c r="U560" i="5" s="1"/>
  <c r="CT560" i="5"/>
  <c r="CV560" i="5"/>
  <c r="CP560" i="5"/>
  <c r="CQ560" i="5" s="1"/>
  <c r="R560" i="5" s="1"/>
  <c r="S560" i="5" s="1"/>
  <c r="L560" i="5"/>
  <c r="I559" i="5"/>
  <c r="AH559" i="5" s="1"/>
  <c r="Z558" i="5" l="1"/>
  <c r="H533" i="6"/>
  <c r="AT559" i="5"/>
  <c r="AP559" i="5"/>
  <c r="CO560" i="5"/>
  <c r="F560" i="5" s="1"/>
  <c r="CN560" i="5"/>
  <c r="E560" i="5" s="1"/>
  <c r="P559" i="5"/>
  <c r="AY559" i="5" s="1"/>
  <c r="M559" i="5"/>
  <c r="AG559" i="5" s="1"/>
  <c r="AJ559" i="5" s="1"/>
  <c r="AA558" i="5"/>
  <c r="I533" i="6" s="1"/>
  <c r="BY560" i="5" l="1"/>
  <c r="J560" i="5" s="1"/>
  <c r="BW560" i="5"/>
  <c r="N559" i="5"/>
  <c r="AS559" i="5"/>
  <c r="AV559" i="5" s="1"/>
  <c r="AO559" i="5"/>
  <c r="E535" i="6"/>
  <c r="C561" i="5"/>
  <c r="BU561" i="5" s="1"/>
  <c r="D535" i="6"/>
  <c r="BC560" i="5"/>
  <c r="Q559" i="5"/>
  <c r="V559" i="5" s="1"/>
  <c r="F534" i="6"/>
  <c r="AN560" i="5" l="1"/>
  <c r="AF560" i="5"/>
  <c r="BT561" i="5"/>
  <c r="BV561" i="5"/>
  <c r="BS561" i="5"/>
  <c r="CI561" i="5"/>
  <c r="BH561" i="5"/>
  <c r="BI561" i="5" s="1"/>
  <c r="BJ561" i="5" s="1"/>
  <c r="AR559" i="5"/>
  <c r="G534" i="6"/>
  <c r="BD560" i="5"/>
  <c r="BE561" i="5" s="1"/>
  <c r="BF560" i="5"/>
  <c r="CZ560" i="5"/>
  <c r="AB561" i="5"/>
  <c r="DA561" i="5" s="1"/>
  <c r="DB561" i="5" s="1"/>
  <c r="C536" i="6"/>
  <c r="BK561" i="5"/>
  <c r="BL561" i="5" s="1"/>
  <c r="BM561" i="5" s="1"/>
  <c r="CR561" i="5"/>
  <c r="CS561" i="5"/>
  <c r="D561" i="5"/>
  <c r="AC561" i="5"/>
  <c r="AD561" i="5" s="1"/>
  <c r="CX561" i="5"/>
  <c r="CY561" i="5"/>
  <c r="CL561" i="5"/>
  <c r="CM561" i="5" s="1"/>
  <c r="AK561" i="5"/>
  <c r="AM561" i="5" s="1"/>
  <c r="AL562" i="5" s="1"/>
  <c r="CW561" i="5"/>
  <c r="BG560" i="5"/>
  <c r="H560" i="5" s="1"/>
  <c r="AX561" i="5"/>
  <c r="AW561" i="5" s="1"/>
  <c r="CU561" i="5"/>
  <c r="BX561" i="5" s="1"/>
  <c r="CK561" i="5" l="1"/>
  <c r="CJ561" i="5" s="1"/>
  <c r="K561" i="5" s="1"/>
  <c r="CH561" i="5"/>
  <c r="X559" i="5"/>
  <c r="Y559" i="5" s="1"/>
  <c r="BN561" i="5"/>
  <c r="BO561" i="5" s="1"/>
  <c r="BP561" i="5" s="1"/>
  <c r="G561" i="5" s="1"/>
  <c r="CT561" i="5"/>
  <c r="CV561" i="5"/>
  <c r="L561" i="5"/>
  <c r="AE561" i="5"/>
  <c r="T561" i="5"/>
  <c r="U561" i="5" s="1"/>
  <c r="W561" i="5"/>
  <c r="CP561" i="5"/>
  <c r="CQ561" i="5" s="1"/>
  <c r="R561" i="5" s="1"/>
  <c r="S561" i="5" s="1"/>
  <c r="I560" i="5"/>
  <c r="AP560" i="5" s="1"/>
  <c r="Z559" i="5" l="1"/>
  <c r="H534" i="6"/>
  <c r="AH560" i="5"/>
  <c r="AT560" i="5"/>
  <c r="AA559" i="5"/>
  <c r="I534" i="6" s="1"/>
  <c r="CO561" i="5"/>
  <c r="F561" i="5" s="1"/>
  <c r="CN561" i="5"/>
  <c r="E561" i="5" s="1"/>
  <c r="M560" i="5"/>
  <c r="P560" i="5"/>
  <c r="AY560" i="5" s="1"/>
  <c r="AS560" i="5" l="1"/>
  <c r="AV560" i="5" s="1"/>
  <c r="AO560" i="5"/>
  <c r="AR560" i="5" s="1"/>
  <c r="N560" i="5"/>
  <c r="AG560" i="5"/>
  <c r="D536" i="6"/>
  <c r="BC561" i="5"/>
  <c r="F535" i="6"/>
  <c r="Q560" i="5"/>
  <c r="V560" i="5" s="1"/>
  <c r="C562" i="5"/>
  <c r="BU562" i="5" s="1"/>
  <c r="E536" i="6"/>
  <c r="BY561" i="5" l="1"/>
  <c r="J561" i="5" s="1"/>
  <c r="BW561" i="5"/>
  <c r="BT562" i="5"/>
  <c r="BV562" i="5"/>
  <c r="BS562" i="5"/>
  <c r="CI562" i="5"/>
  <c r="BH562" i="5"/>
  <c r="BI562" i="5" s="1"/>
  <c r="BJ562" i="5" s="1"/>
  <c r="AJ560" i="5"/>
  <c r="G535" i="6"/>
  <c r="AC562" i="5"/>
  <c r="AD562" i="5" s="1"/>
  <c r="CR562" i="5"/>
  <c r="CX562" i="5"/>
  <c r="D562" i="5"/>
  <c r="CL562" i="5"/>
  <c r="CM562" i="5" s="1"/>
  <c r="CW562" i="5"/>
  <c r="CY562" i="5"/>
  <c r="BK562" i="5"/>
  <c r="BL562" i="5" s="1"/>
  <c r="BM562" i="5" s="1"/>
  <c r="AB562" i="5"/>
  <c r="CP562" i="5" s="1"/>
  <c r="CQ562" i="5" s="1"/>
  <c r="R562" i="5" s="1"/>
  <c r="S562" i="5" s="1"/>
  <c r="AK562" i="5"/>
  <c r="AM562" i="5" s="1"/>
  <c r="AL563" i="5" s="1"/>
  <c r="C537" i="6"/>
  <c r="CS562" i="5"/>
  <c r="BG561" i="5"/>
  <c r="H561" i="5" s="1"/>
  <c r="AX562" i="5"/>
  <c r="AW562" i="5" s="1"/>
  <c r="CU562" i="5"/>
  <c r="BF561" i="5"/>
  <c r="CZ561" i="5"/>
  <c r="BD561" i="5"/>
  <c r="BE562" i="5" s="1"/>
  <c r="AN561" i="5" l="1"/>
  <c r="AF561" i="5"/>
  <c r="BX562" i="5"/>
  <c r="CH562" i="5"/>
  <c r="CK562" i="5"/>
  <c r="CJ562" i="5" s="1"/>
  <c r="X560" i="5"/>
  <c r="Y560" i="5" s="1"/>
  <c r="DA562" i="5"/>
  <c r="DB562" i="5" s="1"/>
  <c r="K562" i="5" s="1"/>
  <c r="I561" i="5"/>
  <c r="AP561" i="5" s="1"/>
  <c r="T562" i="5"/>
  <c r="U562" i="5" s="1"/>
  <c r="W562" i="5"/>
  <c r="L562" i="5"/>
  <c r="AE562" i="5"/>
  <c r="CT562" i="5"/>
  <c r="CV562" i="5"/>
  <c r="BN562" i="5"/>
  <c r="BO562" i="5" s="1"/>
  <c r="BP562" i="5" s="1"/>
  <c r="G562" i="5" s="1"/>
  <c r="H535" i="6" l="1"/>
  <c r="Z560" i="5"/>
  <c r="AA560" i="5" s="1"/>
  <c r="I535" i="6" s="1"/>
  <c r="AH561" i="5"/>
  <c r="AT561" i="5"/>
  <c r="CO562" i="5"/>
  <c r="F562" i="5" s="1"/>
  <c r="CN562" i="5"/>
  <c r="E562" i="5" s="1"/>
  <c r="M561" i="5"/>
  <c r="P561" i="5"/>
  <c r="AY561" i="5" s="1"/>
  <c r="BW562" i="5" l="1"/>
  <c r="AS561" i="5"/>
  <c r="AV561" i="5" s="1"/>
  <c r="AO561" i="5"/>
  <c r="AR561" i="5" s="1"/>
  <c r="N561" i="5"/>
  <c r="AG561" i="5"/>
  <c r="BC562" i="5"/>
  <c r="D537" i="6"/>
  <c r="E537" i="6"/>
  <c r="C563" i="5"/>
  <c r="BU563" i="5" s="1"/>
  <c r="F536" i="6"/>
  <c r="Q561" i="5"/>
  <c r="V561" i="5" s="1"/>
  <c r="BY562" i="5" l="1"/>
  <c r="J562" i="5" s="1"/>
  <c r="BV563" i="5"/>
  <c r="BT563" i="5"/>
  <c r="BS563" i="5"/>
  <c r="CI563" i="5"/>
  <c r="BH563" i="5"/>
  <c r="BI563" i="5" s="1"/>
  <c r="BJ563" i="5" s="1"/>
  <c r="AJ561" i="5"/>
  <c r="X561" i="5" s="1"/>
  <c r="Y561" i="5" s="1"/>
  <c r="CX563" i="5"/>
  <c r="C538" i="6"/>
  <c r="BK563" i="5"/>
  <c r="BL563" i="5" s="1"/>
  <c r="BM563" i="5" s="1"/>
  <c r="AC563" i="5"/>
  <c r="AK563" i="5"/>
  <c r="AM563" i="5" s="1"/>
  <c r="AL564" i="5" s="1"/>
  <c r="CL563" i="5"/>
  <c r="CM563" i="5" s="1"/>
  <c r="D563" i="5"/>
  <c r="CS563" i="5"/>
  <c r="CW563" i="5"/>
  <c r="CY563" i="5"/>
  <c r="AB563" i="5"/>
  <c r="CP563" i="5" s="1"/>
  <c r="CQ563" i="5" s="1"/>
  <c r="R563" i="5" s="1"/>
  <c r="S563" i="5" s="1"/>
  <c r="CR563" i="5"/>
  <c r="BG562" i="5"/>
  <c r="H562" i="5" s="1"/>
  <c r="AX563" i="5"/>
  <c r="AW563" i="5" s="1"/>
  <c r="CU563" i="5"/>
  <c r="BX563" i="5" s="1"/>
  <c r="G536" i="6"/>
  <c r="BF562" i="5"/>
  <c r="CZ562" i="5"/>
  <c r="BD562" i="5"/>
  <c r="BE563" i="5" s="1"/>
  <c r="AF562" i="5" l="1"/>
  <c r="AN562" i="5"/>
  <c r="AD563" i="5"/>
  <c r="AE563" i="5" s="1"/>
  <c r="CH563" i="5"/>
  <c r="CK563" i="5"/>
  <c r="CJ563" i="5" s="1"/>
  <c r="DA563" i="5"/>
  <c r="DB563" i="5" s="1"/>
  <c r="K563" i="5" s="1"/>
  <c r="L563" i="5"/>
  <c r="I562" i="5"/>
  <c r="CV563" i="5"/>
  <c r="CT563" i="5"/>
  <c r="H536" i="6"/>
  <c r="Z561" i="5"/>
  <c r="BN563" i="5"/>
  <c r="BO563" i="5" s="1"/>
  <c r="BP563" i="5" s="1"/>
  <c r="G563" i="5" s="1"/>
  <c r="T563" i="5"/>
  <c r="U563" i="5" s="1"/>
  <c r="W563" i="5"/>
  <c r="AP562" i="5" l="1"/>
  <c r="AA561" i="5"/>
  <c r="I536" i="6" s="1"/>
  <c r="CN563" i="5"/>
  <c r="E563" i="5" s="1"/>
  <c r="CO563" i="5"/>
  <c r="F563" i="5" s="1"/>
  <c r="P562" i="5"/>
  <c r="AY562" i="5" s="1"/>
  <c r="M562" i="5"/>
  <c r="AH562" i="5"/>
  <c r="AT562" i="5"/>
  <c r="AO562" i="5" l="1"/>
  <c r="AR562" i="5" s="1"/>
  <c r="AG562" i="5"/>
  <c r="AJ562" i="5" s="1"/>
  <c r="N562" i="5"/>
  <c r="AS562" i="5"/>
  <c r="AV562" i="5" s="1"/>
  <c r="Q562" i="5"/>
  <c r="V562" i="5" s="1"/>
  <c r="F537" i="6"/>
  <c r="C564" i="5"/>
  <c r="BU564" i="5" s="1"/>
  <c r="E538" i="6"/>
  <c r="D538" i="6"/>
  <c r="BC563" i="5"/>
  <c r="BW563" i="5" l="1"/>
  <c r="BY563" i="5"/>
  <c r="J563" i="5" s="1"/>
  <c r="BT564" i="5"/>
  <c r="BV564" i="5"/>
  <c r="BS564" i="5"/>
  <c r="CI564" i="5"/>
  <c r="BH564" i="5"/>
  <c r="BI564" i="5" s="1"/>
  <c r="BJ564" i="5" s="1"/>
  <c r="X562" i="5"/>
  <c r="Y562" i="5" s="1"/>
  <c r="BD563" i="5"/>
  <c r="BE564" i="5" s="1"/>
  <c r="CZ563" i="5"/>
  <c r="BF563" i="5"/>
  <c r="AB564" i="5"/>
  <c r="BN564" i="5" s="1"/>
  <c r="BO564" i="5" s="1"/>
  <c r="BP564" i="5" s="1"/>
  <c r="CL564" i="5"/>
  <c r="CM564" i="5" s="1"/>
  <c r="C539" i="6"/>
  <c r="CW564" i="5"/>
  <c r="BK564" i="5"/>
  <c r="BL564" i="5" s="1"/>
  <c r="BM564" i="5" s="1"/>
  <c r="CS564" i="5"/>
  <c r="CX564" i="5"/>
  <c r="CR564" i="5"/>
  <c r="AC564" i="5"/>
  <c r="AD564" i="5" s="1"/>
  <c r="AK564" i="5"/>
  <c r="AM564" i="5" s="1"/>
  <c r="AL565" i="5" s="1"/>
  <c r="CY564" i="5"/>
  <c r="D564" i="5"/>
  <c r="BG563" i="5"/>
  <c r="H563" i="5" s="1"/>
  <c r="AX564" i="5"/>
  <c r="AW564" i="5" s="1"/>
  <c r="CU564" i="5"/>
  <c r="G537" i="6"/>
  <c r="AF563" i="5" l="1"/>
  <c r="AN563" i="5"/>
  <c r="BX564" i="5"/>
  <c r="G564" i="5"/>
  <c r="CK564" i="5"/>
  <c r="CJ564" i="5" s="1"/>
  <c r="CH564" i="5"/>
  <c r="DA564" i="5"/>
  <c r="DB564" i="5" s="1"/>
  <c r="K564" i="5" s="1"/>
  <c r="L564" i="5"/>
  <c r="I563" i="5"/>
  <c r="AH563" i="5" s="1"/>
  <c r="W564" i="5"/>
  <c r="T564" i="5"/>
  <c r="U564" i="5" s="1"/>
  <c r="H537" i="6"/>
  <c r="Z562" i="5"/>
  <c r="AE564" i="5"/>
  <c r="CT564" i="5"/>
  <c r="CV564" i="5"/>
  <c r="CP564" i="5"/>
  <c r="CQ564" i="5" s="1"/>
  <c r="R564" i="5" s="1"/>
  <c r="S564" i="5" s="1"/>
  <c r="AA562" i="5" l="1"/>
  <c r="I537" i="6" s="1"/>
  <c r="M563" i="5"/>
  <c r="AG563" i="5" s="1"/>
  <c r="AJ563" i="5" s="1"/>
  <c r="P563" i="5"/>
  <c r="AY563" i="5" s="1"/>
  <c r="CN564" i="5"/>
  <c r="E564" i="5" s="1"/>
  <c r="CO564" i="5"/>
  <c r="F564" i="5" s="1"/>
  <c r="AT563" i="5"/>
  <c r="AP563" i="5"/>
  <c r="D539" i="6" l="1"/>
  <c r="N563" i="5"/>
  <c r="AS563" i="5"/>
  <c r="AV563" i="5" s="1"/>
  <c r="AO563" i="5"/>
  <c r="BC564" i="5"/>
  <c r="E539" i="6"/>
  <c r="C565" i="5"/>
  <c r="BU565" i="5" s="1"/>
  <c r="Q563" i="5"/>
  <c r="V563" i="5" s="1"/>
  <c r="F538" i="6"/>
  <c r="BY564" i="5" l="1"/>
  <c r="J564" i="5" s="1"/>
  <c r="BW564" i="5"/>
  <c r="BT565" i="5"/>
  <c r="BV565" i="5"/>
  <c r="BS565" i="5"/>
  <c r="CI565" i="5"/>
  <c r="BH565" i="5"/>
  <c r="BI565" i="5" s="1"/>
  <c r="BJ565" i="5" s="1"/>
  <c r="G538" i="6"/>
  <c r="C540" i="6"/>
  <c r="CS565" i="5"/>
  <c r="CW565" i="5"/>
  <c r="AB565" i="5"/>
  <c r="CP565" i="5" s="1"/>
  <c r="CQ565" i="5" s="1"/>
  <c r="R565" i="5" s="1"/>
  <c r="S565" i="5" s="1"/>
  <c r="D565" i="5"/>
  <c r="AC565" i="5"/>
  <c r="AD565" i="5" s="1"/>
  <c r="AK565" i="5"/>
  <c r="CR565" i="5"/>
  <c r="BK565" i="5"/>
  <c r="BL565" i="5" s="1"/>
  <c r="BM565" i="5" s="1"/>
  <c r="CX565" i="5"/>
  <c r="CL565" i="5"/>
  <c r="CM565" i="5" s="1"/>
  <c r="CY565" i="5"/>
  <c r="BG564" i="5"/>
  <c r="H564" i="5" s="1"/>
  <c r="AX565" i="5"/>
  <c r="AW565" i="5" s="1"/>
  <c r="CU565" i="5"/>
  <c r="BF564" i="5"/>
  <c r="CZ564" i="5"/>
  <c r="BD564" i="5"/>
  <c r="BE565" i="5" s="1"/>
  <c r="AR563" i="5"/>
  <c r="AF564" i="5" l="1"/>
  <c r="AN564" i="5"/>
  <c r="BX565" i="5"/>
  <c r="CH565" i="5"/>
  <c r="CK565" i="5"/>
  <c r="CJ565" i="5" s="1"/>
  <c r="X563" i="5"/>
  <c r="Y563" i="5" s="1"/>
  <c r="AE565" i="5"/>
  <c r="T565" i="5"/>
  <c r="U565" i="5" s="1"/>
  <c r="W565" i="5"/>
  <c r="I564" i="5"/>
  <c r="AP564" i="5" s="1"/>
  <c r="CT565" i="5"/>
  <c r="CV565" i="5"/>
  <c r="BN565" i="5"/>
  <c r="BO565" i="5" s="1"/>
  <c r="BP565" i="5" s="1"/>
  <c r="G565" i="5" s="1"/>
  <c r="DA565" i="5"/>
  <c r="DB565" i="5" s="1"/>
  <c r="K565" i="5" s="1"/>
  <c r="L565" i="5"/>
  <c r="AM565" i="5"/>
  <c r="AL566" i="5" s="1"/>
  <c r="H538" i="6" l="1"/>
  <c r="Z563" i="5"/>
  <c r="AA563" i="5" s="1"/>
  <c r="I538" i="6" s="1"/>
  <c r="AT564" i="5"/>
  <c r="AH564" i="5"/>
  <c r="M564" i="5"/>
  <c r="P564" i="5"/>
  <c r="AY564" i="5" s="1"/>
  <c r="CO565" i="5"/>
  <c r="F565" i="5" s="1"/>
  <c r="CN565" i="5"/>
  <c r="E565" i="5" s="1"/>
  <c r="BW565" i="5" l="1"/>
  <c r="BY565" i="5"/>
  <c r="J565" i="5" s="1"/>
  <c r="AG564" i="5"/>
  <c r="AJ564" i="5" s="1"/>
  <c r="AO564" i="5"/>
  <c r="AR564" i="5" s="1"/>
  <c r="N564" i="5"/>
  <c r="AS564" i="5"/>
  <c r="AV564" i="5" s="1"/>
  <c r="Q564" i="5"/>
  <c r="V564" i="5" s="1"/>
  <c r="F539" i="6"/>
  <c r="E540" i="6"/>
  <c r="C566" i="5"/>
  <c r="BU566" i="5" s="1"/>
  <c r="D540" i="6"/>
  <c r="BC565" i="5"/>
  <c r="AF565" i="5" l="1"/>
  <c r="AN565" i="5"/>
  <c r="BT566" i="5"/>
  <c r="BV566" i="5"/>
  <c r="BS566" i="5"/>
  <c r="CI566" i="5"/>
  <c r="BH566" i="5"/>
  <c r="BI566" i="5" s="1"/>
  <c r="BJ566" i="5" s="1"/>
  <c r="X564" i="5"/>
  <c r="Y564" i="5" s="1"/>
  <c r="CZ565" i="5"/>
  <c r="BF565" i="5"/>
  <c r="BD565" i="5"/>
  <c r="BE566" i="5" s="1"/>
  <c r="AC566" i="5"/>
  <c r="AB566" i="5"/>
  <c r="CP566" i="5" s="1"/>
  <c r="CQ566" i="5" s="1"/>
  <c r="R566" i="5" s="1"/>
  <c r="S566" i="5" s="1"/>
  <c r="CW566" i="5"/>
  <c r="CX566" i="5"/>
  <c r="D566" i="5"/>
  <c r="CL566" i="5"/>
  <c r="CM566" i="5" s="1"/>
  <c r="AK566" i="5"/>
  <c r="CR566" i="5"/>
  <c r="CS566" i="5"/>
  <c r="BK566" i="5"/>
  <c r="BL566" i="5" s="1"/>
  <c r="BM566" i="5" s="1"/>
  <c r="C541" i="6"/>
  <c r="CY566" i="5"/>
  <c r="BG565" i="5"/>
  <c r="H565" i="5" s="1"/>
  <c r="AX566" i="5"/>
  <c r="AW566" i="5" s="1"/>
  <c r="CU566" i="5"/>
  <c r="BX566" i="5" s="1"/>
  <c r="G539" i="6"/>
  <c r="AD566" i="5" l="1"/>
  <c r="AE566" i="5" s="1"/>
  <c r="CH566" i="5"/>
  <c r="CK566" i="5"/>
  <c r="CJ566" i="5" s="1"/>
  <c r="L566" i="5"/>
  <c r="W566" i="5"/>
  <c r="T566" i="5"/>
  <c r="U566" i="5" s="1"/>
  <c r="I565" i="5"/>
  <c r="H539" i="6"/>
  <c r="Z564" i="5"/>
  <c r="DA566" i="5"/>
  <c r="DB566" i="5" s="1"/>
  <c r="K566" i="5" s="1"/>
  <c r="AM566" i="5"/>
  <c r="AL567" i="5" s="1"/>
  <c r="CT566" i="5"/>
  <c r="CV566" i="5"/>
  <c r="BN566" i="5"/>
  <c r="BO566" i="5" s="1"/>
  <c r="BP566" i="5" s="1"/>
  <c r="G566" i="5" s="1"/>
  <c r="AH565" i="5" l="1"/>
  <c r="AT565" i="5"/>
  <c r="AP565" i="5"/>
  <c r="CN566" i="5"/>
  <c r="E566" i="5" s="1"/>
  <c r="CO566" i="5"/>
  <c r="F566" i="5" s="1"/>
  <c r="P565" i="5"/>
  <c r="AY565" i="5" s="1"/>
  <c r="M565" i="5"/>
  <c r="AA564" i="5"/>
  <c r="I539" i="6" s="1"/>
  <c r="AS565" i="5" l="1"/>
  <c r="AV565" i="5" s="1"/>
  <c r="AO565" i="5"/>
  <c r="N565" i="5"/>
  <c r="AG565" i="5"/>
  <c r="Q565" i="5"/>
  <c r="V565" i="5" s="1"/>
  <c r="F540" i="6"/>
  <c r="C567" i="5"/>
  <c r="BU567" i="5" s="1"/>
  <c r="E541" i="6"/>
  <c r="BC566" i="5"/>
  <c r="D541" i="6"/>
  <c r="BW566" i="5" l="1"/>
  <c r="BY566" i="5"/>
  <c r="J566" i="5" s="1"/>
  <c r="BT567" i="5"/>
  <c r="BV567" i="5"/>
  <c r="BS567" i="5"/>
  <c r="CI567" i="5"/>
  <c r="BH567" i="5"/>
  <c r="BI567" i="5" s="1"/>
  <c r="BJ567" i="5" s="1"/>
  <c r="AR565" i="5"/>
  <c r="G540" i="6"/>
  <c r="CZ566" i="5"/>
  <c r="BF566" i="5"/>
  <c r="BD566" i="5"/>
  <c r="BE567" i="5" s="1"/>
  <c r="AJ565" i="5"/>
  <c r="AC567" i="5"/>
  <c r="AD567" i="5" s="1"/>
  <c r="BK567" i="5"/>
  <c r="BL567" i="5" s="1"/>
  <c r="BM567" i="5" s="1"/>
  <c r="CS567" i="5"/>
  <c r="CY567" i="5"/>
  <c r="AB567" i="5"/>
  <c r="DA567" i="5" s="1"/>
  <c r="DB567" i="5" s="1"/>
  <c r="AK567" i="5"/>
  <c r="AM567" i="5" s="1"/>
  <c r="AL568" i="5" s="1"/>
  <c r="C542" i="6"/>
  <c r="CX567" i="5"/>
  <c r="CR567" i="5"/>
  <c r="D567" i="5"/>
  <c r="CW567" i="5"/>
  <c r="CL567" i="5"/>
  <c r="CM567" i="5" s="1"/>
  <c r="BG566" i="5"/>
  <c r="H566" i="5" s="1"/>
  <c r="AX567" i="5"/>
  <c r="AW567" i="5" s="1"/>
  <c r="CU567" i="5"/>
  <c r="AN566" i="5" l="1"/>
  <c r="AF566" i="5"/>
  <c r="BX567" i="5"/>
  <c r="CH567" i="5"/>
  <c r="CK567" i="5"/>
  <c r="CJ567" i="5" s="1"/>
  <c r="K567" i="5" s="1"/>
  <c r="X565" i="5"/>
  <c r="Y565" i="5" s="1"/>
  <c r="CP567" i="5"/>
  <c r="CQ567" i="5" s="1"/>
  <c r="R567" i="5" s="1"/>
  <c r="S567" i="5" s="1"/>
  <c r="BN567" i="5"/>
  <c r="BO567" i="5" s="1"/>
  <c r="BP567" i="5" s="1"/>
  <c r="G567" i="5" s="1"/>
  <c r="L567" i="5"/>
  <c r="AE567" i="5"/>
  <c r="I566" i="5"/>
  <c r="AH566" i="5" s="1"/>
  <c r="CT567" i="5"/>
  <c r="CV567" i="5"/>
  <c r="T567" i="5"/>
  <c r="U567" i="5" s="1"/>
  <c r="W567" i="5"/>
  <c r="Z565" i="5" l="1"/>
  <c r="AA565" i="5" s="1"/>
  <c r="I540" i="6" s="1"/>
  <c r="H540" i="6"/>
  <c r="AT566" i="5"/>
  <c r="AP566" i="5"/>
  <c r="P566" i="5"/>
  <c r="AY566" i="5" s="1"/>
  <c r="M566" i="5"/>
  <c r="AG566" i="5" s="1"/>
  <c r="AJ566" i="5" s="1"/>
  <c r="CN567" i="5"/>
  <c r="E567" i="5" s="1"/>
  <c r="CO567" i="5"/>
  <c r="F567" i="5" s="1"/>
  <c r="BW567" i="5" l="1"/>
  <c r="BY567" i="5"/>
  <c r="J567" i="5" s="1"/>
  <c r="AN567" i="5" s="1"/>
  <c r="N566" i="5"/>
  <c r="AS566" i="5"/>
  <c r="AV566" i="5" s="1"/>
  <c r="AO566" i="5"/>
  <c r="AR566" i="5" s="1"/>
  <c r="C568" i="5"/>
  <c r="BU568" i="5" s="1"/>
  <c r="E542" i="6"/>
  <c r="BC567" i="5"/>
  <c r="D542" i="6"/>
  <c r="F541" i="6"/>
  <c r="Q566" i="5"/>
  <c r="V566" i="5" s="1"/>
  <c r="AF567" i="5" l="1"/>
  <c r="BV568" i="5"/>
  <c r="BT568" i="5"/>
  <c r="BS568" i="5"/>
  <c r="CI568" i="5"/>
  <c r="BH568" i="5"/>
  <c r="BI568" i="5" s="1"/>
  <c r="BJ568" i="5" s="1"/>
  <c r="X566" i="5"/>
  <c r="Y566" i="5" s="1"/>
  <c r="BF567" i="5"/>
  <c r="BD567" i="5"/>
  <c r="BE568" i="5" s="1"/>
  <c r="CZ567" i="5"/>
  <c r="G541" i="6"/>
  <c r="CW568" i="5"/>
  <c r="CX568" i="5"/>
  <c r="CY568" i="5"/>
  <c r="C543" i="6"/>
  <c r="AK568" i="5"/>
  <c r="AM568" i="5" s="1"/>
  <c r="AL569" i="5" s="1"/>
  <c r="CR568" i="5"/>
  <c r="AC568" i="5"/>
  <c r="AD568" i="5" s="1"/>
  <c r="BK568" i="5"/>
  <c r="BL568" i="5" s="1"/>
  <c r="BM568" i="5" s="1"/>
  <c r="CL568" i="5"/>
  <c r="CM568" i="5" s="1"/>
  <c r="AB568" i="5"/>
  <c r="BN568" i="5" s="1"/>
  <c r="BO568" i="5" s="1"/>
  <c r="BP568" i="5" s="1"/>
  <c r="CS568" i="5"/>
  <c r="D568" i="5"/>
  <c r="BG567" i="5"/>
  <c r="H567" i="5" s="1"/>
  <c r="AX568" i="5"/>
  <c r="AW568" i="5" s="1"/>
  <c r="CU568" i="5"/>
  <c r="BX568" i="5" s="1"/>
  <c r="G568" i="5" l="1"/>
  <c r="CH568" i="5"/>
  <c r="CK568" i="5"/>
  <c r="CJ568" i="5" s="1"/>
  <c r="H541" i="6"/>
  <c r="Z566" i="5"/>
  <c r="CT568" i="5"/>
  <c r="CV568" i="5"/>
  <c r="CP568" i="5"/>
  <c r="CQ568" i="5" s="1"/>
  <c r="R568" i="5" s="1"/>
  <c r="S568" i="5" s="1"/>
  <c r="AE568" i="5"/>
  <c r="L568" i="5"/>
  <c r="DA568" i="5"/>
  <c r="DB568" i="5" s="1"/>
  <c r="K568" i="5" s="1"/>
  <c r="I567" i="5"/>
  <c r="AP567" i="5" s="1"/>
  <c r="W568" i="5"/>
  <c r="T568" i="5"/>
  <c r="U568" i="5" s="1"/>
  <c r="AH567" i="5" l="1"/>
  <c r="AT567" i="5"/>
  <c r="CO568" i="5"/>
  <c r="F568" i="5" s="1"/>
  <c r="CN568" i="5"/>
  <c r="E568" i="5" s="1"/>
  <c r="P567" i="5"/>
  <c r="AY567" i="5" s="1"/>
  <c r="M567" i="5"/>
  <c r="AA566" i="5"/>
  <c r="I541" i="6" s="1"/>
  <c r="BY568" i="5" l="1"/>
  <c r="J568" i="5" s="1"/>
  <c r="BW568" i="5"/>
  <c r="AS567" i="5"/>
  <c r="AV567" i="5" s="1"/>
  <c r="AO567" i="5"/>
  <c r="AR567" i="5" s="1"/>
  <c r="N567" i="5"/>
  <c r="AG567" i="5"/>
  <c r="Q567" i="5"/>
  <c r="V567" i="5" s="1"/>
  <c r="F542" i="6"/>
  <c r="D543" i="6"/>
  <c r="BC568" i="5"/>
  <c r="C569" i="5"/>
  <c r="BU569" i="5" s="1"/>
  <c r="E543" i="6"/>
  <c r="AN568" i="5" l="1"/>
  <c r="AF568" i="5"/>
  <c r="BT569" i="5"/>
  <c r="BV569" i="5"/>
  <c r="BS569" i="5"/>
  <c r="CI569" i="5"/>
  <c r="BH569" i="5"/>
  <c r="BI569" i="5" s="1"/>
  <c r="BJ569" i="5" s="1"/>
  <c r="AJ567" i="5"/>
  <c r="X567" i="5" s="1"/>
  <c r="Y567" i="5" s="1"/>
  <c r="CL569" i="5"/>
  <c r="CM569" i="5" s="1"/>
  <c r="D569" i="5"/>
  <c r="AC569" i="5"/>
  <c r="CR569" i="5"/>
  <c r="BK569" i="5"/>
  <c r="BL569" i="5" s="1"/>
  <c r="BM569" i="5" s="1"/>
  <c r="AK569" i="5"/>
  <c r="AB569" i="5"/>
  <c r="CP569" i="5" s="1"/>
  <c r="CQ569" i="5" s="1"/>
  <c r="R569" i="5" s="1"/>
  <c r="S569" i="5" s="1"/>
  <c r="CW569" i="5"/>
  <c r="CX569" i="5"/>
  <c r="CY569" i="5"/>
  <c r="C544" i="6"/>
  <c r="CS569" i="5"/>
  <c r="BG568" i="5"/>
  <c r="H568" i="5" s="1"/>
  <c r="AX569" i="5"/>
  <c r="AW569" i="5" s="1"/>
  <c r="CU569" i="5"/>
  <c r="BX569" i="5" s="1"/>
  <c r="BD568" i="5"/>
  <c r="BE569" i="5" s="1"/>
  <c r="BF568" i="5"/>
  <c r="CZ568" i="5"/>
  <c r="G542" i="6"/>
  <c r="AD569" i="5" l="1"/>
  <c r="AE569" i="5" s="1"/>
  <c r="DA569" i="5"/>
  <c r="DB569" i="5" s="1"/>
  <c r="CK569" i="5"/>
  <c r="CJ569" i="5" s="1"/>
  <c r="CH569" i="5"/>
  <c r="BN569" i="5"/>
  <c r="BO569" i="5" s="1"/>
  <c r="BP569" i="5" s="1"/>
  <c r="G569" i="5" s="1"/>
  <c r="CV569" i="5"/>
  <c r="CT569" i="5"/>
  <c r="I568" i="5"/>
  <c r="AP568" i="5" s="1"/>
  <c r="H542" i="6"/>
  <c r="Z567" i="5"/>
  <c r="L569" i="5"/>
  <c r="T569" i="5"/>
  <c r="U569" i="5" s="1"/>
  <c r="W569" i="5"/>
  <c r="AM569" i="5"/>
  <c r="AL570" i="5" s="1"/>
  <c r="K569" i="5" l="1"/>
  <c r="AT568" i="5"/>
  <c r="AH568" i="5"/>
  <c r="AA567" i="5"/>
  <c r="I542" i="6" s="1"/>
  <c r="M568" i="5"/>
  <c r="P568" i="5"/>
  <c r="AY568" i="5" s="1"/>
  <c r="CN569" i="5"/>
  <c r="E569" i="5" s="1"/>
  <c r="CO569" i="5"/>
  <c r="F569" i="5" s="1"/>
  <c r="AS568" i="5" l="1"/>
  <c r="AV568" i="5" s="1"/>
  <c r="AO568" i="5"/>
  <c r="AR568" i="5" s="1"/>
  <c r="N568" i="5"/>
  <c r="AG568" i="5"/>
  <c r="F543" i="6"/>
  <c r="Q568" i="5"/>
  <c r="V568" i="5" s="1"/>
  <c r="E544" i="6"/>
  <c r="C570" i="5"/>
  <c r="BU570" i="5" s="1"/>
  <c r="BC569" i="5"/>
  <c r="D544" i="6"/>
  <c r="BY569" i="5" l="1"/>
  <c r="J569" i="5" s="1"/>
  <c r="BW569" i="5"/>
  <c r="BT570" i="5"/>
  <c r="BV570" i="5"/>
  <c r="BS570" i="5"/>
  <c r="CI570" i="5"/>
  <c r="BH570" i="5"/>
  <c r="BI570" i="5" s="1"/>
  <c r="BJ570" i="5" s="1"/>
  <c r="AJ568" i="5"/>
  <c r="CZ569" i="5"/>
  <c r="BF569" i="5"/>
  <c r="BD569" i="5"/>
  <c r="BE570" i="5" s="1"/>
  <c r="CL570" i="5"/>
  <c r="CM570" i="5" s="1"/>
  <c r="CR570" i="5"/>
  <c r="AC570" i="5"/>
  <c r="AD570" i="5" s="1"/>
  <c r="BK570" i="5"/>
  <c r="BL570" i="5" s="1"/>
  <c r="BM570" i="5" s="1"/>
  <c r="CW570" i="5"/>
  <c r="AK570" i="5"/>
  <c r="AM570" i="5" s="1"/>
  <c r="AL571" i="5" s="1"/>
  <c r="C545" i="6"/>
  <c r="CS570" i="5"/>
  <c r="AB570" i="5"/>
  <c r="DA570" i="5" s="1"/>
  <c r="DB570" i="5" s="1"/>
  <c r="CY570" i="5"/>
  <c r="CX570" i="5"/>
  <c r="D570" i="5"/>
  <c r="BG569" i="5"/>
  <c r="H569" i="5" s="1"/>
  <c r="AX570" i="5"/>
  <c r="AW570" i="5" s="1"/>
  <c r="CU570" i="5"/>
  <c r="G543" i="6"/>
  <c r="AF569" i="5" l="1"/>
  <c r="AN569" i="5"/>
  <c r="BX570" i="5"/>
  <c r="CH570" i="5"/>
  <c r="CK570" i="5"/>
  <c r="CJ570" i="5" s="1"/>
  <c r="K570" i="5" s="1"/>
  <c r="X568" i="5"/>
  <c r="Y568" i="5" s="1"/>
  <c r="AE570" i="5"/>
  <c r="BN570" i="5"/>
  <c r="BO570" i="5" s="1"/>
  <c r="BP570" i="5" s="1"/>
  <c r="G570" i="5" s="1"/>
  <c r="CP570" i="5"/>
  <c r="CQ570" i="5" s="1"/>
  <c r="R570" i="5" s="1"/>
  <c r="S570" i="5" s="1"/>
  <c r="CV570" i="5"/>
  <c r="CT570" i="5"/>
  <c r="L570" i="5"/>
  <c r="T570" i="5"/>
  <c r="U570" i="5" s="1"/>
  <c r="W570" i="5"/>
  <c r="I569" i="5"/>
  <c r="AP569" i="5" s="1"/>
  <c r="Z568" i="5" l="1"/>
  <c r="AA568" i="5" s="1"/>
  <c r="I543" i="6" s="1"/>
  <c r="H543" i="6"/>
  <c r="CO570" i="5"/>
  <c r="F570" i="5" s="1"/>
  <c r="CN570" i="5"/>
  <c r="E570" i="5" s="1"/>
  <c r="AH569" i="5"/>
  <c r="AT569" i="5"/>
  <c r="P569" i="5"/>
  <c r="AY569" i="5" s="1"/>
  <c r="M569" i="5"/>
  <c r="BW570" i="5" l="1"/>
  <c r="BY570" i="5"/>
  <c r="J570" i="5" s="1"/>
  <c r="AO569" i="5"/>
  <c r="AR569" i="5" s="1"/>
  <c r="AG569" i="5"/>
  <c r="AJ569" i="5" s="1"/>
  <c r="Q569" i="5"/>
  <c r="V569" i="5" s="1"/>
  <c r="F544" i="6"/>
  <c r="N569" i="5"/>
  <c r="AS569" i="5"/>
  <c r="AV569" i="5" s="1"/>
  <c r="BC570" i="5"/>
  <c r="D545" i="6"/>
  <c r="E545" i="6"/>
  <c r="C571" i="5"/>
  <c r="BU571" i="5" s="1"/>
  <c r="AF570" i="5" l="1"/>
  <c r="AN570" i="5"/>
  <c r="BV571" i="5"/>
  <c r="BT571" i="5"/>
  <c r="BS571" i="5"/>
  <c r="CI571" i="5"/>
  <c r="BH571" i="5"/>
  <c r="BI571" i="5" s="1"/>
  <c r="BJ571" i="5" s="1"/>
  <c r="X569" i="5"/>
  <c r="Y569" i="5" s="1"/>
  <c r="G544" i="6"/>
  <c r="CX571" i="5"/>
  <c r="CY571" i="5"/>
  <c r="AC571" i="5"/>
  <c r="AB571" i="5"/>
  <c r="CP571" i="5" s="1"/>
  <c r="CQ571" i="5" s="1"/>
  <c r="R571" i="5" s="1"/>
  <c r="S571" i="5" s="1"/>
  <c r="CL571" i="5"/>
  <c r="CM571" i="5" s="1"/>
  <c r="BK571" i="5"/>
  <c r="BL571" i="5" s="1"/>
  <c r="BM571" i="5" s="1"/>
  <c r="D571" i="5"/>
  <c r="AK571" i="5"/>
  <c r="CW571" i="5"/>
  <c r="CR571" i="5"/>
  <c r="CS571" i="5"/>
  <c r="BG570" i="5"/>
  <c r="H570" i="5" s="1"/>
  <c r="AX571" i="5"/>
  <c r="AW571" i="5" s="1"/>
  <c r="CU571" i="5"/>
  <c r="BX571" i="5" s="1"/>
  <c r="CZ570" i="5"/>
  <c r="BF570" i="5"/>
  <c r="BD570" i="5"/>
  <c r="BE571" i="5" s="1"/>
  <c r="AD571" i="5" l="1"/>
  <c r="AE571" i="5" s="1"/>
  <c r="CH571" i="5"/>
  <c r="CK571" i="5"/>
  <c r="CJ571" i="5" s="1"/>
  <c r="DA571" i="5"/>
  <c r="DB571" i="5" s="1"/>
  <c r="I570" i="5"/>
  <c r="L571" i="5"/>
  <c r="BN571" i="5"/>
  <c r="BO571" i="5" s="1"/>
  <c r="BP571" i="5" s="1"/>
  <c r="G571" i="5" s="1"/>
  <c r="AM571" i="5"/>
  <c r="AL572" i="5" s="1"/>
  <c r="H544" i="6"/>
  <c r="Z569" i="5"/>
  <c r="CT571" i="5"/>
  <c r="CV571" i="5"/>
  <c r="T571" i="5"/>
  <c r="U571" i="5" s="1"/>
  <c r="W571" i="5"/>
  <c r="K571" i="5" l="1"/>
  <c r="P570" i="5"/>
  <c r="AY570" i="5" s="1"/>
  <c r="M570" i="5"/>
  <c r="AG570" i="5" s="1"/>
  <c r="AH570" i="5"/>
  <c r="AT570" i="5"/>
  <c r="AP570" i="5"/>
  <c r="CN571" i="5"/>
  <c r="E571" i="5" s="1"/>
  <c r="CO571" i="5"/>
  <c r="F571" i="5" s="1"/>
  <c r="AA569" i="5"/>
  <c r="I544" i="6" s="1"/>
  <c r="BW571" i="5" l="1"/>
  <c r="BY571" i="5"/>
  <c r="J571" i="5" s="1"/>
  <c r="BC571" i="5"/>
  <c r="BD571" i="5" s="1"/>
  <c r="BE572" i="5" s="1"/>
  <c r="C572" i="5"/>
  <c r="BU572" i="5" s="1"/>
  <c r="AJ570" i="5"/>
  <c r="N570" i="5"/>
  <c r="AS570" i="5"/>
  <c r="AV570" i="5" s="1"/>
  <c r="AO570" i="5"/>
  <c r="Q570" i="5"/>
  <c r="V570" i="5" s="1"/>
  <c r="G545" i="6" s="1"/>
  <c r="F545" i="6"/>
  <c r="AF571" i="5" l="1"/>
  <c r="AN571" i="5"/>
  <c r="CI572" i="5"/>
  <c r="BG571" i="5"/>
  <c r="BS572" i="5"/>
  <c r="CZ571" i="5"/>
  <c r="BF571" i="5"/>
  <c r="AX572" i="5"/>
  <c r="AW572" i="5" s="1"/>
  <c r="CU572" i="5"/>
  <c r="CT572" i="5" s="1"/>
  <c r="BH572" i="5"/>
  <c r="BI572" i="5" s="1"/>
  <c r="BJ572" i="5" s="1"/>
  <c r="CS572" i="5"/>
  <c r="CL572" i="5"/>
  <c r="CM572" i="5" s="1"/>
  <c r="CR572" i="5"/>
  <c r="AK572" i="5"/>
  <c r="AM572" i="5" s="1"/>
  <c r="AL573" i="5" s="1"/>
  <c r="AB572" i="5"/>
  <c r="DA572" i="5" s="1"/>
  <c r="DB572" i="5" s="1"/>
  <c r="CY572" i="5"/>
  <c r="AC572" i="5"/>
  <c r="D572" i="5"/>
  <c r="CX572" i="5"/>
  <c r="BK572" i="5"/>
  <c r="BL572" i="5" s="1"/>
  <c r="BM572" i="5" s="1"/>
  <c r="CW572" i="5"/>
  <c r="AR570" i="5"/>
  <c r="BX572" i="5" l="1"/>
  <c r="I571" i="5"/>
  <c r="AP571" i="5" s="1"/>
  <c r="H571" i="5"/>
  <c r="P571" i="5" s="1"/>
  <c r="BT572" i="5"/>
  <c r="BV572" i="5"/>
  <c r="T572" i="5"/>
  <c r="U572" i="5" s="1"/>
  <c r="CV572" i="5"/>
  <c r="CN572" i="5" s="1"/>
  <c r="E572" i="5" s="1"/>
  <c r="CK572" i="5"/>
  <c r="CJ572" i="5" s="1"/>
  <c r="K572" i="5" s="1"/>
  <c r="CH572" i="5"/>
  <c r="AD572" i="5"/>
  <c r="AE572" i="5" s="1"/>
  <c r="X570" i="5"/>
  <c r="Y570" i="5" s="1"/>
  <c r="W572" i="5"/>
  <c r="BN572" i="5"/>
  <c r="BO572" i="5" s="1"/>
  <c r="BP572" i="5" s="1"/>
  <c r="G572" i="5" s="1"/>
  <c r="CP572" i="5"/>
  <c r="CQ572" i="5" s="1"/>
  <c r="R572" i="5" s="1"/>
  <c r="S572" i="5" s="1"/>
  <c r="L572" i="5"/>
  <c r="AT571" i="5"/>
  <c r="AH571" i="5" l="1"/>
  <c r="CO572" i="5"/>
  <c r="F572" i="5" s="1"/>
  <c r="C573" i="5" s="1"/>
  <c r="CI573" i="5" s="1"/>
  <c r="M571" i="5"/>
  <c r="AG571" i="5" s="1"/>
  <c r="AJ571" i="5" s="1"/>
  <c r="Q571" i="5"/>
  <c r="V571" i="5" s="1"/>
  <c r="AY571" i="5"/>
  <c r="Z570" i="5"/>
  <c r="AA570" i="5" s="1"/>
  <c r="I545" i="6" s="1"/>
  <c r="H545" i="6"/>
  <c r="AS571" i="5" l="1"/>
  <c r="AV571" i="5" s="1"/>
  <c r="AO571" i="5"/>
  <c r="AR571" i="5" s="1"/>
  <c r="N571" i="5"/>
  <c r="BC572" i="5"/>
  <c r="BD572" i="5" s="1"/>
  <c r="BE573" i="5" s="1"/>
  <c r="BU573" i="5"/>
  <c r="CH573" i="5"/>
  <c r="BS573" i="5"/>
  <c r="CK573" i="5"/>
  <c r="CJ573" i="5" s="1"/>
  <c r="CU573" i="5"/>
  <c r="CT573" i="5" s="1"/>
  <c r="BH573" i="5"/>
  <c r="BI573" i="5" s="1"/>
  <c r="BJ573" i="5" s="1"/>
  <c r="AX573" i="5"/>
  <c r="AW573" i="5" s="1"/>
  <c r="BG572" i="5"/>
  <c r="H572" i="5" s="1"/>
  <c r="CS573" i="5"/>
  <c r="CW573" i="5"/>
  <c r="CL573" i="5"/>
  <c r="CM573" i="5" s="1"/>
  <c r="CY573" i="5"/>
  <c r="AB573" i="5"/>
  <c r="BN573" i="5" s="1"/>
  <c r="BO573" i="5" s="1"/>
  <c r="BP573" i="5" s="1"/>
  <c r="CX573" i="5"/>
  <c r="D573" i="5"/>
  <c r="AK573" i="5"/>
  <c r="AM573" i="5" s="1"/>
  <c r="AL574" i="5" s="1"/>
  <c r="CR573" i="5"/>
  <c r="BK573" i="5"/>
  <c r="BL573" i="5" s="1"/>
  <c r="BM573" i="5" s="1"/>
  <c r="AC573" i="5"/>
  <c r="AD573" i="5" l="1"/>
  <c r="AE573" i="5" s="1"/>
  <c r="X571" i="5"/>
  <c r="Y571" i="5" s="1"/>
  <c r="Z571" i="5" s="1"/>
  <c r="AA571" i="5" s="1"/>
  <c r="BF572" i="5"/>
  <c r="CZ572" i="5"/>
  <c r="BY572" i="5"/>
  <c r="J572" i="5" s="1"/>
  <c r="BW572" i="5"/>
  <c r="BX573" i="5" s="1"/>
  <c r="BT573" i="5"/>
  <c r="BV573" i="5"/>
  <c r="G573" i="5"/>
  <c r="T573" i="5"/>
  <c r="U573" i="5" s="1"/>
  <c r="CV573" i="5"/>
  <c r="CO573" i="5" s="1"/>
  <c r="F573" i="5" s="1"/>
  <c r="I572" i="5"/>
  <c r="DA573" i="5"/>
  <c r="DB573" i="5" s="1"/>
  <c r="K573" i="5" s="1"/>
  <c r="L573" i="5"/>
  <c r="W573" i="5"/>
  <c r="CP573" i="5"/>
  <c r="CQ573" i="5" s="1"/>
  <c r="R573" i="5" s="1"/>
  <c r="S573" i="5" s="1"/>
  <c r="P572" i="5"/>
  <c r="M572" i="5"/>
  <c r="CN573" i="5"/>
  <c r="E573" i="5" s="1"/>
  <c r="AN572" i="5" l="1"/>
  <c r="AP572" i="5" s="1"/>
  <c r="AF572" i="5"/>
  <c r="AH572" i="5" s="1"/>
  <c r="BW573" i="5"/>
  <c r="AT572" i="5"/>
  <c r="Q572" i="5"/>
  <c r="V572" i="5" s="1"/>
  <c r="AY572" i="5"/>
  <c r="AS572" i="5"/>
  <c r="AO572" i="5"/>
  <c r="BC573" i="5"/>
  <c r="CZ573" i="5" s="1"/>
  <c r="N572" i="5"/>
  <c r="AG572" i="5"/>
  <c r="C574" i="5"/>
  <c r="BU574" i="5" s="1"/>
  <c r="AR572" i="5" l="1"/>
  <c r="AV572" i="5"/>
  <c r="BY573" i="5"/>
  <c r="J573" i="5" s="1"/>
  <c r="BT574" i="5"/>
  <c r="BV574" i="5"/>
  <c r="BS574" i="5"/>
  <c r="CI574" i="5"/>
  <c r="BH574" i="5"/>
  <c r="BI574" i="5" s="1"/>
  <c r="BJ574" i="5" s="1"/>
  <c r="AJ572" i="5"/>
  <c r="BF573" i="5"/>
  <c r="BD573" i="5"/>
  <c r="BE574" i="5" s="1"/>
  <c r="AK574" i="5"/>
  <c r="AC574" i="5"/>
  <c r="CW574" i="5"/>
  <c r="CY574" i="5"/>
  <c r="D574" i="5"/>
  <c r="CX574" i="5"/>
  <c r="CL574" i="5"/>
  <c r="CM574" i="5" s="1"/>
  <c r="AB574" i="5"/>
  <c r="BN574" i="5" s="1"/>
  <c r="BO574" i="5" s="1"/>
  <c r="BP574" i="5" s="1"/>
  <c r="CS574" i="5"/>
  <c r="BK574" i="5"/>
  <c r="BL574" i="5" s="1"/>
  <c r="BM574" i="5" s="1"/>
  <c r="CR574" i="5"/>
  <c r="BG573" i="5"/>
  <c r="H573" i="5" s="1"/>
  <c r="AX574" i="5"/>
  <c r="AW574" i="5" s="1"/>
  <c r="CU574" i="5"/>
  <c r="BX574" i="5" s="1"/>
  <c r="AD574" i="5" l="1"/>
  <c r="AE574" i="5" s="1"/>
  <c r="AN573" i="5"/>
  <c r="AF573" i="5"/>
  <c r="G574" i="5"/>
  <c r="CH574" i="5"/>
  <c r="CK574" i="5"/>
  <c r="CJ574" i="5" s="1"/>
  <c r="X572" i="5"/>
  <c r="Y572" i="5" s="1"/>
  <c r="Z572" i="5" s="1"/>
  <c r="AA572" i="5" s="1"/>
  <c r="DA574" i="5"/>
  <c r="DB574" i="5" s="1"/>
  <c r="L574" i="5"/>
  <c r="CP574" i="5"/>
  <c r="CQ574" i="5" s="1"/>
  <c r="R574" i="5" s="1"/>
  <c r="S574" i="5" s="1"/>
  <c r="W574" i="5"/>
  <c r="T574" i="5"/>
  <c r="U574" i="5" s="1"/>
  <c r="CV574" i="5"/>
  <c r="CT574" i="5"/>
  <c r="I573" i="5"/>
  <c r="AM574" i="5"/>
  <c r="AL575" i="5" s="1"/>
  <c r="K574" i="5" l="1"/>
  <c r="AH573" i="5"/>
  <c r="AT573" i="5"/>
  <c r="AP573" i="5"/>
  <c r="CO574" i="5"/>
  <c r="F574" i="5" s="1"/>
  <c r="CN574" i="5"/>
  <c r="E574" i="5" s="1"/>
  <c r="P573" i="5"/>
  <c r="M573" i="5"/>
  <c r="AG573" i="5" s="1"/>
  <c r="AJ573" i="5" s="1"/>
  <c r="BW574" i="5" l="1"/>
  <c r="BY574" i="5"/>
  <c r="J574" i="5" s="1"/>
  <c r="Q573" i="5"/>
  <c r="V573" i="5" s="1"/>
  <c r="AY573" i="5"/>
  <c r="C575" i="5"/>
  <c r="BU575" i="5" s="1"/>
  <c r="BC574" i="5"/>
  <c r="BD574" i="5" s="1"/>
  <c r="BE575" i="5" s="1"/>
  <c r="N573" i="5"/>
  <c r="AS573" i="5"/>
  <c r="AV573" i="5" s="1"/>
  <c r="AO573" i="5"/>
  <c r="AF574" i="5" l="1"/>
  <c r="AN574" i="5"/>
  <c r="CI575" i="5"/>
  <c r="CH575" i="5" s="1"/>
  <c r="BS575" i="5"/>
  <c r="CY575" i="5"/>
  <c r="BH575" i="5"/>
  <c r="BI575" i="5" s="1"/>
  <c r="BJ575" i="5" s="1"/>
  <c r="BG574" i="5"/>
  <c r="H574" i="5" s="1"/>
  <c r="CL575" i="5"/>
  <c r="CM575" i="5" s="1"/>
  <c r="AX575" i="5"/>
  <c r="AW575" i="5" s="1"/>
  <c r="CZ574" i="5"/>
  <c r="CS575" i="5"/>
  <c r="AC575" i="5"/>
  <c r="AB575" i="5"/>
  <c r="L575" i="5" s="1"/>
  <c r="CX575" i="5"/>
  <c r="AK575" i="5"/>
  <c r="AM575" i="5" s="1"/>
  <c r="AL576" i="5" s="1"/>
  <c r="BK575" i="5"/>
  <c r="BL575" i="5" s="1"/>
  <c r="BM575" i="5" s="1"/>
  <c r="CR575" i="5"/>
  <c r="D575" i="5"/>
  <c r="CU575" i="5"/>
  <c r="CV575" i="5" s="1"/>
  <c r="CW575" i="5"/>
  <c r="BF574" i="5"/>
  <c r="AR573" i="5"/>
  <c r="AD575" i="5" l="1"/>
  <c r="AE575" i="5" s="1"/>
  <c r="BX575" i="5"/>
  <c r="BT575" i="5"/>
  <c r="BV575" i="5"/>
  <c r="CK575" i="5"/>
  <c r="CJ575" i="5" s="1"/>
  <c r="I574" i="5"/>
  <c r="AP574" i="5" s="1"/>
  <c r="T575" i="5"/>
  <c r="U575" i="5" s="1"/>
  <c r="CO575" i="5"/>
  <c r="F575" i="5" s="1"/>
  <c r="X573" i="5"/>
  <c r="Y573" i="5" s="1"/>
  <c r="Z573" i="5" s="1"/>
  <c r="AA573" i="5" s="1"/>
  <c r="DA575" i="5"/>
  <c r="DB575" i="5" s="1"/>
  <c r="BN575" i="5"/>
  <c r="BO575" i="5" s="1"/>
  <c r="BP575" i="5" s="1"/>
  <c r="G575" i="5" s="1"/>
  <c r="CT575" i="5"/>
  <c r="CP575" i="5"/>
  <c r="CQ575" i="5" s="1"/>
  <c r="R575" i="5" s="1"/>
  <c r="S575" i="5" s="1"/>
  <c r="W575" i="5"/>
  <c r="AT574" i="5"/>
  <c r="CN575" i="5"/>
  <c r="E575" i="5" s="1"/>
  <c r="M574" i="5"/>
  <c r="P574" i="5"/>
  <c r="K575" i="5" l="1"/>
  <c r="AH574" i="5"/>
  <c r="BW575" i="5"/>
  <c r="BY575" i="5"/>
  <c r="J575" i="5" s="1"/>
  <c r="AN575" i="5" s="1"/>
  <c r="Q574" i="5"/>
  <c r="V574" i="5" s="1"/>
  <c r="AY574" i="5"/>
  <c r="BC575" i="5"/>
  <c r="BD575" i="5" s="1"/>
  <c r="BE576" i="5" s="1"/>
  <c r="AS574" i="5"/>
  <c r="AV574" i="5" s="1"/>
  <c r="AO574" i="5"/>
  <c r="AR574" i="5" s="1"/>
  <c r="N574" i="5"/>
  <c r="AG574" i="5"/>
  <c r="C576" i="5"/>
  <c r="BU576" i="5" s="1"/>
  <c r="BV576" i="5" l="1"/>
  <c r="BT576" i="5"/>
  <c r="BS576" i="5"/>
  <c r="CI576" i="5"/>
  <c r="AF575" i="5"/>
  <c r="BF575" i="5"/>
  <c r="CZ575" i="5"/>
  <c r="BH576" i="5"/>
  <c r="BI576" i="5" s="1"/>
  <c r="BJ576" i="5" s="1"/>
  <c r="CL576" i="5"/>
  <c r="CM576" i="5" s="1"/>
  <c r="AJ574" i="5"/>
  <c r="D576" i="5"/>
  <c r="CW576" i="5"/>
  <c r="CY576" i="5"/>
  <c r="CR576" i="5"/>
  <c r="AK576" i="5"/>
  <c r="AM576" i="5" s="1"/>
  <c r="AL577" i="5" s="1"/>
  <c r="CX576" i="5"/>
  <c r="BK576" i="5"/>
  <c r="BL576" i="5" s="1"/>
  <c r="BM576" i="5" s="1"/>
  <c r="CS576" i="5"/>
  <c r="AB576" i="5"/>
  <c r="CP576" i="5" s="1"/>
  <c r="CQ576" i="5" s="1"/>
  <c r="R576" i="5" s="1"/>
  <c r="S576" i="5" s="1"/>
  <c r="BG575" i="5"/>
  <c r="H575" i="5" s="1"/>
  <c r="AC576" i="5"/>
  <c r="AD576" i="5" s="1"/>
  <c r="AX576" i="5"/>
  <c r="AW576" i="5" s="1"/>
  <c r="CU576" i="5"/>
  <c r="BX576" i="5" s="1"/>
  <c r="CH576" i="5" l="1"/>
  <c r="CK576" i="5"/>
  <c r="CJ576" i="5" s="1"/>
  <c r="X574" i="5"/>
  <c r="Y574" i="5" s="1"/>
  <c r="Z574" i="5" s="1"/>
  <c r="AA574" i="5" s="1"/>
  <c r="DA576" i="5"/>
  <c r="DB576" i="5" s="1"/>
  <c r="K576" i="5" s="1"/>
  <c r="I575" i="5"/>
  <c r="AT575" i="5" s="1"/>
  <c r="W576" i="5"/>
  <c r="T576" i="5"/>
  <c r="U576" i="5" s="1"/>
  <c r="L576" i="5"/>
  <c r="CV576" i="5"/>
  <c r="CT576" i="5"/>
  <c r="AE576" i="5"/>
  <c r="BN576" i="5"/>
  <c r="BO576" i="5" s="1"/>
  <c r="BP576" i="5" s="1"/>
  <c r="G576" i="5" s="1"/>
  <c r="AP575" i="5" l="1"/>
  <c r="AH575" i="5"/>
  <c r="CN576" i="5"/>
  <c r="E576" i="5" s="1"/>
  <c r="CO576" i="5"/>
  <c r="F576" i="5" s="1"/>
  <c r="P575" i="5"/>
  <c r="M575" i="5"/>
  <c r="Q575" i="5" l="1"/>
  <c r="V575" i="5" s="1"/>
  <c r="AY575" i="5"/>
  <c r="AS575" i="5"/>
  <c r="AV575" i="5" s="1"/>
  <c r="AO575" i="5"/>
  <c r="AR575" i="5" s="1"/>
  <c r="BC576" i="5"/>
  <c r="CZ576" i="5" s="1"/>
  <c r="N575" i="5"/>
  <c r="AG575" i="5"/>
  <c r="C577" i="5"/>
  <c r="BU577" i="5" s="1"/>
  <c r="BY576" i="5" l="1"/>
  <c r="J576" i="5" s="1"/>
  <c r="BW576" i="5"/>
  <c r="BV577" i="5"/>
  <c r="BT577" i="5"/>
  <c r="BS577" i="5"/>
  <c r="CI577" i="5"/>
  <c r="BH577" i="5"/>
  <c r="BI577" i="5" s="1"/>
  <c r="BJ577" i="5" s="1"/>
  <c r="BD576" i="5"/>
  <c r="BE577" i="5" s="1"/>
  <c r="BF576" i="5"/>
  <c r="AJ575" i="5"/>
  <c r="CR577" i="5"/>
  <c r="CU577" i="5"/>
  <c r="CY577" i="5"/>
  <c r="AX577" i="5"/>
  <c r="AW577" i="5" s="1"/>
  <c r="CX577" i="5"/>
  <c r="CW577" i="5"/>
  <c r="AB577" i="5"/>
  <c r="CP577" i="5" s="1"/>
  <c r="CQ577" i="5" s="1"/>
  <c r="R577" i="5" s="1"/>
  <c r="S577" i="5" s="1"/>
  <c r="AC577" i="5"/>
  <c r="BK577" i="5"/>
  <c r="BL577" i="5" s="1"/>
  <c r="BM577" i="5" s="1"/>
  <c r="CS577" i="5"/>
  <c r="AK577" i="5"/>
  <c r="AM577" i="5" s="1"/>
  <c r="AL578" i="5" s="1"/>
  <c r="CL577" i="5"/>
  <c r="CM577" i="5" s="1"/>
  <c r="D577" i="5"/>
  <c r="BG576" i="5"/>
  <c r="H576" i="5" s="1"/>
  <c r="AF576" i="5" l="1"/>
  <c r="AN576" i="5"/>
  <c r="BX577" i="5"/>
  <c r="CK577" i="5"/>
  <c r="CJ577" i="5" s="1"/>
  <c r="CH577" i="5"/>
  <c r="AD577" i="5"/>
  <c r="AE577" i="5" s="1"/>
  <c r="X575" i="5"/>
  <c r="Y575" i="5" s="1"/>
  <c r="Z575" i="5" s="1"/>
  <c r="AA575" i="5" s="1"/>
  <c r="BN577" i="5"/>
  <c r="BO577" i="5" s="1"/>
  <c r="BP577" i="5" s="1"/>
  <c r="G577" i="5" s="1"/>
  <c r="DA577" i="5"/>
  <c r="DB577" i="5" s="1"/>
  <c r="K577" i="5" s="1"/>
  <c r="I576" i="5"/>
  <c r="AH576" i="5" s="1"/>
  <c r="T577" i="5"/>
  <c r="U577" i="5" s="1"/>
  <c r="W577" i="5"/>
  <c r="CT577" i="5"/>
  <c r="CV577" i="5"/>
  <c r="L577" i="5"/>
  <c r="AT576" i="5" l="1"/>
  <c r="AP576" i="5"/>
  <c r="CO577" i="5"/>
  <c r="F577" i="5" s="1"/>
  <c r="CN577" i="5"/>
  <c r="E577" i="5" s="1"/>
  <c r="M576" i="5"/>
  <c r="P576" i="5"/>
  <c r="BY577" i="5" l="1"/>
  <c r="J577" i="5" s="1"/>
  <c r="BW577" i="5"/>
  <c r="Q576" i="5"/>
  <c r="V576" i="5" s="1"/>
  <c r="AY576" i="5"/>
  <c r="AO576" i="5"/>
  <c r="AR576" i="5" s="1"/>
  <c r="AG576" i="5"/>
  <c r="AJ576" i="5" s="1"/>
  <c r="BC577" i="5"/>
  <c r="CZ577" i="5" s="1"/>
  <c r="N576" i="5"/>
  <c r="AS576" i="5"/>
  <c r="AV576" i="5" s="1"/>
  <c r="C578" i="5"/>
  <c r="BU578" i="5" s="1"/>
  <c r="AF577" i="5" l="1"/>
  <c r="AN577" i="5"/>
  <c r="CI578" i="5"/>
  <c r="CH578" i="5" s="1"/>
  <c r="BS578" i="5"/>
  <c r="AK578" i="5"/>
  <c r="AM578" i="5" s="1"/>
  <c r="AL579" i="5" s="1"/>
  <c r="BH578" i="5"/>
  <c r="BI578" i="5" s="1"/>
  <c r="BJ578" i="5" s="1"/>
  <c r="X576" i="5"/>
  <c r="Y576" i="5" s="1"/>
  <c r="Z576" i="5" s="1"/>
  <c r="AA576" i="5" s="1"/>
  <c r="BF577" i="5"/>
  <c r="BD577" i="5"/>
  <c r="BE578" i="5" s="1"/>
  <c r="CY578" i="5"/>
  <c r="D578" i="5"/>
  <c r="AC578" i="5"/>
  <c r="AB578" i="5"/>
  <c r="BN578" i="5" s="1"/>
  <c r="BO578" i="5" s="1"/>
  <c r="BP578" i="5" s="1"/>
  <c r="BK578" i="5"/>
  <c r="BL578" i="5" s="1"/>
  <c r="BM578" i="5" s="1"/>
  <c r="BG577" i="5"/>
  <c r="H577" i="5" s="1"/>
  <c r="AX578" i="5"/>
  <c r="AW578" i="5" s="1"/>
  <c r="CX578" i="5"/>
  <c r="CU578" i="5"/>
  <c r="BX578" i="5" s="1"/>
  <c r="CL578" i="5"/>
  <c r="CM578" i="5" s="1"/>
  <c r="CW578" i="5"/>
  <c r="CS578" i="5"/>
  <c r="CR578" i="5"/>
  <c r="BT578" i="5" l="1"/>
  <c r="BV578" i="5"/>
  <c r="CK578" i="5"/>
  <c r="CJ578" i="5" s="1"/>
  <c r="G578" i="5"/>
  <c r="T578" i="5"/>
  <c r="U578" i="5" s="1"/>
  <c r="AD578" i="5"/>
  <c r="AE578" i="5" s="1"/>
  <c r="W578" i="5"/>
  <c r="I577" i="5"/>
  <c r="AH577" i="5" s="1"/>
  <c r="L578" i="5"/>
  <c r="CT578" i="5"/>
  <c r="CV578" i="5"/>
  <c r="CP578" i="5"/>
  <c r="CQ578" i="5" s="1"/>
  <c r="R578" i="5" s="1"/>
  <c r="S578" i="5" s="1"/>
  <c r="DA578" i="5"/>
  <c r="DB578" i="5" s="1"/>
  <c r="K578" i="5" s="1"/>
  <c r="AT577" i="5" l="1"/>
  <c r="AP577" i="5"/>
  <c r="CN578" i="5"/>
  <c r="E578" i="5" s="1"/>
  <c r="CO578" i="5"/>
  <c r="F578" i="5" s="1"/>
  <c r="P577" i="5"/>
  <c r="M577" i="5"/>
  <c r="AG577" i="5" s="1"/>
  <c r="BY578" i="5" l="1"/>
  <c r="J578" i="5" s="1"/>
  <c r="BW578" i="5"/>
  <c r="Q577" i="5"/>
  <c r="V577" i="5" s="1"/>
  <c r="AY577" i="5"/>
  <c r="C579" i="5"/>
  <c r="BU579" i="5" s="1"/>
  <c r="AJ577" i="5"/>
  <c r="N577" i="5"/>
  <c r="AS577" i="5"/>
  <c r="AV577" i="5" s="1"/>
  <c r="AO577" i="5"/>
  <c r="BC578" i="5"/>
  <c r="BD578" i="5" s="1"/>
  <c r="BE579" i="5" s="1"/>
  <c r="AF578" i="5" l="1"/>
  <c r="AN578" i="5"/>
  <c r="BT579" i="5"/>
  <c r="BV579" i="5"/>
  <c r="BS579" i="5"/>
  <c r="CI579" i="5"/>
  <c r="CX579" i="5"/>
  <c r="CU579" i="5"/>
  <c r="CV579" i="5" s="1"/>
  <c r="AB579" i="5"/>
  <c r="BN579" i="5" s="1"/>
  <c r="BO579" i="5" s="1"/>
  <c r="BP579" i="5" s="1"/>
  <c r="BH579" i="5"/>
  <c r="BI579" i="5" s="1"/>
  <c r="BJ579" i="5" s="1"/>
  <c r="CL579" i="5"/>
  <c r="CM579" i="5" s="1"/>
  <c r="AX579" i="5"/>
  <c r="AW579" i="5" s="1"/>
  <c r="CR579" i="5"/>
  <c r="BG578" i="5"/>
  <c r="AK579" i="5"/>
  <c r="AM579" i="5" s="1"/>
  <c r="AL580" i="5" s="1"/>
  <c r="BK579" i="5"/>
  <c r="BL579" i="5" s="1"/>
  <c r="BM579" i="5" s="1"/>
  <c r="CY579" i="5"/>
  <c r="AC579" i="5"/>
  <c r="CS579" i="5"/>
  <c r="D579" i="5"/>
  <c r="CZ578" i="5"/>
  <c r="CW579" i="5"/>
  <c r="BF578" i="5"/>
  <c r="AR577" i="5"/>
  <c r="AD579" i="5" l="1"/>
  <c r="AE579" i="5" s="1"/>
  <c r="BX579" i="5"/>
  <c r="I578" i="5"/>
  <c r="AP578" i="5" s="1"/>
  <c r="H578" i="5"/>
  <c r="P578" i="5" s="1"/>
  <c r="BB578" i="5" s="1"/>
  <c r="CT579" i="5"/>
  <c r="G579" i="5"/>
  <c r="CN579" i="5"/>
  <c r="E579" i="5" s="1"/>
  <c r="T579" i="5"/>
  <c r="U579" i="5" s="1"/>
  <c r="L579" i="5"/>
  <c r="CH579" i="5"/>
  <c r="CK579" i="5"/>
  <c r="CJ579" i="5" s="1"/>
  <c r="CP579" i="5"/>
  <c r="CQ579" i="5" s="1"/>
  <c r="R579" i="5" s="1"/>
  <c r="S579" i="5" s="1"/>
  <c r="DA579" i="5"/>
  <c r="DB579" i="5" s="1"/>
  <c r="CO579" i="5"/>
  <c r="F579" i="5" s="1"/>
  <c r="X577" i="5"/>
  <c r="Y577" i="5" s="1"/>
  <c r="Z577" i="5" s="1"/>
  <c r="AA577" i="5" s="1"/>
  <c r="W579" i="5"/>
  <c r="AT578" i="5" l="1"/>
  <c r="AH578" i="5"/>
  <c r="K579" i="5"/>
  <c r="C580" i="5"/>
  <c r="BU580" i="5" s="1"/>
  <c r="AY578" i="5"/>
  <c r="BC579" i="5"/>
  <c r="BF579" i="5" s="1"/>
  <c r="Q578" i="5"/>
  <c r="V578" i="5" s="1"/>
  <c r="M578" i="5"/>
  <c r="N578" i="5" s="1"/>
  <c r="AS578" i="5" l="1"/>
  <c r="AV578" i="5" s="1"/>
  <c r="BW579" i="5"/>
  <c r="BY579" i="5"/>
  <c r="J579" i="5" s="1"/>
  <c r="BG579" i="5"/>
  <c r="H579" i="5" s="1"/>
  <c r="CR580" i="5"/>
  <c r="CY580" i="5"/>
  <c r="CI580" i="5"/>
  <c r="CH580" i="5" s="1"/>
  <c r="BH580" i="5"/>
  <c r="BI580" i="5" s="1"/>
  <c r="BJ580" i="5" s="1"/>
  <c r="BS580" i="5"/>
  <c r="AX580" i="5"/>
  <c r="AW580" i="5" s="1"/>
  <c r="D580" i="5"/>
  <c r="AK580" i="5"/>
  <c r="AM580" i="5" s="1"/>
  <c r="AL581" i="5" s="1"/>
  <c r="CW580" i="5"/>
  <c r="AC580" i="5"/>
  <c r="AD580" i="5" s="1"/>
  <c r="BK580" i="5"/>
  <c r="BL580" i="5" s="1"/>
  <c r="BM580" i="5" s="1"/>
  <c r="CU580" i="5"/>
  <c r="CT580" i="5" s="1"/>
  <c r="AB580" i="5"/>
  <c r="BN580" i="5" s="1"/>
  <c r="BO580" i="5" s="1"/>
  <c r="BP580" i="5" s="1"/>
  <c r="CS580" i="5"/>
  <c r="CX580" i="5"/>
  <c r="CL580" i="5"/>
  <c r="CM580" i="5" s="1"/>
  <c r="CZ579" i="5"/>
  <c r="AO578" i="5"/>
  <c r="AR578" i="5" s="1"/>
  <c r="BD579" i="5"/>
  <c r="BE580" i="5" s="1"/>
  <c r="AG578" i="5"/>
  <c r="AJ578" i="5" s="1"/>
  <c r="I579" i="5" l="1"/>
  <c r="AN579" i="5"/>
  <c r="AF579" i="5"/>
  <c r="BX580" i="5"/>
  <c r="W580" i="5"/>
  <c r="BT580" i="5"/>
  <c r="BV580" i="5"/>
  <c r="AE580" i="5"/>
  <c r="T580" i="5"/>
  <c r="U580" i="5" s="1"/>
  <c r="G580" i="5"/>
  <c r="X578" i="5"/>
  <c r="Y578" i="5" s="1"/>
  <c r="Z578" i="5" s="1"/>
  <c r="AA578" i="5" s="1"/>
  <c r="CK580" i="5"/>
  <c r="CJ580" i="5" s="1"/>
  <c r="CV580" i="5"/>
  <c r="CO580" i="5" s="1"/>
  <c r="F580" i="5" s="1"/>
  <c r="L580" i="5"/>
  <c r="DA580" i="5"/>
  <c r="DB580" i="5" s="1"/>
  <c r="K580" i="5" s="1"/>
  <c r="CP580" i="5"/>
  <c r="CQ580" i="5" s="1"/>
  <c r="R580" i="5" s="1"/>
  <c r="S580" i="5" s="1"/>
  <c r="AH579" i="5"/>
  <c r="AT579" i="5"/>
  <c r="M579" i="5"/>
  <c r="P579" i="5"/>
  <c r="AP579" i="5" l="1"/>
  <c r="CN580" i="5"/>
  <c r="E580" i="5" s="1"/>
  <c r="Q579" i="5"/>
  <c r="V579" i="5" s="1"/>
  <c r="AY579" i="5"/>
  <c r="AS579" i="5"/>
  <c r="AV579" i="5" s="1"/>
  <c r="AO579" i="5"/>
  <c r="N579" i="5"/>
  <c r="AG579" i="5"/>
  <c r="C581" i="5" l="1"/>
  <c r="BU581" i="5" s="1"/>
  <c r="BT581" i="5" s="1"/>
  <c r="BC580" i="5"/>
  <c r="CZ580" i="5" s="1"/>
  <c r="BS581" i="5"/>
  <c r="AR579" i="5"/>
  <c r="AJ579" i="5"/>
  <c r="CL581" i="5" l="1"/>
  <c r="CM581" i="5" s="1"/>
  <c r="CU581" i="5"/>
  <c r="CS581" i="5"/>
  <c r="CX581" i="5"/>
  <c r="CW581" i="5"/>
  <c r="AX581" i="5"/>
  <c r="AW581" i="5" s="1"/>
  <c r="BG580" i="5"/>
  <c r="H580" i="5" s="1"/>
  <c r="D581" i="5"/>
  <c r="T581" i="5" s="1"/>
  <c r="U581" i="5" s="1"/>
  <c r="CR581" i="5"/>
  <c r="BF580" i="5"/>
  <c r="CY581" i="5"/>
  <c r="BH581" i="5"/>
  <c r="BI581" i="5" s="1"/>
  <c r="BJ581" i="5" s="1"/>
  <c r="AK581" i="5"/>
  <c r="AM581" i="5" s="1"/>
  <c r="AL582" i="5" s="1"/>
  <c r="AC581" i="5"/>
  <c r="AD581" i="5" s="1"/>
  <c r="AB581" i="5"/>
  <c r="DA581" i="5" s="1"/>
  <c r="DB581" i="5" s="1"/>
  <c r="CI581" i="5"/>
  <c r="CK581" i="5" s="1"/>
  <c r="CJ581" i="5" s="1"/>
  <c r="BK581" i="5"/>
  <c r="BL581" i="5" s="1"/>
  <c r="BM581" i="5" s="1"/>
  <c r="BV581" i="5"/>
  <c r="BD580" i="5"/>
  <c r="BE581" i="5" s="1"/>
  <c r="BY580" i="5"/>
  <c r="J580" i="5" s="1"/>
  <c r="BW580" i="5"/>
  <c r="BX581" i="5" s="1"/>
  <c r="X579" i="5"/>
  <c r="Y579" i="5" s="1"/>
  <c r="Z579" i="5" s="1"/>
  <c r="AA579" i="5" s="1"/>
  <c r="CV581" i="5"/>
  <c r="CT581" i="5"/>
  <c r="W581" i="5" l="1"/>
  <c r="I580" i="5"/>
  <c r="AT580" i="5" s="1"/>
  <c r="AN580" i="5"/>
  <c r="AF580" i="5"/>
  <c r="K581" i="5"/>
  <c r="BN581" i="5"/>
  <c r="BO581" i="5" s="1"/>
  <c r="BP581" i="5" s="1"/>
  <c r="G581" i="5" s="1"/>
  <c r="CP581" i="5"/>
  <c r="CQ581" i="5" s="1"/>
  <c r="R581" i="5" s="1"/>
  <c r="S581" i="5" s="1"/>
  <c r="L581" i="5"/>
  <c r="AE581" i="5"/>
  <c r="CH581" i="5"/>
  <c r="P580" i="5"/>
  <c r="M580" i="5"/>
  <c r="CN581" i="5"/>
  <c r="E581" i="5" s="1"/>
  <c r="CO581" i="5"/>
  <c r="F581" i="5" s="1"/>
  <c r="AH580" i="5" l="1"/>
  <c r="AP580" i="5"/>
  <c r="BW581" i="5"/>
  <c r="BY581" i="5"/>
  <c r="J581" i="5" s="1"/>
  <c r="Q580" i="5"/>
  <c r="V580" i="5" s="1"/>
  <c r="AY580" i="5"/>
  <c r="AO580" i="5"/>
  <c r="AR580" i="5" s="1"/>
  <c r="AG580" i="5"/>
  <c r="AJ580" i="5" s="1"/>
  <c r="C582" i="5"/>
  <c r="BU582" i="5" s="1"/>
  <c r="BC581" i="5"/>
  <c r="CZ581" i="5" s="1"/>
  <c r="N580" i="5"/>
  <c r="AS580" i="5"/>
  <c r="AV580" i="5" s="1"/>
  <c r="AF581" i="5" l="1"/>
  <c r="AN581" i="5"/>
  <c r="CI582" i="5"/>
  <c r="CH582" i="5" s="1"/>
  <c r="BS582" i="5"/>
  <c r="AB582" i="5"/>
  <c r="BN582" i="5" s="1"/>
  <c r="BO582" i="5" s="1"/>
  <c r="BP582" i="5" s="1"/>
  <c r="BH582" i="5"/>
  <c r="BI582" i="5" s="1"/>
  <c r="BJ582" i="5" s="1"/>
  <c r="X580" i="5"/>
  <c r="Y580" i="5" s="1"/>
  <c r="Z580" i="5" s="1"/>
  <c r="AA580" i="5" s="1"/>
  <c r="BF581" i="5"/>
  <c r="BD581" i="5"/>
  <c r="BE582" i="5" s="1"/>
  <c r="CU582" i="5"/>
  <c r="CV582" i="5" s="1"/>
  <c r="AX582" i="5"/>
  <c r="AW582" i="5" s="1"/>
  <c r="CS582" i="5"/>
  <c r="BG581" i="5"/>
  <c r="H581" i="5" s="1"/>
  <c r="CL582" i="5"/>
  <c r="CM582" i="5" s="1"/>
  <c r="BK582" i="5"/>
  <c r="BL582" i="5" s="1"/>
  <c r="BM582" i="5" s="1"/>
  <c r="AC582" i="5"/>
  <c r="CW582" i="5"/>
  <c r="CX582" i="5"/>
  <c r="D582" i="5"/>
  <c r="AK582" i="5"/>
  <c r="AM582" i="5" s="1"/>
  <c r="AL583" i="5" s="1"/>
  <c r="CY582" i="5"/>
  <c r="CR582" i="5"/>
  <c r="BX582" i="5" l="1"/>
  <c r="BT582" i="5"/>
  <c r="BV582" i="5"/>
  <c r="CK582" i="5"/>
  <c r="CJ582" i="5" s="1"/>
  <c r="G582" i="5"/>
  <c r="W582" i="5"/>
  <c r="CP582" i="5"/>
  <c r="CQ582" i="5" s="1"/>
  <c r="R582" i="5" s="1"/>
  <c r="S582" i="5" s="1"/>
  <c r="L582" i="5"/>
  <c r="DA582" i="5"/>
  <c r="DB582" i="5" s="1"/>
  <c r="K582" i="5" s="1"/>
  <c r="AD582" i="5"/>
  <c r="AE582" i="5" s="1"/>
  <c r="I581" i="5"/>
  <c r="AH581" i="5" s="1"/>
  <c r="CT582" i="5"/>
  <c r="T582" i="5"/>
  <c r="U582" i="5" s="1"/>
  <c r="M581" i="5"/>
  <c r="AG581" i="5" s="1"/>
  <c r="P581" i="5"/>
  <c r="AY581" i="5" s="1"/>
  <c r="CO582" i="5"/>
  <c r="F582" i="5" s="1"/>
  <c r="CN582" i="5"/>
  <c r="E582" i="5" s="1"/>
  <c r="AT581" i="5" l="1"/>
  <c r="AJ581" i="5"/>
  <c r="Q581" i="5"/>
  <c r="V581" i="5" s="1"/>
  <c r="AP581" i="5"/>
  <c r="C583" i="5"/>
  <c r="CI583" i="5" s="1"/>
  <c r="N581" i="5"/>
  <c r="AS581" i="5"/>
  <c r="AV581" i="5" s="1"/>
  <c r="AO581" i="5"/>
  <c r="BC582" i="5"/>
  <c r="BW582" i="5" l="1"/>
  <c r="BY582" i="5"/>
  <c r="J582" i="5" s="1"/>
  <c r="BU583" i="5"/>
  <c r="CH583" i="5"/>
  <c r="BS583" i="5"/>
  <c r="CU583" i="5"/>
  <c r="CT583" i="5" s="1"/>
  <c r="BH583" i="5"/>
  <c r="BI583" i="5" s="1"/>
  <c r="BJ583" i="5" s="1"/>
  <c r="CL583" i="5"/>
  <c r="CM583" i="5" s="1"/>
  <c r="AK583" i="5"/>
  <c r="AM583" i="5" s="1"/>
  <c r="AL584" i="5" s="1"/>
  <c r="AB583" i="5"/>
  <c r="CP583" i="5" s="1"/>
  <c r="CQ583" i="5" s="1"/>
  <c r="R583" i="5" s="1"/>
  <c r="S583" i="5" s="1"/>
  <c r="CY583" i="5"/>
  <c r="CX583" i="5"/>
  <c r="AX583" i="5"/>
  <c r="AW583" i="5" s="1"/>
  <c r="D583" i="5"/>
  <c r="BK583" i="5"/>
  <c r="BL583" i="5" s="1"/>
  <c r="BM583" i="5" s="1"/>
  <c r="CS583" i="5"/>
  <c r="CR583" i="5"/>
  <c r="BG582" i="5"/>
  <c r="H582" i="5" s="1"/>
  <c r="AC583" i="5"/>
  <c r="CW583" i="5"/>
  <c r="AR581" i="5"/>
  <c r="BD582" i="5"/>
  <c r="BE583" i="5" s="1"/>
  <c r="CZ582" i="5"/>
  <c r="BF582" i="5"/>
  <c r="AN582" i="5" l="1"/>
  <c r="AF582" i="5"/>
  <c r="BX583" i="5"/>
  <c r="BV583" i="5"/>
  <c r="BT583" i="5"/>
  <c r="CK583" i="5"/>
  <c r="CJ583" i="5" s="1"/>
  <c r="T583" i="5"/>
  <c r="U583" i="5" s="1"/>
  <c r="CV583" i="5"/>
  <c r="CN583" i="5" s="1"/>
  <c r="E583" i="5" s="1"/>
  <c r="AD583" i="5"/>
  <c r="AE583" i="5" s="1"/>
  <c r="X581" i="5"/>
  <c r="Y581" i="5" s="1"/>
  <c r="Z581" i="5" s="1"/>
  <c r="AA581" i="5" s="1"/>
  <c r="I582" i="5"/>
  <c r="W583" i="5"/>
  <c r="DA583" i="5"/>
  <c r="DB583" i="5" s="1"/>
  <c r="K583" i="5" s="1"/>
  <c r="BN583" i="5"/>
  <c r="BO583" i="5" s="1"/>
  <c r="BP583" i="5" s="1"/>
  <c r="G583" i="5" s="1"/>
  <c r="L583" i="5"/>
  <c r="P582" i="5"/>
  <c r="M582" i="5"/>
  <c r="AP582" i="5" l="1"/>
  <c r="CO583" i="5"/>
  <c r="F583" i="5" s="1"/>
  <c r="C584" i="5" s="1"/>
  <c r="CI584" i="5" s="1"/>
  <c r="Q582" i="5"/>
  <c r="V582" i="5" s="1"/>
  <c r="AY582" i="5"/>
  <c r="AT582" i="5"/>
  <c r="AH582" i="5"/>
  <c r="AG582" i="5"/>
  <c r="AO582" i="5"/>
  <c r="AR582" i="5" s="1"/>
  <c r="N582" i="5"/>
  <c r="AS582" i="5"/>
  <c r="BC583" i="5" l="1"/>
  <c r="CZ583" i="5" s="1"/>
  <c r="BW583" i="5"/>
  <c r="BY583" i="5"/>
  <c r="J583" i="5" s="1"/>
  <c r="AF583" i="5" s="1"/>
  <c r="BU584" i="5"/>
  <c r="BS584" i="5"/>
  <c r="AV582" i="5"/>
  <c r="AJ582" i="5"/>
  <c r="CH584" i="5"/>
  <c r="CK584" i="5"/>
  <c r="CJ584" i="5" s="1"/>
  <c r="CL584" i="5"/>
  <c r="CM584" i="5" s="1"/>
  <c r="BH584" i="5"/>
  <c r="BI584" i="5" s="1"/>
  <c r="BJ584" i="5" s="1"/>
  <c r="BG583" i="5"/>
  <c r="CU584" i="5"/>
  <c r="CV584" i="5" s="1"/>
  <c r="BK584" i="5"/>
  <c r="BL584" i="5" s="1"/>
  <c r="BM584" i="5" s="1"/>
  <c r="AK584" i="5"/>
  <c r="AM584" i="5" s="1"/>
  <c r="AL585" i="5" s="1"/>
  <c r="CX584" i="5"/>
  <c r="AB584" i="5"/>
  <c r="L584" i="5" s="1"/>
  <c r="AC584" i="5"/>
  <c r="CR584" i="5"/>
  <c r="CY584" i="5"/>
  <c r="AX584" i="5"/>
  <c r="AW584" i="5" s="1"/>
  <c r="CS584" i="5"/>
  <c r="CW584" i="5"/>
  <c r="D584" i="5"/>
  <c r="AN583" i="5" l="1"/>
  <c r="BD583" i="5"/>
  <c r="BE584" i="5" s="1"/>
  <c r="BF583" i="5"/>
  <c r="BX584" i="5"/>
  <c r="I583" i="5"/>
  <c r="AH583" i="5" s="1"/>
  <c r="H583" i="5"/>
  <c r="M583" i="5" s="1"/>
  <c r="BT584" i="5"/>
  <c r="BV584" i="5"/>
  <c r="X582" i="5"/>
  <c r="Y582" i="5" s="1"/>
  <c r="Z582" i="5" s="1"/>
  <c r="AA582" i="5" s="1"/>
  <c r="W584" i="5"/>
  <c r="AD584" i="5"/>
  <c r="AE584" i="5" s="1"/>
  <c r="CT584" i="5"/>
  <c r="AT583" i="5"/>
  <c r="DA584" i="5"/>
  <c r="DB584" i="5" s="1"/>
  <c r="K584" i="5" s="1"/>
  <c r="CP584" i="5"/>
  <c r="CQ584" i="5" s="1"/>
  <c r="R584" i="5" s="1"/>
  <c r="S584" i="5" s="1"/>
  <c r="BN584" i="5"/>
  <c r="BO584" i="5" s="1"/>
  <c r="BP584" i="5" s="1"/>
  <c r="G584" i="5" s="1"/>
  <c r="T584" i="5"/>
  <c r="U584" i="5" s="1"/>
  <c r="CN584" i="5"/>
  <c r="E584" i="5" s="1"/>
  <c r="CO584" i="5"/>
  <c r="F584" i="5" s="1"/>
  <c r="AP583" i="5" l="1"/>
  <c r="BY584" i="5"/>
  <c r="J584" i="5" s="1"/>
  <c r="AF584" i="5" s="1"/>
  <c r="BW584" i="5"/>
  <c r="P583" i="5"/>
  <c r="Q583" i="5" s="1"/>
  <c r="V583" i="5" s="1"/>
  <c r="AO583" i="5"/>
  <c r="AG583" i="5"/>
  <c r="AJ583" i="5" s="1"/>
  <c r="BC584" i="5"/>
  <c r="BF584" i="5" s="1"/>
  <c r="C585" i="5"/>
  <c r="CI585" i="5" s="1"/>
  <c r="N583" i="5"/>
  <c r="AS583" i="5"/>
  <c r="AV583" i="5" s="1"/>
  <c r="AR583" i="5" l="1"/>
  <c r="AN584" i="5"/>
  <c r="AY583" i="5"/>
  <c r="BU585" i="5"/>
  <c r="CK585" i="5"/>
  <c r="CJ585" i="5" s="1"/>
  <c r="BS585" i="5"/>
  <c r="CU585" i="5"/>
  <c r="CT585" i="5" s="1"/>
  <c r="BH585" i="5"/>
  <c r="BI585" i="5" s="1"/>
  <c r="BJ585" i="5" s="1"/>
  <c r="CZ584" i="5"/>
  <c r="BD584" i="5"/>
  <c r="BE585" i="5" s="1"/>
  <c r="AX585" i="5"/>
  <c r="AW585" i="5" s="1"/>
  <c r="CY585" i="5"/>
  <c r="CL585" i="5"/>
  <c r="CM585" i="5" s="1"/>
  <c r="D585" i="5"/>
  <c r="AK585" i="5"/>
  <c r="AM585" i="5" s="1"/>
  <c r="AL586" i="5" s="1"/>
  <c r="CX585" i="5"/>
  <c r="CR585" i="5"/>
  <c r="AC585" i="5"/>
  <c r="CS585" i="5"/>
  <c r="BG584" i="5"/>
  <c r="AB585" i="5"/>
  <c r="CP585" i="5" s="1"/>
  <c r="CQ585" i="5" s="1"/>
  <c r="R585" i="5" s="1"/>
  <c r="S585" i="5" s="1"/>
  <c r="BK585" i="5"/>
  <c r="BL585" i="5" s="1"/>
  <c r="BM585" i="5" s="1"/>
  <c r="CW585" i="5"/>
  <c r="X583" i="5" l="1"/>
  <c r="Y583" i="5" s="1"/>
  <c r="Z583" i="5" s="1"/>
  <c r="AA583" i="5" s="1"/>
  <c r="BX585" i="5"/>
  <c r="I584" i="5"/>
  <c r="AH584" i="5" s="1"/>
  <c r="H584" i="5"/>
  <c r="P584" i="5" s="1"/>
  <c r="BT585" i="5"/>
  <c r="BV585" i="5"/>
  <c r="CH585" i="5"/>
  <c r="CV585" i="5"/>
  <c r="CN585" i="5" s="1"/>
  <c r="E585" i="5" s="1"/>
  <c r="W585" i="5"/>
  <c r="AD585" i="5"/>
  <c r="AE585" i="5" s="1"/>
  <c r="T585" i="5"/>
  <c r="U585" i="5" s="1"/>
  <c r="L585" i="5"/>
  <c r="BN585" i="5"/>
  <c r="BO585" i="5" s="1"/>
  <c r="BP585" i="5" s="1"/>
  <c r="G585" i="5" s="1"/>
  <c r="DA585" i="5"/>
  <c r="DB585" i="5" s="1"/>
  <c r="K585" i="5" s="1"/>
  <c r="AT584" i="5"/>
  <c r="AP584" i="5" l="1"/>
  <c r="CO585" i="5"/>
  <c r="F585" i="5" s="1"/>
  <c r="C586" i="5" s="1"/>
  <c r="CI586" i="5" s="1"/>
  <c r="Q584" i="5"/>
  <c r="V584" i="5" s="1"/>
  <c r="AY584" i="5"/>
  <c r="M584" i="5"/>
  <c r="AG584" i="5" s="1"/>
  <c r="AS584" i="5"/>
  <c r="AV584" i="5" s="1"/>
  <c r="BC585" i="5" l="1"/>
  <c r="BU586" i="5"/>
  <c r="CH586" i="5"/>
  <c r="BS586" i="5"/>
  <c r="AO584" i="5"/>
  <c r="AR584" i="5" s="1"/>
  <c r="N584" i="5"/>
  <c r="CK586" i="5"/>
  <c r="CJ586" i="5" s="1"/>
  <c r="AB586" i="5"/>
  <c r="CP586" i="5" s="1"/>
  <c r="CQ586" i="5" s="1"/>
  <c r="R586" i="5" s="1"/>
  <c r="S586" i="5" s="1"/>
  <c r="BH586" i="5"/>
  <c r="BI586" i="5" s="1"/>
  <c r="BJ586" i="5" s="1"/>
  <c r="AJ584" i="5"/>
  <c r="AX586" i="5"/>
  <c r="AW586" i="5" s="1"/>
  <c r="CR586" i="5"/>
  <c r="CU586" i="5"/>
  <c r="CV586" i="5" s="1"/>
  <c r="CS586" i="5"/>
  <c r="CY586" i="5"/>
  <c r="D586" i="5"/>
  <c r="BG585" i="5"/>
  <c r="AK586" i="5"/>
  <c r="AM586" i="5" s="1"/>
  <c r="AL587" i="5" s="1"/>
  <c r="BK586" i="5"/>
  <c r="BL586" i="5" s="1"/>
  <c r="BM586" i="5" s="1"/>
  <c r="CL586" i="5"/>
  <c r="CM586" i="5" s="1"/>
  <c r="CX586" i="5"/>
  <c r="AC586" i="5"/>
  <c r="CW586" i="5"/>
  <c r="BF585" i="5"/>
  <c r="BD585" i="5"/>
  <c r="BE586" i="5" s="1"/>
  <c r="CZ585" i="5"/>
  <c r="BY585" i="5" l="1"/>
  <c r="J585" i="5" s="1"/>
  <c r="BW585" i="5"/>
  <c r="BX586" i="5" s="1"/>
  <c r="I585" i="5"/>
  <c r="AT585" i="5" s="1"/>
  <c r="H585" i="5"/>
  <c r="P585" i="5" s="1"/>
  <c r="BV586" i="5"/>
  <c r="BT586" i="5"/>
  <c r="BN586" i="5"/>
  <c r="BO586" i="5" s="1"/>
  <c r="BP586" i="5" s="1"/>
  <c r="G586" i="5" s="1"/>
  <c r="DA586" i="5"/>
  <c r="DB586" i="5" s="1"/>
  <c r="K586" i="5" s="1"/>
  <c r="T586" i="5"/>
  <c r="U586" i="5" s="1"/>
  <c r="L586" i="5"/>
  <c r="CT586" i="5"/>
  <c r="AD586" i="5"/>
  <c r="AE586" i="5" s="1"/>
  <c r="X584" i="5"/>
  <c r="Y584" i="5" s="1"/>
  <c r="Z584" i="5" s="1"/>
  <c r="AA584" i="5" s="1"/>
  <c r="W586" i="5"/>
  <c r="CN586" i="5"/>
  <c r="E586" i="5" s="1"/>
  <c r="CO586" i="5"/>
  <c r="F586" i="5" s="1"/>
  <c r="AF585" i="5" l="1"/>
  <c r="AH585" i="5" s="1"/>
  <c r="AN585" i="5"/>
  <c r="AP585" i="5" s="1"/>
  <c r="Q585" i="5"/>
  <c r="V585" i="5" s="1"/>
  <c r="AY585" i="5"/>
  <c r="M585" i="5"/>
  <c r="N585" i="5" s="1"/>
  <c r="BC586" i="5"/>
  <c r="CZ586" i="5" s="1"/>
  <c r="C587" i="5"/>
  <c r="BU587" i="5" s="1"/>
  <c r="AS585" i="5" l="1"/>
  <c r="AV585" i="5" s="1"/>
  <c r="BW586" i="5"/>
  <c r="BY586" i="5"/>
  <c r="J586" i="5" s="1"/>
  <c r="AN586" i="5" s="1"/>
  <c r="BT587" i="5"/>
  <c r="BV587" i="5"/>
  <c r="BS587" i="5"/>
  <c r="CI587" i="5"/>
  <c r="AF586" i="5"/>
  <c r="BH587" i="5"/>
  <c r="BI587" i="5" s="1"/>
  <c r="BJ587" i="5" s="1"/>
  <c r="AO585" i="5"/>
  <c r="AR585" i="5" s="1"/>
  <c r="AG585" i="5"/>
  <c r="AJ585" i="5" s="1"/>
  <c r="BD586" i="5"/>
  <c r="BE587" i="5" s="1"/>
  <c r="BF586" i="5"/>
  <c r="CL587" i="5"/>
  <c r="CM587" i="5" s="1"/>
  <c r="D587" i="5"/>
  <c r="BG586" i="5"/>
  <c r="H586" i="5" s="1"/>
  <c r="BK587" i="5"/>
  <c r="BL587" i="5" s="1"/>
  <c r="BM587" i="5" s="1"/>
  <c r="AB587" i="5"/>
  <c r="BN587" i="5" s="1"/>
  <c r="BO587" i="5" s="1"/>
  <c r="BP587" i="5" s="1"/>
  <c r="CR587" i="5"/>
  <c r="AX587" i="5"/>
  <c r="AW587" i="5" s="1"/>
  <c r="AC587" i="5"/>
  <c r="AD587" i="5" s="1"/>
  <c r="CY587" i="5"/>
  <c r="CU587" i="5"/>
  <c r="CX587" i="5"/>
  <c r="AK587" i="5"/>
  <c r="AM587" i="5" s="1"/>
  <c r="AL588" i="5" s="1"/>
  <c r="CS587" i="5"/>
  <c r="CW587" i="5"/>
  <c r="BX587" i="5" l="1"/>
  <c r="G587" i="5"/>
  <c r="CH587" i="5"/>
  <c r="CK587" i="5"/>
  <c r="CJ587" i="5" s="1"/>
  <c r="X585" i="5"/>
  <c r="Y585" i="5" s="1"/>
  <c r="Z585" i="5" s="1"/>
  <c r="AA585" i="5" s="1"/>
  <c r="DA587" i="5"/>
  <c r="DB587" i="5" s="1"/>
  <c r="K587" i="5" s="1"/>
  <c r="I586" i="5"/>
  <c r="AH586" i="5" s="1"/>
  <c r="CT587" i="5"/>
  <c r="CV587" i="5"/>
  <c r="CP587" i="5"/>
  <c r="CQ587" i="5" s="1"/>
  <c r="R587" i="5" s="1"/>
  <c r="S587" i="5" s="1"/>
  <c r="AE587" i="5"/>
  <c r="W587" i="5"/>
  <c r="T587" i="5"/>
  <c r="U587" i="5" s="1"/>
  <c r="L587" i="5"/>
  <c r="CN587" i="5" l="1"/>
  <c r="E587" i="5" s="1"/>
  <c r="CO587" i="5"/>
  <c r="F587" i="5" s="1"/>
  <c r="AT586" i="5"/>
  <c r="AP586" i="5"/>
  <c r="P586" i="5"/>
  <c r="M586" i="5"/>
  <c r="AG586" i="5" s="1"/>
  <c r="AJ586" i="5" s="1"/>
  <c r="BY587" i="5" l="1"/>
  <c r="J587" i="5" s="1"/>
  <c r="BW587" i="5"/>
  <c r="Q586" i="5"/>
  <c r="V586" i="5" s="1"/>
  <c r="AY586" i="5"/>
  <c r="C588" i="5"/>
  <c r="BU588" i="5" s="1"/>
  <c r="BC587" i="5"/>
  <c r="BD587" i="5" s="1"/>
  <c r="BE588" i="5" s="1"/>
  <c r="AO586" i="5"/>
  <c r="AS586" i="5"/>
  <c r="AV586" i="5" s="1"/>
  <c r="N586" i="5"/>
  <c r="AN587" i="5" l="1"/>
  <c r="AF587" i="5"/>
  <c r="CI588" i="5"/>
  <c r="CK588" i="5" s="1"/>
  <c r="CJ588" i="5" s="1"/>
  <c r="BS588" i="5"/>
  <c r="AK588" i="5"/>
  <c r="BH588" i="5"/>
  <c r="BI588" i="5" s="1"/>
  <c r="BJ588" i="5" s="1"/>
  <c r="AB588" i="5"/>
  <c r="L588" i="5" s="1"/>
  <c r="AX588" i="5"/>
  <c r="AW588" i="5" s="1"/>
  <c r="CY588" i="5"/>
  <c r="CR588" i="5"/>
  <c r="CU588" i="5"/>
  <c r="CV588" i="5" s="1"/>
  <c r="CZ587" i="5"/>
  <c r="BF587" i="5"/>
  <c r="CS588" i="5"/>
  <c r="D588" i="5"/>
  <c r="AC588" i="5"/>
  <c r="AD588" i="5" s="1"/>
  <c r="AE588" i="5" s="1"/>
  <c r="BK588" i="5"/>
  <c r="BL588" i="5" s="1"/>
  <c r="BM588" i="5" s="1"/>
  <c r="BG587" i="5"/>
  <c r="CW588" i="5"/>
  <c r="CL588" i="5"/>
  <c r="CM588" i="5" s="1"/>
  <c r="CX588" i="5"/>
  <c r="AM588" i="5"/>
  <c r="AL589" i="5" s="1"/>
  <c r="AR586" i="5"/>
  <c r="BX588" i="5" l="1"/>
  <c r="I587" i="5"/>
  <c r="AP587" i="5" s="1"/>
  <c r="H587" i="5"/>
  <c r="P587" i="5" s="1"/>
  <c r="BT588" i="5"/>
  <c r="BV588" i="5"/>
  <c r="CH588" i="5"/>
  <c r="T588" i="5"/>
  <c r="U588" i="5" s="1"/>
  <c r="BN588" i="5"/>
  <c r="BO588" i="5" s="1"/>
  <c r="BP588" i="5" s="1"/>
  <c r="G588" i="5" s="1"/>
  <c r="CP588" i="5"/>
  <c r="CQ588" i="5" s="1"/>
  <c r="R588" i="5" s="1"/>
  <c r="S588" i="5" s="1"/>
  <c r="DA588" i="5"/>
  <c r="DB588" i="5" s="1"/>
  <c r="K588" i="5" s="1"/>
  <c r="W588" i="5"/>
  <c r="CT588" i="5"/>
  <c r="X586" i="5"/>
  <c r="Y586" i="5" s="1"/>
  <c r="Z586" i="5" s="1"/>
  <c r="AA586" i="5" s="1"/>
  <c r="AH587" i="5"/>
  <c r="AT587" i="5"/>
  <c r="CO588" i="5"/>
  <c r="F588" i="5" s="1"/>
  <c r="CN588" i="5"/>
  <c r="E588" i="5" s="1"/>
  <c r="BY588" i="5" l="1"/>
  <c r="J588" i="5" s="1"/>
  <c r="BW588" i="5"/>
  <c r="Q587" i="5"/>
  <c r="V587" i="5" s="1"/>
  <c r="AY587" i="5"/>
  <c r="M587" i="5"/>
  <c r="AO587" i="5" s="1"/>
  <c r="AR587" i="5" s="1"/>
  <c r="BC588" i="5"/>
  <c r="BD588" i="5" s="1"/>
  <c r="BE589" i="5" s="1"/>
  <c r="AS587" i="5"/>
  <c r="AV587" i="5" s="1"/>
  <c r="C589" i="5"/>
  <c r="BS589" i="5" s="1"/>
  <c r="BU589" i="5" l="1"/>
  <c r="CI589" i="5"/>
  <c r="N587" i="5"/>
  <c r="AG587" i="5"/>
  <c r="AJ587" i="5" s="1"/>
  <c r="X587" i="5" s="1"/>
  <c r="Y587" i="5" s="1"/>
  <c r="Z587" i="5" s="1"/>
  <c r="AA587" i="5" s="1"/>
  <c r="AF588" i="5"/>
  <c r="AN588" i="5"/>
  <c r="BH589" i="5"/>
  <c r="BI589" i="5" s="1"/>
  <c r="BJ589" i="5" s="1"/>
  <c r="CZ588" i="5"/>
  <c r="BF588" i="5"/>
  <c r="AC589" i="5"/>
  <c r="BG588" i="5"/>
  <c r="H588" i="5" s="1"/>
  <c r="AX589" i="5"/>
  <c r="AW589" i="5" s="1"/>
  <c r="CR589" i="5"/>
  <c r="CU589" i="5"/>
  <c r="BX589" i="5" s="1"/>
  <c r="AK589" i="5"/>
  <c r="CX589" i="5"/>
  <c r="D589" i="5"/>
  <c r="CW589" i="5"/>
  <c r="CL589" i="5"/>
  <c r="CM589" i="5" s="1"/>
  <c r="BK589" i="5"/>
  <c r="BL589" i="5" s="1"/>
  <c r="BM589" i="5" s="1"/>
  <c r="AB589" i="5"/>
  <c r="L589" i="5" s="1"/>
  <c r="CY589" i="5"/>
  <c r="CS589" i="5"/>
  <c r="BT589" i="5" l="1"/>
  <c r="BV589" i="5"/>
  <c r="CH589" i="5"/>
  <c r="CK589" i="5"/>
  <c r="CJ589" i="5" s="1"/>
  <c r="AD589" i="5"/>
  <c r="AE589" i="5" s="1"/>
  <c r="AM589" i="5"/>
  <c r="AL590" i="5" s="1"/>
  <c r="CT589" i="5"/>
  <c r="CV589" i="5"/>
  <c r="CP589" i="5"/>
  <c r="CQ589" i="5" s="1"/>
  <c r="R589" i="5" s="1"/>
  <c r="S589" i="5" s="1"/>
  <c r="I588" i="5"/>
  <c r="W589" i="5"/>
  <c r="T589" i="5"/>
  <c r="U589" i="5" s="1"/>
  <c r="BN589" i="5"/>
  <c r="BO589" i="5" s="1"/>
  <c r="BP589" i="5" s="1"/>
  <c r="G589" i="5" s="1"/>
  <c r="DA589" i="5"/>
  <c r="DB589" i="5" s="1"/>
  <c r="K589" i="5" s="1"/>
  <c r="AH588" i="5" l="1"/>
  <c r="AT588" i="5"/>
  <c r="AP588" i="5"/>
  <c r="M588" i="5"/>
  <c r="P588" i="5"/>
  <c r="CO589" i="5"/>
  <c r="F589" i="5" s="1"/>
  <c r="CN589" i="5"/>
  <c r="E589" i="5" s="1"/>
  <c r="BW589" i="5" l="1"/>
  <c r="BY589" i="5"/>
  <c r="J589" i="5" s="1"/>
  <c r="AN589" i="5" s="1"/>
  <c r="Q588" i="5"/>
  <c r="V588" i="5" s="1"/>
  <c r="AY588" i="5"/>
  <c r="C590" i="5"/>
  <c r="BU590" i="5" s="1"/>
  <c r="AS588" i="5"/>
  <c r="AV588" i="5" s="1"/>
  <c r="AO588" i="5"/>
  <c r="AR588" i="5" s="1"/>
  <c r="BC589" i="5"/>
  <c r="BD589" i="5" s="1"/>
  <c r="BE590" i="5" s="1"/>
  <c r="AG588" i="5"/>
  <c r="N588" i="5"/>
  <c r="AF589" i="5" l="1"/>
  <c r="CI590" i="5"/>
  <c r="CH590" i="5" s="1"/>
  <c r="BS590" i="5"/>
  <c r="BK590" i="5"/>
  <c r="BL590" i="5" s="1"/>
  <c r="BM590" i="5" s="1"/>
  <c r="BH590" i="5"/>
  <c r="BI590" i="5" s="1"/>
  <c r="BJ590" i="5" s="1"/>
  <c r="BG589" i="5"/>
  <c r="CU590" i="5"/>
  <c r="CV590" i="5" s="1"/>
  <c r="AX590" i="5"/>
  <c r="AW590" i="5" s="1"/>
  <c r="AB590" i="5"/>
  <c r="CP590" i="5" s="1"/>
  <c r="CQ590" i="5" s="1"/>
  <c r="R590" i="5" s="1"/>
  <c r="S590" i="5" s="1"/>
  <c r="AC590" i="5"/>
  <c r="CR590" i="5"/>
  <c r="CS590" i="5"/>
  <c r="D590" i="5"/>
  <c r="CW590" i="5"/>
  <c r="AK590" i="5"/>
  <c r="AM590" i="5" s="1"/>
  <c r="AL591" i="5" s="1"/>
  <c r="CX590" i="5"/>
  <c r="CY590" i="5"/>
  <c r="CL590" i="5"/>
  <c r="CM590" i="5" s="1"/>
  <c r="CZ589" i="5"/>
  <c r="BF589" i="5"/>
  <c r="AJ588" i="5"/>
  <c r="BX590" i="5" l="1"/>
  <c r="I589" i="5"/>
  <c r="AP589" i="5" s="1"/>
  <c r="H589" i="5"/>
  <c r="P589" i="5" s="1"/>
  <c r="BT590" i="5"/>
  <c r="BV590" i="5"/>
  <c r="CK590" i="5"/>
  <c r="CJ590" i="5" s="1"/>
  <c r="W590" i="5"/>
  <c r="CT590" i="5"/>
  <c r="X588" i="5"/>
  <c r="Y588" i="5" s="1"/>
  <c r="Z588" i="5" s="1"/>
  <c r="AA588" i="5" s="1"/>
  <c r="AD590" i="5"/>
  <c r="AE590" i="5" s="1"/>
  <c r="DA590" i="5"/>
  <c r="DB590" i="5" s="1"/>
  <c r="K590" i="5" s="1"/>
  <c r="BN590" i="5"/>
  <c r="BO590" i="5" s="1"/>
  <c r="BP590" i="5" s="1"/>
  <c r="G590" i="5" s="1"/>
  <c r="L590" i="5"/>
  <c r="T590" i="5"/>
  <c r="U590" i="5" s="1"/>
  <c r="AT589" i="5"/>
  <c r="AH589" i="5"/>
  <c r="CO590" i="5"/>
  <c r="F590" i="5" s="1"/>
  <c r="CN590" i="5"/>
  <c r="E590" i="5" s="1"/>
  <c r="BW590" i="5" l="1"/>
  <c r="BY590" i="5"/>
  <c r="J590" i="5" s="1"/>
  <c r="AF590" i="5" s="1"/>
  <c r="M589" i="5"/>
  <c r="AO589" i="5" s="1"/>
  <c r="AR589" i="5" s="1"/>
  <c r="Q589" i="5"/>
  <c r="V589" i="5" s="1"/>
  <c r="AY589" i="5"/>
  <c r="AG589" i="5"/>
  <c r="AJ589" i="5" s="1"/>
  <c r="BC590" i="5"/>
  <c r="BD590" i="5" s="1"/>
  <c r="BE591" i="5" s="1"/>
  <c r="C591" i="5"/>
  <c r="CI591" i="5" s="1"/>
  <c r="AN590" i="5" l="1"/>
  <c r="AS589" i="5"/>
  <c r="AV589" i="5" s="1"/>
  <c r="X589" i="5" s="1"/>
  <c r="Y589" i="5" s="1"/>
  <c r="Z589" i="5" s="1"/>
  <c r="AA589" i="5" s="1"/>
  <c r="N589" i="5"/>
  <c r="BU591" i="5"/>
  <c r="CH591" i="5"/>
  <c r="BS591" i="5"/>
  <c r="CW591" i="5"/>
  <c r="BH591" i="5"/>
  <c r="BI591" i="5" s="1"/>
  <c r="BJ591" i="5" s="1"/>
  <c r="BG590" i="5"/>
  <c r="CS591" i="5"/>
  <c r="BF590" i="5"/>
  <c r="CX591" i="5"/>
  <c r="AX591" i="5"/>
  <c r="AW591" i="5" s="1"/>
  <c r="CZ590" i="5"/>
  <c r="D591" i="5"/>
  <c r="CR591" i="5"/>
  <c r="AB591" i="5"/>
  <c r="DA591" i="5" s="1"/>
  <c r="DB591" i="5" s="1"/>
  <c r="AC591" i="5"/>
  <c r="BK591" i="5"/>
  <c r="BL591" i="5" s="1"/>
  <c r="BM591" i="5" s="1"/>
  <c r="CL591" i="5"/>
  <c r="CM591" i="5" s="1"/>
  <c r="AK591" i="5"/>
  <c r="AM591" i="5" s="1"/>
  <c r="AL592" i="5" s="1"/>
  <c r="CY591" i="5"/>
  <c r="CU591" i="5"/>
  <c r="CV591" i="5" s="1"/>
  <c r="BX591" i="5" l="1"/>
  <c r="I590" i="5"/>
  <c r="AH590" i="5" s="1"/>
  <c r="H590" i="5"/>
  <c r="P590" i="5" s="1"/>
  <c r="BV591" i="5"/>
  <c r="BT591" i="5"/>
  <c r="CK591" i="5"/>
  <c r="CJ591" i="5" s="1"/>
  <c r="K591" i="5" s="1"/>
  <c r="T591" i="5"/>
  <c r="U591" i="5" s="1"/>
  <c r="AD591" i="5"/>
  <c r="AE591" i="5" s="1"/>
  <c r="W591" i="5"/>
  <c r="CT591" i="5"/>
  <c r="CP591" i="5"/>
  <c r="CQ591" i="5" s="1"/>
  <c r="R591" i="5" s="1"/>
  <c r="S591" i="5" s="1"/>
  <c r="L591" i="5"/>
  <c r="BN591" i="5"/>
  <c r="BO591" i="5" s="1"/>
  <c r="BP591" i="5" s="1"/>
  <c r="G591" i="5" s="1"/>
  <c r="CN591" i="5"/>
  <c r="E591" i="5" s="1"/>
  <c r="CO591" i="5"/>
  <c r="F591" i="5" s="1"/>
  <c r="AP590" i="5" l="1"/>
  <c r="AT590" i="5"/>
  <c r="BY591" i="5"/>
  <c r="J591" i="5" s="1"/>
  <c r="AF591" i="5" s="1"/>
  <c r="M590" i="5"/>
  <c r="AG590" i="5" s="1"/>
  <c r="AJ590" i="5" s="1"/>
  <c r="Q590" i="5"/>
  <c r="V590" i="5" s="1"/>
  <c r="AY590" i="5"/>
  <c r="BC591" i="5"/>
  <c r="CZ591" i="5" s="1"/>
  <c r="C592" i="5"/>
  <c r="CI592" i="5" s="1"/>
  <c r="AN591" i="5" l="1"/>
  <c r="BW591" i="5"/>
  <c r="AO590" i="5"/>
  <c r="AR590" i="5" s="1"/>
  <c r="AS590" i="5"/>
  <c r="AV590" i="5" s="1"/>
  <c r="BU592" i="5"/>
  <c r="CH592" i="5"/>
  <c r="BS592" i="5"/>
  <c r="N590" i="5"/>
  <c r="BH592" i="5"/>
  <c r="BI592" i="5" s="1"/>
  <c r="BJ592" i="5" s="1"/>
  <c r="BD591" i="5"/>
  <c r="BE592" i="5" s="1"/>
  <c r="BF591" i="5"/>
  <c r="CS592" i="5"/>
  <c r="CU592" i="5"/>
  <c r="CV592" i="5" s="1"/>
  <c r="CL592" i="5"/>
  <c r="CM592" i="5" s="1"/>
  <c r="CR592" i="5"/>
  <c r="AX592" i="5"/>
  <c r="AW592" i="5" s="1"/>
  <c r="BG591" i="5"/>
  <c r="BK592" i="5"/>
  <c r="BL592" i="5" s="1"/>
  <c r="BM592" i="5" s="1"/>
  <c r="AC592" i="5"/>
  <c r="CX592" i="5"/>
  <c r="D592" i="5"/>
  <c r="CY592" i="5"/>
  <c r="CW592" i="5"/>
  <c r="AB592" i="5"/>
  <c r="CP592" i="5" s="1"/>
  <c r="CQ592" i="5" s="1"/>
  <c r="R592" i="5" s="1"/>
  <c r="S592" i="5" s="1"/>
  <c r="AK592" i="5"/>
  <c r="AM592" i="5" s="1"/>
  <c r="AL593" i="5" s="1"/>
  <c r="X590" i="5" l="1"/>
  <c r="Y590" i="5" s="1"/>
  <c r="Z590" i="5" s="1"/>
  <c r="AA590" i="5" s="1"/>
  <c r="BX592" i="5"/>
  <c r="I591" i="5"/>
  <c r="AH591" i="5" s="1"/>
  <c r="H591" i="5"/>
  <c r="P591" i="5" s="1"/>
  <c r="BT592" i="5"/>
  <c r="BV592" i="5"/>
  <c r="CK592" i="5"/>
  <c r="CJ592" i="5" s="1"/>
  <c r="T592" i="5"/>
  <c r="U592" i="5" s="1"/>
  <c r="AD592" i="5"/>
  <c r="AE592" i="5" s="1"/>
  <c r="CT592" i="5"/>
  <c r="CN592" i="5"/>
  <c r="E592" i="5" s="1"/>
  <c r="CO592" i="5"/>
  <c r="F592" i="5" s="1"/>
  <c r="AT591" i="5"/>
  <c r="AP591" i="5"/>
  <c r="DA592" i="5"/>
  <c r="DB592" i="5" s="1"/>
  <c r="W592" i="5"/>
  <c r="L592" i="5"/>
  <c r="BN592" i="5"/>
  <c r="BO592" i="5" s="1"/>
  <c r="BP592" i="5" s="1"/>
  <c r="G592" i="5" s="1"/>
  <c r="BY592" i="5" l="1"/>
  <c r="J592" i="5" s="1"/>
  <c r="BW592" i="5"/>
  <c r="Q591" i="5"/>
  <c r="V591" i="5" s="1"/>
  <c r="AY591" i="5"/>
  <c r="K592" i="5"/>
  <c r="C593" i="5"/>
  <c r="CI593" i="5" s="1"/>
  <c r="BC592" i="5"/>
  <c r="CZ592" i="5" s="1"/>
  <c r="M591" i="5"/>
  <c r="AG591" i="5" s="1"/>
  <c r="BU593" i="5" l="1"/>
  <c r="BS593" i="5"/>
  <c r="AF592" i="5"/>
  <c r="AN592" i="5"/>
  <c r="BG592" i="5"/>
  <c r="CK593" i="5"/>
  <c r="CJ593" i="5" s="1"/>
  <c r="CH593" i="5"/>
  <c r="AK593" i="5"/>
  <c r="AM593" i="5" s="1"/>
  <c r="AL594" i="5" s="1"/>
  <c r="BH593" i="5"/>
  <c r="BI593" i="5" s="1"/>
  <c r="BJ593" i="5" s="1"/>
  <c r="CS593" i="5"/>
  <c r="CU593" i="5"/>
  <c r="CV593" i="5" s="1"/>
  <c r="CX593" i="5"/>
  <c r="D593" i="5"/>
  <c r="BD592" i="5"/>
  <c r="BE593" i="5" s="1"/>
  <c r="BF592" i="5"/>
  <c r="CR593" i="5"/>
  <c r="AC593" i="5"/>
  <c r="AB593" i="5"/>
  <c r="BN593" i="5" s="1"/>
  <c r="BO593" i="5" s="1"/>
  <c r="BP593" i="5" s="1"/>
  <c r="AX593" i="5"/>
  <c r="AW593" i="5" s="1"/>
  <c r="CW593" i="5"/>
  <c r="CL593" i="5"/>
  <c r="CM593" i="5" s="1"/>
  <c r="CY593" i="5"/>
  <c r="BK593" i="5"/>
  <c r="BL593" i="5" s="1"/>
  <c r="BM593" i="5" s="1"/>
  <c r="AJ591" i="5"/>
  <c r="N591" i="5"/>
  <c r="AS591" i="5"/>
  <c r="AV591" i="5" s="1"/>
  <c r="AO591" i="5"/>
  <c r="AR591" i="5" s="1"/>
  <c r="BX593" i="5" l="1"/>
  <c r="H592" i="5"/>
  <c r="M592" i="5" s="1"/>
  <c r="AO592" i="5" s="1"/>
  <c r="AR592" i="5" s="1"/>
  <c r="BT593" i="5"/>
  <c r="BV593" i="5"/>
  <c r="G593" i="5"/>
  <c r="I592" i="5"/>
  <c r="AH592" i="5" s="1"/>
  <c r="W593" i="5"/>
  <c r="CT593" i="5"/>
  <c r="CN593" i="5"/>
  <c r="E593" i="5" s="1"/>
  <c r="T593" i="5"/>
  <c r="U593" i="5" s="1"/>
  <c r="X591" i="5"/>
  <c r="Y591" i="5" s="1"/>
  <c r="Z591" i="5" s="1"/>
  <c r="AA591" i="5" s="1"/>
  <c r="AD593" i="5"/>
  <c r="AE593" i="5" s="1"/>
  <c r="DA593" i="5"/>
  <c r="DB593" i="5" s="1"/>
  <c r="K593" i="5" s="1"/>
  <c r="CO593" i="5"/>
  <c r="F593" i="5" s="1"/>
  <c r="L593" i="5"/>
  <c r="CP593" i="5"/>
  <c r="CQ593" i="5" s="1"/>
  <c r="R593" i="5" s="1"/>
  <c r="S593" i="5" s="1"/>
  <c r="AS592" i="5"/>
  <c r="P592" i="5" l="1"/>
  <c r="AY592" i="5" s="1"/>
  <c r="AP592" i="5"/>
  <c r="AT592" i="5"/>
  <c r="AV592" i="5" s="1"/>
  <c r="AG592" i="5"/>
  <c r="AJ592" i="5" s="1"/>
  <c r="N592" i="5"/>
  <c r="C594" i="5"/>
  <c r="CI594" i="5" s="1"/>
  <c r="BC593" i="5"/>
  <c r="BD593" i="5" s="1"/>
  <c r="BE594" i="5" s="1"/>
  <c r="Q592" i="5" l="1"/>
  <c r="V592" i="5" s="1"/>
  <c r="BW593" i="5"/>
  <c r="BY593" i="5"/>
  <c r="J593" i="5" s="1"/>
  <c r="X592" i="5"/>
  <c r="BU594" i="5"/>
  <c r="BG593" i="5"/>
  <c r="H593" i="5" s="1"/>
  <c r="BS594" i="5"/>
  <c r="Y592" i="5"/>
  <c r="Z592" i="5" s="1"/>
  <c r="AA592" i="5" s="1"/>
  <c r="BH594" i="5"/>
  <c r="BI594" i="5" s="1"/>
  <c r="BJ594" i="5" s="1"/>
  <c r="D594" i="5"/>
  <c r="CU594" i="5"/>
  <c r="CT594" i="5" s="1"/>
  <c r="CY594" i="5"/>
  <c r="CR594" i="5"/>
  <c r="AC594" i="5"/>
  <c r="AD594" i="5" s="1"/>
  <c r="AX594" i="5"/>
  <c r="AW594" i="5" s="1"/>
  <c r="AB594" i="5"/>
  <c r="BN594" i="5" s="1"/>
  <c r="BO594" i="5" s="1"/>
  <c r="BP594" i="5" s="1"/>
  <c r="CW594" i="5"/>
  <c r="AK594" i="5"/>
  <c r="AM594" i="5" s="1"/>
  <c r="AL595" i="5" s="1"/>
  <c r="CL594" i="5"/>
  <c r="CM594" i="5" s="1"/>
  <c r="BK594" i="5"/>
  <c r="BL594" i="5" s="1"/>
  <c r="BM594" i="5" s="1"/>
  <c r="CS594" i="5"/>
  <c r="CX594" i="5"/>
  <c r="CZ593" i="5"/>
  <c r="BF593" i="5"/>
  <c r="I593" i="5" l="1"/>
  <c r="AN593" i="5"/>
  <c r="AF593" i="5"/>
  <c r="BX594" i="5"/>
  <c r="BV594" i="5"/>
  <c r="BT594" i="5"/>
  <c r="G594" i="5"/>
  <c r="CV594" i="5"/>
  <c r="CN594" i="5" s="1"/>
  <c r="E594" i="5" s="1"/>
  <c r="W594" i="5"/>
  <c r="T594" i="5"/>
  <c r="U594" i="5" s="1"/>
  <c r="AE594" i="5"/>
  <c r="CH594" i="5"/>
  <c r="CK594" i="5"/>
  <c r="CJ594" i="5" s="1"/>
  <c r="CP594" i="5"/>
  <c r="CQ594" i="5" s="1"/>
  <c r="R594" i="5" s="1"/>
  <c r="S594" i="5" s="1"/>
  <c r="DA594" i="5"/>
  <c r="DB594" i="5" s="1"/>
  <c r="L594" i="5"/>
  <c r="AT593" i="5"/>
  <c r="AH593" i="5"/>
  <c r="P593" i="5"/>
  <c r="M593" i="5"/>
  <c r="AP593" i="5" l="1"/>
  <c r="CO594" i="5"/>
  <c r="F594" i="5" s="1"/>
  <c r="C595" i="5" s="1"/>
  <c r="K594" i="5"/>
  <c r="Q593" i="5"/>
  <c r="V593" i="5" s="1"/>
  <c r="AY593" i="5"/>
  <c r="AG593" i="5"/>
  <c r="AJ593" i="5" s="1"/>
  <c r="AO593" i="5"/>
  <c r="AR593" i="5" s="1"/>
  <c r="N593" i="5"/>
  <c r="AS593" i="5"/>
  <c r="AV593" i="5" s="1"/>
  <c r="CI595" i="5" l="1"/>
  <c r="CH595" i="5" s="1"/>
  <c r="BU595" i="5"/>
  <c r="BC594" i="5"/>
  <c r="BF594" i="5" s="1"/>
  <c r="BS595" i="5"/>
  <c r="AB595" i="5"/>
  <c r="CP595" i="5" s="1"/>
  <c r="CQ595" i="5" s="1"/>
  <c r="R595" i="5" s="1"/>
  <c r="S595" i="5" s="1"/>
  <c r="BH595" i="5"/>
  <c r="BI595" i="5" s="1"/>
  <c r="BJ595" i="5" s="1"/>
  <c r="X593" i="5"/>
  <c r="Y593" i="5" s="1"/>
  <c r="Z593" i="5" s="1"/>
  <c r="AA593" i="5" s="1"/>
  <c r="CS595" i="5"/>
  <c r="CR595" i="5"/>
  <c r="CU595" i="5"/>
  <c r="CV595" i="5" s="1"/>
  <c r="AX595" i="5"/>
  <c r="AW595" i="5" s="1"/>
  <c r="BG594" i="5"/>
  <c r="CX595" i="5"/>
  <c r="CL595" i="5"/>
  <c r="CM595" i="5" s="1"/>
  <c r="AK595" i="5"/>
  <c r="AM595" i="5" s="1"/>
  <c r="AL596" i="5" s="1"/>
  <c r="CW595" i="5"/>
  <c r="D595" i="5"/>
  <c r="BK595" i="5"/>
  <c r="BL595" i="5" s="1"/>
  <c r="BM595" i="5" s="1"/>
  <c r="AC595" i="5"/>
  <c r="CY595" i="5"/>
  <c r="BD594" i="5"/>
  <c r="BE595" i="5" s="1"/>
  <c r="CZ594" i="5"/>
  <c r="BW594" i="5" l="1"/>
  <c r="BX595" i="5" s="1"/>
  <c r="BY594" i="5"/>
  <c r="J594" i="5" s="1"/>
  <c r="I594" i="5"/>
  <c r="H594" i="5"/>
  <c r="M594" i="5" s="1"/>
  <c r="BT595" i="5"/>
  <c r="BV595" i="5"/>
  <c r="CK595" i="5"/>
  <c r="CJ595" i="5" s="1"/>
  <c r="T595" i="5"/>
  <c r="U595" i="5" s="1"/>
  <c r="AD595" i="5"/>
  <c r="AE595" i="5" s="1"/>
  <c r="BN595" i="5"/>
  <c r="BO595" i="5" s="1"/>
  <c r="BP595" i="5" s="1"/>
  <c r="G595" i="5" s="1"/>
  <c r="DA595" i="5"/>
  <c r="DB595" i="5" s="1"/>
  <c r="K595" i="5" s="1"/>
  <c r="L595" i="5"/>
  <c r="CT595" i="5"/>
  <c r="W595" i="5"/>
  <c r="AT594" i="5"/>
  <c r="CN595" i="5"/>
  <c r="E595" i="5" s="1"/>
  <c r="CO595" i="5"/>
  <c r="F595" i="5" s="1"/>
  <c r="AN594" i="5" l="1"/>
  <c r="AP594" i="5" s="1"/>
  <c r="AF594" i="5"/>
  <c r="AH594" i="5" s="1"/>
  <c r="P594" i="5"/>
  <c r="C596" i="5"/>
  <c r="CI596" i="5" s="1"/>
  <c r="BC595" i="5"/>
  <c r="CZ595" i="5" s="1"/>
  <c r="AS594" i="5"/>
  <c r="AV594" i="5" s="1"/>
  <c r="AO594" i="5"/>
  <c r="AR594" i="5" s="1"/>
  <c r="N594" i="5"/>
  <c r="AG594" i="5" l="1"/>
  <c r="BY595" i="5"/>
  <c r="J595" i="5" s="1"/>
  <c r="AF595" i="5" s="1"/>
  <c r="BW595" i="5"/>
  <c r="BU596" i="5"/>
  <c r="BS596" i="5"/>
  <c r="AN595" i="5"/>
  <c r="Q594" i="5"/>
  <c r="V594" i="5" s="1"/>
  <c r="AY594" i="5"/>
  <c r="CK596" i="5"/>
  <c r="CJ596" i="5" s="1"/>
  <c r="CH596" i="5"/>
  <c r="CY596" i="5"/>
  <c r="BH596" i="5"/>
  <c r="BI596" i="5" s="1"/>
  <c r="BJ596" i="5" s="1"/>
  <c r="BD595" i="5"/>
  <c r="BE596" i="5" s="1"/>
  <c r="BF595" i="5"/>
  <c r="CL596" i="5"/>
  <c r="CM596" i="5" s="1"/>
  <c r="CU596" i="5"/>
  <c r="CT596" i="5" s="1"/>
  <c r="CX596" i="5"/>
  <c r="CW596" i="5"/>
  <c r="AK596" i="5"/>
  <c r="AM596" i="5" s="1"/>
  <c r="AL597" i="5" s="1"/>
  <c r="D596" i="5"/>
  <c r="CS596" i="5"/>
  <c r="CR596" i="5"/>
  <c r="AB596" i="5"/>
  <c r="L596" i="5" s="1"/>
  <c r="AC596" i="5"/>
  <c r="BK596" i="5"/>
  <c r="BL596" i="5" s="1"/>
  <c r="BM596" i="5" s="1"/>
  <c r="BG595" i="5"/>
  <c r="H595" i="5" s="1"/>
  <c r="AX596" i="5"/>
  <c r="AW596" i="5" s="1"/>
  <c r="AJ594" i="5"/>
  <c r="BX596" i="5" l="1"/>
  <c r="BT596" i="5"/>
  <c r="BV596" i="5"/>
  <c r="T596" i="5"/>
  <c r="U596" i="5" s="1"/>
  <c r="AD596" i="5"/>
  <c r="AE596" i="5" s="1"/>
  <c r="X594" i="5"/>
  <c r="Y594" i="5" s="1"/>
  <c r="Z594" i="5" s="1"/>
  <c r="AA594" i="5" s="1"/>
  <c r="CV596" i="5"/>
  <c r="CO596" i="5" s="1"/>
  <c r="F596" i="5" s="1"/>
  <c r="CP596" i="5"/>
  <c r="CQ596" i="5" s="1"/>
  <c r="R596" i="5" s="1"/>
  <c r="S596" i="5" s="1"/>
  <c r="I595" i="5"/>
  <c r="AT595" i="5" s="1"/>
  <c r="DA596" i="5"/>
  <c r="DB596" i="5" s="1"/>
  <c r="K596" i="5" s="1"/>
  <c r="W596" i="5"/>
  <c r="BN596" i="5"/>
  <c r="BO596" i="5" s="1"/>
  <c r="BP596" i="5" s="1"/>
  <c r="G596" i="5" s="1"/>
  <c r="P595" i="5"/>
  <c r="AY595" i="5" s="1"/>
  <c r="M595" i="5"/>
  <c r="CN596" i="5" l="1"/>
  <c r="E596" i="5" s="1"/>
  <c r="Q595" i="5"/>
  <c r="V595" i="5" s="1"/>
  <c r="AS595" i="5"/>
  <c r="AV595" i="5" s="1"/>
  <c r="AG595" i="5"/>
  <c r="AP595" i="5"/>
  <c r="AH595" i="5"/>
  <c r="AO595" i="5"/>
  <c r="N595" i="5"/>
  <c r="BC596" i="5" l="1"/>
  <c r="CZ596" i="5" s="1"/>
  <c r="C597" i="5"/>
  <c r="BU597" i="5" s="1"/>
  <c r="AJ595" i="5"/>
  <c r="AR595" i="5"/>
  <c r="BF596" i="5" l="1"/>
  <c r="BD596" i="5"/>
  <c r="BE597" i="5" s="1"/>
  <c r="BG596" i="5"/>
  <c r="H596" i="5" s="1"/>
  <c r="P596" i="5" s="1"/>
  <c r="AY596" i="5" s="1"/>
  <c r="CU597" i="5"/>
  <c r="CT597" i="5" s="1"/>
  <c r="AX597" i="5"/>
  <c r="AW597" i="5" s="1"/>
  <c r="CX597" i="5"/>
  <c r="AK597" i="5"/>
  <c r="AM597" i="5" s="1"/>
  <c r="AL598" i="5" s="1"/>
  <c r="BY596" i="5"/>
  <c r="J596" i="5" s="1"/>
  <c r="BW596" i="5"/>
  <c r="CR597" i="5"/>
  <c r="CI597" i="5"/>
  <c r="CH597" i="5" s="1"/>
  <c r="BS597" i="5"/>
  <c r="BK597" i="5"/>
  <c r="BL597" i="5" s="1"/>
  <c r="BM597" i="5" s="1"/>
  <c r="AC597" i="5"/>
  <c r="BH597" i="5"/>
  <c r="BI597" i="5" s="1"/>
  <c r="BJ597" i="5" s="1"/>
  <c r="AB597" i="5"/>
  <c r="BN597" i="5" s="1"/>
  <c r="BO597" i="5" s="1"/>
  <c r="BP597" i="5" s="1"/>
  <c r="CW597" i="5"/>
  <c r="D597" i="5"/>
  <c r="CY597" i="5"/>
  <c r="CL597" i="5"/>
  <c r="CM597" i="5" s="1"/>
  <c r="CS597" i="5"/>
  <c r="AD597" i="5"/>
  <c r="X595" i="5"/>
  <c r="Y595" i="5" s="1"/>
  <c r="Z595" i="5" s="1"/>
  <c r="AA595" i="5" s="1"/>
  <c r="CV597" i="5" l="1"/>
  <c r="I596" i="5"/>
  <c r="Q596" i="5" s="1"/>
  <c r="V596" i="5" s="1"/>
  <c r="BX597" i="5"/>
  <c r="M596" i="5"/>
  <c r="AS596" i="5" s="1"/>
  <c r="AN596" i="5"/>
  <c r="AP596" i="5" s="1"/>
  <c r="AF596" i="5"/>
  <c r="W597" i="5"/>
  <c r="CK597" i="5"/>
  <c r="CJ597" i="5" s="1"/>
  <c r="BT597" i="5"/>
  <c r="BV597" i="5"/>
  <c r="AE597" i="5"/>
  <c r="G597" i="5"/>
  <c r="DA597" i="5"/>
  <c r="DB597" i="5" s="1"/>
  <c r="L597" i="5"/>
  <c r="T597" i="5"/>
  <c r="U597" i="5" s="1"/>
  <c r="CN597" i="5"/>
  <c r="E597" i="5" s="1"/>
  <c r="CO597" i="5"/>
  <c r="F597" i="5" s="1"/>
  <c r="CP597" i="5"/>
  <c r="CQ597" i="5" s="1"/>
  <c r="R597" i="5" s="1"/>
  <c r="S597" i="5" s="1"/>
  <c r="K597" i="5" l="1"/>
  <c r="AH596" i="5"/>
  <c r="N596" i="5"/>
  <c r="AO596" i="5"/>
  <c r="AR596" i="5" s="1"/>
  <c r="AG596" i="5"/>
  <c r="AT596" i="5"/>
  <c r="AV596" i="5" s="1"/>
  <c r="AJ596" i="5"/>
  <c r="BW597" i="5"/>
  <c r="BY597" i="5"/>
  <c r="J597" i="5" s="1"/>
  <c r="AF597" i="5" s="1"/>
  <c r="C598" i="5"/>
  <c r="CI598" i="5" s="1"/>
  <c r="BC597" i="5"/>
  <c r="CZ597" i="5" s="1"/>
  <c r="X596" i="5" l="1"/>
  <c r="Y596" i="5" s="1"/>
  <c r="Z596" i="5" s="1"/>
  <c r="AA596" i="5" s="1"/>
  <c r="AN597" i="5"/>
  <c r="BU598" i="5"/>
  <c r="CH598" i="5"/>
  <c r="BS598" i="5"/>
  <c r="CR598" i="5"/>
  <c r="BG597" i="5"/>
  <c r="AX598" i="5"/>
  <c r="AW598" i="5" s="1"/>
  <c r="BF597" i="5"/>
  <c r="CU598" i="5"/>
  <c r="CT598" i="5" s="1"/>
  <c r="AK598" i="5"/>
  <c r="AM598" i="5" s="1"/>
  <c r="AL599" i="5" s="1"/>
  <c r="CW598" i="5"/>
  <c r="CY598" i="5"/>
  <c r="CS598" i="5"/>
  <c r="CL598" i="5"/>
  <c r="CM598" i="5" s="1"/>
  <c r="D598" i="5"/>
  <c r="BH598" i="5"/>
  <c r="BI598" i="5" s="1"/>
  <c r="BJ598" i="5" s="1"/>
  <c r="BK598" i="5"/>
  <c r="BL598" i="5" s="1"/>
  <c r="BM598" i="5" s="1"/>
  <c r="AB598" i="5"/>
  <c r="BN598" i="5" s="1"/>
  <c r="BO598" i="5" s="1"/>
  <c r="AC598" i="5"/>
  <c r="CK598" i="5"/>
  <c r="CJ598" i="5" s="1"/>
  <c r="CX598" i="5"/>
  <c r="BD597" i="5"/>
  <c r="BE598" i="5" s="1"/>
  <c r="AD598" i="5"/>
  <c r="BX598" i="5" l="1"/>
  <c r="T598" i="5"/>
  <c r="U598" i="5" s="1"/>
  <c r="I597" i="5"/>
  <c r="H597" i="5"/>
  <c r="M597" i="5" s="1"/>
  <c r="N597" i="5" s="1"/>
  <c r="BT598" i="5"/>
  <c r="BV598" i="5"/>
  <c r="CV598" i="5"/>
  <c r="CO598" i="5" s="1"/>
  <c r="F598" i="5" s="1"/>
  <c r="W598" i="5"/>
  <c r="AE598" i="5"/>
  <c r="DA598" i="5"/>
  <c r="DB598" i="5" s="1"/>
  <c r="K598" i="5" s="1"/>
  <c r="CP598" i="5"/>
  <c r="CQ598" i="5" s="1"/>
  <c r="R598" i="5" s="1"/>
  <c r="S598" i="5" s="1"/>
  <c r="L598" i="5"/>
  <c r="BP598" i="5"/>
  <c r="AS597" i="5" l="1"/>
  <c r="AO597" i="5"/>
  <c r="AP597" i="5"/>
  <c r="AR597" i="5" s="1"/>
  <c r="AT597" i="5"/>
  <c r="CN598" i="5"/>
  <c r="E598" i="5" s="1"/>
  <c r="AG597" i="5"/>
  <c r="AH597" i="5"/>
  <c r="P597" i="5"/>
  <c r="Q597" i="5" s="1"/>
  <c r="V597" i="5" s="1"/>
  <c r="G598" i="5"/>
  <c r="AV597" i="5" l="1"/>
  <c r="AJ597" i="5"/>
  <c r="C599" i="5"/>
  <c r="CI599" i="5" s="1"/>
  <c r="CK599" i="5" s="1"/>
  <c r="CJ599" i="5" s="1"/>
  <c r="AY597" i="5"/>
  <c r="BC598" i="5"/>
  <c r="BF598" i="5" s="1"/>
  <c r="BS599" i="5"/>
  <c r="BG598" i="5" l="1"/>
  <c r="H598" i="5" s="1"/>
  <c r="CU599" i="5"/>
  <c r="CT599" i="5" s="1"/>
  <c r="X597" i="5"/>
  <c r="Y597" i="5" s="1"/>
  <c r="Z597" i="5" s="1"/>
  <c r="AA597" i="5" s="1"/>
  <c r="BU599" i="5"/>
  <c r="BV599" i="5" s="1"/>
  <c r="AC599" i="5"/>
  <c r="AD599" i="5" s="1"/>
  <c r="AE599" i="5" s="1"/>
  <c r="CL599" i="5"/>
  <c r="CM599" i="5" s="1"/>
  <c r="CH599" i="5"/>
  <c r="CR599" i="5"/>
  <c r="AX599" i="5"/>
  <c r="AW599" i="5" s="1"/>
  <c r="CX599" i="5"/>
  <c r="BH599" i="5"/>
  <c r="BI599" i="5" s="1"/>
  <c r="BJ599" i="5" s="1"/>
  <c r="CY599" i="5"/>
  <c r="D599" i="5"/>
  <c r="W599" i="5" s="1"/>
  <c r="AB599" i="5"/>
  <c r="L599" i="5" s="1"/>
  <c r="CS599" i="5"/>
  <c r="CW599" i="5"/>
  <c r="BK599" i="5"/>
  <c r="BL599" i="5" s="1"/>
  <c r="BM599" i="5" s="1"/>
  <c r="AK599" i="5"/>
  <c r="AM599" i="5" s="1"/>
  <c r="AL600" i="5" s="1"/>
  <c r="BW598" i="5"/>
  <c r="BY598" i="5"/>
  <c r="J598" i="5" s="1"/>
  <c r="BD598" i="5"/>
  <c r="BE599" i="5" s="1"/>
  <c r="CZ598" i="5"/>
  <c r="CV599" i="5"/>
  <c r="BX599" i="5" l="1"/>
  <c r="CO599" i="5"/>
  <c r="F599" i="5" s="1"/>
  <c r="BT599" i="5"/>
  <c r="I598" i="5"/>
  <c r="AN598" i="5"/>
  <c r="AF598" i="5"/>
  <c r="T599" i="5"/>
  <c r="U599" i="5" s="1"/>
  <c r="DA599" i="5"/>
  <c r="DB599" i="5" s="1"/>
  <c r="K599" i="5" s="1"/>
  <c r="BN599" i="5"/>
  <c r="BO599" i="5" s="1"/>
  <c r="BP599" i="5" s="1"/>
  <c r="G599" i="5" s="1"/>
  <c r="CP599" i="5"/>
  <c r="CQ599" i="5" s="1"/>
  <c r="R599" i="5" s="1"/>
  <c r="S599" i="5" s="1"/>
  <c r="CN599" i="5"/>
  <c r="E599" i="5" s="1"/>
  <c r="AT598" i="5"/>
  <c r="M598" i="5"/>
  <c r="P598" i="5"/>
  <c r="AG598" i="5" l="1"/>
  <c r="AP598" i="5"/>
  <c r="AH598" i="5"/>
  <c r="AJ598" i="5" s="1"/>
  <c r="C600" i="5"/>
  <c r="CI600" i="5" s="1"/>
  <c r="CH600" i="5" s="1"/>
  <c r="BC599" i="5"/>
  <c r="CZ599" i="5" s="1"/>
  <c r="BS600" i="5"/>
  <c r="Q598" i="5"/>
  <c r="V598" i="5" s="1"/>
  <c r="AY598" i="5"/>
  <c r="N598" i="5"/>
  <c r="AO598" i="5"/>
  <c r="AR598" i="5" s="1"/>
  <c r="AS598" i="5"/>
  <c r="AV598" i="5" s="1"/>
  <c r="BG599" i="5" l="1"/>
  <c r="CR600" i="5"/>
  <c r="BD599" i="5"/>
  <c r="BE600" i="5" s="1"/>
  <c r="BH600" i="5"/>
  <c r="BI600" i="5" s="1"/>
  <c r="BJ600" i="5" s="1"/>
  <c r="AC600" i="5"/>
  <c r="AD600" i="5" s="1"/>
  <c r="CU600" i="5"/>
  <c r="CT600" i="5" s="1"/>
  <c r="BK600" i="5"/>
  <c r="BL600" i="5" s="1"/>
  <c r="BM600" i="5" s="1"/>
  <c r="CW600" i="5"/>
  <c r="BF599" i="5"/>
  <c r="CY600" i="5"/>
  <c r="D600" i="5"/>
  <c r="W600" i="5" s="1"/>
  <c r="AX600" i="5"/>
  <c r="AW600" i="5" s="1"/>
  <c r="CX600" i="5"/>
  <c r="CS600" i="5"/>
  <c r="AB600" i="5"/>
  <c r="L600" i="5" s="1"/>
  <c r="CL600" i="5"/>
  <c r="CM600" i="5" s="1"/>
  <c r="AK600" i="5"/>
  <c r="AM600" i="5" s="1"/>
  <c r="AL601" i="5" s="1"/>
  <c r="BU600" i="5"/>
  <c r="BV600" i="5" s="1"/>
  <c r="BY599" i="5"/>
  <c r="J599" i="5" s="1"/>
  <c r="BW599" i="5"/>
  <c r="I599" i="5"/>
  <c r="H599" i="5"/>
  <c r="P599" i="5" s="1"/>
  <c r="AE600" i="5"/>
  <c r="CK600" i="5"/>
  <c r="CJ600" i="5" s="1"/>
  <c r="X598" i="5"/>
  <c r="Y598" i="5" s="1"/>
  <c r="Z598" i="5" s="1"/>
  <c r="AA598" i="5" s="1"/>
  <c r="T600" i="5" l="1"/>
  <c r="U600" i="5" s="1"/>
  <c r="CV600" i="5"/>
  <c r="CO600" i="5" s="1"/>
  <c r="F600" i="5" s="1"/>
  <c r="BX600" i="5"/>
  <c r="BY600" i="5" s="1"/>
  <c r="J600" i="5" s="1"/>
  <c r="DA600" i="5"/>
  <c r="DB600" i="5" s="1"/>
  <c r="K600" i="5" s="1"/>
  <c r="BN600" i="5"/>
  <c r="BO600" i="5" s="1"/>
  <c r="BP600" i="5" s="1"/>
  <c r="G600" i="5" s="1"/>
  <c r="CP600" i="5"/>
  <c r="CQ600" i="5" s="1"/>
  <c r="R600" i="5" s="1"/>
  <c r="S600" i="5" s="1"/>
  <c r="AF599" i="5"/>
  <c r="AH599" i="5" s="1"/>
  <c r="AN599" i="5"/>
  <c r="AP599" i="5" s="1"/>
  <c r="CN600" i="5"/>
  <c r="E600" i="5" s="1"/>
  <c r="BT600" i="5"/>
  <c r="AT599" i="5"/>
  <c r="Q599" i="5"/>
  <c r="V599" i="5" s="1"/>
  <c r="AY599" i="5"/>
  <c r="M599" i="5"/>
  <c r="BC600" i="5" l="1"/>
  <c r="BD600" i="5" s="1"/>
  <c r="BE601" i="5" s="1"/>
  <c r="AN600" i="5"/>
  <c r="AG599" i="5"/>
  <c r="AJ599" i="5"/>
  <c r="C601" i="5"/>
  <c r="BU601" i="5" s="1"/>
  <c r="BT601" i="5" s="1"/>
  <c r="AF600" i="5"/>
  <c r="AS599" i="5"/>
  <c r="AV599" i="5" s="1"/>
  <c r="BW600" i="5"/>
  <c r="BS601" i="5"/>
  <c r="AO599" i="5"/>
  <c r="AR599" i="5" s="1"/>
  <c r="N599" i="5"/>
  <c r="CZ600" i="5" l="1"/>
  <c r="BF600" i="5"/>
  <c r="BG600" i="5"/>
  <c r="H600" i="5" s="1"/>
  <c r="CI601" i="5"/>
  <c r="CH601" i="5" s="1"/>
  <c r="CY601" i="5"/>
  <c r="AK601" i="5"/>
  <c r="AM601" i="5" s="1"/>
  <c r="AL602" i="5" s="1"/>
  <c r="CL601" i="5"/>
  <c r="CM601" i="5" s="1"/>
  <c r="BH601" i="5"/>
  <c r="BI601" i="5" s="1"/>
  <c r="BJ601" i="5" s="1"/>
  <c r="AX601" i="5"/>
  <c r="AW601" i="5" s="1"/>
  <c r="CS601" i="5"/>
  <c r="CU601" i="5"/>
  <c r="BX601" i="5" s="1"/>
  <c r="AC601" i="5"/>
  <c r="AD601" i="5" s="1"/>
  <c r="CX601" i="5"/>
  <c r="D601" i="5"/>
  <c r="W601" i="5" s="1"/>
  <c r="BK601" i="5"/>
  <c r="BL601" i="5" s="1"/>
  <c r="BM601" i="5" s="1"/>
  <c r="CW601" i="5"/>
  <c r="AB601" i="5"/>
  <c r="CP601" i="5" s="1"/>
  <c r="CQ601" i="5" s="1"/>
  <c r="R601" i="5" s="1"/>
  <c r="S601" i="5" s="1"/>
  <c r="CR601" i="5"/>
  <c r="BV601" i="5"/>
  <c r="X599" i="5"/>
  <c r="Y599" i="5" s="1"/>
  <c r="Z599" i="5" s="1"/>
  <c r="AA599" i="5" s="1"/>
  <c r="CK601" i="5" l="1"/>
  <c r="CJ601" i="5" s="1"/>
  <c r="AE601" i="5"/>
  <c r="I600" i="5"/>
  <c r="AP600" i="5" s="1"/>
  <c r="CT601" i="5"/>
  <c r="CV601" i="5"/>
  <c r="CO601" i="5" s="1"/>
  <c r="F601" i="5" s="1"/>
  <c r="T601" i="5"/>
  <c r="U601" i="5" s="1"/>
  <c r="DA601" i="5"/>
  <c r="DB601" i="5" s="1"/>
  <c r="K601" i="5" s="1"/>
  <c r="BN601" i="5"/>
  <c r="BO601" i="5" s="1"/>
  <c r="BP601" i="5" s="1"/>
  <c r="G601" i="5" s="1"/>
  <c r="L601" i="5"/>
  <c r="M600" i="5"/>
  <c r="P600" i="5"/>
  <c r="BB600" i="5" s="1"/>
  <c r="CN601" i="5" l="1"/>
  <c r="E601" i="5" s="1"/>
  <c r="C602" i="5" s="1"/>
  <c r="BU602" i="5" s="1"/>
  <c r="AH600" i="5"/>
  <c r="AT600" i="5"/>
  <c r="BW601" i="5"/>
  <c r="Q600" i="5"/>
  <c r="V600" i="5" s="1"/>
  <c r="AY600" i="5"/>
  <c r="AG600" i="5"/>
  <c r="AJ600" i="5" s="1"/>
  <c r="AO600" i="5"/>
  <c r="AR600" i="5" s="1"/>
  <c r="N600" i="5"/>
  <c r="AS600" i="5"/>
  <c r="AV600" i="5" s="1"/>
  <c r="BC601" i="5" l="1"/>
  <c r="BF601" i="5" s="1"/>
  <c r="BY601" i="5"/>
  <c r="J601" i="5" s="1"/>
  <c r="BV602" i="5"/>
  <c r="BT602" i="5"/>
  <c r="BS602" i="5"/>
  <c r="CI602" i="5"/>
  <c r="BH602" i="5"/>
  <c r="BI602" i="5" s="1"/>
  <c r="BJ602" i="5" s="1"/>
  <c r="X600" i="5"/>
  <c r="Y600" i="5" s="1"/>
  <c r="Z600" i="5" s="1"/>
  <c r="AA600" i="5" s="1"/>
  <c r="CZ601" i="5"/>
  <c r="BD601" i="5"/>
  <c r="BE602" i="5" s="1"/>
  <c r="CR602" i="5"/>
  <c r="BK602" i="5"/>
  <c r="BL602" i="5" s="1"/>
  <c r="BM602" i="5" s="1"/>
  <c r="CX602" i="5"/>
  <c r="CS602" i="5"/>
  <c r="CY602" i="5"/>
  <c r="CL602" i="5"/>
  <c r="CM602" i="5" s="1"/>
  <c r="CW602" i="5"/>
  <c r="D602" i="5"/>
  <c r="AB602" i="5"/>
  <c r="BN602" i="5" s="1"/>
  <c r="BO602" i="5" s="1"/>
  <c r="BP602" i="5" s="1"/>
  <c r="AK602" i="5"/>
  <c r="AM602" i="5" s="1"/>
  <c r="AL603" i="5" s="1"/>
  <c r="AC602" i="5"/>
  <c r="AD602" i="5" s="1"/>
  <c r="BG601" i="5"/>
  <c r="H601" i="5" s="1"/>
  <c r="AX602" i="5"/>
  <c r="AW602" i="5" s="1"/>
  <c r="CU602" i="5"/>
  <c r="BX602" i="5" s="1"/>
  <c r="AN601" i="5" l="1"/>
  <c r="AF601" i="5"/>
  <c r="G602" i="5"/>
  <c r="CH602" i="5"/>
  <c r="CK602" i="5"/>
  <c r="CJ602" i="5" s="1"/>
  <c r="L602" i="5"/>
  <c r="CP602" i="5"/>
  <c r="CQ602" i="5" s="1"/>
  <c r="R602" i="5" s="1"/>
  <c r="S602" i="5" s="1"/>
  <c r="DA602" i="5"/>
  <c r="DB602" i="5" s="1"/>
  <c r="K602" i="5" s="1"/>
  <c r="CT602" i="5"/>
  <c r="CV602" i="5"/>
  <c r="I601" i="5"/>
  <c r="AE602" i="5"/>
  <c r="T602" i="5"/>
  <c r="U602" i="5" s="1"/>
  <c r="W602" i="5"/>
  <c r="AH601" i="5" l="1"/>
  <c r="AT601" i="5"/>
  <c r="AP601" i="5"/>
  <c r="M601" i="5"/>
  <c r="P601" i="5"/>
  <c r="CN602" i="5"/>
  <c r="E602" i="5" s="1"/>
  <c r="CO602" i="5"/>
  <c r="F602" i="5" s="1"/>
  <c r="BW602" i="5" l="1"/>
  <c r="BY602" i="5"/>
  <c r="J602" i="5" s="1"/>
  <c r="Q601" i="5"/>
  <c r="V601" i="5" s="1"/>
  <c r="AY601" i="5"/>
  <c r="C603" i="5"/>
  <c r="BU603" i="5" s="1"/>
  <c r="AS601" i="5"/>
  <c r="AV601" i="5" s="1"/>
  <c r="AO601" i="5"/>
  <c r="BC602" i="5"/>
  <c r="CZ602" i="5" s="1"/>
  <c r="N601" i="5"/>
  <c r="AG601" i="5"/>
  <c r="AF602" i="5" l="1"/>
  <c r="AN602" i="5"/>
  <c r="BT603" i="5"/>
  <c r="BV603" i="5"/>
  <c r="BS603" i="5"/>
  <c r="CI603" i="5"/>
  <c r="BG602" i="5"/>
  <c r="H602" i="5" s="1"/>
  <c r="AK603" i="5"/>
  <c r="AM603" i="5" s="1"/>
  <c r="AL604" i="5" s="1"/>
  <c r="BH603" i="5"/>
  <c r="BI603" i="5" s="1"/>
  <c r="BJ603" i="5" s="1"/>
  <c r="CX603" i="5"/>
  <c r="BK603" i="5"/>
  <c r="BL603" i="5" s="1"/>
  <c r="BM603" i="5" s="1"/>
  <c r="D603" i="5"/>
  <c r="CR603" i="5"/>
  <c r="CU603" i="5"/>
  <c r="CV603" i="5" s="1"/>
  <c r="AX603" i="5"/>
  <c r="AW603" i="5" s="1"/>
  <c r="AB603" i="5"/>
  <c r="L603" i="5" s="1"/>
  <c r="AC603" i="5"/>
  <c r="CW603" i="5"/>
  <c r="CS603" i="5"/>
  <c r="CL603" i="5"/>
  <c r="CM603" i="5" s="1"/>
  <c r="CY603" i="5"/>
  <c r="BF602" i="5"/>
  <c r="BD602" i="5"/>
  <c r="BE603" i="5" s="1"/>
  <c r="AR601" i="5"/>
  <c r="AJ601" i="5"/>
  <c r="BX603" i="5" l="1"/>
  <c r="I602" i="5"/>
  <c r="AH602" i="5" s="1"/>
  <c r="W603" i="5"/>
  <c r="AD603" i="5"/>
  <c r="AE603" i="5" s="1"/>
  <c r="CH603" i="5"/>
  <c r="CK603" i="5"/>
  <c r="CJ603" i="5" s="1"/>
  <c r="T603" i="5"/>
  <c r="U603" i="5" s="1"/>
  <c r="CT603" i="5"/>
  <c r="X601" i="5"/>
  <c r="Y601" i="5" s="1"/>
  <c r="Z601" i="5" s="1"/>
  <c r="AA601" i="5" s="1"/>
  <c r="CP603" i="5"/>
  <c r="CQ603" i="5" s="1"/>
  <c r="R603" i="5" s="1"/>
  <c r="S603" i="5" s="1"/>
  <c r="BN603" i="5"/>
  <c r="BO603" i="5" s="1"/>
  <c r="BP603" i="5" s="1"/>
  <c r="G603" i="5" s="1"/>
  <c r="DA603" i="5"/>
  <c r="DB603" i="5" s="1"/>
  <c r="K603" i="5" s="1"/>
  <c r="AT602" i="5"/>
  <c r="P602" i="5"/>
  <c r="M602" i="5"/>
  <c r="AG602" i="5" s="1"/>
  <c r="AJ602" i="5" s="1"/>
  <c r="CN603" i="5"/>
  <c r="E603" i="5" s="1"/>
  <c r="CO603" i="5"/>
  <c r="F603" i="5" s="1"/>
  <c r="AP602" i="5" l="1"/>
  <c r="BY603" i="5"/>
  <c r="J603" i="5" s="1"/>
  <c r="AN603" i="5" s="1"/>
  <c r="BW603" i="5"/>
  <c r="Q602" i="5"/>
  <c r="V602" i="5" s="1"/>
  <c r="AY602" i="5"/>
  <c r="C604" i="5"/>
  <c r="BU604" i="5" s="1"/>
  <c r="N602" i="5"/>
  <c r="AS602" i="5"/>
  <c r="AV602" i="5" s="1"/>
  <c r="AO602" i="5"/>
  <c r="AR602" i="5" s="1"/>
  <c r="BC603" i="5"/>
  <c r="BF603" i="5" s="1"/>
  <c r="CI604" i="5" l="1"/>
  <c r="CK604" i="5" s="1"/>
  <c r="CJ604" i="5" s="1"/>
  <c r="BS604" i="5"/>
  <c r="AF603" i="5"/>
  <c r="CY604" i="5"/>
  <c r="BH604" i="5"/>
  <c r="BI604" i="5" s="1"/>
  <c r="BJ604" i="5" s="1"/>
  <c r="X602" i="5"/>
  <c r="Y602" i="5" s="1"/>
  <c r="Z602" i="5" s="1"/>
  <c r="AA602" i="5" s="1"/>
  <c r="CU604" i="5"/>
  <c r="CT604" i="5" s="1"/>
  <c r="BG603" i="5"/>
  <c r="CR604" i="5"/>
  <c r="AX604" i="5"/>
  <c r="AW604" i="5" s="1"/>
  <c r="CL604" i="5"/>
  <c r="CM604" i="5" s="1"/>
  <c r="CW604" i="5"/>
  <c r="D604" i="5"/>
  <c r="BD603" i="5"/>
  <c r="BE604" i="5" s="1"/>
  <c r="AK604" i="5"/>
  <c r="AM604" i="5" s="1"/>
  <c r="AL605" i="5" s="1"/>
  <c r="AB604" i="5"/>
  <c r="CP604" i="5" s="1"/>
  <c r="CQ604" i="5" s="1"/>
  <c r="R604" i="5" s="1"/>
  <c r="S604" i="5" s="1"/>
  <c r="CS604" i="5"/>
  <c r="AC604" i="5"/>
  <c r="CX604" i="5"/>
  <c r="BK604" i="5"/>
  <c r="BL604" i="5" s="1"/>
  <c r="BM604" i="5" s="1"/>
  <c r="CZ603" i="5"/>
  <c r="BX604" i="5" l="1"/>
  <c r="I603" i="5"/>
  <c r="AP603" i="5" s="1"/>
  <c r="H603" i="5"/>
  <c r="P603" i="5" s="1"/>
  <c r="BT604" i="5"/>
  <c r="BV604" i="5"/>
  <c r="CH604" i="5"/>
  <c r="W604" i="5"/>
  <c r="CV604" i="5"/>
  <c r="CO604" i="5" s="1"/>
  <c r="F604" i="5" s="1"/>
  <c r="T604" i="5"/>
  <c r="U604" i="5" s="1"/>
  <c r="AD604" i="5"/>
  <c r="AE604" i="5" s="1"/>
  <c r="BN604" i="5"/>
  <c r="BO604" i="5" s="1"/>
  <c r="BP604" i="5" s="1"/>
  <c r="G604" i="5" s="1"/>
  <c r="L604" i="5"/>
  <c r="DA604" i="5"/>
  <c r="DB604" i="5" s="1"/>
  <c r="K604" i="5" s="1"/>
  <c r="AH603" i="5"/>
  <c r="AT603" i="5"/>
  <c r="M603" i="5" l="1"/>
  <c r="AS603" i="5" s="1"/>
  <c r="AV603" i="5" s="1"/>
  <c r="CN604" i="5"/>
  <c r="E604" i="5" s="1"/>
  <c r="Q603" i="5"/>
  <c r="V603" i="5" s="1"/>
  <c r="AY603" i="5"/>
  <c r="AG603" i="5"/>
  <c r="AJ603" i="5" s="1"/>
  <c r="AO603" i="5"/>
  <c r="AR603" i="5" s="1"/>
  <c r="C605" i="5" l="1"/>
  <c r="CI605" i="5" s="1"/>
  <c r="CH605" i="5" s="1"/>
  <c r="BS605" i="5"/>
  <c r="N603" i="5"/>
  <c r="BC604" i="5"/>
  <c r="BF604" i="5" s="1"/>
  <c r="X603" i="5"/>
  <c r="Y603" i="5" s="1"/>
  <c r="Z603" i="5" s="1"/>
  <c r="AA603" i="5" s="1"/>
  <c r="CS605" i="5" l="1"/>
  <c r="BG604" i="5"/>
  <c r="I604" i="5" s="1"/>
  <c r="CU605" i="5"/>
  <c r="CV605" i="5" s="1"/>
  <c r="D605" i="5"/>
  <c r="T605" i="5" s="1"/>
  <c r="U605" i="5" s="1"/>
  <c r="AK605" i="5"/>
  <c r="AM605" i="5" s="1"/>
  <c r="AL606" i="5" s="1"/>
  <c r="CW605" i="5"/>
  <c r="AB605" i="5"/>
  <c r="BN605" i="5" s="1"/>
  <c r="BO605" i="5" s="1"/>
  <c r="BP605" i="5" s="1"/>
  <c r="BK605" i="5"/>
  <c r="BL605" i="5" s="1"/>
  <c r="BM605" i="5" s="1"/>
  <c r="AC605" i="5"/>
  <c r="AD605" i="5" s="1"/>
  <c r="CR605" i="5"/>
  <c r="CL605" i="5"/>
  <c r="CM605" i="5" s="1"/>
  <c r="CY605" i="5"/>
  <c r="CX605" i="5"/>
  <c r="AX605" i="5"/>
  <c r="AW605" i="5" s="1"/>
  <c r="CK605" i="5"/>
  <c r="CJ605" i="5" s="1"/>
  <c r="BU605" i="5"/>
  <c r="BV605" i="5" s="1"/>
  <c r="BH605" i="5"/>
  <c r="BI605" i="5" s="1"/>
  <c r="BJ605" i="5" s="1"/>
  <c r="BY604" i="5"/>
  <c r="J604" i="5" s="1"/>
  <c r="BW604" i="5"/>
  <c r="BX605" i="5" s="1"/>
  <c r="CZ604" i="5"/>
  <c r="BD604" i="5"/>
  <c r="BE605" i="5" s="1"/>
  <c r="CT605" i="5" l="1"/>
  <c r="W605" i="5"/>
  <c r="H604" i="5"/>
  <c r="M604" i="5" s="1"/>
  <c r="N604" i="5" s="1"/>
  <c r="CP605" i="5"/>
  <c r="CQ605" i="5" s="1"/>
  <c r="R605" i="5" s="1"/>
  <c r="S605" i="5" s="1"/>
  <c r="L605" i="5"/>
  <c r="DA605" i="5"/>
  <c r="DB605" i="5" s="1"/>
  <c r="K605" i="5" s="1"/>
  <c r="AE605" i="5"/>
  <c r="CN605" i="5"/>
  <c r="E605" i="5" s="1"/>
  <c r="AF604" i="5"/>
  <c r="AH604" i="5" s="1"/>
  <c r="AN604" i="5"/>
  <c r="AP604" i="5" s="1"/>
  <c r="CO605" i="5"/>
  <c r="F605" i="5" s="1"/>
  <c r="G605" i="5"/>
  <c r="BT605" i="5"/>
  <c r="BW605" i="5"/>
  <c r="AT604" i="5"/>
  <c r="BY605" i="5"/>
  <c r="J605" i="5" s="1"/>
  <c r="AY604" i="5"/>
  <c r="AF605" i="5" l="1"/>
  <c r="AS604" i="5"/>
  <c r="AV604" i="5" s="1"/>
  <c r="P604" i="5"/>
  <c r="Q604" i="5" s="1"/>
  <c r="V604" i="5" s="1"/>
  <c r="AO604" i="5"/>
  <c r="AR604" i="5" s="1"/>
  <c r="C606" i="5"/>
  <c r="CI606" i="5" s="1"/>
  <c r="CH606" i="5" s="1"/>
  <c r="AG604" i="5"/>
  <c r="AJ604" i="5" s="1"/>
  <c r="AN605" i="5"/>
  <c r="BC605" i="5"/>
  <c r="CZ605" i="5" s="1"/>
  <c r="BS606" i="5"/>
  <c r="BG605" i="5" l="1"/>
  <c r="BU606" i="5"/>
  <c r="BV606" i="5" s="1"/>
  <c r="CY606" i="5"/>
  <c r="CR606" i="5"/>
  <c r="CL606" i="5"/>
  <c r="CM606" i="5" s="1"/>
  <c r="CS606" i="5"/>
  <c r="D606" i="5"/>
  <c r="W606" i="5" s="1"/>
  <c r="CW606" i="5"/>
  <c r="CX606" i="5"/>
  <c r="AX606" i="5"/>
  <c r="AW606" i="5" s="1"/>
  <c r="AC606" i="5"/>
  <c r="AD606" i="5" s="1"/>
  <c r="AE606" i="5" s="1"/>
  <c r="AK606" i="5"/>
  <c r="AM606" i="5" s="1"/>
  <c r="AL607" i="5" s="1"/>
  <c r="BK606" i="5"/>
  <c r="BL606" i="5" s="1"/>
  <c r="BM606" i="5" s="1"/>
  <c r="AB606" i="5"/>
  <c r="L606" i="5" s="1"/>
  <c r="CU606" i="5"/>
  <c r="CV606" i="5" s="1"/>
  <c r="CO606" i="5" s="1"/>
  <c r="F606" i="5" s="1"/>
  <c r="BH606" i="5"/>
  <c r="BI606" i="5" s="1"/>
  <c r="BJ606" i="5" s="1"/>
  <c r="BD605" i="5"/>
  <c r="BE606" i="5" s="1"/>
  <c r="BF605" i="5"/>
  <c r="I605" i="5"/>
  <c r="AH605" i="5" s="1"/>
  <c r="H605" i="5"/>
  <c r="M605" i="5" s="1"/>
  <c r="CK606" i="5"/>
  <c r="CJ606" i="5" s="1"/>
  <c r="X604" i="5"/>
  <c r="Y604" i="5" s="1"/>
  <c r="Z604" i="5" s="1"/>
  <c r="AA604" i="5" s="1"/>
  <c r="BT606" i="5" l="1"/>
  <c r="T606" i="5"/>
  <c r="U606" i="5" s="1"/>
  <c r="AT605" i="5"/>
  <c r="CN606" i="5"/>
  <c r="E606" i="5" s="1"/>
  <c r="C607" i="5" s="1"/>
  <c r="CI607" i="5" s="1"/>
  <c r="CT606" i="5"/>
  <c r="BX606" i="5"/>
  <c r="BY606" i="5" s="1"/>
  <c r="J606" i="5" s="1"/>
  <c r="CP606" i="5"/>
  <c r="CQ606" i="5" s="1"/>
  <c r="R606" i="5" s="1"/>
  <c r="S606" i="5" s="1"/>
  <c r="DA606" i="5"/>
  <c r="DB606" i="5" s="1"/>
  <c r="K606" i="5" s="1"/>
  <c r="BN606" i="5"/>
  <c r="BO606" i="5" s="1"/>
  <c r="BP606" i="5" s="1"/>
  <c r="G606" i="5" s="1"/>
  <c r="AP605" i="5"/>
  <c r="AO605" i="5"/>
  <c r="AG605" i="5"/>
  <c r="P605" i="5"/>
  <c r="N605" i="5"/>
  <c r="AS605" i="5"/>
  <c r="AV605" i="5" s="1"/>
  <c r="AN606" i="5" l="1"/>
  <c r="AR605" i="5"/>
  <c r="BW606" i="5"/>
  <c r="BC606" i="5"/>
  <c r="BD606" i="5" s="1"/>
  <c r="BE607" i="5" s="1"/>
  <c r="BU607" i="5"/>
  <c r="BS607" i="5"/>
  <c r="AF606" i="5"/>
  <c r="Q605" i="5"/>
  <c r="V605" i="5" s="1"/>
  <c r="AY605" i="5"/>
  <c r="CH607" i="5"/>
  <c r="CK607" i="5"/>
  <c r="CJ607" i="5" s="1"/>
  <c r="CU607" i="5"/>
  <c r="CV607" i="5" s="1"/>
  <c r="BH607" i="5"/>
  <c r="BI607" i="5" s="1"/>
  <c r="BJ607" i="5" s="1"/>
  <c r="AJ605" i="5"/>
  <c r="BG606" i="5"/>
  <c r="H606" i="5" s="1"/>
  <c r="CX607" i="5"/>
  <c r="CR607" i="5"/>
  <c r="AX607" i="5"/>
  <c r="AW607" i="5" s="1"/>
  <c r="CS607" i="5"/>
  <c r="AC607" i="5"/>
  <c r="CW607" i="5"/>
  <c r="AK607" i="5"/>
  <c r="AM607" i="5" s="1"/>
  <c r="AL608" i="5" s="1"/>
  <c r="AB607" i="5"/>
  <c r="CP607" i="5" s="1"/>
  <c r="CQ607" i="5" s="1"/>
  <c r="R607" i="5" s="1"/>
  <c r="S607" i="5" s="1"/>
  <c r="BK607" i="5"/>
  <c r="BL607" i="5" s="1"/>
  <c r="BM607" i="5" s="1"/>
  <c r="D607" i="5"/>
  <c r="CL607" i="5"/>
  <c r="CM607" i="5" s="1"/>
  <c r="CY607" i="5"/>
  <c r="CZ606" i="5" l="1"/>
  <c r="BF606" i="5"/>
  <c r="BX607" i="5"/>
  <c r="BV607" i="5"/>
  <c r="BT607" i="5"/>
  <c r="T607" i="5"/>
  <c r="U607" i="5" s="1"/>
  <c r="CT607" i="5"/>
  <c r="AD607" i="5"/>
  <c r="AE607" i="5" s="1"/>
  <c r="X605" i="5"/>
  <c r="Y605" i="5" s="1"/>
  <c r="Z605" i="5" s="1"/>
  <c r="AA605" i="5" s="1"/>
  <c r="I606" i="5"/>
  <c r="AP606" i="5" s="1"/>
  <c r="BN607" i="5"/>
  <c r="BO607" i="5" s="1"/>
  <c r="BP607" i="5" s="1"/>
  <c r="G607" i="5" s="1"/>
  <c r="DA607" i="5"/>
  <c r="DB607" i="5" s="1"/>
  <c r="K607" i="5" s="1"/>
  <c r="W607" i="5"/>
  <c r="CO607" i="5"/>
  <c r="F607" i="5" s="1"/>
  <c r="L607" i="5"/>
  <c r="CN607" i="5"/>
  <c r="E607" i="5" s="1"/>
  <c r="M606" i="5"/>
  <c r="AG606" i="5" s="1"/>
  <c r="P606" i="5"/>
  <c r="AY606" i="5" s="1"/>
  <c r="BY607" i="5" l="1"/>
  <c r="J607" i="5" s="1"/>
  <c r="AN607" i="5" s="1"/>
  <c r="BW607" i="5"/>
  <c r="Q606" i="5"/>
  <c r="V606" i="5" s="1"/>
  <c r="AT606" i="5"/>
  <c r="AH606" i="5"/>
  <c r="AJ606" i="5" s="1"/>
  <c r="AF607" i="5"/>
  <c r="BC607" i="5"/>
  <c r="BD607" i="5" s="1"/>
  <c r="BE608" i="5" s="1"/>
  <c r="C608" i="5"/>
  <c r="CI608" i="5" s="1"/>
  <c r="N606" i="5"/>
  <c r="AS606" i="5"/>
  <c r="AO606" i="5"/>
  <c r="BU608" i="5" l="1"/>
  <c r="CH608" i="5"/>
  <c r="BS608" i="5"/>
  <c r="AV606" i="5"/>
  <c r="CY608" i="5"/>
  <c r="BH608" i="5"/>
  <c r="BI608" i="5" s="1"/>
  <c r="BJ608" i="5" s="1"/>
  <c r="BF607" i="5"/>
  <c r="CZ607" i="5"/>
  <c r="CW608" i="5"/>
  <c r="CX608" i="5"/>
  <c r="AB608" i="5"/>
  <c r="DA608" i="5" s="1"/>
  <c r="DB608" i="5" s="1"/>
  <c r="CR608" i="5"/>
  <c r="AX608" i="5"/>
  <c r="AW608" i="5" s="1"/>
  <c r="CU608" i="5"/>
  <c r="CV608" i="5" s="1"/>
  <c r="BG607" i="5"/>
  <c r="AC608" i="5"/>
  <c r="D608" i="5"/>
  <c r="AK608" i="5"/>
  <c r="AM608" i="5" s="1"/>
  <c r="AL609" i="5" s="1"/>
  <c r="CS608" i="5"/>
  <c r="BK608" i="5"/>
  <c r="BL608" i="5" s="1"/>
  <c r="BM608" i="5" s="1"/>
  <c r="CL608" i="5"/>
  <c r="CM608" i="5" s="1"/>
  <c r="AR606" i="5"/>
  <c r="BX608" i="5" l="1"/>
  <c r="I607" i="5"/>
  <c r="AP607" i="5" s="1"/>
  <c r="H607" i="5"/>
  <c r="M607" i="5" s="1"/>
  <c r="BT608" i="5"/>
  <c r="BV608" i="5"/>
  <c r="CK608" i="5"/>
  <c r="CJ608" i="5" s="1"/>
  <c r="K608" i="5" s="1"/>
  <c r="W608" i="5"/>
  <c r="AD608" i="5"/>
  <c r="AE608" i="5" s="1"/>
  <c r="X606" i="5"/>
  <c r="Y606" i="5" s="1"/>
  <c r="Z606" i="5" s="1"/>
  <c r="AA606" i="5" s="1"/>
  <c r="CP608" i="5"/>
  <c r="CQ608" i="5" s="1"/>
  <c r="R608" i="5" s="1"/>
  <c r="S608" i="5" s="1"/>
  <c r="BN608" i="5"/>
  <c r="BO608" i="5" s="1"/>
  <c r="BP608" i="5" s="1"/>
  <c r="G608" i="5" s="1"/>
  <c r="L608" i="5"/>
  <c r="CT608" i="5"/>
  <c r="T608" i="5"/>
  <c r="U608" i="5" s="1"/>
  <c r="AT607" i="5"/>
  <c r="CO608" i="5"/>
  <c r="F608" i="5" s="1"/>
  <c r="CN608" i="5"/>
  <c r="E608" i="5" s="1"/>
  <c r="AH607" i="5" l="1"/>
  <c r="BY608" i="5"/>
  <c r="J608" i="5" s="1"/>
  <c r="AF608" i="5" s="1"/>
  <c r="BW608" i="5"/>
  <c r="AG607" i="5"/>
  <c r="AJ607" i="5" s="1"/>
  <c r="AO607" i="5"/>
  <c r="AR607" i="5" s="1"/>
  <c r="AN608" i="5"/>
  <c r="P607" i="5"/>
  <c r="BC608" i="5"/>
  <c r="BD608" i="5" s="1"/>
  <c r="BE609" i="5" s="1"/>
  <c r="C609" i="5"/>
  <c r="CI609" i="5" s="1"/>
  <c r="N607" i="5"/>
  <c r="AS607" i="5"/>
  <c r="AV607" i="5" s="1"/>
  <c r="BU609" i="5" l="1"/>
  <c r="CK609" i="5"/>
  <c r="CJ609" i="5" s="1"/>
  <c r="BS609" i="5"/>
  <c r="Q607" i="5"/>
  <c r="V607" i="5" s="1"/>
  <c r="AY607" i="5"/>
  <c r="X607" i="5" s="1"/>
  <c r="CX609" i="5"/>
  <c r="BH609" i="5"/>
  <c r="BI609" i="5" s="1"/>
  <c r="BJ609" i="5" s="1"/>
  <c r="BF608" i="5"/>
  <c r="CZ608" i="5"/>
  <c r="AX609" i="5"/>
  <c r="AW609" i="5" s="1"/>
  <c r="BG608" i="5"/>
  <c r="H608" i="5" s="1"/>
  <c r="CY609" i="5"/>
  <c r="CS609" i="5"/>
  <c r="AB609" i="5"/>
  <c r="L609" i="5" s="1"/>
  <c r="CR609" i="5"/>
  <c r="AK609" i="5"/>
  <c r="AM609" i="5" s="1"/>
  <c r="AL610" i="5" s="1"/>
  <c r="CL609" i="5"/>
  <c r="CM609" i="5" s="1"/>
  <c r="AC609" i="5"/>
  <c r="AD609" i="5" s="1"/>
  <c r="BK609" i="5"/>
  <c r="BL609" i="5" s="1"/>
  <c r="BM609" i="5" s="1"/>
  <c r="D609" i="5"/>
  <c r="CW609" i="5"/>
  <c r="CU609" i="5"/>
  <c r="BX609" i="5" s="1"/>
  <c r="BT609" i="5" l="1"/>
  <c r="BV609" i="5"/>
  <c r="CH609" i="5"/>
  <c r="W609" i="5"/>
  <c r="Y607" i="5"/>
  <c r="Z607" i="5" s="1"/>
  <c r="AA607" i="5" s="1"/>
  <c r="I608" i="5"/>
  <c r="AT608" i="5" s="1"/>
  <c r="DA609" i="5"/>
  <c r="DB609" i="5" s="1"/>
  <c r="K609" i="5" s="1"/>
  <c r="CP609" i="5"/>
  <c r="CQ609" i="5" s="1"/>
  <c r="R609" i="5" s="1"/>
  <c r="S609" i="5" s="1"/>
  <c r="BN609" i="5"/>
  <c r="BO609" i="5" s="1"/>
  <c r="BP609" i="5" s="1"/>
  <c r="G609" i="5" s="1"/>
  <c r="AE609" i="5"/>
  <c r="T609" i="5"/>
  <c r="U609" i="5" s="1"/>
  <c r="CT609" i="5"/>
  <c r="CV609" i="5"/>
  <c r="M608" i="5"/>
  <c r="P608" i="5"/>
  <c r="AH608" i="5" l="1"/>
  <c r="Q608" i="5"/>
  <c r="V608" i="5" s="1"/>
  <c r="AY608" i="5"/>
  <c r="AP608" i="5"/>
  <c r="CN609" i="5"/>
  <c r="E609" i="5" s="1"/>
  <c r="CO609" i="5"/>
  <c r="F609" i="5" s="1"/>
  <c r="AS608" i="5"/>
  <c r="AV608" i="5" s="1"/>
  <c r="AO608" i="5"/>
  <c r="AG608" i="5"/>
  <c r="N608" i="5"/>
  <c r="BW609" i="5" l="1"/>
  <c r="BY609" i="5"/>
  <c r="J609" i="5" s="1"/>
  <c r="AF609" i="5" s="1"/>
  <c r="AR608" i="5"/>
  <c r="C610" i="5"/>
  <c r="BU610" i="5" s="1"/>
  <c r="BC609" i="5"/>
  <c r="AJ608" i="5"/>
  <c r="AN609" i="5" l="1"/>
  <c r="CI610" i="5"/>
  <c r="CH610" i="5" s="1"/>
  <c r="BS610" i="5"/>
  <c r="AX610" i="5"/>
  <c r="AW610" i="5" s="1"/>
  <c r="BH610" i="5"/>
  <c r="BI610" i="5" s="1"/>
  <c r="BJ610" i="5" s="1"/>
  <c r="X608" i="5"/>
  <c r="Y608" i="5" s="1"/>
  <c r="Z608" i="5" s="1"/>
  <c r="AA608" i="5" s="1"/>
  <c r="N22" i="3" s="1"/>
  <c r="CR610" i="5"/>
  <c r="CU610" i="5"/>
  <c r="CV610" i="5" s="1"/>
  <c r="CS610" i="5"/>
  <c r="BG609" i="5"/>
  <c r="H609" i="5" s="1"/>
  <c r="CY610" i="5"/>
  <c r="D610" i="5"/>
  <c r="CX610" i="5"/>
  <c r="CW610" i="5"/>
  <c r="BK610" i="5"/>
  <c r="BL610" i="5" s="1"/>
  <c r="BM610" i="5" s="1"/>
  <c r="AB610" i="5"/>
  <c r="L610" i="5" s="1"/>
  <c r="AC610" i="5"/>
  <c r="AK610" i="5"/>
  <c r="AM610" i="5" s="1"/>
  <c r="AL611" i="5" s="1"/>
  <c r="CL610" i="5"/>
  <c r="CM610" i="5" s="1"/>
  <c r="CZ609" i="5"/>
  <c r="BF609" i="5"/>
  <c r="BD609" i="5"/>
  <c r="BE610" i="5" s="1"/>
  <c r="BX610" i="5" l="1"/>
  <c r="BV610" i="5"/>
  <c r="BT610" i="5"/>
  <c r="CK610" i="5"/>
  <c r="CJ610" i="5" s="1"/>
  <c r="W610" i="5"/>
  <c r="CT610" i="5"/>
  <c r="AD610" i="5"/>
  <c r="AE610" i="5" s="1"/>
  <c r="I609" i="5"/>
  <c r="AH609" i="5" s="1"/>
  <c r="T610" i="5"/>
  <c r="U610" i="5" s="1"/>
  <c r="CP610" i="5"/>
  <c r="CQ610" i="5" s="1"/>
  <c r="R610" i="5" s="1"/>
  <c r="S610" i="5" s="1"/>
  <c r="BN610" i="5"/>
  <c r="BO610" i="5" s="1"/>
  <c r="BP610" i="5" s="1"/>
  <c r="G610" i="5" s="1"/>
  <c r="DA610" i="5"/>
  <c r="DB610" i="5" s="1"/>
  <c r="K610" i="5" s="1"/>
  <c r="M609" i="5"/>
  <c r="AG609" i="5" s="1"/>
  <c r="P609" i="5"/>
  <c r="AY609" i="5" s="1"/>
  <c r="CN610" i="5"/>
  <c r="E610" i="5" s="1"/>
  <c r="CO610" i="5"/>
  <c r="F610" i="5" s="1"/>
  <c r="BW610" i="5" l="1"/>
  <c r="Q609" i="5"/>
  <c r="V609" i="5" s="1"/>
  <c r="AP609" i="5"/>
  <c r="AT609" i="5"/>
  <c r="AJ609" i="5"/>
  <c r="BC610" i="5"/>
  <c r="CZ610" i="5" s="1"/>
  <c r="N609" i="5"/>
  <c r="AS609" i="5"/>
  <c r="AO609" i="5"/>
  <c r="C611" i="5"/>
  <c r="CI611" i="5" s="1"/>
  <c r="BY610" i="5" l="1"/>
  <c r="J610" i="5" s="1"/>
  <c r="BU611" i="5"/>
  <c r="CK611" i="5"/>
  <c r="CJ611" i="5" s="1"/>
  <c r="BS611" i="5"/>
  <c r="AV609" i="5"/>
  <c r="CR611" i="5"/>
  <c r="BH611" i="5"/>
  <c r="BI611" i="5" s="1"/>
  <c r="BJ611" i="5" s="1"/>
  <c r="BD610" i="5"/>
  <c r="BE611" i="5" s="1"/>
  <c r="BF610" i="5"/>
  <c r="CS611" i="5"/>
  <c r="CL611" i="5"/>
  <c r="CM611" i="5" s="1"/>
  <c r="CU611" i="5"/>
  <c r="CT611" i="5" s="1"/>
  <c r="CX611" i="5"/>
  <c r="BK611" i="5"/>
  <c r="BL611" i="5" s="1"/>
  <c r="BM611" i="5" s="1"/>
  <c r="AB611" i="5"/>
  <c r="DA611" i="5" s="1"/>
  <c r="DB611" i="5" s="1"/>
  <c r="AC611" i="5"/>
  <c r="AD611" i="5" s="1"/>
  <c r="AK611" i="5"/>
  <c r="AM611" i="5" s="1"/>
  <c r="AL612" i="5" s="1"/>
  <c r="D611" i="5"/>
  <c r="CW611" i="5"/>
  <c r="AR609" i="5"/>
  <c r="CY611" i="5"/>
  <c r="AX611" i="5"/>
  <c r="AW611" i="5" s="1"/>
  <c r="BG610" i="5"/>
  <c r="AF610" i="5" l="1"/>
  <c r="AN610" i="5"/>
  <c r="BX611" i="5"/>
  <c r="H610" i="5"/>
  <c r="M610" i="5" s="1"/>
  <c r="AO610" i="5" s="1"/>
  <c r="BT611" i="5"/>
  <c r="BV611" i="5"/>
  <c r="CH611" i="5"/>
  <c r="K611" i="5"/>
  <c r="X609" i="5"/>
  <c r="Y609" i="5" s="1"/>
  <c r="Z609" i="5" s="1"/>
  <c r="AA609" i="5" s="1"/>
  <c r="CV611" i="5"/>
  <c r="CO611" i="5" s="1"/>
  <c r="F611" i="5" s="1"/>
  <c r="BN611" i="5"/>
  <c r="BO611" i="5" s="1"/>
  <c r="BP611" i="5" s="1"/>
  <c r="G611" i="5" s="1"/>
  <c r="CP611" i="5"/>
  <c r="CQ611" i="5" s="1"/>
  <c r="R611" i="5" s="1"/>
  <c r="S611" i="5" s="1"/>
  <c r="I610" i="5"/>
  <c r="AP610" i="5" s="1"/>
  <c r="W611" i="5"/>
  <c r="T611" i="5"/>
  <c r="U611" i="5" s="1"/>
  <c r="L611" i="5"/>
  <c r="AE611" i="5"/>
  <c r="AG610" i="5" l="1"/>
  <c r="AR610" i="5"/>
  <c r="AS610" i="5"/>
  <c r="N610" i="5"/>
  <c r="P610" i="5"/>
  <c r="AY610" i="5" s="1"/>
  <c r="CN611" i="5"/>
  <c r="E611" i="5" s="1"/>
  <c r="AH610" i="5"/>
  <c r="AJ610" i="5" s="1"/>
  <c r="AT610" i="5"/>
  <c r="C612" i="5" l="1"/>
  <c r="CI612" i="5" s="1"/>
  <c r="AV610" i="5"/>
  <c r="X610" i="5" s="1"/>
  <c r="Q610" i="5"/>
  <c r="V610" i="5" s="1"/>
  <c r="BS612" i="5"/>
  <c r="BC611" i="5"/>
  <c r="CZ611" i="5" s="1"/>
  <c r="CL612" i="5" l="1"/>
  <c r="CM612" i="5" s="1"/>
  <c r="BH612" i="5"/>
  <c r="BI612" i="5" s="1"/>
  <c r="BJ612" i="5" s="1"/>
  <c r="BG611" i="5"/>
  <c r="I611" i="5" s="1"/>
  <c r="AT611" i="5" s="1"/>
  <c r="BK612" i="5"/>
  <c r="BL612" i="5" s="1"/>
  <c r="BM612" i="5" s="1"/>
  <c r="AB612" i="5"/>
  <c r="CP612" i="5" s="1"/>
  <c r="CQ612" i="5" s="1"/>
  <c r="R612" i="5" s="1"/>
  <c r="S612" i="5" s="1"/>
  <c r="BU612" i="5"/>
  <c r="BT612" i="5" s="1"/>
  <c r="AK612" i="5"/>
  <c r="AM612" i="5" s="1"/>
  <c r="AL613" i="5" s="1"/>
  <c r="CS612" i="5"/>
  <c r="AX612" i="5"/>
  <c r="AW612" i="5" s="1"/>
  <c r="CY612" i="5"/>
  <c r="CX612" i="5"/>
  <c r="CW612" i="5"/>
  <c r="AC612" i="5"/>
  <c r="AD612" i="5" s="1"/>
  <c r="AE612" i="5" s="1"/>
  <c r="CU612" i="5"/>
  <c r="CV612" i="5" s="1"/>
  <c r="CO612" i="5" s="1"/>
  <c r="F612" i="5" s="1"/>
  <c r="D612" i="5"/>
  <c r="W612" i="5" s="1"/>
  <c r="CR612" i="5"/>
  <c r="BY611" i="5"/>
  <c r="J611" i="5" s="1"/>
  <c r="BW611" i="5"/>
  <c r="Y610" i="5"/>
  <c r="Z610" i="5" s="1"/>
  <c r="AA610" i="5" s="1"/>
  <c r="BF611" i="5"/>
  <c r="BD611" i="5"/>
  <c r="BE612" i="5" s="1"/>
  <c r="CK612" i="5"/>
  <c r="CJ612" i="5" s="1"/>
  <c r="CH612" i="5"/>
  <c r="BV612" i="5" l="1"/>
  <c r="H611" i="5"/>
  <c r="M611" i="5" s="1"/>
  <c r="AS611" i="5" s="1"/>
  <c r="AV611" i="5" s="1"/>
  <c r="AN611" i="5"/>
  <c r="AF611" i="5"/>
  <c r="AH611" i="5" s="1"/>
  <c r="BN612" i="5"/>
  <c r="BO612" i="5" s="1"/>
  <c r="BP612" i="5" s="1"/>
  <c r="G612" i="5" s="1"/>
  <c r="DA612" i="5"/>
  <c r="DB612" i="5" s="1"/>
  <c r="K612" i="5" s="1"/>
  <c r="AP611" i="5"/>
  <c r="L612" i="5"/>
  <c r="CN612" i="5"/>
  <c r="E612" i="5" s="1"/>
  <c r="BX612" i="5"/>
  <c r="T612" i="5"/>
  <c r="U612" i="5" s="1"/>
  <c r="CT612" i="5"/>
  <c r="AO611" i="5" l="1"/>
  <c r="AG611" i="5"/>
  <c r="AJ611" i="5" s="1"/>
  <c r="N611" i="5"/>
  <c r="P611" i="5"/>
  <c r="AY611" i="5" s="1"/>
  <c r="AR611" i="5"/>
  <c r="BC612" i="5"/>
  <c r="CZ612" i="5" s="1"/>
  <c r="C613" i="5"/>
  <c r="CI613" i="5" s="1"/>
  <c r="CH613" i="5" s="1"/>
  <c r="Q611" i="5"/>
  <c r="V611" i="5" s="1"/>
  <c r="BS613" i="5"/>
  <c r="X611" i="5" l="1"/>
  <c r="Y611" i="5" s="1"/>
  <c r="Z611" i="5" s="1"/>
  <c r="AA611" i="5" s="1"/>
  <c r="BF612" i="5"/>
  <c r="BD612" i="5"/>
  <c r="BE613" i="5" s="1"/>
  <c r="AX613" i="5"/>
  <c r="AW613" i="5" s="1"/>
  <c r="BG612" i="5"/>
  <c r="I612" i="5" s="1"/>
  <c r="D613" i="5"/>
  <c r="W613" i="5" s="1"/>
  <c r="CX613" i="5"/>
  <c r="CL613" i="5"/>
  <c r="CM613" i="5" s="1"/>
  <c r="CY613" i="5"/>
  <c r="BU613" i="5"/>
  <c r="BV613" i="5" s="1"/>
  <c r="AC613" i="5"/>
  <c r="CR613" i="5"/>
  <c r="CW613" i="5"/>
  <c r="BK613" i="5"/>
  <c r="BL613" i="5" s="1"/>
  <c r="BM613" i="5" s="1"/>
  <c r="CU613" i="5"/>
  <c r="CV613" i="5" s="1"/>
  <c r="AB613" i="5"/>
  <c r="DA613" i="5" s="1"/>
  <c r="DB613" i="5" s="1"/>
  <c r="AK613" i="5"/>
  <c r="AM613" i="5" s="1"/>
  <c r="AL614" i="5" s="1"/>
  <c r="CS613" i="5"/>
  <c r="BH613" i="5"/>
  <c r="BI613" i="5" s="1"/>
  <c r="BJ613" i="5" s="1"/>
  <c r="BY612" i="5"/>
  <c r="J612" i="5" s="1"/>
  <c r="BW612" i="5"/>
  <c r="CK613" i="5"/>
  <c r="CJ613" i="5" s="1"/>
  <c r="AD613" i="5"/>
  <c r="H612" i="5" l="1"/>
  <c r="P612" i="5" s="1"/>
  <c r="AY612" i="5" s="1"/>
  <c r="T613" i="5"/>
  <c r="U613" i="5" s="1"/>
  <c r="CN613" i="5"/>
  <c r="E613" i="5" s="1"/>
  <c r="AE613" i="5"/>
  <c r="BT613" i="5"/>
  <c r="BX613" i="5"/>
  <c r="BW613" i="5" s="1"/>
  <c r="CO613" i="5"/>
  <c r="F613" i="5" s="1"/>
  <c r="AN612" i="5"/>
  <c r="AP612" i="5" s="1"/>
  <c r="AF612" i="5"/>
  <c r="AH612" i="5" s="1"/>
  <c r="BN613" i="5"/>
  <c r="BO613" i="5" s="1"/>
  <c r="BP613" i="5" s="1"/>
  <c r="G613" i="5" s="1"/>
  <c r="L613" i="5"/>
  <c r="CT613" i="5"/>
  <c r="CP613" i="5"/>
  <c r="CQ613" i="5" s="1"/>
  <c r="R613" i="5" s="1"/>
  <c r="S613" i="5" s="1"/>
  <c r="K613" i="5"/>
  <c r="AT612" i="5"/>
  <c r="Q612" i="5" l="1"/>
  <c r="V612" i="5" s="1"/>
  <c r="M612" i="5"/>
  <c r="N612" i="5" s="1"/>
  <c r="AG612" i="5"/>
  <c r="AO612" i="5"/>
  <c r="AR612" i="5" s="1"/>
  <c r="BC613" i="5"/>
  <c r="BD613" i="5" s="1"/>
  <c r="BE614" i="5" s="1"/>
  <c r="AS612" i="5"/>
  <c r="AV612" i="5" s="1"/>
  <c r="C614" i="5"/>
  <c r="CI614" i="5" s="1"/>
  <c r="AJ612" i="5"/>
  <c r="BY613" i="5"/>
  <c r="J613" i="5" s="1"/>
  <c r="BS614" i="5"/>
  <c r="BF613" i="5" l="1"/>
  <c r="CZ613" i="5"/>
  <c r="BG613" i="5"/>
  <c r="H613" i="5" s="1"/>
  <c r="P613" i="5" s="1"/>
  <c r="AY613" i="5" s="1"/>
  <c r="AX614" i="5"/>
  <c r="AW614" i="5" s="1"/>
  <c r="AK614" i="5"/>
  <c r="AM614" i="5" s="1"/>
  <c r="AL615" i="5" s="1"/>
  <c r="AC614" i="5"/>
  <c r="X612" i="5"/>
  <c r="Y612" i="5" s="1"/>
  <c r="Z612" i="5" s="1"/>
  <c r="AA612" i="5" s="1"/>
  <c r="CX614" i="5"/>
  <c r="AB614" i="5"/>
  <c r="DA614" i="5" s="1"/>
  <c r="DB614" i="5" s="1"/>
  <c r="CU614" i="5"/>
  <c r="CV614" i="5" s="1"/>
  <c r="BU614" i="5"/>
  <c r="BV614" i="5" s="1"/>
  <c r="CR614" i="5"/>
  <c r="CW614" i="5"/>
  <c r="CY614" i="5"/>
  <c r="CS614" i="5"/>
  <c r="CL614" i="5"/>
  <c r="CM614" i="5" s="1"/>
  <c r="BK614" i="5"/>
  <c r="BL614" i="5" s="1"/>
  <c r="BM614" i="5" s="1"/>
  <c r="BH614" i="5"/>
  <c r="BI614" i="5" s="1"/>
  <c r="BJ614" i="5" s="1"/>
  <c r="D614" i="5"/>
  <c r="T614" i="5" s="1"/>
  <c r="U614" i="5" s="1"/>
  <c r="AN613" i="5"/>
  <c r="AF613" i="5"/>
  <c r="AD614" i="5"/>
  <c r="AE614" i="5" s="1"/>
  <c r="I613" i="5"/>
  <c r="AT613" i="5" s="1"/>
  <c r="CH614" i="5"/>
  <c r="CK614" i="5"/>
  <c r="CJ614" i="5" s="1"/>
  <c r="BT614" i="5" l="1"/>
  <c r="CP614" i="5"/>
  <c r="CQ614" i="5" s="1"/>
  <c r="R614" i="5" s="1"/>
  <c r="S614" i="5" s="1"/>
  <c r="L614" i="5"/>
  <c r="BN614" i="5"/>
  <c r="BO614" i="5" s="1"/>
  <c r="BP614" i="5" s="1"/>
  <c r="G614" i="5" s="1"/>
  <c r="CT614" i="5"/>
  <c r="W614" i="5"/>
  <c r="BX614" i="5"/>
  <c r="CN614" i="5"/>
  <c r="E614" i="5" s="1"/>
  <c r="K614" i="5"/>
  <c r="CO614" i="5"/>
  <c r="F614" i="5" s="1"/>
  <c r="AH613" i="5"/>
  <c r="AP613" i="5"/>
  <c r="M613" i="5"/>
  <c r="AO613" i="5" s="1"/>
  <c r="Q613" i="5"/>
  <c r="V613" i="5" s="1"/>
  <c r="BS615" i="5"/>
  <c r="AR613" i="5" l="1"/>
  <c r="C615" i="5"/>
  <c r="BK615" i="5" s="1"/>
  <c r="BL615" i="5" s="1"/>
  <c r="BM615" i="5" s="1"/>
  <c r="BC614" i="5"/>
  <c r="BD614" i="5" s="1"/>
  <c r="BE615" i="5" s="1"/>
  <c r="BW614" i="5"/>
  <c r="BY614" i="5"/>
  <c r="J614" i="5" s="1"/>
  <c r="AG613" i="5"/>
  <c r="AJ613" i="5" s="1"/>
  <c r="AS613" i="5"/>
  <c r="AV613" i="5" s="1"/>
  <c r="N613" i="5"/>
  <c r="CZ614" i="5" l="1"/>
  <c r="CS615" i="5"/>
  <c r="CR615" i="5"/>
  <c r="AX615" i="5"/>
  <c r="AW615" i="5" s="1"/>
  <c r="CU615" i="5"/>
  <c r="CT615" i="5" s="1"/>
  <c r="CL615" i="5"/>
  <c r="CM615" i="5" s="1"/>
  <c r="CY615" i="5"/>
  <c r="CI615" i="5"/>
  <c r="CH615" i="5" s="1"/>
  <c r="AK615" i="5"/>
  <c r="AM615" i="5" s="1"/>
  <c r="AL616" i="5" s="1"/>
  <c r="CX615" i="5"/>
  <c r="BG614" i="5"/>
  <c r="H614" i="5" s="1"/>
  <c r="P614" i="5" s="1"/>
  <c r="AC615" i="5"/>
  <c r="D615" i="5"/>
  <c r="W615" i="5" s="1"/>
  <c r="AB615" i="5"/>
  <c r="L615" i="5" s="1"/>
  <c r="BH615" i="5"/>
  <c r="BI615" i="5" s="1"/>
  <c r="BJ615" i="5" s="1"/>
  <c r="BU615" i="5"/>
  <c r="BV615" i="5" s="1"/>
  <c r="AD615" i="5"/>
  <c r="CW615" i="5"/>
  <c r="BF614" i="5"/>
  <c r="AN614" i="5"/>
  <c r="AF614" i="5"/>
  <c r="X613" i="5"/>
  <c r="Y613" i="5" s="1"/>
  <c r="Z613" i="5" s="1"/>
  <c r="AA613" i="5" s="1"/>
  <c r="CV615" i="5" l="1"/>
  <c r="CN615" i="5" s="1"/>
  <c r="E615" i="5" s="1"/>
  <c r="BX615" i="5"/>
  <c r="CK615" i="5"/>
  <c r="CJ615" i="5" s="1"/>
  <c r="I614" i="5"/>
  <c r="AT614" i="5" s="1"/>
  <c r="M614" i="5"/>
  <c r="AS614" i="5" s="1"/>
  <c r="AV614" i="5" s="1"/>
  <c r="AE615" i="5"/>
  <c r="CP615" i="5"/>
  <c r="CQ615" i="5" s="1"/>
  <c r="R615" i="5" s="1"/>
  <c r="S615" i="5" s="1"/>
  <c r="T615" i="5"/>
  <c r="U615" i="5" s="1"/>
  <c r="DA615" i="5"/>
  <c r="DB615" i="5" s="1"/>
  <c r="K615" i="5" s="1"/>
  <c r="BN615" i="5"/>
  <c r="BO615" i="5" s="1"/>
  <c r="BP615" i="5" s="1"/>
  <c r="G615" i="5" s="1"/>
  <c r="BT615" i="5"/>
  <c r="CO615" i="5"/>
  <c r="F615" i="5" s="1"/>
  <c r="BY615" i="5"/>
  <c r="J615" i="5" s="1"/>
  <c r="BW615" i="5"/>
  <c r="Q614" i="5"/>
  <c r="V614" i="5" s="1"/>
  <c r="AY614" i="5"/>
  <c r="AG614" i="5"/>
  <c r="AH614" i="5" l="1"/>
  <c r="AJ614" i="5" s="1"/>
  <c r="N614" i="5"/>
  <c r="AO614" i="5"/>
  <c r="AR614" i="5" s="1"/>
  <c r="AP614" i="5"/>
  <c r="BC615" i="5"/>
  <c r="BD615" i="5" s="1"/>
  <c r="BE616" i="5" s="1"/>
  <c r="AF615" i="5"/>
  <c r="AN615" i="5"/>
  <c r="C616" i="5"/>
  <c r="BU616" i="5" s="1"/>
  <c r="BT616" i="5" s="1"/>
  <c r="BS616" i="5"/>
  <c r="X614" i="5" l="1"/>
  <c r="Y614" i="5" s="1"/>
  <c r="Z614" i="5" s="1"/>
  <c r="AA614" i="5" s="1"/>
  <c r="CZ615" i="5"/>
  <c r="BF615" i="5"/>
  <c r="BG615" i="5"/>
  <c r="H615" i="5" s="1"/>
  <c r="CU616" i="5"/>
  <c r="BX616" i="5" s="1"/>
  <c r="CR616" i="5"/>
  <c r="BH616" i="5"/>
  <c r="BI616" i="5" s="1"/>
  <c r="BJ616" i="5" s="1"/>
  <c r="CY616" i="5"/>
  <c r="CS616" i="5"/>
  <c r="BK616" i="5"/>
  <c r="BL616" i="5" s="1"/>
  <c r="BM616" i="5" s="1"/>
  <c r="AX616" i="5"/>
  <c r="AW616" i="5" s="1"/>
  <c r="CW616" i="5"/>
  <c r="CL616" i="5"/>
  <c r="CM616" i="5" s="1"/>
  <c r="CI616" i="5"/>
  <c r="CH616" i="5" s="1"/>
  <c r="AC616" i="5"/>
  <c r="AB616" i="5"/>
  <c r="CP616" i="5" s="1"/>
  <c r="CQ616" i="5" s="1"/>
  <c r="R616" i="5" s="1"/>
  <c r="S616" i="5" s="1"/>
  <c r="CX616" i="5"/>
  <c r="BV616" i="5"/>
  <c r="D616" i="5"/>
  <c r="W616" i="5" s="1"/>
  <c r="AK616" i="5"/>
  <c r="AM616" i="5" s="1"/>
  <c r="AL617" i="5" s="1"/>
  <c r="AD616" i="5"/>
  <c r="CT616" i="5" l="1"/>
  <c r="I615" i="5"/>
  <c r="AH615" i="5" s="1"/>
  <c r="CV616" i="5"/>
  <c r="CK616" i="5"/>
  <c r="CJ616" i="5" s="1"/>
  <c r="AE616" i="5"/>
  <c r="DA616" i="5"/>
  <c r="DB616" i="5" s="1"/>
  <c r="K616" i="5" s="1"/>
  <c r="BN616" i="5"/>
  <c r="BO616" i="5" s="1"/>
  <c r="BP616" i="5" s="1"/>
  <c r="G616" i="5" s="1"/>
  <c r="L616" i="5"/>
  <c r="T616" i="5"/>
  <c r="U616" i="5" s="1"/>
  <c r="AT615" i="5"/>
  <c r="CN616" i="5"/>
  <c r="E616" i="5" s="1"/>
  <c r="CO616" i="5"/>
  <c r="F616" i="5" s="1"/>
  <c r="P615" i="5"/>
  <c r="M615" i="5"/>
  <c r="AG615" i="5" s="1"/>
  <c r="AJ615" i="5" l="1"/>
  <c r="AP615" i="5"/>
  <c r="BY616" i="5"/>
  <c r="J616" i="5" s="1"/>
  <c r="AF616" i="5" s="1"/>
  <c r="BW616" i="5"/>
  <c r="Q615" i="5"/>
  <c r="V615" i="5" s="1"/>
  <c r="AY615" i="5"/>
  <c r="BC616" i="5"/>
  <c r="BD616" i="5" s="1"/>
  <c r="BE617" i="5" s="1"/>
  <c r="C617" i="5"/>
  <c r="BU617" i="5" s="1"/>
  <c r="N615" i="5"/>
  <c r="AS615" i="5"/>
  <c r="AV615" i="5" s="1"/>
  <c r="AO615" i="5"/>
  <c r="AR615" i="5" s="1"/>
  <c r="AN616" i="5" l="1"/>
  <c r="CI617" i="5"/>
  <c r="CK617" i="5" s="1"/>
  <c r="CJ617" i="5" s="1"/>
  <c r="AC617" i="5"/>
  <c r="AD617" i="5" s="1"/>
  <c r="AE617" i="5" s="1"/>
  <c r="BS617" i="5"/>
  <c r="BF616" i="5"/>
  <c r="CZ616" i="5"/>
  <c r="BG616" i="5"/>
  <c r="X615" i="5"/>
  <c r="Y615" i="5" s="1"/>
  <c r="Z615" i="5" s="1"/>
  <c r="AA615" i="5" s="1"/>
  <c r="AX617" i="5"/>
  <c r="AW617" i="5" s="1"/>
  <c r="CY617" i="5"/>
  <c r="AB617" i="5"/>
  <c r="DA617" i="5" s="1"/>
  <c r="DB617" i="5" s="1"/>
  <c r="BK617" i="5"/>
  <c r="BL617" i="5" s="1"/>
  <c r="BM617" i="5" s="1"/>
  <c r="CX617" i="5"/>
  <c r="CL617" i="5"/>
  <c r="CM617" i="5" s="1"/>
  <c r="CW617" i="5"/>
  <c r="CS617" i="5"/>
  <c r="BH617" i="5"/>
  <c r="BI617" i="5" s="1"/>
  <c r="BJ617" i="5" s="1"/>
  <c r="CU617" i="5"/>
  <c r="BX617" i="5" s="1"/>
  <c r="CR617" i="5"/>
  <c r="D617" i="5"/>
  <c r="AK617" i="5"/>
  <c r="AM617" i="5" s="1"/>
  <c r="AL618" i="5" s="1"/>
  <c r="I616" i="5" l="1"/>
  <c r="AH616" i="5" s="1"/>
  <c r="H616" i="5"/>
  <c r="P616" i="5" s="1"/>
  <c r="Q616" i="5" s="1"/>
  <c r="V616" i="5" s="1"/>
  <c r="W617" i="5"/>
  <c r="BT617" i="5"/>
  <c r="BV617" i="5"/>
  <c r="AP616" i="5"/>
  <c r="AT616" i="5"/>
  <c r="CH617" i="5"/>
  <c r="CP617" i="5"/>
  <c r="CQ617" i="5" s="1"/>
  <c r="R617" i="5" s="1"/>
  <c r="S617" i="5" s="1"/>
  <c r="L617" i="5"/>
  <c r="BN617" i="5"/>
  <c r="BO617" i="5" s="1"/>
  <c r="BP617" i="5" s="1"/>
  <c r="G617" i="5" s="1"/>
  <c r="K617" i="5"/>
  <c r="CT617" i="5"/>
  <c r="CV617" i="5"/>
  <c r="T617" i="5"/>
  <c r="U617" i="5" s="1"/>
  <c r="AY616" i="5"/>
  <c r="M616" i="5" l="1"/>
  <c r="N616" i="5" s="1"/>
  <c r="AS616" i="5"/>
  <c r="AV616" i="5" s="1"/>
  <c r="CN617" i="5"/>
  <c r="E617" i="5" s="1"/>
  <c r="CO617" i="5"/>
  <c r="F617" i="5" s="1"/>
  <c r="AO616" i="5" l="1"/>
  <c r="AR616" i="5" s="1"/>
  <c r="AG616" i="5"/>
  <c r="AJ616" i="5" s="1"/>
  <c r="BW617" i="5"/>
  <c r="BY617" i="5"/>
  <c r="J617" i="5" s="1"/>
  <c r="AF617" i="5" s="1"/>
  <c r="C618" i="5"/>
  <c r="BU618" i="5" s="1"/>
  <c r="BC617" i="5"/>
  <c r="X616" i="5" l="1"/>
  <c r="Y616" i="5" s="1"/>
  <c r="Z616" i="5" s="1"/>
  <c r="AA616" i="5" s="1"/>
  <c r="AN617" i="5"/>
  <c r="CI618" i="5"/>
  <c r="CH618" i="5" s="1"/>
  <c r="BS618" i="5"/>
  <c r="CU618" i="5"/>
  <c r="CT618" i="5" s="1"/>
  <c r="BK618" i="5"/>
  <c r="BL618" i="5" s="1"/>
  <c r="BM618" i="5" s="1"/>
  <c r="CL618" i="5"/>
  <c r="CM618" i="5" s="1"/>
  <c r="BH618" i="5"/>
  <c r="BI618" i="5" s="1"/>
  <c r="BJ618" i="5" s="1"/>
  <c r="AB618" i="5"/>
  <c r="BN618" i="5" s="1"/>
  <c r="BO618" i="5" s="1"/>
  <c r="BP618" i="5" s="1"/>
  <c r="CS618" i="5"/>
  <c r="AC618" i="5"/>
  <c r="D618" i="5"/>
  <c r="AK618" i="5"/>
  <c r="AM618" i="5" s="1"/>
  <c r="AL619" i="5" s="1"/>
  <c r="AX618" i="5"/>
  <c r="AW618" i="5" s="1"/>
  <c r="BG617" i="5"/>
  <c r="CR618" i="5"/>
  <c r="CY618" i="5"/>
  <c r="CX618" i="5"/>
  <c r="CW618" i="5"/>
  <c r="CZ617" i="5"/>
  <c r="BD617" i="5"/>
  <c r="BE618" i="5" s="1"/>
  <c r="BF617" i="5"/>
  <c r="CK618" i="5" l="1"/>
  <c r="CJ618" i="5" s="1"/>
  <c r="BX618" i="5"/>
  <c r="H617" i="5"/>
  <c r="M617" i="5" s="1"/>
  <c r="N617" i="5" s="1"/>
  <c r="T618" i="5"/>
  <c r="U618" i="5" s="1"/>
  <c r="BV618" i="5"/>
  <c r="BT618" i="5"/>
  <c r="CV618" i="5"/>
  <c r="CO618" i="5" s="1"/>
  <c r="F618" i="5" s="1"/>
  <c r="G618" i="5"/>
  <c r="AD618" i="5"/>
  <c r="AE618" i="5" s="1"/>
  <c r="DA618" i="5"/>
  <c r="DB618" i="5" s="1"/>
  <c r="K618" i="5" s="1"/>
  <c r="L618" i="5"/>
  <c r="CP618" i="5"/>
  <c r="CQ618" i="5" s="1"/>
  <c r="R618" i="5" s="1"/>
  <c r="S618" i="5" s="1"/>
  <c r="W618" i="5"/>
  <c r="AO617" i="5"/>
  <c r="AS617" i="5"/>
  <c r="I617" i="5"/>
  <c r="AH617" i="5" s="1"/>
  <c r="AG617" i="5" l="1"/>
  <c r="P617" i="5"/>
  <c r="AY617" i="5" s="1"/>
  <c r="CN618" i="5"/>
  <c r="E618" i="5" s="1"/>
  <c r="AJ617" i="5"/>
  <c r="AT617" i="5"/>
  <c r="AV617" i="5" s="1"/>
  <c r="AP617" i="5"/>
  <c r="AR617" i="5" s="1"/>
  <c r="Q617" i="5" l="1"/>
  <c r="V617" i="5" s="1"/>
  <c r="C619" i="5"/>
  <c r="CI619" i="5" s="1"/>
  <c r="CH619" i="5" s="1"/>
  <c r="BC618" i="5"/>
  <c r="BF618" i="5" s="1"/>
  <c r="BS619" i="5"/>
  <c r="X617" i="5"/>
  <c r="Y617" i="5" l="1"/>
  <c r="Z617" i="5" s="1"/>
  <c r="AA617" i="5" s="1"/>
  <c r="CR619" i="5"/>
  <c r="AX619" i="5"/>
  <c r="AW619" i="5" s="1"/>
  <c r="CU619" i="5"/>
  <c r="CT619" i="5" s="1"/>
  <c r="CL619" i="5"/>
  <c r="CM619" i="5" s="1"/>
  <c r="CS619" i="5"/>
  <c r="CZ618" i="5"/>
  <c r="BG618" i="5"/>
  <c r="H618" i="5" s="1"/>
  <c r="CW619" i="5"/>
  <c r="BK619" i="5"/>
  <c r="BL619" i="5" s="1"/>
  <c r="BM619" i="5" s="1"/>
  <c r="AB619" i="5"/>
  <c r="DA619" i="5" s="1"/>
  <c r="DB619" i="5" s="1"/>
  <c r="AC619" i="5"/>
  <c r="CX619" i="5"/>
  <c r="D619" i="5"/>
  <c r="W619" i="5" s="1"/>
  <c r="BU619" i="5"/>
  <c r="BT619" i="5" s="1"/>
  <c r="BH619" i="5"/>
  <c r="BI619" i="5" s="1"/>
  <c r="BJ619" i="5" s="1"/>
  <c r="BD618" i="5"/>
  <c r="BE619" i="5" s="1"/>
  <c r="CY619" i="5"/>
  <c r="AK619" i="5"/>
  <c r="AM619" i="5" s="1"/>
  <c r="AL620" i="5" s="1"/>
  <c r="BW618" i="5"/>
  <c r="BY618" i="5"/>
  <c r="J618" i="5" s="1"/>
  <c r="CK619" i="5"/>
  <c r="CJ619" i="5" s="1"/>
  <c r="CV619" i="5"/>
  <c r="CO619" i="5" s="1"/>
  <c r="F619" i="5" s="1"/>
  <c r="AD619" i="5"/>
  <c r="BX619" i="5" l="1"/>
  <c r="AN618" i="5"/>
  <c r="AF618" i="5"/>
  <c r="I618" i="5"/>
  <c r="AH618" i="5" s="1"/>
  <c r="BV619" i="5"/>
  <c r="CP619" i="5"/>
  <c r="CQ619" i="5" s="1"/>
  <c r="R619" i="5" s="1"/>
  <c r="S619" i="5" s="1"/>
  <c r="BN619" i="5"/>
  <c r="BO619" i="5" s="1"/>
  <c r="BP619" i="5" s="1"/>
  <c r="G619" i="5" s="1"/>
  <c r="AE619" i="5"/>
  <c r="L619" i="5"/>
  <c r="T619" i="5"/>
  <c r="U619" i="5" s="1"/>
  <c r="K619" i="5"/>
  <c r="CN619" i="5"/>
  <c r="E619" i="5" s="1"/>
  <c r="P618" i="5"/>
  <c r="M618" i="5"/>
  <c r="AT618" i="5" l="1"/>
  <c r="AP618" i="5"/>
  <c r="C620" i="5"/>
  <c r="BS620" i="5" s="1"/>
  <c r="BC619" i="5"/>
  <c r="BD619" i="5" s="1"/>
  <c r="BE620" i="5" s="1"/>
  <c r="AG618" i="5"/>
  <c r="AJ618" i="5" s="1"/>
  <c r="AO618" i="5"/>
  <c r="AR618" i="5" s="1"/>
  <c r="N618" i="5"/>
  <c r="AS618" i="5"/>
  <c r="AV618" i="5" s="1"/>
  <c r="Q618" i="5"/>
  <c r="V618" i="5" s="1"/>
  <c r="AY618" i="5"/>
  <c r="BG619" i="5" l="1"/>
  <c r="I619" i="5" s="1"/>
  <c r="BU620" i="5"/>
  <c r="BT620" i="5" s="1"/>
  <c r="CR620" i="5"/>
  <c r="CY620" i="5"/>
  <c r="AB620" i="5"/>
  <c r="BN620" i="5" s="1"/>
  <c r="BO620" i="5" s="1"/>
  <c r="BP620" i="5" s="1"/>
  <c r="CW620" i="5"/>
  <c r="CS620" i="5"/>
  <c r="AC620" i="5"/>
  <c r="AD620" i="5" s="1"/>
  <c r="CL620" i="5"/>
  <c r="CM620" i="5" s="1"/>
  <c r="CI620" i="5"/>
  <c r="CK620" i="5" s="1"/>
  <c r="CJ620" i="5" s="1"/>
  <c r="CU620" i="5"/>
  <c r="CT620" i="5" s="1"/>
  <c r="AX620" i="5"/>
  <c r="AW620" i="5" s="1"/>
  <c r="AK620" i="5"/>
  <c r="AM620" i="5" s="1"/>
  <c r="AL621" i="5" s="1"/>
  <c r="BK620" i="5"/>
  <c r="BL620" i="5" s="1"/>
  <c r="BM620" i="5" s="1"/>
  <c r="CX620" i="5"/>
  <c r="D620" i="5"/>
  <c r="W620" i="5" s="1"/>
  <c r="BH620" i="5"/>
  <c r="BI620" i="5" s="1"/>
  <c r="BJ620" i="5" s="1"/>
  <c r="BY619" i="5"/>
  <c r="J619" i="5" s="1"/>
  <c r="BW619" i="5"/>
  <c r="BF619" i="5"/>
  <c r="CZ619" i="5"/>
  <c r="BV620" i="5"/>
  <c r="H619" i="5"/>
  <c r="M619" i="5" s="1"/>
  <c r="AT619" i="5"/>
  <c r="X618" i="5"/>
  <c r="Y618" i="5" s="1"/>
  <c r="Z618" i="5" s="1"/>
  <c r="AA618" i="5" s="1"/>
  <c r="CP620" i="5" l="1"/>
  <c r="CQ620" i="5" s="1"/>
  <c r="R620" i="5" s="1"/>
  <c r="S620" i="5" s="1"/>
  <c r="AE620" i="5"/>
  <c r="L620" i="5"/>
  <c r="DA620" i="5"/>
  <c r="DB620" i="5" s="1"/>
  <c r="K620" i="5" s="1"/>
  <c r="CV620" i="5"/>
  <c r="CN620" i="5" s="1"/>
  <c r="E620" i="5" s="1"/>
  <c r="BX620" i="5"/>
  <c r="AN619" i="5"/>
  <c r="AP619" i="5" s="1"/>
  <c r="AF619" i="5"/>
  <c r="AH619" i="5" s="1"/>
  <c r="CH620" i="5"/>
  <c r="G620" i="5"/>
  <c r="T620" i="5"/>
  <c r="U620" i="5" s="1"/>
  <c r="AS619" i="5"/>
  <c r="AV619" i="5" s="1"/>
  <c r="N619" i="5"/>
  <c r="P619" i="5"/>
  <c r="BS621" i="5"/>
  <c r="CO620" i="5" l="1"/>
  <c r="F620" i="5" s="1"/>
  <c r="C621" i="5" s="1"/>
  <c r="CI621" i="5" s="1"/>
  <c r="CH621" i="5" s="1"/>
  <c r="AO619" i="5"/>
  <c r="AR619" i="5" s="1"/>
  <c r="AG619" i="5"/>
  <c r="AJ619" i="5" s="1"/>
  <c r="BY620" i="5"/>
  <c r="J620" i="5" s="1"/>
  <c r="BW620" i="5"/>
  <c r="AY619" i="5"/>
  <c r="Q619" i="5"/>
  <c r="V619" i="5" s="1"/>
  <c r="X619" i="5" l="1"/>
  <c r="Y619" i="5" s="1"/>
  <c r="Z619" i="5" s="1"/>
  <c r="AA619" i="5" s="1"/>
  <c r="BG620" i="5"/>
  <c r="H620" i="5" s="1"/>
  <c r="P620" i="5" s="1"/>
  <c r="CK621" i="5"/>
  <c r="CJ621" i="5" s="1"/>
  <c r="BU621" i="5"/>
  <c r="BV621" i="5" s="1"/>
  <c r="AX621" i="5"/>
  <c r="AW621" i="5" s="1"/>
  <c r="D621" i="5"/>
  <c r="W621" i="5" s="1"/>
  <c r="CW621" i="5"/>
  <c r="CR621" i="5"/>
  <c r="AC621" i="5"/>
  <c r="AD621" i="5" s="1"/>
  <c r="AE621" i="5" s="1"/>
  <c r="AB621" i="5"/>
  <c r="CP621" i="5" s="1"/>
  <c r="CQ621" i="5" s="1"/>
  <c r="R621" i="5" s="1"/>
  <c r="S621" i="5" s="1"/>
  <c r="CX621" i="5"/>
  <c r="CY621" i="5"/>
  <c r="BC620" i="5"/>
  <c r="CS621" i="5"/>
  <c r="CL621" i="5"/>
  <c r="CM621" i="5" s="1"/>
  <c r="BK621" i="5"/>
  <c r="BL621" i="5" s="1"/>
  <c r="BM621" i="5" s="1"/>
  <c r="AK621" i="5"/>
  <c r="AM621" i="5" s="1"/>
  <c r="AL622" i="5" s="1"/>
  <c r="CU621" i="5"/>
  <c r="CT621" i="5" s="1"/>
  <c r="BH621" i="5"/>
  <c r="BI621" i="5" s="1"/>
  <c r="BJ621" i="5" s="1"/>
  <c r="AN620" i="5"/>
  <c r="AF620" i="5"/>
  <c r="I620" i="5"/>
  <c r="AP620" i="5" s="1"/>
  <c r="BN621" i="5" l="1"/>
  <c r="BO621" i="5" s="1"/>
  <c r="BP621" i="5" s="1"/>
  <c r="G621" i="5" s="1"/>
  <c r="BT621" i="5"/>
  <c r="DA621" i="5"/>
  <c r="DB621" i="5" s="1"/>
  <c r="K621" i="5" s="1"/>
  <c r="M620" i="5"/>
  <c r="AO620" i="5" s="1"/>
  <c r="AR620" i="5" s="1"/>
  <c r="T621" i="5"/>
  <c r="U621" i="5" s="1"/>
  <c r="BX621" i="5"/>
  <c r="CV621" i="5"/>
  <c r="CO621" i="5" s="1"/>
  <c r="F621" i="5" s="1"/>
  <c r="CZ620" i="5"/>
  <c r="BF620" i="5"/>
  <c r="BD620" i="5"/>
  <c r="BE621" i="5" s="1"/>
  <c r="L621" i="5"/>
  <c r="AT620" i="5"/>
  <c r="AH620" i="5"/>
  <c r="Q620" i="5"/>
  <c r="V620" i="5" s="1"/>
  <c r="AY620" i="5"/>
  <c r="AS620" i="5"/>
  <c r="AV620" i="5" s="1"/>
  <c r="CN621" i="5" l="1"/>
  <c r="E621" i="5" s="1"/>
  <c r="C622" i="5" s="1"/>
  <c r="BU622" i="5" s="1"/>
  <c r="N620" i="5"/>
  <c r="AG620" i="5"/>
  <c r="AJ620" i="5"/>
  <c r="X620" i="5" s="1"/>
  <c r="Y620" i="5" s="1"/>
  <c r="Z620" i="5" s="1"/>
  <c r="AA620" i="5" s="1"/>
  <c r="BW621" i="5"/>
  <c r="BY621" i="5"/>
  <c r="J621" i="5" s="1"/>
  <c r="BS622" i="5"/>
  <c r="BC621" i="5" l="1"/>
  <c r="BF621" i="5" s="1"/>
  <c r="CR622" i="5"/>
  <c r="AX622" i="5"/>
  <c r="AW622" i="5" s="1"/>
  <c r="BG621" i="5"/>
  <c r="H621" i="5" s="1"/>
  <c r="P621" i="5" s="1"/>
  <c r="CL622" i="5"/>
  <c r="CM622" i="5" s="1"/>
  <c r="BK622" i="5"/>
  <c r="BL622" i="5" s="1"/>
  <c r="BM622" i="5" s="1"/>
  <c r="AB622" i="5"/>
  <c r="BN622" i="5" s="1"/>
  <c r="BO622" i="5" s="1"/>
  <c r="BP622" i="5" s="1"/>
  <c r="G622" i="5" s="1"/>
  <c r="CW622" i="5"/>
  <c r="CU622" i="5"/>
  <c r="CV622" i="5" s="1"/>
  <c r="D622" i="5"/>
  <c r="W622" i="5" s="1"/>
  <c r="CS622" i="5"/>
  <c r="BH622" i="5"/>
  <c r="BI622" i="5" s="1"/>
  <c r="BJ622" i="5" s="1"/>
  <c r="CI622" i="5"/>
  <c r="CH622" i="5" s="1"/>
  <c r="AK622" i="5"/>
  <c r="AM622" i="5" s="1"/>
  <c r="AL623" i="5" s="1"/>
  <c r="CY622" i="5"/>
  <c r="CX622" i="5"/>
  <c r="AC622" i="5"/>
  <c r="AN621" i="5"/>
  <c r="AF621" i="5"/>
  <c r="CZ621" i="5"/>
  <c r="BD621" i="5"/>
  <c r="BE622" i="5" s="1"/>
  <c r="AD622" i="5"/>
  <c r="BT622" i="5"/>
  <c r="BV622" i="5"/>
  <c r="M621" i="5" l="1"/>
  <c r="I621" i="5"/>
  <c r="CN622" i="5"/>
  <c r="L622" i="5"/>
  <c r="CP622" i="5"/>
  <c r="CQ622" i="5" s="1"/>
  <c r="R622" i="5" s="1"/>
  <c r="S622" i="5" s="1"/>
  <c r="DA622" i="5"/>
  <c r="DB622" i="5" s="1"/>
  <c r="K622" i="5" s="1"/>
  <c r="E622" i="5"/>
  <c r="CO622" i="5"/>
  <c r="F622" i="5" s="1"/>
  <c r="CT622" i="5"/>
  <c r="T622" i="5"/>
  <c r="U622" i="5" s="1"/>
  <c r="CK622" i="5"/>
  <c r="CJ622" i="5" s="1"/>
  <c r="AH621" i="5"/>
  <c r="BX622" i="5"/>
  <c r="AE622" i="5"/>
  <c r="AT621" i="5"/>
  <c r="AP621" i="5"/>
  <c r="AG621" i="5"/>
  <c r="AO621" i="5"/>
  <c r="N621" i="5"/>
  <c r="AS621" i="5"/>
  <c r="Q621" i="5"/>
  <c r="V621" i="5" s="1"/>
  <c r="AY621" i="5"/>
  <c r="AJ621" i="5" l="1"/>
  <c r="C623" i="5"/>
  <c r="BU623" i="5" s="1"/>
  <c r="BV623" i="5" s="1"/>
  <c r="BC622" i="5"/>
  <c r="CZ622" i="5" s="1"/>
  <c r="AV621" i="5"/>
  <c r="AR621" i="5"/>
  <c r="BW622" i="5"/>
  <c r="BY622" i="5"/>
  <c r="J622" i="5" s="1"/>
  <c r="BS623" i="5"/>
  <c r="BG622" i="5" l="1"/>
  <c r="H622" i="5" s="1"/>
  <c r="M622" i="5" s="1"/>
  <c r="N622" i="5" s="1"/>
  <c r="CS623" i="5"/>
  <c r="AX623" i="5"/>
  <c r="AW623" i="5" s="1"/>
  <c r="BK623" i="5"/>
  <c r="BL623" i="5" s="1"/>
  <c r="BM623" i="5" s="1"/>
  <c r="CR623" i="5"/>
  <c r="CU623" i="5"/>
  <c r="CV623" i="5" s="1"/>
  <c r="X621" i="5"/>
  <c r="Y621" i="5" s="1"/>
  <c r="Z621" i="5" s="1"/>
  <c r="AA621" i="5" s="1"/>
  <c r="CL623" i="5"/>
  <c r="CM623" i="5" s="1"/>
  <c r="BD622" i="5"/>
  <c r="BE623" i="5" s="1"/>
  <c r="BF622" i="5"/>
  <c r="CX623" i="5"/>
  <c r="BH623" i="5"/>
  <c r="BI623" i="5" s="1"/>
  <c r="BJ623" i="5" s="1"/>
  <c r="CY623" i="5"/>
  <c r="AB623" i="5"/>
  <c r="BN623" i="5" s="1"/>
  <c r="BO623" i="5" s="1"/>
  <c r="BP623" i="5" s="1"/>
  <c r="G623" i="5" s="1"/>
  <c r="CI623" i="5"/>
  <c r="CH623" i="5" s="1"/>
  <c r="D623" i="5"/>
  <c r="T623" i="5" s="1"/>
  <c r="U623" i="5" s="1"/>
  <c r="AK623" i="5"/>
  <c r="AM623" i="5" s="1"/>
  <c r="AL624" i="5" s="1"/>
  <c r="AC623" i="5"/>
  <c r="AD623" i="5" s="1"/>
  <c r="CW623" i="5"/>
  <c r="BT623" i="5"/>
  <c r="I622" i="5"/>
  <c r="AT622" i="5" s="1"/>
  <c r="AF622" i="5"/>
  <c r="AG622" i="5" s="1"/>
  <c r="AN622" i="5"/>
  <c r="AS622" i="5"/>
  <c r="P622" i="5" l="1"/>
  <c r="AY622" i="5" s="1"/>
  <c r="CN623" i="5"/>
  <c r="E623" i="5" s="1"/>
  <c r="CT623" i="5"/>
  <c r="BX623" i="5"/>
  <c r="BW623" i="5" s="1"/>
  <c r="CO623" i="5"/>
  <c r="F623" i="5" s="1"/>
  <c r="AE623" i="5"/>
  <c r="AP622" i="5"/>
  <c r="AV622" i="5"/>
  <c r="CK623" i="5"/>
  <c r="CJ623" i="5" s="1"/>
  <c r="DA623" i="5"/>
  <c r="DB623" i="5" s="1"/>
  <c r="K623" i="5" s="1"/>
  <c r="AO622" i="5"/>
  <c r="L623" i="5"/>
  <c r="CP623" i="5"/>
  <c r="CQ623" i="5" s="1"/>
  <c r="R623" i="5" s="1"/>
  <c r="S623" i="5" s="1"/>
  <c r="W623" i="5"/>
  <c r="AH622" i="5"/>
  <c r="AJ622" i="5" s="1"/>
  <c r="BY623" i="5"/>
  <c r="J623" i="5" s="1"/>
  <c r="AF623" i="5" s="1"/>
  <c r="BB622" i="5"/>
  <c r="Q622" i="5"/>
  <c r="V622" i="5" s="1"/>
  <c r="AR622" i="5" l="1"/>
  <c r="C624" i="5"/>
  <c r="CW624" i="5" s="1"/>
  <c r="BC623" i="5"/>
  <c r="BF623" i="5" s="1"/>
  <c r="X622" i="5"/>
  <c r="AN623" i="5"/>
  <c r="CU624" i="5"/>
  <c r="CT624" i="5" s="1"/>
  <c r="Y622" i="5"/>
  <c r="Z622" i="5" s="1"/>
  <c r="AA622" i="5" s="1"/>
  <c r="BS624" i="5"/>
  <c r="AX624" i="5" l="1"/>
  <c r="AW624" i="5" s="1"/>
  <c r="AB624" i="5"/>
  <c r="DA624" i="5" s="1"/>
  <c r="DB624" i="5" s="1"/>
  <c r="BH624" i="5"/>
  <c r="BI624" i="5" s="1"/>
  <c r="BJ624" i="5" s="1"/>
  <c r="BK624" i="5"/>
  <c r="BL624" i="5" s="1"/>
  <c r="BM624" i="5" s="1"/>
  <c r="BU624" i="5"/>
  <c r="BT624" i="5" s="1"/>
  <c r="BG623" i="5"/>
  <c r="H623" i="5" s="1"/>
  <c r="M623" i="5" s="1"/>
  <c r="N623" i="5" s="1"/>
  <c r="CI624" i="5"/>
  <c r="CH624" i="5" s="1"/>
  <c r="AC624" i="5"/>
  <c r="AK624" i="5"/>
  <c r="AM624" i="5" s="1"/>
  <c r="AL625" i="5" s="1"/>
  <c r="CY624" i="5"/>
  <c r="CL624" i="5"/>
  <c r="CM624" i="5" s="1"/>
  <c r="CR624" i="5"/>
  <c r="D624" i="5"/>
  <c r="W624" i="5" s="1"/>
  <c r="CX624" i="5"/>
  <c r="CS624" i="5"/>
  <c r="CZ623" i="5"/>
  <c r="BD623" i="5"/>
  <c r="BE624" i="5" s="1"/>
  <c r="BX624" i="5"/>
  <c r="AD624" i="5"/>
  <c r="CV624" i="5"/>
  <c r="CO624" i="5" s="1"/>
  <c r="F624" i="5" s="1"/>
  <c r="L624" i="5"/>
  <c r="BN624" i="5"/>
  <c r="BO624" i="5" s="1"/>
  <c r="BP624" i="5" s="1"/>
  <c r="G624" i="5" s="1"/>
  <c r="CP624" i="5"/>
  <c r="CQ624" i="5" s="1"/>
  <c r="R624" i="5" s="1"/>
  <c r="S624" i="5" s="1"/>
  <c r="I623" i="5" l="1"/>
  <c r="AH623" i="5" s="1"/>
  <c r="CK624" i="5"/>
  <c r="CJ624" i="5" s="1"/>
  <c r="AO623" i="5"/>
  <c r="AG623" i="5"/>
  <c r="AJ623" i="5" s="1"/>
  <c r="K624" i="5"/>
  <c r="BV624" i="5"/>
  <c r="AP623" i="5"/>
  <c r="AS623" i="5"/>
  <c r="AV623" i="5" s="1"/>
  <c r="T624" i="5"/>
  <c r="U624" i="5" s="1"/>
  <c r="AT623" i="5"/>
  <c r="AE624" i="5"/>
  <c r="P623" i="5"/>
  <c r="AY623" i="5" s="1"/>
  <c r="CN624" i="5"/>
  <c r="E624" i="5" s="1"/>
  <c r="BC624" i="5" s="1"/>
  <c r="BD624" i="5" s="1"/>
  <c r="BE625" i="5" s="1"/>
  <c r="BY624" i="5"/>
  <c r="J624" i="5" s="1"/>
  <c r="AF624" i="5" s="1"/>
  <c r="BW624" i="5"/>
  <c r="BS625" i="5"/>
  <c r="AR623" i="5"/>
  <c r="Q623" i="5" l="1"/>
  <c r="V623" i="5" s="1"/>
  <c r="AN624" i="5"/>
  <c r="C625" i="5"/>
  <c r="CI625" i="5" s="1"/>
  <c r="CK625" i="5" s="1"/>
  <c r="CJ625" i="5" s="1"/>
  <c r="BF624" i="5"/>
  <c r="CZ624" i="5"/>
  <c r="X623" i="5"/>
  <c r="Y623" i="5" l="1"/>
  <c r="Z623" i="5" s="1"/>
  <c r="AA623" i="5" s="1"/>
  <c r="CR625" i="5"/>
  <c r="CL625" i="5"/>
  <c r="CM625" i="5" s="1"/>
  <c r="CH625" i="5"/>
  <c r="AK625" i="5"/>
  <c r="AM625" i="5" s="1"/>
  <c r="AL626" i="5" s="1"/>
  <c r="CY625" i="5"/>
  <c r="BH625" i="5"/>
  <c r="BI625" i="5" s="1"/>
  <c r="BJ625" i="5" s="1"/>
  <c r="CX625" i="5"/>
  <c r="BU625" i="5"/>
  <c r="BT625" i="5" s="1"/>
  <c r="BG624" i="5"/>
  <c r="H624" i="5" s="1"/>
  <c r="M624" i="5" s="1"/>
  <c r="N624" i="5" s="1"/>
  <c r="D625" i="5"/>
  <c r="W625" i="5" s="1"/>
  <c r="CW625" i="5"/>
  <c r="BK625" i="5"/>
  <c r="BL625" i="5" s="1"/>
  <c r="BM625" i="5" s="1"/>
  <c r="CS625" i="5"/>
  <c r="AB625" i="5"/>
  <c r="BN625" i="5" s="1"/>
  <c r="BO625" i="5" s="1"/>
  <c r="BP625" i="5" s="1"/>
  <c r="G625" i="5" s="1"/>
  <c r="AC625" i="5"/>
  <c r="AX625" i="5"/>
  <c r="AW625" i="5" s="1"/>
  <c r="CU625" i="5"/>
  <c r="BX625" i="5" s="1"/>
  <c r="AO624" i="5" l="1"/>
  <c r="AD625" i="5"/>
  <c r="AE625" i="5" s="1"/>
  <c r="AG624" i="5"/>
  <c r="AS624" i="5"/>
  <c r="I624" i="5"/>
  <c r="AP624" i="5" s="1"/>
  <c r="AR624" i="5" s="1"/>
  <c r="BV625" i="5"/>
  <c r="P624" i="5"/>
  <c r="T625" i="5"/>
  <c r="U625" i="5" s="1"/>
  <c r="CP625" i="5"/>
  <c r="CQ625" i="5" s="1"/>
  <c r="R625" i="5" s="1"/>
  <c r="S625" i="5" s="1"/>
  <c r="DA625" i="5"/>
  <c r="DB625" i="5" s="1"/>
  <c r="K625" i="5" s="1"/>
  <c r="L625" i="5"/>
  <c r="CT625" i="5"/>
  <c r="CV625" i="5"/>
  <c r="Q624" i="5" l="1"/>
  <c r="V624" i="5" s="1"/>
  <c r="AY624" i="5"/>
  <c r="AH624" i="5"/>
  <c r="AJ624" i="5" s="1"/>
  <c r="AT624" i="5"/>
  <c r="AV624" i="5" s="1"/>
  <c r="X624" i="5" s="1"/>
  <c r="CO625" i="5"/>
  <c r="F625" i="5" s="1"/>
  <c r="CN625" i="5"/>
  <c r="E625" i="5" s="1"/>
  <c r="BW625" i="5"/>
  <c r="BY625" i="5"/>
  <c r="J625" i="5" s="1"/>
  <c r="BS626" i="5"/>
  <c r="Y624" i="5" l="1"/>
  <c r="Z624" i="5" s="1"/>
  <c r="AA624" i="5" s="1"/>
  <c r="BC625" i="5"/>
  <c r="BF625" i="5" s="1"/>
  <c r="C626" i="5"/>
  <c r="AN625" i="5"/>
  <c r="AF625" i="5"/>
  <c r="BD625" i="5" l="1"/>
  <c r="BE626" i="5" s="1"/>
  <c r="CZ625" i="5"/>
  <c r="BU626" i="5"/>
  <c r="CL626" i="5"/>
  <c r="CM626" i="5" s="1"/>
  <c r="CI626" i="5"/>
  <c r="CY626" i="5"/>
  <c r="AB626" i="5"/>
  <c r="L626" i="5" s="1"/>
  <c r="CU626" i="5"/>
  <c r="BH626" i="5"/>
  <c r="BI626" i="5" s="1"/>
  <c r="BJ626" i="5" s="1"/>
  <c r="AK626" i="5"/>
  <c r="AM626" i="5" s="1"/>
  <c r="AL627" i="5" s="1"/>
  <c r="BK626" i="5"/>
  <c r="BL626" i="5" s="1"/>
  <c r="BM626" i="5" s="1"/>
  <c r="CR626" i="5"/>
  <c r="AX626" i="5"/>
  <c r="AW626" i="5" s="1"/>
  <c r="BG625" i="5"/>
  <c r="D626" i="5"/>
  <c r="AC626" i="5"/>
  <c r="CW626" i="5"/>
  <c r="CX626" i="5"/>
  <c r="CS626" i="5"/>
  <c r="BN626" i="5" l="1"/>
  <c r="BO626" i="5" s="1"/>
  <c r="BP626" i="5" s="1"/>
  <c r="G626" i="5" s="1"/>
  <c r="AD626" i="5"/>
  <c r="AE626" i="5" s="1"/>
  <c r="CT626" i="5"/>
  <c r="BX626" i="5"/>
  <c r="CV626" i="5"/>
  <c r="T626" i="5"/>
  <c r="U626" i="5" s="1"/>
  <c r="W626" i="5"/>
  <c r="CP626" i="5"/>
  <c r="CQ626" i="5" s="1"/>
  <c r="R626" i="5" s="1"/>
  <c r="S626" i="5" s="1"/>
  <c r="DA626" i="5"/>
  <c r="DB626" i="5" s="1"/>
  <c r="K626" i="5" s="1"/>
  <c r="H625" i="5"/>
  <c r="I625" i="5"/>
  <c r="AT625" i="5" s="1"/>
  <c r="CH626" i="5"/>
  <c r="CK626" i="5"/>
  <c r="CJ626" i="5" s="1"/>
  <c r="BT626" i="5"/>
  <c r="BV626" i="5"/>
  <c r="BS627" i="5"/>
  <c r="CN626" i="5" l="1"/>
  <c r="E626" i="5" s="1"/>
  <c r="CO626" i="5"/>
  <c r="F626" i="5" s="1"/>
  <c r="BW626" i="5"/>
  <c r="BY626" i="5"/>
  <c r="J626" i="5" s="1"/>
  <c r="AP625" i="5"/>
  <c r="AH625" i="5"/>
  <c r="P625" i="5"/>
  <c r="M625" i="5"/>
  <c r="AN626" i="5" l="1"/>
  <c r="AF626" i="5"/>
  <c r="Q625" i="5"/>
  <c r="V625" i="5" s="1"/>
  <c r="AY625" i="5"/>
  <c r="AS625" i="5"/>
  <c r="AV625" i="5" s="1"/>
  <c r="AO625" i="5"/>
  <c r="AR625" i="5" s="1"/>
  <c r="N625" i="5"/>
  <c r="AG625" i="5"/>
  <c r="AJ625" i="5" s="1"/>
  <c r="BC626" i="5"/>
  <c r="C627" i="5"/>
  <c r="X625" i="5" l="1"/>
  <c r="Y625" i="5" s="1"/>
  <c r="Z625" i="5" s="1"/>
  <c r="AA625" i="5" s="1"/>
  <c r="BU627" i="5"/>
  <c r="CU627" i="5"/>
  <c r="CL627" i="5"/>
  <c r="CM627" i="5" s="1"/>
  <c r="CS627" i="5"/>
  <c r="BG626" i="5"/>
  <c r="AK627" i="5"/>
  <c r="AM627" i="5" s="1"/>
  <c r="AL628" i="5" s="1"/>
  <c r="CY627" i="5"/>
  <c r="AC627" i="5"/>
  <c r="BH627" i="5"/>
  <c r="BI627" i="5" s="1"/>
  <c r="BJ627" i="5" s="1"/>
  <c r="AB627" i="5"/>
  <c r="DA627" i="5" s="1"/>
  <c r="DB627" i="5" s="1"/>
  <c r="BK627" i="5"/>
  <c r="BL627" i="5" s="1"/>
  <c r="BM627" i="5" s="1"/>
  <c r="CR627" i="5"/>
  <c r="CX627" i="5"/>
  <c r="D627" i="5"/>
  <c r="CI627" i="5"/>
  <c r="AX627" i="5"/>
  <c r="AW627" i="5" s="1"/>
  <c r="CW627" i="5"/>
  <c r="CZ626" i="5"/>
  <c r="BF626" i="5"/>
  <c r="BD626" i="5"/>
  <c r="BE627" i="5" s="1"/>
  <c r="AD627" i="5" l="1"/>
  <c r="AE627" i="5" s="1"/>
  <c r="BN627" i="5"/>
  <c r="BO627" i="5" s="1"/>
  <c r="BP627" i="5" s="1"/>
  <c r="G627" i="5" s="1"/>
  <c r="CP627" i="5"/>
  <c r="CQ627" i="5" s="1"/>
  <c r="R627" i="5" s="1"/>
  <c r="S627" i="5" s="1"/>
  <c r="L627" i="5"/>
  <c r="CH627" i="5"/>
  <c r="CK627" i="5"/>
  <c r="CJ627" i="5" s="1"/>
  <c r="K627" i="5" s="1"/>
  <c r="W627" i="5"/>
  <c r="T627" i="5"/>
  <c r="U627" i="5" s="1"/>
  <c r="H626" i="5"/>
  <c r="I626" i="5"/>
  <c r="AP626" i="5" s="1"/>
  <c r="CT627" i="5"/>
  <c r="CV627" i="5"/>
  <c r="BX627" i="5"/>
  <c r="BY627" i="5" s="1"/>
  <c r="BT627" i="5"/>
  <c r="BV627" i="5"/>
  <c r="BS628" i="5"/>
  <c r="BW627" i="5" l="1"/>
  <c r="J627" i="5"/>
  <c r="AF627" i="5" s="1"/>
  <c r="AH626" i="5"/>
  <c r="AT626" i="5"/>
  <c r="M626" i="5"/>
  <c r="P626" i="5"/>
  <c r="CN627" i="5"/>
  <c r="E627" i="5" s="1"/>
  <c r="CO627" i="5"/>
  <c r="F627" i="5" s="1"/>
  <c r="Q626" i="5" l="1"/>
  <c r="V626" i="5" s="1"/>
  <c r="AY626" i="5"/>
  <c r="AN627" i="5"/>
  <c r="AS626" i="5"/>
  <c r="AV626" i="5" s="1"/>
  <c r="AO626" i="5"/>
  <c r="AR626" i="5" s="1"/>
  <c r="BC627" i="5"/>
  <c r="C628" i="5"/>
  <c r="AG626" i="5"/>
  <c r="AJ626" i="5" s="1"/>
  <c r="N626" i="5"/>
  <c r="X626" i="5" l="1"/>
  <c r="Y626" i="5" s="1"/>
  <c r="Z626" i="5" s="1"/>
  <c r="AA626" i="5" s="1"/>
  <c r="BU628" i="5"/>
  <c r="AC628" i="5"/>
  <c r="AK628" i="5"/>
  <c r="AM628" i="5" s="1"/>
  <c r="AL629" i="5" s="1"/>
  <c r="CX628" i="5"/>
  <c r="CY628" i="5"/>
  <c r="AX628" i="5"/>
  <c r="AW628" i="5" s="1"/>
  <c r="CS628" i="5"/>
  <c r="BH628" i="5"/>
  <c r="BI628" i="5" s="1"/>
  <c r="BJ628" i="5" s="1"/>
  <c r="CW628" i="5"/>
  <c r="D628" i="5"/>
  <c r="CI628" i="5"/>
  <c r="CL628" i="5"/>
  <c r="CM628" i="5" s="1"/>
  <c r="CR628" i="5"/>
  <c r="BK628" i="5"/>
  <c r="BL628" i="5" s="1"/>
  <c r="BM628" i="5" s="1"/>
  <c r="BG627" i="5"/>
  <c r="AB628" i="5"/>
  <c r="CP628" i="5" s="1"/>
  <c r="CQ628" i="5" s="1"/>
  <c r="R628" i="5" s="1"/>
  <c r="S628" i="5" s="1"/>
  <c r="CU628" i="5"/>
  <c r="CZ627" i="5"/>
  <c r="BF627" i="5"/>
  <c r="BD627" i="5"/>
  <c r="BE628" i="5" s="1"/>
  <c r="H627" i="5" l="1"/>
  <c r="I627" i="5"/>
  <c r="DA628" i="5"/>
  <c r="DB628" i="5" s="1"/>
  <c r="K628" i="5" s="1"/>
  <c r="CK628" i="5"/>
  <c r="CJ628" i="5" s="1"/>
  <c r="CH628" i="5"/>
  <c r="L628" i="5"/>
  <c r="BN628" i="5"/>
  <c r="BO628" i="5" s="1"/>
  <c r="BP628" i="5" s="1"/>
  <c r="G628" i="5" s="1"/>
  <c r="W628" i="5"/>
  <c r="T628" i="5"/>
  <c r="U628" i="5" s="1"/>
  <c r="AD628" i="5"/>
  <c r="AE628" i="5" s="1"/>
  <c r="CT628" i="5"/>
  <c r="CV628" i="5"/>
  <c r="BX628" i="5"/>
  <c r="BY628" i="5" s="1"/>
  <c r="BT628" i="5"/>
  <c r="BV628" i="5"/>
  <c r="BS629" i="5"/>
  <c r="J628" i="5" l="1"/>
  <c r="AN628" i="5" s="1"/>
  <c r="AH627" i="5"/>
  <c r="AP627" i="5"/>
  <c r="AT627" i="5"/>
  <c r="BW628" i="5"/>
  <c r="CO628" i="5"/>
  <c r="F628" i="5" s="1"/>
  <c r="CN628" i="5"/>
  <c r="E628" i="5" s="1"/>
  <c r="M627" i="5"/>
  <c r="P627" i="5"/>
  <c r="AF628" i="5" l="1"/>
  <c r="Q627" i="5"/>
  <c r="V627" i="5" s="1"/>
  <c r="AY627" i="5"/>
  <c r="C629" i="5"/>
  <c r="CY629" i="5" s="1"/>
  <c r="BC628" i="5"/>
  <c r="BD628" i="5" s="1"/>
  <c r="BE629" i="5" s="1"/>
  <c r="AO627" i="5"/>
  <c r="AR627" i="5" s="1"/>
  <c r="AS627" i="5"/>
  <c r="AV627" i="5" s="1"/>
  <c r="AG627" i="5"/>
  <c r="AJ627" i="5" s="1"/>
  <c r="N627" i="5"/>
  <c r="AX629" i="5" l="1"/>
  <c r="AW629" i="5" s="1"/>
  <c r="CX629" i="5"/>
  <c r="BH629" i="5"/>
  <c r="BI629" i="5" s="1"/>
  <c r="BJ629" i="5" s="1"/>
  <c r="AK629" i="5"/>
  <c r="AM629" i="5" s="1"/>
  <c r="AL630" i="5" s="1"/>
  <c r="BK629" i="5"/>
  <c r="BL629" i="5" s="1"/>
  <c r="BM629" i="5" s="1"/>
  <c r="AC629" i="5"/>
  <c r="CR629" i="5"/>
  <c r="AB629" i="5"/>
  <c r="L629" i="5" s="1"/>
  <c r="CL629" i="5"/>
  <c r="CM629" i="5" s="1"/>
  <c r="CS629" i="5"/>
  <c r="CU629" i="5"/>
  <c r="BX629" i="5" s="1"/>
  <c r="BW629" i="5" s="1"/>
  <c r="D629" i="5"/>
  <c r="T629" i="5" s="1"/>
  <c r="U629" i="5" s="1"/>
  <c r="BG628" i="5"/>
  <c r="H628" i="5" s="1"/>
  <c r="CW629" i="5"/>
  <c r="BU629" i="5"/>
  <c r="BT629" i="5" s="1"/>
  <c r="CZ628" i="5"/>
  <c r="CI629" i="5"/>
  <c r="CK629" i="5" s="1"/>
  <c r="CJ629" i="5" s="1"/>
  <c r="BF628" i="5"/>
  <c r="X627" i="5"/>
  <c r="Y627" i="5" s="1"/>
  <c r="Z627" i="5" s="1"/>
  <c r="AA627" i="5" s="1"/>
  <c r="BS630" i="5"/>
  <c r="AD629" i="5" l="1"/>
  <c r="AE629" i="5" s="1"/>
  <c r="BN629" i="5"/>
  <c r="BO629" i="5" s="1"/>
  <c r="BP629" i="5" s="1"/>
  <c r="G629" i="5" s="1"/>
  <c r="I628" i="5"/>
  <c r="AP628" i="5" s="1"/>
  <c r="CP629" i="5"/>
  <c r="CQ629" i="5" s="1"/>
  <c r="R629" i="5" s="1"/>
  <c r="S629" i="5" s="1"/>
  <c r="DA629" i="5"/>
  <c r="DB629" i="5" s="1"/>
  <c r="K629" i="5" s="1"/>
  <c r="BY629" i="5"/>
  <c r="CT629" i="5"/>
  <c r="CV629" i="5"/>
  <c r="CN629" i="5" s="1"/>
  <c r="E629" i="5" s="1"/>
  <c r="W629" i="5"/>
  <c r="BV629" i="5"/>
  <c r="CH629" i="5"/>
  <c r="AT628" i="5"/>
  <c r="AH628" i="5"/>
  <c r="P628" i="5"/>
  <c r="M628" i="5"/>
  <c r="J629" i="5" l="1"/>
  <c r="AN629" i="5" s="1"/>
  <c r="CO629" i="5"/>
  <c r="F629" i="5" s="1"/>
  <c r="C630" i="5" s="1"/>
  <c r="AG628" i="5"/>
  <c r="AO628" i="5"/>
  <c r="AR628" i="5" s="1"/>
  <c r="AF629" i="5"/>
  <c r="Q628" i="5"/>
  <c r="V628" i="5" s="1"/>
  <c r="AY628" i="5"/>
  <c r="AJ628" i="5"/>
  <c r="N628" i="5"/>
  <c r="AS628" i="5"/>
  <c r="AV628" i="5" s="1"/>
  <c r="BC629" i="5" l="1"/>
  <c r="BD629" i="5" s="1"/>
  <c r="BE630" i="5" s="1"/>
  <c r="X628" i="5"/>
  <c r="Y628" i="5" s="1"/>
  <c r="Z628" i="5" s="1"/>
  <c r="AA628" i="5" s="1"/>
  <c r="CI630" i="5"/>
  <c r="CW630" i="5"/>
  <c r="CS630" i="5"/>
  <c r="AK630" i="5"/>
  <c r="AM630" i="5" s="1"/>
  <c r="AL631" i="5" s="1"/>
  <c r="D630" i="5"/>
  <c r="BK630" i="5"/>
  <c r="BL630" i="5" s="1"/>
  <c r="BM630" i="5" s="1"/>
  <c r="AC630" i="5"/>
  <c r="CR630" i="5"/>
  <c r="BG629" i="5"/>
  <c r="CL630" i="5"/>
  <c r="CM630" i="5" s="1"/>
  <c r="AB630" i="5"/>
  <c r="L630" i="5" s="1"/>
  <c r="CY630" i="5"/>
  <c r="CX630" i="5"/>
  <c r="CU630" i="5"/>
  <c r="AX630" i="5"/>
  <c r="AW630" i="5" s="1"/>
  <c r="BH630" i="5"/>
  <c r="BI630" i="5" s="1"/>
  <c r="BJ630" i="5" s="1"/>
  <c r="BU630" i="5"/>
  <c r="AY629" i="5"/>
  <c r="AD630" i="5" l="1"/>
  <c r="AE630" i="5" s="1"/>
  <c r="BF629" i="5"/>
  <c r="CZ629" i="5"/>
  <c r="CT630" i="5"/>
  <c r="CV630" i="5"/>
  <c r="BX630" i="5"/>
  <c r="BW630" i="5" s="1"/>
  <c r="T630" i="5"/>
  <c r="U630" i="5" s="1"/>
  <c r="W630" i="5"/>
  <c r="DA630" i="5"/>
  <c r="DB630" i="5" s="1"/>
  <c r="BN630" i="5"/>
  <c r="BO630" i="5" s="1"/>
  <c r="BP630" i="5" s="1"/>
  <c r="G630" i="5" s="1"/>
  <c r="BT630" i="5"/>
  <c r="BV630" i="5"/>
  <c r="H629" i="5"/>
  <c r="I629" i="5"/>
  <c r="AP629" i="5" s="1"/>
  <c r="CH630" i="5"/>
  <c r="CK630" i="5"/>
  <c r="CJ630" i="5" s="1"/>
  <c r="CP630" i="5"/>
  <c r="CQ630" i="5" s="1"/>
  <c r="R630" i="5" s="1"/>
  <c r="S630" i="5" s="1"/>
  <c r="BY630" i="5"/>
  <c r="J630" i="5" s="1"/>
  <c r="BS631" i="5"/>
  <c r="K630" i="5" l="1"/>
  <c r="AH629" i="5"/>
  <c r="AT629" i="5"/>
  <c r="M629" i="5"/>
  <c r="AO629" i="5" s="1"/>
  <c r="AR629" i="5" s="1"/>
  <c r="P629" i="5"/>
  <c r="Q629" i="5" s="1"/>
  <c r="V629" i="5" s="1"/>
  <c r="CO630" i="5"/>
  <c r="F630" i="5" s="1"/>
  <c r="CN630" i="5"/>
  <c r="E630" i="5" s="1"/>
  <c r="AF630" i="5"/>
  <c r="AN630" i="5"/>
  <c r="BC630" i="5" l="1"/>
  <c r="BF630" i="5" s="1"/>
  <c r="C631" i="5"/>
  <c r="BU631" i="5" s="1"/>
  <c r="AG629" i="5"/>
  <c r="AJ629" i="5" s="1"/>
  <c r="N629" i="5"/>
  <c r="AS629" i="5"/>
  <c r="AV629" i="5" s="1"/>
  <c r="BD630" i="5" l="1"/>
  <c r="BE631" i="5" s="1"/>
  <c r="CZ630" i="5"/>
  <c r="CI631" i="5"/>
  <c r="CH631" i="5" s="1"/>
  <c r="BH631" i="5"/>
  <c r="BI631" i="5" s="1"/>
  <c r="BJ631" i="5" s="1"/>
  <c r="CU631" i="5"/>
  <c r="BX631" i="5" s="1"/>
  <c r="BG630" i="5"/>
  <c r="H630" i="5" s="1"/>
  <c r="CR631" i="5"/>
  <c r="AC631" i="5"/>
  <c r="CY631" i="5"/>
  <c r="D631" i="5"/>
  <c r="T631" i="5" s="1"/>
  <c r="U631" i="5" s="1"/>
  <c r="CL631" i="5"/>
  <c r="CM631" i="5" s="1"/>
  <c r="CX631" i="5"/>
  <c r="AK631" i="5"/>
  <c r="AM631" i="5" s="1"/>
  <c r="AL632" i="5" s="1"/>
  <c r="CW631" i="5"/>
  <c r="AX631" i="5"/>
  <c r="AW631" i="5" s="1"/>
  <c r="CS631" i="5"/>
  <c r="AB631" i="5"/>
  <c r="CP631" i="5" s="1"/>
  <c r="CQ631" i="5" s="1"/>
  <c r="R631" i="5" s="1"/>
  <c r="S631" i="5" s="1"/>
  <c r="BK631" i="5"/>
  <c r="BL631" i="5" s="1"/>
  <c r="BM631" i="5" s="1"/>
  <c r="X629" i="5"/>
  <c r="Y629" i="5" s="1"/>
  <c r="Z629" i="5" s="1"/>
  <c r="AA629" i="5" s="1"/>
  <c r="BV631" i="5"/>
  <c r="BT631" i="5"/>
  <c r="BS632" i="5"/>
  <c r="CK631" i="5" l="1"/>
  <c r="CJ631" i="5" s="1"/>
  <c r="AD631" i="5"/>
  <c r="AE631" i="5" s="1"/>
  <c r="I630" i="5"/>
  <c r="AP630" i="5" s="1"/>
  <c r="CT631" i="5"/>
  <c r="CV631" i="5"/>
  <c r="CO631" i="5" s="1"/>
  <c r="F631" i="5" s="1"/>
  <c r="W631" i="5"/>
  <c r="DA631" i="5"/>
  <c r="DB631" i="5" s="1"/>
  <c r="K631" i="5" s="1"/>
  <c r="BN631" i="5"/>
  <c r="BO631" i="5" s="1"/>
  <c r="BP631" i="5" s="1"/>
  <c r="G631" i="5" s="1"/>
  <c r="L631" i="5"/>
  <c r="M630" i="5"/>
  <c r="P630" i="5"/>
  <c r="BY631" i="5"/>
  <c r="J631" i="5" s="1"/>
  <c r="BW631" i="5"/>
  <c r="CN631" i="5" l="1"/>
  <c r="E631" i="5" s="1"/>
  <c r="BC631" i="5" s="1"/>
  <c r="BF631" i="5" s="1"/>
  <c r="AT630" i="5"/>
  <c r="AH630" i="5"/>
  <c r="AY630" i="5"/>
  <c r="Q630" i="5"/>
  <c r="V630" i="5" s="1"/>
  <c r="AG630" i="5"/>
  <c r="AJ630" i="5" s="1"/>
  <c r="AO630" i="5"/>
  <c r="AR630" i="5" s="1"/>
  <c r="AS630" i="5"/>
  <c r="AV630" i="5" s="1"/>
  <c r="N630" i="5"/>
  <c r="AF631" i="5"/>
  <c r="AN631" i="5"/>
  <c r="C632" i="5" l="1"/>
  <c r="AC632" i="5" s="1"/>
  <c r="CZ631" i="5"/>
  <c r="BD631" i="5"/>
  <c r="BE632" i="5" s="1"/>
  <c r="X630" i="5"/>
  <c r="Y630" i="5" s="1"/>
  <c r="Z630" i="5" s="1"/>
  <c r="AA630" i="5" s="1"/>
  <c r="BS633" i="5"/>
  <c r="BH632" i="5" l="1"/>
  <c r="BI632" i="5" s="1"/>
  <c r="BJ632" i="5" s="1"/>
  <c r="CR632" i="5"/>
  <c r="CU632" i="5"/>
  <c r="CV632" i="5" s="1"/>
  <c r="CX632" i="5"/>
  <c r="CL632" i="5"/>
  <c r="CM632" i="5" s="1"/>
  <c r="CS632" i="5"/>
  <c r="AK632" i="5"/>
  <c r="AM632" i="5" s="1"/>
  <c r="AL633" i="5" s="1"/>
  <c r="BU632" i="5"/>
  <c r="BT632" i="5" s="1"/>
  <c r="CY632" i="5"/>
  <c r="D632" i="5"/>
  <c r="T632" i="5" s="1"/>
  <c r="U632" i="5" s="1"/>
  <c r="CW632" i="5"/>
  <c r="AX632" i="5"/>
  <c r="AW632" i="5" s="1"/>
  <c r="CI632" i="5"/>
  <c r="CK632" i="5" s="1"/>
  <c r="CJ632" i="5" s="1"/>
  <c r="BG631" i="5"/>
  <c r="I631" i="5" s="1"/>
  <c r="AP631" i="5" s="1"/>
  <c r="AB632" i="5"/>
  <c r="DA632" i="5" s="1"/>
  <c r="DB632" i="5" s="1"/>
  <c r="AD632" i="5"/>
  <c r="AE632" i="5" s="1"/>
  <c r="BK632" i="5"/>
  <c r="BL632" i="5" s="1"/>
  <c r="BM632" i="5" s="1"/>
  <c r="BX632" i="5" l="1"/>
  <c r="CT632" i="5"/>
  <c r="BV632" i="5"/>
  <c r="W632" i="5"/>
  <c r="H631" i="5"/>
  <c r="P631" i="5" s="1"/>
  <c r="CH632" i="5"/>
  <c r="CP632" i="5"/>
  <c r="CQ632" i="5" s="1"/>
  <c r="R632" i="5" s="1"/>
  <c r="S632" i="5" s="1"/>
  <c r="BN632" i="5"/>
  <c r="BO632" i="5" s="1"/>
  <c r="BP632" i="5" s="1"/>
  <c r="G632" i="5" s="1"/>
  <c r="K632" i="5"/>
  <c r="L632" i="5"/>
  <c r="AT631" i="5"/>
  <c r="AH631" i="5"/>
  <c r="CN632" i="5"/>
  <c r="E632" i="5" s="1"/>
  <c r="CO632" i="5"/>
  <c r="F632" i="5" s="1"/>
  <c r="BW632" i="5"/>
  <c r="BY632" i="5"/>
  <c r="J632" i="5" s="1"/>
  <c r="M631" i="5" l="1"/>
  <c r="Q631" i="5"/>
  <c r="V631" i="5" s="1"/>
  <c r="AY631" i="5"/>
  <c r="AS631" i="5"/>
  <c r="AV631" i="5" s="1"/>
  <c r="AO631" i="5"/>
  <c r="AR631" i="5" s="1"/>
  <c r="BC632" i="5"/>
  <c r="BF632" i="5" s="1"/>
  <c r="N631" i="5"/>
  <c r="AG631" i="5"/>
  <c r="AJ631" i="5" s="1"/>
  <c r="AN632" i="5"/>
  <c r="AF632" i="5"/>
  <c r="C633" i="5"/>
  <c r="X631" i="5" l="1"/>
  <c r="Y631" i="5" s="1"/>
  <c r="Z631" i="5" s="1"/>
  <c r="AA631" i="5" s="1"/>
  <c r="BD632" i="5"/>
  <c r="BE633" i="5" s="1"/>
  <c r="CZ632" i="5"/>
  <c r="BU633" i="5"/>
  <c r="CL633" i="5"/>
  <c r="CM633" i="5" s="1"/>
  <c r="D633" i="5"/>
  <c r="AX633" i="5"/>
  <c r="AW633" i="5" s="1"/>
  <c r="BK633" i="5"/>
  <c r="BL633" i="5" s="1"/>
  <c r="BM633" i="5" s="1"/>
  <c r="CW633" i="5"/>
  <c r="CR633" i="5"/>
  <c r="AC633" i="5"/>
  <c r="AB633" i="5"/>
  <c r="BN633" i="5" s="1"/>
  <c r="BO633" i="5" s="1"/>
  <c r="BP633" i="5" s="1"/>
  <c r="CS633" i="5"/>
  <c r="CX633" i="5"/>
  <c r="BG632" i="5"/>
  <c r="AK633" i="5"/>
  <c r="AM633" i="5" s="1"/>
  <c r="AL634" i="5" s="1"/>
  <c r="BH633" i="5"/>
  <c r="BI633" i="5" s="1"/>
  <c r="BJ633" i="5" s="1"/>
  <c r="CY633" i="5"/>
  <c r="CI633" i="5"/>
  <c r="CU633" i="5"/>
  <c r="BS634" i="5"/>
  <c r="AD633" i="5" l="1"/>
  <c r="AE633" i="5" s="1"/>
  <c r="L633" i="5"/>
  <c r="DA633" i="5"/>
  <c r="DB633" i="5" s="1"/>
  <c r="G633" i="5"/>
  <c r="CV633" i="5"/>
  <c r="CT633" i="5"/>
  <c r="BX633" i="5"/>
  <c r="H632" i="5"/>
  <c r="I632" i="5"/>
  <c r="AT632" i="5" s="1"/>
  <c r="CK633" i="5"/>
  <c r="CJ633" i="5" s="1"/>
  <c r="CH633" i="5"/>
  <c r="W633" i="5"/>
  <c r="T633" i="5"/>
  <c r="U633" i="5" s="1"/>
  <c r="BT633" i="5"/>
  <c r="BV633" i="5"/>
  <c r="CP633" i="5"/>
  <c r="CQ633" i="5" s="1"/>
  <c r="R633" i="5" s="1"/>
  <c r="S633" i="5" s="1"/>
  <c r="K633" i="5" l="1"/>
  <c r="AP632" i="5"/>
  <c r="AH632" i="5"/>
  <c r="P632" i="5"/>
  <c r="M632" i="5"/>
  <c r="BY633" i="5"/>
  <c r="J633" i="5" s="1"/>
  <c r="AN633" i="5" s="1"/>
  <c r="BW633" i="5"/>
  <c r="CN633" i="5"/>
  <c r="E633" i="5" s="1"/>
  <c r="CO633" i="5"/>
  <c r="F633" i="5" s="1"/>
  <c r="Q632" i="5" l="1"/>
  <c r="V632" i="5" s="1"/>
  <c r="AY632" i="5"/>
  <c r="AF633" i="5"/>
  <c r="AS632" i="5"/>
  <c r="AV632" i="5" s="1"/>
  <c r="AO632" i="5"/>
  <c r="AR632" i="5" s="1"/>
  <c r="BC633" i="5"/>
  <c r="BF633" i="5" s="1"/>
  <c r="N632" i="5"/>
  <c r="AG632" i="5"/>
  <c r="AJ632" i="5" s="1"/>
  <c r="C634" i="5"/>
  <c r="X632" i="5" l="1"/>
  <c r="Y632" i="5" s="1"/>
  <c r="Z632" i="5" s="1"/>
  <c r="AA632" i="5" s="1"/>
  <c r="CZ633" i="5"/>
  <c r="BD633" i="5"/>
  <c r="BE634" i="5" s="1"/>
  <c r="BU634" i="5"/>
  <c r="AK634" i="5"/>
  <c r="AM634" i="5" s="1"/>
  <c r="AL635" i="5" s="1"/>
  <c r="CX634" i="5"/>
  <c r="AB634" i="5"/>
  <c r="CP634" i="5" s="1"/>
  <c r="CQ634" i="5" s="1"/>
  <c r="R634" i="5" s="1"/>
  <c r="S634" i="5" s="1"/>
  <c r="CR634" i="5"/>
  <c r="BG633" i="5"/>
  <c r="CL634" i="5"/>
  <c r="CM634" i="5" s="1"/>
  <c r="D634" i="5"/>
  <c r="CY634" i="5"/>
  <c r="AX634" i="5"/>
  <c r="AW634" i="5" s="1"/>
  <c r="BH634" i="5"/>
  <c r="BI634" i="5" s="1"/>
  <c r="BJ634" i="5" s="1"/>
  <c r="CS634" i="5"/>
  <c r="AC634" i="5"/>
  <c r="CW634" i="5"/>
  <c r="BK634" i="5"/>
  <c r="BL634" i="5" s="1"/>
  <c r="BM634" i="5" s="1"/>
  <c r="CI634" i="5"/>
  <c r="CU634" i="5"/>
  <c r="BS635" i="5"/>
  <c r="DA634" i="5" l="1"/>
  <c r="DB634" i="5" s="1"/>
  <c r="BN634" i="5"/>
  <c r="BO634" i="5" s="1"/>
  <c r="BP634" i="5" s="1"/>
  <c r="G634" i="5" s="1"/>
  <c r="W634" i="5"/>
  <c r="T634" i="5"/>
  <c r="U634" i="5" s="1"/>
  <c r="H633" i="5"/>
  <c r="I633" i="5"/>
  <c r="AP633" i="5" s="1"/>
  <c r="BX634" i="5"/>
  <c r="CT634" i="5"/>
  <c r="CV634" i="5"/>
  <c r="AD634" i="5"/>
  <c r="AE634" i="5" s="1"/>
  <c r="CK634" i="5"/>
  <c r="CJ634" i="5" s="1"/>
  <c r="CH634" i="5"/>
  <c r="L634" i="5"/>
  <c r="BV634" i="5"/>
  <c r="BT634" i="5"/>
  <c r="K634" i="5" l="1"/>
  <c r="AH633" i="5"/>
  <c r="AT633" i="5"/>
  <c r="CO634" i="5"/>
  <c r="F634" i="5" s="1"/>
  <c r="CN634" i="5"/>
  <c r="E634" i="5" s="1"/>
  <c r="BW634" i="5"/>
  <c r="BY634" i="5"/>
  <c r="J634" i="5" s="1"/>
  <c r="AN634" i="5" s="1"/>
  <c r="M633" i="5"/>
  <c r="P633" i="5"/>
  <c r="Q633" i="5" l="1"/>
  <c r="V633" i="5" s="1"/>
  <c r="AY633" i="5"/>
  <c r="BC634" i="5"/>
  <c r="CZ634" i="5" s="1"/>
  <c r="AF634" i="5"/>
  <c r="AS633" i="5"/>
  <c r="AV633" i="5" s="1"/>
  <c r="AO633" i="5"/>
  <c r="AR633" i="5" s="1"/>
  <c r="C635" i="5"/>
  <c r="AG633" i="5"/>
  <c r="AJ633" i="5" s="1"/>
  <c r="N633" i="5"/>
  <c r="BS636" i="5"/>
  <c r="BF634" i="5" l="1"/>
  <c r="BD634" i="5"/>
  <c r="BE635" i="5" s="1"/>
  <c r="X633" i="5"/>
  <c r="Y633" i="5" s="1"/>
  <c r="Z633" i="5" s="1"/>
  <c r="AA633" i="5" s="1"/>
  <c r="BU635" i="5"/>
  <c r="CW635" i="5"/>
  <c r="CY635" i="5"/>
  <c r="AK635" i="5"/>
  <c r="AM635" i="5" s="1"/>
  <c r="AL636" i="5" s="1"/>
  <c r="CS635" i="5"/>
  <c r="AB635" i="5"/>
  <c r="CP635" i="5" s="1"/>
  <c r="CQ635" i="5" s="1"/>
  <c r="R635" i="5" s="1"/>
  <c r="S635" i="5" s="1"/>
  <c r="CR635" i="5"/>
  <c r="AC635" i="5"/>
  <c r="BH635" i="5"/>
  <c r="BI635" i="5" s="1"/>
  <c r="BJ635" i="5" s="1"/>
  <c r="CX635" i="5"/>
  <c r="BG634" i="5"/>
  <c r="CL635" i="5"/>
  <c r="CM635" i="5" s="1"/>
  <c r="D635" i="5"/>
  <c r="BK635" i="5"/>
  <c r="BL635" i="5" s="1"/>
  <c r="BM635" i="5" s="1"/>
  <c r="AX635" i="5"/>
  <c r="AW635" i="5" s="1"/>
  <c r="CI635" i="5"/>
  <c r="CU635" i="5"/>
  <c r="AD635" i="5" l="1"/>
  <c r="AE635" i="5" s="1"/>
  <c r="L635" i="5"/>
  <c r="T635" i="5"/>
  <c r="U635" i="5" s="1"/>
  <c r="W635" i="5"/>
  <c r="CH635" i="5"/>
  <c r="CK635" i="5"/>
  <c r="CJ635" i="5" s="1"/>
  <c r="I634" i="5"/>
  <c r="H634" i="5"/>
  <c r="CT635" i="5"/>
  <c r="CV635" i="5"/>
  <c r="BX635" i="5"/>
  <c r="DA635" i="5"/>
  <c r="DB635" i="5" s="1"/>
  <c r="K635" i="5" s="1"/>
  <c r="BN635" i="5"/>
  <c r="BO635" i="5" s="1"/>
  <c r="BP635" i="5" s="1"/>
  <c r="G635" i="5" s="1"/>
  <c r="BT635" i="5"/>
  <c r="BV635" i="5"/>
  <c r="AD636" i="5" l="1"/>
  <c r="AH634" i="5"/>
  <c r="AT634" i="5"/>
  <c r="AP634" i="5"/>
  <c r="P634" i="5"/>
  <c r="M634" i="5"/>
  <c r="BY635" i="5"/>
  <c r="J635" i="5" s="1"/>
  <c r="AF635" i="5" s="1"/>
  <c r="BW635" i="5"/>
  <c r="CO635" i="5"/>
  <c r="F635" i="5" s="1"/>
  <c r="CN635" i="5"/>
  <c r="E635" i="5" s="1"/>
  <c r="Q634" i="5" l="1"/>
  <c r="V634" i="5" s="1"/>
  <c r="AY634" i="5"/>
  <c r="AN635" i="5"/>
  <c r="BC635" i="5"/>
  <c r="BF635" i="5" s="1"/>
  <c r="AS634" i="5"/>
  <c r="AV634" i="5" s="1"/>
  <c r="AO634" i="5"/>
  <c r="AR634" i="5" s="1"/>
  <c r="C636" i="5"/>
  <c r="CI636" i="5" s="1"/>
  <c r="CK636" i="5" s="1"/>
  <c r="CJ636" i="5" s="1"/>
  <c r="AG634" i="5"/>
  <c r="N634" i="5"/>
  <c r="BS637" i="5"/>
  <c r="BD635" i="5" l="1"/>
  <c r="BE636" i="5" s="1"/>
  <c r="CZ635" i="5"/>
  <c r="BG635" i="5"/>
  <c r="CU636" i="5"/>
  <c r="BX636" i="5" s="1"/>
  <c r="BU636" i="5"/>
  <c r="BV636" i="5" s="1"/>
  <c r="D636" i="5"/>
  <c r="W636" i="5" s="1"/>
  <c r="BH636" i="5"/>
  <c r="BI636" i="5" s="1"/>
  <c r="BJ636" i="5" s="1"/>
  <c r="CY636" i="5"/>
  <c r="CL636" i="5"/>
  <c r="CM636" i="5" s="1"/>
  <c r="AX636" i="5"/>
  <c r="AW636" i="5" s="1"/>
  <c r="AC636" i="5"/>
  <c r="AE636" i="5" s="1"/>
  <c r="CR636" i="5"/>
  <c r="AB636" i="5"/>
  <c r="CP636" i="5" s="1"/>
  <c r="CQ636" i="5" s="1"/>
  <c r="R636" i="5" s="1"/>
  <c r="S636" i="5" s="1"/>
  <c r="BK636" i="5"/>
  <c r="BL636" i="5" s="1"/>
  <c r="BM636" i="5" s="1"/>
  <c r="CX636" i="5"/>
  <c r="CS636" i="5"/>
  <c r="CH636" i="5"/>
  <c r="CW636" i="5"/>
  <c r="AK636" i="5"/>
  <c r="AM636" i="5" s="1"/>
  <c r="AL637" i="5" s="1"/>
  <c r="H635" i="5"/>
  <c r="I635" i="5"/>
  <c r="AP635" i="5" s="1"/>
  <c r="AJ634" i="5"/>
  <c r="X634" i="5" s="1"/>
  <c r="Y634" i="5" s="1"/>
  <c r="Z634" i="5" s="1"/>
  <c r="AA634" i="5" s="1"/>
  <c r="CV636" i="5" l="1"/>
  <c r="CT636" i="5"/>
  <c r="BT636" i="5"/>
  <c r="DA636" i="5"/>
  <c r="DB636" i="5" s="1"/>
  <c r="K636" i="5" s="1"/>
  <c r="T636" i="5"/>
  <c r="U636" i="5" s="1"/>
  <c r="AT635" i="5"/>
  <c r="AH635" i="5"/>
  <c r="L636" i="5"/>
  <c r="BN636" i="5"/>
  <c r="BO636" i="5" s="1"/>
  <c r="BP636" i="5" s="1"/>
  <c r="G636" i="5" s="1"/>
  <c r="BY636" i="5"/>
  <c r="J636" i="5" s="1"/>
  <c r="BW636" i="5"/>
  <c r="CO636" i="5"/>
  <c r="F636" i="5" s="1"/>
  <c r="CN636" i="5"/>
  <c r="E636" i="5" s="1"/>
  <c r="P635" i="5"/>
  <c r="M635" i="5"/>
  <c r="Q635" i="5" l="1"/>
  <c r="V635" i="5" s="1"/>
  <c r="AY635" i="5"/>
  <c r="BC636" i="5"/>
  <c r="BF636" i="5" s="1"/>
  <c r="AS635" i="5"/>
  <c r="AV635" i="5" s="1"/>
  <c r="AG635" i="5"/>
  <c r="AJ635" i="5" s="1"/>
  <c r="AF636" i="5"/>
  <c r="AN636" i="5"/>
  <c r="AO635" i="5"/>
  <c r="N635" i="5"/>
  <c r="C637" i="5"/>
  <c r="BS638" i="5"/>
  <c r="BD636" i="5" l="1"/>
  <c r="BE637" i="5" s="1"/>
  <c r="CZ636" i="5"/>
  <c r="BU637" i="5"/>
  <c r="CI637" i="5"/>
  <c r="AC637" i="5"/>
  <c r="CL637" i="5"/>
  <c r="CM637" i="5" s="1"/>
  <c r="AB637" i="5"/>
  <c r="BN637" i="5" s="1"/>
  <c r="BO637" i="5" s="1"/>
  <c r="BP637" i="5" s="1"/>
  <c r="CY637" i="5"/>
  <c r="AX637" i="5"/>
  <c r="AW637" i="5" s="1"/>
  <c r="CW637" i="5"/>
  <c r="D637" i="5"/>
  <c r="BH637" i="5"/>
  <c r="BI637" i="5" s="1"/>
  <c r="BJ637" i="5" s="1"/>
  <c r="BG636" i="5"/>
  <c r="CS637" i="5"/>
  <c r="CR637" i="5"/>
  <c r="CX637" i="5"/>
  <c r="BK637" i="5"/>
  <c r="BL637" i="5" s="1"/>
  <c r="BM637" i="5" s="1"/>
  <c r="AK637" i="5"/>
  <c r="CU637" i="5"/>
  <c r="AR635" i="5"/>
  <c r="X635" i="5" s="1"/>
  <c r="Y635" i="5" s="1"/>
  <c r="Z635" i="5" s="1"/>
  <c r="AA635" i="5" s="1"/>
  <c r="AD637" i="5" l="1"/>
  <c r="DA637" i="5"/>
  <c r="DB637" i="5" s="1"/>
  <c r="CP637" i="5"/>
  <c r="CQ637" i="5" s="1"/>
  <c r="R637" i="5" s="1"/>
  <c r="S637" i="5" s="1"/>
  <c r="AM637" i="5"/>
  <c r="AL638" i="5" s="1"/>
  <c r="CV637" i="5"/>
  <c r="CT637" i="5"/>
  <c r="BX637" i="5"/>
  <c r="H636" i="5"/>
  <c r="I636" i="5"/>
  <c r="AP636" i="5" s="1"/>
  <c r="G637" i="5"/>
  <c r="CH637" i="5"/>
  <c r="CK637" i="5"/>
  <c r="CJ637" i="5" s="1"/>
  <c r="L637" i="5"/>
  <c r="T637" i="5"/>
  <c r="U637" i="5" s="1"/>
  <c r="W637" i="5"/>
  <c r="BT637" i="5"/>
  <c r="BV637" i="5"/>
  <c r="K637" i="5" l="1"/>
  <c r="AE637" i="5"/>
  <c r="AT636" i="5"/>
  <c r="AH636" i="5"/>
  <c r="M636" i="5"/>
  <c r="AO636" i="5" s="1"/>
  <c r="AR636" i="5" s="1"/>
  <c r="P636" i="5"/>
  <c r="BW637" i="5"/>
  <c r="BY637" i="5"/>
  <c r="J637" i="5" s="1"/>
  <c r="AF637" i="5" s="1"/>
  <c r="CO637" i="5"/>
  <c r="F637" i="5" s="1"/>
  <c r="CN637" i="5"/>
  <c r="E637" i="5" s="1"/>
  <c r="BS639" i="5"/>
  <c r="BC637" i="5" l="1"/>
  <c r="BD637" i="5" s="1"/>
  <c r="BE638" i="5" s="1"/>
  <c r="Q636" i="5"/>
  <c r="V636" i="5" s="1"/>
  <c r="AY636" i="5"/>
  <c r="C638" i="5"/>
  <c r="AG636" i="5"/>
  <c r="AJ636" i="5" s="1"/>
  <c r="N636" i="5"/>
  <c r="AS636" i="5"/>
  <c r="AV636" i="5" s="1"/>
  <c r="AN637" i="5"/>
  <c r="BF637" i="5" l="1"/>
  <c r="CZ637" i="5"/>
  <c r="X636" i="5"/>
  <c r="Y636" i="5" s="1"/>
  <c r="Z636" i="5" s="1"/>
  <c r="AA636" i="5" s="1"/>
  <c r="CI638" i="5"/>
  <c r="AB638" i="5"/>
  <c r="DA638" i="5" s="1"/>
  <c r="DB638" i="5" s="1"/>
  <c r="BH638" i="5"/>
  <c r="BI638" i="5" s="1"/>
  <c r="BJ638" i="5" s="1"/>
  <c r="CY638" i="5"/>
  <c r="CR638" i="5"/>
  <c r="CW638" i="5"/>
  <c r="D638" i="5"/>
  <c r="BK638" i="5"/>
  <c r="BL638" i="5" s="1"/>
  <c r="BM638" i="5" s="1"/>
  <c r="AC638" i="5"/>
  <c r="AD638" i="5" s="1"/>
  <c r="CX638" i="5"/>
  <c r="AK638" i="5"/>
  <c r="AM638" i="5" s="1"/>
  <c r="AL639" i="5" s="1"/>
  <c r="CS638" i="5"/>
  <c r="CL638" i="5"/>
  <c r="CM638" i="5" s="1"/>
  <c r="BG637" i="5"/>
  <c r="AX638" i="5"/>
  <c r="AW638" i="5" s="1"/>
  <c r="BU638" i="5"/>
  <c r="CU638" i="5"/>
  <c r="BN638" i="5" l="1"/>
  <c r="BO638" i="5" s="1"/>
  <c r="BP638" i="5" s="1"/>
  <c r="G638" i="5" s="1"/>
  <c r="CP638" i="5"/>
  <c r="CQ638" i="5" s="1"/>
  <c r="R638" i="5" s="1"/>
  <c r="S638" i="5" s="1"/>
  <c r="L638" i="5"/>
  <c r="CV638" i="5"/>
  <c r="CT638" i="5"/>
  <c r="BX638" i="5"/>
  <c r="W638" i="5"/>
  <c r="T638" i="5"/>
  <c r="U638" i="5" s="1"/>
  <c r="I637" i="5"/>
  <c r="H637" i="5"/>
  <c r="BT638" i="5"/>
  <c r="BV638" i="5"/>
  <c r="AE638" i="5"/>
  <c r="CH638" i="5"/>
  <c r="CK638" i="5"/>
  <c r="CJ638" i="5" s="1"/>
  <c r="K638" i="5" s="1"/>
  <c r="AY638" i="5"/>
  <c r="BW638" i="5" l="1"/>
  <c r="BY638" i="5"/>
  <c r="J638" i="5" s="1"/>
  <c r="P637" i="5"/>
  <c r="M637" i="5"/>
  <c r="AH637" i="5"/>
  <c r="AT637" i="5"/>
  <c r="AP637" i="5"/>
  <c r="CO638" i="5"/>
  <c r="F638" i="5" s="1"/>
  <c r="CN638" i="5"/>
  <c r="E638" i="5" s="1"/>
  <c r="BS640" i="5"/>
  <c r="Q637" i="5" l="1"/>
  <c r="V637" i="5" s="1"/>
  <c r="AY637" i="5"/>
  <c r="C639" i="5"/>
  <c r="CI639" i="5" s="1"/>
  <c r="CH639" i="5" s="1"/>
  <c r="AN638" i="5"/>
  <c r="AF638" i="5"/>
  <c r="AG637" i="5"/>
  <c r="N637" i="5"/>
  <c r="AS637" i="5"/>
  <c r="AV637" i="5" s="1"/>
  <c r="AO637" i="5"/>
  <c r="AR637" i="5" s="1"/>
  <c r="BC638" i="5"/>
  <c r="BG638" i="5" l="1"/>
  <c r="CW639" i="5"/>
  <c r="D639" i="5"/>
  <c r="W639" i="5" s="1"/>
  <c r="CX639" i="5"/>
  <c r="BK639" i="5"/>
  <c r="BL639" i="5" s="1"/>
  <c r="BM639" i="5" s="1"/>
  <c r="CR639" i="5"/>
  <c r="CU639" i="5"/>
  <c r="CT639" i="5" s="1"/>
  <c r="AX639" i="5"/>
  <c r="AW639" i="5" s="1"/>
  <c r="CS639" i="5"/>
  <c r="BH639" i="5"/>
  <c r="BI639" i="5" s="1"/>
  <c r="BJ639" i="5" s="1"/>
  <c r="AB639" i="5"/>
  <c r="DA639" i="5" s="1"/>
  <c r="DB639" i="5" s="1"/>
  <c r="CY639" i="5"/>
  <c r="AC639" i="5"/>
  <c r="AD639" i="5" s="1"/>
  <c r="BU639" i="5"/>
  <c r="BV639" i="5" s="1"/>
  <c r="CL639" i="5"/>
  <c r="CM639" i="5" s="1"/>
  <c r="AK639" i="5"/>
  <c r="AM639" i="5" s="1"/>
  <c r="AL640" i="5" s="1"/>
  <c r="CK639" i="5"/>
  <c r="CJ639" i="5" s="1"/>
  <c r="AJ637" i="5"/>
  <c r="X637" i="5" s="1"/>
  <c r="Y637" i="5" s="1"/>
  <c r="Z637" i="5" s="1"/>
  <c r="AA637" i="5" s="1"/>
  <c r="BF638" i="5"/>
  <c r="BD638" i="5"/>
  <c r="BE639" i="5" s="1"/>
  <c r="CZ638" i="5"/>
  <c r="H638" i="5"/>
  <c r="I638" i="5"/>
  <c r="BN639" i="5" l="1"/>
  <c r="BO639" i="5" s="1"/>
  <c r="BP639" i="5" s="1"/>
  <c r="G639" i="5" s="1"/>
  <c r="BX639" i="5"/>
  <c r="AE639" i="5"/>
  <c r="T639" i="5"/>
  <c r="U639" i="5" s="1"/>
  <c r="K639" i="5"/>
  <c r="CV639" i="5"/>
  <c r="CN639" i="5" s="1"/>
  <c r="E639" i="5" s="1"/>
  <c r="BT639" i="5"/>
  <c r="CP639" i="5"/>
  <c r="CQ639" i="5" s="1"/>
  <c r="R639" i="5" s="1"/>
  <c r="S639" i="5" s="1"/>
  <c r="L639" i="5"/>
  <c r="AT638" i="5"/>
  <c r="AP638" i="5"/>
  <c r="AH638" i="5"/>
  <c r="BY639" i="5"/>
  <c r="J639" i="5" s="1"/>
  <c r="BW639" i="5"/>
  <c r="P638" i="5"/>
  <c r="Q638" i="5" s="1"/>
  <c r="V638" i="5" s="1"/>
  <c r="M638" i="5"/>
  <c r="BS641" i="5"/>
  <c r="CO639" i="5" l="1"/>
  <c r="F639" i="5" s="1"/>
  <c r="C640" i="5" s="1"/>
  <c r="CW640" i="5" s="1"/>
  <c r="AN639" i="5"/>
  <c r="AS638" i="5"/>
  <c r="AV638" i="5" s="1"/>
  <c r="AO638" i="5"/>
  <c r="AR638" i="5" s="1"/>
  <c r="N638" i="5"/>
  <c r="AG638" i="5"/>
  <c r="AJ638" i="5" s="1"/>
  <c r="AF639" i="5"/>
  <c r="BC639" i="5" l="1"/>
  <c r="BG639" i="5"/>
  <c r="H639" i="5" s="1"/>
  <c r="BU640" i="5"/>
  <c r="AK640" i="5"/>
  <c r="AM640" i="5" s="1"/>
  <c r="AL641" i="5" s="1"/>
  <c r="D640" i="5"/>
  <c r="W640" i="5" s="1"/>
  <c r="CI640" i="5"/>
  <c r="CH640" i="5" s="1"/>
  <c r="AX640" i="5"/>
  <c r="AW640" i="5" s="1"/>
  <c r="BH640" i="5"/>
  <c r="BI640" i="5" s="1"/>
  <c r="BJ640" i="5" s="1"/>
  <c r="CX640" i="5"/>
  <c r="CL640" i="5"/>
  <c r="CM640" i="5" s="1"/>
  <c r="AC640" i="5"/>
  <c r="CS640" i="5"/>
  <c r="CU640" i="5"/>
  <c r="BX640" i="5" s="1"/>
  <c r="BY640" i="5" s="1"/>
  <c r="CR640" i="5"/>
  <c r="X638" i="5"/>
  <c r="Y638" i="5" s="1"/>
  <c r="Z638" i="5" s="1"/>
  <c r="AA638" i="5" s="1"/>
  <c r="AB640" i="5"/>
  <c r="L640" i="5" s="1"/>
  <c r="BK640" i="5"/>
  <c r="BL640" i="5" s="1"/>
  <c r="BM640" i="5" s="1"/>
  <c r="CY640" i="5"/>
  <c r="BF639" i="5"/>
  <c r="CZ639" i="5"/>
  <c r="BD639" i="5"/>
  <c r="BE640" i="5" s="1"/>
  <c r="BT640" i="5"/>
  <c r="BV640" i="5"/>
  <c r="CK640" i="5" l="1"/>
  <c r="CJ640" i="5" s="1"/>
  <c r="I639" i="5"/>
  <c r="AP639" i="5" s="1"/>
  <c r="AD640" i="5"/>
  <c r="AE640" i="5" s="1"/>
  <c r="T640" i="5"/>
  <c r="U640" i="5" s="1"/>
  <c r="CT640" i="5"/>
  <c r="BW640" i="5"/>
  <c r="CV640" i="5"/>
  <c r="CO640" i="5" s="1"/>
  <c r="F640" i="5" s="1"/>
  <c r="DA640" i="5"/>
  <c r="DB640" i="5" s="1"/>
  <c r="K640" i="5" s="1"/>
  <c r="CP640" i="5"/>
  <c r="CQ640" i="5" s="1"/>
  <c r="R640" i="5" s="1"/>
  <c r="S640" i="5" s="1"/>
  <c r="BN640" i="5"/>
  <c r="BO640" i="5" s="1"/>
  <c r="BP640" i="5" s="1"/>
  <c r="G640" i="5" s="1"/>
  <c r="AF640" i="5" s="1"/>
  <c r="AT639" i="5"/>
  <c r="J640" i="5"/>
  <c r="P639" i="5"/>
  <c r="M639" i="5"/>
  <c r="CN640" i="5"/>
  <c r="E640" i="5" s="1"/>
  <c r="AY640" i="5"/>
  <c r="AH639" i="5" l="1"/>
  <c r="AN640" i="5"/>
  <c r="BC640" i="5"/>
  <c r="CZ640" i="5" s="1"/>
  <c r="AS639" i="5"/>
  <c r="AV639" i="5" s="1"/>
  <c r="AO639" i="5"/>
  <c r="AR639" i="5" s="1"/>
  <c r="Q639" i="5"/>
  <c r="V639" i="5" s="1"/>
  <c r="AY639" i="5"/>
  <c r="N639" i="5"/>
  <c r="AG639" i="5"/>
  <c r="C641" i="5"/>
  <c r="BS642" i="5"/>
  <c r="BD640" i="5" l="1"/>
  <c r="BE641" i="5" s="1"/>
  <c r="BF640" i="5"/>
  <c r="AJ639" i="5"/>
  <c r="X639" i="5" s="1"/>
  <c r="Y639" i="5" s="1"/>
  <c r="Z639" i="5" s="1"/>
  <c r="AA639" i="5" s="1"/>
  <c r="BU641" i="5"/>
  <c r="BH641" i="5"/>
  <c r="BI641" i="5" s="1"/>
  <c r="BJ641" i="5" s="1"/>
  <c r="CL641" i="5"/>
  <c r="CM641" i="5" s="1"/>
  <c r="AC641" i="5"/>
  <c r="CW641" i="5"/>
  <c r="AK641" i="5"/>
  <c r="AM641" i="5" s="1"/>
  <c r="AL642" i="5" s="1"/>
  <c r="AB641" i="5"/>
  <c r="L641" i="5" s="1"/>
  <c r="CX641" i="5"/>
  <c r="D641" i="5"/>
  <c r="CY641" i="5"/>
  <c r="CR641" i="5"/>
  <c r="BK641" i="5"/>
  <c r="BL641" i="5" s="1"/>
  <c r="BM641" i="5" s="1"/>
  <c r="CS641" i="5"/>
  <c r="BG640" i="5"/>
  <c r="AX641" i="5"/>
  <c r="AW641" i="5" s="1"/>
  <c r="CI641" i="5"/>
  <c r="CU641" i="5"/>
  <c r="AD641" i="5" l="1"/>
  <c r="AE641" i="5" s="1"/>
  <c r="CP641" i="5"/>
  <c r="CQ641" i="5" s="1"/>
  <c r="R641" i="5" s="1"/>
  <c r="S641" i="5" s="1"/>
  <c r="DA641" i="5"/>
  <c r="DB641" i="5" s="1"/>
  <c r="BN641" i="5"/>
  <c r="BO641" i="5" s="1"/>
  <c r="BP641" i="5" s="1"/>
  <c r="G641" i="5" s="1"/>
  <c r="CK641" i="5"/>
  <c r="CJ641" i="5" s="1"/>
  <c r="CH641" i="5"/>
  <c r="BX641" i="5"/>
  <c r="CV641" i="5"/>
  <c r="CT641" i="5"/>
  <c r="T641" i="5"/>
  <c r="U641" i="5" s="1"/>
  <c r="W641" i="5"/>
  <c r="BT641" i="5"/>
  <c r="BV641" i="5"/>
  <c r="H640" i="5"/>
  <c r="I640" i="5"/>
  <c r="AP640" i="5" s="1"/>
  <c r="K641" i="5" l="1"/>
  <c r="AH640" i="5"/>
  <c r="AT640" i="5"/>
  <c r="P640" i="5"/>
  <c r="Q640" i="5" s="1"/>
  <c r="V640" i="5" s="1"/>
  <c r="M640" i="5"/>
  <c r="CN641" i="5"/>
  <c r="E641" i="5" s="1"/>
  <c r="CO641" i="5"/>
  <c r="F641" i="5" s="1"/>
  <c r="BY641" i="5"/>
  <c r="J641" i="5" s="1"/>
  <c r="AN641" i="5" s="1"/>
  <c r="BW641" i="5"/>
  <c r="BS643" i="5"/>
  <c r="AF641" i="5" l="1"/>
  <c r="AO640" i="5"/>
  <c r="AR640" i="5" s="1"/>
  <c r="AG640" i="5"/>
  <c r="AJ640" i="5" s="1"/>
  <c r="BC641" i="5"/>
  <c r="BF641" i="5" s="1"/>
  <c r="N640" i="5"/>
  <c r="AS640" i="5"/>
  <c r="AV640" i="5" s="1"/>
  <c r="C642" i="5"/>
  <c r="X640" i="5" l="1"/>
  <c r="Y640" i="5" s="1"/>
  <c r="Z640" i="5" s="1"/>
  <c r="AA640" i="5" s="1"/>
  <c r="CZ641" i="5"/>
  <c r="BD641" i="5"/>
  <c r="BE642" i="5" s="1"/>
  <c r="BU642" i="5"/>
  <c r="CR642" i="5"/>
  <c r="CX642" i="5"/>
  <c r="CL642" i="5"/>
  <c r="CM642" i="5" s="1"/>
  <c r="D642" i="5"/>
  <c r="CS642" i="5"/>
  <c r="AK642" i="5"/>
  <c r="CY642" i="5"/>
  <c r="CW642" i="5"/>
  <c r="BH642" i="5"/>
  <c r="BI642" i="5" s="1"/>
  <c r="BJ642" i="5" s="1"/>
  <c r="AB642" i="5"/>
  <c r="L642" i="5" s="1"/>
  <c r="AC642" i="5"/>
  <c r="BK642" i="5"/>
  <c r="BL642" i="5" s="1"/>
  <c r="BM642" i="5" s="1"/>
  <c r="BG641" i="5"/>
  <c r="AX642" i="5"/>
  <c r="AW642" i="5" s="1"/>
  <c r="CU642" i="5"/>
  <c r="CI642" i="5"/>
  <c r="AD642" i="5" l="1"/>
  <c r="AE642" i="5" s="1"/>
  <c r="CP642" i="5"/>
  <c r="CQ642" i="5" s="1"/>
  <c r="R642" i="5" s="1"/>
  <c r="S642" i="5" s="1"/>
  <c r="DA642" i="5"/>
  <c r="DB642" i="5" s="1"/>
  <c r="BN642" i="5"/>
  <c r="BO642" i="5" s="1"/>
  <c r="BP642" i="5" s="1"/>
  <c r="G642" i="5" s="1"/>
  <c r="CH642" i="5"/>
  <c r="CK642" i="5"/>
  <c r="CJ642" i="5" s="1"/>
  <c r="AM642" i="5"/>
  <c r="AL643" i="5" s="1"/>
  <c r="CV642" i="5"/>
  <c r="CT642" i="5"/>
  <c r="BX642" i="5"/>
  <c r="T642" i="5"/>
  <c r="U642" i="5" s="1"/>
  <c r="W642" i="5"/>
  <c r="I641" i="5"/>
  <c r="H641" i="5"/>
  <c r="BV642" i="5"/>
  <c r="BT642" i="5"/>
  <c r="BS644" i="5"/>
  <c r="K642" i="5" l="1"/>
  <c r="AH641" i="5"/>
  <c r="AT641" i="5"/>
  <c r="AP641" i="5"/>
  <c r="BW642" i="5"/>
  <c r="BY642" i="5"/>
  <c r="J642" i="5" s="1"/>
  <c r="AF642" i="5" s="1"/>
  <c r="CN642" i="5"/>
  <c r="E642" i="5" s="1"/>
  <c r="CO642" i="5"/>
  <c r="F642" i="5" s="1"/>
  <c r="M641" i="5"/>
  <c r="P641" i="5"/>
  <c r="Q641" i="5" l="1"/>
  <c r="V641" i="5" s="1"/>
  <c r="AY641" i="5"/>
  <c r="AN642" i="5"/>
  <c r="C643" i="5"/>
  <c r="CY643" i="5" s="1"/>
  <c r="BC642" i="5"/>
  <c r="BF642" i="5" s="1"/>
  <c r="AS641" i="5"/>
  <c r="AV641" i="5" s="1"/>
  <c r="AO641" i="5"/>
  <c r="AG641" i="5"/>
  <c r="AJ641" i="5" s="1"/>
  <c r="N641" i="5"/>
  <c r="BG642" i="5" l="1"/>
  <c r="I642" i="5" s="1"/>
  <c r="AH642" i="5" s="1"/>
  <c r="CZ642" i="5"/>
  <c r="BK643" i="5"/>
  <c r="BL643" i="5" s="1"/>
  <c r="BM643" i="5" s="1"/>
  <c r="CL643" i="5"/>
  <c r="CM643" i="5" s="1"/>
  <c r="CU643" i="5"/>
  <c r="BX643" i="5" s="1"/>
  <c r="BY643" i="5" s="1"/>
  <c r="CS643" i="5"/>
  <c r="AX643" i="5"/>
  <c r="AW643" i="5" s="1"/>
  <c r="BU643" i="5"/>
  <c r="BT643" i="5" s="1"/>
  <c r="AB643" i="5"/>
  <c r="L643" i="5" s="1"/>
  <c r="BD642" i="5"/>
  <c r="BE643" i="5" s="1"/>
  <c r="CI643" i="5"/>
  <c r="CH643" i="5" s="1"/>
  <c r="BH643" i="5"/>
  <c r="BI643" i="5" s="1"/>
  <c r="BJ643" i="5" s="1"/>
  <c r="CW643" i="5"/>
  <c r="D643" i="5"/>
  <c r="W643" i="5" s="1"/>
  <c r="AK643" i="5"/>
  <c r="AM643" i="5" s="1"/>
  <c r="AL644" i="5" s="1"/>
  <c r="CR643" i="5"/>
  <c r="AC643" i="5"/>
  <c r="CX643" i="5"/>
  <c r="AR641" i="5"/>
  <c r="X641" i="5" s="1"/>
  <c r="Y641" i="5" s="1"/>
  <c r="Z641" i="5" s="1"/>
  <c r="AA641" i="5" s="1"/>
  <c r="AD643" i="5" l="1"/>
  <c r="AE643" i="5" s="1"/>
  <c r="H642" i="5"/>
  <c r="BW643" i="5"/>
  <c r="BN643" i="5"/>
  <c r="BO643" i="5" s="1"/>
  <c r="BP643" i="5" s="1"/>
  <c r="G643" i="5" s="1"/>
  <c r="DA643" i="5"/>
  <c r="DB643" i="5" s="1"/>
  <c r="K643" i="5" s="1"/>
  <c r="CK643" i="5"/>
  <c r="CJ643" i="5" s="1"/>
  <c r="BV643" i="5"/>
  <c r="J643" i="5" s="1"/>
  <c r="CT643" i="5"/>
  <c r="CV643" i="5"/>
  <c r="CO643" i="5" s="1"/>
  <c r="F643" i="5" s="1"/>
  <c r="T643" i="5"/>
  <c r="U643" i="5" s="1"/>
  <c r="CP643" i="5"/>
  <c r="CQ643" i="5" s="1"/>
  <c r="R643" i="5" s="1"/>
  <c r="S643" i="5" s="1"/>
  <c r="AP642" i="5"/>
  <c r="AT642" i="5"/>
  <c r="M642" i="5"/>
  <c r="P642" i="5"/>
  <c r="BS645" i="5"/>
  <c r="AN643" i="5" l="1"/>
  <c r="CN643" i="5"/>
  <c r="E643" i="5" s="1"/>
  <c r="C644" i="5" s="1"/>
  <c r="AG642" i="5"/>
  <c r="AJ642" i="5" s="1"/>
  <c r="AO642" i="5"/>
  <c r="AR642" i="5" s="1"/>
  <c r="Q642" i="5"/>
  <c r="V642" i="5" s="1"/>
  <c r="AY642" i="5"/>
  <c r="AF643" i="5"/>
  <c r="N642" i="5"/>
  <c r="AS642" i="5"/>
  <c r="AV642" i="5" s="1"/>
  <c r="X642" i="5" l="1"/>
  <c r="Y642" i="5" s="1"/>
  <c r="Z642" i="5" s="1"/>
  <c r="AA642" i="5" s="1"/>
  <c r="BC643" i="5"/>
  <c r="BF643" i="5" s="1"/>
  <c r="BU644" i="5"/>
  <c r="AK644" i="5"/>
  <c r="BH644" i="5"/>
  <c r="BI644" i="5" s="1"/>
  <c r="BJ644" i="5" s="1"/>
  <c r="AC644" i="5"/>
  <c r="CL644" i="5"/>
  <c r="CM644" i="5" s="1"/>
  <c r="BK644" i="5"/>
  <c r="BL644" i="5" s="1"/>
  <c r="BM644" i="5" s="1"/>
  <c r="D644" i="5"/>
  <c r="AB644" i="5"/>
  <c r="CP644" i="5" s="1"/>
  <c r="CQ644" i="5" s="1"/>
  <c r="R644" i="5" s="1"/>
  <c r="S644" i="5" s="1"/>
  <c r="CX644" i="5"/>
  <c r="CS644" i="5"/>
  <c r="CY644" i="5"/>
  <c r="CR644" i="5"/>
  <c r="CW644" i="5"/>
  <c r="BG643" i="5"/>
  <c r="AX644" i="5"/>
  <c r="AW644" i="5" s="1"/>
  <c r="CU644" i="5"/>
  <c r="CI644" i="5"/>
  <c r="BD643" i="5" l="1"/>
  <c r="BE644" i="5" s="1"/>
  <c r="CZ643" i="5"/>
  <c r="BN644" i="5"/>
  <c r="BO644" i="5" s="1"/>
  <c r="BP644" i="5" s="1"/>
  <c r="G644" i="5" s="1"/>
  <c r="W644" i="5"/>
  <c r="T644" i="5"/>
  <c r="U644" i="5" s="1"/>
  <c r="CK644" i="5"/>
  <c r="CJ644" i="5" s="1"/>
  <c r="CH644" i="5"/>
  <c r="L644" i="5"/>
  <c r="AD644" i="5"/>
  <c r="DA644" i="5"/>
  <c r="DB644" i="5" s="1"/>
  <c r="BX644" i="5"/>
  <c r="CV644" i="5"/>
  <c r="CT644" i="5"/>
  <c r="H643" i="5"/>
  <c r="I643" i="5"/>
  <c r="AP643" i="5" s="1"/>
  <c r="AM644" i="5"/>
  <c r="AL645" i="5" s="1"/>
  <c r="BT644" i="5"/>
  <c r="BV644" i="5"/>
  <c r="AY644" i="5"/>
  <c r="K644" i="5" l="1"/>
  <c r="AT643" i="5"/>
  <c r="AH643" i="5"/>
  <c r="CN644" i="5"/>
  <c r="E644" i="5" s="1"/>
  <c r="CO644" i="5"/>
  <c r="F644" i="5" s="1"/>
  <c r="M643" i="5"/>
  <c r="AO643" i="5" s="1"/>
  <c r="AR643" i="5" s="1"/>
  <c r="P643" i="5"/>
  <c r="BY644" i="5"/>
  <c r="J644" i="5" s="1"/>
  <c r="BW644" i="5"/>
  <c r="AE644" i="5"/>
  <c r="BS646" i="5"/>
  <c r="Q643" i="5" l="1"/>
  <c r="V643" i="5" s="1"/>
  <c r="AY643" i="5"/>
  <c r="BC644" i="5"/>
  <c r="CZ644" i="5" s="1"/>
  <c r="AN644" i="5"/>
  <c r="AF644" i="5"/>
  <c r="C645" i="5"/>
  <c r="CI645" i="5" s="1"/>
  <c r="CH645" i="5" s="1"/>
  <c r="AG643" i="5"/>
  <c r="N643" i="5"/>
  <c r="AS643" i="5"/>
  <c r="AV643" i="5" s="1"/>
  <c r="BU645" i="5" l="1"/>
  <c r="CU645" i="5"/>
  <c r="BX645" i="5" s="1"/>
  <c r="BF644" i="5"/>
  <c r="BD644" i="5"/>
  <c r="BE645" i="5" s="1"/>
  <c r="CW645" i="5"/>
  <c r="AX645" i="5"/>
  <c r="AW645" i="5" s="1"/>
  <c r="BG644" i="5"/>
  <c r="H644" i="5" s="1"/>
  <c r="CL645" i="5"/>
  <c r="CM645" i="5" s="1"/>
  <c r="D645" i="5"/>
  <c r="W645" i="5" s="1"/>
  <c r="CR645" i="5"/>
  <c r="BH645" i="5"/>
  <c r="BI645" i="5" s="1"/>
  <c r="BJ645" i="5" s="1"/>
  <c r="CS645" i="5"/>
  <c r="CX645" i="5"/>
  <c r="AK645" i="5"/>
  <c r="AM645" i="5" s="1"/>
  <c r="AL646" i="5" s="1"/>
  <c r="AC645" i="5"/>
  <c r="AD645" i="5" s="1"/>
  <c r="BK645" i="5"/>
  <c r="BL645" i="5" s="1"/>
  <c r="BM645" i="5" s="1"/>
  <c r="AJ643" i="5"/>
  <c r="X643" i="5" s="1"/>
  <c r="Y643" i="5" s="1"/>
  <c r="Z643" i="5" s="1"/>
  <c r="AA643" i="5" s="1"/>
  <c r="CK645" i="5"/>
  <c r="CJ645" i="5" s="1"/>
  <c r="CY645" i="5"/>
  <c r="AB645" i="5"/>
  <c r="DA645" i="5" s="1"/>
  <c r="DB645" i="5" s="1"/>
  <c r="BV645" i="5"/>
  <c r="BT645" i="5"/>
  <c r="T645" i="5"/>
  <c r="U645" i="5" s="1"/>
  <c r="K645" i="5" l="1"/>
  <c r="CT645" i="5"/>
  <c r="CV645" i="5"/>
  <c r="CO645" i="5" s="1"/>
  <c r="F645" i="5" s="1"/>
  <c r="I644" i="5"/>
  <c r="AH644" i="5" s="1"/>
  <c r="AE645" i="5"/>
  <c r="AD646" i="5" s="1"/>
  <c r="BN645" i="5"/>
  <c r="BO645" i="5" s="1"/>
  <c r="BP645" i="5" s="1"/>
  <c r="G645" i="5" s="1"/>
  <c r="AF645" i="5" s="1"/>
  <c r="CP645" i="5"/>
  <c r="CQ645" i="5" s="1"/>
  <c r="R645" i="5" s="1"/>
  <c r="S645" i="5" s="1"/>
  <c r="L645" i="5"/>
  <c r="P644" i="5"/>
  <c r="M644" i="5"/>
  <c r="AG644" i="5" s="1"/>
  <c r="CN645" i="5"/>
  <c r="E645" i="5" s="1"/>
  <c r="AT644" i="5"/>
  <c r="BY645" i="5"/>
  <c r="J645" i="5" s="1"/>
  <c r="BW645" i="5"/>
  <c r="AP644" i="5" l="1"/>
  <c r="BC645" i="5"/>
  <c r="BD645" i="5" s="1"/>
  <c r="BE646" i="5" s="1"/>
  <c r="AN645" i="5"/>
  <c r="C646" i="5"/>
  <c r="N644" i="5"/>
  <c r="AS644" i="5"/>
  <c r="AV644" i="5" s="1"/>
  <c r="AO644" i="5"/>
  <c r="AR644" i="5" s="1"/>
  <c r="AJ644" i="5"/>
  <c r="BB644" i="5"/>
  <c r="Q644" i="5"/>
  <c r="V644" i="5" s="1"/>
  <c r="BS647" i="5"/>
  <c r="CZ645" i="5" l="1"/>
  <c r="BF645" i="5"/>
  <c r="X644" i="5"/>
  <c r="Y644" i="5" s="1"/>
  <c r="Z644" i="5" s="1"/>
  <c r="AA644" i="5" s="1"/>
  <c r="BU646" i="5"/>
  <c r="CL646" i="5"/>
  <c r="CM646" i="5" s="1"/>
  <c r="CS646" i="5"/>
  <c r="D646" i="5"/>
  <c r="AC646" i="5"/>
  <c r="CX646" i="5"/>
  <c r="BH646" i="5"/>
  <c r="BI646" i="5" s="1"/>
  <c r="BJ646" i="5" s="1"/>
  <c r="AB646" i="5"/>
  <c r="BN646" i="5" s="1"/>
  <c r="BO646" i="5" s="1"/>
  <c r="BP646" i="5" s="1"/>
  <c r="AK646" i="5"/>
  <c r="CR646" i="5"/>
  <c r="CY646" i="5"/>
  <c r="CW646" i="5"/>
  <c r="BK646" i="5"/>
  <c r="BL646" i="5" s="1"/>
  <c r="BM646" i="5" s="1"/>
  <c r="BG645" i="5"/>
  <c r="CI646" i="5"/>
  <c r="AX646" i="5"/>
  <c r="AW646" i="5" s="1"/>
  <c r="CU646" i="5"/>
  <c r="CP646" i="5" l="1"/>
  <c r="CQ646" i="5" s="1"/>
  <c r="R646" i="5" s="1"/>
  <c r="S646" i="5" s="1"/>
  <c r="L646" i="5"/>
  <c r="G646" i="5"/>
  <c r="AE646" i="5"/>
  <c r="AD647" i="5" s="1"/>
  <c r="BX646" i="5"/>
  <c r="CV646" i="5"/>
  <c r="CT646" i="5"/>
  <c r="W646" i="5"/>
  <c r="T646" i="5"/>
  <c r="U646" i="5" s="1"/>
  <c r="CH646" i="5"/>
  <c r="CK646" i="5"/>
  <c r="CJ646" i="5" s="1"/>
  <c r="H645" i="5"/>
  <c r="I645" i="5"/>
  <c r="AH645" i="5" s="1"/>
  <c r="DA646" i="5"/>
  <c r="DB646" i="5" s="1"/>
  <c r="AM646" i="5"/>
  <c r="AL647" i="5" s="1"/>
  <c r="BT646" i="5"/>
  <c r="BV646" i="5"/>
  <c r="AT645" i="5" l="1"/>
  <c r="AP645" i="5"/>
  <c r="CO646" i="5"/>
  <c r="F646" i="5" s="1"/>
  <c r="CN646" i="5"/>
  <c r="E646" i="5" s="1"/>
  <c r="BW646" i="5"/>
  <c r="BY646" i="5"/>
  <c r="J646" i="5" s="1"/>
  <c r="P645" i="5"/>
  <c r="M645" i="5"/>
  <c r="K646" i="5"/>
  <c r="BS648" i="5"/>
  <c r="AY646" i="5"/>
  <c r="BC646" i="5" l="1"/>
  <c r="BF646" i="5" s="1"/>
  <c r="AO645" i="5"/>
  <c r="AG645" i="5"/>
  <c r="AJ645" i="5" s="1"/>
  <c r="AN646" i="5"/>
  <c r="AF646" i="5"/>
  <c r="Q645" i="5"/>
  <c r="V645" i="5" s="1"/>
  <c r="AY645" i="5"/>
  <c r="AR645" i="5"/>
  <c r="C647" i="5"/>
  <c r="AB647" i="5" s="1"/>
  <c r="N645" i="5"/>
  <c r="AS645" i="5"/>
  <c r="AV645" i="5" s="1"/>
  <c r="BD646" i="5" l="1"/>
  <c r="BE647" i="5" s="1"/>
  <c r="CZ646" i="5"/>
  <c r="X645" i="5"/>
  <c r="Y645" i="5" s="1"/>
  <c r="Z645" i="5" s="1"/>
  <c r="AA645" i="5" s="1"/>
  <c r="CU647" i="5"/>
  <c r="BX647" i="5" s="1"/>
  <c r="BG646" i="5"/>
  <c r="H646" i="5" s="1"/>
  <c r="AX647" i="5"/>
  <c r="AW647" i="5" s="1"/>
  <c r="CR647" i="5"/>
  <c r="BU647" i="5"/>
  <c r="BV647" i="5" s="1"/>
  <c r="D647" i="5"/>
  <c r="T647" i="5" s="1"/>
  <c r="U647" i="5" s="1"/>
  <c r="CX647" i="5"/>
  <c r="CS647" i="5"/>
  <c r="BK647" i="5"/>
  <c r="BL647" i="5" s="1"/>
  <c r="BM647" i="5" s="1"/>
  <c r="BH647" i="5"/>
  <c r="BI647" i="5" s="1"/>
  <c r="BJ647" i="5" s="1"/>
  <c r="CY647" i="5"/>
  <c r="CI647" i="5"/>
  <c r="CK647" i="5" s="1"/>
  <c r="CJ647" i="5" s="1"/>
  <c r="CW647" i="5"/>
  <c r="AK647" i="5"/>
  <c r="AM647" i="5" s="1"/>
  <c r="AL648" i="5" s="1"/>
  <c r="L647" i="5"/>
  <c r="DA647" i="5"/>
  <c r="DB647" i="5" s="1"/>
  <c r="CP647" i="5"/>
  <c r="CQ647" i="5" s="1"/>
  <c r="R647" i="5" s="1"/>
  <c r="S647" i="5" s="1"/>
  <c r="BN647" i="5"/>
  <c r="BO647" i="5" s="1"/>
  <c r="BP647" i="5" s="1"/>
  <c r="AC647" i="5"/>
  <c r="AE647" i="5" s="1"/>
  <c r="CL647" i="5"/>
  <c r="CM647" i="5" s="1"/>
  <c r="CT647" i="5"/>
  <c r="CV647" i="5" l="1"/>
  <c r="I646" i="5"/>
  <c r="AH646" i="5" s="1"/>
  <c r="BT647" i="5"/>
  <c r="W647" i="5"/>
  <c r="G647" i="5"/>
  <c r="CH647" i="5"/>
  <c r="K647" i="5"/>
  <c r="CN647" i="5"/>
  <c r="E647" i="5" s="1"/>
  <c r="CO647" i="5"/>
  <c r="F647" i="5" s="1"/>
  <c r="AP646" i="5"/>
  <c r="BY647" i="5"/>
  <c r="J647" i="5" s="1"/>
  <c r="BW647" i="5"/>
  <c r="M646" i="5"/>
  <c r="AG646" i="5" s="1"/>
  <c r="AJ646" i="5" s="1"/>
  <c r="P646" i="5"/>
  <c r="Q646" i="5" s="1"/>
  <c r="V646" i="5" s="1"/>
  <c r="AT646" i="5" l="1"/>
  <c r="AN647" i="5"/>
  <c r="AF647" i="5"/>
  <c r="C648" i="5"/>
  <c r="CU648" i="5" s="1"/>
  <c r="CT648" i="5" s="1"/>
  <c r="BC647" i="5"/>
  <c r="N646" i="5"/>
  <c r="AS646" i="5"/>
  <c r="AV646" i="5" s="1"/>
  <c r="AO646" i="5"/>
  <c r="BS649" i="5"/>
  <c r="BG647" i="5" l="1"/>
  <c r="H647" i="5" s="1"/>
  <c r="CR648" i="5"/>
  <c r="BH648" i="5"/>
  <c r="BI648" i="5" s="1"/>
  <c r="BJ648" i="5" s="1"/>
  <c r="CL648" i="5"/>
  <c r="CM648" i="5" s="1"/>
  <c r="BX648" i="5"/>
  <c r="BK648" i="5"/>
  <c r="BL648" i="5" s="1"/>
  <c r="BM648" i="5" s="1"/>
  <c r="BU648" i="5"/>
  <c r="BV648" i="5" s="1"/>
  <c r="CW648" i="5"/>
  <c r="AB648" i="5"/>
  <c r="DA648" i="5" s="1"/>
  <c r="DB648" i="5" s="1"/>
  <c r="CS648" i="5"/>
  <c r="CI648" i="5"/>
  <c r="CK648" i="5" s="1"/>
  <c r="CJ648" i="5" s="1"/>
  <c r="CY648" i="5"/>
  <c r="CX648" i="5"/>
  <c r="AK648" i="5"/>
  <c r="AM648" i="5" s="1"/>
  <c r="AL649" i="5" s="1"/>
  <c r="D648" i="5"/>
  <c r="T648" i="5" s="1"/>
  <c r="U648" i="5" s="1"/>
  <c r="AX648" i="5"/>
  <c r="AW648" i="5" s="1"/>
  <c r="AC648" i="5"/>
  <c r="CV648" i="5"/>
  <c r="CZ647" i="5"/>
  <c r="BD647" i="5"/>
  <c r="BE648" i="5" s="1"/>
  <c r="BF647" i="5"/>
  <c r="BY648" i="5"/>
  <c r="BW648" i="5"/>
  <c r="CH648" i="5"/>
  <c r="AR646" i="5"/>
  <c r="X646" i="5" s="1"/>
  <c r="Y646" i="5" s="1"/>
  <c r="Z646" i="5" s="1"/>
  <c r="AA646" i="5" s="1"/>
  <c r="AD648" i="5"/>
  <c r="CN648" i="5" l="1"/>
  <c r="I647" i="5"/>
  <c r="AH647" i="5" s="1"/>
  <c r="BT648" i="5"/>
  <c r="BN648" i="5"/>
  <c r="BO648" i="5" s="1"/>
  <c r="BP648" i="5" s="1"/>
  <c r="G648" i="5" s="1"/>
  <c r="L648" i="5"/>
  <c r="CO648" i="5"/>
  <c r="F648" i="5" s="1"/>
  <c r="CP648" i="5"/>
  <c r="CQ648" i="5" s="1"/>
  <c r="R648" i="5" s="1"/>
  <c r="S648" i="5" s="1"/>
  <c r="W648" i="5"/>
  <c r="AE648" i="5"/>
  <c r="AD649" i="5" s="1"/>
  <c r="E648" i="5"/>
  <c r="K648" i="5"/>
  <c r="AT647" i="5"/>
  <c r="AP647" i="5"/>
  <c r="J648" i="5"/>
  <c r="P647" i="5"/>
  <c r="M647" i="5"/>
  <c r="Q647" i="5" l="1"/>
  <c r="V647" i="5" s="1"/>
  <c r="AY647" i="5"/>
  <c r="C649" i="5"/>
  <c r="CI649" i="5" s="1"/>
  <c r="CH649" i="5" s="1"/>
  <c r="AN648" i="5"/>
  <c r="BC648" i="5"/>
  <c r="BF648" i="5" s="1"/>
  <c r="AF648" i="5"/>
  <c r="AO647" i="5"/>
  <c r="AR647" i="5" s="1"/>
  <c r="AG647" i="5"/>
  <c r="AJ647" i="5" s="1"/>
  <c r="AS647" i="5"/>
  <c r="AV647" i="5" s="1"/>
  <c r="N647" i="5"/>
  <c r="AX649" i="5" l="1"/>
  <c r="AW649" i="5" s="1"/>
  <c r="BH649" i="5"/>
  <c r="BI649" i="5" s="1"/>
  <c r="BJ649" i="5" s="1"/>
  <c r="BG648" i="5"/>
  <c r="H648" i="5" s="1"/>
  <c r="M648" i="5" s="1"/>
  <c r="AG648" i="5" s="1"/>
  <c r="D649" i="5"/>
  <c r="T649" i="5" s="1"/>
  <c r="U649" i="5" s="1"/>
  <c r="CR649" i="5"/>
  <c r="CX649" i="5"/>
  <c r="CU649" i="5"/>
  <c r="CV649" i="5" s="1"/>
  <c r="AB649" i="5"/>
  <c r="L649" i="5" s="1"/>
  <c r="AK649" i="5"/>
  <c r="AM649" i="5" s="1"/>
  <c r="AL650" i="5" s="1"/>
  <c r="AC649" i="5"/>
  <c r="AE649" i="5" s="1"/>
  <c r="BU649" i="5"/>
  <c r="BV649" i="5" s="1"/>
  <c r="CY649" i="5"/>
  <c r="CL649" i="5"/>
  <c r="CM649" i="5" s="1"/>
  <c r="X647" i="5"/>
  <c r="Y647" i="5" s="1"/>
  <c r="Z647" i="5" s="1"/>
  <c r="AA647" i="5" s="1"/>
  <c r="CK649" i="5"/>
  <c r="CJ649" i="5" s="1"/>
  <c r="CW649" i="5"/>
  <c r="BK649" i="5"/>
  <c r="BL649" i="5" s="1"/>
  <c r="BM649" i="5" s="1"/>
  <c r="CS649" i="5"/>
  <c r="BD648" i="5"/>
  <c r="BE649" i="5" s="1"/>
  <c r="CZ648" i="5"/>
  <c r="I648" i="5"/>
  <c r="AH648" i="5" s="1"/>
  <c r="BS650" i="5"/>
  <c r="CN649" i="5" l="1"/>
  <c r="E649" i="5" s="1"/>
  <c r="W649" i="5"/>
  <c r="CT649" i="5"/>
  <c r="BX649" i="5"/>
  <c r="BW649" i="5" s="1"/>
  <c r="P648" i="5"/>
  <c r="Q648" i="5" s="1"/>
  <c r="V648" i="5" s="1"/>
  <c r="BN649" i="5"/>
  <c r="BO649" i="5" s="1"/>
  <c r="BP649" i="5" s="1"/>
  <c r="G649" i="5" s="1"/>
  <c r="DA649" i="5"/>
  <c r="DB649" i="5" s="1"/>
  <c r="K649" i="5" s="1"/>
  <c r="CP649" i="5"/>
  <c r="CQ649" i="5" s="1"/>
  <c r="R649" i="5" s="1"/>
  <c r="S649" i="5" s="1"/>
  <c r="BT649" i="5"/>
  <c r="CO649" i="5"/>
  <c r="F649" i="5" s="1"/>
  <c r="AP648" i="5"/>
  <c r="AT648" i="5"/>
  <c r="BY649" i="5"/>
  <c r="J649" i="5" s="1"/>
  <c r="AJ648" i="5"/>
  <c r="AY648" i="5"/>
  <c r="AO648" i="5"/>
  <c r="AR648" i="5" s="1"/>
  <c r="N648" i="5"/>
  <c r="AS648" i="5"/>
  <c r="AD650" i="5"/>
  <c r="AN649" i="5" l="1"/>
  <c r="C650" i="5"/>
  <c r="CX650" i="5" s="1"/>
  <c r="AV648" i="5"/>
  <c r="X648" i="5" s="1"/>
  <c r="Y648" i="5" s="1"/>
  <c r="Z648" i="5" s="1"/>
  <c r="AA648" i="5" s="1"/>
  <c r="BC649" i="5"/>
  <c r="CZ649" i="5" s="1"/>
  <c r="AF649" i="5"/>
  <c r="CL650" i="5" l="1"/>
  <c r="CM650" i="5" s="1"/>
  <c r="CS650" i="5"/>
  <c r="BU650" i="5"/>
  <c r="D650" i="5"/>
  <c r="W650" i="5" s="1"/>
  <c r="CR650" i="5"/>
  <c r="BG649" i="5"/>
  <c r="H649" i="5" s="1"/>
  <c r="BK650" i="5"/>
  <c r="BL650" i="5" s="1"/>
  <c r="BM650" i="5" s="1"/>
  <c r="BH650" i="5"/>
  <c r="BI650" i="5" s="1"/>
  <c r="BJ650" i="5" s="1"/>
  <c r="CY650" i="5"/>
  <c r="CU650" i="5"/>
  <c r="CT650" i="5" s="1"/>
  <c r="AK650" i="5"/>
  <c r="AM650" i="5" s="1"/>
  <c r="AL651" i="5" s="1"/>
  <c r="AC650" i="5"/>
  <c r="AE650" i="5" s="1"/>
  <c r="CW650" i="5"/>
  <c r="AB650" i="5"/>
  <c r="DA650" i="5" s="1"/>
  <c r="DB650" i="5" s="1"/>
  <c r="CI650" i="5"/>
  <c r="CH650" i="5" s="1"/>
  <c r="AX650" i="5"/>
  <c r="AW650" i="5" s="1"/>
  <c r="BD649" i="5"/>
  <c r="BE650" i="5" s="1"/>
  <c r="BF649" i="5"/>
  <c r="BT650" i="5"/>
  <c r="BV650" i="5"/>
  <c r="T650" i="5" l="1"/>
  <c r="U650" i="5" s="1"/>
  <c r="I649" i="5"/>
  <c r="AH649" i="5" s="1"/>
  <c r="BX650" i="5"/>
  <c r="BY650" i="5" s="1"/>
  <c r="J650" i="5" s="1"/>
  <c r="CV650" i="5"/>
  <c r="BN650" i="5"/>
  <c r="BO650" i="5" s="1"/>
  <c r="BP650" i="5" s="1"/>
  <c r="G650" i="5" s="1"/>
  <c r="CK650" i="5"/>
  <c r="CJ650" i="5" s="1"/>
  <c r="CP650" i="5"/>
  <c r="CQ650" i="5" s="1"/>
  <c r="R650" i="5" s="1"/>
  <c r="S650" i="5" s="1"/>
  <c r="L650" i="5"/>
  <c r="K650" i="5"/>
  <c r="CN650" i="5"/>
  <c r="E650" i="5" s="1"/>
  <c r="CO650" i="5"/>
  <c r="F650" i="5" s="1"/>
  <c r="AP649" i="5"/>
  <c r="AT649" i="5"/>
  <c r="P649" i="5"/>
  <c r="M649" i="5"/>
  <c r="AG649" i="5" s="1"/>
  <c r="AJ649" i="5" s="1"/>
  <c r="BS651" i="5"/>
  <c r="BW650" i="5" l="1"/>
  <c r="AN650" i="5"/>
  <c r="AF650" i="5"/>
  <c r="Q649" i="5"/>
  <c r="V649" i="5" s="1"/>
  <c r="AY649" i="5"/>
  <c r="BC650" i="5"/>
  <c r="CZ650" i="5" s="1"/>
  <c r="AO649" i="5"/>
  <c r="AR649" i="5" s="1"/>
  <c r="AS649" i="5"/>
  <c r="AV649" i="5" s="1"/>
  <c r="N649" i="5"/>
  <c r="C651" i="5"/>
  <c r="AD651" i="5"/>
  <c r="X649" i="5" l="1"/>
  <c r="Y649" i="5" s="1"/>
  <c r="Z649" i="5" s="1"/>
  <c r="AA649" i="5" s="1"/>
  <c r="BF650" i="5"/>
  <c r="BD650" i="5"/>
  <c r="BE651" i="5" s="1"/>
  <c r="BU651" i="5"/>
  <c r="D651" i="5"/>
  <c r="CY651" i="5"/>
  <c r="CL651" i="5"/>
  <c r="CM651" i="5" s="1"/>
  <c r="BH651" i="5"/>
  <c r="BI651" i="5" s="1"/>
  <c r="BJ651" i="5" s="1"/>
  <c r="BG650" i="5"/>
  <c r="CU651" i="5"/>
  <c r="AB651" i="5"/>
  <c r="L651" i="5" s="1"/>
  <c r="BK651" i="5"/>
  <c r="BL651" i="5" s="1"/>
  <c r="BM651" i="5" s="1"/>
  <c r="AC651" i="5"/>
  <c r="AE651" i="5" s="1"/>
  <c r="AK651" i="5"/>
  <c r="AM651" i="5" s="1"/>
  <c r="AL652" i="5" s="1"/>
  <c r="CX651" i="5"/>
  <c r="AX651" i="5"/>
  <c r="AW651" i="5" s="1"/>
  <c r="CW651" i="5"/>
  <c r="CR651" i="5"/>
  <c r="CI651" i="5"/>
  <c r="CS651" i="5"/>
  <c r="DA651" i="5" l="1"/>
  <c r="DB651" i="5" s="1"/>
  <c r="CT651" i="5"/>
  <c r="BX651" i="5"/>
  <c r="CV651" i="5"/>
  <c r="H650" i="5"/>
  <c r="I650" i="5"/>
  <c r="AP650" i="5" s="1"/>
  <c r="CH651" i="5"/>
  <c r="CK651" i="5"/>
  <c r="CJ651" i="5" s="1"/>
  <c r="BN651" i="5"/>
  <c r="BO651" i="5" s="1"/>
  <c r="BP651" i="5" s="1"/>
  <c r="G651" i="5" s="1"/>
  <c r="CP651" i="5"/>
  <c r="CQ651" i="5" s="1"/>
  <c r="R651" i="5" s="1"/>
  <c r="S651" i="5" s="1"/>
  <c r="T651" i="5"/>
  <c r="U651" i="5" s="1"/>
  <c r="W651" i="5"/>
  <c r="BV651" i="5"/>
  <c r="BT651" i="5"/>
  <c r="BS652" i="5"/>
  <c r="K651" i="5" l="1"/>
  <c r="AH650" i="5"/>
  <c r="AT650" i="5"/>
  <c r="M650" i="5"/>
  <c r="P650" i="5"/>
  <c r="CO651" i="5"/>
  <c r="F651" i="5" s="1"/>
  <c r="CN651" i="5"/>
  <c r="E651" i="5" s="1"/>
  <c r="BY651" i="5"/>
  <c r="J651" i="5" s="1"/>
  <c r="BW651" i="5"/>
  <c r="AS650" i="5" l="1"/>
  <c r="AV650" i="5" s="1"/>
  <c r="AO650" i="5"/>
  <c r="AR650" i="5" s="1"/>
  <c r="BC651" i="5"/>
  <c r="CZ651" i="5" s="1"/>
  <c r="C652" i="5"/>
  <c r="AY650" i="5"/>
  <c r="Q650" i="5"/>
  <c r="V650" i="5" s="1"/>
  <c r="AG650" i="5"/>
  <c r="AJ650" i="5" s="1"/>
  <c r="N650" i="5"/>
  <c r="AN651" i="5"/>
  <c r="AF651" i="5"/>
  <c r="X650" i="5" l="1"/>
  <c r="BF651" i="5"/>
  <c r="BD651" i="5"/>
  <c r="BE652" i="5" s="1"/>
  <c r="Y650" i="5"/>
  <c r="Z650" i="5" s="1"/>
  <c r="AA650" i="5" s="1"/>
  <c r="CI652" i="5"/>
  <c r="BG651" i="5"/>
  <c r="CR652" i="5"/>
  <c r="AB652" i="5"/>
  <c r="BK652" i="5"/>
  <c r="BL652" i="5" s="1"/>
  <c r="BM652" i="5" s="1"/>
  <c r="AX652" i="5"/>
  <c r="AW652" i="5" s="1"/>
  <c r="AC652" i="5"/>
  <c r="CW652" i="5"/>
  <c r="CY652" i="5"/>
  <c r="D652" i="5"/>
  <c r="CX652" i="5"/>
  <c r="CL652" i="5"/>
  <c r="CM652" i="5" s="1"/>
  <c r="BU652" i="5"/>
  <c r="CU652" i="5"/>
  <c r="AK652" i="5"/>
  <c r="AM652" i="5" s="1"/>
  <c r="AL653" i="5" s="1"/>
  <c r="CS652" i="5"/>
  <c r="BH652" i="5"/>
  <c r="BI652" i="5" s="1"/>
  <c r="BJ652" i="5" s="1"/>
  <c r="BS653" i="5"/>
  <c r="AD652" i="5" l="1"/>
  <c r="AE652" i="5" s="1"/>
  <c r="BT652" i="5"/>
  <c r="BV652" i="5"/>
  <c r="BN652" i="5"/>
  <c r="BO652" i="5" s="1"/>
  <c r="BP652" i="5" s="1"/>
  <c r="G652" i="5" s="1"/>
  <c r="DA652" i="5"/>
  <c r="DB652" i="5" s="1"/>
  <c r="H651" i="5"/>
  <c r="I651" i="5"/>
  <c r="AP651" i="5" s="1"/>
  <c r="CV652" i="5"/>
  <c r="CT652" i="5"/>
  <c r="BX652" i="5"/>
  <c r="CH652" i="5"/>
  <c r="CK652" i="5"/>
  <c r="CJ652" i="5" s="1"/>
  <c r="CP652" i="5"/>
  <c r="CQ652" i="5" s="1"/>
  <c r="R652" i="5" s="1"/>
  <c r="S652" i="5" s="1"/>
  <c r="T652" i="5"/>
  <c r="U652" i="5" s="1"/>
  <c r="W652" i="5"/>
  <c r="L652" i="5"/>
  <c r="K652" i="5" l="1"/>
  <c r="AH651" i="5"/>
  <c r="AT651" i="5"/>
  <c r="CO652" i="5"/>
  <c r="F652" i="5" s="1"/>
  <c r="CN652" i="5"/>
  <c r="E652" i="5" s="1"/>
  <c r="P651" i="5"/>
  <c r="M651" i="5"/>
  <c r="BY652" i="5"/>
  <c r="J652" i="5" s="1"/>
  <c r="AN652" i="5" s="1"/>
  <c r="BW652" i="5"/>
  <c r="AF652" i="5" l="1"/>
  <c r="BC652" i="5"/>
  <c r="BD652" i="5" s="1"/>
  <c r="BE653" i="5" s="1"/>
  <c r="AS651" i="5"/>
  <c r="AV651" i="5" s="1"/>
  <c r="AO651" i="5"/>
  <c r="AR651" i="5" s="1"/>
  <c r="N651" i="5"/>
  <c r="AG651" i="5"/>
  <c r="C653" i="5"/>
  <c r="AK653" i="5" s="1"/>
  <c r="AM653" i="5" s="1"/>
  <c r="AL654" i="5" s="1"/>
  <c r="AY651" i="5"/>
  <c r="Q651" i="5"/>
  <c r="V651" i="5" s="1"/>
  <c r="BF652" i="5" l="1"/>
  <c r="CZ652" i="5"/>
  <c r="CR653" i="5"/>
  <c r="CS653" i="5"/>
  <c r="BU653" i="5"/>
  <c r="BV653" i="5" s="1"/>
  <c r="AB653" i="5"/>
  <c r="BN653" i="5" s="1"/>
  <c r="BO653" i="5" s="1"/>
  <c r="BP653" i="5" s="1"/>
  <c r="CW653" i="5"/>
  <c r="AX653" i="5"/>
  <c r="AW653" i="5" s="1"/>
  <c r="AC653" i="5"/>
  <c r="BH653" i="5"/>
  <c r="BI653" i="5" s="1"/>
  <c r="BJ653" i="5" s="1"/>
  <c r="AJ651" i="5"/>
  <c r="X651" i="5" s="1"/>
  <c r="Y651" i="5" s="1"/>
  <c r="Z651" i="5" s="1"/>
  <c r="AA651" i="5" s="1"/>
  <c r="CU653" i="5"/>
  <c r="CT653" i="5" s="1"/>
  <c r="BG652" i="5"/>
  <c r="H652" i="5" s="1"/>
  <c r="CL653" i="5"/>
  <c r="CM653" i="5" s="1"/>
  <c r="CX653" i="5"/>
  <c r="CY653" i="5"/>
  <c r="CI653" i="5"/>
  <c r="CK653" i="5" s="1"/>
  <c r="CJ653" i="5" s="1"/>
  <c r="D653" i="5"/>
  <c r="T653" i="5" s="1"/>
  <c r="U653" i="5" s="1"/>
  <c r="BK653" i="5"/>
  <c r="BL653" i="5" s="1"/>
  <c r="BM653" i="5" s="1"/>
  <c r="BS654" i="5"/>
  <c r="AD653" i="5" l="1"/>
  <c r="AE653" i="5" s="1"/>
  <c r="BT653" i="5"/>
  <c r="CP653" i="5"/>
  <c r="CQ653" i="5" s="1"/>
  <c r="R653" i="5" s="1"/>
  <c r="S653" i="5" s="1"/>
  <c r="DA653" i="5"/>
  <c r="DB653" i="5" s="1"/>
  <c r="K653" i="5" s="1"/>
  <c r="L653" i="5"/>
  <c r="G653" i="5"/>
  <c r="CH653" i="5"/>
  <c r="I652" i="5"/>
  <c r="AT652" i="5" s="1"/>
  <c r="BX653" i="5"/>
  <c r="BW653" i="5" s="1"/>
  <c r="CV653" i="5"/>
  <c r="CO653" i="5" s="1"/>
  <c r="F653" i="5" s="1"/>
  <c r="W653" i="5"/>
  <c r="M652" i="5"/>
  <c r="AG652" i="5" s="1"/>
  <c r="P652" i="5"/>
  <c r="AY652" i="5" s="1"/>
  <c r="AP652" i="5" l="1"/>
  <c r="AH652" i="5"/>
  <c r="AJ652" i="5" s="1"/>
  <c r="Q652" i="5"/>
  <c r="V652" i="5" s="1"/>
  <c r="CN653" i="5"/>
  <c r="E653" i="5" s="1"/>
  <c r="C654" i="5" s="1"/>
  <c r="BY653" i="5"/>
  <c r="J653" i="5" s="1"/>
  <c r="N652" i="5"/>
  <c r="AS652" i="5"/>
  <c r="AV652" i="5" s="1"/>
  <c r="AO652" i="5"/>
  <c r="AR652" i="5" s="1"/>
  <c r="X652" i="5" l="1"/>
  <c r="Y652" i="5" s="1"/>
  <c r="Z652" i="5" s="1"/>
  <c r="AA652" i="5" s="1"/>
  <c r="AN653" i="5"/>
  <c r="AF653" i="5"/>
  <c r="BU654" i="5"/>
  <c r="BG653" i="5"/>
  <c r="I653" i="5" s="1"/>
  <c r="AP653" i="5" s="1"/>
  <c r="BC653" i="5"/>
  <c r="BD653" i="5" s="1"/>
  <c r="BE654" i="5" s="1"/>
  <c r="CL654" i="5"/>
  <c r="CM654" i="5" s="1"/>
  <c r="CY654" i="5"/>
  <c r="D654" i="5"/>
  <c r="T654" i="5" s="1"/>
  <c r="U654" i="5" s="1"/>
  <c r="CX654" i="5"/>
  <c r="BH654" i="5"/>
  <c r="BI654" i="5" s="1"/>
  <c r="BJ654" i="5" s="1"/>
  <c r="CU654" i="5"/>
  <c r="CT654" i="5" s="1"/>
  <c r="AB654" i="5"/>
  <c r="BN654" i="5" s="1"/>
  <c r="BO654" i="5" s="1"/>
  <c r="BP654" i="5" s="1"/>
  <c r="G654" i="5" s="1"/>
  <c r="AX654" i="5"/>
  <c r="AW654" i="5" s="1"/>
  <c r="BK654" i="5"/>
  <c r="BL654" i="5" s="1"/>
  <c r="BM654" i="5" s="1"/>
  <c r="AK654" i="5"/>
  <c r="AM654" i="5" s="1"/>
  <c r="AL655" i="5" s="1"/>
  <c r="CR654" i="5"/>
  <c r="CI654" i="5"/>
  <c r="CH654" i="5" s="1"/>
  <c r="CW654" i="5"/>
  <c r="AC654" i="5"/>
  <c r="CS654" i="5"/>
  <c r="BV654" i="5"/>
  <c r="BT654" i="5"/>
  <c r="H653" i="5" l="1"/>
  <c r="AD654" i="5"/>
  <c r="AE654" i="5" s="1"/>
  <c r="W654" i="5"/>
  <c r="BF653" i="5"/>
  <c r="CP654" i="5"/>
  <c r="CQ654" i="5" s="1"/>
  <c r="R654" i="5" s="1"/>
  <c r="S654" i="5" s="1"/>
  <c r="CZ653" i="5"/>
  <c r="BX654" i="5"/>
  <c r="BW654" i="5" s="1"/>
  <c r="CK654" i="5"/>
  <c r="CJ654" i="5" s="1"/>
  <c r="DA654" i="5"/>
  <c r="DB654" i="5" s="1"/>
  <c r="K654" i="5" s="1"/>
  <c r="CV654" i="5"/>
  <c r="CO654" i="5" s="1"/>
  <c r="F654" i="5" s="1"/>
  <c r="L654" i="5"/>
  <c r="AH653" i="5"/>
  <c r="AT653" i="5"/>
  <c r="M653" i="5"/>
  <c r="AO653" i="5" s="1"/>
  <c r="AR653" i="5" s="1"/>
  <c r="P653" i="5"/>
  <c r="BS655" i="5"/>
  <c r="BY654" i="5" l="1"/>
  <c r="J654" i="5" s="1"/>
  <c r="CN654" i="5"/>
  <c r="E654" i="5" s="1"/>
  <c r="BC654" i="5" s="1"/>
  <c r="BF654" i="5" s="1"/>
  <c r="AG653" i="5"/>
  <c r="AJ653" i="5" s="1"/>
  <c r="N653" i="5"/>
  <c r="AS653" i="5"/>
  <c r="AV653" i="5" s="1"/>
  <c r="AY653" i="5"/>
  <c r="Q653" i="5"/>
  <c r="V653" i="5" s="1"/>
  <c r="AN654" i="5"/>
  <c r="AF654" i="5"/>
  <c r="C655" i="5" l="1"/>
  <c r="AB655" i="5" s="1"/>
  <c r="CZ654" i="5"/>
  <c r="BD654" i="5"/>
  <c r="BE655" i="5" s="1"/>
  <c r="X653" i="5"/>
  <c r="Y653" i="5" s="1"/>
  <c r="Z653" i="5" s="1"/>
  <c r="AA653" i="5" s="1"/>
  <c r="BG654" i="5"/>
  <c r="BU655" i="5" l="1"/>
  <c r="BK655" i="5"/>
  <c r="BL655" i="5" s="1"/>
  <c r="BM655" i="5" s="1"/>
  <c r="D655" i="5"/>
  <c r="CW655" i="5"/>
  <c r="AC655" i="5"/>
  <c r="AD655" i="5" s="1"/>
  <c r="AE655" i="5" s="1"/>
  <c r="AX655" i="5"/>
  <c r="AW655" i="5" s="1"/>
  <c r="CY655" i="5"/>
  <c r="CU655" i="5"/>
  <c r="BX655" i="5" s="1"/>
  <c r="BH655" i="5"/>
  <c r="BI655" i="5" s="1"/>
  <c r="BJ655" i="5" s="1"/>
  <c r="CL655" i="5"/>
  <c r="CM655" i="5" s="1"/>
  <c r="CI655" i="5"/>
  <c r="CH655" i="5" s="1"/>
  <c r="CS655" i="5"/>
  <c r="CX655" i="5"/>
  <c r="AK655" i="5"/>
  <c r="AM655" i="5" s="1"/>
  <c r="AL656" i="5" s="1"/>
  <c r="CR655" i="5"/>
  <c r="H654" i="5"/>
  <c r="I654" i="5"/>
  <c r="AH654" i="5" s="1"/>
  <c r="CP655" i="5"/>
  <c r="CQ655" i="5" s="1"/>
  <c r="R655" i="5" s="1"/>
  <c r="S655" i="5" s="1"/>
  <c r="L655" i="5"/>
  <c r="BN655" i="5"/>
  <c r="BO655" i="5" s="1"/>
  <c r="BP655" i="5" s="1"/>
  <c r="DA655" i="5"/>
  <c r="DB655" i="5" s="1"/>
  <c r="W655" i="5"/>
  <c r="T655" i="5"/>
  <c r="U655" i="5" s="1"/>
  <c r="BV655" i="5"/>
  <c r="BT655" i="5"/>
  <c r="BS656" i="5"/>
  <c r="G655" i="5" l="1"/>
  <c r="CK655" i="5"/>
  <c r="CJ655" i="5" s="1"/>
  <c r="CV655" i="5"/>
  <c r="CO655" i="5" s="1"/>
  <c r="F655" i="5" s="1"/>
  <c r="CT655" i="5"/>
  <c r="K655" i="5"/>
  <c r="AT654" i="5"/>
  <c r="AP654" i="5"/>
  <c r="CN655" i="5"/>
  <c r="E655" i="5" s="1"/>
  <c r="P654" i="5"/>
  <c r="M654" i="5"/>
  <c r="BY655" i="5"/>
  <c r="J655" i="5" s="1"/>
  <c r="BW655" i="5"/>
  <c r="Q654" i="5" l="1"/>
  <c r="V654" i="5" s="1"/>
  <c r="AY654" i="5"/>
  <c r="AO654" i="5"/>
  <c r="AR654" i="5" s="1"/>
  <c r="AG654" i="5"/>
  <c r="AJ654" i="5" s="1"/>
  <c r="BC655" i="5"/>
  <c r="BD655" i="5" s="1"/>
  <c r="BE656" i="5" s="1"/>
  <c r="C656" i="5"/>
  <c r="CY656" i="5" s="1"/>
  <c r="N654" i="5"/>
  <c r="AS654" i="5"/>
  <c r="AV654" i="5" s="1"/>
  <c r="X654" i="5" s="1"/>
  <c r="AF655" i="5"/>
  <c r="AN655" i="5"/>
  <c r="Y654" i="5" l="1"/>
  <c r="Z654" i="5" s="1"/>
  <c r="AA654" i="5" s="1"/>
  <c r="CL656" i="5"/>
  <c r="CM656" i="5" s="1"/>
  <c r="BU656" i="5"/>
  <c r="BV656" i="5" s="1"/>
  <c r="BF655" i="5"/>
  <c r="BK656" i="5"/>
  <c r="BL656" i="5" s="1"/>
  <c r="BM656" i="5" s="1"/>
  <c r="CI656" i="5"/>
  <c r="CH656" i="5" s="1"/>
  <c r="AB656" i="5"/>
  <c r="L656" i="5" s="1"/>
  <c r="CW656" i="5"/>
  <c r="CS656" i="5"/>
  <c r="BH656" i="5"/>
  <c r="BI656" i="5" s="1"/>
  <c r="BJ656" i="5" s="1"/>
  <c r="BG655" i="5"/>
  <c r="I655" i="5" s="1"/>
  <c r="AT655" i="5" s="1"/>
  <c r="AX656" i="5"/>
  <c r="AW656" i="5" s="1"/>
  <c r="D656" i="5"/>
  <c r="T656" i="5" s="1"/>
  <c r="U656" i="5" s="1"/>
  <c r="AC656" i="5"/>
  <c r="CU656" i="5"/>
  <c r="BX656" i="5" s="1"/>
  <c r="CX656" i="5"/>
  <c r="CR656" i="5"/>
  <c r="AK656" i="5"/>
  <c r="AM656" i="5" s="1"/>
  <c r="AL657" i="5" s="1"/>
  <c r="CZ655" i="5"/>
  <c r="AD656" i="5" l="1"/>
  <c r="AE656" i="5" s="1"/>
  <c r="BT656" i="5"/>
  <c r="CK656" i="5"/>
  <c r="CJ656" i="5" s="1"/>
  <c r="CP656" i="5"/>
  <c r="CQ656" i="5" s="1"/>
  <c r="R656" i="5" s="1"/>
  <c r="S656" i="5" s="1"/>
  <c r="W656" i="5"/>
  <c r="BN656" i="5"/>
  <c r="BO656" i="5" s="1"/>
  <c r="BP656" i="5" s="1"/>
  <c r="G656" i="5" s="1"/>
  <c r="CT656" i="5"/>
  <c r="DA656" i="5"/>
  <c r="DB656" i="5" s="1"/>
  <c r="K656" i="5" s="1"/>
  <c r="CV656" i="5"/>
  <c r="CN656" i="5" s="1"/>
  <c r="E656" i="5" s="1"/>
  <c r="AH655" i="5"/>
  <c r="H655" i="5"/>
  <c r="P655" i="5" s="1"/>
  <c r="AP655" i="5"/>
  <c r="BY656" i="5"/>
  <c r="J656" i="5" s="1"/>
  <c r="BW656" i="5"/>
  <c r="BS657" i="5"/>
  <c r="Q655" i="5" l="1"/>
  <c r="V655" i="5" s="1"/>
  <c r="AY655" i="5"/>
  <c r="CO656" i="5"/>
  <c r="F656" i="5" s="1"/>
  <c r="BC656" i="5" s="1"/>
  <c r="M655" i="5"/>
  <c r="AG655" i="5" s="1"/>
  <c r="AJ655" i="5" s="1"/>
  <c r="AS655" i="5"/>
  <c r="AV655" i="5" s="1"/>
  <c r="AO655" i="5"/>
  <c r="AR655" i="5" s="1"/>
  <c r="AN656" i="5"/>
  <c r="AF656" i="5"/>
  <c r="N655" i="5" l="1"/>
  <c r="C657" i="5"/>
  <c r="BH657" i="5" s="1"/>
  <c r="BI657" i="5" s="1"/>
  <c r="BJ657" i="5" s="1"/>
  <c r="X655" i="5"/>
  <c r="Y655" i="5" s="1"/>
  <c r="Z655" i="5" s="1"/>
  <c r="AA655" i="5" s="1"/>
  <c r="BF656" i="5"/>
  <c r="BD656" i="5"/>
  <c r="BE657" i="5" s="1"/>
  <c r="CZ656" i="5"/>
  <c r="CX657" i="5" l="1"/>
  <c r="AX657" i="5"/>
  <c r="AW657" i="5" s="1"/>
  <c r="AB657" i="5"/>
  <c r="BN657" i="5" s="1"/>
  <c r="BO657" i="5" s="1"/>
  <c r="BP657" i="5" s="1"/>
  <c r="CR657" i="5"/>
  <c r="BU657" i="5"/>
  <c r="BT657" i="5" s="1"/>
  <c r="CU657" i="5"/>
  <c r="BX657" i="5" s="1"/>
  <c r="CL657" i="5"/>
  <c r="CM657" i="5" s="1"/>
  <c r="CS657" i="5"/>
  <c r="AC657" i="5"/>
  <c r="AD657" i="5" s="1"/>
  <c r="AE657" i="5" s="1"/>
  <c r="CW657" i="5"/>
  <c r="CI657" i="5"/>
  <c r="CK657" i="5" s="1"/>
  <c r="CJ657" i="5" s="1"/>
  <c r="CY657" i="5"/>
  <c r="D657" i="5"/>
  <c r="T657" i="5" s="1"/>
  <c r="U657" i="5" s="1"/>
  <c r="BG656" i="5"/>
  <c r="I656" i="5" s="1"/>
  <c r="AK657" i="5"/>
  <c r="AM657" i="5" s="1"/>
  <c r="AL658" i="5" s="1"/>
  <c r="BK657" i="5"/>
  <c r="BL657" i="5" s="1"/>
  <c r="BM657" i="5" s="1"/>
  <c r="DA657" i="5" l="1"/>
  <c r="DB657" i="5" s="1"/>
  <c r="K657" i="5" s="1"/>
  <c r="BV657" i="5"/>
  <c r="CT657" i="5"/>
  <c r="CP657" i="5"/>
  <c r="CQ657" i="5" s="1"/>
  <c r="R657" i="5" s="1"/>
  <c r="S657" i="5" s="1"/>
  <c r="L657" i="5"/>
  <c r="CH657" i="5"/>
  <c r="CV657" i="5"/>
  <c r="CN657" i="5" s="1"/>
  <c r="E657" i="5" s="1"/>
  <c r="H656" i="5"/>
  <c r="M656" i="5" s="1"/>
  <c r="G657" i="5"/>
  <c r="W657" i="5"/>
  <c r="AH656" i="5"/>
  <c r="AT656" i="5"/>
  <c r="AP656" i="5"/>
  <c r="BW657" i="5"/>
  <c r="BY657" i="5"/>
  <c r="J657" i="5" s="1"/>
  <c r="BS658" i="5"/>
  <c r="CO657" i="5" l="1"/>
  <c r="F657" i="5" s="1"/>
  <c r="BC657" i="5" s="1"/>
  <c r="P656" i="5"/>
  <c r="AG656" i="5"/>
  <c r="AJ656" i="5" s="1"/>
  <c r="AS656" i="5"/>
  <c r="AV656" i="5" s="1"/>
  <c r="AO656" i="5"/>
  <c r="AR656" i="5" s="1"/>
  <c r="N656" i="5"/>
  <c r="AN657" i="5"/>
  <c r="AF657" i="5"/>
  <c r="Q656" i="5" l="1"/>
  <c r="V656" i="5" s="1"/>
  <c r="AY656" i="5"/>
  <c r="X656" i="5" s="1"/>
  <c r="C658" i="5"/>
  <c r="CI658" i="5" s="1"/>
  <c r="BF657" i="5"/>
  <c r="BD657" i="5"/>
  <c r="BE658" i="5" s="1"/>
  <c r="CZ657" i="5"/>
  <c r="CL658" i="5" l="1"/>
  <c r="CM658" i="5" s="1"/>
  <c r="CU658" i="5"/>
  <c r="Y656" i="5"/>
  <c r="Z656" i="5" s="1"/>
  <c r="AA656" i="5" s="1"/>
  <c r="BG657" i="5"/>
  <c r="BH658" i="5"/>
  <c r="BI658" i="5" s="1"/>
  <c r="BJ658" i="5" s="1"/>
  <c r="CY658" i="5"/>
  <c r="AX658" i="5"/>
  <c r="AW658" i="5" s="1"/>
  <c r="CW658" i="5"/>
  <c r="D658" i="5"/>
  <c r="W658" i="5" s="1"/>
  <c r="CR658" i="5"/>
  <c r="CS658" i="5"/>
  <c r="BK658" i="5"/>
  <c r="BL658" i="5" s="1"/>
  <c r="BM658" i="5" s="1"/>
  <c r="AK658" i="5"/>
  <c r="AM658" i="5" s="1"/>
  <c r="AL659" i="5" s="1"/>
  <c r="BU658" i="5"/>
  <c r="BV658" i="5" s="1"/>
  <c r="AC658" i="5"/>
  <c r="CX658" i="5"/>
  <c r="AB658" i="5"/>
  <c r="BN658" i="5" s="1"/>
  <c r="BO658" i="5" s="1"/>
  <c r="BP658" i="5" s="1"/>
  <c r="G658" i="5" s="1"/>
  <c r="CV658" i="5"/>
  <c r="BX658" i="5"/>
  <c r="BW658" i="5" s="1"/>
  <c r="CT658" i="5"/>
  <c r="CK658" i="5"/>
  <c r="CJ658" i="5" s="1"/>
  <c r="CH658" i="5"/>
  <c r="H657" i="5"/>
  <c r="I657" i="5"/>
  <c r="AP657" i="5" s="1"/>
  <c r="AD658" i="5"/>
  <c r="T658" i="5" l="1"/>
  <c r="U658" i="5" s="1"/>
  <c r="AE658" i="5"/>
  <c r="BT658" i="5"/>
  <c r="DA658" i="5"/>
  <c r="DB658" i="5" s="1"/>
  <c r="K658" i="5" s="1"/>
  <c r="CP658" i="5"/>
  <c r="CQ658" i="5" s="1"/>
  <c r="R658" i="5" s="1"/>
  <c r="S658" i="5" s="1"/>
  <c r="L658" i="5"/>
  <c r="BY658" i="5"/>
  <c r="J658" i="5" s="1"/>
  <c r="AF658" i="5" s="1"/>
  <c r="AH657" i="5"/>
  <c r="AT657" i="5"/>
  <c r="P657" i="5"/>
  <c r="M657" i="5"/>
  <c r="CO658" i="5"/>
  <c r="F658" i="5" s="1"/>
  <c r="CN658" i="5"/>
  <c r="E658" i="5" s="1"/>
  <c r="AN658" i="5" l="1"/>
  <c r="Q657" i="5"/>
  <c r="V657" i="5" s="1"/>
  <c r="AY657" i="5"/>
  <c r="AS657" i="5"/>
  <c r="AV657" i="5" s="1"/>
  <c r="AO657" i="5"/>
  <c r="AR657" i="5" s="1"/>
  <c r="BC658" i="5"/>
  <c r="BD658" i="5" s="1"/>
  <c r="BE659" i="5" s="1"/>
  <c r="C659" i="5"/>
  <c r="AG657" i="5"/>
  <c r="AJ657" i="5" s="1"/>
  <c r="N657" i="5"/>
  <c r="X657" i="5" l="1"/>
  <c r="Y657" i="5" s="1"/>
  <c r="Z657" i="5" s="1"/>
  <c r="AA657" i="5" s="1"/>
  <c r="CZ658" i="5"/>
  <c r="BF658" i="5"/>
  <c r="BS659" i="5"/>
  <c r="BK659" i="5"/>
  <c r="BL659" i="5" s="1"/>
  <c r="BM659" i="5" s="1"/>
  <c r="CS659" i="5"/>
  <c r="CU659" i="5"/>
  <c r="D659" i="5"/>
  <c r="AB659" i="5"/>
  <c r="L659" i="5" s="1"/>
  <c r="CR659" i="5"/>
  <c r="CY659" i="5"/>
  <c r="BH659" i="5"/>
  <c r="BI659" i="5" s="1"/>
  <c r="BJ659" i="5" s="1"/>
  <c r="CX659" i="5"/>
  <c r="BG658" i="5"/>
  <c r="CL659" i="5"/>
  <c r="CM659" i="5" s="1"/>
  <c r="AC659" i="5"/>
  <c r="BU659" i="5"/>
  <c r="AX659" i="5"/>
  <c r="AW659" i="5" s="1"/>
  <c r="CW659" i="5"/>
  <c r="AK659" i="5"/>
  <c r="AM659" i="5" s="1"/>
  <c r="AL660" i="5" s="1"/>
  <c r="CI659" i="5"/>
  <c r="BS660" i="5"/>
  <c r="AD659" i="5" l="1"/>
  <c r="CP659" i="5"/>
  <c r="CQ659" i="5" s="1"/>
  <c r="R659" i="5" s="1"/>
  <c r="S659" i="5" s="1"/>
  <c r="BN659" i="5"/>
  <c r="BO659" i="5" s="1"/>
  <c r="BP659" i="5" s="1"/>
  <c r="G659" i="5" s="1"/>
  <c r="CH659" i="5"/>
  <c r="CK659" i="5"/>
  <c r="CJ659" i="5" s="1"/>
  <c r="T659" i="5"/>
  <c r="U659" i="5" s="1"/>
  <c r="W659" i="5"/>
  <c r="CT659" i="5"/>
  <c r="CV659" i="5"/>
  <c r="BX659" i="5"/>
  <c r="BT659" i="5"/>
  <c r="BV659" i="5"/>
  <c r="H658" i="5"/>
  <c r="I658" i="5"/>
  <c r="AP658" i="5" s="1"/>
  <c r="DA659" i="5"/>
  <c r="DB659" i="5" s="1"/>
  <c r="AE659" i="5" l="1"/>
  <c r="AH658" i="5"/>
  <c r="AT658" i="5"/>
  <c r="CO659" i="5"/>
  <c r="F659" i="5" s="1"/>
  <c r="CN659" i="5"/>
  <c r="E659" i="5" s="1"/>
  <c r="K659" i="5"/>
  <c r="P658" i="5"/>
  <c r="M658" i="5"/>
  <c r="BY659" i="5"/>
  <c r="J659" i="5" s="1"/>
  <c r="AF659" i="5" s="1"/>
  <c r="BW659" i="5"/>
  <c r="Q658" i="5" l="1"/>
  <c r="V658" i="5" s="1"/>
  <c r="AY658" i="5"/>
  <c r="BC659" i="5"/>
  <c r="CZ659" i="5" s="1"/>
  <c r="AS658" i="5"/>
  <c r="AV658" i="5" s="1"/>
  <c r="AO658" i="5"/>
  <c r="AR658" i="5" s="1"/>
  <c r="AN659" i="5"/>
  <c r="N658" i="5"/>
  <c r="AG658" i="5"/>
  <c r="AJ658" i="5" s="1"/>
  <c r="C660" i="5"/>
  <c r="BS661" i="5"/>
  <c r="BD659" i="5" l="1"/>
  <c r="BE660" i="5" s="1"/>
  <c r="BF659" i="5"/>
  <c r="X658" i="5"/>
  <c r="Y658" i="5" s="1"/>
  <c r="Z658" i="5" s="1"/>
  <c r="AA658" i="5" s="1"/>
  <c r="BU660" i="5"/>
  <c r="CL660" i="5"/>
  <c r="CM660" i="5" s="1"/>
  <c r="D660" i="5"/>
  <c r="AC660" i="5"/>
  <c r="AD660" i="5" s="1"/>
  <c r="CS660" i="5"/>
  <c r="CX660" i="5"/>
  <c r="BH660" i="5"/>
  <c r="BI660" i="5" s="1"/>
  <c r="BJ660" i="5" s="1"/>
  <c r="CR660" i="5"/>
  <c r="CW660" i="5"/>
  <c r="BK660" i="5"/>
  <c r="BL660" i="5" s="1"/>
  <c r="BM660" i="5" s="1"/>
  <c r="AB660" i="5"/>
  <c r="CP660" i="5" s="1"/>
  <c r="CQ660" i="5" s="1"/>
  <c r="R660" i="5" s="1"/>
  <c r="S660" i="5" s="1"/>
  <c r="AK660" i="5"/>
  <c r="AM660" i="5" s="1"/>
  <c r="AL661" i="5" s="1"/>
  <c r="CY660" i="5"/>
  <c r="BG659" i="5"/>
  <c r="AX660" i="5"/>
  <c r="AW660" i="5" s="1"/>
  <c r="CI660" i="5"/>
  <c r="CU660" i="5"/>
  <c r="L660" i="5" l="1"/>
  <c r="DA660" i="5"/>
  <c r="DB660" i="5" s="1"/>
  <c r="BN660" i="5"/>
  <c r="BO660" i="5" s="1"/>
  <c r="BP660" i="5" s="1"/>
  <c r="G660" i="5" s="1"/>
  <c r="CV660" i="5"/>
  <c r="CT660" i="5"/>
  <c r="BX660" i="5"/>
  <c r="H659" i="5"/>
  <c r="I659" i="5"/>
  <c r="AH659" i="5" s="1"/>
  <c r="CH660" i="5"/>
  <c r="CK660" i="5"/>
  <c r="CJ660" i="5" s="1"/>
  <c r="AE660" i="5"/>
  <c r="T660" i="5"/>
  <c r="U660" i="5" s="1"/>
  <c r="W660" i="5"/>
  <c r="BT660" i="5"/>
  <c r="BV660" i="5"/>
  <c r="AP659" i="5" l="1"/>
  <c r="AT659" i="5"/>
  <c r="K660" i="5"/>
  <c r="M659" i="5"/>
  <c r="AG659" i="5" s="1"/>
  <c r="AJ659" i="5" s="1"/>
  <c r="P659" i="5"/>
  <c r="BY660" i="5"/>
  <c r="J660" i="5" s="1"/>
  <c r="AN660" i="5" s="1"/>
  <c r="BW660" i="5"/>
  <c r="CO660" i="5"/>
  <c r="F660" i="5" s="1"/>
  <c r="CN660" i="5"/>
  <c r="E660" i="5" s="1"/>
  <c r="AF660" i="5" l="1"/>
  <c r="Q659" i="5"/>
  <c r="V659" i="5" s="1"/>
  <c r="AY659" i="5"/>
  <c r="N659" i="5"/>
  <c r="AS659" i="5"/>
  <c r="AV659" i="5" s="1"/>
  <c r="AO659" i="5"/>
  <c r="BC660" i="5"/>
  <c r="BF660" i="5" s="1"/>
  <c r="C661" i="5"/>
  <c r="BU661" i="5" s="1"/>
  <c r="BT661" i="5" s="1"/>
  <c r="BG660" i="5" l="1"/>
  <c r="I660" i="5" s="1"/>
  <c r="AP660" i="5" s="1"/>
  <c r="AR659" i="5"/>
  <c r="X659" i="5" s="1"/>
  <c r="Y659" i="5" s="1"/>
  <c r="Z659" i="5" s="1"/>
  <c r="AA659" i="5" s="1"/>
  <c r="AB661" i="5"/>
  <c r="L661" i="5" s="1"/>
  <c r="BD660" i="5"/>
  <c r="BE661" i="5" s="1"/>
  <c r="AK661" i="5"/>
  <c r="AM661" i="5" s="1"/>
  <c r="AL662" i="5" s="1"/>
  <c r="CI661" i="5"/>
  <c r="CH661" i="5" s="1"/>
  <c r="CS661" i="5"/>
  <c r="CZ660" i="5"/>
  <c r="AC661" i="5"/>
  <c r="AX661" i="5"/>
  <c r="AW661" i="5" s="1"/>
  <c r="CR661" i="5"/>
  <c r="CW661" i="5"/>
  <c r="BK661" i="5"/>
  <c r="BL661" i="5" s="1"/>
  <c r="BM661" i="5" s="1"/>
  <c r="CX661" i="5"/>
  <c r="CY661" i="5"/>
  <c r="BH661" i="5"/>
  <c r="BI661" i="5" s="1"/>
  <c r="BJ661" i="5" s="1"/>
  <c r="D661" i="5"/>
  <c r="T661" i="5" s="1"/>
  <c r="U661" i="5" s="1"/>
  <c r="CL661" i="5"/>
  <c r="CM661" i="5" s="1"/>
  <c r="CU661" i="5"/>
  <c r="BX661" i="5" s="1"/>
  <c r="BW661" i="5" s="1"/>
  <c r="BV661" i="5"/>
  <c r="H660" i="5"/>
  <c r="CP661" i="5" l="1"/>
  <c r="CQ661" i="5" s="1"/>
  <c r="R661" i="5" s="1"/>
  <c r="S661" i="5" s="1"/>
  <c r="DA661" i="5"/>
  <c r="DB661" i="5" s="1"/>
  <c r="K661" i="5" s="1"/>
  <c r="BN661" i="5"/>
  <c r="BO661" i="5" s="1"/>
  <c r="BP661" i="5" s="1"/>
  <c r="G661" i="5" s="1"/>
  <c r="AD661" i="5"/>
  <c r="AE661" i="5" s="1"/>
  <c r="CK661" i="5"/>
  <c r="CJ661" i="5" s="1"/>
  <c r="BY661" i="5"/>
  <c r="J661" i="5" s="1"/>
  <c r="CV661" i="5"/>
  <c r="CO661" i="5" s="1"/>
  <c r="F661" i="5" s="1"/>
  <c r="CT661" i="5"/>
  <c r="W661" i="5"/>
  <c r="AH660" i="5"/>
  <c r="AT660" i="5"/>
  <c r="M660" i="5"/>
  <c r="P660" i="5"/>
  <c r="AF661" i="5" l="1"/>
  <c r="Q660" i="5"/>
  <c r="V660" i="5" s="1"/>
  <c r="AY660" i="5"/>
  <c r="AN661" i="5"/>
  <c r="AO660" i="5"/>
  <c r="AR660" i="5" s="1"/>
  <c r="AG660" i="5"/>
  <c r="AJ660" i="5" s="1"/>
  <c r="CN661" i="5"/>
  <c r="E661" i="5" s="1"/>
  <c r="BC661" i="5" s="1"/>
  <c r="BF661" i="5" s="1"/>
  <c r="AS660" i="5"/>
  <c r="AV660" i="5" s="1"/>
  <c r="N660" i="5"/>
  <c r="BS663" i="5"/>
  <c r="X660" i="5" l="1"/>
  <c r="Y660" i="5" s="1"/>
  <c r="Z660" i="5" s="1"/>
  <c r="AA660" i="5" s="1"/>
  <c r="C662" i="5"/>
  <c r="CL662" i="5" s="1"/>
  <c r="CM662" i="5" s="1"/>
  <c r="CZ661" i="5"/>
  <c r="BD661" i="5"/>
  <c r="BE662" i="5" s="1"/>
  <c r="BS662" i="5"/>
  <c r="BG661" i="5" l="1"/>
  <c r="I661" i="5" s="1"/>
  <c r="AH661" i="5" s="1"/>
  <c r="CW662" i="5"/>
  <c r="CX662" i="5"/>
  <c r="CU662" i="5"/>
  <c r="CV662" i="5" s="1"/>
  <c r="BU662" i="5"/>
  <c r="BT662" i="5" s="1"/>
  <c r="AK662" i="5"/>
  <c r="AM662" i="5" s="1"/>
  <c r="AL663" i="5" s="1"/>
  <c r="AX662" i="5"/>
  <c r="AW662" i="5" s="1"/>
  <c r="BH662" i="5"/>
  <c r="BI662" i="5" s="1"/>
  <c r="BJ662" i="5" s="1"/>
  <c r="CS662" i="5"/>
  <c r="D662" i="5"/>
  <c r="T662" i="5" s="1"/>
  <c r="U662" i="5" s="1"/>
  <c r="CR662" i="5"/>
  <c r="CI662" i="5"/>
  <c r="CH662" i="5" s="1"/>
  <c r="AC662" i="5"/>
  <c r="AD662" i="5" s="1"/>
  <c r="AB662" i="5"/>
  <c r="DA662" i="5" s="1"/>
  <c r="DB662" i="5" s="1"/>
  <c r="BK662" i="5"/>
  <c r="BL662" i="5" s="1"/>
  <c r="BM662" i="5" s="1"/>
  <c r="CY662" i="5"/>
  <c r="BX662" i="5" l="1"/>
  <c r="AE662" i="5"/>
  <c r="BV662" i="5"/>
  <c r="CT662" i="5"/>
  <c r="BN662" i="5"/>
  <c r="BO662" i="5" s="1"/>
  <c r="BP662" i="5" s="1"/>
  <c r="G662" i="5" s="1"/>
  <c r="H661" i="5"/>
  <c r="M661" i="5" s="1"/>
  <c r="W662" i="5"/>
  <c r="CK662" i="5"/>
  <c r="CJ662" i="5" s="1"/>
  <c r="K662" i="5" s="1"/>
  <c r="CP662" i="5"/>
  <c r="CQ662" i="5" s="1"/>
  <c r="R662" i="5" s="1"/>
  <c r="S662" i="5" s="1"/>
  <c r="L662" i="5"/>
  <c r="AT661" i="5"/>
  <c r="AP661" i="5"/>
  <c r="CO662" i="5"/>
  <c r="F662" i="5" s="1"/>
  <c r="CN662" i="5"/>
  <c r="E662" i="5" s="1"/>
  <c r="BW662" i="5"/>
  <c r="BY662" i="5"/>
  <c r="J662" i="5" s="1"/>
  <c r="AN662" i="5" l="1"/>
  <c r="P661" i="5"/>
  <c r="Q661" i="5" s="1"/>
  <c r="V661" i="5" s="1"/>
  <c r="AY661" i="5"/>
  <c r="AF662" i="5"/>
  <c r="AO661" i="5"/>
  <c r="AR661" i="5" s="1"/>
  <c r="AG661" i="5"/>
  <c r="AJ661" i="5" s="1"/>
  <c r="BC662" i="5"/>
  <c r="CZ662" i="5" s="1"/>
  <c r="AS661" i="5"/>
  <c r="AV661" i="5" s="1"/>
  <c r="N661" i="5"/>
  <c r="C663" i="5"/>
  <c r="BS664" i="5"/>
  <c r="X661" i="5" l="1"/>
  <c r="Y661" i="5" s="1"/>
  <c r="Z661" i="5" s="1"/>
  <c r="AA661" i="5" s="1"/>
  <c r="BD662" i="5"/>
  <c r="BE663" i="5" s="1"/>
  <c r="BF662" i="5"/>
  <c r="BU663" i="5"/>
  <c r="CW663" i="5"/>
  <c r="D663" i="5"/>
  <c r="CY663" i="5"/>
  <c r="CL663" i="5"/>
  <c r="CM663" i="5" s="1"/>
  <c r="BK663" i="5"/>
  <c r="BL663" i="5" s="1"/>
  <c r="BM663" i="5" s="1"/>
  <c r="AK663" i="5"/>
  <c r="AM663" i="5" s="1"/>
  <c r="AL664" i="5" s="1"/>
  <c r="AB663" i="5"/>
  <c r="BN663" i="5" s="1"/>
  <c r="BO663" i="5" s="1"/>
  <c r="BP663" i="5" s="1"/>
  <c r="BH663" i="5"/>
  <c r="BI663" i="5" s="1"/>
  <c r="BJ663" i="5" s="1"/>
  <c r="CX663" i="5"/>
  <c r="AC663" i="5"/>
  <c r="CR663" i="5"/>
  <c r="CS663" i="5"/>
  <c r="BG662" i="5"/>
  <c r="AX663" i="5"/>
  <c r="AW663" i="5" s="1"/>
  <c r="CU663" i="5"/>
  <c r="CI663" i="5"/>
  <c r="CP663" i="5" l="1"/>
  <c r="CQ663" i="5" s="1"/>
  <c r="R663" i="5" s="1"/>
  <c r="S663" i="5" s="1"/>
  <c r="H662" i="5"/>
  <c r="I662" i="5"/>
  <c r="CK663" i="5"/>
  <c r="CJ663" i="5" s="1"/>
  <c r="CH663" i="5"/>
  <c r="L663" i="5"/>
  <c r="AD663" i="5"/>
  <c r="AE663" i="5" s="1"/>
  <c r="W663" i="5"/>
  <c r="T663" i="5"/>
  <c r="U663" i="5" s="1"/>
  <c r="DA663" i="5"/>
  <c r="DB663" i="5" s="1"/>
  <c r="CV663" i="5"/>
  <c r="CT663" i="5"/>
  <c r="BX663" i="5"/>
  <c r="G663" i="5"/>
  <c r="BV663" i="5"/>
  <c r="BT663" i="5"/>
  <c r="CN663" i="5" l="1"/>
  <c r="E663" i="5" s="1"/>
  <c r="CO663" i="5"/>
  <c r="F663" i="5" s="1"/>
  <c r="K663" i="5"/>
  <c r="BY663" i="5"/>
  <c r="J663" i="5" s="1"/>
  <c r="AF663" i="5" s="1"/>
  <c r="BW663" i="5"/>
  <c r="AH662" i="5"/>
  <c r="AT662" i="5"/>
  <c r="AP662" i="5"/>
  <c r="P662" i="5"/>
  <c r="M662" i="5"/>
  <c r="Q662" i="5" l="1"/>
  <c r="V662" i="5" s="1"/>
  <c r="AY662" i="5"/>
  <c r="AN663" i="5"/>
  <c r="C664" i="5"/>
  <c r="CI664" i="5" s="1"/>
  <c r="CH664" i="5" s="1"/>
  <c r="BC663" i="5"/>
  <c r="AG662" i="5"/>
  <c r="N662" i="5"/>
  <c r="AS662" i="5"/>
  <c r="AV662" i="5" s="1"/>
  <c r="AO662" i="5"/>
  <c r="BS665" i="5"/>
  <c r="BG663" i="5" l="1"/>
  <c r="I663" i="5" s="1"/>
  <c r="AH663" i="5" s="1"/>
  <c r="AX664" i="5"/>
  <c r="AW664" i="5" s="1"/>
  <c r="CU664" i="5"/>
  <c r="CV664" i="5" s="1"/>
  <c r="CW664" i="5"/>
  <c r="CX664" i="5"/>
  <c r="AK664" i="5"/>
  <c r="AM664" i="5" s="1"/>
  <c r="AL665" i="5" s="1"/>
  <c r="AC664" i="5"/>
  <c r="AB664" i="5"/>
  <c r="CP664" i="5" s="1"/>
  <c r="CQ664" i="5" s="1"/>
  <c r="R664" i="5" s="1"/>
  <c r="S664" i="5" s="1"/>
  <c r="BH664" i="5"/>
  <c r="BI664" i="5" s="1"/>
  <c r="BJ664" i="5" s="1"/>
  <c r="CL664" i="5"/>
  <c r="CM664" i="5" s="1"/>
  <c r="CY664" i="5"/>
  <c r="BU664" i="5"/>
  <c r="BV664" i="5" s="1"/>
  <c r="CS664" i="5"/>
  <c r="D664" i="5"/>
  <c r="W664" i="5" s="1"/>
  <c r="CK664" i="5"/>
  <c r="CJ664" i="5" s="1"/>
  <c r="BK664" i="5"/>
  <c r="BL664" i="5" s="1"/>
  <c r="BM664" i="5" s="1"/>
  <c r="CR664" i="5"/>
  <c r="BF663" i="5"/>
  <c r="BD663" i="5"/>
  <c r="BE664" i="5" s="1"/>
  <c r="CZ663" i="5"/>
  <c r="AR662" i="5"/>
  <c r="H663" i="5"/>
  <c r="AJ662" i="5"/>
  <c r="BT664" i="5" l="1"/>
  <c r="CT664" i="5"/>
  <c r="BX664" i="5"/>
  <c r="BY664" i="5" s="1"/>
  <c r="J664" i="5" s="1"/>
  <c r="DA664" i="5"/>
  <c r="DB664" i="5" s="1"/>
  <c r="K664" i="5" s="1"/>
  <c r="AD664" i="5"/>
  <c r="AE664" i="5" s="1"/>
  <c r="L664" i="5"/>
  <c r="T664" i="5"/>
  <c r="U664" i="5" s="1"/>
  <c r="BN664" i="5"/>
  <c r="BO664" i="5" s="1"/>
  <c r="BP664" i="5" s="1"/>
  <c r="G664" i="5" s="1"/>
  <c r="AP663" i="5"/>
  <c r="AT663" i="5"/>
  <c r="CO664" i="5"/>
  <c r="F664" i="5" s="1"/>
  <c r="CN664" i="5"/>
  <c r="E664" i="5" s="1"/>
  <c r="M663" i="5"/>
  <c r="P663" i="5"/>
  <c r="X662" i="5"/>
  <c r="Y662" i="5" s="1"/>
  <c r="Z662" i="5" s="1"/>
  <c r="AA662" i="5" s="1"/>
  <c r="Q663" i="5" l="1"/>
  <c r="V663" i="5" s="1"/>
  <c r="AY663" i="5"/>
  <c r="BW664" i="5"/>
  <c r="AF664" i="5"/>
  <c r="AG663" i="5"/>
  <c r="AJ663" i="5" s="1"/>
  <c r="AO663" i="5"/>
  <c r="BC664" i="5"/>
  <c r="BD664" i="5" s="1"/>
  <c r="BE665" i="5" s="1"/>
  <c r="AR663" i="5"/>
  <c r="N663" i="5"/>
  <c r="AS663" i="5"/>
  <c r="AV663" i="5" s="1"/>
  <c r="AN664" i="5"/>
  <c r="C665" i="5"/>
  <c r="AY664" i="5"/>
  <c r="X663" i="5" l="1"/>
  <c r="Y663" i="5" s="1"/>
  <c r="Z663" i="5" s="1"/>
  <c r="AA663" i="5" s="1"/>
  <c r="BF664" i="5"/>
  <c r="CZ664" i="5"/>
  <c r="BU665" i="5"/>
  <c r="BK665" i="5"/>
  <c r="BL665" i="5" s="1"/>
  <c r="BM665" i="5" s="1"/>
  <c r="CW665" i="5"/>
  <c r="CY665" i="5"/>
  <c r="D665" i="5"/>
  <c r="CR665" i="5"/>
  <c r="AK665" i="5"/>
  <c r="AM665" i="5" s="1"/>
  <c r="AL666" i="5" s="1"/>
  <c r="AB665" i="5"/>
  <c r="L665" i="5" s="1"/>
  <c r="CI665" i="5"/>
  <c r="BG664" i="5"/>
  <c r="CL665" i="5"/>
  <c r="CM665" i="5" s="1"/>
  <c r="AC665" i="5"/>
  <c r="AX665" i="5"/>
  <c r="AW665" i="5" s="1"/>
  <c r="BH665" i="5"/>
  <c r="BI665" i="5" s="1"/>
  <c r="BJ665" i="5" s="1"/>
  <c r="CS665" i="5"/>
  <c r="CX665" i="5"/>
  <c r="CU665" i="5"/>
  <c r="BS666" i="5"/>
  <c r="AD665" i="5" l="1"/>
  <c r="AE665" i="5" s="1"/>
  <c r="DA665" i="5"/>
  <c r="DB665" i="5" s="1"/>
  <c r="W665" i="5"/>
  <c r="T665" i="5"/>
  <c r="U665" i="5" s="1"/>
  <c r="BX665" i="5"/>
  <c r="CV665" i="5"/>
  <c r="CT665" i="5"/>
  <c r="CP665" i="5"/>
  <c r="CQ665" i="5" s="1"/>
  <c r="R665" i="5" s="1"/>
  <c r="S665" i="5" s="1"/>
  <c r="H664" i="5"/>
  <c r="I664" i="5"/>
  <c r="BN665" i="5"/>
  <c r="BO665" i="5" s="1"/>
  <c r="BP665" i="5" s="1"/>
  <c r="G665" i="5" s="1"/>
  <c r="CH665" i="5"/>
  <c r="CK665" i="5"/>
  <c r="CJ665" i="5" s="1"/>
  <c r="BT665" i="5"/>
  <c r="BV665" i="5"/>
  <c r="K665" i="5" l="1"/>
  <c r="AH664" i="5"/>
  <c r="AT664" i="5"/>
  <c r="AP664" i="5"/>
  <c r="M664" i="5"/>
  <c r="P664" i="5"/>
  <c r="Q664" i="5" s="1"/>
  <c r="V664" i="5" s="1"/>
  <c r="CO665" i="5"/>
  <c r="F665" i="5" s="1"/>
  <c r="CN665" i="5"/>
  <c r="E665" i="5" s="1"/>
  <c r="BW665" i="5"/>
  <c r="BY665" i="5"/>
  <c r="J665" i="5" s="1"/>
  <c r="AF665" i="5" s="1"/>
  <c r="BC665" i="5" l="1"/>
  <c r="BF665" i="5" s="1"/>
  <c r="AN665" i="5"/>
  <c r="AS664" i="5"/>
  <c r="AV664" i="5" s="1"/>
  <c r="AO664" i="5"/>
  <c r="C666" i="5"/>
  <c r="AG664" i="5"/>
  <c r="N664" i="5"/>
  <c r="BD665" i="5" l="1"/>
  <c r="BE666" i="5" s="1"/>
  <c r="CZ665" i="5"/>
  <c r="AR664" i="5"/>
  <c r="AJ664" i="5"/>
  <c r="BU666" i="5"/>
  <c r="CX666" i="5"/>
  <c r="CS666" i="5"/>
  <c r="D666" i="5"/>
  <c r="CL666" i="5"/>
  <c r="CM666" i="5" s="1"/>
  <c r="CW666" i="5"/>
  <c r="CR666" i="5"/>
  <c r="BG665" i="5"/>
  <c r="AC666" i="5"/>
  <c r="BK666" i="5"/>
  <c r="BL666" i="5" s="1"/>
  <c r="BM666" i="5" s="1"/>
  <c r="AX666" i="5"/>
  <c r="AW666" i="5" s="1"/>
  <c r="CY666" i="5"/>
  <c r="AK666" i="5"/>
  <c r="AM666" i="5" s="1"/>
  <c r="AL667" i="5" s="1"/>
  <c r="BH666" i="5"/>
  <c r="BI666" i="5" s="1"/>
  <c r="BJ666" i="5" s="1"/>
  <c r="AB666" i="5"/>
  <c r="CP666" i="5" s="1"/>
  <c r="CQ666" i="5" s="1"/>
  <c r="R666" i="5" s="1"/>
  <c r="S666" i="5" s="1"/>
  <c r="CU666" i="5"/>
  <c r="CI666" i="5"/>
  <c r="BS667" i="5"/>
  <c r="AD666" i="5" l="1"/>
  <c r="AE666" i="5" s="1"/>
  <c r="X664" i="5"/>
  <c r="Y664" i="5" s="1"/>
  <c r="Z664" i="5" s="1"/>
  <c r="AA664" i="5" s="1"/>
  <c r="CT666" i="5"/>
  <c r="CV666" i="5"/>
  <c r="BX666" i="5"/>
  <c r="W666" i="5"/>
  <c r="T666" i="5"/>
  <c r="U666" i="5" s="1"/>
  <c r="CK666" i="5"/>
  <c r="CJ666" i="5" s="1"/>
  <c r="CH666" i="5"/>
  <c r="BN666" i="5"/>
  <c r="BO666" i="5" s="1"/>
  <c r="BP666" i="5" s="1"/>
  <c r="G666" i="5" s="1"/>
  <c r="L666" i="5"/>
  <c r="BV666" i="5"/>
  <c r="BT666" i="5"/>
  <c r="DA666" i="5"/>
  <c r="DB666" i="5" s="1"/>
  <c r="K666" i="5" s="1"/>
  <c r="H665" i="5"/>
  <c r="I665" i="5"/>
  <c r="AP665" i="5" s="1"/>
  <c r="AT665" i="5" l="1"/>
  <c r="AH665" i="5"/>
  <c r="BW666" i="5"/>
  <c r="BY666" i="5"/>
  <c r="J666" i="5" s="1"/>
  <c r="AN666" i="5" s="1"/>
  <c r="P665" i="5"/>
  <c r="M665" i="5"/>
  <c r="CO666" i="5"/>
  <c r="F666" i="5" s="1"/>
  <c r="CN666" i="5"/>
  <c r="E666" i="5" s="1"/>
  <c r="AF666" i="5" l="1"/>
  <c r="C667" i="5"/>
  <c r="CR667" i="5" s="1"/>
  <c r="AG665" i="5"/>
  <c r="AJ665" i="5" s="1"/>
  <c r="AO665" i="5"/>
  <c r="AR665" i="5" s="1"/>
  <c r="BC666" i="5"/>
  <c r="BF666" i="5" s="1"/>
  <c r="N665" i="5"/>
  <c r="AS665" i="5"/>
  <c r="AV665" i="5" s="1"/>
  <c r="Q665" i="5"/>
  <c r="V665" i="5" s="1"/>
  <c r="AY665" i="5"/>
  <c r="BS668" i="5"/>
  <c r="BG666" i="5" l="1"/>
  <c r="AK667" i="5"/>
  <c r="AM667" i="5" s="1"/>
  <c r="AL668" i="5" s="1"/>
  <c r="D667" i="5"/>
  <c r="W667" i="5" s="1"/>
  <c r="CW667" i="5"/>
  <c r="CX667" i="5"/>
  <c r="CY667" i="5"/>
  <c r="BK667" i="5"/>
  <c r="BL667" i="5" s="1"/>
  <c r="BM667" i="5" s="1"/>
  <c r="CU667" i="5"/>
  <c r="BX667" i="5" s="1"/>
  <c r="BW667" i="5" s="1"/>
  <c r="AX667" i="5"/>
  <c r="AW667" i="5" s="1"/>
  <c r="BH667" i="5"/>
  <c r="BI667" i="5" s="1"/>
  <c r="BJ667" i="5" s="1"/>
  <c r="AC667" i="5"/>
  <c r="CS667" i="5"/>
  <c r="AB667" i="5"/>
  <c r="DA667" i="5" s="1"/>
  <c r="DB667" i="5" s="1"/>
  <c r="BU667" i="5"/>
  <c r="BV667" i="5" s="1"/>
  <c r="CI667" i="5"/>
  <c r="CH667" i="5" s="1"/>
  <c r="CL667" i="5"/>
  <c r="CM667" i="5" s="1"/>
  <c r="BD666" i="5"/>
  <c r="BE667" i="5" s="1"/>
  <c r="CZ666" i="5"/>
  <c r="X665" i="5"/>
  <c r="Y665" i="5" s="1"/>
  <c r="Z665" i="5" s="1"/>
  <c r="AA665" i="5" s="1"/>
  <c r="I666" i="5"/>
  <c r="AH666" i="5" s="1"/>
  <c r="H666" i="5"/>
  <c r="T667" i="5"/>
  <c r="U667" i="5" s="1"/>
  <c r="BY667" i="5" l="1"/>
  <c r="CV667" i="5"/>
  <c r="CT667" i="5"/>
  <c r="AD667" i="5"/>
  <c r="AE667" i="5" s="1"/>
  <c r="BT667" i="5"/>
  <c r="CP667" i="5"/>
  <c r="CQ667" i="5" s="1"/>
  <c r="R667" i="5" s="1"/>
  <c r="S667" i="5" s="1"/>
  <c r="CK667" i="5"/>
  <c r="CJ667" i="5" s="1"/>
  <c r="K667" i="5" s="1"/>
  <c r="BN667" i="5"/>
  <c r="BO667" i="5" s="1"/>
  <c r="BP667" i="5" s="1"/>
  <c r="G667" i="5" s="1"/>
  <c r="L667" i="5"/>
  <c r="AT666" i="5"/>
  <c r="AP666" i="5"/>
  <c r="P666" i="5"/>
  <c r="M666" i="5"/>
  <c r="AG666" i="5" s="1"/>
  <c r="AJ666" i="5" s="1"/>
  <c r="CN667" i="5"/>
  <c r="E667" i="5" s="1"/>
  <c r="CO667" i="5"/>
  <c r="F667" i="5" s="1"/>
  <c r="J667" i="5"/>
  <c r="AN667" i="5" l="1"/>
  <c r="AF667" i="5"/>
  <c r="C668" i="5"/>
  <c r="CY668" i="5" s="1"/>
  <c r="BC667" i="5"/>
  <c r="BD667" i="5" s="1"/>
  <c r="BE668" i="5" s="1"/>
  <c r="N666" i="5"/>
  <c r="AS666" i="5"/>
  <c r="AV666" i="5" s="1"/>
  <c r="AO666" i="5"/>
  <c r="AR666" i="5" s="1"/>
  <c r="AY666" i="5"/>
  <c r="Q666" i="5"/>
  <c r="V666" i="5" s="1"/>
  <c r="BB666" i="5"/>
  <c r="BG667" i="5" l="1"/>
  <c r="D668" i="5"/>
  <c r="T668" i="5" s="1"/>
  <c r="U668" i="5" s="1"/>
  <c r="CW668" i="5"/>
  <c r="CS668" i="5"/>
  <c r="AX668" i="5"/>
  <c r="AW668" i="5" s="1"/>
  <c r="CU668" i="5"/>
  <c r="BX668" i="5" s="1"/>
  <c r="BY668" i="5" s="1"/>
  <c r="BH668" i="5"/>
  <c r="BI668" i="5" s="1"/>
  <c r="BJ668" i="5" s="1"/>
  <c r="CI668" i="5"/>
  <c r="CH668" i="5" s="1"/>
  <c r="BU668" i="5"/>
  <c r="BT668" i="5" s="1"/>
  <c r="CR668" i="5"/>
  <c r="AC668" i="5"/>
  <c r="AB668" i="5"/>
  <c r="BN668" i="5" s="1"/>
  <c r="BO668" i="5" s="1"/>
  <c r="BP668" i="5" s="1"/>
  <c r="BF667" i="5"/>
  <c r="CX668" i="5"/>
  <c r="AK668" i="5"/>
  <c r="AM668" i="5" s="1"/>
  <c r="AL669" i="5" s="1"/>
  <c r="BK668" i="5"/>
  <c r="BL668" i="5" s="1"/>
  <c r="BM668" i="5" s="1"/>
  <c r="CL668" i="5"/>
  <c r="CM668" i="5" s="1"/>
  <c r="CZ667" i="5"/>
  <c r="H667" i="5"/>
  <c r="I667" i="5"/>
  <c r="AP667" i="5" s="1"/>
  <c r="X666" i="5"/>
  <c r="Y666" i="5" s="1"/>
  <c r="Z666" i="5" s="1"/>
  <c r="AA666" i="5" s="1"/>
  <c r="AD668" i="5"/>
  <c r="BS669" i="5"/>
  <c r="CK668" i="5" l="1"/>
  <c r="CJ668" i="5" s="1"/>
  <c r="W668" i="5"/>
  <c r="G668" i="5"/>
  <c r="CV668" i="5"/>
  <c r="CT668" i="5"/>
  <c r="BV668" i="5"/>
  <c r="J668" i="5" s="1"/>
  <c r="AN668" i="5" s="1"/>
  <c r="AE668" i="5"/>
  <c r="DA668" i="5"/>
  <c r="DB668" i="5" s="1"/>
  <c r="K668" i="5" s="1"/>
  <c r="CP668" i="5"/>
  <c r="CQ668" i="5" s="1"/>
  <c r="R668" i="5" s="1"/>
  <c r="S668" i="5" s="1"/>
  <c r="L668" i="5"/>
  <c r="AH667" i="5"/>
  <c r="AT667" i="5"/>
  <c r="CN668" i="5"/>
  <c r="E668" i="5" s="1"/>
  <c r="CO668" i="5"/>
  <c r="F668" i="5" s="1"/>
  <c r="P667" i="5"/>
  <c r="M667" i="5"/>
  <c r="BW668" i="5"/>
  <c r="AF668" i="5" l="1"/>
  <c r="Q667" i="5"/>
  <c r="V667" i="5" s="1"/>
  <c r="AY667" i="5"/>
  <c r="AS667" i="5"/>
  <c r="AV667" i="5" s="1"/>
  <c r="AO667" i="5"/>
  <c r="AR667" i="5" s="1"/>
  <c r="C669" i="5"/>
  <c r="BH669" i="5" s="1"/>
  <c r="BI669" i="5" s="1"/>
  <c r="BJ669" i="5" s="1"/>
  <c r="BC668" i="5"/>
  <c r="AG667" i="5"/>
  <c r="AJ667" i="5" s="1"/>
  <c r="N667" i="5"/>
  <c r="AX669" i="5" l="1"/>
  <c r="AW669" i="5" s="1"/>
  <c r="CI669" i="5"/>
  <c r="CK669" i="5" s="1"/>
  <c r="CJ669" i="5" s="1"/>
  <c r="CS669" i="5"/>
  <c r="BU669" i="5"/>
  <c r="BV669" i="5" s="1"/>
  <c r="CY669" i="5"/>
  <c r="CL669" i="5"/>
  <c r="CM669" i="5" s="1"/>
  <c r="CW669" i="5"/>
  <c r="CU669" i="5"/>
  <c r="CV669" i="5" s="1"/>
  <c r="BK669" i="5"/>
  <c r="BL669" i="5" s="1"/>
  <c r="BM669" i="5" s="1"/>
  <c r="AB669" i="5"/>
  <c r="CP669" i="5" s="1"/>
  <c r="CQ669" i="5" s="1"/>
  <c r="R669" i="5" s="1"/>
  <c r="S669" i="5" s="1"/>
  <c r="BG668" i="5"/>
  <c r="H668" i="5" s="1"/>
  <c r="X667" i="5"/>
  <c r="Y667" i="5" s="1"/>
  <c r="Z667" i="5" s="1"/>
  <c r="AA667" i="5" s="1"/>
  <c r="CR669" i="5"/>
  <c r="AK669" i="5"/>
  <c r="AM669" i="5" s="1"/>
  <c r="AL670" i="5" s="1"/>
  <c r="CX669" i="5"/>
  <c r="AC669" i="5"/>
  <c r="D669" i="5"/>
  <c r="T669" i="5" s="1"/>
  <c r="U669" i="5" s="1"/>
  <c r="AD669" i="5"/>
  <c r="BF668" i="5"/>
  <c r="BD668" i="5"/>
  <c r="BE669" i="5" s="1"/>
  <c r="CZ668" i="5"/>
  <c r="BS670" i="5"/>
  <c r="BT669" i="5" l="1"/>
  <c r="CH669" i="5"/>
  <c r="DA669" i="5"/>
  <c r="DB669" i="5" s="1"/>
  <c r="K669" i="5" s="1"/>
  <c r="AE669" i="5"/>
  <c r="I668" i="5"/>
  <c r="AH668" i="5" s="1"/>
  <c r="BX669" i="5"/>
  <c r="BW669" i="5" s="1"/>
  <c r="CT669" i="5"/>
  <c r="BN669" i="5"/>
  <c r="BO669" i="5" s="1"/>
  <c r="BP669" i="5" s="1"/>
  <c r="G669" i="5" s="1"/>
  <c r="L669" i="5"/>
  <c r="W669" i="5"/>
  <c r="P668" i="5"/>
  <c r="M668" i="5"/>
  <c r="CN669" i="5"/>
  <c r="E669" i="5" s="1"/>
  <c r="CO669" i="5"/>
  <c r="F669" i="5" s="1"/>
  <c r="BY669" i="5" l="1"/>
  <c r="J669" i="5" s="1"/>
  <c r="AT668" i="5"/>
  <c r="AP668" i="5"/>
  <c r="AF669" i="5"/>
  <c r="AG668" i="5"/>
  <c r="AJ668" i="5" s="1"/>
  <c r="AO668" i="5"/>
  <c r="AR668" i="5" s="1"/>
  <c r="C670" i="5"/>
  <c r="AB670" i="5" s="1"/>
  <c r="CP670" i="5" s="1"/>
  <c r="CQ670" i="5" s="1"/>
  <c r="R670" i="5" s="1"/>
  <c r="S670" i="5" s="1"/>
  <c r="AY668" i="5"/>
  <c r="Q668" i="5"/>
  <c r="V668" i="5" s="1"/>
  <c r="AN669" i="5"/>
  <c r="BC669" i="5"/>
  <c r="N668" i="5"/>
  <c r="AS668" i="5"/>
  <c r="AV668" i="5" s="1"/>
  <c r="X668" i="5" l="1"/>
  <c r="AX670" i="5"/>
  <c r="AW670" i="5" s="1"/>
  <c r="BU670" i="5"/>
  <c r="BV670" i="5" s="1"/>
  <c r="CX670" i="5"/>
  <c r="CI670" i="5"/>
  <c r="CH670" i="5" s="1"/>
  <c r="CS670" i="5"/>
  <c r="CL670" i="5"/>
  <c r="CM670" i="5" s="1"/>
  <c r="CU670" i="5"/>
  <c r="CV670" i="5" s="1"/>
  <c r="BK670" i="5"/>
  <c r="BL670" i="5" s="1"/>
  <c r="BM670" i="5" s="1"/>
  <c r="AK670" i="5"/>
  <c r="AM670" i="5" s="1"/>
  <c r="AL671" i="5" s="1"/>
  <c r="D670" i="5"/>
  <c r="T670" i="5" s="1"/>
  <c r="U670" i="5" s="1"/>
  <c r="CW670" i="5"/>
  <c r="CY670" i="5"/>
  <c r="CR670" i="5"/>
  <c r="BH670" i="5"/>
  <c r="BI670" i="5" s="1"/>
  <c r="BJ670" i="5" s="1"/>
  <c r="BG669" i="5"/>
  <c r="I669" i="5" s="1"/>
  <c r="Y668" i="5"/>
  <c r="Z668" i="5" s="1"/>
  <c r="AA668" i="5" s="1"/>
  <c r="AC670" i="5"/>
  <c r="BN670" i="5"/>
  <c r="BO670" i="5" s="1"/>
  <c r="BP670" i="5" s="1"/>
  <c r="L670" i="5"/>
  <c r="DA670" i="5"/>
  <c r="DB670" i="5" s="1"/>
  <c r="BD669" i="5"/>
  <c r="BE670" i="5" s="1"/>
  <c r="BF669" i="5"/>
  <c r="CZ669" i="5"/>
  <c r="BS671" i="5"/>
  <c r="BT670" i="5" l="1"/>
  <c r="AD670" i="5"/>
  <c r="AE670" i="5" s="1"/>
  <c r="CK670" i="5"/>
  <c r="CJ670" i="5" s="1"/>
  <c r="BX670" i="5"/>
  <c r="BY670" i="5" s="1"/>
  <c r="H669" i="5"/>
  <c r="P669" i="5" s="1"/>
  <c r="CT670" i="5"/>
  <c r="K670" i="5"/>
  <c r="J670" i="5"/>
  <c r="W670" i="5"/>
  <c r="G670" i="5"/>
  <c r="AH669" i="5"/>
  <c r="AT669" i="5"/>
  <c r="CN670" i="5"/>
  <c r="E670" i="5" s="1"/>
  <c r="CO670" i="5"/>
  <c r="F670" i="5" s="1"/>
  <c r="BW670" i="5"/>
  <c r="AP669" i="5"/>
  <c r="BC670" i="5" l="1"/>
  <c r="BF670" i="5" s="1"/>
  <c r="M669" i="5"/>
  <c r="AG669" i="5" s="1"/>
  <c r="Q669" i="5"/>
  <c r="V669" i="5" s="1"/>
  <c r="AY669" i="5"/>
  <c r="AF670" i="5"/>
  <c r="AN670" i="5"/>
  <c r="AJ669" i="5"/>
  <c r="C671" i="5"/>
  <c r="AS669" i="5"/>
  <c r="AV669" i="5" s="1"/>
  <c r="AO669" i="5"/>
  <c r="AR669" i="5" s="1"/>
  <c r="N669" i="5"/>
  <c r="BD670" i="5" l="1"/>
  <c r="BE671" i="5" s="1"/>
  <c r="CZ670" i="5"/>
  <c r="X669" i="5"/>
  <c r="Y669" i="5" s="1"/>
  <c r="Z669" i="5" s="1"/>
  <c r="AA669" i="5" s="1"/>
  <c r="BU671" i="5"/>
  <c r="BH671" i="5"/>
  <c r="BI671" i="5" s="1"/>
  <c r="BJ671" i="5" s="1"/>
  <c r="CX671" i="5"/>
  <c r="CS671" i="5"/>
  <c r="D671" i="5"/>
  <c r="CL671" i="5"/>
  <c r="CM671" i="5" s="1"/>
  <c r="CY671" i="5"/>
  <c r="AK671" i="5"/>
  <c r="AM671" i="5" s="1"/>
  <c r="AL672" i="5" s="1"/>
  <c r="CU671" i="5"/>
  <c r="BK671" i="5"/>
  <c r="BL671" i="5" s="1"/>
  <c r="BM671" i="5" s="1"/>
  <c r="AC671" i="5"/>
  <c r="CR671" i="5"/>
  <c r="BG670" i="5"/>
  <c r="CW671" i="5"/>
  <c r="AX671" i="5"/>
  <c r="AW671" i="5" s="1"/>
  <c r="AB671" i="5"/>
  <c r="DA671" i="5" s="1"/>
  <c r="DB671" i="5" s="1"/>
  <c r="CI671" i="5"/>
  <c r="BS672" i="5"/>
  <c r="AD671" i="5" l="1"/>
  <c r="AE671" i="5" s="1"/>
  <c r="BN671" i="5"/>
  <c r="BO671" i="5" s="1"/>
  <c r="BP671" i="5" s="1"/>
  <c r="G671" i="5" s="1"/>
  <c r="CP671" i="5"/>
  <c r="CQ671" i="5" s="1"/>
  <c r="R671" i="5" s="1"/>
  <c r="S671" i="5" s="1"/>
  <c r="H670" i="5"/>
  <c r="I670" i="5"/>
  <c r="AT670" i="5" s="1"/>
  <c r="T671" i="5"/>
  <c r="U671" i="5" s="1"/>
  <c r="W671" i="5"/>
  <c r="L671" i="5"/>
  <c r="CH671" i="5"/>
  <c r="CK671" i="5"/>
  <c r="CJ671" i="5" s="1"/>
  <c r="K671" i="5" s="1"/>
  <c r="CT671" i="5"/>
  <c r="CV671" i="5"/>
  <c r="BX671" i="5"/>
  <c r="BY671" i="5" s="1"/>
  <c r="BV671" i="5"/>
  <c r="BT671" i="5"/>
  <c r="BW671" i="5" l="1"/>
  <c r="J671" i="5"/>
  <c r="AN671" i="5" s="1"/>
  <c r="AP670" i="5"/>
  <c r="AH670" i="5"/>
  <c r="CN671" i="5"/>
  <c r="E671" i="5" s="1"/>
  <c r="CO671" i="5"/>
  <c r="F671" i="5" s="1"/>
  <c r="P670" i="5"/>
  <c r="M670" i="5"/>
  <c r="Q670" i="5" l="1"/>
  <c r="V670" i="5" s="1"/>
  <c r="AY670" i="5"/>
  <c r="AF671" i="5"/>
  <c r="AS670" i="5"/>
  <c r="AV670" i="5" s="1"/>
  <c r="AO670" i="5"/>
  <c r="AR670" i="5" s="1"/>
  <c r="N670" i="5"/>
  <c r="AG670" i="5"/>
  <c r="AJ670" i="5" s="1"/>
  <c r="BC671" i="5"/>
  <c r="BF671" i="5" s="1"/>
  <c r="C672" i="5"/>
  <c r="BS673" i="5"/>
  <c r="X670" i="5" l="1"/>
  <c r="Y670" i="5" s="1"/>
  <c r="Z670" i="5" s="1"/>
  <c r="AA670" i="5" s="1"/>
  <c r="CZ671" i="5"/>
  <c r="BD671" i="5"/>
  <c r="BE672" i="5" s="1"/>
  <c r="BU672" i="5"/>
  <c r="AX672" i="5"/>
  <c r="AW672" i="5" s="1"/>
  <c r="AC672" i="5"/>
  <c r="AB672" i="5"/>
  <c r="DA672" i="5" s="1"/>
  <c r="DB672" i="5" s="1"/>
  <c r="CX672" i="5"/>
  <c r="BG671" i="5"/>
  <c r="CY672" i="5"/>
  <c r="AK672" i="5"/>
  <c r="AM672" i="5" s="1"/>
  <c r="AL673" i="5" s="1"/>
  <c r="CR672" i="5"/>
  <c r="CS672" i="5"/>
  <c r="BK672" i="5"/>
  <c r="BL672" i="5" s="1"/>
  <c r="BM672" i="5" s="1"/>
  <c r="CW672" i="5"/>
  <c r="CL672" i="5"/>
  <c r="CM672" i="5" s="1"/>
  <c r="BH672" i="5"/>
  <c r="BI672" i="5" s="1"/>
  <c r="BJ672" i="5" s="1"/>
  <c r="D672" i="5"/>
  <c r="CI672" i="5"/>
  <c r="CU672" i="5"/>
  <c r="AD672" i="5" l="1"/>
  <c r="CP672" i="5"/>
  <c r="CQ672" i="5" s="1"/>
  <c r="R672" i="5" s="1"/>
  <c r="S672" i="5" s="1"/>
  <c r="BN672" i="5"/>
  <c r="BO672" i="5" s="1"/>
  <c r="BP672" i="5" s="1"/>
  <c r="G672" i="5" s="1"/>
  <c r="W672" i="5"/>
  <c r="T672" i="5"/>
  <c r="U672" i="5" s="1"/>
  <c r="H671" i="5"/>
  <c r="I671" i="5"/>
  <c r="AP671" i="5" s="1"/>
  <c r="CH672" i="5"/>
  <c r="CK672" i="5"/>
  <c r="CJ672" i="5" s="1"/>
  <c r="K672" i="5" s="1"/>
  <c r="CV672" i="5"/>
  <c r="CT672" i="5"/>
  <c r="BX672" i="5"/>
  <c r="L672" i="5"/>
  <c r="BT672" i="5"/>
  <c r="BV672" i="5"/>
  <c r="AE672" i="5" l="1"/>
  <c r="AT671" i="5"/>
  <c r="AH671" i="5"/>
  <c r="BY672" i="5"/>
  <c r="J672" i="5" s="1"/>
  <c r="AF672" i="5" s="1"/>
  <c r="BW672" i="5"/>
  <c r="P671" i="5"/>
  <c r="M671" i="5"/>
  <c r="CN672" i="5"/>
  <c r="E672" i="5" s="1"/>
  <c r="CO672" i="5"/>
  <c r="F672" i="5" s="1"/>
  <c r="BS674" i="5"/>
  <c r="Q671" i="5" l="1"/>
  <c r="V671" i="5" s="1"/>
  <c r="AY671" i="5"/>
  <c r="AS671" i="5"/>
  <c r="AV671" i="5" s="1"/>
  <c r="AO671" i="5"/>
  <c r="AR671" i="5" s="1"/>
  <c r="AN672" i="5"/>
  <c r="BC672" i="5"/>
  <c r="CZ672" i="5" s="1"/>
  <c r="AG671" i="5"/>
  <c r="AJ671" i="5" s="1"/>
  <c r="N671" i="5"/>
  <c r="C673" i="5"/>
  <c r="X671" i="5" l="1"/>
  <c r="Y671" i="5" s="1"/>
  <c r="Z671" i="5" s="1"/>
  <c r="AA671" i="5" s="1"/>
  <c r="BD672" i="5"/>
  <c r="BE673" i="5" s="1"/>
  <c r="BF672" i="5"/>
  <c r="CI673" i="5"/>
  <c r="CX673" i="5"/>
  <c r="BK673" i="5"/>
  <c r="BL673" i="5" s="1"/>
  <c r="BM673" i="5" s="1"/>
  <c r="CY673" i="5"/>
  <c r="BG672" i="5"/>
  <c r="CW673" i="5"/>
  <c r="CL673" i="5"/>
  <c r="CM673" i="5" s="1"/>
  <c r="CS673" i="5"/>
  <c r="AB673" i="5"/>
  <c r="BN673" i="5" s="1"/>
  <c r="BO673" i="5" s="1"/>
  <c r="BP673" i="5" s="1"/>
  <c r="AX673" i="5"/>
  <c r="AW673" i="5" s="1"/>
  <c r="BH673" i="5"/>
  <c r="BI673" i="5" s="1"/>
  <c r="BJ673" i="5" s="1"/>
  <c r="D673" i="5"/>
  <c r="AK673" i="5"/>
  <c r="AC673" i="5"/>
  <c r="AD673" i="5" s="1"/>
  <c r="CR673" i="5"/>
  <c r="BU673" i="5"/>
  <c r="CU673" i="5"/>
  <c r="L673" i="5" l="1"/>
  <c r="CP673" i="5"/>
  <c r="CQ673" i="5" s="1"/>
  <c r="R673" i="5" s="1"/>
  <c r="S673" i="5" s="1"/>
  <c r="DA673" i="5"/>
  <c r="DB673" i="5" s="1"/>
  <c r="AE673" i="5"/>
  <c r="CT673" i="5"/>
  <c r="CV673" i="5"/>
  <c r="BX673" i="5"/>
  <c r="AM673" i="5"/>
  <c r="AL674" i="5" s="1"/>
  <c r="H672" i="5"/>
  <c r="I672" i="5"/>
  <c r="AP672" i="5" s="1"/>
  <c r="BT673" i="5"/>
  <c r="BV673" i="5"/>
  <c r="W673" i="5"/>
  <c r="T673" i="5"/>
  <c r="U673" i="5" s="1"/>
  <c r="G673" i="5"/>
  <c r="CH673" i="5"/>
  <c r="CK673" i="5"/>
  <c r="CJ673" i="5" s="1"/>
  <c r="AT672" i="5" l="1"/>
  <c r="AH672" i="5"/>
  <c r="K673" i="5"/>
  <c r="BY673" i="5"/>
  <c r="J673" i="5" s="1"/>
  <c r="AN673" i="5" s="1"/>
  <c r="BW673" i="5"/>
  <c r="CO673" i="5"/>
  <c r="F673" i="5" s="1"/>
  <c r="CN673" i="5"/>
  <c r="E673" i="5" s="1"/>
  <c r="P672" i="5"/>
  <c r="M672" i="5"/>
  <c r="BS675" i="5"/>
  <c r="AF673" i="5" l="1"/>
  <c r="Q672" i="5"/>
  <c r="V672" i="5" s="1"/>
  <c r="AY672" i="5"/>
  <c r="AG672" i="5"/>
  <c r="AO672" i="5"/>
  <c r="AR672" i="5" s="1"/>
  <c r="AJ672" i="5"/>
  <c r="N672" i="5"/>
  <c r="AS672" i="5"/>
  <c r="AV672" i="5" s="1"/>
  <c r="C674" i="5"/>
  <c r="CX674" i="5" s="1"/>
  <c r="BC673" i="5"/>
  <c r="X672" i="5" l="1"/>
  <c r="Y672" i="5" s="1"/>
  <c r="Z672" i="5" s="1"/>
  <c r="AA672" i="5" s="1"/>
  <c r="BG673" i="5"/>
  <c r="CL674" i="5"/>
  <c r="CM674" i="5" s="1"/>
  <c r="CY674" i="5"/>
  <c r="CU674" i="5"/>
  <c r="AB674" i="5"/>
  <c r="CP674" i="5" s="1"/>
  <c r="CQ674" i="5" s="1"/>
  <c r="R674" i="5" s="1"/>
  <c r="S674" i="5" s="1"/>
  <c r="BH674" i="5"/>
  <c r="BI674" i="5" s="1"/>
  <c r="BJ674" i="5" s="1"/>
  <c r="D674" i="5"/>
  <c r="W674" i="5" s="1"/>
  <c r="AK674" i="5"/>
  <c r="CR674" i="5"/>
  <c r="AX674" i="5"/>
  <c r="AW674" i="5" s="1"/>
  <c r="CS674" i="5"/>
  <c r="CI674" i="5"/>
  <c r="CK674" i="5" s="1"/>
  <c r="CJ674" i="5" s="1"/>
  <c r="BU674" i="5"/>
  <c r="BT674" i="5" s="1"/>
  <c r="BK674" i="5"/>
  <c r="BL674" i="5" s="1"/>
  <c r="BM674" i="5" s="1"/>
  <c r="CW674" i="5"/>
  <c r="AC674" i="5"/>
  <c r="AD674" i="5" s="1"/>
  <c r="H673" i="5"/>
  <c r="I673" i="5"/>
  <c r="AH673" i="5" s="1"/>
  <c r="CZ673" i="5"/>
  <c r="BF673" i="5"/>
  <c r="BD673" i="5"/>
  <c r="BE674" i="5" s="1"/>
  <c r="BS676" i="5"/>
  <c r="BN674" i="5" l="1"/>
  <c r="BO674" i="5" s="1"/>
  <c r="BP674" i="5" s="1"/>
  <c r="G674" i="5" s="1"/>
  <c r="T674" i="5"/>
  <c r="U674" i="5" s="1"/>
  <c r="BV674" i="5"/>
  <c r="AP673" i="5"/>
  <c r="AT673" i="5"/>
  <c r="L674" i="5"/>
  <c r="CH674" i="5"/>
  <c r="DA674" i="5"/>
  <c r="DB674" i="5" s="1"/>
  <c r="AE674" i="5"/>
  <c r="BX674" i="5"/>
  <c r="CV674" i="5"/>
  <c r="CT674" i="5"/>
  <c r="AM674" i="5"/>
  <c r="AL675" i="5" s="1"/>
  <c r="P673" i="5"/>
  <c r="M673" i="5"/>
  <c r="AG673" i="5" s="1"/>
  <c r="AJ673" i="5" s="1"/>
  <c r="Q673" i="5" l="1"/>
  <c r="V673" i="5" s="1"/>
  <c r="AY673" i="5"/>
  <c r="N673" i="5"/>
  <c r="AS673" i="5"/>
  <c r="AV673" i="5" s="1"/>
  <c r="AO673" i="5"/>
  <c r="CN674" i="5"/>
  <c r="E674" i="5" s="1"/>
  <c r="CO674" i="5"/>
  <c r="F674" i="5" s="1"/>
  <c r="BW674" i="5"/>
  <c r="BY674" i="5"/>
  <c r="J674" i="5" s="1"/>
  <c r="K674" i="5"/>
  <c r="AF674" i="5" l="1"/>
  <c r="AN674" i="5"/>
  <c r="C675" i="5"/>
  <c r="BH675" i="5" s="1"/>
  <c r="BI675" i="5" s="1"/>
  <c r="BJ675" i="5" s="1"/>
  <c r="AR673" i="5"/>
  <c r="X673" i="5" s="1"/>
  <c r="Y673" i="5" s="1"/>
  <c r="Z673" i="5" s="1"/>
  <c r="AA673" i="5" s="1"/>
  <c r="BC674" i="5"/>
  <c r="BG674" i="5" l="1"/>
  <c r="I674" i="5" s="1"/>
  <c r="AP674" i="5" s="1"/>
  <c r="AK675" i="5"/>
  <c r="AM675" i="5" s="1"/>
  <c r="AL676" i="5" s="1"/>
  <c r="CU675" i="5"/>
  <c r="BX675" i="5" s="1"/>
  <c r="BY675" i="5" s="1"/>
  <c r="CI675" i="5"/>
  <c r="CH675" i="5" s="1"/>
  <c r="CS675" i="5"/>
  <c r="CL675" i="5"/>
  <c r="CM675" i="5" s="1"/>
  <c r="AX675" i="5"/>
  <c r="AW675" i="5" s="1"/>
  <c r="BK675" i="5"/>
  <c r="BL675" i="5" s="1"/>
  <c r="BM675" i="5" s="1"/>
  <c r="D675" i="5"/>
  <c r="T675" i="5" s="1"/>
  <c r="U675" i="5" s="1"/>
  <c r="CR675" i="5"/>
  <c r="AC675" i="5"/>
  <c r="CX675" i="5"/>
  <c r="BU675" i="5"/>
  <c r="BT675" i="5" s="1"/>
  <c r="CY675" i="5"/>
  <c r="AB675" i="5"/>
  <c r="CW675" i="5"/>
  <c r="BF674" i="5"/>
  <c r="BD674" i="5"/>
  <c r="BE675" i="5" s="1"/>
  <c r="CZ674" i="5"/>
  <c r="BS677" i="5"/>
  <c r="AD675" i="5" l="1"/>
  <c r="AE675" i="5" s="1"/>
  <c r="CK675" i="5"/>
  <c r="CJ675" i="5" s="1"/>
  <c r="H674" i="5"/>
  <c r="M674" i="5" s="1"/>
  <c r="BW675" i="5"/>
  <c r="CV675" i="5"/>
  <c r="CT675" i="5"/>
  <c r="W675" i="5"/>
  <c r="BN675" i="5"/>
  <c r="BO675" i="5" s="1"/>
  <c r="BP675" i="5" s="1"/>
  <c r="G675" i="5" s="1"/>
  <c r="DA675" i="5"/>
  <c r="DB675" i="5" s="1"/>
  <c r="K675" i="5" s="1"/>
  <c r="L675" i="5"/>
  <c r="BV675" i="5"/>
  <c r="J675" i="5" s="1"/>
  <c r="CP675" i="5"/>
  <c r="CQ675" i="5" s="1"/>
  <c r="R675" i="5" s="1"/>
  <c r="S675" i="5" s="1"/>
  <c r="AT674" i="5"/>
  <c r="AH674" i="5"/>
  <c r="CO675" i="5"/>
  <c r="F675" i="5" s="1"/>
  <c r="CN675" i="5"/>
  <c r="E675" i="5" s="1"/>
  <c r="P674" i="5"/>
  <c r="Q674" i="5" l="1"/>
  <c r="V674" i="5" s="1"/>
  <c r="AY674" i="5"/>
  <c r="AG674" i="5"/>
  <c r="AJ674" i="5" s="1"/>
  <c r="AO674" i="5"/>
  <c r="AR674" i="5" s="1"/>
  <c r="BC675" i="5"/>
  <c r="BF675" i="5" s="1"/>
  <c r="N674" i="5"/>
  <c r="AS674" i="5"/>
  <c r="AV674" i="5" s="1"/>
  <c r="X674" i="5" s="1"/>
  <c r="C676" i="5"/>
  <c r="AN675" i="5"/>
  <c r="AF675" i="5"/>
  <c r="Y674" i="5" l="1"/>
  <c r="Z674" i="5" s="1"/>
  <c r="AA674" i="5" s="1"/>
  <c r="BD675" i="5"/>
  <c r="BE676" i="5" s="1"/>
  <c r="CZ675" i="5"/>
  <c r="CL676" i="5"/>
  <c r="CM676" i="5" s="1"/>
  <c r="AB676" i="5"/>
  <c r="L676" i="5" s="1"/>
  <c r="D676" i="5"/>
  <c r="BH676" i="5"/>
  <c r="BI676" i="5" s="1"/>
  <c r="BJ676" i="5" s="1"/>
  <c r="AK676" i="5"/>
  <c r="BK676" i="5"/>
  <c r="BL676" i="5" s="1"/>
  <c r="BM676" i="5" s="1"/>
  <c r="AC676" i="5"/>
  <c r="AD676" i="5" s="1"/>
  <c r="CX676" i="5"/>
  <c r="CW676" i="5"/>
  <c r="CS676" i="5"/>
  <c r="BG675" i="5"/>
  <c r="CR676" i="5"/>
  <c r="CY676" i="5"/>
  <c r="AX676" i="5"/>
  <c r="AW676" i="5" s="1"/>
  <c r="BU676" i="5"/>
  <c r="CI676" i="5"/>
  <c r="CU676" i="5"/>
  <c r="BS678" i="5"/>
  <c r="CK676" i="5" l="1"/>
  <c r="CJ676" i="5" s="1"/>
  <c r="CH676" i="5"/>
  <c r="H675" i="5"/>
  <c r="I675" i="5"/>
  <c r="BN676" i="5"/>
  <c r="BO676" i="5" s="1"/>
  <c r="BP676" i="5" s="1"/>
  <c r="G676" i="5" s="1"/>
  <c r="T676" i="5"/>
  <c r="U676" i="5" s="1"/>
  <c r="W676" i="5"/>
  <c r="CP676" i="5"/>
  <c r="CQ676" i="5" s="1"/>
  <c r="R676" i="5" s="1"/>
  <c r="S676" i="5" s="1"/>
  <c r="AE676" i="5"/>
  <c r="DA676" i="5"/>
  <c r="DB676" i="5" s="1"/>
  <c r="BT676" i="5"/>
  <c r="BV676" i="5"/>
  <c r="CT676" i="5"/>
  <c r="CV676" i="5"/>
  <c r="BX676" i="5"/>
  <c r="AM676" i="5"/>
  <c r="AL677" i="5" s="1"/>
  <c r="AH675" i="5" l="1"/>
  <c r="AT675" i="5"/>
  <c r="AP675" i="5"/>
  <c r="BY676" i="5"/>
  <c r="J676" i="5" s="1"/>
  <c r="AN676" i="5" s="1"/>
  <c r="BW676" i="5"/>
  <c r="M675" i="5"/>
  <c r="P675" i="5"/>
  <c r="K676" i="5"/>
  <c r="CN676" i="5"/>
  <c r="E676" i="5" s="1"/>
  <c r="CO676" i="5"/>
  <c r="F676" i="5" s="1"/>
  <c r="Q675" i="5" l="1"/>
  <c r="V675" i="5" s="1"/>
  <c r="AY675" i="5"/>
  <c r="AF676" i="5"/>
  <c r="AS675" i="5"/>
  <c r="AV675" i="5" s="1"/>
  <c r="AO675" i="5"/>
  <c r="BC676" i="5"/>
  <c r="CZ676" i="5" s="1"/>
  <c r="N675" i="5"/>
  <c r="AG675" i="5"/>
  <c r="C677" i="5"/>
  <c r="BS679" i="5"/>
  <c r="BF676" i="5" l="1"/>
  <c r="AJ675" i="5"/>
  <c r="AR675" i="5"/>
  <c r="BD676" i="5"/>
  <c r="BE677" i="5" s="1"/>
  <c r="CX677" i="5"/>
  <c r="CS677" i="5"/>
  <c r="AC677" i="5"/>
  <c r="AD677" i="5" s="1"/>
  <c r="CY677" i="5"/>
  <c r="BH677" i="5"/>
  <c r="BI677" i="5" s="1"/>
  <c r="BJ677" i="5" s="1"/>
  <c r="D677" i="5"/>
  <c r="BK677" i="5"/>
  <c r="BL677" i="5" s="1"/>
  <c r="BM677" i="5" s="1"/>
  <c r="AB677" i="5"/>
  <c r="L677" i="5" s="1"/>
  <c r="AK677" i="5"/>
  <c r="CR677" i="5"/>
  <c r="CL677" i="5"/>
  <c r="CM677" i="5" s="1"/>
  <c r="BG676" i="5"/>
  <c r="CW677" i="5"/>
  <c r="AX677" i="5"/>
  <c r="AW677" i="5" s="1"/>
  <c r="BU677" i="5"/>
  <c r="CI677" i="5"/>
  <c r="CU677" i="5"/>
  <c r="DA677" i="5" l="1"/>
  <c r="DB677" i="5" s="1"/>
  <c r="K677" i="5" s="1"/>
  <c r="X675" i="5"/>
  <c r="Y675" i="5" s="1"/>
  <c r="Z675" i="5" s="1"/>
  <c r="AA675" i="5" s="1"/>
  <c r="CP677" i="5"/>
  <c r="CQ677" i="5" s="1"/>
  <c r="R677" i="5" s="1"/>
  <c r="S677" i="5" s="1"/>
  <c r="BN677" i="5"/>
  <c r="BO677" i="5" s="1"/>
  <c r="BP677" i="5" s="1"/>
  <c r="G677" i="5" s="1"/>
  <c r="W677" i="5"/>
  <c r="T677" i="5"/>
  <c r="U677" i="5" s="1"/>
  <c r="CV677" i="5"/>
  <c r="CT677" i="5"/>
  <c r="BX677" i="5"/>
  <c r="CK677" i="5"/>
  <c r="CJ677" i="5" s="1"/>
  <c r="CH677" i="5"/>
  <c r="BT677" i="5"/>
  <c r="BV677" i="5"/>
  <c r="H676" i="5"/>
  <c r="I676" i="5"/>
  <c r="AH676" i="5" s="1"/>
  <c r="AE677" i="5"/>
  <c r="AM677" i="5"/>
  <c r="AL678" i="5" s="1"/>
  <c r="AT676" i="5" l="1"/>
  <c r="AP676" i="5"/>
  <c r="BW677" i="5"/>
  <c r="BY677" i="5"/>
  <c r="J677" i="5" s="1"/>
  <c r="AF677" i="5" s="1"/>
  <c r="CO677" i="5"/>
  <c r="F677" i="5" s="1"/>
  <c r="CN677" i="5"/>
  <c r="E677" i="5" s="1"/>
  <c r="M676" i="5"/>
  <c r="AG676" i="5" s="1"/>
  <c r="AJ676" i="5" s="1"/>
  <c r="P676" i="5"/>
  <c r="Q676" i="5" l="1"/>
  <c r="V676" i="5" s="1"/>
  <c r="AY676" i="5"/>
  <c r="AN677" i="5"/>
  <c r="BC677" i="5"/>
  <c r="BD677" i="5" s="1"/>
  <c r="BE678" i="5" s="1"/>
  <c r="N676" i="5"/>
  <c r="AS676" i="5"/>
  <c r="AV676" i="5" s="1"/>
  <c r="AO676" i="5"/>
  <c r="AR676" i="5" s="1"/>
  <c r="C678" i="5"/>
  <c r="AX678" i="5" s="1"/>
  <c r="AW678" i="5" s="1"/>
  <c r="BS680" i="5"/>
  <c r="BG677" i="5" l="1"/>
  <c r="X676" i="5"/>
  <c r="Y676" i="5" s="1"/>
  <c r="Z676" i="5" s="1"/>
  <c r="AA676" i="5" s="1"/>
  <c r="AB678" i="5"/>
  <c r="CP678" i="5" s="1"/>
  <c r="CQ678" i="5" s="1"/>
  <c r="R678" i="5" s="1"/>
  <c r="S678" i="5" s="1"/>
  <c r="CY678" i="5"/>
  <c r="CZ677" i="5"/>
  <c r="AC678" i="5"/>
  <c r="BF677" i="5"/>
  <c r="CW678" i="5"/>
  <c r="D678" i="5"/>
  <c r="W678" i="5" s="1"/>
  <c r="AK678" i="5"/>
  <c r="AM678" i="5" s="1"/>
  <c r="AL679" i="5" s="1"/>
  <c r="CL678" i="5"/>
  <c r="CM678" i="5" s="1"/>
  <c r="CI678" i="5"/>
  <c r="CH678" i="5" s="1"/>
  <c r="CU678" i="5"/>
  <c r="CT678" i="5" s="1"/>
  <c r="CS678" i="5"/>
  <c r="CR678" i="5"/>
  <c r="CX678" i="5"/>
  <c r="BH678" i="5"/>
  <c r="BI678" i="5" s="1"/>
  <c r="BJ678" i="5" s="1"/>
  <c r="BK678" i="5"/>
  <c r="BL678" i="5" s="1"/>
  <c r="BM678" i="5" s="1"/>
  <c r="BU678" i="5"/>
  <c r="BT678" i="5" s="1"/>
  <c r="CK678" i="5"/>
  <c r="CJ678" i="5" s="1"/>
  <c r="AD678" i="5"/>
  <c r="I677" i="5"/>
  <c r="AP677" i="5" s="1"/>
  <c r="H677" i="5"/>
  <c r="BX678" i="5"/>
  <c r="DA678" i="5"/>
  <c r="DB678" i="5" s="1"/>
  <c r="L678" i="5" l="1"/>
  <c r="BN678" i="5"/>
  <c r="BO678" i="5" s="1"/>
  <c r="BP678" i="5" s="1"/>
  <c r="G678" i="5" s="1"/>
  <c r="K678" i="5"/>
  <c r="CV678" i="5"/>
  <c r="T678" i="5"/>
  <c r="U678" i="5" s="1"/>
  <c r="BV678" i="5"/>
  <c r="AT677" i="5"/>
  <c r="AH677" i="5"/>
  <c r="M677" i="5"/>
  <c r="P677" i="5"/>
  <c r="AE678" i="5"/>
  <c r="AD679" i="5" s="1"/>
  <c r="BY678" i="5"/>
  <c r="BW678" i="5"/>
  <c r="CO678" i="5"/>
  <c r="F678" i="5" s="1"/>
  <c r="CN678" i="5"/>
  <c r="E678" i="5" s="1"/>
  <c r="BC678" i="5" l="1"/>
  <c r="CZ678" i="5" s="1"/>
  <c r="J678" i="5"/>
  <c r="AF678" i="5" s="1"/>
  <c r="Q677" i="5"/>
  <c r="V677" i="5" s="1"/>
  <c r="AY677" i="5"/>
  <c r="AS677" i="5"/>
  <c r="AV677" i="5" s="1"/>
  <c r="AO677" i="5"/>
  <c r="AR677" i="5" s="1"/>
  <c r="N677" i="5"/>
  <c r="AG677" i="5"/>
  <c r="AJ677" i="5" s="1"/>
  <c r="C679" i="5"/>
  <c r="AC679" i="5" s="1"/>
  <c r="BS681" i="5"/>
  <c r="AN678" i="5" l="1"/>
  <c r="BD678" i="5"/>
  <c r="BE679" i="5" s="1"/>
  <c r="BF678" i="5"/>
  <c r="X677" i="5"/>
  <c r="Y677" i="5" s="1"/>
  <c r="Z677" i="5" s="1"/>
  <c r="AA677" i="5" s="1"/>
  <c r="BG678" i="5"/>
  <c r="I678" i="5" s="1"/>
  <c r="AP678" i="5" s="1"/>
  <c r="CX679" i="5"/>
  <c r="D679" i="5"/>
  <c r="W679" i="5" s="1"/>
  <c r="CU679" i="5"/>
  <c r="BX679" i="5" s="1"/>
  <c r="BY679" i="5" s="1"/>
  <c r="AX679" i="5"/>
  <c r="AW679" i="5" s="1"/>
  <c r="AB679" i="5"/>
  <c r="CP679" i="5" s="1"/>
  <c r="CQ679" i="5" s="1"/>
  <c r="R679" i="5" s="1"/>
  <c r="S679" i="5" s="1"/>
  <c r="CL679" i="5"/>
  <c r="CM679" i="5" s="1"/>
  <c r="BK679" i="5"/>
  <c r="BL679" i="5" s="1"/>
  <c r="BM679" i="5" s="1"/>
  <c r="CS679" i="5"/>
  <c r="CW679" i="5"/>
  <c r="CI679" i="5"/>
  <c r="CH679" i="5" s="1"/>
  <c r="BU679" i="5"/>
  <c r="CY679" i="5"/>
  <c r="AK679" i="5"/>
  <c r="AM679" i="5" s="1"/>
  <c r="AL680" i="5" s="1"/>
  <c r="BH679" i="5"/>
  <c r="BI679" i="5" s="1"/>
  <c r="BJ679" i="5" s="1"/>
  <c r="CR679" i="5"/>
  <c r="AE679" i="5"/>
  <c r="CT679" i="5" l="1"/>
  <c r="BW679" i="5"/>
  <c r="H678" i="5"/>
  <c r="M678" i="5" s="1"/>
  <c r="AY679" i="5"/>
  <c r="DA679" i="5"/>
  <c r="DB679" i="5" s="1"/>
  <c r="K679" i="5" s="1"/>
  <c r="T679" i="5"/>
  <c r="U679" i="5" s="1"/>
  <c r="L679" i="5"/>
  <c r="CV679" i="5"/>
  <c r="CO679" i="5" s="1"/>
  <c r="F679" i="5" s="1"/>
  <c r="AH678" i="5"/>
  <c r="AT678" i="5"/>
  <c r="BN679" i="5"/>
  <c r="BO679" i="5" s="1"/>
  <c r="BP679" i="5" s="1"/>
  <c r="G679" i="5" s="1"/>
  <c r="CK679" i="5"/>
  <c r="CJ679" i="5" s="1"/>
  <c r="BV679" i="5"/>
  <c r="J679" i="5" s="1"/>
  <c r="BT679" i="5"/>
  <c r="P678" i="5"/>
  <c r="BS682" i="5"/>
  <c r="Q678" i="5" l="1"/>
  <c r="V678" i="5" s="1"/>
  <c r="AY678" i="5"/>
  <c r="CN679" i="5"/>
  <c r="E679" i="5" s="1"/>
  <c r="BC679" i="5" s="1"/>
  <c r="BF679" i="5" s="1"/>
  <c r="AF679" i="5"/>
  <c r="AS678" i="5"/>
  <c r="AV678" i="5" s="1"/>
  <c r="AO678" i="5"/>
  <c r="AR678" i="5" s="1"/>
  <c r="AN679" i="5"/>
  <c r="N678" i="5"/>
  <c r="AG678" i="5"/>
  <c r="C680" i="5" l="1"/>
  <c r="AC680" i="5" s="1"/>
  <c r="AD680" i="5" s="1"/>
  <c r="AJ678" i="5"/>
  <c r="X678" i="5" s="1"/>
  <c r="Y678" i="5" s="1"/>
  <c r="Z678" i="5" s="1"/>
  <c r="AA678" i="5" s="1"/>
  <c r="CZ679" i="5"/>
  <c r="BD679" i="5"/>
  <c r="BE680" i="5" s="1"/>
  <c r="BG679" i="5"/>
  <c r="CU680" i="5"/>
  <c r="AB680" i="5" l="1"/>
  <c r="L680" i="5" s="1"/>
  <c r="D680" i="5"/>
  <c r="T680" i="5" s="1"/>
  <c r="U680" i="5" s="1"/>
  <c r="CY680" i="5"/>
  <c r="BH680" i="5"/>
  <c r="BI680" i="5" s="1"/>
  <c r="BJ680" i="5" s="1"/>
  <c r="AK680" i="5"/>
  <c r="CL680" i="5"/>
  <c r="CM680" i="5" s="1"/>
  <c r="BU680" i="5"/>
  <c r="BT680" i="5" s="1"/>
  <c r="CR680" i="5"/>
  <c r="AX680" i="5"/>
  <c r="AW680" i="5" s="1"/>
  <c r="CS680" i="5"/>
  <c r="BK680" i="5"/>
  <c r="BL680" i="5" s="1"/>
  <c r="BM680" i="5" s="1"/>
  <c r="CX680" i="5"/>
  <c r="CW680" i="5"/>
  <c r="CI680" i="5"/>
  <c r="CK680" i="5" s="1"/>
  <c r="CJ680" i="5" s="1"/>
  <c r="BN680" i="5"/>
  <c r="BO680" i="5" s="1"/>
  <c r="BP680" i="5" s="1"/>
  <c r="G680" i="5" s="1"/>
  <c r="CP680" i="5"/>
  <c r="CQ680" i="5" s="1"/>
  <c r="R680" i="5" s="1"/>
  <c r="S680" i="5" s="1"/>
  <c r="AE680" i="5"/>
  <c r="AD681" i="5" s="1"/>
  <c r="H679" i="5"/>
  <c r="I679" i="5"/>
  <c r="AP679" i="5" s="1"/>
  <c r="CV680" i="5"/>
  <c r="CT680" i="5"/>
  <c r="BX680" i="5"/>
  <c r="DA680" i="5"/>
  <c r="DB680" i="5" s="1"/>
  <c r="AM680" i="5"/>
  <c r="AL681" i="5" s="1"/>
  <c r="W680" i="5" l="1"/>
  <c r="BV680" i="5"/>
  <c r="CH680" i="5"/>
  <c r="K680" i="5"/>
  <c r="AH679" i="5"/>
  <c r="AT679" i="5"/>
  <c r="M679" i="5"/>
  <c r="P679" i="5"/>
  <c r="Q679" i="5" s="1"/>
  <c r="V679" i="5" s="1"/>
  <c r="BY680" i="5"/>
  <c r="J680" i="5" s="1"/>
  <c r="AN680" i="5" s="1"/>
  <c r="BW680" i="5"/>
  <c r="CN680" i="5"/>
  <c r="E680" i="5" s="1"/>
  <c r="CO680" i="5"/>
  <c r="F680" i="5" s="1"/>
  <c r="BS683" i="5"/>
  <c r="AF680" i="5" l="1"/>
  <c r="AG679" i="5"/>
  <c r="AO679" i="5"/>
  <c r="AR679" i="5" s="1"/>
  <c r="AJ679" i="5"/>
  <c r="C681" i="5"/>
  <c r="CI681" i="5" s="1"/>
  <c r="CK681" i="5" s="1"/>
  <c r="CJ681" i="5" s="1"/>
  <c r="N679" i="5"/>
  <c r="AS679" i="5"/>
  <c r="AV679" i="5" s="1"/>
  <c r="X679" i="5" s="1"/>
  <c r="Y679" i="5" s="1"/>
  <c r="Z679" i="5" s="1"/>
  <c r="AA679" i="5" s="1"/>
  <c r="BC680" i="5"/>
  <c r="CU681" i="5" l="1"/>
  <c r="BU681" i="5"/>
  <c r="CL681" i="5"/>
  <c r="CM681" i="5" s="1"/>
  <c r="BH681" i="5"/>
  <c r="BI681" i="5" s="1"/>
  <c r="BJ681" i="5" s="1"/>
  <c r="AK681" i="5"/>
  <c r="AM681" i="5" s="1"/>
  <c r="AL682" i="5" s="1"/>
  <c r="AC681" i="5"/>
  <c r="AE681" i="5" s="1"/>
  <c r="AD682" i="5" s="1"/>
  <c r="AX681" i="5"/>
  <c r="AW681" i="5" s="1"/>
  <c r="BG680" i="5"/>
  <c r="H680" i="5" s="1"/>
  <c r="AB681" i="5"/>
  <c r="BN681" i="5" s="1"/>
  <c r="BO681" i="5" s="1"/>
  <c r="BP681" i="5" s="1"/>
  <c r="D681" i="5"/>
  <c r="W681" i="5" s="1"/>
  <c r="CH681" i="5"/>
  <c r="CY681" i="5"/>
  <c r="CW681" i="5"/>
  <c r="CX681" i="5"/>
  <c r="CR681" i="5"/>
  <c r="BK681" i="5"/>
  <c r="BL681" i="5" s="1"/>
  <c r="BM681" i="5" s="1"/>
  <c r="CS681" i="5"/>
  <c r="BV681" i="5"/>
  <c r="BT681" i="5"/>
  <c r="CT681" i="5"/>
  <c r="CV681" i="5"/>
  <c r="BX681" i="5"/>
  <c r="BF680" i="5"/>
  <c r="CZ680" i="5"/>
  <c r="BD680" i="5"/>
  <c r="BE681" i="5" s="1"/>
  <c r="L681" i="5" l="1"/>
  <c r="DA681" i="5"/>
  <c r="DB681" i="5" s="1"/>
  <c r="K681" i="5" s="1"/>
  <c r="CP681" i="5"/>
  <c r="CQ681" i="5" s="1"/>
  <c r="R681" i="5" s="1"/>
  <c r="S681" i="5" s="1"/>
  <c r="G681" i="5"/>
  <c r="T681" i="5"/>
  <c r="U681" i="5" s="1"/>
  <c r="I680" i="5"/>
  <c r="AH680" i="5" s="1"/>
  <c r="M680" i="5"/>
  <c r="AG680" i="5" s="1"/>
  <c r="P680" i="5"/>
  <c r="CO681" i="5"/>
  <c r="F681" i="5" s="1"/>
  <c r="CN681" i="5"/>
  <c r="E681" i="5" s="1"/>
  <c r="BY681" i="5"/>
  <c r="J681" i="5" s="1"/>
  <c r="BW681" i="5"/>
  <c r="BS684" i="5"/>
  <c r="AF681" i="5" l="1"/>
  <c r="AP680" i="5"/>
  <c r="AT680" i="5"/>
  <c r="Q680" i="5"/>
  <c r="V680" i="5" s="1"/>
  <c r="AY680" i="5"/>
  <c r="AJ680" i="5"/>
  <c r="AN681" i="5"/>
  <c r="BC681" i="5"/>
  <c r="BF681" i="5" s="1"/>
  <c r="N680" i="5"/>
  <c r="AS680" i="5"/>
  <c r="AO680" i="5"/>
  <c r="C682" i="5"/>
  <c r="AV680" i="5" l="1"/>
  <c r="AR680" i="5"/>
  <c r="BD681" i="5"/>
  <c r="BE682" i="5" s="1"/>
  <c r="CZ681" i="5"/>
  <c r="AC682" i="5"/>
  <c r="CW682" i="5"/>
  <c r="CR682" i="5"/>
  <c r="BK682" i="5"/>
  <c r="BL682" i="5" s="1"/>
  <c r="BM682" i="5" s="1"/>
  <c r="CX682" i="5"/>
  <c r="CY682" i="5"/>
  <c r="AK682" i="5"/>
  <c r="AB682" i="5"/>
  <c r="CP682" i="5" s="1"/>
  <c r="CQ682" i="5" s="1"/>
  <c r="R682" i="5" s="1"/>
  <c r="S682" i="5" s="1"/>
  <c r="CS682" i="5"/>
  <c r="BH682" i="5"/>
  <c r="BI682" i="5" s="1"/>
  <c r="BJ682" i="5" s="1"/>
  <c r="D682" i="5"/>
  <c r="CL682" i="5"/>
  <c r="CM682" i="5" s="1"/>
  <c r="BG681" i="5"/>
  <c r="CI682" i="5"/>
  <c r="AX682" i="5"/>
  <c r="AW682" i="5" s="1"/>
  <c r="BU682" i="5"/>
  <c r="CU682" i="5"/>
  <c r="X680" i="5" l="1"/>
  <c r="Y680" i="5" s="1"/>
  <c r="Z680" i="5" s="1"/>
  <c r="AA680" i="5" s="1"/>
  <c r="BN682" i="5"/>
  <c r="BO682" i="5" s="1"/>
  <c r="BP682" i="5" s="1"/>
  <c r="G682" i="5" s="1"/>
  <c r="DA682" i="5"/>
  <c r="DB682" i="5" s="1"/>
  <c r="L682" i="5"/>
  <c r="BV682" i="5"/>
  <c r="BT682" i="5"/>
  <c r="T682" i="5"/>
  <c r="U682" i="5" s="1"/>
  <c r="W682" i="5"/>
  <c r="CH682" i="5"/>
  <c r="CK682" i="5"/>
  <c r="CJ682" i="5" s="1"/>
  <c r="H681" i="5"/>
  <c r="I681" i="5"/>
  <c r="AP681" i="5" s="1"/>
  <c r="AE682" i="5"/>
  <c r="CT682" i="5"/>
  <c r="CV682" i="5"/>
  <c r="BX682" i="5"/>
  <c r="AM682" i="5"/>
  <c r="AL683" i="5" s="1"/>
  <c r="K682" i="5" l="1"/>
  <c r="AT681" i="5"/>
  <c r="AH681" i="5"/>
  <c r="BW682" i="5"/>
  <c r="BY682" i="5"/>
  <c r="J682" i="5" s="1"/>
  <c r="CO682" i="5"/>
  <c r="F682" i="5" s="1"/>
  <c r="CN682" i="5"/>
  <c r="E682" i="5" s="1"/>
  <c r="P681" i="5"/>
  <c r="M681" i="5"/>
  <c r="BS685" i="5"/>
  <c r="Q681" i="5" l="1"/>
  <c r="V681" i="5" s="1"/>
  <c r="AY681" i="5"/>
  <c r="BC682" i="5"/>
  <c r="CZ682" i="5" s="1"/>
  <c r="AG681" i="5"/>
  <c r="AJ681" i="5" s="1"/>
  <c r="AO681" i="5"/>
  <c r="AR681" i="5" s="1"/>
  <c r="AF682" i="5"/>
  <c r="AN682" i="5"/>
  <c r="C683" i="5"/>
  <c r="N681" i="5"/>
  <c r="AS681" i="5"/>
  <c r="AV681" i="5" s="1"/>
  <c r="BF682" i="5" l="1"/>
  <c r="BD682" i="5"/>
  <c r="BE683" i="5" s="1"/>
  <c r="X681" i="5"/>
  <c r="Y681" i="5" s="1"/>
  <c r="Z681" i="5" s="1"/>
  <c r="AA681" i="5" s="1"/>
  <c r="BH683" i="5"/>
  <c r="BI683" i="5" s="1"/>
  <c r="BJ683" i="5" s="1"/>
  <c r="AB683" i="5"/>
  <c r="L683" i="5" s="1"/>
  <c r="CX683" i="5"/>
  <c r="CY683" i="5"/>
  <c r="D683" i="5"/>
  <c r="AC683" i="5"/>
  <c r="AD683" i="5" s="1"/>
  <c r="CL683" i="5"/>
  <c r="CM683" i="5" s="1"/>
  <c r="CR683" i="5"/>
  <c r="AK683" i="5"/>
  <c r="CS683" i="5"/>
  <c r="BK683" i="5"/>
  <c r="BL683" i="5" s="1"/>
  <c r="BM683" i="5" s="1"/>
  <c r="CW683" i="5"/>
  <c r="BG682" i="5"/>
  <c r="AX683" i="5"/>
  <c r="AW683" i="5" s="1"/>
  <c r="CI683" i="5"/>
  <c r="BU683" i="5"/>
  <c r="CU683" i="5"/>
  <c r="CP683" i="5" l="1"/>
  <c r="CQ683" i="5" s="1"/>
  <c r="R683" i="5" s="1"/>
  <c r="S683" i="5" s="1"/>
  <c r="BN683" i="5"/>
  <c r="BO683" i="5" s="1"/>
  <c r="BP683" i="5" s="1"/>
  <c r="G683" i="5" s="1"/>
  <c r="DA683" i="5"/>
  <c r="DB683" i="5" s="1"/>
  <c r="AE683" i="5"/>
  <c r="BV683" i="5"/>
  <c r="BT683" i="5"/>
  <c r="W683" i="5"/>
  <c r="T683" i="5"/>
  <c r="U683" i="5" s="1"/>
  <c r="CH683" i="5"/>
  <c r="CK683" i="5"/>
  <c r="CJ683" i="5" s="1"/>
  <c r="CT683" i="5"/>
  <c r="CV683" i="5"/>
  <c r="BX683" i="5"/>
  <c r="H682" i="5"/>
  <c r="I682" i="5"/>
  <c r="AM683" i="5"/>
  <c r="AL684" i="5" s="1"/>
  <c r="K683" i="5" l="1"/>
  <c r="AH682" i="5"/>
  <c r="AT682" i="5"/>
  <c r="AP682" i="5"/>
  <c r="BY683" i="5"/>
  <c r="J683" i="5" s="1"/>
  <c r="BW683" i="5"/>
  <c r="CO683" i="5"/>
  <c r="F683" i="5" s="1"/>
  <c r="CN683" i="5"/>
  <c r="E683" i="5" s="1"/>
  <c r="P682" i="5"/>
  <c r="M682" i="5"/>
  <c r="Q682" i="5" l="1"/>
  <c r="V682" i="5" s="1"/>
  <c r="AY682" i="5"/>
  <c r="AN683" i="5"/>
  <c r="AF683" i="5"/>
  <c r="BC683" i="5"/>
  <c r="BD683" i="5" s="1"/>
  <c r="BE684" i="5" s="1"/>
  <c r="AS682" i="5"/>
  <c r="AV682" i="5" s="1"/>
  <c r="AO682" i="5"/>
  <c r="C684" i="5"/>
  <c r="N682" i="5"/>
  <c r="AG682" i="5"/>
  <c r="BF683" i="5" l="1"/>
  <c r="CZ683" i="5"/>
  <c r="AR682" i="5"/>
  <c r="AK684" i="5"/>
  <c r="AC684" i="5"/>
  <c r="AD684" i="5" s="1"/>
  <c r="D684" i="5"/>
  <c r="CX684" i="5"/>
  <c r="CL684" i="5"/>
  <c r="CM684" i="5" s="1"/>
  <c r="CS684" i="5"/>
  <c r="AB684" i="5"/>
  <c r="DA684" i="5" s="1"/>
  <c r="DB684" i="5" s="1"/>
  <c r="BH684" i="5"/>
  <c r="BI684" i="5" s="1"/>
  <c r="BJ684" i="5" s="1"/>
  <c r="BK684" i="5"/>
  <c r="BL684" i="5" s="1"/>
  <c r="BM684" i="5" s="1"/>
  <c r="CR684" i="5"/>
  <c r="CW684" i="5"/>
  <c r="CY684" i="5"/>
  <c r="BG683" i="5"/>
  <c r="AX684" i="5"/>
  <c r="AW684" i="5" s="1"/>
  <c r="CI684" i="5"/>
  <c r="BU684" i="5"/>
  <c r="CU684" i="5"/>
  <c r="AJ682" i="5"/>
  <c r="X682" i="5" s="1"/>
  <c r="Y682" i="5" s="1"/>
  <c r="Z682" i="5" s="1"/>
  <c r="AA682" i="5" s="1"/>
  <c r="BS686" i="5"/>
  <c r="CK684" i="5" l="1"/>
  <c r="CJ684" i="5" s="1"/>
  <c r="K684" i="5" s="1"/>
  <c r="CH684" i="5"/>
  <c r="L684" i="5"/>
  <c r="BN684" i="5"/>
  <c r="BO684" i="5" s="1"/>
  <c r="BP684" i="5" s="1"/>
  <c r="G684" i="5" s="1"/>
  <c r="CP684" i="5"/>
  <c r="CQ684" i="5" s="1"/>
  <c r="R684" i="5" s="1"/>
  <c r="S684" i="5" s="1"/>
  <c r="H683" i="5"/>
  <c r="I683" i="5"/>
  <c r="AH683" i="5" s="1"/>
  <c r="BT684" i="5"/>
  <c r="BV684" i="5"/>
  <c r="T684" i="5"/>
  <c r="U684" i="5" s="1"/>
  <c r="W684" i="5"/>
  <c r="AE684" i="5"/>
  <c r="CT684" i="5"/>
  <c r="CV684" i="5"/>
  <c r="BX684" i="5"/>
  <c r="AM684" i="5"/>
  <c r="AL685" i="5" s="1"/>
  <c r="BS687" i="5"/>
  <c r="AT683" i="5" l="1"/>
  <c r="AP683" i="5"/>
  <c r="P683" i="5"/>
  <c r="M683" i="5"/>
  <c r="AG683" i="5" s="1"/>
  <c r="AJ683" i="5" s="1"/>
  <c r="BW684" i="5"/>
  <c r="BY684" i="5"/>
  <c r="J684" i="5" s="1"/>
  <c r="AF684" i="5" s="1"/>
  <c r="CN684" i="5"/>
  <c r="E684" i="5" s="1"/>
  <c r="CO684" i="5"/>
  <c r="F684" i="5" s="1"/>
  <c r="Q683" i="5" l="1"/>
  <c r="V683" i="5" s="1"/>
  <c r="AY683" i="5"/>
  <c r="AN684" i="5"/>
  <c r="N683" i="5"/>
  <c r="AS683" i="5"/>
  <c r="AV683" i="5" s="1"/>
  <c r="AO683" i="5"/>
  <c r="C685" i="5"/>
  <c r="AC685" i="5" s="1"/>
  <c r="AD685" i="5" s="1"/>
  <c r="BC684" i="5"/>
  <c r="BG684" i="5" l="1"/>
  <c r="I684" i="5" s="1"/>
  <c r="AX685" i="5"/>
  <c r="AW685" i="5" s="1"/>
  <c r="BU685" i="5"/>
  <c r="AK685" i="5"/>
  <c r="CI685" i="5"/>
  <c r="CH685" i="5" s="1"/>
  <c r="AR683" i="5"/>
  <c r="X683" i="5" s="1"/>
  <c r="Y683" i="5" s="1"/>
  <c r="Z683" i="5" s="1"/>
  <c r="AA683" i="5" s="1"/>
  <c r="CW685" i="5"/>
  <c r="CL685" i="5"/>
  <c r="CM685" i="5" s="1"/>
  <c r="CS685" i="5"/>
  <c r="D685" i="5"/>
  <c r="T685" i="5" s="1"/>
  <c r="U685" i="5" s="1"/>
  <c r="CX685" i="5"/>
  <c r="AB685" i="5"/>
  <c r="CP685" i="5" s="1"/>
  <c r="CQ685" i="5" s="1"/>
  <c r="R685" i="5" s="1"/>
  <c r="S685" i="5" s="1"/>
  <c r="CR685" i="5"/>
  <c r="CU685" i="5"/>
  <c r="BX685" i="5" s="1"/>
  <c r="BY685" i="5" s="1"/>
  <c r="BK685" i="5"/>
  <c r="BL685" i="5" s="1"/>
  <c r="BM685" i="5" s="1"/>
  <c r="BH685" i="5"/>
  <c r="BI685" i="5" s="1"/>
  <c r="BJ685" i="5" s="1"/>
  <c r="CY685" i="5"/>
  <c r="AE685" i="5"/>
  <c r="AM685" i="5"/>
  <c r="AL686" i="5" s="1"/>
  <c r="BT685" i="5"/>
  <c r="BV685" i="5"/>
  <c r="BF684" i="5"/>
  <c r="CZ684" i="5"/>
  <c r="BD684" i="5"/>
  <c r="BE685" i="5" s="1"/>
  <c r="H684" i="5" l="1"/>
  <c r="P684" i="5" s="1"/>
  <c r="CK685" i="5"/>
  <c r="CJ685" i="5" s="1"/>
  <c r="W685" i="5"/>
  <c r="CV685" i="5"/>
  <c r="AH684" i="5"/>
  <c r="AT684" i="5"/>
  <c r="CT685" i="5"/>
  <c r="AP684" i="5"/>
  <c r="BW685" i="5"/>
  <c r="L685" i="5"/>
  <c r="DA685" i="5"/>
  <c r="DB685" i="5" s="1"/>
  <c r="K685" i="5" s="1"/>
  <c r="BN685" i="5"/>
  <c r="BO685" i="5" s="1"/>
  <c r="BP685" i="5" s="1"/>
  <c r="G685" i="5" s="1"/>
  <c r="CO685" i="5"/>
  <c r="F685" i="5" s="1"/>
  <c r="CN685" i="5"/>
  <c r="E685" i="5" s="1"/>
  <c r="J685" i="5"/>
  <c r="BS688" i="5"/>
  <c r="M684" i="5" l="1"/>
  <c r="Q684" i="5"/>
  <c r="V684" i="5" s="1"/>
  <c r="AY684" i="5"/>
  <c r="AF685" i="5"/>
  <c r="AN685" i="5"/>
  <c r="BC685" i="5"/>
  <c r="BD685" i="5" s="1"/>
  <c r="BE686" i="5" s="1"/>
  <c r="AS684" i="5"/>
  <c r="AV684" i="5" s="1"/>
  <c r="AO684" i="5"/>
  <c r="N684" i="5"/>
  <c r="AG684" i="5"/>
  <c r="C686" i="5"/>
  <c r="BK686" i="5" s="1"/>
  <c r="BL686" i="5" s="1"/>
  <c r="BM686" i="5" s="1"/>
  <c r="CZ685" i="5" l="1"/>
  <c r="BF685" i="5"/>
  <c r="AR684" i="5"/>
  <c r="AB686" i="5"/>
  <c r="BN686" i="5" s="1"/>
  <c r="BO686" i="5" s="1"/>
  <c r="BP686" i="5" s="1"/>
  <c r="CL686" i="5"/>
  <c r="CM686" i="5" s="1"/>
  <c r="CX686" i="5"/>
  <c r="CW686" i="5"/>
  <c r="AC686" i="5"/>
  <c r="BU686" i="5"/>
  <c r="BT686" i="5" s="1"/>
  <c r="CS686" i="5"/>
  <c r="AK686" i="5"/>
  <c r="AM686" i="5" s="1"/>
  <c r="AL687" i="5" s="1"/>
  <c r="CU686" i="5"/>
  <c r="BX686" i="5" s="1"/>
  <c r="BY686" i="5" s="1"/>
  <c r="D686" i="5"/>
  <c r="W686" i="5" s="1"/>
  <c r="CI686" i="5"/>
  <c r="CK686" i="5" s="1"/>
  <c r="CJ686" i="5" s="1"/>
  <c r="CR686" i="5"/>
  <c r="AX686" i="5"/>
  <c r="AW686" i="5" s="1"/>
  <c r="BH686" i="5"/>
  <c r="BI686" i="5" s="1"/>
  <c r="BJ686" i="5" s="1"/>
  <c r="CY686" i="5"/>
  <c r="AJ684" i="5"/>
  <c r="X684" i="5" s="1"/>
  <c r="Y684" i="5" s="1"/>
  <c r="Z684" i="5" s="1"/>
  <c r="AA684" i="5" s="1"/>
  <c r="BG685" i="5"/>
  <c r="H685" i="5" s="1"/>
  <c r="AD686" i="5" l="1"/>
  <c r="AE686" i="5" s="1"/>
  <c r="CH686" i="5"/>
  <c r="DA686" i="5"/>
  <c r="DB686" i="5" s="1"/>
  <c r="K686" i="5" s="1"/>
  <c r="G686" i="5"/>
  <c r="CP686" i="5"/>
  <c r="CQ686" i="5" s="1"/>
  <c r="R686" i="5" s="1"/>
  <c r="S686" i="5" s="1"/>
  <c r="L686" i="5"/>
  <c r="CV686" i="5"/>
  <c r="CO686" i="5" s="1"/>
  <c r="F686" i="5" s="1"/>
  <c r="CT686" i="5"/>
  <c r="T686" i="5"/>
  <c r="U686" i="5" s="1"/>
  <c r="BW686" i="5"/>
  <c r="BV686" i="5"/>
  <c r="J686" i="5" s="1"/>
  <c r="I685" i="5"/>
  <c r="AP685" i="5" s="1"/>
  <c r="M685" i="5"/>
  <c r="P685" i="5"/>
  <c r="AY685" i="5" s="1"/>
  <c r="AF686" i="5" l="1"/>
  <c r="CN686" i="5"/>
  <c r="E686" i="5" s="1"/>
  <c r="BC686" i="5" s="1"/>
  <c r="AS685" i="5"/>
  <c r="AO685" i="5"/>
  <c r="AR685" i="5" s="1"/>
  <c r="AN686" i="5"/>
  <c r="AH685" i="5"/>
  <c r="AT685" i="5"/>
  <c r="AV685" i="5" s="1"/>
  <c r="N685" i="5"/>
  <c r="AG685" i="5"/>
  <c r="Q685" i="5"/>
  <c r="V685" i="5" s="1"/>
  <c r="BS689" i="5"/>
  <c r="C687" i="5" l="1"/>
  <c r="CW687" i="5" s="1"/>
  <c r="AJ685" i="5"/>
  <c r="X685" i="5" s="1"/>
  <c r="Y685" i="5" s="1"/>
  <c r="Z685" i="5" s="1"/>
  <c r="AA685" i="5" s="1"/>
  <c r="BD686" i="5"/>
  <c r="BE687" i="5" s="1"/>
  <c r="CZ686" i="5"/>
  <c r="BF686" i="5"/>
  <c r="AX687" i="5" l="1"/>
  <c r="AW687" i="5" s="1"/>
  <c r="BG686" i="5"/>
  <c r="I686" i="5" s="1"/>
  <c r="AP686" i="5" s="1"/>
  <c r="AB687" i="5"/>
  <c r="BN687" i="5" s="1"/>
  <c r="BO687" i="5" s="1"/>
  <c r="BP687" i="5" s="1"/>
  <c r="CR687" i="5"/>
  <c r="AK687" i="5"/>
  <c r="AM687" i="5" s="1"/>
  <c r="AL688" i="5" s="1"/>
  <c r="AC687" i="5"/>
  <c r="BK687" i="5"/>
  <c r="BL687" i="5" s="1"/>
  <c r="BM687" i="5" s="1"/>
  <c r="D687" i="5"/>
  <c r="T687" i="5" s="1"/>
  <c r="U687" i="5" s="1"/>
  <c r="CX687" i="5"/>
  <c r="CY687" i="5"/>
  <c r="BU687" i="5"/>
  <c r="BT687" i="5" s="1"/>
  <c r="CU687" i="5"/>
  <c r="CT687" i="5" s="1"/>
  <c r="CI687" i="5"/>
  <c r="BH687" i="5"/>
  <c r="BI687" i="5" s="1"/>
  <c r="BJ687" i="5" s="1"/>
  <c r="CL687" i="5"/>
  <c r="CM687" i="5" s="1"/>
  <c r="CS687" i="5"/>
  <c r="AY687" i="5"/>
  <c r="DA687" i="5" l="1"/>
  <c r="DB687" i="5" s="1"/>
  <c r="AT686" i="5"/>
  <c r="H686" i="5"/>
  <c r="P686" i="5" s="1"/>
  <c r="Q686" i="5" s="1"/>
  <c r="V686" i="5" s="1"/>
  <c r="AH686" i="5"/>
  <c r="CP687" i="5"/>
  <c r="CQ687" i="5" s="1"/>
  <c r="R687" i="5" s="1"/>
  <c r="S687" i="5" s="1"/>
  <c r="L687" i="5"/>
  <c r="AD687" i="5"/>
  <c r="AE687" i="5" s="1"/>
  <c r="G687" i="5"/>
  <c r="AY686" i="5"/>
  <c r="W687" i="5"/>
  <c r="BV687" i="5"/>
  <c r="CV687" i="5"/>
  <c r="CN687" i="5" s="1"/>
  <c r="E687" i="5" s="1"/>
  <c r="BX687" i="5"/>
  <c r="CK687" i="5"/>
  <c r="CJ687" i="5" s="1"/>
  <c r="K687" i="5" s="1"/>
  <c r="CH687" i="5"/>
  <c r="BS690" i="5"/>
  <c r="M686" i="5" l="1"/>
  <c r="AG686" i="5" s="1"/>
  <c r="AJ686" i="5" s="1"/>
  <c r="AS686" i="5"/>
  <c r="AV686" i="5" s="1"/>
  <c r="AO686" i="5"/>
  <c r="AR686" i="5" s="1"/>
  <c r="N686" i="5"/>
  <c r="CO687" i="5"/>
  <c r="F687" i="5" s="1"/>
  <c r="BC687" i="5" s="1"/>
  <c r="BW687" i="5"/>
  <c r="BY687" i="5"/>
  <c r="J687" i="5" s="1"/>
  <c r="X686" i="5" l="1"/>
  <c r="Y686" i="5" s="1"/>
  <c r="Z686" i="5" s="1"/>
  <c r="AA686" i="5" s="1"/>
  <c r="BF687" i="5"/>
  <c r="BD687" i="5"/>
  <c r="BE688" i="5" s="1"/>
  <c r="CZ687" i="5"/>
  <c r="C688" i="5"/>
  <c r="CW688" i="5" s="1"/>
  <c r="AN687" i="5"/>
  <c r="AF687" i="5"/>
  <c r="BG687" i="5" l="1"/>
  <c r="H687" i="5" s="1"/>
  <c r="P687" i="5" s="1"/>
  <c r="AB688" i="5"/>
  <c r="L688" i="5" s="1"/>
  <c r="CI688" i="5"/>
  <c r="CK688" i="5" s="1"/>
  <c r="CJ688" i="5" s="1"/>
  <c r="CU688" i="5"/>
  <c r="CS688" i="5"/>
  <c r="CR688" i="5"/>
  <c r="AX688" i="5"/>
  <c r="AW688" i="5" s="1"/>
  <c r="BU688" i="5"/>
  <c r="BV688" i="5" s="1"/>
  <c r="AK688" i="5"/>
  <c r="AM688" i="5" s="1"/>
  <c r="AL689" i="5" s="1"/>
  <c r="BK688" i="5"/>
  <c r="BL688" i="5" s="1"/>
  <c r="BM688" i="5" s="1"/>
  <c r="CY688" i="5"/>
  <c r="CL688" i="5"/>
  <c r="CM688" i="5" s="1"/>
  <c r="I687" i="5"/>
  <c r="AP687" i="5" s="1"/>
  <c r="BH688" i="5"/>
  <c r="BI688" i="5" s="1"/>
  <c r="BJ688" i="5" s="1"/>
  <c r="BX688" i="5"/>
  <c r="BW688" i="5" s="1"/>
  <c r="AC688" i="5"/>
  <c r="CX688" i="5"/>
  <c r="D688" i="5"/>
  <c r="CP688" i="5"/>
  <c r="CQ688" i="5" s="1"/>
  <c r="R688" i="5" s="1"/>
  <c r="S688" i="5" s="1"/>
  <c r="DA688" i="5"/>
  <c r="DB688" i="5" s="1"/>
  <c r="BN688" i="5"/>
  <c r="BO688" i="5" s="1"/>
  <c r="BP688" i="5" s="1"/>
  <c r="CH688" i="5"/>
  <c r="BS691" i="5"/>
  <c r="M687" i="5" l="1"/>
  <c r="AG687" i="5" s="1"/>
  <c r="G688" i="5"/>
  <c r="AH687" i="5"/>
  <c r="Q687" i="5"/>
  <c r="V687" i="5" s="1"/>
  <c r="BT688" i="5"/>
  <c r="AT687" i="5"/>
  <c r="BY688" i="5"/>
  <c r="J688" i="5" s="1"/>
  <c r="AF688" i="5" s="1"/>
  <c r="CV688" i="5"/>
  <c r="CT688" i="5"/>
  <c r="W688" i="5"/>
  <c r="T688" i="5"/>
  <c r="U688" i="5" s="1"/>
  <c r="K688" i="5"/>
  <c r="AD688" i="5"/>
  <c r="AE688" i="5" s="1"/>
  <c r="AJ687" i="5"/>
  <c r="N687" i="5"/>
  <c r="AS687" i="5"/>
  <c r="AV687" i="5" s="1"/>
  <c r="AO687" i="5"/>
  <c r="AR687" i="5" s="1"/>
  <c r="AN688" i="5" l="1"/>
  <c r="CO688" i="5"/>
  <c r="F688" i="5" s="1"/>
  <c r="CN688" i="5"/>
  <c r="E688" i="5" s="1"/>
  <c r="X687" i="5"/>
  <c r="Y687" i="5" s="1"/>
  <c r="Z687" i="5" s="1"/>
  <c r="AA687" i="5" s="1"/>
  <c r="BC688" i="5" l="1"/>
  <c r="BD688" i="5" s="1"/>
  <c r="BE689" i="5" s="1"/>
  <c r="C689" i="5"/>
  <c r="BS692" i="5"/>
  <c r="CZ688" i="5" l="1"/>
  <c r="BF688" i="5"/>
  <c r="CL689" i="5"/>
  <c r="CM689" i="5" s="1"/>
  <c r="BG688" i="5"/>
  <c r="AK689" i="5"/>
  <c r="AM689" i="5" s="1"/>
  <c r="AL690" i="5" s="1"/>
  <c r="AX689" i="5"/>
  <c r="AW689" i="5" s="1"/>
  <c r="CS689" i="5"/>
  <c r="BK689" i="5"/>
  <c r="BL689" i="5" s="1"/>
  <c r="BM689" i="5" s="1"/>
  <c r="CY689" i="5"/>
  <c r="BU689" i="5"/>
  <c r="CI689" i="5"/>
  <c r="CW689" i="5"/>
  <c r="CX689" i="5"/>
  <c r="CU689" i="5"/>
  <c r="BH689" i="5"/>
  <c r="BI689" i="5" s="1"/>
  <c r="BJ689" i="5" s="1"/>
  <c r="D689" i="5"/>
  <c r="AC689" i="5"/>
  <c r="AB689" i="5"/>
  <c r="CR689" i="5"/>
  <c r="AD689" i="5" l="1"/>
  <c r="AE689" i="5" s="1"/>
  <c r="L689" i="5"/>
  <c r="DA689" i="5"/>
  <c r="DB689" i="5" s="1"/>
  <c r="K689" i="5" s="1"/>
  <c r="T689" i="5"/>
  <c r="U689" i="5" s="1"/>
  <c r="W689" i="5"/>
  <c r="CV689" i="5"/>
  <c r="BX689" i="5"/>
  <c r="CT689" i="5"/>
  <c r="BN689" i="5"/>
  <c r="BO689" i="5" s="1"/>
  <c r="BP689" i="5" s="1"/>
  <c r="G689" i="5" s="1"/>
  <c r="I688" i="5"/>
  <c r="AH688" i="5" s="1"/>
  <c r="H688" i="5"/>
  <c r="CH689" i="5"/>
  <c r="CK689" i="5"/>
  <c r="CJ689" i="5" s="1"/>
  <c r="BV689" i="5"/>
  <c r="BT689" i="5"/>
  <c r="CP689" i="5"/>
  <c r="CQ689" i="5" s="1"/>
  <c r="R689" i="5" s="1"/>
  <c r="S689" i="5" s="1"/>
  <c r="AY688" i="5"/>
  <c r="AP688" i="5" l="1"/>
  <c r="AT688" i="5"/>
  <c r="BY689" i="5"/>
  <c r="J689" i="5" s="1"/>
  <c r="AF689" i="5" s="1"/>
  <c r="BW689" i="5"/>
  <c r="CO689" i="5"/>
  <c r="F689" i="5" s="1"/>
  <c r="CN689" i="5"/>
  <c r="E689" i="5" s="1"/>
  <c r="M688" i="5"/>
  <c r="P688" i="5"/>
  <c r="BC689" i="5" l="1"/>
  <c r="CZ689" i="5" s="1"/>
  <c r="AO688" i="5"/>
  <c r="AR688" i="5" s="1"/>
  <c r="AG688" i="5"/>
  <c r="AJ688" i="5" s="1"/>
  <c r="N688" i="5"/>
  <c r="AS688" i="5"/>
  <c r="AV688" i="5" s="1"/>
  <c r="AN689" i="5"/>
  <c r="Q688" i="5"/>
  <c r="V688" i="5" s="1"/>
  <c r="BB688" i="5"/>
  <c r="BD689" i="5"/>
  <c r="BE690" i="5" s="1"/>
  <c r="C690" i="5"/>
  <c r="BF689" i="5" l="1"/>
  <c r="X688" i="5"/>
  <c r="CI690" i="5"/>
  <c r="D690" i="5"/>
  <c r="CW690" i="5"/>
  <c r="BU690" i="5"/>
  <c r="AK690" i="5"/>
  <c r="AM690" i="5" s="1"/>
  <c r="AL691" i="5" s="1"/>
  <c r="AB690" i="5"/>
  <c r="BN690" i="5" s="1"/>
  <c r="BO690" i="5" s="1"/>
  <c r="BP690" i="5" s="1"/>
  <c r="AC690" i="5"/>
  <c r="CS690" i="5"/>
  <c r="BK690" i="5"/>
  <c r="BL690" i="5" s="1"/>
  <c r="BM690" i="5" s="1"/>
  <c r="CY690" i="5"/>
  <c r="BH690" i="5"/>
  <c r="BI690" i="5" s="1"/>
  <c r="BJ690" i="5" s="1"/>
  <c r="CL690" i="5"/>
  <c r="CM690" i="5" s="1"/>
  <c r="CX690" i="5"/>
  <c r="CR690" i="5"/>
  <c r="CU690" i="5"/>
  <c r="BG689" i="5"/>
  <c r="AX690" i="5"/>
  <c r="AW690" i="5" s="1"/>
  <c r="Y688" i="5"/>
  <c r="Z688" i="5" s="1"/>
  <c r="AA688" i="5" s="1"/>
  <c r="BS693" i="5"/>
  <c r="DA690" i="5" l="1"/>
  <c r="DB690" i="5" s="1"/>
  <c r="CV690" i="5"/>
  <c r="CT690" i="5"/>
  <c r="BX690" i="5"/>
  <c r="AD690" i="5"/>
  <c r="AE690" i="5" s="1"/>
  <c r="AD691" i="5" s="1"/>
  <c r="CP690" i="5"/>
  <c r="CQ690" i="5" s="1"/>
  <c r="R690" i="5" s="1"/>
  <c r="S690" i="5" s="1"/>
  <c r="L690" i="5"/>
  <c r="BV690" i="5"/>
  <c r="BT690" i="5"/>
  <c r="G690" i="5"/>
  <c r="AY690" i="5"/>
  <c r="T690" i="5"/>
  <c r="U690" i="5" s="1"/>
  <c r="W690" i="5"/>
  <c r="I689" i="5"/>
  <c r="H689" i="5"/>
  <c r="CK690" i="5"/>
  <c r="CJ690" i="5" s="1"/>
  <c r="CH690" i="5"/>
  <c r="BS694" i="5"/>
  <c r="K690" i="5" l="1"/>
  <c r="AH689" i="5"/>
  <c r="AP689" i="5"/>
  <c r="AT689" i="5"/>
  <c r="BY690" i="5"/>
  <c r="J690" i="5" s="1"/>
  <c r="AF690" i="5" s="1"/>
  <c r="BW690" i="5"/>
  <c r="P689" i="5"/>
  <c r="M689" i="5"/>
  <c r="CN690" i="5"/>
  <c r="E690" i="5" s="1"/>
  <c r="BC690" i="5" s="1"/>
  <c r="CO690" i="5"/>
  <c r="F690" i="5" s="1"/>
  <c r="Q689" i="5" l="1"/>
  <c r="V689" i="5" s="1"/>
  <c r="AY689" i="5"/>
  <c r="AN690" i="5"/>
  <c r="AS689" i="5"/>
  <c r="AV689" i="5" s="1"/>
  <c r="AO689" i="5"/>
  <c r="AR689" i="5" s="1"/>
  <c r="N689" i="5"/>
  <c r="AG689" i="5"/>
  <c r="AJ689" i="5" s="1"/>
  <c r="C691" i="5"/>
  <c r="CS691" i="5" s="1"/>
  <c r="BD690" i="5"/>
  <c r="BE691" i="5" s="1"/>
  <c r="CZ690" i="5"/>
  <c r="BF690" i="5"/>
  <c r="X689" i="5" l="1"/>
  <c r="Y689" i="5" s="1"/>
  <c r="Z689" i="5" s="1"/>
  <c r="AA689" i="5" s="1"/>
  <c r="BG690" i="5"/>
  <c r="I690" i="5" s="1"/>
  <c r="AP690" i="5" s="1"/>
  <c r="CR691" i="5"/>
  <c r="CL691" i="5"/>
  <c r="CM691" i="5" s="1"/>
  <c r="BH691" i="5"/>
  <c r="BI691" i="5" s="1"/>
  <c r="BJ691" i="5" s="1"/>
  <c r="AB691" i="5"/>
  <c r="L691" i="5" s="1"/>
  <c r="D691" i="5"/>
  <c r="W691" i="5" s="1"/>
  <c r="BU691" i="5"/>
  <c r="BT691" i="5" s="1"/>
  <c r="AK691" i="5"/>
  <c r="AM691" i="5" s="1"/>
  <c r="AL692" i="5" s="1"/>
  <c r="AX691" i="5"/>
  <c r="AW691" i="5" s="1"/>
  <c r="AC691" i="5"/>
  <c r="AE691" i="5" s="1"/>
  <c r="CW691" i="5"/>
  <c r="CX691" i="5"/>
  <c r="BK691" i="5"/>
  <c r="BL691" i="5" s="1"/>
  <c r="BM691" i="5" s="1"/>
  <c r="CI691" i="5"/>
  <c r="CH691" i="5" s="1"/>
  <c r="CU691" i="5"/>
  <c r="BX691" i="5" s="1"/>
  <c r="BY691" i="5" s="1"/>
  <c r="CY691" i="5"/>
  <c r="H690" i="5"/>
  <c r="DA691" i="5" l="1"/>
  <c r="DB691" i="5" s="1"/>
  <c r="AH690" i="5"/>
  <c r="AT690" i="5"/>
  <c r="T691" i="5"/>
  <c r="U691" i="5" s="1"/>
  <c r="BV691" i="5"/>
  <c r="J691" i="5" s="1"/>
  <c r="CK691" i="5"/>
  <c r="CJ691" i="5" s="1"/>
  <c r="BN691" i="5"/>
  <c r="BO691" i="5" s="1"/>
  <c r="BP691" i="5" s="1"/>
  <c r="G691" i="5" s="1"/>
  <c r="AN691" i="5" s="1"/>
  <c r="CP691" i="5"/>
  <c r="CQ691" i="5" s="1"/>
  <c r="R691" i="5" s="1"/>
  <c r="S691" i="5" s="1"/>
  <c r="BW691" i="5"/>
  <c r="CT691" i="5"/>
  <c r="CV691" i="5"/>
  <c r="CN691" i="5" s="1"/>
  <c r="E691" i="5" s="1"/>
  <c r="M690" i="5"/>
  <c r="P690" i="5"/>
  <c r="Q690" i="5" s="1"/>
  <c r="V690" i="5" s="1"/>
  <c r="BS695" i="5"/>
  <c r="K691" i="5" l="1"/>
  <c r="AS690" i="5"/>
  <c r="AV690" i="5" s="1"/>
  <c r="AO690" i="5"/>
  <c r="AR690" i="5" s="1"/>
  <c r="CO691" i="5"/>
  <c r="F691" i="5" s="1"/>
  <c r="C692" i="5" s="1"/>
  <c r="AF691" i="5"/>
  <c r="AG690" i="5"/>
  <c r="AJ690" i="5" s="1"/>
  <c r="N690" i="5"/>
  <c r="X690" i="5" l="1"/>
  <c r="Y690" i="5" s="1"/>
  <c r="Z690" i="5" s="1"/>
  <c r="AA690" i="5" s="1"/>
  <c r="AB692" i="5"/>
  <c r="L692" i="5" s="1"/>
  <c r="BG691" i="5"/>
  <c r="H691" i="5" s="1"/>
  <c r="P691" i="5" s="1"/>
  <c r="AY691" i="5" s="1"/>
  <c r="BK692" i="5"/>
  <c r="BL692" i="5" s="1"/>
  <c r="BM692" i="5" s="1"/>
  <c r="BH692" i="5"/>
  <c r="BI692" i="5" s="1"/>
  <c r="BJ692" i="5" s="1"/>
  <c r="CY692" i="5"/>
  <c r="BC691" i="5"/>
  <c r="CZ691" i="5" s="1"/>
  <c r="CP692" i="5"/>
  <c r="CQ692" i="5" s="1"/>
  <c r="R692" i="5" s="1"/>
  <c r="S692" i="5" s="1"/>
  <c r="CR692" i="5"/>
  <c r="CI692" i="5"/>
  <c r="CU692" i="5"/>
  <c r="AC692" i="5"/>
  <c r="CX692" i="5"/>
  <c r="CL692" i="5"/>
  <c r="CM692" i="5" s="1"/>
  <c r="CW692" i="5"/>
  <c r="AX692" i="5"/>
  <c r="AW692" i="5" s="1"/>
  <c r="AK692" i="5"/>
  <c r="AM692" i="5" s="1"/>
  <c r="AL693" i="5" s="1"/>
  <c r="CS692" i="5"/>
  <c r="D692" i="5"/>
  <c r="T692" i="5" s="1"/>
  <c r="U692" i="5" s="1"/>
  <c r="BU692" i="5"/>
  <c r="AD692" i="5" l="1"/>
  <c r="AE692" i="5" s="1"/>
  <c r="I691" i="5"/>
  <c r="AH691" i="5" s="1"/>
  <c r="AT691" i="5"/>
  <c r="M691" i="5"/>
  <c r="AS691" i="5" s="1"/>
  <c r="AV691" i="5" s="1"/>
  <c r="BN692" i="5"/>
  <c r="BO692" i="5" s="1"/>
  <c r="BP692" i="5" s="1"/>
  <c r="G692" i="5" s="1"/>
  <c r="BF691" i="5"/>
  <c r="BD691" i="5"/>
  <c r="BE692" i="5" s="1"/>
  <c r="DA692" i="5"/>
  <c r="DB692" i="5" s="1"/>
  <c r="W692" i="5"/>
  <c r="CT692" i="5"/>
  <c r="CV692" i="5"/>
  <c r="BX692" i="5"/>
  <c r="CH692" i="5"/>
  <c r="CK692" i="5"/>
  <c r="CJ692" i="5" s="1"/>
  <c r="BT692" i="5"/>
  <c r="BV692" i="5"/>
  <c r="Q691" i="5"/>
  <c r="V691" i="5" s="1"/>
  <c r="AO691" i="5"/>
  <c r="AG691" i="5"/>
  <c r="AP691" i="5" l="1"/>
  <c r="N691" i="5"/>
  <c r="AR691" i="5"/>
  <c r="K692" i="5"/>
  <c r="BY692" i="5"/>
  <c r="J692" i="5" s="1"/>
  <c r="BW692" i="5"/>
  <c r="CO692" i="5"/>
  <c r="F692" i="5" s="1"/>
  <c r="CN692" i="5"/>
  <c r="E692" i="5" s="1"/>
  <c r="AJ691" i="5"/>
  <c r="BS696" i="5"/>
  <c r="X691" i="5" l="1"/>
  <c r="Y691" i="5" s="1"/>
  <c r="Z691" i="5" s="1"/>
  <c r="AA691" i="5" s="1"/>
  <c r="BC692" i="5"/>
  <c r="BF692" i="5" s="1"/>
  <c r="AF692" i="5"/>
  <c r="AN692" i="5"/>
  <c r="C693" i="5"/>
  <c r="AK693" i="5" s="1"/>
  <c r="AM693" i="5" s="1"/>
  <c r="AL694" i="5" s="1"/>
  <c r="CZ692" i="5" l="1"/>
  <c r="BD692" i="5"/>
  <c r="BE693" i="5" s="1"/>
  <c r="BG692" i="5"/>
  <c r="I692" i="5" s="1"/>
  <c r="AT692" i="5" s="1"/>
  <c r="CS693" i="5"/>
  <c r="CY693" i="5"/>
  <c r="AX693" i="5"/>
  <c r="AW693" i="5" s="1"/>
  <c r="BH693" i="5"/>
  <c r="BI693" i="5" s="1"/>
  <c r="BJ693" i="5" s="1"/>
  <c r="BU693" i="5"/>
  <c r="BV693" i="5" s="1"/>
  <c r="CX693" i="5"/>
  <c r="AB693" i="5"/>
  <c r="L693" i="5" s="1"/>
  <c r="BK693" i="5"/>
  <c r="BL693" i="5" s="1"/>
  <c r="BM693" i="5" s="1"/>
  <c r="CR693" i="5"/>
  <c r="CW693" i="5"/>
  <c r="CI693" i="5"/>
  <c r="CK693" i="5" s="1"/>
  <c r="CJ693" i="5" s="1"/>
  <c r="D693" i="5"/>
  <c r="AC693" i="5"/>
  <c r="CL693" i="5"/>
  <c r="CM693" i="5" s="1"/>
  <c r="CU693" i="5"/>
  <c r="AD693" i="5" l="1"/>
  <c r="AE693" i="5" s="1"/>
  <c r="H692" i="5"/>
  <c r="P692" i="5" s="1"/>
  <c r="AH692" i="5"/>
  <c r="AP692" i="5"/>
  <c r="DA693" i="5"/>
  <c r="DB693" i="5" s="1"/>
  <c r="K693" i="5" s="1"/>
  <c r="BN693" i="5"/>
  <c r="BO693" i="5" s="1"/>
  <c r="BP693" i="5" s="1"/>
  <c r="G693" i="5" s="1"/>
  <c r="BT693" i="5"/>
  <c r="CP693" i="5"/>
  <c r="CQ693" i="5" s="1"/>
  <c r="R693" i="5" s="1"/>
  <c r="S693" i="5" s="1"/>
  <c r="CH693" i="5"/>
  <c r="T693" i="5"/>
  <c r="U693" i="5" s="1"/>
  <c r="W693" i="5"/>
  <c r="BX693" i="5"/>
  <c r="CT693" i="5"/>
  <c r="CV693" i="5"/>
  <c r="Q692" i="5" l="1"/>
  <c r="V692" i="5" s="1"/>
  <c r="AY692" i="5"/>
  <c r="M692" i="5"/>
  <c r="AO692" i="5" s="1"/>
  <c r="AR692" i="5" s="1"/>
  <c r="CN693" i="5"/>
  <c r="E693" i="5" s="1"/>
  <c r="CO693" i="5"/>
  <c r="F693" i="5" s="1"/>
  <c r="BW693" i="5"/>
  <c r="BY693" i="5"/>
  <c r="J693" i="5" s="1"/>
  <c r="BS697" i="5"/>
  <c r="AG692" i="5" l="1"/>
  <c r="AJ692" i="5" s="1"/>
  <c r="N692" i="5"/>
  <c r="AS692" i="5"/>
  <c r="AV692" i="5" s="1"/>
  <c r="X692" i="5" s="1"/>
  <c r="Y692" i="5" s="1"/>
  <c r="Z692" i="5" s="1"/>
  <c r="AA692" i="5" s="1"/>
  <c r="AF693" i="5"/>
  <c r="AN693" i="5"/>
  <c r="C694" i="5"/>
  <c r="CU694" i="5" s="1"/>
  <c r="BC693" i="5"/>
  <c r="AY693" i="5"/>
  <c r="CL694" i="5" l="1"/>
  <c r="CM694" i="5" s="1"/>
  <c r="CI694" i="5"/>
  <c r="AX694" i="5"/>
  <c r="AW694" i="5" s="1"/>
  <c r="AC694" i="5"/>
  <c r="CR694" i="5"/>
  <c r="BG693" i="5"/>
  <c r="I693" i="5" s="1"/>
  <c r="AT693" i="5" s="1"/>
  <c r="CX694" i="5"/>
  <c r="CS694" i="5"/>
  <c r="BH694" i="5"/>
  <c r="BI694" i="5" s="1"/>
  <c r="BJ694" i="5" s="1"/>
  <c r="BK694" i="5"/>
  <c r="BL694" i="5" s="1"/>
  <c r="BM694" i="5" s="1"/>
  <c r="AK694" i="5"/>
  <c r="AM694" i="5" s="1"/>
  <c r="AL695" i="5" s="1"/>
  <c r="CW694" i="5"/>
  <c r="BU694" i="5"/>
  <c r="BV694" i="5" s="1"/>
  <c r="AB694" i="5"/>
  <c r="L694" i="5" s="1"/>
  <c r="D694" i="5"/>
  <c r="CY694" i="5"/>
  <c r="BF693" i="5"/>
  <c r="CZ693" i="5"/>
  <c r="BD693" i="5"/>
  <c r="BE694" i="5" s="1"/>
  <c r="BX694" i="5"/>
  <c r="CV694" i="5"/>
  <c r="CT694" i="5"/>
  <c r="CH694" i="5"/>
  <c r="CK694" i="5"/>
  <c r="CJ694" i="5" s="1"/>
  <c r="AD694" i="5" l="1"/>
  <c r="AE694" i="5" s="1"/>
  <c r="AY694" i="5"/>
  <c r="H693" i="5"/>
  <c r="P693" i="5" s="1"/>
  <c r="Q693" i="5" s="1"/>
  <c r="V693" i="5" s="1"/>
  <c r="BN694" i="5"/>
  <c r="BO694" i="5" s="1"/>
  <c r="BP694" i="5" s="1"/>
  <c r="G694" i="5" s="1"/>
  <c r="BT694" i="5"/>
  <c r="CP694" i="5"/>
  <c r="CQ694" i="5" s="1"/>
  <c r="R694" i="5" s="1"/>
  <c r="S694" i="5" s="1"/>
  <c r="DA694" i="5"/>
  <c r="DB694" i="5" s="1"/>
  <c r="K694" i="5" s="1"/>
  <c r="AP693" i="5"/>
  <c r="AH693" i="5"/>
  <c r="T694" i="5"/>
  <c r="U694" i="5" s="1"/>
  <c r="W694" i="5"/>
  <c r="CN694" i="5"/>
  <c r="E694" i="5" s="1"/>
  <c r="CO694" i="5"/>
  <c r="F694" i="5" s="1"/>
  <c r="BW694" i="5"/>
  <c r="BY694" i="5"/>
  <c r="J694" i="5" s="1"/>
  <c r="M693" i="5" l="1"/>
  <c r="AF694" i="5"/>
  <c r="AS693" i="5"/>
  <c r="AV693" i="5" s="1"/>
  <c r="AO693" i="5"/>
  <c r="AR693" i="5" s="1"/>
  <c r="AN694" i="5"/>
  <c r="BC694" i="5"/>
  <c r="BF694" i="5" s="1"/>
  <c r="N693" i="5"/>
  <c r="AG693" i="5"/>
  <c r="AJ693" i="5" s="1"/>
  <c r="C695" i="5"/>
  <c r="BS698" i="5"/>
  <c r="X693" i="5" l="1"/>
  <c r="Y693" i="5" s="1"/>
  <c r="Z693" i="5" s="1"/>
  <c r="AA693" i="5" s="1"/>
  <c r="CZ694" i="5"/>
  <c r="BD694" i="5"/>
  <c r="BE695" i="5" s="1"/>
  <c r="CY695" i="5"/>
  <c r="CS695" i="5"/>
  <c r="BU695" i="5"/>
  <c r="D695" i="5"/>
  <c r="CL695" i="5"/>
  <c r="CM695" i="5" s="1"/>
  <c r="CW695" i="5"/>
  <c r="CU695" i="5"/>
  <c r="CR695" i="5"/>
  <c r="BG694" i="5"/>
  <c r="AK695" i="5"/>
  <c r="AM695" i="5" s="1"/>
  <c r="AL696" i="5" s="1"/>
  <c r="AC695" i="5"/>
  <c r="CX695" i="5"/>
  <c r="CI695" i="5"/>
  <c r="BK695" i="5"/>
  <c r="BL695" i="5" s="1"/>
  <c r="BM695" i="5" s="1"/>
  <c r="BH695" i="5"/>
  <c r="BI695" i="5" s="1"/>
  <c r="BJ695" i="5" s="1"/>
  <c r="AB695" i="5"/>
  <c r="BN695" i="5" s="1"/>
  <c r="BO695" i="5" s="1"/>
  <c r="BP695" i="5" s="1"/>
  <c r="AX695" i="5"/>
  <c r="AW695" i="5" s="1"/>
  <c r="AD695" i="5" l="1"/>
  <c r="AE695" i="5" s="1"/>
  <c r="G695" i="5"/>
  <c r="CV695" i="5"/>
  <c r="CT695" i="5"/>
  <c r="BX695" i="5"/>
  <c r="CH695" i="5"/>
  <c r="CK695" i="5"/>
  <c r="CJ695" i="5" s="1"/>
  <c r="CP695" i="5"/>
  <c r="CQ695" i="5" s="1"/>
  <c r="R695" i="5" s="1"/>
  <c r="S695" i="5" s="1"/>
  <c r="T695" i="5"/>
  <c r="U695" i="5" s="1"/>
  <c r="W695" i="5"/>
  <c r="DA695" i="5"/>
  <c r="DB695" i="5" s="1"/>
  <c r="K695" i="5" s="1"/>
  <c r="BT695" i="5"/>
  <c r="BV695" i="5"/>
  <c r="L695" i="5"/>
  <c r="I694" i="5"/>
  <c r="AP694" i="5" s="1"/>
  <c r="H694" i="5"/>
  <c r="BW695" i="5" l="1"/>
  <c r="BY695" i="5"/>
  <c r="J695" i="5" s="1"/>
  <c r="AH694" i="5"/>
  <c r="AT694" i="5"/>
  <c r="CO695" i="5"/>
  <c r="F695" i="5" s="1"/>
  <c r="CN695" i="5"/>
  <c r="E695" i="5" s="1"/>
  <c r="P694" i="5"/>
  <c r="Q694" i="5" s="1"/>
  <c r="V694" i="5" s="1"/>
  <c r="M694" i="5"/>
  <c r="AO694" i="5" s="1"/>
  <c r="AR694" i="5" s="1"/>
  <c r="AF695" i="5" l="1"/>
  <c r="C696" i="5"/>
  <c r="CU696" i="5" s="1"/>
  <c r="BC695" i="5"/>
  <c r="AN695" i="5"/>
  <c r="AG694" i="5"/>
  <c r="AJ694" i="5" s="1"/>
  <c r="AS694" i="5"/>
  <c r="AV694" i="5" s="1"/>
  <c r="N694" i="5"/>
  <c r="BS699" i="5"/>
  <c r="AX696" i="5" l="1"/>
  <c r="AW696" i="5" s="1"/>
  <c r="CS696" i="5"/>
  <c r="BK696" i="5"/>
  <c r="BL696" i="5" s="1"/>
  <c r="BM696" i="5" s="1"/>
  <c r="AB696" i="5"/>
  <c r="L696" i="5" s="1"/>
  <c r="CY696" i="5"/>
  <c r="CR696" i="5"/>
  <c r="BG695" i="5"/>
  <c r="H695" i="5" s="1"/>
  <c r="AC696" i="5"/>
  <c r="CX696" i="5"/>
  <c r="CW696" i="5"/>
  <c r="AK696" i="5"/>
  <c r="AM696" i="5" s="1"/>
  <c r="AL697" i="5" s="1"/>
  <c r="CI696" i="5"/>
  <c r="CH696" i="5" s="1"/>
  <c r="BH696" i="5"/>
  <c r="BI696" i="5" s="1"/>
  <c r="BJ696" i="5" s="1"/>
  <c r="BU696" i="5"/>
  <c r="BV696" i="5" s="1"/>
  <c r="D696" i="5"/>
  <c r="T696" i="5" s="1"/>
  <c r="U696" i="5" s="1"/>
  <c r="CL696" i="5"/>
  <c r="CM696" i="5" s="1"/>
  <c r="X694" i="5"/>
  <c r="Y694" i="5" s="1"/>
  <c r="Z694" i="5" s="1"/>
  <c r="AA694" i="5" s="1"/>
  <c r="BF695" i="5"/>
  <c r="CZ695" i="5"/>
  <c r="BD695" i="5"/>
  <c r="BE696" i="5" s="1"/>
  <c r="BX696" i="5"/>
  <c r="CV696" i="5"/>
  <c r="CT696" i="5"/>
  <c r="AD696" i="5" l="1"/>
  <c r="AE696" i="5" s="1"/>
  <c r="DA696" i="5"/>
  <c r="DB696" i="5" s="1"/>
  <c r="BN696" i="5"/>
  <c r="BO696" i="5" s="1"/>
  <c r="BP696" i="5" s="1"/>
  <c r="G696" i="5" s="1"/>
  <c r="I695" i="5"/>
  <c r="AH695" i="5" s="1"/>
  <c r="CP696" i="5"/>
  <c r="CQ696" i="5" s="1"/>
  <c r="R696" i="5" s="1"/>
  <c r="S696" i="5" s="1"/>
  <c r="CK696" i="5"/>
  <c r="CJ696" i="5" s="1"/>
  <c r="BT696" i="5"/>
  <c r="W696" i="5"/>
  <c r="CN696" i="5"/>
  <c r="E696" i="5" s="1"/>
  <c r="CO696" i="5"/>
  <c r="F696" i="5" s="1"/>
  <c r="BY696" i="5"/>
  <c r="J696" i="5" s="1"/>
  <c r="BW696" i="5"/>
  <c r="M695" i="5"/>
  <c r="AG695" i="5" s="1"/>
  <c r="AJ695" i="5" s="1"/>
  <c r="P695" i="5"/>
  <c r="AP695" i="5" l="1"/>
  <c r="K696" i="5"/>
  <c r="AN696" i="5"/>
  <c r="Q695" i="5"/>
  <c r="V695" i="5" s="1"/>
  <c r="AY695" i="5"/>
  <c r="AT695" i="5"/>
  <c r="AF696" i="5"/>
  <c r="BC696" i="5"/>
  <c r="CZ696" i="5" s="1"/>
  <c r="N695" i="5"/>
  <c r="AS695" i="5"/>
  <c r="AO695" i="5"/>
  <c r="AR695" i="5" s="1"/>
  <c r="C697" i="5"/>
  <c r="AV695" i="5" l="1"/>
  <c r="BD696" i="5"/>
  <c r="BE697" i="5" s="1"/>
  <c r="BF696" i="5"/>
  <c r="X695" i="5"/>
  <c r="Y695" i="5" s="1"/>
  <c r="Z695" i="5" s="1"/>
  <c r="AA695" i="5" s="1"/>
  <c r="CS697" i="5"/>
  <c r="CY697" i="5"/>
  <c r="CL697" i="5"/>
  <c r="CM697" i="5" s="1"/>
  <c r="CW697" i="5"/>
  <c r="BK697" i="5"/>
  <c r="BL697" i="5" s="1"/>
  <c r="BM697" i="5" s="1"/>
  <c r="BG696" i="5"/>
  <c r="BH697" i="5"/>
  <c r="BI697" i="5" s="1"/>
  <c r="BJ697" i="5" s="1"/>
  <c r="AB697" i="5"/>
  <c r="DA697" i="5" s="1"/>
  <c r="DB697" i="5" s="1"/>
  <c r="CX697" i="5"/>
  <c r="CR697" i="5"/>
  <c r="D697" i="5"/>
  <c r="AK697" i="5"/>
  <c r="AM697" i="5" s="1"/>
  <c r="AL698" i="5" s="1"/>
  <c r="AC697" i="5"/>
  <c r="AD697" i="5" s="1"/>
  <c r="CU697" i="5"/>
  <c r="BU697" i="5"/>
  <c r="AX697" i="5"/>
  <c r="AW697" i="5" s="1"/>
  <c r="CI697" i="5"/>
  <c r="BS700" i="5"/>
  <c r="BN697" i="5" l="1"/>
  <c r="BO697" i="5" s="1"/>
  <c r="BP697" i="5" s="1"/>
  <c r="G697" i="5" s="1"/>
  <c r="L697" i="5"/>
  <c r="CP697" i="5"/>
  <c r="CQ697" i="5" s="1"/>
  <c r="R697" i="5" s="1"/>
  <c r="S697" i="5" s="1"/>
  <c r="H696" i="5"/>
  <c r="I696" i="5"/>
  <c r="AH696" i="5" s="1"/>
  <c r="AE697" i="5"/>
  <c r="CK697" i="5"/>
  <c r="CJ697" i="5" s="1"/>
  <c r="K697" i="5" s="1"/>
  <c r="CH697" i="5"/>
  <c r="BV697" i="5"/>
  <c r="BT697" i="5"/>
  <c r="W697" i="5"/>
  <c r="T697" i="5"/>
  <c r="U697" i="5" s="1"/>
  <c r="CV697" i="5"/>
  <c r="CT697" i="5"/>
  <c r="BX697" i="5"/>
  <c r="BY697" i="5" l="1"/>
  <c r="J697" i="5" s="1"/>
  <c r="BW697" i="5"/>
  <c r="CO697" i="5"/>
  <c r="F697" i="5" s="1"/>
  <c r="CN697" i="5"/>
  <c r="E697" i="5" s="1"/>
  <c r="AP696" i="5"/>
  <c r="AT696" i="5"/>
  <c r="P696" i="5"/>
  <c r="M696" i="5"/>
  <c r="Q696" i="5" l="1"/>
  <c r="V696" i="5" s="1"/>
  <c r="AY696" i="5"/>
  <c r="BC697" i="5"/>
  <c r="CZ697" i="5" s="1"/>
  <c r="AO696" i="5"/>
  <c r="AR696" i="5" s="1"/>
  <c r="AG696" i="5"/>
  <c r="AJ696" i="5" s="1"/>
  <c r="C698" i="5"/>
  <c r="AS696" i="5"/>
  <c r="AV696" i="5" s="1"/>
  <c r="N696" i="5"/>
  <c r="AN697" i="5"/>
  <c r="AF697" i="5"/>
  <c r="BS701" i="5"/>
  <c r="X696" i="5" l="1"/>
  <c r="Y696" i="5" s="1"/>
  <c r="Z696" i="5" s="1"/>
  <c r="AA696" i="5" s="1"/>
  <c r="BF697" i="5"/>
  <c r="BD697" i="5"/>
  <c r="BE698" i="5" s="1"/>
  <c r="AB698" i="5"/>
  <c r="L698" i="5" s="1"/>
  <c r="BK698" i="5"/>
  <c r="BL698" i="5" s="1"/>
  <c r="BM698" i="5" s="1"/>
  <c r="CR698" i="5"/>
  <c r="CL698" i="5"/>
  <c r="CM698" i="5" s="1"/>
  <c r="CY698" i="5"/>
  <c r="CW698" i="5"/>
  <c r="BH698" i="5"/>
  <c r="BI698" i="5" s="1"/>
  <c r="BJ698" i="5" s="1"/>
  <c r="D698" i="5"/>
  <c r="AK698" i="5"/>
  <c r="AM698" i="5" s="1"/>
  <c r="AL699" i="5" s="1"/>
  <c r="CS698" i="5"/>
  <c r="AC698" i="5"/>
  <c r="AD698" i="5" s="1"/>
  <c r="CX698" i="5"/>
  <c r="BG697" i="5"/>
  <c r="CU698" i="5"/>
  <c r="CI698" i="5"/>
  <c r="AX698" i="5"/>
  <c r="AW698" i="5" s="1"/>
  <c r="BU698" i="5"/>
  <c r="DA698" i="5" l="1"/>
  <c r="DB698" i="5" s="1"/>
  <c r="CP698" i="5"/>
  <c r="CQ698" i="5" s="1"/>
  <c r="R698" i="5" s="1"/>
  <c r="S698" i="5" s="1"/>
  <c r="BT698" i="5"/>
  <c r="BV698" i="5"/>
  <c r="H697" i="5"/>
  <c r="I697" i="5"/>
  <c r="AP697" i="5" s="1"/>
  <c r="CK698" i="5"/>
  <c r="CJ698" i="5" s="1"/>
  <c r="CH698" i="5"/>
  <c r="AE698" i="5"/>
  <c r="AD699" i="5" s="1"/>
  <c r="CV698" i="5"/>
  <c r="CT698" i="5"/>
  <c r="BX698" i="5"/>
  <c r="BN698" i="5"/>
  <c r="BO698" i="5" s="1"/>
  <c r="BP698" i="5" s="1"/>
  <c r="G698" i="5" s="1"/>
  <c r="W698" i="5"/>
  <c r="T698" i="5"/>
  <c r="U698" i="5" s="1"/>
  <c r="K698" i="5" l="1"/>
  <c r="AH697" i="5"/>
  <c r="AT697" i="5"/>
  <c r="P697" i="5"/>
  <c r="M697" i="5"/>
  <c r="CN698" i="5"/>
  <c r="E698" i="5" s="1"/>
  <c r="CO698" i="5"/>
  <c r="F698" i="5" s="1"/>
  <c r="BW698" i="5"/>
  <c r="BY698" i="5"/>
  <c r="J698" i="5" s="1"/>
  <c r="AN698" i="5" s="1"/>
  <c r="BS702" i="5"/>
  <c r="Q697" i="5" l="1"/>
  <c r="V697" i="5" s="1"/>
  <c r="AY697" i="5"/>
  <c r="AS697" i="5"/>
  <c r="AV697" i="5" s="1"/>
  <c r="AO697" i="5"/>
  <c r="AR697" i="5" s="1"/>
  <c r="AF698" i="5"/>
  <c r="BC698" i="5"/>
  <c r="BD698" i="5" s="1"/>
  <c r="BE699" i="5" s="1"/>
  <c r="C699" i="5"/>
  <c r="AG697" i="5"/>
  <c r="N697" i="5"/>
  <c r="BF698" i="5" l="1"/>
  <c r="CZ698" i="5"/>
  <c r="AJ697" i="5"/>
  <c r="X697" i="5" s="1"/>
  <c r="Y697" i="5" s="1"/>
  <c r="Z697" i="5" s="1"/>
  <c r="AA697" i="5" s="1"/>
  <c r="CI699" i="5"/>
  <c r="CR699" i="5"/>
  <c r="CW699" i="5"/>
  <c r="CL699" i="5"/>
  <c r="CM699" i="5" s="1"/>
  <c r="BG698" i="5"/>
  <c r="AB699" i="5"/>
  <c r="L699" i="5" s="1"/>
  <c r="BK699" i="5"/>
  <c r="BL699" i="5" s="1"/>
  <c r="BM699" i="5" s="1"/>
  <c r="D699" i="5"/>
  <c r="BH699" i="5"/>
  <c r="BI699" i="5" s="1"/>
  <c r="BJ699" i="5" s="1"/>
  <c r="CS699" i="5"/>
  <c r="CY699" i="5"/>
  <c r="CX699" i="5"/>
  <c r="AK699" i="5"/>
  <c r="AC699" i="5"/>
  <c r="AX699" i="5"/>
  <c r="AW699" i="5" s="1"/>
  <c r="BU699" i="5"/>
  <c r="CU699" i="5"/>
  <c r="BV699" i="5" l="1"/>
  <c r="BT699" i="5"/>
  <c r="AM699" i="5"/>
  <c r="AL700" i="5" s="1"/>
  <c r="H698" i="5"/>
  <c r="I698" i="5"/>
  <c r="AH698" i="5" s="1"/>
  <c r="CP699" i="5"/>
  <c r="CQ699" i="5" s="1"/>
  <c r="R699" i="5" s="1"/>
  <c r="S699" i="5" s="1"/>
  <c r="BN699" i="5"/>
  <c r="BO699" i="5" s="1"/>
  <c r="BP699" i="5" s="1"/>
  <c r="G699" i="5" s="1"/>
  <c r="AE699" i="5"/>
  <c r="CK699" i="5"/>
  <c r="CJ699" i="5" s="1"/>
  <c r="CH699" i="5"/>
  <c r="BX699" i="5"/>
  <c r="CT699" i="5"/>
  <c r="CV699" i="5"/>
  <c r="DA699" i="5"/>
  <c r="DB699" i="5" s="1"/>
  <c r="W699" i="5"/>
  <c r="T699" i="5"/>
  <c r="U699" i="5" s="1"/>
  <c r="AT698" i="5" l="1"/>
  <c r="AP698" i="5"/>
  <c r="K699" i="5"/>
  <c r="M698" i="5"/>
  <c r="AG698" i="5" s="1"/>
  <c r="P698" i="5"/>
  <c r="CN699" i="5"/>
  <c r="E699" i="5" s="1"/>
  <c r="CO699" i="5"/>
  <c r="F699" i="5" s="1"/>
  <c r="BY699" i="5"/>
  <c r="J699" i="5" s="1"/>
  <c r="AN699" i="5" s="1"/>
  <c r="BW699" i="5"/>
  <c r="BS703" i="5"/>
  <c r="Q698" i="5" l="1"/>
  <c r="V698" i="5" s="1"/>
  <c r="AY698" i="5"/>
  <c r="AF699" i="5"/>
  <c r="AJ698" i="5"/>
  <c r="C700" i="5"/>
  <c r="CI700" i="5" s="1"/>
  <c r="CK700" i="5" s="1"/>
  <c r="CJ700" i="5" s="1"/>
  <c r="N698" i="5"/>
  <c r="AS698" i="5"/>
  <c r="AV698" i="5" s="1"/>
  <c r="AO698" i="5"/>
  <c r="BC699" i="5"/>
  <c r="BG699" i="5" l="1"/>
  <c r="AX700" i="5"/>
  <c r="AW700" i="5" s="1"/>
  <c r="CU700" i="5"/>
  <c r="AC700" i="5"/>
  <c r="AD700" i="5" s="1"/>
  <c r="CH700" i="5"/>
  <c r="AK700" i="5"/>
  <c r="AM700" i="5" s="1"/>
  <c r="AL701" i="5" s="1"/>
  <c r="BK700" i="5"/>
  <c r="BL700" i="5" s="1"/>
  <c r="BM700" i="5" s="1"/>
  <c r="BU700" i="5"/>
  <c r="BT700" i="5" s="1"/>
  <c r="CX700" i="5"/>
  <c r="D700" i="5"/>
  <c r="W700" i="5" s="1"/>
  <c r="CR700" i="5"/>
  <c r="CL700" i="5"/>
  <c r="CM700" i="5" s="1"/>
  <c r="AB700" i="5"/>
  <c r="BN700" i="5" s="1"/>
  <c r="BO700" i="5" s="1"/>
  <c r="BP700" i="5" s="1"/>
  <c r="CS700" i="5"/>
  <c r="BH700" i="5"/>
  <c r="BI700" i="5" s="1"/>
  <c r="BJ700" i="5" s="1"/>
  <c r="CW700" i="5"/>
  <c r="CY700" i="5"/>
  <c r="AR698" i="5"/>
  <c r="X698" i="5" s="1"/>
  <c r="Y698" i="5" s="1"/>
  <c r="Z698" i="5" s="1"/>
  <c r="AA698" i="5" s="1"/>
  <c r="I699" i="5"/>
  <c r="AH699" i="5" s="1"/>
  <c r="H699" i="5"/>
  <c r="AE700" i="5"/>
  <c r="BD699" i="5"/>
  <c r="BE700" i="5" s="1"/>
  <c r="CZ699" i="5"/>
  <c r="BF699" i="5"/>
  <c r="BX700" i="5"/>
  <c r="CV700" i="5"/>
  <c r="CT700" i="5"/>
  <c r="G700" i="5" l="1"/>
  <c r="BV700" i="5"/>
  <c r="CP700" i="5"/>
  <c r="CQ700" i="5" s="1"/>
  <c r="R700" i="5" s="1"/>
  <c r="S700" i="5" s="1"/>
  <c r="T700" i="5"/>
  <c r="U700" i="5" s="1"/>
  <c r="L700" i="5"/>
  <c r="DA700" i="5"/>
  <c r="DB700" i="5" s="1"/>
  <c r="K700" i="5" s="1"/>
  <c r="AP699" i="5"/>
  <c r="AT699" i="5"/>
  <c r="M699" i="5"/>
  <c r="P699" i="5"/>
  <c r="CN700" i="5"/>
  <c r="E700" i="5" s="1"/>
  <c r="CO700" i="5"/>
  <c r="F700" i="5" s="1"/>
  <c r="BW700" i="5"/>
  <c r="BY700" i="5"/>
  <c r="J700" i="5" s="1"/>
  <c r="Q699" i="5" l="1"/>
  <c r="V699" i="5" s="1"/>
  <c r="AY699" i="5"/>
  <c r="AO699" i="5"/>
  <c r="AR699" i="5" s="1"/>
  <c r="AG699" i="5"/>
  <c r="AJ699" i="5" s="1"/>
  <c r="N699" i="5"/>
  <c r="AS699" i="5"/>
  <c r="AV699" i="5" s="1"/>
  <c r="C701" i="5"/>
  <c r="AX701" i="5" s="1"/>
  <c r="AW701" i="5" s="1"/>
  <c r="AN700" i="5"/>
  <c r="AF700" i="5"/>
  <c r="BC700" i="5"/>
  <c r="BS704" i="5"/>
  <c r="X699" i="5" l="1"/>
  <c r="Y699" i="5" s="1"/>
  <c r="Z699" i="5" s="1"/>
  <c r="AA699" i="5" s="1"/>
  <c r="CR701" i="5"/>
  <c r="BK701" i="5"/>
  <c r="BL701" i="5" s="1"/>
  <c r="BM701" i="5" s="1"/>
  <c r="CI701" i="5"/>
  <c r="CH701" i="5" s="1"/>
  <c r="CL701" i="5"/>
  <c r="CM701" i="5" s="1"/>
  <c r="CY701" i="5"/>
  <c r="CS701" i="5"/>
  <c r="BH701" i="5"/>
  <c r="BI701" i="5" s="1"/>
  <c r="BJ701" i="5" s="1"/>
  <c r="D701" i="5"/>
  <c r="T701" i="5" s="1"/>
  <c r="U701" i="5" s="1"/>
  <c r="CX701" i="5"/>
  <c r="CU701" i="5"/>
  <c r="BX701" i="5" s="1"/>
  <c r="BY701" i="5" s="1"/>
  <c r="BG700" i="5"/>
  <c r="I700" i="5" s="1"/>
  <c r="AP700" i="5" s="1"/>
  <c r="CW701" i="5"/>
  <c r="AC701" i="5"/>
  <c r="BU701" i="5"/>
  <c r="BT701" i="5" s="1"/>
  <c r="AK701" i="5"/>
  <c r="AM701" i="5" s="1"/>
  <c r="AL702" i="5" s="1"/>
  <c r="AB701" i="5"/>
  <c r="DA701" i="5" s="1"/>
  <c r="DB701" i="5" s="1"/>
  <c r="BF700" i="5"/>
  <c r="BD700" i="5"/>
  <c r="BE701" i="5" s="1"/>
  <c r="CZ700" i="5"/>
  <c r="AD701" i="5" l="1"/>
  <c r="AE701" i="5" s="1"/>
  <c r="CK701" i="5"/>
  <c r="CJ701" i="5" s="1"/>
  <c r="CV701" i="5"/>
  <c r="H700" i="5"/>
  <c r="P700" i="5" s="1"/>
  <c r="L701" i="5"/>
  <c r="BV701" i="5"/>
  <c r="J701" i="5" s="1"/>
  <c r="CT701" i="5"/>
  <c r="W701" i="5"/>
  <c r="BW701" i="5"/>
  <c r="AH700" i="5"/>
  <c r="AT700" i="5"/>
  <c r="K701" i="5"/>
  <c r="CP701" i="5"/>
  <c r="CQ701" i="5" s="1"/>
  <c r="R701" i="5" s="1"/>
  <c r="S701" i="5" s="1"/>
  <c r="BN701" i="5"/>
  <c r="BO701" i="5" s="1"/>
  <c r="BP701" i="5" s="1"/>
  <c r="G701" i="5" s="1"/>
  <c r="CO701" i="5"/>
  <c r="F701" i="5" s="1"/>
  <c r="CN701" i="5"/>
  <c r="E701" i="5" s="1"/>
  <c r="AN701" i="5" l="1"/>
  <c r="M700" i="5"/>
  <c r="N700" i="5" s="1"/>
  <c r="Q700" i="5"/>
  <c r="V700" i="5" s="1"/>
  <c r="AY700" i="5"/>
  <c r="AF701" i="5"/>
  <c r="AS700" i="5"/>
  <c r="AV700" i="5" s="1"/>
  <c r="AO700" i="5"/>
  <c r="C702" i="5"/>
  <c r="BK702" i="5" s="1"/>
  <c r="BL702" i="5" s="1"/>
  <c r="BM702" i="5" s="1"/>
  <c r="BC701" i="5"/>
  <c r="AG700" i="5" l="1"/>
  <c r="AJ700" i="5" s="1"/>
  <c r="CU702" i="5"/>
  <c r="BX702" i="5" s="1"/>
  <c r="AX702" i="5"/>
  <c r="AW702" i="5" s="1"/>
  <c r="AB702" i="5"/>
  <c r="L702" i="5" s="1"/>
  <c r="BG701" i="5"/>
  <c r="I701" i="5" s="1"/>
  <c r="AP701" i="5" s="1"/>
  <c r="AK702" i="5"/>
  <c r="AM702" i="5" s="1"/>
  <c r="AL703" i="5" s="1"/>
  <c r="BH702" i="5"/>
  <c r="BI702" i="5" s="1"/>
  <c r="BJ702" i="5" s="1"/>
  <c r="CI702" i="5"/>
  <c r="CH702" i="5" s="1"/>
  <c r="CY702" i="5"/>
  <c r="CS702" i="5"/>
  <c r="CR702" i="5"/>
  <c r="CL702" i="5"/>
  <c r="CM702" i="5" s="1"/>
  <c r="AR700" i="5"/>
  <c r="X700" i="5" s="1"/>
  <c r="Y700" i="5" s="1"/>
  <c r="Z700" i="5" s="1"/>
  <c r="AA700" i="5" s="1"/>
  <c r="BU702" i="5"/>
  <c r="BT702" i="5" s="1"/>
  <c r="D702" i="5"/>
  <c r="CW702" i="5"/>
  <c r="CX702" i="5"/>
  <c r="AC702" i="5"/>
  <c r="BW702" i="5"/>
  <c r="BY702" i="5"/>
  <c r="BF701" i="5"/>
  <c r="CZ701" i="5"/>
  <c r="BD701" i="5"/>
  <c r="BE702" i="5" s="1"/>
  <c r="CV702" i="5"/>
  <c r="BS705" i="5"/>
  <c r="CT702" i="5" l="1"/>
  <c r="AD702" i="5"/>
  <c r="AE702" i="5" s="1"/>
  <c r="BN702" i="5"/>
  <c r="BO702" i="5" s="1"/>
  <c r="BP702" i="5" s="1"/>
  <c r="G702" i="5" s="1"/>
  <c r="CP702" i="5"/>
  <c r="CQ702" i="5" s="1"/>
  <c r="R702" i="5" s="1"/>
  <c r="S702" i="5" s="1"/>
  <c r="CK702" i="5"/>
  <c r="CJ702" i="5" s="1"/>
  <c r="H701" i="5"/>
  <c r="M701" i="5" s="1"/>
  <c r="AO701" i="5" s="1"/>
  <c r="AR701" i="5" s="1"/>
  <c r="DA702" i="5"/>
  <c r="DB702" i="5" s="1"/>
  <c r="K702" i="5" s="1"/>
  <c r="W702" i="5"/>
  <c r="BV702" i="5"/>
  <c r="J702" i="5" s="1"/>
  <c r="T702" i="5"/>
  <c r="U702" i="5" s="1"/>
  <c r="AH701" i="5"/>
  <c r="AT701" i="5"/>
  <c r="CN702" i="5"/>
  <c r="E702" i="5" s="1"/>
  <c r="CO702" i="5"/>
  <c r="F702" i="5" s="1"/>
  <c r="P701" i="5" l="1"/>
  <c r="AG701" i="5"/>
  <c r="AN702" i="5"/>
  <c r="AS701" i="5"/>
  <c r="AV701" i="5" s="1"/>
  <c r="N701" i="5"/>
  <c r="C703" i="5"/>
  <c r="CI703" i="5" s="1"/>
  <c r="CH703" i="5" s="1"/>
  <c r="AF702" i="5"/>
  <c r="AJ701" i="5"/>
  <c r="BC702" i="5"/>
  <c r="CZ702" i="5" s="1"/>
  <c r="Q701" i="5" l="1"/>
  <c r="V701" i="5" s="1"/>
  <c r="AY701" i="5"/>
  <c r="X701" i="5" s="1"/>
  <c r="BG702" i="5"/>
  <c r="H702" i="5" s="1"/>
  <c r="CY703" i="5"/>
  <c r="BU703" i="5"/>
  <c r="AC703" i="5"/>
  <c r="CK703" i="5"/>
  <c r="CJ703" i="5" s="1"/>
  <c r="D703" i="5"/>
  <c r="T703" i="5" s="1"/>
  <c r="U703" i="5" s="1"/>
  <c r="CX703" i="5"/>
  <c r="CL703" i="5"/>
  <c r="CM703" i="5" s="1"/>
  <c r="CR703" i="5"/>
  <c r="CW703" i="5"/>
  <c r="BH703" i="5"/>
  <c r="BI703" i="5" s="1"/>
  <c r="BJ703" i="5" s="1"/>
  <c r="AB703" i="5"/>
  <c r="BN703" i="5" s="1"/>
  <c r="BO703" i="5" s="1"/>
  <c r="BP703" i="5" s="1"/>
  <c r="BK703" i="5"/>
  <c r="BL703" i="5" s="1"/>
  <c r="BM703" i="5" s="1"/>
  <c r="CS703" i="5"/>
  <c r="CU703" i="5"/>
  <c r="BX703" i="5" s="1"/>
  <c r="BW703" i="5" s="1"/>
  <c r="AX703" i="5"/>
  <c r="AW703" i="5" s="1"/>
  <c r="AK703" i="5"/>
  <c r="AM703" i="5" s="1"/>
  <c r="AL704" i="5" s="1"/>
  <c r="BF702" i="5"/>
  <c r="BD702" i="5"/>
  <c r="BE703" i="5" s="1"/>
  <c r="BV703" i="5"/>
  <c r="BT703" i="5"/>
  <c r="AD703" i="5"/>
  <c r="AE703" i="5" s="1"/>
  <c r="I702" i="5"/>
  <c r="Y701" i="5" l="1"/>
  <c r="Z701" i="5" s="1"/>
  <c r="AA701" i="5" s="1"/>
  <c r="W703" i="5"/>
  <c r="CP703" i="5"/>
  <c r="CQ703" i="5" s="1"/>
  <c r="R703" i="5" s="1"/>
  <c r="S703" i="5" s="1"/>
  <c r="DA703" i="5"/>
  <c r="DB703" i="5" s="1"/>
  <c r="K703" i="5" s="1"/>
  <c r="CV703" i="5"/>
  <c r="CO703" i="5" s="1"/>
  <c r="F703" i="5" s="1"/>
  <c r="G703" i="5"/>
  <c r="CT703" i="5"/>
  <c r="BY703" i="5"/>
  <c r="J703" i="5" s="1"/>
  <c r="AF703" i="5" s="1"/>
  <c r="L703" i="5"/>
  <c r="P702" i="5"/>
  <c r="M702" i="5"/>
  <c r="AG702" i="5" s="1"/>
  <c r="AH702" i="5"/>
  <c r="AT702" i="5"/>
  <c r="AP702" i="5"/>
  <c r="BS706" i="5"/>
  <c r="CN703" i="5" l="1"/>
  <c r="E703" i="5" s="1"/>
  <c r="BC703" i="5" s="1"/>
  <c r="BF703" i="5" s="1"/>
  <c r="AN703" i="5"/>
  <c r="Q702" i="5"/>
  <c r="V702" i="5" s="1"/>
  <c r="AY702" i="5"/>
  <c r="AJ702" i="5"/>
  <c r="AO702" i="5"/>
  <c r="AS702" i="5"/>
  <c r="AV702" i="5" s="1"/>
  <c r="N702" i="5"/>
  <c r="C704" i="5" l="1"/>
  <c r="BU704" i="5" s="1"/>
  <c r="BT704" i="5" s="1"/>
  <c r="BD703" i="5"/>
  <c r="BE704" i="5" s="1"/>
  <c r="CZ703" i="5"/>
  <c r="AR702" i="5"/>
  <c r="X702" i="5" s="1"/>
  <c r="Y702" i="5" s="1"/>
  <c r="Z702" i="5" s="1"/>
  <c r="AA702" i="5" s="1"/>
  <c r="BG703" i="5" l="1"/>
  <c r="I703" i="5" s="1"/>
  <c r="AP703" i="5" s="1"/>
  <c r="AX704" i="5"/>
  <c r="AW704" i="5" s="1"/>
  <c r="CS704" i="5"/>
  <c r="CU704" i="5"/>
  <c r="CV704" i="5" s="1"/>
  <c r="AB704" i="5"/>
  <c r="DA704" i="5" s="1"/>
  <c r="DB704" i="5" s="1"/>
  <c r="CR704" i="5"/>
  <c r="D704" i="5"/>
  <c r="W704" i="5" s="1"/>
  <c r="AC704" i="5"/>
  <c r="AK704" i="5"/>
  <c r="AM704" i="5" s="1"/>
  <c r="AL705" i="5" s="1"/>
  <c r="CY704" i="5"/>
  <c r="CW704" i="5"/>
  <c r="CX704" i="5"/>
  <c r="BV704" i="5"/>
  <c r="BK704" i="5"/>
  <c r="BL704" i="5" s="1"/>
  <c r="BM704" i="5" s="1"/>
  <c r="BH704" i="5"/>
  <c r="BI704" i="5" s="1"/>
  <c r="BJ704" i="5" s="1"/>
  <c r="CI704" i="5"/>
  <c r="CH704" i="5" s="1"/>
  <c r="CL704" i="5"/>
  <c r="CM704" i="5" s="1"/>
  <c r="H703" i="5"/>
  <c r="P703" i="5" s="1"/>
  <c r="AH703" i="5"/>
  <c r="AT703" i="5"/>
  <c r="AD704" i="5" l="1"/>
  <c r="AE704" i="5" s="1"/>
  <c r="BX704" i="5"/>
  <c r="BN704" i="5"/>
  <c r="BO704" i="5" s="1"/>
  <c r="BP704" i="5" s="1"/>
  <c r="G704" i="5" s="1"/>
  <c r="L704" i="5"/>
  <c r="CP704" i="5"/>
  <c r="CQ704" i="5" s="1"/>
  <c r="R704" i="5" s="1"/>
  <c r="S704" i="5" s="1"/>
  <c r="CT704" i="5"/>
  <c r="T704" i="5"/>
  <c r="U704" i="5" s="1"/>
  <c r="Q703" i="5"/>
  <c r="V703" i="5" s="1"/>
  <c r="AY703" i="5"/>
  <c r="M703" i="5"/>
  <c r="AO703" i="5" s="1"/>
  <c r="AR703" i="5" s="1"/>
  <c r="CN704" i="5"/>
  <c r="E704" i="5" s="1"/>
  <c r="CO704" i="5"/>
  <c r="F704" i="5" s="1"/>
  <c r="CK704" i="5"/>
  <c r="CJ704" i="5" s="1"/>
  <c r="K704" i="5" s="1"/>
  <c r="AS703" i="5"/>
  <c r="AV703" i="5" s="1"/>
  <c r="BS707" i="5"/>
  <c r="BW704" i="5" l="1"/>
  <c r="BY704" i="5"/>
  <c r="J704" i="5" s="1"/>
  <c r="AF704" i="5" s="1"/>
  <c r="AG703" i="5"/>
  <c r="AJ703" i="5" s="1"/>
  <c r="X703" i="5" s="1"/>
  <c r="Y703" i="5" s="1"/>
  <c r="Z703" i="5" s="1"/>
  <c r="AA703" i="5" s="1"/>
  <c r="N703" i="5"/>
  <c r="AN704" i="5"/>
  <c r="C705" i="5"/>
  <c r="AB705" i="5" s="1"/>
  <c r="BC704" i="5"/>
  <c r="BF704" i="5" s="1"/>
  <c r="BG704" i="5" l="1"/>
  <c r="I704" i="5" s="1"/>
  <c r="AH704" i="5" s="1"/>
  <c r="CS705" i="5"/>
  <c r="CL705" i="5"/>
  <c r="CM705" i="5" s="1"/>
  <c r="CR705" i="5"/>
  <c r="BU705" i="5"/>
  <c r="BV705" i="5" s="1"/>
  <c r="BH705" i="5"/>
  <c r="BI705" i="5" s="1"/>
  <c r="BJ705" i="5" s="1"/>
  <c r="CI705" i="5"/>
  <c r="CH705" i="5" s="1"/>
  <c r="H704" i="5"/>
  <c r="M704" i="5" s="1"/>
  <c r="AG704" i="5" s="1"/>
  <c r="CW705" i="5"/>
  <c r="D705" i="5"/>
  <c r="W705" i="5" s="1"/>
  <c r="CY705" i="5"/>
  <c r="BK705" i="5"/>
  <c r="BL705" i="5" s="1"/>
  <c r="BM705" i="5" s="1"/>
  <c r="CX705" i="5"/>
  <c r="AC705" i="5"/>
  <c r="AX705" i="5"/>
  <c r="AW705" i="5" s="1"/>
  <c r="CZ704" i="5"/>
  <c r="BD704" i="5"/>
  <c r="BE705" i="5" s="1"/>
  <c r="CU705" i="5"/>
  <c r="CT705" i="5" s="1"/>
  <c r="AK705" i="5"/>
  <c r="AM705" i="5" s="1"/>
  <c r="AL706" i="5" s="1"/>
  <c r="DA705" i="5"/>
  <c r="DB705" i="5" s="1"/>
  <c r="BN705" i="5"/>
  <c r="BO705" i="5" s="1"/>
  <c r="BP705" i="5" s="1"/>
  <c r="G705" i="5" s="1"/>
  <c r="CP705" i="5"/>
  <c r="CQ705" i="5" s="1"/>
  <c r="R705" i="5" s="1"/>
  <c r="S705" i="5" s="1"/>
  <c r="L705" i="5"/>
  <c r="BT705" i="5"/>
  <c r="AP704" i="5"/>
  <c r="AT704" i="5"/>
  <c r="AD705" i="5" l="1"/>
  <c r="AE705" i="5" s="1"/>
  <c r="AJ704" i="5"/>
  <c r="CK705" i="5"/>
  <c r="CJ705" i="5" s="1"/>
  <c r="P704" i="5"/>
  <c r="Q704" i="5" s="1"/>
  <c r="V704" i="5" s="1"/>
  <c r="K705" i="5"/>
  <c r="T705" i="5"/>
  <c r="U705" i="5" s="1"/>
  <c r="CV705" i="5"/>
  <c r="BX705" i="5"/>
  <c r="BY705" i="5" s="1"/>
  <c r="J705" i="5" s="1"/>
  <c r="AY704" i="5"/>
  <c r="AO704" i="5"/>
  <c r="AR704" i="5" s="1"/>
  <c r="AS704" i="5"/>
  <c r="AV704" i="5" s="1"/>
  <c r="N704" i="5"/>
  <c r="AN705" i="5" l="1"/>
  <c r="AF705" i="5"/>
  <c r="BW705" i="5"/>
  <c r="CO705" i="5"/>
  <c r="F705" i="5" s="1"/>
  <c r="CN705" i="5"/>
  <c r="E705" i="5" s="1"/>
  <c r="X704" i="5"/>
  <c r="Y704" i="5" s="1"/>
  <c r="Z704" i="5" s="1"/>
  <c r="AA704" i="5" s="1"/>
  <c r="BS708" i="5"/>
  <c r="BC705" i="5" l="1"/>
  <c r="BF705" i="5" s="1"/>
  <c r="C706" i="5"/>
  <c r="CZ705" i="5" l="1"/>
  <c r="BD705" i="5"/>
  <c r="BE706" i="5" s="1"/>
  <c r="CL706" i="5"/>
  <c r="CM706" i="5" s="1"/>
  <c r="AK706" i="5"/>
  <c r="AM706" i="5" s="1"/>
  <c r="AL707" i="5" s="1"/>
  <c r="CU706" i="5"/>
  <c r="BK706" i="5"/>
  <c r="BL706" i="5" s="1"/>
  <c r="BM706" i="5" s="1"/>
  <c r="CY706" i="5"/>
  <c r="CI706" i="5"/>
  <c r="AC706" i="5"/>
  <c r="BH706" i="5"/>
  <c r="BI706" i="5" s="1"/>
  <c r="BJ706" i="5" s="1"/>
  <c r="D706" i="5"/>
  <c r="AX706" i="5"/>
  <c r="AW706" i="5" s="1"/>
  <c r="CS706" i="5"/>
  <c r="AB706" i="5"/>
  <c r="CR706" i="5"/>
  <c r="CX706" i="5"/>
  <c r="BU706" i="5"/>
  <c r="CW706" i="5"/>
  <c r="BG705" i="5"/>
  <c r="AD706" i="5" l="1"/>
  <c r="AE706" i="5" s="1"/>
  <c r="AD707" i="5" s="1"/>
  <c r="DA706" i="5"/>
  <c r="DB706" i="5" s="1"/>
  <c r="CP706" i="5"/>
  <c r="CQ706" i="5" s="1"/>
  <c r="R706" i="5" s="1"/>
  <c r="S706" i="5" s="1"/>
  <c r="CV706" i="5"/>
  <c r="CT706" i="5"/>
  <c r="BX706" i="5"/>
  <c r="T706" i="5"/>
  <c r="U706" i="5" s="1"/>
  <c r="W706" i="5"/>
  <c r="BN706" i="5"/>
  <c r="BO706" i="5" s="1"/>
  <c r="BP706" i="5" s="1"/>
  <c r="G706" i="5" s="1"/>
  <c r="BV706" i="5"/>
  <c r="BT706" i="5"/>
  <c r="L706" i="5"/>
  <c r="H705" i="5"/>
  <c r="I705" i="5"/>
  <c r="AH705" i="5" s="1"/>
  <c r="CK706" i="5"/>
  <c r="CJ706" i="5" s="1"/>
  <c r="CH706" i="5"/>
  <c r="BS709" i="5"/>
  <c r="K706" i="5" l="1"/>
  <c r="AP705" i="5"/>
  <c r="AT705" i="5"/>
  <c r="P705" i="5"/>
  <c r="M705" i="5"/>
  <c r="BW706" i="5"/>
  <c r="BY706" i="5"/>
  <c r="J706" i="5" s="1"/>
  <c r="AN706" i="5" s="1"/>
  <c r="CN706" i="5"/>
  <c r="E706" i="5" s="1"/>
  <c r="CO706" i="5"/>
  <c r="F706" i="5" s="1"/>
  <c r="Q705" i="5" l="1"/>
  <c r="V705" i="5" s="1"/>
  <c r="AY705" i="5"/>
  <c r="AS705" i="5"/>
  <c r="AV705" i="5" s="1"/>
  <c r="AG705" i="5"/>
  <c r="AJ705" i="5" s="1"/>
  <c r="C707" i="5"/>
  <c r="CS707" i="5" s="1"/>
  <c r="BC706" i="5"/>
  <c r="AO705" i="5"/>
  <c r="AR705" i="5" s="1"/>
  <c r="N705" i="5"/>
  <c r="AF706" i="5"/>
  <c r="X705" i="5" l="1"/>
  <c r="Y705" i="5" s="1"/>
  <c r="Z705" i="5" s="1"/>
  <c r="AA705" i="5" s="1"/>
  <c r="BG706" i="5"/>
  <c r="I706" i="5" s="1"/>
  <c r="AH706" i="5" s="1"/>
  <c r="AC707" i="5"/>
  <c r="AE707" i="5" s="1"/>
  <c r="CW707" i="5"/>
  <c r="AX707" i="5"/>
  <c r="AW707" i="5" s="1"/>
  <c r="CY707" i="5"/>
  <c r="BH707" i="5"/>
  <c r="BI707" i="5" s="1"/>
  <c r="BJ707" i="5" s="1"/>
  <c r="CU707" i="5"/>
  <c r="CV707" i="5" s="1"/>
  <c r="D707" i="5"/>
  <c r="T707" i="5" s="1"/>
  <c r="U707" i="5" s="1"/>
  <c r="CX707" i="5"/>
  <c r="CI707" i="5"/>
  <c r="CK707" i="5" s="1"/>
  <c r="CJ707" i="5" s="1"/>
  <c r="AB707" i="5"/>
  <c r="BN707" i="5" s="1"/>
  <c r="BO707" i="5" s="1"/>
  <c r="BP707" i="5" s="1"/>
  <c r="BK707" i="5"/>
  <c r="BL707" i="5" s="1"/>
  <c r="BM707" i="5" s="1"/>
  <c r="CL707" i="5"/>
  <c r="CM707" i="5" s="1"/>
  <c r="BU707" i="5"/>
  <c r="BV707" i="5" s="1"/>
  <c r="AK707" i="5"/>
  <c r="AM707" i="5" s="1"/>
  <c r="AL708" i="5" s="1"/>
  <c r="CR707" i="5"/>
  <c r="CZ706" i="5"/>
  <c r="BF706" i="5"/>
  <c r="BD706" i="5"/>
  <c r="BE707" i="5" s="1"/>
  <c r="G707" i="5" l="1"/>
  <c r="CH707" i="5"/>
  <c r="H706" i="5"/>
  <c r="P706" i="5" s="1"/>
  <c r="AY707" i="5"/>
  <c r="CT707" i="5"/>
  <c r="BX707" i="5"/>
  <c r="BW707" i="5" s="1"/>
  <c r="BT707" i="5"/>
  <c r="W707" i="5"/>
  <c r="DA707" i="5"/>
  <c r="DB707" i="5" s="1"/>
  <c r="K707" i="5" s="1"/>
  <c r="CP707" i="5"/>
  <c r="CQ707" i="5" s="1"/>
  <c r="R707" i="5" s="1"/>
  <c r="S707" i="5" s="1"/>
  <c r="L707" i="5"/>
  <c r="AT706" i="5"/>
  <c r="AP706" i="5"/>
  <c r="CN707" i="5"/>
  <c r="E707" i="5" s="1"/>
  <c r="CO707" i="5"/>
  <c r="F707" i="5" s="1"/>
  <c r="BY707" i="5"/>
  <c r="J707" i="5" s="1"/>
  <c r="AD708" i="5"/>
  <c r="BS710" i="5"/>
  <c r="M706" i="5" l="1"/>
  <c r="Q706" i="5"/>
  <c r="V706" i="5" s="1"/>
  <c r="AY706" i="5"/>
  <c r="AN707" i="5"/>
  <c r="AF707" i="5"/>
  <c r="BC707" i="5"/>
  <c r="CZ707" i="5" s="1"/>
  <c r="AS706" i="5"/>
  <c r="AV706" i="5" s="1"/>
  <c r="AO706" i="5"/>
  <c r="AR706" i="5" s="1"/>
  <c r="C708" i="5"/>
  <c r="AG706" i="5"/>
  <c r="AJ706" i="5" s="1"/>
  <c r="N706" i="5"/>
  <c r="BD707" i="5" l="1"/>
  <c r="BE708" i="5" s="1"/>
  <c r="BF707" i="5"/>
  <c r="X706" i="5"/>
  <c r="Y706" i="5" s="1"/>
  <c r="Z706" i="5" s="1"/>
  <c r="AA706" i="5" s="1"/>
  <c r="D708" i="5"/>
  <c r="CI708" i="5"/>
  <c r="BK708" i="5"/>
  <c r="BL708" i="5" s="1"/>
  <c r="BM708" i="5" s="1"/>
  <c r="AK708" i="5"/>
  <c r="AM708" i="5" s="1"/>
  <c r="AL709" i="5" s="1"/>
  <c r="CW708" i="5"/>
  <c r="CL708" i="5"/>
  <c r="CM708" i="5" s="1"/>
  <c r="AC708" i="5"/>
  <c r="AE708" i="5" s="1"/>
  <c r="AB708" i="5"/>
  <c r="L708" i="5" s="1"/>
  <c r="AX708" i="5"/>
  <c r="AW708" i="5" s="1"/>
  <c r="CX708" i="5"/>
  <c r="CR708" i="5"/>
  <c r="CS708" i="5"/>
  <c r="BG707" i="5"/>
  <c r="CU708" i="5"/>
  <c r="CY708" i="5"/>
  <c r="BH708" i="5"/>
  <c r="BI708" i="5" s="1"/>
  <c r="BJ708" i="5" s="1"/>
  <c r="BU708" i="5"/>
  <c r="H707" i="5" l="1"/>
  <c r="I707" i="5"/>
  <c r="AH707" i="5" s="1"/>
  <c r="DA708" i="5"/>
  <c r="DB708" i="5" s="1"/>
  <c r="CP708" i="5"/>
  <c r="CQ708" i="5" s="1"/>
  <c r="R708" i="5" s="1"/>
  <c r="S708" i="5" s="1"/>
  <c r="BN708" i="5"/>
  <c r="BO708" i="5" s="1"/>
  <c r="BP708" i="5" s="1"/>
  <c r="G708" i="5" s="1"/>
  <c r="CK708" i="5"/>
  <c r="CJ708" i="5" s="1"/>
  <c r="CH708" i="5"/>
  <c r="CV708" i="5"/>
  <c r="CT708" i="5"/>
  <c r="BX708" i="5"/>
  <c r="BV708" i="5"/>
  <c r="BT708" i="5"/>
  <c r="T708" i="5"/>
  <c r="U708" i="5" s="1"/>
  <c r="W708" i="5"/>
  <c r="BS711" i="5"/>
  <c r="K708" i="5" l="1"/>
  <c r="AP707" i="5"/>
  <c r="AT707" i="5"/>
  <c r="CO708" i="5"/>
  <c r="F708" i="5" s="1"/>
  <c r="CN708" i="5"/>
  <c r="E708" i="5" s="1"/>
  <c r="BY708" i="5"/>
  <c r="J708" i="5" s="1"/>
  <c r="AN708" i="5" s="1"/>
  <c r="BW708" i="5"/>
  <c r="P707" i="5"/>
  <c r="Q707" i="5" s="1"/>
  <c r="V707" i="5" s="1"/>
  <c r="M707" i="5"/>
  <c r="BC708" i="5" l="1"/>
  <c r="AS707" i="5"/>
  <c r="AV707" i="5" s="1"/>
  <c r="AG707" i="5"/>
  <c r="AJ707" i="5" s="1"/>
  <c r="C709" i="5"/>
  <c r="D709" i="5" s="1"/>
  <c r="AF708" i="5"/>
  <c r="AO707" i="5"/>
  <c r="AR707" i="5" s="1"/>
  <c r="N707" i="5"/>
  <c r="BD708" i="5"/>
  <c r="BE709" i="5" s="1"/>
  <c r="CZ708" i="5"/>
  <c r="BF708" i="5"/>
  <c r="AY708" i="5"/>
  <c r="X707" i="5" l="1"/>
  <c r="Y707" i="5" s="1"/>
  <c r="Z707" i="5" s="1"/>
  <c r="AA707" i="5" s="1"/>
  <c r="BG708" i="5"/>
  <c r="BU709" i="5"/>
  <c r="BV709" i="5" s="1"/>
  <c r="BH709" i="5"/>
  <c r="BI709" i="5" s="1"/>
  <c r="BJ709" i="5" s="1"/>
  <c r="CL709" i="5"/>
  <c r="CM709" i="5" s="1"/>
  <c r="CS709" i="5"/>
  <c r="CR709" i="5"/>
  <c r="AX709" i="5"/>
  <c r="AW709" i="5" s="1"/>
  <c r="AB709" i="5"/>
  <c r="DA709" i="5" s="1"/>
  <c r="DB709" i="5" s="1"/>
  <c r="CX709" i="5"/>
  <c r="CU709" i="5"/>
  <c r="BX709" i="5" s="1"/>
  <c r="BW709" i="5" s="1"/>
  <c r="AC709" i="5"/>
  <c r="CY709" i="5"/>
  <c r="AK709" i="5"/>
  <c r="AM709" i="5" s="1"/>
  <c r="AL710" i="5" s="1"/>
  <c r="CW709" i="5"/>
  <c r="CI709" i="5"/>
  <c r="CH709" i="5" s="1"/>
  <c r="BK709" i="5"/>
  <c r="BL709" i="5" s="1"/>
  <c r="BM709" i="5" s="1"/>
  <c r="AD709" i="5"/>
  <c r="T709" i="5"/>
  <c r="U709" i="5" s="1"/>
  <c r="W709" i="5"/>
  <c r="H708" i="5"/>
  <c r="I708" i="5"/>
  <c r="BS712" i="5"/>
  <c r="BT709" i="5" l="1"/>
  <c r="AE709" i="5"/>
  <c r="AD710" i="5" s="1"/>
  <c r="CV709" i="5"/>
  <c r="CO709" i="5" s="1"/>
  <c r="F709" i="5" s="1"/>
  <c r="AY709" i="5"/>
  <c r="CP709" i="5"/>
  <c r="CQ709" i="5" s="1"/>
  <c r="R709" i="5" s="1"/>
  <c r="S709" i="5" s="1"/>
  <c r="BY709" i="5"/>
  <c r="J709" i="5" s="1"/>
  <c r="L709" i="5"/>
  <c r="BN709" i="5"/>
  <c r="BO709" i="5" s="1"/>
  <c r="BP709" i="5" s="1"/>
  <c r="G709" i="5" s="1"/>
  <c r="CT709" i="5"/>
  <c r="CK709" i="5"/>
  <c r="CJ709" i="5" s="1"/>
  <c r="K709" i="5" s="1"/>
  <c r="AH708" i="5"/>
  <c r="AT708" i="5"/>
  <c r="AP708" i="5"/>
  <c r="M708" i="5"/>
  <c r="P708" i="5"/>
  <c r="Q708" i="5" s="1"/>
  <c r="V708" i="5" s="1"/>
  <c r="CN709" i="5"/>
  <c r="E709" i="5" s="1"/>
  <c r="AN709" i="5" l="1"/>
  <c r="BC709" i="5"/>
  <c r="BD709" i="5" s="1"/>
  <c r="BE710" i="5" s="1"/>
  <c r="AF709" i="5"/>
  <c r="AS708" i="5"/>
  <c r="AV708" i="5" s="1"/>
  <c r="AO708" i="5"/>
  <c r="AR708" i="5" s="1"/>
  <c r="C710" i="5"/>
  <c r="BU710" i="5" s="1"/>
  <c r="N708" i="5"/>
  <c r="AG708" i="5"/>
  <c r="AJ708" i="5" s="1"/>
  <c r="BF709" i="5" l="1"/>
  <c r="CZ709" i="5"/>
  <c r="X708" i="5"/>
  <c r="Y708" i="5" s="1"/>
  <c r="Z708" i="5" s="1"/>
  <c r="AA708" i="5" s="1"/>
  <c r="CU710" i="5"/>
  <c r="BX710" i="5" s="1"/>
  <c r="BY710" i="5" s="1"/>
  <c r="AC710" i="5"/>
  <c r="AE710" i="5" s="1"/>
  <c r="AD711" i="5" s="1"/>
  <c r="D710" i="5"/>
  <c r="W710" i="5" s="1"/>
  <c r="CS710" i="5"/>
  <c r="CY710" i="5"/>
  <c r="BG709" i="5"/>
  <c r="I709" i="5" s="1"/>
  <c r="AH709" i="5" s="1"/>
  <c r="AX710" i="5"/>
  <c r="AW710" i="5" s="1"/>
  <c r="CL710" i="5"/>
  <c r="CM710" i="5" s="1"/>
  <c r="CI710" i="5"/>
  <c r="CK710" i="5" s="1"/>
  <c r="CJ710" i="5" s="1"/>
  <c r="CW710" i="5"/>
  <c r="BH710" i="5"/>
  <c r="BI710" i="5" s="1"/>
  <c r="BJ710" i="5" s="1"/>
  <c r="CR710" i="5"/>
  <c r="CX710" i="5"/>
  <c r="AB710" i="5"/>
  <c r="DA710" i="5" s="1"/>
  <c r="DB710" i="5" s="1"/>
  <c r="BK710" i="5"/>
  <c r="BL710" i="5" s="1"/>
  <c r="BM710" i="5" s="1"/>
  <c r="AK710" i="5"/>
  <c r="AM710" i="5" s="1"/>
  <c r="AL711" i="5" s="1"/>
  <c r="CT710" i="5"/>
  <c r="BT710" i="5"/>
  <c r="BV710" i="5"/>
  <c r="J710" i="5" s="1"/>
  <c r="BW710" i="5"/>
  <c r="BS713" i="5"/>
  <c r="CV710" i="5" l="1"/>
  <c r="T710" i="5"/>
  <c r="U710" i="5" s="1"/>
  <c r="BN710" i="5"/>
  <c r="BO710" i="5" s="1"/>
  <c r="BP710" i="5" s="1"/>
  <c r="G710" i="5" s="1"/>
  <c r="AF710" i="5" s="1"/>
  <c r="H709" i="5"/>
  <c r="M709" i="5" s="1"/>
  <c r="L710" i="5"/>
  <c r="CP710" i="5"/>
  <c r="CQ710" i="5" s="1"/>
  <c r="R710" i="5" s="1"/>
  <c r="S710" i="5" s="1"/>
  <c r="CH710" i="5"/>
  <c r="AP709" i="5"/>
  <c r="AT709" i="5"/>
  <c r="K710" i="5"/>
  <c r="CN710" i="5"/>
  <c r="E710" i="5" s="1"/>
  <c r="CO710" i="5"/>
  <c r="F710" i="5" s="1"/>
  <c r="P709" i="5" l="1"/>
  <c r="Q709" i="5" s="1"/>
  <c r="V709" i="5" s="1"/>
  <c r="AN710" i="5"/>
  <c r="AO709" i="5"/>
  <c r="AR709" i="5" s="1"/>
  <c r="AG709" i="5"/>
  <c r="AJ709" i="5" s="1"/>
  <c r="N709" i="5"/>
  <c r="AS709" i="5"/>
  <c r="AV709" i="5" s="1"/>
  <c r="X709" i="5" s="1"/>
  <c r="C711" i="5"/>
  <c r="CX711" i="5" s="1"/>
  <c r="BC710" i="5"/>
  <c r="Y709" i="5" l="1"/>
  <c r="Z709" i="5" s="1"/>
  <c r="AA709" i="5" s="1"/>
  <c r="CI711" i="5"/>
  <c r="CH711" i="5" s="1"/>
  <c r="CL711" i="5"/>
  <c r="CM711" i="5" s="1"/>
  <c r="BH711" i="5"/>
  <c r="BI711" i="5" s="1"/>
  <c r="BJ711" i="5" s="1"/>
  <c r="CS711" i="5"/>
  <c r="CW711" i="5"/>
  <c r="BU711" i="5"/>
  <c r="BV711" i="5" s="1"/>
  <c r="AX711" i="5"/>
  <c r="AW711" i="5" s="1"/>
  <c r="CU711" i="5"/>
  <c r="CT711" i="5" s="1"/>
  <c r="AK711" i="5"/>
  <c r="AM711" i="5" s="1"/>
  <c r="AL712" i="5" s="1"/>
  <c r="BK711" i="5"/>
  <c r="BL711" i="5" s="1"/>
  <c r="BM711" i="5" s="1"/>
  <c r="AC711" i="5"/>
  <c r="AE711" i="5" s="1"/>
  <c r="CY711" i="5"/>
  <c r="BG710" i="5"/>
  <c r="I710" i="5" s="1"/>
  <c r="AP710" i="5" s="1"/>
  <c r="D711" i="5"/>
  <c r="CR711" i="5"/>
  <c r="AB711" i="5"/>
  <c r="L711" i="5" s="1"/>
  <c r="CK711" i="5"/>
  <c r="CJ711" i="5" s="1"/>
  <c r="BF710" i="5"/>
  <c r="CZ710" i="5"/>
  <c r="BD710" i="5"/>
  <c r="BE711" i="5" s="1"/>
  <c r="AH710" i="5" l="1"/>
  <c r="AT710" i="5"/>
  <c r="BT711" i="5"/>
  <c r="H710" i="5"/>
  <c r="P710" i="5" s="1"/>
  <c r="BX711" i="5"/>
  <c r="CV711" i="5"/>
  <c r="BN711" i="5"/>
  <c r="BO711" i="5" s="1"/>
  <c r="BP711" i="5" s="1"/>
  <c r="G711" i="5" s="1"/>
  <c r="DA711" i="5"/>
  <c r="DB711" i="5" s="1"/>
  <c r="K711" i="5" s="1"/>
  <c r="CP711" i="5"/>
  <c r="CQ711" i="5" s="1"/>
  <c r="R711" i="5" s="1"/>
  <c r="S711" i="5" s="1"/>
  <c r="T711" i="5"/>
  <c r="U711" i="5" s="1"/>
  <c r="W711" i="5"/>
  <c r="BS714" i="5"/>
  <c r="BB710" i="5" l="1"/>
  <c r="AY710" i="5"/>
  <c r="M710" i="5"/>
  <c r="AO710" i="5" s="1"/>
  <c r="AR710" i="5" s="1"/>
  <c r="Q710" i="5"/>
  <c r="V710" i="5" s="1"/>
  <c r="CO711" i="5"/>
  <c r="F711" i="5" s="1"/>
  <c r="CN711" i="5"/>
  <c r="E711" i="5" s="1"/>
  <c r="N710" i="5"/>
  <c r="BY711" i="5"/>
  <c r="J711" i="5" s="1"/>
  <c r="AF711" i="5" s="1"/>
  <c r="BW711" i="5"/>
  <c r="AY711" i="5"/>
  <c r="C712" i="5" l="1"/>
  <c r="AX712" i="5" s="1"/>
  <c r="AW712" i="5" s="1"/>
  <c r="AN711" i="5"/>
  <c r="AS710" i="5"/>
  <c r="AV710" i="5" s="1"/>
  <c r="AG710" i="5"/>
  <c r="AJ710" i="5" s="1"/>
  <c r="BG711" i="5"/>
  <c r="I711" i="5" s="1"/>
  <c r="BC711" i="5"/>
  <c r="CZ711" i="5" s="1"/>
  <c r="CU712" i="5"/>
  <c r="CT712" i="5" s="1"/>
  <c r="D712" i="5"/>
  <c r="CR712" i="5"/>
  <c r="CS712" i="5" l="1"/>
  <c r="CX712" i="5"/>
  <c r="CL712" i="5"/>
  <c r="CM712" i="5" s="1"/>
  <c r="CY712" i="5"/>
  <c r="CI712" i="5"/>
  <c r="CK712" i="5" s="1"/>
  <c r="CJ712" i="5" s="1"/>
  <c r="BH712" i="5"/>
  <c r="BI712" i="5" s="1"/>
  <c r="BJ712" i="5" s="1"/>
  <c r="BU712" i="5"/>
  <c r="BV712" i="5" s="1"/>
  <c r="BF711" i="5"/>
  <c r="BX712" i="5"/>
  <c r="BW712" i="5" s="1"/>
  <c r="CV712" i="5"/>
  <c r="AK712" i="5"/>
  <c r="AM712" i="5" s="1"/>
  <c r="AL713" i="5" s="1"/>
  <c r="BK712" i="5"/>
  <c r="BL712" i="5" s="1"/>
  <c r="BM712" i="5" s="1"/>
  <c r="AY712" i="5"/>
  <c r="AC712" i="5"/>
  <c r="AD712" i="5" s="1"/>
  <c r="CW712" i="5"/>
  <c r="AB712" i="5"/>
  <c r="H711" i="5"/>
  <c r="P711" i="5" s="1"/>
  <c r="Q711" i="5" s="1"/>
  <c r="V711" i="5" s="1"/>
  <c r="X710" i="5"/>
  <c r="Y710" i="5" s="1"/>
  <c r="Z710" i="5" s="1"/>
  <c r="AA710" i="5" s="1"/>
  <c r="BD711" i="5"/>
  <c r="BE712" i="5" s="1"/>
  <c r="T712" i="5"/>
  <c r="U712" i="5" s="1"/>
  <c r="W712" i="5"/>
  <c r="CN712" i="5"/>
  <c r="E712" i="5" s="1"/>
  <c r="AH711" i="5"/>
  <c r="AP711" i="5"/>
  <c r="AT711" i="5"/>
  <c r="BS715" i="5"/>
  <c r="CH712" i="5" l="1"/>
  <c r="CO712" i="5"/>
  <c r="F712" i="5" s="1"/>
  <c r="C713" i="5" s="1"/>
  <c r="AB713" i="5" s="1"/>
  <c r="BT712" i="5"/>
  <c r="BY712" i="5"/>
  <c r="J712" i="5" s="1"/>
  <c r="AE712" i="5"/>
  <c r="CP712" i="5"/>
  <c r="CQ712" i="5" s="1"/>
  <c r="R712" i="5" s="1"/>
  <c r="S712" i="5" s="1"/>
  <c r="DA712" i="5"/>
  <c r="DB712" i="5" s="1"/>
  <c r="K712" i="5" s="1"/>
  <c r="M711" i="5"/>
  <c r="AG711" i="5" s="1"/>
  <c r="AJ711" i="5" s="1"/>
  <c r="L712" i="5"/>
  <c r="BN712" i="5"/>
  <c r="BO712" i="5" s="1"/>
  <c r="BP712" i="5" s="1"/>
  <c r="G712" i="5" s="1"/>
  <c r="AF712" i="5" s="1"/>
  <c r="AO711" i="5" l="1"/>
  <c r="AR711" i="5" s="1"/>
  <c r="AS711" i="5"/>
  <c r="AV711" i="5" s="1"/>
  <c r="AN712" i="5"/>
  <c r="N711" i="5"/>
  <c r="CU713" i="5"/>
  <c r="BX713" i="5" s="1"/>
  <c r="BY713" i="5" s="1"/>
  <c r="BC712" i="5"/>
  <c r="BF712" i="5" s="1"/>
  <c r="CR713" i="5"/>
  <c r="BU713" i="5"/>
  <c r="BT713" i="5" s="1"/>
  <c r="CS713" i="5"/>
  <c r="CX713" i="5"/>
  <c r="AC713" i="5"/>
  <c r="CI713" i="5"/>
  <c r="CK713" i="5" s="1"/>
  <c r="CJ713" i="5" s="1"/>
  <c r="CW713" i="5"/>
  <c r="CL713" i="5"/>
  <c r="CM713" i="5" s="1"/>
  <c r="AX713" i="5"/>
  <c r="AW713" i="5" s="1"/>
  <c r="BG712" i="5"/>
  <c r="I712" i="5" s="1"/>
  <c r="AH712" i="5" s="1"/>
  <c r="BK713" i="5"/>
  <c r="BL713" i="5" s="1"/>
  <c r="BM713" i="5" s="1"/>
  <c r="CY713" i="5"/>
  <c r="L713" i="5"/>
  <c r="DA713" i="5"/>
  <c r="DB713" i="5" s="1"/>
  <c r="BH713" i="5"/>
  <c r="BI713" i="5" s="1"/>
  <c r="BJ713" i="5" s="1"/>
  <c r="D713" i="5"/>
  <c r="AK713" i="5"/>
  <c r="AM713" i="5" s="1"/>
  <c r="AL714" i="5" s="1"/>
  <c r="BN713" i="5"/>
  <c r="BO713" i="5" s="1"/>
  <c r="BP713" i="5" s="1"/>
  <c r="CP713" i="5"/>
  <c r="CQ713" i="5" s="1"/>
  <c r="R713" i="5" s="1"/>
  <c r="S713" i="5" s="1"/>
  <c r="X711" i="5" l="1"/>
  <c r="Y711" i="5" s="1"/>
  <c r="Z711" i="5" s="1"/>
  <c r="AA711" i="5" s="1"/>
  <c r="AP712" i="5"/>
  <c r="BW713" i="5"/>
  <c r="CT713" i="5"/>
  <c r="CZ712" i="5"/>
  <c r="BD712" i="5"/>
  <c r="BE713" i="5" s="1"/>
  <c r="CV713" i="5"/>
  <c r="AD713" i="5"/>
  <c r="BV713" i="5"/>
  <c r="J713" i="5" s="1"/>
  <c r="AY713" i="5"/>
  <c r="AT712" i="5"/>
  <c r="CH713" i="5"/>
  <c r="H712" i="5"/>
  <c r="P712" i="5" s="1"/>
  <c r="Q712" i="5" s="1"/>
  <c r="V712" i="5" s="1"/>
  <c r="G713" i="5"/>
  <c r="K713" i="5"/>
  <c r="T713" i="5"/>
  <c r="U713" i="5" s="1"/>
  <c r="W713" i="5"/>
  <c r="AF713" i="5" l="1"/>
  <c r="AN713" i="5"/>
  <c r="AE713" i="5"/>
  <c r="CN713" i="5"/>
  <c r="E713" i="5" s="1"/>
  <c r="CO713" i="5"/>
  <c r="F713" i="5" s="1"/>
  <c r="M712" i="5"/>
  <c r="BS716" i="5"/>
  <c r="BC713" i="5" l="1"/>
  <c r="BD713" i="5" s="1"/>
  <c r="BE714" i="5" s="1"/>
  <c r="AS712" i="5"/>
  <c r="AV712" i="5" s="1"/>
  <c r="AO712" i="5"/>
  <c r="AR712" i="5" s="1"/>
  <c r="C714" i="5"/>
  <c r="AG712" i="5"/>
  <c r="AJ712" i="5" s="1"/>
  <c r="N712" i="5"/>
  <c r="CZ713" i="5" l="1"/>
  <c r="BF713" i="5"/>
  <c r="X712" i="5"/>
  <c r="Y712" i="5" s="1"/>
  <c r="Z712" i="5" s="1"/>
  <c r="AA712" i="5" s="1"/>
  <c r="BK714" i="5"/>
  <c r="BL714" i="5" s="1"/>
  <c r="BM714" i="5" s="1"/>
  <c r="D714" i="5"/>
  <c r="CR714" i="5"/>
  <c r="AX714" i="5"/>
  <c r="AW714" i="5" s="1"/>
  <c r="CI714" i="5"/>
  <c r="AC714" i="5"/>
  <c r="BH714" i="5"/>
  <c r="BI714" i="5" s="1"/>
  <c r="BJ714" i="5" s="1"/>
  <c r="AK714" i="5"/>
  <c r="AM714" i="5" s="1"/>
  <c r="AL715" i="5" s="1"/>
  <c r="CU714" i="5"/>
  <c r="CX714" i="5"/>
  <c r="CS714" i="5"/>
  <c r="BG713" i="5"/>
  <c r="CL714" i="5"/>
  <c r="CM714" i="5" s="1"/>
  <c r="CW714" i="5"/>
  <c r="AB714" i="5"/>
  <c r="BU714" i="5"/>
  <c r="CY714" i="5"/>
  <c r="AD714" i="5" l="1"/>
  <c r="AE714" i="5" s="1"/>
  <c r="L714" i="5"/>
  <c r="DA714" i="5"/>
  <c r="DB714" i="5" s="1"/>
  <c r="K714" i="5" s="1"/>
  <c r="CK714" i="5"/>
  <c r="CJ714" i="5" s="1"/>
  <c r="CH714" i="5"/>
  <c r="H713" i="5"/>
  <c r="I713" i="5"/>
  <c r="AP713" i="5" s="1"/>
  <c r="T714" i="5"/>
  <c r="U714" i="5" s="1"/>
  <c r="W714" i="5"/>
  <c r="CP714" i="5"/>
  <c r="CQ714" i="5" s="1"/>
  <c r="R714" i="5" s="1"/>
  <c r="S714" i="5" s="1"/>
  <c r="BX714" i="5"/>
  <c r="CT714" i="5"/>
  <c r="CV714" i="5"/>
  <c r="BV714" i="5"/>
  <c r="BT714" i="5"/>
  <c r="BN714" i="5"/>
  <c r="BO714" i="5" s="1"/>
  <c r="BP714" i="5" s="1"/>
  <c r="G714" i="5" s="1"/>
  <c r="AH713" i="5" l="1"/>
  <c r="AT713" i="5"/>
  <c r="M713" i="5"/>
  <c r="P713" i="5"/>
  <c r="Q713" i="5" s="1"/>
  <c r="V713" i="5" s="1"/>
  <c r="BW714" i="5"/>
  <c r="BY714" i="5"/>
  <c r="J714" i="5" s="1"/>
  <c r="AF714" i="5" s="1"/>
  <c r="CN714" i="5"/>
  <c r="E714" i="5" s="1"/>
  <c r="CO714" i="5"/>
  <c r="F714" i="5" s="1"/>
  <c r="BC714" i="5" l="1"/>
  <c r="BD714" i="5" s="1"/>
  <c r="BE715" i="5" s="1"/>
  <c r="AN714" i="5"/>
  <c r="AS713" i="5"/>
  <c r="AV713" i="5" s="1"/>
  <c r="AO713" i="5"/>
  <c r="AR713" i="5" s="1"/>
  <c r="C715" i="5"/>
  <c r="N713" i="5"/>
  <c r="AG713" i="5"/>
  <c r="AJ713" i="5" s="1"/>
  <c r="CZ714" i="5" l="1"/>
  <c r="BF714" i="5"/>
  <c r="X713" i="5"/>
  <c r="Y713" i="5" s="1"/>
  <c r="Z713" i="5" s="1"/>
  <c r="AA713" i="5" s="1"/>
  <c r="CW715" i="5"/>
  <c r="AX715" i="5"/>
  <c r="AW715" i="5" s="1"/>
  <c r="BH715" i="5"/>
  <c r="BI715" i="5" s="1"/>
  <c r="BJ715" i="5" s="1"/>
  <c r="AK715" i="5"/>
  <c r="AM715" i="5" s="1"/>
  <c r="AL716" i="5" s="1"/>
  <c r="AB715" i="5"/>
  <c r="DA715" i="5" s="1"/>
  <c r="DB715" i="5" s="1"/>
  <c r="CS715" i="5"/>
  <c r="D715" i="5"/>
  <c r="CU715" i="5"/>
  <c r="CX715" i="5"/>
  <c r="AC715" i="5"/>
  <c r="BU715" i="5"/>
  <c r="BG714" i="5"/>
  <c r="CR715" i="5"/>
  <c r="CY715" i="5"/>
  <c r="CL715" i="5"/>
  <c r="CM715" i="5" s="1"/>
  <c r="CI715" i="5"/>
  <c r="BK715" i="5"/>
  <c r="BL715" i="5" s="1"/>
  <c r="BM715" i="5" s="1"/>
  <c r="BS718" i="5"/>
  <c r="AD715" i="5" l="1"/>
  <c r="AE715" i="5" s="1"/>
  <c r="CP715" i="5"/>
  <c r="CQ715" i="5" s="1"/>
  <c r="R715" i="5" s="1"/>
  <c r="S715" i="5" s="1"/>
  <c r="W715" i="5"/>
  <c r="T715" i="5"/>
  <c r="U715" i="5" s="1"/>
  <c r="H714" i="5"/>
  <c r="I714" i="5"/>
  <c r="AT714" i="5" s="1"/>
  <c r="BV715" i="5"/>
  <c r="BT715" i="5"/>
  <c r="L715" i="5"/>
  <c r="BN715" i="5"/>
  <c r="BO715" i="5" s="1"/>
  <c r="BP715" i="5" s="1"/>
  <c r="G715" i="5" s="1"/>
  <c r="CK715" i="5"/>
  <c r="CJ715" i="5" s="1"/>
  <c r="K715" i="5" s="1"/>
  <c r="CH715" i="5"/>
  <c r="BX715" i="5"/>
  <c r="CV715" i="5"/>
  <c r="CT715" i="5"/>
  <c r="BS717" i="5"/>
  <c r="AP714" i="5" l="1"/>
  <c r="AH714" i="5"/>
  <c r="CN715" i="5"/>
  <c r="E715" i="5" s="1"/>
  <c r="CO715" i="5"/>
  <c r="F715" i="5" s="1"/>
  <c r="BW715" i="5"/>
  <c r="BY715" i="5"/>
  <c r="J715" i="5" s="1"/>
  <c r="AN715" i="5" s="1"/>
  <c r="M714" i="5"/>
  <c r="P714" i="5"/>
  <c r="Q714" i="5" l="1"/>
  <c r="V714" i="5" s="1"/>
  <c r="AY714" i="5"/>
  <c r="AS714" i="5"/>
  <c r="AV714" i="5" s="1"/>
  <c r="AO714" i="5"/>
  <c r="AR714" i="5" s="1"/>
  <c r="AF715" i="5"/>
  <c r="N714" i="5"/>
  <c r="AG714" i="5"/>
  <c r="AJ714" i="5" s="1"/>
  <c r="C716" i="5"/>
  <c r="CX716" i="5" s="1"/>
  <c r="BC715" i="5"/>
  <c r="X714" i="5" l="1"/>
  <c r="Y714" i="5" s="1"/>
  <c r="Z714" i="5" s="1"/>
  <c r="AA714" i="5" s="1"/>
  <c r="CU716" i="5"/>
  <c r="BG715" i="5"/>
  <c r="AC716" i="5"/>
  <c r="BH716" i="5"/>
  <c r="BI716" i="5" s="1"/>
  <c r="BJ716" i="5" s="1"/>
  <c r="CW716" i="5"/>
  <c r="CL716" i="5"/>
  <c r="CM716" i="5" s="1"/>
  <c r="CI716" i="5"/>
  <c r="CH716" i="5" s="1"/>
  <c r="CS716" i="5"/>
  <c r="AX716" i="5"/>
  <c r="AW716" i="5" s="1"/>
  <c r="CY716" i="5"/>
  <c r="AB716" i="5"/>
  <c r="L716" i="5" s="1"/>
  <c r="CR716" i="5"/>
  <c r="BK716" i="5"/>
  <c r="BL716" i="5" s="1"/>
  <c r="BM716" i="5" s="1"/>
  <c r="BU716" i="5"/>
  <c r="BT716" i="5" s="1"/>
  <c r="D716" i="5"/>
  <c r="T716" i="5" s="1"/>
  <c r="U716" i="5" s="1"/>
  <c r="AK716" i="5"/>
  <c r="AM716" i="5" s="1"/>
  <c r="AL717" i="5" s="1"/>
  <c r="CT716" i="5"/>
  <c r="CV716" i="5"/>
  <c r="BF715" i="5"/>
  <c r="BD715" i="5"/>
  <c r="BE716" i="5" s="1"/>
  <c r="CZ715" i="5"/>
  <c r="I715" i="5"/>
  <c r="H715" i="5"/>
  <c r="BX716" i="5"/>
  <c r="AY715" i="5"/>
  <c r="BS719" i="5"/>
  <c r="AD716" i="5" l="1"/>
  <c r="AE716" i="5" s="1"/>
  <c r="CK716" i="5"/>
  <c r="CJ716" i="5" s="1"/>
  <c r="W716" i="5"/>
  <c r="AH715" i="5"/>
  <c r="AP715" i="5"/>
  <c r="AT715" i="5"/>
  <c r="BN716" i="5"/>
  <c r="BO716" i="5" s="1"/>
  <c r="BP716" i="5" s="1"/>
  <c r="G716" i="5" s="1"/>
  <c r="AF716" i="5" s="1"/>
  <c r="CP716" i="5"/>
  <c r="CQ716" i="5" s="1"/>
  <c r="R716" i="5" s="1"/>
  <c r="S716" i="5" s="1"/>
  <c r="DA716" i="5"/>
  <c r="DB716" i="5" s="1"/>
  <c r="K716" i="5" s="1"/>
  <c r="BV716" i="5"/>
  <c r="BY716" i="5"/>
  <c r="BW716" i="5"/>
  <c r="J716" i="5"/>
  <c r="CN716" i="5"/>
  <c r="E716" i="5" s="1"/>
  <c r="CO716" i="5"/>
  <c r="F716" i="5" s="1"/>
  <c r="P715" i="5"/>
  <c r="Q715" i="5" s="1"/>
  <c r="V715" i="5" s="1"/>
  <c r="M715" i="5"/>
  <c r="AN716" i="5" l="1"/>
  <c r="AO715" i="5"/>
  <c r="AR715" i="5" s="1"/>
  <c r="AS715" i="5"/>
  <c r="AV715" i="5" s="1"/>
  <c r="C717" i="5"/>
  <c r="CS717" i="5" s="1"/>
  <c r="AG715" i="5"/>
  <c r="AJ715" i="5" s="1"/>
  <c r="N715" i="5"/>
  <c r="BC716" i="5"/>
  <c r="X715" i="5" l="1"/>
  <c r="Y715" i="5" s="1"/>
  <c r="Z715" i="5" s="1"/>
  <c r="AA715" i="5" s="1"/>
  <c r="BG716" i="5"/>
  <c r="H716" i="5" s="1"/>
  <c r="P716" i="5" s="1"/>
  <c r="AB717" i="5"/>
  <c r="L717" i="5" s="1"/>
  <c r="BK717" i="5"/>
  <c r="BL717" i="5" s="1"/>
  <c r="BM717" i="5" s="1"/>
  <c r="CL717" i="5"/>
  <c r="CM717" i="5" s="1"/>
  <c r="CW717" i="5"/>
  <c r="AC717" i="5"/>
  <c r="CR717" i="5"/>
  <c r="CY717" i="5"/>
  <c r="CX717" i="5"/>
  <c r="CU717" i="5"/>
  <c r="CV717" i="5" s="1"/>
  <c r="CN717" i="5" s="1"/>
  <c r="E717" i="5" s="1"/>
  <c r="BH717" i="5"/>
  <c r="BI717" i="5" s="1"/>
  <c r="BJ717" i="5" s="1"/>
  <c r="DA717" i="5"/>
  <c r="DB717" i="5" s="1"/>
  <c r="AX717" i="5"/>
  <c r="AW717" i="5" s="1"/>
  <c r="BU717" i="5"/>
  <c r="BV717" i="5" s="1"/>
  <c r="CP717" i="5"/>
  <c r="CQ717" i="5" s="1"/>
  <c r="R717" i="5" s="1"/>
  <c r="S717" i="5" s="1"/>
  <c r="CI717" i="5"/>
  <c r="CH717" i="5" s="1"/>
  <c r="D717" i="5"/>
  <c r="T717" i="5" s="1"/>
  <c r="U717" i="5" s="1"/>
  <c r="AK717" i="5"/>
  <c r="AM717" i="5" s="1"/>
  <c r="AL718" i="5" s="1"/>
  <c r="I716" i="5"/>
  <c r="AP716" i="5" s="1"/>
  <c r="CZ716" i="5"/>
  <c r="BD716" i="5"/>
  <c r="BE717" i="5" s="1"/>
  <c r="BF716" i="5"/>
  <c r="AY716" i="5"/>
  <c r="AO716" i="5"/>
  <c r="AR716" i="5" s="1"/>
  <c r="BN717" i="5" l="1"/>
  <c r="BO717" i="5" s="1"/>
  <c r="BP717" i="5" s="1"/>
  <c r="G717" i="5" s="1"/>
  <c r="M716" i="5"/>
  <c r="AD717" i="5"/>
  <c r="AE717" i="5" s="1"/>
  <c r="BT717" i="5"/>
  <c r="AH716" i="5"/>
  <c r="AT716" i="5"/>
  <c r="CO717" i="5"/>
  <c r="F717" i="5" s="1"/>
  <c r="BC717" i="5" s="1"/>
  <c r="BX717" i="5"/>
  <c r="BW717" i="5" s="1"/>
  <c r="CT717" i="5"/>
  <c r="N716" i="5"/>
  <c r="W717" i="5"/>
  <c r="CK717" i="5"/>
  <c r="CJ717" i="5" s="1"/>
  <c r="K717" i="5" s="1"/>
  <c r="AJ716" i="5"/>
  <c r="Q716" i="5"/>
  <c r="V716" i="5" s="1"/>
  <c r="BS720" i="5"/>
  <c r="AG716" i="5" l="1"/>
  <c r="AS716" i="5"/>
  <c r="AV716" i="5" s="1"/>
  <c r="X716" i="5" s="1"/>
  <c r="Y716" i="5" s="1"/>
  <c r="Z716" i="5" s="1"/>
  <c r="AA716" i="5" s="1"/>
  <c r="BY717" i="5"/>
  <c r="J717" i="5" s="1"/>
  <c r="CZ717" i="5"/>
  <c r="BD717" i="5"/>
  <c r="BE718" i="5" s="1"/>
  <c r="BF717" i="5"/>
  <c r="C718" i="5"/>
  <c r="CY718" i="5" s="1"/>
  <c r="AN717" i="5" l="1"/>
  <c r="AF717" i="5"/>
  <c r="BG717" i="5"/>
  <c r="CI718" i="5"/>
  <c r="CW718" i="5"/>
  <c r="BK718" i="5"/>
  <c r="BL718" i="5" s="1"/>
  <c r="BM718" i="5" s="1"/>
  <c r="AC718" i="5"/>
  <c r="AB718" i="5"/>
  <c r="CP718" i="5" s="1"/>
  <c r="CQ718" i="5" s="1"/>
  <c r="R718" i="5" s="1"/>
  <c r="S718" i="5" s="1"/>
  <c r="CR718" i="5"/>
  <c r="CX718" i="5"/>
  <c r="CL718" i="5"/>
  <c r="CM718" i="5" s="1"/>
  <c r="BH718" i="5"/>
  <c r="BI718" i="5" s="1"/>
  <c r="BJ718" i="5" s="1"/>
  <c r="AK718" i="5"/>
  <c r="AM718" i="5" s="1"/>
  <c r="AL719" i="5" s="1"/>
  <c r="D718" i="5"/>
  <c r="AX718" i="5"/>
  <c r="AW718" i="5" s="1"/>
  <c r="CU718" i="5"/>
  <c r="BX718" i="5" s="1"/>
  <c r="CS718" i="5"/>
  <c r="BU718" i="5"/>
  <c r="I717" i="5"/>
  <c r="H717" i="5"/>
  <c r="AD718" i="5" l="1"/>
  <c r="AE718" i="5" s="1"/>
  <c r="AH717" i="5"/>
  <c r="AT717" i="5"/>
  <c r="AP717" i="5"/>
  <c r="DA718" i="5"/>
  <c r="DB718" i="5" s="1"/>
  <c r="CV718" i="5"/>
  <c r="CN718" i="5" s="1"/>
  <c r="E718" i="5" s="1"/>
  <c r="CT718" i="5"/>
  <c r="T718" i="5"/>
  <c r="U718" i="5" s="1"/>
  <c r="W718" i="5"/>
  <c r="BV718" i="5"/>
  <c r="BT718" i="5"/>
  <c r="CK718" i="5"/>
  <c r="CJ718" i="5" s="1"/>
  <c r="CH718" i="5"/>
  <c r="L718" i="5"/>
  <c r="BN718" i="5"/>
  <c r="BO718" i="5" s="1"/>
  <c r="BP718" i="5" s="1"/>
  <c r="G718" i="5" s="1"/>
  <c r="AN718" i="5" s="1"/>
  <c r="BY718" i="5"/>
  <c r="J718" i="5" s="1"/>
  <c r="BW718" i="5"/>
  <c r="P717" i="5"/>
  <c r="M717" i="5"/>
  <c r="AG717" i="5" s="1"/>
  <c r="AJ717" i="5" s="1"/>
  <c r="CO718" i="5" l="1"/>
  <c r="F718" i="5" s="1"/>
  <c r="BC718" i="5" s="1"/>
  <c r="BF718" i="5" s="1"/>
  <c r="Q717" i="5"/>
  <c r="V717" i="5" s="1"/>
  <c r="AY717" i="5"/>
  <c r="AF718" i="5"/>
  <c r="N717" i="5"/>
  <c r="AO717" i="5"/>
  <c r="AR717" i="5" s="1"/>
  <c r="AS717" i="5"/>
  <c r="AV717" i="5" s="1"/>
  <c r="K718" i="5"/>
  <c r="BS721" i="5"/>
  <c r="C719" i="5" l="1"/>
  <c r="AC719" i="5" s="1"/>
  <c r="AD719" i="5" s="1"/>
  <c r="AE719" i="5" s="1"/>
  <c r="BG718" i="5"/>
  <c r="I718" i="5" s="1"/>
  <c r="AP718" i="5" s="1"/>
  <c r="BU719" i="5"/>
  <c r="BV719" i="5" s="1"/>
  <c r="BK719" i="5"/>
  <c r="BL719" i="5" s="1"/>
  <c r="BM719" i="5" s="1"/>
  <c r="CZ718" i="5"/>
  <c r="BH719" i="5"/>
  <c r="BI719" i="5" s="1"/>
  <c r="BJ719" i="5" s="1"/>
  <c r="CX719" i="5"/>
  <c r="CY719" i="5"/>
  <c r="AX719" i="5"/>
  <c r="AW719" i="5" s="1"/>
  <c r="CR719" i="5"/>
  <c r="X717" i="5"/>
  <c r="Y717" i="5" s="1"/>
  <c r="Z717" i="5" s="1"/>
  <c r="AA717" i="5" s="1"/>
  <c r="BD718" i="5"/>
  <c r="BE719" i="5" s="1"/>
  <c r="CW719" i="5" l="1"/>
  <c r="AH718" i="5"/>
  <c r="AB719" i="5"/>
  <c r="AK719" i="5"/>
  <c r="AM719" i="5" s="1"/>
  <c r="AL720" i="5" s="1"/>
  <c r="CI719" i="5"/>
  <c r="CL719" i="5"/>
  <c r="CM719" i="5" s="1"/>
  <c r="D719" i="5"/>
  <c r="AT718" i="5"/>
  <c r="H718" i="5"/>
  <c r="P718" i="5" s="1"/>
  <c r="Q718" i="5" s="1"/>
  <c r="V718" i="5" s="1"/>
  <c r="CS719" i="5"/>
  <c r="CU719" i="5"/>
  <c r="BT719" i="5"/>
  <c r="AY718" i="5"/>
  <c r="AF719" i="5"/>
  <c r="CH719" i="5" l="1"/>
  <c r="CK719" i="5"/>
  <c r="CJ719" i="5" s="1"/>
  <c r="L719" i="5"/>
  <c r="CP719" i="5"/>
  <c r="CQ719" i="5" s="1"/>
  <c r="R719" i="5" s="1"/>
  <c r="S719" i="5" s="1"/>
  <c r="DA719" i="5"/>
  <c r="DB719" i="5" s="1"/>
  <c r="K719" i="5" s="1"/>
  <c r="BN719" i="5"/>
  <c r="BO719" i="5" s="1"/>
  <c r="BP719" i="5" s="1"/>
  <c r="G719" i="5" s="1"/>
  <c r="M718" i="5"/>
  <c r="AG718" i="5" s="1"/>
  <c r="AJ718" i="5" s="1"/>
  <c r="CV719" i="5"/>
  <c r="CT719" i="5"/>
  <c r="BX719" i="5"/>
  <c r="W719" i="5"/>
  <c r="T719" i="5"/>
  <c r="U719" i="5" s="1"/>
  <c r="BS722" i="5"/>
  <c r="BY719" i="5" l="1"/>
  <c r="J719" i="5" s="1"/>
  <c r="AN719" i="5" s="1"/>
  <c r="BW719" i="5"/>
  <c r="CN719" i="5"/>
  <c r="E719" i="5" s="1"/>
  <c r="CO719" i="5"/>
  <c r="F719" i="5" s="1"/>
  <c r="N718" i="5"/>
  <c r="AS718" i="5"/>
  <c r="AV718" i="5" s="1"/>
  <c r="AO718" i="5"/>
  <c r="AR718" i="5" s="1"/>
  <c r="AH719" i="5"/>
  <c r="C720" i="5" l="1"/>
  <c r="BU720" i="5" s="1"/>
  <c r="CL720" i="5"/>
  <c r="CM720" i="5" s="1"/>
  <c r="BG719" i="5"/>
  <c r="BC719" i="5"/>
  <c r="X718" i="5"/>
  <c r="Y718" i="5" s="1"/>
  <c r="Z718" i="5" s="1"/>
  <c r="AA718" i="5" s="1"/>
  <c r="AC720" i="5" l="1"/>
  <c r="AD720" i="5" s="1"/>
  <c r="AE720" i="5" s="1"/>
  <c r="CW720" i="5"/>
  <c r="BH720" i="5"/>
  <c r="BI720" i="5" s="1"/>
  <c r="BJ720" i="5" s="1"/>
  <c r="BK720" i="5"/>
  <c r="BL720" i="5" s="1"/>
  <c r="BM720" i="5" s="1"/>
  <c r="AX720" i="5"/>
  <c r="AW720" i="5" s="1"/>
  <c r="CR720" i="5"/>
  <c r="CY720" i="5"/>
  <c r="AB720" i="5"/>
  <c r="BN720" i="5" s="1"/>
  <c r="BO720" i="5" s="1"/>
  <c r="BP720" i="5" s="1"/>
  <c r="G720" i="5" s="1"/>
  <c r="CI720" i="5"/>
  <c r="CK720" i="5" s="1"/>
  <c r="CJ720" i="5" s="1"/>
  <c r="CU720" i="5"/>
  <c r="BX720" i="5" s="1"/>
  <c r="D720" i="5"/>
  <c r="W720" i="5" s="1"/>
  <c r="AK720" i="5"/>
  <c r="CS720" i="5"/>
  <c r="CX720" i="5"/>
  <c r="BD719" i="5"/>
  <c r="BE720" i="5" s="1"/>
  <c r="BF719" i="5"/>
  <c r="CZ719" i="5"/>
  <c r="I719" i="5"/>
  <c r="H719" i="5"/>
  <c r="BV720" i="5"/>
  <c r="BT720" i="5"/>
  <c r="AT719" i="5" l="1"/>
  <c r="AP719" i="5"/>
  <c r="DA720" i="5"/>
  <c r="DB720" i="5" s="1"/>
  <c r="K720" i="5" s="1"/>
  <c r="CP720" i="5"/>
  <c r="CQ720" i="5" s="1"/>
  <c r="R720" i="5" s="1"/>
  <c r="S720" i="5" s="1"/>
  <c r="CH720" i="5"/>
  <c r="T720" i="5"/>
  <c r="U720" i="5" s="1"/>
  <c r="CT720" i="5"/>
  <c r="CV720" i="5"/>
  <c r="CO720" i="5" s="1"/>
  <c r="F720" i="5" s="1"/>
  <c r="L720" i="5"/>
  <c r="AM720" i="5"/>
  <c r="AL721" i="5" s="1"/>
  <c r="M719" i="5"/>
  <c r="P719" i="5"/>
  <c r="BY720" i="5"/>
  <c r="J720" i="5" s="1"/>
  <c r="AF720" i="5" s="1"/>
  <c r="BW720" i="5"/>
  <c r="AD721" i="5"/>
  <c r="BS723" i="5"/>
  <c r="AS719" i="5" l="1"/>
  <c r="AV719" i="5" s="1"/>
  <c r="AO719" i="5"/>
  <c r="AR719" i="5" s="1"/>
  <c r="CN720" i="5"/>
  <c r="E720" i="5" s="1"/>
  <c r="BC720" i="5" s="1"/>
  <c r="Q719" i="5"/>
  <c r="V719" i="5" s="1"/>
  <c r="AY719" i="5"/>
  <c r="AN720" i="5"/>
  <c r="AG719" i="5"/>
  <c r="AJ719" i="5" s="1"/>
  <c r="X719" i="5" s="1"/>
  <c r="N719" i="5"/>
  <c r="C721" i="5" l="1"/>
  <c r="BD720" i="5"/>
  <c r="BE721" i="5" s="1"/>
  <c r="BF720" i="5"/>
  <c r="CZ720" i="5"/>
  <c r="Y719" i="5"/>
  <c r="Z719" i="5" s="1"/>
  <c r="AA719" i="5" s="1"/>
  <c r="BG720" i="5"/>
  <c r="CX721" i="5"/>
  <c r="BK721" i="5"/>
  <c r="BL721" i="5" s="1"/>
  <c r="BM721" i="5" s="1"/>
  <c r="AX721" i="5"/>
  <c r="AW721" i="5" s="1"/>
  <c r="CR721" i="5"/>
  <c r="AK721" i="5"/>
  <c r="AM721" i="5" s="1"/>
  <c r="AL722" i="5" s="1"/>
  <c r="D721" i="5"/>
  <c r="CS721" i="5"/>
  <c r="AB721" i="5"/>
  <c r="BN721" i="5" s="1"/>
  <c r="BO721" i="5" s="1"/>
  <c r="BP721" i="5" s="1"/>
  <c r="CU721" i="5"/>
  <c r="CL721" i="5"/>
  <c r="CM721" i="5" s="1"/>
  <c r="CI721" i="5"/>
  <c r="CW721" i="5"/>
  <c r="BH721" i="5"/>
  <c r="BI721" i="5" s="1"/>
  <c r="BJ721" i="5" s="1"/>
  <c r="CY721" i="5"/>
  <c r="AC721" i="5"/>
  <c r="AE721" i="5" s="1"/>
  <c r="BU721" i="5"/>
  <c r="AY720" i="5"/>
  <c r="CP721" i="5" l="1"/>
  <c r="CQ721" i="5" s="1"/>
  <c r="R721" i="5" s="1"/>
  <c r="S721" i="5" s="1"/>
  <c r="DA721" i="5"/>
  <c r="DB721" i="5" s="1"/>
  <c r="K721" i="5" s="1"/>
  <c r="G721" i="5"/>
  <c r="AF721" i="5"/>
  <c r="W721" i="5"/>
  <c r="T721" i="5"/>
  <c r="U721" i="5" s="1"/>
  <c r="CH721" i="5"/>
  <c r="CK721" i="5"/>
  <c r="CJ721" i="5" s="1"/>
  <c r="AY721" i="5"/>
  <c r="L721" i="5"/>
  <c r="CV721" i="5"/>
  <c r="CT721" i="5"/>
  <c r="BX721" i="5"/>
  <c r="I720" i="5"/>
  <c r="H720" i="5"/>
  <c r="BT721" i="5"/>
  <c r="BV721" i="5"/>
  <c r="AH720" i="5" l="1"/>
  <c r="AT720" i="5"/>
  <c r="AP720" i="5"/>
  <c r="M720" i="5"/>
  <c r="P720" i="5"/>
  <c r="Q720" i="5" s="1"/>
  <c r="V720" i="5" s="1"/>
  <c r="BY721" i="5"/>
  <c r="J721" i="5" s="1"/>
  <c r="AN721" i="5" s="1"/>
  <c r="BW721" i="5"/>
  <c r="CO721" i="5"/>
  <c r="F721" i="5" s="1"/>
  <c r="CN721" i="5"/>
  <c r="E721" i="5" s="1"/>
  <c r="AD722" i="5"/>
  <c r="BS724" i="5"/>
  <c r="AS720" i="5" l="1"/>
  <c r="AV720" i="5" s="1"/>
  <c r="AO720" i="5"/>
  <c r="AR720" i="5" s="1"/>
  <c r="BC721" i="5"/>
  <c r="BD721" i="5" s="1"/>
  <c r="BE722" i="5" s="1"/>
  <c r="AG720" i="5"/>
  <c r="AJ720" i="5" s="1"/>
  <c r="N720" i="5"/>
  <c r="C722" i="5"/>
  <c r="AH721" i="5"/>
  <c r="X720" i="5" l="1"/>
  <c r="Y720" i="5" s="1"/>
  <c r="Z720" i="5" s="1"/>
  <c r="AA720" i="5" s="1"/>
  <c r="BF721" i="5"/>
  <c r="CZ721" i="5"/>
  <c r="AG721" i="5"/>
  <c r="AJ721" i="5" s="1"/>
  <c r="CI722" i="5"/>
  <c r="CY722" i="5"/>
  <c r="CS722" i="5"/>
  <c r="D722" i="5"/>
  <c r="CL722" i="5"/>
  <c r="CM722" i="5" s="1"/>
  <c r="BH722" i="5"/>
  <c r="BI722" i="5" s="1"/>
  <c r="BJ722" i="5" s="1"/>
  <c r="AC722" i="5"/>
  <c r="AE722" i="5" s="1"/>
  <c r="CW722" i="5"/>
  <c r="AK722" i="5"/>
  <c r="BK722" i="5"/>
  <c r="BL722" i="5" s="1"/>
  <c r="BM722" i="5" s="1"/>
  <c r="BG721" i="5"/>
  <c r="CU722" i="5"/>
  <c r="CX722" i="5"/>
  <c r="AB722" i="5"/>
  <c r="BN722" i="5" s="1"/>
  <c r="BO722" i="5" s="1"/>
  <c r="BP722" i="5" s="1"/>
  <c r="G722" i="5" s="1"/>
  <c r="CR722" i="5"/>
  <c r="AX722" i="5"/>
  <c r="AW722" i="5" s="1"/>
  <c r="BU722" i="5"/>
  <c r="DA722" i="5" l="1"/>
  <c r="DB722" i="5" s="1"/>
  <c r="CP722" i="5"/>
  <c r="CQ722" i="5" s="1"/>
  <c r="R722" i="5" s="1"/>
  <c r="S722" i="5" s="1"/>
  <c r="BX722" i="5"/>
  <c r="CT722" i="5"/>
  <c r="CV722" i="5"/>
  <c r="T722" i="5"/>
  <c r="U722" i="5" s="1"/>
  <c r="W722" i="5"/>
  <c r="H721" i="5"/>
  <c r="I721" i="5"/>
  <c r="L722" i="5"/>
  <c r="BV722" i="5"/>
  <c r="BT722" i="5"/>
  <c r="AM722" i="5"/>
  <c r="AL723" i="5" s="1"/>
  <c r="CK722" i="5"/>
  <c r="CJ722" i="5" s="1"/>
  <c r="K722" i="5" s="1"/>
  <c r="CH722" i="5"/>
  <c r="AP721" i="5" l="1"/>
  <c r="AT721" i="5"/>
  <c r="CO722" i="5"/>
  <c r="F722" i="5" s="1"/>
  <c r="CN722" i="5"/>
  <c r="E722" i="5" s="1"/>
  <c r="BW722" i="5"/>
  <c r="BY722" i="5"/>
  <c r="J722" i="5" s="1"/>
  <c r="P721" i="5"/>
  <c r="Q721" i="5" s="1"/>
  <c r="V721" i="5" s="1"/>
  <c r="M721" i="5"/>
  <c r="AO721" i="5" s="1"/>
  <c r="BS725" i="5"/>
  <c r="AR721" i="5" l="1"/>
  <c r="BC722" i="5"/>
  <c r="BF722" i="5" s="1"/>
  <c r="N721" i="5"/>
  <c r="AS721" i="5"/>
  <c r="AV721" i="5" s="1"/>
  <c r="X721" i="5" s="1"/>
  <c r="Y721" i="5" s="1"/>
  <c r="Z721" i="5" s="1"/>
  <c r="AA721" i="5" s="1"/>
  <c r="AF722" i="5"/>
  <c r="AG722" i="5" s="1"/>
  <c r="AN722" i="5"/>
  <c r="CZ722" i="5"/>
  <c r="BD722" i="5"/>
  <c r="BE723" i="5" s="1"/>
  <c r="C723" i="5"/>
  <c r="BG722" i="5" l="1"/>
  <c r="CX723" i="5"/>
  <c r="CW723" i="5"/>
  <c r="CL723" i="5"/>
  <c r="CM723" i="5" s="1"/>
  <c r="BH723" i="5"/>
  <c r="BI723" i="5" s="1"/>
  <c r="BJ723" i="5" s="1"/>
  <c r="D723" i="5"/>
  <c r="AK723" i="5"/>
  <c r="AM723" i="5" s="1"/>
  <c r="AL724" i="5" s="1"/>
  <c r="AC723" i="5"/>
  <c r="CR723" i="5"/>
  <c r="CY723" i="5"/>
  <c r="CS723" i="5"/>
  <c r="AB723" i="5"/>
  <c r="L723" i="5" s="1"/>
  <c r="BK723" i="5"/>
  <c r="BL723" i="5" s="1"/>
  <c r="BM723" i="5" s="1"/>
  <c r="AX723" i="5"/>
  <c r="AW723" i="5" s="1"/>
  <c r="CU723" i="5"/>
  <c r="BU723" i="5"/>
  <c r="CI723" i="5"/>
  <c r="DA723" i="5" l="1"/>
  <c r="DB723" i="5" s="1"/>
  <c r="CP723" i="5"/>
  <c r="CQ723" i="5" s="1"/>
  <c r="R723" i="5" s="1"/>
  <c r="S723" i="5" s="1"/>
  <c r="BN723" i="5"/>
  <c r="BO723" i="5" s="1"/>
  <c r="BP723" i="5" s="1"/>
  <c r="G723" i="5" s="1"/>
  <c r="AD723" i="5"/>
  <c r="AE723" i="5" s="1"/>
  <c r="W723" i="5"/>
  <c r="T723" i="5"/>
  <c r="U723" i="5" s="1"/>
  <c r="CK723" i="5"/>
  <c r="CJ723" i="5" s="1"/>
  <c r="K723" i="5" s="1"/>
  <c r="CH723" i="5"/>
  <c r="BT723" i="5"/>
  <c r="BV723" i="5"/>
  <c r="CV723" i="5"/>
  <c r="CT723" i="5"/>
  <c r="BX723" i="5"/>
  <c r="H722" i="5"/>
  <c r="I722" i="5"/>
  <c r="AP722" i="5" s="1"/>
  <c r="BS726" i="5"/>
  <c r="AH722" i="5" l="1"/>
  <c r="AJ722" i="5" s="1"/>
  <c r="AT722" i="5"/>
  <c r="M722" i="5"/>
  <c r="AO722" i="5" s="1"/>
  <c r="AR722" i="5" s="1"/>
  <c r="P722" i="5"/>
  <c r="BY723" i="5"/>
  <c r="J723" i="5" s="1"/>
  <c r="AN723" i="5" s="1"/>
  <c r="BW723" i="5"/>
  <c r="CO723" i="5"/>
  <c r="F723" i="5" s="1"/>
  <c r="CN723" i="5"/>
  <c r="E723" i="5" s="1"/>
  <c r="AF723" i="5" l="1"/>
  <c r="Q722" i="5"/>
  <c r="V722" i="5" s="1"/>
  <c r="AY722" i="5"/>
  <c r="C724" i="5"/>
  <c r="BK724" i="5" s="1"/>
  <c r="BL724" i="5" s="1"/>
  <c r="BM724" i="5" s="1"/>
  <c r="N722" i="5"/>
  <c r="AS722" i="5"/>
  <c r="AV722" i="5" s="1"/>
  <c r="X722" i="5" s="1"/>
  <c r="Y722" i="5" s="1"/>
  <c r="Z722" i="5" s="1"/>
  <c r="AA722" i="5" s="1"/>
  <c r="CS724" i="5"/>
  <c r="BG723" i="5"/>
  <c r="BC723" i="5"/>
  <c r="AY723" i="5"/>
  <c r="CI724" i="5" l="1"/>
  <c r="CU724" i="5"/>
  <c r="BX724" i="5" s="1"/>
  <c r="BH724" i="5"/>
  <c r="BI724" i="5" s="1"/>
  <c r="BJ724" i="5" s="1"/>
  <c r="D724" i="5"/>
  <c r="T724" i="5" s="1"/>
  <c r="U724" i="5" s="1"/>
  <c r="CL724" i="5"/>
  <c r="CM724" i="5" s="1"/>
  <c r="CR724" i="5"/>
  <c r="CX724" i="5"/>
  <c r="AB724" i="5"/>
  <c r="L724" i="5" s="1"/>
  <c r="AC724" i="5"/>
  <c r="AK724" i="5"/>
  <c r="CW724" i="5"/>
  <c r="AX724" i="5"/>
  <c r="AW724" i="5" s="1"/>
  <c r="BU724" i="5"/>
  <c r="BV724" i="5" s="1"/>
  <c r="CY724" i="5"/>
  <c r="BD723" i="5"/>
  <c r="BE724" i="5" s="1"/>
  <c r="BF723" i="5"/>
  <c r="CZ723" i="5"/>
  <c r="CH724" i="5"/>
  <c r="CK724" i="5"/>
  <c r="CJ724" i="5" s="1"/>
  <c r="BW724" i="5"/>
  <c r="BY724" i="5"/>
  <c r="I723" i="5"/>
  <c r="H723" i="5"/>
  <c r="CV724" i="5"/>
  <c r="CT724" i="5"/>
  <c r="AD724" i="5"/>
  <c r="CP724" i="5" l="1"/>
  <c r="CQ724" i="5" s="1"/>
  <c r="R724" i="5" s="1"/>
  <c r="S724" i="5" s="1"/>
  <c r="W724" i="5"/>
  <c r="DA724" i="5"/>
  <c r="DB724" i="5" s="1"/>
  <c r="K724" i="5" s="1"/>
  <c r="BN724" i="5"/>
  <c r="BO724" i="5" s="1"/>
  <c r="BP724" i="5" s="1"/>
  <c r="G724" i="5" s="1"/>
  <c r="AE724" i="5"/>
  <c r="BT724" i="5"/>
  <c r="AH723" i="5"/>
  <c r="AT723" i="5"/>
  <c r="AP723" i="5"/>
  <c r="AM724" i="5"/>
  <c r="AL725" i="5" s="1"/>
  <c r="AN724" i="5"/>
  <c r="CN724" i="5"/>
  <c r="E724" i="5" s="1"/>
  <c r="CO724" i="5"/>
  <c r="F724" i="5" s="1"/>
  <c r="J724" i="5"/>
  <c r="M723" i="5"/>
  <c r="P723" i="5"/>
  <c r="Q723" i="5" s="1"/>
  <c r="V723" i="5" s="1"/>
  <c r="BS727" i="5"/>
  <c r="AF724" i="5" l="1"/>
  <c r="BC724" i="5"/>
  <c r="BF724" i="5" s="1"/>
  <c r="AS723" i="5"/>
  <c r="AV723" i="5" s="1"/>
  <c r="AO723" i="5"/>
  <c r="AR723" i="5" s="1"/>
  <c r="C725" i="5"/>
  <c r="D725" i="5" s="1"/>
  <c r="AG723" i="5"/>
  <c r="AJ723" i="5" s="1"/>
  <c r="N723" i="5"/>
  <c r="AX725" i="5"/>
  <c r="AW725" i="5" s="1"/>
  <c r="AP724" i="5"/>
  <c r="BD724" i="5" l="1"/>
  <c r="BE725" i="5" s="1"/>
  <c r="CZ724" i="5"/>
  <c r="AB725" i="5"/>
  <c r="L725" i="5" s="1"/>
  <c r="CU725" i="5"/>
  <c r="BG724" i="5"/>
  <c r="X723" i="5"/>
  <c r="Y723" i="5" s="1"/>
  <c r="Z723" i="5" s="1"/>
  <c r="AA723" i="5" s="1"/>
  <c r="CW725" i="5"/>
  <c r="CY725" i="5"/>
  <c r="CS725" i="5"/>
  <c r="BK725" i="5"/>
  <c r="BL725" i="5" s="1"/>
  <c r="BM725" i="5" s="1"/>
  <c r="CX725" i="5"/>
  <c r="CI725" i="5"/>
  <c r="CH725" i="5" s="1"/>
  <c r="AC725" i="5"/>
  <c r="BH725" i="5"/>
  <c r="BI725" i="5" s="1"/>
  <c r="BJ725" i="5" s="1"/>
  <c r="BU725" i="5"/>
  <c r="BV725" i="5" s="1"/>
  <c r="AK725" i="5"/>
  <c r="AM725" i="5" s="1"/>
  <c r="AL726" i="5" s="1"/>
  <c r="CL725" i="5"/>
  <c r="CM725" i="5" s="1"/>
  <c r="CR725" i="5"/>
  <c r="AD725" i="5"/>
  <c r="CV725" i="5"/>
  <c r="CT725" i="5"/>
  <c r="DA725" i="5"/>
  <c r="DB725" i="5" s="1"/>
  <c r="K725" i="5" s="1"/>
  <c r="H724" i="5"/>
  <c r="I724" i="5"/>
  <c r="T725" i="5"/>
  <c r="U725" i="5" s="1"/>
  <c r="W725" i="5"/>
  <c r="BN725" i="5"/>
  <c r="BO725" i="5" s="1"/>
  <c r="BP725" i="5" s="1"/>
  <c r="G725" i="5" s="1"/>
  <c r="CK725" i="5"/>
  <c r="CJ725" i="5" s="1"/>
  <c r="BX725" i="5"/>
  <c r="CP725" i="5"/>
  <c r="CQ725" i="5" s="1"/>
  <c r="R725" i="5" s="1"/>
  <c r="S725" i="5" s="1"/>
  <c r="AO724" i="5"/>
  <c r="AR724" i="5" s="1"/>
  <c r="AE725" i="5" l="1"/>
  <c r="BT725" i="5"/>
  <c r="BY725" i="5"/>
  <c r="J725" i="5" s="1"/>
  <c r="AN725" i="5" s="1"/>
  <c r="BW725" i="5"/>
  <c r="CN725" i="5"/>
  <c r="E725" i="5" s="1"/>
  <c r="BC725" i="5" s="1"/>
  <c r="BF725" i="5" s="1"/>
  <c r="CO725" i="5"/>
  <c r="F725" i="5" s="1"/>
  <c r="P724" i="5"/>
  <c r="M724" i="5"/>
  <c r="AG724" i="5" s="1"/>
  <c r="AH724" i="5"/>
  <c r="AT724" i="5"/>
  <c r="BS728" i="5"/>
  <c r="Q724" i="5" l="1"/>
  <c r="V724" i="5" s="1"/>
  <c r="AY724" i="5"/>
  <c r="AJ724" i="5"/>
  <c r="AF725" i="5"/>
  <c r="N724" i="5"/>
  <c r="AS724" i="5"/>
  <c r="AV724" i="5" s="1"/>
  <c r="X724" i="5" s="1"/>
  <c r="Y724" i="5" s="1"/>
  <c r="Z724" i="5" s="1"/>
  <c r="AA724" i="5" s="1"/>
  <c r="C726" i="5"/>
  <c r="BD725" i="5"/>
  <c r="BE726" i="5" s="1"/>
  <c r="CZ725" i="5"/>
  <c r="CS726" i="5" l="1"/>
  <c r="BG725" i="5"/>
  <c r="CL726" i="5"/>
  <c r="CM726" i="5" s="1"/>
  <c r="BU726" i="5"/>
  <c r="AC726" i="5"/>
  <c r="CI726" i="5"/>
  <c r="CX726" i="5"/>
  <c r="CW726" i="5"/>
  <c r="CY726" i="5"/>
  <c r="AK726" i="5"/>
  <c r="AM726" i="5" s="1"/>
  <c r="AL727" i="5" s="1"/>
  <c r="D726" i="5"/>
  <c r="AB726" i="5"/>
  <c r="CU726" i="5"/>
  <c r="BH726" i="5"/>
  <c r="BI726" i="5" s="1"/>
  <c r="BJ726" i="5" s="1"/>
  <c r="AX726" i="5"/>
  <c r="AW726" i="5" s="1"/>
  <c r="BK726" i="5"/>
  <c r="BL726" i="5" s="1"/>
  <c r="BM726" i="5" s="1"/>
  <c r="CR726" i="5"/>
  <c r="AN726" i="5"/>
  <c r="AY725" i="5"/>
  <c r="AD726" i="5" l="1"/>
  <c r="AE726" i="5" s="1"/>
  <c r="AF726" i="5"/>
  <c r="CH726" i="5"/>
  <c r="CK726" i="5"/>
  <c r="CJ726" i="5" s="1"/>
  <c r="BX726" i="5"/>
  <c r="CT726" i="5"/>
  <c r="CV726" i="5"/>
  <c r="BN726" i="5"/>
  <c r="BO726" i="5" s="1"/>
  <c r="BP726" i="5" s="1"/>
  <c r="G726" i="5" s="1"/>
  <c r="L726" i="5"/>
  <c r="CP726" i="5"/>
  <c r="CQ726" i="5" s="1"/>
  <c r="R726" i="5" s="1"/>
  <c r="S726" i="5" s="1"/>
  <c r="DA726" i="5"/>
  <c r="DB726" i="5" s="1"/>
  <c r="K726" i="5" s="1"/>
  <c r="BV726" i="5"/>
  <c r="BT726" i="5"/>
  <c r="T726" i="5"/>
  <c r="U726" i="5" s="1"/>
  <c r="W726" i="5"/>
  <c r="I725" i="5"/>
  <c r="AH725" i="5" s="1"/>
  <c r="H725" i="5"/>
  <c r="BS729" i="5"/>
  <c r="P725" i="5" l="1"/>
  <c r="Q725" i="5" s="1"/>
  <c r="V725" i="5" s="1"/>
  <c r="M725" i="5"/>
  <c r="AG725" i="5" s="1"/>
  <c r="AJ725" i="5" s="1"/>
  <c r="AP725" i="5"/>
  <c r="AT725" i="5"/>
  <c r="CO726" i="5"/>
  <c r="F726" i="5" s="1"/>
  <c r="CN726" i="5"/>
  <c r="E726" i="5" s="1"/>
  <c r="BY726" i="5"/>
  <c r="J726" i="5" s="1"/>
  <c r="BW726" i="5"/>
  <c r="C727" i="5" l="1"/>
  <c r="BK727" i="5" s="1"/>
  <c r="BL727" i="5" s="1"/>
  <c r="BM727" i="5" s="1"/>
  <c r="BC726" i="5"/>
  <c r="CZ726" i="5" s="1"/>
  <c r="CU727" i="5"/>
  <c r="BU727" i="5"/>
  <c r="AX727" i="5"/>
  <c r="AW727" i="5" s="1"/>
  <c r="BG726" i="5"/>
  <c r="CR727" i="5"/>
  <c r="CL727" i="5"/>
  <c r="CM727" i="5" s="1"/>
  <c r="CI727" i="5"/>
  <c r="AB727" i="5"/>
  <c r="CP727" i="5" s="1"/>
  <c r="CQ727" i="5" s="1"/>
  <c r="R727" i="5" s="1"/>
  <c r="S727" i="5" s="1"/>
  <c r="CW727" i="5"/>
  <c r="AK727" i="5"/>
  <c r="AM727" i="5" s="1"/>
  <c r="AL728" i="5" s="1"/>
  <c r="CY727" i="5"/>
  <c r="CS727" i="5"/>
  <c r="BH727" i="5"/>
  <c r="BI727" i="5" s="1"/>
  <c r="BJ727" i="5" s="1"/>
  <c r="CX727" i="5"/>
  <c r="AS725" i="5"/>
  <c r="AV725" i="5" s="1"/>
  <c r="AO725" i="5"/>
  <c r="AR725" i="5" s="1"/>
  <c r="N725" i="5"/>
  <c r="AP726" i="5"/>
  <c r="D727" i="5" l="1"/>
  <c r="AC727" i="5"/>
  <c r="L727" i="5"/>
  <c r="BD726" i="5"/>
  <c r="BE727" i="5" s="1"/>
  <c r="BF726" i="5"/>
  <c r="CK727" i="5"/>
  <c r="CJ727" i="5" s="1"/>
  <c r="CH727" i="5"/>
  <c r="CT727" i="5"/>
  <c r="CV727" i="5"/>
  <c r="DA727" i="5"/>
  <c r="DB727" i="5" s="1"/>
  <c r="K727" i="5" s="1"/>
  <c r="X725" i="5"/>
  <c r="Y725" i="5" s="1"/>
  <c r="Z725" i="5" s="1"/>
  <c r="AA725" i="5" s="1"/>
  <c r="I726" i="5"/>
  <c r="H726" i="5"/>
  <c r="BN727" i="5"/>
  <c r="BO727" i="5" s="1"/>
  <c r="BP727" i="5" s="1"/>
  <c r="G727" i="5" s="1"/>
  <c r="W727" i="5"/>
  <c r="T727" i="5"/>
  <c r="U727" i="5" s="1"/>
  <c r="BT727" i="5"/>
  <c r="BV727" i="5"/>
  <c r="BX727" i="5"/>
  <c r="AY726" i="5"/>
  <c r="AO726" i="5"/>
  <c r="AR726" i="5" s="1"/>
  <c r="AY727" i="5"/>
  <c r="BS730" i="5"/>
  <c r="AD727" i="5" l="1"/>
  <c r="AE727" i="5" s="1"/>
  <c r="AH726" i="5"/>
  <c r="AT726" i="5"/>
  <c r="P726" i="5"/>
  <c r="Q726" i="5" s="1"/>
  <c r="V726" i="5" s="1"/>
  <c r="M726" i="5"/>
  <c r="AS726" i="5" s="1"/>
  <c r="AV726" i="5" s="1"/>
  <c r="BW727" i="5"/>
  <c r="BY727" i="5"/>
  <c r="J727" i="5" s="1"/>
  <c r="CO727" i="5"/>
  <c r="F727" i="5" s="1"/>
  <c r="CN727" i="5"/>
  <c r="E727" i="5" s="1"/>
  <c r="BC727" i="5" s="1"/>
  <c r="BF727" i="5" s="1"/>
  <c r="CZ727" i="5" l="1"/>
  <c r="C728" i="5"/>
  <c r="AN727" i="5"/>
  <c r="AF727" i="5"/>
  <c r="BD727" i="5"/>
  <c r="BE728" i="5" s="1"/>
  <c r="AG726" i="5"/>
  <c r="AJ726" i="5" s="1"/>
  <c r="X726" i="5" s="1"/>
  <c r="Y726" i="5" s="1"/>
  <c r="Z726" i="5" s="1"/>
  <c r="AA726" i="5" s="1"/>
  <c r="N726" i="5"/>
  <c r="D728" i="5" l="1"/>
  <c r="BU728" i="5"/>
  <c r="CR728" i="5"/>
  <c r="AC728" i="5"/>
  <c r="CU728" i="5"/>
  <c r="CL728" i="5"/>
  <c r="CM728" i="5" s="1"/>
  <c r="AX728" i="5"/>
  <c r="AW728" i="5" s="1"/>
  <c r="BK728" i="5"/>
  <c r="BL728" i="5" s="1"/>
  <c r="BM728" i="5" s="1"/>
  <c r="CW728" i="5"/>
  <c r="CX728" i="5"/>
  <c r="CS728" i="5"/>
  <c r="CY728" i="5"/>
  <c r="BH728" i="5"/>
  <c r="BI728" i="5" s="1"/>
  <c r="BJ728" i="5" s="1"/>
  <c r="AB728" i="5"/>
  <c r="BN728" i="5" s="1"/>
  <c r="BO728" i="5" s="1"/>
  <c r="BP728" i="5" s="1"/>
  <c r="G728" i="5" s="1"/>
  <c r="CI728" i="5"/>
  <c r="BG727" i="5"/>
  <c r="AK728" i="5"/>
  <c r="AM728" i="5" s="1"/>
  <c r="AL729" i="5" s="1"/>
  <c r="CT728" i="5" l="1"/>
  <c r="CV728" i="5"/>
  <c r="BX728" i="5"/>
  <c r="AD728" i="5"/>
  <c r="AE728" i="5" s="1"/>
  <c r="H727" i="5"/>
  <c r="I727" i="5"/>
  <c r="AT727" i="5" s="1"/>
  <c r="CH728" i="5"/>
  <c r="CK728" i="5"/>
  <c r="CJ728" i="5" s="1"/>
  <c r="BV728" i="5"/>
  <c r="BT728" i="5"/>
  <c r="CP728" i="5"/>
  <c r="CQ728" i="5" s="1"/>
  <c r="R728" i="5" s="1"/>
  <c r="S728" i="5" s="1"/>
  <c r="DA728" i="5"/>
  <c r="DB728" i="5" s="1"/>
  <c r="L728" i="5"/>
  <c r="W728" i="5"/>
  <c r="T728" i="5"/>
  <c r="U728" i="5" s="1"/>
  <c r="AF728" i="5"/>
  <c r="BS731" i="5"/>
  <c r="BY728" i="5" l="1"/>
  <c r="J728" i="5" s="1"/>
  <c r="AN728" i="5" s="1"/>
  <c r="BW728" i="5"/>
  <c r="M727" i="5"/>
  <c r="P727" i="5"/>
  <c r="Q727" i="5" s="1"/>
  <c r="V727" i="5" s="1"/>
  <c r="CO728" i="5"/>
  <c r="F728" i="5" s="1"/>
  <c r="CN728" i="5"/>
  <c r="E728" i="5" s="1"/>
  <c r="BC728" i="5" s="1"/>
  <c r="AP727" i="5"/>
  <c r="AH727" i="5"/>
  <c r="K728" i="5"/>
  <c r="AS727" i="5" l="1"/>
  <c r="AV727" i="5" s="1"/>
  <c r="AO727" i="5"/>
  <c r="AR727" i="5" s="1"/>
  <c r="CZ728" i="5"/>
  <c r="BD728" i="5"/>
  <c r="BE729" i="5" s="1"/>
  <c r="C729" i="5"/>
  <c r="N727" i="5"/>
  <c r="AG727" i="5"/>
  <c r="AJ727" i="5" s="1"/>
  <c r="BF728" i="5"/>
  <c r="X727" i="5" l="1"/>
  <c r="Y727" i="5" s="1"/>
  <c r="Z727" i="5" s="1"/>
  <c r="AA727" i="5" s="1"/>
  <c r="BK729" i="5"/>
  <c r="BL729" i="5" s="1"/>
  <c r="BM729" i="5" s="1"/>
  <c r="CW729" i="5"/>
  <c r="AC729" i="5"/>
  <c r="AK729" i="5"/>
  <c r="AM729" i="5" s="1"/>
  <c r="AL730" i="5" s="1"/>
  <c r="CI729" i="5"/>
  <c r="BU729" i="5"/>
  <c r="CX729" i="5"/>
  <c r="BH729" i="5"/>
  <c r="BI729" i="5" s="1"/>
  <c r="BJ729" i="5" s="1"/>
  <c r="CU729" i="5"/>
  <c r="AB729" i="5"/>
  <c r="BN729" i="5" s="1"/>
  <c r="BO729" i="5" s="1"/>
  <c r="BP729" i="5" s="1"/>
  <c r="CL729" i="5"/>
  <c r="CM729" i="5" s="1"/>
  <c r="BG728" i="5"/>
  <c r="CS729" i="5"/>
  <c r="AX729" i="5"/>
  <c r="AW729" i="5" s="1"/>
  <c r="D729" i="5"/>
  <c r="CY729" i="5"/>
  <c r="CR729" i="5"/>
  <c r="AF729" i="5"/>
  <c r="AH728" i="5"/>
  <c r="AG728" i="5"/>
  <c r="AD729" i="5" l="1"/>
  <c r="AE729" i="5" s="1"/>
  <c r="G729" i="5"/>
  <c r="T729" i="5"/>
  <c r="U729" i="5" s="1"/>
  <c r="W729" i="5"/>
  <c r="BT729" i="5"/>
  <c r="BV729" i="5"/>
  <c r="CH729" i="5"/>
  <c r="CK729" i="5"/>
  <c r="CJ729" i="5" s="1"/>
  <c r="H728" i="5"/>
  <c r="I728" i="5"/>
  <c r="DA729" i="5"/>
  <c r="DB729" i="5" s="1"/>
  <c r="CP729" i="5"/>
  <c r="CQ729" i="5" s="1"/>
  <c r="R729" i="5" s="1"/>
  <c r="S729" i="5" s="1"/>
  <c r="BX729" i="5"/>
  <c r="CV729" i="5"/>
  <c r="CT729" i="5"/>
  <c r="L729" i="5"/>
  <c r="AJ728" i="5"/>
  <c r="AY729" i="5"/>
  <c r="BS732" i="5"/>
  <c r="AP728" i="5" l="1"/>
  <c r="AT728" i="5"/>
  <c r="K729" i="5"/>
  <c r="M728" i="5"/>
  <c r="AO728" i="5" s="1"/>
  <c r="AR728" i="5" s="1"/>
  <c r="P728" i="5"/>
  <c r="CN729" i="5"/>
  <c r="E729" i="5" s="1"/>
  <c r="CO729" i="5"/>
  <c r="F729" i="5" s="1"/>
  <c r="BY729" i="5"/>
  <c r="J729" i="5" s="1"/>
  <c r="AN729" i="5" s="1"/>
  <c r="BW729" i="5"/>
  <c r="BC729" i="5" l="1"/>
  <c r="N728" i="5"/>
  <c r="AS728" i="5"/>
  <c r="AV728" i="5" s="1"/>
  <c r="X728" i="5" s="1"/>
  <c r="Q728" i="5"/>
  <c r="V728" i="5" s="1"/>
  <c r="Y728" i="5" s="1"/>
  <c r="Z728" i="5" s="1"/>
  <c r="AA728" i="5" s="1"/>
  <c r="AY728" i="5"/>
  <c r="C730" i="5"/>
  <c r="AB730" i="5" s="1"/>
  <c r="BD729" i="5"/>
  <c r="BE730" i="5" s="1"/>
  <c r="BF729" i="5"/>
  <c r="CZ729" i="5"/>
  <c r="AG729" i="5"/>
  <c r="BG729" i="5" l="1"/>
  <c r="CS730" i="5"/>
  <c r="CR730" i="5"/>
  <c r="BK730" i="5"/>
  <c r="BL730" i="5" s="1"/>
  <c r="BM730" i="5" s="1"/>
  <c r="CI730" i="5"/>
  <c r="AX730" i="5"/>
  <c r="CY730" i="5"/>
  <c r="CU730" i="5"/>
  <c r="BX730" i="5" s="1"/>
  <c r="BW730" i="5" s="1"/>
  <c r="AK730" i="5"/>
  <c r="AM730" i="5" s="1"/>
  <c r="AL731" i="5" s="1"/>
  <c r="CL730" i="5"/>
  <c r="CM730" i="5" s="1"/>
  <c r="BH730" i="5"/>
  <c r="BI730" i="5" s="1"/>
  <c r="BJ730" i="5" s="1"/>
  <c r="CW730" i="5"/>
  <c r="AC730" i="5"/>
  <c r="AD730" i="5" s="1"/>
  <c r="CX730" i="5"/>
  <c r="D730" i="5"/>
  <c r="T730" i="5" s="1"/>
  <c r="U730" i="5" s="1"/>
  <c r="BU730" i="5"/>
  <c r="BT730" i="5" s="1"/>
  <c r="CP730" i="5"/>
  <c r="CQ730" i="5" s="1"/>
  <c r="R730" i="5" s="1"/>
  <c r="S730" i="5" s="1"/>
  <c r="L730" i="5"/>
  <c r="DA730" i="5"/>
  <c r="DB730" i="5" s="1"/>
  <c r="BN730" i="5"/>
  <c r="BO730" i="5" s="1"/>
  <c r="BP730" i="5" s="1"/>
  <c r="CH730" i="5"/>
  <c r="CK730" i="5"/>
  <c r="CJ730" i="5" s="1"/>
  <c r="H729" i="5"/>
  <c r="I729" i="5"/>
  <c r="AP729" i="5" s="1"/>
  <c r="AY730" i="5" l="1"/>
  <c r="AW730" i="5"/>
  <c r="BY730" i="5"/>
  <c r="CT730" i="5"/>
  <c r="W730" i="5"/>
  <c r="K730" i="5"/>
  <c r="BV730" i="5"/>
  <c r="J730" i="5" s="1"/>
  <c r="CV730" i="5"/>
  <c r="CN730" i="5" s="1"/>
  <c r="E730" i="5" s="1"/>
  <c r="AE730" i="5"/>
  <c r="G730" i="5"/>
  <c r="AF730" i="5" s="1"/>
  <c r="AH729" i="5"/>
  <c r="AJ729" i="5" s="1"/>
  <c r="AT729" i="5"/>
  <c r="M729" i="5"/>
  <c r="AO729" i="5" s="1"/>
  <c r="AR729" i="5" s="1"/>
  <c r="P729" i="5"/>
  <c r="Q729" i="5" s="1"/>
  <c r="V729" i="5" s="1"/>
  <c r="BS733" i="5"/>
  <c r="AN730" i="5" l="1"/>
  <c r="CO730" i="5"/>
  <c r="F730" i="5" s="1"/>
  <c r="BC730" i="5" s="1"/>
  <c r="N729" i="5"/>
  <c r="AS729" i="5"/>
  <c r="AV729" i="5" s="1"/>
  <c r="X729" i="5" s="1"/>
  <c r="Y729" i="5" s="1"/>
  <c r="Z729" i="5" s="1"/>
  <c r="AA729" i="5" s="1"/>
  <c r="BF730" i="5" l="1"/>
  <c r="CZ730" i="5"/>
  <c r="BD730" i="5"/>
  <c r="BE731" i="5" s="1"/>
  <c r="C731" i="5"/>
  <c r="AC731" i="5" l="1"/>
  <c r="CI731" i="5"/>
  <c r="BG730" i="5"/>
  <c r="CS731" i="5"/>
  <c r="CW731" i="5"/>
  <c r="CY731" i="5"/>
  <c r="AB731" i="5"/>
  <c r="D731" i="5"/>
  <c r="CU731" i="5"/>
  <c r="BK731" i="5"/>
  <c r="BL731" i="5" s="1"/>
  <c r="BM731" i="5" s="1"/>
  <c r="CR731" i="5"/>
  <c r="BH731" i="5"/>
  <c r="BI731" i="5" s="1"/>
  <c r="BJ731" i="5" s="1"/>
  <c r="CL731" i="5"/>
  <c r="CM731" i="5" s="1"/>
  <c r="BU731" i="5"/>
  <c r="AX731" i="5"/>
  <c r="AW731" i="5" s="1"/>
  <c r="CX731" i="5"/>
  <c r="AK731" i="5"/>
  <c r="AM731" i="5" s="1"/>
  <c r="AL732" i="5" s="1"/>
  <c r="AD731" i="5" l="1"/>
  <c r="AE731" i="5" s="1"/>
  <c r="W731" i="5"/>
  <c r="T731" i="5"/>
  <c r="U731" i="5" s="1"/>
  <c r="L731" i="5"/>
  <c r="BN731" i="5"/>
  <c r="BO731" i="5" s="1"/>
  <c r="BP731" i="5" s="1"/>
  <c r="G731" i="5" s="1"/>
  <c r="CP731" i="5"/>
  <c r="CQ731" i="5" s="1"/>
  <c r="R731" i="5" s="1"/>
  <c r="S731" i="5" s="1"/>
  <c r="BV731" i="5"/>
  <c r="BT731" i="5"/>
  <c r="H730" i="5"/>
  <c r="I730" i="5"/>
  <c r="AP730" i="5" s="1"/>
  <c r="DA731" i="5"/>
  <c r="DB731" i="5" s="1"/>
  <c r="K731" i="5" s="1"/>
  <c r="CH731" i="5"/>
  <c r="CK731" i="5"/>
  <c r="CJ731" i="5" s="1"/>
  <c r="BX731" i="5"/>
  <c r="CV731" i="5"/>
  <c r="CT731" i="5"/>
  <c r="AN731" i="5"/>
  <c r="BS734" i="5"/>
  <c r="AH730" i="5" l="1"/>
  <c r="AT730" i="5"/>
  <c r="M730" i="5"/>
  <c r="P730" i="5"/>
  <c r="Q730" i="5" s="1"/>
  <c r="V730" i="5" s="1"/>
  <c r="CO731" i="5"/>
  <c r="F731" i="5" s="1"/>
  <c r="CN731" i="5"/>
  <c r="E731" i="5" s="1"/>
  <c r="BC731" i="5" s="1"/>
  <c r="BW731" i="5"/>
  <c r="BY731" i="5"/>
  <c r="J731" i="5" s="1"/>
  <c r="AF731" i="5" s="1"/>
  <c r="AS730" i="5" l="1"/>
  <c r="AV730" i="5" s="1"/>
  <c r="AO730" i="5"/>
  <c r="AR730" i="5" s="1"/>
  <c r="N730" i="5"/>
  <c r="AG730" i="5"/>
  <c r="AJ730" i="5" s="1"/>
  <c r="CZ731" i="5"/>
  <c r="BF731" i="5"/>
  <c r="BD731" i="5"/>
  <c r="BE732" i="5" s="1"/>
  <c r="C732" i="5"/>
  <c r="X730" i="5" l="1"/>
  <c r="Y730" i="5" s="1"/>
  <c r="Z730" i="5" s="1"/>
  <c r="AA730" i="5" s="1"/>
  <c r="AC732" i="5"/>
  <c r="BK732" i="5"/>
  <c r="BL732" i="5" s="1"/>
  <c r="BM732" i="5" s="1"/>
  <c r="AB732" i="5"/>
  <c r="DA732" i="5" s="1"/>
  <c r="DB732" i="5" s="1"/>
  <c r="CX732" i="5"/>
  <c r="CW732" i="5"/>
  <c r="BG731" i="5"/>
  <c r="CL732" i="5"/>
  <c r="CM732" i="5" s="1"/>
  <c r="AX732" i="5"/>
  <c r="AW732" i="5" s="1"/>
  <c r="CR732" i="5"/>
  <c r="CS732" i="5"/>
  <c r="CY732" i="5"/>
  <c r="BH732" i="5"/>
  <c r="BI732" i="5" s="1"/>
  <c r="BJ732" i="5" s="1"/>
  <c r="CU732" i="5"/>
  <c r="BU732" i="5"/>
  <c r="CI732" i="5"/>
  <c r="D732" i="5"/>
  <c r="AK732" i="5"/>
  <c r="AM732" i="5" s="1"/>
  <c r="AL733" i="5" s="1"/>
  <c r="BN732" i="5"/>
  <c r="BO732" i="5" s="1"/>
  <c r="BP732" i="5" s="1"/>
  <c r="G732" i="5" s="1"/>
  <c r="L732" i="5"/>
  <c r="CP732" i="5"/>
  <c r="CQ732" i="5" s="1"/>
  <c r="R732" i="5" s="1"/>
  <c r="S732" i="5" s="1"/>
  <c r="AE732" i="5" l="1"/>
  <c r="AD732" i="5"/>
  <c r="W732" i="5"/>
  <c r="T732" i="5"/>
  <c r="U732" i="5" s="1"/>
  <c r="CK732" i="5"/>
  <c r="CJ732" i="5" s="1"/>
  <c r="CH732" i="5"/>
  <c r="H731" i="5"/>
  <c r="I731" i="5"/>
  <c r="AH731" i="5" s="1"/>
  <c r="BT732" i="5"/>
  <c r="BV732" i="5"/>
  <c r="K732" i="5"/>
  <c r="CV732" i="5"/>
  <c r="BX732" i="5"/>
  <c r="CT732" i="5"/>
  <c r="AO731" i="5"/>
  <c r="BS735" i="5"/>
  <c r="AD733" i="5" l="1"/>
  <c r="AP731" i="5"/>
  <c r="AR731" i="5" s="1"/>
  <c r="AT731" i="5"/>
  <c r="P731" i="5"/>
  <c r="M731" i="5"/>
  <c r="AG731" i="5" s="1"/>
  <c r="AJ731" i="5" s="1"/>
  <c r="BW732" i="5"/>
  <c r="BY732" i="5"/>
  <c r="J732" i="5" s="1"/>
  <c r="CO732" i="5"/>
  <c r="F732" i="5" s="1"/>
  <c r="CN732" i="5"/>
  <c r="E732" i="5" s="1"/>
  <c r="AN732" i="5" l="1"/>
  <c r="AF732" i="5"/>
  <c r="BC732" i="5"/>
  <c r="CZ732" i="5" s="1"/>
  <c r="AS731" i="5"/>
  <c r="AV731" i="5" s="1"/>
  <c r="N731" i="5"/>
  <c r="Q731" i="5"/>
  <c r="V731" i="5" s="1"/>
  <c r="AY731" i="5"/>
  <c r="C733" i="5"/>
  <c r="AY732" i="5"/>
  <c r="BF732" i="5" l="1"/>
  <c r="BD732" i="5"/>
  <c r="BE733" i="5" s="1"/>
  <c r="X731" i="5"/>
  <c r="Y731" i="5" s="1"/>
  <c r="Z731" i="5" s="1"/>
  <c r="AA731" i="5" s="1"/>
  <c r="BK733" i="5"/>
  <c r="BL733" i="5" s="1"/>
  <c r="BM733" i="5" s="1"/>
  <c r="CR733" i="5"/>
  <c r="CY733" i="5"/>
  <c r="D733" i="5"/>
  <c r="CL733" i="5"/>
  <c r="CM733" i="5" s="1"/>
  <c r="AK733" i="5"/>
  <c r="BU733" i="5"/>
  <c r="CI733" i="5"/>
  <c r="CU733" i="5"/>
  <c r="AB733" i="5"/>
  <c r="BN733" i="5" s="1"/>
  <c r="BO733" i="5" s="1"/>
  <c r="BP733" i="5" s="1"/>
  <c r="CX733" i="5"/>
  <c r="AC733" i="5"/>
  <c r="CW733" i="5"/>
  <c r="BH733" i="5"/>
  <c r="BI733" i="5" s="1"/>
  <c r="BJ733" i="5" s="1"/>
  <c r="CS733" i="5"/>
  <c r="BG732" i="5"/>
  <c r="AX733" i="5"/>
  <c r="AW733" i="5" s="1"/>
  <c r="BS736" i="5"/>
  <c r="CP733" i="5" l="1"/>
  <c r="CQ733" i="5" s="1"/>
  <c r="R733" i="5" s="1"/>
  <c r="S733" i="5" s="1"/>
  <c r="L733" i="5"/>
  <c r="BT733" i="5"/>
  <c r="BV733" i="5"/>
  <c r="G733" i="5"/>
  <c r="AM733" i="5"/>
  <c r="AL734" i="5" s="1"/>
  <c r="AN733" i="5"/>
  <c r="AE733" i="5"/>
  <c r="AD734" i="5" s="1"/>
  <c r="AF733" i="5"/>
  <c r="W733" i="5"/>
  <c r="T733" i="5"/>
  <c r="U733" i="5" s="1"/>
  <c r="I732" i="5"/>
  <c r="AH732" i="5" s="1"/>
  <c r="H732" i="5"/>
  <c r="BX733" i="5"/>
  <c r="CT733" i="5"/>
  <c r="CV733" i="5"/>
  <c r="DA733" i="5"/>
  <c r="DB733" i="5" s="1"/>
  <c r="K733" i="5" s="1"/>
  <c r="CH733" i="5"/>
  <c r="CK733" i="5"/>
  <c r="CJ733" i="5" s="1"/>
  <c r="CO733" i="5" l="1"/>
  <c r="F733" i="5" s="1"/>
  <c r="CN733" i="5"/>
  <c r="E733" i="5" s="1"/>
  <c r="BC733" i="5" s="1"/>
  <c r="BW733" i="5"/>
  <c r="BY733" i="5"/>
  <c r="J733" i="5" s="1"/>
  <c r="M732" i="5"/>
  <c r="AG732" i="5" s="1"/>
  <c r="AJ732" i="5" s="1"/>
  <c r="P732" i="5"/>
  <c r="AT732" i="5"/>
  <c r="AP732" i="5"/>
  <c r="AP733" i="5" s="1"/>
  <c r="AT733" i="5"/>
  <c r="Q732" i="5" l="1"/>
  <c r="V732" i="5" s="1"/>
  <c r="BB732" i="5"/>
  <c r="AS732" i="5"/>
  <c r="AV732" i="5" s="1"/>
  <c r="AO732" i="5"/>
  <c r="AR732" i="5" s="1"/>
  <c r="N732" i="5"/>
  <c r="BF733" i="5"/>
  <c r="BD733" i="5"/>
  <c r="BE734" i="5" s="1"/>
  <c r="CZ733" i="5"/>
  <c r="C734" i="5"/>
  <c r="AY733" i="5"/>
  <c r="AS733" i="5"/>
  <c r="AV733" i="5" s="1"/>
  <c r="AO733" i="5" l="1"/>
  <c r="X732" i="5"/>
  <c r="Y732" i="5" s="1"/>
  <c r="Z732" i="5" s="1"/>
  <c r="AA732" i="5" s="1"/>
  <c r="CX734" i="5"/>
  <c r="BG733" i="5"/>
  <c r="CR734" i="5"/>
  <c r="AB734" i="5"/>
  <c r="L734" i="5" s="1"/>
  <c r="D734" i="5"/>
  <c r="BH734" i="5"/>
  <c r="BI734" i="5" s="1"/>
  <c r="BJ734" i="5" s="1"/>
  <c r="AK734" i="5"/>
  <c r="CS734" i="5"/>
  <c r="CL734" i="5"/>
  <c r="CM734" i="5" s="1"/>
  <c r="AX734" i="5"/>
  <c r="AW734" i="5" s="1"/>
  <c r="CW734" i="5"/>
  <c r="AC734" i="5"/>
  <c r="CP734" i="5"/>
  <c r="CQ734" i="5" s="1"/>
  <c r="R734" i="5" s="1"/>
  <c r="S734" i="5" s="1"/>
  <c r="CY734" i="5"/>
  <c r="BK734" i="5"/>
  <c r="BL734" i="5" s="1"/>
  <c r="BM734" i="5" s="1"/>
  <c r="CI734" i="5"/>
  <c r="CU734" i="5"/>
  <c r="BU734" i="5"/>
  <c r="AR733" i="5"/>
  <c r="DA734" i="5" l="1"/>
  <c r="DB734" i="5" s="1"/>
  <c r="BN734" i="5"/>
  <c r="BO734" i="5" s="1"/>
  <c r="BP734" i="5" s="1"/>
  <c r="G734" i="5" s="1"/>
  <c r="AM734" i="5"/>
  <c r="AL735" i="5" s="1"/>
  <c r="AN734" i="5"/>
  <c r="T734" i="5"/>
  <c r="U734" i="5" s="1"/>
  <c r="W734" i="5"/>
  <c r="K734" i="5"/>
  <c r="CT734" i="5"/>
  <c r="CV734" i="5"/>
  <c r="BX734" i="5"/>
  <c r="AE734" i="5"/>
  <c r="AD735" i="5" s="1"/>
  <c r="CH734" i="5"/>
  <c r="CK734" i="5"/>
  <c r="CJ734" i="5" s="1"/>
  <c r="I733" i="5"/>
  <c r="AH733" i="5" s="1"/>
  <c r="H733" i="5"/>
  <c r="BT734" i="5"/>
  <c r="BV734" i="5"/>
  <c r="AP734" i="5"/>
  <c r="BW734" i="5" l="1"/>
  <c r="BY734" i="5"/>
  <c r="J734" i="5" s="1"/>
  <c r="AF734" i="5" s="1"/>
  <c r="CN734" i="5"/>
  <c r="E734" i="5" s="1"/>
  <c r="CO734" i="5"/>
  <c r="F734" i="5" s="1"/>
  <c r="C735" i="5" s="1"/>
  <c r="P733" i="5"/>
  <c r="Q733" i="5" s="1"/>
  <c r="V733" i="5" s="1"/>
  <c r="M733" i="5"/>
  <c r="AY734" i="5"/>
  <c r="AO734" i="5"/>
  <c r="AR734" i="5" s="1"/>
  <c r="BS737" i="5"/>
  <c r="BC734" i="5" l="1"/>
  <c r="AG733" i="5"/>
  <c r="AJ733" i="5" s="1"/>
  <c r="X733" i="5" s="1"/>
  <c r="Y733" i="5" s="1"/>
  <c r="Z733" i="5" s="1"/>
  <c r="AA733" i="5" s="1"/>
  <c r="N733" i="5"/>
  <c r="CU735" i="5"/>
  <c r="BG734" i="5"/>
  <c r="CS735" i="5"/>
  <c r="AB735" i="5"/>
  <c r="CP735" i="5" s="1"/>
  <c r="CQ735" i="5" s="1"/>
  <c r="R735" i="5" s="1"/>
  <c r="S735" i="5" s="1"/>
  <c r="CR735" i="5"/>
  <c r="D735" i="5"/>
  <c r="BH735" i="5"/>
  <c r="BI735" i="5" s="1"/>
  <c r="BJ735" i="5" s="1"/>
  <c r="AC735" i="5"/>
  <c r="AK735" i="5"/>
  <c r="CL735" i="5"/>
  <c r="CM735" i="5" s="1"/>
  <c r="CX735" i="5"/>
  <c r="CY735" i="5"/>
  <c r="AX735" i="5"/>
  <c r="AW735" i="5" s="1"/>
  <c r="BK735" i="5"/>
  <c r="BL735" i="5" s="1"/>
  <c r="BM735" i="5" s="1"/>
  <c r="CW735" i="5"/>
  <c r="BD734" i="5"/>
  <c r="BE735" i="5" s="1"/>
  <c r="BF734" i="5"/>
  <c r="CZ734" i="5"/>
  <c r="CI735" i="5"/>
  <c r="BU735" i="5"/>
  <c r="BX735" i="5"/>
  <c r="BS738" i="5"/>
  <c r="BN735" i="5" l="1"/>
  <c r="BO735" i="5" s="1"/>
  <c r="BP735" i="5" s="1"/>
  <c r="G735" i="5" s="1"/>
  <c r="L735" i="5"/>
  <c r="DA735" i="5"/>
  <c r="DB735" i="5" s="1"/>
  <c r="K735" i="5" s="1"/>
  <c r="T735" i="5"/>
  <c r="U735" i="5" s="1"/>
  <c r="W735" i="5"/>
  <c r="H734" i="5"/>
  <c r="I734" i="5"/>
  <c r="CH735" i="5"/>
  <c r="CK735" i="5"/>
  <c r="CJ735" i="5" s="1"/>
  <c r="AM735" i="5"/>
  <c r="AL736" i="5" s="1"/>
  <c r="CV735" i="5"/>
  <c r="CT735" i="5"/>
  <c r="BY735" i="5"/>
  <c r="BW735" i="5"/>
  <c r="AE735" i="5"/>
  <c r="AD736" i="5" s="1"/>
  <c r="AF735" i="5"/>
  <c r="BV735" i="5"/>
  <c r="BT735" i="5"/>
  <c r="AY735" i="5"/>
  <c r="AH734" i="5" l="1"/>
  <c r="AT734" i="5"/>
  <c r="M734" i="5"/>
  <c r="AS734" i="5" s="1"/>
  <c r="AV734" i="5" s="1"/>
  <c r="P734" i="5"/>
  <c r="Q734" i="5" s="1"/>
  <c r="V734" i="5" s="1"/>
  <c r="CO735" i="5"/>
  <c r="F735" i="5" s="1"/>
  <c r="CN735" i="5"/>
  <c r="E735" i="5" s="1"/>
  <c r="BC735" i="5" s="1"/>
  <c r="J735" i="5"/>
  <c r="AN735" i="5" s="1"/>
  <c r="AH735" i="5"/>
  <c r="BD735" i="5" l="1"/>
  <c r="BE736" i="5" s="1"/>
  <c r="CZ735" i="5"/>
  <c r="BF735" i="5"/>
  <c r="N734" i="5"/>
  <c r="AG734" i="5"/>
  <c r="C736" i="5"/>
  <c r="BS739" i="5"/>
  <c r="AK736" i="5" l="1"/>
  <c r="AM736" i="5" s="1"/>
  <c r="AL737" i="5" s="1"/>
  <c r="AB736" i="5"/>
  <c r="CP736" i="5" s="1"/>
  <c r="CQ736" i="5" s="1"/>
  <c r="R736" i="5" s="1"/>
  <c r="S736" i="5" s="1"/>
  <c r="D736" i="5"/>
  <c r="BK736" i="5"/>
  <c r="BL736" i="5" s="1"/>
  <c r="BM736" i="5" s="1"/>
  <c r="CW736" i="5"/>
  <c r="AC736" i="5"/>
  <c r="L736" i="5"/>
  <c r="CR736" i="5"/>
  <c r="CX736" i="5"/>
  <c r="CL736" i="5"/>
  <c r="CM736" i="5" s="1"/>
  <c r="CS736" i="5"/>
  <c r="CY736" i="5"/>
  <c r="BG735" i="5"/>
  <c r="BH736" i="5"/>
  <c r="BI736" i="5" s="1"/>
  <c r="BJ736" i="5" s="1"/>
  <c r="AX736" i="5"/>
  <c r="AW736" i="5" s="1"/>
  <c r="DA736" i="5"/>
  <c r="DB736" i="5" s="1"/>
  <c r="CU736" i="5"/>
  <c r="CI736" i="5"/>
  <c r="BU736" i="5"/>
  <c r="AJ734" i="5"/>
  <c r="X734" i="5" s="1"/>
  <c r="Y734" i="5" s="1"/>
  <c r="Z734" i="5" s="1"/>
  <c r="AA734" i="5" s="1"/>
  <c r="AG735" i="5"/>
  <c r="AJ735" i="5" s="1"/>
  <c r="H735" i="5" l="1"/>
  <c r="I735" i="5"/>
  <c r="BT736" i="5"/>
  <c r="BV736" i="5"/>
  <c r="CK736" i="5"/>
  <c r="CJ736" i="5" s="1"/>
  <c r="CH736" i="5"/>
  <c r="BN736" i="5"/>
  <c r="BO736" i="5" s="1"/>
  <c r="BP736" i="5" s="1"/>
  <c r="G736" i="5" s="1"/>
  <c r="T736" i="5"/>
  <c r="U736" i="5" s="1"/>
  <c r="W736" i="5"/>
  <c r="K736" i="5"/>
  <c r="AE736" i="5"/>
  <c r="AD737" i="5" s="1"/>
  <c r="AF736" i="5"/>
  <c r="CT736" i="5"/>
  <c r="CV736" i="5"/>
  <c r="BX736" i="5"/>
  <c r="AT735" i="5" l="1"/>
  <c r="AP735" i="5"/>
  <c r="CO736" i="5"/>
  <c r="F736" i="5" s="1"/>
  <c r="CN736" i="5"/>
  <c r="E736" i="5" s="1"/>
  <c r="M735" i="5"/>
  <c r="AO735" i="5" s="1"/>
  <c r="AR735" i="5" s="1"/>
  <c r="P735" i="5"/>
  <c r="Q735" i="5" s="1"/>
  <c r="V735" i="5" s="1"/>
  <c r="BW736" i="5"/>
  <c r="BY736" i="5"/>
  <c r="J736" i="5" s="1"/>
  <c r="AN736" i="5" s="1"/>
  <c r="AH736" i="5"/>
  <c r="C737" i="5" l="1"/>
  <c r="BK737" i="5" s="1"/>
  <c r="BL737" i="5" s="1"/>
  <c r="BM737" i="5" s="1"/>
  <c r="AK737" i="5"/>
  <c r="AM737" i="5" s="1"/>
  <c r="AL738" i="5" s="1"/>
  <c r="CW737" i="5"/>
  <c r="AC737" i="5"/>
  <c r="AE737" i="5" s="1"/>
  <c r="AD738" i="5" s="1"/>
  <c r="BH737" i="5"/>
  <c r="BI737" i="5" s="1"/>
  <c r="BJ737" i="5" s="1"/>
  <c r="BG736" i="5"/>
  <c r="D737" i="5"/>
  <c r="AX737" i="5"/>
  <c r="AW737" i="5" s="1"/>
  <c r="CY737" i="5"/>
  <c r="CL737" i="5"/>
  <c r="CM737" i="5" s="1"/>
  <c r="CS737" i="5"/>
  <c r="BU737" i="5"/>
  <c r="AS735" i="5"/>
  <c r="AV735" i="5" s="1"/>
  <c r="X735" i="5" s="1"/>
  <c r="Y735" i="5" s="1"/>
  <c r="Z735" i="5" s="1"/>
  <c r="AA735" i="5" s="1"/>
  <c r="N735" i="5"/>
  <c r="CU737" i="5"/>
  <c r="BC736" i="5"/>
  <c r="CI737" i="5"/>
  <c r="AY736" i="5"/>
  <c r="AG736" i="5"/>
  <c r="AJ736" i="5" s="1"/>
  <c r="BS740" i="5"/>
  <c r="AB737" i="5" l="1"/>
  <c r="DA737" i="5" s="1"/>
  <c r="DB737" i="5" s="1"/>
  <c r="K737" i="5" s="1"/>
  <c r="CR737" i="5"/>
  <c r="CX737" i="5"/>
  <c r="I736" i="5"/>
  <c r="H736" i="5"/>
  <c r="CZ736" i="5"/>
  <c r="BD736" i="5"/>
  <c r="BE737" i="5" s="1"/>
  <c r="BF736" i="5"/>
  <c r="CT737" i="5"/>
  <c r="CV737" i="5"/>
  <c r="BX737" i="5"/>
  <c r="T737" i="5"/>
  <c r="U737" i="5" s="1"/>
  <c r="W737" i="5"/>
  <c r="BV737" i="5"/>
  <c r="BT737" i="5"/>
  <c r="CK737" i="5"/>
  <c r="CJ737" i="5" s="1"/>
  <c r="CH737" i="5"/>
  <c r="AR736" i="5"/>
  <c r="AT736" i="5" l="1"/>
  <c r="AP736" i="5"/>
  <c r="BN737" i="5"/>
  <c r="BO737" i="5" s="1"/>
  <c r="BP737" i="5" s="1"/>
  <c r="G737" i="5" s="1"/>
  <c r="AN737" i="5" s="1"/>
  <c r="CP737" i="5"/>
  <c r="CQ737" i="5" s="1"/>
  <c r="R737" i="5" s="1"/>
  <c r="S737" i="5" s="1"/>
  <c r="L737" i="5"/>
  <c r="BY737" i="5"/>
  <c r="J737" i="5" s="1"/>
  <c r="AF737" i="5" s="1"/>
  <c r="BW737" i="5"/>
  <c r="CN737" i="5"/>
  <c r="E737" i="5" s="1"/>
  <c r="BC737" i="5" s="1"/>
  <c r="CO737" i="5"/>
  <c r="F737" i="5" s="1"/>
  <c r="P736" i="5"/>
  <c r="Q736" i="5" s="1"/>
  <c r="V736" i="5" s="1"/>
  <c r="M736" i="5"/>
  <c r="AO736" i="5" s="1"/>
  <c r="C738" i="5" l="1"/>
  <c r="CU738" i="5" s="1"/>
  <c r="BX738" i="5" s="1"/>
  <c r="N736" i="5"/>
  <c r="AS736" i="5"/>
  <c r="AV736" i="5" s="1"/>
  <c r="X736" i="5" s="1"/>
  <c r="Y736" i="5" s="1"/>
  <c r="Z736" i="5" s="1"/>
  <c r="AA736" i="5" s="1"/>
  <c r="CZ737" i="5"/>
  <c r="BD737" i="5"/>
  <c r="BE738" i="5" s="1"/>
  <c r="BF737" i="5"/>
  <c r="CX738" i="5"/>
  <c r="BU738" i="5"/>
  <c r="AC738" i="5"/>
  <c r="AE738" i="5" s="1"/>
  <c r="CL738" i="5"/>
  <c r="CM738" i="5" s="1"/>
  <c r="BH738" i="5"/>
  <c r="BI738" i="5" s="1"/>
  <c r="BJ738" i="5" s="1"/>
  <c r="BK738" i="5"/>
  <c r="BL738" i="5" s="1"/>
  <c r="BM738" i="5" s="1"/>
  <c r="CS738" i="5"/>
  <c r="BG737" i="5"/>
  <c r="CR738" i="5"/>
  <c r="AK738" i="5"/>
  <c r="AM738" i="5" s="1"/>
  <c r="AL739" i="5" s="1"/>
  <c r="AX738" i="5"/>
  <c r="CI738" i="5"/>
  <c r="AB738" i="5" l="1"/>
  <c r="BN738" i="5" s="1"/>
  <c r="BO738" i="5" s="1"/>
  <c r="BP738" i="5" s="1"/>
  <c r="G738" i="5" s="1"/>
  <c r="CY738" i="5"/>
  <c r="L738" i="5"/>
  <c r="D738" i="5"/>
  <c r="W738" i="5" s="1"/>
  <c r="CW738" i="5"/>
  <c r="BY738" i="5"/>
  <c r="BW738" i="5"/>
  <c r="CH738" i="5"/>
  <c r="CK738" i="5"/>
  <c r="CJ738" i="5" s="1"/>
  <c r="I737" i="5"/>
  <c r="H737" i="5"/>
  <c r="DA738" i="5"/>
  <c r="DB738" i="5" s="1"/>
  <c r="K738" i="5" s="1"/>
  <c r="CV738" i="5"/>
  <c r="CT738" i="5"/>
  <c r="AW738" i="5"/>
  <c r="AY738" i="5"/>
  <c r="BV738" i="5"/>
  <c r="BT738" i="5"/>
  <c r="CP738" i="5"/>
  <c r="CQ738" i="5" s="1"/>
  <c r="R738" i="5" s="1"/>
  <c r="S738" i="5" s="1"/>
  <c r="AN738" i="5"/>
  <c r="AY737" i="5"/>
  <c r="BS741" i="5"/>
  <c r="AH737" i="5" l="1"/>
  <c r="AP737" i="5"/>
  <c r="AT737" i="5"/>
  <c r="T738" i="5"/>
  <c r="U738" i="5" s="1"/>
  <c r="M737" i="5"/>
  <c r="P737" i="5"/>
  <c r="Q737" i="5" s="1"/>
  <c r="V737" i="5" s="1"/>
  <c r="CN738" i="5"/>
  <c r="E738" i="5" s="1"/>
  <c r="BC738" i="5" s="1"/>
  <c r="CO738" i="5"/>
  <c r="F738" i="5" s="1"/>
  <c r="J738" i="5"/>
  <c r="AF738" i="5" s="1"/>
  <c r="AS737" i="5" l="1"/>
  <c r="AV737" i="5" s="1"/>
  <c r="AO737" i="5"/>
  <c r="AR737" i="5" s="1"/>
  <c r="N737" i="5"/>
  <c r="AG737" i="5"/>
  <c r="AJ737" i="5" s="1"/>
  <c r="C739" i="5"/>
  <c r="BF738" i="5"/>
  <c r="CZ738" i="5"/>
  <c r="BD738" i="5"/>
  <c r="BE739" i="5" s="1"/>
  <c r="AD739" i="5"/>
  <c r="AP738" i="5"/>
  <c r="X737" i="5" l="1"/>
  <c r="Y737" i="5" s="1"/>
  <c r="Z737" i="5" s="1"/>
  <c r="AA737" i="5" s="1"/>
  <c r="BG738" i="5"/>
  <c r="CR739" i="5"/>
  <c r="CX739" i="5"/>
  <c r="D739" i="5"/>
  <c r="AC739" i="5"/>
  <c r="AE739" i="5" s="1"/>
  <c r="AD740" i="5" s="1"/>
  <c r="BH739" i="5"/>
  <c r="BI739" i="5" s="1"/>
  <c r="BJ739" i="5" s="1"/>
  <c r="CL739" i="5"/>
  <c r="CM739" i="5" s="1"/>
  <c r="BK739" i="5"/>
  <c r="BL739" i="5" s="1"/>
  <c r="BM739" i="5" s="1"/>
  <c r="CY739" i="5"/>
  <c r="CW739" i="5"/>
  <c r="AX739" i="5"/>
  <c r="AB739" i="5"/>
  <c r="CI739" i="5"/>
  <c r="CU739" i="5"/>
  <c r="BU739" i="5"/>
  <c r="AK739" i="5"/>
  <c r="AM739" i="5" s="1"/>
  <c r="AL740" i="5" s="1"/>
  <c r="CS739" i="5"/>
  <c r="AO738" i="5"/>
  <c r="AR738" i="5" s="1"/>
  <c r="L739" i="5" l="1"/>
  <c r="CP739" i="5"/>
  <c r="CQ739" i="5" s="1"/>
  <c r="R739" i="5" s="1"/>
  <c r="S739" i="5" s="1"/>
  <c r="DA739" i="5"/>
  <c r="DB739" i="5" s="1"/>
  <c r="K739" i="5" s="1"/>
  <c r="W739" i="5"/>
  <c r="T739" i="5"/>
  <c r="U739" i="5" s="1"/>
  <c r="AW739" i="5"/>
  <c r="AY739" i="5"/>
  <c r="BN739" i="5"/>
  <c r="BO739" i="5" s="1"/>
  <c r="BP739" i="5" s="1"/>
  <c r="G739" i="5" s="1"/>
  <c r="CK739" i="5"/>
  <c r="CJ739" i="5" s="1"/>
  <c r="CH739" i="5"/>
  <c r="H738" i="5"/>
  <c r="I738" i="5"/>
  <c r="CT739" i="5"/>
  <c r="CV739" i="5"/>
  <c r="BX739" i="5"/>
  <c r="BT739" i="5"/>
  <c r="BV739" i="5"/>
  <c r="AT738" i="5" l="1"/>
  <c r="AH738" i="5"/>
  <c r="BY739" i="5"/>
  <c r="J739" i="5" s="1"/>
  <c r="AN739" i="5" s="1"/>
  <c r="BW739" i="5"/>
  <c r="CN739" i="5"/>
  <c r="E739" i="5" s="1"/>
  <c r="BC739" i="5" s="1"/>
  <c r="CO739" i="5"/>
  <c r="F739" i="5" s="1"/>
  <c r="P738" i="5"/>
  <c r="Q738" i="5" s="1"/>
  <c r="V738" i="5" s="1"/>
  <c r="M738" i="5"/>
  <c r="AG738" i="5" s="1"/>
  <c r="AJ738" i="5" s="1"/>
  <c r="AF739" i="5" l="1"/>
  <c r="BF739" i="5"/>
  <c r="BD739" i="5"/>
  <c r="BE740" i="5" s="1"/>
  <c r="CZ739" i="5"/>
  <c r="C740" i="5"/>
  <c r="N738" i="5"/>
  <c r="AS738" i="5"/>
  <c r="AV738" i="5" s="1"/>
  <c r="X738" i="5" s="1"/>
  <c r="Y738" i="5" s="1"/>
  <c r="Z738" i="5" s="1"/>
  <c r="AA738" i="5" s="1"/>
  <c r="BS742" i="5"/>
  <c r="CI740" i="5" l="1"/>
  <c r="BG739" i="5"/>
  <c r="AK740" i="5"/>
  <c r="D740" i="5"/>
  <c r="BH740" i="5"/>
  <c r="BI740" i="5" s="1"/>
  <c r="BJ740" i="5" s="1"/>
  <c r="CX740" i="5"/>
  <c r="AB740" i="5"/>
  <c r="DA740" i="5" s="1"/>
  <c r="DB740" i="5" s="1"/>
  <c r="CU740" i="5"/>
  <c r="CS740" i="5"/>
  <c r="CW740" i="5"/>
  <c r="AC740" i="5"/>
  <c r="BK740" i="5"/>
  <c r="BL740" i="5" s="1"/>
  <c r="BM740" i="5" s="1"/>
  <c r="AX740" i="5"/>
  <c r="AW740" i="5" s="1"/>
  <c r="CL740" i="5"/>
  <c r="CM740" i="5" s="1"/>
  <c r="CY740" i="5"/>
  <c r="CR740" i="5"/>
  <c r="BU740" i="5"/>
  <c r="AJ739" i="5"/>
  <c r="BS743" i="5"/>
  <c r="BN740" i="5" l="1"/>
  <c r="BO740" i="5" s="1"/>
  <c r="BP740" i="5" s="1"/>
  <c r="G740" i="5" s="1"/>
  <c r="BX740" i="5"/>
  <c r="CV740" i="5"/>
  <c r="CT740" i="5"/>
  <c r="W740" i="5"/>
  <c r="T740" i="5"/>
  <c r="U740" i="5" s="1"/>
  <c r="K740" i="5"/>
  <c r="CP740" i="5"/>
  <c r="CQ740" i="5" s="1"/>
  <c r="R740" i="5" s="1"/>
  <c r="S740" i="5" s="1"/>
  <c r="AE740" i="5"/>
  <c r="AF740" i="5"/>
  <c r="AM740" i="5"/>
  <c r="AL741" i="5" s="1"/>
  <c r="AN740" i="5"/>
  <c r="L740" i="5"/>
  <c r="H739" i="5"/>
  <c r="I739" i="5"/>
  <c r="AH739" i="5" s="1"/>
  <c r="BV740" i="5"/>
  <c r="BT740" i="5"/>
  <c r="CH740" i="5"/>
  <c r="CK740" i="5"/>
  <c r="CJ740" i="5" s="1"/>
  <c r="AP739" i="5" l="1"/>
  <c r="AT739" i="5"/>
  <c r="M739" i="5"/>
  <c r="AG739" i="5" s="1"/>
  <c r="P739" i="5"/>
  <c r="Q739" i="5" s="1"/>
  <c r="V739" i="5" s="1"/>
  <c r="CO740" i="5"/>
  <c r="F740" i="5" s="1"/>
  <c r="CN740" i="5"/>
  <c r="E740" i="5" s="1"/>
  <c r="BY740" i="5"/>
  <c r="J740" i="5" s="1"/>
  <c r="BW740" i="5"/>
  <c r="AP740" i="5"/>
  <c r="BC740" i="5" l="1"/>
  <c r="C741" i="5"/>
  <c r="CS741" i="5" s="1"/>
  <c r="AO739" i="5"/>
  <c r="AR739" i="5" s="1"/>
  <c r="AS739" i="5"/>
  <c r="AV739" i="5" s="1"/>
  <c r="N739" i="5"/>
  <c r="CX741" i="5"/>
  <c r="BG740" i="5"/>
  <c r="AB741" i="5"/>
  <c r="BN741" i="5" s="1"/>
  <c r="BO741" i="5" s="1"/>
  <c r="BP741" i="5" s="1"/>
  <c r="CL741" i="5"/>
  <c r="CM741" i="5" s="1"/>
  <c r="AK741" i="5"/>
  <c r="AM741" i="5" s="1"/>
  <c r="AL742" i="5" s="1"/>
  <c r="CR741" i="5"/>
  <c r="D741" i="5"/>
  <c r="CW741" i="5"/>
  <c r="CY741" i="5"/>
  <c r="CI741" i="5"/>
  <c r="BH741" i="5"/>
  <c r="BI741" i="5" s="1"/>
  <c r="BJ741" i="5" s="1"/>
  <c r="AC741" i="5"/>
  <c r="BF740" i="5"/>
  <c r="CZ740" i="5"/>
  <c r="BD740" i="5"/>
  <c r="BE741" i="5" s="1"/>
  <c r="BU741" i="5"/>
  <c r="AO740" i="5"/>
  <c r="AR740" i="5" s="1"/>
  <c r="AY740" i="5"/>
  <c r="CP741" i="5" l="1"/>
  <c r="CQ741" i="5" s="1"/>
  <c r="R741" i="5" s="1"/>
  <c r="S741" i="5" s="1"/>
  <c r="AX741" i="5"/>
  <c r="AW741" i="5" s="1"/>
  <c r="BK741" i="5"/>
  <c r="BL741" i="5" s="1"/>
  <c r="BM741" i="5" s="1"/>
  <c r="CU741" i="5"/>
  <c r="DA741" i="5"/>
  <c r="DB741" i="5" s="1"/>
  <c r="H740" i="5"/>
  <c r="I740" i="5"/>
  <c r="AD741" i="5"/>
  <c r="AE741" i="5" s="1"/>
  <c r="AD742" i="5" s="1"/>
  <c r="W741" i="5"/>
  <c r="T741" i="5"/>
  <c r="U741" i="5" s="1"/>
  <c r="G741" i="5"/>
  <c r="BT741" i="5"/>
  <c r="BV741" i="5"/>
  <c r="X739" i="5"/>
  <c r="Y739" i="5" s="1"/>
  <c r="Z739" i="5" s="1"/>
  <c r="AA739" i="5" s="1"/>
  <c r="L741" i="5"/>
  <c r="CH741" i="5"/>
  <c r="CK741" i="5"/>
  <c r="CJ741" i="5" s="1"/>
  <c r="BS744" i="5"/>
  <c r="K741" i="5" l="1"/>
  <c r="AH740" i="5"/>
  <c r="AT740" i="5"/>
  <c r="CT741" i="5"/>
  <c r="CV741" i="5"/>
  <c r="BX741" i="5"/>
  <c r="P740" i="5"/>
  <c r="Q740" i="5" s="1"/>
  <c r="V740" i="5" s="1"/>
  <c r="M740" i="5"/>
  <c r="AS740" i="5" s="1"/>
  <c r="AV740" i="5" s="1"/>
  <c r="CO741" i="5" l="1"/>
  <c r="F741" i="5" s="1"/>
  <c r="CN741" i="5"/>
  <c r="E741" i="5" s="1"/>
  <c r="BC741" i="5" s="1"/>
  <c r="BW741" i="5"/>
  <c r="BY741" i="5"/>
  <c r="J741" i="5" s="1"/>
  <c r="AG740" i="5"/>
  <c r="AJ740" i="5" s="1"/>
  <c r="X740" i="5" s="1"/>
  <c r="Y740" i="5" s="1"/>
  <c r="Z740" i="5" s="1"/>
  <c r="AA740" i="5" s="1"/>
  <c r="N740" i="5"/>
  <c r="AY741" i="5"/>
  <c r="C742" i="5" l="1"/>
  <c r="CI742" i="5" s="1"/>
  <c r="AF741" i="5"/>
  <c r="AN741" i="5"/>
  <c r="CZ741" i="5"/>
  <c r="BF741" i="5"/>
  <c r="BD741" i="5"/>
  <c r="BE742" i="5" s="1"/>
  <c r="BG741" i="5"/>
  <c r="AX742" i="5"/>
  <c r="AC742" i="5"/>
  <c r="AE742" i="5" s="1"/>
  <c r="AD743" i="5" s="1"/>
  <c r="D742" i="5"/>
  <c r="AB742" i="5"/>
  <c r="BN742" i="5" s="1"/>
  <c r="BO742" i="5" s="1"/>
  <c r="BP742" i="5" s="1"/>
  <c r="CX742" i="5"/>
  <c r="AK742" i="5"/>
  <c r="CY742" i="5"/>
  <c r="CL742" i="5"/>
  <c r="CM742" i="5" s="1"/>
  <c r="CS742" i="5"/>
  <c r="BH742" i="5"/>
  <c r="BI742" i="5" s="1"/>
  <c r="BJ742" i="5" s="1"/>
  <c r="CW742" i="5"/>
  <c r="BK742" i="5"/>
  <c r="BL742" i="5" s="1"/>
  <c r="BM742" i="5" s="1"/>
  <c r="BU742" i="5"/>
  <c r="CU742" i="5"/>
  <c r="CR742" i="5" l="1"/>
  <c r="DA742" i="5"/>
  <c r="DB742" i="5" s="1"/>
  <c r="AM742" i="5"/>
  <c r="AL743" i="5" s="1"/>
  <c r="AN742" i="5"/>
  <c r="AW742" i="5"/>
  <c r="AY742" i="5"/>
  <c r="H741" i="5"/>
  <c r="I741" i="5"/>
  <c r="AT741" i="5" s="1"/>
  <c r="G742" i="5"/>
  <c r="T742" i="5"/>
  <c r="U742" i="5" s="1"/>
  <c r="W742" i="5"/>
  <c r="CT742" i="5"/>
  <c r="CV742" i="5"/>
  <c r="CP742" i="5"/>
  <c r="CQ742" i="5" s="1"/>
  <c r="R742" i="5" s="1"/>
  <c r="S742" i="5" s="1"/>
  <c r="CH742" i="5"/>
  <c r="CK742" i="5"/>
  <c r="CJ742" i="5" s="1"/>
  <c r="K742" i="5" s="1"/>
  <c r="BX742" i="5"/>
  <c r="L742" i="5"/>
  <c r="BV742" i="5"/>
  <c r="BT742" i="5"/>
  <c r="AH741" i="5"/>
  <c r="AG741" i="5"/>
  <c r="AJ741" i="5" s="1"/>
  <c r="BS745" i="5"/>
  <c r="P741" i="5" l="1"/>
  <c r="Q741" i="5" s="1"/>
  <c r="V741" i="5" s="1"/>
  <c r="M741" i="5"/>
  <c r="CO742" i="5"/>
  <c r="F742" i="5" s="1"/>
  <c r="CN742" i="5"/>
  <c r="E742" i="5" s="1"/>
  <c r="BC742" i="5" s="1"/>
  <c r="BW742" i="5"/>
  <c r="BY742" i="5"/>
  <c r="J742" i="5" s="1"/>
  <c r="AF742" i="5" s="1"/>
  <c r="AG742" i="5" s="1"/>
  <c r="AP741" i="5"/>
  <c r="AP742" i="5" s="1"/>
  <c r="BD742" i="5" l="1"/>
  <c r="BE743" i="5" s="1"/>
  <c r="BF742" i="5"/>
  <c r="CZ742" i="5"/>
  <c r="C743" i="5"/>
  <c r="N741" i="5"/>
  <c r="AS741" i="5"/>
  <c r="AV741" i="5" s="1"/>
  <c r="AO741" i="5"/>
  <c r="AO742" i="5" l="1"/>
  <c r="AR742" i="5" s="1"/>
  <c r="AR741" i="5"/>
  <c r="X741" i="5" s="1"/>
  <c r="Y741" i="5" s="1"/>
  <c r="Z741" i="5" s="1"/>
  <c r="AA741" i="5" s="1"/>
  <c r="BG742" i="5"/>
  <c r="BH743" i="5"/>
  <c r="BI743" i="5" s="1"/>
  <c r="BJ743" i="5" s="1"/>
  <c r="CL743" i="5"/>
  <c r="CM743" i="5" s="1"/>
  <c r="CX743" i="5"/>
  <c r="D743" i="5"/>
  <c r="CR743" i="5"/>
  <c r="CW743" i="5"/>
  <c r="AK743" i="5"/>
  <c r="AB743" i="5"/>
  <c r="DA743" i="5" s="1"/>
  <c r="DB743" i="5" s="1"/>
  <c r="CS743" i="5"/>
  <c r="BK743" i="5"/>
  <c r="BL743" i="5" s="1"/>
  <c r="BM743" i="5" s="1"/>
  <c r="AC743" i="5"/>
  <c r="AE743" i="5" s="1"/>
  <c r="AD744" i="5" s="1"/>
  <c r="CY743" i="5"/>
  <c r="CU743" i="5"/>
  <c r="CI743" i="5"/>
  <c r="AX743" i="5"/>
  <c r="AW743" i="5" s="1"/>
  <c r="BU743" i="5"/>
  <c r="BS746" i="5"/>
  <c r="CP743" i="5" l="1"/>
  <c r="CQ743" i="5" s="1"/>
  <c r="R743" i="5" s="1"/>
  <c r="S743" i="5" s="1"/>
  <c r="L743" i="5"/>
  <c r="T743" i="5"/>
  <c r="U743" i="5" s="1"/>
  <c r="W743" i="5"/>
  <c r="K743" i="5"/>
  <c r="CK743" i="5"/>
  <c r="CJ743" i="5" s="1"/>
  <c r="CH743" i="5"/>
  <c r="BT743" i="5"/>
  <c r="BV743" i="5"/>
  <c r="CT743" i="5"/>
  <c r="CV743" i="5"/>
  <c r="BX743" i="5"/>
  <c r="BN743" i="5"/>
  <c r="BO743" i="5" s="1"/>
  <c r="BP743" i="5" s="1"/>
  <c r="G743" i="5" s="1"/>
  <c r="I742" i="5"/>
  <c r="H742" i="5"/>
  <c r="AM743" i="5"/>
  <c r="AL744" i="5" s="1"/>
  <c r="M742" i="5" l="1"/>
  <c r="P742" i="5"/>
  <c r="Q742" i="5" s="1"/>
  <c r="V742" i="5" s="1"/>
  <c r="BW743" i="5"/>
  <c r="BY743" i="5"/>
  <c r="J743" i="5" s="1"/>
  <c r="AF743" i="5" s="1"/>
  <c r="AH743" i="5" s="1"/>
  <c r="AH742" i="5"/>
  <c r="AJ742" i="5" s="1"/>
  <c r="AT742" i="5"/>
  <c r="CN743" i="5"/>
  <c r="E743" i="5" s="1"/>
  <c r="BC743" i="5" s="1"/>
  <c r="CO743" i="5"/>
  <c r="F743" i="5" s="1"/>
  <c r="AY743" i="5"/>
  <c r="C744" i="5" l="1"/>
  <c r="CU744" i="5" s="1"/>
  <c r="CT744" i="5" s="1"/>
  <c r="AG743" i="5"/>
  <c r="AJ743" i="5" s="1"/>
  <c r="N742" i="5"/>
  <c r="AS742" i="5"/>
  <c r="AV742" i="5" s="1"/>
  <c r="X742" i="5" s="1"/>
  <c r="Y742" i="5" s="1"/>
  <c r="Z742" i="5" s="1"/>
  <c r="AA742" i="5" s="1"/>
  <c r="CY744" i="5"/>
  <c r="AB744" i="5"/>
  <c r="BN744" i="5" s="1"/>
  <c r="BO744" i="5" s="1"/>
  <c r="BP744" i="5" s="1"/>
  <c r="BG743" i="5"/>
  <c r="CW744" i="5"/>
  <c r="AC744" i="5"/>
  <c r="CL744" i="5"/>
  <c r="CM744" i="5" s="1"/>
  <c r="CX744" i="5"/>
  <c r="BK744" i="5"/>
  <c r="BL744" i="5" s="1"/>
  <c r="BM744" i="5" s="1"/>
  <c r="CR744" i="5"/>
  <c r="D744" i="5"/>
  <c r="AK744" i="5"/>
  <c r="CS744" i="5"/>
  <c r="AX744" i="5"/>
  <c r="AW744" i="5" s="1"/>
  <c r="CI744" i="5"/>
  <c r="BD743" i="5"/>
  <c r="BE744" i="5" s="1"/>
  <c r="CZ743" i="5"/>
  <c r="BF743" i="5"/>
  <c r="BU744" i="5"/>
  <c r="AN743" i="5"/>
  <c r="BS747" i="5"/>
  <c r="DA744" i="5" l="1"/>
  <c r="DB744" i="5" s="1"/>
  <c r="BX744" i="5"/>
  <c r="BH744" i="5"/>
  <c r="BI744" i="5" s="1"/>
  <c r="BJ744" i="5" s="1"/>
  <c r="G744" i="5" s="1"/>
  <c r="CV744" i="5"/>
  <c r="CP744" i="5"/>
  <c r="CQ744" i="5" s="1"/>
  <c r="R744" i="5" s="1"/>
  <c r="S744" i="5" s="1"/>
  <c r="BT744" i="5"/>
  <c r="BV744" i="5"/>
  <c r="L744" i="5"/>
  <c r="AE744" i="5"/>
  <c r="AD745" i="5" s="1"/>
  <c r="AF744" i="5"/>
  <c r="BY744" i="5"/>
  <c r="BW744" i="5"/>
  <c r="CK744" i="5"/>
  <c r="CJ744" i="5" s="1"/>
  <c r="K744" i="5" s="1"/>
  <c r="CH744" i="5"/>
  <c r="AM744" i="5"/>
  <c r="AL745" i="5" s="1"/>
  <c r="W744" i="5"/>
  <c r="T744" i="5"/>
  <c r="U744" i="5" s="1"/>
  <c r="I743" i="5"/>
  <c r="H743" i="5"/>
  <c r="CN744" i="5" l="1"/>
  <c r="E744" i="5" s="1"/>
  <c r="CO744" i="5"/>
  <c r="F744" i="5" s="1"/>
  <c r="M743" i="5"/>
  <c r="P743" i="5"/>
  <c r="Q743" i="5" s="1"/>
  <c r="V743" i="5" s="1"/>
  <c r="AP743" i="5"/>
  <c r="AT743" i="5"/>
  <c r="J744" i="5"/>
  <c r="AN744" i="5" s="1"/>
  <c r="AY744" i="5"/>
  <c r="AG744" i="5"/>
  <c r="C745" i="5" l="1"/>
  <c r="BU745" i="5" s="1"/>
  <c r="CY745" i="5"/>
  <c r="CR745" i="5"/>
  <c r="AB745" i="5"/>
  <c r="L745" i="5" s="1"/>
  <c r="CX745" i="5"/>
  <c r="D745" i="5"/>
  <c r="T745" i="5" s="1"/>
  <c r="U745" i="5" s="1"/>
  <c r="CS745" i="5"/>
  <c r="CW745" i="5"/>
  <c r="BG744" i="5"/>
  <c r="H744" i="5" s="1"/>
  <c r="CL745" i="5"/>
  <c r="CM745" i="5" s="1"/>
  <c r="BH745" i="5"/>
  <c r="BI745" i="5" s="1"/>
  <c r="BJ745" i="5" s="1"/>
  <c r="BK745" i="5"/>
  <c r="BL745" i="5" s="1"/>
  <c r="BM745" i="5" s="1"/>
  <c r="BC744" i="5"/>
  <c r="CP745" i="5"/>
  <c r="CQ745" i="5" s="1"/>
  <c r="R745" i="5" s="1"/>
  <c r="S745" i="5" s="1"/>
  <c r="BN745" i="5"/>
  <c r="BO745" i="5" s="1"/>
  <c r="BP745" i="5" s="1"/>
  <c r="G745" i="5" s="1"/>
  <c r="AO743" i="5"/>
  <c r="AS743" i="5"/>
  <c r="AV743" i="5" s="1"/>
  <c r="N743" i="5"/>
  <c r="BS748" i="5"/>
  <c r="BT745" i="5" l="1"/>
  <c r="BV745" i="5"/>
  <c r="W745" i="5"/>
  <c r="AC745" i="5"/>
  <c r="AE745" i="5" s="1"/>
  <c r="AD746" i="5" s="1"/>
  <c r="CU745" i="5"/>
  <c r="AX745" i="5"/>
  <c r="AW745" i="5" s="1"/>
  <c r="DA745" i="5"/>
  <c r="DB745" i="5" s="1"/>
  <c r="K745" i="5" s="1"/>
  <c r="CI745" i="5"/>
  <c r="CK745" i="5" s="1"/>
  <c r="CJ745" i="5" s="1"/>
  <c r="AK745" i="5"/>
  <c r="AM745" i="5" s="1"/>
  <c r="AL746" i="5" s="1"/>
  <c r="I744" i="5"/>
  <c r="AP744" i="5" s="1"/>
  <c r="BD744" i="5"/>
  <c r="BE745" i="5" s="1"/>
  <c r="CZ744" i="5"/>
  <c r="BF744" i="5"/>
  <c r="AN745" i="5"/>
  <c r="AR743" i="5"/>
  <c r="X743" i="5" s="1"/>
  <c r="Y743" i="5" s="1"/>
  <c r="Z743" i="5" s="1"/>
  <c r="AA743" i="5" s="1"/>
  <c r="M744" i="5"/>
  <c r="AO744" i="5" s="1"/>
  <c r="AR744" i="5" s="1"/>
  <c r="P744" i="5"/>
  <c r="Q744" i="5" s="1"/>
  <c r="V744" i="5" s="1"/>
  <c r="AH744" i="5"/>
  <c r="AJ744" i="5" s="1"/>
  <c r="BX745" i="5" l="1"/>
  <c r="CV745" i="5"/>
  <c r="CT745" i="5"/>
  <c r="CH745" i="5"/>
  <c r="AT744" i="5"/>
  <c r="AF745" i="5"/>
  <c r="AJ745" i="5"/>
  <c r="N744" i="5"/>
  <c r="AS744" i="5"/>
  <c r="AV744" i="5" s="1"/>
  <c r="X744" i="5" s="1"/>
  <c r="Y744" i="5" s="1"/>
  <c r="Z744" i="5" s="1"/>
  <c r="AA744" i="5" s="1"/>
  <c r="CO745" i="5" l="1"/>
  <c r="F745" i="5" s="1"/>
  <c r="CN745" i="5"/>
  <c r="E745" i="5" s="1"/>
  <c r="BC745" i="5" s="1"/>
  <c r="BY745" i="5"/>
  <c r="J745" i="5" s="1"/>
  <c r="BW745" i="5"/>
  <c r="DA746" i="5"/>
  <c r="BS749" i="5"/>
  <c r="BF745" i="5" l="1"/>
  <c r="BD745" i="5"/>
  <c r="BE746" i="5" s="1"/>
  <c r="CZ745" i="5"/>
  <c r="C746" i="5"/>
  <c r="AS746" i="5" s="1"/>
  <c r="AV746" i="5" s="1"/>
  <c r="BG745" i="5" l="1"/>
  <c r="CS746" i="5"/>
  <c r="CU746" i="5"/>
  <c r="D746" i="5"/>
  <c r="CX746" i="5"/>
  <c r="BK746" i="5"/>
  <c r="BL746" i="5" s="1"/>
  <c r="BM746" i="5" s="1"/>
  <c r="AX746" i="5"/>
  <c r="CW746" i="5"/>
  <c r="AC746" i="5"/>
  <c r="AE746" i="5" s="1"/>
  <c r="AD747" i="5" s="1"/>
  <c r="BU746" i="5"/>
  <c r="CI746" i="5"/>
  <c r="BH746" i="5"/>
  <c r="BI746" i="5" s="1"/>
  <c r="BJ746" i="5" s="1"/>
  <c r="CY746" i="5"/>
  <c r="CR746" i="5"/>
  <c r="AB746" i="5"/>
  <c r="AK746" i="5"/>
  <c r="AT746" i="5"/>
  <c r="CL746" i="5"/>
  <c r="CM746" i="5" s="1"/>
  <c r="DB746" i="5"/>
  <c r="AT745" i="5"/>
  <c r="AP745" i="5"/>
  <c r="BS750" i="5"/>
  <c r="AM746" i="5" l="1"/>
  <c r="AL747" i="5" s="1"/>
  <c r="AN746" i="5"/>
  <c r="AP746" i="5" s="1"/>
  <c r="AW746" i="5"/>
  <c r="AY746" i="5"/>
  <c r="BN746" i="5"/>
  <c r="BO746" i="5" s="1"/>
  <c r="BP746" i="5" s="1"/>
  <c r="G746" i="5" s="1"/>
  <c r="CP746" i="5"/>
  <c r="CQ746" i="5" s="1"/>
  <c r="R746" i="5" s="1"/>
  <c r="S746" i="5" s="1"/>
  <c r="W746" i="5"/>
  <c r="T746" i="5"/>
  <c r="U746" i="5" s="1"/>
  <c r="L746" i="5"/>
  <c r="CH746" i="5"/>
  <c r="CK746" i="5"/>
  <c r="CJ746" i="5" s="1"/>
  <c r="K746" i="5" s="1"/>
  <c r="CV746" i="5"/>
  <c r="CT746" i="5"/>
  <c r="BX746" i="5"/>
  <c r="BV746" i="5"/>
  <c r="BT746" i="5"/>
  <c r="I745" i="5"/>
  <c r="AH745" i="5" s="1"/>
  <c r="H745" i="5"/>
  <c r="AO745" i="5"/>
  <c r="AS745" i="5"/>
  <c r="AV745" i="5" s="1"/>
  <c r="CN746" i="5" l="1"/>
  <c r="E746" i="5" s="1"/>
  <c r="BC746" i="5" s="1"/>
  <c r="CO746" i="5"/>
  <c r="F746" i="5" s="1"/>
  <c r="P745" i="5"/>
  <c r="M745" i="5"/>
  <c r="BW746" i="5"/>
  <c r="BY746" i="5"/>
  <c r="J746" i="5" s="1"/>
  <c r="AF746" i="5" s="1"/>
  <c r="AR745" i="5"/>
  <c r="AO746" i="5"/>
  <c r="AR746" i="5" s="1"/>
  <c r="AG745" i="5" l="1"/>
  <c r="N745" i="5"/>
  <c r="Q745" i="5"/>
  <c r="V745" i="5" s="1"/>
  <c r="AY745" i="5"/>
  <c r="X745" i="5" s="1"/>
  <c r="Y745" i="5" s="1"/>
  <c r="Z745" i="5" s="1"/>
  <c r="AA745" i="5" s="1"/>
  <c r="C747" i="5"/>
  <c r="BF746" i="5"/>
  <c r="BD746" i="5"/>
  <c r="BE747" i="5" s="1"/>
  <c r="CZ746" i="5"/>
  <c r="DA747" i="5"/>
  <c r="BS751" i="5"/>
  <c r="DB747" i="5" l="1"/>
  <c r="BK747" i="5"/>
  <c r="BL747" i="5" s="1"/>
  <c r="BM747" i="5" s="1"/>
  <c r="AB747" i="5"/>
  <c r="BN747" i="5" s="1"/>
  <c r="BO747" i="5" s="1"/>
  <c r="BP747" i="5" s="1"/>
  <c r="AS747" i="5"/>
  <c r="AV747" i="5" s="1"/>
  <c r="BG746" i="5"/>
  <c r="CY747" i="5"/>
  <c r="CI747" i="5"/>
  <c r="D747" i="5"/>
  <c r="CW747" i="5"/>
  <c r="AX747" i="5"/>
  <c r="AC747" i="5"/>
  <c r="AE747" i="5" s="1"/>
  <c r="AD748" i="5" s="1"/>
  <c r="CL747" i="5"/>
  <c r="CM747" i="5" s="1"/>
  <c r="AK747" i="5"/>
  <c r="BU747" i="5"/>
  <c r="CX747" i="5"/>
  <c r="BH747" i="5"/>
  <c r="BI747" i="5" s="1"/>
  <c r="BJ747" i="5" s="1"/>
  <c r="CS747" i="5"/>
  <c r="CU747" i="5"/>
  <c r="CR747" i="5"/>
  <c r="BT747" i="5" l="1"/>
  <c r="BV747" i="5"/>
  <c r="AN747" i="5"/>
  <c r="AP747" i="5" s="1"/>
  <c r="AM747" i="5"/>
  <c r="AL748" i="5" s="1"/>
  <c r="H746" i="5"/>
  <c r="I746" i="5"/>
  <c r="AH746" i="5" s="1"/>
  <c r="AY747" i="5"/>
  <c r="AW747" i="5"/>
  <c r="CP747" i="5"/>
  <c r="CQ747" i="5" s="1"/>
  <c r="R747" i="5" s="1"/>
  <c r="S747" i="5" s="1"/>
  <c r="CV747" i="5"/>
  <c r="CT747" i="5"/>
  <c r="BX747" i="5"/>
  <c r="W747" i="5"/>
  <c r="T747" i="5"/>
  <c r="U747" i="5" s="1"/>
  <c r="G747" i="5"/>
  <c r="CK747" i="5"/>
  <c r="CJ747" i="5" s="1"/>
  <c r="K747" i="5" s="1"/>
  <c r="CH747" i="5"/>
  <c r="L747" i="5"/>
  <c r="M746" i="5" l="1"/>
  <c r="P746" i="5"/>
  <c r="Q746" i="5" s="1"/>
  <c r="V746" i="5" s="1"/>
  <c r="BY747" i="5"/>
  <c r="BW747" i="5"/>
  <c r="CO747" i="5"/>
  <c r="F747" i="5" s="1"/>
  <c r="CN747" i="5"/>
  <c r="E747" i="5" s="1"/>
  <c r="BC747" i="5" s="1"/>
  <c r="J747" i="5"/>
  <c r="AF747" i="5" s="1"/>
  <c r="DA748" i="5"/>
  <c r="BS752" i="5"/>
  <c r="CZ747" i="5" l="1"/>
  <c r="BD747" i="5"/>
  <c r="BE748" i="5" s="1"/>
  <c r="BF747" i="5"/>
  <c r="C748" i="5"/>
  <c r="N746" i="5"/>
  <c r="AG746" i="5"/>
  <c r="AJ746" i="5" s="1"/>
  <c r="X746" i="5" s="1"/>
  <c r="Y746" i="5" s="1"/>
  <c r="Z746" i="5" s="1"/>
  <c r="AA746" i="5" s="1"/>
  <c r="CR748" i="5" l="1"/>
  <c r="AK748" i="5"/>
  <c r="AM748" i="5" s="1"/>
  <c r="AL749" i="5" s="1"/>
  <c r="BU748" i="5"/>
  <c r="AC748" i="5"/>
  <c r="AB748" i="5"/>
  <c r="BN748" i="5" s="1"/>
  <c r="BO748" i="5" s="1"/>
  <c r="BP748" i="5" s="1"/>
  <c r="CU748" i="5"/>
  <c r="BH748" i="5"/>
  <c r="BI748" i="5" s="1"/>
  <c r="BJ748" i="5" s="1"/>
  <c r="L748" i="5"/>
  <c r="CS748" i="5"/>
  <c r="AS748" i="5"/>
  <c r="AV748" i="5" s="1"/>
  <c r="CW748" i="5"/>
  <c r="CY748" i="5"/>
  <c r="CI748" i="5"/>
  <c r="BK748" i="5"/>
  <c r="BL748" i="5" s="1"/>
  <c r="BM748" i="5" s="1"/>
  <c r="CX748" i="5"/>
  <c r="D748" i="5"/>
  <c r="AX748" i="5"/>
  <c r="AT748" i="5"/>
  <c r="BG747" i="5"/>
  <c r="CL748" i="5"/>
  <c r="CM748" i="5" s="1"/>
  <c r="DB748" i="5"/>
  <c r="AT747" i="5"/>
  <c r="AH747" i="5"/>
  <c r="T748" i="5" l="1"/>
  <c r="U748" i="5" s="1"/>
  <c r="W748" i="5"/>
  <c r="G748" i="5"/>
  <c r="CT748" i="5"/>
  <c r="CV748" i="5"/>
  <c r="BX748" i="5"/>
  <c r="H747" i="5"/>
  <c r="I747" i="5"/>
  <c r="AE748" i="5"/>
  <c r="AD749" i="5" s="1"/>
  <c r="AF748" i="5"/>
  <c r="CH748" i="5"/>
  <c r="CK748" i="5"/>
  <c r="CJ748" i="5" s="1"/>
  <c r="K748" i="5" s="1"/>
  <c r="CP748" i="5"/>
  <c r="CQ748" i="5" s="1"/>
  <c r="R748" i="5" s="1"/>
  <c r="S748" i="5" s="1"/>
  <c r="BV748" i="5"/>
  <c r="BT748" i="5"/>
  <c r="AW748" i="5"/>
  <c r="AY748" i="5"/>
  <c r="AO747" i="5"/>
  <c r="AR747" i="5" s="1"/>
  <c r="AG747" i="5"/>
  <c r="BS753" i="5"/>
  <c r="M747" i="5" l="1"/>
  <c r="N747" i="5" s="1"/>
  <c r="P747" i="5"/>
  <c r="Q747" i="5" s="1"/>
  <c r="V747" i="5" s="1"/>
  <c r="BY748" i="5"/>
  <c r="J748" i="5" s="1"/>
  <c r="AN748" i="5" s="1"/>
  <c r="AP748" i="5" s="1"/>
  <c r="BW748" i="5"/>
  <c r="CN748" i="5"/>
  <c r="E748" i="5" s="1"/>
  <c r="CO748" i="5"/>
  <c r="F748" i="5" s="1"/>
  <c r="C749" i="5" s="1"/>
  <c r="DA749" i="5"/>
  <c r="AJ747" i="5"/>
  <c r="X747" i="5" s="1"/>
  <c r="AG748" i="5"/>
  <c r="AK749" i="5" l="1"/>
  <c r="AC749" i="5"/>
  <c r="BG748" i="5"/>
  <c r="CY749" i="5"/>
  <c r="CU749" i="5"/>
  <c r="CW749" i="5"/>
  <c r="CI749" i="5"/>
  <c r="CR749" i="5"/>
  <c r="CL749" i="5"/>
  <c r="CM749" i="5" s="1"/>
  <c r="D749" i="5"/>
  <c r="BK749" i="5"/>
  <c r="BL749" i="5" s="1"/>
  <c r="BM749" i="5" s="1"/>
  <c r="AB749" i="5"/>
  <c r="BN749" i="5" s="1"/>
  <c r="BO749" i="5" s="1"/>
  <c r="BP749" i="5" s="1"/>
  <c r="CX749" i="5"/>
  <c r="BH749" i="5"/>
  <c r="BI749" i="5" s="1"/>
  <c r="BJ749" i="5" s="1"/>
  <c r="CS749" i="5"/>
  <c r="Y747" i="5"/>
  <c r="Z747" i="5" s="1"/>
  <c r="AA747" i="5" s="1"/>
  <c r="DB749" i="5"/>
  <c r="BC748" i="5"/>
  <c r="AO748" i="5"/>
  <c r="AR748" i="5" s="1"/>
  <c r="BU749" i="5"/>
  <c r="AX749" i="5"/>
  <c r="AJ748" i="5"/>
  <c r="G749" i="5" l="1"/>
  <c r="AW749" i="5"/>
  <c r="AY749" i="5"/>
  <c r="BX749" i="5"/>
  <c r="CV749" i="5"/>
  <c r="CT749" i="5"/>
  <c r="I748" i="5"/>
  <c r="AH748" i="5" s="1"/>
  <c r="H748" i="5"/>
  <c r="BT749" i="5"/>
  <c r="BV749" i="5"/>
  <c r="BD748" i="5"/>
  <c r="BE749" i="5" s="1"/>
  <c r="CZ748" i="5"/>
  <c r="BF748" i="5"/>
  <c r="X748" i="5" s="1"/>
  <c r="W749" i="5"/>
  <c r="T749" i="5"/>
  <c r="U749" i="5" s="1"/>
  <c r="AE749" i="5"/>
  <c r="AD750" i="5" s="1"/>
  <c r="AF749" i="5"/>
  <c r="K749" i="5"/>
  <c r="L749" i="5"/>
  <c r="CP749" i="5"/>
  <c r="CQ749" i="5" s="1"/>
  <c r="R749" i="5" s="1"/>
  <c r="S749" i="5" s="1"/>
  <c r="AJ749" i="5" s="1"/>
  <c r="CK749" i="5"/>
  <c r="CJ749" i="5" s="1"/>
  <c r="CH749" i="5"/>
  <c r="AN749" i="5"/>
  <c r="AO749" i="5" s="1"/>
  <c r="AM749" i="5"/>
  <c r="AL750" i="5" s="1"/>
  <c r="CO749" i="5" l="1"/>
  <c r="F749" i="5" s="1"/>
  <c r="C750" i="5" s="1"/>
  <c r="CW750" i="5" s="1"/>
  <c r="CN749" i="5"/>
  <c r="E749" i="5" s="1"/>
  <c r="BC749" i="5" s="1"/>
  <c r="BW749" i="5"/>
  <c r="BY749" i="5"/>
  <c r="J749" i="5" s="1"/>
  <c r="P748" i="5"/>
  <c r="Q748" i="5" s="1"/>
  <c r="V748" i="5" s="1"/>
  <c r="Y748" i="5" s="1"/>
  <c r="Z748" i="5" s="1"/>
  <c r="AA748" i="5" s="1"/>
  <c r="M748" i="5"/>
  <c r="N748" i="5" s="1"/>
  <c r="AG749" i="5"/>
  <c r="AH749" i="5"/>
  <c r="BG749" i="5"/>
  <c r="CU750" i="5"/>
  <c r="BH750" i="5" l="1"/>
  <c r="BI750" i="5" s="1"/>
  <c r="BJ750" i="5" s="1"/>
  <c r="CL750" i="5"/>
  <c r="CM750" i="5" s="1"/>
  <c r="BK750" i="5"/>
  <c r="BL750" i="5" s="1"/>
  <c r="BM750" i="5" s="1"/>
  <c r="CZ749" i="5"/>
  <c r="BD749" i="5"/>
  <c r="BE750" i="5" s="1"/>
  <c r="BF749" i="5"/>
  <c r="BU750" i="5"/>
  <c r="BV750" i="5" s="1"/>
  <c r="AB750" i="5"/>
  <c r="BN750" i="5" s="1"/>
  <c r="BO750" i="5" s="1"/>
  <c r="BP750" i="5" s="1"/>
  <c r="G750" i="5" s="1"/>
  <c r="D750" i="5"/>
  <c r="CY750" i="5"/>
  <c r="AC750" i="5"/>
  <c r="CR750" i="5"/>
  <c r="CS750" i="5"/>
  <c r="AX750" i="5"/>
  <c r="AW750" i="5" s="1"/>
  <c r="CX750" i="5"/>
  <c r="AK750" i="5"/>
  <c r="AM750" i="5" s="1"/>
  <c r="AL751" i="5" s="1"/>
  <c r="CI750" i="5"/>
  <c r="H749" i="5"/>
  <c r="I749" i="5"/>
  <c r="W750" i="5"/>
  <c r="T750" i="5"/>
  <c r="U750" i="5" s="1"/>
  <c r="CH750" i="5"/>
  <c r="CK750" i="5"/>
  <c r="CJ750" i="5" s="1"/>
  <c r="AF750" i="5"/>
  <c r="AE750" i="5"/>
  <c r="AD751" i="5" s="1"/>
  <c r="DA750" i="5"/>
  <c r="DB750" i="5" s="1"/>
  <c r="CT750" i="5"/>
  <c r="CV750" i="5"/>
  <c r="BX750" i="5"/>
  <c r="L750" i="5" l="1"/>
  <c r="BT750" i="5"/>
  <c r="CP750" i="5"/>
  <c r="CQ750" i="5" s="1"/>
  <c r="R750" i="5" s="1"/>
  <c r="S750" i="5" s="1"/>
  <c r="AP749" i="5"/>
  <c r="AR749" i="5" s="1"/>
  <c r="AT749" i="5"/>
  <c r="K750" i="5"/>
  <c r="BY750" i="5"/>
  <c r="J750" i="5" s="1"/>
  <c r="AN750" i="5" s="1"/>
  <c r="BW750" i="5"/>
  <c r="CO750" i="5"/>
  <c r="F750" i="5" s="1"/>
  <c r="C751" i="5" s="1"/>
  <c r="CI751" i="5" s="1"/>
  <c r="CN750" i="5"/>
  <c r="E750" i="5" s="1"/>
  <c r="P749" i="5"/>
  <c r="Q749" i="5" s="1"/>
  <c r="V749" i="5" s="1"/>
  <c r="M749" i="5"/>
  <c r="N749" i="5" l="1"/>
  <c r="AS749" i="5"/>
  <c r="AV749" i="5" s="1"/>
  <c r="X749" i="5" s="1"/>
  <c r="Y749" i="5" s="1"/>
  <c r="Z749" i="5" s="1"/>
  <c r="AA749" i="5" s="1"/>
  <c r="BC750" i="5"/>
  <c r="CZ750" i="5" s="1"/>
  <c r="CH751" i="5"/>
  <c r="CK751" i="5"/>
  <c r="CJ751" i="5" s="1"/>
  <c r="BU751" i="5"/>
  <c r="BK751" i="5"/>
  <c r="BL751" i="5" s="1"/>
  <c r="BM751" i="5" s="1"/>
  <c r="D751" i="5"/>
  <c r="AK751" i="5"/>
  <c r="CW751" i="5"/>
  <c r="CX751" i="5"/>
  <c r="BH751" i="5"/>
  <c r="BI751" i="5" s="1"/>
  <c r="BJ751" i="5" s="1"/>
  <c r="CL751" i="5"/>
  <c r="CM751" i="5" s="1"/>
  <c r="AB751" i="5"/>
  <c r="CP751" i="5" s="1"/>
  <c r="CQ751" i="5" s="1"/>
  <c r="R751" i="5" s="1"/>
  <c r="S751" i="5" s="1"/>
  <c r="CS751" i="5"/>
  <c r="AC751" i="5"/>
  <c r="AE751" i="5" s="1"/>
  <c r="AD752" i="5" s="1"/>
  <c r="CY751" i="5"/>
  <c r="CR751" i="5"/>
  <c r="BG750" i="5"/>
  <c r="AX751" i="5"/>
  <c r="AW751" i="5" s="1"/>
  <c r="CU751" i="5"/>
  <c r="DA751" i="5" l="1"/>
  <c r="DB751" i="5" s="1"/>
  <c r="BF750" i="5"/>
  <c r="BD750" i="5"/>
  <c r="BE751" i="5" s="1"/>
  <c r="T751" i="5"/>
  <c r="U751" i="5" s="1"/>
  <c r="W751" i="5"/>
  <c r="K751" i="5"/>
  <c r="BN751" i="5"/>
  <c r="BO751" i="5" s="1"/>
  <c r="BP751" i="5" s="1"/>
  <c r="G751" i="5" s="1"/>
  <c r="L751" i="5"/>
  <c r="BT751" i="5"/>
  <c r="BV751" i="5"/>
  <c r="I750" i="5"/>
  <c r="H750" i="5"/>
  <c r="BX751" i="5"/>
  <c r="CV751" i="5"/>
  <c r="CT751" i="5"/>
  <c r="AM751" i="5"/>
  <c r="AL752" i="5" s="1"/>
  <c r="AY751" i="5"/>
  <c r="AH750" i="5" l="1"/>
  <c r="AT750" i="5"/>
  <c r="AP750" i="5"/>
  <c r="CO751" i="5"/>
  <c r="F751" i="5" s="1"/>
  <c r="CN751" i="5"/>
  <c r="E751" i="5" s="1"/>
  <c r="BC751" i="5" s="1"/>
  <c r="BW751" i="5"/>
  <c r="BY751" i="5"/>
  <c r="J751" i="5" s="1"/>
  <c r="AF751" i="5" s="1"/>
  <c r="M750" i="5"/>
  <c r="P750" i="5"/>
  <c r="AN751" i="5" l="1"/>
  <c r="AS750" i="5"/>
  <c r="AV750" i="5" s="1"/>
  <c r="AO750" i="5"/>
  <c r="Q750" i="5"/>
  <c r="V750" i="5" s="1"/>
  <c r="AY750" i="5"/>
  <c r="AH751" i="5"/>
  <c r="AG750" i="5"/>
  <c r="AJ750" i="5" s="1"/>
  <c r="N750" i="5"/>
  <c r="BF751" i="5"/>
  <c r="CZ751" i="5"/>
  <c r="BD751" i="5"/>
  <c r="BE752" i="5" s="1"/>
  <c r="C752" i="5"/>
  <c r="AR750" i="5" l="1"/>
  <c r="X750" i="5" s="1"/>
  <c r="Y750" i="5" s="1"/>
  <c r="Z750" i="5" s="1"/>
  <c r="AA750" i="5" s="1"/>
  <c r="AG751" i="5"/>
  <c r="AJ751" i="5" s="1"/>
  <c r="CI752" i="5"/>
  <c r="CL752" i="5"/>
  <c r="CM752" i="5" s="1"/>
  <c r="CS752" i="5"/>
  <c r="AB752" i="5"/>
  <c r="CP752" i="5" s="1"/>
  <c r="CQ752" i="5" s="1"/>
  <c r="R752" i="5" s="1"/>
  <c r="S752" i="5" s="1"/>
  <c r="AC752" i="5"/>
  <c r="AK752" i="5"/>
  <c r="BH752" i="5"/>
  <c r="BI752" i="5" s="1"/>
  <c r="BJ752" i="5" s="1"/>
  <c r="CX752" i="5"/>
  <c r="CR752" i="5"/>
  <c r="D752" i="5"/>
  <c r="BK752" i="5"/>
  <c r="BL752" i="5" s="1"/>
  <c r="BM752" i="5" s="1"/>
  <c r="CW752" i="5"/>
  <c r="CY752" i="5"/>
  <c r="BG751" i="5"/>
  <c r="AX752" i="5"/>
  <c r="AW752" i="5" s="1"/>
  <c r="BU752" i="5"/>
  <c r="CU752" i="5"/>
  <c r="DA752" i="5" l="1"/>
  <c r="DB752" i="5" s="1"/>
  <c r="L752" i="5"/>
  <c r="CT752" i="5"/>
  <c r="CV752" i="5"/>
  <c r="BX752" i="5"/>
  <c r="BT752" i="5"/>
  <c r="BV752" i="5"/>
  <c r="AE752" i="5"/>
  <c r="K752" i="5"/>
  <c r="H751" i="5"/>
  <c r="I751" i="5"/>
  <c r="AM752" i="5"/>
  <c r="AL753" i="5" s="1"/>
  <c r="CH752" i="5"/>
  <c r="CK752" i="5"/>
  <c r="CJ752" i="5" s="1"/>
  <c r="T752" i="5"/>
  <c r="U752" i="5" s="1"/>
  <c r="W752" i="5"/>
  <c r="BN752" i="5"/>
  <c r="BO752" i="5" s="1"/>
  <c r="BP752" i="5" s="1"/>
  <c r="G752" i="5" s="1"/>
  <c r="AP751" i="5" l="1"/>
  <c r="AT751" i="5"/>
  <c r="BY752" i="5"/>
  <c r="J752" i="5" s="1"/>
  <c r="AN752" i="5" s="1"/>
  <c r="BW752" i="5"/>
  <c r="P751" i="5"/>
  <c r="Q751" i="5" s="1"/>
  <c r="V751" i="5" s="1"/>
  <c r="M751" i="5"/>
  <c r="AO751" i="5" s="1"/>
  <c r="AR751" i="5" s="1"/>
  <c r="CN752" i="5"/>
  <c r="E752" i="5" s="1"/>
  <c r="BC752" i="5" s="1"/>
  <c r="CO752" i="5"/>
  <c r="F752" i="5" s="1"/>
  <c r="AF752" i="5" l="1"/>
  <c r="BF752" i="5"/>
  <c r="CZ752" i="5"/>
  <c r="BD752" i="5"/>
  <c r="BE753" i="5" s="1"/>
  <c r="C753" i="5"/>
  <c r="AS751" i="5"/>
  <c r="AV751" i="5" s="1"/>
  <c r="X751" i="5" s="1"/>
  <c r="Y751" i="5" s="1"/>
  <c r="Z751" i="5" s="1"/>
  <c r="AA751" i="5" s="1"/>
  <c r="N751" i="5"/>
  <c r="CL753" i="5" l="1"/>
  <c r="CM753" i="5" s="1"/>
  <c r="BK753" i="5"/>
  <c r="BL753" i="5" s="1"/>
  <c r="BM753" i="5" s="1"/>
  <c r="CS753" i="5"/>
  <c r="CY753" i="5"/>
  <c r="BH753" i="5"/>
  <c r="BI753" i="5" s="1"/>
  <c r="BJ753" i="5" s="1"/>
  <c r="CR753" i="5"/>
  <c r="CX753" i="5"/>
  <c r="AC753" i="5"/>
  <c r="D753" i="5"/>
  <c r="AK753" i="5"/>
  <c r="CW753" i="5"/>
  <c r="AB753" i="5"/>
  <c r="DA753" i="5" s="1"/>
  <c r="DB753" i="5" s="1"/>
  <c r="BN753" i="5"/>
  <c r="BO753" i="5" s="1"/>
  <c r="BP753" i="5" s="1"/>
  <c r="G753" i="5" s="1"/>
  <c r="BG752" i="5"/>
  <c r="AX753" i="5"/>
  <c r="AS753" i="5"/>
  <c r="AV753" i="5" s="1"/>
  <c r="CI753" i="5"/>
  <c r="BU753" i="5"/>
  <c r="CU753" i="5"/>
  <c r="CP753" i="5" l="1"/>
  <c r="CQ753" i="5" s="1"/>
  <c r="R753" i="5" s="1"/>
  <c r="S753" i="5" s="1"/>
  <c r="L753" i="5"/>
  <c r="BG753" i="5"/>
  <c r="I753" i="5" s="1"/>
  <c r="AT753" i="5" s="1"/>
  <c r="CT753" i="5"/>
  <c r="CV753" i="5"/>
  <c r="BX753" i="5"/>
  <c r="AD753" i="5"/>
  <c r="AE753" i="5" s="1"/>
  <c r="CH753" i="5"/>
  <c r="CK753" i="5"/>
  <c r="CJ753" i="5" s="1"/>
  <c r="K753" i="5" s="1"/>
  <c r="AW753" i="5"/>
  <c r="AY753" i="5"/>
  <c r="H752" i="5"/>
  <c r="I752" i="5"/>
  <c r="AH752" i="5" s="1"/>
  <c r="BT753" i="5"/>
  <c r="BV753" i="5"/>
  <c r="AM753" i="5"/>
  <c r="AN753" i="5"/>
  <c r="W753" i="5"/>
  <c r="T753" i="5"/>
  <c r="U753" i="5" s="1"/>
  <c r="H753" i="5"/>
  <c r="AT752" i="5" l="1"/>
  <c r="AP752" i="5"/>
  <c r="M753" i="5"/>
  <c r="N753" i="5" s="1"/>
  <c r="P753" i="5"/>
  <c r="Q753" i="5" s="1"/>
  <c r="V753" i="5" s="1"/>
  <c r="BY753" i="5"/>
  <c r="J753" i="5" s="1"/>
  <c r="AF753" i="5" s="1"/>
  <c r="AH753" i="5" s="1"/>
  <c r="BW753" i="5"/>
  <c r="CN753" i="5"/>
  <c r="E753" i="5" s="1"/>
  <c r="CO753" i="5"/>
  <c r="F753" i="5" s="1"/>
  <c r="AP753" i="5"/>
  <c r="M752" i="5"/>
  <c r="AG752" i="5" s="1"/>
  <c r="AJ752" i="5" s="1"/>
  <c r="P752" i="5"/>
  <c r="Q752" i="5" l="1"/>
  <c r="V752" i="5" s="1"/>
  <c r="AY752" i="5"/>
  <c r="AG753" i="5"/>
  <c r="AJ753" i="5" s="1"/>
  <c r="N752" i="5"/>
  <c r="AS752" i="5"/>
  <c r="AV752" i="5" s="1"/>
  <c r="AO752" i="5"/>
  <c r="BC753" i="5"/>
  <c r="BF753" i="5" l="1"/>
  <c r="BD753" i="5"/>
  <c r="CZ753" i="5"/>
  <c r="AR752" i="5"/>
  <c r="X752" i="5" s="1"/>
  <c r="Y752" i="5" s="1"/>
  <c r="Z752" i="5" s="1"/>
  <c r="AA752" i="5" s="1"/>
  <c r="AO753" i="5"/>
  <c r="AR753" i="5" s="1"/>
  <c r="X753" i="5" l="1"/>
  <c r="Y753" i="5" s="1"/>
  <c r="Z753" i="5"/>
  <c r="AA753" i="5" s="1"/>
</calcChain>
</file>

<file path=xl/sharedStrings.xml><?xml version="1.0" encoding="utf-8"?>
<sst xmlns="http://schemas.openxmlformats.org/spreadsheetml/2006/main" count="1596" uniqueCount="552">
  <si>
    <t>元气</t>
    <phoneticPr fontId="1" type="noConversion"/>
  </si>
  <si>
    <t>基础攻击</t>
    <phoneticPr fontId="1" type="noConversion"/>
  </si>
  <si>
    <t>会心</t>
    <phoneticPr fontId="1" type="noConversion"/>
  </si>
  <si>
    <t>会心效果</t>
    <phoneticPr fontId="1" type="noConversion"/>
  </si>
  <si>
    <t>破防</t>
    <phoneticPr fontId="1" type="noConversion"/>
  </si>
  <si>
    <t>命中</t>
    <phoneticPr fontId="1" type="noConversion"/>
  </si>
  <si>
    <t>无双</t>
    <phoneticPr fontId="1" type="noConversion"/>
  </si>
  <si>
    <t>武器伤害</t>
    <phoneticPr fontId="1" type="noConversion"/>
  </si>
  <si>
    <t>外功基础攻击</t>
    <phoneticPr fontId="1" type="noConversion"/>
  </si>
  <si>
    <t>外功会心</t>
    <phoneticPr fontId="1" type="noConversion"/>
  </si>
  <si>
    <t>外功会心效果</t>
    <phoneticPr fontId="1" type="noConversion"/>
  </si>
  <si>
    <t>外功破防</t>
    <phoneticPr fontId="1" type="noConversion"/>
  </si>
  <si>
    <t>外功命中</t>
    <phoneticPr fontId="1" type="noConversion"/>
  </si>
  <si>
    <t>加速</t>
    <phoneticPr fontId="1" type="noConversion"/>
  </si>
  <si>
    <t>循环</t>
    <phoneticPr fontId="1" type="noConversion"/>
  </si>
  <si>
    <t>攻击</t>
    <phoneticPr fontId="1" type="noConversion"/>
  </si>
  <si>
    <t>配装属性</t>
    <phoneticPr fontId="1" type="noConversion"/>
  </si>
  <si>
    <t>实战属性</t>
    <phoneticPr fontId="1" type="noConversion"/>
  </si>
  <si>
    <t>面板攻击</t>
    <phoneticPr fontId="1" type="noConversion"/>
  </si>
  <si>
    <t>奇穴</t>
    <phoneticPr fontId="1" type="noConversion"/>
  </si>
  <si>
    <t>个人增益</t>
    <phoneticPr fontId="1" type="noConversion"/>
  </si>
  <si>
    <t>类型</t>
    <phoneticPr fontId="1" type="noConversion"/>
  </si>
  <si>
    <t>团队增益</t>
    <phoneticPr fontId="1" type="noConversion"/>
  </si>
  <si>
    <t>无视防御</t>
    <phoneticPr fontId="1" type="noConversion"/>
  </si>
  <si>
    <t>目标类型</t>
    <phoneticPr fontId="1" type="noConversion"/>
  </si>
  <si>
    <t>需求命中</t>
    <phoneticPr fontId="1" type="noConversion"/>
  </si>
  <si>
    <t>需求无双</t>
    <phoneticPr fontId="1" type="noConversion"/>
  </si>
  <si>
    <t>目标内防</t>
    <phoneticPr fontId="1" type="noConversion"/>
  </si>
  <si>
    <t>目标外防</t>
    <phoneticPr fontId="1" type="noConversion"/>
  </si>
  <si>
    <t>目标等级</t>
    <phoneticPr fontId="1" type="noConversion"/>
  </si>
  <si>
    <t>按键延迟</t>
    <phoneticPr fontId="1" type="noConversion"/>
  </si>
  <si>
    <t>网络延迟</t>
    <phoneticPr fontId="1" type="noConversion"/>
  </si>
  <si>
    <t>技能</t>
    <phoneticPr fontId="1" type="noConversion"/>
  </si>
  <si>
    <t>烈日斩</t>
  </si>
  <si>
    <t>烈日斩</t>
    <phoneticPr fontId="1" type="noConversion"/>
  </si>
  <si>
    <t>银月斩</t>
  </si>
  <si>
    <t>银月斩</t>
    <phoneticPr fontId="1" type="noConversion"/>
  </si>
  <si>
    <t>洞若观火</t>
    <phoneticPr fontId="1" type="noConversion"/>
  </si>
  <si>
    <t>DPS计算结果</t>
    <phoneticPr fontId="1" type="noConversion"/>
  </si>
  <si>
    <t>无明业火</t>
    <phoneticPr fontId="1" type="noConversion"/>
  </si>
  <si>
    <t>明光恒照</t>
    <phoneticPr fontId="1" type="noConversion"/>
  </si>
  <si>
    <t>天地诛戮</t>
    <phoneticPr fontId="1" type="noConversion"/>
  </si>
  <si>
    <t>赤日轮</t>
    <phoneticPr fontId="1" type="noConversion"/>
  </si>
  <si>
    <t>幽月轮</t>
    <phoneticPr fontId="1" type="noConversion"/>
  </si>
  <si>
    <t>驱夜断愁</t>
  </si>
  <si>
    <t>驱夜断愁</t>
    <phoneticPr fontId="1" type="noConversion"/>
  </si>
  <si>
    <t>破魔击·日</t>
    <phoneticPr fontId="1" type="noConversion"/>
  </si>
  <si>
    <t>破魔击·月</t>
    <phoneticPr fontId="1" type="noConversion"/>
  </si>
  <si>
    <t>背刺覆盖率</t>
    <phoneticPr fontId="1" type="noConversion"/>
  </si>
  <si>
    <t>伤害</t>
    <phoneticPr fontId="1" type="noConversion"/>
  </si>
  <si>
    <t>效果</t>
    <phoneticPr fontId="1" type="noConversion"/>
  </si>
  <si>
    <t>破魔击</t>
    <phoneticPr fontId="1" type="noConversion"/>
  </si>
  <si>
    <t>秘籍(单位:本)</t>
    <phoneticPr fontId="1" type="noConversion"/>
  </si>
  <si>
    <t>偏离率</t>
    <phoneticPr fontId="1" type="noConversion"/>
  </si>
  <si>
    <t>识破率</t>
    <phoneticPr fontId="1" type="noConversion"/>
  </si>
  <si>
    <t>实战外防</t>
    <phoneticPr fontId="1" type="noConversion"/>
  </si>
  <si>
    <t>外功偏离率</t>
    <phoneticPr fontId="1" type="noConversion"/>
  </si>
  <si>
    <t>阳性易伤</t>
    <phoneticPr fontId="1" type="noConversion"/>
  </si>
  <si>
    <t>阴性易伤</t>
    <phoneticPr fontId="1" type="noConversion"/>
  </si>
  <si>
    <t>外功易伤</t>
    <phoneticPr fontId="1" type="noConversion"/>
  </si>
  <si>
    <t>单点属性</t>
    <phoneticPr fontId="1" type="noConversion"/>
  </si>
  <si>
    <t>DPS提升</t>
    <phoneticPr fontId="1" type="noConversion"/>
  </si>
  <si>
    <t>辅助小药</t>
    <phoneticPr fontId="1" type="noConversion"/>
  </si>
  <si>
    <t>增强小药</t>
    <phoneticPr fontId="1" type="noConversion"/>
  </si>
  <si>
    <t>辅助小吃</t>
    <phoneticPr fontId="1" type="noConversion"/>
  </si>
  <si>
    <t>增强小吃</t>
    <phoneticPr fontId="1" type="noConversion"/>
  </si>
  <si>
    <t>磨石</t>
    <phoneticPr fontId="1" type="noConversion"/>
  </si>
  <si>
    <t>宴席</t>
    <phoneticPr fontId="1" type="noConversion"/>
  </si>
  <si>
    <t>水煮鱼</t>
    <phoneticPr fontId="1" type="noConversion"/>
  </si>
  <si>
    <t>特效武器</t>
    <phoneticPr fontId="1" type="noConversion"/>
  </si>
  <si>
    <t>特效腰坠</t>
    <phoneticPr fontId="1" type="noConversion"/>
  </si>
  <si>
    <t>共战江湖</t>
    <phoneticPr fontId="1" type="noConversion"/>
  </si>
  <si>
    <t>春节大阵</t>
    <phoneticPr fontId="1" type="noConversion"/>
  </si>
  <si>
    <t>阵法</t>
    <phoneticPr fontId="1" type="noConversion"/>
  </si>
  <si>
    <t>袖气</t>
    <phoneticPr fontId="1" type="noConversion"/>
  </si>
  <si>
    <t>破苍穹</t>
    <phoneticPr fontId="1" type="noConversion"/>
  </si>
  <si>
    <t>金刚怒目</t>
    <phoneticPr fontId="1" type="noConversion"/>
  </si>
  <si>
    <t>清娟</t>
    <phoneticPr fontId="1" type="noConversion"/>
  </si>
  <si>
    <t>尾后针</t>
    <phoneticPr fontId="1" type="noConversion"/>
  </si>
  <si>
    <t>分澜</t>
    <phoneticPr fontId="1" type="noConversion"/>
  </si>
  <si>
    <t>寒啸千军</t>
    <phoneticPr fontId="1" type="noConversion"/>
  </si>
  <si>
    <t>舍身弘法</t>
    <phoneticPr fontId="1" type="noConversion"/>
  </si>
  <si>
    <t>曼舞</t>
    <phoneticPr fontId="1" type="noConversion"/>
  </si>
  <si>
    <t>破风</t>
    <phoneticPr fontId="1" type="noConversion"/>
  </si>
  <si>
    <t>立地成佛</t>
    <phoneticPr fontId="1" type="noConversion"/>
  </si>
  <si>
    <t>庄周梦</t>
    <phoneticPr fontId="1" type="noConversion"/>
  </si>
  <si>
    <t>团队易伤</t>
    <phoneticPr fontId="1" type="noConversion"/>
  </si>
  <si>
    <t>普渡四方</t>
    <phoneticPr fontId="1" type="noConversion"/>
  </si>
  <si>
    <t>戒火斩</t>
    <phoneticPr fontId="1" type="noConversion"/>
  </si>
  <si>
    <t>技能名称</t>
  </si>
  <si>
    <t>Min</t>
  </si>
  <si>
    <t>基伤平均</t>
  </si>
  <si>
    <t>Max</t>
  </si>
  <si>
    <t>伤害系数</t>
  </si>
  <si>
    <t>武伤</t>
  </si>
  <si>
    <t>预外</t>
  </si>
  <si>
    <t>备注</t>
  </si>
  <si>
    <t>赤日轮第一段</t>
  </si>
  <si>
    <t>赤日轮第二段</t>
  </si>
  <si>
    <t>赤日轮第三段</t>
  </si>
  <si>
    <t>幽月轮第一段</t>
  </si>
  <si>
    <t>幽月轮第二段</t>
  </si>
  <si>
    <t>会心+5%</t>
  </si>
  <si>
    <t>幽月轮第三段</t>
  </si>
  <si>
    <t>会心+10%</t>
  </si>
  <si>
    <t>银月斩（DOT）</t>
  </si>
  <si>
    <t>2s一跳，共6跳，实测数据</t>
  </si>
  <si>
    <t>日破</t>
  </si>
  <si>
    <t>灼烧（日破DOT）</t>
  </si>
  <si>
    <t>2s一跳，共5跳，实测数据</t>
  </si>
  <si>
    <t>月破（每段）</t>
  </si>
  <si>
    <t>驱夷月破（每段）</t>
  </si>
  <si>
    <t>同辉驱夷月破（每段）</t>
  </si>
  <si>
    <t>洞若观火（日）</t>
  </si>
  <si>
    <t>洞若观火（月）</t>
  </si>
  <si>
    <t>实测数据</t>
  </si>
  <si>
    <t>背后加成30%</t>
  </si>
  <si>
    <t>日盈</t>
  </si>
  <si>
    <t>共4跳</t>
  </si>
  <si>
    <t>大漠刀法</t>
  </si>
  <si>
    <t>外功会心会效命中</t>
  </si>
  <si>
    <t>实测系数，结果*2</t>
  </si>
  <si>
    <t>实测系数，结果*3</t>
  </si>
  <si>
    <t>实测系数，结果*4</t>
  </si>
  <si>
    <t>实测系数，结果*5</t>
  </si>
  <si>
    <t>实测系数，结果*6</t>
  </si>
  <si>
    <t>实测系数，结果*7</t>
  </si>
  <si>
    <t>实测系数，结果*8</t>
  </si>
  <si>
    <t>备注：</t>
  </si>
  <si>
    <t>1、“特殊伤害”为叠乘，和秘籍奇穴伤害不相加</t>
  </si>
  <si>
    <t>2、装备部分的加成（如套装属性的破魔加成、大小cw的特效加成）计入奇穴</t>
  </si>
  <si>
    <t>月斩dot吃奇穴</t>
  </si>
  <si>
    <t>奇穴伤害为常驻</t>
  </si>
  <si>
    <t>武器伤害的最大最小值是平均值差25%</t>
  </si>
  <si>
    <t>特殊伤害*（基础伤害+面板攻击*系数）*（1+破防）*（1+秘籍伤害+奇穴伤害）*（1-目标内防）*【（会心率+特殊会心+秘籍会心+奇穴会心）*（会心效果+奇穴会效）+（1-会心率-特殊会心-秘籍会心-奇穴会心-识破率-偏离率）+识破率*0.25】*内功易伤总和</t>
  </si>
  <si>
    <t>特殊伤害*武器伤害*武器伤害系数*（1+外功破防）*（1-对方外防）*【会心率*会心效果+（1-会心率-识破率-偏离率）+识破率*0.25】*外功易伤总和</t>
  </si>
  <si>
    <t>易伤和易伤加法 和其他乘法</t>
  </si>
  <si>
    <t>武器伤害吃加成</t>
  </si>
  <si>
    <t>会心加成</t>
    <phoneticPr fontId="1" type="noConversion"/>
  </si>
  <si>
    <t>特殊伤害</t>
    <phoneticPr fontId="1" type="noConversion"/>
  </si>
  <si>
    <t>伤害加成</t>
    <phoneticPr fontId="1" type="noConversion"/>
  </si>
  <si>
    <t>会效加成</t>
    <phoneticPr fontId="1" type="noConversion"/>
  </si>
  <si>
    <t>属性</t>
    <phoneticPr fontId="1" type="noConversion"/>
  </si>
  <si>
    <t>阳</t>
    <phoneticPr fontId="1" type="noConversion"/>
  </si>
  <si>
    <t>阴</t>
  </si>
  <si>
    <t>阴</t>
    <phoneticPr fontId="1" type="noConversion"/>
  </si>
  <si>
    <t>外</t>
    <phoneticPr fontId="1" type="noConversion"/>
  </si>
  <si>
    <t>分析模式</t>
    <phoneticPr fontId="1" type="noConversion"/>
  </si>
  <si>
    <t>模拟模式</t>
    <phoneticPr fontId="1" type="noConversion"/>
  </si>
  <si>
    <t>战斗时间</t>
    <phoneticPr fontId="1" type="noConversion"/>
  </si>
  <si>
    <t>释放技能</t>
    <phoneticPr fontId="1" type="noConversion"/>
  </si>
  <si>
    <t>日灵</t>
    <phoneticPr fontId="1" type="noConversion"/>
  </si>
  <si>
    <t>月魂</t>
    <phoneticPr fontId="1" type="noConversion"/>
  </si>
  <si>
    <t>日斩CD</t>
    <phoneticPr fontId="1" type="noConversion"/>
  </si>
  <si>
    <t>月斩CD</t>
    <phoneticPr fontId="1" type="noConversion"/>
  </si>
  <si>
    <t>驱夜CD</t>
    <phoneticPr fontId="1" type="noConversion"/>
  </si>
  <si>
    <t>会心</t>
    <phoneticPr fontId="1" type="noConversion"/>
  </si>
  <si>
    <t>会效</t>
    <phoneticPr fontId="1" type="noConversion"/>
  </si>
  <si>
    <t>破防</t>
    <phoneticPr fontId="1" type="noConversion"/>
  </si>
  <si>
    <t>命中</t>
    <phoneticPr fontId="1" type="noConversion"/>
  </si>
  <si>
    <t>灵魂</t>
    <phoneticPr fontId="1" type="noConversion"/>
  </si>
  <si>
    <t>属性</t>
    <phoneticPr fontId="1" type="noConversion"/>
  </si>
  <si>
    <t>技能类型</t>
    <phoneticPr fontId="1" type="noConversion"/>
  </si>
  <si>
    <t>技能类型概率</t>
    <phoneticPr fontId="1" type="noConversion"/>
  </si>
  <si>
    <t>是否绕背</t>
    <phoneticPr fontId="1" type="noConversion"/>
  </si>
  <si>
    <t>技能内伤</t>
    <phoneticPr fontId="1" type="noConversion"/>
  </si>
  <si>
    <t>28GCD驱夷</t>
  </si>
  <si>
    <t>腾焰飞芒</t>
  </si>
  <si>
    <t>净身明礼</t>
  </si>
  <si>
    <t>洞若观火</t>
  </si>
  <si>
    <t>无明业火</t>
  </si>
  <si>
    <t>明光恒照</t>
  </si>
  <si>
    <t>辉耀红尘</t>
  </si>
  <si>
    <t>万念俱寂</t>
  </si>
  <si>
    <t>用晦而明</t>
  </si>
  <si>
    <t>日月同辉</t>
  </si>
  <si>
    <t>天地诛戮</t>
  </si>
  <si>
    <t>寂灭劫灰</t>
  </si>
  <si>
    <t>驱夷逐法</t>
  </si>
  <si>
    <t>无</t>
  </si>
  <si>
    <t>百分比</t>
    <phoneticPr fontId="1" type="noConversion"/>
  </si>
  <si>
    <t>数值</t>
    <phoneticPr fontId="1" type="noConversion"/>
  </si>
  <si>
    <t>调试</t>
    <phoneticPr fontId="1" type="noConversion"/>
  </si>
  <si>
    <t>蒸鱼菜盘</t>
    <phoneticPr fontId="1" type="noConversion"/>
  </si>
  <si>
    <t>气纯阵</t>
    <phoneticPr fontId="1" type="noConversion"/>
  </si>
  <si>
    <t>花间阵</t>
    <phoneticPr fontId="1" type="noConversion"/>
  </si>
  <si>
    <t>和尚阵</t>
    <phoneticPr fontId="1" type="noConversion"/>
  </si>
  <si>
    <t>冰心阵</t>
    <phoneticPr fontId="1" type="noConversion"/>
  </si>
  <si>
    <t>毒经阵</t>
    <phoneticPr fontId="1" type="noConversion"/>
  </si>
  <si>
    <t>田螺阵</t>
    <phoneticPr fontId="1" type="noConversion"/>
  </si>
  <si>
    <t>明教阵</t>
    <phoneticPr fontId="1" type="noConversion"/>
  </si>
  <si>
    <t>明教阵（自己）</t>
    <phoneticPr fontId="1" type="noConversion"/>
  </si>
  <si>
    <t>莫问阵</t>
    <phoneticPr fontId="1" type="noConversion"/>
  </si>
  <si>
    <t>霸刀阵</t>
    <phoneticPr fontId="1" type="noConversion"/>
  </si>
  <si>
    <t>会效</t>
    <phoneticPr fontId="1" type="noConversion"/>
  </si>
  <si>
    <t>元气-攻击</t>
    <phoneticPr fontId="1" type="noConversion"/>
  </si>
  <si>
    <t>元气-破防</t>
    <phoneticPr fontId="1" type="noConversion"/>
  </si>
  <si>
    <t>寒啸千军10人团</t>
    <phoneticPr fontId="1" type="noConversion"/>
  </si>
  <si>
    <t>寒啸千军25人团</t>
    <phoneticPr fontId="1" type="noConversion"/>
  </si>
  <si>
    <t>数量</t>
    <phoneticPr fontId="1" type="noConversion"/>
  </si>
  <si>
    <t>6层曼舞</t>
    <phoneticPr fontId="1" type="noConversion"/>
  </si>
  <si>
    <t>10层清娟</t>
    <phoneticPr fontId="1" type="noConversion"/>
  </si>
  <si>
    <t>心法元气-攻击</t>
    <phoneticPr fontId="1" type="noConversion"/>
  </si>
  <si>
    <t>心法元气-会心</t>
    <phoneticPr fontId="1" type="noConversion"/>
  </si>
  <si>
    <t>加成总计</t>
    <phoneticPr fontId="1" type="noConversion"/>
  </si>
  <si>
    <t>最终属性</t>
    <phoneticPr fontId="1" type="noConversion"/>
  </si>
  <si>
    <t>基础</t>
    <phoneticPr fontId="1" type="noConversion"/>
  </si>
  <si>
    <t>面板</t>
    <phoneticPr fontId="1" type="noConversion"/>
  </si>
  <si>
    <t>目标内防</t>
    <phoneticPr fontId="1" type="noConversion"/>
  </si>
  <si>
    <t>1、“特殊伤害”为叠乘，和伤害加成不相加</t>
    <phoneticPr fontId="1" type="noConversion"/>
  </si>
  <si>
    <t>2、装备部分的加成（如套装属性的破魔加成、大小cw的特效加成）计入加成</t>
    <phoneticPr fontId="1" type="noConversion"/>
  </si>
  <si>
    <t>易伤</t>
    <phoneticPr fontId="1" type="noConversion"/>
  </si>
  <si>
    <t>特殊伤害*（基础伤害+面板攻击*系数）*（1+破防）*（1+伤害加成）*（1-目标内防）*【（会心率+会心加成）*（会心效果+会效加成）+（1-会心率-会心加成-识破率-偏离率）+识破率*0.25】*内功易伤总和</t>
    <phoneticPr fontId="1" type="noConversion"/>
  </si>
  <si>
    <t>命中率</t>
    <phoneticPr fontId="1" type="noConversion"/>
  </si>
  <si>
    <t>偏离率</t>
    <phoneticPr fontId="1" type="noConversion"/>
  </si>
  <si>
    <t>无双率</t>
    <phoneticPr fontId="1" type="noConversion"/>
  </si>
  <si>
    <t>识破率</t>
    <phoneticPr fontId="1" type="noConversion"/>
  </si>
  <si>
    <t>内防数值</t>
    <phoneticPr fontId="1" type="noConversion"/>
  </si>
  <si>
    <t>28GCD驱夷循环</t>
    <phoneticPr fontId="1" type="noConversion"/>
  </si>
  <si>
    <t>技能</t>
    <phoneticPr fontId="1" type="noConversion"/>
  </si>
  <si>
    <t>预期伤害</t>
    <phoneticPr fontId="1" type="noConversion"/>
  </si>
  <si>
    <t>日斩</t>
    <phoneticPr fontId="1" type="noConversion"/>
  </si>
  <si>
    <t>驱夜</t>
    <phoneticPr fontId="1" type="noConversion"/>
  </si>
  <si>
    <t>月轮</t>
    <phoneticPr fontId="1" type="noConversion"/>
  </si>
  <si>
    <t>月斩</t>
    <phoneticPr fontId="1" type="noConversion"/>
  </si>
  <si>
    <t>驱夷月破</t>
    <phoneticPr fontId="1" type="noConversion"/>
  </si>
  <si>
    <t>驱夷日破</t>
    <phoneticPr fontId="1" type="noConversion"/>
  </si>
  <si>
    <t>日轮</t>
    <phoneticPr fontId="1" type="noConversion"/>
  </si>
  <si>
    <t>同辉驱夷月破</t>
    <phoneticPr fontId="1" type="noConversion"/>
  </si>
  <si>
    <t>同辉驱夷日破</t>
    <phoneticPr fontId="1" type="noConversion"/>
  </si>
  <si>
    <t>月破</t>
    <phoneticPr fontId="1" type="noConversion"/>
  </si>
  <si>
    <t>伏明众生</t>
    <phoneticPr fontId="1" type="noConversion"/>
  </si>
  <si>
    <t>灼烧DOT</t>
    <phoneticPr fontId="1" type="noConversion"/>
  </si>
  <si>
    <t>月斩DOT</t>
    <phoneticPr fontId="1" type="noConversion"/>
  </si>
  <si>
    <t>洞若观火（日）</t>
    <phoneticPr fontId="1" type="noConversion"/>
  </si>
  <si>
    <t>洞若观火（月）</t>
    <phoneticPr fontId="1" type="noConversion"/>
  </si>
  <si>
    <t>大漠刀法</t>
    <phoneticPr fontId="1" type="noConversion"/>
  </si>
  <si>
    <t>每跳伤害，共4跳</t>
    <phoneticPr fontId="1" type="noConversion"/>
  </si>
  <si>
    <t>总伤害</t>
    <phoneticPr fontId="1" type="noConversion"/>
  </si>
  <si>
    <t>循环时间</t>
    <phoneticPr fontId="1" type="noConversion"/>
  </si>
  <si>
    <t>会心+1</t>
    <phoneticPr fontId="1" type="noConversion"/>
  </si>
  <si>
    <t>元气+1</t>
    <phoneticPr fontId="1" type="noConversion"/>
  </si>
  <si>
    <t>攻击+1</t>
    <phoneticPr fontId="1" type="noConversion"/>
  </si>
  <si>
    <t>属性+1(元气除外)</t>
    <phoneticPr fontId="1" type="noConversion"/>
  </si>
  <si>
    <t>/</t>
    <phoneticPr fontId="1" type="noConversion"/>
  </si>
  <si>
    <t>以下为增益（加成）的具体数值或百分比，非记录性质，计入公式，修改会对计算结果产生影响。</t>
    <phoneticPr fontId="1" type="noConversion"/>
  </si>
  <si>
    <t>会效+1</t>
    <phoneticPr fontId="1" type="noConversion"/>
  </si>
  <si>
    <t>破防+1</t>
    <phoneticPr fontId="1" type="noConversion"/>
  </si>
  <si>
    <t>命中+1</t>
    <phoneticPr fontId="1" type="noConversion"/>
  </si>
  <si>
    <t>无双+1</t>
    <phoneticPr fontId="1" type="noConversion"/>
  </si>
  <si>
    <t>基伤</t>
    <phoneticPr fontId="1" type="noConversion"/>
  </si>
  <si>
    <t>2s一跳，共6跳，实测</t>
    <phoneticPr fontId="1" type="noConversion"/>
  </si>
  <si>
    <t>2s一跳，共5跳，实测</t>
    <phoneticPr fontId="1" type="noConversion"/>
  </si>
  <si>
    <t>三段伤害</t>
    <phoneticPr fontId="1" type="noConversion"/>
  </si>
  <si>
    <t>预期伤害</t>
    <phoneticPr fontId="1" type="noConversion"/>
  </si>
  <si>
    <t>预内</t>
    <phoneticPr fontId="1" type="noConversion"/>
  </si>
  <si>
    <t>同辉驱夷日破（期望）</t>
    <phoneticPr fontId="1" type="noConversion"/>
  </si>
  <si>
    <t>驱夷日破（期望）</t>
    <phoneticPr fontId="1" type="noConversion"/>
  </si>
  <si>
    <t>28GCD驱夷循环-元气+1</t>
    <phoneticPr fontId="1" type="noConversion"/>
  </si>
  <si>
    <t>28GCD驱夷循环-攻击+1</t>
    <phoneticPr fontId="1" type="noConversion"/>
  </si>
  <si>
    <t>28GCD驱夷循环-会心+1</t>
    <phoneticPr fontId="1" type="noConversion"/>
  </si>
  <si>
    <t>28GCD驱夷循环-会效+1</t>
    <phoneticPr fontId="1" type="noConversion"/>
  </si>
  <si>
    <t>28GCD驱夷循环-破防+1</t>
    <phoneticPr fontId="1" type="noConversion"/>
  </si>
  <si>
    <t>28GCD驱夷循环-命中+1</t>
    <phoneticPr fontId="1" type="noConversion"/>
  </si>
  <si>
    <t>28GCD驱夷循环-无双+1</t>
    <phoneticPr fontId="1" type="noConversion"/>
  </si>
  <si>
    <t>注意！本sheet系数已链接，请勿随意改动，否则将对计算结果产生影响。</t>
    <phoneticPr fontId="1" type="noConversion"/>
  </si>
  <si>
    <t>帮会食堂</t>
    <phoneticPr fontId="1" type="noConversion"/>
  </si>
  <si>
    <t>21GCD驱夷循环</t>
    <phoneticPr fontId="1" type="noConversion"/>
  </si>
  <si>
    <t>二段月轮</t>
    <phoneticPr fontId="1" type="noConversion"/>
  </si>
  <si>
    <t>三段月轮</t>
    <phoneticPr fontId="1" type="noConversion"/>
  </si>
  <si>
    <t>21GCD驱夷循环-元气+1</t>
    <phoneticPr fontId="1" type="noConversion"/>
  </si>
  <si>
    <t>21GCD驱夷循环-攻击+1</t>
    <phoneticPr fontId="1" type="noConversion"/>
  </si>
  <si>
    <t>21GCD驱夷循环-会心+1</t>
    <phoneticPr fontId="1" type="noConversion"/>
  </si>
  <si>
    <t>21GCD驱夷循环-会效+1</t>
    <phoneticPr fontId="1" type="noConversion"/>
  </si>
  <si>
    <t>21GCD驱夷循环-破防+1</t>
    <phoneticPr fontId="1" type="noConversion"/>
  </si>
  <si>
    <t>21GCD驱夷循环-命中+1</t>
    <phoneticPr fontId="1" type="noConversion"/>
  </si>
  <si>
    <t>21GCD驱夷循环-无双+1</t>
    <phoneticPr fontId="1" type="noConversion"/>
  </si>
  <si>
    <t>模拟时间</t>
    <phoneticPr fontId="1" type="noConversion"/>
  </si>
  <si>
    <t>实际GCD</t>
    <phoneticPr fontId="1" type="noConversion"/>
  </si>
  <si>
    <t>理论GCD</t>
    <phoneticPr fontId="1" type="noConversion"/>
  </si>
  <si>
    <t>灵魂层数</t>
    <phoneticPr fontId="1" type="noConversion"/>
  </si>
  <si>
    <t>同辉层数</t>
    <phoneticPr fontId="1" type="noConversion"/>
  </si>
  <si>
    <t>CD与循环</t>
    <phoneticPr fontId="1" type="noConversion"/>
  </si>
  <si>
    <t>驱夷逐法</t>
    <phoneticPr fontId="1" type="noConversion"/>
  </si>
  <si>
    <t>无明业火</t>
    <phoneticPr fontId="1" type="noConversion"/>
  </si>
  <si>
    <t>触发驱夷</t>
    <phoneticPr fontId="1" type="noConversion"/>
  </si>
  <si>
    <t>享受驱夷</t>
    <phoneticPr fontId="1" type="noConversion"/>
  </si>
  <si>
    <t>驱夷清日</t>
    <phoneticPr fontId="1" type="noConversion"/>
  </si>
  <si>
    <t>驱夷清月</t>
    <phoneticPr fontId="1" type="noConversion"/>
  </si>
  <si>
    <t>明光恒照</t>
    <phoneticPr fontId="1" type="noConversion"/>
  </si>
  <si>
    <t>配装属性调用</t>
    <phoneticPr fontId="1" type="noConversion"/>
  </si>
  <si>
    <t>元气</t>
    <phoneticPr fontId="1" type="noConversion"/>
  </si>
  <si>
    <t>会心</t>
    <phoneticPr fontId="1" type="noConversion"/>
  </si>
  <si>
    <t>破防</t>
    <phoneticPr fontId="1" type="noConversion"/>
  </si>
  <si>
    <t>命中</t>
    <phoneticPr fontId="1" type="noConversion"/>
  </si>
  <si>
    <t>无双</t>
    <phoneticPr fontId="1" type="noConversion"/>
  </si>
  <si>
    <t>会心效果</t>
    <phoneticPr fontId="1" type="noConversion"/>
  </si>
  <si>
    <t>基础攻击</t>
    <phoneticPr fontId="1" type="noConversion"/>
  </si>
  <si>
    <t>配装属性调用</t>
    <phoneticPr fontId="1" type="noConversion"/>
  </si>
  <si>
    <t xml:space="preserve">        注意：为方便计算单点收益，此处的“配装属性调用”级别仅次于sheet“分析模式”中的输入界面，“分析模式-属性加成”中的配装属性调用数据亦来自此处。</t>
    <phoneticPr fontId="1" type="noConversion"/>
  </si>
  <si>
    <t>实际GCD</t>
    <phoneticPr fontId="1" type="noConversion"/>
  </si>
  <si>
    <t>理论GCD</t>
    <phoneticPr fontId="1" type="noConversion"/>
  </si>
  <si>
    <t>无</t>
    <phoneticPr fontId="1" type="noConversion"/>
  </si>
  <si>
    <t>技能编号</t>
    <phoneticPr fontId="1" type="noConversion"/>
  </si>
  <si>
    <t>技能查找编号</t>
    <phoneticPr fontId="1" type="noConversion"/>
  </si>
  <si>
    <t>月斩DOT</t>
    <phoneticPr fontId="1" type="noConversion"/>
  </si>
  <si>
    <t>灼烧DOT</t>
    <phoneticPr fontId="1" type="noConversion"/>
  </si>
  <si>
    <t>触发</t>
    <phoneticPr fontId="1" type="noConversion"/>
  </si>
  <si>
    <t>伤害</t>
    <phoneticPr fontId="1" type="noConversion"/>
  </si>
  <si>
    <t>单位:秒</t>
    <phoneticPr fontId="1" type="noConversion"/>
  </si>
  <si>
    <t>有</t>
  </si>
  <si>
    <t>有</t>
    <phoneticPr fontId="1" type="noConversion"/>
  </si>
  <si>
    <t>10层</t>
    <phoneticPr fontId="1" type="noConversion"/>
  </si>
  <si>
    <t>剩余跳数</t>
    <phoneticPr fontId="1" type="noConversion"/>
  </si>
  <si>
    <t>判定</t>
    <phoneticPr fontId="1" type="noConversion"/>
  </si>
  <si>
    <t>武器伤害</t>
    <phoneticPr fontId="1" type="noConversion"/>
  </si>
  <si>
    <t>全程伤害</t>
    <phoneticPr fontId="1" type="noConversion"/>
  </si>
  <si>
    <t>月斩的伤害判定位于该GCD结尾处。因此，如果触发为TRUE的同时（继承DOT的同时）判定也为TRUE，则触发早于伤害判定。这会导致最后一个月斩的实际跳数不足6，但符合游戏内的实际处理。</t>
    <phoneticPr fontId="1" type="noConversion"/>
  </si>
  <si>
    <t>武伤/100%</t>
    <phoneticPr fontId="1" type="noConversion"/>
  </si>
  <si>
    <t>酸菜鱼</t>
    <phoneticPr fontId="1" type="noConversion"/>
  </si>
  <si>
    <t>红烧排骨</t>
    <phoneticPr fontId="1" type="noConversion"/>
  </si>
  <si>
    <t>白肉血肠</t>
    <phoneticPr fontId="1" type="noConversion"/>
  </si>
  <si>
    <t>灌汤包</t>
    <phoneticPr fontId="1" type="noConversion"/>
  </si>
  <si>
    <t>鱼片砂锅粥</t>
    <phoneticPr fontId="1" type="noConversion"/>
  </si>
  <si>
    <t>二十四桥明月夜</t>
    <phoneticPr fontId="1" type="noConversion"/>
  </si>
  <si>
    <t>上品玉璃散</t>
    <phoneticPr fontId="1" type="noConversion"/>
  </si>
  <si>
    <t>上品破秽散</t>
    <phoneticPr fontId="1" type="noConversion"/>
  </si>
  <si>
    <t>上品凝神散</t>
    <phoneticPr fontId="1" type="noConversion"/>
  </si>
  <si>
    <t>上品展风散</t>
    <phoneticPr fontId="1" type="noConversion"/>
  </si>
  <si>
    <t>上品聚魂丹</t>
    <phoneticPr fontId="1" type="noConversion"/>
  </si>
  <si>
    <t>总计(本)</t>
    <phoneticPr fontId="1" type="noConversion"/>
  </si>
  <si>
    <t>属性对比</t>
    <phoneticPr fontId="1" type="noConversion"/>
  </si>
  <si>
    <t>通用</t>
    <phoneticPr fontId="1" type="noConversion"/>
  </si>
  <si>
    <t>仙踪·兵·熔（内伤）</t>
    <phoneticPr fontId="1" type="noConversion"/>
  </si>
  <si>
    <t>鱼片砂锅粥</t>
    <phoneticPr fontId="1" type="noConversion"/>
  </si>
  <si>
    <t>上品聚魂丹</t>
    <phoneticPr fontId="1" type="noConversion"/>
  </si>
  <si>
    <t>仙踪·兵·熔（内伤）</t>
    <phoneticPr fontId="1" type="noConversion"/>
  </si>
  <si>
    <t>二十四桥明月夜</t>
    <phoneticPr fontId="1" type="noConversion"/>
  </si>
  <si>
    <t>释放</t>
    <phoneticPr fontId="1" type="noConversion"/>
  </si>
  <si>
    <t>伤害</t>
    <phoneticPr fontId="1" type="noConversion"/>
  </si>
  <si>
    <t>执行清灵</t>
    <phoneticPr fontId="1" type="noConversion"/>
  </si>
  <si>
    <t>伏明众生</t>
    <phoneticPr fontId="1" type="noConversion"/>
  </si>
  <si>
    <t>判定</t>
    <phoneticPr fontId="1" type="noConversion"/>
  </si>
  <si>
    <t>套装效果</t>
    <phoneticPr fontId="1" type="noConversion"/>
  </si>
  <si>
    <t>触发</t>
    <phoneticPr fontId="1" type="noConversion"/>
  </si>
  <si>
    <t>剩余时间</t>
    <phoneticPr fontId="1" type="noConversion"/>
  </si>
  <si>
    <t>寒啸千军</t>
    <phoneticPr fontId="1" type="noConversion"/>
  </si>
  <si>
    <t>舍身弘法</t>
    <phoneticPr fontId="1" type="noConversion"/>
  </si>
  <si>
    <t>日大CD</t>
    <phoneticPr fontId="1" type="noConversion"/>
  </si>
  <si>
    <t>计数君</t>
    <phoneticPr fontId="1" type="noConversion"/>
  </si>
  <si>
    <t>触发</t>
    <phoneticPr fontId="1" type="noConversion"/>
  </si>
  <si>
    <t>时间</t>
    <phoneticPr fontId="1" type="noConversion"/>
  </si>
  <si>
    <t>层数</t>
    <phoneticPr fontId="1" type="noConversion"/>
  </si>
  <si>
    <t>时间</t>
    <phoneticPr fontId="1" type="noConversion"/>
  </si>
  <si>
    <t>判定</t>
    <phoneticPr fontId="1" type="noConversion"/>
  </si>
  <si>
    <t>套装触发</t>
    <phoneticPr fontId="1" type="noConversion"/>
  </si>
  <si>
    <t>目标内防</t>
    <phoneticPr fontId="1" type="noConversion"/>
  </si>
  <si>
    <t>目标易伤</t>
    <phoneticPr fontId="1" type="noConversion"/>
  </si>
  <si>
    <t>DPS</t>
    <phoneticPr fontId="1" type="noConversion"/>
  </si>
  <si>
    <t>日破（2目标）</t>
    <phoneticPr fontId="1" type="noConversion"/>
  </si>
  <si>
    <t>日破（3目标）</t>
    <phoneticPr fontId="1" type="noConversion"/>
  </si>
  <si>
    <t>日破（4目标）</t>
    <phoneticPr fontId="1" type="noConversion"/>
  </si>
  <si>
    <t>日破（5目标）</t>
    <phoneticPr fontId="1" type="noConversion"/>
  </si>
  <si>
    <t>日破（6目标）</t>
    <phoneticPr fontId="1" type="noConversion"/>
  </si>
  <si>
    <t>日破（7目标）</t>
    <phoneticPr fontId="1" type="noConversion"/>
  </si>
  <si>
    <t>日破（8目标）</t>
    <phoneticPr fontId="1" type="noConversion"/>
  </si>
  <si>
    <t>与“分析-属性加成”相比，本sheet只记录可以覆盖全程的加成。瞬时加成不再平均，而是如实记录在“模拟-模拟计算”sheet中并在其中完成计算。</t>
    <phoneticPr fontId="1" type="noConversion"/>
  </si>
  <si>
    <t>目标属性输入</t>
    <phoneticPr fontId="1" type="noConversion"/>
  </si>
  <si>
    <t>偏离率</t>
    <phoneticPr fontId="1" type="noConversion"/>
  </si>
  <si>
    <t>识破率</t>
    <phoneticPr fontId="1" type="noConversion"/>
  </si>
  <si>
    <t>元气</t>
    <phoneticPr fontId="1" type="noConversion"/>
  </si>
  <si>
    <t>命中</t>
    <phoneticPr fontId="1" type="noConversion"/>
  </si>
  <si>
    <t>无双</t>
    <phoneticPr fontId="1" type="noConversion"/>
  </si>
  <si>
    <t>实战不变属性</t>
    <phoneticPr fontId="1" type="noConversion"/>
  </si>
  <si>
    <t>日</t>
    <phoneticPr fontId="1" type="noConversion"/>
  </si>
  <si>
    <t>月</t>
    <phoneticPr fontId="1" type="noConversion"/>
  </si>
  <si>
    <t>日月齐光</t>
    <phoneticPr fontId="1" type="noConversion"/>
  </si>
  <si>
    <t>驱夷用晦顺延覆盖率</t>
    <phoneticPr fontId="1" type="noConversion"/>
  </si>
  <si>
    <t>实战内防</t>
    <phoneticPr fontId="1" type="noConversion"/>
  </si>
  <si>
    <t>实战用晦内防</t>
    <phoneticPr fontId="1" type="noConversion"/>
  </si>
  <si>
    <t>伤害</t>
    <phoneticPr fontId="1" type="noConversion"/>
  </si>
  <si>
    <t>特殊伤害</t>
    <phoneticPr fontId="1" type="noConversion"/>
  </si>
  <si>
    <t>日月轮交替使用会互相打断彼此段数，但游戏内实际处理并不会如此。</t>
    <phoneticPr fontId="1" type="noConversion"/>
  </si>
  <si>
    <t>已知问题：</t>
    <phoneticPr fontId="1" type="noConversion"/>
  </si>
  <si>
    <t>excel注释：</t>
    <phoneticPr fontId="1" type="noConversion"/>
  </si>
  <si>
    <t>随机数</t>
    <phoneticPr fontId="1" type="noConversion"/>
  </si>
  <si>
    <t>目标易伤</t>
    <phoneticPr fontId="1" type="noConversion"/>
  </si>
  <si>
    <t>用晦而明</t>
    <phoneticPr fontId="1" type="noConversion"/>
  </si>
  <si>
    <t>触发用晦</t>
    <phoneticPr fontId="1" type="noConversion"/>
  </si>
  <si>
    <t>享受用晦</t>
    <phoneticPr fontId="1" type="noConversion"/>
  </si>
  <si>
    <t>数值</t>
    <phoneticPr fontId="1" type="noConversion"/>
  </si>
  <si>
    <t>百分比</t>
    <phoneticPr fontId="1" type="noConversion"/>
  </si>
  <si>
    <t>外功</t>
    <phoneticPr fontId="1" type="noConversion"/>
  </si>
  <si>
    <t>阴性</t>
    <phoneticPr fontId="1" type="noConversion"/>
  </si>
  <si>
    <t>阳性</t>
    <phoneticPr fontId="1" type="noConversion"/>
  </si>
  <si>
    <t>技能属性</t>
    <phoneticPr fontId="1" type="noConversion"/>
  </si>
  <si>
    <t>大漠刀法</t>
    <phoneticPr fontId="1" type="noConversion"/>
  </si>
  <si>
    <t>目标外防</t>
    <phoneticPr fontId="1" type="noConversion"/>
  </si>
  <si>
    <t>特殊伤害*（基础伤害+面板攻击*系数）*（1+破防）*（1+伤害加成）*（1-目标内防）*【（会心率+会心加成）*（会心效果+会效加成）+（1-会心率-会心加成-识破率-偏离率）+识破率*0.25】*内功易伤总和</t>
    <phoneticPr fontId="1" type="noConversion"/>
  </si>
  <si>
    <t>特殊伤害*武器伤害*武器伤害系数*（1+外功破防）*（1-对方外防）*【会心率*会心效果+（1-会心率-识破率-偏离率）+识破率*0.25】*外功易伤总和</t>
    <phoneticPr fontId="1" type="noConversion"/>
  </si>
  <si>
    <t>快照</t>
    <phoneticPr fontId="1" type="noConversion"/>
  </si>
  <si>
    <t>会心</t>
    <phoneticPr fontId="1" type="noConversion"/>
  </si>
  <si>
    <t>会效</t>
    <phoneticPr fontId="1" type="noConversion"/>
  </si>
  <si>
    <t>随机数</t>
    <phoneticPr fontId="1" type="noConversion"/>
  </si>
  <si>
    <t>如果目标无DOT，会在上DOT的瞬间多一跳跳数。</t>
    <phoneticPr fontId="1" type="noConversion"/>
  </si>
  <si>
    <t>快照</t>
    <phoneticPr fontId="1" type="noConversion"/>
  </si>
  <si>
    <t>会心</t>
    <phoneticPr fontId="1" type="noConversion"/>
  </si>
  <si>
    <t>会效</t>
    <phoneticPr fontId="1" type="noConversion"/>
  </si>
  <si>
    <t>随机数</t>
    <phoneticPr fontId="1" type="noConversion"/>
  </si>
  <si>
    <t>日大只能使用快照模式计算,视为按下技能的同时四跳伤害全部触发，且会命识偏按照加权平均计算，而非随机判定。6秒后清灵的效果不受影响。</t>
    <phoneticPr fontId="1" type="noConversion"/>
  </si>
  <si>
    <t>不占GCD技能伤害</t>
    <phoneticPr fontId="1" type="noConversion"/>
  </si>
  <si>
    <t>本GCD   伤害</t>
    <phoneticPr fontId="1" type="noConversion"/>
  </si>
  <si>
    <t>三段伤害</t>
    <phoneticPr fontId="1" type="noConversion"/>
  </si>
  <si>
    <t>月破（三段）</t>
    <phoneticPr fontId="1" type="noConversion"/>
  </si>
  <si>
    <t>洞若观火</t>
    <phoneticPr fontId="1" type="noConversion"/>
  </si>
  <si>
    <t>伤害</t>
    <phoneticPr fontId="1" type="noConversion"/>
  </si>
  <si>
    <t>会心</t>
    <phoneticPr fontId="1" type="noConversion"/>
  </si>
  <si>
    <t>会效</t>
    <phoneticPr fontId="1" type="noConversion"/>
  </si>
  <si>
    <t>随机数</t>
    <phoneticPr fontId="1" type="noConversion"/>
  </si>
  <si>
    <t>最终伤害</t>
    <phoneticPr fontId="1" type="noConversion"/>
  </si>
  <si>
    <t>用晦日斩</t>
    <phoneticPr fontId="1" type="noConversion"/>
  </si>
  <si>
    <t>阳</t>
    <phoneticPr fontId="1" type="noConversion"/>
  </si>
  <si>
    <t>非期望值</t>
    <phoneticPr fontId="1" type="noConversion"/>
  </si>
  <si>
    <t>类型</t>
    <phoneticPr fontId="1" type="noConversion"/>
  </si>
  <si>
    <t>系数</t>
    <phoneticPr fontId="1" type="noConversion"/>
  </si>
  <si>
    <t>战斗时间</t>
    <phoneticPr fontId="1" type="noConversion"/>
  </si>
  <si>
    <t>释放技能</t>
    <phoneticPr fontId="1" type="noConversion"/>
  </si>
  <si>
    <t>技能类型</t>
    <phoneticPr fontId="1" type="noConversion"/>
  </si>
  <si>
    <t>DPS</t>
    <phoneticPr fontId="1" type="noConversion"/>
  </si>
  <si>
    <t>技能内伤</t>
    <phoneticPr fontId="1" type="noConversion"/>
  </si>
  <si>
    <t>本GCD伤害</t>
    <phoneticPr fontId="1" type="noConversion"/>
  </si>
  <si>
    <t>日灵</t>
    <phoneticPr fontId="1" type="noConversion"/>
  </si>
  <si>
    <t>月魂</t>
    <phoneticPr fontId="1" type="noConversion"/>
  </si>
  <si>
    <t>转至结果页面</t>
    <phoneticPr fontId="1" type="noConversion"/>
  </si>
  <si>
    <t>目标数量输入</t>
    <phoneticPr fontId="1" type="noConversion"/>
  </si>
  <si>
    <t>该时刻DPS</t>
    <phoneticPr fontId="1" type="noConversion"/>
  </si>
  <si>
    <t>模拟时间输入(秒)</t>
    <phoneticPr fontId="1" type="noConversion"/>
  </si>
  <si>
    <t>无</t>
    <phoneticPr fontId="1" type="noConversion"/>
  </si>
  <si>
    <t>和尚阵</t>
  </si>
  <si>
    <t>红烧排骨</t>
  </si>
  <si>
    <t>套装-破魔</t>
    <phoneticPr fontId="1" type="noConversion"/>
  </si>
  <si>
    <t>套装-基础</t>
    <phoneticPr fontId="1" type="noConversion"/>
  </si>
  <si>
    <t>阴阳往极</t>
  </si>
  <si>
    <t>分析模式</t>
    <phoneticPr fontId="1" type="noConversion"/>
  </si>
  <si>
    <t>模拟模式</t>
    <phoneticPr fontId="1" type="noConversion"/>
  </si>
  <si>
    <t xml:space="preserve">        单点属性可以准确计算某一属性+1后所获得的的DPS提升。属性对比是前者在计算了属性的容量之后，以基础攻击作为基准，换算比例得来。通用包括：装备、附魔、五彩石、小吃、小药。镶嵌以基础攻击孔镶嵌六级五行石作为基准。</t>
    <phoneticPr fontId="1" type="noConversion"/>
  </si>
  <si>
    <t>日斩（期望）</t>
    <phoneticPr fontId="1" type="noConversion"/>
  </si>
  <si>
    <t>/</t>
    <phoneticPr fontId="1" type="noConversion"/>
  </si>
  <si>
    <t>日斩期望值</t>
    <phoneticPr fontId="1" type="noConversion"/>
  </si>
  <si>
    <t>镶嵌孔</t>
    <phoneticPr fontId="1" type="noConversion"/>
  </si>
  <si>
    <t>六级</t>
  </si>
  <si>
    <t>目标防御：防御/(防御+(185*目标等级-16800)*4.08224)</t>
    <phoneticPr fontId="1" type="noConversion"/>
  </si>
  <si>
    <t>内功伤害：特殊伤害*(基础伤害+面板攻击*系数)*(1+破防)*(1+伤害加成)*(1-目标内防)*[(会心率+会心加成)*(会心效果+会效加成)+(1-会心率-会心加成-识破率-偏离率)+识破率*0.25]*内功易伤总和</t>
    <phoneticPr fontId="1" type="noConversion"/>
  </si>
  <si>
    <t>武器伤害：特殊伤害*武器伤害*武器伤害系数*(1+外功破防)*(1-对方外防)*[会心率*会心效果+(1-会心率-识破率-偏离率)+识破率*0.25]*外功易伤总和</t>
    <phoneticPr fontId="1" type="noConversion"/>
  </si>
  <si>
    <t>套装特效覆盖率：1-(1-触发率)^(循环技能数/循环时间*特效持续时间)     平A不触发</t>
    <phoneticPr fontId="1" type="noConversion"/>
  </si>
  <si>
    <t>雷特效覆盖率：持续时间/(1/触发率/(循环技能数/循环时间+16/17)+60)    平A触发，16/17代表大漠刀法。</t>
    <phoneticPr fontId="1" type="noConversion"/>
  </si>
  <si>
    <t>大漠刀法GCD按照16帧计算。游戏内为17帧。</t>
    <phoneticPr fontId="1" type="noConversion"/>
  </si>
  <si>
    <t>春节大阵</t>
    <phoneticPr fontId="1" type="noConversion"/>
  </si>
  <si>
    <t>春节大阵</t>
    <phoneticPr fontId="1" type="noConversion"/>
  </si>
  <si>
    <t>首页</t>
    <phoneticPr fontId="1" type="noConversion"/>
  </si>
  <si>
    <t>日志</t>
    <phoneticPr fontId="1" type="noConversion"/>
  </si>
  <si>
    <t>属性导入</t>
    <phoneticPr fontId="1" type="noConversion"/>
  </si>
  <si>
    <t>最大气血</t>
  </si>
  <si>
    <t>元气</t>
  </si>
  <si>
    <t>基础攻击</t>
  </si>
  <si>
    <t>面板攻击</t>
  </si>
  <si>
    <t>内功会心</t>
  </si>
  <si>
    <t>内功会效</t>
  </si>
  <si>
    <t>内功命中</t>
  </si>
  <si>
    <t>急速</t>
  </si>
  <si>
    <t>0.00(0)</t>
  </si>
  <si>
    <t>无双</t>
  </si>
  <si>
    <t>内功破防</t>
  </si>
  <si>
    <t>内功防御</t>
  </si>
  <si>
    <t>外功防御</t>
  </si>
  <si>
    <t>御劲</t>
  </si>
  <si>
    <t>化劲</t>
  </si>
  <si>
    <t>装备评分</t>
  </si>
  <si>
    <t>方案总览</t>
  </si>
  <si>
    <t>0.07%(10)</t>
  </si>
  <si>
    <t>点此查看</t>
  </si>
  <si>
    <t>此处粘贴配装属性</t>
    <phoneticPr fontId="1" type="noConversion"/>
  </si>
  <si>
    <t>使用方法：</t>
    <phoneticPr fontId="1" type="noConversion"/>
  </si>
  <si>
    <t>1.选中胖叔叔配装器（https://www.j3pz.com/dps/fenying/）的配装属性，按Ctrl+C复制。</t>
    <phoneticPr fontId="1" type="noConversion"/>
  </si>
  <si>
    <t>2.选中本表中I7单元格，按Ctrl+V粘贴。</t>
    <phoneticPr fontId="1" type="noConversion"/>
  </si>
  <si>
    <t>3.点击“导入分析模式”或“导入模拟模式”按钮，将属性导入至对应模式。</t>
    <phoneticPr fontId="1" type="noConversion"/>
  </si>
  <si>
    <t>-</t>
    <phoneticPr fontId="1" type="noConversion"/>
  </si>
  <si>
    <t>破防</t>
    <phoneticPr fontId="1" type="noConversion"/>
  </si>
  <si>
    <t>面板加速</t>
    <phoneticPr fontId="1" type="noConversion"/>
  </si>
  <si>
    <t>比较值</t>
    <phoneticPr fontId="1" type="noConversion"/>
  </si>
  <si>
    <t>实际加速</t>
    <phoneticPr fontId="1" type="noConversion"/>
  </si>
  <si>
    <t>4.武器伤害无法直接导入，请自行填写，如图。</t>
    <phoneticPr fontId="1" type="noConversion"/>
  </si>
  <si>
    <t>使用方法：在蓝色格子中用excel的if语句逻辑，仿照模板将游戏内宏改编为excel语句输入并下拉即可。Excel会自动查找技能编号并完成计算。</t>
    <phoneticPr fontId="1" type="noConversion"/>
  </si>
  <si>
    <t>V1.0</t>
    <phoneticPr fontId="1" type="noConversion"/>
  </si>
  <si>
    <t>修复模拟模式下未选择奇穴“日月同辉”时，其效果仍然生效的问题。</t>
    <phoneticPr fontId="1" type="noConversion"/>
  </si>
  <si>
    <t>修复模拟模式下选择奇穴“幽隐尘迹”时，其效果不生效的问题。</t>
    <phoneticPr fontId="1" type="noConversion"/>
  </si>
  <si>
    <t>修复胖叔叔配装器属性只能导入一次的问题。</t>
    <phoneticPr fontId="1" type="noConversion"/>
  </si>
  <si>
    <t>同步焚影“怒海争锋”资料片技改</t>
    <phoneticPr fontId="1" type="noConversion"/>
  </si>
  <si>
    <t>2330雷特效武器</t>
    <phoneticPr fontId="1" type="noConversion"/>
  </si>
  <si>
    <t>2600水特效武器</t>
    <phoneticPr fontId="1" type="noConversion"/>
  </si>
  <si>
    <t>2600风特效腰坠</t>
    <phoneticPr fontId="1" type="noConversion"/>
  </si>
  <si>
    <t>2600·风</t>
  </si>
  <si>
    <t>V1.1</t>
    <phoneticPr fontId="1" type="noConversion"/>
  </si>
  <si>
    <t>腰带大附魔的伤害加成与其他类型的伤害加成叠加</t>
    <phoneticPr fontId="1" type="noConversion"/>
  </si>
  <si>
    <t>配装增益</t>
    <phoneticPr fontId="1" type="noConversion"/>
  </si>
  <si>
    <t>类型</t>
    <phoneticPr fontId="1" type="noConversion"/>
  </si>
  <si>
    <t>昆吾·帽</t>
    <phoneticPr fontId="1" type="noConversion"/>
  </si>
  <si>
    <t>昆吾·衣</t>
    <phoneticPr fontId="1" type="noConversion"/>
  </si>
  <si>
    <t>昆吾·腰</t>
    <phoneticPr fontId="1" type="noConversion"/>
  </si>
  <si>
    <t>昆吾·腕</t>
    <phoneticPr fontId="1" type="noConversion"/>
  </si>
  <si>
    <t>昆吾·鞋</t>
    <phoneticPr fontId="1" type="noConversion"/>
  </si>
  <si>
    <t>共战层数</t>
    <phoneticPr fontId="1" type="noConversion"/>
  </si>
  <si>
    <t>共战的增益直接显示在sheet“分析模式”的“DPS计算结果”里，不在这里显示。</t>
    <phoneticPr fontId="1" type="noConversion"/>
  </si>
  <si>
    <t>V1.2</t>
    <phoneticPr fontId="1" type="noConversion"/>
  </si>
  <si>
    <t>删除一些沿袭自旧版本且未生效的个人增益。</t>
    <phoneticPr fontId="1" type="noConversion"/>
  </si>
  <si>
    <t>实装“共战江湖”个人增益。</t>
    <phoneticPr fontId="1" type="noConversion"/>
  </si>
  <si>
    <t>新增配装增益：昆吾系列附魔。</t>
    <phoneticPr fontId="1" type="noConversion"/>
  </si>
  <si>
    <t>昆吾·帽</t>
    <phoneticPr fontId="1" type="noConversion"/>
  </si>
  <si>
    <t>昆吾·衣</t>
    <phoneticPr fontId="1" type="noConversion"/>
  </si>
  <si>
    <t>昆吾·腕</t>
    <phoneticPr fontId="1" type="noConversion"/>
  </si>
  <si>
    <t>昆吾·鞋</t>
    <phoneticPr fontId="1" type="noConversion"/>
  </si>
  <si>
    <t>阴</t>
    <phoneticPr fontId="1" type="noConversion"/>
  </si>
  <si>
    <t>常规DPS</t>
    <phoneticPr fontId="1" type="noConversion"/>
  </si>
  <si>
    <t>昆吾附魔DPS</t>
    <phoneticPr fontId="1" type="noConversion"/>
  </si>
  <si>
    <t>最终DPS</t>
    <phoneticPr fontId="1" type="noConversion"/>
  </si>
  <si>
    <t>CD</t>
    <phoneticPr fontId="1" type="noConversion"/>
  </si>
  <si>
    <t>触发</t>
    <phoneticPr fontId="1" type="noConversion"/>
  </si>
  <si>
    <t>剩余时间</t>
    <phoneticPr fontId="1" type="noConversion"/>
  </si>
  <si>
    <t>橙武特效</t>
    <phoneticPr fontId="1" type="noConversion"/>
  </si>
  <si>
    <t>模拟模式现在可以处理大橙武特效的触发了。由于触发特效的收益并不稳定，分析模式暂不计算其收益。</t>
    <phoneticPr fontId="1" type="noConversion"/>
  </si>
  <si>
    <t>昆吾·腕</t>
    <phoneticPr fontId="1" type="noConversion"/>
  </si>
  <si>
    <t>昆吾·鞋</t>
    <phoneticPr fontId="1" type="noConversion"/>
  </si>
  <si>
    <t>伤害</t>
    <phoneticPr fontId="1" type="noConversion"/>
  </si>
  <si>
    <t>昆吾·腰</t>
    <phoneticPr fontId="1" type="noConversion"/>
  </si>
  <si>
    <t>类型</t>
    <phoneticPr fontId="1" type="noConversion"/>
  </si>
  <si>
    <t>分析模式新增配装增益：特效腰坠2600·风、特效武器2600·水。</t>
    <phoneticPr fontId="1" type="noConversion"/>
  </si>
  <si>
    <t>模拟模式现在可以模拟特效腰坠的开启了。详见“模拟-模拟计算”页。</t>
    <phoneticPr fontId="1" type="noConversion"/>
  </si>
  <si>
    <t>特效武器·水</t>
    <phoneticPr fontId="1" type="noConversion"/>
  </si>
  <si>
    <t>时间</t>
    <phoneticPr fontId="1" type="noConversion"/>
  </si>
  <si>
    <t>层数</t>
    <phoneticPr fontId="1" type="noConversion"/>
  </si>
  <si>
    <t>特效武器·雷</t>
    <phoneticPr fontId="1" type="noConversion"/>
  </si>
  <si>
    <t>特效腰坠·风</t>
    <phoneticPr fontId="1" type="noConversion"/>
  </si>
  <si>
    <t>开启</t>
    <phoneticPr fontId="1" type="noConversion"/>
  </si>
  <si>
    <t>特效腰坠默认在以下任一情况出现时使用：①80日100月时；②橙武特效触发时。如需更改，请自行修改BX列单元格数据。</t>
    <phoneticPr fontId="1" type="noConversion"/>
  </si>
  <si>
    <t>模拟模式新增配装增益：特效腰坠2600·风、特效武器2600·水、特效武器2300·雷。</t>
    <phoneticPr fontId="1" type="noConversion"/>
  </si>
  <si>
    <t>挑战巨冥湾</t>
  </si>
  <si>
    <t>有</t>
    <phoneticPr fontId="1" type="noConversion"/>
  </si>
  <si>
    <t>更新本赛季最优配装，更新目标选择为本赛季副本。</t>
    <phoneticPr fontId="1" type="noConversion"/>
  </si>
  <si>
    <t>上品破秽散</t>
  </si>
  <si>
    <t>怒海争锋赛季焚影DPS计算器V1.2</t>
    <phoneticPr fontId="1" type="noConversion"/>
  </si>
  <si>
    <t>V1.2.1</t>
    <phoneticPr fontId="1" type="noConversion"/>
  </si>
  <si>
    <t>同步官方修复昆吾·腕内置CD不正确的问题。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</si>
</sst>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_ "/>
    <numFmt numFmtId="177" formatCode="0.0_ "/>
    <numFmt numFmtId="178" formatCode="0.00_);[Red]\(0.00\)"/>
    <numFmt numFmtId="179" formatCode="0_);[Red]\(0\)"/>
    <numFmt numFmtId="180" formatCode="0.00_ "/>
    <numFmt numFmtId="181" formatCode="0.000000%"/>
    <numFmt numFmtId="182" formatCode="0.00000_ "/>
    <numFmt numFmtId="183" formatCode="0.00000_);[Red]\(0.00000\)"/>
    <numFmt numFmtId="184" formatCode="0.00000E+00"/>
    <numFmt numFmtId="185" formatCode="0.00000%"/>
    <numFmt numFmtId="186" formatCode="0.0000_ "/>
    <numFmt numFmtId="187" formatCode="0.0_);[Red]\(0.0\)"/>
  </numFmts>
  <fonts count="1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20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18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b/>
      <sz val="14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theme="0"/>
      <name val="等线"/>
      <family val="2"/>
      <scheme val="minor"/>
    </font>
    <font>
      <sz val="10"/>
      <color rgb="FF313335"/>
      <name val="Arial"/>
      <family val="2"/>
    </font>
    <font>
      <b/>
      <sz val="10"/>
      <color rgb="FF313335"/>
      <name val="Arial"/>
      <family val="2"/>
    </font>
    <font>
      <sz val="11"/>
      <color theme="0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5E6E6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03">
    <xf numFmtId="0" fontId="0" fillId="0" borderId="0" xfId="0"/>
    <xf numFmtId="0" fontId="0" fillId="10" borderId="0" xfId="0" applyFill="1" applyProtection="1">
      <protection hidden="1"/>
    </xf>
    <xf numFmtId="0" fontId="7" fillId="10" borderId="0" xfId="0" applyFont="1" applyFill="1" applyProtection="1">
      <protection hidden="1"/>
    </xf>
    <xf numFmtId="176" fontId="0" fillId="10" borderId="0" xfId="0" applyNumberFormat="1" applyFill="1" applyProtection="1">
      <protection hidden="1"/>
    </xf>
    <xf numFmtId="179" fontId="0" fillId="10" borderId="0" xfId="0" applyNumberFormat="1" applyFill="1" applyProtection="1">
      <protection hidden="1"/>
    </xf>
    <xf numFmtId="0" fontId="0" fillId="10" borderId="37" xfId="0" applyFill="1" applyBorder="1" applyProtection="1">
      <protection hidden="1"/>
    </xf>
    <xf numFmtId="0" fontId="0" fillId="10" borderId="38" xfId="0" applyFill="1" applyBorder="1" applyProtection="1">
      <protection hidden="1"/>
    </xf>
    <xf numFmtId="10" fontId="0" fillId="10" borderId="0" xfId="0" applyNumberFormat="1" applyFill="1" applyProtection="1">
      <protection hidden="1"/>
    </xf>
    <xf numFmtId="0" fontId="5" fillId="10" borderId="0" xfId="0" applyFont="1" applyFill="1" applyProtection="1">
      <protection hidden="1"/>
    </xf>
    <xf numFmtId="177" fontId="0" fillId="10" borderId="0" xfId="0" applyNumberFormat="1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185" fontId="0" fillId="10" borderId="0" xfId="0" applyNumberFormat="1" applyFill="1" applyProtection="1">
      <protection hidden="1"/>
    </xf>
    <xf numFmtId="10" fontId="0" fillId="10" borderId="0" xfId="0" applyNumberFormat="1" applyFill="1" applyAlignment="1" applyProtection="1">
      <alignment horizontal="right"/>
      <protection hidden="1"/>
    </xf>
    <xf numFmtId="9" fontId="0" fillId="10" borderId="0" xfId="0" applyNumberFormat="1" applyFill="1" applyProtection="1">
      <protection hidden="1"/>
    </xf>
    <xf numFmtId="0" fontId="6" fillId="10" borderId="0" xfId="0" applyFont="1" applyFill="1" applyProtection="1">
      <protection hidden="1"/>
    </xf>
    <xf numFmtId="0" fontId="0" fillId="10" borderId="0" xfId="0" applyFill="1" applyAlignment="1" applyProtection="1">
      <alignment vertical="center" wrapText="1"/>
      <protection hidden="1"/>
    </xf>
    <xf numFmtId="0" fontId="0" fillId="10" borderId="15" xfId="0" applyFill="1" applyBorder="1" applyProtection="1">
      <protection hidden="1"/>
    </xf>
    <xf numFmtId="0" fontId="0" fillId="10" borderId="16" xfId="0" applyFill="1" applyBorder="1" applyProtection="1">
      <protection hidden="1"/>
    </xf>
    <xf numFmtId="0" fontId="0" fillId="10" borderId="17" xfId="0" applyFill="1" applyBorder="1" applyProtection="1">
      <protection hidden="1"/>
    </xf>
    <xf numFmtId="0" fontId="0" fillId="0" borderId="0" xfId="0" applyProtection="1">
      <protection hidden="1"/>
    </xf>
    <xf numFmtId="0" fontId="13" fillId="0" borderId="0" xfId="0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Protection="1">
      <protection hidden="1"/>
    </xf>
    <xf numFmtId="0" fontId="7" fillId="0" borderId="0" xfId="0" applyFont="1" applyProtection="1">
      <protection hidden="1"/>
    </xf>
    <xf numFmtId="0" fontId="6" fillId="0" borderId="0" xfId="0" applyFont="1" applyProtection="1">
      <protection hidden="1"/>
    </xf>
    <xf numFmtId="0" fontId="0" fillId="0" borderId="0" xfId="0" applyProtection="1">
      <protection locked="0" hidden="1"/>
    </xf>
    <xf numFmtId="0" fontId="14" fillId="11" borderId="29" xfId="0" applyFont="1" applyFill="1" applyBorder="1" applyAlignment="1" applyProtection="1">
      <alignment horizontal="left" vertical="center" wrapText="1"/>
      <protection locked="0" hidden="1"/>
    </xf>
    <xf numFmtId="0" fontId="14" fillId="11" borderId="40" xfId="0" applyFont="1" applyFill="1" applyBorder="1" applyAlignment="1" applyProtection="1">
      <alignment horizontal="left" vertical="center" wrapText="1"/>
      <protection locked="0" hidden="1"/>
    </xf>
    <xf numFmtId="0" fontId="14" fillId="11" borderId="30" xfId="0" applyFont="1" applyFill="1" applyBorder="1" applyAlignment="1" applyProtection="1">
      <alignment horizontal="left" vertical="center" wrapText="1"/>
      <protection locked="0" hidden="1"/>
    </xf>
    <xf numFmtId="0" fontId="15" fillId="11" borderId="31" xfId="0" applyFont="1" applyFill="1" applyBorder="1" applyAlignment="1" applyProtection="1">
      <alignment horizontal="left" vertical="center" wrapText="1"/>
      <protection locked="0" hidden="1"/>
    </xf>
    <xf numFmtId="0" fontId="15" fillId="11" borderId="0" xfId="0" applyFont="1" applyFill="1" applyAlignment="1" applyProtection="1">
      <alignment horizontal="left" vertical="center" wrapText="1"/>
      <protection locked="0" hidden="1"/>
    </xf>
    <xf numFmtId="0" fontId="15" fillId="11" borderId="32" xfId="0" applyFont="1" applyFill="1" applyBorder="1" applyAlignment="1" applyProtection="1">
      <alignment horizontal="left" vertical="center" wrapText="1"/>
      <protection locked="0" hidden="1"/>
    </xf>
    <xf numFmtId="0" fontId="14" fillId="11" borderId="31" xfId="0" applyFont="1" applyFill="1" applyBorder="1" applyAlignment="1" applyProtection="1">
      <alignment horizontal="left" vertical="center" wrapText="1"/>
      <protection locked="0" hidden="1"/>
    </xf>
    <xf numFmtId="0" fontId="14" fillId="11" borderId="0" xfId="0" applyFont="1" applyFill="1" applyAlignment="1" applyProtection="1">
      <alignment horizontal="left" vertical="center" wrapText="1"/>
      <protection locked="0" hidden="1"/>
    </xf>
    <xf numFmtId="0" fontId="14" fillId="11" borderId="32" xfId="0" applyFont="1" applyFill="1" applyBorder="1" applyAlignment="1" applyProtection="1">
      <alignment horizontal="left" vertical="center" wrapText="1"/>
      <protection locked="0" hidden="1"/>
    </xf>
    <xf numFmtId="0" fontId="15" fillId="11" borderId="33" xfId="0" applyFont="1" applyFill="1" applyBorder="1" applyAlignment="1" applyProtection="1">
      <alignment horizontal="left" vertical="center" wrapText="1"/>
      <protection locked="0" hidden="1"/>
    </xf>
    <xf numFmtId="0" fontId="15" fillId="11" borderId="35" xfId="0" applyFont="1" applyFill="1" applyBorder="1" applyAlignment="1" applyProtection="1">
      <alignment horizontal="left" vertical="center" wrapText="1"/>
      <protection locked="0" hidden="1"/>
    </xf>
    <xf numFmtId="0" fontId="3" fillId="11" borderId="34" xfId="1" applyFill="1" applyBorder="1" applyAlignment="1" applyProtection="1">
      <alignment horizontal="left" vertical="center" wrapText="1"/>
      <protection locked="0" hidden="1"/>
    </xf>
    <xf numFmtId="0" fontId="15" fillId="0" borderId="0" xfId="0" applyFont="1" applyAlignment="1" applyProtection="1">
      <alignment horizontal="left" vertical="center" wrapText="1"/>
      <protection locked="0" hidden="1"/>
    </xf>
    <xf numFmtId="0" fontId="3" fillId="0" borderId="0" xfId="1" applyAlignment="1" applyProtection="1">
      <alignment horizontal="left" vertical="center" wrapText="1"/>
      <protection locked="0"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0" fillId="0" borderId="1" xfId="0" applyBorder="1" applyProtection="1">
      <protection hidden="1"/>
    </xf>
    <xf numFmtId="10" fontId="0" fillId="0" borderId="1" xfId="0" applyNumberFormat="1" applyBorder="1" applyProtection="1">
      <protection hidden="1"/>
    </xf>
    <xf numFmtId="176" fontId="0" fillId="0" borderId="0" xfId="0" applyNumberFormat="1" applyProtection="1">
      <protection hidden="1"/>
    </xf>
    <xf numFmtId="0" fontId="11" fillId="0" borderId="0" xfId="0" applyFont="1" applyAlignment="1" applyProtection="1">
      <alignment vertical="center"/>
      <protection hidden="1"/>
    </xf>
    <xf numFmtId="10" fontId="0" fillId="0" borderId="0" xfId="0" applyNumberFormat="1" applyAlignment="1" applyProtection="1">
      <alignment horizontal="center" vertical="center"/>
      <protection hidden="1"/>
    </xf>
    <xf numFmtId="182" fontId="0" fillId="0" borderId="0" xfId="0" applyNumberFormat="1" applyAlignment="1" applyProtection="1">
      <alignment horizontal="center" vertical="center"/>
      <protection hidden="1"/>
    </xf>
    <xf numFmtId="176" fontId="0" fillId="0" borderId="0" xfId="0" applyNumberFormat="1" applyAlignment="1" applyProtection="1">
      <alignment horizontal="right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184" fontId="0" fillId="0" borderId="0" xfId="0" applyNumberFormat="1" applyAlignment="1" applyProtection="1">
      <alignment horizontal="right" vertical="center"/>
      <protection hidden="1"/>
    </xf>
    <xf numFmtId="176" fontId="7" fillId="0" borderId="0" xfId="0" applyNumberFormat="1" applyFont="1" applyAlignment="1" applyProtection="1">
      <alignment horizontal="right" vertical="center"/>
      <protection hidden="1"/>
    </xf>
    <xf numFmtId="0" fontId="0" fillId="0" borderId="0" xfId="0" applyAlignment="1" applyProtection="1">
      <alignment horizontal="center"/>
      <protection hidden="1"/>
    </xf>
    <xf numFmtId="176" fontId="0" fillId="0" borderId="0" xfId="0" applyNumberFormat="1" applyAlignment="1" applyProtection="1">
      <alignment horizontal="right"/>
      <protection hidden="1"/>
    </xf>
    <xf numFmtId="10" fontId="0" fillId="0" borderId="0" xfId="0" applyNumberFormat="1" applyAlignment="1" applyProtection="1">
      <alignment horizontal="right"/>
      <protection hidden="1"/>
    </xf>
    <xf numFmtId="183" fontId="0" fillId="0" borderId="0" xfId="0" applyNumberFormat="1" applyAlignment="1" applyProtection="1">
      <alignment horizontal="right"/>
      <protection hidden="1"/>
    </xf>
    <xf numFmtId="182" fontId="0" fillId="0" borderId="0" xfId="0" applyNumberFormat="1" applyAlignment="1" applyProtection="1">
      <alignment horizontal="right"/>
      <protection hidden="1"/>
    </xf>
    <xf numFmtId="179" fontId="0" fillId="0" borderId="0" xfId="0" applyNumberFormat="1" applyAlignment="1" applyProtection="1">
      <alignment horizontal="right"/>
      <protection hidden="1"/>
    </xf>
    <xf numFmtId="179" fontId="0" fillId="0" borderId="0" xfId="0" applyNumberFormat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176" fontId="0" fillId="7" borderId="1" xfId="0" applyNumberForma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0" fontId="0" fillId="0" borderId="0" xfId="0" applyNumberFormat="1" applyAlignment="1" applyProtection="1">
      <alignment horizontal="right" vertical="center"/>
      <protection hidden="1"/>
    </xf>
    <xf numFmtId="183" fontId="0" fillId="0" borderId="0" xfId="0" applyNumberFormat="1" applyAlignment="1" applyProtection="1">
      <alignment horizontal="right" vertical="center"/>
      <protection hidden="1"/>
    </xf>
    <xf numFmtId="182" fontId="0" fillId="0" borderId="0" xfId="0" applyNumberFormat="1" applyAlignment="1" applyProtection="1">
      <alignment horizontal="right" vertical="center"/>
      <protection hidden="1"/>
    </xf>
    <xf numFmtId="179" fontId="0" fillId="0" borderId="0" xfId="0" applyNumberFormat="1" applyAlignment="1" applyProtection="1">
      <alignment horizontal="right" vertical="center"/>
      <protection hidden="1"/>
    </xf>
    <xf numFmtId="9" fontId="0" fillId="0" borderId="1" xfId="0" applyNumberFormat="1" applyBorder="1" applyAlignment="1" applyProtection="1">
      <alignment horizontal="right" vertical="center"/>
      <protection hidden="1"/>
    </xf>
    <xf numFmtId="10" fontId="0" fillId="0" borderId="1" xfId="0" applyNumberFormat="1" applyBorder="1" applyAlignment="1" applyProtection="1">
      <alignment horizontal="center" vertical="center"/>
      <protection hidden="1"/>
    </xf>
    <xf numFmtId="10" fontId="0" fillId="0" borderId="1" xfId="0" applyNumberFormat="1" applyBorder="1" applyAlignment="1" applyProtection="1">
      <alignment horizontal="right" vertical="center"/>
      <protection hidden="1"/>
    </xf>
    <xf numFmtId="176" fontId="0" fillId="0" borderId="1" xfId="0" applyNumberFormat="1" applyBorder="1" applyProtection="1">
      <protection hidden="1"/>
    </xf>
    <xf numFmtId="176" fontId="0" fillId="0" borderId="1" xfId="0" applyNumberFormat="1" applyBorder="1" applyAlignment="1" applyProtection="1">
      <alignment horizontal="right" vertical="center"/>
      <protection hidden="1"/>
    </xf>
    <xf numFmtId="10" fontId="0" fillId="0" borderId="0" xfId="0" applyNumberFormat="1" applyProtection="1">
      <protection hidden="1"/>
    </xf>
    <xf numFmtId="176" fontId="0" fillId="0" borderId="0" xfId="0" applyNumberForma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176" fontId="6" fillId="0" borderId="0" xfId="0" applyNumberFormat="1" applyFont="1" applyAlignment="1" applyProtection="1">
      <alignment vertical="center"/>
      <protection hidden="1"/>
    </xf>
    <xf numFmtId="176" fontId="0" fillId="0" borderId="16" xfId="0" applyNumberFormat="1" applyBorder="1" applyAlignment="1" applyProtection="1">
      <alignment horizontal="center" vertical="center"/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10" fontId="0" fillId="0" borderId="16" xfId="0" applyNumberFormat="1" applyBorder="1" applyAlignment="1" applyProtection="1">
      <alignment horizontal="center" vertical="center"/>
      <protection hidden="1"/>
    </xf>
    <xf numFmtId="176" fontId="0" fillId="0" borderId="16" xfId="0" applyNumberFormat="1" applyBorder="1" applyAlignment="1" applyProtection="1">
      <alignment horizontal="right" vertical="center"/>
      <protection hidden="1"/>
    </xf>
    <xf numFmtId="0" fontId="0" fillId="0" borderId="16" xfId="0" applyBorder="1" applyAlignment="1" applyProtection="1">
      <alignment horizontal="right" vertical="center"/>
      <protection hidden="1"/>
    </xf>
    <xf numFmtId="184" fontId="0" fillId="0" borderId="16" xfId="0" applyNumberFormat="1" applyBorder="1" applyAlignment="1" applyProtection="1">
      <alignment horizontal="right" vertical="center"/>
      <protection hidden="1"/>
    </xf>
    <xf numFmtId="176" fontId="7" fillId="0" borderId="16" xfId="0" applyNumberFormat="1" applyFont="1" applyBorder="1" applyAlignment="1" applyProtection="1">
      <alignment horizontal="right" vertical="center"/>
      <protection hidden="1"/>
    </xf>
    <xf numFmtId="10" fontId="0" fillId="0" borderId="16" xfId="0" applyNumberFormat="1" applyBorder="1" applyAlignment="1" applyProtection="1">
      <alignment horizontal="right" vertical="center"/>
      <protection hidden="1"/>
    </xf>
    <xf numFmtId="183" fontId="0" fillId="0" borderId="16" xfId="0" applyNumberFormat="1" applyBorder="1" applyAlignment="1" applyProtection="1">
      <alignment horizontal="right" vertical="center"/>
      <protection hidden="1"/>
    </xf>
    <xf numFmtId="182" fontId="0" fillId="0" borderId="16" xfId="0" applyNumberFormat="1" applyBorder="1" applyAlignment="1" applyProtection="1">
      <alignment horizontal="right" vertical="center"/>
      <protection hidden="1"/>
    </xf>
    <xf numFmtId="179" fontId="0" fillId="0" borderId="16" xfId="0" applyNumberFormat="1" applyBorder="1" applyAlignment="1" applyProtection="1">
      <alignment horizontal="right" vertical="center"/>
      <protection hidden="1"/>
    </xf>
    <xf numFmtId="179" fontId="0" fillId="0" borderId="16" xfId="0" applyNumberFormat="1" applyBorder="1" applyAlignment="1" applyProtection="1">
      <alignment horizontal="center" vertical="center"/>
      <protection hidden="1"/>
    </xf>
    <xf numFmtId="0" fontId="0" fillId="0" borderId="16" xfId="0" applyBorder="1" applyAlignment="1" applyProtection="1">
      <alignment vertical="center"/>
      <protection hidden="1"/>
    </xf>
    <xf numFmtId="183" fontId="0" fillId="0" borderId="0" xfId="0" applyNumberFormat="1" applyAlignment="1" applyProtection="1">
      <alignment horizontal="center" vertical="center"/>
      <protection hidden="1"/>
    </xf>
    <xf numFmtId="10" fontId="0" fillId="0" borderId="35" xfId="0" applyNumberFormat="1" applyBorder="1" applyAlignment="1" applyProtection="1">
      <alignment horizontal="center" vertical="center"/>
      <protection hidden="1"/>
    </xf>
    <xf numFmtId="182" fontId="0" fillId="0" borderId="35" xfId="0" applyNumberFormat="1" applyBorder="1" applyAlignment="1" applyProtection="1">
      <alignment horizontal="center" vertical="center"/>
      <protection hidden="1"/>
    </xf>
    <xf numFmtId="184" fontId="0" fillId="0" borderId="35" xfId="0" applyNumberFormat="1" applyBorder="1" applyAlignment="1" applyProtection="1">
      <alignment horizontal="right" vertical="center"/>
      <protection hidden="1"/>
    </xf>
    <xf numFmtId="176" fontId="0" fillId="0" borderId="35" xfId="0" applyNumberFormat="1" applyBorder="1" applyAlignment="1" applyProtection="1">
      <alignment horizontal="right" vertical="center"/>
      <protection hidden="1"/>
    </xf>
    <xf numFmtId="10" fontId="0" fillId="0" borderId="35" xfId="0" applyNumberFormat="1" applyBorder="1" applyAlignment="1" applyProtection="1">
      <alignment horizontal="right" vertical="center"/>
      <protection hidden="1"/>
    </xf>
    <xf numFmtId="183" fontId="0" fillId="0" borderId="35" xfId="0" applyNumberFormat="1" applyBorder="1" applyAlignment="1" applyProtection="1">
      <alignment horizontal="right" vertical="center"/>
      <protection hidden="1"/>
    </xf>
    <xf numFmtId="182" fontId="0" fillId="0" borderId="35" xfId="0" applyNumberFormat="1" applyBorder="1" applyAlignment="1" applyProtection="1">
      <alignment horizontal="right" vertical="center"/>
      <protection hidden="1"/>
    </xf>
    <xf numFmtId="179" fontId="0" fillId="0" borderId="35" xfId="0" applyNumberFormat="1" applyBorder="1" applyAlignment="1" applyProtection="1">
      <alignment horizontal="right" vertical="center"/>
      <protection hidden="1"/>
    </xf>
    <xf numFmtId="179" fontId="0" fillId="0" borderId="35" xfId="0" applyNumberFormat="1" applyBorder="1" applyAlignment="1" applyProtection="1">
      <alignment horizontal="center" vertical="center"/>
      <protection hidden="1"/>
    </xf>
    <xf numFmtId="176" fontId="9" fillId="0" borderId="0" xfId="0" applyNumberFormat="1" applyFont="1" applyAlignment="1" applyProtection="1">
      <alignment horizontal="right" vertical="center"/>
      <protection hidden="1"/>
    </xf>
    <xf numFmtId="0" fontId="0" fillId="7" borderId="1" xfId="0" applyFill="1" applyBorder="1" applyAlignment="1" applyProtection="1">
      <protection hidden="1"/>
    </xf>
    <xf numFmtId="0" fontId="13" fillId="0" borderId="35" xfId="0" applyFont="1" applyBorder="1" applyProtection="1">
      <protection hidden="1"/>
    </xf>
    <xf numFmtId="176" fontId="0" fillId="0" borderId="35" xfId="0" applyNumberFormat="1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176" fontId="7" fillId="0" borderId="35" xfId="0" applyNumberFormat="1" applyFont="1" applyBorder="1" applyAlignment="1" applyProtection="1">
      <alignment horizontal="center"/>
      <protection hidden="1"/>
    </xf>
    <xf numFmtId="0" fontId="0" fillId="0" borderId="35" xfId="0" applyBorder="1" applyProtection="1">
      <protection hidden="1"/>
    </xf>
    <xf numFmtId="0" fontId="0" fillId="0" borderId="0" xfId="0" applyAlignment="1" applyProtection="1">
      <alignment horizontal="right"/>
      <protection hidden="1"/>
    </xf>
    <xf numFmtId="176" fontId="7" fillId="0" borderId="0" xfId="0" applyNumberFormat="1" applyFont="1" applyAlignment="1" applyProtection="1">
      <alignment horizontal="right"/>
      <protection hidden="1"/>
    </xf>
    <xf numFmtId="14" fontId="0" fillId="0" borderId="0" xfId="0" applyNumberFormat="1" applyAlignment="1" applyProtection="1">
      <alignment horizontal="left" vertical="center"/>
      <protection hidden="1"/>
    </xf>
    <xf numFmtId="0" fontId="0" fillId="0" borderId="0" xfId="0" applyNumberFormat="1" applyAlignment="1" applyProtection="1">
      <alignment horizontal="right"/>
      <protection hidden="1"/>
    </xf>
    <xf numFmtId="0" fontId="0" fillId="0" borderId="0" xfId="0" applyNumberFormat="1" applyAlignment="1" applyProtection="1">
      <alignment horizontal="right" vertical="center"/>
      <protection hidden="1"/>
    </xf>
    <xf numFmtId="0" fontId="0" fillId="0" borderId="16" xfId="0" applyNumberFormat="1" applyBorder="1" applyAlignment="1" applyProtection="1">
      <alignment horizontal="right" vertic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  <xf numFmtId="0" fontId="0" fillId="0" borderId="35" xfId="0" applyNumberFormat="1" applyBorder="1" applyAlignment="1" applyProtection="1">
      <alignment horizontal="right" vertical="center"/>
      <protection hidden="1"/>
    </xf>
    <xf numFmtId="9" fontId="0" fillId="0" borderId="16" xfId="0" applyNumberFormat="1" applyBorder="1" applyAlignment="1" applyProtection="1">
      <alignment horizontal="center" vertical="center"/>
      <protection hidden="1"/>
    </xf>
    <xf numFmtId="0" fontId="0" fillId="7" borderId="1" xfId="0" applyFill="1" applyBorder="1" applyAlignment="1" applyProtection="1">
      <alignment horizontal="center" vertical="center"/>
      <protection hidden="1"/>
    </xf>
    <xf numFmtId="10" fontId="0" fillId="7" borderId="1" xfId="0" applyNumberForma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35" xfId="0" applyBorder="1" applyAlignment="1" applyProtection="1">
      <alignment horizontal="center" vertical="center"/>
      <protection hidden="1"/>
    </xf>
    <xf numFmtId="176" fontId="0" fillId="0" borderId="0" xfId="0" applyNumberFormat="1" applyAlignment="1" applyProtection="1">
      <alignment horizontal="center" vertical="center"/>
      <protection hidden="1"/>
    </xf>
    <xf numFmtId="176" fontId="0" fillId="0" borderId="35" xfId="0" applyNumberFormat="1" applyBorder="1" applyAlignment="1" applyProtection="1">
      <alignment horizontal="center" vertical="center"/>
      <protection hidden="1"/>
    </xf>
    <xf numFmtId="9" fontId="0" fillId="0" borderId="0" xfId="0" applyNumberFormat="1" applyAlignment="1" applyProtection="1">
      <alignment horizontal="center" vertical="center"/>
      <protection hidden="1"/>
    </xf>
    <xf numFmtId="9" fontId="0" fillId="0" borderId="35" xfId="0" applyNumberFormat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78" fontId="0" fillId="0" borderId="0" xfId="0" applyNumberFormat="1" applyAlignment="1" applyProtection="1">
      <alignment horizontal="center" vertical="center"/>
      <protection hidden="1"/>
    </xf>
    <xf numFmtId="176" fontId="6" fillId="0" borderId="0" xfId="0" applyNumberFormat="1" applyFont="1" applyAlignment="1" applyProtection="1">
      <alignment horizontal="center" vertical="center"/>
      <protection hidden="1"/>
    </xf>
    <xf numFmtId="10" fontId="6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/>
      <protection hidden="1"/>
    </xf>
    <xf numFmtId="178" fontId="0" fillId="0" borderId="1" xfId="0" applyNumberFormat="1" applyBorder="1" applyProtection="1">
      <protection hidden="1"/>
    </xf>
    <xf numFmtId="179" fontId="0" fillId="0" borderId="1" xfId="0" applyNumberFormat="1" applyBorder="1" applyProtection="1">
      <protection hidden="1"/>
    </xf>
    <xf numFmtId="0" fontId="0" fillId="2" borderId="1" xfId="0" applyFill="1" applyBorder="1" applyProtection="1">
      <protection hidden="1"/>
    </xf>
    <xf numFmtId="0" fontId="0" fillId="0" borderId="1" xfId="0" applyBorder="1" applyAlignment="1" applyProtection="1">
      <alignment horizontal="right"/>
      <protection hidden="1"/>
    </xf>
    <xf numFmtId="178" fontId="0" fillId="2" borderId="1" xfId="0" applyNumberFormat="1" applyFill="1" applyBorder="1" applyProtection="1">
      <protection hidden="1"/>
    </xf>
    <xf numFmtId="10" fontId="0" fillId="2" borderId="1" xfId="0" applyNumberFormat="1" applyFill="1" applyBorder="1" applyProtection="1">
      <protection hidden="1"/>
    </xf>
    <xf numFmtId="179" fontId="0" fillId="3" borderId="1" xfId="0" applyNumberFormat="1" applyFill="1" applyBorder="1" applyProtection="1">
      <protection hidden="1"/>
    </xf>
    <xf numFmtId="187" fontId="0" fillId="0" borderId="1" xfId="0" applyNumberFormat="1" applyBorder="1" applyProtection="1">
      <protection hidden="1"/>
    </xf>
    <xf numFmtId="176" fontId="0" fillId="0" borderId="1" xfId="0" applyNumberFormat="1" applyBorder="1" applyAlignment="1" applyProtection="1">
      <alignment horizontal="center"/>
      <protection hidden="1"/>
    </xf>
    <xf numFmtId="176" fontId="0" fillId="0" borderId="1" xfId="0" applyNumberFormat="1" applyBorder="1" applyAlignment="1" applyProtection="1">
      <alignment horizontal="right"/>
      <protection hidden="1"/>
    </xf>
    <xf numFmtId="176" fontId="0" fillId="2" borderId="1" xfId="0" applyNumberFormat="1" applyFill="1" applyBorder="1" applyAlignment="1" applyProtection="1">
      <alignment horizontal="right"/>
      <protection hidden="1"/>
    </xf>
    <xf numFmtId="178" fontId="0" fillId="2" borderId="1" xfId="0" applyNumberFormat="1" applyFill="1" applyBorder="1" applyAlignment="1" applyProtection="1">
      <alignment horizontal="right"/>
      <protection hidden="1"/>
    </xf>
    <xf numFmtId="178" fontId="0" fillId="0" borderId="0" xfId="0" applyNumberFormat="1" applyProtection="1">
      <protection hidden="1"/>
    </xf>
    <xf numFmtId="179" fontId="0" fillId="0" borderId="0" xfId="0" applyNumberFormat="1" applyProtection="1">
      <protection hidden="1"/>
    </xf>
    <xf numFmtId="0" fontId="5" fillId="0" borderId="23" xfId="0" applyFont="1" applyBorder="1" applyProtection="1">
      <protection hidden="1"/>
    </xf>
    <xf numFmtId="176" fontId="0" fillId="0" borderId="28" xfId="0" applyNumberFormat="1" applyBorder="1" applyProtection="1">
      <protection hidden="1"/>
    </xf>
    <xf numFmtId="176" fontId="0" fillId="0" borderId="23" xfId="0" applyNumberFormat="1" applyBorder="1" applyProtection="1"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0" xfId="0" applyBorder="1" applyAlignment="1" applyProtection="1">
      <alignment vertical="center" wrapText="1"/>
      <protection hidden="1"/>
    </xf>
    <xf numFmtId="0" fontId="0" fillId="0" borderId="0" xfId="0" applyAlignment="1" applyProtection="1">
      <alignment vertical="center" wrapText="1"/>
      <protection hidden="1"/>
    </xf>
    <xf numFmtId="0" fontId="5" fillId="0" borderId="22" xfId="0" applyFont="1" applyBorder="1" applyProtection="1">
      <protection hidden="1"/>
    </xf>
    <xf numFmtId="176" fontId="0" fillId="0" borderId="22" xfId="0" applyNumberFormat="1" applyBorder="1" applyProtection="1">
      <protection hidden="1"/>
    </xf>
    <xf numFmtId="0" fontId="0" fillId="0" borderId="31" xfId="0" applyBorder="1" applyProtection="1">
      <protection hidden="1"/>
    </xf>
    <xf numFmtId="176" fontId="0" fillId="0" borderId="32" xfId="0" applyNumberFormat="1" applyBorder="1" applyProtection="1">
      <protection hidden="1"/>
    </xf>
    <xf numFmtId="0" fontId="0" fillId="0" borderId="29" xfId="0" applyBorder="1" applyProtection="1">
      <protection hidden="1"/>
    </xf>
    <xf numFmtId="176" fontId="0" fillId="0" borderId="30" xfId="0" applyNumberFormat="1" applyBorder="1" applyProtection="1">
      <protection hidden="1"/>
    </xf>
    <xf numFmtId="0" fontId="0" fillId="0" borderId="32" xfId="0" applyBorder="1" applyProtection="1">
      <protection hidden="1"/>
    </xf>
    <xf numFmtId="180" fontId="0" fillId="0" borderId="32" xfId="0" applyNumberFormat="1" applyBorder="1" applyProtection="1">
      <protection hidden="1"/>
    </xf>
    <xf numFmtId="180" fontId="0" fillId="0" borderId="0" xfId="0" applyNumberFormat="1" applyProtection="1">
      <protection hidden="1"/>
    </xf>
    <xf numFmtId="0" fontId="0" fillId="0" borderId="33" xfId="0" applyBorder="1" applyProtection="1">
      <protection hidden="1"/>
    </xf>
    <xf numFmtId="181" fontId="0" fillId="0" borderId="34" xfId="0" applyNumberFormat="1" applyBorder="1" applyProtection="1">
      <protection hidden="1"/>
    </xf>
    <xf numFmtId="181" fontId="0" fillId="0" borderId="0" xfId="0" applyNumberFormat="1" applyProtection="1">
      <protection hidden="1"/>
    </xf>
    <xf numFmtId="176" fontId="0" fillId="0" borderId="2" xfId="0" applyNumberFormat="1" applyBorder="1" applyProtection="1">
      <protection hidden="1"/>
    </xf>
    <xf numFmtId="186" fontId="0" fillId="2" borderId="1" xfId="0" applyNumberFormat="1" applyFill="1" applyBorder="1" applyProtection="1">
      <protection hidden="1"/>
    </xf>
    <xf numFmtId="186" fontId="0" fillId="0" borderId="1" xfId="0" applyNumberFormat="1" applyBorder="1" applyProtection="1">
      <protection hidden="1"/>
    </xf>
    <xf numFmtId="176" fontId="5" fillId="0" borderId="0" xfId="0" applyNumberFormat="1" applyFont="1" applyAlignment="1" applyProtection="1">
      <alignment horizontal="center" vertical="center"/>
      <protection hidden="1"/>
    </xf>
    <xf numFmtId="10" fontId="5" fillId="0" borderId="0" xfId="0" applyNumberFormat="1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6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vertical="center"/>
      <protection hidden="1"/>
    </xf>
    <xf numFmtId="0" fontId="5" fillId="6" borderId="1" xfId="0" applyFont="1" applyFill="1" applyBorder="1" applyAlignment="1" applyProtection="1">
      <alignment vertical="center"/>
      <protection locked="0" hidden="1"/>
    </xf>
    <xf numFmtId="0" fontId="0" fillId="0" borderId="5" xfId="0" applyBorder="1" applyAlignment="1" applyProtection="1">
      <alignment vertical="center"/>
      <protection hidden="1"/>
    </xf>
    <xf numFmtId="176" fontId="0" fillId="6" borderId="20" xfId="0" applyNumberFormat="1" applyFill="1" applyBorder="1" applyAlignment="1" applyProtection="1">
      <alignment vertical="center"/>
      <protection locked="0" hidden="1"/>
    </xf>
    <xf numFmtId="0" fontId="0" fillId="0" borderId="2" xfId="0" applyBorder="1" applyAlignment="1" applyProtection="1">
      <alignment vertical="center"/>
      <protection hidden="1"/>
    </xf>
    <xf numFmtId="179" fontId="0" fillId="0" borderId="6" xfId="0" applyNumberForma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0" fillId="6" borderId="1" xfId="0" applyFill="1" applyBorder="1" applyAlignment="1" applyProtection="1">
      <alignment vertical="center"/>
      <protection locked="0" hidden="1"/>
    </xf>
    <xf numFmtId="10" fontId="0" fillId="6" borderId="20" xfId="0" applyNumberFormat="1" applyFill="1" applyBorder="1" applyAlignment="1" applyProtection="1">
      <alignment vertical="center"/>
      <protection locked="0" hidden="1"/>
    </xf>
    <xf numFmtId="10" fontId="0" fillId="0" borderId="6" xfId="0" applyNumberFormat="1" applyBorder="1" applyAlignment="1" applyProtection="1">
      <alignment vertical="center"/>
      <protection hidden="1"/>
    </xf>
    <xf numFmtId="0" fontId="16" fillId="0" borderId="0" xfId="0" applyFont="1" applyAlignment="1" applyProtection="1">
      <alignment vertical="center"/>
      <protection hidden="1"/>
    </xf>
    <xf numFmtId="0" fontId="17" fillId="6" borderId="1" xfId="0" applyFont="1" applyFill="1" applyBorder="1" applyAlignment="1" applyProtection="1">
      <alignment vertical="center"/>
      <protection locked="0" hidden="1"/>
    </xf>
    <xf numFmtId="0" fontId="0" fillId="0" borderId="0" xfId="0" applyFill="1" applyBorder="1" applyAlignment="1" applyProtection="1">
      <alignment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0" fillId="6" borderId="10" xfId="0" applyFill="1" applyBorder="1" applyAlignment="1" applyProtection="1">
      <alignment vertical="center"/>
      <protection locked="0" hidden="1"/>
    </xf>
    <xf numFmtId="0" fontId="0" fillId="0" borderId="8" xfId="0" applyBorder="1" applyAlignment="1" applyProtection="1">
      <alignment vertical="center"/>
      <protection hidden="1"/>
    </xf>
    <xf numFmtId="177" fontId="0" fillId="6" borderId="20" xfId="0" applyNumberFormat="1" applyFill="1" applyBorder="1" applyAlignment="1" applyProtection="1">
      <alignment vertical="center"/>
      <protection locked="0" hidden="1"/>
    </xf>
    <xf numFmtId="0" fontId="0" fillId="0" borderId="19" xfId="0" applyBorder="1" applyAlignment="1" applyProtection="1">
      <alignment vertical="center"/>
      <protection hidden="1"/>
    </xf>
    <xf numFmtId="177" fontId="0" fillId="0" borderId="8" xfId="0" applyNumberFormat="1" applyBorder="1" applyAlignment="1" applyProtection="1">
      <alignment vertical="center"/>
      <protection hidden="1"/>
    </xf>
    <xf numFmtId="0" fontId="0" fillId="6" borderId="20" xfId="0" applyFill="1" applyBorder="1" applyAlignment="1" applyProtection="1">
      <alignment vertical="center"/>
      <protection locked="0" hidden="1"/>
    </xf>
    <xf numFmtId="0" fontId="0" fillId="7" borderId="4" xfId="0" applyFill="1" applyBorder="1" applyAlignment="1" applyProtection="1">
      <alignment horizontal="center" vertical="center"/>
      <protection hidden="1"/>
    </xf>
    <xf numFmtId="0" fontId="0" fillId="6" borderId="20" xfId="0" applyFill="1" applyBorder="1" applyAlignment="1" applyProtection="1">
      <alignment horizontal="right" vertical="center"/>
      <protection locked="0" hidden="1"/>
    </xf>
    <xf numFmtId="0" fontId="0" fillId="0" borderId="18" xfId="0" applyBorder="1" applyAlignment="1" applyProtection="1">
      <alignment vertical="center"/>
      <protection hidden="1"/>
    </xf>
    <xf numFmtId="0" fontId="0" fillId="6" borderId="4" xfId="0" applyFill="1" applyBorder="1" applyAlignment="1" applyProtection="1">
      <alignment vertical="center"/>
      <protection locked="0" hidden="1"/>
    </xf>
    <xf numFmtId="0" fontId="0" fillId="6" borderId="6" xfId="0" applyFill="1" applyBorder="1" applyAlignment="1" applyProtection="1">
      <alignment horizontal="center" vertical="center"/>
      <protection locked="0" hidden="1"/>
    </xf>
    <xf numFmtId="10" fontId="0" fillId="6" borderId="6" xfId="0" applyNumberFormat="1" applyFill="1" applyBorder="1" applyAlignment="1" applyProtection="1">
      <alignment vertical="center"/>
      <protection locked="0" hidden="1"/>
    </xf>
    <xf numFmtId="185" fontId="0" fillId="0" borderId="6" xfId="0" applyNumberFormat="1" applyBorder="1" applyAlignment="1" applyProtection="1">
      <alignment vertical="center"/>
      <protection hidden="1"/>
    </xf>
    <xf numFmtId="10" fontId="0" fillId="0" borderId="1" xfId="0" applyNumberFormat="1" applyBorder="1" applyAlignment="1" applyProtection="1">
      <alignment vertical="center"/>
      <protection hidden="1"/>
    </xf>
    <xf numFmtId="10" fontId="0" fillId="0" borderId="6" xfId="0" applyNumberFormat="1" applyBorder="1" applyAlignment="1" applyProtection="1">
      <alignment horizontal="right" vertical="center"/>
      <protection hidden="1"/>
    </xf>
    <xf numFmtId="0" fontId="0" fillId="6" borderId="6" xfId="0" applyFill="1" applyBorder="1" applyAlignment="1" applyProtection="1">
      <alignment vertical="center"/>
      <protection locked="0" hidden="1"/>
    </xf>
    <xf numFmtId="10" fontId="0" fillId="6" borderId="21" xfId="0" applyNumberFormat="1" applyFill="1" applyBorder="1" applyAlignment="1" applyProtection="1">
      <alignment vertical="center"/>
      <protection locked="0" hidden="1"/>
    </xf>
    <xf numFmtId="0" fontId="0" fillId="6" borderId="8" xfId="0" applyFill="1" applyBorder="1" applyAlignment="1" applyProtection="1">
      <alignment vertical="center"/>
      <protection locked="0" hidden="1"/>
    </xf>
    <xf numFmtId="9" fontId="0" fillId="0" borderId="1" xfId="0" applyNumberFormat="1" applyBorder="1" applyAlignment="1" applyProtection="1">
      <alignment vertical="center"/>
      <protection hidden="1"/>
    </xf>
    <xf numFmtId="185" fontId="0" fillId="0" borderId="8" xfId="0" applyNumberFormat="1" applyBorder="1" applyAlignment="1" applyProtection="1">
      <alignment vertical="center"/>
      <protection hidden="1"/>
    </xf>
    <xf numFmtId="10" fontId="0" fillId="0" borderId="10" xfId="0" applyNumberFormat="1" applyBorder="1" applyAlignment="1" applyProtection="1">
      <alignment vertical="center"/>
      <protection hidden="1"/>
    </xf>
    <xf numFmtId="176" fontId="0" fillId="0" borderId="0" xfId="0" applyNumberFormat="1" applyAlignment="1" applyProtection="1">
      <alignment vertical="center"/>
      <protection hidden="1"/>
    </xf>
    <xf numFmtId="10" fontId="0" fillId="0" borderId="8" xfId="0" applyNumberFormat="1" applyBorder="1" applyAlignment="1" applyProtection="1">
      <alignment vertical="center"/>
      <protection hidden="1"/>
    </xf>
    <xf numFmtId="0" fontId="18" fillId="6" borderId="1" xfId="0" applyFont="1" applyFill="1" applyBorder="1" applyAlignment="1" applyProtection="1">
      <alignment vertical="center"/>
      <protection locked="0" hidden="1"/>
    </xf>
    <xf numFmtId="9" fontId="0" fillId="6" borderId="1" xfId="0" applyNumberFormat="1" applyFill="1" applyBorder="1" applyAlignment="1" applyProtection="1">
      <alignment vertical="center"/>
      <protection locked="0" hidden="1"/>
    </xf>
    <xf numFmtId="0" fontId="0" fillId="6" borderId="4" xfId="0" applyFill="1" applyBorder="1" applyAlignment="1" applyProtection="1">
      <alignment horizontal="center" vertical="center"/>
      <protection locked="0" hidden="1"/>
    </xf>
    <xf numFmtId="176" fontId="6" fillId="9" borderId="6" xfId="0" applyNumberFormat="1" applyFont="1" applyFill="1" applyBorder="1" applyAlignment="1" applyProtection="1">
      <alignment horizontal="center" vertical="center"/>
      <protection hidden="1"/>
    </xf>
    <xf numFmtId="0" fontId="4" fillId="3" borderId="1" xfId="1" applyFont="1" applyFill="1" applyBorder="1" applyAlignment="1" applyProtection="1">
      <alignment horizontal="center" vertical="center"/>
      <protection locked="0" hidden="1"/>
    </xf>
    <xf numFmtId="0" fontId="4" fillId="3" borderId="10" xfId="1" applyFont="1" applyFill="1" applyBorder="1" applyAlignment="1" applyProtection="1">
      <alignment horizontal="center" vertical="center"/>
      <protection locked="0" hidden="1"/>
    </xf>
    <xf numFmtId="0" fontId="2" fillId="5" borderId="3" xfId="0" applyFont="1" applyFill="1" applyBorder="1" applyAlignment="1" applyProtection="1">
      <alignment horizontal="center" vertical="center"/>
      <protection hidden="1"/>
    </xf>
    <xf numFmtId="0" fontId="2" fillId="5" borderId="9" xfId="0" applyFont="1" applyFill="1" applyBorder="1" applyAlignment="1" applyProtection="1">
      <alignment horizontal="center" vertical="center"/>
      <protection hidden="1"/>
    </xf>
    <xf numFmtId="0" fontId="2" fillId="5" borderId="4" xfId="0" applyFont="1" applyFill="1" applyBorder="1" applyAlignment="1" applyProtection="1">
      <alignment horizontal="center" vertical="center"/>
      <protection hidden="1"/>
    </xf>
    <xf numFmtId="0" fontId="2" fillId="5" borderId="5" xfId="0" applyFont="1" applyFill="1" applyBorder="1" applyAlignment="1" applyProtection="1">
      <alignment horizontal="center" vertical="center"/>
      <protection hidden="1"/>
    </xf>
    <xf numFmtId="0" fontId="2" fillId="5" borderId="1" xfId="0" applyFont="1" applyFill="1" applyBorder="1" applyAlignment="1" applyProtection="1">
      <alignment horizontal="center" vertical="center"/>
      <protection hidden="1"/>
    </xf>
    <xf numFmtId="0" fontId="2" fillId="5" borderId="6" xfId="0" applyFont="1" applyFill="1" applyBorder="1" applyAlignment="1" applyProtection="1">
      <alignment horizontal="center" vertical="center"/>
      <protection hidden="1"/>
    </xf>
    <xf numFmtId="0" fontId="4" fillId="3" borderId="6" xfId="1" applyFont="1" applyFill="1" applyBorder="1" applyAlignment="1" applyProtection="1">
      <alignment horizontal="center" vertical="center"/>
      <protection locked="0" hidden="1"/>
    </xf>
    <xf numFmtId="0" fontId="4" fillId="3" borderId="8" xfId="1" applyFont="1" applyFill="1" applyBorder="1" applyAlignment="1" applyProtection="1">
      <alignment horizontal="center" vertical="center"/>
      <protection locked="0" hidden="1"/>
    </xf>
    <xf numFmtId="0" fontId="4" fillId="4" borderId="5" xfId="1" applyFont="1" applyFill="1" applyBorder="1" applyAlignment="1" applyProtection="1">
      <alignment horizontal="center" vertical="center"/>
      <protection locked="0" hidden="1"/>
    </xf>
    <xf numFmtId="0" fontId="4" fillId="4" borderId="7" xfId="1" applyFont="1" applyFill="1" applyBorder="1" applyAlignment="1" applyProtection="1">
      <alignment horizontal="center" vertical="center"/>
      <protection locked="0" hidden="1"/>
    </xf>
    <xf numFmtId="0" fontId="0" fillId="3" borderId="1" xfId="0" applyFill="1" applyBorder="1" applyAlignment="1" applyProtection="1">
      <alignment horizontal="center" vertical="center" wrapText="1"/>
      <protection locked="0" hidden="1"/>
    </xf>
    <xf numFmtId="0" fontId="4" fillId="3" borderId="5" xfId="1" applyFont="1" applyFill="1" applyBorder="1" applyAlignment="1" applyProtection="1">
      <alignment horizontal="center" vertical="center"/>
      <protection locked="0" hidden="1"/>
    </xf>
    <xf numFmtId="0" fontId="4" fillId="3" borderId="7" xfId="1" applyFont="1" applyFill="1" applyBorder="1" applyAlignment="1" applyProtection="1">
      <alignment horizontal="center" vertical="center"/>
      <protection locked="0" hidden="1"/>
    </xf>
    <xf numFmtId="0" fontId="4" fillId="4" borderId="1" xfId="1" applyFont="1" applyFill="1" applyBorder="1" applyAlignment="1" applyProtection="1">
      <alignment horizontal="center" vertical="center"/>
      <protection locked="0" hidden="1"/>
    </xf>
    <xf numFmtId="0" fontId="4" fillId="4" borderId="10" xfId="1" applyFont="1" applyFill="1" applyBorder="1" applyAlignment="1" applyProtection="1">
      <alignment horizontal="center" vertical="center"/>
      <protection locked="0" hidden="1"/>
    </xf>
    <xf numFmtId="0" fontId="0" fillId="7" borderId="1" xfId="0" applyFill="1" applyBorder="1" applyAlignment="1" applyProtection="1">
      <alignment horizontal="center" vertical="center"/>
      <protection hidden="1"/>
    </xf>
    <xf numFmtId="9" fontId="0" fillId="6" borderId="1" xfId="0" applyNumberFormat="1" applyFill="1" applyBorder="1" applyAlignment="1" applyProtection="1">
      <alignment horizontal="center" vertical="center"/>
      <protection locked="0" hidden="1"/>
    </xf>
    <xf numFmtId="0" fontId="7" fillId="7" borderId="13" xfId="0" applyFont="1" applyFill="1" applyBorder="1" applyAlignment="1" applyProtection="1">
      <alignment horizontal="right" vertical="center"/>
      <protection hidden="1"/>
    </xf>
    <xf numFmtId="0" fontId="7" fillId="7" borderId="14" xfId="0" applyFont="1" applyFill="1" applyBorder="1" applyAlignment="1" applyProtection="1">
      <alignment horizontal="right" vertical="center"/>
      <protection hidden="1"/>
    </xf>
    <xf numFmtId="0" fontId="0" fillId="7" borderId="24" xfId="0" applyFill="1" applyBorder="1" applyAlignment="1" applyProtection="1">
      <alignment horizontal="center" vertical="center"/>
      <protection hidden="1"/>
    </xf>
    <xf numFmtId="0" fontId="0" fillId="7" borderId="25" xfId="0" applyFill="1" applyBorder="1" applyAlignment="1" applyProtection="1">
      <alignment horizontal="center" vertical="center"/>
      <protection hidden="1"/>
    </xf>
    <xf numFmtId="0" fontId="0" fillId="7" borderId="26" xfId="0" applyFill="1" applyBorder="1" applyAlignment="1" applyProtection="1">
      <alignment horizontal="center" vertical="center"/>
      <protection hidden="1"/>
    </xf>
    <xf numFmtId="0" fontId="0" fillId="7" borderId="27" xfId="0" applyFill="1" applyBorder="1" applyAlignment="1" applyProtection="1">
      <alignment horizontal="center" vertical="center"/>
      <protection hidden="1"/>
    </xf>
    <xf numFmtId="0" fontId="0" fillId="7" borderId="12" xfId="0" applyFill="1" applyBorder="1" applyAlignment="1" applyProtection="1">
      <alignment horizontal="right" vertical="center"/>
      <protection hidden="1"/>
    </xf>
    <xf numFmtId="0" fontId="0" fillId="7" borderId="13" xfId="0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left" vertical="center" wrapText="1"/>
      <protection hidden="1"/>
    </xf>
    <xf numFmtId="0" fontId="0" fillId="0" borderId="13" xfId="0" applyBorder="1" applyAlignment="1" applyProtection="1">
      <alignment horizontal="left" vertical="center" wrapText="1"/>
      <protection hidden="1"/>
    </xf>
    <xf numFmtId="0" fontId="0" fillId="0" borderId="14" xfId="0" applyBorder="1" applyAlignment="1" applyProtection="1">
      <alignment horizontal="left" vertical="center" wrapText="1"/>
      <protection hidden="1"/>
    </xf>
    <xf numFmtId="0" fontId="0" fillId="0" borderId="37" xfId="0" applyBorder="1" applyAlignment="1" applyProtection="1">
      <alignment horizontal="left" vertical="center" wrapText="1"/>
      <protection hidden="1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38" xfId="0" applyBorder="1" applyAlignment="1" applyProtection="1">
      <alignment horizontal="left" vertical="center" wrapText="1"/>
      <protection hidden="1"/>
    </xf>
    <xf numFmtId="0" fontId="0" fillId="0" borderId="15" xfId="0" applyBorder="1" applyAlignment="1" applyProtection="1">
      <alignment horizontal="left" vertical="center" wrapText="1"/>
      <protection hidden="1"/>
    </xf>
    <xf numFmtId="0" fontId="0" fillId="0" borderId="16" xfId="0" applyBorder="1" applyAlignment="1" applyProtection="1">
      <alignment horizontal="left" vertical="center" wrapText="1"/>
      <protection hidden="1"/>
    </xf>
    <xf numFmtId="0" fontId="0" fillId="0" borderId="17" xfId="0" applyBorder="1" applyAlignment="1" applyProtection="1">
      <alignment horizontal="left" vertical="center" wrapText="1"/>
      <protection hidden="1"/>
    </xf>
    <xf numFmtId="0" fontId="6" fillId="8" borderId="3" xfId="0" applyFont="1" applyFill="1" applyBorder="1" applyAlignment="1" applyProtection="1">
      <alignment horizontal="center" vertical="center"/>
      <protection hidden="1"/>
    </xf>
    <xf numFmtId="0" fontId="6" fillId="8" borderId="9" xfId="0" applyFont="1" applyFill="1" applyBorder="1" applyAlignment="1" applyProtection="1">
      <alignment horizontal="center" vertical="center"/>
      <protection hidden="1"/>
    </xf>
    <xf numFmtId="0" fontId="6" fillId="8" borderId="4" xfId="0" applyFont="1" applyFill="1" applyBorder="1" applyAlignment="1" applyProtection="1">
      <alignment horizontal="center" vertical="center"/>
      <protection hidden="1"/>
    </xf>
    <xf numFmtId="176" fontId="0" fillId="0" borderId="7" xfId="0" applyNumberFormat="1" applyBorder="1" applyAlignment="1" applyProtection="1">
      <alignment horizontal="center" vertical="center"/>
      <protection hidden="1"/>
    </xf>
    <xf numFmtId="176" fontId="0" fillId="0" borderId="10" xfId="0" applyNumberFormat="1" applyBorder="1" applyAlignment="1" applyProtection="1">
      <alignment horizontal="center" vertical="center"/>
      <protection hidden="1"/>
    </xf>
    <xf numFmtId="176" fontId="0" fillId="0" borderId="8" xfId="0" applyNumberFormat="1" applyBorder="1" applyAlignment="1" applyProtection="1">
      <alignment horizontal="center" vertical="center"/>
      <protection hidden="1"/>
    </xf>
    <xf numFmtId="0" fontId="0" fillId="7" borderId="3" xfId="0" applyFill="1" applyBorder="1" applyAlignment="1" applyProtection="1">
      <alignment horizontal="center" vertical="center"/>
      <protection hidden="1"/>
    </xf>
    <xf numFmtId="0" fontId="0" fillId="7" borderId="5" xfId="0" applyFill="1" applyBorder="1" applyAlignment="1" applyProtection="1">
      <alignment horizontal="center" vertical="center"/>
      <protection hidden="1"/>
    </xf>
    <xf numFmtId="0" fontId="0" fillId="7" borderId="14" xfId="0" applyFill="1" applyBorder="1" applyAlignment="1" applyProtection="1">
      <alignment horizontal="center" vertical="center"/>
      <protection hidden="1"/>
    </xf>
    <xf numFmtId="0" fontId="0" fillId="7" borderId="39" xfId="0" applyFill="1" applyBorder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10" fontId="0" fillId="0" borderId="0" xfId="0" applyNumberFormat="1" applyAlignment="1" applyProtection="1">
      <alignment horizontal="center" vertical="center"/>
      <protection hidden="1"/>
    </xf>
    <xf numFmtId="176" fontId="0" fillId="0" borderId="0" xfId="0" applyNumberForma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176" fontId="6" fillId="0" borderId="0" xfId="0" applyNumberFormat="1" applyFont="1" applyAlignment="1" applyProtection="1">
      <alignment horizontal="center" vertical="center"/>
      <protection hidden="1"/>
    </xf>
    <xf numFmtId="10" fontId="6" fillId="0" borderId="0" xfId="0" applyNumberFormat="1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0" fontId="0" fillId="0" borderId="1" xfId="0" applyBorder="1" applyAlignment="1" applyProtection="1">
      <alignment horizontal="left" vertical="top" wrapText="1"/>
      <protection hidden="1"/>
    </xf>
    <xf numFmtId="0" fontId="0" fillId="7" borderId="11" xfId="0" applyFill="1" applyBorder="1" applyAlignment="1" applyProtection="1">
      <alignment horizontal="center" vertical="center"/>
      <protection hidden="1"/>
    </xf>
    <xf numFmtId="0" fontId="0" fillId="7" borderId="2" xfId="0" applyFill="1" applyBorder="1" applyAlignment="1" applyProtection="1">
      <alignment horizontal="center" vertical="center"/>
      <protection hidden="1"/>
    </xf>
    <xf numFmtId="0" fontId="6" fillId="8" borderId="5" xfId="0" applyFont="1" applyFill="1" applyBorder="1" applyAlignment="1" applyProtection="1">
      <alignment horizontal="center" vertical="center"/>
      <protection hidden="1"/>
    </xf>
    <xf numFmtId="0" fontId="6" fillId="8" borderId="1" xfId="0" applyFont="1" applyFill="1" applyBorder="1" applyAlignment="1" applyProtection="1">
      <alignment horizontal="center" vertical="center"/>
      <protection hidden="1"/>
    </xf>
    <xf numFmtId="9" fontId="0" fillId="6" borderId="11" xfId="0" applyNumberFormat="1" applyFill="1" applyBorder="1" applyAlignment="1" applyProtection="1">
      <alignment horizontal="center" vertical="center"/>
      <protection locked="0" hidden="1"/>
    </xf>
    <xf numFmtId="9" fontId="0" fillId="6" borderId="2" xfId="0" applyNumberFormat="1" applyFill="1" applyBorder="1" applyAlignment="1" applyProtection="1">
      <alignment horizontal="center" vertical="center"/>
      <protection locked="0" hidden="1"/>
    </xf>
    <xf numFmtId="0" fontId="12" fillId="3" borderId="7" xfId="1" applyFont="1" applyFill="1" applyBorder="1" applyAlignment="1" applyProtection="1">
      <alignment horizontal="center" vertical="center"/>
      <protection locked="0" hidden="1"/>
    </xf>
    <xf numFmtId="0" fontId="12" fillId="3" borderId="10" xfId="1" applyFont="1" applyFill="1" applyBorder="1" applyAlignment="1" applyProtection="1">
      <alignment horizontal="center" vertical="center"/>
      <protection locked="0" hidden="1"/>
    </xf>
    <xf numFmtId="0" fontId="12" fillId="3" borderId="8" xfId="1" applyFont="1" applyFill="1" applyBorder="1" applyAlignment="1" applyProtection="1">
      <alignment horizontal="center" vertical="center"/>
      <protection locked="0" hidden="1"/>
    </xf>
    <xf numFmtId="0" fontId="5" fillId="7" borderId="3" xfId="0" applyFont="1" applyFill="1" applyBorder="1" applyAlignment="1" applyProtection="1">
      <alignment horizontal="center" vertical="center"/>
      <protection hidden="1"/>
    </xf>
    <xf numFmtId="0" fontId="5" fillId="7" borderId="9" xfId="0" applyFont="1" applyFill="1" applyBorder="1" applyAlignment="1" applyProtection="1">
      <alignment horizontal="center" vertical="center"/>
      <protection hidden="1"/>
    </xf>
    <xf numFmtId="0" fontId="0" fillId="7" borderId="18" xfId="0" applyFill="1" applyBorder="1" applyAlignment="1" applyProtection="1">
      <alignment horizontal="center" vertical="center"/>
      <protection hidden="1"/>
    </xf>
    <xf numFmtId="0" fontId="0" fillId="7" borderId="4" xfId="0" applyFill="1" applyBorder="1" applyAlignment="1" applyProtection="1">
      <alignment horizontal="center" vertical="center"/>
      <protection hidden="1"/>
    </xf>
    <xf numFmtId="0" fontId="0" fillId="7" borderId="36" xfId="0" applyFill="1" applyBorder="1" applyAlignment="1" applyProtection="1">
      <alignment horizontal="center" vertical="center"/>
      <protection hidden="1"/>
    </xf>
    <xf numFmtId="176" fontId="5" fillId="0" borderId="0" xfId="0" applyNumberFormat="1" applyFont="1" applyAlignment="1" applyProtection="1">
      <alignment horizontal="center" vertical="center"/>
      <protection hidden="1"/>
    </xf>
    <xf numFmtId="10" fontId="5" fillId="0" borderId="0" xfId="0" applyNumberFormat="1" applyFont="1" applyAlignment="1" applyProtection="1">
      <alignment horizontal="center" vertical="center"/>
      <protection hidden="1"/>
    </xf>
    <xf numFmtId="10" fontId="0" fillId="7" borderId="1" xfId="0" applyNumberFormat="1" applyFill="1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0" borderId="35" xfId="0" applyBorder="1" applyAlignment="1" applyProtection="1">
      <alignment horizontal="center" vertical="center"/>
      <protection hidden="1"/>
    </xf>
    <xf numFmtId="176" fontId="0" fillId="0" borderId="35" xfId="0" applyNumberForma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35" xfId="0" applyBorder="1" applyAlignment="1" applyProtection="1">
      <alignment horizontal="center" vertical="center" wrapText="1"/>
      <protection hidden="1"/>
    </xf>
    <xf numFmtId="9" fontId="0" fillId="0" borderId="13" xfId="0" applyNumberFormat="1" applyBorder="1" applyAlignment="1" applyProtection="1">
      <alignment horizontal="center" vertical="center"/>
      <protection hidden="1"/>
    </xf>
    <xf numFmtId="9" fontId="0" fillId="0" borderId="0" xfId="0" applyNumberFormat="1" applyAlignment="1" applyProtection="1">
      <alignment horizontal="center" vertical="center"/>
      <protection hidden="1"/>
    </xf>
    <xf numFmtId="9" fontId="0" fillId="0" borderId="35" xfId="0" applyNumberFormat="1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 wrapText="1"/>
      <protection hidden="1"/>
    </xf>
    <xf numFmtId="176" fontId="10" fillId="0" borderId="13" xfId="0" applyNumberFormat="1" applyFont="1" applyBorder="1" applyAlignment="1" applyProtection="1">
      <alignment horizontal="center" vertical="center"/>
      <protection hidden="1"/>
    </xf>
    <xf numFmtId="176" fontId="10" fillId="0" borderId="0" xfId="0" applyNumberFormat="1" applyFont="1" applyAlignment="1" applyProtection="1">
      <alignment horizontal="center" vertical="center"/>
      <protection hidden="1"/>
    </xf>
    <xf numFmtId="176" fontId="10" fillId="0" borderId="35" xfId="0" applyNumberFormat="1" applyFont="1" applyBorder="1" applyAlignment="1" applyProtection="1">
      <alignment horizontal="center" vertical="center"/>
      <protection hidden="1"/>
    </xf>
    <xf numFmtId="184" fontId="0" fillId="0" borderId="13" xfId="0" applyNumberFormat="1" applyBorder="1" applyAlignment="1" applyProtection="1">
      <alignment horizontal="center" vertical="center"/>
      <protection hidden="1"/>
    </xf>
    <xf numFmtId="184" fontId="0" fillId="0" borderId="0" xfId="0" applyNumberFormat="1" applyAlignment="1" applyProtection="1">
      <alignment horizontal="center" vertical="center"/>
      <protection hidden="1"/>
    </xf>
    <xf numFmtId="0" fontId="0" fillId="0" borderId="13" xfId="0" applyNumberFormat="1" applyBorder="1" applyAlignment="1" applyProtection="1">
      <alignment horizontal="center" vertical="center"/>
      <protection hidden="1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colors>
    <mruColors>
      <color rgb="FFFF0000"/>
      <color rgb="FFC80000"/>
      <color rgb="FFFA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9524</xdr:colOff>
      <xdr:row>5</xdr:row>
      <xdr:rowOff>9525</xdr:rowOff>
    </xdr:from>
    <xdr:to>
      <xdr:col>18</xdr:col>
      <xdr:colOff>647699</xdr:colOff>
      <xdr:row>35</xdr:row>
      <xdr:rowOff>180975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85"/>
        <a:stretch/>
      </xdr:blipFill>
      <xdr:spPr>
        <a:xfrm>
          <a:off x="4333874" y="923925"/>
          <a:ext cx="8524875" cy="56102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16</xdr:row>
      <xdr:rowOff>0</xdr:rowOff>
    </xdr:from>
    <xdr:to>
      <xdr:col>19</xdr:col>
      <xdr:colOff>328</xdr:colOff>
      <xdr:row>39</xdr:row>
      <xdr:rowOff>152400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4350" y="2400300"/>
          <a:ext cx="8544253" cy="431482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41</xdr:row>
      <xdr:rowOff>0</xdr:rowOff>
    </xdr:from>
    <xdr:to>
      <xdr:col>19</xdr:col>
      <xdr:colOff>9525</xdr:colOff>
      <xdr:row>49</xdr:row>
      <xdr:rowOff>155972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4350" y="7286625"/>
          <a:ext cx="8553450" cy="16037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4097" name="导入分析模式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4098" name="导入模拟模式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0</xdr:colOff>
      <xdr:row>52</xdr:row>
      <xdr:rowOff>0</xdr:rowOff>
    </xdr:from>
    <xdr:to>
      <xdr:col>13</xdr:col>
      <xdr:colOff>304800</xdr:colOff>
      <xdr:row>81</xdr:row>
      <xdr:rowOff>9525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4350" y="9458325"/>
          <a:ext cx="4905375" cy="5257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9525</xdr:rowOff>
        </xdr:from>
        <xdr:to>
          <xdr:col>10</xdr:col>
          <xdr:colOff>0</xdr:colOff>
          <xdr:row>21</xdr:row>
          <xdr:rowOff>180975</xdr:rowOff>
        </xdr:to>
        <xdr:sp macro="" textlink="">
          <xdr:nvSpPr>
            <xdr:cNvPr id="2049" name="满个人增益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2050" name="满团队增益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2051" name="最优配装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13</xdr:col>
          <xdr:colOff>0</xdr:colOff>
          <xdr:row>21</xdr:row>
          <xdr:rowOff>180975</xdr:rowOff>
        </xdr:to>
        <xdr:sp macro="" textlink="">
          <xdr:nvSpPr>
            <xdr:cNvPr id="2053" name="清空增益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20</xdr:row>
          <xdr:rowOff>47625</xdr:rowOff>
        </xdr:from>
        <xdr:to>
          <xdr:col>4</xdr:col>
          <xdr:colOff>523875</xdr:colOff>
          <xdr:row>21</xdr:row>
          <xdr:rowOff>133350</xdr:rowOff>
        </xdr:to>
        <xdr:sp macro="" textlink="">
          <xdr:nvSpPr>
            <xdr:cNvPr id="2100" name="目标属性输入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2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22</xdr:row>
          <xdr:rowOff>180975</xdr:rowOff>
        </xdr:to>
        <xdr:sp macro="" textlink="">
          <xdr:nvSpPr>
            <xdr:cNvPr id="7170" name="满个人增益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22</xdr:row>
          <xdr:rowOff>180975</xdr:rowOff>
        </xdr:to>
        <xdr:sp macro="" textlink="">
          <xdr:nvSpPr>
            <xdr:cNvPr id="7171" name="满团队增益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20</xdr:row>
          <xdr:rowOff>0</xdr:rowOff>
        </xdr:from>
        <xdr:to>
          <xdr:col>16</xdr:col>
          <xdr:colOff>0</xdr:colOff>
          <xdr:row>22</xdr:row>
          <xdr:rowOff>180975</xdr:rowOff>
        </xdr:to>
        <xdr:sp macro="" textlink="">
          <xdr:nvSpPr>
            <xdr:cNvPr id="7173" name="清空增益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22</xdr:row>
          <xdr:rowOff>180975</xdr:rowOff>
        </xdr:to>
        <xdr:sp macro="" textlink="">
          <xdr:nvSpPr>
            <xdr:cNvPr id="7175" name="最优配装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6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20</xdr:row>
          <xdr:rowOff>38100</xdr:rowOff>
        </xdr:from>
        <xdr:to>
          <xdr:col>4</xdr:col>
          <xdr:colOff>523875</xdr:colOff>
          <xdr:row>21</xdr:row>
          <xdr:rowOff>123825</xdr:rowOff>
        </xdr:to>
        <xdr:sp macro="" textlink="">
          <xdr:nvSpPr>
            <xdr:cNvPr id="7177" name="目标属性输入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6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j3pz.com/dps/fenying/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9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9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91432-F4DE-4504-B358-CCB8DAED9713}">
  <sheetPr codeName="Sheet14"/>
  <dimension ref="B1:Y36"/>
  <sheetViews>
    <sheetView workbookViewId="0">
      <selection activeCell="G4" sqref="G4:G5"/>
    </sheetView>
  </sheetViews>
  <sheetFormatPr defaultRowHeight="14.25" x14ac:dyDescent="0.2"/>
  <cols>
    <col min="1" max="1" width="1.625" style="1" customWidth="1"/>
    <col min="2" max="5" width="12.625" style="1" customWidth="1"/>
    <col min="6" max="6" width="4.625" style="1" customWidth="1"/>
    <col min="7" max="19" width="8.625" style="1" customWidth="1"/>
    <col min="20" max="20" width="4.625" style="1" customWidth="1"/>
    <col min="21" max="24" width="9" style="1" customWidth="1"/>
    <col min="25" max="16384" width="9" style="1"/>
  </cols>
  <sheetData>
    <row r="1" spans="3:25" ht="15" thickBot="1" x14ac:dyDescent="0.25"/>
    <row r="2" spans="3:25" ht="15" customHeight="1" x14ac:dyDescent="0.2">
      <c r="G2" s="213" t="s">
        <v>549</v>
      </c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5"/>
    </row>
    <row r="3" spans="3:25" ht="15" customHeight="1" x14ac:dyDescent="0.2">
      <c r="G3" s="216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8"/>
    </row>
    <row r="4" spans="3:25" ht="15" customHeight="1" x14ac:dyDescent="0.2">
      <c r="G4" s="221" t="s">
        <v>459</v>
      </c>
      <c r="H4" s="211" t="s">
        <v>461</v>
      </c>
      <c r="I4" s="211"/>
      <c r="J4" s="211"/>
      <c r="K4" s="211" t="s">
        <v>443</v>
      </c>
      <c r="L4" s="211"/>
      <c r="M4" s="211"/>
      <c r="N4" s="211" t="s">
        <v>444</v>
      </c>
      <c r="O4" s="211"/>
      <c r="P4" s="211"/>
      <c r="Q4" s="211" t="s">
        <v>460</v>
      </c>
      <c r="R4" s="211"/>
      <c r="S4" s="219"/>
    </row>
    <row r="5" spans="3:25" ht="15" customHeight="1" thickBot="1" x14ac:dyDescent="0.25">
      <c r="G5" s="22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2"/>
      <c r="S5" s="220"/>
      <c r="X5" s="2"/>
      <c r="Y5" s="2"/>
    </row>
    <row r="6" spans="3:25" x14ac:dyDescent="0.2">
      <c r="C6" s="3"/>
      <c r="E6" s="4"/>
      <c r="G6" s="5"/>
      <c r="S6" s="6"/>
    </row>
    <row r="7" spans="3:25" x14ac:dyDescent="0.2">
      <c r="C7" s="3"/>
      <c r="E7" s="4"/>
      <c r="G7" s="5"/>
      <c r="S7" s="6"/>
    </row>
    <row r="8" spans="3:25" x14ac:dyDescent="0.2">
      <c r="C8" s="7"/>
      <c r="E8" s="7"/>
      <c r="G8" s="5"/>
      <c r="N8" s="8"/>
      <c r="O8" s="8"/>
      <c r="P8" s="8"/>
      <c r="Q8" s="8"/>
      <c r="S8" s="6"/>
    </row>
    <row r="9" spans="3:25" x14ac:dyDescent="0.2">
      <c r="C9" s="7"/>
      <c r="E9" s="7"/>
      <c r="G9" s="5"/>
      <c r="S9" s="6"/>
    </row>
    <row r="10" spans="3:25" x14ac:dyDescent="0.2">
      <c r="C10" s="7"/>
      <c r="E10" s="7"/>
      <c r="G10" s="5"/>
      <c r="H10" s="8"/>
      <c r="I10" s="8"/>
      <c r="J10" s="8"/>
      <c r="K10" s="8"/>
      <c r="L10" s="8"/>
      <c r="M10" s="8"/>
      <c r="N10" s="8"/>
      <c r="O10" s="8"/>
      <c r="S10" s="6"/>
    </row>
    <row r="11" spans="3:25" x14ac:dyDescent="0.2">
      <c r="C11" s="7"/>
      <c r="E11" s="7"/>
      <c r="G11" s="5"/>
      <c r="S11" s="6"/>
    </row>
    <row r="12" spans="3:25" x14ac:dyDescent="0.2">
      <c r="C12" s="7"/>
      <c r="E12" s="7"/>
      <c r="G12" s="5"/>
      <c r="S12" s="6"/>
    </row>
    <row r="13" spans="3:25" x14ac:dyDescent="0.2">
      <c r="C13" s="9"/>
      <c r="E13" s="9"/>
      <c r="G13" s="5"/>
      <c r="I13" s="8"/>
      <c r="J13" s="8"/>
      <c r="K13" s="8"/>
      <c r="L13" s="8"/>
      <c r="M13" s="8"/>
      <c r="N13" s="8"/>
      <c r="O13" s="8"/>
      <c r="P13" s="8"/>
      <c r="Q13" s="8"/>
      <c r="R13" s="8"/>
      <c r="S13" s="6"/>
    </row>
    <row r="14" spans="3:25" x14ac:dyDescent="0.2">
      <c r="G14" s="5"/>
      <c r="S14" s="6"/>
    </row>
    <row r="15" spans="3:25" x14ac:dyDescent="0.2">
      <c r="C15" s="10"/>
      <c r="G15" s="5"/>
      <c r="S15" s="6"/>
      <c r="V15" s="11"/>
      <c r="X15" s="10"/>
      <c r="Y15" s="10"/>
    </row>
    <row r="16" spans="3:25" x14ac:dyDescent="0.2">
      <c r="C16" s="3"/>
      <c r="E16" s="7"/>
      <c r="G16" s="5"/>
      <c r="I16" s="8"/>
      <c r="J16" s="8"/>
      <c r="K16" s="8"/>
      <c r="N16" s="8"/>
      <c r="O16" s="8"/>
      <c r="S16" s="6"/>
      <c r="V16" s="11"/>
      <c r="X16" s="7"/>
      <c r="Y16" s="12"/>
    </row>
    <row r="17" spans="2:25" x14ac:dyDescent="0.2">
      <c r="C17" s="7"/>
      <c r="E17" s="7"/>
      <c r="G17" s="5"/>
      <c r="S17" s="6"/>
      <c r="V17" s="11"/>
      <c r="X17" s="7"/>
      <c r="Y17" s="12"/>
    </row>
    <row r="18" spans="2:25" x14ac:dyDescent="0.2">
      <c r="C18" s="7"/>
      <c r="G18" s="5"/>
      <c r="S18" s="6"/>
      <c r="V18" s="11"/>
      <c r="X18" s="7"/>
      <c r="Y18" s="12"/>
    </row>
    <row r="19" spans="2:25" x14ac:dyDescent="0.2">
      <c r="C19" s="3"/>
      <c r="G19" s="5"/>
      <c r="O19" s="13"/>
      <c r="P19" s="13"/>
      <c r="Q19" s="13"/>
      <c r="S19" s="6"/>
      <c r="V19" s="11"/>
      <c r="X19" s="7"/>
      <c r="Y19" s="12"/>
    </row>
    <row r="20" spans="2:25" x14ac:dyDescent="0.2">
      <c r="C20" s="7"/>
      <c r="G20" s="5"/>
      <c r="S20" s="6"/>
      <c r="V20" s="11"/>
      <c r="X20" s="7"/>
      <c r="Y20" s="12"/>
    </row>
    <row r="21" spans="2:25" x14ac:dyDescent="0.2">
      <c r="G21" s="5"/>
      <c r="O21" s="14"/>
      <c r="P21" s="14"/>
      <c r="Q21" s="14"/>
      <c r="S21" s="6"/>
      <c r="V21" s="11"/>
      <c r="X21" s="7"/>
      <c r="Y21" s="12"/>
    </row>
    <row r="22" spans="2:25" ht="15" customHeight="1" x14ac:dyDescent="0.2">
      <c r="C22" s="7"/>
      <c r="E22" s="13"/>
      <c r="G22" s="5"/>
      <c r="O22" s="3"/>
      <c r="P22" s="3"/>
      <c r="Q22" s="3"/>
      <c r="S22" s="6"/>
      <c r="U22" s="15"/>
      <c r="V22" s="15"/>
      <c r="W22" s="15"/>
      <c r="X22" s="15"/>
      <c r="Y22" s="15"/>
    </row>
    <row r="23" spans="2:25" x14ac:dyDescent="0.2">
      <c r="C23" s="7"/>
      <c r="E23" s="13"/>
      <c r="G23" s="5"/>
      <c r="S23" s="6"/>
      <c r="U23" s="15"/>
      <c r="V23" s="15"/>
      <c r="W23" s="15"/>
      <c r="X23" s="15"/>
      <c r="Y23" s="15"/>
    </row>
    <row r="24" spans="2:25" x14ac:dyDescent="0.2">
      <c r="C24" s="7"/>
      <c r="E24" s="13"/>
      <c r="G24" s="5"/>
      <c r="S24" s="6"/>
      <c r="U24" s="15"/>
      <c r="V24" s="15"/>
      <c r="W24" s="15"/>
      <c r="X24" s="15"/>
      <c r="Y24" s="15"/>
    </row>
    <row r="25" spans="2:25" x14ac:dyDescent="0.2">
      <c r="C25" s="7"/>
      <c r="G25" s="5"/>
      <c r="S25" s="6"/>
      <c r="U25" s="15"/>
      <c r="V25" s="15"/>
      <c r="W25" s="15"/>
      <c r="X25" s="15"/>
      <c r="Y25" s="15"/>
    </row>
    <row r="26" spans="2:25" x14ac:dyDescent="0.2">
      <c r="C26" s="7"/>
      <c r="G26" s="5"/>
      <c r="S26" s="6"/>
      <c r="U26" s="15"/>
      <c r="V26" s="15"/>
      <c r="W26" s="15"/>
      <c r="X26" s="15"/>
      <c r="Y26" s="15"/>
    </row>
    <row r="27" spans="2:25" x14ac:dyDescent="0.2">
      <c r="C27" s="7"/>
      <c r="G27" s="5"/>
      <c r="S27" s="6"/>
    </row>
    <row r="28" spans="2:25" x14ac:dyDescent="0.2">
      <c r="C28" s="3"/>
      <c r="G28" s="5"/>
      <c r="S28" s="6"/>
    </row>
    <row r="29" spans="2:25" x14ac:dyDescent="0.2">
      <c r="B29" s="3"/>
      <c r="G29" s="5"/>
      <c r="S29" s="6"/>
    </row>
    <row r="30" spans="2:25" x14ac:dyDescent="0.2">
      <c r="G30" s="5"/>
      <c r="S30" s="6"/>
    </row>
    <row r="31" spans="2:25" x14ac:dyDescent="0.2">
      <c r="G31" s="5"/>
      <c r="S31" s="6"/>
    </row>
    <row r="32" spans="2:25" x14ac:dyDescent="0.2">
      <c r="G32" s="5"/>
      <c r="S32" s="6"/>
    </row>
    <row r="33" spans="7:19" x14ac:dyDescent="0.2">
      <c r="G33" s="5"/>
      <c r="S33" s="6"/>
    </row>
    <row r="34" spans="7:19" x14ac:dyDescent="0.2">
      <c r="G34" s="5"/>
      <c r="S34" s="6"/>
    </row>
    <row r="35" spans="7:19" x14ac:dyDescent="0.2">
      <c r="G35" s="5"/>
      <c r="S35" s="6"/>
    </row>
    <row r="36" spans="7:19" ht="15" thickBot="1" x14ac:dyDescent="0.25">
      <c r="G36" s="16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8"/>
    </row>
  </sheetData>
  <sheetProtection algorithmName="SHA-512" hashValue="NaBDRpaBqMbDickLBgqLbi9VyF9xMYRambLFdYtUAtIqdo0sLzctTpY4gZxjx0QbUtSr10xIniAt1534Q9U+kg==" saltValue="hs1PJ5zBjx+gLi9AbxUrtQ==" spinCount="100000" sheet="1" objects="1" selectLockedCells="1"/>
  <mergeCells count="6">
    <mergeCell ref="K4:M5"/>
    <mergeCell ref="N4:P5"/>
    <mergeCell ref="G2:S3"/>
    <mergeCell ref="Q4:S5"/>
    <mergeCell ref="H4:J5"/>
    <mergeCell ref="G4:G5"/>
  </mergeCells>
  <phoneticPr fontId="1" type="noConversion"/>
  <dataValidations count="24">
    <dataValidation type="list" allowBlank="1" showInputMessage="1" showErrorMessage="1" sqref="R8" xr:uid="{988E6DF2-BA9A-4330-A943-47AA7DEC6713}">
      <formula1>"无,阴阳往极"</formula1>
    </dataValidation>
    <dataValidation type="list" allowBlank="1" showInputMessage="1" showErrorMessage="1" sqref="M8" xr:uid="{77B7ADC4-C393-4FE4-9559-026741DE333A}">
      <formula1>"无,二十四桥明月夜"</formula1>
    </dataValidation>
    <dataValidation type="list" allowBlank="1" showInputMessage="1" showErrorMessage="1" sqref="L8" xr:uid="{6F8315B8-82F8-42C5-9518-6937DF9B743F}">
      <formula1>"无,仙踪·兵·熔（内伤）"</formula1>
    </dataValidation>
    <dataValidation type="list" allowBlank="1" showInputMessage="1" showErrorMessage="1" sqref="K8" xr:uid="{F5CC715E-0266-4C30-8238-4B2A1D2D8D4E}">
      <formula1>"无,上品聚魂丹"</formula1>
    </dataValidation>
    <dataValidation type="list" allowBlank="1" showInputMessage="1" showErrorMessage="1" sqref="J8" xr:uid="{E042EA4E-4A0F-4EFD-B28B-B197C717C08E}">
      <formula1>"无,上品玉璃散,上品破秽散,上品凝神散,上品展风散"</formula1>
    </dataValidation>
    <dataValidation type="list" allowBlank="1" showInputMessage="1" showErrorMessage="1" sqref="I8" xr:uid="{CC786BD8-939F-4247-A9EF-38B20FA59E5F}">
      <formula1>"无,鱼片砂锅粥"</formula1>
    </dataValidation>
    <dataValidation type="list" allowBlank="1" showInputMessage="1" showErrorMessage="1" sqref="H8" xr:uid="{EFA73234-31ED-45E8-9608-E760F109067D}">
      <formula1>"无,酸菜鱼,红烧排骨,白肉血肠,灌汤包"</formula1>
    </dataValidation>
    <dataValidation type="list" allowBlank="1" showInputMessage="1" showErrorMessage="1" sqref="S8" xr:uid="{492BBECA-A672-4A63-A470-1FDF762B7830}">
      <formula1>"无"</formula1>
    </dataValidation>
    <dataValidation type="list" allowBlank="1" showInputMessage="1" showErrorMessage="1" sqref="O10" xr:uid="{AEABF9BF-CBE0-4C8A-A346-188D2F038C97}">
      <formula1>"无,1层,2层,3层,4层,5层,6层,"</formula1>
    </dataValidation>
    <dataValidation type="list" allowBlank="1" showInputMessage="1" showErrorMessage="1" sqref="K16" xr:uid="{2BB4859B-8F31-49C7-8F6D-9CFDCED21F6D}">
      <formula1>"无,有"</formula1>
    </dataValidation>
    <dataValidation type="list" allowBlank="1" showInputMessage="1" showErrorMessage="1" sqref="I16" xr:uid="{1973312D-1346-4C62-9D87-FF6977D768F0}">
      <formula1>"无,有,劲风"</formula1>
    </dataValidation>
    <dataValidation type="list" allowBlank="1" showInputMessage="1" showErrorMessage="1" sqref="R13" xr:uid="{DD3641FF-B292-4A56-B7BC-FBA3910EF483}">
      <formula1>"无,6层"</formula1>
    </dataValidation>
    <dataValidation type="list" allowBlank="1" showInputMessage="1" showErrorMessage="1" sqref="Q13" xr:uid="{99B5D014-8A43-4B21-8659-F671F39EB51F}">
      <formula1>"无,1个,2个"</formula1>
    </dataValidation>
    <dataValidation type="list" allowBlank="1" showInputMessage="1" showErrorMessage="1" sqref="P13" xr:uid="{1D87053A-F4B8-4FAA-8CA9-0A07028A59E9}">
      <formula1>"无,10人团,25人团"</formula1>
    </dataValidation>
    <dataValidation type="list" allowBlank="1" showInputMessage="1" showErrorMessage="1" sqref="M13" xr:uid="{6C5EBD5E-D631-45A9-B664-8B8398999C42}">
      <formula1>"10层,无"</formula1>
    </dataValidation>
    <dataValidation type="list" allowBlank="1" showInputMessage="1" showErrorMessage="1" sqref="I13" xr:uid="{5AA7A240-915E-4F3B-A922-778C9B2DDD25}">
      <formula1>"无,气纯阵,花间阵,和尚阵,冰心阵,毒经阵,田螺阵,明教阵,明教阵（自己）,莫问阵,霸刀阵"</formula1>
    </dataValidation>
    <dataValidation type="list" allowBlank="1" showInputMessage="1" showErrorMessage="1" sqref="N10" xr:uid="{6D15B3D2-6DA6-40D8-A741-4A6FDC2C0B67}">
      <formula1>"冬至·饺子宴,无"</formula1>
    </dataValidation>
    <dataValidation type="list" allowBlank="1" showInputMessage="1" showErrorMessage="1" sqref="K10" xr:uid="{7D43B8C2-3716-4E73-A63E-0E87106DFFD3}">
      <formula1>"如意饺,戏凤饺,无"</formula1>
    </dataValidation>
    <dataValidation type="list" allowBlank="1" showInputMessage="1" showErrorMessage="1" sqref="I10" xr:uid="{0B5CDE56-F7C4-4896-A91D-F7A6CD5B370B}">
      <formula1>"无,1层,2层,3层,4层,5层,6层,7层,8层,9层,10层"</formula1>
    </dataValidation>
    <dataValidation type="list" allowBlank="1" showInputMessage="1" showErrorMessage="1" sqref="J10 L10:M10 H10 J13:L13 N13:O13 J16 N16:O16 O8:Q8" xr:uid="{DC9918EA-D5C0-4C21-BCE2-72D2AA84A5FA}">
      <formula1>"有,无"</formula1>
    </dataValidation>
    <dataValidation type="list" allowBlank="1" showInputMessage="1" showErrorMessage="1" sqref="N8" xr:uid="{64A5AB23-D960-4ADD-B946-4249ADA6BDDE}">
      <formula1>"蒸鱼菜盘,无"</formula1>
    </dataValidation>
    <dataValidation type="list" allowBlank="1" showInputMessage="1" showErrorMessage="1" sqref="E15" xr:uid="{39965578-A6E6-4450-8983-A552EF5906CF}">
      <formula1>"十人秘境,英雄冰火岛,挑战冰火岛,101木桩,102木桩,103木桩,104木桩,自定义"</formula1>
    </dataValidation>
    <dataValidation type="list" allowBlank="1" showInputMessage="1" showErrorMessage="1" sqref="C15" xr:uid="{34E04D05-351F-49AC-9B4D-04D597AC6F0E}">
      <formula1>"28GCD驱夷,21GCD驱夷,7GCD驱夷"</formula1>
    </dataValidation>
    <dataValidation type="list" allowBlank="1" showInputMessage="1" showErrorMessage="1" sqref="C14" xr:uid="{61DF182B-9DB4-4861-80A0-5444D02483CF}">
      <formula1>"0,19,1269,2704,4359"</formula1>
    </dataValidation>
  </dataValidations>
  <hyperlinks>
    <hyperlink ref="K4:M5" location="分析模式!K4" display="分析模式" xr:uid="{870086EA-36E7-4B1A-BA37-18302906022B}"/>
    <hyperlink ref="N4:P5" location="模拟模式!N4" display="模拟模式" xr:uid="{C952D644-9EE5-412A-B925-D7641933F6E1}"/>
    <hyperlink ref="Q4:S5" location="日志!A1" display="日志" xr:uid="{0C0F7385-B9FE-4469-BEBA-D2F6AD222EF7}"/>
    <hyperlink ref="G4:G5" location="首页!G4" display="首页" xr:uid="{9E551C2A-A083-4DC0-8FF1-295F3B375580}"/>
    <hyperlink ref="H4:J5" location="属性导入!H4" display="属性导入" xr:uid="{EB7B1E3F-EA1C-4227-9548-EB256A862BE2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F7541-2D58-427C-8A16-D7A31A498199}">
  <sheetPr codeName="Sheet15"/>
  <dimension ref="G1:Y52"/>
  <sheetViews>
    <sheetView workbookViewId="0">
      <selection activeCell="G2" sqref="G2:S3"/>
    </sheetView>
  </sheetViews>
  <sheetFormatPr defaultRowHeight="14.25" x14ac:dyDescent="0.2"/>
  <cols>
    <col min="1" max="1" width="1.625" style="19" customWidth="1"/>
    <col min="2" max="5" width="12.625" style="19" customWidth="1"/>
    <col min="6" max="6" width="4.625" style="19" customWidth="1"/>
    <col min="7" max="19" width="8.625" style="19" customWidth="1"/>
    <col min="20" max="20" width="4.625" style="19" customWidth="1"/>
    <col min="21" max="24" width="9" style="19" customWidth="1"/>
    <col min="25" max="16384" width="9" style="19"/>
  </cols>
  <sheetData>
    <row r="1" spans="7:25" ht="15" thickBot="1" x14ac:dyDescent="0.25"/>
    <row r="2" spans="7:25" ht="15" customHeight="1" x14ac:dyDescent="0.2">
      <c r="G2" s="213" t="s">
        <v>549</v>
      </c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5"/>
      <c r="U2" s="19" t="s">
        <v>486</v>
      </c>
    </row>
    <row r="3" spans="7:25" ht="15" customHeight="1" x14ac:dyDescent="0.2">
      <c r="G3" s="216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8"/>
      <c r="U3" s="20" t="s">
        <v>487</v>
      </c>
      <c r="V3" s="21" t="str">
        <f>LEFT(J10,FIND("(",J10)-1)</f>
        <v>0.07%</v>
      </c>
    </row>
    <row r="4" spans="7:25" ht="15" customHeight="1" x14ac:dyDescent="0.2">
      <c r="G4" s="224" t="s">
        <v>459</v>
      </c>
      <c r="H4" s="226" t="s">
        <v>461</v>
      </c>
      <c r="I4" s="226"/>
      <c r="J4" s="226"/>
      <c r="K4" s="211" t="s">
        <v>147</v>
      </c>
      <c r="L4" s="211"/>
      <c r="M4" s="211"/>
      <c r="N4" s="211" t="s">
        <v>148</v>
      </c>
      <c r="O4" s="211"/>
      <c r="P4" s="211"/>
      <c r="Q4" s="211" t="s">
        <v>460</v>
      </c>
      <c r="R4" s="211"/>
      <c r="S4" s="219"/>
      <c r="U4" s="22" t="s">
        <v>488</v>
      </c>
      <c r="V4" s="21" t="str">
        <f>LEFT(RIGHT(P8,FIND(")",P8)-FIND("(",P8)),FIND(")",RIGHT(P8,FIND(")",P8)-FIND("(",P8)))-1)</f>
        <v>0</v>
      </c>
    </row>
    <row r="5" spans="7:25" ht="15" customHeight="1" thickBot="1" x14ac:dyDescent="0.25">
      <c r="G5" s="225"/>
      <c r="H5" s="227"/>
      <c r="I5" s="227"/>
      <c r="J5" s="227"/>
      <c r="K5" s="212"/>
      <c r="L5" s="212"/>
      <c r="M5" s="212"/>
      <c r="N5" s="212"/>
      <c r="O5" s="212"/>
      <c r="P5" s="212"/>
      <c r="Q5" s="212"/>
      <c r="R5" s="212"/>
      <c r="S5" s="220"/>
      <c r="U5" s="22" t="s">
        <v>489</v>
      </c>
      <c r="V5" s="21">
        <f>V4+1</f>
        <v>1</v>
      </c>
      <c r="X5" s="23"/>
      <c r="Y5" s="23"/>
    </row>
    <row r="6" spans="7:25" x14ac:dyDescent="0.2"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U6" s="22" t="s">
        <v>490</v>
      </c>
      <c r="V6" s="21">
        <f>IF(V5&gt;4359,4359,IF(V5&gt;2704,2704,IF(V5&gt;1269,1269,IF(V5&gt;19,19,0))))</f>
        <v>0</v>
      </c>
    </row>
    <row r="7" spans="7:25" x14ac:dyDescent="0.2">
      <c r="H7" s="25"/>
      <c r="I7" s="26" t="s">
        <v>462</v>
      </c>
      <c r="J7" s="27" t="s">
        <v>463</v>
      </c>
      <c r="K7" s="27" t="s">
        <v>464</v>
      </c>
      <c r="L7" s="27" t="s">
        <v>465</v>
      </c>
      <c r="M7" s="27" t="s">
        <v>466</v>
      </c>
      <c r="N7" s="27" t="s">
        <v>467</v>
      </c>
      <c r="O7" s="27" t="s">
        <v>468</v>
      </c>
      <c r="P7" s="28" t="s">
        <v>469</v>
      </c>
      <c r="Q7" s="223" t="s">
        <v>481</v>
      </c>
      <c r="R7" s="25"/>
    </row>
    <row r="8" spans="7:25" x14ac:dyDescent="0.2">
      <c r="H8" s="25"/>
      <c r="I8" s="29">
        <v>11453</v>
      </c>
      <c r="J8" s="30">
        <v>34</v>
      </c>
      <c r="K8" s="30">
        <v>781</v>
      </c>
      <c r="L8" s="30">
        <v>845</v>
      </c>
      <c r="M8" s="30">
        <v>0.2</v>
      </c>
      <c r="N8" s="30">
        <v>175</v>
      </c>
      <c r="O8" s="30">
        <v>92.85</v>
      </c>
      <c r="P8" s="31" t="s">
        <v>470</v>
      </c>
      <c r="Q8" s="223"/>
      <c r="R8" s="25"/>
    </row>
    <row r="9" spans="7:25" x14ac:dyDescent="0.2">
      <c r="H9" s="25"/>
      <c r="I9" s="32" t="s">
        <v>471</v>
      </c>
      <c r="J9" s="33" t="s">
        <v>472</v>
      </c>
      <c r="K9" s="33" t="s">
        <v>473</v>
      </c>
      <c r="L9" s="33" t="s">
        <v>474</v>
      </c>
      <c r="M9" s="33" t="s">
        <v>475</v>
      </c>
      <c r="N9" s="33" t="s">
        <v>476</v>
      </c>
      <c r="O9" s="33" t="s">
        <v>477</v>
      </c>
      <c r="P9" s="34" t="s">
        <v>478</v>
      </c>
      <c r="Q9" s="223"/>
      <c r="R9" s="25"/>
    </row>
    <row r="10" spans="7:25" x14ac:dyDescent="0.2">
      <c r="H10" s="25"/>
      <c r="I10" s="35">
        <v>0</v>
      </c>
      <c r="J10" s="36" t="s">
        <v>479</v>
      </c>
      <c r="K10" s="36">
        <v>8.2100000000000009</v>
      </c>
      <c r="L10" s="36">
        <v>5.45</v>
      </c>
      <c r="M10" s="36">
        <v>0</v>
      </c>
      <c r="N10" s="36">
        <v>25</v>
      </c>
      <c r="O10" s="36">
        <v>0</v>
      </c>
      <c r="P10" s="37" t="s">
        <v>480</v>
      </c>
      <c r="Q10" s="223"/>
      <c r="R10" s="25"/>
    </row>
    <row r="11" spans="7:25" x14ac:dyDescent="0.2">
      <c r="H11" s="25"/>
      <c r="I11" s="38"/>
      <c r="J11" s="38"/>
      <c r="K11" s="38"/>
      <c r="L11" s="38"/>
      <c r="M11" s="38"/>
      <c r="N11" s="38"/>
      <c r="O11" s="38"/>
      <c r="P11" s="39"/>
      <c r="Q11" s="40"/>
      <c r="R11" s="25"/>
    </row>
    <row r="12" spans="7:25" x14ac:dyDescent="0.2">
      <c r="H12" s="25"/>
      <c r="I12" s="38"/>
      <c r="J12" s="38"/>
      <c r="K12" s="38"/>
      <c r="L12" s="38"/>
      <c r="M12" s="38"/>
      <c r="N12" s="38"/>
      <c r="O12" s="38"/>
      <c r="P12" s="39"/>
      <c r="Q12" s="40"/>
      <c r="R12" s="25"/>
    </row>
    <row r="13" spans="7:25" x14ac:dyDescent="0.2">
      <c r="H13" s="25"/>
      <c r="I13" s="38"/>
      <c r="J13" s="38"/>
      <c r="K13" s="38"/>
      <c r="L13" s="38"/>
      <c r="M13" s="38"/>
      <c r="N13" s="38"/>
      <c r="O13" s="38"/>
      <c r="P13" s="39"/>
      <c r="Q13" s="40"/>
      <c r="R13" s="25"/>
    </row>
    <row r="14" spans="7:25" x14ac:dyDescent="0.2"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</row>
    <row r="15" spans="7:25" x14ac:dyDescent="0.2">
      <c r="G15" s="24" t="s">
        <v>482</v>
      </c>
    </row>
    <row r="16" spans="7:25" x14ac:dyDescent="0.2">
      <c r="G16" s="24" t="s">
        <v>483</v>
      </c>
    </row>
    <row r="41" spans="7:7" x14ac:dyDescent="0.2">
      <c r="G41" s="24" t="s">
        <v>484</v>
      </c>
    </row>
    <row r="51" spans="7:7" x14ac:dyDescent="0.2">
      <c r="G51" s="24" t="s">
        <v>485</v>
      </c>
    </row>
    <row r="52" spans="7:7" x14ac:dyDescent="0.2">
      <c r="G52" s="24" t="s">
        <v>491</v>
      </c>
    </row>
  </sheetData>
  <sheetProtection selectLockedCells="1"/>
  <mergeCells count="7">
    <mergeCell ref="Q7:Q10"/>
    <mergeCell ref="G2:S3"/>
    <mergeCell ref="G4:G5"/>
    <mergeCell ref="H4:J5"/>
    <mergeCell ref="K4:M5"/>
    <mergeCell ref="N4:P5"/>
    <mergeCell ref="Q4:S5"/>
  </mergeCells>
  <phoneticPr fontId="1" type="noConversion"/>
  <hyperlinks>
    <hyperlink ref="K4:M5" location="分析模式!K4" display="分析模式" xr:uid="{EEC27F9B-2673-4684-9E51-04D3EC880FED}"/>
    <hyperlink ref="N4:P5" location="模拟模式!N4" display="模拟模式" xr:uid="{1A37432B-AD28-4F3B-82FA-3FA4AF0BCE09}"/>
    <hyperlink ref="Q4:S5" location="日志!A1" display="日志" xr:uid="{89C7A8A8-C47C-4653-871B-78B6F6F33003}"/>
    <hyperlink ref="G4:G5" location="首页!G4" display="首页" xr:uid="{CF9E82CA-2F84-4E14-964C-A086AC754092}"/>
    <hyperlink ref="H4:J5" location="属性导入!H4" display="属性导入" xr:uid="{1CFABAFA-7B29-4015-89D9-C947DDB5558F}"/>
    <hyperlink ref="P10" r:id="rId1" display="https://www.j3pz.com/dps/fenying/" xr:uid="{F653B3E1-92C5-4221-AD2E-A0ECE3BD19FC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097" r:id="rId5" name="导入分析模式">
          <controlPr defaultSize="0" autoLine="0" r:id="rId6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4097" r:id="rId5" name="导入分析模式"/>
      </mc:Fallback>
    </mc:AlternateContent>
    <mc:AlternateContent xmlns:mc="http://schemas.openxmlformats.org/markup-compatibility/2006">
      <mc:Choice Requires="x14">
        <control shapeId="4098" r:id="rId7" name="导入模拟模式">
          <controlPr defaultSize="0" autoLine="0" r:id="rId8">
            <anchor moveWithCells="1">
              <from>
                <xdr:col>13</xdr:col>
                <xdr:colOff>0</xdr:colOff>
                <xdr:row>11</xdr:row>
                <xdr:rowOff>0</xdr:rowOff>
              </from>
              <to>
                <xdr:col>15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4098" r:id="rId7" name="导入模拟模式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Y31"/>
  <sheetViews>
    <sheetView workbookViewId="0">
      <selection activeCell="G4" sqref="G4:G5"/>
    </sheetView>
  </sheetViews>
  <sheetFormatPr defaultRowHeight="15" customHeight="1" x14ac:dyDescent="0.2"/>
  <cols>
    <col min="1" max="1" width="1.625" style="58" customWidth="1"/>
    <col min="2" max="5" width="12.625" style="58" customWidth="1"/>
    <col min="6" max="6" width="4.625" style="58" customWidth="1"/>
    <col min="7" max="19" width="8.625" style="58" customWidth="1"/>
    <col min="20" max="20" width="4.625" style="58" customWidth="1"/>
    <col min="21" max="24" width="9" style="58" customWidth="1"/>
    <col min="25" max="16384" width="9" style="58"/>
  </cols>
  <sheetData>
    <row r="1" spans="2:25" ht="15" customHeight="1" thickBot="1" x14ac:dyDescent="0.25"/>
    <row r="2" spans="2:25" ht="15" customHeight="1" x14ac:dyDescent="0.2">
      <c r="G2" s="213" t="s">
        <v>549</v>
      </c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5"/>
    </row>
    <row r="3" spans="2:25" ht="15" customHeight="1" x14ac:dyDescent="0.2">
      <c r="G3" s="216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8"/>
    </row>
    <row r="4" spans="2:25" ht="15" customHeight="1" x14ac:dyDescent="0.2">
      <c r="G4" s="224" t="s">
        <v>459</v>
      </c>
      <c r="H4" s="211" t="s">
        <v>461</v>
      </c>
      <c r="I4" s="211"/>
      <c r="J4" s="211"/>
      <c r="K4" s="226" t="s">
        <v>147</v>
      </c>
      <c r="L4" s="226"/>
      <c r="M4" s="226"/>
      <c r="N4" s="211" t="s">
        <v>148</v>
      </c>
      <c r="O4" s="211"/>
      <c r="P4" s="211"/>
      <c r="Q4" s="211" t="s">
        <v>460</v>
      </c>
      <c r="R4" s="211"/>
      <c r="S4" s="219"/>
    </row>
    <row r="5" spans="2:25" ht="15" customHeight="1" thickBot="1" x14ac:dyDescent="0.25">
      <c r="G5" s="225"/>
      <c r="H5" s="212"/>
      <c r="I5" s="212"/>
      <c r="J5" s="212"/>
      <c r="K5" s="227"/>
      <c r="L5" s="227"/>
      <c r="M5" s="227"/>
      <c r="N5" s="212"/>
      <c r="O5" s="212"/>
      <c r="P5" s="212"/>
      <c r="Q5" s="212"/>
      <c r="R5" s="212"/>
      <c r="S5" s="220"/>
    </row>
    <row r="6" spans="2:25" ht="15" customHeight="1" thickBot="1" x14ac:dyDescent="0.25"/>
    <row r="7" spans="2:25" ht="15" customHeight="1" x14ac:dyDescent="0.2">
      <c r="B7" s="232" t="s">
        <v>16</v>
      </c>
      <c r="C7" s="233"/>
      <c r="D7" s="234" t="s">
        <v>17</v>
      </c>
      <c r="E7" s="235"/>
      <c r="G7" s="168" t="s">
        <v>19</v>
      </c>
      <c r="H7" s="169" t="s">
        <v>167</v>
      </c>
      <c r="I7" s="169" t="s">
        <v>168</v>
      </c>
      <c r="J7" s="169" t="s">
        <v>169</v>
      </c>
      <c r="K7" s="169" t="s">
        <v>170</v>
      </c>
      <c r="L7" s="169" t="s">
        <v>171</v>
      </c>
      <c r="M7" s="169" t="s">
        <v>172</v>
      </c>
      <c r="N7" s="169" t="s">
        <v>175</v>
      </c>
      <c r="O7" s="169" t="s">
        <v>174</v>
      </c>
      <c r="P7" s="169" t="s">
        <v>176</v>
      </c>
      <c r="Q7" s="169" t="s">
        <v>177</v>
      </c>
      <c r="R7" s="169" t="s">
        <v>173</v>
      </c>
      <c r="S7" s="169" t="s">
        <v>178</v>
      </c>
      <c r="U7" s="236" t="s">
        <v>52</v>
      </c>
      <c r="V7" s="237"/>
      <c r="W7" s="237"/>
      <c r="X7" s="230" t="str">
        <f>IF(OR(Y9&gt;4,Y10&gt;4,Y11&gt;4,Y12&gt;4,Y13&gt;4,Y14&gt;4),"请检查秘籍数量！"," ")</f>
        <v xml:space="preserve"> </v>
      </c>
      <c r="Y7" s="231"/>
    </row>
    <row r="8" spans="2:25" ht="15" customHeight="1" x14ac:dyDescent="0.2">
      <c r="B8" s="170" t="s">
        <v>0</v>
      </c>
      <c r="C8" s="171">
        <v>1681</v>
      </c>
      <c r="D8" s="172" t="s">
        <v>0</v>
      </c>
      <c r="E8" s="173">
        <f>'分析-属性加成'!C6</f>
        <v>1870</v>
      </c>
      <c r="U8" s="170" t="s">
        <v>32</v>
      </c>
      <c r="V8" s="174" t="s">
        <v>2</v>
      </c>
      <c r="W8" s="174" t="s">
        <v>49</v>
      </c>
      <c r="X8" s="174" t="s">
        <v>50</v>
      </c>
      <c r="Y8" s="175" t="s">
        <v>330</v>
      </c>
    </row>
    <row r="9" spans="2:25" ht="15" customHeight="1" x14ac:dyDescent="0.2">
      <c r="B9" s="170" t="s">
        <v>1</v>
      </c>
      <c r="C9" s="171">
        <v>8660</v>
      </c>
      <c r="D9" s="172" t="s">
        <v>18</v>
      </c>
      <c r="E9" s="173">
        <f>'分析-属性加成'!F7</f>
        <v>21049.126385476233</v>
      </c>
      <c r="H9" s="168" t="s">
        <v>504</v>
      </c>
      <c r="I9" s="174" t="s">
        <v>440</v>
      </c>
      <c r="J9" s="174" t="s">
        <v>441</v>
      </c>
      <c r="K9" s="174" t="s">
        <v>69</v>
      </c>
      <c r="L9" s="174" t="s">
        <v>70</v>
      </c>
      <c r="M9" s="174" t="s">
        <v>506</v>
      </c>
      <c r="N9" s="174" t="s">
        <v>507</v>
      </c>
      <c r="O9" s="174" t="s">
        <v>508</v>
      </c>
      <c r="P9" s="174" t="s">
        <v>509</v>
      </c>
      <c r="Q9" s="174" t="s">
        <v>510</v>
      </c>
      <c r="R9" s="176" t="s">
        <v>508</v>
      </c>
      <c r="U9" s="170" t="s">
        <v>42</v>
      </c>
      <c r="V9" s="177">
        <v>1</v>
      </c>
      <c r="W9" s="177">
        <v>3</v>
      </c>
      <c r="X9" s="177">
        <v>0</v>
      </c>
      <c r="Y9" s="175">
        <f>SUM(V9:X9)</f>
        <v>4</v>
      </c>
    </row>
    <row r="10" spans="2:25" ht="15" customHeight="1" x14ac:dyDescent="0.2">
      <c r="B10" s="170" t="s">
        <v>2</v>
      </c>
      <c r="C10" s="178">
        <v>0.2555</v>
      </c>
      <c r="D10" s="172" t="s">
        <v>2</v>
      </c>
      <c r="E10" s="179">
        <f>'分析-属性加成'!G6</f>
        <v>0.42185145527300222</v>
      </c>
      <c r="H10" s="168" t="s">
        <v>505</v>
      </c>
      <c r="I10" s="169" t="s">
        <v>310</v>
      </c>
      <c r="J10" s="169" t="s">
        <v>310</v>
      </c>
      <c r="K10" s="177" t="s">
        <v>442</v>
      </c>
      <c r="L10" s="177" t="s">
        <v>501</v>
      </c>
      <c r="M10" s="177" t="s">
        <v>310</v>
      </c>
      <c r="N10" s="177" t="s">
        <v>310</v>
      </c>
      <c r="O10" s="177" t="s">
        <v>310</v>
      </c>
      <c r="P10" s="177" t="s">
        <v>311</v>
      </c>
      <c r="Q10" s="177" t="s">
        <v>311</v>
      </c>
      <c r="R10" s="180">
        <f>IF(O10="有",(8/(1/(0.2*2/3)/(11/('分析-循环与收益'!C20*7))+30))*(0.7*0.05+0.3*0.01),0)</f>
        <v>8.8549062443109422E-3</v>
      </c>
      <c r="U10" s="170" t="s">
        <v>43</v>
      </c>
      <c r="V10" s="177">
        <v>2</v>
      </c>
      <c r="W10" s="177">
        <v>2</v>
      </c>
      <c r="X10" s="177">
        <v>0</v>
      </c>
      <c r="Y10" s="175">
        <f t="shared" ref="Y10:Y14" si="0">SUM(V10:X10)</f>
        <v>4</v>
      </c>
    </row>
    <row r="11" spans="2:25" ht="15" customHeight="1" x14ac:dyDescent="0.2">
      <c r="B11" s="170" t="s">
        <v>3</v>
      </c>
      <c r="C11" s="178">
        <v>1.9528000000000001</v>
      </c>
      <c r="D11" s="172" t="s">
        <v>3</v>
      </c>
      <c r="E11" s="179">
        <f>'分析-属性加成'!I6</f>
        <v>2.162482885499879</v>
      </c>
      <c r="U11" s="170" t="s">
        <v>34</v>
      </c>
      <c r="V11" s="177">
        <v>1</v>
      </c>
      <c r="W11" s="177">
        <v>2</v>
      </c>
      <c r="X11" s="177">
        <v>1</v>
      </c>
      <c r="Y11" s="175">
        <f t="shared" si="0"/>
        <v>4</v>
      </c>
    </row>
    <row r="12" spans="2:25" ht="15" customHeight="1" x14ac:dyDescent="0.2">
      <c r="B12" s="170" t="s">
        <v>4</v>
      </c>
      <c r="C12" s="178">
        <v>0.45639999999999997</v>
      </c>
      <c r="D12" s="172" t="s">
        <v>4</v>
      </c>
      <c r="E12" s="179">
        <f>'分析-属性加成'!K6</f>
        <v>0.71065665775993536</v>
      </c>
      <c r="H12" s="168" t="s">
        <v>20</v>
      </c>
      <c r="I12" s="174" t="s">
        <v>65</v>
      </c>
      <c r="J12" s="174" t="s">
        <v>64</v>
      </c>
      <c r="K12" s="174" t="s">
        <v>63</v>
      </c>
      <c r="L12" s="174" t="s">
        <v>62</v>
      </c>
      <c r="M12" s="174" t="s">
        <v>66</v>
      </c>
      <c r="N12" s="174" t="s">
        <v>67</v>
      </c>
      <c r="O12" s="174" t="s">
        <v>266</v>
      </c>
      <c r="P12" s="174" t="s">
        <v>68</v>
      </c>
      <c r="Q12" s="174" t="s">
        <v>72</v>
      </c>
      <c r="R12" s="174" t="s">
        <v>71</v>
      </c>
      <c r="U12" s="170" t="s">
        <v>36</v>
      </c>
      <c r="V12" s="177">
        <v>3</v>
      </c>
      <c r="W12" s="177">
        <v>0</v>
      </c>
      <c r="X12" s="177">
        <v>1</v>
      </c>
      <c r="Y12" s="175">
        <f t="shared" si="0"/>
        <v>4</v>
      </c>
    </row>
    <row r="13" spans="2:25" ht="15" customHeight="1" x14ac:dyDescent="0.2">
      <c r="B13" s="170" t="s">
        <v>5</v>
      </c>
      <c r="C13" s="178">
        <v>1.0518000000000001</v>
      </c>
      <c r="D13" s="172" t="s">
        <v>5</v>
      </c>
      <c r="E13" s="179">
        <f>'分析-属性加成'!M7</f>
        <v>1.1118738430655628</v>
      </c>
      <c r="H13" s="168" t="s">
        <v>21</v>
      </c>
      <c r="I13" s="181" t="s">
        <v>439</v>
      </c>
      <c r="J13" s="181" t="s">
        <v>334</v>
      </c>
      <c r="K13" s="181" t="s">
        <v>548</v>
      </c>
      <c r="L13" s="181" t="s">
        <v>335</v>
      </c>
      <c r="M13" s="181" t="s">
        <v>336</v>
      </c>
      <c r="N13" s="181" t="s">
        <v>337</v>
      </c>
      <c r="O13" s="169" t="s">
        <v>183</v>
      </c>
      <c r="P13" s="169" t="s">
        <v>310</v>
      </c>
      <c r="Q13" s="169" t="s">
        <v>179</v>
      </c>
      <c r="R13" s="169" t="s">
        <v>179</v>
      </c>
      <c r="U13" s="170" t="s">
        <v>45</v>
      </c>
      <c r="V13" s="177">
        <v>2</v>
      </c>
      <c r="W13" s="177">
        <v>2</v>
      </c>
      <c r="X13" s="177">
        <v>0</v>
      </c>
      <c r="Y13" s="175">
        <f t="shared" si="0"/>
        <v>4</v>
      </c>
    </row>
    <row r="14" spans="2:25" ht="15" customHeight="1" thickBot="1" x14ac:dyDescent="0.25">
      <c r="B14" s="170" t="s">
        <v>6</v>
      </c>
      <c r="C14" s="178">
        <v>0.25590000000000002</v>
      </c>
      <c r="D14" s="172" t="s">
        <v>6</v>
      </c>
      <c r="E14" s="179">
        <f>'分析-属性加成'!O7</f>
        <v>0.29737104707717726</v>
      </c>
      <c r="G14" s="182"/>
      <c r="H14" s="182"/>
      <c r="I14" s="182"/>
      <c r="J14" s="182"/>
      <c r="K14" s="182"/>
      <c r="L14" s="182"/>
      <c r="M14" s="182"/>
      <c r="N14" s="182"/>
      <c r="O14" s="182"/>
      <c r="P14" s="182"/>
      <c r="Q14" s="182"/>
      <c r="R14" s="182"/>
      <c r="S14" s="182"/>
      <c r="U14" s="183" t="s">
        <v>51</v>
      </c>
      <c r="V14" s="184">
        <v>2</v>
      </c>
      <c r="W14" s="184">
        <v>2</v>
      </c>
      <c r="X14" s="184">
        <v>0</v>
      </c>
      <c r="Y14" s="185">
        <f t="shared" si="0"/>
        <v>4</v>
      </c>
    </row>
    <row r="15" spans="2:25" ht="15" customHeight="1" thickBot="1" x14ac:dyDescent="0.25">
      <c r="B15" s="170" t="s">
        <v>7</v>
      </c>
      <c r="C15" s="186">
        <v>502.5</v>
      </c>
      <c r="D15" s="187" t="s">
        <v>7</v>
      </c>
      <c r="E15" s="188">
        <f>'分析-属性加成'!Q6</f>
        <v>502.5</v>
      </c>
      <c r="G15" s="182"/>
      <c r="H15" s="168" t="s">
        <v>22</v>
      </c>
      <c r="I15" s="174" t="s">
        <v>73</v>
      </c>
      <c r="J15" s="174" t="s">
        <v>74</v>
      </c>
      <c r="K15" s="174" t="s">
        <v>75</v>
      </c>
      <c r="L15" s="174" t="s">
        <v>76</v>
      </c>
      <c r="M15" s="174" t="s">
        <v>77</v>
      </c>
      <c r="N15" s="174" t="s">
        <v>78</v>
      </c>
      <c r="O15" s="174" t="s">
        <v>79</v>
      </c>
      <c r="P15" s="174" t="s">
        <v>80</v>
      </c>
      <c r="Q15" s="174" t="s">
        <v>81</v>
      </c>
      <c r="R15" s="174" t="s">
        <v>82</v>
      </c>
      <c r="S15" s="182"/>
    </row>
    <row r="16" spans="2:25" ht="15" customHeight="1" thickBot="1" x14ac:dyDescent="0.25">
      <c r="B16" s="170" t="s">
        <v>13</v>
      </c>
      <c r="C16" s="189">
        <v>1269</v>
      </c>
      <c r="H16" s="168" t="s">
        <v>21</v>
      </c>
      <c r="I16" s="169" t="s">
        <v>438</v>
      </c>
      <c r="J16" s="169" t="s">
        <v>311</v>
      </c>
      <c r="K16" s="169" t="s">
        <v>311</v>
      </c>
      <c r="L16" s="169" t="s">
        <v>311</v>
      </c>
      <c r="M16" s="169" t="s">
        <v>312</v>
      </c>
      <c r="N16" s="169" t="s">
        <v>311</v>
      </c>
      <c r="O16" s="169" t="s">
        <v>311</v>
      </c>
      <c r="P16" s="169" t="s">
        <v>302</v>
      </c>
      <c r="Q16" s="169" t="s">
        <v>179</v>
      </c>
      <c r="R16" s="169" t="s">
        <v>179</v>
      </c>
      <c r="U16" s="253" t="s">
        <v>60</v>
      </c>
      <c r="V16" s="255" t="s">
        <v>61</v>
      </c>
      <c r="W16" s="253" t="s">
        <v>331</v>
      </c>
      <c r="X16" s="257" t="s">
        <v>332</v>
      </c>
      <c r="Y16" s="190" t="s">
        <v>449</v>
      </c>
    </row>
    <row r="17" spans="2:25" ht="15" customHeight="1" x14ac:dyDescent="0.2">
      <c r="B17" s="170" t="s">
        <v>14</v>
      </c>
      <c r="C17" s="191" t="s">
        <v>166</v>
      </c>
      <c r="D17" s="192" t="s">
        <v>24</v>
      </c>
      <c r="E17" s="193" t="s">
        <v>545</v>
      </c>
      <c r="U17" s="254"/>
      <c r="V17" s="256"/>
      <c r="W17" s="254"/>
      <c r="X17" s="228"/>
      <c r="Y17" s="194" t="s">
        <v>450</v>
      </c>
    </row>
    <row r="18" spans="2:25" ht="15" customHeight="1" x14ac:dyDescent="0.2">
      <c r="B18" s="170" t="s">
        <v>8</v>
      </c>
      <c r="C18" s="171">
        <v>5</v>
      </c>
      <c r="D18" s="172" t="s">
        <v>25</v>
      </c>
      <c r="E18" s="195">
        <v>1.1000000000000001</v>
      </c>
      <c r="H18" s="168" t="s">
        <v>23</v>
      </c>
      <c r="I18" s="174" t="s">
        <v>83</v>
      </c>
      <c r="J18" s="174" t="s">
        <v>84</v>
      </c>
      <c r="K18" s="174" t="s">
        <v>85</v>
      </c>
      <c r="M18" s="168" t="s">
        <v>86</v>
      </c>
      <c r="N18" s="174" t="s">
        <v>87</v>
      </c>
      <c r="O18" s="174" t="s">
        <v>88</v>
      </c>
      <c r="Q18" s="168" t="s">
        <v>30</v>
      </c>
      <c r="R18" s="177">
        <v>5</v>
      </c>
      <c r="U18" s="170" t="s">
        <v>0</v>
      </c>
      <c r="V18" s="196">
        <f>IF($C$17="28GCD驱夷",'分析-循环与收益'!I44,IF($C$17="21GCD驱夷",'分析-循环与收益'!I81,0))</f>
        <v>1.2482777756628316E-4</v>
      </c>
      <c r="W18" s="170" t="s">
        <v>0</v>
      </c>
      <c r="X18" s="197">
        <f>V18/$V$19/82*34</f>
        <v>0.57799426497950468</v>
      </c>
      <c r="Y18" s="198">
        <f>(V18*IF($Y$17="八级",18,IF($Y$17="七级",14,IF($Y$17="六级",10,0))))/($V$19*18)</f>
        <v>0.77443676026665664</v>
      </c>
    </row>
    <row r="19" spans="2:25" ht="15" customHeight="1" x14ac:dyDescent="0.2">
      <c r="B19" s="170" t="s">
        <v>9</v>
      </c>
      <c r="C19" s="178">
        <v>2.2000000000000001E-3</v>
      </c>
      <c r="D19" s="172" t="s">
        <v>26</v>
      </c>
      <c r="E19" s="195">
        <v>0.35</v>
      </c>
      <c r="H19" s="168" t="s">
        <v>21</v>
      </c>
      <c r="I19" s="169" t="s">
        <v>302</v>
      </c>
      <c r="J19" s="169" t="s">
        <v>310</v>
      </c>
      <c r="K19" s="169" t="s">
        <v>310</v>
      </c>
      <c r="M19" s="168" t="s">
        <v>21</v>
      </c>
      <c r="N19" s="169" t="s">
        <v>311</v>
      </c>
      <c r="O19" s="169" t="s">
        <v>311</v>
      </c>
      <c r="Q19" s="168" t="s">
        <v>31</v>
      </c>
      <c r="R19" s="177">
        <v>30</v>
      </c>
      <c r="U19" s="170" t="s">
        <v>15</v>
      </c>
      <c r="V19" s="196">
        <f>IF($C$17="28GCD驱夷",'分析-循环与收益'!L44,IF($C$17="21GCD驱夷",'分析-循环与收益'!L81,0))</f>
        <v>8.9547357347452561E-5</v>
      </c>
      <c r="W19" s="170" t="s">
        <v>15</v>
      </c>
      <c r="X19" s="197">
        <f>1</f>
        <v>1</v>
      </c>
      <c r="Y19" s="198">
        <f>(V19*IF($Y$17="八级",31,IF($Y$17="七级",24,IF($Y$17="六级",18,0))))/($V$19*18)</f>
        <v>1</v>
      </c>
    </row>
    <row r="20" spans="2:25" ht="15" customHeight="1" x14ac:dyDescent="0.2">
      <c r="B20" s="170" t="s">
        <v>10</v>
      </c>
      <c r="C20" s="178">
        <v>1.7526999999999999</v>
      </c>
      <c r="D20" s="172" t="s">
        <v>27</v>
      </c>
      <c r="E20" s="199">
        <v>4959</v>
      </c>
      <c r="U20" s="170" t="s">
        <v>2</v>
      </c>
      <c r="V20" s="196">
        <f>IF($C$17="28GCD驱夷",'分析-循环与收益'!O44,IF($C$17="21GCD驱夷",'分析-循环与收益'!O81,0))</f>
        <v>4.8624913069117426E-5</v>
      </c>
      <c r="W20" s="170" t="s">
        <v>2</v>
      </c>
      <c r="X20" s="197">
        <f>V20/$V$19*1.85</f>
        <v>1.0045644209111471</v>
      </c>
      <c r="Y20" s="198">
        <f>(V20*IF($Y$17="八级",58,IF($Y$17="七级",45,IF($Y$17="六级",34,0))))/($V$19*18)</f>
        <v>1.0256813907200901</v>
      </c>
    </row>
    <row r="21" spans="2:25" ht="15" customHeight="1" x14ac:dyDescent="0.2">
      <c r="B21" s="170" t="s">
        <v>11</v>
      </c>
      <c r="C21" s="171">
        <v>10</v>
      </c>
      <c r="D21" s="172" t="s">
        <v>28</v>
      </c>
      <c r="E21" s="199">
        <v>4959</v>
      </c>
      <c r="O21" s="228" t="s">
        <v>377</v>
      </c>
      <c r="P21" s="228"/>
      <c r="Q21" s="228"/>
      <c r="U21" s="170" t="s">
        <v>3</v>
      </c>
      <c r="V21" s="196">
        <f>IF($C$17="28GCD驱夷",'分析-循环与收益'!R44,IF($C$17="21GCD驱夷",'分析-循环与收益'!R81,0))</f>
        <v>6.0353423734671452E-5</v>
      </c>
      <c r="W21" s="170" t="s">
        <v>3</v>
      </c>
      <c r="X21" s="197">
        <f>V21/$V$19*1.85</f>
        <v>1.2468691116803627</v>
      </c>
      <c r="Y21" s="198">
        <f t="shared" ref="Y21:Y24" si="1">(V21*IF($Y$17="八级",58,IF($Y$17="七级",45,IF($Y$17="六级",34,0))))/($V$19*18)</f>
        <v>1.2730795734874576</v>
      </c>
    </row>
    <row r="22" spans="2:25" ht="15" customHeight="1" thickBot="1" x14ac:dyDescent="0.25">
      <c r="B22" s="183" t="s">
        <v>12</v>
      </c>
      <c r="C22" s="200">
        <v>0.9</v>
      </c>
      <c r="D22" s="187" t="s">
        <v>29</v>
      </c>
      <c r="E22" s="201">
        <v>103</v>
      </c>
      <c r="O22" s="229">
        <v>1</v>
      </c>
      <c r="P22" s="229"/>
      <c r="Q22" s="229"/>
      <c r="U22" s="170" t="s">
        <v>4</v>
      </c>
      <c r="V22" s="196">
        <f>IF($C$17="28GCD驱夷",'分析-循环与收益'!U44,IF($C$17="21GCD驱夷",'分析-循环与收益'!U81,0))</f>
        <v>5.0946385396821725E-5</v>
      </c>
      <c r="W22" s="170" t="s">
        <v>4</v>
      </c>
      <c r="X22" s="197">
        <f>V22/$V$19*1.85</f>
        <v>1.052524784382165</v>
      </c>
      <c r="Y22" s="198">
        <f t="shared" si="1"/>
        <v>1.0746499299998082</v>
      </c>
    </row>
    <row r="23" spans="2:25" ht="15" customHeight="1" thickBot="1" x14ac:dyDescent="0.25">
      <c r="U23" s="170" t="s">
        <v>5</v>
      </c>
      <c r="V23" s="196">
        <f>IF($C$17="28GCD驱夷",'分析-循环与收益'!X44,IF($C$17="21GCD驱夷",'分析-循环与收益'!X81,0))</f>
        <v>0</v>
      </c>
      <c r="W23" s="170" t="s">
        <v>5</v>
      </c>
      <c r="X23" s="197">
        <f>V23/$V$19*1.85</f>
        <v>0</v>
      </c>
      <c r="Y23" s="198">
        <f t="shared" si="1"/>
        <v>0</v>
      </c>
    </row>
    <row r="24" spans="2:25" ht="15" customHeight="1" thickBot="1" x14ac:dyDescent="0.25">
      <c r="B24" s="174" t="s">
        <v>53</v>
      </c>
      <c r="C24" s="197">
        <f>'分析-属性加成'!N7</f>
        <v>0</v>
      </c>
      <c r="D24" s="172" t="s">
        <v>57</v>
      </c>
      <c r="E24" s="202">
        <f>0.05+IF(O19="有",0.03,0)+IF(N19="有",0.12,0)</f>
        <v>0.2</v>
      </c>
      <c r="O24" s="247" t="s">
        <v>38</v>
      </c>
      <c r="P24" s="248"/>
      <c r="Q24" s="249"/>
      <c r="U24" s="183" t="s">
        <v>6</v>
      </c>
      <c r="V24" s="203">
        <f>IF($C$17="28GCD驱夷",'分析-循环与收益'!AA44,IF($C$17="21GCD驱夷",'分析-循环与收益'!AA81,0))</f>
        <v>5.5319304022471982E-5</v>
      </c>
      <c r="W24" s="183" t="s">
        <v>6</v>
      </c>
      <c r="X24" s="204">
        <f>V24/$V$19*1.85</f>
        <v>1.1428669195058558</v>
      </c>
      <c r="Y24" s="198">
        <f t="shared" si="1"/>
        <v>1.1668911490450178</v>
      </c>
    </row>
    <row r="25" spans="2:25" ht="15" customHeight="1" thickBot="1" x14ac:dyDescent="0.25">
      <c r="B25" s="174" t="s">
        <v>54</v>
      </c>
      <c r="C25" s="197">
        <f>'分析-属性加成'!P7</f>
        <v>5.2628952922822714E-2</v>
      </c>
      <c r="D25" s="172" t="s">
        <v>58</v>
      </c>
      <c r="E25" s="202">
        <f>0.05+IF(O19="有",0.03,0)</f>
        <v>0.08</v>
      </c>
      <c r="O25" s="250">
        <f>(IF(C17="28GCD驱夷",'分析-循环与收益'!F43,0)+IF(C17="21GCD驱夷",'分析-循环与收益'!F80,0))*(1+0.05*'分析-循环与收益'!C22)</f>
        <v>108240.73547965827</v>
      </c>
      <c r="P25" s="251"/>
      <c r="Q25" s="252"/>
      <c r="U25" s="238" t="s">
        <v>445</v>
      </c>
      <c r="V25" s="239"/>
      <c r="W25" s="239"/>
      <c r="X25" s="239"/>
      <c r="Y25" s="240"/>
    </row>
    <row r="26" spans="2:25" ht="15" customHeight="1" x14ac:dyDescent="0.2">
      <c r="B26" s="174" t="s">
        <v>378</v>
      </c>
      <c r="C26" s="197">
        <f>'分析-单技能数据'!M2</f>
        <v>0.24272716014590323</v>
      </c>
      <c r="D26" s="172" t="s">
        <v>59</v>
      </c>
      <c r="E26" s="202">
        <f>IF(O19="有",0.03,0)</f>
        <v>0.03</v>
      </c>
      <c r="U26" s="241"/>
      <c r="V26" s="242"/>
      <c r="W26" s="242"/>
      <c r="X26" s="242"/>
      <c r="Y26" s="243"/>
    </row>
    <row r="27" spans="2:25" ht="15" customHeight="1" x14ac:dyDescent="0.2">
      <c r="B27" s="174" t="s">
        <v>379</v>
      </c>
      <c r="C27" s="197">
        <f>'分析-单技能数据'!M12</f>
        <v>8.389626085980037E-2</v>
      </c>
      <c r="U27" s="241"/>
      <c r="V27" s="242"/>
      <c r="W27" s="242"/>
      <c r="X27" s="242"/>
      <c r="Y27" s="243"/>
    </row>
    <row r="28" spans="2:25" ht="15" customHeight="1" x14ac:dyDescent="0.2">
      <c r="B28" s="174" t="s">
        <v>55</v>
      </c>
      <c r="C28" s="197">
        <f>((分析模式!$E$21-IF(分析模式!$I$19="有",200,IF(分析模式!$I$19="劲风",400,0)))*IF(分析模式!$K$19="有",0.7,1))/(((分析模式!$E$21-IF(分析模式!$I$19="有",200,IF(分析模式!$I$19="劲风",400,0)))*IF(分析模式!$K$19="有",0.7,1))+(185*分析模式!$E$22-16800)*4.08224)</f>
        <v>0.27383198938226383</v>
      </c>
      <c r="U28" s="241"/>
      <c r="V28" s="242"/>
      <c r="W28" s="242"/>
      <c r="X28" s="242"/>
      <c r="Y28" s="243"/>
    </row>
    <row r="29" spans="2:25" ht="15" customHeight="1" thickBot="1" x14ac:dyDescent="0.25">
      <c r="B29" s="174" t="s">
        <v>56</v>
      </c>
      <c r="C29" s="197">
        <f>'分析-属性加成'!AB7</f>
        <v>0.20000000000000007</v>
      </c>
      <c r="U29" s="244"/>
      <c r="V29" s="245"/>
      <c r="W29" s="245"/>
      <c r="X29" s="245"/>
      <c r="Y29" s="246"/>
    </row>
    <row r="30" spans="2:25" ht="15" customHeight="1" x14ac:dyDescent="0.2">
      <c r="C30" s="205"/>
    </row>
    <row r="31" spans="2:25" ht="15" customHeight="1" x14ac:dyDescent="0.2">
      <c r="B31" s="205"/>
    </row>
  </sheetData>
  <sheetProtection algorithmName="SHA-512" hashValue="fr6nEhbt0aBkLkeeEkgJ9Ji0fbcvbszyxxBsT+cr/hPLOhDpsOvgA9A7fiedqdCn+nuR+KMUYFuQEGZ920Gjcg==" saltValue="CdscUXn5a9iTavtTlzBZ1A==" spinCount="100000" sheet="1" objects="1" selectLockedCells="1"/>
  <mergeCells count="19">
    <mergeCell ref="X7:Y7"/>
    <mergeCell ref="B7:C7"/>
    <mergeCell ref="D7:E7"/>
    <mergeCell ref="U7:W7"/>
    <mergeCell ref="U25:Y29"/>
    <mergeCell ref="O24:Q24"/>
    <mergeCell ref="O25:Q25"/>
    <mergeCell ref="U16:U17"/>
    <mergeCell ref="V16:V17"/>
    <mergeCell ref="W16:W17"/>
    <mergeCell ref="X16:X17"/>
    <mergeCell ref="K4:M5"/>
    <mergeCell ref="N4:P5"/>
    <mergeCell ref="O21:Q21"/>
    <mergeCell ref="O22:Q22"/>
    <mergeCell ref="G2:S3"/>
    <mergeCell ref="G4:G5"/>
    <mergeCell ref="H4:J5"/>
    <mergeCell ref="Q4:S5"/>
  </mergeCells>
  <phoneticPr fontId="1" type="noConversion"/>
  <dataValidations count="34">
    <dataValidation type="list" allowBlank="1" showInputMessage="1" showErrorMessage="1" sqref="C16" xr:uid="{56F87694-641E-44D1-8CE7-7FD502C4583B}">
      <formula1>"0,19,1269,2704,4359"</formula1>
    </dataValidation>
    <dataValidation type="list" allowBlank="1" showInputMessage="1" showErrorMessage="1" sqref="C17" xr:uid="{6B1A432E-6874-4497-B503-839389A216FB}">
      <formula1>"28GCD驱夷,21GCD驱夷,7GCD驱夷"</formula1>
    </dataValidation>
    <dataValidation type="list" allowBlank="1" showInputMessage="1" showErrorMessage="1" sqref="E17" xr:uid="{E2F8A36B-016D-4CE0-AE9E-E5ABD9D206AA}">
      <formula1>"十人秘境,英雄巨冥湾,挑战巨冥湾,101木桩,102木桩,103木桩,104木桩,自定义"</formula1>
    </dataValidation>
    <dataValidation type="list" allowBlank="1" showInputMessage="1" showErrorMessage="1" sqref="H7" xr:uid="{7ECC8868-C030-4404-9956-07D582F9912C}">
      <formula1>"无幽不烛,腾焰飞芒,血泪成悦"</formula1>
    </dataValidation>
    <dataValidation type="list" allowBlank="1" showInputMessage="1" showErrorMessage="1" sqref="I7" xr:uid="{1ADF6882-5440-44EF-BB8A-AB90324E9488}">
      <formula1>"日月凌天,无往不复,净身明礼"</formula1>
    </dataValidation>
    <dataValidation type="list" allowBlank="1" showInputMessage="1" showErrorMessage="1" sqref="J7" xr:uid="{62A62C15-74F7-4C53-9183-FA3A4B2C409F}">
      <formula1>"燎原烈火,洞若观火,镇魔极道,寒月耀"</formula1>
    </dataValidation>
    <dataValidation type="list" allowBlank="1" showInputMessage="1" showErrorMessage="1" sqref="K7" xr:uid="{1C14E678-E079-4D0A-9A06-CE593500A2CF}">
      <formula1>"无明业火,光影,善法肉身,无间影狱"</formula1>
    </dataValidation>
    <dataValidation type="list" allowBlank="1" showInputMessage="1" showErrorMessage="1" sqref="L7" xr:uid="{F1EA3830-8E75-44CE-9994-3BD58CABBF60}">
      <formula1>"明光恒照,恶秽满路,烈血灼芒,业海罪缚"</formula1>
    </dataValidation>
    <dataValidation type="list" allowBlank="1" showInputMessage="1" showErrorMessage="1" sqref="M7" xr:uid="{68ACB79A-FECF-4F13-8B9D-C0484FB7A710}">
      <formula1>"辉耀红尘,秽身浴露,贪墨伐罪,秽孽如形"</formula1>
    </dataValidation>
    <dataValidation type="list" allowBlank="1" showInputMessage="1" showErrorMessage="1" sqref="N7" xr:uid="{992A79ED-C715-4094-9C86-CD39EA044B84}">
      <formula1>"日月同辉,超凡入圣,极本朔源,善恶如梦"</formula1>
    </dataValidation>
    <dataValidation type="list" allowBlank="1" showInputMessage="1" showErrorMessage="1" sqref="O7" xr:uid="{2505D5AD-2841-4531-91CF-8E2F6D22347C}">
      <formula1>"用晦而明,明齐日月,清净众生,幽隐尘迹"</formula1>
    </dataValidation>
    <dataValidation type="list" allowBlank="1" showInputMessage="1" showErrorMessage="1" sqref="P7" xr:uid="{0936AE54-59DF-426F-A404-E7A83915ABE8}">
      <formula1>"天地诛戮,火舞长空,圣法光明,生灭予夺"</formula1>
    </dataValidation>
    <dataValidation type="list" allowBlank="1" showInputMessage="1" showErrorMessage="1" sqref="Q7" xr:uid="{114CB3E3-87BA-4417-9FF8-4675B200A4E0}">
      <formula1>"秘影诡行,降灵尊,寂灭劫灰,极乐引"</formula1>
    </dataValidation>
    <dataValidation type="list" allowBlank="1" showInputMessage="1" showErrorMessage="1" sqref="R7" xr:uid="{F46659C3-62D1-4EF0-86CA-20ED19598B03}">
      <formula1>"万念俱寂,自明及晦,劳心仲寿,伏明众生"</formula1>
    </dataValidation>
    <dataValidation type="list" allowBlank="1" showInputMessage="1" showErrorMessage="1" sqref="S7" xr:uid="{A4AA0CB4-166D-41FB-B3F7-38014A64C3B3}">
      <formula1>"日月齐光,驱夷逐法,法业朝辉,冥月渡心"</formula1>
    </dataValidation>
    <dataValidation type="list" allowBlank="1" showInputMessage="1" showErrorMessage="1" sqref="O13" xr:uid="{1C9ADD00-8D9E-4EB0-9A99-34A95B16C267}">
      <formula1>"蒸鱼菜盘,无"</formula1>
    </dataValidation>
    <dataValidation type="list" allowBlank="1" showInputMessage="1" showErrorMessage="1" sqref="I10:J10 P13:Q13 J16:L16 N16:O16 J19 N19:O19 M10:Q10" xr:uid="{764F578E-C900-4513-A0A9-8FD6F018F754}">
      <formula1>"有,无"</formula1>
    </dataValidation>
    <dataValidation type="list" allowBlank="1" showInputMessage="1" showErrorMessage="1" sqref="I16" xr:uid="{3D2EC92B-37C9-42CD-B946-B727BD7DEE78}">
      <formula1>"无,气纯阵,花间阵,和尚阵,冰心阵,毒经阵,田螺阵,明教阵,明教阵（自己）,莫问阵,霸刀阵"</formula1>
    </dataValidation>
    <dataValidation type="list" allowBlank="1" showInputMessage="1" showErrorMessage="1" sqref="M16" xr:uid="{F5823FEC-5DC9-49FE-A2A5-29C74ECA3F34}">
      <formula1>"10层,无"</formula1>
    </dataValidation>
    <dataValidation type="list" allowBlank="1" showInputMessage="1" showErrorMessage="1" sqref="P16" xr:uid="{EE9EDB90-B75C-4764-93CA-C0DFAAAFEDEE}">
      <formula1>"无,10人团,25人团"</formula1>
    </dataValidation>
    <dataValidation type="list" allowBlank="1" showInputMessage="1" showErrorMessage="1" sqref="Q16" xr:uid="{26F741D9-E2EB-43C2-A891-E000A5B95B9B}">
      <formula1>"无,1个,2个"</formula1>
    </dataValidation>
    <dataValidation type="list" allowBlank="1" showInputMessage="1" showErrorMessage="1" sqref="R16" xr:uid="{B240113D-F432-41F8-AF03-F9DBD1D749C4}">
      <formula1>"无,6层"</formula1>
    </dataValidation>
    <dataValidation type="list" allowBlank="1" showInputMessage="1" showErrorMessage="1" sqref="I19" xr:uid="{7DFF9AFC-D4BE-43B6-BC0C-87887270AA4D}">
      <formula1>"无,有,劲风"</formula1>
    </dataValidation>
    <dataValidation type="list" allowBlank="1" showInputMessage="1" showErrorMessage="1" sqref="K19" xr:uid="{B8FAB7F0-7FDB-4E88-996E-8F5EA36747BB}">
      <formula1>"无,有"</formula1>
    </dataValidation>
    <dataValidation type="list" allowBlank="1" showInputMessage="1" showErrorMessage="1" sqref="R13" xr:uid="{F964F5BA-D651-4820-B46A-F40A7252B0A1}">
      <formula1>"无,1层,2层,3层,4层,5层,6层,"</formula1>
    </dataValidation>
    <dataValidation type="list" allowBlank="1" showInputMessage="1" showErrorMessage="1" sqref="L10" xr:uid="{C9265C5D-FCD2-4355-AF39-30BA6369B579}">
      <formula1>"无,2600·风"</formula1>
    </dataValidation>
    <dataValidation type="list" allowBlank="1" showInputMessage="1" showErrorMessage="1" sqref="I13" xr:uid="{CB157FC4-65B1-4836-89F4-FF5D0B0871AF}">
      <formula1>"无,酸菜鱼,红烧排骨,白肉血肠,灌汤包"</formula1>
    </dataValidation>
    <dataValidation type="list" allowBlank="1" showInputMessage="1" showErrorMessage="1" sqref="J13" xr:uid="{B40D45D1-84F4-4D61-B0D6-A8F51FD6E177}">
      <formula1>"无,鱼片砂锅粥"</formula1>
    </dataValidation>
    <dataValidation type="list" allowBlank="1" showInputMessage="1" showErrorMessage="1" sqref="K13" xr:uid="{8E6102CF-E052-42B0-BD82-9A6ED99BEFD7}">
      <formula1>"无,上品玉璃散,上品破秽散,上品凝神散,上品展风散"</formula1>
    </dataValidation>
    <dataValidation type="list" allowBlank="1" showInputMessage="1" showErrorMessage="1" sqref="L13" xr:uid="{A9234BD0-3FB1-4BDE-BFE3-C07B0C7E54D9}">
      <formula1>"无,上品聚魂丹"</formula1>
    </dataValidation>
    <dataValidation type="list" allowBlank="1" showInputMessage="1" showErrorMessage="1" sqref="M13" xr:uid="{89D4E731-8044-424F-BCA4-DF2E18798A23}">
      <formula1>"无,仙踪·兵·熔（内伤）"</formula1>
    </dataValidation>
    <dataValidation type="list" allowBlank="1" showInputMessage="1" showErrorMessage="1" sqref="N13" xr:uid="{650A0B06-D3C7-4885-BD3A-01770A9EDCA3}">
      <formula1>"无,二十四桥明月夜"</formula1>
    </dataValidation>
    <dataValidation type="list" allowBlank="1" showInputMessage="1" showErrorMessage="1" sqref="K10" xr:uid="{F35FA60F-30E8-4D7D-A9D1-FD589E2B1E24}">
      <formula1>"无,阴阳往极,2330·雷,2600·水"</formula1>
    </dataValidation>
    <dataValidation type="list" allowBlank="1" showInputMessage="1" showErrorMessage="1" sqref="Y17" xr:uid="{44F5BE9A-20B0-4F42-9DDF-0143197A9379}">
      <formula1>"六级,七级,八级"</formula1>
    </dataValidation>
  </dataValidations>
  <hyperlinks>
    <hyperlink ref="K4:M5" location="分析模式!K4" display="分析模式" xr:uid="{BA7B9A9C-296D-4F09-944A-3DB781604C18}"/>
    <hyperlink ref="N4:P5" location="模拟模式!N4" display="模拟模式" xr:uid="{F975DAEC-046B-4A39-B69A-03CAA46EBE70}"/>
    <hyperlink ref="Q4:S5" location="日志!A1" display="日志" xr:uid="{48046D26-3D12-490D-A68B-ACC712FEF355}"/>
    <hyperlink ref="G4:G5" location="首页!G4" display="首页" xr:uid="{544D4285-582D-4170-8B36-77B3F7F01318}"/>
    <hyperlink ref="H4:J5" location="属性导入!H4" display="属性导入" xr:uid="{41FB9446-0FD0-4B5E-A7D0-67D586B50F0B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00" r:id="rId4" name="目标属性输入">
          <controlPr defaultSize="0" autoLine="0" autoPict="0" r:id="rId5">
            <anchor moveWithCells="1">
              <from>
                <xdr:col>4</xdr:col>
                <xdr:colOff>57150</xdr:colOff>
                <xdr:row>20</xdr:row>
                <xdr:rowOff>47625</xdr:rowOff>
              </from>
              <to>
                <xdr:col>4</xdr:col>
                <xdr:colOff>523875</xdr:colOff>
                <xdr:row>21</xdr:row>
                <xdr:rowOff>133350</xdr:rowOff>
              </to>
            </anchor>
          </controlPr>
        </control>
      </mc:Choice>
      <mc:Fallback>
        <control shapeId="2100" r:id="rId4" name="目标属性输入"/>
      </mc:Fallback>
    </mc:AlternateContent>
    <mc:AlternateContent xmlns:mc="http://schemas.openxmlformats.org/markup-compatibility/2006">
      <mc:Choice Requires="x14">
        <control shapeId="2049" r:id="rId6" name="满个人增益">
          <controlPr defaultSize="0" autoLine="0" altText="" r:id="rId7">
            <anchor moveWithCells="1">
              <from>
                <xdr:col>8</xdr:col>
                <xdr:colOff>0</xdr:colOff>
                <xdr:row>20</xdr:row>
                <xdr:rowOff>9525</xdr:rowOff>
              </from>
              <to>
                <xdr:col>10</xdr:col>
                <xdr:colOff>0</xdr:colOff>
                <xdr:row>21</xdr:row>
                <xdr:rowOff>180975</xdr:rowOff>
              </to>
            </anchor>
          </controlPr>
        </control>
      </mc:Choice>
      <mc:Fallback>
        <control shapeId="2049" r:id="rId6" name="满个人增益"/>
      </mc:Fallback>
    </mc:AlternateContent>
    <mc:AlternateContent xmlns:mc="http://schemas.openxmlformats.org/markup-compatibility/2006">
      <mc:Choice Requires="x14">
        <control shapeId="2050" r:id="rId8" name="满团队增益">
          <controlPr defaultSize="0" autoLine="0" r:id="rId9">
            <anchor moveWithCells="1">
              <from>
                <xdr:col>8</xdr:col>
                <xdr:colOff>0</xdr:colOff>
                <xdr:row>23</xdr:row>
                <xdr:rowOff>0</xdr:rowOff>
              </from>
              <to>
                <xdr:col>10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2050" r:id="rId8" name="满团队增益"/>
      </mc:Fallback>
    </mc:AlternateContent>
    <mc:AlternateContent xmlns:mc="http://schemas.openxmlformats.org/markup-compatibility/2006">
      <mc:Choice Requires="x14">
        <control shapeId="2051" r:id="rId10" name="最优配装">
          <controlPr defaultSize="0" autoLine="0" r:id="rId11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2051" r:id="rId10" name="最优配装"/>
      </mc:Fallback>
    </mc:AlternateContent>
    <mc:AlternateContent xmlns:mc="http://schemas.openxmlformats.org/markup-compatibility/2006">
      <mc:Choice Requires="x14">
        <control shapeId="2053" r:id="rId12" name="清空增益">
          <controlPr defaultSize="0" autoLine="0" r:id="rId13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13</xdr:col>
                <xdr:colOff>0</xdr:colOff>
                <xdr:row>21</xdr:row>
                <xdr:rowOff>180975</xdr:rowOff>
              </to>
            </anchor>
          </controlPr>
        </control>
      </mc:Choice>
      <mc:Fallback>
        <control shapeId="2053" r:id="rId12" name="清空增益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1E9DF-6916-453B-9733-7469A919BB71}">
  <sheetPr codeName="Sheet6"/>
  <dimension ref="A1:AB59"/>
  <sheetViews>
    <sheetView workbookViewId="0"/>
  </sheetViews>
  <sheetFormatPr defaultColWidth="6.625" defaultRowHeight="14.25" x14ac:dyDescent="0.2"/>
  <cols>
    <col min="1" max="1" width="16.625" style="115" bestFit="1" customWidth="1"/>
    <col min="2" max="2" width="7.875" style="115" bestFit="1" customWidth="1"/>
    <col min="3" max="3" width="7.625" style="117" customWidth="1"/>
    <col min="4" max="4" width="7.625" style="45" customWidth="1"/>
    <col min="5" max="5" width="7.625" style="117" customWidth="1"/>
    <col min="6" max="6" width="7.625" style="45" customWidth="1"/>
    <col min="7" max="7" width="7.625" style="117" customWidth="1"/>
    <col min="8" max="8" width="7.625" style="45" customWidth="1"/>
    <col min="9" max="9" width="7.625" style="117" customWidth="1"/>
    <col min="10" max="10" width="7.625" style="45" customWidth="1"/>
    <col min="11" max="11" width="7.625" style="117" customWidth="1"/>
    <col min="12" max="12" width="7.625" style="45" customWidth="1"/>
    <col min="13" max="13" width="7.625" style="117" customWidth="1"/>
    <col min="14" max="14" width="7.625" style="45" customWidth="1"/>
    <col min="15" max="15" width="7.625" style="117" customWidth="1"/>
    <col min="16" max="16" width="7.625" style="45" customWidth="1"/>
    <col min="17" max="17" width="7.625" style="122" customWidth="1"/>
    <col min="18" max="18" width="7.625" style="45" customWidth="1"/>
    <col min="19" max="19" width="7.625" style="117" customWidth="1"/>
    <col min="20" max="20" width="7.625" style="45" customWidth="1"/>
    <col min="21" max="21" width="7.625" style="117" customWidth="1"/>
    <col min="22" max="22" width="7.625" style="45" customWidth="1"/>
    <col min="23" max="23" width="7.625" style="117" customWidth="1"/>
    <col min="24" max="24" width="7.625" style="45" customWidth="1"/>
    <col min="25" max="25" width="7.625" style="117" customWidth="1"/>
    <col min="26" max="26" width="7.625" style="45" customWidth="1"/>
    <col min="27" max="27" width="7.625" style="117" customWidth="1"/>
    <col min="28" max="28" width="7.625" style="45" customWidth="1"/>
    <col min="29" max="16384" width="6.625" style="115"/>
  </cols>
  <sheetData>
    <row r="1" spans="1:28" s="121" customFormat="1" ht="30" customHeight="1" x14ac:dyDescent="0.2">
      <c r="B1" s="261" t="s">
        <v>199</v>
      </c>
      <c r="C1" s="265" t="s">
        <v>0</v>
      </c>
      <c r="D1" s="265"/>
      <c r="E1" s="265" t="s">
        <v>1</v>
      </c>
      <c r="F1" s="265"/>
      <c r="G1" s="265" t="s">
        <v>2</v>
      </c>
      <c r="H1" s="265"/>
      <c r="I1" s="265" t="s">
        <v>3</v>
      </c>
      <c r="J1" s="265"/>
      <c r="K1" s="265" t="s">
        <v>4</v>
      </c>
      <c r="L1" s="265"/>
      <c r="M1" s="265" t="s">
        <v>5</v>
      </c>
      <c r="N1" s="265"/>
      <c r="O1" s="265" t="s">
        <v>6</v>
      </c>
      <c r="P1" s="265"/>
      <c r="Q1" s="265" t="s">
        <v>7</v>
      </c>
      <c r="R1" s="265"/>
      <c r="S1" s="265" t="s">
        <v>8</v>
      </c>
      <c r="T1" s="265"/>
      <c r="U1" s="265" t="s">
        <v>9</v>
      </c>
      <c r="V1" s="265"/>
      <c r="W1" s="265" t="s">
        <v>10</v>
      </c>
      <c r="X1" s="265"/>
      <c r="Y1" s="265" t="s">
        <v>11</v>
      </c>
      <c r="Z1" s="265"/>
      <c r="AA1" s="265" t="s">
        <v>12</v>
      </c>
      <c r="AB1" s="265"/>
    </row>
    <row r="2" spans="1:28" x14ac:dyDescent="0.2">
      <c r="B2" s="261"/>
      <c r="C2" s="117" t="s">
        <v>181</v>
      </c>
      <c r="D2" s="45" t="s">
        <v>180</v>
      </c>
      <c r="E2" s="117" t="s">
        <v>181</v>
      </c>
      <c r="F2" s="45" t="s">
        <v>180</v>
      </c>
      <c r="G2" s="117" t="s">
        <v>181</v>
      </c>
      <c r="H2" s="45" t="s">
        <v>180</v>
      </c>
      <c r="I2" s="117" t="s">
        <v>181</v>
      </c>
      <c r="J2" s="45" t="s">
        <v>180</v>
      </c>
      <c r="K2" s="117" t="s">
        <v>181</v>
      </c>
      <c r="L2" s="45" t="s">
        <v>180</v>
      </c>
      <c r="M2" s="117" t="s">
        <v>181</v>
      </c>
      <c r="N2" s="45" t="s">
        <v>180</v>
      </c>
      <c r="O2" s="117" t="s">
        <v>181</v>
      </c>
      <c r="P2" s="45" t="s">
        <v>180</v>
      </c>
      <c r="Q2" s="122" t="s">
        <v>181</v>
      </c>
      <c r="R2" s="45" t="s">
        <v>180</v>
      </c>
      <c r="S2" s="117" t="s">
        <v>181</v>
      </c>
      <c r="T2" s="45" t="s">
        <v>180</v>
      </c>
      <c r="U2" s="117" t="s">
        <v>181</v>
      </c>
      <c r="V2" s="45" t="s">
        <v>180</v>
      </c>
      <c r="W2" s="117" t="s">
        <v>181</v>
      </c>
      <c r="X2" s="45" t="s">
        <v>180</v>
      </c>
      <c r="Y2" s="117" t="s">
        <v>181</v>
      </c>
      <c r="Z2" s="45" t="s">
        <v>180</v>
      </c>
      <c r="AA2" s="117" t="s">
        <v>181</v>
      </c>
      <c r="AB2" s="45" t="s">
        <v>180</v>
      </c>
    </row>
    <row r="3" spans="1:28" x14ac:dyDescent="0.2">
      <c r="A3" s="115" t="s">
        <v>298</v>
      </c>
      <c r="C3" s="117">
        <f>'分析-循环与收益'!C3</f>
        <v>1681</v>
      </c>
      <c r="E3" s="117">
        <f>'分析-循环与收益'!C4</f>
        <v>8660</v>
      </c>
      <c r="H3" s="45">
        <f>'分析-循环与收益'!C5</f>
        <v>0.2555</v>
      </c>
      <c r="J3" s="45">
        <f>'分析-循环与收益'!C6</f>
        <v>1.9528000000000001</v>
      </c>
      <c r="K3" s="117">
        <f>'分析-循环与收益'!C7</f>
        <v>7003.0928800000002</v>
      </c>
      <c r="N3" s="45">
        <f>'分析-循环与收益'!C8</f>
        <v>1.0518000000000001</v>
      </c>
      <c r="P3" s="45">
        <f>'分析-循环与收益'!C9</f>
        <v>0.25590000000000002</v>
      </c>
      <c r="Q3" s="122">
        <f>分析模式!C15</f>
        <v>502.5</v>
      </c>
      <c r="S3" s="117">
        <f>分析模式!C18</f>
        <v>5</v>
      </c>
      <c r="V3" s="45">
        <f>分析模式!C19</f>
        <v>2.2000000000000001E-3</v>
      </c>
      <c r="X3" s="45">
        <f>分析模式!C20</f>
        <v>1.7526999999999999</v>
      </c>
      <c r="Y3" s="117">
        <f>分析模式!C21</f>
        <v>10</v>
      </c>
      <c r="AB3" s="45">
        <f>分析模式!C22</f>
        <v>0.9</v>
      </c>
    </row>
    <row r="4" spans="1:28" x14ac:dyDescent="0.2">
      <c r="A4" s="115" t="s">
        <v>182</v>
      </c>
      <c r="C4" s="117">
        <v>0</v>
      </c>
      <c r="D4" s="45">
        <v>0</v>
      </c>
      <c r="E4" s="117">
        <v>0</v>
      </c>
      <c r="F4" s="45">
        <v>0</v>
      </c>
      <c r="G4" s="117">
        <v>0</v>
      </c>
      <c r="H4" s="45">
        <v>0</v>
      </c>
      <c r="I4" s="117">
        <v>0</v>
      </c>
      <c r="J4" s="45">
        <v>0</v>
      </c>
      <c r="K4" s="117">
        <v>0</v>
      </c>
      <c r="L4" s="45">
        <v>0</v>
      </c>
      <c r="M4" s="117">
        <v>0</v>
      </c>
      <c r="N4" s="45">
        <v>0</v>
      </c>
      <c r="O4" s="117">
        <v>0</v>
      </c>
      <c r="P4" s="45">
        <v>0</v>
      </c>
      <c r="Q4" s="122">
        <v>0</v>
      </c>
      <c r="R4" s="45">
        <v>0</v>
      </c>
      <c r="S4" s="117">
        <v>0</v>
      </c>
      <c r="T4" s="45">
        <v>0</v>
      </c>
      <c r="U4" s="117">
        <v>0</v>
      </c>
      <c r="V4" s="45">
        <v>0</v>
      </c>
      <c r="W4" s="117">
        <v>0</v>
      </c>
      <c r="X4" s="45">
        <v>0</v>
      </c>
      <c r="Y4" s="117">
        <v>0</v>
      </c>
      <c r="Z4" s="45">
        <v>0</v>
      </c>
      <c r="AA4" s="117">
        <v>0</v>
      </c>
      <c r="AB4" s="45">
        <v>0</v>
      </c>
    </row>
    <row r="5" spans="1:28" x14ac:dyDescent="0.2">
      <c r="A5" s="115" t="s">
        <v>204</v>
      </c>
      <c r="C5" s="117">
        <f t="shared" ref="C5:AB5" si="0">SUMPRODUCT(($B$13:$B$59)*(C13:C59))</f>
        <v>189</v>
      </c>
      <c r="D5" s="45">
        <f t="shared" si="0"/>
        <v>0</v>
      </c>
      <c r="E5" s="117">
        <f t="shared" si="0"/>
        <v>413</v>
      </c>
      <c r="F5" s="45">
        <f t="shared" si="0"/>
        <v>0.92116920633491861</v>
      </c>
      <c r="G5" s="117">
        <f t="shared" si="0"/>
        <v>232</v>
      </c>
      <c r="H5" s="45">
        <f t="shared" si="0"/>
        <v>0.15000000000000002</v>
      </c>
      <c r="I5" s="117">
        <f t="shared" si="0"/>
        <v>52</v>
      </c>
      <c r="J5" s="45">
        <f t="shared" si="0"/>
        <v>0.2</v>
      </c>
      <c r="K5" s="117">
        <f t="shared" si="0"/>
        <v>1017.5833333333334</v>
      </c>
      <c r="L5" s="45">
        <f t="shared" si="0"/>
        <v>0.35</v>
      </c>
      <c r="M5" s="117">
        <f t="shared" si="0"/>
        <v>280</v>
      </c>
      <c r="N5" s="45">
        <f t="shared" si="0"/>
        <v>0.04</v>
      </c>
      <c r="O5" s="117">
        <f t="shared" si="0"/>
        <v>100</v>
      </c>
      <c r="P5" s="45">
        <f t="shared" si="0"/>
        <v>0.03</v>
      </c>
      <c r="Q5" s="117">
        <f t="shared" si="0"/>
        <v>0</v>
      </c>
      <c r="R5" s="45">
        <f t="shared" si="0"/>
        <v>0</v>
      </c>
      <c r="S5" s="117">
        <f t="shared" si="0"/>
        <v>0</v>
      </c>
      <c r="T5" s="45">
        <f t="shared" si="0"/>
        <v>0</v>
      </c>
      <c r="U5" s="117">
        <f t="shared" si="0"/>
        <v>0</v>
      </c>
      <c r="V5" s="45">
        <f t="shared" si="0"/>
        <v>0.1</v>
      </c>
      <c r="W5" s="117">
        <f t="shared" si="0"/>
        <v>0</v>
      </c>
      <c r="X5" s="45">
        <f t="shared" si="0"/>
        <v>0.1</v>
      </c>
      <c r="Y5" s="117">
        <f t="shared" si="0"/>
        <v>0</v>
      </c>
      <c r="Z5" s="45">
        <f t="shared" si="0"/>
        <v>0</v>
      </c>
      <c r="AA5" s="117">
        <f t="shared" si="0"/>
        <v>0</v>
      </c>
      <c r="AB5" s="45">
        <f t="shared" si="0"/>
        <v>0</v>
      </c>
    </row>
    <row r="6" spans="1:28" s="125" customFormat="1" x14ac:dyDescent="0.2">
      <c r="A6" s="262" t="s">
        <v>205</v>
      </c>
      <c r="B6" s="262"/>
      <c r="C6" s="263">
        <f>(C3+C4+C5)*(1+D4+D5)</f>
        <v>1870</v>
      </c>
      <c r="D6" s="263"/>
      <c r="E6" s="123" t="s">
        <v>206</v>
      </c>
      <c r="F6" s="124" t="s">
        <v>207</v>
      </c>
      <c r="G6" s="264">
        <f>H3+H4+H5+(G4+G5+(C6-C3)*系数!B13)/系数!B3</f>
        <v>0.42185145527300222</v>
      </c>
      <c r="H6" s="264"/>
      <c r="I6" s="264">
        <f>J3+J4+J5+(I4+I5)/系数!B4</f>
        <v>2.162482885499879</v>
      </c>
      <c r="J6" s="264"/>
      <c r="K6" s="264">
        <f>((K3+K4+K5+(C6-C3)*系数!B10)*(1+L4+L5))/系数!B5</f>
        <v>0.71065665775993536</v>
      </c>
      <c r="L6" s="264"/>
      <c r="M6" s="123" t="s">
        <v>213</v>
      </c>
      <c r="N6" s="124" t="s">
        <v>214</v>
      </c>
      <c r="O6" s="123" t="s">
        <v>215</v>
      </c>
      <c r="P6" s="124" t="s">
        <v>216</v>
      </c>
      <c r="Q6" s="263">
        <f>(Q3+Q4+Q5)*(1+R4+R5)</f>
        <v>502.5</v>
      </c>
      <c r="R6" s="263"/>
      <c r="S6" s="263">
        <f>(S3+S4+S5)*(1+T4+T5)</f>
        <v>5</v>
      </c>
      <c r="T6" s="263"/>
      <c r="U6" s="264">
        <f>V3+V4+V5+(U4+U5)/系数!B3</f>
        <v>0.1022</v>
      </c>
      <c r="V6" s="264"/>
      <c r="W6" s="264">
        <f>X3+X4+X5+(W4+W5)/系数!B4</f>
        <v>1.8527</v>
      </c>
      <c r="X6" s="264"/>
      <c r="Y6" s="264">
        <f>((Y3+Y4+Y5)*(1+Z4+Z5))/系数!B5</f>
        <v>6.5171204754891092E-4</v>
      </c>
      <c r="Z6" s="264"/>
      <c r="AA6" s="125" t="s">
        <v>213</v>
      </c>
      <c r="AB6" s="124" t="s">
        <v>214</v>
      </c>
    </row>
    <row r="7" spans="1:28" s="125" customFormat="1" x14ac:dyDescent="0.2">
      <c r="A7" s="262"/>
      <c r="B7" s="262"/>
      <c r="C7" s="263"/>
      <c r="D7" s="263"/>
      <c r="E7" s="123">
        <f>(E3+E4+E5+(C6-C3)*系数!B9)*(1+F4+F5)</f>
        <v>17496.126385476233</v>
      </c>
      <c r="F7" s="123">
        <f>E7+C6*系数!B12</f>
        <v>21049.126385476233</v>
      </c>
      <c r="G7" s="264"/>
      <c r="H7" s="264"/>
      <c r="I7" s="264"/>
      <c r="J7" s="264"/>
      <c r="K7" s="264"/>
      <c r="L7" s="264"/>
      <c r="M7" s="124">
        <f>N3+N4+N5+(M4+M5)/系数!B6</f>
        <v>1.1118738430655628</v>
      </c>
      <c r="N7" s="124">
        <f>MAX(0,分析模式!E18-M7)</f>
        <v>0</v>
      </c>
      <c r="O7" s="124">
        <f>P3+P4+P5+(O4+O5)/系数!B7</f>
        <v>0.29737104707717726</v>
      </c>
      <c r="P7" s="124">
        <f>MAX(0,分析模式!E19-O7)</f>
        <v>5.2628952922822714E-2</v>
      </c>
      <c r="Q7" s="263"/>
      <c r="R7" s="263"/>
      <c r="S7" s="263"/>
      <c r="T7" s="263"/>
      <c r="U7" s="264"/>
      <c r="V7" s="264"/>
      <c r="W7" s="264"/>
      <c r="X7" s="264"/>
      <c r="Y7" s="264"/>
      <c r="Z7" s="264"/>
      <c r="AA7" s="124">
        <f>AB3+AB4+AB5+(AA4+AA5)/系数!B6</f>
        <v>0.9</v>
      </c>
      <c r="AB7" s="124">
        <f>MAX(0,分析模式!E18-AA7)</f>
        <v>0.20000000000000007</v>
      </c>
    </row>
    <row r="8" spans="1:28" x14ac:dyDescent="0.2">
      <c r="D8" s="117"/>
      <c r="F8" s="117"/>
      <c r="G8" s="45"/>
      <c r="I8" s="45"/>
      <c r="K8" s="45"/>
      <c r="M8" s="45"/>
      <c r="O8" s="45"/>
      <c r="Q8" s="117"/>
      <c r="R8" s="117"/>
      <c r="T8" s="117"/>
      <c r="U8" s="45"/>
      <c r="W8" s="45"/>
      <c r="Y8" s="45"/>
      <c r="AA8" s="45"/>
    </row>
    <row r="9" spans="1:28" x14ac:dyDescent="0.2">
      <c r="A9" s="115" t="s">
        <v>241</v>
      </c>
      <c r="C9" s="260">
        <f>(C3+C4+1+C5)*(1+D4+D5)</f>
        <v>1871</v>
      </c>
      <c r="D9" s="260"/>
      <c r="E9" s="117">
        <f>(E3+E4+E5+(C9-C3)*系数!B9)*(1+F4+F5)</f>
        <v>17496.472195933373</v>
      </c>
      <c r="F9" s="117">
        <f>E9+C9*系数!B12</f>
        <v>21051.372195933371</v>
      </c>
      <c r="G9" s="259">
        <f>H3+H4+H5+(G4+G5+(C9-C3)*系数!B13)/系数!B3</f>
        <v>0.42185797239347766</v>
      </c>
      <c r="H9" s="259"/>
      <c r="I9" s="259">
        <f>J3+J4+J5+(I4+I5)/系数!B4</f>
        <v>2.162482885499879</v>
      </c>
      <c r="J9" s="259"/>
      <c r="K9" s="259">
        <f>((K3+K4+K5+(C9-C3)*系数!B10)*(1+L4+L5))/系数!B5</f>
        <v>0.71068305209786098</v>
      </c>
      <c r="L9" s="259"/>
      <c r="M9" s="259" t="s">
        <v>244</v>
      </c>
      <c r="N9" s="259"/>
      <c r="O9" s="259"/>
      <c r="P9" s="259"/>
      <c r="Q9" s="260" t="s">
        <v>244</v>
      </c>
      <c r="R9" s="260"/>
      <c r="S9" s="260"/>
      <c r="T9" s="260"/>
      <c r="U9" s="260"/>
      <c r="V9" s="260"/>
      <c r="W9" s="260"/>
      <c r="X9" s="260"/>
      <c r="Y9" s="260"/>
      <c r="Z9" s="260"/>
      <c r="AA9" s="260"/>
      <c r="AB9" s="260"/>
    </row>
    <row r="10" spans="1:28" x14ac:dyDescent="0.2">
      <c r="A10" s="115" t="s">
        <v>243</v>
      </c>
      <c r="C10" s="260" t="s">
        <v>244</v>
      </c>
      <c r="D10" s="260"/>
      <c r="E10" s="117">
        <f>(E3+E4+1+E5+(C6-C3)*系数!B9)*(1+F4+F5)</f>
        <v>17498.047554682566</v>
      </c>
      <c r="F10" s="117">
        <f>E10+C6*系数!B12</f>
        <v>21051.047554682566</v>
      </c>
      <c r="G10" s="259">
        <f>H3+H4+H5+(G4+1+G5+(C6-C3)*系数!B13)/系数!B3</f>
        <v>0.42191662647775707</v>
      </c>
      <c r="H10" s="259"/>
      <c r="I10" s="259">
        <f>J3+J4+J5+(I4+1+I5)/系数!B4</f>
        <v>2.1626690948364153</v>
      </c>
      <c r="J10" s="259"/>
      <c r="K10" s="259">
        <f>((K3+K4+1+K5+(C6-C3)*系数!B10)*(1+L4+L5))/系数!B5</f>
        <v>0.71074463888635442</v>
      </c>
      <c r="L10" s="259"/>
      <c r="M10" s="45">
        <f>N3+N4+N5+(M4+1+M5)/系数!B6</f>
        <v>1.1119455353622254</v>
      </c>
      <c r="N10" s="45">
        <f>MAX(0,分析模式!E18-M10)</f>
        <v>0</v>
      </c>
      <c r="O10" s="45">
        <f>P3+P4+P5+(O4+1+O5)/系数!B7</f>
        <v>0.29748575754794904</v>
      </c>
      <c r="P10" s="45">
        <f>MAX(0,分析模式!E19-O10)</f>
        <v>5.2514242452050941E-2</v>
      </c>
      <c r="Q10" s="260" t="s">
        <v>244</v>
      </c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</row>
    <row r="11" spans="1:28" s="261" customFormat="1" x14ac:dyDescent="0.2"/>
    <row r="12" spans="1:28" s="258" customFormat="1" x14ac:dyDescent="0.2">
      <c r="A12" s="258" t="s">
        <v>245</v>
      </c>
    </row>
    <row r="13" spans="1:28" x14ac:dyDescent="0.2">
      <c r="A13" s="115" t="s">
        <v>39</v>
      </c>
      <c r="B13" s="115">
        <f>IF(分析模式!K7="无明业火",1,0)</f>
        <v>1</v>
      </c>
      <c r="H13" s="45">
        <v>0.1</v>
      </c>
      <c r="J13" s="45">
        <v>0.1</v>
      </c>
      <c r="V13" s="45">
        <v>0.1</v>
      </c>
      <c r="X13" s="45">
        <v>0.1</v>
      </c>
    </row>
    <row r="14" spans="1:28" x14ac:dyDescent="0.2">
      <c r="A14" s="115" t="s">
        <v>40</v>
      </c>
      <c r="B14" s="115">
        <f>IF(分析模式!L7="明光恒照",1,0)</f>
        <v>1</v>
      </c>
      <c r="F14" s="45">
        <v>0.24</v>
      </c>
    </row>
    <row r="15" spans="1:28" x14ac:dyDescent="0.2">
      <c r="A15" s="115" t="s">
        <v>41</v>
      </c>
      <c r="B15" s="115">
        <f>IF(分析模式!P7="天地诛戮",1,0)</f>
        <v>1</v>
      </c>
      <c r="F15" s="45">
        <v>0.2</v>
      </c>
    </row>
    <row r="16" spans="1:28" x14ac:dyDescent="0.2">
      <c r="A16" s="115" t="s">
        <v>441</v>
      </c>
      <c r="B16" s="115">
        <f>IF(分析模式!J10="有",1,0)</f>
        <v>1</v>
      </c>
      <c r="F16" s="45">
        <f>0.1*(1-(1-2/30)^(11/('分析-循环与收益'!C20*7)*6))</f>
        <v>5.1169206334918664E-2</v>
      </c>
    </row>
    <row r="17" spans="1:28" x14ac:dyDescent="0.2">
      <c r="A17" s="115" t="s">
        <v>498</v>
      </c>
      <c r="B17" s="115">
        <f>IF(分析模式!K10="2330·雷",1,0)</f>
        <v>0</v>
      </c>
      <c r="G17" s="117">
        <f>378*15/(1/(1/30)/(11/(7*'分析-循环与收益'!C20)+16/17)+60)</f>
        <v>79.607688912075119</v>
      </c>
      <c r="K17" s="117">
        <f>882*15/(1/(1/30)/(11/(7*'分析-循环与收益'!C20)+16/17)+60)</f>
        <v>185.75127412817528</v>
      </c>
    </row>
    <row r="18" spans="1:28" x14ac:dyDescent="0.2">
      <c r="A18" s="115" t="s">
        <v>499</v>
      </c>
      <c r="B18" s="115">
        <f>IF(分析模式!K10="2600·水",1,0)</f>
        <v>0</v>
      </c>
      <c r="E18" s="117">
        <v>230</v>
      </c>
    </row>
    <row r="19" spans="1:28" x14ac:dyDescent="0.2">
      <c r="A19" s="115" t="s">
        <v>500</v>
      </c>
      <c r="B19" s="115">
        <f>IF(分析模式!L10="2600·风",1,0)</f>
        <v>1</v>
      </c>
      <c r="K19" s="117">
        <f>1831*15/180</f>
        <v>152.58333333333334</v>
      </c>
    </row>
    <row r="20" spans="1:28" x14ac:dyDescent="0.2">
      <c r="A20" s="115" t="s">
        <v>517</v>
      </c>
      <c r="B20" s="115">
        <f>IF(分析模式!M10="有",1,0)</f>
        <v>1</v>
      </c>
      <c r="K20" s="117">
        <v>207</v>
      </c>
    </row>
    <row r="21" spans="1:28" x14ac:dyDescent="0.2">
      <c r="A21" s="115" t="s">
        <v>518</v>
      </c>
      <c r="B21" s="115">
        <f>IF(分析模式!N10="有",1,0)</f>
        <v>1</v>
      </c>
      <c r="E21" s="117">
        <v>148</v>
      </c>
    </row>
    <row r="22" spans="1:28" x14ac:dyDescent="0.2">
      <c r="A22" s="115" t="s">
        <v>183</v>
      </c>
      <c r="B22" s="115">
        <f>IF(分析模式!O13="蒸鱼菜盘",1,0)</f>
        <v>1</v>
      </c>
      <c r="N22" s="45">
        <v>0.01</v>
      </c>
      <c r="P22" s="45">
        <v>0.03</v>
      </c>
    </row>
    <row r="23" spans="1:28" x14ac:dyDescent="0.2">
      <c r="A23" s="115" t="s">
        <v>68</v>
      </c>
      <c r="B23" s="115">
        <f>IF(分析模式!P13="有",1,0)</f>
        <v>1</v>
      </c>
      <c r="M23" s="117">
        <v>100</v>
      </c>
      <c r="O23" s="117">
        <v>100</v>
      </c>
    </row>
    <row r="25" spans="1:28" x14ac:dyDescent="0.2">
      <c r="A25" s="115" t="s">
        <v>74</v>
      </c>
      <c r="B25" s="115">
        <f>IF(分析模式!J16="有",1,0)</f>
        <v>1</v>
      </c>
      <c r="C25" s="117">
        <v>52</v>
      </c>
      <c r="E25" s="117">
        <v>52</v>
      </c>
      <c r="G25" s="117">
        <v>52</v>
      </c>
      <c r="I25" s="117">
        <v>52</v>
      </c>
      <c r="K25" s="117">
        <v>52</v>
      </c>
    </row>
    <row r="26" spans="1:28" x14ac:dyDescent="0.2">
      <c r="A26" s="115" t="s">
        <v>75</v>
      </c>
      <c r="B26" s="115">
        <f>IF(分析模式!K16="有",1,0)</f>
        <v>1</v>
      </c>
      <c r="H26" s="45">
        <v>0.05</v>
      </c>
      <c r="J26" s="45">
        <v>0.1</v>
      </c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</row>
    <row r="27" spans="1:28" x14ac:dyDescent="0.2">
      <c r="A27" s="115" t="s">
        <v>76</v>
      </c>
      <c r="B27" s="115">
        <f>IF(分析模式!L16="有",1,0)</f>
        <v>1</v>
      </c>
      <c r="F27" s="45">
        <v>0.1</v>
      </c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</row>
    <row r="28" spans="1:28" x14ac:dyDescent="0.2">
      <c r="A28" s="115" t="s">
        <v>201</v>
      </c>
      <c r="B28" s="115">
        <f>IF(分析模式!M16="10层",1,0)</f>
        <v>1</v>
      </c>
      <c r="L28" s="45">
        <v>0.25</v>
      </c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</row>
    <row r="29" spans="1:28" x14ac:dyDescent="0.2">
      <c r="A29" s="115" t="s">
        <v>78</v>
      </c>
      <c r="B29" s="115">
        <f>IF(分析模式!N16="有",1,0)</f>
        <v>1</v>
      </c>
      <c r="F29" s="45">
        <v>0.1</v>
      </c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</row>
    <row r="30" spans="1:28" x14ac:dyDescent="0.2">
      <c r="A30" s="115" t="s">
        <v>79</v>
      </c>
      <c r="B30" s="115">
        <f>IF(分析模式!O16="有",1,0)</f>
        <v>1</v>
      </c>
      <c r="F30" s="45">
        <v>0.08</v>
      </c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</row>
    <row r="31" spans="1:28" x14ac:dyDescent="0.2">
      <c r="A31" s="115" t="s">
        <v>197</v>
      </c>
      <c r="B31" s="115">
        <f>IF(分析模式!P16="10人团",1,0)</f>
        <v>0</v>
      </c>
      <c r="L31" s="45">
        <v>0.1</v>
      </c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</row>
    <row r="32" spans="1:28" x14ac:dyDescent="0.2">
      <c r="A32" s="115" t="s">
        <v>198</v>
      </c>
      <c r="B32" s="115">
        <f>IF(分析模式!P16="25人团",1,0)</f>
        <v>0</v>
      </c>
      <c r="L32" s="45">
        <v>0.06</v>
      </c>
      <c r="Q32" s="115"/>
      <c r="R32" s="115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</row>
    <row r="33" spans="1:28" x14ac:dyDescent="0.2">
      <c r="A33" s="115" t="s">
        <v>81</v>
      </c>
      <c r="B33" s="115">
        <f>IF(分析模式!Q16="1个",1,0)+IF(分析模式!Q16="2个",2,0)</f>
        <v>0</v>
      </c>
      <c r="F33" s="45">
        <v>0.15</v>
      </c>
      <c r="Q33" s="115"/>
      <c r="R33" s="115"/>
      <c r="S33" s="115"/>
      <c r="T33" s="115"/>
      <c r="U33" s="115"/>
      <c r="V33" s="115"/>
      <c r="W33" s="115"/>
      <c r="X33" s="115"/>
      <c r="Y33" s="115"/>
      <c r="Z33" s="115"/>
      <c r="AA33" s="115"/>
      <c r="AB33" s="115"/>
    </row>
    <row r="34" spans="1:28" x14ac:dyDescent="0.2">
      <c r="A34" s="115" t="s">
        <v>200</v>
      </c>
      <c r="B34" s="115">
        <f>IF(分析模式!R16="6层",1,0)</f>
        <v>0</v>
      </c>
      <c r="P34" s="45">
        <v>4.3E-3</v>
      </c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</row>
    <row r="36" spans="1:28" x14ac:dyDescent="0.2">
      <c r="A36" s="115" t="s">
        <v>184</v>
      </c>
      <c r="B36" s="115">
        <f>IF(分析模式!$I$16='分析-属性加成'!A36,1,0)</f>
        <v>0</v>
      </c>
      <c r="H36" s="45">
        <v>0.08</v>
      </c>
      <c r="J36" s="45">
        <v>0.1</v>
      </c>
      <c r="N36" s="45">
        <v>0.03</v>
      </c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</row>
    <row r="37" spans="1:28" x14ac:dyDescent="0.2">
      <c r="A37" s="115" t="s">
        <v>185</v>
      </c>
      <c r="B37" s="115">
        <f>IF(分析模式!$I$16='分析-属性加成'!A37,1,0)</f>
        <v>0</v>
      </c>
      <c r="F37" s="45">
        <v>0.05</v>
      </c>
      <c r="L37" s="45">
        <v>0.2</v>
      </c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</row>
    <row r="38" spans="1:28" x14ac:dyDescent="0.2">
      <c r="A38" s="115" t="s">
        <v>186</v>
      </c>
      <c r="B38" s="115">
        <f>IF(分析模式!$I$16='分析-属性加成'!A38,1,0)</f>
        <v>1</v>
      </c>
      <c r="F38" s="45">
        <v>0.15</v>
      </c>
      <c r="L38" s="45">
        <v>0.1</v>
      </c>
      <c r="N38" s="45">
        <v>0.03</v>
      </c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</row>
    <row r="39" spans="1:28" x14ac:dyDescent="0.2">
      <c r="A39" s="115" t="s">
        <v>187</v>
      </c>
      <c r="B39" s="115">
        <f>IF(分析模式!$I$16='分析-属性加成'!A39,1,0)</f>
        <v>0</v>
      </c>
      <c r="F39" s="45">
        <v>0.05</v>
      </c>
      <c r="Q39" s="115"/>
      <c r="R39" s="115"/>
      <c r="S39" s="115"/>
      <c r="T39" s="115"/>
      <c r="U39" s="115"/>
      <c r="V39" s="115"/>
      <c r="W39" s="115"/>
      <c r="X39" s="115"/>
      <c r="Y39" s="115"/>
      <c r="Z39" s="115"/>
      <c r="AA39" s="115"/>
      <c r="AB39" s="115"/>
    </row>
    <row r="40" spans="1:28" x14ac:dyDescent="0.2">
      <c r="A40" s="115" t="s">
        <v>188</v>
      </c>
      <c r="B40" s="115">
        <f>IF(分析模式!$I$16='分析-属性加成'!A40,1,0)</f>
        <v>0</v>
      </c>
      <c r="F40" s="45">
        <v>0.05</v>
      </c>
      <c r="H40" s="45">
        <v>0.03</v>
      </c>
      <c r="J40" s="45">
        <v>0.1</v>
      </c>
      <c r="L40" s="45">
        <v>0.05</v>
      </c>
      <c r="Q40" s="115"/>
      <c r="R40" s="115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</row>
    <row r="41" spans="1:28" x14ac:dyDescent="0.2">
      <c r="A41" s="115" t="s">
        <v>189</v>
      </c>
      <c r="B41" s="115">
        <f>IF(分析模式!$I$16='分析-属性加成'!A41,1,0)</f>
        <v>0</v>
      </c>
      <c r="D41" s="45">
        <v>0.03</v>
      </c>
      <c r="Q41" s="115"/>
      <c r="R41" s="115"/>
      <c r="S41" s="115"/>
      <c r="T41" s="115"/>
      <c r="U41" s="115"/>
      <c r="V41" s="115"/>
      <c r="W41" s="115"/>
      <c r="X41" s="115"/>
      <c r="Y41" s="115"/>
      <c r="Z41" s="115"/>
      <c r="AA41" s="115"/>
      <c r="AB41" s="115"/>
    </row>
    <row r="42" spans="1:28" x14ac:dyDescent="0.2">
      <c r="A42" s="115" t="s">
        <v>190</v>
      </c>
      <c r="B42" s="115">
        <f>IF(分析模式!$I$16='分析-属性加成'!A42,1,0)</f>
        <v>0</v>
      </c>
      <c r="F42" s="45">
        <v>0.05</v>
      </c>
      <c r="H42" s="45">
        <f>(3+10*6/20)%</f>
        <v>0.06</v>
      </c>
    </row>
    <row r="43" spans="1:28" x14ac:dyDescent="0.2">
      <c r="A43" s="115" t="s">
        <v>191</v>
      </c>
      <c r="B43" s="115">
        <f>IF(分析模式!$I$16='分析-属性加成'!A43,1,0)</f>
        <v>0</v>
      </c>
      <c r="F43" s="45">
        <v>0.05</v>
      </c>
      <c r="H43" s="45">
        <f>(3+10*6/20)%</f>
        <v>0.06</v>
      </c>
      <c r="J43" s="45">
        <v>0.05</v>
      </c>
    </row>
    <row r="44" spans="1:28" x14ac:dyDescent="0.2">
      <c r="A44" s="115" t="s">
        <v>192</v>
      </c>
      <c r="B44" s="115">
        <f>IF(分析模式!$I$16='分析-属性加成'!A44,1,0)</f>
        <v>0</v>
      </c>
      <c r="H44" s="45">
        <v>0.08</v>
      </c>
      <c r="N44" s="45">
        <v>0.03</v>
      </c>
    </row>
    <row r="45" spans="1:28" x14ac:dyDescent="0.2">
      <c r="A45" s="115" t="s">
        <v>193</v>
      </c>
      <c r="B45" s="115">
        <f>IF(分析模式!$I$16='分析-属性加成'!A45,1,0)</f>
        <v>0</v>
      </c>
      <c r="H45" s="45">
        <v>0.05</v>
      </c>
      <c r="T45" s="45">
        <v>0.05</v>
      </c>
      <c r="V45" s="45">
        <v>0.05</v>
      </c>
      <c r="Z45" s="45">
        <v>0.1</v>
      </c>
      <c r="AB45" s="45">
        <v>0.03</v>
      </c>
    </row>
    <row r="47" spans="1:28" x14ac:dyDescent="0.2">
      <c r="A47" s="115" t="s">
        <v>457</v>
      </c>
      <c r="B47" s="115">
        <f>IF(分析模式!$Q$13="有",1,0)</f>
        <v>0</v>
      </c>
      <c r="E47" s="117">
        <v>1550</v>
      </c>
    </row>
    <row r="48" spans="1:28" x14ac:dyDescent="0.2">
      <c r="A48" s="115" t="s">
        <v>319</v>
      </c>
      <c r="B48" s="115">
        <f>IF(分析模式!$I$13='分析-属性加成'!A48,1,0)</f>
        <v>0</v>
      </c>
      <c r="G48" s="117">
        <v>265</v>
      </c>
    </row>
    <row r="49" spans="1:13" x14ac:dyDescent="0.2">
      <c r="A49" s="115" t="s">
        <v>320</v>
      </c>
      <c r="B49" s="115">
        <f>IF(分析模式!$I$13='分析-属性加成'!A49,1,0)</f>
        <v>1</v>
      </c>
      <c r="K49" s="117">
        <v>265</v>
      </c>
    </row>
    <row r="50" spans="1:13" x14ac:dyDescent="0.2">
      <c r="A50" s="115" t="s">
        <v>321</v>
      </c>
      <c r="B50" s="115">
        <f>IF(分析模式!$I$13='分析-属性加成'!A50,1,0)</f>
        <v>0</v>
      </c>
      <c r="M50" s="117">
        <v>265</v>
      </c>
    </row>
    <row r="51" spans="1:13" x14ac:dyDescent="0.2">
      <c r="A51" s="115" t="s">
        <v>322</v>
      </c>
      <c r="B51" s="115">
        <f>IF(分析模式!$I$13='分析-属性加成'!A51,1,0)</f>
        <v>0</v>
      </c>
      <c r="E51" s="117">
        <v>143</v>
      </c>
    </row>
    <row r="52" spans="1:13" x14ac:dyDescent="0.2">
      <c r="A52" s="115" t="s">
        <v>323</v>
      </c>
      <c r="B52" s="115">
        <f>IF(分析模式!$J$13='分析-属性加成'!A52,1,0)</f>
        <v>1</v>
      </c>
      <c r="C52" s="117">
        <v>60</v>
      </c>
    </row>
    <row r="53" spans="1:13" x14ac:dyDescent="0.2">
      <c r="A53" s="115" t="s">
        <v>325</v>
      </c>
      <c r="B53" s="115">
        <f>IF(分析模式!$K$13='分析-属性加成'!A53,1,0)</f>
        <v>0</v>
      </c>
      <c r="G53" s="117">
        <v>341</v>
      </c>
    </row>
    <row r="54" spans="1:13" x14ac:dyDescent="0.2">
      <c r="A54" s="115" t="s">
        <v>326</v>
      </c>
      <c r="B54" s="115">
        <f>IF(分析模式!$K$13='分析-属性加成'!A54,1,0)</f>
        <v>1</v>
      </c>
      <c r="K54" s="117">
        <v>341</v>
      </c>
    </row>
    <row r="55" spans="1:13" x14ac:dyDescent="0.2">
      <c r="A55" s="115" t="s">
        <v>327</v>
      </c>
      <c r="B55" s="115">
        <f>IF(分析模式!$K$13='分析-属性加成'!A55,1,0)</f>
        <v>0</v>
      </c>
      <c r="M55" s="117">
        <v>341</v>
      </c>
    </row>
    <row r="56" spans="1:13" x14ac:dyDescent="0.2">
      <c r="A56" s="115" t="s">
        <v>328</v>
      </c>
      <c r="B56" s="115">
        <f>IF(分析模式!$K$13='分析-属性加成'!A56,1,0)</f>
        <v>0</v>
      </c>
      <c r="E56" s="117">
        <v>183</v>
      </c>
    </row>
    <row r="57" spans="1:13" x14ac:dyDescent="0.2">
      <c r="A57" s="115" t="s">
        <v>329</v>
      </c>
      <c r="B57" s="115">
        <f>IF(分析模式!$L$13='分析-属性加成'!A57,1,0)</f>
        <v>1</v>
      </c>
      <c r="C57" s="117">
        <v>77</v>
      </c>
    </row>
    <row r="58" spans="1:13" x14ac:dyDescent="0.2">
      <c r="A58" s="115" t="s">
        <v>333</v>
      </c>
      <c r="B58" s="115">
        <f>IF(分析模式!$M$13='分析-属性加成'!A58,1,0)</f>
        <v>1</v>
      </c>
      <c r="E58" s="117">
        <v>116</v>
      </c>
    </row>
    <row r="59" spans="1:13" x14ac:dyDescent="0.2">
      <c r="A59" s="115" t="s">
        <v>324</v>
      </c>
      <c r="B59" s="115">
        <f>IF(分析模式!$N$13='分析-属性加成'!A59,1,0)</f>
        <v>1</v>
      </c>
      <c r="E59" s="117">
        <v>97</v>
      </c>
      <c r="G59" s="117">
        <v>180</v>
      </c>
      <c r="M59" s="117">
        <v>180</v>
      </c>
    </row>
  </sheetData>
  <mergeCells count="38">
    <mergeCell ref="AA1:AB1"/>
    <mergeCell ref="B1:B2"/>
    <mergeCell ref="O1:P1"/>
    <mergeCell ref="Q1:R1"/>
    <mergeCell ref="S1:T1"/>
    <mergeCell ref="U1:V1"/>
    <mergeCell ref="W1:X1"/>
    <mergeCell ref="Y1:Z1"/>
    <mergeCell ref="C1:D1"/>
    <mergeCell ref="E1:F1"/>
    <mergeCell ref="G1:H1"/>
    <mergeCell ref="I1:J1"/>
    <mergeCell ref="K1:L1"/>
    <mergeCell ref="M1:N1"/>
    <mergeCell ref="Q6:R7"/>
    <mergeCell ref="S6:T7"/>
    <mergeCell ref="U6:V7"/>
    <mergeCell ref="W6:X7"/>
    <mergeCell ref="Y6:Z7"/>
    <mergeCell ref="A6:A7"/>
    <mergeCell ref="C6:D7"/>
    <mergeCell ref="G6:H7"/>
    <mergeCell ref="I6:J7"/>
    <mergeCell ref="K6:L7"/>
    <mergeCell ref="B6:B7"/>
    <mergeCell ref="A12:XFD12"/>
    <mergeCell ref="K9:L9"/>
    <mergeCell ref="Q9:AB9"/>
    <mergeCell ref="C10:D10"/>
    <mergeCell ref="Q10:AB10"/>
    <mergeCell ref="M9:P9"/>
    <mergeCell ref="G10:H10"/>
    <mergeCell ref="I10:J10"/>
    <mergeCell ref="K10:L10"/>
    <mergeCell ref="A11:XFD11"/>
    <mergeCell ref="C9:D9"/>
    <mergeCell ref="G9:H9"/>
    <mergeCell ref="I9:J9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1B855-7784-445E-A124-491E21B62181}">
  <sheetPr codeName="Sheet2"/>
  <dimension ref="A1:AL34"/>
  <sheetViews>
    <sheetView workbookViewId="0"/>
  </sheetViews>
  <sheetFormatPr defaultRowHeight="14.25" x14ac:dyDescent="0.2"/>
  <cols>
    <col min="1" max="1" width="19.375" style="19" customWidth="1"/>
    <col min="2" max="2" width="5" style="43" bestFit="1" customWidth="1"/>
    <col min="3" max="3" width="5.25" style="43" bestFit="1" customWidth="1"/>
    <col min="4" max="4" width="5" style="43" bestFit="1" customWidth="1"/>
    <col min="5" max="5" width="9" style="19"/>
    <col min="6" max="6" width="5.25" style="19" bestFit="1" customWidth="1"/>
    <col min="7" max="7" width="5.25" style="104" customWidth="1"/>
    <col min="8" max="8" width="9" style="19"/>
    <col min="9" max="9" width="9" style="139"/>
    <col min="10" max="13" width="9" style="19"/>
    <col min="14" max="14" width="6.875" style="19" bestFit="1" customWidth="1"/>
    <col min="15" max="15" width="8" style="140" bestFit="1" customWidth="1"/>
    <col min="16" max="16" width="5.25" style="140" bestFit="1" customWidth="1"/>
    <col min="17" max="17" width="9" style="140" bestFit="1" customWidth="1"/>
    <col min="18" max="18" width="20.25" style="19" bestFit="1" customWidth="1"/>
    <col min="19" max="19" width="9" style="19"/>
    <col min="20" max="20" width="8" style="140" bestFit="1" customWidth="1"/>
    <col min="21" max="22" width="8" style="140" customWidth="1"/>
    <col min="23" max="23" width="8" style="140" bestFit="1" customWidth="1"/>
    <col min="24" max="25" width="8" style="140" customWidth="1"/>
    <col min="26" max="26" width="8" style="140" bestFit="1" customWidth="1"/>
    <col min="27" max="28" width="8" style="140" customWidth="1"/>
    <col min="29" max="29" width="8" style="140" bestFit="1" customWidth="1"/>
    <col min="30" max="31" width="8" style="140" customWidth="1"/>
    <col min="32" max="32" width="8" style="140" bestFit="1" customWidth="1"/>
    <col min="33" max="34" width="8" style="140" customWidth="1"/>
    <col min="35" max="35" width="8" style="140" bestFit="1" customWidth="1"/>
    <col min="36" max="37" width="8" style="140" customWidth="1"/>
    <col min="38" max="38" width="8" style="140" bestFit="1" customWidth="1"/>
    <col min="39" max="16384" width="9" style="19"/>
  </cols>
  <sheetData>
    <row r="1" spans="1:38" x14ac:dyDescent="0.2">
      <c r="A1" s="41" t="s">
        <v>89</v>
      </c>
      <c r="B1" s="68" t="s">
        <v>90</v>
      </c>
      <c r="C1" s="68" t="s">
        <v>250</v>
      </c>
      <c r="D1" s="68" t="s">
        <v>92</v>
      </c>
      <c r="E1" s="41" t="s">
        <v>93</v>
      </c>
      <c r="F1" s="41" t="s">
        <v>94</v>
      </c>
      <c r="G1" s="126" t="s">
        <v>142</v>
      </c>
      <c r="H1" s="41" t="s">
        <v>139</v>
      </c>
      <c r="I1" s="127" t="s">
        <v>140</v>
      </c>
      <c r="J1" s="41" t="s">
        <v>138</v>
      </c>
      <c r="K1" s="41" t="s">
        <v>141</v>
      </c>
      <c r="L1" s="41" t="s">
        <v>217</v>
      </c>
      <c r="M1" s="41" t="s">
        <v>208</v>
      </c>
      <c r="N1" s="41" t="s">
        <v>211</v>
      </c>
      <c r="O1" s="128" t="s">
        <v>255</v>
      </c>
      <c r="P1" s="128" t="s">
        <v>95</v>
      </c>
      <c r="Q1" s="128" t="s">
        <v>254</v>
      </c>
      <c r="R1" s="41" t="s">
        <v>96</v>
      </c>
      <c r="T1" s="128" t="s">
        <v>241</v>
      </c>
      <c r="U1" s="128"/>
      <c r="V1" s="128"/>
      <c r="W1" s="128" t="s">
        <v>242</v>
      </c>
      <c r="X1" s="128"/>
      <c r="Y1" s="128"/>
      <c r="Z1" s="128" t="s">
        <v>240</v>
      </c>
      <c r="AA1" s="128"/>
      <c r="AB1" s="128"/>
      <c r="AC1" s="128" t="s">
        <v>246</v>
      </c>
      <c r="AD1" s="128"/>
      <c r="AE1" s="128"/>
      <c r="AF1" s="128" t="s">
        <v>247</v>
      </c>
      <c r="AG1" s="128"/>
      <c r="AH1" s="128"/>
      <c r="AI1" s="128" t="s">
        <v>248</v>
      </c>
      <c r="AJ1" s="128"/>
      <c r="AK1" s="128"/>
      <c r="AL1" s="128" t="s">
        <v>249</v>
      </c>
    </row>
    <row r="2" spans="1:38" x14ac:dyDescent="0.2">
      <c r="A2" s="41" t="s">
        <v>97</v>
      </c>
      <c r="B2" s="68">
        <v>135</v>
      </c>
      <c r="C2" s="68">
        <f>AVERAGE(B2,D2)</f>
        <v>145</v>
      </c>
      <c r="D2" s="68">
        <v>155</v>
      </c>
      <c r="E2" s="129">
        <v>0.57869999999999999</v>
      </c>
      <c r="F2" s="41">
        <v>1</v>
      </c>
      <c r="G2" s="130" t="s">
        <v>143</v>
      </c>
      <c r="H2" s="129">
        <v>0</v>
      </c>
      <c r="I2" s="131">
        <f>IF(分析模式!W9=2,0.09,IF(分析模式!W9=3,0.12,0))+IF(分析模式!H7="无幽不烛",0.1,0)+分析模式!$R$10</f>
        <v>0.12885490624431095</v>
      </c>
      <c r="J2" s="129">
        <f>IF(分析模式!V9=1,0.04,IF(分析模式!V9=2,0.04,0))</f>
        <v>0.04</v>
      </c>
      <c r="K2" s="129">
        <v>0</v>
      </c>
      <c r="L2" s="129">
        <f>分析模式!E20*(1-IF(分析模式!J19="有",0.15,0))*(1-IF(分析模式!K19="有",0.3,0))</f>
        <v>2950.6049999999996</v>
      </c>
      <c r="M2" s="132">
        <f>L2/(L2+(185*分析模式!$E$22-16800)*4.08224)</f>
        <v>0.24272716014590323</v>
      </c>
      <c r="N2" s="132">
        <f>IF(分析模式!$O$19="有",0.03,0)+IF(OR(G2="阳",G2="阴"),0.05,0)+IF(AND(G2="阳",分析模式!$N$19="有"),0.12,0)</f>
        <v>0.2</v>
      </c>
      <c r="O2" s="128">
        <f>(1+H2)*(C2+'分析-属性加成'!$F$7*E2)*(1+'分析-属性加成'!$K$6)*(1+I2)*(1-M2)*(1+N2)*(('分析-属性加成'!$G$6+J2)*('分析-属性加成'!$I$6+K2)+(1-'分析-属性加成'!$G$6-J2-'分析-属性加成'!$P$7-'分析-属性加成'!$N$7)+'分析-属性加成'!$P$7*0.25)</f>
        <v>32389.6115507715</v>
      </c>
      <c r="P2" s="128">
        <f>(1+H2)*'分析-属性加成'!$Q$6*F2*(1+'分析-属性加成'!$Y$6)*(1-分析模式!$C$28)*(1+$N$25)*('分析-属性加成'!$U$6*'分析-属性加成'!$W$6+(1-'分析-属性加成'!$U$6-'分析-属性加成'!$P$7-'分析-属性加成'!$AB$7)+'分析-属性加成'!$P$7*0.25)</f>
        <v>318.80294522073757</v>
      </c>
      <c r="Q2" s="133">
        <f>O2+P2</f>
        <v>32708.414495992238</v>
      </c>
      <c r="R2" s="41"/>
      <c r="T2" s="128">
        <f>(1+H2)*(C2+'分析-属性加成'!$F$9*E2)*(1+'分析-属性加成'!$K$9)*(1+I2)*(1-M2)*(1+N2)*(('分析-属性加成'!$G$9+J2)*('分析-属性加成'!$I$9+K2)+(1-'分析-属性加成'!$G$9-J2-'分析-属性加成'!$P$7-'分析-属性加成'!$N$7)+'分析-属性加成'!$P$7*0.25)+(1+H2)*'分析-属性加成'!$Q$6*F2*(1+'分析-属性加成'!$Y$6)*(1-分析模式!$C$28)*(1+$N$25)*('分析-属性加成'!$U$6*'分析-属性加成'!$W$6+(1-'分析-属性加成'!$U$6-'分析-属性加成'!$P$7-'分析-属性加成'!$AB$7)+'分析-属性加成'!$P$7*0.25)</f>
        <v>32712.49330814397</v>
      </c>
      <c r="U2" s="128"/>
      <c r="V2" s="128"/>
      <c r="W2" s="128">
        <f>(1+H2)*(C2+'分析-属性加成'!$F$10*E2)*(1+'分析-属性加成'!$K$6)*(1+I2)*(1-M2)*(1+N2)*(('分析-属性加成'!$G$6+J2)*('分析-属性加成'!$I$6+K2)+(1-'分析-属性加成'!$G$6-J2-'分析-属性加成'!$P$7-'分析-属性加成'!$N$7)+'分析-属性加成'!$P$7*0.25)+(1+H2)*'分析-属性加成'!$Q$6*F2*(1+'分析-属性加成'!$Y$6)*(1-分析模式!$C$28)*(1+$N$25)*('分析-属性加成'!$U$6*'分析-属性加成'!$W$6+(1-'分析-属性加成'!$U$6-'分析-属性加成'!$P$7-'分析-属性加成'!$AB$7)+'分析-属性加成'!$P$7*0.25)</f>
        <v>32711.335943684262</v>
      </c>
      <c r="X2" s="128"/>
      <c r="Y2" s="128"/>
      <c r="Z2" s="128">
        <f>(1+H2)*(C2+'分析-属性加成'!$F$7*E2)*(1+'分析-属性加成'!$K$6)*(1+I2)*(1-M2)*(1+N2)*(('分析-属性加成'!$G$10+J2)*('分析-属性加成'!$I$6+K2)+(1-'分析-属性加成'!$G$10-J2-'分析-属性加成'!$P$7-'分析-属性加成'!$N$7)+'分析-属性加成'!$P$7*0.25)+(1+H2)*'分析-属性加成'!$Q$6*F2*(1+'分析-属性加成'!$Y$6)*(1-分析模式!$C$28)*(1+$N$25)*('分析-属性加成'!$U$6*'分析-属性加成'!$W$6+(1-'分析-属性加成'!$U$6-'分析-属性加成'!$P$7-'分析-属性加成'!$AB$7)+'分析-属性加成'!$P$7*0.25)</f>
        <v>32710.053211806819</v>
      </c>
      <c r="AA2" s="128"/>
      <c r="AB2" s="128"/>
      <c r="AC2" s="128">
        <f>(1+H2)*(C2+'分析-属性加成'!$F$7*E2)*(1+'分析-属性加成'!$K$6)*(1+I2)*(1-M2)*(1+N2)*(('分析-属性加成'!$G$6+J2)*('分析-属性加成'!$I$10+K2)+(1-'分析-属性加成'!$G$6-J2-'分析-属性加成'!$P$7-'分析-属性加成'!$N$7)+'分析-属性加成'!$P$7*0.25)+(1+H2)*'分析-属性加成'!$Q$6*F2*(1+'分析-属性加成'!$Y$6)*(1-分析模式!$C$28)*(1+$N$25)*('分析-属性加成'!$U$6*'分析-属性加成'!$W$6+(1-'分析-属性加成'!$U$6-'分析-属性加成'!$P$7-'分析-属性加成'!$AB$7)+'分析-属性加成'!$P$7*0.25)</f>
        <v>32710.274719365367</v>
      </c>
      <c r="AD2" s="128"/>
      <c r="AE2" s="128"/>
      <c r="AF2" s="128">
        <f>(1+H2)*(C2+'分析-属性加成'!$F$7*E2)*(1+'分析-属性加成'!$K$10)*(1+I2)*(1-M2)*(1+N2)*(('分析-属性加成'!$G$6+J2)*('分析-属性加成'!$I$6+K2)+(1-'分析-属性加成'!$G$6-J2-'分析-属性加成'!$P$7-'分析-属性加成'!$N$7)+'分析-属性加成'!$P$7*0.25)+(1+H2)*'分析-属性加成'!$Q$6*F2*(1+'分析-属性加成'!$Y$6)*(1-分析模式!$C$28)*(1+$N$25)*('分析-属性加成'!$U$6*'分析-属性加成'!$W$6+(1-'分析-属性加成'!$U$6-'分析-属性加成'!$P$7-'分析-属性加成'!$AB$7)+'分析-属性加成'!$P$7*0.25)</f>
        <v>32710.080332614452</v>
      </c>
      <c r="AG2" s="128"/>
      <c r="AH2" s="128"/>
      <c r="AI2" s="128">
        <f>(1+H2)*(C2+'分析-属性加成'!$F$7*E2)*(1+'分析-属性加成'!$K$6)*(1+I2)*(1-M2)*(1+N2)*(('分析-属性加成'!$G$6+J2)*('分析-属性加成'!$I$6+K2)+(1-'分析-属性加成'!$G$6-J2-'分析-属性加成'!$P$7-'分析-属性加成'!$N$10)+'分析-属性加成'!$P$7*0.25)+(1+H2)*'分析-属性加成'!$Q$6*F2*(1+'分析-属性加成'!$Y$6)*(1-分析模式!$C$28)*(1+$N$25)*('分析-属性加成'!$U$6*'分析-属性加成'!$W$6+(1-'分析-属性加成'!$U$6-'分析-属性加成'!$P$7-'分析-属性加成'!$AB$7)+'分析-属性加成'!$P$7*0.25)</f>
        <v>32708.414495992238</v>
      </c>
      <c r="AJ2" s="128"/>
      <c r="AK2" s="128"/>
      <c r="AL2" s="128">
        <f>(1+H2)*(C2+'分析-属性加成'!$F$7*E2)*(1+'分析-属性加成'!$K$6)*(1+I2)*(1-M2)*(1+N2)*(('分析-属性加成'!$G$6+J2)*('分析-属性加成'!$I$6+K2)+(1-'分析-属性加成'!$G$6-J2-'分析-属性加成'!$P$10-'分析-属性加成'!$N$7)+'分析-属性加成'!$P$10*0.25)+(1+H2)*'分析-属性加成'!$Q$6*F2*(1+'分析-属性加成'!$Y$6)*(1-分析模式!$C$28)*(1+$N$25)*('分析-属性加成'!$U$6*'分析-属性加成'!$W$6+(1-'分析-属性加成'!$U$6-'分析-属性加成'!$P$10-'分析-属性加成'!$AB$7)+'分析-属性加成'!$P$10*0.25)</f>
        <v>32710.307763419292</v>
      </c>
    </row>
    <row r="3" spans="1:38" x14ac:dyDescent="0.2">
      <c r="A3" s="41" t="s">
        <v>98</v>
      </c>
      <c r="B3" s="68">
        <v>148</v>
      </c>
      <c r="C3" s="68">
        <f t="shared" ref="C3:C9" si="0">AVERAGE(B3,D3)</f>
        <v>159</v>
      </c>
      <c r="D3" s="68">
        <v>170</v>
      </c>
      <c r="E3" s="129">
        <v>0.57869999999999999</v>
      </c>
      <c r="F3" s="41">
        <v>1</v>
      </c>
      <c r="G3" s="130" t="s">
        <v>143</v>
      </c>
      <c r="H3" s="129">
        <v>0</v>
      </c>
      <c r="I3" s="131">
        <f>IF(分析模式!W9=2,0.09,IF(分析模式!W9=3,0.12,0))+IF(分析模式!H7="无幽不烛",0.1,0)+分析模式!$R$10</f>
        <v>0.12885490624431095</v>
      </c>
      <c r="J3" s="129">
        <f>IF(分析模式!V9=1,0.04,IF(分析模式!V9=2,0.04,0))</f>
        <v>0.04</v>
      </c>
      <c r="K3" s="129">
        <v>0</v>
      </c>
      <c r="L3" s="129">
        <f>分析模式!E20*(1-IF(分析模式!J19="有",0.15,0))*(1-IF(分析模式!K19="有",0.3,0))</f>
        <v>2950.6049999999996</v>
      </c>
      <c r="M3" s="132">
        <f>L3/(L3+(185*分析模式!$E$22-16800)*4.08224)</f>
        <v>0.24272716014590323</v>
      </c>
      <c r="N3" s="132">
        <f>IF(分析模式!$O$19="有",0.03,0)+IF(OR(G3="阳",G3="阴"),0.05,0)+IF(AND(G3="阳",分析模式!$N$19="有"),0.12,0)</f>
        <v>0.2</v>
      </c>
      <c r="O3" s="128">
        <f>(1+H3)*(C3+'分析-属性加成'!$F$7*E3)*(1+'分析-属性加成'!$K$6)*(1+I3)*(1-M3)*(1+N3)*(('分析-属性加成'!$G$6+J3)*('分析-属性加成'!$I$6+K3)+(1-'分析-属性加成'!$G$6-J3-'分析-属性加成'!$P$7-'分析-属性加成'!$N$7)+'分析-属性加成'!$P$7*0.25)</f>
        <v>32426.399624752452</v>
      </c>
      <c r="P3" s="128">
        <f>(1+H3)*'分析-属性加成'!$Q$6*F3*(1+'分析-属性加成'!$Y$6)*(1-分析模式!$C$28)*(1+$N$25)*('分析-属性加成'!$U$6*'分析-属性加成'!$W$6+(1-'分析-属性加成'!$U$6-'分析-属性加成'!$P$7-'分析-属性加成'!$AB$7)+'分析-属性加成'!$P$7*0.25)</f>
        <v>318.80294522073757</v>
      </c>
      <c r="Q3" s="133">
        <f t="shared" ref="Q3:Q9" si="1">O3+P3</f>
        <v>32745.202569973189</v>
      </c>
      <c r="R3" s="41"/>
      <c r="T3" s="128">
        <f>(1+H3)*(C3+'分析-属性加成'!$F$9*E3)*(1+'分析-属性加成'!$K$9)*(1+I3)*(1-M3)*(1+N3)*(('分析-属性加成'!$G$9+J3)*('分析-属性加成'!$I$9+K3)+(1-'分析-属性加成'!$G$9-J3-'分析-属性加成'!$P$7-'分析-属性加成'!$N$7)+'分析-属性加成'!$P$7*0.25)+(1+H3)*'分析-属性加成'!$Q$6*F3*(1+'分析-属性加成'!$Y$6)*(1-分析模式!$C$28)*(1+$N$25)*('分析-属性加成'!$U$6*'分析-属性加成'!$W$6+(1-'分析-属性加成'!$U$6-'分析-属性加成'!$P$7-'分析-属性加成'!$AB$7)+'分析-属性加成'!$P$7*0.25)</f>
        <v>32749.28213586934</v>
      </c>
      <c r="U3" s="128"/>
      <c r="V3" s="128"/>
      <c r="W3" s="128">
        <f>(1+H3)*(C3+'分析-属性加成'!$F$10*E3)*(1+'分析-属性加成'!$K$6)*(1+I3)*(1-M3)*(1+N3)*(('分析-属性加成'!$G$6+J3)*('分析-属性加成'!$I$6+K3)+(1-'分析-属性加成'!$G$6-J3-'分析-属性加成'!$P$7-'分析-属性加成'!$N$7)+'分析-属性加成'!$P$7*0.25)+(1+H3)*'分析-属性加成'!$Q$6*F3*(1+'分析-属性加成'!$Y$6)*(1-分析模式!$C$28)*(1+$N$25)*('分析-属性加成'!$U$6*'分析-属性加成'!$W$6+(1-'分析-属性加成'!$U$6-'分析-属性加成'!$P$7-'分析-属性加成'!$AB$7)+'分析-属性加成'!$P$7*0.25)</f>
        <v>32748.124017665217</v>
      </c>
      <c r="X3" s="128"/>
      <c r="Y3" s="128"/>
      <c r="Z3" s="128">
        <f>(1+H3)*(C3+'分析-属性加成'!$F$7*E3)*(1+'分析-属性加成'!$K$6)*(1+I3)*(1-M3)*(1+N3)*(('分析-属性加成'!$G$10+J3)*('分析-属性加成'!$I$6+K3)+(1-'分析-属性加成'!$G$10-J3-'分析-属性加成'!$P$7-'分析-属性加成'!$N$7)+'分析-属性加成'!$P$7*0.25)+(1+H3)*'分析-属性加成'!$Q$6*F3*(1+'分析-属性加成'!$Y$6)*(1-分析模式!$C$28)*(1+$N$25)*('分析-属性加成'!$U$6*'分析-属性加成'!$W$6+(1-'分析-属性加成'!$U$6-'分析-属性加成'!$P$7-'分析-属性加成'!$AB$7)+'分析-属性加成'!$P$7*0.25)</f>
        <v>32746.843147038824</v>
      </c>
      <c r="AA3" s="128"/>
      <c r="AB3" s="128"/>
      <c r="AC3" s="128">
        <f>(1+H3)*(C3+'分析-属性加成'!$F$7*E3)*(1+'分析-属性加成'!$K$6)*(1+I3)*(1-M3)*(1+N3)*(('分析-属性加成'!$G$6+J3)*('分析-属性加成'!$I$10+K3)+(1-'分析-属性加成'!$G$6-J3-'分析-属性加成'!$P$7-'分析-属性加成'!$N$7)+'分析-属性加成'!$P$7*0.25)+(1+H3)*'分析-属性加成'!$Q$6*F3*(1+'分析-属性加成'!$Y$6)*(1-分析模式!$C$28)*(1+$N$25)*('分析-属性加成'!$U$6*'分析-属性加成'!$W$6+(1-'分析-属性加成'!$U$6-'分析-属性加成'!$P$7-'分析-属性加成'!$AB$7)+'分析-属性加成'!$P$7*0.25)</f>
        <v>32747.064906185336</v>
      </c>
      <c r="AD3" s="128"/>
      <c r="AE3" s="128"/>
      <c r="AF3" s="128">
        <f>(1+H3)*(C3+'分析-属性加成'!$F$7*E3)*(1+'分析-属性加成'!$K$10)*(1+I3)*(1-M3)*(1+N3)*(('分析-属性加成'!$G$6+J3)*('分析-属性加成'!$I$6+K3)+(1-'分析-属性加成'!$G$6-J3-'分析-属性加成'!$P$7-'分析-属性加成'!$N$7)+'分析-属性加成'!$P$7*0.25)+(1+H3)*'分析-属性加成'!$Q$6*F3*(1+'分析-属性加成'!$Y$6)*(1-分析模式!$C$28)*(1+$N$25)*('分析-属性加成'!$U$6*'分析-属性加成'!$W$6+(1-'分析-属性加成'!$U$6-'分析-属性加成'!$P$7-'分析-属性加成'!$AB$7)+'分析-属性加成'!$P$7*0.25)</f>
        <v>32746.870298650225</v>
      </c>
      <c r="AG3" s="128"/>
      <c r="AH3" s="128"/>
      <c r="AI3" s="128">
        <f>(1+H3)*(C3+'分析-属性加成'!$F$7*E3)*(1+'分析-属性加成'!$K$6)*(1+I3)*(1-M3)*(1+N3)*(('分析-属性加成'!$G$6+J3)*('分析-属性加成'!$I$6+K3)+(1-'分析-属性加成'!$G$6-J3-'分析-属性加成'!$P$7-'分析-属性加成'!$N$10)+'分析-属性加成'!$P$7*0.25)+(1+H3)*'分析-属性加成'!$Q$6*F3*(1+'分析-属性加成'!$Y$6)*(1-分析模式!$C$28)*(1+$N$25)*('分析-属性加成'!$U$6*'分析-属性加成'!$W$6+(1-'分析-属性加成'!$U$6-'分析-属性加成'!$P$7-'分析-属性加成'!$AB$7)+'分析-属性加成'!$P$7*0.25)</f>
        <v>32745.202569973189</v>
      </c>
      <c r="AJ3" s="128"/>
      <c r="AK3" s="128"/>
      <c r="AL3" s="128">
        <f>(1+H3)*(C3+'分析-属性加成'!$F$7*E3)*(1+'分析-属性加成'!$K$6)*(1+I3)*(1-M3)*(1+N3)*(('分析-属性加成'!$G$6+J3)*('分析-属性加成'!$I$6+K3)+(1-'分析-属性加成'!$G$6-J3-'分析-属性加成'!$P$10-'分析-属性加成'!$N$7)+'分析-属性加成'!$P$10*0.25)+(1+H3)*'分析-属性加成'!$Q$6*F3*(1+'分析-属性加成'!$Y$6)*(1-分析模式!$C$28)*(1+$N$25)*('分析-属性加成'!$U$6*'分析-属性加成'!$W$6+(1-'分析-属性加成'!$U$6-'分析-属性加成'!$P$10-'分析-属性加成'!$AB$7)+'分析-属性加成'!$P$10*0.25)</f>
        <v>32747.097951020507</v>
      </c>
    </row>
    <row r="4" spans="1:38" x14ac:dyDescent="0.2">
      <c r="A4" s="41" t="s">
        <v>99</v>
      </c>
      <c r="B4" s="68">
        <v>162</v>
      </c>
      <c r="C4" s="68">
        <f t="shared" si="0"/>
        <v>174</v>
      </c>
      <c r="D4" s="68">
        <v>186</v>
      </c>
      <c r="E4" s="129">
        <v>0.7218</v>
      </c>
      <c r="F4" s="41">
        <v>1</v>
      </c>
      <c r="G4" s="130" t="s">
        <v>143</v>
      </c>
      <c r="H4" s="129">
        <v>0</v>
      </c>
      <c r="I4" s="131">
        <f>IF(分析模式!W9=2,0.09,IF(分析模式!W9=3,0.12,0))+IF(分析模式!H7="无幽不烛",0.1,0)+分析模式!$R$10</f>
        <v>0.12885490624431095</v>
      </c>
      <c r="J4" s="129">
        <f>IF(分析模式!V9=1,0.04,IF(分析模式!V9=2,0.04,0))</f>
        <v>0.04</v>
      </c>
      <c r="K4" s="129">
        <v>0</v>
      </c>
      <c r="L4" s="129">
        <f>分析模式!E20*(1-IF(分析模式!J19="有",0.15,0))*(1-IF(分析模式!K19="有",0.3,0))</f>
        <v>2950.6049999999996</v>
      </c>
      <c r="M4" s="132">
        <f>L4/(L4+(185*分析模式!$E$22-16800)*4.08224)</f>
        <v>0.24272716014590323</v>
      </c>
      <c r="N4" s="132">
        <f>IF(分析模式!$O$19="有",0.03,0)+IF(OR(G4="阳",G4="阴"),0.05,0)+IF(AND(G4="阳",分析模式!$N$19="有"),0.12,0)</f>
        <v>0.2</v>
      </c>
      <c r="O4" s="128">
        <f>(1+H4)*(C4+'分析-属性加成'!$F$7*E4)*(1+'分析-属性加成'!$K$6)*(1+I4)*(1-M4)*(1+N4)*(('分析-属性加成'!$G$6+J4)*('分析-属性加成'!$I$6+K4)+(1-'分析-属性加成'!$G$6-J4-'分析-属性加成'!$P$7-'分析-属性加成'!$N$7)+'分析-属性加成'!$P$7*0.25)</f>
        <v>40380.848329477281</v>
      </c>
      <c r="P4" s="128">
        <f>(1+H4)*'分析-属性加成'!$Q$6*F4*(1+'分析-属性加成'!$Y$6)*(1-分析模式!$C$28)*(1+$N$25)*('分析-属性加成'!$U$6*'分析-属性加成'!$W$6+(1-'分析-属性加成'!$U$6-'分析-属性加成'!$P$7-'分析-属性加成'!$AB$7)+'分析-属性加成'!$P$7*0.25)</f>
        <v>318.80294522073757</v>
      </c>
      <c r="Q4" s="133">
        <f t="shared" si="1"/>
        <v>40699.651274698022</v>
      </c>
      <c r="R4" s="41"/>
      <c r="T4" s="128">
        <f>(1+H4)*(C4+'分析-属性加成'!$F$9*E4)*(1+'分析-属性加成'!$K$9)*(1+I4)*(1-M4)*(1+N4)*(('分析-属性加成'!$G$9+J4)*('分析-属性加成'!$I$9+K4)+(1-'分析-属性加成'!$G$9-J4-'分析-属性加成'!$P$7-'分析-属性加成'!$N$7)+'分析-属性加成'!$P$7*0.25)+(1+H4)*'分析-属性加成'!$Q$6*F4*(1+'分析-属性加成'!$Y$6)*(1-分析模式!$C$28)*(1+$N$25)*('分析-属性加成'!$U$6*'分析-属性加成'!$W$6+(1-'分析-属性加成'!$U$6-'分析-属性加成'!$P$7-'分析-属性加成'!$AB$7)+'分析-属性加成'!$P$7*0.25)</f>
        <v>40704.738319836222</v>
      </c>
      <c r="U4" s="128"/>
      <c r="V4" s="128"/>
      <c r="W4" s="128">
        <f>(1+H4)*(C4+'分析-属性加成'!$F$10*E4)*(1+'分析-属性加成'!$K$6)*(1+I4)*(1-M4)*(1+N4)*(('分析-属性加成'!$G$6+J4)*('分析-属性加成'!$I$6+K4)+(1-'分析-属性加成'!$G$6-J4-'分析-属性加成'!$P$7-'分析-属性加成'!$N$7)+'分析-属性加成'!$P$7*0.25)+(1+H4)*'分析-属性加成'!$Q$6*F4*(1+'分析-属性加成'!$Y$6)*(1-分析模式!$C$28)*(1+$N$25)*('分析-属性加成'!$U$6*'分析-属性加成'!$W$6+(1-'分析-属性加成'!$U$6-'分析-属性加成'!$P$7-'分析-属性加成'!$AB$7)+'分析-属性加成'!$P$7*0.25)</f>
        <v>40703.295133250118</v>
      </c>
      <c r="X4" s="128"/>
      <c r="Y4" s="128"/>
      <c r="Z4" s="128">
        <f>(1+H4)*(C4+'分析-属性加成'!$F$7*E4)*(1+'分析-属性加成'!$K$6)*(1+I4)*(1-M4)*(1+N4)*(('分析-属性加成'!$G$10+J4)*('分析-属性加成'!$I$6+K4)+(1-'分析-属性加成'!$G$10-J4-'分析-属性加成'!$P$7-'分析-属性加成'!$N$7)+'分析-属性加成'!$P$7*0.25)+(1+H4)*'分析-属性加成'!$Q$6*F4*(1+'分析-属性加成'!$Y$6)*(1-分析模式!$C$28)*(1+$N$25)*('分析-属性加成'!$U$6*'分析-属性加成'!$W$6+(1-'分析-属性加成'!$U$6-'分析-属性加成'!$P$7-'分析-属性加成'!$AB$7)+'分析-属性加成'!$P$7*0.25)</f>
        <v>40701.69429811187</v>
      </c>
      <c r="AA4" s="128"/>
      <c r="AB4" s="128"/>
      <c r="AC4" s="128">
        <f>(1+H4)*(C4+'分析-属性加成'!$F$7*E4)*(1+'分析-属性加成'!$K$6)*(1+I4)*(1-M4)*(1+N4)*(('分析-属性加成'!$G$6+J4)*('分析-属性加成'!$I$10+K4)+(1-'分析-属性加成'!$G$6-J4-'分析-属性加成'!$P$7-'分析-属性加成'!$N$7)+'分析-属性加成'!$P$7*0.25)+(1+H4)*'分析-属性加成'!$Q$6*F4*(1+'分析-属性加成'!$Y$6)*(1-分析模式!$C$28)*(1+$N$25)*('分析-属性加成'!$U$6*'分析-属性加成'!$W$6+(1-'分析-属性加成'!$U$6-'分析-属性加成'!$P$7-'分析-属性加成'!$AB$7)+'分析-属性加成'!$P$7*0.25)</f>
        <v>40701.970456506402</v>
      </c>
      <c r="AD4" s="128"/>
      <c r="AE4" s="128"/>
      <c r="AF4" s="128">
        <f>(1+H4)*(C4+'分析-属性加成'!$F$7*E4)*(1+'分析-属性加成'!$K$10)*(1+I4)*(1-M4)*(1+N4)*(('分析-属性加成'!$G$6+J4)*('分析-属性加成'!$I$6+K4)+(1-'分析-属性加成'!$G$6-J4-'分析-属性加成'!$P$7-'分析-属性加成'!$N$7)+'分析-属性加成'!$P$7*0.25)+(1+H4)*'分析-属性加成'!$Q$6*F4*(1+'分析-属性加成'!$Y$6)*(1-分析模式!$C$28)*(1+$N$25)*('分析-属性加成'!$U$6*'分析-属性加成'!$W$6+(1-'分析-属性加成'!$U$6-'分析-属性加成'!$P$7-'分析-属性加成'!$AB$7)+'分析-属性加成'!$P$7*0.25)</f>
        <v>40701.728110225289</v>
      </c>
      <c r="AG4" s="128"/>
      <c r="AH4" s="128"/>
      <c r="AI4" s="128">
        <f>(1+H4)*(C4+'分析-属性加成'!$F$7*E4)*(1+'分析-属性加成'!$K$6)*(1+I4)*(1-M4)*(1+N4)*(('分析-属性加成'!$G$6+J4)*('分析-属性加成'!$I$6+K4)+(1-'分析-属性加成'!$G$6-J4-'分析-属性加成'!$P$7-'分析-属性加成'!$N$10)+'分析-属性加成'!$P$7*0.25)+(1+H4)*'分析-属性加成'!$Q$6*F4*(1+'分析-属性加成'!$Y$6)*(1-分析模式!$C$28)*(1+$N$25)*('分析-属性加成'!$U$6*'分析-属性加成'!$W$6+(1-'分析-属性加成'!$U$6-'分析-属性加成'!$P$7-'分析-属性加成'!$AB$7)+'分析-属性加成'!$P$7*0.25)</f>
        <v>40699.651274698022</v>
      </c>
      <c r="AJ4" s="128"/>
      <c r="AK4" s="128"/>
      <c r="AL4" s="128">
        <f>(1+H4)*(C4+'分析-属性加成'!$F$7*E4)*(1+'分析-属性加成'!$K$6)*(1+I4)*(1-M4)*(1+N4)*(('分析-属性加成'!$G$6+J4)*('分析-属性加成'!$I$6+K4)+(1-'分析-属性加成'!$G$6-J4-'分析-属性加成'!$P$10-'分析-属性加成'!$N$7)+'分析-属性加成'!$P$10*0.25)+(1+H4)*'分析-属性加成'!$Q$6*F4*(1+'分析-属性加成'!$Y$6)*(1-分析模式!$C$28)*(1+$N$25)*('分析-属性加成'!$U$6*'分析-属性加成'!$W$6+(1-'分析-属性加成'!$U$6-'分析-属性加成'!$P$10-'分析-属性加成'!$AB$7)+'分析-属性加成'!$P$10*0.25)</f>
        <v>40702.003670266211</v>
      </c>
    </row>
    <row r="5" spans="1:38" x14ac:dyDescent="0.2">
      <c r="A5" s="41" t="s">
        <v>100</v>
      </c>
      <c r="B5" s="68">
        <v>72</v>
      </c>
      <c r="C5" s="68">
        <f t="shared" si="0"/>
        <v>75.5</v>
      </c>
      <c r="D5" s="68">
        <v>79</v>
      </c>
      <c r="E5" s="129">
        <v>0.52710000000000001</v>
      </c>
      <c r="F5" s="41">
        <v>1</v>
      </c>
      <c r="G5" s="130" t="s">
        <v>145</v>
      </c>
      <c r="H5" s="129">
        <v>0</v>
      </c>
      <c r="I5" s="131">
        <f>IF(分析模式!W10=1,0.04,IF(分析模式!W10=2,0.07,0))+IF(分析模式!H7="无幽不烛",0.1,0)+分析模式!$R$10</f>
        <v>7.8854906244310949E-2</v>
      </c>
      <c r="J5" s="129">
        <f>IF(分析模式!V10=2,0.09,IF(分析模式!V10=3,0.12,0))</f>
        <v>0.09</v>
      </c>
      <c r="K5" s="129">
        <v>0</v>
      </c>
      <c r="L5" s="129">
        <f>分析模式!E20*(1-IF(分析模式!J19="有",0.15,0))*(1-IF(分析模式!K19="有",0.3,0))</f>
        <v>2950.6049999999996</v>
      </c>
      <c r="M5" s="132">
        <f>L5/(L5+(185*分析模式!$E$22-16800)*4.08224)</f>
        <v>0.24272716014590323</v>
      </c>
      <c r="N5" s="132">
        <f>IF(分析模式!$O$19="有",0.03,0)+IF(OR(G5="阳",G5="阴"),0.05,0)+IF(AND(G5="阳",分析模式!$N$19="有"),0.12,0)</f>
        <v>0.08</v>
      </c>
      <c r="O5" s="128">
        <f>(1+H5)*(C5+'分析-属性加成'!$F$7*E5)*(1+'分析-属性加成'!$K$6)*(1+I5)*(1-M5)*(1+N5)*(('分析-属性加成'!$G$6+J5)*('分析-属性加成'!$I$6+K5)+(1-'分析-属性加成'!$G$6-J5-'分析-属性加成'!$P$7-'分析-属性加成'!$N$7)+'分析-属性加成'!$P$7*0.25)</f>
        <v>26227.537850018995</v>
      </c>
      <c r="P5" s="128">
        <f>(1+H5)*'分析-属性加成'!$Q$6*F5*(1+'分析-属性加成'!$Y$6)*(1-分析模式!$C$28)*(1+$N$25)*('分析-属性加成'!$U$6*'分析-属性加成'!$W$6+(1-'分析-属性加成'!$U$6-'分析-属性加成'!$P$7-'分析-属性加成'!$AB$7)+'分析-属性加成'!$P$7*0.25)</f>
        <v>318.80294522073757</v>
      </c>
      <c r="Q5" s="133">
        <f t="shared" si="1"/>
        <v>26546.340795239732</v>
      </c>
      <c r="R5" s="41"/>
      <c r="T5" s="128">
        <f>(1+H5)*(C5+'分析-属性加成'!$F$9*E5)*(1+'分析-属性加成'!$K$9)*(1+I5)*(1-M5)*(1+N5)*(('分析-属性加成'!$G$9+J5)*('分析-属性加成'!$I$9+K5)+(1-'分析-属性加成'!$G$9-J5-'分析-属性加成'!$P$7-'分析-属性加成'!$N$7)+'分析-属性加成'!$P$7*0.25)+(1+H5)*'分析-属性加成'!$Q$6*F5*(1+'分析-属性加成'!$Y$6)*(1-分析模式!$C$28)*(1+$N$25)*('分析-属性加成'!$U$6*'分析-属性加成'!$W$6+(1-'分析-属性加成'!$U$6-'分析-属性加成'!$P$7-'分析-属性加成'!$AB$7)+'分析-属性加成'!$P$7*0.25)</f>
        <v>26549.652665959875</v>
      </c>
      <c r="U5" s="128"/>
      <c r="V5" s="128"/>
      <c r="W5" s="128">
        <f>(1+H5)*(C5+'分析-属性加成'!$F$10*E5)*(1+'分析-属性加成'!$K$6)*(1+I5)*(1-M5)*(1+N5)*(('分析-属性加成'!$G$6+J5)*('分析-属性加成'!$I$6+K5)+(1-'分析-属性加成'!$G$6-J5-'分析-属性加成'!$P$7-'分析-属性加成'!$N$7)+'分析-属性加成'!$P$7*0.25)+(1+H5)*'分析-属性加成'!$Q$6*F5*(1+'分析-属性加成'!$Y$6)*(1-分析模式!$C$28)*(1+$N$25)*('分析-属性加成'!$U$6*'分析-属性加成'!$W$6+(1-'分析-属性加成'!$U$6-'分析-属性加成'!$P$7-'分析-属性加成'!$AB$7)+'分析-属性加成'!$P$7*0.25)</f>
        <v>26548.718422414371</v>
      </c>
      <c r="X5" s="128"/>
      <c r="Y5" s="128"/>
      <c r="Z5" s="128">
        <f>(1+H5)*(C5+'分析-属性加成'!$F$7*E5)*(1+'分析-属性加成'!$K$6)*(1+I5)*(1-M5)*(1+N5)*(('分析-属性加成'!$G$10+J5)*('分析-属性加成'!$I$6+K5)+(1-'分析-属性加成'!$G$10-J5-'分析-属性加成'!$P$7-'分析-属性加成'!$N$7)+'分析-属性加成'!$P$7*0.25)+(1+H5)*'分析-属性加成'!$Q$6*F5*(1+'分析-属性加成'!$Y$6)*(1-分析模式!$C$28)*(1+$N$25)*('分析-属性加成'!$U$6*'分析-属性加成'!$W$6+(1-'分析-属性加成'!$U$6-'分析-属性加成'!$P$7-'分析-属性加成'!$AB$7)+'分析-属性加成'!$P$7*0.25)</f>
        <v>26547.618165339583</v>
      </c>
      <c r="AA5" s="128"/>
      <c r="AB5" s="128"/>
      <c r="AC5" s="128">
        <f>(1+H5)*(C5+'分析-属性加成'!$F$7*E5)*(1+'分析-属性加成'!$K$6)*(1+I5)*(1-M5)*(1+N5)*(('分析-属性加成'!$G$6+J5)*('分析-属性加成'!$I$10+K5)+(1-'分析-属性加成'!$G$6-J5-'分析-属性加成'!$P$7-'分析-属性加成'!$N$7)+'分析-属性加成'!$P$7*0.25)+(1+H5)*'分析-属性加成'!$Q$6*F5*(1+'分析-属性加成'!$Y$6)*(1-分析模式!$C$28)*(1+$N$25)*('分析-属性加成'!$U$6*'分析-属性加成'!$W$6+(1-'分析-属性加成'!$U$6-'分析-属性加成'!$P$7-'分析-属性加成'!$AB$7)+'分析-属性加成'!$P$7*0.25)</f>
        <v>26547.947809845809</v>
      </c>
      <c r="AD5" s="128"/>
      <c r="AE5" s="128"/>
      <c r="AF5" s="128">
        <f>(1+H5)*(C5+'分析-属性加成'!$F$7*E5)*(1+'分析-属性加成'!$K$10)*(1+I5)*(1-M5)*(1+N5)*(('分析-属性加成'!$G$6+J5)*('分析-属性加成'!$I$6+K5)+(1-'分析-属性加成'!$G$6-J5-'分析-属性加成'!$P$7-'分析-属性加成'!$N$7)+'分析-属性加成'!$P$7*0.25)+(1+H5)*'分析-属性加成'!$Q$6*F5*(1+'分析-属性加成'!$Y$6)*(1-分析模式!$C$28)*(1+$N$25)*('分析-属性加成'!$U$6*'分析-属性加成'!$W$6+(1-'分析-属性加成'!$U$6-'分析-属性加成'!$P$7-'分析-属性加成'!$AB$7)+'分析-属性加成'!$P$7*0.25)</f>
        <v>26547.689709010818</v>
      </c>
      <c r="AG5" s="128"/>
      <c r="AH5" s="128"/>
      <c r="AI5" s="128">
        <f>(1+H5)*(C5+'分析-属性加成'!$F$7*E5)*(1+'分析-属性加成'!$K$6)*(1+I5)*(1-M5)*(1+N5)*(('分析-属性加成'!$G$6+J5)*('分析-属性加成'!$I$6+K5)+(1-'分析-属性加成'!$G$6-J5-'分析-属性加成'!$P$7-'分析-属性加成'!$N$10)+'分析-属性加成'!$P$7*0.25)+(1+H5)*'分析-属性加成'!$Q$6*F5*(1+'分析-属性加成'!$Y$6)*(1-分析模式!$C$28)*(1+$N$25)*('分析-属性加成'!$U$6*'分析-属性加成'!$W$6+(1-'分析-属性加成'!$U$6-'分析-属性加成'!$P$7-'分析-属性加成'!$AB$7)+'分析-属性加成'!$P$7*0.25)</f>
        <v>26546.340795239732</v>
      </c>
      <c r="AJ5" s="128"/>
      <c r="AK5" s="128"/>
      <c r="AL5" s="128">
        <f>(1+H5)*(C5+'分析-属性加成'!$F$7*E5)*(1+'分析-属性加成'!$K$6)*(1+I5)*(1-M5)*(1+N5)*(('分析-属性加成'!$G$6+J5)*('分析-属性加成'!$I$6+K5)+(1-'分析-属性加成'!$G$6-J5-'分析-属性加成'!$P$10-'分析-属性加成'!$N$7)+'分析-属性加成'!$P$10*0.25)+(1+H5)*'分析-属性加成'!$Q$6*F5*(1+'分析-属性加成'!$Y$6)*(1-分析模式!$C$28)*(1+$N$25)*('分析-属性加成'!$U$6*'分析-属性加成'!$W$6+(1-'分析-属性加成'!$U$6-'分析-属性加成'!$P$10-'分析-属性加成'!$AB$7)+'分析-属性加成'!$P$10*0.25)</f>
        <v>26547.823721662528</v>
      </c>
    </row>
    <row r="6" spans="1:38" x14ac:dyDescent="0.2">
      <c r="A6" s="41" t="s">
        <v>101</v>
      </c>
      <c r="B6" s="68">
        <v>72</v>
      </c>
      <c r="C6" s="68">
        <f t="shared" si="0"/>
        <v>75.5</v>
      </c>
      <c r="D6" s="68">
        <v>79</v>
      </c>
      <c r="E6" s="129">
        <v>0.52710000000000001</v>
      </c>
      <c r="F6" s="41">
        <v>1</v>
      </c>
      <c r="G6" s="130" t="s">
        <v>144</v>
      </c>
      <c r="H6" s="129">
        <v>0</v>
      </c>
      <c r="I6" s="131">
        <f>IF(分析模式!W10=1,0.04,IF(分析模式!W10=2,0.07,0))+IF(分析模式!H7="无幽不烛",0.1,0)+分析模式!$R$10</f>
        <v>7.8854906244310949E-2</v>
      </c>
      <c r="J6" s="129">
        <f>IF(分析模式!V10=2,0.09,IF(分析模式!V10=3,0.12,0))+0.05</f>
        <v>0.14000000000000001</v>
      </c>
      <c r="K6" s="129">
        <v>0</v>
      </c>
      <c r="L6" s="129">
        <f>分析模式!E20*(1-IF(分析模式!J19="有",0.15,0))*(1-IF(分析模式!K19="有",0.3,0))</f>
        <v>2950.6049999999996</v>
      </c>
      <c r="M6" s="132">
        <f>L6/(L6+(185*分析模式!$E$22-16800)*4.08224)</f>
        <v>0.24272716014590323</v>
      </c>
      <c r="N6" s="132">
        <f>IF(分析模式!$O$19="有",0.03,0)+IF(OR(G6="阳",G6="阴"),0.05,0)+IF(AND(G6="阳",分析模式!$N$19="有"),0.12,0)</f>
        <v>0.08</v>
      </c>
      <c r="O6" s="128">
        <f>(1+H6)*(C6+'分析-属性加成'!$F$7*E6)*(1+'分析-属性加成'!$K$6)*(1+I6)*(1-M6)*(1+N6)*(('分析-属性加成'!$G$6+J6)*('分析-属性加成'!$I$6+K6)+(1-'分析-属性加成'!$G$6-J6-'分析-属性加成'!$P$7-'分析-属性加成'!$N$7)+'分析-属性加成'!$P$7*0.25)</f>
        <v>27207.548964329773</v>
      </c>
      <c r="P6" s="128">
        <f>(1+H6)*'分析-属性加成'!$Q$6*F6*(1+'分析-属性加成'!$Y$6)*(1-分析模式!$C$28)*(1+$N$25)*('分析-属性加成'!$U$6*'分析-属性加成'!$W$6+(1-'分析-属性加成'!$U$6-'分析-属性加成'!$P$7-'分析-属性加成'!$AB$7)+'分析-属性加成'!$P$7*0.25)</f>
        <v>318.80294522073757</v>
      </c>
      <c r="Q6" s="133">
        <f t="shared" si="1"/>
        <v>27526.351909550511</v>
      </c>
      <c r="R6" s="41" t="s">
        <v>102</v>
      </c>
      <c r="T6" s="128">
        <f>(1+H6)*(C6+'分析-属性加成'!$F$9*E6)*(1+'分析-属性加成'!$K$9)*(1+I6)*(1-M6)*(1+N6)*(('分析-属性加成'!$G$9+J6)*('分析-属性加成'!$I$9+K6)+(1-'分析-属性加成'!$G$9-J6-'分析-属性加成'!$P$7-'分析-属性加成'!$N$7)+'分析-属性加成'!$P$7*0.25)+(1+H6)*'分析-属性加成'!$Q$6*F6*(1+'分析-属性加成'!$Y$6)*(1-分析模式!$C$28)*(1+$N$25)*('分析-属性加成'!$U$6*'分析-属性加成'!$W$6+(1-'分析-属性加成'!$U$6-'分析-属性加成'!$P$7-'分析-属性加成'!$AB$7)+'分析-属性加成'!$P$7*0.25)</f>
        <v>27529.782757173689</v>
      </c>
      <c r="U6" s="128"/>
      <c r="V6" s="128"/>
      <c r="W6" s="128">
        <f>(1+H6)*(C6+'分析-属性加成'!$F$10*E6)*(1+'分析-属性加成'!$K$6)*(1+I6)*(1-M6)*(1+N6)*(('分析-属性加成'!$G$6+J6)*('分析-属性加成'!$I$6+K6)+(1-'分析-属性加成'!$G$6-J6-'分析-属性加成'!$P$7-'分析-属性加成'!$N$7)+'分析-属性加成'!$P$7*0.25)+(1+H6)*'分析-属性加成'!$Q$6*F6*(1+'分析-属性加成'!$Y$6)*(1-分析模式!$C$28)*(1+$N$25)*('分析-属性加成'!$U$6*'分析-属性加成'!$W$6+(1-'分析-属性加成'!$U$6-'分析-属性加成'!$P$7-'分析-属性加成'!$AB$7)+'分析-属性加成'!$P$7*0.25)</f>
        <v>27528.818378501692</v>
      </c>
      <c r="X6" s="128"/>
      <c r="Y6" s="128"/>
      <c r="Z6" s="128">
        <f>(1+H6)*(C6+'分析-属性加成'!$F$7*E6)*(1+'分析-属性加成'!$K$6)*(1+I6)*(1-M6)*(1+N6)*(('分析-属性加成'!$G$10+J6)*('分析-属性加成'!$I$6+K6)+(1-'分析-属性加成'!$G$10-J6-'分析-属性加成'!$P$7-'分析-属性加成'!$N$7)+'分析-属性加成'!$P$7*0.25)+(1+H6)*'分析-属性加成'!$Q$6*F6*(1+'分析-属性加成'!$Y$6)*(1-分析模式!$C$28)*(1+$N$25)*('分析-属性加成'!$U$6*'分析-属性加成'!$W$6+(1-'分析-属性加成'!$U$6-'分析-属性加成'!$P$7-'分析-属性加成'!$AB$7)+'分析-属性加成'!$P$7*0.25)</f>
        <v>27527.629279650362</v>
      </c>
      <c r="AA6" s="128"/>
      <c r="AB6" s="128"/>
      <c r="AC6" s="128">
        <f>(1+H6)*(C6+'分析-属性加成'!$F$7*E6)*(1+'分析-属性加成'!$K$6)*(1+I6)*(1-M6)*(1+N6)*(('分析-属性加成'!$G$6+J6)*('分析-属性加成'!$I$10+K6)+(1-'分析-属性加成'!$G$6-J6-'分析-属性加成'!$P$7-'分析-属性加成'!$N$7)+'分析-属性加成'!$P$7*0.25)+(1+H6)*'分析-属性加成'!$Q$6*F6*(1+'分析-属性加成'!$Y$6)*(1-分析模式!$C$28)*(1+$N$25)*('分析-属性加成'!$U$6*'分析-属性加成'!$W$6+(1-'分析-属性加成'!$U$6-'分析-属性加成'!$P$7-'分析-属性加成'!$AB$7)+'分析-属性加成'!$P$7*0.25)</f>
        <v>27528.115904720918</v>
      </c>
      <c r="AD6" s="128"/>
      <c r="AE6" s="128"/>
      <c r="AF6" s="128">
        <f>(1+H6)*(C6+'分析-属性加成'!$F$7*E6)*(1+'分析-属性加成'!$K$10)*(1+I6)*(1-M6)*(1+N6)*(('分析-属性加成'!$G$6+J6)*('分析-属性加成'!$I$6+K6)+(1-'分析-属性加成'!$G$6-J6-'分析-属性加成'!$P$7-'分析-属性加成'!$N$7)+'分析-属性加成'!$P$7*0.25)+(1+H6)*'分析-属性加成'!$Q$6*F6*(1+'分析-属性加成'!$Y$6)*(1-分析模式!$C$28)*(1+$N$25)*('分析-属性加成'!$U$6*'分析-属性加成'!$W$6+(1-'分析-属性加成'!$U$6-'分析-属性加成'!$P$7-'分析-属性加成'!$AB$7)+'分析-属性加成'!$P$7*0.25)</f>
        <v>27527.751226470209</v>
      </c>
      <c r="AG6" s="128"/>
      <c r="AH6" s="128"/>
      <c r="AI6" s="128">
        <f>(1+H6)*(C6+'分析-属性加成'!$F$7*E6)*(1+'分析-属性加成'!$K$6)*(1+I6)*(1-M6)*(1+N6)*(('分析-属性加成'!$G$6+J6)*('分析-属性加成'!$I$6+K6)+(1-'分析-属性加成'!$G$6-J6-'分析-属性加成'!$P$7-'分析-属性加成'!$N$10)+'分析-属性加成'!$P$7*0.25)+(1+H6)*'分析-属性加成'!$Q$6*F6*(1+'分析-属性加成'!$Y$6)*(1-分析模式!$C$28)*(1+$N$25)*('分析-属性加成'!$U$6*'分析-属性加成'!$W$6+(1-'分析-属性加成'!$U$6-'分析-属性加成'!$P$7-'分析-属性加成'!$AB$7)+'分析-属性加成'!$P$7*0.25)</f>
        <v>27526.351909550511</v>
      </c>
      <c r="AJ6" s="128"/>
      <c r="AK6" s="128"/>
      <c r="AL6" s="128">
        <f>(1+H6)*(C6+'分析-属性加成'!$F$7*E6)*(1+'分析-属性加成'!$K$6)*(1+I6)*(1-M6)*(1+N6)*(('分析-属性加成'!$G$6+J6)*('分析-属性加成'!$I$6+K6)+(1-'分析-属性加成'!$G$6-J6-'分析-属性加成'!$P$10-'分析-属性加成'!$N$7)+'分析-属性加成'!$P$10*0.25)+(1+H6)*'分析-属性加成'!$Q$6*F6*(1+'分析-属性加成'!$Y$6)*(1-分析模式!$C$28)*(1+$N$25)*('分析-属性加成'!$U$6*'分析-属性加成'!$W$6+(1-'分析-属性加成'!$U$6-'分析-属性加成'!$P$10-'分析-属性加成'!$AB$7)+'分析-属性加成'!$P$10*0.25)</f>
        <v>27527.83483597331</v>
      </c>
    </row>
    <row r="7" spans="1:38" x14ac:dyDescent="0.2">
      <c r="A7" s="41" t="s">
        <v>103</v>
      </c>
      <c r="B7" s="68">
        <v>72</v>
      </c>
      <c r="C7" s="68">
        <f t="shared" si="0"/>
        <v>75.5</v>
      </c>
      <c r="D7" s="68">
        <v>79</v>
      </c>
      <c r="E7" s="129">
        <v>0.60150000000000003</v>
      </c>
      <c r="F7" s="41">
        <v>1</v>
      </c>
      <c r="G7" s="130" t="s">
        <v>144</v>
      </c>
      <c r="H7" s="129">
        <v>0</v>
      </c>
      <c r="I7" s="131">
        <f>IF(分析模式!W10=1,0.04,IF(分析模式!W10=2,0.07,0))+IF(分析模式!H7="无幽不烛",0.1,0)+分析模式!$R$10</f>
        <v>7.8854906244310949E-2</v>
      </c>
      <c r="J7" s="129">
        <f>IF(分析模式!V10=2,0.09,IF(分析模式!V10=3,0.12,0))+0.1</f>
        <v>0.19</v>
      </c>
      <c r="K7" s="129">
        <v>0</v>
      </c>
      <c r="L7" s="129">
        <f>分析模式!E20*(1-IF(分析模式!J19="有",0.15,0))*(1-IF(分析模式!K19="有",0.3,0))</f>
        <v>2950.6049999999996</v>
      </c>
      <c r="M7" s="132">
        <f>L7/(L7+(185*分析模式!$E$22-16800)*4.08224)</f>
        <v>0.24272716014590323</v>
      </c>
      <c r="N7" s="132">
        <f>IF(分析模式!$O$19="有",0.03,0)+IF(OR(G7="阳",G7="阴"),0.05,0)+IF(AND(G7="阳",分析模式!$N$19="有"),0.12,0)</f>
        <v>0.08</v>
      </c>
      <c r="O7" s="128">
        <f>(1+H7)*(C7+'分析-属性加成'!$F$7*E7)*(1+'分析-属性加成'!$K$6)*(1+I7)*(1-M7)*(1+N7)*(('分析-属性加成'!$G$6+J7)*('分析-属性加成'!$I$6+K7)+(1-'分析-属性加成'!$G$6-J7-'分析-属性加成'!$P$7-'分析-属性加成'!$N$7)+'分析-属性加成'!$P$7*0.25)</f>
        <v>32139.334050283145</v>
      </c>
      <c r="P7" s="128">
        <f>(1+H7)*'分析-属性加成'!$Q$6*F7*(1+'分析-属性加成'!$Y$6)*(1-分析模式!$C$28)*(1+$N$25)*('分析-属性加成'!$U$6*'分析-属性加成'!$W$6+(1-'分析-属性加成'!$U$6-'分析-属性加成'!$P$7-'分析-属性加成'!$AB$7)+'分析-属性加成'!$P$7*0.25)</f>
        <v>318.80294522073757</v>
      </c>
      <c r="Q7" s="133">
        <f t="shared" si="1"/>
        <v>32458.136995503883</v>
      </c>
      <c r="R7" s="41" t="s">
        <v>104</v>
      </c>
      <c r="T7" s="128">
        <f>(1+H7)*(C7+'分析-属性加成'!$F$9*E7)*(1+'分析-属性加成'!$K$9)*(1+I7)*(1-M7)*(1+N7)*(('分析-属性加成'!$G$9+J7)*('分析-属性加成'!$I$9+K7)+(1-'分析-属性加成'!$G$9-J7-'分析-属性加成'!$P$7-'分析-属性加成'!$N$7)+'分析-属性加成'!$P$7*0.25)+(1+H7)*'分析-属性加成'!$Q$6*F7*(1+'分析-属性加成'!$Y$6)*(1-分析模式!$C$28)*(1+$N$25)*('分析-属性加成'!$U$6*'分析-属性加成'!$W$6+(1-'分析-属性加成'!$U$6-'分析-属性加成'!$P$7-'分析-属性加成'!$AB$7)+'分析-属性加成'!$P$7*0.25)</f>
        <v>32462.187339870343</v>
      </c>
      <c r="U7" s="128"/>
      <c r="V7" s="128"/>
      <c r="W7" s="128">
        <f>(1+H7)*(C7+'分析-属性加成'!$F$10*E7)*(1+'分析-属性加成'!$K$6)*(1+I7)*(1-M7)*(1+N7)*(('分析-属性加成'!$G$6+J7)*('分析-属性加成'!$I$6+K7)+(1-'分析-属性加成'!$G$6-J7-'分析-属性加成'!$P$7-'分析-属性加成'!$N$7)+'分析-属性加成'!$P$7*0.25)+(1+H7)*'分析-属性加成'!$Q$6*F7*(1+'分析-属性加成'!$Y$6)*(1-分析模式!$C$28)*(1+$N$25)*('分析-属性加成'!$U$6*'分析-属性加成'!$W$6+(1-'分析-属性加成'!$U$6-'分析-属性加成'!$P$7-'分析-属性加成'!$AB$7)+'分析-属性加成'!$P$7*0.25)</f>
        <v>32461.052987540901</v>
      </c>
      <c r="X7" s="128"/>
      <c r="Y7" s="128"/>
      <c r="Z7" s="128">
        <f>(1+H7)*(C7+'分析-属性加成'!$F$7*E7)*(1+'分析-属性加成'!$K$6)*(1+I7)*(1-M7)*(1+N7)*(('分析-属性加成'!$G$10+J7)*('分析-属性加成'!$I$6+K7)+(1-'分析-属性加成'!$G$10-J7-'分析-属性加成'!$P$7-'分析-属性加成'!$N$7)+'分析-属性加成'!$P$7*0.25)+(1+H7)*'分析-属性加成'!$Q$6*F7*(1+'分析-属性加成'!$Y$6)*(1-分析模式!$C$28)*(1+$N$25)*('分析-属性加成'!$U$6*'分析-属性加成'!$W$6+(1-'分析-属性加成'!$U$6-'分析-属性加成'!$P$7-'分析-属性加成'!$AB$7)+'分析-属性加成'!$P$7*0.25)</f>
        <v>32459.593447365292</v>
      </c>
      <c r="AA7" s="128"/>
      <c r="AB7" s="128"/>
      <c r="AC7" s="128">
        <f>(1+H7)*(C7+'分析-属性加成'!$F$7*E7)*(1+'分析-属性加成'!$K$6)*(1+I7)*(1-M7)*(1+N7)*(('分析-属性加成'!$G$6+J7)*('分析-属性加成'!$I$10+K7)+(1-'分析-属性加成'!$G$6-J7-'分析-属性加成'!$P$7-'分析-属性加成'!$N$7)+'分析-属性加成'!$P$7*0.25)+(1+H7)*'分析-属性加成'!$Q$6*F7*(1+'分析-属性加成'!$Y$6)*(1-分析模式!$C$28)*(1+$N$25)*('分析-属性加成'!$U$6*'分析-属性加成'!$W$6+(1-'分析-属性加成'!$U$6-'分析-属性加成'!$P$7-'分析-属性加成'!$AB$7)+'分析-属性加成'!$P$7*0.25)</f>
        <v>32460.327283725677</v>
      </c>
      <c r="AD7" s="128"/>
      <c r="AE7" s="128"/>
      <c r="AF7" s="128">
        <f>(1+H7)*(C7+'分析-属性加成'!$F$7*E7)*(1+'分析-属性加成'!$K$10)*(1+I7)*(1-M7)*(1+N7)*(('分析-属性加成'!$G$6+J7)*('分析-属性加成'!$I$6+K7)+(1-'分析-属性加成'!$G$6-J7-'分析-属性加成'!$P$7-'分析-属性加成'!$N$7)+'分析-属性加成'!$P$7*0.25)+(1+H7)*'分析-属性加成'!$Q$6*F7*(1+'分析-属性加成'!$Y$6)*(1-分析模式!$C$28)*(1+$N$25)*('分析-属性加成'!$U$6*'分析-属性加成'!$W$6+(1-'分析-属性加成'!$U$6-'分析-属性加成'!$P$7-'分析-属性加成'!$AB$7)+'分析-属性加成'!$P$7*0.25)</f>
        <v>32459.789960053651</v>
      </c>
      <c r="AG7" s="128"/>
      <c r="AH7" s="128"/>
      <c r="AI7" s="128">
        <f>(1+H7)*(C7+'分析-属性加成'!$F$7*E7)*(1+'分析-属性加成'!$K$6)*(1+I7)*(1-M7)*(1+N7)*(('分析-属性加成'!$G$6+J7)*('分析-属性加成'!$I$6+K7)+(1-'分析-属性加成'!$G$6-J7-'分析-属性加成'!$P$7-'分析-属性加成'!$N$10)+'分析-属性加成'!$P$7*0.25)+(1+H7)*'分析-属性加成'!$Q$6*F7*(1+'分析-属性加成'!$Y$6)*(1-分析模式!$C$28)*(1+$N$25)*('分析-属性加成'!$U$6*'分析-属性加成'!$W$6+(1-'分析-属性加成'!$U$6-'分析-属性加成'!$P$7-'分析-属性加成'!$AB$7)+'分析-属性加成'!$P$7*0.25)</f>
        <v>32458.136995503883</v>
      </c>
      <c r="AJ7" s="128"/>
      <c r="AK7" s="128"/>
      <c r="AL7" s="128">
        <f>(1+H7)*(C7+'分析-属性加成'!$F$7*E7)*(1+'分析-属性加成'!$K$6)*(1+I7)*(1-M7)*(1+N7)*(('分析-属性加成'!$G$6+J7)*('分析-属性加成'!$I$6+K7)+(1-'分析-属性加成'!$G$6-J7-'分析-属性加成'!$P$10-'分析-属性加成'!$N$7)+'分析-属性加成'!$P$10*0.25)+(1+H7)*'分析-属性加成'!$Q$6*F7*(1+'分析-属性加成'!$Y$6)*(1-分析模式!$C$28)*(1+$N$25)*('分析-属性加成'!$U$6*'分析-属性加成'!$W$6+(1-'分析-属性加成'!$U$6-'分析-属性加成'!$P$10-'分析-属性加成'!$AB$7)+'分析-属性加成'!$P$10*0.25)</f>
        <v>32459.823285594452</v>
      </c>
    </row>
    <row r="8" spans="1:38" x14ac:dyDescent="0.2">
      <c r="A8" s="41" t="s">
        <v>33</v>
      </c>
      <c r="B8" s="68">
        <v>155</v>
      </c>
      <c r="C8" s="68">
        <f t="shared" si="0"/>
        <v>163</v>
      </c>
      <c r="D8" s="68">
        <v>171</v>
      </c>
      <c r="E8" s="129">
        <v>0.88529999999999998</v>
      </c>
      <c r="F8" s="41">
        <v>1</v>
      </c>
      <c r="G8" s="130" t="s">
        <v>143</v>
      </c>
      <c r="H8" s="129">
        <f>IF(分析模式!X11=1,0.1,0)</f>
        <v>0.1</v>
      </c>
      <c r="I8" s="131">
        <f>IF(分析模式!W11=1,0.05,IF(分析模式!W11=2,0.09,IF(分析模式!W11=3,0.12,0)))+IF(分析模式!J7="洞若观火",0.15,0)+分析模式!$R$10</f>
        <v>0.24885490624431095</v>
      </c>
      <c r="J8" s="129">
        <f>IF(分析模式!V11=1,0.04,IF(分析模式!V11=2,0.07,0))+IF(分析模式!H7="腾焰飞芒",0.1,0)</f>
        <v>0.14000000000000001</v>
      </c>
      <c r="K8" s="129">
        <f>IF(分析模式!H7="腾焰飞芒",0.1,0)</f>
        <v>0.1</v>
      </c>
      <c r="L8" s="129">
        <f>分析模式!E20*(1-IF(分析模式!J19="有",0.15,0))*(1-IF(分析模式!K19="有",0.3,0))</f>
        <v>2950.6049999999996</v>
      </c>
      <c r="M8" s="132">
        <f>L8/(L8+(185*分析模式!$E$22-16800)*4.08224)</f>
        <v>0.24272716014590323</v>
      </c>
      <c r="N8" s="132">
        <f>IF(分析模式!$O$19="有",0.03,0)+IF(OR(G8="阳",G8="阴"),0.05,0)+IF(AND(G8="阳",分析模式!$N$19="有"),0.12,0)</f>
        <v>0.2</v>
      </c>
      <c r="O8" s="128">
        <f>(1+H8)*(C8+'分析-属性加成'!$F$7*E8)*(1+'分析-属性加成'!$K$6)*(1+I8)*(1-M8)*(1+N8)*(('分析-属性加成'!$G$6+J8)*('分析-属性加成'!$I$6+K8)+(1-'分析-属性加成'!$G$6-J8-'分析-属性加成'!$P$7-'分析-属性加成'!$N$7)+'分析-属性加成'!$P$7*0.25)</f>
        <v>67032.749645323784</v>
      </c>
      <c r="P8" s="128">
        <f>(1+H8)*'分析-属性加成'!$Q$6*F8*(1+'分析-属性加成'!$Y$6)*(1-分析模式!$C$28)*(1+$N$25)*('分析-属性加成'!$U$6*'分析-属性加成'!$W$6+(1-'分析-属性加成'!$U$6-'分析-属性加成'!$P$7-'分析-属性加成'!$AB$7)+'分析-属性加成'!$P$7*0.25)</f>
        <v>350.68323974281134</v>
      </c>
      <c r="Q8" s="133">
        <f t="shared" si="1"/>
        <v>67383.432885066592</v>
      </c>
      <c r="R8" s="41"/>
      <c r="T8" s="128">
        <f>(1+H8)*(C8+'分析-属性加成'!$F$9*E8)*(1+'分析-属性加成'!$K$9)*(1+I8)*(1-M8)*(1+N8)*(('分析-属性加成'!$G$9+J8)*('分析-属性加成'!$I$9+K8)+(1-'分析-属性加成'!$G$9-J8-'分析-属性加成'!$P$7-'分析-属性加成'!$N$7)+'分析-属性加成'!$P$7*0.25)+(1+H8)*'分析-属性加成'!$Q$6*F8*(1+'分析-属性加成'!$Y$6)*(1-分析模式!$C$28)*(1+$N$25)*('分析-属性加成'!$U$6*'分析-属性加成'!$W$6+(1-'分析-属性加成'!$U$6-'分析-属性加成'!$P$7-'分析-属性加成'!$AB$7)+'分析-属性加成'!$P$7*0.25)</f>
        <v>67391.887551944834</v>
      </c>
      <c r="U8" s="128"/>
      <c r="V8" s="128"/>
      <c r="W8" s="128">
        <f>(1+H8)*(C8+'分析-属性加成'!$F$10*E8)*(1+'分析-属性加成'!$K$6)*(1+I8)*(1-M8)*(1+N8)*(('分析-属性加成'!$G$6+J8)*('分析-属性加成'!$I$6+K8)+(1-'分析-属性加成'!$G$6-J8-'分析-属性加成'!$P$7-'分析-属性加成'!$N$7)+'分析-属性加成'!$P$7*0.25)+(1+H8)*'分析-属性加成'!$Q$6*F8*(1+'分析-属性加成'!$Y$6)*(1-分析模式!$C$28)*(1+$N$25)*('分析-属性加成'!$U$6*'分析-属性加成'!$W$6+(1-'分析-属性加成'!$U$6-'分析-属性加成'!$P$7-'分析-属性加成'!$AB$7)+'分析-属性加成'!$P$7*0.25)</f>
        <v>67389.497961594912</v>
      </c>
      <c r="X8" s="128"/>
      <c r="Y8" s="128"/>
      <c r="Z8" s="128">
        <f>(1+H8)*(C8+'分析-属性加成'!$F$7*E8)*(1+'分析-属性加成'!$K$6)*(1+I8)*(1-M8)*(1+N8)*(('分析-属性加成'!$G$10+J8)*('分析-属性加成'!$I$6+K8)+(1-'分析-属性加成'!$G$10-J8-'分析-属性加成'!$P$7-'分析-属性加成'!$N$7)+'分析-属性加成'!$P$7*0.25)+(1+H8)*'分析-属性加成'!$Q$6*F8*(1+'分析-属性加成'!$Y$6)*(1-分析模式!$C$28)*(1+$N$25)*('分析-属性加成'!$U$6*'分析-属性加成'!$W$6+(1-'分析-属性加成'!$U$6-'分析-属性加成'!$P$7-'分析-属性加成'!$AB$7)+'分析-属性加成'!$P$7*0.25)</f>
        <v>67386.735737933486</v>
      </c>
      <c r="AA8" s="128"/>
      <c r="AB8" s="128"/>
      <c r="AC8" s="128">
        <f>(1+H8)*(C8+'分析-属性加成'!$F$7*E8)*(1+'分析-属性加成'!$K$6)*(1+I8)*(1-M8)*(1+N8)*(('分析-属性加成'!$G$6+J8)*('分析-属性加成'!$I$10+K8)+(1-'分析-属性加成'!$G$6-J8-'分析-属性加成'!$P$7-'分析-属性加成'!$N$7)+'分析-属性加成'!$P$7*0.25)+(1+H8)*'分析-属性加成'!$Q$6*F8*(1+'分析-属性加成'!$Y$6)*(1-分析模式!$C$28)*(1+$N$25)*('分析-属性加成'!$U$6*'分析-属性加成'!$W$6+(1-'分析-属性加成'!$U$6-'分析-属性加成'!$P$7-'分析-属性加成'!$AB$7)+'分析-属性加成'!$P$7*0.25)</f>
        <v>67387.632707619923</v>
      </c>
      <c r="AD8" s="128"/>
      <c r="AE8" s="128"/>
      <c r="AF8" s="128">
        <f>(1+H8)*(C8+'分析-属性加成'!$F$7*E8)*(1+'分析-属性加成'!$K$10)*(1+I8)*(1-M8)*(1+N8)*(('分析-属性加成'!$G$6+J8)*('分析-属性加成'!$I$6+K8)+(1-'分析-属性加成'!$G$6-J8-'分析-属性加成'!$P$7-'分析-属性加成'!$N$7)+'分析-属性加成'!$P$7*0.25)+(1+H8)*'分析-属性加成'!$Q$6*F8*(1+'分析-属性加成'!$Y$6)*(1-分析模式!$C$28)*(1+$N$25)*('分析-属性加成'!$U$6*'分析-属性加成'!$W$6+(1-'分析-属性加成'!$U$6-'分析-属性加成'!$P$7-'分析-属性加成'!$AB$7)+'分析-属性加成'!$P$7*0.25)</f>
        <v>67386.88045988763</v>
      </c>
      <c r="AG8" s="128"/>
      <c r="AH8" s="128"/>
      <c r="AI8" s="128">
        <f>(1+H8)*(C8+'分析-属性加成'!$F$7*E8)*(1+'分析-属性加成'!$K$6)*(1+I8)*(1-M8)*(1+N8)*(('分析-属性加成'!$G$6+J8)*('分析-属性加成'!$I$6+K8)+(1-'分析-属性加成'!$G$6-J8-'分析-属性加成'!$P$7-'分析-属性加成'!$N$10)+'分析-属性加成'!$P$7*0.25)+(1+H8)*'分析-属性加成'!$Q$6*F8*(1+'分析-属性加成'!$Y$6)*(1-分析模式!$C$28)*(1+$N$25)*('分析-属性加成'!$U$6*'分析-属性加成'!$W$6+(1-'分析-属性加成'!$U$6-'分析-属性加成'!$P$7-'分析-属性加成'!$AB$7)+'分析-属性加成'!$P$7*0.25)</f>
        <v>67383.432885066592</v>
      </c>
      <c r="AJ8" s="128"/>
      <c r="AK8" s="128"/>
      <c r="AL8" s="128">
        <f>(1+H8)*(C8+'分析-属性加成'!$F$7*E8)*(1+'分析-属性加成'!$K$6)*(1+I8)*(1-M8)*(1+N8)*(('分析-属性加成'!$G$6+J8)*('分析-属性加成'!$I$6+K8)+(1-'分析-属性加成'!$G$6-J8-'分析-属性加成'!$P$10-'分析-属性加成'!$N$7)+'分析-属性加成'!$P$10*0.25)+(1+H8)*'分析-属性加成'!$Q$6*F8*(1+'分析-属性加成'!$Y$6)*(1-分析模式!$C$28)*(1+$N$25)*('分析-属性加成'!$U$6*'分析-属性加成'!$W$6+(1-'分析-属性加成'!$U$6-'分析-属性加成'!$P$10-'分析-属性加成'!$AB$7)+'分析-属性加成'!$P$10*0.25)</f>
        <v>67386.922079034703</v>
      </c>
    </row>
    <row r="9" spans="1:38" x14ac:dyDescent="0.2">
      <c r="A9" s="41" t="s">
        <v>420</v>
      </c>
      <c r="B9" s="68">
        <v>155</v>
      </c>
      <c r="C9" s="68">
        <f t="shared" si="0"/>
        <v>163</v>
      </c>
      <c r="D9" s="68">
        <v>171</v>
      </c>
      <c r="E9" s="129">
        <v>0.88529999999999998</v>
      </c>
      <c r="F9" s="41">
        <v>1</v>
      </c>
      <c r="G9" s="130" t="s">
        <v>421</v>
      </c>
      <c r="H9" s="129">
        <f>IF(分析模式!X11=1,0.1,0)</f>
        <v>0.1</v>
      </c>
      <c r="I9" s="131">
        <f>IF(分析模式!W11=1,0.05,IF(分析模式!W11=2,0.09,IF(分析模式!W11=3,0.12,0)))+IF(分析模式!J7="洞若观火",0.15,0)+分析模式!$R$10</f>
        <v>0.24885490624431095</v>
      </c>
      <c r="J9" s="129">
        <f>IF(分析模式!V11=1,0.04,IF(分析模式!V11=2,0.07,0))+IF(分析模式!H7="腾焰飞芒",0.1,0)</f>
        <v>0.14000000000000001</v>
      </c>
      <c r="K9" s="129">
        <f>IF(分析模式!H7="腾焰飞芒",0.1,0)</f>
        <v>0.1</v>
      </c>
      <c r="L9" s="129">
        <f>分析模式!E20*(1-IF(分析模式!J19="有",0.15,0))*(1-IF(分析模式!K19="有",0.3,0)-IF(分析模式!O7="用晦而明",0.5,0))</f>
        <v>843.02999999999975</v>
      </c>
      <c r="M9" s="132">
        <f>L9/(L9+(185*分析模式!$E$22-16800)*4.08224)</f>
        <v>8.389626085980037E-2</v>
      </c>
      <c r="N9" s="132">
        <f>IF(分析模式!$O$19="有",0.03,0)+IF(OR(G9="阳",G9="阴"),0.05,0)+IF(AND(G9="阳",分析模式!$N$19="有"),0.12,0)</f>
        <v>0.2</v>
      </c>
      <c r="O9" s="128">
        <f>(1+H9)*(C9+'分析-属性加成'!$F$7*E9)*(1+'分析-属性加成'!$K$6)*(1+I9)*(1-M9)*(1+N9)*(('分析-属性加成'!$G$6+J9)*('分析-属性加成'!$I$6+K9)+(1-'分析-属性加成'!$G$6-J9-'分析-属性加成'!$P$7-'分析-属性加成'!$N$7)+'分析-属性加成'!$P$7*0.25)</f>
        <v>81092.24227130822</v>
      </c>
      <c r="P9" s="128">
        <f>(1+H9)*'分析-属性加成'!$Q$6*F9*(1+'分析-属性加成'!$Y$6)*(1-分析模式!$C$28)*(1+$N$25)*('分析-属性加成'!$U$6*'分析-属性加成'!$W$6+(1-'分析-属性加成'!$U$6-'分析-属性加成'!$P$7-'分析-属性加成'!$AB$7)+'分析-属性加成'!$P$7*0.25)</f>
        <v>350.68323974281134</v>
      </c>
      <c r="Q9" s="133">
        <f t="shared" si="1"/>
        <v>81442.925511051028</v>
      </c>
      <c r="R9" s="41" t="s">
        <v>422</v>
      </c>
      <c r="T9" s="128">
        <f>(1+H9)*(C9+'分析-属性加成'!$F$9*E9)*(1+'分析-属性加成'!$K$9)*(1+I9)*(1-M9)*(1+N9)*(('分析-属性加成'!$G$9+J9)*('分析-属性加成'!$I$9+K9)+(1-'分析-属性加成'!$G$9-J9-'分析-属性加成'!$P$7-'分析-属性加成'!$N$7)+'分析-属性加成'!$P$7*0.25)+(1+H9)*'分析-属性加成'!$Q$6*F9*(1+'分析-属性加成'!$Y$6)*(1-分析模式!$C$28)*(1+$N$25)*('分析-属性加成'!$U$6*'分析-属性加成'!$W$6+(1-'分析-属性加成'!$U$6-'分析-属性加成'!$P$7-'分析-属性加成'!$AB$7)+'分析-属性加成'!$P$7*0.25)</f>
        <v>81453.153465274023</v>
      </c>
      <c r="U9" s="128"/>
      <c r="V9" s="128"/>
      <c r="W9" s="128">
        <f>(1+H9)*(C9+'分析-属性加成'!$F$10*E9)*(1+'分析-属性加成'!$K$6)*(1+I9)*(1-M9)*(1+N9)*(('分析-属性加成'!$G$6+J9)*('分析-属性加成'!$I$6+K9)+(1-'分析-属性加成'!$G$6-J9-'分析-属性加成'!$P$7-'分析-属性加成'!$N$7)+'分析-属性加成'!$P$7*0.25)+(1+H9)*'分析-属性加成'!$Q$6*F9*(1+'分析-属性加成'!$Y$6)*(1-分析模式!$C$28)*(1+$N$25)*('分析-属性加成'!$U$6*'分析-属性加成'!$W$6+(1-'分析-属性加成'!$U$6-'分析-属性加成'!$P$7-'分析-属性加成'!$AB$7)+'分析-属性加成'!$P$7*0.25)</f>
        <v>81450.262680685715</v>
      </c>
      <c r="X9" s="128"/>
      <c r="Y9" s="128"/>
      <c r="Z9" s="128">
        <f>(1+H9)*(C9+'分析-属性加成'!$F$7*E9)*(1+'分析-属性加成'!$K$6)*(1+I9)*(1-M9)*(1+N9)*(('分析-属性加成'!$G$10+J9)*('分析-属性加成'!$I$6+K9)+(1-'分析-属性加成'!$G$10-J9-'分析-属性加成'!$P$7-'分析-属性加成'!$N$7)+'分析-属性加成'!$P$7*0.25)+(1+H9)*'分析-属性加成'!$Q$6*F9*(1+'分析-属性加成'!$Y$6)*(1-分析模式!$C$28)*(1+$N$25)*('分析-属性加成'!$U$6*'分析-属性加成'!$W$6+(1-'分析-属性加成'!$U$6-'分析-属性加成'!$P$7-'分析-属性加成'!$AB$7)+'分析-属性加成'!$P$7*0.25)</f>
        <v>81446.921106432172</v>
      </c>
      <c r="AA9" s="128"/>
      <c r="AB9" s="128"/>
      <c r="AC9" s="128">
        <f>(1+H9)*(C9+'分析-属性加成'!$F$7*E9)*(1+'分析-属性加成'!$K$6)*(1+I9)*(1-M9)*(1+N9)*(('分析-属性加成'!$G$6+J9)*('分析-属性加成'!$I$10+K9)+(1-'分析-属性加成'!$G$6-J9-'分析-属性加成'!$P$7-'分析-属性加成'!$N$7)+'分析-属性加成'!$P$7*0.25)+(1+H9)*'分析-属性加成'!$Q$6*F9*(1+'分析-属性加成'!$Y$6)*(1-分析模式!$C$28)*(1+$N$25)*('分析-属性加成'!$U$6*'分析-属性加成'!$W$6+(1-'分析-属性加成'!$U$6-'分析-属性加成'!$P$7-'分析-属性加成'!$AB$7)+'分析-属性加成'!$P$7*0.25)</f>
        <v>81448.006207125596</v>
      </c>
      <c r="AD9" s="128"/>
      <c r="AE9" s="128"/>
      <c r="AF9" s="128">
        <f>(1+H9)*(C9+'分析-属性加成'!$F$7*E9)*(1+'分析-属性加成'!$K$10)*(1+I9)*(1-M9)*(1+N9)*(('分析-属性加成'!$G$6+J9)*('分析-属性加成'!$I$6+K9)+(1-'分析-属性加成'!$G$6-J9-'分析-属性加成'!$P$7-'分析-属性加成'!$N$7)+'分析-属性加成'!$P$7*0.25)+(1+H9)*'分析-属性加成'!$Q$6*F9*(1+'分析-属性加成'!$Y$6)*(1-分析模式!$C$28)*(1+$N$25)*('分析-属性加成'!$U$6*'分析-属性加成'!$W$6+(1-'分析-属性加成'!$U$6-'分析-属性加成'!$P$7-'分析-属性加成'!$AB$7)+'分析-属性加成'!$P$7*0.25)</f>
        <v>81447.096182463385</v>
      </c>
      <c r="AG9" s="128"/>
      <c r="AH9" s="128"/>
      <c r="AI9" s="128">
        <f>(1+H9)*(C9+'分析-属性加成'!$F$7*E9)*(1+'分析-属性加成'!$K$6)*(1+I9)*(1-M9)*(1+N9)*(('分析-属性加成'!$G$6+J9)*('分析-属性加成'!$I$6+K9)+(1-'分析-属性加成'!$G$6-J9-'分析-属性加成'!$P$7-'分析-属性加成'!$N$10)+'分析-属性加成'!$P$7*0.25)+(1+H9)*'分析-属性加成'!$Q$6*F9*(1+'分析-属性加成'!$Y$6)*(1-分析模式!$C$28)*(1+$N$25)*('分析-属性加成'!$U$6*'分析-属性加成'!$W$6+(1-'分析-属性加成'!$U$6-'分析-属性加成'!$P$7-'分析-属性加成'!$AB$7)+'分析-属性加成'!$P$7*0.25)</f>
        <v>81442.925511051028</v>
      </c>
      <c r="AJ9" s="128"/>
      <c r="AK9" s="128"/>
      <c r="AL9" s="128">
        <f>(1+H9)*(C9+'分析-属性加成'!$F$7*E9)*(1+'分析-属性加成'!$K$6)*(1+I9)*(1-M9)*(1+N9)*(('分析-属性加成'!$G$6+J9)*('分析-属性加成'!$I$6+K9)+(1-'分析-属性加成'!$G$6-J9-'分析-属性加成'!$P$10-'分析-属性加成'!$N$7)+'分析-属性加成'!$P$10*0.25)+(1+H9)*'分析-属性加成'!$Q$6*F9*(1+'分析-属性加成'!$Y$6)*(1-分析模式!$C$28)*(1+$N$25)*('分析-属性加成'!$U$6*'分析-属性加成'!$W$6+(1-'分析-属性加成'!$U$6-'分析-属性加成'!$P$10-'分析-属性加成'!$AB$7)+'分析-属性加成'!$P$10*0.25)</f>
        <v>81447.139065783165</v>
      </c>
    </row>
    <row r="10" spans="1:38" x14ac:dyDescent="0.2">
      <c r="A10" s="41" t="s">
        <v>35</v>
      </c>
      <c r="B10" s="68">
        <v>98</v>
      </c>
      <c r="C10" s="68">
        <f>AVERAGE(B10,D10)</f>
        <v>103</v>
      </c>
      <c r="D10" s="68">
        <v>108</v>
      </c>
      <c r="E10" s="129">
        <v>0.52610000000000001</v>
      </c>
      <c r="F10" s="41">
        <v>1</v>
      </c>
      <c r="G10" s="130" t="s">
        <v>144</v>
      </c>
      <c r="H10" s="129">
        <v>0</v>
      </c>
      <c r="I10" s="131">
        <f>IF(分析模式!J7="洞若观火",0.15,0)+分析模式!$R$10</f>
        <v>0.15885490624431092</v>
      </c>
      <c r="J10" s="129">
        <f>IF(分析模式!V12=1,0.05,IF(分析模式!V12=2,0.09,IF(分析模式!V12=3,0.12,0)))+IF(分析模式!H7="腾焰飞芒",0.1,0)</f>
        <v>0.22</v>
      </c>
      <c r="K10" s="129">
        <f>IF(分析模式!H7="腾焰飞芒",0.1,0)</f>
        <v>0.1</v>
      </c>
      <c r="L10" s="129">
        <f>分析模式!E20*(1-IF(分析模式!J19="有",0.15,0))*(1-IF(分析模式!K19="有",0.3,0))</f>
        <v>2950.6049999999996</v>
      </c>
      <c r="M10" s="132">
        <f>L10/(L10+(185*分析模式!$E$22-16800)*4.08224)</f>
        <v>0.24272716014590323</v>
      </c>
      <c r="N10" s="132">
        <f>IF(分析模式!$O$19="有",0.03,0)+IF(OR(G10="阳",G10="阴"),0.05,0)+IF(AND(G10="阳",分析模式!$N$19="有"),0.12,0)</f>
        <v>0.08</v>
      </c>
      <c r="O10" s="128">
        <f>(1+H10)*(C10+'分析-属性加成'!$F$7*E10)*(1+'分析-属性加成'!$K$6)*(1+I10)*(1-M10)*(1+N10)*(('分析-属性加成'!$G$6+J10)*('分析-属性加成'!$I$6+K10)+(1-'分析-属性加成'!$G$6-J10-'分析-属性加成'!$P$7-'分析-属性加成'!$N$7)+'分析-属性加成'!$P$7*0.25)</f>
        <v>32090.32569494117</v>
      </c>
      <c r="P10" s="128">
        <f>(1+H10)*'分析-属性加成'!$Q$6*F10*(1+'分析-属性加成'!$Y$6)*(1-分析模式!$C$28)*(1+$N$25)*('分析-属性加成'!$U$6*'分析-属性加成'!$W$6+(1-'分析-属性加成'!$U$6-'分析-属性加成'!$P$7-'分析-属性加成'!$AB$7)+'分析-属性加成'!$P$7*0.25)</f>
        <v>318.80294522073757</v>
      </c>
      <c r="Q10" s="133">
        <f t="shared" ref="Q10:Q18" si="2">O10+P10</f>
        <v>32409.128640161907</v>
      </c>
      <c r="R10" s="41"/>
      <c r="T10" s="128">
        <f>(1+H10)*(C10+'分析-属性加成'!$F$9*E10)*(1+'分析-属性加成'!$K$9)*(1+I10)*(1-M10)*(1+N10)*(('分析-属性加成'!$G$9+J10)*('分析-属性加成'!$I$9+K10)+(1-'分析-属性加成'!$G$9-J10-'分析-属性加成'!$P$7-'分析-属性加成'!$N$7)+'分析-属性加成'!$P$7*0.25)+(1+H10)*'分析-属性加成'!$Q$6*F10*(1+'分析-属性加成'!$Y$6)*(1-分析模式!$C$28)*(1+$N$25)*('分析-属性加成'!$U$6*'分析-属性加成'!$W$6+(1-'分析-属性加成'!$U$6-'分析-属性加成'!$P$7-'分析-属性加成'!$AB$7)+'分析-属性加成'!$P$7*0.25)</f>
        <v>32413.165227482659</v>
      </c>
      <c r="U10" s="128"/>
      <c r="V10" s="128"/>
      <c r="W10" s="128">
        <f>(1+H10)*(C10+'分析-属性加成'!$F$10*E10)*(1+'分析-属性加成'!$K$6)*(1+I10)*(1-M10)*(1+N10)*(('分析-属性加成'!$G$6+J10)*('分析-属性加成'!$I$6+K10)+(1-'分析-属性加成'!$G$6-J10-'分析-属性加成'!$P$7-'分析-属性加成'!$N$7)+'分析-属性加成'!$P$7*0.25)+(1+H10)*'分析-属性加成'!$Q$6*F10*(1+'分析-属性加成'!$Y$6)*(1-分析模式!$C$28)*(1+$N$25)*('分析-属性加成'!$U$6*'分析-属性加成'!$W$6+(1-'分析-属性加成'!$U$6-'分析-属性加成'!$P$7-'分析-属性加成'!$AB$7)+'分析-属性加成'!$P$7*0.25)</f>
        <v>32412.030556679889</v>
      </c>
      <c r="X10" s="128"/>
      <c r="Y10" s="128"/>
      <c r="Z10" s="128">
        <f>(1+H10)*(C10+'分析-属性加成'!$F$7*E10)*(1+'分析-属性加成'!$K$6)*(1+I10)*(1-M10)*(1+N10)*(('分析-属性加成'!$G$10+J10)*('分析-属性加成'!$I$6+K10)+(1-'分析-属性加成'!$G$10-J10-'分析-属性加成'!$P$7-'分析-属性加成'!$N$7)+'分析-属性加成'!$P$7*0.25)+(1+H10)*'分析-属性加成'!$Q$6*F10*(1+'分析-属性加成'!$Y$6)*(1-分析模式!$C$28)*(1+$N$25)*('分析-属性加成'!$U$6*'分析-属性加成'!$W$6+(1-'分析-属性加成'!$U$6-'分析-属性加成'!$P$7-'分析-属性加成'!$AB$7)+'分析-属性加成'!$P$7*0.25)</f>
        <v>32410.619622263333</v>
      </c>
      <c r="AA10" s="128"/>
      <c r="AB10" s="128"/>
      <c r="AC10" s="128">
        <f>(1+H10)*(C10+'分析-属性加成'!$F$7*E10)*(1+'分析-属性加成'!$K$6)*(1+I10)*(1-M10)*(1+N10)*(('分析-属性加成'!$G$6+J10)*('分析-属性加成'!$I$10+K10)+(1-'分析-属性加成'!$G$6-J10-'分析-属性加成'!$P$7-'分析-属性加成'!$N$7)+'分析-属性加成'!$P$7*0.25)+(1+H10)*'分析-属性加成'!$Q$6*F10*(1+'分析-属性加成'!$Y$6)*(1-分析模式!$C$28)*(1+$N$25)*('分析-属性加成'!$U$6*'分析-属性加成'!$W$6+(1-'分析-属性加成'!$U$6-'分析-属性加成'!$P$7-'分析-属性加成'!$AB$7)+'分析-属性加成'!$P$7*0.25)</f>
        <v>32411.29448412051</v>
      </c>
      <c r="AD10" s="128"/>
      <c r="AE10" s="128"/>
      <c r="AF10" s="128">
        <f>(1+H10)*(C10+'分析-属性加成'!$F$7*E10)*(1+'分析-属性加成'!$K$10)*(1+I10)*(1-M10)*(1+N10)*(('分析-属性加成'!$G$6+J10)*('分析-属性加成'!$I$6+K10)+(1-'分析-属性加成'!$G$6-J10-'分析-属性加成'!$P$7-'分析-属性加成'!$N$7)+'分析-属性加成'!$P$7*0.25)+(1+H10)*'分析-属性加成'!$Q$6*F10*(1+'分析-属性加成'!$Y$6)*(1-分析模式!$C$28)*(1+$N$25)*('分析-属性加成'!$U$6*'分析-属性加成'!$W$6+(1-'分析-属性加成'!$U$6-'分析-属性加成'!$P$7-'分析-属性加成'!$AB$7)+'分析-属性加成'!$P$7*0.25)</f>
        <v>32410.779084153099</v>
      </c>
      <c r="AG10" s="128"/>
      <c r="AH10" s="128"/>
      <c r="AI10" s="128">
        <f>(1+H10)*(C10+'分析-属性加成'!$F$7*E10)*(1+'分析-属性加成'!$K$6)*(1+I10)*(1-M10)*(1+N10)*(('分析-属性加成'!$G$6+J10)*('分析-属性加成'!$I$6+K10)+(1-'分析-属性加成'!$G$6-J10-'分析-属性加成'!$P$7-'分析-属性加成'!$N$10)+'分析-属性加成'!$P$7*0.25)+(1+H10)*'分析-属性加成'!$Q$6*F10*(1+'分析-属性加成'!$Y$6)*(1-分析模式!$C$28)*(1+$N$25)*('分析-属性加成'!$U$6*'分析-属性加成'!$W$6+(1-'分析-属性加成'!$U$6-'分析-属性加成'!$P$7-'分析-属性加成'!$AB$7)+'分析-属性加成'!$P$7*0.25)</f>
        <v>32409.128640161907</v>
      </c>
      <c r="AJ10" s="128"/>
      <c r="AK10" s="128"/>
      <c r="AL10" s="128">
        <f>(1+H10)*(C10+'分析-属性加成'!$F$7*E10)*(1+'分析-属性加成'!$K$6)*(1+I10)*(1-M10)*(1+N10)*(('分析-属性加成'!$G$6+J10)*('分析-属性加成'!$I$6+K10)+(1-'分析-属性加成'!$G$6-J10-'分析-属性加成'!$P$10-'分析-属性加成'!$N$7)+'分析-属性加成'!$P$10*0.25)+(1+H10)*'分析-属性加成'!$Q$6*F10*(1+'分析-属性加成'!$Y$6)*(1-分析模式!$C$28)*(1+$N$25)*('分析-属性加成'!$U$6*'分析-属性加成'!$W$6+(1-'分析-属性加成'!$U$6-'分析-属性加成'!$P$10-'分析-属性加成'!$AB$7)+'分析-属性加成'!$P$10*0.25)</f>
        <v>32410.720030086915</v>
      </c>
    </row>
    <row r="11" spans="1:38" x14ac:dyDescent="0.2">
      <c r="A11" s="41" t="s">
        <v>105</v>
      </c>
      <c r="B11" s="68">
        <v>55</v>
      </c>
      <c r="C11" s="68">
        <f>AVERAGE(B11,D11)</f>
        <v>55</v>
      </c>
      <c r="D11" s="68">
        <v>55</v>
      </c>
      <c r="E11" s="41">
        <v>0.1045</v>
      </c>
      <c r="F11" s="41">
        <v>0</v>
      </c>
      <c r="G11" s="130" t="s">
        <v>144</v>
      </c>
      <c r="H11" s="129">
        <v>0</v>
      </c>
      <c r="I11" s="131">
        <f>IF(分析模式!J7="洞若观火",0.15,0)+分析模式!$R$10</f>
        <v>0.15885490624431092</v>
      </c>
      <c r="J11" s="129">
        <f>IF(分析模式!V12=1,0.05,IF(分析模式!V12=2,0.09,IF(分析模式!V12=3,0.12,0)))+IF(分析模式!H7="腾焰飞芒",0.1,0)</f>
        <v>0.22</v>
      </c>
      <c r="K11" s="129">
        <f>IF(分析模式!H7="腾焰飞芒",0.1,0)</f>
        <v>0.1</v>
      </c>
      <c r="L11" s="129">
        <f>分析模式!E20*(1-IF(分析模式!J19="有",0.15,0))*(1-IF(分析模式!K19="有",0.3,0))</f>
        <v>2950.6049999999996</v>
      </c>
      <c r="M11" s="132">
        <f>L11/(L11+(185*分析模式!$E$22-16800)*4.08224)</f>
        <v>0.24272716014590323</v>
      </c>
      <c r="N11" s="132">
        <f>IF(分析模式!$O$19="有",0.03,0)+IF(OR(G11="阳",G11="阴"),0.05,0)+IF(AND(G11="阳",分析模式!$N$19="有"),0.12,0)</f>
        <v>0.08</v>
      </c>
      <c r="O11" s="128">
        <f>(1+H11)*(C11+'分析-属性加成'!$F$7*E11)*(1+'分析-属性加成'!$K$6)*(1+I11)*(1-M11)*(1+N11)*(('分析-属性加成'!$G$6+J11)*('分析-属性加成'!$I$6+K11)+(1-'分析-属性加成'!$G$6-J11-'分析-属性加成'!$P$7-'分析-属性加成'!$N$7)+'分析-属性加成'!$P$7*0.25)</f>
        <v>6473.3187338606203</v>
      </c>
      <c r="P11" s="128">
        <f>(1+H11)*'分析-属性加成'!$Q$6*F11*(1+'分析-属性加成'!$Y$6)*(1-分析模式!$C$28)*(1+$N$25)*('分析-属性加成'!$U$6*'分析-属性加成'!$W$6+(1-'分析-属性加成'!$U$6-'分析-属性加成'!$P$7-'分析-属性加成'!$AB$7)+'分析-属性加成'!$P$7*0.25)</f>
        <v>0</v>
      </c>
      <c r="Q11" s="133">
        <f t="shared" si="2"/>
        <v>6473.3187338606203</v>
      </c>
      <c r="R11" s="41" t="s">
        <v>251</v>
      </c>
      <c r="T11" s="128">
        <f>(1+H11)*(C11+'分析-属性加成'!$F$9*E11)*(1+'分析-属性加成'!$K$9)*(1+I11)*(1-M11)*(1+N11)*(('分析-属性加成'!$G$9+J11)*('分析-属性加成'!$I$9+K11)+(1-'分析-属性加成'!$G$9-J11-'分析-属性加成'!$P$7-'分析-属性加成'!$N$7)+'分析-属性加成'!$P$7*0.25)+(1+H11)*'分析-属性加成'!$Q$6*F11*(1+'分析-属性加成'!$Y$6)*(1-分析模式!$C$28)*(1+$N$25)*('分析-属性加成'!$U$6*'分析-属性加成'!$W$6+(1-'分析-属性加成'!$U$6-'分析-属性加成'!$P$7-'分析-属性加成'!$AB$7)+'分析-属性加成'!$P$7*0.25)</f>
        <v>6474.1225179326229</v>
      </c>
      <c r="U11" s="128"/>
      <c r="V11" s="128"/>
      <c r="W11" s="128">
        <f>(1+H11)*(C11+'分析-属性加成'!$F$10*E11)*(1+'分析-属性加成'!$K$6)*(1+I11)*(1-M11)*(1+N11)*(('分析-属性加成'!$G$6+J11)*('分析-属性加成'!$I$6+K11)+(1-'分析-属性加成'!$G$6-J11-'分析-属性加成'!$P$7-'分析-属性加成'!$N$7)+'分析-属性加成'!$P$7*0.25)+(1+H11)*'分析-属性加成'!$Q$6*F11*(1+'分析-属性加成'!$Y$6)*(1-分析模式!$C$28)*(1+$N$25)*('分析-属性加成'!$U$6*'分析-属性加成'!$W$6+(1-'分析-属性加成'!$U$6-'分析-属性加成'!$P$7-'分析-属性加成'!$AB$7)+'分析-属性加成'!$P$7*0.25)</f>
        <v>6473.8951457141256</v>
      </c>
      <c r="X11" s="128"/>
      <c r="Y11" s="128"/>
      <c r="Z11" s="128">
        <f>(1+H11)*(C11+'分析-属性加成'!$F$7*E11)*(1+'分析-属性加成'!$K$6)*(1+I11)*(1-M11)*(1+N11)*(('分析-属性加成'!$G$10+J11)*('分析-属性加成'!$I$6+K11)+(1-'分析-属性加成'!$G$10-J11-'分析-属性加成'!$P$7-'分析-属性加成'!$N$7)+'分析-属性加成'!$P$7*0.25)+(1+H11)*'分析-属性加成'!$Q$6*F11*(1+'分析-属性加成'!$Y$6)*(1-分析模式!$C$28)*(1+$N$25)*('分析-属性加成'!$U$6*'分析-属性加成'!$W$6+(1-'分析-属性加成'!$U$6-'分析-属性加成'!$P$7-'分析-属性加成'!$AB$7)+'分析-属性加成'!$P$7*0.25)</f>
        <v>6473.6194974758228</v>
      </c>
      <c r="AA11" s="128"/>
      <c r="AB11" s="128"/>
      <c r="AC11" s="128">
        <f>(1+H11)*(C11+'分析-属性加成'!$F$7*E11)*(1+'分析-属性加成'!$K$6)*(1+I11)*(1-M11)*(1+N11)*(('分析-属性加成'!$G$6+J11)*('分析-属性加成'!$I$10+K11)+(1-'分析-属性加成'!$G$6-J11-'分析-属性加成'!$P$7-'分析-属性加成'!$N$7)+'分析-属性加成'!$P$7*0.25)+(1+H11)*'分析-属性加成'!$Q$6*F11*(1+'分析-属性加成'!$Y$6)*(1-分析模式!$C$28)*(1+$N$25)*('分析-属性加成'!$U$6*'分析-属性加成'!$W$6+(1-'分析-属性加成'!$U$6-'分析-属性加成'!$P$7-'分析-属性加成'!$AB$7)+'分析-属性加成'!$P$7*0.25)</f>
        <v>6473.7556318343313</v>
      </c>
      <c r="AD11" s="128"/>
      <c r="AE11" s="128"/>
      <c r="AF11" s="128">
        <f>(1+H11)*(C11+'分析-属性加成'!$F$7*E11)*(1+'分析-属性加成'!$K$10)*(1+I11)*(1-M11)*(1+N11)*(('分析-属性加成'!$G$6+J11)*('分析-属性加成'!$I$6+K11)+(1-'分析-属性加成'!$G$6-J11-'分析-属性加成'!$P$7-'分析-属性加成'!$N$7)+'分析-属性加成'!$P$7*0.25)+(1+H11)*'分析-属性加成'!$Q$6*F11*(1+'分析-属性加成'!$Y$6)*(1-分析模式!$C$28)*(1+$N$25)*('分析-属性加成'!$U$6*'分析-属性加成'!$W$6+(1-'分析-属性加成'!$U$6-'分析-属性加成'!$P$7-'分析-属性加成'!$AB$7)+'分析-属性加成'!$P$7*0.25)</f>
        <v>6473.6516644176036</v>
      </c>
      <c r="AG11" s="128"/>
      <c r="AH11" s="128"/>
      <c r="AI11" s="128">
        <f>(1+H11)*(C11+'分析-属性加成'!$F$7*E11)*(1+'分析-属性加成'!$K$6)*(1+I11)*(1-M11)*(1+N11)*(('分析-属性加成'!$G$6+J11)*('分析-属性加成'!$I$6+K11)+(1-'分析-属性加成'!$G$6-J11-'分析-属性加成'!$P$7-'分析-属性加成'!$N$10)+'分析-属性加成'!$P$7*0.25)+(1+H11)*'分析-属性加成'!$Q$6*F11*(1+'分析-属性加成'!$Y$6)*(1-分析模式!$C$28)*(1+$N$25)*('分析-属性加成'!$U$6*'分析-属性加成'!$W$6+(1-'分析-属性加成'!$U$6-'分析-属性加成'!$P$7-'分析-属性加成'!$AB$7)+'分析-属性加成'!$P$7*0.25)</f>
        <v>6473.3187338606203</v>
      </c>
      <c r="AJ11" s="128"/>
      <c r="AK11" s="128"/>
      <c r="AL11" s="128">
        <f>(1+H11)*(C11+'分析-属性加成'!$F$7*E11)*(1+'分析-属性加成'!$K$6)*(1+I11)*(1-M11)*(1+N11)*(('分析-属性加成'!$G$6+J11)*('分析-属性加成'!$I$6+K11)+(1-'分析-属性加成'!$G$6-J11-'分析-属性加成'!$P$10-'分析-属性加成'!$N$7)+'分析-属性加成'!$P$10*0.25)+(1+H11)*'分析-属性加成'!$Q$6*F11*(1+'分析-属性加成'!$Y$6)*(1-分析模式!$C$28)*(1+$N$25)*('分析-属性加成'!$U$6*'分析-属性加成'!$W$6+(1-'分析-属性加成'!$U$6-'分析-属性加成'!$P$10-'分析-属性加成'!$AB$7)+'分析-属性加成'!$P$10*0.25)</f>
        <v>6473.6332249704037</v>
      </c>
    </row>
    <row r="12" spans="1:38" x14ac:dyDescent="0.2">
      <c r="A12" s="41" t="s">
        <v>107</v>
      </c>
      <c r="B12" s="68">
        <v>197</v>
      </c>
      <c r="C12" s="68">
        <f>AVERAGE(B12,D12)</f>
        <v>207</v>
      </c>
      <c r="D12" s="68">
        <v>217</v>
      </c>
      <c r="E12" s="129">
        <v>1.3005</v>
      </c>
      <c r="F12" s="41">
        <v>2</v>
      </c>
      <c r="G12" s="130" t="s">
        <v>143</v>
      </c>
      <c r="H12" s="129">
        <v>0</v>
      </c>
      <c r="I12" s="131">
        <f>IF(分析模式!W14=1,0.05,IF(分析模式!W14=2,0.09,IF(分析模式!W14=3,0.12,0)))+IF(分析模式!I10="有",0.1,0)+IF(分析模式!K10="阴阳往极",0.05,0)+分析模式!$R$10</f>
        <v>0.24885490624431095</v>
      </c>
      <c r="J12" s="129">
        <f>IF(分析模式!V14=1,0.05,IF(分析模式!V14=2,0.09,IF(分析模式!V14=3,0.12,0)))</f>
        <v>0.09</v>
      </c>
      <c r="K12" s="129">
        <v>0</v>
      </c>
      <c r="L12" s="129">
        <f>分析模式!E20*(1-IF(分析模式!J19="有",0.15,0))*(1-IF(分析模式!K19="有",0.3,0)-IF(分析模式!O7="用晦而明",0.5,0))</f>
        <v>843.02999999999975</v>
      </c>
      <c r="M12" s="132">
        <f>L12/(L12+(185*分析模式!$E$22-16800)*4.08224)</f>
        <v>8.389626085980037E-2</v>
      </c>
      <c r="N12" s="132">
        <f>IF(分析模式!$O$19="有",0.03,0)+IF(OR(G12="阳",G12="阴"),0.05,0)+IF(AND(G12="阳",分析模式!$N$19="有"),0.12,0)</f>
        <v>0.2</v>
      </c>
      <c r="O12" s="128">
        <f>(1+H12)*(C12+'分析-属性加成'!$F$7*E12)*(1+'分析-属性加成'!$K$6)*(1+I12)*(1-M12)*(1+N12)*(('分析-属性加成'!$G$6+J12)*('分析-属性加成'!$I$6+K12)+(1-'分析-属性加成'!$G$6-J12-'分析-属性加成'!$P$7-'分析-属性加成'!$N$7)+'分析-属性加成'!$P$7*0.25)</f>
        <v>100762.73869482937</v>
      </c>
      <c r="P12" s="128">
        <f>(1+H12)*'分析-属性加成'!$Q$6*F12*(1+'分析-属性加成'!$Y$6)*(1-分析模式!$C$28)*(1+$N$25)*('分析-属性加成'!$U$6*'分析-属性加成'!$W$6+(1-'分析-属性加成'!$U$6-'分析-属性加成'!$P$7-'分析-属性加成'!$AB$7)+'分析-属性加成'!$P$7*0.25)</f>
        <v>637.60589044147514</v>
      </c>
      <c r="Q12" s="133">
        <f t="shared" si="2"/>
        <v>101400.34458527085</v>
      </c>
      <c r="R12" s="41"/>
      <c r="T12" s="128">
        <f>(1+H12)*(C12+'分析-属性加成'!$F$9*E12)*(1+'分析-属性加成'!$K$9)*(1+I12)*(1-M12)*(1+N12)*(('分析-属性加成'!$G$9+J12)*('分析-属性加成'!$I$9+K12)+(1-'分析-属性加成'!$G$9-J12-'分析-属性加成'!$P$7-'分析-属性加成'!$N$7)+'分析-属性加成'!$P$7*0.25)+(1+H12)*'分析-属性加成'!$Q$6*F12*(1+'分析-属性加成'!$Y$6)*(1-分析模式!$C$28)*(1+$N$25)*('分析-属性加成'!$U$6*'分析-属性加成'!$W$6+(1-'分析-属性加成'!$U$6-'分析-属性加成'!$P$7-'分析-属性加成'!$AB$7)+'分析-属性加成'!$P$7*0.25)</f>
        <v>101413.06033324897</v>
      </c>
      <c r="U12" s="128"/>
      <c r="V12" s="128"/>
      <c r="W12" s="128">
        <f>(1+H12)*(C12+'分析-属性加成'!$F$10*E12)*(1+'分析-属性加成'!$K$6)*(1+I12)*(1-M12)*(1+N12)*(('分析-属性加成'!$G$6+J12)*('分析-属性加成'!$I$6+K12)+(1-'分析-属性加成'!$G$6-J12-'分析-属性加成'!$P$7-'分析-属性加成'!$N$7)+'分析-属性加成'!$P$7*0.25)+(1+H12)*'分析-属性加成'!$Q$6*F12*(1+'分析-属性加成'!$Y$6)*(1-分析模式!$C$28)*(1+$N$25)*('分析-属性加成'!$U$6*'分析-属性加成'!$W$6+(1-'分析-属性加成'!$U$6-'分析-属性加成'!$P$7-'分析-属性加成'!$AB$7)+'分析-属性加成'!$P$7*0.25)</f>
        <v>101409.47225263808</v>
      </c>
      <c r="X12" s="128"/>
      <c r="Y12" s="128"/>
      <c r="Z12" s="128">
        <f>(1+H12)*(C12+'分析-属性加成'!$F$7*E12)*(1+'分析-属性加成'!$K$6)*(1+I12)*(1-M12)*(1+N12)*(('分析-属性加成'!$G$10+J12)*('分析-属性加成'!$I$6+K12)+(1-'分析-属性加成'!$G$10-J12-'分析-属性加成'!$P$7-'分析-属性加成'!$N$7)+'分析-属性加成'!$P$7*0.25)+(1+H12)*'分析-属性加成'!$Q$6*F12*(1+'分析-属性加成'!$Y$6)*(1-分析模式!$C$28)*(1+$N$25)*('分析-属性加成'!$U$6*'分析-属性加成'!$W$6+(1-'分析-属性加成'!$U$6-'分析-属性加成'!$P$7-'分析-属性加成'!$AB$7)+'分析-属性加成'!$P$7*0.25)</f>
        <v>101405.25207259673</v>
      </c>
      <c r="AA12" s="128"/>
      <c r="AB12" s="128"/>
      <c r="AC12" s="128">
        <f>(1+H12)*(C12+'分析-属性加成'!$F$7*E12)*(1+'分析-属性加成'!$K$6)*(1+I12)*(1-M12)*(1+N12)*(('分析-属性加成'!$G$6+J12)*('分析-属性加成'!$I$10+K12)+(1-'分析-属性加成'!$G$6-J12-'分析-属性加成'!$P$7-'分析-属性加成'!$N$7)+'分析-属性加成'!$P$7*0.25)+(1+H12)*'分析-属性加成'!$Q$6*F12*(1+'分析-属性加成'!$Y$6)*(1-分析模式!$C$28)*(1+$N$25)*('分析-属性加成'!$U$6*'分析-属性加成'!$W$6+(1-'分析-属性加成'!$U$6-'分析-属性加成'!$P$7-'分析-属性加成'!$AB$7)+'分析-属性加成'!$P$7*0.25)</f>
        <v>101406.51852328047</v>
      </c>
      <c r="AD12" s="128"/>
      <c r="AE12" s="128"/>
      <c r="AF12" s="128">
        <f>(1+H12)*(C12+'分析-属性加成'!$F$7*E12)*(1+'分析-属性加成'!$K$10)*(1+I12)*(1-M12)*(1+N12)*(('分析-属性加成'!$G$6+J12)*('分析-属性加成'!$I$6+K12)+(1-'分析-属性加成'!$G$6-J12-'分析-属性加成'!$P$7-'分析-属性加成'!$N$7)+'分析-属性加成'!$P$7*0.25)+(1+H12)*'分析-属性加成'!$Q$6*F12*(1+'分析-属性加成'!$Y$6)*(1-分析模式!$C$28)*(1+$N$25)*('分析-属性加成'!$U$6*'分析-属性加成'!$W$6+(1-'分析-属性加成'!$U$6-'分析-属性加成'!$P$7-'分析-属性加成'!$AB$7)+'分析-属性加成'!$P$7*0.25)</f>
        <v>101405.52693393867</v>
      </c>
      <c r="AG12" s="128"/>
      <c r="AH12" s="128"/>
      <c r="AI12" s="128">
        <f>(1+H12)*(C12+'分析-属性加成'!$F$7*E12)*(1+'分析-属性加成'!$K$6)*(1+I12)*(1-M12)*(1+N12)*(('分析-属性加成'!$G$6+J12)*('分析-属性加成'!$I$6+K12)+(1-'分析-属性加成'!$G$6-J12-'分析-属性加成'!$P$7-'分析-属性加成'!$N$10)+'分析-属性加成'!$P$7*0.25)+(1+H12)*'分析-属性加成'!$Q$6*F12*(1+'分析-属性加成'!$Y$6)*(1-分析模式!$C$28)*(1+$N$25)*('分析-属性加成'!$U$6*'分析-属性加成'!$W$6+(1-'分析-属性加成'!$U$6-'分析-属性加成'!$P$7-'分析-属性加成'!$AB$7)+'分析-属性加成'!$P$7*0.25)</f>
        <v>101400.34458527085</v>
      </c>
      <c r="AJ12" s="128"/>
      <c r="AK12" s="128"/>
      <c r="AL12" s="128">
        <f>(1+H12)*(C12+'分析-属性加成'!$F$7*E12)*(1+'分析-属性加成'!$K$6)*(1+I12)*(1-M12)*(1+N12)*(('分析-属性加成'!$G$6+J12)*('分析-属性加成'!$I$6+K12)+(1-'分析-属性加成'!$G$6-J12-'分析-属性加成'!$P$10-'分析-属性加成'!$N$7)+'分析-属性加成'!$P$10*0.25)+(1+H12)*'分析-属性加成'!$Q$6*F12*(1+'分析-属性加成'!$Y$6)*(1-分析模式!$C$28)*(1+$N$25)*('分析-属性加成'!$U$6*'分析-属性加成'!$W$6+(1-'分析-属性加成'!$U$6-'分析-属性加成'!$P$10-'分析-属性加成'!$AB$7)+'分析-属性加成'!$P$10*0.25)</f>
        <v>101405.9821969866</v>
      </c>
    </row>
    <row r="13" spans="1:38" x14ac:dyDescent="0.2">
      <c r="A13" s="41" t="s">
        <v>257</v>
      </c>
      <c r="B13" s="68">
        <v>197</v>
      </c>
      <c r="C13" s="68">
        <f>AVERAGE(B13,D13)</f>
        <v>207</v>
      </c>
      <c r="D13" s="68">
        <v>217</v>
      </c>
      <c r="E13" s="129">
        <v>1.3005</v>
      </c>
      <c r="F13" s="41">
        <v>2</v>
      </c>
      <c r="G13" s="130" t="s">
        <v>143</v>
      </c>
      <c r="H13" s="129">
        <v>0</v>
      </c>
      <c r="I13" s="131">
        <f>IF(分析模式!W14=1,0.05,IF(分析模式!W14=2,0.09,IF(分析模式!W14=3,0.12,0)))+IF(分析模式!I10="有",0.1,0)+IF(分析模式!K10="阴阳往极",0.05,0)+IF(分析模式!S7="驱夷逐法",0.6*分析模式!O22,0)+分析模式!$R$10</f>
        <v>0.84885490624431092</v>
      </c>
      <c r="J13" s="129">
        <f>IF(分析模式!V14=1,0.05,IF(分析模式!V14=2,0.09,IF(分析模式!V14=3,0.12,0)))</f>
        <v>0.09</v>
      </c>
      <c r="K13" s="129">
        <v>0</v>
      </c>
      <c r="L13" s="129">
        <f>分析模式!E20*(1-IF(分析模式!J19="有",0.15,0))*(1-IF(分析模式!K19="有",0.3,0)-IF(分析模式!O7="用晦而明",0.5,0))</f>
        <v>843.02999999999975</v>
      </c>
      <c r="M13" s="132">
        <f>L13/(L13+(185*分析模式!$E$22-16800)*4.08224)</f>
        <v>8.389626085980037E-2</v>
      </c>
      <c r="N13" s="132">
        <f>IF(分析模式!$O$19="有",0.03,0)+IF(OR(G13="阳",G13="阴"),0.05,0)+IF(AND(G13="阳",分析模式!$N$19="有"),0.12,0)</f>
        <v>0.2</v>
      </c>
      <c r="O13" s="128">
        <f>(1+H13)*(C13+'分析-属性加成'!$F$7*E13)*(1+'分析-属性加成'!$K$6)*(1+I13)*(1-M13)*(1+N13)*(('分析-属性加成'!$G$6+J13)*('分析-属性加成'!$I$6+K13)+(1-'分析-属性加成'!$G$6-J13-'分析-属性加成'!$P$7-'分析-属性加成'!$N$7)+'分析-属性加成'!$P$7*0.25)</f>
        <v>149173.20088271657</v>
      </c>
      <c r="P13" s="128">
        <f>(1+H13)*'分析-属性加成'!$Q$6*F13*(1+'分析-属性加成'!$Y$6)*(1-分析模式!$C$28)*(1+$N$25)*('分析-属性加成'!$U$6*'分析-属性加成'!$W$6+(1-'分析-属性加成'!$U$6-'分析-属性加成'!$P$7-'分析-属性加成'!$AB$7)+'分析-属性加成'!$P$7*0.25)</f>
        <v>637.60589044147514</v>
      </c>
      <c r="Q13" s="133">
        <f t="shared" si="2"/>
        <v>149810.80677315805</v>
      </c>
      <c r="R13" s="41"/>
      <c r="T13" s="128">
        <f>(1+H13)*(C13+'分析-属性加成'!$F$9*E13)*(1+'分析-属性加成'!$K$9)*(1+I13)*(1-M13)*(1+N13)*(('分析-属性加成'!$G$9+J13)*('分析-属性加成'!$I$9+K13)+(1-'分析-属性加成'!$G$9-J13-'分析-属性加成'!$P$7-'分析-属性加成'!$N$7)+'分析-属性加成'!$P$7*0.25)+(1+H13)*'分析-属性加成'!$Q$6*F13*(1+'分析-属性加成'!$Y$6)*(1-分析模式!$C$28)*(1+$N$25)*('分析-属性加成'!$U$6*'分析-属性加成'!$W$6+(1-'分析-属性加成'!$U$6-'分析-属性加成'!$P$7-'分析-属性加成'!$AB$7)+'分析-属性加成'!$P$7*0.25)</f>
        <v>149829.6316766103</v>
      </c>
      <c r="U13" s="128"/>
      <c r="V13" s="128"/>
      <c r="W13" s="128">
        <f>(1+H13)*(C13+'分析-属性加成'!$F$10*E13)*(1+'分析-属性加成'!$K$6)*(1+I13)*(1-M13)*(1+N13)*(('分析-属性加成'!$G$6+J13)*('分析-属性加成'!$I$6+K13)+(1-'分析-属性加成'!$G$6-J13-'分析-属性加成'!$P$7-'分析-属性加成'!$N$7)+'分析-属性加成'!$P$7*0.25)+(1+H13)*'分析-属性加成'!$Q$6*F13*(1+'分析-属性加成'!$Y$6)*(1-分析模式!$C$28)*(1+$N$25)*('分析-属性加成'!$U$6*'分析-属性加成'!$W$6+(1-'分析-属性加成'!$U$6-'分析-属性加成'!$P$7-'分析-属性加成'!$AB$7)+'分析-属性加成'!$P$7*0.25)</f>
        <v>149824.31973812307</v>
      </c>
      <c r="X13" s="128"/>
      <c r="Y13" s="128"/>
      <c r="Z13" s="128">
        <f>(1+H13)*(C13+'分析-属性加成'!$F$7*E13)*(1+'分析-属性加成'!$K$6)*(1+I13)*(1-M13)*(1+N13)*(('分析-属性加成'!$G$10+J13)*('分析-属性加成'!$I$6+K13)+(1-'分析-属性加成'!$G$10-J13-'分析-属性加成'!$P$7-'分析-属性加成'!$N$7)+'分析-属性加成'!$P$7*0.25)+(1+H13)*'分析-属性加成'!$Q$6*F13*(1+'分析-属性加成'!$Y$6)*(1-分析模式!$C$28)*(1+$N$25)*('分析-属性加成'!$U$6*'分析-属性加成'!$W$6+(1-'分析-属性加成'!$U$6-'分析-属性加成'!$P$7-'分析-属性加成'!$AB$7)+'分析-属性加成'!$P$7*0.25)</f>
        <v>149818.07201427966</v>
      </c>
      <c r="AA13" s="128"/>
      <c r="AB13" s="128"/>
      <c r="AC13" s="128">
        <f>(1+H13)*(C13+'分析-属性加成'!$F$7*E13)*(1+'分析-属性加成'!$K$6)*(1+I13)*(1-M13)*(1+N13)*(('分析-属性加成'!$G$6+J13)*('分析-属性加成'!$I$10+K13)+(1-'分析-属性加成'!$G$6-J13-'分析-属性加成'!$P$7-'分析-属性加成'!$N$7)+'分析-属性加成'!$P$7*0.25)+(1+H13)*'分析-属性加成'!$Q$6*F13*(1+'分析-属性加成'!$Y$6)*(1-分析模式!$C$28)*(1+$N$25)*('分析-属性加成'!$U$6*'分析-属性加成'!$W$6+(1-'分析-属性加成'!$U$6-'分析-属性加成'!$P$7-'分析-属性加成'!$AB$7)+'分析-属性加成'!$P$7*0.25)</f>
        <v>149819.94691868086</v>
      </c>
      <c r="AD13" s="128"/>
      <c r="AE13" s="128"/>
      <c r="AF13" s="128">
        <f>(1+H13)*(C13+'分析-属性加成'!$F$7*E13)*(1+'分析-属性加成'!$K$10)*(1+I13)*(1-M13)*(1+N13)*(('分析-属性加成'!$G$6+J13)*('分析-属性加成'!$I$6+K13)+(1-'分析-属性加成'!$G$6-J13-'分析-属性加成'!$P$7-'分析-属性加成'!$N$7)+'分析-属性加成'!$P$7*0.25)+(1+H13)*'分析-属性加成'!$Q$6*F13*(1+'分析-属性加成'!$Y$6)*(1-分析模式!$C$28)*(1+$N$25)*('分析-属性加成'!$U$6*'分析-属性加成'!$W$6+(1-'分析-属性加成'!$U$6-'分析-属性加成'!$P$7-'分析-属性加成'!$AB$7)+'分析-属性加成'!$P$7*0.25)</f>
        <v>149818.4789300375</v>
      </c>
      <c r="AG13" s="128"/>
      <c r="AH13" s="128"/>
      <c r="AI13" s="128">
        <f>(1+H13)*(C13+'分析-属性加成'!$F$7*E13)*(1+'分析-属性加成'!$K$6)*(1+I13)*(1-M13)*(1+N13)*(('分析-属性加成'!$G$6+J13)*('分析-属性加成'!$I$6+K13)+(1-'分析-属性加成'!$G$6-J13-'分析-属性加成'!$P$7-'分析-属性加成'!$N$10)+'分析-属性加成'!$P$7*0.25)+(1+H13)*'分析-属性加成'!$Q$6*F13*(1+'分析-属性加成'!$Y$6)*(1-分析模式!$C$28)*(1+$N$25)*('分析-属性加成'!$U$6*'分析-属性加成'!$W$6+(1-'分析-属性加成'!$U$6-'分析-属性加成'!$P$7-'分析-属性加成'!$AB$7)+'分析-属性加成'!$P$7*0.25)</f>
        <v>149810.80677315805</v>
      </c>
      <c r="AJ13" s="128"/>
      <c r="AK13" s="128"/>
      <c r="AL13" s="128">
        <f>(1+H13)*(C13+'分析-属性加成'!$F$7*E13)*(1+'分析-属性加成'!$K$6)*(1+I13)*(1-M13)*(1+N13)*(('分析-属性加成'!$G$6+J13)*('分析-属性加成'!$I$6+K13)+(1-'分析-属性加成'!$G$6-J13-'分析-属性加成'!$P$10-'分析-属性加成'!$N$7)+'分析-属性加成'!$P$10*0.25)+(1+H13)*'分析-属性加成'!$Q$6*F13*(1+'分析-属性加成'!$Y$6)*(1-分析模式!$C$28)*(1+$N$25)*('分析-属性加成'!$U$6*'分析-属性加成'!$W$6+(1-'分析-属性加成'!$U$6-'分析-属性加成'!$P$10-'分析-属性加成'!$AB$7)+'分析-属性加成'!$P$10*0.25)</f>
        <v>149819.12182927373</v>
      </c>
    </row>
    <row r="14" spans="1:38" x14ac:dyDescent="0.2">
      <c r="A14" s="41" t="s">
        <v>256</v>
      </c>
      <c r="B14" s="68">
        <v>197</v>
      </c>
      <c r="C14" s="68">
        <f>AVERAGE(B14,D14)</f>
        <v>207</v>
      </c>
      <c r="D14" s="68">
        <v>217</v>
      </c>
      <c r="E14" s="129">
        <v>1.3005</v>
      </c>
      <c r="F14" s="41">
        <v>2</v>
      </c>
      <c r="G14" s="130" t="s">
        <v>143</v>
      </c>
      <c r="H14" s="129">
        <v>0</v>
      </c>
      <c r="I14" s="131">
        <f>IF(分析模式!W14=1,0.05,IF(分析模式!W14=2,0.09,IF(分析模式!W14=3,0.12,0)))+IF(分析模式!I10="有",0.1,0)+IF(分析模式!K10="阴阳往极",0.05,0)+IF(分析模式!S7="驱夷逐法",0.6*分析模式!O22,0)+IF(分析模式!N7="日月同辉",0.3,0)+分析模式!$R$10</f>
        <v>1.1488549062443107</v>
      </c>
      <c r="J14" s="129">
        <f>IF(分析模式!V14=1,0.05,IF(分析模式!V14=2,0.09,IF(分析模式!V14=3,0.12,0)))</f>
        <v>0.09</v>
      </c>
      <c r="K14" s="129">
        <v>0</v>
      </c>
      <c r="L14" s="129">
        <f>分析模式!E20*(1-IF(分析模式!J19="有",0.15,0))*(1-IF(分析模式!K19="有",0.3,0)-IF(分析模式!O7="用晦而明",0.5,0))</f>
        <v>843.02999999999975</v>
      </c>
      <c r="M14" s="132">
        <f>L14/(L14+(185*分析模式!$E$22-16800)*4.08224)</f>
        <v>8.389626085980037E-2</v>
      </c>
      <c r="N14" s="132">
        <f>IF(分析模式!$O$19="有",0.03,0)+IF(OR(G14="阳",G14="阴"),0.05,0)+IF(AND(G14="阳",分析模式!$N$19="有"),0.12,0)</f>
        <v>0.2</v>
      </c>
      <c r="O14" s="128">
        <f>(1+H14)*(C14+'分析-属性加成'!$F$7*E14)*(1+'分析-属性加成'!$K$6)*(1+I14)*(1-M14)*(1+N14)*(('分析-属性加成'!$G$6+J14)*('分析-属性加成'!$I$6+K14)+(1-'分析-属性加成'!$G$6-J14-'分析-属性加成'!$P$7-'分析-属性加成'!$N$7)+'分析-属性加成'!$P$7*0.25)</f>
        <v>173378.43197666015</v>
      </c>
      <c r="P14" s="128">
        <f>(1+H14)*'分析-属性加成'!$Q$6*F14*(1+'分析-属性加成'!$Y$6)*(1-分析模式!$C$28)*(1+$N$25)*('分析-属性加成'!$U$6*'分析-属性加成'!$W$6+(1-'分析-属性加成'!$U$6-'分析-属性加成'!$P$7-'分析-属性加成'!$AB$7)+'分析-属性加成'!$P$7*0.25)</f>
        <v>637.60589044147514</v>
      </c>
      <c r="Q14" s="133">
        <f t="shared" si="2"/>
        <v>174016.03786710164</v>
      </c>
      <c r="R14" s="41"/>
      <c r="T14" s="128">
        <f>(1+H14)*(C14+'分析-属性加成'!$F$9*E14)*(1+'分析-属性加成'!$K$9)*(1+I14)*(1-M14)*(1+N14)*(('分析-属性加成'!$G$9+J14)*('分析-属性加成'!$I$9+K14)+(1-'分析-属性加成'!$G$9-J14-'分析-属性加成'!$P$7-'分析-属性加成'!$N$7)+'分析-属性加成'!$P$7*0.25)+(1+H14)*'分析-属性加成'!$Q$6*F14*(1+'分析-属性加成'!$Y$6)*(1-分析模式!$C$28)*(1+$N$25)*('分析-属性加成'!$U$6*'分析-属性加成'!$W$6+(1-'分析-属性加成'!$U$6-'分析-属性加成'!$P$7-'分析-属性加成'!$AB$7)+'分析-属性加成'!$P$7*0.25)</f>
        <v>174037.91734829094</v>
      </c>
      <c r="U14" s="128"/>
      <c r="V14" s="128"/>
      <c r="W14" s="128">
        <f>(1+H14)*(C14+'分析-属性加成'!$F$10*E14)*(1+'分析-属性加成'!$K$6)*(1+I14)*(1-M14)*(1+N14)*(('分析-属性加成'!$G$6+J14)*('分析-属性加成'!$I$6+K14)+(1-'分析-属性加成'!$G$6-J14-'分析-属性加成'!$P$7-'分析-属性加成'!$N$7)+'分析-属性加成'!$P$7*0.25)+(1+H14)*'分析-属性加成'!$Q$6*F14*(1+'分析-属性加成'!$Y$6)*(1-分析模式!$C$28)*(1+$N$25)*('分析-属性加成'!$U$6*'分析-属性加成'!$W$6+(1-'分析-属性加成'!$U$6-'分析-属性加成'!$P$7-'分析-属性加成'!$AB$7)+'分析-属性加成'!$P$7*0.25)</f>
        <v>174031.74348086552</v>
      </c>
      <c r="X14" s="128"/>
      <c r="Y14" s="128"/>
      <c r="Z14" s="128">
        <f>(1+H14)*(C14+'分析-属性加成'!$F$7*E14)*(1+'分析-属性加成'!$K$6)*(1+I14)*(1-M14)*(1+N14)*(('分析-属性加成'!$G$10+J14)*('分析-属性加成'!$I$6+K14)+(1-'分析-属性加成'!$G$10-J14-'分析-属性加成'!$P$7-'分析-属性加成'!$N$7)+'分析-属性加成'!$P$7*0.25)+(1+H14)*'分析-属性加成'!$Q$6*F14*(1+'分析-属性加成'!$Y$6)*(1-分析模式!$C$28)*(1+$N$25)*('分析-属性加成'!$U$6*'分析-属性加成'!$W$6+(1-'分析-属性加成'!$U$6-'分析-属性加成'!$P$7-'分析-属性加成'!$AB$7)+'分析-属性加成'!$P$7*0.25)</f>
        <v>174024.48198512112</v>
      </c>
      <c r="AA14" s="128"/>
      <c r="AB14" s="128"/>
      <c r="AC14" s="128">
        <f>(1+H14)*(C14+'分析-属性加成'!$F$7*E14)*(1+'分析-属性加成'!$K$6)*(1+I14)*(1-M14)*(1+N14)*(('分析-属性加成'!$G$6+J14)*('分析-属性加成'!$I$10+K14)+(1-'分析-属性加成'!$G$6-J14-'分析-属性加成'!$P$7-'分析-属性加成'!$N$7)+'分析-属性加成'!$P$7*0.25)+(1+H14)*'分析-属性加成'!$Q$6*F14*(1+'分析-属性加成'!$Y$6)*(1-分析模式!$C$28)*(1+$N$25)*('分析-属性加成'!$U$6*'分析-属性加成'!$W$6+(1-'分析-属性加成'!$U$6-'分析-属性加成'!$P$7-'分析-属性加成'!$AB$7)+'分析-属性加成'!$P$7*0.25)</f>
        <v>174026.661116381</v>
      </c>
      <c r="AD14" s="128"/>
      <c r="AE14" s="128"/>
      <c r="AF14" s="128">
        <f>(1+H14)*(C14+'分析-属性加成'!$F$7*E14)*(1+'分析-属性加成'!$K$10)*(1+I14)*(1-M14)*(1+N14)*(('分析-属性加成'!$G$6+J14)*('分析-属性加成'!$I$6+K14)+(1-'分析-属性加成'!$G$6-J14-'分析-属性加成'!$P$7-'分析-属性加成'!$N$7)+'分析-属性加成'!$P$7*0.25)+(1+H14)*'分析-属性加成'!$Q$6*F14*(1+'分析-属性加成'!$Y$6)*(1-分析模式!$C$28)*(1+$N$25)*('分析-属性加成'!$U$6*'分析-属性加成'!$W$6+(1-'分析-属性加成'!$U$6-'分析-属性加成'!$P$7-'分析-属性加成'!$AB$7)+'分析-属性加成'!$P$7*0.25)</f>
        <v>174024.9549280869</v>
      </c>
      <c r="AG14" s="128"/>
      <c r="AH14" s="128"/>
      <c r="AI14" s="128">
        <f>(1+H14)*(C14+'分析-属性加成'!$F$7*E14)*(1+'分析-属性加成'!$K$6)*(1+I14)*(1-M14)*(1+N14)*(('分析-属性加成'!$G$6+J14)*('分析-属性加成'!$I$6+K14)+(1-'分析-属性加成'!$G$6-J14-'分析-属性加成'!$P$7-'分析-属性加成'!$N$10)+'分析-属性加成'!$P$7*0.25)+(1+H14)*'分析-属性加成'!$Q$6*F14*(1+'分析-属性加成'!$Y$6)*(1-分析模式!$C$28)*(1+$N$25)*('分析-属性加成'!$U$6*'分析-属性加成'!$W$6+(1-'分析-属性加成'!$U$6-'分析-属性加成'!$P$7-'分析-属性加成'!$AB$7)+'分析-属性加成'!$P$7*0.25)</f>
        <v>174016.03786710164</v>
      </c>
      <c r="AJ14" s="128"/>
      <c r="AK14" s="128"/>
      <c r="AL14" s="128">
        <f>(1+H14)*(C14+'分析-属性加成'!$F$7*E14)*(1+'分析-属性加成'!$K$6)*(1+I14)*(1-M14)*(1+N14)*(('分析-属性加成'!$G$6+J14)*('分析-属性加成'!$I$6+K14)+(1-'分析-属性加成'!$G$6-J14-'分析-属性加成'!$P$10-'分析-属性加成'!$N$7)+'分析-属性加成'!$P$10*0.25)+(1+H14)*'分析-属性加成'!$Q$6*F14*(1+'分析-属性加成'!$Y$6)*(1-分析模式!$C$28)*(1+$N$25)*('分析-属性加成'!$U$6*'分析-属性加成'!$W$6+(1-'分析-属性加成'!$U$6-'分析-属性加成'!$P$10-'分析-属性加成'!$AB$7)+'分析-属性加成'!$P$10*0.25)</f>
        <v>174025.69164541728</v>
      </c>
    </row>
    <row r="15" spans="1:38" x14ac:dyDescent="0.2">
      <c r="A15" s="41" t="s">
        <v>110</v>
      </c>
      <c r="B15" s="68">
        <v>73</v>
      </c>
      <c r="C15" s="68">
        <f t="shared" ref="C15:C23" si="3">AVERAGE(B15,D15)</f>
        <v>74</v>
      </c>
      <c r="D15" s="68">
        <v>75</v>
      </c>
      <c r="E15" s="129">
        <v>0.42970000000000003</v>
      </c>
      <c r="F15" s="41">
        <v>1</v>
      </c>
      <c r="G15" s="130" t="s">
        <v>144</v>
      </c>
      <c r="H15" s="129">
        <v>0</v>
      </c>
      <c r="I15" s="131">
        <f>IF(分析模式!W14=1,0.05,IF(分析模式!W14=2,0.09,IF(分析模式!W14=3,0.12,0)))+IF(分析模式!I10="有",0.1,0)+IF(分析模式!K10="阴阳往极",0.05,0)+分析模式!$R$10</f>
        <v>0.24885490624431095</v>
      </c>
      <c r="J15" s="129">
        <f>IF(分析模式!V14=1,0.05,IF(分析模式!V14=2,0.09,IF(分析模式!V14=3,0.12,0)))</f>
        <v>0.09</v>
      </c>
      <c r="K15" s="129">
        <v>0</v>
      </c>
      <c r="L15" s="129">
        <f>分析模式!E20*(1-IF(分析模式!J19="有",0.15,0))*(1-IF(分析模式!K19="有",0.3,0)-IF(分析模式!O7="用晦而明",0.5,0))</f>
        <v>843.02999999999975</v>
      </c>
      <c r="M15" s="132">
        <f>L15/(L15+(185*分析模式!$E$22-16800)*4.08224)</f>
        <v>8.389626085980037E-2</v>
      </c>
      <c r="N15" s="132">
        <f>IF(分析模式!$O$19="有",0.03,0)+IF(OR(G15="阳",G15="阴"),0.05,0)+IF(AND(G15="阳",分析模式!$N$19="有"),0.12,0)</f>
        <v>0.08</v>
      </c>
      <c r="O15" s="128">
        <f>(1+H15)*(C15+'分析-属性加成'!$F$7*E15)*(1+'分析-属性加成'!$K$6)*(1+I15)*(1-M15)*(1+N15)*(('分析-属性加成'!$G$6+J15)*('分析-属性加成'!$I$6+K15)+(1-'分析-属性加成'!$G$6-J15-'分析-属性加成'!$P$7-'分析-属性加成'!$N$7)+'分析-属性加成'!$P$7*0.25)</f>
        <v>29982.268507890374</v>
      </c>
      <c r="P15" s="128">
        <f>(1+H15)*'分析-属性加成'!$Q$6*F15*(1+'分析-属性加成'!$Y$6)*(1-分析模式!$C$28)*(1+$N$25)*('分析-属性加成'!$U$6*'分析-属性加成'!$W$6+(1-'分析-属性加成'!$U$6-'分析-属性加成'!$P$7-'分析-属性加成'!$AB$7)+'分析-属性加成'!$P$7*0.25)</f>
        <v>318.80294522073757</v>
      </c>
      <c r="Q15" s="133">
        <f t="shared" si="2"/>
        <v>30301.071453111112</v>
      </c>
      <c r="R15" s="41" t="s">
        <v>253</v>
      </c>
      <c r="T15" s="128">
        <f>(1+H15)*(C15+'分析-属性加成'!$F$9*E15)*(1+'分析-属性加成'!$K$9)*(1+I15)*(1-M15)*(1+N15)*(('分析-属性加成'!$G$9+J15)*('分析-属性加成'!$I$9+K15)+(1-'分析-属性加成'!$G$9-J15-'分析-属性加成'!$P$7-'分析-属性加成'!$N$7)+'分析-属性加成'!$P$7*0.25)+(1+H15)*'分析-属性加成'!$Q$6*F15*(1+'分析-属性加成'!$Y$6)*(1-分析模式!$C$28)*(1+$N$25)*('分析-属性加成'!$U$6*'分析-属性加成'!$W$6+(1-'分析-属性加成'!$U$6-'分析-属性加成'!$P$7-'分析-属性加成'!$AB$7)+'分析-属性加成'!$P$7*0.25)</f>
        <v>30304.853112261619</v>
      </c>
      <c r="U15" s="128"/>
      <c r="V15" s="128"/>
      <c r="W15" s="128">
        <f>(1+H15)*(C15+'分析-属性加成'!$F$10*E15)*(1+'分析-属性加成'!$K$6)*(1+I15)*(1-M15)*(1+N15)*(('分析-属性加成'!$G$6+J15)*('分析-属性加成'!$I$6+K15)+(1-'分析-属性加成'!$G$6-J15-'分析-属性加成'!$P$7-'分析-属性加成'!$N$7)+'分析-属性加成'!$P$7*0.25)+(1+H15)*'分析-属性加成'!$Q$6*F15*(1+'分析-属性加成'!$Y$6)*(1-分析模式!$C$28)*(1+$N$25)*('分析-属性加成'!$U$6*'分析-属性加成'!$W$6+(1-'分析-属性加成'!$U$6-'分析-属性加成'!$P$7-'分析-属性加成'!$AB$7)+'分析-属性加成'!$P$7*0.25)</f>
        <v>30303.78574976695</v>
      </c>
      <c r="X15" s="128"/>
      <c r="Y15" s="128"/>
      <c r="Z15" s="128">
        <f>(1+H15)*(C15+'分析-属性加成'!$F$7*E15)*(1+'分析-属性加成'!$K$6)*(1+I15)*(1-M15)*(1+N15)*(('分析-属性加成'!$G$10+J15)*('分析-属性加成'!$I$6+K15)+(1-'分析-属性加成'!$G$10-J15-'分析-属性加成'!$P$7-'分析-属性加成'!$N$7)+'分析-属性加成'!$P$7*0.25)+(1+H15)*'分析-属性加成'!$Q$6*F15*(1+'分析-属性加成'!$Y$6)*(1-分析模式!$C$28)*(1+$N$25)*('分析-属性加成'!$U$6*'分析-属性加成'!$W$6+(1-'分析-属性加成'!$U$6-'分析-属性加成'!$P$7-'分析-属性加成'!$AB$7)+'分析-属性加成'!$P$7*0.25)</f>
        <v>30302.531691336168</v>
      </c>
      <c r="AA15" s="128"/>
      <c r="AB15" s="128"/>
      <c r="AC15" s="128">
        <f>(1+H15)*(C15+'分析-属性加成'!$F$7*E15)*(1+'分析-属性加成'!$K$6)*(1+I15)*(1-M15)*(1+N15)*(('分析-属性加成'!$G$6+J15)*('分析-属性加成'!$I$10+K15)+(1-'分析-属性加成'!$G$6-J15-'分析-属性加成'!$P$7-'分析-属性加成'!$N$7)+'分析-属性加成'!$P$7*0.25)+(1+H15)*'分析-属性加成'!$Q$6*F15*(1+'分析-属性加成'!$Y$6)*(1-分析模式!$C$28)*(1+$N$25)*('分析-属性加成'!$U$6*'分析-属性加成'!$W$6+(1-'分析-属性加成'!$U$6-'分析-属性加成'!$P$7-'分析-属性加成'!$AB$7)+'分析-属性加成'!$P$7*0.25)</f>
        <v>30302.908527703894</v>
      </c>
      <c r="AD15" s="128"/>
      <c r="AE15" s="128"/>
      <c r="AF15" s="128">
        <f>(1+H15)*(C15+'分析-属性加成'!$F$7*E15)*(1+'分析-属性加成'!$K$10)*(1+I15)*(1-M15)*(1+N15)*(('分析-属性加成'!$G$6+J15)*('分析-属性加成'!$I$6+K15)+(1-'分析-属性加成'!$G$6-J15-'分析-属性加成'!$P$7-'分析-属性加成'!$N$7)+'分析-属性加成'!$P$7*0.25)+(1+H15)*'分析-属性加成'!$Q$6*F15*(1+'分析-属性加成'!$Y$6)*(1-分析模式!$C$28)*(1+$N$25)*('分析-属性加成'!$U$6*'分析-属性加成'!$W$6+(1-'分析-属性加成'!$U$6-'分析-属性加成'!$P$7-'分析-属性加成'!$AB$7)+'分析-属性加成'!$P$7*0.25)</f>
        <v>30302.613477189381</v>
      </c>
      <c r="AG15" s="128"/>
      <c r="AH15" s="128"/>
      <c r="AI15" s="128">
        <f>(1+H15)*(C15+'分析-属性加成'!$F$7*E15)*(1+'分析-属性加成'!$K$6)*(1+I15)*(1-M15)*(1+N15)*(('分析-属性加成'!$G$6+J15)*('分析-属性加成'!$I$6+K15)+(1-'分析-属性加成'!$G$6-J15-'分析-属性加成'!$P$7-'分析-属性加成'!$N$10)+'分析-属性加成'!$P$7*0.25)+(1+H15)*'分析-属性加成'!$Q$6*F15*(1+'分析-属性加成'!$Y$6)*(1-分析模式!$C$28)*(1+$N$25)*('分析-属性加成'!$U$6*'分析-属性加成'!$W$6+(1-'分析-属性加成'!$U$6-'分析-属性加成'!$P$7-'分析-属性加成'!$AB$7)+'分析-属性加成'!$P$7*0.25)</f>
        <v>30301.071453111112</v>
      </c>
      <c r="AJ15" s="128"/>
      <c r="AK15" s="128"/>
      <c r="AL15" s="128">
        <f>(1+H15)*(C15+'分析-属性加成'!$F$7*E15)*(1+'分析-属性加成'!$K$6)*(1+I15)*(1-M15)*(1+N15)*(('分析-属性加成'!$G$6+J15)*('分析-属性加成'!$I$6+K15)+(1-'分析-属性加成'!$G$6-J15-'分析-属性加成'!$P$10-'分析-属性加成'!$N$7)+'分析-属性加成'!$P$10*0.25)+(1+H15)*'分析-属性加成'!$Q$6*F15*(1+'分析-属性加成'!$Y$6)*(1-分析模式!$C$28)*(1+$N$25)*('分析-属性加成'!$U$6*'分析-属性加成'!$W$6+(1-'分析-属性加成'!$U$6-'分析-属性加成'!$P$10-'分析-属性加成'!$AB$7)+'分析-属性加成'!$P$10*0.25)</f>
        <v>30302.762042962819</v>
      </c>
    </row>
    <row r="16" spans="1:38" x14ac:dyDescent="0.2">
      <c r="A16" s="41" t="s">
        <v>111</v>
      </c>
      <c r="B16" s="68">
        <v>73</v>
      </c>
      <c r="C16" s="68">
        <f t="shared" si="3"/>
        <v>74</v>
      </c>
      <c r="D16" s="68">
        <v>75</v>
      </c>
      <c r="E16" s="129">
        <v>0.42970000000000003</v>
      </c>
      <c r="F16" s="41">
        <v>1</v>
      </c>
      <c r="G16" s="130" t="s">
        <v>144</v>
      </c>
      <c r="H16" s="129">
        <v>0</v>
      </c>
      <c r="I16" s="131">
        <f>IF(分析模式!W14=1,0.05,IF(分析模式!W14=2,0.09,IF(分析模式!W14=3,0.12,0)))+IF(分析模式!I10="有",0.1,0)+IF(分析模式!K10="阴阳往极",0.05,0)+IF(分析模式!S7="驱夷逐法",0.6,0)+分析模式!$R$10</f>
        <v>0.84885490624431092</v>
      </c>
      <c r="J16" s="129">
        <f>IF(分析模式!V14=1,0.05,IF(分析模式!V14=2,0.09,IF(分析模式!V14=3,0.12,0)))</f>
        <v>0.09</v>
      </c>
      <c r="K16" s="129">
        <v>0</v>
      </c>
      <c r="L16" s="129">
        <f>分析模式!E20*(1-IF(分析模式!J19="有",0.15,0))*(1-IF(分析模式!K19="有",0.3,0)-IF(分析模式!O7="用晦而明",0.5,0))</f>
        <v>843.02999999999975</v>
      </c>
      <c r="M16" s="132">
        <f>L16/(L16+(185*分析模式!$E$22-16800)*4.08224)</f>
        <v>8.389626085980037E-2</v>
      </c>
      <c r="N16" s="132">
        <f>IF(分析模式!$O$19="有",0.03,0)+IF(OR(G16="阳",G16="阴"),0.05,0)+IF(AND(G16="阳",分析模式!$N$19="有"),0.12,0)</f>
        <v>0.08</v>
      </c>
      <c r="O16" s="128">
        <f>(1+H16)*(C16+'分析-属性加成'!$F$7*E16)*(1+'分析-属性加成'!$K$6)*(1+I16)*(1-M16)*(1+N16)*(('分析-属性加成'!$G$6+J16)*('分析-属性加成'!$I$6+K16)+(1-'分析-属性加成'!$G$6-J16-'分析-属性加成'!$P$7-'分析-属性加成'!$N$7)+'分析-属性加成'!$P$7*0.25)</f>
        <v>44386.953163238955</v>
      </c>
      <c r="P16" s="128">
        <f>(1+H16)*'分析-属性加成'!$Q$6*F16*(1+'分析-属性加成'!$Y$6)*(1-分析模式!$C$28)*(1+$N$25)*('分析-属性加成'!$U$6*'分析-属性加成'!$W$6+(1-'分析-属性加成'!$U$6-'分析-属性加成'!$P$7-'分析-属性加成'!$AB$7)+'分析-属性加成'!$P$7*0.25)</f>
        <v>318.80294522073757</v>
      </c>
      <c r="Q16" s="133">
        <f t="shared" si="2"/>
        <v>44705.756108459696</v>
      </c>
      <c r="R16" s="41"/>
      <c r="T16" s="128">
        <f>(1+H16)*(C16+'分析-属性加成'!$F$9*E16)*(1+'分析-属性加成'!$K$9)*(1+I16)*(1-M16)*(1+N16)*(('分析-属性加成'!$G$9+J16)*('分析-属性加成'!$I$9+K16)+(1-'分析-属性加成'!$G$9-J16-'分析-属性加成'!$P$7-'分析-属性加成'!$N$7)+'分析-属性加成'!$P$7*0.25)+(1+H16)*'分析-属性加成'!$Q$6*F16*(1+'分析-属性加成'!$Y$6)*(1-分析模式!$C$28)*(1+$N$25)*('分析-属性加成'!$U$6*'分析-属性加成'!$W$6+(1-'分析-属性加成'!$U$6-'分析-属性加成'!$P$7-'分析-属性加成'!$AB$7)+'分析-属性加成'!$P$7*0.25)</f>
        <v>44711.354628383197</v>
      </c>
      <c r="U16" s="128"/>
      <c r="V16" s="128"/>
      <c r="W16" s="128">
        <f>(1+H16)*(C16+'分析-属性加成'!$F$10*E16)*(1+'分析-属性加成'!$K$6)*(1+I16)*(1-M16)*(1+N16)*(('分析-属性加成'!$G$6+J16)*('分析-属性加成'!$I$6+K16)+(1-'分析-属性加成'!$G$6-J16-'分析-属性加成'!$P$7-'分析-属性加成'!$N$7)+'分析-属性加成'!$P$7*0.25)+(1+H16)*'分析-属性加成'!$Q$6*F16*(1+'分析-属性加成'!$Y$6)*(1-分析模式!$C$28)*(1+$N$25)*('分析-属性加成'!$U$6*'分析-属性加成'!$W$6+(1-'分析-属性加成'!$U$6-'分析-属性加成'!$P$7-'分析-属性加成'!$AB$7)+'分析-属性加成'!$P$7*0.25)</f>
        <v>44709.774462124384</v>
      </c>
      <c r="X16" s="128"/>
      <c r="Y16" s="128"/>
      <c r="Z16" s="128">
        <f>(1+H16)*(C16+'分析-属性加成'!$F$7*E16)*(1+'分析-属性加成'!$K$6)*(1+I16)*(1-M16)*(1+N16)*(('分析-属性加成'!$G$10+J16)*('分析-属性加成'!$I$6+K16)+(1-'分析-属性加成'!$G$10-J16-'分析-属性加成'!$P$7-'分析-属性加成'!$N$7)+'分析-属性加成'!$P$7*0.25)+(1+H16)*'分析-属性加成'!$Q$6*F16*(1+'分析-属性加成'!$Y$6)*(1-分析模式!$C$28)*(1+$N$25)*('分析-属性加成'!$U$6*'分析-属性加成'!$W$6+(1-'分析-属性加成'!$U$6-'分析-属性加成'!$P$7-'分析-属性加成'!$AB$7)+'分析-属性加成'!$P$7*0.25)</f>
        <v>44707.917903711641</v>
      </c>
      <c r="AA16" s="128"/>
      <c r="AB16" s="128"/>
      <c r="AC16" s="128">
        <f>(1+H16)*(C16+'分析-属性加成'!$F$7*E16)*(1+'分析-属性加成'!$K$6)*(1+I16)*(1-M16)*(1+N16)*(('分析-属性加成'!$G$6+J16)*('分析-属性加成'!$I$10+K16)+(1-'分析-属性加成'!$G$6-J16-'分析-属性加成'!$P$7-'分析-属性加成'!$N$7)+'分析-属性加成'!$P$7*0.25)+(1+H16)*'分析-属性加成'!$Q$6*F16*(1+'分析-属性加成'!$Y$6)*(1-分析模式!$C$28)*(1+$N$25)*('分析-属性加成'!$U$6*'分析-属性加成'!$W$6+(1-'分析-属性加成'!$U$6-'分析-属性加成'!$P$7-'分析-属性加成'!$AB$7)+'分析-属性加成'!$P$7*0.25)</f>
        <v>44708.475787388787</v>
      </c>
      <c r="AD16" s="128"/>
      <c r="AE16" s="128"/>
      <c r="AF16" s="128">
        <f>(1+H16)*(C16+'分析-属性加成'!$F$7*E16)*(1+'分析-属性加成'!$K$10)*(1+I16)*(1-M16)*(1+N16)*(('分析-属性加成'!$G$6+J16)*('分析-属性加成'!$I$6+K16)+(1-'分析-属性加成'!$G$6-J16-'分析-属性加成'!$P$7-'分析-属性加成'!$N$7)+'分析-属性加成'!$P$7*0.25)+(1+H16)*'分析-属性加成'!$Q$6*F16*(1+'分析-属性加成'!$Y$6)*(1-分析模式!$C$28)*(1+$N$25)*('分析-属性加成'!$U$6*'分析-属性加成'!$W$6+(1-'分析-属性加成'!$U$6-'分析-属性加成'!$P$7-'分析-属性加成'!$AB$7)+'分析-属性加成'!$P$7*0.25)</f>
        <v>44708.038982769925</v>
      </c>
      <c r="AG16" s="128"/>
      <c r="AH16" s="128"/>
      <c r="AI16" s="128">
        <f>(1+H16)*(C16+'分析-属性加成'!$F$7*E16)*(1+'分析-属性加成'!$K$6)*(1+I16)*(1-M16)*(1+N16)*(('分析-属性加成'!$G$6+J16)*('分析-属性加成'!$I$6+K16)+(1-'分析-属性加成'!$G$6-J16-'分析-属性加成'!$P$7-'分析-属性加成'!$N$10)+'分析-属性加成'!$P$7*0.25)+(1+H16)*'分析-属性加成'!$Q$6*F16*(1+'分析-属性加成'!$Y$6)*(1-分析模式!$C$28)*(1+$N$25)*('分析-属性加成'!$U$6*'分析-属性加成'!$W$6+(1-'分析-属性加成'!$U$6-'分析-属性加成'!$P$7-'分析-属性加成'!$AB$7)+'分析-属性加成'!$P$7*0.25)</f>
        <v>44705.756108459696</v>
      </c>
      <c r="AJ16" s="128"/>
      <c r="AK16" s="128"/>
      <c r="AL16" s="128">
        <f>(1+H16)*(C16+'分析-属性加成'!$F$7*E16)*(1+'分析-属性加成'!$K$6)*(1+I16)*(1-M16)*(1+N16)*(('分析-属性加成'!$G$6+J16)*('分析-属性加成'!$I$6+K16)+(1-'分析-属性加成'!$G$6-J16-'分析-属性加成'!$P$10-'分析-属性加成'!$N$7)+'分析-属性加成'!$P$10*0.25)+(1+H16)*'分析-属性加成'!$Q$6*F16*(1+'分析-属性加成'!$Y$6)*(1-分析模式!$C$28)*(1+$N$25)*('分析-属性加成'!$U$6*'分析-属性加成'!$W$6+(1-'分析-属性加成'!$U$6-'分析-属性加成'!$P$10-'分析-属性加成'!$AB$7)+'分析-属性加成'!$P$10*0.25)</f>
        <v>44708.243380278902</v>
      </c>
    </row>
    <row r="17" spans="1:38" x14ac:dyDescent="0.2">
      <c r="A17" s="41" t="s">
        <v>112</v>
      </c>
      <c r="B17" s="68">
        <v>73</v>
      </c>
      <c r="C17" s="68">
        <f t="shared" si="3"/>
        <v>74</v>
      </c>
      <c r="D17" s="68">
        <v>75</v>
      </c>
      <c r="E17" s="129">
        <v>0.42970000000000003</v>
      </c>
      <c r="F17" s="41">
        <v>1</v>
      </c>
      <c r="G17" s="130" t="s">
        <v>144</v>
      </c>
      <c r="H17" s="129">
        <v>0</v>
      </c>
      <c r="I17" s="131">
        <f>IF(分析模式!W14=1,0.05,IF(分析模式!W14=2,0.09,IF(分析模式!W14=3,0.12,0)))+IF(分析模式!I10="有",0.1,0)+IF(分析模式!K10="阴阳往极",0.05,0)+IF(分析模式!S7="驱夷逐法",0.6,0)+IF(分析模式!N7="日月同辉",0.3,0)+分析模式!$R$10</f>
        <v>1.1488549062443107</v>
      </c>
      <c r="J17" s="129">
        <f>IF(分析模式!V14=1,0.05,IF(分析模式!V14=2,0.09,IF(分析模式!V14=3,0.12,0)))</f>
        <v>0.09</v>
      </c>
      <c r="K17" s="129">
        <v>0</v>
      </c>
      <c r="L17" s="129">
        <f>分析模式!E20*(1-IF(分析模式!J19="有",0.15,0))*(1-IF(分析模式!K19="有",0.3,0)-IF(分析模式!O7="用晦而明",0.5,0))</f>
        <v>843.02999999999975</v>
      </c>
      <c r="M17" s="132">
        <f>L17/(L17+(185*分析模式!$E$22-16800)*4.08224)</f>
        <v>8.389626085980037E-2</v>
      </c>
      <c r="N17" s="132">
        <f>IF(分析模式!$O$19="有",0.03,0)+IF(OR(G17="阳",G17="阴"),0.05,0)+IF(AND(G17="阳",分析模式!$N$19="有"),0.12,0)</f>
        <v>0.08</v>
      </c>
      <c r="O17" s="128">
        <f>(1+H17)*(C17+'分析-属性加成'!$F$7*E17)*(1+'分析-属性加成'!$K$6)*(1+I17)*(1-M17)*(1+N17)*(('分析-属性加成'!$G$6+J17)*('分析-属性加成'!$I$6+K17)+(1-'分析-属性加成'!$G$6-J17-'分析-属性加成'!$P$7-'分析-属性加成'!$N$7)+'分析-属性加成'!$P$7*0.25)</f>
        <v>51589.295490913253</v>
      </c>
      <c r="P17" s="128">
        <f>(1+H17)*'分析-属性加成'!$Q$6*F17*(1+'分析-属性加成'!$Y$6)*(1-分析模式!$C$28)*(1+$N$25)*('分析-属性加成'!$U$6*'分析-属性加成'!$W$6+(1-'分析-属性加成'!$U$6-'分析-属性加成'!$P$7-'分析-属性加成'!$AB$7)+'分析-属性加成'!$P$7*0.25)</f>
        <v>318.80294522073757</v>
      </c>
      <c r="Q17" s="133">
        <f t="shared" si="2"/>
        <v>51908.098436133994</v>
      </c>
      <c r="R17" s="41"/>
      <c r="T17" s="128">
        <f>(1+H17)*(C17+'分析-属性加成'!$F$9*E17)*(1+'分析-属性加成'!$K$9)*(1+I17)*(1-M17)*(1+N17)*(('分析-属性加成'!$G$9+J17)*('分析-属性加成'!$I$9+K17)+(1-'分析-属性加成'!$G$9-J17-'分析-属性加成'!$P$7-'分析-属性加成'!$N$7)+'分析-属性加成'!$P$7*0.25)+(1+H17)*'分析-属性加成'!$Q$6*F17*(1+'分析-属性加成'!$Y$6)*(1-分析模式!$C$28)*(1+$N$25)*('分析-属性加成'!$U$6*'分析-属性加成'!$W$6+(1-'分析-属性加成'!$U$6-'分析-属性加成'!$P$7-'分析-属性加成'!$AB$7)+'分析-属性加成'!$P$7*0.25)</f>
        <v>51914.605386443982</v>
      </c>
      <c r="U17" s="128"/>
      <c r="V17" s="128"/>
      <c r="W17" s="128">
        <f>(1+H17)*(C17+'分析-属性加成'!$F$10*E17)*(1+'分析-属性加成'!$K$6)*(1+I17)*(1-M17)*(1+N17)*(('分析-属性加成'!$G$6+J17)*('分析-属性加成'!$I$6+K17)+(1-'分析-属性加成'!$G$6-J17-'分析-属性加成'!$P$7-'分析-属性加成'!$N$7)+'分析-属性加成'!$P$7*0.25)+(1+H17)*'分析-属性加成'!$Q$6*F17*(1+'分析-属性加成'!$Y$6)*(1-分析模式!$C$28)*(1+$N$25)*('分析-属性加成'!$U$6*'分析-属性加成'!$W$6+(1-'分析-属性加成'!$U$6-'分析-属性加成'!$P$7-'分析-属性加成'!$AB$7)+'分析-属性加成'!$P$7*0.25)</f>
        <v>51912.768818303091</v>
      </c>
      <c r="X17" s="128"/>
      <c r="Y17" s="128"/>
      <c r="Z17" s="128">
        <f>(1+H17)*(C17+'分析-属性加成'!$F$7*E17)*(1+'分析-属性加成'!$K$6)*(1+I17)*(1-M17)*(1+N17)*(('分析-属性加成'!$G$10+J17)*('分析-属性加成'!$I$6+K17)+(1-'分析-属性加成'!$G$10-J17-'分析-属性加成'!$P$7-'分析-属性加成'!$N$7)+'分析-属性加成'!$P$7*0.25)+(1+H17)*'分析-属性加成'!$Q$6*F17*(1+'分析-属性加成'!$Y$6)*(1-分析模式!$C$28)*(1+$N$25)*('分析-属性加成'!$U$6*'分析-属性加成'!$W$6+(1-'分析-属性加成'!$U$6-'分析-属性加成'!$P$7-'分析-属性加成'!$AB$7)+'分析-属性加成'!$P$7*0.25)</f>
        <v>51910.611009899374</v>
      </c>
      <c r="AA17" s="128"/>
      <c r="AB17" s="128"/>
      <c r="AC17" s="128">
        <f>(1+H17)*(C17+'分析-属性加成'!$F$7*E17)*(1+'分析-属性加成'!$K$6)*(1+I17)*(1-M17)*(1+N17)*(('分析-属性加成'!$G$6+J17)*('分析-属性加成'!$I$10+K17)+(1-'分析-属性加成'!$G$6-J17-'分析-属性加成'!$P$7-'分析-属性加成'!$N$7)+'分析-属性加成'!$P$7*0.25)+(1+H17)*'分析-属性加成'!$Q$6*F17*(1+'分析-属性加成'!$Y$6)*(1-分析模式!$C$28)*(1+$N$25)*('分析-属性加成'!$U$6*'分析-属性加成'!$W$6+(1-'分析-属性加成'!$U$6-'分析-属性加成'!$P$7-'分析-属性加成'!$AB$7)+'分析-属性加成'!$P$7*0.25)</f>
        <v>51911.259417231238</v>
      </c>
      <c r="AD17" s="128"/>
      <c r="AE17" s="128"/>
      <c r="AF17" s="128">
        <f>(1+H17)*(C17+'分析-属性加成'!$F$7*E17)*(1+'分析-属性加成'!$K$10)*(1+I17)*(1-M17)*(1+N17)*(('分析-属性加成'!$G$6+J17)*('分析-属性加成'!$I$6+K17)+(1-'分析-属性加成'!$G$6-J17-'分析-属性加成'!$P$7-'分析-属性加成'!$N$7)+'分析-属性加成'!$P$7*0.25)+(1+H17)*'分析-属性加成'!$Q$6*F17*(1+'分析-属性加成'!$Y$6)*(1-分析模式!$C$28)*(1+$N$25)*('分析-属性加成'!$U$6*'分析-属性加成'!$W$6+(1-'分析-属性加成'!$U$6-'分析-属性加成'!$P$7-'分析-属性加成'!$AB$7)+'分析-属性加成'!$P$7*0.25)</f>
        <v>51910.751735560189</v>
      </c>
      <c r="AG17" s="128"/>
      <c r="AH17" s="128"/>
      <c r="AI17" s="128">
        <f>(1+H17)*(C17+'分析-属性加成'!$F$7*E17)*(1+'分析-属性加成'!$K$6)*(1+I17)*(1-M17)*(1+N17)*(('分析-属性加成'!$G$6+J17)*('分析-属性加成'!$I$6+K17)+(1-'分析-属性加成'!$G$6-J17-'分析-属性加成'!$P$7-'分析-属性加成'!$N$10)+'分析-属性加成'!$P$7*0.25)+(1+H17)*'分析-属性加成'!$Q$6*F17*(1+'分析-属性加成'!$Y$6)*(1-分析模式!$C$28)*(1+$N$25)*('分析-属性加成'!$U$6*'分析-属性加成'!$W$6+(1-'分析-属性加成'!$U$6-'分析-属性加成'!$P$7-'分析-属性加成'!$AB$7)+'分析-属性加成'!$P$7*0.25)</f>
        <v>51908.098436133994</v>
      </c>
      <c r="AJ17" s="128"/>
      <c r="AK17" s="128"/>
      <c r="AL17" s="128">
        <f>(1+H17)*(C17+'分析-属性加成'!$F$7*E17)*(1+'分析-属性加成'!$K$6)*(1+I17)*(1-M17)*(1+N17)*(('分析-属性加成'!$G$6+J17)*('分析-属性加成'!$I$6+K17)+(1-'分析-属性加成'!$G$6-J17-'分析-属性加成'!$P$10-'分析-属性加成'!$N$7)+'分析-属性加成'!$P$10*0.25)+(1+H17)*'分析-属性加成'!$Q$6*F17*(1+'分析-属性加成'!$Y$6)*(1-分析模式!$C$28)*(1+$N$25)*('分析-属性加成'!$U$6*'分析-属性加成'!$W$6+(1-'分析-属性加成'!$U$6-'分析-属性加成'!$P$10-'分析-属性加成'!$AB$7)+'分析-属性加成'!$P$10*0.25)</f>
        <v>51910.984048936945</v>
      </c>
    </row>
    <row r="18" spans="1:38" x14ac:dyDescent="0.2">
      <c r="A18" s="41" t="s">
        <v>44</v>
      </c>
      <c r="B18" s="68">
        <v>95</v>
      </c>
      <c r="C18" s="68">
        <f t="shared" si="3"/>
        <v>99.5</v>
      </c>
      <c r="D18" s="68">
        <v>104</v>
      </c>
      <c r="E18" s="129">
        <v>1.1458999999999999</v>
      </c>
      <c r="F18" s="41">
        <v>2</v>
      </c>
      <c r="G18" s="130" t="s">
        <v>144</v>
      </c>
      <c r="H18" s="129">
        <v>0.3</v>
      </c>
      <c r="I18" s="131">
        <f>IF(分析模式!W13=1,0.05,IF(分析模式!W13=2,0.09,IF(分析模式!W13=3,0.12,0)))+IF(分析模式!K10="阴阳往极",0.05,0)+分析模式!$R$10</f>
        <v>0.14885490624431097</v>
      </c>
      <c r="J18" s="129">
        <f>IF(分析模式!V13=1,0.05,IF(分析模式!V13=2,0.09,IF(分析模式!V13=3,0.12,0)))</f>
        <v>0.09</v>
      </c>
      <c r="K18" s="129">
        <v>0</v>
      </c>
      <c r="L18" s="129">
        <f>分析模式!E20*(1-IF(分析模式!J19="有",0.15,0))*(1-IF(分析模式!K19="有",0.3,0)-IF(分析模式!O7="用晦而明",0.5,0))</f>
        <v>843.02999999999975</v>
      </c>
      <c r="M18" s="132">
        <f>L18/(L18+(185*分析模式!$E$22-16800)*4.08224)</f>
        <v>8.389626085980037E-2</v>
      </c>
      <c r="N18" s="132">
        <f>IF(分析模式!$O$19="有",0.03,0)+IF(OR(G18="阳",G18="阴"),0.05,0)+IF(AND(G18="阳",分析模式!$N$19="有"),0.12,0)</f>
        <v>0.08</v>
      </c>
      <c r="O18" s="128">
        <f>(1+H18)*(C18+'分析-属性加成'!$F$7*E18)*(1+'分析-属性加成'!$K$6)*(1+I18)*(1-M18)*(1+N18)*(('分析-属性加成'!$G$6+J18)*('分析-属性加成'!$I$6+K18)+(1-'分析-属性加成'!$G$6-J18-'分析-属性加成'!$P$7-'分析-属性加成'!$N$7)+'分析-属性加成'!$P$7*0.25)</f>
        <v>95233.894058096703</v>
      </c>
      <c r="P18" s="128">
        <f>(1+H18)*'分析-属性加成'!$Q$6*F18*(1+'分析-属性加成'!$Y$6)*(1-分析模式!$C$28)*(1+$N$25)*('分析-属性加成'!$U$6*'分析-属性加成'!$W$6+(1-'分析-属性加成'!$U$6-'分析-属性加成'!$P$7-'分析-属性加成'!$AB$7)+'分析-属性加成'!$P$7*0.25)</f>
        <v>828.88765757391764</v>
      </c>
      <c r="Q18" s="133">
        <f t="shared" si="2"/>
        <v>96062.781715670615</v>
      </c>
      <c r="R18" s="41" t="s">
        <v>116</v>
      </c>
      <c r="T18" s="128">
        <f>(1+H18)*(C18+'分析-属性加成'!$F$9*E18)*(1+'分析-属性加成'!$K$9)*(1+I18)*(1-M18)*(1+N18)*(('分析-属性加成'!$G$9+J18)*('分析-属性加成'!$I$9+K18)+(1-'分析-属性加成'!$G$9-J18-'分析-属性加成'!$P$7-'分析-属性加成'!$N$7)+'分析-属性加成'!$P$7*0.25)+(1+H18)*'分析-属性加成'!$Q$6*F18*(1+'分析-属性加成'!$Y$6)*(1-分析模式!$C$28)*(1+$N$25)*('分析-属性加成'!$U$6*'分析-属性加成'!$W$6+(1-'分析-属性加成'!$U$6-'分析-属性加成'!$P$7-'分析-属性加成'!$AB$7)+'分析-属性加成'!$P$7*0.25)</f>
        <v>96074.834266881066</v>
      </c>
      <c r="U18" s="128"/>
      <c r="V18" s="128"/>
      <c r="W18" s="128">
        <f>(1+H18)*(C18+'分析-属性加成'!$F$10*E18)*(1+'分析-属性加成'!$K$6)*(1+I18)*(1-M18)*(1+N18)*(('分析-属性加成'!$G$6+J18)*('分析-属性加成'!$I$6+K18)+(1-'分析-属性加成'!$G$6-J18-'分析-属性加成'!$P$7-'分析-属性加成'!$N$7)+'分析-属性加成'!$P$7*0.25)+(1+H18)*'分析-属性加成'!$Q$6*F18*(1+'分析-属性加成'!$Y$6)*(1-分析模式!$C$28)*(1+$N$25)*('分析-属性加成'!$U$6*'分析-属性加成'!$W$6+(1-'分析-属性加成'!$U$6-'分析-属性加成'!$P$7-'分析-属性加成'!$AB$7)+'分析-属性加成'!$P$7*0.25)</f>
        <v>96071.438074056874</v>
      </c>
      <c r="X18" s="128"/>
      <c r="Y18" s="128"/>
      <c r="Z18" s="128">
        <f>(1+H18)*(C18+'分析-属性加成'!$F$7*E18)*(1+'分析-属性加成'!$K$6)*(1+I18)*(1-M18)*(1+N18)*(('分析-属性加成'!$G$10+J18)*('分析-属性加成'!$I$6+K18)+(1-'分析-属性加成'!$G$10-J18-'分析-属性加成'!$P$7-'分析-属性加成'!$N$7)+'分析-属性加成'!$P$7*0.25)+(1+H18)*'分析-属性加成'!$Q$6*F18*(1+'分析-属性加成'!$Y$6)*(1-分析模式!$C$28)*(1+$N$25)*('分析-属性加成'!$U$6*'分析-属性加成'!$W$6+(1-'分析-属性加成'!$U$6-'分析-属性加成'!$P$7-'分析-属性加成'!$AB$7)+'分析-属性加成'!$P$7*0.25)</f>
        <v>96067.41992949984</v>
      </c>
      <c r="AA18" s="128"/>
      <c r="AB18" s="128"/>
      <c r="AC18" s="128">
        <f>(1+H18)*(C18+'分析-属性加成'!$F$7*E18)*(1+'分析-属性加成'!$K$6)*(1+I18)*(1-M18)*(1+N18)*(('分析-属性加成'!$G$6+J18)*('分析-属性加成'!$I$10+K18)+(1-'分析-属性加成'!$G$6-J18-'分析-属性加成'!$P$7-'分析-属性加成'!$N$7)+'分析-属性加成'!$P$7*0.25)+(1+H18)*'分析-属性加成'!$Q$6*F18*(1+'分析-属性加成'!$Y$6)*(1-分析模式!$C$28)*(1+$N$25)*('分析-属性加成'!$U$6*'分析-属性加成'!$W$6+(1-'分析-属性加成'!$U$6-'分析-属性加成'!$P$7-'分析-属性加成'!$AB$7)+'分析-属性加成'!$P$7*0.25)</f>
        <v>96068.61689012048</v>
      </c>
      <c r="AD18" s="128"/>
      <c r="AE18" s="128"/>
      <c r="AF18" s="128">
        <f>(1+H18)*(C18+'分析-属性加成'!$F$7*E18)*(1+'分析-属性加成'!$K$10)*(1+I18)*(1-M18)*(1+N18)*(('分析-属性加成'!$G$6+J18)*('分析-属性加成'!$I$6+K18)+(1-'分析-属性加成'!$G$6-J18-'分析-属性加成'!$P$7-'分析-属性加成'!$N$7)+'分析-属性加成'!$P$7*0.25)+(1+H18)*'分析-属性加成'!$Q$6*F18*(1+'分析-属性加成'!$Y$6)*(1-分析模式!$C$28)*(1+$N$25)*('分析-属性加成'!$U$6*'分析-属性加成'!$W$6+(1-'分析-属性加成'!$U$6-'分析-属性加成'!$P$7-'分析-属性加成'!$AB$7)+'分析-属性加成'!$P$7*0.25)</f>
        <v>96067.679709218588</v>
      </c>
      <c r="AG18" s="128"/>
      <c r="AH18" s="128"/>
      <c r="AI18" s="128">
        <f>(1+H18)*(C18+'分析-属性加成'!$F$7*E18)*(1+'分析-属性加成'!$K$6)*(1+I18)*(1-M18)*(1+N18)*(('分析-属性加成'!$G$6+J18)*('分析-属性加成'!$I$6+K18)+(1-'分析-属性加成'!$G$6-J18-'分析-属性加成'!$P$7-'分析-属性加成'!$N$10)+'分析-属性加成'!$P$7*0.25)+(1+H18)*'分析-属性加成'!$Q$6*F18*(1+'分析-属性加成'!$Y$6)*(1-分析模式!$C$28)*(1+$N$25)*('分析-属性加成'!$U$6*'分析-属性加成'!$W$6+(1-'分析-属性加成'!$U$6-'分析-属性加成'!$P$7-'分析-属性加成'!$AB$7)+'分析-属性加成'!$P$7*0.25)</f>
        <v>96062.781715670615</v>
      </c>
      <c r="AJ18" s="128"/>
      <c r="AK18" s="128"/>
      <c r="AL18" s="128">
        <f>(1+H18)*(C18+'分析-属性加成'!$F$7*E18)*(1+'分析-属性加成'!$K$6)*(1+I18)*(1-M18)*(1+N18)*(('分析-属性加成'!$G$6+J18)*('分析-属性加成'!$I$6+K18)+(1-'分析-属性加成'!$G$6-J18-'分析-属性加成'!$P$10-'分析-属性加成'!$N$7)+'分析-属性加成'!$P$10*0.25)+(1+H18)*'分析-属性加成'!$Q$6*F18*(1+'分析-属性加成'!$Y$6)*(1-分析模式!$C$28)*(1+$N$25)*('分析-属性加成'!$U$6*'分析-属性加成'!$W$6+(1-'分析-属性加成'!$U$6-'分析-属性加成'!$P$10-'分析-属性加成'!$AB$7)+'分析-属性加成'!$P$10*0.25)</f>
        <v>96068.132956507499</v>
      </c>
    </row>
    <row r="19" spans="1:38" x14ac:dyDescent="0.2">
      <c r="A19" s="41" t="s">
        <v>108</v>
      </c>
      <c r="B19" s="68">
        <v>29</v>
      </c>
      <c r="C19" s="68">
        <f t="shared" si="3"/>
        <v>29</v>
      </c>
      <c r="D19" s="68">
        <v>29</v>
      </c>
      <c r="E19" s="41">
        <v>0.28810000000000002</v>
      </c>
      <c r="F19" s="41">
        <v>0</v>
      </c>
      <c r="G19" s="130" t="s">
        <v>143</v>
      </c>
      <c r="H19" s="129">
        <v>0</v>
      </c>
      <c r="I19" s="131">
        <f>分析模式!$R$10</f>
        <v>8.8549062443109422E-3</v>
      </c>
      <c r="J19" s="129">
        <v>0</v>
      </c>
      <c r="K19" s="129">
        <v>0</v>
      </c>
      <c r="L19" s="129">
        <f>分析模式!E20*(1-IF(分析模式!J19="有",0.15,0))*(1-IF(分析模式!K19="有",0.3,0))</f>
        <v>2950.6049999999996</v>
      </c>
      <c r="M19" s="132">
        <f>L19/(L19+(185*分析模式!$E$22-16800)*4.08224)</f>
        <v>0.24272716014590323</v>
      </c>
      <c r="N19" s="132">
        <f>IF(分析模式!$O$19="有",0.03,0)+IF(OR(G19="阳",G19="阴"),0.05,0)+IF(AND(G19="阳",分析模式!$N$19="有"),0.12,0)</f>
        <v>0.2</v>
      </c>
      <c r="O19" s="128">
        <f>(1+H19)*(C19+'分析-属性加成'!$F$7*E19)*(1+'分析-属性加成'!$K$6)*(1+I19)*(1-M19)*(1+N19)*(('分析-属性加成'!$G$6+J19)*('分析-属性加成'!$I$6+K19)+(1-'分析-属性加成'!$G$6-J19-'分析-属性加成'!$P$7-'分析-属性加成'!$N$7)+'分析-属性加成'!$P$7*0.25)</f>
        <v>13864.968972452078</v>
      </c>
      <c r="P19" s="128">
        <f>(1+H19)*'分析-属性加成'!$Q$6*F19*(1+'分析-属性加成'!$Y$6)*(1-分析模式!$C$28)*(1+$N$25)*('分析-属性加成'!$U$6*'分析-属性加成'!$W$6+(1-'分析-属性加成'!$U$6-'分析-属性加成'!$P$7-'分析-属性加成'!$AB$7)+'分析-属性加成'!$P$7*0.25)</f>
        <v>0</v>
      </c>
      <c r="Q19" s="133">
        <f>IF(分析模式!$M$7="辉耀红尘",O19+P19,0)</f>
        <v>13864.968972452078</v>
      </c>
      <c r="R19" s="41" t="s">
        <v>252</v>
      </c>
      <c r="T19" s="128">
        <f>(1+H19)*(C19+'分析-属性加成'!$F$9*E19)*(1+'分析-属性加成'!$K$9)*(1+I19)*(1-M19)*(1+N19)*(('分析-属性加成'!$G$9+J19)*('分析-属性加成'!$I$9+K19)+(1-'分析-属性加成'!$G$9-J19-'分析-属性加成'!$P$7-'分析-属性加成'!$N$7)+'分析-属性加成'!$P$7*0.25)+(1+H19)*'分析-属性加成'!$Q$6*F19*(1+'分析-属性加成'!$Y$6)*(1-分析模式!$C$28)*(1+$N$25)*('分析-属性加成'!$U$6*'分析-属性加成'!$W$6+(1-'分析-属性加成'!$U$6-'分析-属性加成'!$P$7-'分析-属性加成'!$AB$7)+'分析-属性加成'!$P$7*0.25)</f>
        <v>13866.727593068479</v>
      </c>
      <c r="U19" s="128"/>
      <c r="V19" s="128"/>
      <c r="W19" s="128">
        <f>(1+H19)*(C19+'分析-属性加成'!$F$10*E19)*(1+'分析-属性加成'!$K$6)*(1+I19)*(1-M19)*(1+N19)*(('分析-属性加成'!$G$6+J19)*('分析-属性加成'!$I$6+K19)+(1-'分析-属性加成'!$G$6-J19-'分析-属性加成'!$P$7-'分析-属性加成'!$N$7)+'分析-属性加成'!$P$7*0.25)+(1+H19)*'分析-属性加成'!$Q$6*F19*(1+'分析-属性加成'!$Y$6)*(1-分析模式!$C$28)*(1+$N$25)*('分析-属性加成'!$U$6*'分析-属性加成'!$W$6+(1-'分析-属性加成'!$U$6-'分析-属性加成'!$P$7-'分析-属性加成'!$AB$7)+'分析-属性加成'!$P$7*0.25)</f>
        <v>13866.228415530579</v>
      </c>
      <c r="X19" s="128"/>
      <c r="Y19" s="128"/>
      <c r="Z19" s="128">
        <f>(1+H19)*(C19+'分析-属性加成'!$F$7*E19)*(1+'分析-属性加成'!$K$6)*(1+I19)*(1-M19)*(1+N19)*(('分析-属性加成'!$G$10+J19)*('分析-属性加成'!$I$6+K19)+(1-'分析-属性加成'!$G$10-J19-'分析-属性加成'!$P$7-'分析-属性加成'!$N$7)+'分析-属性加成'!$P$7*0.25)+(1+H19)*'分析-属性加成'!$Q$6*F19*(1+'分析-属性加成'!$Y$6)*(1-分析模式!$C$28)*(1+$N$25)*('分析-属性加成'!$U$6*'分析-属性加成'!$W$6+(1-'分析-属性加成'!$U$6-'分析-属性加成'!$P$7-'分析-属性加成'!$AB$7)+'分析-属性加成'!$P$7*0.25)</f>
        <v>13865.692936066534</v>
      </c>
      <c r="AA19" s="128"/>
      <c r="AB19" s="128"/>
      <c r="AC19" s="128">
        <f>(1+H19)*(C19+'分析-属性加成'!$F$7*E19)*(1+'分析-属性加成'!$K$6)*(1+I19)*(1-M19)*(1+N19)*(('分析-属性加成'!$G$6+J19)*('分析-属性加成'!$I$10+K19)+(1-'分析-属性加成'!$G$6-J19-'分析-属性加成'!$P$7-'分析-属性加成'!$N$7)+'分析-属性加成'!$P$7*0.25)+(1+H19)*'分析-属性加成'!$Q$6*F19*(1+'分析-属性加成'!$Y$6)*(1-分析模式!$C$28)*(1+$N$25)*('分析-属性加成'!$U$6*'分析-属性加成'!$W$6+(1-'分析-属性加成'!$U$6-'分析-属性加成'!$P$7-'分析-属性加成'!$AB$7)+'分析-属性加成'!$P$7*0.25)</f>
        <v>13865.719618887788</v>
      </c>
      <c r="AD19" s="128"/>
      <c r="AE19" s="128"/>
      <c r="AF19" s="128">
        <f>(1+H19)*(C19+'分析-属性加成'!$F$7*E19)*(1+'分析-属性加成'!$K$10)*(1+I19)*(1-M19)*(1+N19)*(('分析-属性加成'!$G$6+J19)*('分析-属性加成'!$I$6+K19)+(1-'分析-属性加成'!$G$6-J19-'分析-属性加成'!$P$7-'分析-属性加成'!$N$7)+'分析-属性加成'!$P$7*0.25)+(1+H19)*'分析-属性加成'!$Q$6*F19*(1+'分析-属性加成'!$Y$6)*(1-分析模式!$C$28)*(1+$N$25)*('分析-属性加成'!$U$6*'分析-属性加成'!$W$6+(1-'分析-属性加成'!$U$6-'分析-属性加成'!$P$7-'分析-属性加成'!$AB$7)+'分析-属性加成'!$P$7*0.25)</f>
        <v>13865.682064458259</v>
      </c>
      <c r="AG19" s="128"/>
      <c r="AH19" s="128"/>
      <c r="AI19" s="128">
        <f>(1+H19)*(C19+'分析-属性加成'!$F$7*E19)*(1+'分析-属性加成'!$K$6)*(1+I19)*(1-M19)*(1+N19)*(('分析-属性加成'!$G$6+J19)*('分析-属性加成'!$I$6+K19)+(1-'分析-属性加成'!$G$6-J19-'分析-属性加成'!$P$7-'分析-属性加成'!$N$10)+'分析-属性加成'!$P$7*0.25)+(1+H19)*'分析-属性加成'!$Q$6*F19*(1+'分析-属性加成'!$Y$6)*(1-分析模式!$C$28)*(1+$N$25)*('分析-属性加成'!$U$6*'分析-属性加成'!$W$6+(1-'分析-属性加成'!$U$6-'分析-属性加成'!$P$7-'分析-属性加成'!$AB$7)+'分析-属性加成'!$P$7*0.25)</f>
        <v>13864.968972452078</v>
      </c>
      <c r="AJ19" s="128"/>
      <c r="AK19" s="128"/>
      <c r="AL19" s="128">
        <f>(1+H19)*(C19+'分析-属性加成'!$F$7*E19)*(1+'分析-属性加成'!$K$6)*(1+I19)*(1-M19)*(1+N19)*(('分析-属性加成'!$G$6+J19)*('分析-属性加成'!$I$6+K19)+(1-'分析-属性加成'!$G$6-J19-'分析-属性加成'!$P$10-'分析-属性加成'!$N$7)+'分析-属性加成'!$P$10*0.25)+(1+H19)*'分析-属性加成'!$Q$6*F19*(1+'分析-属性加成'!$Y$6)*(1-分析模式!$C$28)*(1+$N$25)*('分析-属性加成'!$U$6*'分析-属性加成'!$W$6+(1-'分析-属性加成'!$U$6-'分析-属性加成'!$P$10-'分析-属性加成'!$AB$7)+'分析-属性加成'!$P$10*0.25)</f>
        <v>13865.791099142649</v>
      </c>
    </row>
    <row r="20" spans="1:38" x14ac:dyDescent="0.2">
      <c r="A20" s="41" t="s">
        <v>113</v>
      </c>
      <c r="B20" s="68">
        <v>286</v>
      </c>
      <c r="C20" s="68">
        <f t="shared" si="3"/>
        <v>286</v>
      </c>
      <c r="D20" s="68">
        <v>286</v>
      </c>
      <c r="E20" s="41">
        <v>0.20710000000000001</v>
      </c>
      <c r="F20" s="41">
        <v>0</v>
      </c>
      <c r="G20" s="130" t="s">
        <v>143</v>
      </c>
      <c r="H20" s="129">
        <v>0</v>
      </c>
      <c r="I20" s="131">
        <f>分析模式!$R$10</f>
        <v>8.8549062443109422E-3</v>
      </c>
      <c r="J20" s="129">
        <v>0</v>
      </c>
      <c r="K20" s="129">
        <v>0</v>
      </c>
      <c r="L20" s="129">
        <f>分析模式!E20*(1-IF(分析模式!J19="有",0.15,0))*(1-IF(分析模式!K19="有",0.3,0))</f>
        <v>2950.6049999999996</v>
      </c>
      <c r="M20" s="132">
        <f>L20/(L20+(185*分析模式!$E$22-16800)*4.08224)</f>
        <v>0.24272716014590323</v>
      </c>
      <c r="N20" s="132">
        <f>IF(分析模式!$O$19="有",0.03,0)+IF(OR(G20="阳",G20="阴"),0.05,0)+IF(AND(G20="阳",分析模式!$N$19="有"),0.12,0)</f>
        <v>0.2</v>
      </c>
      <c r="O20" s="128">
        <f>(1+H20)*(C20+'分析-属性加成'!$F$7*E20)*(1+'分析-属性加成'!$K$6)*(1+I20)*(1-M20)*(1+N20)*(('分析-属性加成'!$G$6+J20)*('分析-属性加成'!$I$6+K20)+(1-'分析-属性加成'!$G$6-J20-'分析-属性加成'!$P$7-'分析-属性加成'!$N$7)+'分析-属性加成'!$P$7*0.25)</f>
        <v>10570.1466222215</v>
      </c>
      <c r="P20" s="128">
        <f>(1+H20)*'分析-属性加成'!$Q$6*F20*(1+'分析-属性加成'!$Y$6)*(1-分析模式!$C$28)*(1+$N$25)*('分析-属性加成'!$U$6*'分析-属性加成'!$W$6+(1-'分析-属性加成'!$U$6-'分析-属性加成'!$P$7-'分析-属性加成'!$AB$7)+'分析-属性加成'!$P$7*0.25)</f>
        <v>0</v>
      </c>
      <c r="Q20" s="133">
        <f>IF(分析模式!$J$7="洞若观火",O20+P20,0)</f>
        <v>10570.1466222215</v>
      </c>
      <c r="R20" s="41"/>
      <c r="T20" s="128">
        <f>(1+H20)*(C20+'分析-属性加成'!$F$9*E20)*(1+'分析-属性加成'!$K$9)*(1+I20)*(1-M20)*(1+N20)*(('分析-属性加成'!$G$9+J20)*('分析-属性加成'!$I$9+K20)+(1-'分析-属性加成'!$G$9-J20-'分析-属性加成'!$P$7-'分析-属性加成'!$N$7)+'分析-属性加成'!$P$7*0.25)+(1+H20)*'分析-属性加成'!$Q$6*F20*(1+'分析-属性加成'!$Y$6)*(1-分析模式!$C$28)*(1+$N$25)*('分析-属性加成'!$U$6*'分析-属性加成'!$W$6+(1-'分析-属性加成'!$U$6-'分析-属性加成'!$P$7-'分析-属性加成'!$AB$7)+'分析-属性加成'!$P$7*0.25)</f>
        <v>10571.423262164592</v>
      </c>
      <c r="U20" s="128"/>
      <c r="V20" s="128"/>
      <c r="W20" s="128">
        <f>(1+H20)*(C20+'分析-属性加成'!$F$10*E20)*(1+'分析-属性加成'!$K$6)*(1+I20)*(1-M20)*(1+N20)*(('分析-属性加成'!$G$6+J20)*('分析-属性加成'!$I$6+K20)+(1-'分析-属性加成'!$G$6-J20-'分析-属性加成'!$P$7-'分析-属性加成'!$N$7)+'分析-属性加成'!$P$7*0.25)+(1+H20)*'分析-属性加成'!$Q$6*F20*(1+'分析-属性加成'!$Y$6)*(1-分析模式!$C$28)*(1+$N$25)*('分析-属性加成'!$U$6*'分析-属性加成'!$W$6+(1-'分析-属性加成'!$U$6-'分析-属性加成'!$P$7-'分析-属性加成'!$AB$7)+'分析-属性加成'!$P$7*0.25)</f>
        <v>10571.051969883969</v>
      </c>
      <c r="X20" s="128"/>
      <c r="Y20" s="128"/>
      <c r="Z20" s="128">
        <f>(1+H20)*(C20+'分析-属性加成'!$F$7*E20)*(1+'分析-属性加成'!$K$6)*(1+I20)*(1-M20)*(1+N20)*(('分析-属性加成'!$G$10+J20)*('分析-属性加成'!$I$6+K20)+(1-'分析-属性加成'!$G$10-J20-'分析-属性加成'!$P$7-'分析-属性加成'!$N$7)+'分析-属性加成'!$P$7*0.25)+(1+H20)*'分析-属性加成'!$Q$6*F20*(1+'分析-属性加成'!$Y$6)*(1-分析模式!$C$28)*(1+$N$25)*('分析-属性加成'!$U$6*'分析-属性加成'!$W$6+(1-'分析-属性加成'!$U$6-'分析-属性加成'!$P$7-'分析-属性加成'!$AB$7)+'分析-属性加成'!$P$7*0.25)</f>
        <v>10570.698545674715</v>
      </c>
      <c r="AA20" s="128"/>
      <c r="AB20" s="128"/>
      <c r="AC20" s="128">
        <f>(1+H20)*(C20+'分析-属性加成'!$F$7*E20)*(1+'分析-属性加成'!$K$6)*(1+I20)*(1-M20)*(1+N20)*(('分析-属性加成'!$G$6+J20)*('分析-属性加成'!$I$10+K20)+(1-'分析-属性加成'!$G$6-J20-'分析-属性加成'!$P$7-'分析-属性加成'!$N$7)+'分析-属性加成'!$P$7*0.25)+(1+H20)*'分析-属性加成'!$Q$6*F20*(1+'分析-属性加成'!$Y$6)*(1-分析模式!$C$28)*(1+$N$25)*('分析-属性加成'!$U$6*'分析-属性加成'!$W$6+(1-'分析-属性加成'!$U$6-'分析-属性加成'!$P$7-'分析-属性加成'!$AB$7)+'分析-属性加成'!$P$7*0.25)</f>
        <v>10570.718887684387</v>
      </c>
      <c r="AD20" s="128"/>
      <c r="AE20" s="128"/>
      <c r="AF20" s="128">
        <f>(1+H20)*(C20+'分析-属性加成'!$F$7*E20)*(1+'分析-属性加成'!$K$10)*(1+I20)*(1-M20)*(1+N20)*(('分析-属性加成'!$G$6+J20)*('分析-属性加成'!$I$6+K20)+(1-'分析-属性加成'!$G$6-J20-'分析-属性加成'!$P$7-'分析-属性加成'!$N$7)+'分析-属性加成'!$P$7*0.25)+(1+H20)*'分析-属性加成'!$Q$6*F20*(1+'分析-属性加成'!$Y$6)*(1-分析模式!$C$28)*(1+$N$25)*('分析-属性加成'!$U$6*'分析-属性加成'!$W$6+(1-'分析-属性加成'!$U$6-'分析-属性加成'!$P$7-'分析-属性加成'!$AB$7)+'分析-属性加成'!$P$7*0.25)</f>
        <v>10570.690257557104</v>
      </c>
      <c r="AG20" s="128"/>
      <c r="AH20" s="128"/>
      <c r="AI20" s="128">
        <f>(1+H20)*(C20+'分析-属性加成'!$F$7*E20)*(1+'分析-属性加成'!$K$6)*(1+I20)*(1-M20)*(1+N20)*(('分析-属性加成'!$G$6+J20)*('分析-属性加成'!$I$6+K20)+(1-'分析-属性加成'!$G$6-J20-'分析-属性加成'!$P$7-'分析-属性加成'!$N$10)+'分析-属性加成'!$P$7*0.25)+(1+H20)*'分析-属性加成'!$Q$6*F20*(1+'分析-属性加成'!$Y$6)*(1-分析模式!$C$28)*(1+$N$25)*('分析-属性加成'!$U$6*'分析-属性加成'!$W$6+(1-'分析-属性加成'!$U$6-'分析-属性加成'!$P$7-'分析-属性加成'!$AB$7)+'分析-属性加成'!$P$7*0.25)</f>
        <v>10570.1466222215</v>
      </c>
      <c r="AJ20" s="128"/>
      <c r="AK20" s="128"/>
      <c r="AL20" s="128">
        <f>(1+H20)*(C20+'分析-属性加成'!$F$7*E20)*(1+'分析-属性加成'!$K$6)*(1+I20)*(1-M20)*(1+N20)*(('分析-属性加成'!$G$6+J20)*('分析-属性加成'!$I$6+K20)+(1-'分析-属性加成'!$G$6-J20-'分析-属性加成'!$P$10-'分析-属性加成'!$N$7)+'分析-属性加成'!$P$10*0.25)+(1+H20)*'分析-属性加成'!$Q$6*F20*(1+'分析-属性加成'!$Y$6)*(1-分析模式!$C$28)*(1+$N$25)*('分析-属性加成'!$U$6*'分析-属性加成'!$W$6+(1-'分析-属性加成'!$U$6-'分析-属性加成'!$P$10-'分析-属性加成'!$AB$7)+'分析-属性加成'!$P$10*0.25)</f>
        <v>10570.773381623461</v>
      </c>
    </row>
    <row r="21" spans="1:38" x14ac:dyDescent="0.2">
      <c r="A21" s="41" t="s">
        <v>114</v>
      </c>
      <c r="B21" s="68">
        <v>286</v>
      </c>
      <c r="C21" s="68">
        <f t="shared" si="3"/>
        <v>286</v>
      </c>
      <c r="D21" s="68">
        <v>286</v>
      </c>
      <c r="E21" s="41">
        <v>0.20710000000000001</v>
      </c>
      <c r="F21" s="41">
        <v>0</v>
      </c>
      <c r="G21" s="130" t="s">
        <v>144</v>
      </c>
      <c r="H21" s="129">
        <v>0</v>
      </c>
      <c r="I21" s="131">
        <f>分析模式!$R$10</f>
        <v>8.8549062443109422E-3</v>
      </c>
      <c r="J21" s="129">
        <v>0</v>
      </c>
      <c r="K21" s="129">
        <v>0</v>
      </c>
      <c r="L21" s="129">
        <f>分析模式!E20*(1-IF(分析模式!J19="有",0.15,0))*(1-IF(分析模式!K19="有",0.3,0))</f>
        <v>2950.6049999999996</v>
      </c>
      <c r="M21" s="132">
        <f>L21/(L21+(185*分析模式!$E$22-16800)*4.08224)</f>
        <v>0.24272716014590323</v>
      </c>
      <c r="N21" s="132">
        <f>IF(分析模式!$O$19="有",0.03,0)+IF(OR(G21="阳",G21="阴"),0.05,0)+IF(AND(G21="阳",分析模式!$N$19="有"),0.12,0)</f>
        <v>0.08</v>
      </c>
      <c r="O21" s="128">
        <f>(1+H21)*(C21+'分析-属性加成'!$F$7*E21)*(1+'分析-属性加成'!$K$6)*(1+I21)*(1-M21)*(1+N21)*(('分析-属性加成'!$G$6+J21)*('分析-属性加成'!$I$6+K21)+(1-'分析-属性加成'!$G$6-J21-'分析-属性加成'!$P$7-'分析-属性加成'!$N$7)+'分析-属性加成'!$P$7*0.25)</f>
        <v>9513.1319599993512</v>
      </c>
      <c r="P21" s="128">
        <f>(1+H21)*'分析-属性加成'!$Q$6*F21*(1+'分析-属性加成'!$Y$6)*(1-分析模式!$C$28)*(1+$N$25)*('分析-属性加成'!$U$6*'分析-属性加成'!$W$6+(1-'分析-属性加成'!$U$6-'分析-属性加成'!$P$7-'分析-属性加成'!$AB$7)+'分析-属性加成'!$P$7*0.25)</f>
        <v>0</v>
      </c>
      <c r="Q21" s="133">
        <f>IF(分析模式!$J$7="洞若观火",O21+P21,0)</f>
        <v>9513.1319599993512</v>
      </c>
      <c r="R21" s="41" t="s">
        <v>115</v>
      </c>
      <c r="T21" s="128">
        <f>(1+H21)*(C21+'分析-属性加成'!$F$9*E21)*(1+'分析-属性加成'!$K$9)*(1+I21)*(1-M21)*(1+N21)*(('分析-属性加成'!$G$9+J21)*('分析-属性加成'!$I$9+K21)+(1-'分析-属性加成'!$G$9-J21-'分析-属性加成'!$P$7-'分析-属性加成'!$N$7)+'分析-属性加成'!$P$7*0.25)+(1+H21)*'分析-属性加成'!$Q$6*F21*(1+'分析-属性加成'!$Y$6)*(1-分析模式!$C$28)*(1+$N$25)*('分析-属性加成'!$U$6*'分析-属性加成'!$W$6+(1-'分析-属性加成'!$U$6-'分析-属性加成'!$P$7-'分析-属性加成'!$AB$7)+'分析-属性加成'!$P$7*0.25)</f>
        <v>9514.2809359481325</v>
      </c>
      <c r="U21" s="128"/>
      <c r="V21" s="128"/>
      <c r="W21" s="128">
        <f>(1+H21)*(C21+'分析-属性加成'!$F$10*E21)*(1+'分析-属性加成'!$K$6)*(1+I21)*(1-M21)*(1+N21)*(('分析-属性加成'!$G$6+J21)*('分析-属性加成'!$I$6+K21)+(1-'分析-属性加成'!$G$6-J21-'分析-属性加成'!$P$7-'分析-属性加成'!$N$7)+'分析-属性加成'!$P$7*0.25)+(1+H21)*'分析-属性加成'!$Q$6*F21*(1+'分析-属性加成'!$Y$6)*(1-分析模式!$C$28)*(1+$N$25)*('分析-属性加成'!$U$6*'分析-属性加成'!$W$6+(1-'分析-属性加成'!$U$6-'分析-属性加成'!$P$7-'分析-属性加成'!$AB$7)+'分析-属性加成'!$P$7*0.25)</f>
        <v>9513.9467728955733</v>
      </c>
      <c r="X21" s="128"/>
      <c r="Y21" s="128"/>
      <c r="Z21" s="128">
        <f>(1+H21)*(C21+'分析-属性加成'!$F$7*E21)*(1+'分析-属性加成'!$K$6)*(1+I21)*(1-M21)*(1+N21)*(('分析-属性加成'!$G$10+J21)*('分析-属性加成'!$I$6+K21)+(1-'分析-属性加成'!$G$10-J21-'分析-属性加成'!$P$7-'分析-属性加成'!$N$7)+'分析-属性加成'!$P$7*0.25)+(1+H21)*'分析-属性加成'!$Q$6*F21*(1+'分析-属性加成'!$Y$6)*(1-分析模式!$C$28)*(1+$N$25)*('分析-属性加成'!$U$6*'分析-属性加成'!$W$6+(1-'分析-属性加成'!$U$6-'分析-属性加成'!$P$7-'分析-属性加成'!$AB$7)+'分析-属性加成'!$P$7*0.25)</f>
        <v>9513.6286911072439</v>
      </c>
      <c r="AA21" s="128"/>
      <c r="AB21" s="128"/>
      <c r="AC21" s="128">
        <f>(1+H21)*(C21+'分析-属性加成'!$F$7*E21)*(1+'分析-属性加成'!$K$6)*(1+I21)*(1-M21)*(1+N21)*(('分析-属性加成'!$G$6+J21)*('分析-属性加成'!$I$10+K21)+(1-'分析-属性加成'!$G$6-J21-'分析-属性加成'!$P$7-'分析-属性加成'!$N$7)+'分析-属性加成'!$P$7*0.25)+(1+H21)*'分析-属性加成'!$Q$6*F21*(1+'分析-属性加成'!$Y$6)*(1-分析模式!$C$28)*(1+$N$25)*('分析-属性加成'!$U$6*'分析-属性加成'!$W$6+(1-'分析-属性加成'!$U$6-'分析-属性加成'!$P$7-'分析-属性加成'!$AB$7)+'分析-属性加成'!$P$7*0.25)</f>
        <v>9513.6469989159468</v>
      </c>
      <c r="AD21" s="128"/>
      <c r="AE21" s="128"/>
      <c r="AF21" s="128">
        <f>(1+H21)*(C21+'分析-属性加成'!$F$7*E21)*(1+'分析-属性加成'!$K$10)*(1+I21)*(1-M21)*(1+N21)*(('分析-属性加成'!$G$6+J21)*('分析-属性加成'!$I$6+K21)+(1-'分析-属性加成'!$G$6-J21-'分析-属性加成'!$P$7-'分析-属性加成'!$N$7)+'分析-属性加成'!$P$7*0.25)+(1+H21)*'分析-属性加成'!$Q$6*F21*(1+'分析-属性加成'!$Y$6)*(1-分析模式!$C$28)*(1+$N$25)*('分析-属性加成'!$U$6*'分析-属性加成'!$W$6+(1-'分析-属性加成'!$U$6-'分析-属性加成'!$P$7-'分析-属性加成'!$AB$7)+'分析-属性加成'!$P$7*0.25)</f>
        <v>9513.6212318013932</v>
      </c>
      <c r="AG21" s="128"/>
      <c r="AH21" s="128"/>
      <c r="AI21" s="128">
        <f>(1+H21)*(C21+'分析-属性加成'!$F$7*E21)*(1+'分析-属性加成'!$K$6)*(1+I21)*(1-M21)*(1+N21)*(('分析-属性加成'!$G$6+J21)*('分析-属性加成'!$I$6+K21)+(1-'分析-属性加成'!$G$6-J21-'分析-属性加成'!$P$7-'分析-属性加成'!$N$10)+'分析-属性加成'!$P$7*0.25)+(1+H21)*'分析-属性加成'!$Q$6*F21*(1+'分析-属性加成'!$Y$6)*(1-分析模式!$C$28)*(1+$N$25)*('分析-属性加成'!$U$6*'分析-属性加成'!$W$6+(1-'分析-属性加成'!$U$6-'分析-属性加成'!$P$7-'分析-属性加成'!$AB$7)+'分析-属性加成'!$P$7*0.25)</f>
        <v>9513.1319599993512</v>
      </c>
      <c r="AJ21" s="128"/>
      <c r="AK21" s="128"/>
      <c r="AL21" s="128">
        <f>(1+H21)*(C21+'分析-属性加成'!$F$7*E21)*(1+'分析-属性加成'!$K$6)*(1+I21)*(1-M21)*(1+N21)*(('分析-属性加成'!$G$6+J21)*('分析-属性加成'!$I$6+K21)+(1-'分析-属性加成'!$G$6-J21-'分析-属性加成'!$P$10-'分析-属性加成'!$N$7)+'分析-属性加成'!$P$10*0.25)+(1+H21)*'分析-属性加成'!$Q$6*F21*(1+'分析-属性加成'!$Y$6)*(1-分析模式!$C$28)*(1+$N$25)*('分析-属性加成'!$U$6*'分析-属性加成'!$W$6+(1-'分析-属性加成'!$U$6-'分析-属性加成'!$P$10-'分析-属性加成'!$AB$7)+'分析-属性加成'!$P$10*0.25)</f>
        <v>9513.6960434611156</v>
      </c>
    </row>
    <row r="22" spans="1:38" x14ac:dyDescent="0.2">
      <c r="A22" s="41" t="s">
        <v>519</v>
      </c>
      <c r="B22" s="68">
        <v>18</v>
      </c>
      <c r="C22" s="68">
        <f t="shared" si="3"/>
        <v>18</v>
      </c>
      <c r="D22" s="68">
        <v>18</v>
      </c>
      <c r="E22" s="41">
        <v>0.72199999999999998</v>
      </c>
      <c r="F22" s="41">
        <v>0</v>
      </c>
      <c r="G22" s="130" t="s">
        <v>521</v>
      </c>
      <c r="H22" s="129">
        <v>0</v>
      </c>
      <c r="I22" s="131">
        <f>分析模式!$R$10</f>
        <v>8.8549062443109422E-3</v>
      </c>
      <c r="J22" s="129">
        <v>0</v>
      </c>
      <c r="K22" s="129">
        <v>0</v>
      </c>
      <c r="L22" s="129">
        <f>分析模式!E20*(1-IF(分析模式!J19="有",0.15,0))*(1-IF(分析模式!K19="有",0.3,0))</f>
        <v>2950.6049999999996</v>
      </c>
      <c r="M22" s="132">
        <f>L22/(L22+(185*分析模式!$E$22-16800)*4.08224)</f>
        <v>0.24272716014590323</v>
      </c>
      <c r="N22" s="132">
        <f>IF(分析模式!$O$19="有",0.03,0)+IF(OR(G22="阳",G22="阴"),0.05,0)+IF(AND(G22="阳",分析模式!$N$19="有"),0.12,0)</f>
        <v>0.08</v>
      </c>
      <c r="O22" s="128">
        <f>(1+H22)*(C22+'分析-属性加成'!$F$7*E22)*(1+'分析-属性加成'!$K$6)*(1+I22)*(1-M22)*(1+N22)*(('分析-属性加成'!$G$6+J22)*('分析-属性加成'!$I$6+K22)+(1-'分析-属性加成'!$G$6-J22-'分析-属性加成'!$P$7-'分析-属性加成'!$N$7)+'分析-属性加成'!$P$7*0.25)</f>
        <v>31160.005737496311</v>
      </c>
      <c r="P22" s="128">
        <f>(1+H22)*'分析-属性加成'!$Q$6*F22*(1+'分析-属性加成'!$Y$6)*(1-分析模式!$C$28)*(1+$N$25)*('分析-属性加成'!$U$6*'分析-属性加成'!$W$6+(1-'分析-属性加成'!$U$6-'分析-属性加成'!$P$7-'分析-属性加成'!$AB$7)+'分析-属性加成'!$P$7*0.25)</f>
        <v>0</v>
      </c>
      <c r="Q22" s="133">
        <f>IF(分析模式!P10="有",O22+P22,0)</f>
        <v>31160.005737496311</v>
      </c>
      <c r="R22" s="134">
        <f>'分析-循环与收益'!C20/((11/7+17/16)*0.1)</f>
        <v>3.4454237288135592</v>
      </c>
      <c r="T22" s="128">
        <f>(1+H22)*(C22+'分析-属性加成'!$F$9*E22)*(1+'分析-属性加成'!$K$9)*(1+I22)*(1-M22)*(1+N22)*(('分析-属性加成'!$G$9+J22)*('分析-属性加成'!$I$9+K22)+(1-'分析-属性加成'!$G$9-J22-'分析-属性加成'!$P$7-'分析-属性加成'!$N$7)+'分析-属性加成'!$P$7*0.25)+(1+H22)*'分析-属性加成'!$Q$6*F22*(1+'分析-属性加成'!$Y$6)*(1-分析模式!$C$28)*(1+$N$25)*('分析-属性加成'!$U$6*'分析-属性加成'!$W$6+(1-'分析-属性加成'!$U$6-'分析-属性加成'!$P$7-'分析-属性加成'!$AB$7)+'分析-属性加成'!$P$7*0.25)</f>
        <v>31163.969935667137</v>
      </c>
      <c r="U22" s="128"/>
      <c r="V22" s="128"/>
      <c r="W22" s="128">
        <f>(1+H22)*(C22+'分析-属性加成'!$F$10*E22)*(1+'分析-属性加成'!$K$6)*(1+I22)*(1-M22)*(1+N22)*(('分析-属性加成'!$G$6+J22)*('分析-属性加成'!$I$6+K22)+(1-'分析-属性加成'!$G$6-J22-'分析-属性加成'!$P$7-'分析-属性加成'!$N$7)+'分析-属性加成'!$P$7*0.25)+(1+H22)*'分析-属性加成'!$Q$6*F22*(1+'分析-属性加成'!$Y$6)*(1-分析模式!$C$28)*(1+$N$25)*('分析-属性加成'!$U$6*'分析-属性加成'!$W$6+(1-'分析-属性加成'!$U$6-'分析-属性加成'!$P$7-'分析-属性加成'!$AB$7)+'分析-属性加成'!$P$7*0.25)</f>
        <v>31162.846369611569</v>
      </c>
      <c r="X22" s="128"/>
      <c r="Y22" s="128"/>
      <c r="Z22" s="128">
        <f>(1+H22)*(C22+'分析-属性加成'!$F$7*E22)*(1+'分析-属性加成'!$K$6)*(1+I22)*(1-M22)*(1+N22)*(('分析-属性加成'!$G$10+J22)*('分析-属性加成'!$I$6+K22)+(1-'分析-属性加成'!$G$10-J22-'分析-属性加成'!$P$7-'分析-属性加成'!$N$7)+'分析-属性加成'!$P$7*0.25)+(1+H22)*'分析-属性加成'!$Q$6*F22*(1+'分析-属性加成'!$Y$6)*(1-分析模式!$C$28)*(1+$N$25)*('分析-属性加成'!$U$6*'分析-属性加成'!$W$6+(1-'分析-属性加成'!$U$6-'分析-属性加成'!$P$7-'分析-属性加成'!$AB$7)+'分析-属性加成'!$P$7*0.25)</f>
        <v>31161.632766768791</v>
      </c>
      <c r="AA22" s="128"/>
      <c r="AB22" s="128"/>
      <c r="AC22" s="128">
        <f>(1+H22)*(C22+'分析-属性加成'!$F$7*E22)*(1+'分析-属性加成'!$K$6)*(1+I22)*(1-M22)*(1+N22)*(('分析-属性加成'!$G$6+J22)*('分析-属性加成'!$I$10+K22)+(1-'分析-属性加成'!$G$6-J22-'分析-属性加成'!$P$7-'分析-属性加成'!$N$7)+'分析-属性加成'!$P$7*0.25)+(1+H22)*'分析-属性加成'!$Q$6*F22*(1+'分析-属性加成'!$Y$6)*(1-分析模式!$C$28)*(1+$N$25)*('分析-属性加成'!$U$6*'分析-属性加成'!$W$6+(1-'分析-属性加成'!$U$6-'分析-属性加成'!$P$7-'分析-属性加成'!$AB$7)+'分析-属性加成'!$P$7*0.25)</f>
        <v>31161.692733499694</v>
      </c>
      <c r="AD22" s="128"/>
      <c r="AE22" s="128"/>
      <c r="AF22" s="128">
        <f>(1+H22)*(C22+'分析-属性加成'!$F$7*E22)*(1+'分析-属性加成'!$K$10)*(1+I22)*(1-M22)*(1+N22)*(('分析-属性加成'!$G$6+J22)*('分析-属性加成'!$I$6+K22)+(1-'分析-属性加成'!$G$6-J22-'分析-属性加成'!$P$7-'分析-属性加成'!$N$7)+'分析-属性加成'!$P$7*0.25)+(1+H22)*'分析-属性加成'!$Q$6*F22*(1+'分析-属性加成'!$Y$6)*(1-分析模式!$C$28)*(1+$N$25)*('分析-属性加成'!$U$6*'分析-属性加成'!$W$6+(1-'分析-属性加成'!$U$6-'分析-属性加成'!$P$7-'分析-属性加成'!$AB$7)+'分析-属性加成'!$P$7*0.25)</f>
        <v>31161.608334014771</v>
      </c>
      <c r="AG22" s="128"/>
      <c r="AH22" s="128"/>
      <c r="AI22" s="128">
        <f>(1+H22)*(C22+'分析-属性加成'!$F$7*E22)*(1+'分析-属性加成'!$K$6)*(1+I22)*(1-M22)*(1+N22)*(('分析-属性加成'!$G$6+J22)*('分析-属性加成'!$I$6+K22)+(1-'分析-属性加成'!$G$6-J22-'分析-属性加成'!$P$7-'分析-属性加成'!$N$10)+'分析-属性加成'!$P$7*0.25)+(1+H22)*'分析-属性加成'!$Q$6*F22*(1+'分析-属性加成'!$Y$6)*(1-分析模式!$C$28)*(1+$N$25)*('分析-属性加成'!$U$6*'分析-属性加成'!$W$6+(1-'分析-属性加成'!$U$6-'分析-属性加成'!$P$7-'分析-属性加成'!$AB$7)+'分析-属性加成'!$P$7*0.25)</f>
        <v>31160.005737496311</v>
      </c>
      <c r="AJ22" s="128"/>
      <c r="AK22" s="128"/>
      <c r="AL22" s="128">
        <f>(1+H22)*(C22+'分析-属性加成'!$F$7*E22)*(1+'分析-属性加成'!$K$6)*(1+I22)*(1-M22)*(1+N22)*(('分析-属性加成'!$G$6+J22)*('分析-属性加成'!$I$6+K22)+(1-'分析-属性加成'!$G$6-J22-'分析-属性加成'!$P$10-'分析-属性加成'!$N$7)+'分析-属性加成'!$P$10*0.25)+(1+H22)*'分析-属性加成'!$Q$6*F22*(1+'分析-属性加成'!$Y$6)*(1-分析模式!$C$28)*(1+$N$25)*('分析-属性加成'!$U$6*'分析-属性加成'!$W$6+(1-'分析-属性加成'!$U$6-'分析-属性加成'!$P$10-'分析-属性加成'!$AB$7)+'分析-属性加成'!$P$10*0.25)</f>
        <v>31161.853377577296</v>
      </c>
    </row>
    <row r="23" spans="1:38" x14ac:dyDescent="0.2">
      <c r="A23" s="41" t="s">
        <v>520</v>
      </c>
      <c r="B23" s="68">
        <v>0</v>
      </c>
      <c r="C23" s="68">
        <f t="shared" si="3"/>
        <v>0</v>
      </c>
      <c r="D23" s="68">
        <v>0</v>
      </c>
      <c r="E23" s="41">
        <v>0.28699999999999998</v>
      </c>
      <c r="F23" s="41">
        <v>0</v>
      </c>
      <c r="G23" s="130" t="s">
        <v>521</v>
      </c>
      <c r="H23" s="129">
        <v>0</v>
      </c>
      <c r="I23" s="131">
        <f>分析模式!$R$10</f>
        <v>8.8549062443109422E-3</v>
      </c>
      <c r="J23" s="129">
        <v>0</v>
      </c>
      <c r="K23" s="129">
        <v>0</v>
      </c>
      <c r="L23" s="129">
        <f>分析模式!E20*(1-IF(分析模式!J19="有",0.15,0))*(1-IF(分析模式!K19="有",0.3,0))</f>
        <v>2950.6049999999996</v>
      </c>
      <c r="M23" s="132">
        <f>L23/(L23+(185*分析模式!$E$22-16800)*4.08224)</f>
        <v>0.24272716014590323</v>
      </c>
      <c r="N23" s="132">
        <f>IF(分析模式!$O$19="有",0.03,0)+IF(OR(G23="阳",G23="阴"),0.05,0)+IF(AND(G23="阳",分析模式!$N$19="有"),0.12,0)</f>
        <v>0.08</v>
      </c>
      <c r="O23" s="128">
        <f>(1+H23)*(C23+'分析-属性加成'!$F$7*E23)*(1+'分析-属性加成'!$K$6)*(1+I23)*(1-M23)*(1+N23)*(('分析-属性加成'!$G$6+J23)*('分析-属性加成'!$I$6+K23)+(1-'分析-属性加成'!$G$6-J23-'分析-属性加成'!$P$7-'分析-属性加成'!$N$7)+'分析-属性加成'!$P$7*0.25)</f>
        <v>12371.664974585332</v>
      </c>
      <c r="P23" s="128">
        <f>(1+H23)*'分析-属性加成'!$Q$6*F23*(1+'分析-属性加成'!$Y$6)*(1-分析模式!$C$28)*(1+$N$25)*('分析-属性加成'!$U$6*'分析-属性加成'!$W$6+(1-'分析-属性加成'!$U$6-'分析-属性加成'!$P$7-'分析-属性加成'!$AB$7)+'分析-属性加成'!$P$7*0.25)</f>
        <v>0</v>
      </c>
      <c r="Q23" s="133">
        <f>IF(分析模式!Q10="有",O23+P23,0)</f>
        <v>12371.664974585332</v>
      </c>
      <c r="R23" s="134">
        <f>'分析-循环与收益'!C20/(11/7)</f>
        <v>0.57750000000000001</v>
      </c>
      <c r="T23" s="128">
        <f>(1+H23)*(C23+'分析-属性加成'!$F$9*E23)*(1+'分析-属性加成'!$K$9)*(1+I23)*(1-M23)*(1+N23)*(('分析-属性加成'!$G$9+J23)*('分析-属性加成'!$I$9+K23)+(1-'分析-属性加成'!$G$9-J23-'分析-属性加成'!$P$7-'分析-属性加成'!$N$7)+'分析-属性加成'!$P$7*0.25)+(1+H23)*'分析-属性加成'!$Q$6*F23*(1+'分析-属性加成'!$Y$6)*(1-分析模式!$C$28)*(1+$N$25)*('分析-属性加成'!$U$6*'分析-属性加成'!$W$6+(1-'分析-属性加成'!$U$6-'分析-属性加成'!$P$7-'分析-属性加成'!$AB$7)+'分析-属性加成'!$P$7*0.25)</f>
        <v>12373.240468210473</v>
      </c>
      <c r="U23" s="128"/>
      <c r="V23" s="128"/>
      <c r="W23" s="128">
        <f>(1+H23)*(C23+'分析-属性加成'!$F$10*E23)*(1+'分析-属性加成'!$K$6)*(1+I23)*(1-M23)*(1+N23)*(('分析-属性加成'!$G$6+J23)*('分析-属性加成'!$I$6+K23)+(1-'分析-属性加成'!$G$6-J23-'分析-属性加成'!$P$7-'分析-属性加成'!$N$7)+'分析-属性加成'!$P$7*0.25)+(1+H23)*'分析-属性加成'!$Q$6*F23*(1+'分析-属性加成'!$Y$6)*(1-分析模式!$C$28)*(1+$N$25)*('分析-属性加成'!$U$6*'分析-属性加成'!$W$6+(1-'分析-属性加成'!$U$6-'分析-属性加成'!$P$7-'分析-属性加成'!$AB$7)+'分析-属性加成'!$P$7*0.25)</f>
        <v>12372.794145523118</v>
      </c>
      <c r="X23" s="128"/>
      <c r="Y23" s="128"/>
      <c r="Z23" s="128">
        <f>(1+H23)*(C23+'分析-属性加成'!$F$7*E23)*(1+'分析-属性加成'!$K$6)*(1+I23)*(1-M23)*(1+N23)*(('分析-属性加成'!$G$10+J23)*('分析-属性加成'!$I$6+K23)+(1-'分析-属性加成'!$G$10-J23-'分析-属性加成'!$P$7-'分析-属性加成'!$N$7)+'分析-属性加成'!$P$7*0.25)+(1+H23)*'分析-属性加成'!$Q$6*F23*(1+'分析-属性加成'!$Y$6)*(1-分析模式!$C$28)*(1+$N$25)*('分析-属性加成'!$U$6*'分析-属性加成'!$W$6+(1-'分析-属性加成'!$U$6-'分析-属性加成'!$P$7-'分析-属性加成'!$AB$7)+'分析-属性加成'!$P$7*0.25)</f>
        <v>12372.310964872771</v>
      </c>
      <c r="AA23" s="128"/>
      <c r="AB23" s="128"/>
      <c r="AC23" s="128">
        <f>(1+H23)*(C23+'分析-属性加成'!$F$7*E23)*(1+'分析-属性加成'!$K$6)*(1+I23)*(1-M23)*(1+N23)*(('分析-属性加成'!$G$6+J23)*('分析-属性加成'!$I$10+K23)+(1-'分析-属性加成'!$G$6-J23-'分析-属性加成'!$P$7-'分析-属性加成'!$N$7)+'分析-属性加成'!$P$7*0.25)+(1+H23)*'分析-属性加成'!$Q$6*F23*(1+'分析-属性加成'!$Y$6)*(1-分析模式!$C$28)*(1+$N$25)*('分析-属性加成'!$U$6*'分析-属性加成'!$W$6+(1-'分析-属性加成'!$U$6-'分析-属性加成'!$P$7-'分析-属性加成'!$AB$7)+'分析-属性加成'!$P$7*0.25)</f>
        <v>12372.334773864033</v>
      </c>
      <c r="AD23" s="128"/>
      <c r="AE23" s="128"/>
      <c r="AF23" s="128">
        <f>(1+H23)*(C23+'分析-属性加成'!$F$7*E23)*(1+'分析-属性加成'!$K$10)*(1+I23)*(1-M23)*(1+N23)*(('分析-属性加成'!$G$6+J23)*('分析-属性加成'!$I$6+K23)+(1-'分析-属性加成'!$G$6-J23-'分析-属性加成'!$P$7-'分析-属性加成'!$N$7)+'分析-属性加成'!$P$7*0.25)+(1+H23)*'分析-属性加成'!$Q$6*F23*(1+'分析-属性加成'!$Y$6)*(1-分析模式!$C$28)*(1+$N$25)*('分析-属性加成'!$U$6*'分析-属性加成'!$W$6+(1-'分析-属性加成'!$U$6-'分析-属性加成'!$P$7-'分析-属性加成'!$AB$7)+'分析-属性加成'!$P$7*0.25)</f>
        <v>12372.301264173429</v>
      </c>
      <c r="AG23" s="128"/>
      <c r="AH23" s="128"/>
      <c r="AI23" s="128">
        <f>(1+H23)*(C23+'分析-属性加成'!$F$7*E23)*(1+'分析-属性加成'!$K$6)*(1+I23)*(1-M23)*(1+N23)*(('分析-属性加成'!$G$6+J23)*('分析-属性加成'!$I$6+K23)+(1-'分析-属性加成'!$G$6-J23-'分析-属性加成'!$P$7-'分析-属性加成'!$N$10)+'分析-属性加成'!$P$7*0.25)+(1+H23)*'分析-属性加成'!$Q$6*F23*(1+'分析-属性加成'!$Y$6)*(1-分析模式!$C$28)*(1+$N$25)*('分析-属性加成'!$U$6*'分析-属性加成'!$W$6+(1-'分析-属性加成'!$U$6-'分析-属性加成'!$P$7-'分析-属性加成'!$AB$7)+'分析-属性加成'!$P$7*0.25)</f>
        <v>12371.664974585332</v>
      </c>
      <c r="AJ23" s="128"/>
      <c r="AK23" s="128"/>
      <c r="AL23" s="128">
        <f>(1+H23)*(C23+'分析-属性加成'!$F$7*E23)*(1+'分析-属性加成'!$K$6)*(1+I23)*(1-M23)*(1+N23)*(('分析-属性加成'!$G$6+J23)*('分析-属性加成'!$I$6+K23)+(1-'分析-属性加成'!$G$6-J23-'分析-属性加成'!$P$10-'分析-属性加成'!$N$7)+'分析-属性加成'!$P$10*0.25)+(1+H23)*'分析-属性加成'!$Q$6*F23*(1+'分析-属性加成'!$Y$6)*(1-分析模式!$C$28)*(1+$N$25)*('分析-属性加成'!$U$6*'分析-属性加成'!$W$6+(1-'分析-属性加成'!$U$6-'分析-属性加成'!$P$10-'分析-属性加成'!$AB$7)+'分析-属性加成'!$P$10*0.25)</f>
        <v>12372.398555453967</v>
      </c>
    </row>
    <row r="24" spans="1:38" x14ac:dyDescent="0.2">
      <c r="A24" s="41" t="s">
        <v>117</v>
      </c>
      <c r="B24" s="68">
        <v>107</v>
      </c>
      <c r="C24" s="68">
        <f>AVERAGE(B24,D24)</f>
        <v>138</v>
      </c>
      <c r="D24" s="68">
        <v>169</v>
      </c>
      <c r="E24" s="129">
        <v>1.0415000000000001</v>
      </c>
      <c r="F24" s="41">
        <v>0</v>
      </c>
      <c r="G24" s="130" t="s">
        <v>143</v>
      </c>
      <c r="H24" s="129">
        <v>0</v>
      </c>
      <c r="I24" s="131">
        <f>+分析模式!$R$10</f>
        <v>8.8549062443109422E-3</v>
      </c>
      <c r="J24" s="129">
        <v>0</v>
      </c>
      <c r="K24" s="129">
        <v>0</v>
      </c>
      <c r="L24" s="129">
        <f>分析模式!E20*(1-IF(分析模式!J19="有",0.15,0))*(1-IF(分析模式!K19="有",0.3,0))</f>
        <v>2950.6049999999996</v>
      </c>
      <c r="M24" s="132">
        <f>L24/(L24+(185*分析模式!$E$22-16800)*4.08224)</f>
        <v>0.24272716014590323</v>
      </c>
      <c r="N24" s="132">
        <f>IF(分析模式!$O$19="有",0.03,0)+IF(OR(G24="阳",G24="阴"),0.05,0)+IF(AND(G24="阳",分析模式!$N$19="有"),0.12,0)</f>
        <v>0.2</v>
      </c>
      <c r="O24" s="128">
        <f>(1+H24)*(C24+'分析-属性加成'!$F$7*E24)*(1+'分析-属性加成'!$K$6)*(1+I24)*(1-M24)*(1+N24)*(('分析-属性加成'!$G$6+J24)*('分析-属性加成'!$I$6+K24)+(1-'分析-属性加成'!$G$6-J24-'分析-属性加成'!$P$7-'分析-属性加成'!$N$7)+'分析-属性加成'!$P$7*0.25)</f>
        <v>50198.21463200538</v>
      </c>
      <c r="P24" s="128">
        <f>(1+H24)*'分析-属性加成'!$Q$6*F24*(1+'分析-属性加成'!$Y$6)*(1-分析模式!$C$28)*(1+$N$25)*('分析-属性加成'!$U$6*'分析-属性加成'!$W$6+(1-'分析-属性加成'!$U$6-'分析-属性加成'!$P$7-'分析-属性加成'!$AB$7)+'分析-属性加成'!$P$7*0.25)</f>
        <v>0</v>
      </c>
      <c r="Q24" s="133">
        <f>IF(分析模式!$R$7="伏明众生",O24+P24,0)</f>
        <v>0</v>
      </c>
      <c r="R24" s="41" t="s">
        <v>237</v>
      </c>
      <c r="T24" s="128">
        <f>IF(分析模式!$R$7="伏明众生",(1+H24)*(C24+'分析-属性加成'!$F$9*E24)*(1+'分析-属性加成'!$K$9)*(1+I24)*(1-M24)*(1+N24)*(('分析-属性加成'!$G$9+J24)*('分析-属性加成'!$I$9+K24)+(1-'分析-属性加成'!$G$9-J24-'分析-属性加成'!$P$7-'分析-属性加成'!$N$7)+'分析-属性加成'!$P$7*0.25)+(1+H24)*'分析-属性加成'!$Q$6*F24*(1+'分析-属性加成'!$Y$6)*(1-分析模式!$C$28)*(1+$N$25)*('分析-属性加成'!$U$6*'分析-属性加成'!$W$6+(1-'分析-属性加成'!$U$6-'分析-属性加成'!$P$7-'分析-属性加成'!$AB$7)+'分析-属性加成'!$P$7*0.25),0)</f>
        <v>0</v>
      </c>
      <c r="U24" s="128"/>
      <c r="V24" s="128"/>
      <c r="W24" s="128">
        <f>IF(分析模式!$R$7="伏明众生",(1+H24)*(C24+'分析-属性加成'!$F$10*E24)*(1+'分析-属性加成'!$K$6)*(1+I24)*(1-M24)*(1+N24)*(('分析-属性加成'!$G$6+J24)*('分析-属性加成'!$I$6+K24)+(1-'分析-属性加成'!$G$6-J24-'分析-属性加成'!$P$7-'分析-属性加成'!$N$7)+'分析-属性加成'!$P$7*0.25)+(1+H24)*'分析-属性加成'!$Q$6*F24*(1+'分析-属性加成'!$Y$6)*(1-分析模式!$C$28)*(1+$N$25)*('分析-属性加成'!$U$6*'分析-属性加成'!$W$6+(1-'分析-属性加成'!$U$6-'分析-属性加成'!$P$7-'分析-属性加成'!$AB$7)+'分析-属性加成'!$P$7*0.25),0)</f>
        <v>0</v>
      </c>
      <c r="X24" s="128"/>
      <c r="Y24" s="128"/>
      <c r="Z24" s="128">
        <f>IF(分析模式!$R$7="伏明众生",(1+H24)*(C24+'分析-属性加成'!$F$7*E24)*(1+'分析-属性加成'!$K$6)*(1+I24)*(1-M24)*(1+N24)*(('分析-属性加成'!$G$10+J24)*('分析-属性加成'!$I$6+K24)+(1-'分析-属性加成'!$G$10-J24-'分析-属性加成'!$P$7-'分析-属性加成'!$N$7)+'分析-属性加成'!$P$7*0.25)+(1+H24)*'分析-属性加成'!$Q$6*F24*(1+'分析-属性加成'!$Y$6)*(1-分析模式!$C$28)*(1+$N$25)*('分析-属性加成'!$U$6*'分析-属性加成'!$W$6+(1-'分析-属性加成'!$U$6-'分析-属性加成'!$P$7-'分析-属性加成'!$AB$7)+'分析-属性加成'!$P$7*0.25),0)</f>
        <v>0</v>
      </c>
      <c r="AA24" s="128"/>
      <c r="AB24" s="128"/>
      <c r="AC24" s="128">
        <f>IF(分析模式!$R$7="伏明众生",(1+H24)*(C24+'分析-属性加成'!$F$7*E24)*(1+'分析-属性加成'!$K$6)*(1+I24)*(1-M24)*(1+N24)*(('分析-属性加成'!$G$6+J24)*('分析-属性加成'!$I$10+K24)+(1-'分析-属性加成'!$G$6-J24-'分析-属性加成'!$P$7-'分析-属性加成'!$N$7)+'分析-属性加成'!$P$7*0.25)+(1+H24)*'分析-属性加成'!$Q$6*F24*(1+'分析-属性加成'!$Y$6)*(1-分析模式!$C$28)*(1+$N$25)*('分析-属性加成'!$U$6*'分析-属性加成'!$W$6+(1-'分析-属性加成'!$U$6-'分析-属性加成'!$P$7-'分析-属性加成'!$AB$7)+'分析-属性加成'!$P$7*0.25),0)</f>
        <v>0</v>
      </c>
      <c r="AD24" s="128"/>
      <c r="AE24" s="128"/>
      <c r="AF24" s="128">
        <f>IF(分析模式!$R$7="伏明众生",(1+H24)*(C24+'分析-属性加成'!$F$7*E24)*(1+'分析-属性加成'!$K$10)*(1+I24)*(1-M24)*(1+N24)*(('分析-属性加成'!$G$6+J24)*('分析-属性加成'!$I$6+K24)+(1-'分析-属性加成'!$G$6-J24-'分析-属性加成'!$P$7-'分析-属性加成'!$N$7)+'分析-属性加成'!$P$7*0.25)+(1+H24)*'分析-属性加成'!$Q$6*F24*(1+'分析-属性加成'!$Y$6)*(1-分析模式!$C$28)*(1+$N$25)*('分析-属性加成'!$U$6*'分析-属性加成'!$W$6+(1-'分析-属性加成'!$U$6-'分析-属性加成'!$P$7-'分析-属性加成'!$AB$7)+'分析-属性加成'!$P$7*0.25),0)</f>
        <v>0</v>
      </c>
      <c r="AG24" s="128"/>
      <c r="AH24" s="128"/>
      <c r="AI24" s="128">
        <f>IF(分析模式!$R$7="伏明众生",(1+H24)*(C24+'分析-属性加成'!$F$7*E24)*(1+'分析-属性加成'!$K$6)*(1+I24)*(1-M24)*(1+N24)*(('分析-属性加成'!$G$6+J24)*('分析-属性加成'!$I$6+K24)+(1-'分析-属性加成'!$G$6-J24-'分析-属性加成'!$P$7-'分析-属性加成'!$N$10)+'分析-属性加成'!$P$7*0.25)+(1+H24)*'分析-属性加成'!$Q$6*F24*(1+'分析-属性加成'!$Y$6)*(1-分析模式!$C$28)*(1+$N$25)*('分析-属性加成'!$U$6*'分析-属性加成'!$W$6+(1-'分析-属性加成'!$U$6-'分析-属性加成'!$P$7-'分析-属性加成'!$AB$7)+'分析-属性加成'!$P$7*0.25),0)</f>
        <v>0</v>
      </c>
      <c r="AJ24" s="128"/>
      <c r="AK24" s="128"/>
      <c r="AL24" s="128">
        <f>IF(分析模式!$R$7="伏明众生",(1+H24)*(C24+'分析-属性加成'!$F$7*E24)*(1+'分析-属性加成'!$K$6)*(1+I24)*(1-M24)*(1+N24)*(('分析-属性加成'!$G$6+J24)*('分析-属性加成'!$I$6+K24)+(1-'分析-属性加成'!$G$6-J24-'分析-属性加成'!$P$10-'分析-属性加成'!$N$7)+'分析-属性加成'!$P$10*0.25)+(1+H24)*'分析-属性加成'!$Q$6*F24*(1+'分析-属性加成'!$Y$6)*(1-分析模式!$C$28)*(1+$N$25)*('分析-属性加成'!$U$6*'分析-属性加成'!$W$6+(1-'分析-属性加成'!$U$6-'分析-属性加成'!$P$10-'分析-属性加成'!$AB$7)+'分析-属性加成'!$P$10*0.25),0)</f>
        <v>0</v>
      </c>
    </row>
    <row r="25" spans="1:38" x14ac:dyDescent="0.2">
      <c r="A25" s="41" t="s">
        <v>119</v>
      </c>
      <c r="B25" s="68">
        <v>0</v>
      </c>
      <c r="C25" s="68">
        <f>AVERAGE(B25,D25)</f>
        <v>0</v>
      </c>
      <c r="D25" s="68">
        <v>0</v>
      </c>
      <c r="E25" s="41">
        <v>0</v>
      </c>
      <c r="F25" s="41">
        <v>1.2</v>
      </c>
      <c r="G25" s="130" t="s">
        <v>146</v>
      </c>
      <c r="H25" s="129">
        <v>0</v>
      </c>
      <c r="I25" s="131">
        <v>0</v>
      </c>
      <c r="J25" s="129">
        <v>0</v>
      </c>
      <c r="K25" s="129">
        <v>0</v>
      </c>
      <c r="L25" s="129">
        <v>0</v>
      </c>
      <c r="M25" s="132">
        <f>L25/(L25+(185*分析模式!$E$22-16800)*4.08224)</f>
        <v>0</v>
      </c>
      <c r="N25" s="132">
        <f>IF(分析模式!$O$19="有",0.03,0)+IF(OR(G25="阳",G25="阴"),0.05,0)+IF(AND(G25="阳",分析模式!$N$19="有"),0.12,0)</f>
        <v>0.03</v>
      </c>
      <c r="O25" s="128">
        <v>0</v>
      </c>
      <c r="P25" s="128">
        <f>(1+H25)*'分析-属性加成'!$Q$6*F25*(1+'分析-属性加成'!$Y$6)*(1-分析模式!$C$28)*(1+$N$25)*('分析-属性加成'!$U$6*'分析-属性加成'!$W$6+(1-'分析-属性加成'!$U$6-'分析-属性加成'!$P$7-'分析-属性加成'!$AB$7)+'分析-属性加成'!$P$7*0.25)</f>
        <v>382.56353426488511</v>
      </c>
      <c r="Q25" s="133">
        <f>O25+P25</f>
        <v>382.56353426488511</v>
      </c>
      <c r="R25" s="41" t="s">
        <v>120</v>
      </c>
      <c r="T25" s="128">
        <f>(1+H25)*'分析-属性加成'!$Q$6*F25*(1+'分析-属性加成'!$Y$6)*(1-分析模式!$C$28)*(1+$N$25)*('分析-属性加成'!$U$6*'分析-属性加成'!$W$6+(1-'分析-属性加成'!$U$6-'分析-属性加成'!$P$7-'分析-属性加成'!$AB$7)+'分析-属性加成'!$P$7*0.25)</f>
        <v>382.56353426488511</v>
      </c>
      <c r="U25" s="128"/>
      <c r="V25" s="128"/>
      <c r="W25" s="128">
        <f>(1+H25)*'分析-属性加成'!$Q$6*F25*(1+'分析-属性加成'!$Y$6)*(1-分析模式!$C$28)*(1+$N$25)*('分析-属性加成'!$U$6*'分析-属性加成'!$W$6+(1-'分析-属性加成'!$U$6-'分析-属性加成'!$P$7-'分析-属性加成'!$AB$7)+'分析-属性加成'!$P$7*0.25)</f>
        <v>382.56353426488511</v>
      </c>
      <c r="X25" s="128"/>
      <c r="Y25" s="128"/>
      <c r="Z25" s="128">
        <f>(1+H25)*'分析-属性加成'!$Q$6*F25*(1+'分析-属性加成'!$Y$6)*(1-分析模式!$C$28)*(1+$N$25)*('分析-属性加成'!$U$6*'分析-属性加成'!$W$6+(1-'分析-属性加成'!$U$6-'分析-属性加成'!$P$7-'分析-属性加成'!$AB$7)+'分析-属性加成'!$P$7*0.25)</f>
        <v>382.56353426488511</v>
      </c>
      <c r="AA25" s="128"/>
      <c r="AB25" s="128"/>
      <c r="AC25" s="128">
        <f>(1+H25)*'分析-属性加成'!$Q$6*F25*(1+'分析-属性加成'!$Y$6)*(1-分析模式!$C$28)*(1+$N$25)*('分析-属性加成'!$U$6*'分析-属性加成'!$W$6+(1-'分析-属性加成'!$U$6-'分析-属性加成'!$P$7-'分析-属性加成'!$AB$7)+'分析-属性加成'!$P$7*0.25)</f>
        <v>382.56353426488511</v>
      </c>
      <c r="AD25" s="128"/>
      <c r="AE25" s="128"/>
      <c r="AF25" s="128">
        <f>(1+H25)*'分析-属性加成'!$Q$6*F25*(1+'分析-属性加成'!$Y$6)*(1-分析模式!$C$28)*(1+$N$25)*('分析-属性加成'!$U$6*'分析-属性加成'!$W$6+(1-'分析-属性加成'!$U$6-'分析-属性加成'!$P$7-'分析-属性加成'!$AB$7)+'分析-属性加成'!$P$7*0.25)</f>
        <v>382.56353426488511</v>
      </c>
      <c r="AG25" s="128"/>
      <c r="AH25" s="128"/>
      <c r="AI25" s="128">
        <f>(1+H25)*'分析-属性加成'!$Q$6*F25*(1+'分析-属性加成'!$Y$6)*(1-分析模式!$C$28)*(1+$N$25)*('分析-属性加成'!$U$6*'分析-属性加成'!$W$6+(1-'分析-属性加成'!$U$6-'分析-属性加成'!$P$7-'分析-属性加成'!$AB$7)+'分析-属性加成'!$P$7*0.25)</f>
        <v>382.56353426488511</v>
      </c>
      <c r="AJ25" s="128"/>
      <c r="AK25" s="128"/>
      <c r="AL25" s="128">
        <f>(1+H25)*'分析-属性加成'!$Q$6*F25*(1+'分析-属性加成'!$Y$6)*(1-分析模式!$C$28)*(1+$N$25)*('分析-属性加成'!$U$6*'分析-属性加成'!$W$6+(1-'分析-属性加成'!$U$6-'分析-属性加成'!$P$10-'分析-属性加成'!$AB$7)+'分析-属性加成'!$P$10*0.25)</f>
        <v>382.60236171929392</v>
      </c>
    </row>
    <row r="26" spans="1:38" x14ac:dyDescent="0.2">
      <c r="A26" s="41" t="s">
        <v>446</v>
      </c>
      <c r="B26" s="135" t="s">
        <v>447</v>
      </c>
      <c r="C26" s="135" t="s">
        <v>447</v>
      </c>
      <c r="D26" s="135" t="s">
        <v>447</v>
      </c>
      <c r="E26" s="136" t="s">
        <v>447</v>
      </c>
      <c r="F26" s="136" t="s">
        <v>447</v>
      </c>
      <c r="G26" s="136" t="s">
        <v>447</v>
      </c>
      <c r="H26" s="137" t="s">
        <v>447</v>
      </c>
      <c r="I26" s="138" t="s">
        <v>447</v>
      </c>
      <c r="J26" s="137" t="s">
        <v>447</v>
      </c>
      <c r="K26" s="137" t="s">
        <v>447</v>
      </c>
      <c r="L26" s="137" t="s">
        <v>447</v>
      </c>
      <c r="M26" s="137" t="s">
        <v>447</v>
      </c>
      <c r="N26" s="137" t="s">
        <v>447</v>
      </c>
      <c r="O26" s="136" t="s">
        <v>447</v>
      </c>
      <c r="P26" s="136" t="s">
        <v>447</v>
      </c>
      <c r="Q26" s="133">
        <f>分析模式!$O$22*Q9+(1-分析模式!$O$22)*Q8</f>
        <v>81442.925511051028</v>
      </c>
      <c r="R26" s="41" t="s">
        <v>448</v>
      </c>
      <c r="T26" s="128">
        <f>分析模式!$O$22*T9+(1-分析模式!$O$22)*T8</f>
        <v>81453.153465274023</v>
      </c>
      <c r="U26" s="128"/>
      <c r="V26" s="128"/>
      <c r="W26" s="128">
        <f>分析模式!$O$22*W9+(1-分析模式!$O$22)*W8</f>
        <v>81450.262680685715</v>
      </c>
      <c r="X26" s="128"/>
      <c r="Y26" s="128"/>
      <c r="Z26" s="128">
        <f>分析模式!$O$22*Z9+(1-分析模式!$O$22)*Z8</f>
        <v>81446.921106432172</v>
      </c>
      <c r="AA26" s="128"/>
      <c r="AB26" s="128"/>
      <c r="AC26" s="128">
        <f>分析模式!$O$22*AC9+(1-分析模式!$O$22)*AC8</f>
        <v>81448.006207125596</v>
      </c>
      <c r="AD26" s="128"/>
      <c r="AE26" s="128"/>
      <c r="AF26" s="128">
        <f>分析模式!$O$22*AF9+(1-分析模式!$O$22)*AF8</f>
        <v>81447.096182463385</v>
      </c>
      <c r="AG26" s="128"/>
      <c r="AH26" s="128"/>
      <c r="AI26" s="128">
        <f>分析模式!$O$22*AI9+(1-分析模式!$O$22)*AI8</f>
        <v>81442.925511051028</v>
      </c>
      <c r="AJ26" s="128"/>
      <c r="AK26" s="128"/>
      <c r="AL26" s="128">
        <f>分析模式!$O$22*AL9+(1-分析模式!$O$22)*AL8</f>
        <v>81447.139065783165</v>
      </c>
    </row>
    <row r="28" spans="1:38" x14ac:dyDescent="0.2">
      <c r="A28" s="19" t="s">
        <v>128</v>
      </c>
    </row>
    <row r="29" spans="1:38" x14ac:dyDescent="0.2">
      <c r="A29" s="19" t="s">
        <v>209</v>
      </c>
    </row>
    <row r="30" spans="1:38" x14ac:dyDescent="0.2">
      <c r="A30" s="19" t="s">
        <v>210</v>
      </c>
    </row>
    <row r="31" spans="1:38" x14ac:dyDescent="0.2">
      <c r="A31" s="19" t="s">
        <v>131</v>
      </c>
    </row>
    <row r="33" spans="1:1" s="19" customFormat="1" x14ac:dyDescent="0.2">
      <c r="A33" s="19" t="s">
        <v>212</v>
      </c>
    </row>
    <row r="34" spans="1:1" s="19" customFormat="1" x14ac:dyDescent="0.2">
      <c r="A34" s="19" t="s">
        <v>135</v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L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59D7-EE4A-4517-AF23-C35398B5F114}">
  <sheetPr codeName="Sheet7"/>
  <dimension ref="B2:AB81"/>
  <sheetViews>
    <sheetView workbookViewId="0"/>
  </sheetViews>
  <sheetFormatPr defaultRowHeight="14.25" x14ac:dyDescent="0.2"/>
  <cols>
    <col min="1" max="4" width="9" style="19"/>
    <col min="5" max="5" width="15.125" style="19" bestFit="1" customWidth="1"/>
    <col min="6" max="6" width="9.875" style="43" bestFit="1" customWidth="1"/>
    <col min="7" max="7" width="9.875" style="43" customWidth="1"/>
    <col min="8" max="8" width="15.125" style="43" bestFit="1" customWidth="1"/>
    <col min="9" max="10" width="9.875" style="43" customWidth="1"/>
    <col min="11" max="11" width="15.125" style="19" bestFit="1" customWidth="1"/>
    <col min="12" max="12" width="9.875" style="19" bestFit="1" customWidth="1"/>
    <col min="13" max="13" width="9" style="19"/>
    <col min="14" max="14" width="15.125" style="19" bestFit="1" customWidth="1"/>
    <col min="15" max="15" width="9.875" style="19" bestFit="1" customWidth="1"/>
    <col min="16" max="16" width="9" style="19"/>
    <col min="17" max="17" width="15.125" style="19" bestFit="1" customWidth="1"/>
    <col min="18" max="18" width="9.875" style="19" bestFit="1" customWidth="1"/>
    <col min="19" max="19" width="9" style="19"/>
    <col min="20" max="20" width="15.125" style="19" bestFit="1" customWidth="1"/>
    <col min="21" max="21" width="9.875" style="19" bestFit="1" customWidth="1"/>
    <col min="22" max="22" width="9" style="19"/>
    <col min="23" max="23" width="15.125" style="19" bestFit="1" customWidth="1"/>
    <col min="24" max="24" width="9.875" style="19" bestFit="1" customWidth="1"/>
    <col min="25" max="25" width="9" style="19"/>
    <col min="26" max="26" width="15.125" style="19" bestFit="1" customWidth="1"/>
    <col min="27" max="27" width="9.875" style="19" bestFit="1" customWidth="1"/>
    <col min="28" max="16384" width="9" style="19"/>
  </cols>
  <sheetData>
    <row r="2" spans="2:27" x14ac:dyDescent="0.2">
      <c r="B2" s="268" t="s">
        <v>290</v>
      </c>
      <c r="C2" s="268"/>
      <c r="E2" s="268" t="s">
        <v>218</v>
      </c>
      <c r="F2" s="268"/>
      <c r="G2" s="51"/>
      <c r="H2" s="266" t="s">
        <v>258</v>
      </c>
      <c r="I2" s="267"/>
      <c r="J2" s="51"/>
      <c r="K2" s="266" t="s">
        <v>259</v>
      </c>
      <c r="L2" s="267"/>
      <c r="N2" s="266" t="s">
        <v>260</v>
      </c>
      <c r="O2" s="267"/>
      <c r="Q2" s="266" t="s">
        <v>261</v>
      </c>
      <c r="R2" s="267"/>
      <c r="T2" s="266" t="s">
        <v>262</v>
      </c>
      <c r="U2" s="267"/>
      <c r="W2" s="266" t="s">
        <v>263</v>
      </c>
      <c r="X2" s="267"/>
      <c r="Z2" s="266" t="s">
        <v>264</v>
      </c>
      <c r="AA2" s="267"/>
    </row>
    <row r="3" spans="2:27" x14ac:dyDescent="0.2">
      <c r="B3" s="41" t="s">
        <v>291</v>
      </c>
      <c r="C3" s="41">
        <f>分析模式!C8</f>
        <v>1681</v>
      </c>
      <c r="E3" s="41" t="s">
        <v>219</v>
      </c>
      <c r="F3" s="68" t="s">
        <v>220</v>
      </c>
      <c r="H3" s="41" t="s">
        <v>32</v>
      </c>
      <c r="I3" s="68" t="s">
        <v>220</v>
      </c>
      <c r="K3" s="41" t="s">
        <v>32</v>
      </c>
      <c r="L3" s="68" t="s">
        <v>220</v>
      </c>
      <c r="N3" s="41" t="s">
        <v>32</v>
      </c>
      <c r="O3" s="68" t="s">
        <v>220</v>
      </c>
      <c r="Q3" s="41" t="s">
        <v>32</v>
      </c>
      <c r="R3" s="68" t="s">
        <v>220</v>
      </c>
      <c r="T3" s="41" t="s">
        <v>32</v>
      </c>
      <c r="U3" s="68" t="s">
        <v>220</v>
      </c>
      <c r="W3" s="41" t="s">
        <v>32</v>
      </c>
      <c r="X3" s="68" t="s">
        <v>220</v>
      </c>
      <c r="Z3" s="41" t="s">
        <v>32</v>
      </c>
      <c r="AA3" s="68" t="s">
        <v>220</v>
      </c>
    </row>
    <row r="4" spans="2:27" x14ac:dyDescent="0.2">
      <c r="B4" s="41" t="s">
        <v>297</v>
      </c>
      <c r="C4" s="41">
        <f>分析模式!C9</f>
        <v>8660</v>
      </c>
      <c r="E4" s="141" t="s">
        <v>221</v>
      </c>
      <c r="F4" s="142">
        <f>'分析-单技能数据'!Q$26</f>
        <v>81442.925511051028</v>
      </c>
      <c r="H4" s="141" t="s">
        <v>221</v>
      </c>
      <c r="I4" s="142">
        <f>'分析-单技能数据'!T$26</f>
        <v>81453.153465274023</v>
      </c>
      <c r="K4" s="141" t="s">
        <v>221</v>
      </c>
      <c r="L4" s="142">
        <f>'分析-单技能数据'!W$26</f>
        <v>81450.262680685715</v>
      </c>
      <c r="N4" s="141" t="s">
        <v>221</v>
      </c>
      <c r="O4" s="142">
        <f>'分析-单技能数据'!Z$26</f>
        <v>81446.921106432172</v>
      </c>
      <c r="Q4" s="141" t="s">
        <v>221</v>
      </c>
      <c r="R4" s="142">
        <f>'分析-单技能数据'!AC$26</f>
        <v>81448.006207125596</v>
      </c>
      <c r="T4" s="141" t="s">
        <v>221</v>
      </c>
      <c r="U4" s="142">
        <f>'分析-单技能数据'!AF$26</f>
        <v>81447.096182463385</v>
      </c>
      <c r="W4" s="141" t="s">
        <v>221</v>
      </c>
      <c r="X4" s="142">
        <f>'分析-单技能数据'!AI$26</f>
        <v>81442.925511051028</v>
      </c>
      <c r="Z4" s="141" t="s">
        <v>221</v>
      </c>
      <c r="AA4" s="142">
        <f>'分析-单技能数据'!AL$26</f>
        <v>81447.139065783165</v>
      </c>
    </row>
    <row r="5" spans="2:27" x14ac:dyDescent="0.2">
      <c r="B5" s="41" t="s">
        <v>292</v>
      </c>
      <c r="C5" s="42">
        <f>分析模式!C10</f>
        <v>0.2555</v>
      </c>
      <c r="E5" s="141" t="s">
        <v>222</v>
      </c>
      <c r="F5" s="143">
        <f>'分析-单技能数据'!Q$18</f>
        <v>96062.781715670615</v>
      </c>
      <c r="H5" s="141" t="s">
        <v>222</v>
      </c>
      <c r="I5" s="143">
        <f>'分析-单技能数据'!T$18</f>
        <v>96074.834266881066</v>
      </c>
      <c r="K5" s="141" t="s">
        <v>222</v>
      </c>
      <c r="L5" s="143">
        <f>'分析-单技能数据'!W$18</f>
        <v>96071.438074056874</v>
      </c>
      <c r="N5" s="141" t="s">
        <v>222</v>
      </c>
      <c r="O5" s="143">
        <f>'分析-单技能数据'!Z$18</f>
        <v>96067.41992949984</v>
      </c>
      <c r="Q5" s="141" t="s">
        <v>222</v>
      </c>
      <c r="R5" s="143">
        <f>'分析-单技能数据'!AC$18</f>
        <v>96068.61689012048</v>
      </c>
      <c r="T5" s="141" t="s">
        <v>222</v>
      </c>
      <c r="U5" s="143">
        <f>'分析-单技能数据'!AF$18</f>
        <v>96067.679709218588</v>
      </c>
      <c r="W5" s="141" t="s">
        <v>222</v>
      </c>
      <c r="X5" s="143">
        <f>'分析-单技能数据'!AI$18</f>
        <v>96062.781715670615</v>
      </c>
      <c r="Z5" s="141" t="s">
        <v>222</v>
      </c>
      <c r="AA5" s="143">
        <f>'分析-单技能数据'!AL$18</f>
        <v>96068.132956507499</v>
      </c>
    </row>
    <row r="6" spans="2:27" x14ac:dyDescent="0.2">
      <c r="B6" s="41" t="s">
        <v>296</v>
      </c>
      <c r="C6" s="42">
        <f>分析模式!C11</f>
        <v>1.9528000000000001</v>
      </c>
      <c r="E6" s="141" t="s">
        <v>223</v>
      </c>
      <c r="F6" s="143">
        <f>'分析-单技能数据'!Q$5</f>
        <v>26546.340795239732</v>
      </c>
      <c r="H6" s="141" t="s">
        <v>223</v>
      </c>
      <c r="I6" s="143">
        <f>'分析-单技能数据'!T$5</f>
        <v>26549.652665959875</v>
      </c>
      <c r="K6" s="141" t="s">
        <v>223</v>
      </c>
      <c r="L6" s="143">
        <f>'分析-单技能数据'!W$5</f>
        <v>26548.718422414371</v>
      </c>
      <c r="N6" s="141" t="s">
        <v>223</v>
      </c>
      <c r="O6" s="143">
        <f>'分析-单技能数据'!Z$5</f>
        <v>26547.618165339583</v>
      </c>
      <c r="Q6" s="141" t="s">
        <v>223</v>
      </c>
      <c r="R6" s="143">
        <f>'分析-单技能数据'!AC$5</f>
        <v>26547.947809845809</v>
      </c>
      <c r="T6" s="141" t="s">
        <v>223</v>
      </c>
      <c r="U6" s="143">
        <f>'分析-单技能数据'!AF$5</f>
        <v>26547.689709010818</v>
      </c>
      <c r="W6" s="141" t="s">
        <v>223</v>
      </c>
      <c r="X6" s="143">
        <f>'分析-单技能数据'!AI$5</f>
        <v>26546.340795239732</v>
      </c>
      <c r="Z6" s="141" t="s">
        <v>223</v>
      </c>
      <c r="AA6" s="143">
        <f>'分析-单技能数据'!AL$5</f>
        <v>26547.823721662528</v>
      </c>
    </row>
    <row r="7" spans="2:27" x14ac:dyDescent="0.2">
      <c r="B7" s="41" t="s">
        <v>293</v>
      </c>
      <c r="C7" s="41">
        <f>分析模式!C12*系数!B5</f>
        <v>7003.0928800000002</v>
      </c>
      <c r="E7" s="141" t="s">
        <v>224</v>
      </c>
      <c r="F7" s="143">
        <f>'分析-单技能数据'!Q$10</f>
        <v>32409.128640161907</v>
      </c>
      <c r="H7" s="141" t="s">
        <v>224</v>
      </c>
      <c r="I7" s="143">
        <f>'分析-单技能数据'!T$10</f>
        <v>32413.165227482659</v>
      </c>
      <c r="K7" s="141" t="s">
        <v>224</v>
      </c>
      <c r="L7" s="143">
        <f>'分析-单技能数据'!W$10</f>
        <v>32412.030556679889</v>
      </c>
      <c r="N7" s="141" t="s">
        <v>224</v>
      </c>
      <c r="O7" s="143">
        <f>'分析-单技能数据'!Z$10</f>
        <v>32410.619622263333</v>
      </c>
      <c r="Q7" s="141" t="s">
        <v>224</v>
      </c>
      <c r="R7" s="143">
        <f>'分析-单技能数据'!AC$10</f>
        <v>32411.29448412051</v>
      </c>
      <c r="T7" s="141" t="s">
        <v>224</v>
      </c>
      <c r="U7" s="143">
        <f>'分析-单技能数据'!AF$10</f>
        <v>32410.779084153099</v>
      </c>
      <c r="W7" s="141" t="s">
        <v>224</v>
      </c>
      <c r="X7" s="143">
        <f>'分析-单技能数据'!AI$10</f>
        <v>32409.128640161907</v>
      </c>
      <c r="Z7" s="141" t="s">
        <v>224</v>
      </c>
      <c r="AA7" s="143">
        <f>'分析-单技能数据'!AL$10</f>
        <v>32410.720030086915</v>
      </c>
    </row>
    <row r="8" spans="2:27" x14ac:dyDescent="0.2">
      <c r="B8" s="41" t="s">
        <v>294</v>
      </c>
      <c r="C8" s="42">
        <f>分析模式!C13</f>
        <v>1.0518000000000001</v>
      </c>
      <c r="E8" s="141" t="s">
        <v>225</v>
      </c>
      <c r="F8" s="143">
        <f>'分析-单技能数据'!Q$16*3</f>
        <v>134117.26832537909</v>
      </c>
      <c r="H8" s="141" t="s">
        <v>225</v>
      </c>
      <c r="I8" s="143">
        <f>'分析-单技能数据'!T$16*3</f>
        <v>134134.0638851496</v>
      </c>
      <c r="K8" s="141" t="s">
        <v>225</v>
      </c>
      <c r="L8" s="143">
        <f>'分析-单技能数据'!W$16*3</f>
        <v>134129.32338637314</v>
      </c>
      <c r="N8" s="141" t="s">
        <v>225</v>
      </c>
      <c r="O8" s="143">
        <f>'分析-单技能数据'!Z$16*3</f>
        <v>134123.75371113492</v>
      </c>
      <c r="Q8" s="141" t="s">
        <v>225</v>
      </c>
      <c r="R8" s="143">
        <f>'分析-单技能数据'!AC$16*3</f>
        <v>134125.42736216635</v>
      </c>
      <c r="T8" s="141" t="s">
        <v>225</v>
      </c>
      <c r="U8" s="143">
        <f>'分析-单技能数据'!AF$16*3</f>
        <v>134124.11694830976</v>
      </c>
      <c r="W8" s="141" t="s">
        <v>225</v>
      </c>
      <c r="X8" s="143">
        <f>'分析-单技能数据'!AI$16*3</f>
        <v>134117.26832537909</v>
      </c>
      <c r="Z8" s="141" t="s">
        <v>225</v>
      </c>
      <c r="AA8" s="143">
        <f>'分析-单技能数据'!AL$16*3</f>
        <v>134124.73014083671</v>
      </c>
    </row>
    <row r="9" spans="2:27" x14ac:dyDescent="0.2">
      <c r="B9" s="41" t="s">
        <v>295</v>
      </c>
      <c r="C9" s="42">
        <f>分析模式!C14</f>
        <v>0.25590000000000002</v>
      </c>
      <c r="E9" s="141" t="s">
        <v>226</v>
      </c>
      <c r="F9" s="143">
        <f>'分析-单技能数据'!Q$13</f>
        <v>149810.80677315805</v>
      </c>
      <c r="H9" s="141" t="s">
        <v>226</v>
      </c>
      <c r="I9" s="143">
        <f>'分析-单技能数据'!T$13</f>
        <v>149829.6316766103</v>
      </c>
      <c r="K9" s="141" t="s">
        <v>226</v>
      </c>
      <c r="L9" s="143">
        <f>'分析-单技能数据'!W$13</f>
        <v>149824.31973812307</v>
      </c>
      <c r="N9" s="141" t="s">
        <v>226</v>
      </c>
      <c r="O9" s="143">
        <f>'分析-单技能数据'!Z$13</f>
        <v>149818.07201427966</v>
      </c>
      <c r="Q9" s="141" t="s">
        <v>226</v>
      </c>
      <c r="R9" s="143">
        <f>'分析-单技能数据'!AC$13</f>
        <v>149819.94691868086</v>
      </c>
      <c r="T9" s="141" t="s">
        <v>226</v>
      </c>
      <c r="U9" s="143">
        <f>'分析-单技能数据'!AF$13</f>
        <v>149818.4789300375</v>
      </c>
      <c r="W9" s="141" t="s">
        <v>226</v>
      </c>
      <c r="X9" s="143">
        <f>'分析-单技能数据'!AI$13</f>
        <v>149810.80677315805</v>
      </c>
      <c r="Z9" s="141" t="s">
        <v>226</v>
      </c>
      <c r="AA9" s="143">
        <f>'分析-单技能数据'!AL$13</f>
        <v>149819.12182927373</v>
      </c>
    </row>
    <row r="10" spans="2:27" ht="14.25" customHeight="1" x14ac:dyDescent="0.2">
      <c r="B10" s="269" t="s">
        <v>299</v>
      </c>
      <c r="C10" s="269"/>
      <c r="E10" s="141" t="s">
        <v>227</v>
      </c>
      <c r="F10" s="143">
        <f>'分析-单技能数据'!Q$2</f>
        <v>32708.414495992238</v>
      </c>
      <c r="H10" s="141" t="s">
        <v>227</v>
      </c>
      <c r="I10" s="143">
        <f>'分析-单技能数据'!T$2</f>
        <v>32712.49330814397</v>
      </c>
      <c r="K10" s="141" t="s">
        <v>227</v>
      </c>
      <c r="L10" s="143">
        <f>'分析-单技能数据'!W$2</f>
        <v>32711.335943684262</v>
      </c>
      <c r="N10" s="141" t="s">
        <v>227</v>
      </c>
      <c r="O10" s="143">
        <f>'分析-单技能数据'!Z$2</f>
        <v>32710.053211806819</v>
      </c>
      <c r="Q10" s="141" t="s">
        <v>227</v>
      </c>
      <c r="R10" s="143">
        <f>'分析-单技能数据'!AC$2</f>
        <v>32710.274719365367</v>
      </c>
      <c r="T10" s="141" t="s">
        <v>227</v>
      </c>
      <c r="U10" s="143">
        <f>'分析-单技能数据'!AF$2</f>
        <v>32710.080332614452</v>
      </c>
      <c r="W10" s="141" t="s">
        <v>227</v>
      </c>
      <c r="X10" s="143">
        <f>'分析-单技能数据'!AI$2</f>
        <v>32708.414495992238</v>
      </c>
      <c r="Z10" s="141" t="s">
        <v>227</v>
      </c>
      <c r="AA10" s="143">
        <f>'分析-单技能数据'!AL$2</f>
        <v>32710.307763419292</v>
      </c>
    </row>
    <row r="11" spans="2:27" x14ac:dyDescent="0.2">
      <c r="B11" s="269"/>
      <c r="C11" s="269"/>
      <c r="E11" s="141" t="s">
        <v>221</v>
      </c>
      <c r="F11" s="143">
        <f>'分析-单技能数据'!Q$26</f>
        <v>81442.925511051028</v>
      </c>
      <c r="H11" s="141" t="s">
        <v>221</v>
      </c>
      <c r="I11" s="143">
        <f>'分析-单技能数据'!T$26</f>
        <v>81453.153465274023</v>
      </c>
      <c r="K11" s="141" t="s">
        <v>221</v>
      </c>
      <c r="L11" s="143">
        <f>'分析-单技能数据'!W$26</f>
        <v>81450.262680685715</v>
      </c>
      <c r="N11" s="141" t="s">
        <v>221</v>
      </c>
      <c r="O11" s="143">
        <f>'分析-单技能数据'!Z$26</f>
        <v>81446.921106432172</v>
      </c>
      <c r="Q11" s="141" t="s">
        <v>221</v>
      </c>
      <c r="R11" s="143">
        <f>'分析-单技能数据'!AC$26</f>
        <v>81448.006207125596</v>
      </c>
      <c r="T11" s="141" t="s">
        <v>221</v>
      </c>
      <c r="U11" s="143">
        <f>'分析-单技能数据'!AF$26</f>
        <v>81447.096182463385</v>
      </c>
      <c r="W11" s="141" t="s">
        <v>221</v>
      </c>
      <c r="X11" s="143">
        <f>'分析-单技能数据'!AI$26</f>
        <v>81442.925511051028</v>
      </c>
      <c r="Z11" s="141" t="s">
        <v>221</v>
      </c>
      <c r="AA11" s="143">
        <f>'分析-单技能数据'!AL$26</f>
        <v>81447.139065783165</v>
      </c>
    </row>
    <row r="12" spans="2:27" x14ac:dyDescent="0.2">
      <c r="B12" s="269"/>
      <c r="C12" s="269"/>
      <c r="E12" s="141" t="s">
        <v>222</v>
      </c>
      <c r="F12" s="143">
        <f>'分析-单技能数据'!Q$18</f>
        <v>96062.781715670615</v>
      </c>
      <c r="H12" s="141" t="s">
        <v>222</v>
      </c>
      <c r="I12" s="143">
        <f>'分析-单技能数据'!T$18</f>
        <v>96074.834266881066</v>
      </c>
      <c r="K12" s="141" t="s">
        <v>222</v>
      </c>
      <c r="L12" s="143">
        <f>'分析-单技能数据'!W$18</f>
        <v>96071.438074056874</v>
      </c>
      <c r="N12" s="141" t="s">
        <v>222</v>
      </c>
      <c r="O12" s="143">
        <f>'分析-单技能数据'!Z$18</f>
        <v>96067.41992949984</v>
      </c>
      <c r="Q12" s="141" t="s">
        <v>222</v>
      </c>
      <c r="R12" s="143">
        <f>'分析-单技能数据'!AC$18</f>
        <v>96068.61689012048</v>
      </c>
      <c r="T12" s="141" t="s">
        <v>222</v>
      </c>
      <c r="U12" s="143">
        <f>'分析-单技能数据'!AF$18</f>
        <v>96067.679709218588</v>
      </c>
      <c r="W12" s="141" t="s">
        <v>222</v>
      </c>
      <c r="X12" s="143">
        <f>'分析-单技能数据'!AI$18</f>
        <v>96062.781715670615</v>
      </c>
      <c r="Z12" s="141" t="s">
        <v>222</v>
      </c>
      <c r="AA12" s="143">
        <f>'分析-单技能数据'!AL$18</f>
        <v>96068.132956507499</v>
      </c>
    </row>
    <row r="13" spans="2:27" x14ac:dyDescent="0.2">
      <c r="B13" s="269"/>
      <c r="C13" s="269"/>
      <c r="E13" s="141" t="s">
        <v>223</v>
      </c>
      <c r="F13" s="143">
        <f>'分析-单技能数据'!Q$5</f>
        <v>26546.340795239732</v>
      </c>
      <c r="H13" s="141" t="s">
        <v>223</v>
      </c>
      <c r="I13" s="143">
        <f>'分析-单技能数据'!T$5</f>
        <v>26549.652665959875</v>
      </c>
      <c r="K13" s="141" t="s">
        <v>223</v>
      </c>
      <c r="L13" s="143">
        <f>'分析-单技能数据'!W$5</f>
        <v>26548.718422414371</v>
      </c>
      <c r="N13" s="141" t="s">
        <v>223</v>
      </c>
      <c r="O13" s="143">
        <f>'分析-单技能数据'!Z$5</f>
        <v>26547.618165339583</v>
      </c>
      <c r="Q13" s="141" t="s">
        <v>223</v>
      </c>
      <c r="R13" s="143">
        <f>'分析-单技能数据'!AC$5</f>
        <v>26547.947809845809</v>
      </c>
      <c r="T13" s="141" t="s">
        <v>223</v>
      </c>
      <c r="U13" s="143">
        <f>'分析-单技能数据'!AF$5</f>
        <v>26547.689709010818</v>
      </c>
      <c r="W13" s="141" t="s">
        <v>223</v>
      </c>
      <c r="X13" s="143">
        <f>'分析-单技能数据'!AI$5</f>
        <v>26546.340795239732</v>
      </c>
      <c r="Z13" s="141" t="s">
        <v>223</v>
      </c>
      <c r="AA13" s="143">
        <f>'分析-单技能数据'!AL$5</f>
        <v>26547.823721662528</v>
      </c>
    </row>
    <row r="14" spans="2:27" x14ac:dyDescent="0.2">
      <c r="B14" s="269"/>
      <c r="C14" s="269"/>
      <c r="E14" s="141" t="s">
        <v>224</v>
      </c>
      <c r="F14" s="143">
        <f>'分析-单技能数据'!Q$10</f>
        <v>32409.128640161907</v>
      </c>
      <c r="H14" s="141" t="s">
        <v>224</v>
      </c>
      <c r="I14" s="143">
        <f>'分析-单技能数据'!T$10</f>
        <v>32413.165227482659</v>
      </c>
      <c r="K14" s="141" t="s">
        <v>224</v>
      </c>
      <c r="L14" s="143">
        <f>'分析-单技能数据'!W$10</f>
        <v>32412.030556679889</v>
      </c>
      <c r="N14" s="141" t="s">
        <v>224</v>
      </c>
      <c r="O14" s="143">
        <f>'分析-单技能数据'!Z$10</f>
        <v>32410.619622263333</v>
      </c>
      <c r="Q14" s="141" t="s">
        <v>224</v>
      </c>
      <c r="R14" s="143">
        <f>'分析-单技能数据'!AC$10</f>
        <v>32411.29448412051</v>
      </c>
      <c r="T14" s="141" t="s">
        <v>224</v>
      </c>
      <c r="U14" s="143">
        <f>'分析-单技能数据'!AF$10</f>
        <v>32410.779084153099</v>
      </c>
      <c r="W14" s="141" t="s">
        <v>224</v>
      </c>
      <c r="X14" s="143">
        <f>'分析-单技能数据'!AI$10</f>
        <v>32409.128640161907</v>
      </c>
      <c r="Z14" s="141" t="s">
        <v>224</v>
      </c>
      <c r="AA14" s="143">
        <f>'分析-单技能数据'!AL$10</f>
        <v>32410.720030086915</v>
      </c>
    </row>
    <row r="15" spans="2:27" x14ac:dyDescent="0.2">
      <c r="B15" s="269"/>
      <c r="C15" s="269"/>
      <c r="E15" s="141" t="s">
        <v>225</v>
      </c>
      <c r="F15" s="143">
        <f>'分析-单技能数据'!Q$16*3</f>
        <v>134117.26832537909</v>
      </c>
      <c r="H15" s="141" t="s">
        <v>225</v>
      </c>
      <c r="I15" s="143">
        <f>'分析-单技能数据'!T$16*3</f>
        <v>134134.0638851496</v>
      </c>
      <c r="K15" s="141" t="s">
        <v>225</v>
      </c>
      <c r="L15" s="143">
        <f>'分析-单技能数据'!W$16*3</f>
        <v>134129.32338637314</v>
      </c>
      <c r="N15" s="141" t="s">
        <v>225</v>
      </c>
      <c r="O15" s="143">
        <f>'分析-单技能数据'!Z$16*3</f>
        <v>134123.75371113492</v>
      </c>
      <c r="Q15" s="141" t="s">
        <v>225</v>
      </c>
      <c r="R15" s="143">
        <f>'分析-单技能数据'!AC$16*3</f>
        <v>134125.42736216635</v>
      </c>
      <c r="T15" s="141" t="s">
        <v>225</v>
      </c>
      <c r="U15" s="143">
        <f>'分析-单技能数据'!AF$16*3</f>
        <v>134124.11694830976</v>
      </c>
      <c r="W15" s="141" t="s">
        <v>225</v>
      </c>
      <c r="X15" s="143">
        <f>'分析-单技能数据'!AI$16*3</f>
        <v>134117.26832537909</v>
      </c>
      <c r="Z15" s="141" t="s">
        <v>225</v>
      </c>
      <c r="AA15" s="143">
        <f>'分析-单技能数据'!AL$16*3</f>
        <v>134124.73014083671</v>
      </c>
    </row>
    <row r="16" spans="2:27" x14ac:dyDescent="0.2">
      <c r="B16" s="269"/>
      <c r="C16" s="269"/>
      <c r="E16" s="141" t="s">
        <v>226</v>
      </c>
      <c r="F16" s="143">
        <f>'分析-单技能数据'!Q$13</f>
        <v>149810.80677315805</v>
      </c>
      <c r="H16" s="141" t="s">
        <v>226</v>
      </c>
      <c r="I16" s="143">
        <f>'分析-单技能数据'!T$13</f>
        <v>149829.6316766103</v>
      </c>
      <c r="K16" s="141" t="s">
        <v>226</v>
      </c>
      <c r="L16" s="143">
        <f>'分析-单技能数据'!W$13</f>
        <v>149824.31973812307</v>
      </c>
      <c r="N16" s="141" t="s">
        <v>226</v>
      </c>
      <c r="O16" s="143">
        <f>'分析-单技能数据'!Z$13</f>
        <v>149818.07201427966</v>
      </c>
      <c r="Q16" s="141" t="s">
        <v>226</v>
      </c>
      <c r="R16" s="143">
        <f>'分析-单技能数据'!AC$13</f>
        <v>149819.94691868086</v>
      </c>
      <c r="T16" s="141" t="s">
        <v>226</v>
      </c>
      <c r="U16" s="143">
        <f>'分析-单技能数据'!AF$13</f>
        <v>149818.4789300375</v>
      </c>
      <c r="W16" s="141" t="s">
        <v>226</v>
      </c>
      <c r="X16" s="143">
        <f>'分析-单技能数据'!AI$13</f>
        <v>149810.80677315805</v>
      </c>
      <c r="Z16" s="141" t="s">
        <v>226</v>
      </c>
      <c r="AA16" s="143">
        <f>'分析-单技能数据'!AL$13</f>
        <v>149819.12182927373</v>
      </c>
    </row>
    <row r="17" spans="2:27" x14ac:dyDescent="0.2">
      <c r="B17" s="269"/>
      <c r="C17" s="269"/>
      <c r="E17" s="141" t="s">
        <v>227</v>
      </c>
      <c r="F17" s="143">
        <f>'分析-单技能数据'!Q$2</f>
        <v>32708.414495992238</v>
      </c>
      <c r="H17" s="141" t="s">
        <v>227</v>
      </c>
      <c r="I17" s="143">
        <f>'分析-单技能数据'!T$2</f>
        <v>32712.49330814397</v>
      </c>
      <c r="K17" s="141" t="s">
        <v>227</v>
      </c>
      <c r="L17" s="143">
        <f>'分析-单技能数据'!W$2</f>
        <v>32711.335943684262</v>
      </c>
      <c r="N17" s="141" t="s">
        <v>227</v>
      </c>
      <c r="O17" s="143">
        <f>'分析-单技能数据'!Z$2</f>
        <v>32710.053211806819</v>
      </c>
      <c r="Q17" s="141" t="s">
        <v>227</v>
      </c>
      <c r="R17" s="143">
        <f>'分析-单技能数据'!AC$2</f>
        <v>32710.274719365367</v>
      </c>
      <c r="T17" s="141" t="s">
        <v>227</v>
      </c>
      <c r="U17" s="143">
        <f>'分析-单技能数据'!AF$2</f>
        <v>32710.080332614452</v>
      </c>
      <c r="W17" s="141" t="s">
        <v>227</v>
      </c>
      <c r="X17" s="143">
        <f>'分析-单技能数据'!AI$2</f>
        <v>32708.414495992238</v>
      </c>
      <c r="Z17" s="141" t="s">
        <v>227</v>
      </c>
      <c r="AA17" s="143">
        <f>'分析-单技能数据'!AL$2</f>
        <v>32710.307763419292</v>
      </c>
    </row>
    <row r="18" spans="2:27" x14ac:dyDescent="0.2">
      <c r="E18" s="141" t="s">
        <v>221</v>
      </c>
      <c r="F18" s="143">
        <f>'分析-单技能数据'!Q$26</f>
        <v>81442.925511051028</v>
      </c>
      <c r="H18" s="141" t="s">
        <v>221</v>
      </c>
      <c r="I18" s="143">
        <f>'分析-单技能数据'!T$26</f>
        <v>81453.153465274023</v>
      </c>
      <c r="K18" s="141" t="s">
        <v>221</v>
      </c>
      <c r="L18" s="143">
        <f>'分析-单技能数据'!W$26</f>
        <v>81450.262680685715</v>
      </c>
      <c r="N18" s="141" t="s">
        <v>221</v>
      </c>
      <c r="O18" s="143">
        <f>'分析-单技能数据'!Z$26</f>
        <v>81446.921106432172</v>
      </c>
      <c r="Q18" s="141" t="s">
        <v>221</v>
      </c>
      <c r="R18" s="143">
        <f>'分析-单技能数据'!AC$26</f>
        <v>81448.006207125596</v>
      </c>
      <c r="T18" s="141" t="s">
        <v>221</v>
      </c>
      <c r="U18" s="143">
        <f>'分析-单技能数据'!AF$26</f>
        <v>81447.096182463385</v>
      </c>
      <c r="W18" s="141" t="s">
        <v>221</v>
      </c>
      <c r="X18" s="143">
        <f>'分析-单技能数据'!AI$26</f>
        <v>81442.925511051028</v>
      </c>
      <c r="Z18" s="141" t="s">
        <v>221</v>
      </c>
      <c r="AA18" s="143">
        <f>'分析-单技能数据'!AL$26</f>
        <v>81447.139065783165</v>
      </c>
    </row>
    <row r="19" spans="2:27" x14ac:dyDescent="0.2">
      <c r="B19" s="41" t="s">
        <v>301</v>
      </c>
      <c r="C19" s="41">
        <f>IF(分析模式!C16=19,15/16,IF(分析模式!C16=1269,14/16,IF(分析模式!C16=2704,13/16,IF(分析模式!C16=4359,12/16,1))))</f>
        <v>0.875</v>
      </c>
      <c r="E19" s="141" t="s">
        <v>222</v>
      </c>
      <c r="F19" s="143">
        <f>'分析-单技能数据'!Q$18</f>
        <v>96062.781715670615</v>
      </c>
      <c r="H19" s="141" t="s">
        <v>222</v>
      </c>
      <c r="I19" s="143">
        <f>'分析-单技能数据'!T$18</f>
        <v>96074.834266881066</v>
      </c>
      <c r="K19" s="141" t="s">
        <v>222</v>
      </c>
      <c r="L19" s="143">
        <f>'分析-单技能数据'!W$18</f>
        <v>96071.438074056874</v>
      </c>
      <c r="N19" s="141" t="s">
        <v>222</v>
      </c>
      <c r="O19" s="143">
        <f>'分析-单技能数据'!Z$18</f>
        <v>96067.41992949984</v>
      </c>
      <c r="Q19" s="141" t="s">
        <v>222</v>
      </c>
      <c r="R19" s="143">
        <f>'分析-单技能数据'!AC$18</f>
        <v>96068.61689012048</v>
      </c>
      <c r="T19" s="141" t="s">
        <v>222</v>
      </c>
      <c r="U19" s="143">
        <f>'分析-单技能数据'!AF$18</f>
        <v>96067.679709218588</v>
      </c>
      <c r="W19" s="141" t="s">
        <v>222</v>
      </c>
      <c r="X19" s="143">
        <f>'分析-单技能数据'!AI$18</f>
        <v>96062.781715670615</v>
      </c>
      <c r="Z19" s="141" t="s">
        <v>222</v>
      </c>
      <c r="AA19" s="143">
        <f>'分析-单技能数据'!AL$18</f>
        <v>96068.132956507499</v>
      </c>
    </row>
    <row r="20" spans="2:27" x14ac:dyDescent="0.2">
      <c r="B20" s="41" t="s">
        <v>300</v>
      </c>
      <c r="C20" s="41">
        <f>C19+(分析模式!R18/2+分析模式!R19)/1000</f>
        <v>0.90749999999999997</v>
      </c>
      <c r="E20" s="141" t="s">
        <v>223</v>
      </c>
      <c r="F20" s="143">
        <f>'分析-单技能数据'!Q$5</f>
        <v>26546.340795239732</v>
      </c>
      <c r="H20" s="141" t="s">
        <v>223</v>
      </c>
      <c r="I20" s="143">
        <f>'分析-单技能数据'!T$5</f>
        <v>26549.652665959875</v>
      </c>
      <c r="K20" s="141" t="s">
        <v>223</v>
      </c>
      <c r="L20" s="143">
        <f>'分析-单技能数据'!W$5</f>
        <v>26548.718422414371</v>
      </c>
      <c r="N20" s="141" t="s">
        <v>223</v>
      </c>
      <c r="O20" s="143">
        <f>'分析-单技能数据'!Z$5</f>
        <v>26547.618165339583</v>
      </c>
      <c r="Q20" s="141" t="s">
        <v>223</v>
      </c>
      <c r="R20" s="143">
        <f>'分析-单技能数据'!AC$5</f>
        <v>26547.947809845809</v>
      </c>
      <c r="T20" s="141" t="s">
        <v>223</v>
      </c>
      <c r="U20" s="143">
        <f>'分析-单技能数据'!AF$5</f>
        <v>26547.689709010818</v>
      </c>
      <c r="W20" s="141" t="s">
        <v>223</v>
      </c>
      <c r="X20" s="143">
        <f>'分析-单技能数据'!AI$5</f>
        <v>26546.340795239732</v>
      </c>
      <c r="Z20" s="141" t="s">
        <v>223</v>
      </c>
      <c r="AA20" s="143">
        <f>'分析-单技能数据'!AL$5</f>
        <v>26547.823721662528</v>
      </c>
    </row>
    <row r="21" spans="2:27" x14ac:dyDescent="0.2">
      <c r="E21" s="141" t="s">
        <v>224</v>
      </c>
      <c r="F21" s="143">
        <f>'分析-单技能数据'!Q$10</f>
        <v>32409.128640161907</v>
      </c>
      <c r="H21" s="141" t="s">
        <v>224</v>
      </c>
      <c r="I21" s="143">
        <f>'分析-单技能数据'!T$10</f>
        <v>32413.165227482659</v>
      </c>
      <c r="K21" s="141" t="s">
        <v>224</v>
      </c>
      <c r="L21" s="143">
        <f>'分析-单技能数据'!W$10</f>
        <v>32412.030556679889</v>
      </c>
      <c r="N21" s="141" t="s">
        <v>224</v>
      </c>
      <c r="O21" s="143">
        <f>'分析-单技能数据'!Z$10</f>
        <v>32410.619622263333</v>
      </c>
      <c r="Q21" s="141" t="s">
        <v>224</v>
      </c>
      <c r="R21" s="143">
        <f>'分析-单技能数据'!AC$10</f>
        <v>32411.29448412051</v>
      </c>
      <c r="T21" s="141" t="s">
        <v>224</v>
      </c>
      <c r="U21" s="143">
        <f>'分析-单技能数据'!AF$10</f>
        <v>32410.779084153099</v>
      </c>
      <c r="W21" s="141" t="s">
        <v>224</v>
      </c>
      <c r="X21" s="143">
        <f>'分析-单技能数据'!AI$10</f>
        <v>32409.128640161907</v>
      </c>
      <c r="Z21" s="141" t="s">
        <v>224</v>
      </c>
      <c r="AA21" s="143">
        <f>'分析-单技能数据'!AL$10</f>
        <v>32410.720030086915</v>
      </c>
    </row>
    <row r="22" spans="2:27" ht="14.25" customHeight="1" x14ac:dyDescent="0.2">
      <c r="B22" s="144" t="s">
        <v>511</v>
      </c>
      <c r="C22" s="144">
        <f>IF(分析模式!R13="1层",1,IF(分析模式!R13="2层",2,IF(分析模式!R13="3层",3,IF(分析模式!R13="4层",4,IF(分析模式!R13="5层",5,IF(分析模式!R13="6层",6,0))))))</f>
        <v>0</v>
      </c>
      <c r="E22" s="141" t="s">
        <v>225</v>
      </c>
      <c r="F22" s="143">
        <f>'分析-单技能数据'!Q$16*3</f>
        <v>134117.26832537909</v>
      </c>
      <c r="H22" s="141" t="s">
        <v>225</v>
      </c>
      <c r="I22" s="143">
        <f>'分析-单技能数据'!T$16*3</f>
        <v>134134.0638851496</v>
      </c>
      <c r="K22" s="141" t="s">
        <v>225</v>
      </c>
      <c r="L22" s="143">
        <f>'分析-单技能数据'!W$16*3</f>
        <v>134129.32338637314</v>
      </c>
      <c r="N22" s="141" t="s">
        <v>225</v>
      </c>
      <c r="O22" s="143">
        <f>'分析-单技能数据'!Z$16*3</f>
        <v>134123.75371113492</v>
      </c>
      <c r="Q22" s="141" t="s">
        <v>225</v>
      </c>
      <c r="R22" s="143">
        <f>'分析-单技能数据'!AC$16*3</f>
        <v>134125.42736216635</v>
      </c>
      <c r="T22" s="141" t="s">
        <v>225</v>
      </c>
      <c r="U22" s="143">
        <f>'分析-单技能数据'!AF$16*3</f>
        <v>134124.11694830976</v>
      </c>
      <c r="W22" s="141" t="s">
        <v>225</v>
      </c>
      <c r="X22" s="143">
        <f>'分析-单技能数据'!AI$16*3</f>
        <v>134117.26832537909</v>
      </c>
      <c r="Z22" s="141" t="s">
        <v>225</v>
      </c>
      <c r="AA22" s="143">
        <f>'分析-单技能数据'!AL$16*3</f>
        <v>134124.73014083671</v>
      </c>
    </row>
    <row r="23" spans="2:27" ht="14.25" customHeight="1" x14ac:dyDescent="0.2">
      <c r="B23" s="270" t="s">
        <v>512</v>
      </c>
      <c r="C23" s="270"/>
      <c r="E23" s="141" t="s">
        <v>226</v>
      </c>
      <c r="F23" s="143">
        <f>'分析-单技能数据'!Q$13</f>
        <v>149810.80677315805</v>
      </c>
      <c r="H23" s="141" t="s">
        <v>226</v>
      </c>
      <c r="I23" s="143">
        <f>'分析-单技能数据'!T$13</f>
        <v>149829.6316766103</v>
      </c>
      <c r="K23" s="141" t="s">
        <v>226</v>
      </c>
      <c r="L23" s="143">
        <f>'分析-单技能数据'!W$13</f>
        <v>149824.31973812307</v>
      </c>
      <c r="N23" s="141" t="s">
        <v>226</v>
      </c>
      <c r="O23" s="143">
        <f>'分析-单技能数据'!Z$13</f>
        <v>149818.07201427966</v>
      </c>
      <c r="Q23" s="141" t="s">
        <v>226</v>
      </c>
      <c r="R23" s="143">
        <f>'分析-单技能数据'!AC$13</f>
        <v>149819.94691868086</v>
      </c>
      <c r="T23" s="141" t="s">
        <v>226</v>
      </c>
      <c r="U23" s="143">
        <f>'分析-单技能数据'!AF$13</f>
        <v>149818.4789300375</v>
      </c>
      <c r="W23" s="141" t="s">
        <v>226</v>
      </c>
      <c r="X23" s="143">
        <f>'分析-单技能数据'!AI$13</f>
        <v>149810.80677315805</v>
      </c>
      <c r="Z23" s="141" t="s">
        <v>226</v>
      </c>
      <c r="AA23" s="143">
        <f>'分析-单技能数据'!AL$13</f>
        <v>149819.12182927373</v>
      </c>
    </row>
    <row r="24" spans="2:27" x14ac:dyDescent="0.2">
      <c r="B24" s="270"/>
      <c r="C24" s="270"/>
      <c r="E24" s="141" t="s">
        <v>227</v>
      </c>
      <c r="F24" s="143">
        <f>'分析-单技能数据'!Q$2</f>
        <v>32708.414495992238</v>
      </c>
      <c r="H24" s="141" t="s">
        <v>227</v>
      </c>
      <c r="I24" s="143">
        <f>'分析-单技能数据'!T$2</f>
        <v>32712.49330814397</v>
      </c>
      <c r="K24" s="141" t="s">
        <v>227</v>
      </c>
      <c r="L24" s="143">
        <f>'分析-单技能数据'!W$2</f>
        <v>32711.335943684262</v>
      </c>
      <c r="N24" s="141" t="s">
        <v>227</v>
      </c>
      <c r="O24" s="143">
        <f>'分析-单技能数据'!Z$2</f>
        <v>32710.053211806819</v>
      </c>
      <c r="Q24" s="141" t="s">
        <v>227</v>
      </c>
      <c r="R24" s="143">
        <f>'分析-单技能数据'!AC$2</f>
        <v>32710.274719365367</v>
      </c>
      <c r="T24" s="141" t="s">
        <v>227</v>
      </c>
      <c r="U24" s="143">
        <f>'分析-单技能数据'!AF$2</f>
        <v>32710.080332614452</v>
      </c>
      <c r="W24" s="141" t="s">
        <v>227</v>
      </c>
      <c r="X24" s="143">
        <f>'分析-单技能数据'!AI$2</f>
        <v>32708.414495992238</v>
      </c>
      <c r="Z24" s="141" t="s">
        <v>227</v>
      </c>
      <c r="AA24" s="143">
        <f>'分析-单技能数据'!AL$2</f>
        <v>32710.307763419292</v>
      </c>
    </row>
    <row r="25" spans="2:27" x14ac:dyDescent="0.2">
      <c r="B25" s="270"/>
      <c r="C25" s="270"/>
      <c r="E25" s="141" t="s">
        <v>221</v>
      </c>
      <c r="F25" s="143">
        <f>'分析-单技能数据'!Q$26</f>
        <v>81442.925511051028</v>
      </c>
      <c r="H25" s="141" t="s">
        <v>221</v>
      </c>
      <c r="I25" s="143">
        <f>'分析-单技能数据'!T$26</f>
        <v>81453.153465274023</v>
      </c>
      <c r="K25" s="141" t="s">
        <v>221</v>
      </c>
      <c r="L25" s="143">
        <f>'分析-单技能数据'!W$26</f>
        <v>81450.262680685715</v>
      </c>
      <c r="N25" s="141" t="s">
        <v>221</v>
      </c>
      <c r="O25" s="143">
        <f>'分析-单技能数据'!Z$26</f>
        <v>81446.921106432172</v>
      </c>
      <c r="Q25" s="141" t="s">
        <v>221</v>
      </c>
      <c r="R25" s="143">
        <f>'分析-单技能数据'!AC$26</f>
        <v>81448.006207125596</v>
      </c>
      <c r="T25" s="141" t="s">
        <v>221</v>
      </c>
      <c r="U25" s="143">
        <f>'分析-单技能数据'!AF$26</f>
        <v>81447.096182463385</v>
      </c>
      <c r="W25" s="141" t="s">
        <v>221</v>
      </c>
      <c r="X25" s="143">
        <f>'分析-单技能数据'!AI$26</f>
        <v>81442.925511051028</v>
      </c>
      <c r="Z25" s="141" t="s">
        <v>221</v>
      </c>
      <c r="AA25" s="143">
        <f>'分析-单技能数据'!AL$26</f>
        <v>81447.139065783165</v>
      </c>
    </row>
    <row r="26" spans="2:27" x14ac:dyDescent="0.2">
      <c r="B26" s="270"/>
      <c r="C26" s="270"/>
      <c r="E26" s="141" t="s">
        <v>222</v>
      </c>
      <c r="F26" s="143">
        <f>'分析-单技能数据'!Q$18</f>
        <v>96062.781715670615</v>
      </c>
      <c r="H26" s="141" t="s">
        <v>222</v>
      </c>
      <c r="I26" s="143">
        <f>'分析-单技能数据'!T$18</f>
        <v>96074.834266881066</v>
      </c>
      <c r="K26" s="141" t="s">
        <v>222</v>
      </c>
      <c r="L26" s="143">
        <f>'分析-单技能数据'!W$18</f>
        <v>96071.438074056874</v>
      </c>
      <c r="N26" s="141" t="s">
        <v>222</v>
      </c>
      <c r="O26" s="143">
        <f>'分析-单技能数据'!Z$18</f>
        <v>96067.41992949984</v>
      </c>
      <c r="Q26" s="141" t="s">
        <v>222</v>
      </c>
      <c r="R26" s="143">
        <f>'分析-单技能数据'!AC$18</f>
        <v>96068.61689012048</v>
      </c>
      <c r="T26" s="141" t="s">
        <v>222</v>
      </c>
      <c r="U26" s="143">
        <f>'分析-单技能数据'!AF$18</f>
        <v>96067.679709218588</v>
      </c>
      <c r="W26" s="141" t="s">
        <v>222</v>
      </c>
      <c r="X26" s="143">
        <f>'分析-单技能数据'!AI$18</f>
        <v>96062.781715670615</v>
      </c>
      <c r="Z26" s="141" t="s">
        <v>222</v>
      </c>
      <c r="AA26" s="143">
        <f>'分析-单技能数据'!AL$18</f>
        <v>96068.132956507499</v>
      </c>
    </row>
    <row r="27" spans="2:27" x14ac:dyDescent="0.2">
      <c r="B27" s="145"/>
      <c r="C27" s="145"/>
      <c r="E27" s="141" t="s">
        <v>223</v>
      </c>
      <c r="F27" s="143">
        <f>'分析-单技能数据'!Q$5</f>
        <v>26546.340795239732</v>
      </c>
      <c r="H27" s="141" t="s">
        <v>223</v>
      </c>
      <c r="I27" s="143">
        <f>'分析-单技能数据'!T$5</f>
        <v>26549.652665959875</v>
      </c>
      <c r="K27" s="141" t="s">
        <v>223</v>
      </c>
      <c r="L27" s="143">
        <f>'分析-单技能数据'!W$5</f>
        <v>26548.718422414371</v>
      </c>
      <c r="N27" s="141" t="s">
        <v>223</v>
      </c>
      <c r="O27" s="143">
        <f>'分析-单技能数据'!Z$5</f>
        <v>26547.618165339583</v>
      </c>
      <c r="Q27" s="141" t="s">
        <v>223</v>
      </c>
      <c r="R27" s="143">
        <f>'分析-单技能数据'!AC$5</f>
        <v>26547.947809845809</v>
      </c>
      <c r="T27" s="141" t="s">
        <v>223</v>
      </c>
      <c r="U27" s="143">
        <f>'分析-单技能数据'!AF$5</f>
        <v>26547.689709010818</v>
      </c>
      <c r="W27" s="141" t="s">
        <v>223</v>
      </c>
      <c r="X27" s="143">
        <f>'分析-单技能数据'!AI$5</f>
        <v>26546.340795239732</v>
      </c>
      <c r="Z27" s="141" t="s">
        <v>223</v>
      </c>
      <c r="AA27" s="143">
        <f>'分析-单技能数据'!AL$5</f>
        <v>26547.823721662528</v>
      </c>
    </row>
    <row r="28" spans="2:27" x14ac:dyDescent="0.2">
      <c r="B28" s="145"/>
      <c r="C28" s="145"/>
      <c r="E28" s="141" t="s">
        <v>224</v>
      </c>
      <c r="F28" s="143">
        <f>'分析-单技能数据'!Q$10</f>
        <v>32409.128640161907</v>
      </c>
      <c r="H28" s="141" t="s">
        <v>224</v>
      </c>
      <c r="I28" s="143">
        <f>'分析-单技能数据'!T$10</f>
        <v>32413.165227482659</v>
      </c>
      <c r="K28" s="141" t="s">
        <v>224</v>
      </c>
      <c r="L28" s="143">
        <f>'分析-单技能数据'!W$10</f>
        <v>32412.030556679889</v>
      </c>
      <c r="N28" s="141" t="s">
        <v>224</v>
      </c>
      <c r="O28" s="143">
        <f>'分析-单技能数据'!Z$10</f>
        <v>32410.619622263333</v>
      </c>
      <c r="Q28" s="141" t="s">
        <v>224</v>
      </c>
      <c r="R28" s="143">
        <f>'分析-单技能数据'!AC$10</f>
        <v>32411.29448412051</v>
      </c>
      <c r="T28" s="141" t="s">
        <v>224</v>
      </c>
      <c r="U28" s="143">
        <f>'分析-单技能数据'!AF$10</f>
        <v>32410.779084153099</v>
      </c>
      <c r="W28" s="141" t="s">
        <v>224</v>
      </c>
      <c r="X28" s="143">
        <f>'分析-单技能数据'!AI$10</f>
        <v>32409.128640161907</v>
      </c>
      <c r="Z28" s="141" t="s">
        <v>224</v>
      </c>
      <c r="AA28" s="143">
        <f>'分析-单技能数据'!AL$10</f>
        <v>32410.720030086915</v>
      </c>
    </row>
    <row r="29" spans="2:27" x14ac:dyDescent="0.2">
      <c r="B29" s="146"/>
      <c r="C29" s="146"/>
      <c r="E29" s="141" t="s">
        <v>228</v>
      </c>
      <c r="F29" s="143">
        <f>'分析-单技能数据'!Q$17*3</f>
        <v>155724.29530840198</v>
      </c>
      <c r="H29" s="141" t="s">
        <v>228</v>
      </c>
      <c r="I29" s="143">
        <f>'分析-单技能数据'!T$17*3</f>
        <v>155743.81615933194</v>
      </c>
      <c r="K29" s="141" t="s">
        <v>228</v>
      </c>
      <c r="L29" s="143">
        <f>'分析-单技能数据'!W$17*3</f>
        <v>155738.30645490927</v>
      </c>
      <c r="N29" s="141" t="s">
        <v>228</v>
      </c>
      <c r="O29" s="143">
        <f>'分析-单技能数据'!Z$17*3</f>
        <v>155731.83302969811</v>
      </c>
      <c r="Q29" s="141" t="s">
        <v>228</v>
      </c>
      <c r="R29" s="143">
        <f>'分析-单技能数据'!AC$17*3</f>
        <v>155733.7782516937</v>
      </c>
      <c r="T29" s="141" t="s">
        <v>228</v>
      </c>
      <c r="U29" s="143">
        <f>'分析-单技能数据'!AF$17*3</f>
        <v>155732.25520668057</v>
      </c>
      <c r="W29" s="141" t="s">
        <v>228</v>
      </c>
      <c r="X29" s="143">
        <f>'分析-单技能数据'!AI$17*3</f>
        <v>155724.29530840198</v>
      </c>
      <c r="Z29" s="141" t="s">
        <v>228</v>
      </c>
      <c r="AA29" s="143">
        <f>'分析-单技能数据'!AL$17*3</f>
        <v>155732.95214681083</v>
      </c>
    </row>
    <row r="30" spans="2:27" x14ac:dyDescent="0.2">
      <c r="B30" s="146"/>
      <c r="C30" s="146"/>
      <c r="E30" s="141" t="s">
        <v>229</v>
      </c>
      <c r="F30" s="143">
        <f>'分析-单技能数据'!Q$14</f>
        <v>174016.03786710164</v>
      </c>
      <c r="H30" s="141" t="s">
        <v>229</v>
      </c>
      <c r="I30" s="143">
        <f>'分析-单技能数据'!T$14</f>
        <v>174037.91734829094</v>
      </c>
      <c r="K30" s="141" t="s">
        <v>229</v>
      </c>
      <c r="L30" s="143">
        <f>'分析-单技能数据'!W$14</f>
        <v>174031.74348086552</v>
      </c>
      <c r="N30" s="141" t="s">
        <v>229</v>
      </c>
      <c r="O30" s="143">
        <f>'分析-单技能数据'!Z$14</f>
        <v>174024.48198512112</v>
      </c>
      <c r="Q30" s="141" t="s">
        <v>229</v>
      </c>
      <c r="R30" s="143">
        <f>'分析-单技能数据'!AC$14</f>
        <v>174026.661116381</v>
      </c>
      <c r="T30" s="141" t="s">
        <v>229</v>
      </c>
      <c r="U30" s="143">
        <f>'分析-单技能数据'!AF$14</f>
        <v>174024.9549280869</v>
      </c>
      <c r="W30" s="141" t="s">
        <v>229</v>
      </c>
      <c r="X30" s="143">
        <f>'分析-单技能数据'!AI$14</f>
        <v>174016.03786710164</v>
      </c>
      <c r="Z30" s="141" t="s">
        <v>229</v>
      </c>
      <c r="AA30" s="143">
        <f>'分析-单技能数据'!AL$14</f>
        <v>174025.69164541728</v>
      </c>
    </row>
    <row r="31" spans="2:27" x14ac:dyDescent="0.2">
      <c r="B31" s="146"/>
      <c r="C31" s="146"/>
      <c r="E31" s="141" t="s">
        <v>230</v>
      </c>
      <c r="F31" s="143">
        <f>'分析-单技能数据'!Q$15*3</f>
        <v>90903.214359333331</v>
      </c>
      <c r="H31" s="141" t="s">
        <v>230</v>
      </c>
      <c r="I31" s="143">
        <f>'分析-单技能数据'!T$15*3</f>
        <v>90914.559336784849</v>
      </c>
      <c r="K31" s="141" t="s">
        <v>230</v>
      </c>
      <c r="L31" s="143">
        <f>'分析-单技能数据'!W$15*3</f>
        <v>90911.357249300854</v>
      </c>
      <c r="N31" s="141" t="s">
        <v>230</v>
      </c>
      <c r="O31" s="143">
        <f>'分析-单技能数据'!Z$15*3</f>
        <v>90907.59507400851</v>
      </c>
      <c r="Q31" s="141" t="s">
        <v>230</v>
      </c>
      <c r="R31" s="143">
        <f>'分析-单技能数据'!AC$15*3</f>
        <v>90908.725583111678</v>
      </c>
      <c r="T31" s="141" t="s">
        <v>230</v>
      </c>
      <c r="U31" s="143">
        <f>'分析-单技能数据'!AF$15*3</f>
        <v>90907.84043156814</v>
      </c>
      <c r="W31" s="141" t="s">
        <v>230</v>
      </c>
      <c r="X31" s="143">
        <f>'分析-单技能数据'!AI$15*3</f>
        <v>90903.214359333331</v>
      </c>
      <c r="Z31" s="141" t="s">
        <v>230</v>
      </c>
      <c r="AA31" s="143">
        <f>'分析-单技能数据'!AL$15*3</f>
        <v>90908.28612888846</v>
      </c>
    </row>
    <row r="32" spans="2:27" x14ac:dyDescent="0.2">
      <c r="B32" s="146"/>
      <c r="C32" s="146"/>
      <c r="E32" s="141" t="s">
        <v>231</v>
      </c>
      <c r="F32" s="143">
        <f>'分析-单技能数据'!Q$24*4</f>
        <v>0</v>
      </c>
      <c r="H32" s="141" t="s">
        <v>231</v>
      </c>
      <c r="I32" s="143">
        <f>'分析-单技能数据'!T$24*4</f>
        <v>0</v>
      </c>
      <c r="K32" s="141" t="s">
        <v>231</v>
      </c>
      <c r="L32" s="143">
        <f>'分析-单技能数据'!W$24*4</f>
        <v>0</v>
      </c>
      <c r="N32" s="141" t="s">
        <v>231</v>
      </c>
      <c r="O32" s="143">
        <f>'分析-单技能数据'!Z$24*4</f>
        <v>0</v>
      </c>
      <c r="Q32" s="141" t="s">
        <v>231</v>
      </c>
      <c r="R32" s="143">
        <f>'分析-单技能数据'!AC$24*4</f>
        <v>0</v>
      </c>
      <c r="T32" s="141" t="s">
        <v>231</v>
      </c>
      <c r="U32" s="143">
        <f>'分析-单技能数据'!AF$24*4</f>
        <v>0</v>
      </c>
      <c r="W32" s="141" t="s">
        <v>231</v>
      </c>
      <c r="X32" s="143">
        <f>'分析-单技能数据'!AI$24*4</f>
        <v>0</v>
      </c>
      <c r="Z32" s="141" t="s">
        <v>231</v>
      </c>
      <c r="AA32" s="143">
        <f>'分析-单技能数据'!AL$24*4</f>
        <v>0</v>
      </c>
    </row>
    <row r="33" spans="5:28" x14ac:dyDescent="0.2">
      <c r="E33" s="141" t="s">
        <v>232</v>
      </c>
      <c r="F33" s="143">
        <f>'分析-单技能数据'!Q$19*14</f>
        <v>194109.5656143291</v>
      </c>
      <c r="H33" s="141" t="s">
        <v>232</v>
      </c>
      <c r="I33" s="143">
        <f>'分析-单技能数据'!T$19*14</f>
        <v>194134.1863029587</v>
      </c>
      <c r="K33" s="141" t="s">
        <v>232</v>
      </c>
      <c r="L33" s="143">
        <f>'分析-单技能数据'!W$19*14</f>
        <v>194127.1978174281</v>
      </c>
      <c r="N33" s="141" t="s">
        <v>232</v>
      </c>
      <c r="O33" s="143">
        <f>'分析-单技能数据'!Z$19*14</f>
        <v>194119.70110493148</v>
      </c>
      <c r="Q33" s="141" t="s">
        <v>232</v>
      </c>
      <c r="R33" s="143">
        <f>'分析-单技能数据'!AC$19*14</f>
        <v>194120.07466442903</v>
      </c>
      <c r="T33" s="141" t="s">
        <v>232</v>
      </c>
      <c r="U33" s="143">
        <f>'分析-单技能数据'!AF$19*14</f>
        <v>194119.54890241561</v>
      </c>
      <c r="W33" s="141" t="s">
        <v>232</v>
      </c>
      <c r="X33" s="143">
        <f>'分析-单技能数据'!AI$19*14</f>
        <v>194109.5656143291</v>
      </c>
      <c r="Z33" s="141" t="s">
        <v>232</v>
      </c>
      <c r="AA33" s="143">
        <f>'分析-单技能数据'!AL$19*14</f>
        <v>194121.07538799709</v>
      </c>
    </row>
    <row r="34" spans="5:28" x14ac:dyDescent="0.2">
      <c r="E34" s="141" t="s">
        <v>233</v>
      </c>
      <c r="F34" s="143">
        <f>'分析-单技能数据'!Q$11*14</f>
        <v>90626.462274048681</v>
      </c>
      <c r="H34" s="141" t="s">
        <v>233</v>
      </c>
      <c r="I34" s="143">
        <f>'分析-单技能数据'!T$11*14</f>
        <v>90637.715251056725</v>
      </c>
      <c r="K34" s="141" t="s">
        <v>233</v>
      </c>
      <c r="L34" s="143">
        <f>'分析-单技能数据'!W$11*14</f>
        <v>90634.532039997765</v>
      </c>
      <c r="N34" s="141" t="s">
        <v>233</v>
      </c>
      <c r="O34" s="143">
        <f>'分析-单技能数据'!Z$11*14</f>
        <v>90630.672964661513</v>
      </c>
      <c r="Q34" s="141" t="s">
        <v>233</v>
      </c>
      <c r="R34" s="143">
        <f>'分析-单技能数据'!AC$11*14</f>
        <v>90632.578845680633</v>
      </c>
      <c r="T34" s="141" t="s">
        <v>233</v>
      </c>
      <c r="U34" s="143">
        <f>'分析-单技能数据'!AF$11*14</f>
        <v>90631.123301846455</v>
      </c>
      <c r="W34" s="141" t="s">
        <v>233</v>
      </c>
      <c r="X34" s="143">
        <f>'分析-单技能数据'!AI$11*14</f>
        <v>90626.462274048681</v>
      </c>
      <c r="Z34" s="141" t="s">
        <v>233</v>
      </c>
      <c r="AA34" s="143">
        <f>'分析-单技能数据'!AL$11*14</f>
        <v>90630.865149585647</v>
      </c>
    </row>
    <row r="35" spans="5:28" x14ac:dyDescent="0.2">
      <c r="E35" s="141" t="s">
        <v>234</v>
      </c>
      <c r="F35" s="143">
        <f>'分析-单技能数据'!Q$20*4</f>
        <v>42280.586488886001</v>
      </c>
      <c r="H35" s="141" t="s">
        <v>234</v>
      </c>
      <c r="I35" s="143">
        <f>'分析-单技能数据'!T$20*4</f>
        <v>42285.693048658366</v>
      </c>
      <c r="K35" s="141" t="s">
        <v>234</v>
      </c>
      <c r="L35" s="143">
        <f>'分析-单技能数据'!W$20*4</f>
        <v>42284.207879535876</v>
      </c>
      <c r="N35" s="141" t="s">
        <v>234</v>
      </c>
      <c r="O35" s="143">
        <f>'分析-单技能数据'!Z$20*4</f>
        <v>42282.794182698861</v>
      </c>
      <c r="Q35" s="141" t="s">
        <v>234</v>
      </c>
      <c r="R35" s="143">
        <f>'分析-单技能数据'!AC$20*4</f>
        <v>42282.875550737546</v>
      </c>
      <c r="T35" s="141" t="s">
        <v>234</v>
      </c>
      <c r="U35" s="143">
        <f>'分析-单技能数据'!AF$20*4</f>
        <v>42282.761030228416</v>
      </c>
      <c r="W35" s="141" t="s">
        <v>234</v>
      </c>
      <c r="X35" s="143">
        <f>'分析-单技能数据'!AI$20*4</f>
        <v>42280.586488886001</v>
      </c>
      <c r="Z35" s="141" t="s">
        <v>234</v>
      </c>
      <c r="AA35" s="143">
        <f>'分析-单技能数据'!AL$20*4</f>
        <v>42283.093526493845</v>
      </c>
    </row>
    <row r="36" spans="5:28" x14ac:dyDescent="0.2">
      <c r="E36" s="141" t="s">
        <v>235</v>
      </c>
      <c r="F36" s="143">
        <f>'分析-单技能数据'!Q$21*5</f>
        <v>47565.659799996756</v>
      </c>
      <c r="H36" s="141" t="s">
        <v>235</v>
      </c>
      <c r="I36" s="143">
        <f>'分析-单技能数据'!T$21*5</f>
        <v>47571.404679740663</v>
      </c>
      <c r="K36" s="141" t="s">
        <v>235</v>
      </c>
      <c r="L36" s="143">
        <f>'分析-单技能数据'!W$21*5</f>
        <v>47569.733864477865</v>
      </c>
      <c r="N36" s="141" t="s">
        <v>235</v>
      </c>
      <c r="O36" s="143">
        <f>'分析-单技能数据'!Z$21*5</f>
        <v>47568.143455536221</v>
      </c>
      <c r="Q36" s="141" t="s">
        <v>235</v>
      </c>
      <c r="R36" s="143">
        <f>'分析-单技能数据'!AC$21*5</f>
        <v>47568.234994579732</v>
      </c>
      <c r="T36" s="141" t="s">
        <v>235</v>
      </c>
      <c r="U36" s="143">
        <f>'分析-单技能数据'!AF$21*5</f>
        <v>47568.106159006966</v>
      </c>
      <c r="W36" s="141" t="s">
        <v>235</v>
      </c>
      <c r="X36" s="143">
        <f>'分析-单技能数据'!AI$21*5</f>
        <v>47565.659799996756</v>
      </c>
      <c r="Z36" s="141" t="s">
        <v>235</v>
      </c>
      <c r="AA36" s="143">
        <f>'分析-单技能数据'!AL$21*5</f>
        <v>47568.48021730558</v>
      </c>
    </row>
    <row r="37" spans="5:28" x14ac:dyDescent="0.2">
      <c r="E37" s="147" t="s">
        <v>236</v>
      </c>
      <c r="F37" s="148">
        <f>'分析-单技能数据'!Q$25*F40/(15/16)</f>
        <v>10369.002032715447</v>
      </c>
      <c r="H37" s="147" t="s">
        <v>236</v>
      </c>
      <c r="I37" s="148">
        <f>'分析-单技能数据'!T$25*I40/(15/16)</f>
        <v>10369.002032715447</v>
      </c>
      <c r="K37" s="147" t="s">
        <v>236</v>
      </c>
      <c r="L37" s="148">
        <f>'分析-单技能数据'!W$25*L40/(15/16)</f>
        <v>10369.002032715447</v>
      </c>
      <c r="N37" s="147" t="s">
        <v>236</v>
      </c>
      <c r="O37" s="148">
        <f>'分析-单技能数据'!Z$25*O40/(15/16)</f>
        <v>10369.002032715447</v>
      </c>
      <c r="Q37" s="147" t="s">
        <v>236</v>
      </c>
      <c r="R37" s="148">
        <f>'分析-单技能数据'!AC$25*R40/(15/16)</f>
        <v>10369.002032715447</v>
      </c>
      <c r="T37" s="147" t="s">
        <v>236</v>
      </c>
      <c r="U37" s="148">
        <f>'分析-单技能数据'!AF$25*U40/(15/16)</f>
        <v>10369.002032715447</v>
      </c>
      <c r="W37" s="147" t="s">
        <v>236</v>
      </c>
      <c r="X37" s="148">
        <f>'分析-单技能数据'!AI$25*X40/(15/16)</f>
        <v>10369.002032715447</v>
      </c>
      <c r="Z37" s="147" t="s">
        <v>236</v>
      </c>
      <c r="AA37" s="148">
        <f>'分析-单技能数据'!AL$25*AA40/(15/16)</f>
        <v>10370.054412039743</v>
      </c>
    </row>
    <row r="38" spans="5:28" x14ac:dyDescent="0.2">
      <c r="E38" s="149"/>
      <c r="F38" s="150"/>
      <c r="H38" s="149"/>
      <c r="I38" s="150"/>
      <c r="K38" s="149"/>
      <c r="L38" s="150"/>
      <c r="N38" s="149"/>
      <c r="O38" s="150"/>
      <c r="Q38" s="149"/>
      <c r="R38" s="150"/>
      <c r="T38" s="149"/>
      <c r="U38" s="150"/>
      <c r="W38" s="149"/>
      <c r="X38" s="150"/>
      <c r="Z38" s="149"/>
      <c r="AA38" s="150"/>
    </row>
    <row r="39" spans="5:28" x14ac:dyDescent="0.2">
      <c r="E39" s="151" t="s">
        <v>238</v>
      </c>
      <c r="F39" s="152">
        <f>SUM(F4:F37)</f>
        <v>2701348.9991768934</v>
      </c>
      <c r="H39" s="151" t="s">
        <v>238</v>
      </c>
      <c r="I39" s="152">
        <f>SUM(I4:I37)</f>
        <v>2701686.0832716394</v>
      </c>
      <c r="K39" s="151" t="s">
        <v>238</v>
      </c>
      <c r="L39" s="152">
        <f>SUM(L4:L37)</f>
        <v>2701590.8169591189</v>
      </c>
      <c r="N39" s="151" t="s">
        <v>238</v>
      </c>
      <c r="O39" s="152">
        <f>SUM(O4:O37)</f>
        <v>2701480.1759351748</v>
      </c>
      <c r="Q39" s="151" t="s">
        <v>238</v>
      </c>
      <c r="R39" s="152">
        <f>SUM(R4:R37)</f>
        <v>2701512.3396048164</v>
      </c>
      <c r="T39" s="151" t="s">
        <v>238</v>
      </c>
      <c r="U39" s="152">
        <f>SUM(U4:U37)</f>
        <v>2701486.5993648176</v>
      </c>
      <c r="W39" s="151" t="s">
        <v>238</v>
      </c>
      <c r="X39" s="152">
        <f>SUM(X4:X37)</f>
        <v>2701348.9991768934</v>
      </c>
      <c r="Z39" s="151" t="s">
        <v>238</v>
      </c>
      <c r="AA39" s="152">
        <f>SUM(AA4:AA37)</f>
        <v>2701498.2409112882</v>
      </c>
    </row>
    <row r="40" spans="5:28" x14ac:dyDescent="0.2">
      <c r="E40" s="149" t="s">
        <v>239</v>
      </c>
      <c r="F40" s="153">
        <f>IF(分析模式!$C$17="28GCD驱夷",$C$20*28,24.5)</f>
        <v>25.41</v>
      </c>
      <c r="G40" s="19"/>
      <c r="H40" s="149" t="s">
        <v>239</v>
      </c>
      <c r="I40" s="153">
        <f>IF(分析模式!$C$17="28GCD驱夷",$C$20*28,24.5)</f>
        <v>25.41</v>
      </c>
      <c r="J40" s="19"/>
      <c r="K40" s="149" t="s">
        <v>239</v>
      </c>
      <c r="L40" s="153">
        <f>IF(分析模式!$C$17="28GCD驱夷",$C$20*28,24.5)</f>
        <v>25.41</v>
      </c>
      <c r="N40" s="149" t="s">
        <v>239</v>
      </c>
      <c r="O40" s="153">
        <f>IF(分析模式!$C$17="28GCD驱夷",$C$20*28,24.5)</f>
        <v>25.41</v>
      </c>
      <c r="Q40" s="149" t="s">
        <v>239</v>
      </c>
      <c r="R40" s="153">
        <f>IF(分析模式!$C$17="28GCD驱夷",$C$20*28,24.5)</f>
        <v>25.41</v>
      </c>
      <c r="T40" s="149" t="s">
        <v>239</v>
      </c>
      <c r="U40" s="153">
        <f>IF(分析模式!$C$17="28GCD驱夷",$C$20*28,24.5)</f>
        <v>25.41</v>
      </c>
      <c r="W40" s="149" t="s">
        <v>239</v>
      </c>
      <c r="X40" s="153">
        <f>IF(分析模式!$C$17="28GCD驱夷",$C$20*28,24.5)</f>
        <v>25.41</v>
      </c>
      <c r="Z40" s="149" t="s">
        <v>239</v>
      </c>
      <c r="AA40" s="153">
        <f>IF(分析模式!$C$17="28GCD驱夷",$C$20*28,24.5)</f>
        <v>25.41</v>
      </c>
    </row>
    <row r="41" spans="5:28" x14ac:dyDescent="0.2">
      <c r="E41" s="149" t="s">
        <v>522</v>
      </c>
      <c r="F41" s="154">
        <f>F39/F40</f>
        <v>106310.46828716621</v>
      </c>
      <c r="G41" s="155"/>
      <c r="H41" s="149" t="s">
        <v>522</v>
      </c>
      <c r="I41" s="154">
        <f>I39/I40</f>
        <v>106323.73409176071</v>
      </c>
      <c r="J41" s="155"/>
      <c r="K41" s="149" t="s">
        <v>522</v>
      </c>
      <c r="L41" s="154">
        <f>L39/L40</f>
        <v>106319.98492558516</v>
      </c>
      <c r="N41" s="149" t="s">
        <v>522</v>
      </c>
      <c r="O41" s="154">
        <f>O39/O40</f>
        <v>106315.63069402498</v>
      </c>
      <c r="Q41" s="149" t="s">
        <v>522</v>
      </c>
      <c r="R41" s="154">
        <f>R39/R40</f>
        <v>106316.89648188966</v>
      </c>
      <c r="T41" s="149" t="s">
        <v>522</v>
      </c>
      <c r="U41" s="154">
        <f>U39/U40</f>
        <v>106315.88348543162</v>
      </c>
      <c r="W41" s="149" t="s">
        <v>522</v>
      </c>
      <c r="X41" s="154">
        <f>X39/X40</f>
        <v>106310.46828716621</v>
      </c>
      <c r="Z41" s="149" t="s">
        <v>522</v>
      </c>
      <c r="AA41" s="154">
        <f>AA39/AA40</f>
        <v>106316.34163365951</v>
      </c>
    </row>
    <row r="42" spans="5:28" x14ac:dyDescent="0.2">
      <c r="E42" s="149" t="s">
        <v>523</v>
      </c>
      <c r="F42" s="154">
        <f>'分析-单技能数据'!Q22/(20+'分析-单技能数据'!$R$22)+'分析-单技能数据'!Q23/(20+'分析-单技能数据'!$R$23)</f>
        <v>1930.2671924920596</v>
      </c>
      <c r="G42" s="155"/>
      <c r="H42" s="149" t="s">
        <v>523</v>
      </c>
      <c r="I42" s="154">
        <f>'分析-单技能数据'!T22/(20+'分析-单技能数据'!$R$22)+'分析-单技能数据'!T23/(20+'分析-单技能数据'!$R$23)</f>
        <v>1930.5128383496217</v>
      </c>
      <c r="J42" s="155"/>
      <c r="K42" s="149" t="s">
        <v>523</v>
      </c>
      <c r="L42" s="154">
        <f>'分析-单技能数据'!W22/(20+'分析-单技能数据'!$R$22)+'分析-单技能数据'!W23/(20+'分析-单技能数据'!$R$23)</f>
        <v>1930.4432258926545</v>
      </c>
      <c r="N42" s="149" t="s">
        <v>523</v>
      </c>
      <c r="O42" s="154">
        <f>'分析-单技能数据'!Z22/(20+'分析-单技能数据'!$R$22)+'分析-单技能数据'!Z23/(20+'分析-单技能数据'!$R$23)</f>
        <v>1930.3679819865274</v>
      </c>
      <c r="Q42" s="149" t="s">
        <v>523</v>
      </c>
      <c r="R42" s="154">
        <f>'分析-单技能数据'!AC22/(20+'分析-单技能数据'!$R$22)+'分析-单技能数据'!AC23/(20+'分析-单技能数据'!$R$23)</f>
        <v>1930.3716967423679</v>
      </c>
      <c r="T42" s="149" t="s">
        <v>523</v>
      </c>
      <c r="U42" s="154">
        <f>'分析-单技能数据'!AF22/(20+'分析-单技能数据'!$R$22)+'分析-单技能数据'!AF23/(20+'分析-单技能数据'!$R$23)</f>
        <v>1930.3664684520336</v>
      </c>
      <c r="W42" s="149" t="s">
        <v>523</v>
      </c>
      <c r="X42" s="154">
        <f>'分析-单技能数据'!AI22/(20+'分析-单技能数据'!$R$22)+'分析-单技能数据'!AI23/(20+'分析-单技能数据'!$R$23)</f>
        <v>1930.2671924920596</v>
      </c>
      <c r="Z42" s="149" t="s">
        <v>523</v>
      </c>
      <c r="AA42" s="154">
        <f>'分析-单技能数据'!AL22/(20+'分析-单技能数据'!$R$22)+'分析-单技能数据'!AL23/(20+'分析-单技能数据'!$R$23)</f>
        <v>1930.3816481523668</v>
      </c>
    </row>
    <row r="43" spans="5:28" x14ac:dyDescent="0.2">
      <c r="E43" s="149" t="s">
        <v>524</v>
      </c>
      <c r="F43" s="154">
        <f>F41+F42</f>
        <v>108240.73547965827</v>
      </c>
      <c r="G43" s="155"/>
      <c r="H43" s="149" t="s">
        <v>524</v>
      </c>
      <c r="I43" s="154">
        <f>I41+I42</f>
        <v>108254.24693011033</v>
      </c>
      <c r="J43" s="155"/>
      <c r="K43" s="149" t="s">
        <v>524</v>
      </c>
      <c r="L43" s="154">
        <f>L41+L42</f>
        <v>108250.42815147781</v>
      </c>
      <c r="N43" s="149" t="s">
        <v>524</v>
      </c>
      <c r="O43" s="154">
        <f>O41+O42</f>
        <v>108245.9986760115</v>
      </c>
      <c r="Q43" s="149" t="s">
        <v>524</v>
      </c>
      <c r="R43" s="154">
        <f>R41+R42</f>
        <v>108247.26817863203</v>
      </c>
      <c r="T43" s="149" t="s">
        <v>524</v>
      </c>
      <c r="U43" s="154">
        <f>U41+U42</f>
        <v>108246.24995388366</v>
      </c>
      <c r="W43" s="149" t="s">
        <v>524</v>
      </c>
      <c r="X43" s="154">
        <f>X41+X42</f>
        <v>108240.73547965827</v>
      </c>
      <c r="Z43" s="149" t="s">
        <v>524</v>
      </c>
      <c r="AA43" s="154">
        <f>AA41+AA42</f>
        <v>108246.72328181188</v>
      </c>
    </row>
    <row r="44" spans="5:28" x14ac:dyDescent="0.2">
      <c r="E44" s="156" t="s">
        <v>61</v>
      </c>
      <c r="F44" s="157">
        <f>F43/$F$43-1</f>
        <v>0</v>
      </c>
      <c r="G44" s="158"/>
      <c r="H44" s="156" t="s">
        <v>61</v>
      </c>
      <c r="I44" s="157">
        <f>I43/$F$43-1</f>
        <v>1.2482777756628316E-4</v>
      </c>
      <c r="J44" s="158"/>
      <c r="K44" s="156" t="s">
        <v>61</v>
      </c>
      <c r="L44" s="157">
        <f>L43/$F$43-1</f>
        <v>8.9547357347452561E-5</v>
      </c>
      <c r="N44" s="156" t="s">
        <v>61</v>
      </c>
      <c r="O44" s="157">
        <f>O43/$F$43-1</f>
        <v>4.8624913069117426E-5</v>
      </c>
      <c r="Q44" s="156" t="s">
        <v>61</v>
      </c>
      <c r="R44" s="157">
        <f>R43/$F$43-1</f>
        <v>6.0353423734671452E-5</v>
      </c>
      <c r="T44" s="156" t="s">
        <v>61</v>
      </c>
      <c r="U44" s="157">
        <f>U43/$F$43-1</f>
        <v>5.0946385396821725E-5</v>
      </c>
      <c r="W44" s="156" t="s">
        <v>61</v>
      </c>
      <c r="X44" s="157">
        <f>X43/$F$43-1</f>
        <v>0</v>
      </c>
      <c r="Z44" s="156" t="s">
        <v>61</v>
      </c>
      <c r="AA44" s="157">
        <f>AA43/$F$43-1</f>
        <v>5.5319304022471982E-5</v>
      </c>
    </row>
    <row r="46" spans="5:28" x14ac:dyDescent="0.2">
      <c r="E46" s="268" t="s">
        <v>267</v>
      </c>
      <c r="F46" s="268"/>
      <c r="G46" s="51"/>
      <c r="H46" s="266" t="s">
        <v>270</v>
      </c>
      <c r="I46" s="267"/>
      <c r="J46" s="51"/>
      <c r="K46" s="266" t="s">
        <v>271</v>
      </c>
      <c r="L46" s="267"/>
      <c r="N46" s="266" t="s">
        <v>272</v>
      </c>
      <c r="O46" s="267"/>
      <c r="Q46" s="266" t="s">
        <v>273</v>
      </c>
      <c r="R46" s="267"/>
      <c r="T46" s="266" t="s">
        <v>274</v>
      </c>
      <c r="U46" s="267"/>
      <c r="W46" s="266" t="s">
        <v>275</v>
      </c>
      <c r="X46" s="267"/>
      <c r="Z46" s="266" t="s">
        <v>276</v>
      </c>
      <c r="AA46" s="267"/>
    </row>
    <row r="47" spans="5:28" x14ac:dyDescent="0.2">
      <c r="E47" s="41" t="s">
        <v>32</v>
      </c>
      <c r="F47" s="68" t="s">
        <v>220</v>
      </c>
      <c r="H47" s="41" t="s">
        <v>32</v>
      </c>
      <c r="I47" s="68" t="s">
        <v>220</v>
      </c>
      <c r="K47" s="41" t="s">
        <v>32</v>
      </c>
      <c r="L47" s="68" t="s">
        <v>220</v>
      </c>
      <c r="N47" s="41" t="s">
        <v>32</v>
      </c>
      <c r="O47" s="68" t="s">
        <v>220</v>
      </c>
      <c r="Q47" s="41" t="s">
        <v>32</v>
      </c>
      <c r="R47" s="68" t="s">
        <v>220</v>
      </c>
      <c r="T47" s="41" t="s">
        <v>32</v>
      </c>
      <c r="U47" s="68" t="s">
        <v>220</v>
      </c>
      <c r="W47" s="41" t="s">
        <v>32</v>
      </c>
      <c r="X47" s="68" t="s">
        <v>220</v>
      </c>
      <c r="Z47" s="41" t="s">
        <v>32</v>
      </c>
      <c r="AA47" s="68" t="s">
        <v>220</v>
      </c>
    </row>
    <row r="48" spans="5:28" x14ac:dyDescent="0.2">
      <c r="E48" s="141" t="s">
        <v>221</v>
      </c>
      <c r="F48" s="142">
        <f>'分析-单技能数据'!Q$26</f>
        <v>81442.925511051028</v>
      </c>
      <c r="H48" s="141" t="s">
        <v>221</v>
      </c>
      <c r="I48" s="142">
        <f>'分析-单技能数据'!T$26</f>
        <v>81453.153465274023</v>
      </c>
      <c r="K48" s="141" t="s">
        <v>221</v>
      </c>
      <c r="L48" s="142">
        <f>'分析-单技能数据'!W$26</f>
        <v>81450.262680685715</v>
      </c>
      <c r="N48" s="141" t="s">
        <v>221</v>
      </c>
      <c r="O48" s="142">
        <f>'分析-单技能数据'!Z$26</f>
        <v>81446.921106432172</v>
      </c>
      <c r="Q48" s="141" t="s">
        <v>221</v>
      </c>
      <c r="R48" s="142">
        <f>'分析-单技能数据'!AC$26</f>
        <v>81448.006207125596</v>
      </c>
      <c r="T48" s="141" t="s">
        <v>221</v>
      </c>
      <c r="U48" s="142">
        <f>'分析-单技能数据'!AF$26</f>
        <v>81447.096182463385</v>
      </c>
      <c r="W48" s="141" t="s">
        <v>221</v>
      </c>
      <c r="X48" s="142">
        <f>'分析-单技能数据'!AI$26</f>
        <v>81442.925511051028</v>
      </c>
      <c r="Z48" s="141" t="s">
        <v>221</v>
      </c>
      <c r="AA48" s="142">
        <f>'分析-单技能数据'!AL$26</f>
        <v>81447.139065783165</v>
      </c>
      <c r="AB48" s="43"/>
    </row>
    <row r="49" spans="5:28" x14ac:dyDescent="0.2">
      <c r="E49" s="141" t="s">
        <v>222</v>
      </c>
      <c r="F49" s="143">
        <f>'分析-单技能数据'!Q$18</f>
        <v>96062.781715670615</v>
      </c>
      <c r="H49" s="141" t="s">
        <v>222</v>
      </c>
      <c r="I49" s="143">
        <f>'分析-单技能数据'!T$18</f>
        <v>96074.834266881066</v>
      </c>
      <c r="K49" s="141" t="s">
        <v>222</v>
      </c>
      <c r="L49" s="143">
        <f>'分析-单技能数据'!W$18</f>
        <v>96071.438074056874</v>
      </c>
      <c r="N49" s="141" t="s">
        <v>222</v>
      </c>
      <c r="O49" s="143">
        <f>'分析-单技能数据'!Z$18</f>
        <v>96067.41992949984</v>
      </c>
      <c r="Q49" s="141" t="s">
        <v>222</v>
      </c>
      <c r="R49" s="143">
        <f>'分析-单技能数据'!AC$18</f>
        <v>96068.61689012048</v>
      </c>
      <c r="T49" s="141" t="s">
        <v>222</v>
      </c>
      <c r="U49" s="143">
        <f>'分析-单技能数据'!AF$18</f>
        <v>96067.679709218588</v>
      </c>
      <c r="W49" s="141" t="s">
        <v>222</v>
      </c>
      <c r="X49" s="143">
        <f>'分析-单技能数据'!AI$18</f>
        <v>96062.781715670615</v>
      </c>
      <c r="Z49" s="141" t="s">
        <v>222</v>
      </c>
      <c r="AA49" s="143">
        <f>'分析-单技能数据'!AL$18</f>
        <v>96068.132956507499</v>
      </c>
      <c r="AB49" s="43"/>
    </row>
    <row r="50" spans="5:28" x14ac:dyDescent="0.2">
      <c r="E50" s="141" t="s">
        <v>223</v>
      </c>
      <c r="F50" s="143">
        <f>'分析-单技能数据'!Q$5</f>
        <v>26546.340795239732</v>
      </c>
      <c r="H50" s="141" t="s">
        <v>223</v>
      </c>
      <c r="I50" s="143">
        <f>'分析-单技能数据'!T$5</f>
        <v>26549.652665959875</v>
      </c>
      <c r="K50" s="141" t="s">
        <v>223</v>
      </c>
      <c r="L50" s="143">
        <f>'分析-单技能数据'!W$5</f>
        <v>26548.718422414371</v>
      </c>
      <c r="N50" s="141" t="s">
        <v>223</v>
      </c>
      <c r="O50" s="143">
        <f>'分析-单技能数据'!Z$5</f>
        <v>26547.618165339583</v>
      </c>
      <c r="Q50" s="141" t="s">
        <v>223</v>
      </c>
      <c r="R50" s="143">
        <f>'分析-单技能数据'!AC$5</f>
        <v>26547.947809845809</v>
      </c>
      <c r="T50" s="141" t="s">
        <v>223</v>
      </c>
      <c r="U50" s="143">
        <f>'分析-单技能数据'!AF$5</f>
        <v>26547.689709010818</v>
      </c>
      <c r="W50" s="141" t="s">
        <v>223</v>
      </c>
      <c r="X50" s="143">
        <f>'分析-单技能数据'!AI$5</f>
        <v>26546.340795239732</v>
      </c>
      <c r="Z50" s="141" t="s">
        <v>223</v>
      </c>
      <c r="AA50" s="143">
        <f>'分析-单技能数据'!AL$5</f>
        <v>26547.823721662528</v>
      </c>
      <c r="AB50" s="43"/>
    </row>
    <row r="51" spans="5:28" x14ac:dyDescent="0.2">
      <c r="E51" s="141" t="s">
        <v>224</v>
      </c>
      <c r="F51" s="143">
        <f>'分析-单技能数据'!Q$10</f>
        <v>32409.128640161907</v>
      </c>
      <c r="H51" s="141" t="s">
        <v>224</v>
      </c>
      <c r="I51" s="143">
        <f>'分析-单技能数据'!T$10</f>
        <v>32413.165227482659</v>
      </c>
      <c r="K51" s="141" t="s">
        <v>224</v>
      </c>
      <c r="L51" s="143">
        <f>'分析-单技能数据'!W$10</f>
        <v>32412.030556679889</v>
      </c>
      <c r="N51" s="141" t="s">
        <v>224</v>
      </c>
      <c r="O51" s="143">
        <f>'分析-单技能数据'!Z$10</f>
        <v>32410.619622263333</v>
      </c>
      <c r="Q51" s="141" t="s">
        <v>224</v>
      </c>
      <c r="R51" s="143">
        <f>'分析-单技能数据'!AC$10</f>
        <v>32411.29448412051</v>
      </c>
      <c r="T51" s="141" t="s">
        <v>224</v>
      </c>
      <c r="U51" s="143">
        <f>'分析-单技能数据'!AF$10</f>
        <v>32410.779084153099</v>
      </c>
      <c r="W51" s="141" t="s">
        <v>224</v>
      </c>
      <c r="X51" s="143">
        <f>'分析-单技能数据'!AI$10</f>
        <v>32409.128640161907</v>
      </c>
      <c r="Z51" s="141" t="s">
        <v>224</v>
      </c>
      <c r="AA51" s="143">
        <f>'分析-单技能数据'!AL$10</f>
        <v>32410.720030086915</v>
      </c>
      <c r="AB51" s="43"/>
    </row>
    <row r="52" spans="5:28" x14ac:dyDescent="0.2">
      <c r="E52" s="141" t="s">
        <v>225</v>
      </c>
      <c r="F52" s="143">
        <f>'分析-单技能数据'!Q$16*3</f>
        <v>134117.26832537909</v>
      </c>
      <c r="H52" s="141" t="s">
        <v>225</v>
      </c>
      <c r="I52" s="143">
        <f>'分析-单技能数据'!T$16*3</f>
        <v>134134.0638851496</v>
      </c>
      <c r="K52" s="141" t="s">
        <v>225</v>
      </c>
      <c r="L52" s="143">
        <f>'分析-单技能数据'!W$16*3</f>
        <v>134129.32338637314</v>
      </c>
      <c r="N52" s="141" t="s">
        <v>225</v>
      </c>
      <c r="O52" s="143">
        <f>'分析-单技能数据'!Z$16*3</f>
        <v>134123.75371113492</v>
      </c>
      <c r="Q52" s="141" t="s">
        <v>225</v>
      </c>
      <c r="R52" s="143">
        <f>'分析-单技能数据'!AC$16*3</f>
        <v>134125.42736216635</v>
      </c>
      <c r="T52" s="141" t="s">
        <v>225</v>
      </c>
      <c r="U52" s="143">
        <f>'分析-单技能数据'!AF$16*3</f>
        <v>134124.11694830976</v>
      </c>
      <c r="W52" s="141" t="s">
        <v>225</v>
      </c>
      <c r="X52" s="143">
        <f>'分析-单技能数据'!AI$16*3</f>
        <v>134117.26832537909</v>
      </c>
      <c r="Z52" s="141" t="s">
        <v>225</v>
      </c>
      <c r="AA52" s="143">
        <f>'分析-单技能数据'!AL$16*3</f>
        <v>134124.73014083671</v>
      </c>
      <c r="AB52" s="43"/>
    </row>
    <row r="53" spans="5:28" x14ac:dyDescent="0.2">
      <c r="E53" s="141" t="s">
        <v>226</v>
      </c>
      <c r="F53" s="143">
        <f>'分析-单技能数据'!Q$13</f>
        <v>149810.80677315805</v>
      </c>
      <c r="H53" s="141" t="s">
        <v>226</v>
      </c>
      <c r="I53" s="143">
        <f>'分析-单技能数据'!T$13</f>
        <v>149829.6316766103</v>
      </c>
      <c r="K53" s="141" t="s">
        <v>226</v>
      </c>
      <c r="L53" s="143">
        <f>'分析-单技能数据'!W$13</f>
        <v>149824.31973812307</v>
      </c>
      <c r="N53" s="141" t="s">
        <v>226</v>
      </c>
      <c r="O53" s="143">
        <f>'分析-单技能数据'!Z$13</f>
        <v>149818.07201427966</v>
      </c>
      <c r="Q53" s="141" t="s">
        <v>226</v>
      </c>
      <c r="R53" s="143">
        <f>'分析-单技能数据'!AC$13</f>
        <v>149819.94691868086</v>
      </c>
      <c r="T53" s="141" t="s">
        <v>226</v>
      </c>
      <c r="U53" s="143">
        <f>'分析-单技能数据'!AF$13</f>
        <v>149818.4789300375</v>
      </c>
      <c r="W53" s="141" t="s">
        <v>226</v>
      </c>
      <c r="X53" s="143">
        <f>'分析-单技能数据'!AI$13</f>
        <v>149810.80677315805</v>
      </c>
      <c r="Z53" s="141" t="s">
        <v>226</v>
      </c>
      <c r="AA53" s="143">
        <f>'分析-单技能数据'!AL$13</f>
        <v>149819.12182927373</v>
      </c>
      <c r="AB53" s="43"/>
    </row>
    <row r="54" spans="5:28" x14ac:dyDescent="0.2">
      <c r="E54" s="141" t="s">
        <v>227</v>
      </c>
      <c r="F54" s="143">
        <f>'分析-单技能数据'!Q$2</f>
        <v>32708.414495992238</v>
      </c>
      <c r="H54" s="141" t="s">
        <v>227</v>
      </c>
      <c r="I54" s="143">
        <f>'分析-单技能数据'!T$2</f>
        <v>32712.49330814397</v>
      </c>
      <c r="K54" s="141" t="s">
        <v>227</v>
      </c>
      <c r="L54" s="143">
        <f>'分析-单技能数据'!W$2</f>
        <v>32711.335943684262</v>
      </c>
      <c r="N54" s="141" t="s">
        <v>227</v>
      </c>
      <c r="O54" s="143">
        <f>'分析-单技能数据'!Z$2</f>
        <v>32710.053211806819</v>
      </c>
      <c r="Q54" s="141" t="s">
        <v>227</v>
      </c>
      <c r="R54" s="143">
        <f>'分析-单技能数据'!AC$2</f>
        <v>32710.274719365367</v>
      </c>
      <c r="T54" s="141" t="s">
        <v>227</v>
      </c>
      <c r="U54" s="143">
        <f>'分析-单技能数据'!AF$2</f>
        <v>32710.080332614452</v>
      </c>
      <c r="W54" s="141" t="s">
        <v>227</v>
      </c>
      <c r="X54" s="143">
        <f>'分析-单技能数据'!AI$2</f>
        <v>32708.414495992238</v>
      </c>
      <c r="Z54" s="141" t="s">
        <v>227</v>
      </c>
      <c r="AA54" s="143">
        <f>'分析-单技能数据'!AL$2</f>
        <v>32710.307763419292</v>
      </c>
      <c r="AB54" s="43"/>
    </row>
    <row r="55" spans="5:28" x14ac:dyDescent="0.2">
      <c r="E55" s="141" t="s">
        <v>221</v>
      </c>
      <c r="F55" s="143">
        <f>'分析-单技能数据'!Q$26</f>
        <v>81442.925511051028</v>
      </c>
      <c r="H55" s="141" t="s">
        <v>221</v>
      </c>
      <c r="I55" s="143">
        <f>'分析-单技能数据'!T$26</f>
        <v>81453.153465274023</v>
      </c>
      <c r="K55" s="141" t="s">
        <v>221</v>
      </c>
      <c r="L55" s="143">
        <f>'分析-单技能数据'!W$26</f>
        <v>81450.262680685715</v>
      </c>
      <c r="N55" s="141" t="s">
        <v>221</v>
      </c>
      <c r="O55" s="143">
        <f>'分析-单技能数据'!Z$26</f>
        <v>81446.921106432172</v>
      </c>
      <c r="Q55" s="141" t="s">
        <v>221</v>
      </c>
      <c r="R55" s="143">
        <f>'分析-单技能数据'!AC$26</f>
        <v>81448.006207125596</v>
      </c>
      <c r="T55" s="141" t="s">
        <v>221</v>
      </c>
      <c r="U55" s="143">
        <f>'分析-单技能数据'!AF$26</f>
        <v>81447.096182463385</v>
      </c>
      <c r="W55" s="141" t="s">
        <v>221</v>
      </c>
      <c r="X55" s="143">
        <f>'分析-单技能数据'!AI$26</f>
        <v>81442.925511051028</v>
      </c>
      <c r="Z55" s="141" t="s">
        <v>221</v>
      </c>
      <c r="AA55" s="143">
        <f>'分析-单技能数据'!AL$26</f>
        <v>81447.139065783165</v>
      </c>
      <c r="AB55" s="43"/>
    </row>
    <row r="56" spans="5:28" x14ac:dyDescent="0.2">
      <c r="E56" s="141" t="s">
        <v>222</v>
      </c>
      <c r="F56" s="143">
        <f>'分析-单技能数据'!Q$18</f>
        <v>96062.781715670615</v>
      </c>
      <c r="H56" s="141" t="s">
        <v>222</v>
      </c>
      <c r="I56" s="143">
        <f>'分析-单技能数据'!T$18</f>
        <v>96074.834266881066</v>
      </c>
      <c r="K56" s="141" t="s">
        <v>222</v>
      </c>
      <c r="L56" s="143">
        <f>'分析-单技能数据'!W$18</f>
        <v>96071.438074056874</v>
      </c>
      <c r="N56" s="141" t="s">
        <v>222</v>
      </c>
      <c r="O56" s="143">
        <f>'分析-单技能数据'!Z$18</f>
        <v>96067.41992949984</v>
      </c>
      <c r="Q56" s="141" t="s">
        <v>222</v>
      </c>
      <c r="R56" s="143">
        <f>'分析-单技能数据'!AC$18</f>
        <v>96068.61689012048</v>
      </c>
      <c r="T56" s="141" t="s">
        <v>222</v>
      </c>
      <c r="U56" s="143">
        <f>'分析-单技能数据'!AF$18</f>
        <v>96067.679709218588</v>
      </c>
      <c r="W56" s="141" t="s">
        <v>222</v>
      </c>
      <c r="X56" s="143">
        <f>'分析-单技能数据'!AI$18</f>
        <v>96062.781715670615</v>
      </c>
      <c r="Z56" s="141" t="s">
        <v>222</v>
      </c>
      <c r="AA56" s="143">
        <f>'分析-单技能数据'!AL$18</f>
        <v>96068.132956507499</v>
      </c>
      <c r="AB56" s="43"/>
    </row>
    <row r="57" spans="5:28" x14ac:dyDescent="0.2">
      <c r="E57" s="141" t="s">
        <v>223</v>
      </c>
      <c r="F57" s="143">
        <f>'分析-单技能数据'!Q$5</f>
        <v>26546.340795239732</v>
      </c>
      <c r="H57" s="141" t="s">
        <v>223</v>
      </c>
      <c r="I57" s="143">
        <f>'分析-单技能数据'!T$5</f>
        <v>26549.652665959875</v>
      </c>
      <c r="K57" s="141" t="s">
        <v>223</v>
      </c>
      <c r="L57" s="143">
        <f>'分析-单技能数据'!W$5</f>
        <v>26548.718422414371</v>
      </c>
      <c r="N57" s="141" t="s">
        <v>223</v>
      </c>
      <c r="O57" s="143">
        <f>'分析-单技能数据'!Z$5</f>
        <v>26547.618165339583</v>
      </c>
      <c r="Q57" s="141" t="s">
        <v>223</v>
      </c>
      <c r="R57" s="143">
        <f>'分析-单技能数据'!AC$5</f>
        <v>26547.947809845809</v>
      </c>
      <c r="T57" s="141" t="s">
        <v>223</v>
      </c>
      <c r="U57" s="143">
        <f>'分析-单技能数据'!AF$5</f>
        <v>26547.689709010818</v>
      </c>
      <c r="W57" s="141" t="s">
        <v>223</v>
      </c>
      <c r="X57" s="143">
        <f>'分析-单技能数据'!AI$5</f>
        <v>26546.340795239732</v>
      </c>
      <c r="Z57" s="141" t="s">
        <v>223</v>
      </c>
      <c r="AA57" s="143">
        <f>'分析-单技能数据'!AL$5</f>
        <v>26547.823721662528</v>
      </c>
      <c r="AB57" s="43"/>
    </row>
    <row r="58" spans="5:28" x14ac:dyDescent="0.2">
      <c r="E58" s="141" t="s">
        <v>268</v>
      </c>
      <c r="F58" s="143">
        <f>'分析-单技能数据'!Q$6</f>
        <v>27526.351909550511</v>
      </c>
      <c r="H58" s="141" t="s">
        <v>268</v>
      </c>
      <c r="I58" s="143">
        <f>'分析-单技能数据'!T$6</f>
        <v>27529.782757173689</v>
      </c>
      <c r="K58" s="141" t="s">
        <v>268</v>
      </c>
      <c r="L58" s="143">
        <f>'分析-单技能数据'!W$6</f>
        <v>27528.818378501692</v>
      </c>
      <c r="N58" s="141" t="s">
        <v>268</v>
      </c>
      <c r="O58" s="143">
        <f>'分析-单技能数据'!Z$6</f>
        <v>27527.629279650362</v>
      </c>
      <c r="Q58" s="141" t="s">
        <v>268</v>
      </c>
      <c r="R58" s="143">
        <f>'分析-单技能数据'!AC$6</f>
        <v>27528.115904720918</v>
      </c>
      <c r="T58" s="141" t="s">
        <v>268</v>
      </c>
      <c r="U58" s="143">
        <f>'分析-单技能数据'!AF$6</f>
        <v>27527.751226470209</v>
      </c>
      <c r="W58" s="141" t="s">
        <v>268</v>
      </c>
      <c r="X58" s="143">
        <f>'分析-单技能数据'!AI$6</f>
        <v>27526.351909550511</v>
      </c>
      <c r="Z58" s="141" t="s">
        <v>268</v>
      </c>
      <c r="AA58" s="143">
        <f>'分析-单技能数据'!AL$6</f>
        <v>27527.83483597331</v>
      </c>
      <c r="AB58" s="43"/>
    </row>
    <row r="59" spans="5:28" x14ac:dyDescent="0.2">
      <c r="E59" s="141" t="s">
        <v>269</v>
      </c>
      <c r="F59" s="143">
        <f>'分析-单技能数据'!Q$7</f>
        <v>32458.136995503883</v>
      </c>
      <c r="H59" s="141" t="s">
        <v>269</v>
      </c>
      <c r="I59" s="143">
        <f>'分析-单技能数据'!T$7</f>
        <v>32462.187339870343</v>
      </c>
      <c r="K59" s="141" t="s">
        <v>269</v>
      </c>
      <c r="L59" s="143">
        <f>'分析-单技能数据'!W$7</f>
        <v>32461.052987540901</v>
      </c>
      <c r="N59" s="141" t="s">
        <v>269</v>
      </c>
      <c r="O59" s="143">
        <f>'分析-单技能数据'!Z$7</f>
        <v>32459.593447365292</v>
      </c>
      <c r="Q59" s="141" t="s">
        <v>269</v>
      </c>
      <c r="R59" s="143">
        <f>'分析-单技能数据'!AC$7</f>
        <v>32460.327283725677</v>
      </c>
      <c r="T59" s="141" t="s">
        <v>269</v>
      </c>
      <c r="U59" s="143">
        <f>'分析-单技能数据'!AF$7</f>
        <v>32459.789960053651</v>
      </c>
      <c r="W59" s="141" t="s">
        <v>269</v>
      </c>
      <c r="X59" s="143">
        <f>'分析-单技能数据'!AI$7</f>
        <v>32458.136995503883</v>
      </c>
      <c r="Z59" s="141" t="s">
        <v>269</v>
      </c>
      <c r="AA59" s="143">
        <f>'分析-单技能数据'!AL$7</f>
        <v>32459.823285594452</v>
      </c>
      <c r="AB59" s="43"/>
    </row>
    <row r="60" spans="5:28" x14ac:dyDescent="0.2">
      <c r="E60" s="141" t="s">
        <v>225</v>
      </c>
      <c r="F60" s="143">
        <f>'分析-单技能数据'!Q$16*3</f>
        <v>134117.26832537909</v>
      </c>
      <c r="H60" s="141" t="s">
        <v>225</v>
      </c>
      <c r="I60" s="143">
        <f>'分析-单技能数据'!T$16*3</f>
        <v>134134.0638851496</v>
      </c>
      <c r="K60" s="141" t="s">
        <v>225</v>
      </c>
      <c r="L60" s="143">
        <f>'分析-单技能数据'!W$16*3</f>
        <v>134129.32338637314</v>
      </c>
      <c r="N60" s="141" t="s">
        <v>225</v>
      </c>
      <c r="O60" s="143">
        <f>'分析-单技能数据'!Z$16*3</f>
        <v>134123.75371113492</v>
      </c>
      <c r="Q60" s="141" t="s">
        <v>225</v>
      </c>
      <c r="R60" s="143">
        <f>'分析-单技能数据'!AC$16*3</f>
        <v>134125.42736216635</v>
      </c>
      <c r="T60" s="141" t="s">
        <v>225</v>
      </c>
      <c r="U60" s="143">
        <f>'分析-单技能数据'!AF$16*3</f>
        <v>134124.11694830976</v>
      </c>
      <c r="W60" s="141" t="s">
        <v>225</v>
      </c>
      <c r="X60" s="143">
        <f>'分析-单技能数据'!AI$16*3</f>
        <v>134117.26832537909</v>
      </c>
      <c r="Z60" s="141" t="s">
        <v>225</v>
      </c>
      <c r="AA60" s="143">
        <f>'分析-单技能数据'!AL$16*3</f>
        <v>134124.73014083671</v>
      </c>
      <c r="AB60" s="43"/>
    </row>
    <row r="61" spans="5:28" x14ac:dyDescent="0.2">
      <c r="E61" s="141" t="s">
        <v>226</v>
      </c>
      <c r="F61" s="143">
        <f>'分析-单技能数据'!Q$13</f>
        <v>149810.80677315805</v>
      </c>
      <c r="H61" s="141" t="s">
        <v>226</v>
      </c>
      <c r="I61" s="143">
        <f>'分析-单技能数据'!T$13</f>
        <v>149829.6316766103</v>
      </c>
      <c r="K61" s="141" t="s">
        <v>226</v>
      </c>
      <c r="L61" s="143">
        <f>'分析-单技能数据'!W$13</f>
        <v>149824.31973812307</v>
      </c>
      <c r="N61" s="141" t="s">
        <v>226</v>
      </c>
      <c r="O61" s="143">
        <f>'分析-单技能数据'!Z$13</f>
        <v>149818.07201427966</v>
      </c>
      <c r="Q61" s="141" t="s">
        <v>226</v>
      </c>
      <c r="R61" s="143">
        <f>'分析-单技能数据'!AC$13</f>
        <v>149819.94691868086</v>
      </c>
      <c r="T61" s="141" t="s">
        <v>226</v>
      </c>
      <c r="U61" s="143">
        <f>'分析-单技能数据'!AF$13</f>
        <v>149818.4789300375</v>
      </c>
      <c r="W61" s="141" t="s">
        <v>226</v>
      </c>
      <c r="X61" s="143">
        <f>'分析-单技能数据'!AI$13</f>
        <v>149810.80677315805</v>
      </c>
      <c r="Z61" s="141" t="s">
        <v>226</v>
      </c>
      <c r="AA61" s="143">
        <f>'分析-单技能数据'!AL$13</f>
        <v>149819.12182927373</v>
      </c>
      <c r="AB61" s="43"/>
    </row>
    <row r="62" spans="5:28" x14ac:dyDescent="0.2">
      <c r="E62" s="141" t="s">
        <v>221</v>
      </c>
      <c r="F62" s="143">
        <f>'分析-单技能数据'!Q$26</f>
        <v>81442.925511051028</v>
      </c>
      <c r="H62" s="141" t="s">
        <v>221</v>
      </c>
      <c r="I62" s="143">
        <f>'分析-单技能数据'!T$26</f>
        <v>81453.153465274023</v>
      </c>
      <c r="K62" s="141" t="s">
        <v>221</v>
      </c>
      <c r="L62" s="143">
        <f>'分析-单技能数据'!W$26</f>
        <v>81450.262680685715</v>
      </c>
      <c r="N62" s="141" t="s">
        <v>221</v>
      </c>
      <c r="O62" s="143">
        <f>'分析-单技能数据'!Z$26</f>
        <v>81446.921106432172</v>
      </c>
      <c r="Q62" s="141" t="s">
        <v>221</v>
      </c>
      <c r="R62" s="143">
        <f>'分析-单技能数据'!AC$26</f>
        <v>81448.006207125596</v>
      </c>
      <c r="T62" s="141" t="s">
        <v>221</v>
      </c>
      <c r="U62" s="143">
        <f>'分析-单技能数据'!AF$26</f>
        <v>81447.096182463385</v>
      </c>
      <c r="W62" s="141" t="s">
        <v>221</v>
      </c>
      <c r="X62" s="143">
        <f>'分析-单技能数据'!AI$26</f>
        <v>81442.925511051028</v>
      </c>
      <c r="Z62" s="141" t="s">
        <v>221</v>
      </c>
      <c r="AA62" s="143">
        <f>'分析-单技能数据'!AL$26</f>
        <v>81447.139065783165</v>
      </c>
      <c r="AB62" s="43"/>
    </row>
    <row r="63" spans="5:28" x14ac:dyDescent="0.2">
      <c r="E63" s="141" t="s">
        <v>222</v>
      </c>
      <c r="F63" s="143">
        <f>'分析-单技能数据'!Q$18</f>
        <v>96062.781715670615</v>
      </c>
      <c r="H63" s="141" t="s">
        <v>222</v>
      </c>
      <c r="I63" s="143">
        <f>'分析-单技能数据'!T$18</f>
        <v>96074.834266881066</v>
      </c>
      <c r="K63" s="141" t="s">
        <v>222</v>
      </c>
      <c r="L63" s="143">
        <f>'分析-单技能数据'!W$18</f>
        <v>96071.438074056874</v>
      </c>
      <c r="N63" s="141" t="s">
        <v>222</v>
      </c>
      <c r="O63" s="143">
        <f>'分析-单技能数据'!Z$18</f>
        <v>96067.41992949984</v>
      </c>
      <c r="Q63" s="141" t="s">
        <v>222</v>
      </c>
      <c r="R63" s="143">
        <f>'分析-单技能数据'!AC$18</f>
        <v>96068.61689012048</v>
      </c>
      <c r="T63" s="141" t="s">
        <v>222</v>
      </c>
      <c r="U63" s="143">
        <f>'分析-单技能数据'!AF$18</f>
        <v>96067.679709218588</v>
      </c>
      <c r="W63" s="141" t="s">
        <v>222</v>
      </c>
      <c r="X63" s="143">
        <f>'分析-单技能数据'!AI$18</f>
        <v>96062.781715670615</v>
      </c>
      <c r="Z63" s="141" t="s">
        <v>222</v>
      </c>
      <c r="AA63" s="143">
        <f>'分析-单技能数据'!AL$18</f>
        <v>96068.132956507499</v>
      </c>
      <c r="AB63" s="43"/>
    </row>
    <row r="64" spans="5:28" x14ac:dyDescent="0.2">
      <c r="E64" s="141" t="s">
        <v>223</v>
      </c>
      <c r="F64" s="143">
        <f>'分析-单技能数据'!Q$5</f>
        <v>26546.340795239732</v>
      </c>
      <c r="H64" s="141" t="s">
        <v>223</v>
      </c>
      <c r="I64" s="143">
        <f>'分析-单技能数据'!T$5</f>
        <v>26549.652665959875</v>
      </c>
      <c r="K64" s="141" t="s">
        <v>223</v>
      </c>
      <c r="L64" s="143">
        <f>'分析-单技能数据'!W$5</f>
        <v>26548.718422414371</v>
      </c>
      <c r="N64" s="141" t="s">
        <v>223</v>
      </c>
      <c r="O64" s="143">
        <f>'分析-单技能数据'!Z$5</f>
        <v>26547.618165339583</v>
      </c>
      <c r="Q64" s="141" t="s">
        <v>223</v>
      </c>
      <c r="R64" s="143">
        <f>'分析-单技能数据'!AC$5</f>
        <v>26547.947809845809</v>
      </c>
      <c r="T64" s="141" t="s">
        <v>223</v>
      </c>
      <c r="U64" s="143">
        <f>'分析-单技能数据'!AF$5</f>
        <v>26547.689709010818</v>
      </c>
      <c r="W64" s="141" t="s">
        <v>223</v>
      </c>
      <c r="X64" s="143">
        <f>'分析-单技能数据'!AI$5</f>
        <v>26546.340795239732</v>
      </c>
      <c r="Z64" s="141" t="s">
        <v>223</v>
      </c>
      <c r="AA64" s="143">
        <f>'分析-单技能数据'!AL$5</f>
        <v>26547.823721662528</v>
      </c>
      <c r="AB64" s="43"/>
    </row>
    <row r="65" spans="5:28" x14ac:dyDescent="0.2">
      <c r="E65" s="141" t="s">
        <v>224</v>
      </c>
      <c r="F65" s="143">
        <f>'分析-单技能数据'!Q$10</f>
        <v>32409.128640161907</v>
      </c>
      <c r="H65" s="141" t="s">
        <v>224</v>
      </c>
      <c r="I65" s="143">
        <f>'分析-单技能数据'!T$10</f>
        <v>32413.165227482659</v>
      </c>
      <c r="K65" s="141" t="s">
        <v>224</v>
      </c>
      <c r="L65" s="143">
        <f>'分析-单技能数据'!W$10</f>
        <v>32412.030556679889</v>
      </c>
      <c r="N65" s="141" t="s">
        <v>224</v>
      </c>
      <c r="O65" s="143">
        <f>'分析-单技能数据'!Z$10</f>
        <v>32410.619622263333</v>
      </c>
      <c r="Q65" s="141" t="s">
        <v>224</v>
      </c>
      <c r="R65" s="143">
        <f>'分析-单技能数据'!AC$10</f>
        <v>32411.29448412051</v>
      </c>
      <c r="T65" s="141" t="s">
        <v>224</v>
      </c>
      <c r="U65" s="143">
        <f>'分析-单技能数据'!AF$10</f>
        <v>32410.779084153099</v>
      </c>
      <c r="W65" s="141" t="s">
        <v>224</v>
      </c>
      <c r="X65" s="143">
        <f>'分析-单技能数据'!AI$10</f>
        <v>32409.128640161907</v>
      </c>
      <c r="Z65" s="141" t="s">
        <v>224</v>
      </c>
      <c r="AA65" s="143">
        <f>'分析-单技能数据'!AL$10</f>
        <v>32410.720030086915</v>
      </c>
      <c r="AB65" s="43"/>
    </row>
    <row r="66" spans="5:28" x14ac:dyDescent="0.2">
      <c r="E66" s="141" t="s">
        <v>228</v>
      </c>
      <c r="F66" s="143">
        <f>'分析-单技能数据'!Q$17*3</f>
        <v>155724.29530840198</v>
      </c>
      <c r="H66" s="141" t="s">
        <v>228</v>
      </c>
      <c r="I66" s="143">
        <f>'分析-单技能数据'!T$17*3</f>
        <v>155743.81615933194</v>
      </c>
      <c r="K66" s="141" t="s">
        <v>228</v>
      </c>
      <c r="L66" s="143">
        <f>'分析-单技能数据'!W$17*3</f>
        <v>155738.30645490927</v>
      </c>
      <c r="N66" s="141" t="s">
        <v>228</v>
      </c>
      <c r="O66" s="143">
        <f>'分析-单技能数据'!Z$17*3</f>
        <v>155731.83302969811</v>
      </c>
      <c r="Q66" s="141" t="s">
        <v>228</v>
      </c>
      <c r="R66" s="143">
        <f>'分析-单技能数据'!AC$17*3</f>
        <v>155733.7782516937</v>
      </c>
      <c r="T66" s="141" t="s">
        <v>228</v>
      </c>
      <c r="U66" s="143">
        <f>'分析-单技能数据'!AF$17*3</f>
        <v>155732.25520668057</v>
      </c>
      <c r="W66" s="141" t="s">
        <v>228</v>
      </c>
      <c r="X66" s="143">
        <f>'分析-单技能数据'!AI$17*3</f>
        <v>155724.29530840198</v>
      </c>
      <c r="Z66" s="141" t="s">
        <v>228</v>
      </c>
      <c r="AA66" s="143">
        <f>'分析-单技能数据'!AL$17*3</f>
        <v>155732.95214681083</v>
      </c>
      <c r="AB66" s="43"/>
    </row>
    <row r="67" spans="5:28" x14ac:dyDescent="0.2">
      <c r="E67" s="141" t="s">
        <v>229</v>
      </c>
      <c r="F67" s="143">
        <f>'分析-单技能数据'!Q$14</f>
        <v>174016.03786710164</v>
      </c>
      <c r="H67" s="141" t="s">
        <v>229</v>
      </c>
      <c r="I67" s="143">
        <f>'分析-单技能数据'!T$14</f>
        <v>174037.91734829094</v>
      </c>
      <c r="K67" s="141" t="s">
        <v>229</v>
      </c>
      <c r="L67" s="143">
        <f>'分析-单技能数据'!W$14</f>
        <v>174031.74348086552</v>
      </c>
      <c r="N67" s="141" t="s">
        <v>229</v>
      </c>
      <c r="O67" s="143">
        <f>'分析-单技能数据'!Z$14</f>
        <v>174024.48198512112</v>
      </c>
      <c r="Q67" s="141" t="s">
        <v>229</v>
      </c>
      <c r="R67" s="143">
        <f>'分析-单技能数据'!AC$14</f>
        <v>174026.661116381</v>
      </c>
      <c r="T67" s="141" t="s">
        <v>229</v>
      </c>
      <c r="U67" s="143">
        <f>'分析-单技能数据'!AF$14</f>
        <v>174024.9549280869</v>
      </c>
      <c r="W67" s="141" t="s">
        <v>229</v>
      </c>
      <c r="X67" s="143">
        <f>'分析-单技能数据'!AI$14</f>
        <v>174016.03786710164</v>
      </c>
      <c r="Z67" s="141" t="s">
        <v>229</v>
      </c>
      <c r="AA67" s="143">
        <f>'分析-单技能数据'!AL$14</f>
        <v>174025.69164541728</v>
      </c>
      <c r="AB67" s="43"/>
    </row>
    <row r="68" spans="5:28" x14ac:dyDescent="0.2">
      <c r="E68" s="141" t="s">
        <v>230</v>
      </c>
      <c r="F68" s="143">
        <f>'分析-单技能数据'!Q$15*3</f>
        <v>90903.214359333331</v>
      </c>
      <c r="H68" s="141" t="s">
        <v>230</v>
      </c>
      <c r="I68" s="143">
        <f>'分析-单技能数据'!T$15*3</f>
        <v>90914.559336784849</v>
      </c>
      <c r="K68" s="141" t="s">
        <v>230</v>
      </c>
      <c r="L68" s="143">
        <f>'分析-单技能数据'!W$15*3</f>
        <v>90911.357249300854</v>
      </c>
      <c r="N68" s="141" t="s">
        <v>230</v>
      </c>
      <c r="O68" s="143">
        <f>'分析-单技能数据'!Z$15*3</f>
        <v>90907.59507400851</v>
      </c>
      <c r="Q68" s="141" t="s">
        <v>230</v>
      </c>
      <c r="R68" s="143">
        <f>'分析-单技能数据'!AC$15*3</f>
        <v>90908.725583111678</v>
      </c>
      <c r="T68" s="141" t="s">
        <v>230</v>
      </c>
      <c r="U68" s="143">
        <f>'分析-单技能数据'!AF$15*3</f>
        <v>90907.84043156814</v>
      </c>
      <c r="W68" s="141" t="s">
        <v>230</v>
      </c>
      <c r="X68" s="143">
        <f>'分析-单技能数据'!AI$15*3</f>
        <v>90903.214359333331</v>
      </c>
      <c r="Z68" s="141" t="s">
        <v>230</v>
      </c>
      <c r="AA68" s="143">
        <f>'分析-单技能数据'!AL$15*3</f>
        <v>90908.28612888846</v>
      </c>
      <c r="AB68" s="43"/>
    </row>
    <row r="69" spans="5:28" x14ac:dyDescent="0.2">
      <c r="E69" s="141" t="s">
        <v>231</v>
      </c>
      <c r="F69" s="143">
        <v>0</v>
      </c>
      <c r="H69" s="141" t="s">
        <v>231</v>
      </c>
      <c r="I69" s="143">
        <v>0</v>
      </c>
      <c r="K69" s="141" t="s">
        <v>231</v>
      </c>
      <c r="L69" s="143">
        <v>0</v>
      </c>
      <c r="N69" s="141" t="s">
        <v>231</v>
      </c>
      <c r="O69" s="143">
        <v>0</v>
      </c>
      <c r="Q69" s="141" t="s">
        <v>231</v>
      </c>
      <c r="R69" s="143">
        <v>0</v>
      </c>
      <c r="T69" s="141" t="s">
        <v>231</v>
      </c>
      <c r="U69" s="143">
        <v>0</v>
      </c>
      <c r="W69" s="141" t="s">
        <v>231</v>
      </c>
      <c r="X69" s="143">
        <v>0</v>
      </c>
      <c r="Z69" s="141" t="s">
        <v>231</v>
      </c>
      <c r="AA69" s="143">
        <v>0</v>
      </c>
      <c r="AB69" s="43"/>
    </row>
    <row r="70" spans="5:28" x14ac:dyDescent="0.2">
      <c r="E70" s="141" t="s">
        <v>232</v>
      </c>
      <c r="F70" s="143">
        <f>'分析-单技能数据'!Q$19*10</f>
        <v>138649.68972452078</v>
      </c>
      <c r="H70" s="141" t="s">
        <v>232</v>
      </c>
      <c r="I70" s="143">
        <f>'分析-单技能数据'!T$19*10</f>
        <v>138667.27593068479</v>
      </c>
      <c r="K70" s="141" t="s">
        <v>232</v>
      </c>
      <c r="L70" s="143">
        <f>'分析-单技能数据'!W$19*10</f>
        <v>138662.2841553058</v>
      </c>
      <c r="N70" s="141" t="s">
        <v>232</v>
      </c>
      <c r="O70" s="143">
        <f>'分析-单技能数据'!Z$19*10</f>
        <v>138656.92936066535</v>
      </c>
      <c r="Q70" s="141" t="s">
        <v>232</v>
      </c>
      <c r="R70" s="143">
        <f>'分析-单技能数据'!AC$19*10</f>
        <v>138657.19618887789</v>
      </c>
      <c r="T70" s="141" t="s">
        <v>232</v>
      </c>
      <c r="U70" s="143">
        <f>'分析-单技能数据'!AF$19*10</f>
        <v>138656.82064458259</v>
      </c>
      <c r="W70" s="141" t="s">
        <v>232</v>
      </c>
      <c r="X70" s="143">
        <f>'分析-单技能数据'!AI$19*10</f>
        <v>138649.68972452078</v>
      </c>
      <c r="Z70" s="141" t="s">
        <v>232</v>
      </c>
      <c r="AA70" s="143">
        <f>'分析-单技能数据'!AL$19*10</f>
        <v>138657.9109914265</v>
      </c>
      <c r="AB70" s="43"/>
    </row>
    <row r="71" spans="5:28" x14ac:dyDescent="0.2">
      <c r="E71" s="141" t="s">
        <v>233</v>
      </c>
      <c r="F71" s="143">
        <f>'分析-单技能数据'!Q$11*10</f>
        <v>64733.187338606207</v>
      </c>
      <c r="H71" s="141" t="s">
        <v>233</v>
      </c>
      <c r="I71" s="143">
        <f>'分析-单技能数据'!T$11*10</f>
        <v>64741.225179326226</v>
      </c>
      <c r="K71" s="141" t="s">
        <v>233</v>
      </c>
      <c r="L71" s="143">
        <f>'分析-单技能数据'!W$11*10</f>
        <v>64738.951457141258</v>
      </c>
      <c r="N71" s="141" t="s">
        <v>233</v>
      </c>
      <c r="O71" s="143">
        <f>'分析-单技能数据'!Z$11*10</f>
        <v>64736.194974758226</v>
      </c>
      <c r="Q71" s="141" t="s">
        <v>233</v>
      </c>
      <c r="R71" s="143">
        <f>'分析-单技能数据'!AC$11*10</f>
        <v>64737.556318343311</v>
      </c>
      <c r="T71" s="141" t="s">
        <v>233</v>
      </c>
      <c r="U71" s="143">
        <f>'分析-单技能数据'!AF$11*10</f>
        <v>64736.516644176038</v>
      </c>
      <c r="W71" s="141" t="s">
        <v>233</v>
      </c>
      <c r="X71" s="143">
        <f>'分析-单技能数据'!AI$11*10</f>
        <v>64733.187338606207</v>
      </c>
      <c r="Z71" s="141" t="s">
        <v>233</v>
      </c>
      <c r="AA71" s="143">
        <f>'分析-单技能数据'!AL$11*10</f>
        <v>64736.332249704035</v>
      </c>
      <c r="AB71" s="43"/>
    </row>
    <row r="72" spans="5:28" x14ac:dyDescent="0.2">
      <c r="E72" s="141" t="s">
        <v>234</v>
      </c>
      <c r="F72" s="143">
        <f>'分析-单技能数据'!Q$20*3</f>
        <v>31710.439866664499</v>
      </c>
      <c r="H72" s="141" t="s">
        <v>234</v>
      </c>
      <c r="I72" s="143">
        <f>'分析-单技能数据'!T$20*3</f>
        <v>31714.269786493773</v>
      </c>
      <c r="K72" s="141" t="s">
        <v>234</v>
      </c>
      <c r="L72" s="143">
        <f>'分析-单技能数据'!W$20*3</f>
        <v>31713.155909651905</v>
      </c>
      <c r="N72" s="141" t="s">
        <v>234</v>
      </c>
      <c r="O72" s="143">
        <f>'分析-单技能数据'!Z$20*3</f>
        <v>31712.095637024147</v>
      </c>
      <c r="Q72" s="141" t="s">
        <v>234</v>
      </c>
      <c r="R72" s="143">
        <f>'分析-单技能数据'!AC$20*3</f>
        <v>31712.15666305316</v>
      </c>
      <c r="T72" s="141" t="s">
        <v>234</v>
      </c>
      <c r="U72" s="143">
        <f>'分析-单技能数据'!AF$20*3</f>
        <v>31712.070772671312</v>
      </c>
      <c r="W72" s="141" t="s">
        <v>234</v>
      </c>
      <c r="X72" s="143">
        <f>'分析-单技能数据'!AI$20*3</f>
        <v>31710.439866664499</v>
      </c>
      <c r="Z72" s="141" t="s">
        <v>234</v>
      </c>
      <c r="AA72" s="143">
        <f>'分析-单技能数据'!AL$20*3</f>
        <v>31712.320144870384</v>
      </c>
      <c r="AB72" s="43"/>
    </row>
    <row r="73" spans="5:28" x14ac:dyDescent="0.2">
      <c r="E73" s="141" t="s">
        <v>235</v>
      </c>
      <c r="F73" s="143">
        <f>'分析-单技能数据'!Q$21*4</f>
        <v>38052.527839997405</v>
      </c>
      <c r="H73" s="141" t="s">
        <v>235</v>
      </c>
      <c r="I73" s="143">
        <f>'分析-单技能数据'!T$21*4</f>
        <v>38057.12374379253</v>
      </c>
      <c r="K73" s="141" t="s">
        <v>235</v>
      </c>
      <c r="L73" s="143">
        <f>'分析-单技能数据'!W$21*4</f>
        <v>38055.787091582293</v>
      </c>
      <c r="N73" s="141" t="s">
        <v>235</v>
      </c>
      <c r="O73" s="143">
        <f>'分析-单技能数据'!Z$21*4</f>
        <v>38054.514764428975</v>
      </c>
      <c r="Q73" s="141" t="s">
        <v>235</v>
      </c>
      <c r="R73" s="143">
        <f>'分析-单技能数据'!AC$21*4</f>
        <v>38054.587995663787</v>
      </c>
      <c r="T73" s="141" t="s">
        <v>235</v>
      </c>
      <c r="U73" s="143">
        <f>'分析-单技能数据'!AF$21*4</f>
        <v>38054.484927205573</v>
      </c>
      <c r="W73" s="141" t="s">
        <v>235</v>
      </c>
      <c r="X73" s="143">
        <f>'分析-单技能数据'!AI$21*4</f>
        <v>38052.527839997405</v>
      </c>
      <c r="Z73" s="141" t="s">
        <v>235</v>
      </c>
      <c r="AA73" s="143">
        <f>'分析-单技能数据'!AL$21*4</f>
        <v>38054.784173844462</v>
      </c>
      <c r="AB73" s="43"/>
    </row>
    <row r="74" spans="5:28" x14ac:dyDescent="0.2">
      <c r="E74" s="147" t="s">
        <v>236</v>
      </c>
      <c r="F74" s="148">
        <f>'分析-单技能数据'!Q$25*F77/(15/16)</f>
        <v>7498.245271591748</v>
      </c>
      <c r="H74" s="147" t="s">
        <v>236</v>
      </c>
      <c r="I74" s="148">
        <f>'分析-单技能数据'!T$25*I77/(15/16)</f>
        <v>7498.245271591748</v>
      </c>
      <c r="K74" s="147" t="s">
        <v>236</v>
      </c>
      <c r="L74" s="148">
        <f>'分析-单技能数据'!W$25*L77/(15/16)</f>
        <v>7498.245271591748</v>
      </c>
      <c r="N74" s="147" t="s">
        <v>236</v>
      </c>
      <c r="O74" s="148">
        <f>'分析-单技能数据'!Z$25*O77/(15/16)</f>
        <v>7498.245271591748</v>
      </c>
      <c r="Q74" s="147" t="s">
        <v>236</v>
      </c>
      <c r="R74" s="148">
        <f>'分析-单技能数据'!AC$25*R77/(15/16)</f>
        <v>7498.245271591748</v>
      </c>
      <c r="T74" s="147" t="s">
        <v>236</v>
      </c>
      <c r="U74" s="148">
        <f>'分析-单技能数据'!AF$25*U77/(15/16)</f>
        <v>7498.245271591748</v>
      </c>
      <c r="W74" s="147" t="s">
        <v>236</v>
      </c>
      <c r="X74" s="148">
        <f>'分析-单技能数据'!AI$25*X77/(15/16)</f>
        <v>7498.245271591748</v>
      </c>
      <c r="Z74" s="147" t="s">
        <v>236</v>
      </c>
      <c r="AA74" s="148">
        <f>'分析-单技能数据'!AL$25*AA77/(15/16)</f>
        <v>7499.0062896981608</v>
      </c>
      <c r="AB74" s="43"/>
    </row>
    <row r="75" spans="5:28" x14ac:dyDescent="0.2">
      <c r="E75" s="149"/>
      <c r="F75" s="150"/>
      <c r="H75" s="149"/>
      <c r="I75" s="150"/>
      <c r="K75" s="149"/>
      <c r="L75" s="150"/>
      <c r="N75" s="149"/>
      <c r="O75" s="150"/>
      <c r="Q75" s="149"/>
      <c r="R75" s="150"/>
      <c r="T75" s="149"/>
      <c r="U75" s="150"/>
      <c r="W75" s="149"/>
      <c r="X75" s="150"/>
      <c r="Z75" s="149"/>
      <c r="AA75" s="150"/>
    </row>
    <row r="76" spans="5:28" x14ac:dyDescent="0.2">
      <c r="E76" s="151" t="s">
        <v>238</v>
      </c>
      <c r="F76" s="152">
        <f>SUM(F48:F74)</f>
        <v>2038811.0925205462</v>
      </c>
      <c r="H76" s="151" t="s">
        <v>238</v>
      </c>
      <c r="I76" s="152">
        <f>SUM(I48:I74)</f>
        <v>2039065.5389343146</v>
      </c>
      <c r="K76" s="151" t="s">
        <v>238</v>
      </c>
      <c r="L76" s="152">
        <f>SUM(L48:L74)</f>
        <v>2038993.6432738986</v>
      </c>
      <c r="N76" s="151" t="s">
        <v>238</v>
      </c>
      <c r="O76" s="152">
        <f>SUM(O48:O74)</f>
        <v>2038909.9343352893</v>
      </c>
      <c r="Q76" s="151" t="s">
        <v>238</v>
      </c>
      <c r="R76" s="152">
        <f>SUM(R48:R74)</f>
        <v>2038934.6755477395</v>
      </c>
      <c r="T76" s="151" t="s">
        <v>238</v>
      </c>
      <c r="U76" s="152">
        <f>SUM(U48:U74)</f>
        <v>2038914.9570727802</v>
      </c>
      <c r="W76" s="151" t="s">
        <v>238</v>
      </c>
      <c r="X76" s="152">
        <f>SUM(X48:X74)</f>
        <v>2038811.0925205462</v>
      </c>
      <c r="Z76" s="151" t="s">
        <v>238</v>
      </c>
      <c r="AA76" s="152">
        <f>SUM(AA48:AA74)</f>
        <v>2038923.6808879015</v>
      </c>
    </row>
    <row r="77" spans="5:28" x14ac:dyDescent="0.2">
      <c r="E77" s="149" t="s">
        <v>239</v>
      </c>
      <c r="F77" s="153">
        <f>IF(分析模式!$C$17="21GCD驱夷",$C$20*21,18.375)</f>
        <v>18.375</v>
      </c>
      <c r="H77" s="149" t="s">
        <v>239</v>
      </c>
      <c r="I77" s="153">
        <f>IF(分析模式!$C$17="21GCD驱夷",$C$20*21,18.375)</f>
        <v>18.375</v>
      </c>
      <c r="J77" s="19"/>
      <c r="K77" s="149" t="s">
        <v>239</v>
      </c>
      <c r="L77" s="153">
        <f>IF(分析模式!$C$17="21GCD驱夷",$C$20*21,18.375)</f>
        <v>18.375</v>
      </c>
      <c r="N77" s="149" t="s">
        <v>239</v>
      </c>
      <c r="O77" s="153">
        <f>IF(分析模式!$C$17="21GCD驱夷",$C$20*21,18.375)</f>
        <v>18.375</v>
      </c>
      <c r="Q77" s="149" t="s">
        <v>239</v>
      </c>
      <c r="R77" s="153">
        <f>IF(分析模式!$C$17="21GCD驱夷",$C$20*21,18.375)</f>
        <v>18.375</v>
      </c>
      <c r="T77" s="149" t="s">
        <v>239</v>
      </c>
      <c r="U77" s="153">
        <f>IF(分析模式!$C$17="21GCD驱夷",$C$20*21,18.375)</f>
        <v>18.375</v>
      </c>
      <c r="W77" s="149" t="s">
        <v>239</v>
      </c>
      <c r="X77" s="153">
        <f>IF(分析模式!$C$17="21GCD驱夷",$C$20*21,18.375)</f>
        <v>18.375</v>
      </c>
      <c r="Z77" s="149" t="s">
        <v>239</v>
      </c>
      <c r="AA77" s="153">
        <f>IF(分析模式!$C$17="21GCD驱夷",$C$20*21,18.375)</f>
        <v>18.375</v>
      </c>
    </row>
    <row r="78" spans="5:28" x14ac:dyDescent="0.2">
      <c r="E78" s="149" t="s">
        <v>522</v>
      </c>
      <c r="F78" s="154">
        <f>F76/F77</f>
        <v>110955.70571540388</v>
      </c>
      <c r="H78" s="149" t="s">
        <v>522</v>
      </c>
      <c r="I78" s="154">
        <f>I76/I77</f>
        <v>110969.55313928243</v>
      </c>
      <c r="J78" s="155"/>
      <c r="K78" s="149" t="s">
        <v>522</v>
      </c>
      <c r="L78" s="154">
        <f>L76/L77</f>
        <v>110965.6404502802</v>
      </c>
      <c r="N78" s="149" t="s">
        <v>522</v>
      </c>
      <c r="O78" s="154">
        <f>O76/O77</f>
        <v>110961.08486178445</v>
      </c>
      <c r="Q78" s="149" t="s">
        <v>522</v>
      </c>
      <c r="R78" s="154">
        <f>R76/R77</f>
        <v>110962.43132232595</v>
      </c>
      <c r="T78" s="149" t="s">
        <v>522</v>
      </c>
      <c r="U78" s="154">
        <f>U76/U77</f>
        <v>110961.35820804247</v>
      </c>
      <c r="W78" s="149" t="s">
        <v>522</v>
      </c>
      <c r="X78" s="154">
        <f>X76/X77</f>
        <v>110955.70571540388</v>
      </c>
      <c r="Z78" s="149" t="s">
        <v>522</v>
      </c>
      <c r="AA78" s="154">
        <f>AA76/AA77</f>
        <v>110961.83297349124</v>
      </c>
    </row>
    <row r="79" spans="5:28" x14ac:dyDescent="0.2">
      <c r="E79" s="149" t="s">
        <v>523</v>
      </c>
      <c r="F79" s="154">
        <f>'分析-单技能数据'!Q22/(20+'分析-单技能数据'!$R$22)+'分析-单技能数据'!Q23/(20+'分析-单技能数据'!$R$23)</f>
        <v>1930.2671924920596</v>
      </c>
      <c r="H79" s="149" t="s">
        <v>523</v>
      </c>
      <c r="I79" s="154">
        <f>'分析-单技能数据'!T22/(20+'分析-单技能数据'!$R$22)+'分析-单技能数据'!T23/(20+'分析-单技能数据'!$R$23)</f>
        <v>1930.5128383496217</v>
      </c>
      <c r="J79" s="155"/>
      <c r="K79" s="149" t="s">
        <v>523</v>
      </c>
      <c r="L79" s="154">
        <f>'分析-单技能数据'!W22/(20+'分析-单技能数据'!$R$22)+'分析-单技能数据'!W23/(20+'分析-单技能数据'!$R$23)</f>
        <v>1930.4432258926545</v>
      </c>
      <c r="N79" s="149" t="s">
        <v>523</v>
      </c>
      <c r="O79" s="154">
        <f>'分析-单技能数据'!Z22/(20+'分析-单技能数据'!$R$22)+'分析-单技能数据'!Z23/(20+'分析-单技能数据'!$R$23)</f>
        <v>1930.3679819865274</v>
      </c>
      <c r="Q79" s="149" t="s">
        <v>523</v>
      </c>
      <c r="R79" s="154">
        <f>'分析-单技能数据'!AC22/(20+'分析-单技能数据'!$R$22)+'分析-单技能数据'!AC23/(20+'分析-单技能数据'!$R$23)</f>
        <v>1930.3716967423679</v>
      </c>
      <c r="T79" s="149" t="s">
        <v>523</v>
      </c>
      <c r="U79" s="154">
        <f>'分析-单技能数据'!AF22/(20+'分析-单技能数据'!$R$22)+'分析-单技能数据'!AF23/(20+'分析-单技能数据'!$R$23)</f>
        <v>1930.3664684520336</v>
      </c>
      <c r="W79" s="149" t="s">
        <v>523</v>
      </c>
      <c r="X79" s="154">
        <f>'分析-单技能数据'!AI22/(20+'分析-单技能数据'!$R$22)+'分析-单技能数据'!AI23/(20+'分析-单技能数据'!$R$23)</f>
        <v>1930.2671924920596</v>
      </c>
      <c r="Z79" s="149" t="s">
        <v>523</v>
      </c>
      <c r="AA79" s="154">
        <f>'分析-单技能数据'!AL22/(20+'分析-单技能数据'!$R$22)+'分析-单技能数据'!AL23/(20+'分析-单技能数据'!$R$23)</f>
        <v>1930.3816481523668</v>
      </c>
    </row>
    <row r="80" spans="5:28" x14ac:dyDescent="0.2">
      <c r="E80" s="149" t="s">
        <v>524</v>
      </c>
      <c r="F80" s="154">
        <f>F78+F79</f>
        <v>112885.97290789594</v>
      </c>
      <c r="H80" s="149" t="s">
        <v>524</v>
      </c>
      <c r="I80" s="154">
        <f>I78+I79</f>
        <v>112900.06597763205</v>
      </c>
      <c r="J80" s="155"/>
      <c r="K80" s="149" t="s">
        <v>524</v>
      </c>
      <c r="L80" s="154">
        <f>L78+L79</f>
        <v>112896.08367617286</v>
      </c>
      <c r="N80" s="149" t="s">
        <v>524</v>
      </c>
      <c r="O80" s="154">
        <f>O78+O79</f>
        <v>112891.45284377097</v>
      </c>
      <c r="Q80" s="149" t="s">
        <v>524</v>
      </c>
      <c r="R80" s="154">
        <f>R78+R79</f>
        <v>112892.80301906832</v>
      </c>
      <c r="T80" s="149" t="s">
        <v>524</v>
      </c>
      <c r="U80" s="154">
        <f>U78+U79</f>
        <v>112891.7246764945</v>
      </c>
      <c r="W80" s="149" t="s">
        <v>524</v>
      </c>
      <c r="X80" s="154">
        <f>X78+X79</f>
        <v>112885.97290789594</v>
      </c>
      <c r="Z80" s="149" t="s">
        <v>524</v>
      </c>
      <c r="AA80" s="154">
        <f>AA78+AA79</f>
        <v>112892.21462164361</v>
      </c>
    </row>
    <row r="81" spans="5:27" x14ac:dyDescent="0.2">
      <c r="E81" s="156" t="s">
        <v>61</v>
      </c>
      <c r="F81" s="157">
        <f>F80/$F$80-1</f>
        <v>0</v>
      </c>
      <c r="H81" s="156" t="s">
        <v>61</v>
      </c>
      <c r="I81" s="157">
        <f>I80/$F$80-1</f>
        <v>1.2484340944296513E-4</v>
      </c>
      <c r="J81" s="158"/>
      <c r="K81" s="156" t="s">
        <v>61</v>
      </c>
      <c r="L81" s="157">
        <f>L80/$F$80-1</f>
        <v>8.9566205760283069E-5</v>
      </c>
      <c r="N81" s="156" t="s">
        <v>61</v>
      </c>
      <c r="O81" s="157">
        <f>O80/$F$80-1</f>
        <v>4.8543992968053118E-5</v>
      </c>
      <c r="Q81" s="156" t="s">
        <v>61</v>
      </c>
      <c r="R81" s="157">
        <f>R80/$F$80-1</f>
        <v>6.0504516163017996E-5</v>
      </c>
      <c r="T81" s="156" t="s">
        <v>61</v>
      </c>
      <c r="U81" s="157">
        <f>U80/$F$80-1</f>
        <v>5.0952022207839676E-5</v>
      </c>
      <c r="W81" s="156" t="s">
        <v>61</v>
      </c>
      <c r="X81" s="157">
        <f>X80/$F$80-1</f>
        <v>0</v>
      </c>
      <c r="Z81" s="156" t="s">
        <v>61</v>
      </c>
      <c r="AA81" s="157">
        <f>AA80/$F$80-1</f>
        <v>5.5292199614198623E-5</v>
      </c>
    </row>
  </sheetData>
  <mergeCells count="19">
    <mergeCell ref="T46:U46"/>
    <mergeCell ref="W46:X46"/>
    <mergeCell ref="Z46:AA46"/>
    <mergeCell ref="T2:U2"/>
    <mergeCell ref="W2:X2"/>
    <mergeCell ref="Z2:AA2"/>
    <mergeCell ref="Q46:R46"/>
    <mergeCell ref="N46:O46"/>
    <mergeCell ref="K46:L46"/>
    <mergeCell ref="Q2:R2"/>
    <mergeCell ref="N2:O2"/>
    <mergeCell ref="K2:L2"/>
    <mergeCell ref="H2:I2"/>
    <mergeCell ref="B2:C2"/>
    <mergeCell ref="B10:C17"/>
    <mergeCell ref="E46:F46"/>
    <mergeCell ref="E2:F2"/>
    <mergeCell ref="H46:I46"/>
    <mergeCell ref="B23:C26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2A1F9-6111-4598-AD2F-02209AE55206}">
  <sheetPr codeName="Sheet3"/>
  <dimension ref="B1:Y23"/>
  <sheetViews>
    <sheetView workbookViewId="0">
      <selection activeCell="G4" sqref="G4:G5"/>
    </sheetView>
  </sheetViews>
  <sheetFormatPr defaultRowHeight="15" customHeight="1" x14ac:dyDescent="0.2"/>
  <cols>
    <col min="1" max="1" width="1.625" style="58" customWidth="1"/>
    <col min="2" max="5" width="12.625" style="58" customWidth="1"/>
    <col min="6" max="6" width="4.625" style="58" customWidth="1"/>
    <col min="7" max="19" width="8.625" style="58" customWidth="1"/>
    <col min="20" max="20" width="4.625" style="58" customWidth="1"/>
    <col min="21" max="24" width="9" style="58" customWidth="1"/>
    <col min="25" max="16384" width="9" style="58"/>
  </cols>
  <sheetData>
    <row r="1" spans="2:25" ht="15" customHeight="1" thickBot="1" x14ac:dyDescent="0.25"/>
    <row r="2" spans="2:25" ht="15" customHeight="1" x14ac:dyDescent="0.2">
      <c r="G2" s="213" t="s">
        <v>549</v>
      </c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5"/>
    </row>
    <row r="3" spans="2:25" ht="15" customHeight="1" x14ac:dyDescent="0.2">
      <c r="G3" s="216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8"/>
    </row>
    <row r="4" spans="2:25" ht="15" customHeight="1" x14ac:dyDescent="0.2">
      <c r="G4" s="224" t="s">
        <v>459</v>
      </c>
      <c r="H4" s="211" t="s">
        <v>461</v>
      </c>
      <c r="I4" s="211"/>
      <c r="J4" s="211"/>
      <c r="K4" s="211" t="s">
        <v>147</v>
      </c>
      <c r="L4" s="211"/>
      <c r="M4" s="211"/>
      <c r="N4" s="226" t="s">
        <v>148</v>
      </c>
      <c r="O4" s="226"/>
      <c r="P4" s="226"/>
      <c r="Q4" s="211" t="s">
        <v>460</v>
      </c>
      <c r="R4" s="211"/>
      <c r="S4" s="219"/>
    </row>
    <row r="5" spans="2:25" ht="15" customHeight="1" thickBot="1" x14ac:dyDescent="0.25">
      <c r="G5" s="225"/>
      <c r="H5" s="212"/>
      <c r="I5" s="212"/>
      <c r="J5" s="212"/>
      <c r="K5" s="212"/>
      <c r="L5" s="212"/>
      <c r="M5" s="212"/>
      <c r="N5" s="227"/>
      <c r="O5" s="227"/>
      <c r="P5" s="227"/>
      <c r="Q5" s="212"/>
      <c r="R5" s="212"/>
      <c r="S5" s="220"/>
    </row>
    <row r="6" spans="2:25" ht="15" customHeight="1" thickBot="1" x14ac:dyDescent="0.25"/>
    <row r="7" spans="2:25" ht="15" customHeight="1" x14ac:dyDescent="0.2">
      <c r="B7" s="232" t="s">
        <v>16</v>
      </c>
      <c r="C7" s="233"/>
      <c r="D7" s="282" t="s">
        <v>17</v>
      </c>
      <c r="E7" s="283"/>
      <c r="G7" s="168" t="s">
        <v>19</v>
      </c>
      <c r="H7" s="169" t="s">
        <v>167</v>
      </c>
      <c r="I7" s="169" t="s">
        <v>168</v>
      </c>
      <c r="J7" s="169" t="s">
        <v>169</v>
      </c>
      <c r="K7" s="169" t="s">
        <v>170</v>
      </c>
      <c r="L7" s="169" t="s">
        <v>171</v>
      </c>
      <c r="M7" s="169" t="s">
        <v>172</v>
      </c>
      <c r="N7" s="169" t="s">
        <v>175</v>
      </c>
      <c r="O7" s="169" t="s">
        <v>174</v>
      </c>
      <c r="P7" s="169" t="s">
        <v>176</v>
      </c>
      <c r="Q7" s="169" t="s">
        <v>177</v>
      </c>
      <c r="R7" s="169" t="s">
        <v>173</v>
      </c>
      <c r="S7" s="169" t="s">
        <v>178</v>
      </c>
      <c r="U7" s="236" t="s">
        <v>52</v>
      </c>
      <c r="V7" s="237"/>
      <c r="W7" s="237"/>
      <c r="X7" s="230" t="str">
        <f>IF(OR(Y9&gt;4,Y10&gt;4,Y11&gt;4,Y12&gt;4,Y13&gt;4,Y14&gt;4),"请检查秘籍数量！"," ")</f>
        <v xml:space="preserve"> </v>
      </c>
      <c r="Y7" s="231"/>
    </row>
    <row r="8" spans="2:25" ht="15" customHeight="1" x14ac:dyDescent="0.2">
      <c r="B8" s="170" t="s">
        <v>0</v>
      </c>
      <c r="C8" s="171">
        <v>1681</v>
      </c>
      <c r="D8" s="172" t="s">
        <v>5</v>
      </c>
      <c r="E8" s="179">
        <f>'模拟-模拟计算'!F8</f>
        <v>1.1147046133992904</v>
      </c>
      <c r="U8" s="170" t="s">
        <v>32</v>
      </c>
      <c r="V8" s="174" t="s">
        <v>2</v>
      </c>
      <c r="W8" s="174" t="s">
        <v>49</v>
      </c>
      <c r="X8" s="174" t="s">
        <v>50</v>
      </c>
      <c r="Y8" s="175" t="s">
        <v>330</v>
      </c>
    </row>
    <row r="9" spans="2:25" ht="15" customHeight="1" x14ac:dyDescent="0.2">
      <c r="B9" s="170" t="s">
        <v>1</v>
      </c>
      <c r="C9" s="171">
        <v>8660</v>
      </c>
      <c r="D9" s="172" t="s">
        <v>6</v>
      </c>
      <c r="E9" s="179">
        <f>'模拟-模拟计算'!F9</f>
        <v>0.29610000000000003</v>
      </c>
      <c r="H9" s="168" t="s">
        <v>504</v>
      </c>
      <c r="I9" s="174" t="s">
        <v>440</v>
      </c>
      <c r="J9" s="174" t="s">
        <v>441</v>
      </c>
      <c r="K9" s="174" t="s">
        <v>69</v>
      </c>
      <c r="L9" s="174" t="s">
        <v>70</v>
      </c>
      <c r="M9" s="174" t="s">
        <v>506</v>
      </c>
      <c r="N9" s="174" t="s">
        <v>507</v>
      </c>
      <c r="O9" s="174" t="s">
        <v>508</v>
      </c>
      <c r="P9" s="174" t="s">
        <v>509</v>
      </c>
      <c r="Q9" s="174" t="s">
        <v>510</v>
      </c>
      <c r="U9" s="170" t="s">
        <v>42</v>
      </c>
      <c r="V9" s="177">
        <v>1</v>
      </c>
      <c r="W9" s="177">
        <v>3</v>
      </c>
      <c r="X9" s="177">
        <v>0</v>
      </c>
      <c r="Y9" s="175">
        <f>SUM(V9:X9)</f>
        <v>4</v>
      </c>
    </row>
    <row r="10" spans="2:25" ht="15" customHeight="1" x14ac:dyDescent="0.2">
      <c r="B10" s="170" t="s">
        <v>2</v>
      </c>
      <c r="C10" s="178">
        <v>0.2555</v>
      </c>
      <c r="D10" s="172" t="s">
        <v>53</v>
      </c>
      <c r="E10" s="179">
        <f>'模拟-模拟计算'!F10</f>
        <v>0</v>
      </c>
      <c r="H10" s="168" t="s">
        <v>21</v>
      </c>
      <c r="I10" s="169" t="s">
        <v>310</v>
      </c>
      <c r="J10" s="169" t="s">
        <v>310</v>
      </c>
      <c r="K10" s="177" t="s">
        <v>442</v>
      </c>
      <c r="L10" s="177" t="s">
        <v>501</v>
      </c>
      <c r="M10" s="177" t="s">
        <v>310</v>
      </c>
      <c r="N10" s="177" t="s">
        <v>310</v>
      </c>
      <c r="O10" s="177" t="s">
        <v>310</v>
      </c>
      <c r="P10" s="177" t="s">
        <v>546</v>
      </c>
      <c r="Q10" s="177" t="s">
        <v>546</v>
      </c>
      <c r="U10" s="170" t="s">
        <v>43</v>
      </c>
      <c r="V10" s="177">
        <v>2</v>
      </c>
      <c r="W10" s="177">
        <v>2</v>
      </c>
      <c r="X10" s="177">
        <v>0</v>
      </c>
      <c r="Y10" s="175">
        <f t="shared" ref="Y10:Y14" si="0">SUM(V10:X10)</f>
        <v>4</v>
      </c>
    </row>
    <row r="11" spans="2:25" ht="15" customHeight="1" x14ac:dyDescent="0.2">
      <c r="B11" s="170" t="s">
        <v>3</v>
      </c>
      <c r="C11" s="178">
        <v>1.9528000000000001</v>
      </c>
      <c r="D11" s="172" t="s">
        <v>54</v>
      </c>
      <c r="E11" s="179">
        <f>'模拟-模拟计算'!F11</f>
        <v>5.3899999999999948E-2</v>
      </c>
      <c r="U11" s="170" t="s">
        <v>34</v>
      </c>
      <c r="V11" s="177">
        <v>1</v>
      </c>
      <c r="W11" s="177">
        <v>2</v>
      </c>
      <c r="X11" s="177">
        <v>1</v>
      </c>
      <c r="Y11" s="175">
        <f t="shared" si="0"/>
        <v>4</v>
      </c>
    </row>
    <row r="12" spans="2:25" ht="15" customHeight="1" x14ac:dyDescent="0.2">
      <c r="B12" s="170" t="s">
        <v>4</v>
      </c>
      <c r="C12" s="178">
        <v>0.45639999999999997</v>
      </c>
      <c r="D12" s="172" t="s">
        <v>378</v>
      </c>
      <c r="E12" s="179">
        <f ca="1">MAX('模拟-模拟计算'!S28:S47)</f>
        <v>0.24272716014590323</v>
      </c>
      <c r="H12" s="168" t="s">
        <v>20</v>
      </c>
      <c r="I12" s="174" t="s">
        <v>65</v>
      </c>
      <c r="J12" s="174" t="s">
        <v>64</v>
      </c>
      <c r="K12" s="174" t="s">
        <v>63</v>
      </c>
      <c r="L12" s="174" t="s">
        <v>62</v>
      </c>
      <c r="M12" s="174" t="s">
        <v>66</v>
      </c>
      <c r="N12" s="174" t="s">
        <v>67</v>
      </c>
      <c r="O12" s="174" t="s">
        <v>266</v>
      </c>
      <c r="P12" s="174" t="s">
        <v>68</v>
      </c>
      <c r="Q12" s="174" t="s">
        <v>72</v>
      </c>
      <c r="R12" s="174" t="s">
        <v>71</v>
      </c>
      <c r="U12" s="170" t="s">
        <v>36</v>
      </c>
      <c r="V12" s="177">
        <v>3</v>
      </c>
      <c r="W12" s="177">
        <v>0</v>
      </c>
      <c r="X12" s="177">
        <v>1</v>
      </c>
      <c r="Y12" s="175">
        <f t="shared" si="0"/>
        <v>4</v>
      </c>
    </row>
    <row r="13" spans="2:25" ht="15" customHeight="1" thickBot="1" x14ac:dyDescent="0.25">
      <c r="B13" s="170" t="s">
        <v>5</v>
      </c>
      <c r="C13" s="178">
        <v>1.0518000000000001</v>
      </c>
      <c r="D13" s="187" t="s">
        <v>379</v>
      </c>
      <c r="E13" s="206">
        <f ca="1">MIN('模拟-模拟计算'!S28:S47)</f>
        <v>8.389626085980037E-2</v>
      </c>
      <c r="H13" s="168" t="s">
        <v>21</v>
      </c>
      <c r="I13" s="207" t="s">
        <v>439</v>
      </c>
      <c r="J13" s="181" t="s">
        <v>323</v>
      </c>
      <c r="K13" s="181" t="s">
        <v>548</v>
      </c>
      <c r="L13" s="181" t="s">
        <v>329</v>
      </c>
      <c r="M13" s="181" t="s">
        <v>333</v>
      </c>
      <c r="N13" s="181" t="s">
        <v>324</v>
      </c>
      <c r="O13" s="169" t="s">
        <v>183</v>
      </c>
      <c r="P13" s="169" t="s">
        <v>310</v>
      </c>
      <c r="Q13" s="169" t="s">
        <v>179</v>
      </c>
      <c r="R13" s="169" t="s">
        <v>179</v>
      </c>
      <c r="U13" s="170" t="s">
        <v>45</v>
      </c>
      <c r="V13" s="177">
        <v>2</v>
      </c>
      <c r="W13" s="177">
        <v>2</v>
      </c>
      <c r="X13" s="177">
        <v>0</v>
      </c>
      <c r="Y13" s="175">
        <f t="shared" si="0"/>
        <v>4</v>
      </c>
    </row>
    <row r="14" spans="2:25" ht="15" customHeight="1" thickBot="1" x14ac:dyDescent="0.25">
      <c r="B14" s="170" t="s">
        <v>6</v>
      </c>
      <c r="C14" s="178">
        <v>0.25590000000000002</v>
      </c>
      <c r="U14" s="183" t="s">
        <v>51</v>
      </c>
      <c r="V14" s="184">
        <v>3</v>
      </c>
      <c r="W14" s="184">
        <v>1</v>
      </c>
      <c r="X14" s="184">
        <v>0</v>
      </c>
      <c r="Y14" s="185">
        <f t="shared" si="0"/>
        <v>4</v>
      </c>
    </row>
    <row r="15" spans="2:25" ht="15" customHeight="1" thickBot="1" x14ac:dyDescent="0.25">
      <c r="B15" s="170" t="s">
        <v>7</v>
      </c>
      <c r="C15" s="186">
        <v>502.5</v>
      </c>
      <c r="H15" s="168" t="s">
        <v>22</v>
      </c>
      <c r="I15" s="174" t="s">
        <v>73</v>
      </c>
      <c r="J15" s="174" t="s">
        <v>74</v>
      </c>
      <c r="K15" s="174" t="s">
        <v>75</v>
      </c>
      <c r="L15" s="174" t="s">
        <v>76</v>
      </c>
      <c r="M15" s="174" t="s">
        <v>77</v>
      </c>
      <c r="N15" s="174" t="s">
        <v>78</v>
      </c>
      <c r="O15" s="174" t="s">
        <v>79</v>
      </c>
      <c r="P15" s="174" t="s">
        <v>80</v>
      </c>
      <c r="Q15" s="174" t="s">
        <v>81</v>
      </c>
      <c r="R15" s="174" t="s">
        <v>82</v>
      </c>
    </row>
    <row r="16" spans="2:25" ht="15" customHeight="1" x14ac:dyDescent="0.2">
      <c r="B16" s="170" t="s">
        <v>13</v>
      </c>
      <c r="C16" s="189">
        <v>1269</v>
      </c>
      <c r="D16" s="282" t="s">
        <v>367</v>
      </c>
      <c r="E16" s="284"/>
      <c r="H16" s="168" t="s">
        <v>21</v>
      </c>
      <c r="I16" s="169" t="s">
        <v>186</v>
      </c>
      <c r="J16" s="169" t="s">
        <v>311</v>
      </c>
      <c r="K16" s="169" t="s">
        <v>311</v>
      </c>
      <c r="L16" s="169" t="s">
        <v>311</v>
      </c>
      <c r="M16" s="169" t="s">
        <v>312</v>
      </c>
      <c r="N16" s="169" t="s">
        <v>311</v>
      </c>
      <c r="O16" s="169" t="s">
        <v>311</v>
      </c>
      <c r="P16" s="169" t="s">
        <v>437</v>
      </c>
      <c r="Q16" s="169" t="s">
        <v>179</v>
      </c>
      <c r="R16" s="169" t="s">
        <v>179</v>
      </c>
      <c r="U16" s="271" t="s">
        <v>434</v>
      </c>
      <c r="V16" s="272"/>
      <c r="X16" s="271" t="s">
        <v>48</v>
      </c>
      <c r="Y16" s="272"/>
    </row>
    <row r="17" spans="2:25" ht="15" customHeight="1" x14ac:dyDescent="0.2">
      <c r="B17" s="170" t="s">
        <v>14</v>
      </c>
      <c r="C17" s="191" t="s">
        <v>166</v>
      </c>
      <c r="D17" s="172" t="s">
        <v>24</v>
      </c>
      <c r="E17" s="199" t="s">
        <v>545</v>
      </c>
      <c r="U17" s="174" t="s">
        <v>46</v>
      </c>
      <c r="V17" s="177">
        <v>1</v>
      </c>
      <c r="X17" s="174" t="s">
        <v>42</v>
      </c>
      <c r="Y17" s="208">
        <v>1</v>
      </c>
    </row>
    <row r="18" spans="2:25" ht="15" customHeight="1" x14ac:dyDescent="0.2">
      <c r="B18" s="170" t="s">
        <v>8</v>
      </c>
      <c r="C18" s="171">
        <v>5</v>
      </c>
      <c r="D18" s="172" t="s">
        <v>25</v>
      </c>
      <c r="E18" s="195">
        <v>1.1000000000000001</v>
      </c>
      <c r="H18" s="168" t="s">
        <v>23</v>
      </c>
      <c r="I18" s="174" t="s">
        <v>83</v>
      </c>
      <c r="J18" s="174" t="s">
        <v>84</v>
      </c>
      <c r="K18" s="174" t="s">
        <v>85</v>
      </c>
      <c r="M18" s="168" t="s">
        <v>86</v>
      </c>
      <c r="N18" s="174" t="s">
        <v>87</v>
      </c>
      <c r="O18" s="174" t="s">
        <v>88</v>
      </c>
      <c r="Q18" s="168" t="s">
        <v>30</v>
      </c>
      <c r="R18" s="177">
        <v>5</v>
      </c>
      <c r="U18" s="174" t="s">
        <v>34</v>
      </c>
      <c r="V18" s="177">
        <v>1</v>
      </c>
      <c r="X18" s="174" t="s">
        <v>43</v>
      </c>
      <c r="Y18" s="208">
        <v>1</v>
      </c>
    </row>
    <row r="19" spans="2:25" ht="15" customHeight="1" x14ac:dyDescent="0.2">
      <c r="B19" s="170" t="s">
        <v>9</v>
      </c>
      <c r="C19" s="178">
        <v>2.2000000000000001E-3</v>
      </c>
      <c r="D19" s="172" t="s">
        <v>26</v>
      </c>
      <c r="E19" s="195">
        <v>0.35</v>
      </c>
      <c r="H19" s="168" t="s">
        <v>21</v>
      </c>
      <c r="I19" s="169" t="s">
        <v>302</v>
      </c>
      <c r="J19" s="169" t="s">
        <v>310</v>
      </c>
      <c r="K19" s="169" t="s">
        <v>310</v>
      </c>
      <c r="M19" s="168" t="s">
        <v>21</v>
      </c>
      <c r="N19" s="169" t="s">
        <v>311</v>
      </c>
      <c r="O19" s="169" t="s">
        <v>311</v>
      </c>
      <c r="Q19" s="168" t="s">
        <v>31</v>
      </c>
      <c r="R19" s="177">
        <v>45</v>
      </c>
      <c r="U19" s="174" t="s">
        <v>36</v>
      </c>
      <c r="V19" s="177">
        <v>1</v>
      </c>
      <c r="X19" s="174" t="s">
        <v>34</v>
      </c>
      <c r="Y19" s="208">
        <v>1</v>
      </c>
    </row>
    <row r="20" spans="2:25" ht="15" customHeight="1" thickBot="1" x14ac:dyDescent="0.25">
      <c r="B20" s="170" t="s">
        <v>10</v>
      </c>
      <c r="C20" s="178">
        <v>1.7526999999999999</v>
      </c>
      <c r="D20" s="172" t="s">
        <v>27</v>
      </c>
      <c r="E20" s="199">
        <v>4959</v>
      </c>
      <c r="U20" s="174" t="s">
        <v>37</v>
      </c>
      <c r="V20" s="177">
        <v>1</v>
      </c>
      <c r="X20" s="174" t="s">
        <v>36</v>
      </c>
      <c r="Y20" s="208">
        <v>1</v>
      </c>
    </row>
    <row r="21" spans="2:25" ht="15" customHeight="1" x14ac:dyDescent="0.2">
      <c r="B21" s="170" t="s">
        <v>11</v>
      </c>
      <c r="C21" s="171">
        <v>10</v>
      </c>
      <c r="D21" s="172" t="s">
        <v>28</v>
      </c>
      <c r="E21" s="199">
        <v>4959</v>
      </c>
      <c r="L21" s="280" t="s">
        <v>436</v>
      </c>
      <c r="M21" s="281"/>
      <c r="N21" s="209">
        <v>500</v>
      </c>
      <c r="O21" s="44"/>
      <c r="X21" s="174" t="s">
        <v>45</v>
      </c>
      <c r="Y21" s="208">
        <v>1</v>
      </c>
    </row>
    <row r="22" spans="2:25" ht="15" customHeight="1" thickBot="1" x14ac:dyDescent="0.25">
      <c r="B22" s="183" t="s">
        <v>12</v>
      </c>
      <c r="C22" s="200">
        <v>0.9</v>
      </c>
      <c r="D22" s="187" t="s">
        <v>29</v>
      </c>
      <c r="E22" s="201">
        <v>103</v>
      </c>
      <c r="L22" s="273" t="s">
        <v>435</v>
      </c>
      <c r="M22" s="274"/>
      <c r="N22" s="210">
        <f ca="1">LOOKUP(N21,'模拟-模拟结果'!A3:A700,'模拟-模拟结果'!I3:I700)</f>
        <v>112898.02916639738</v>
      </c>
      <c r="O22" s="44"/>
      <c r="U22" s="228" t="s">
        <v>377</v>
      </c>
      <c r="V22" s="228"/>
      <c r="X22" s="174" t="s">
        <v>46</v>
      </c>
      <c r="Y22" s="208">
        <v>1</v>
      </c>
    </row>
    <row r="23" spans="2:25" ht="15" customHeight="1" thickBot="1" x14ac:dyDescent="0.25">
      <c r="L23" s="277" t="s">
        <v>433</v>
      </c>
      <c r="M23" s="278"/>
      <c r="N23" s="279"/>
      <c r="U23" s="275">
        <v>1</v>
      </c>
      <c r="V23" s="276"/>
      <c r="X23" s="174" t="s">
        <v>47</v>
      </c>
      <c r="Y23" s="208">
        <v>1</v>
      </c>
    </row>
  </sheetData>
  <sheetProtection algorithmName="SHA-512" hashValue="vE6Zo3BsLUlUBglVU/9rr4fr/utK4UepxQzkSRw1k2Y+mrCRfFYyem0k8zaMOI+SL1HkG0aWCg5e7PyoEaZDLg==" saltValue="e8f08mQIVxBTDs/a3UqEQA==" spinCount="100000" sheet="1" objects="1" selectLockedCells="1"/>
  <mergeCells count="18">
    <mergeCell ref="B7:C7"/>
    <mergeCell ref="L22:M22"/>
    <mergeCell ref="U22:V22"/>
    <mergeCell ref="U23:V23"/>
    <mergeCell ref="K4:M5"/>
    <mergeCell ref="N4:P5"/>
    <mergeCell ref="L23:N23"/>
    <mergeCell ref="L21:M21"/>
    <mergeCell ref="D7:E7"/>
    <mergeCell ref="D16:E16"/>
    <mergeCell ref="G2:S3"/>
    <mergeCell ref="G4:G5"/>
    <mergeCell ref="H4:J5"/>
    <mergeCell ref="Q4:S5"/>
    <mergeCell ref="X16:Y16"/>
    <mergeCell ref="U7:W7"/>
    <mergeCell ref="X7:Y7"/>
    <mergeCell ref="U16:V16"/>
  </mergeCells>
  <phoneticPr fontId="1" type="noConversion"/>
  <dataValidations count="33">
    <dataValidation type="list" allowBlank="1" showInputMessage="1" showErrorMessage="1" sqref="C17" xr:uid="{3D9D2936-AA7D-4BD0-B205-E3C138DF825C}">
      <formula1>"28GCD驱夷,21GCD驱夷,7GCD驱夷"</formula1>
    </dataValidation>
    <dataValidation type="list" allowBlank="1" showInputMessage="1" showErrorMessage="1" sqref="R16" xr:uid="{DA662C11-0337-4964-AE68-AEDA729E6F13}">
      <formula1>"无,6层"</formula1>
    </dataValidation>
    <dataValidation type="list" allowBlank="1" showInputMessage="1" showErrorMessage="1" sqref="Q16" xr:uid="{FB5E0460-E721-4D85-B058-7D313D8CC580}">
      <formula1>"无,1个,2个"</formula1>
    </dataValidation>
    <dataValidation type="list" allowBlank="1" showInputMessage="1" showErrorMessage="1" sqref="P16" xr:uid="{F0DA3331-4069-44FD-9CEB-482FEF1DBD99}">
      <formula1>"无,10人团,25人团"</formula1>
    </dataValidation>
    <dataValidation type="list" allowBlank="1" showInputMessage="1" showErrorMessage="1" sqref="M16" xr:uid="{3B61B393-FBBF-4238-B63E-9FB0D5D1B74B}">
      <formula1>"10层,无"</formula1>
    </dataValidation>
    <dataValidation type="list" allowBlank="1" showInputMessage="1" showErrorMessage="1" sqref="I16" xr:uid="{6CD4868C-D4E6-4295-8A5D-4F517FA4F3C1}">
      <formula1>"无,气纯阵,花间阵,和尚阵,冰心阵,毒经阵,田螺阵,明教阵,明教阵（自己）,莫问阵,霸刀阵"</formula1>
    </dataValidation>
    <dataValidation type="list" allowBlank="1" showInputMessage="1" showErrorMessage="1" sqref="J16:L16 N16:O16 J19 N19:O19 M10:Q10 I10:J10 P13:Q13" xr:uid="{2082C780-BA12-47F5-ADA3-49BF3A22A27C}">
      <formula1>"有,无"</formula1>
    </dataValidation>
    <dataValidation type="list" allowBlank="1" showInputMessage="1" showErrorMessage="1" sqref="K19" xr:uid="{D99D01D0-CE35-491F-8DF3-09C69817B377}">
      <formula1>"无,有"</formula1>
    </dataValidation>
    <dataValidation type="list" allowBlank="1" showInputMessage="1" showErrorMessage="1" sqref="I19" xr:uid="{A772779F-FB5F-4ADE-BE38-3C75AA28B910}">
      <formula1>"无,有,劲风"</formula1>
    </dataValidation>
    <dataValidation type="list" allowBlank="1" showInputMessage="1" showErrorMessage="1" sqref="S7" xr:uid="{65BCFF40-3234-419E-B288-EE53273AACFB}">
      <formula1>"日月齐光,驱夷逐法,法业朝辉,冥月渡心"</formula1>
    </dataValidation>
    <dataValidation type="list" allowBlank="1" showInputMessage="1" showErrorMessage="1" sqref="R7" xr:uid="{CCA7E7F2-9998-41BF-8E8F-8393239D31B1}">
      <formula1>"万念俱寂,自明及晦,劳心仲寿,伏明众生"</formula1>
    </dataValidation>
    <dataValidation type="list" allowBlank="1" showInputMessage="1" showErrorMessage="1" sqref="M7" xr:uid="{7615330F-54E7-4EEF-966D-D7A028787A81}">
      <formula1>"辉耀红尘,秽身浴露,贪墨伐罪,秽孽如形"</formula1>
    </dataValidation>
    <dataValidation type="list" allowBlank="1" showInputMessage="1" showErrorMessage="1" sqref="L7" xr:uid="{80AFAF60-5FF6-49E3-971F-5F759CC2C648}">
      <formula1>"明光恒照,恶秽满路,烈血灼芒,业海罪缚"</formula1>
    </dataValidation>
    <dataValidation type="list" allowBlank="1" showInputMessage="1" showErrorMessage="1" sqref="K7" xr:uid="{E84BD2D4-3D14-4BE0-9FB5-ACD33BD96B43}">
      <formula1>"无明业火,光影,善法肉身,无间影狱"</formula1>
    </dataValidation>
    <dataValidation type="list" allowBlank="1" showInputMessage="1" showErrorMessage="1" sqref="J7" xr:uid="{A6AC6753-3E25-4E4D-959E-DD8AA5C9A4F7}">
      <formula1>"燎原烈火,洞若观火,镇魔极道,寒月耀"</formula1>
    </dataValidation>
    <dataValidation type="list" allowBlank="1" showInputMessage="1" showErrorMessage="1" sqref="I7" xr:uid="{9E93C2AB-52C4-4E4B-AC1B-F4C8FC4922BC}">
      <formula1>"日月凌天,无往不复,净身明礼"</formula1>
    </dataValidation>
    <dataValidation type="list" allowBlank="1" showInputMessage="1" showErrorMessage="1" sqref="H7" xr:uid="{77D423C8-C175-4980-A8E4-EE8D831F7DA4}">
      <formula1>"无幽不烛,腾焰飞芒,血泪成悦"</formula1>
    </dataValidation>
    <dataValidation type="list" allowBlank="1" showInputMessage="1" showErrorMessage="1" sqref="N13" xr:uid="{66CE0BF3-6E83-4554-B1D1-B76C7438B74F}">
      <formula1>"无,二十四桥明月夜"</formula1>
    </dataValidation>
    <dataValidation type="list" allowBlank="1" showInputMessage="1" showErrorMessage="1" sqref="M13" xr:uid="{60D88758-3727-4B63-A256-2050A0A6D30F}">
      <formula1>"无,仙踪·兵·熔（内伤）"</formula1>
    </dataValidation>
    <dataValidation type="list" allowBlank="1" showInputMessage="1" showErrorMessage="1" sqref="L13" xr:uid="{67DEE82A-74CB-44CF-A292-AAFA4A12F1C0}">
      <formula1>"无,上品聚魂丹"</formula1>
    </dataValidation>
    <dataValidation type="list" allowBlank="1" showInputMessage="1" showErrorMessage="1" sqref="K13" xr:uid="{E015C52E-685C-414D-9900-04F55301EC5F}">
      <formula1>"无,上品玉璃散,上品破秽散,上品凝神散,上品展风散"</formula1>
    </dataValidation>
    <dataValidation type="list" allowBlank="1" showInputMessage="1" showErrorMessage="1" sqref="J13" xr:uid="{7CE6FFFB-48B5-4052-B57C-88EFEEE94936}">
      <formula1>"无,鱼片砂锅粥"</formula1>
    </dataValidation>
    <dataValidation type="list" allowBlank="1" showInputMessage="1" showErrorMessage="1" sqref="I13" xr:uid="{C4E336C7-A36D-44C5-9198-8D2F37BFCE0A}">
      <formula1>"无,酸菜鱼,红烧排骨,白肉血肠,灌汤包"</formula1>
    </dataValidation>
    <dataValidation type="list" allowBlank="1" showInputMessage="1" showErrorMessage="1" sqref="R13" xr:uid="{3BB5504F-58C9-46D3-B6C2-6C852C5DC296}">
      <formula1>"无,1层,2层,3层,4层,5层,6层,"</formula1>
    </dataValidation>
    <dataValidation type="list" allowBlank="1" showInputMessage="1" showErrorMessage="1" sqref="O13" xr:uid="{E42F2569-D432-48E5-8C04-9A03BA8DCD4C}">
      <formula1>"蒸鱼菜盘,无"</formula1>
    </dataValidation>
    <dataValidation type="list" allowBlank="1" showInputMessage="1" showErrorMessage="1" sqref="C16" xr:uid="{CD95F076-2A7E-43B4-86A5-CC04E7E66F90}">
      <formula1>"0,19,1269,2704,4359"</formula1>
    </dataValidation>
    <dataValidation type="list" allowBlank="1" showInputMessage="1" showErrorMessage="1" sqref="E17" xr:uid="{4B585087-2125-48FB-9B79-90BBEEDB98D0}">
      <formula1>"十人秘境,英雄巨冥湾,挑战巨冥湾,101木桩,102木桩,103木桩,104木桩,自定义"</formula1>
    </dataValidation>
    <dataValidation type="list" allowBlank="1" showInputMessage="1" showErrorMessage="1" sqref="K10" xr:uid="{B09C15FC-B888-4DCA-AAB5-098C37B576D9}">
      <formula1>"无,阴阳往极,2300·雷,2600·水"</formula1>
    </dataValidation>
    <dataValidation type="list" allowBlank="1" showInputMessage="1" showErrorMessage="1" sqref="Q7" xr:uid="{AFF356A0-4EC3-4243-8AEF-C4DB3FA63E51}">
      <formula1>"秘影诡行,降灵尊,寂灭劫灰,极乐引"</formula1>
    </dataValidation>
    <dataValidation type="list" allowBlank="1" showInputMessage="1" showErrorMessage="1" sqref="P7" xr:uid="{C5F680B2-5B1C-4DC4-8255-67E5144F8A97}">
      <formula1>"天地诛戮,火舞长空,圣法光明,生灭予夺"</formula1>
    </dataValidation>
    <dataValidation type="list" allowBlank="1" showInputMessage="1" showErrorMessage="1" sqref="O7" xr:uid="{F8FF3D6C-253D-4893-B0AA-8DBC3D8146F4}">
      <formula1>"用晦而明,明齐日月,清净众生,幽隐尘迹"</formula1>
    </dataValidation>
    <dataValidation type="list" allowBlank="1" showInputMessage="1" showErrorMessage="1" sqref="N7" xr:uid="{214B2D6B-CDEC-47CA-8008-516266E68EBA}">
      <formula1>"日月同辉,超凡入圣,极本朔源,善恶如梦"</formula1>
    </dataValidation>
    <dataValidation type="list" allowBlank="1" showInputMessage="1" showErrorMessage="1" sqref="L10" xr:uid="{2237DE8D-7383-463C-8C79-B468C48D1B30}">
      <formula1>"无,2600·风"</formula1>
    </dataValidation>
  </dataValidations>
  <hyperlinks>
    <hyperlink ref="L23:N23" location="'模拟-模拟结果'!A1" display="转至结果页面" xr:uid="{7405B368-B6F9-4126-BDFA-025886FBE2A9}"/>
    <hyperlink ref="K4:M5" location="分析模式!K4" display="分析模式" xr:uid="{8D2DCEF4-379A-4849-A4CA-434799102507}"/>
    <hyperlink ref="N4:P5" location="模拟模式!N4" display="模拟模式" xr:uid="{36A5AB6F-BEB4-4EFD-B39E-A2334D8F0F87}"/>
    <hyperlink ref="Q4:S5" location="日志!A1" display="日志" xr:uid="{EC4715EB-7287-4067-A8B6-D04437FA5838}"/>
    <hyperlink ref="G4:G5" location="首页!G4" display="首页" xr:uid="{6C9B29A7-A4F6-4BA5-8B17-7C33A9DC67FC}"/>
    <hyperlink ref="H4:J5" location="属性导入!H4" display="属性导入" xr:uid="{D828499B-8750-497F-A190-3A889F673787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目标属性输入">
          <controlPr defaultSize="0" autoLine="0" autoPict="0" r:id="rId5">
            <anchor moveWithCells="1">
              <from>
                <xdr:col>4</xdr:col>
                <xdr:colOff>57150</xdr:colOff>
                <xdr:row>20</xdr:row>
                <xdr:rowOff>38100</xdr:rowOff>
              </from>
              <to>
                <xdr:col>4</xdr:col>
                <xdr:colOff>523875</xdr:colOff>
                <xdr:row>21</xdr:row>
                <xdr:rowOff>123825</xdr:rowOff>
              </to>
            </anchor>
          </controlPr>
        </control>
      </mc:Choice>
      <mc:Fallback>
        <control shapeId="7177" r:id="rId4" name="目标属性输入"/>
      </mc:Fallback>
    </mc:AlternateContent>
    <mc:AlternateContent xmlns:mc="http://schemas.openxmlformats.org/markup-compatibility/2006">
      <mc:Choice Requires="x14">
        <control shapeId="7175" r:id="rId6" name="最优配装">
          <controlPr defaultSize="0" autoLine="0" r:id="rId7">
            <anchor moveWithCells="1">
              <from>
                <xdr:col>17</xdr:col>
                <xdr:colOff>0</xdr:colOff>
                <xdr:row>20</xdr:row>
                <xdr:rowOff>0</xdr:rowOff>
              </from>
              <to>
                <xdr:col>18</xdr:col>
                <xdr:colOff>0</xdr:colOff>
                <xdr:row>22</xdr:row>
                <xdr:rowOff>180975</xdr:rowOff>
              </to>
            </anchor>
          </controlPr>
        </control>
      </mc:Choice>
      <mc:Fallback>
        <control shapeId="7175" r:id="rId6" name="最优配装"/>
      </mc:Fallback>
    </mc:AlternateContent>
    <mc:AlternateContent xmlns:mc="http://schemas.openxmlformats.org/markup-compatibility/2006">
      <mc:Choice Requires="x14">
        <control shapeId="7173" r:id="rId8" name="清空增益">
          <controlPr defaultSize="0" autoLine="0" r:id="rId9">
            <anchor moveWithCells="1">
              <from>
                <xdr:col>15</xdr:col>
                <xdr:colOff>0</xdr:colOff>
                <xdr:row>20</xdr:row>
                <xdr:rowOff>0</xdr:rowOff>
              </from>
              <to>
                <xdr:col>16</xdr:col>
                <xdr:colOff>0</xdr:colOff>
                <xdr:row>22</xdr:row>
                <xdr:rowOff>180975</xdr:rowOff>
              </to>
            </anchor>
          </controlPr>
        </control>
      </mc:Choice>
      <mc:Fallback>
        <control shapeId="7173" r:id="rId8" name="清空增益"/>
      </mc:Fallback>
    </mc:AlternateContent>
    <mc:AlternateContent xmlns:mc="http://schemas.openxmlformats.org/markup-compatibility/2006">
      <mc:Choice Requires="x14">
        <control shapeId="7171" r:id="rId10" name="满团队增益">
          <controlPr defaultSize="0" autoLine="0" r:id="rId11">
            <anchor moveWithCells="1">
              <from>
                <xdr:col>9</xdr:col>
                <xdr:colOff>0</xdr:colOff>
                <xdr:row>20</xdr:row>
                <xdr:rowOff>0</xdr:rowOff>
              </from>
              <to>
                <xdr:col>10</xdr:col>
                <xdr:colOff>0</xdr:colOff>
                <xdr:row>22</xdr:row>
                <xdr:rowOff>180975</xdr:rowOff>
              </to>
            </anchor>
          </controlPr>
        </control>
      </mc:Choice>
      <mc:Fallback>
        <control shapeId="7171" r:id="rId10" name="满团队增益"/>
      </mc:Fallback>
    </mc:AlternateContent>
    <mc:AlternateContent xmlns:mc="http://schemas.openxmlformats.org/markup-compatibility/2006">
      <mc:Choice Requires="x14">
        <control shapeId="7170" r:id="rId12" name="满个人增益">
          <controlPr defaultSize="0" autoLine="0" r:id="rId13">
            <anchor moveWithCells="1">
              <from>
                <xdr:col>7</xdr:col>
                <xdr:colOff>0</xdr:colOff>
                <xdr:row>20</xdr:row>
                <xdr:rowOff>0</xdr:rowOff>
              </from>
              <to>
                <xdr:col>8</xdr:col>
                <xdr:colOff>0</xdr:colOff>
                <xdr:row>22</xdr:row>
                <xdr:rowOff>180975</xdr:rowOff>
              </to>
            </anchor>
          </controlPr>
        </control>
      </mc:Choice>
      <mc:Fallback>
        <control shapeId="7170" r:id="rId12" name="满个人增益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894A2-6CEE-4035-9C01-B24A9F3AFA11}">
  <sheetPr codeName="Sheet4"/>
  <dimension ref="A1:N40"/>
  <sheetViews>
    <sheetView workbookViewId="0"/>
  </sheetViews>
  <sheetFormatPr defaultRowHeight="14.25" x14ac:dyDescent="0.2"/>
  <cols>
    <col min="1" max="1" width="9" style="19"/>
    <col min="2" max="2" width="22.5" style="19" bestFit="1" customWidth="1"/>
    <col min="3" max="3" width="5" style="43" bestFit="1" customWidth="1"/>
    <col min="4" max="4" width="9" style="43"/>
    <col min="5" max="5" width="5" style="43" bestFit="1" customWidth="1"/>
    <col min="6" max="6" width="9" style="19"/>
    <col min="7" max="7" width="5.25" style="19" bestFit="1" customWidth="1"/>
    <col min="8" max="8" width="5.25" style="104" customWidth="1"/>
    <col min="9" max="9" width="9" style="104" bestFit="1" customWidth="1"/>
    <col min="10" max="12" width="9" style="19"/>
    <col min="13" max="13" width="5.25" style="43" bestFit="1" customWidth="1"/>
    <col min="14" max="14" width="24.375" style="19" bestFit="1" customWidth="1"/>
    <col min="15" max="16384" width="9" style="19"/>
  </cols>
  <sheetData>
    <row r="1" spans="1:14" x14ac:dyDescent="0.2">
      <c r="A1" s="41" t="s">
        <v>303</v>
      </c>
      <c r="B1" s="41" t="s">
        <v>89</v>
      </c>
      <c r="C1" s="68" t="s">
        <v>90</v>
      </c>
      <c r="D1" s="68" t="s">
        <v>91</v>
      </c>
      <c r="E1" s="159" t="s">
        <v>92</v>
      </c>
      <c r="F1" s="41" t="s">
        <v>93</v>
      </c>
      <c r="G1" s="41" t="s">
        <v>94</v>
      </c>
      <c r="H1" s="126" t="s">
        <v>142</v>
      </c>
      <c r="I1" s="126" t="s">
        <v>419</v>
      </c>
      <c r="J1" s="41" t="s">
        <v>140</v>
      </c>
      <c r="K1" s="41" t="s">
        <v>138</v>
      </c>
      <c r="L1" s="41" t="s">
        <v>141</v>
      </c>
      <c r="M1" s="68" t="s">
        <v>95</v>
      </c>
      <c r="N1" s="41" t="s">
        <v>96</v>
      </c>
    </row>
    <row r="2" spans="1:14" x14ac:dyDescent="0.2">
      <c r="A2" s="41">
        <v>1</v>
      </c>
      <c r="B2" s="41" t="s">
        <v>97</v>
      </c>
      <c r="C2" s="68">
        <v>135</v>
      </c>
      <c r="D2" s="68">
        <f>AVERAGE(C2,E2)</f>
        <v>145</v>
      </c>
      <c r="E2" s="159">
        <v>155</v>
      </c>
      <c r="F2" s="160">
        <v>0.57869999999999999</v>
      </c>
      <c r="G2" s="41">
        <v>1</v>
      </c>
      <c r="H2" s="130" t="s">
        <v>143</v>
      </c>
      <c r="I2" s="130">
        <v>1</v>
      </c>
      <c r="J2" s="129">
        <f>IF(模拟模式!W9=2,0.09,IF(模拟模式!W9=3,0.12,0))+IF(模拟模式!H7="无幽不烛",0.1,0)</f>
        <v>0.12</v>
      </c>
      <c r="K2" s="129">
        <f>IF(模拟模式!V9=1,0.04,IF(模拟模式!V9=2,0.04,0))</f>
        <v>0.04</v>
      </c>
      <c r="L2" s="129">
        <v>0</v>
      </c>
      <c r="M2" s="41">
        <v>0</v>
      </c>
      <c r="N2" s="41"/>
    </row>
    <row r="3" spans="1:14" x14ac:dyDescent="0.2">
      <c r="A3" s="41">
        <v>2</v>
      </c>
      <c r="B3" s="41" t="s">
        <v>98</v>
      </c>
      <c r="C3" s="68">
        <v>148</v>
      </c>
      <c r="D3" s="68">
        <f t="shared" ref="D3:D9" si="0">AVERAGE(C3,E3)</f>
        <v>159</v>
      </c>
      <c r="E3" s="159">
        <v>170</v>
      </c>
      <c r="F3" s="160">
        <v>0.57869999999999999</v>
      </c>
      <c r="G3" s="41">
        <v>1</v>
      </c>
      <c r="H3" s="130" t="s">
        <v>143</v>
      </c>
      <c r="I3" s="130">
        <v>1</v>
      </c>
      <c r="J3" s="129">
        <f>IF(模拟模式!W9=2,0.09,IF(模拟模式!W9=3,0.12,0))+IF(模拟模式!H7="无幽不烛",0.1,0)</f>
        <v>0.12</v>
      </c>
      <c r="K3" s="129">
        <f>IF(模拟模式!V9=1,0.04,IF(模拟模式!V9=2,0.04,0))</f>
        <v>0.04</v>
      </c>
      <c r="L3" s="129">
        <v>0</v>
      </c>
      <c r="M3" s="41">
        <v>0</v>
      </c>
      <c r="N3" s="41"/>
    </row>
    <row r="4" spans="1:14" x14ac:dyDescent="0.2">
      <c r="A4" s="41">
        <v>3</v>
      </c>
      <c r="B4" s="41" t="s">
        <v>99</v>
      </c>
      <c r="C4" s="68">
        <v>162</v>
      </c>
      <c r="D4" s="68">
        <f t="shared" si="0"/>
        <v>174</v>
      </c>
      <c r="E4" s="159">
        <v>186</v>
      </c>
      <c r="F4" s="160">
        <v>0.7218</v>
      </c>
      <c r="G4" s="41">
        <v>1</v>
      </c>
      <c r="H4" s="130" t="s">
        <v>143</v>
      </c>
      <c r="I4" s="130">
        <v>1</v>
      </c>
      <c r="J4" s="129">
        <f>IF(模拟模式!W9=2,0.09,IF(模拟模式!W9=3,0.12,0))+IF(模拟模式!H7="无幽不烛",0.1,0)</f>
        <v>0.12</v>
      </c>
      <c r="K4" s="129">
        <f>IF(模拟模式!V9=1,0.04,IF(模拟模式!V9=2,0.04,0))</f>
        <v>0.04</v>
      </c>
      <c r="L4" s="129">
        <v>0</v>
      </c>
      <c r="M4" s="41">
        <v>0</v>
      </c>
      <c r="N4" s="41"/>
    </row>
    <row r="5" spans="1:14" x14ac:dyDescent="0.2">
      <c r="A5" s="41">
        <v>4</v>
      </c>
      <c r="B5" s="41" t="s">
        <v>100</v>
      </c>
      <c r="C5" s="68">
        <v>72</v>
      </c>
      <c r="D5" s="68">
        <f t="shared" si="0"/>
        <v>75.5</v>
      </c>
      <c r="E5" s="159">
        <v>79</v>
      </c>
      <c r="F5" s="160">
        <v>0.52710000000000001</v>
      </c>
      <c r="G5" s="41">
        <v>1</v>
      </c>
      <c r="H5" s="130" t="s">
        <v>145</v>
      </c>
      <c r="I5" s="130">
        <v>1</v>
      </c>
      <c r="J5" s="129">
        <f>IF(模拟模式!W10=1,0.04,IF(模拟模式!W10=2,0.07,0))+IF(模拟模式!H7="无幽不烛",0.1,0)</f>
        <v>7.0000000000000007E-2</v>
      </c>
      <c r="K5" s="129">
        <f>IF(模拟模式!V10=2,0.09,IF(模拟模式!V10=3,0.12,0))</f>
        <v>0.09</v>
      </c>
      <c r="L5" s="129">
        <v>0</v>
      </c>
      <c r="M5" s="41">
        <v>0</v>
      </c>
      <c r="N5" s="41"/>
    </row>
    <row r="6" spans="1:14" x14ac:dyDescent="0.2">
      <c r="A6" s="41">
        <v>5</v>
      </c>
      <c r="B6" s="41" t="s">
        <v>101</v>
      </c>
      <c r="C6" s="68">
        <v>72</v>
      </c>
      <c r="D6" s="68">
        <f t="shared" si="0"/>
        <v>75.5</v>
      </c>
      <c r="E6" s="159">
        <v>79</v>
      </c>
      <c r="F6" s="160">
        <v>0.52710000000000001</v>
      </c>
      <c r="G6" s="41">
        <v>1</v>
      </c>
      <c r="H6" s="130" t="s">
        <v>144</v>
      </c>
      <c r="I6" s="130">
        <v>1</v>
      </c>
      <c r="J6" s="129">
        <f>IF(模拟模式!W10=1,0.04,IF(模拟模式!W10=2,0.07,0))+IF(模拟模式!H7="无幽不烛",0.1,0)</f>
        <v>7.0000000000000007E-2</v>
      </c>
      <c r="K6" s="129">
        <f>IF(模拟模式!V10=2,0.09,IF(模拟模式!V10=3,0.12,0))+0.05</f>
        <v>0.14000000000000001</v>
      </c>
      <c r="L6" s="129">
        <v>0</v>
      </c>
      <c r="M6" s="41">
        <v>0</v>
      </c>
      <c r="N6" s="41" t="s">
        <v>102</v>
      </c>
    </row>
    <row r="7" spans="1:14" x14ac:dyDescent="0.2">
      <c r="A7" s="41">
        <v>6</v>
      </c>
      <c r="B7" s="41" t="s">
        <v>103</v>
      </c>
      <c r="C7" s="68">
        <v>72</v>
      </c>
      <c r="D7" s="68">
        <f t="shared" si="0"/>
        <v>75.5</v>
      </c>
      <c r="E7" s="159">
        <v>79</v>
      </c>
      <c r="F7" s="160">
        <v>0.60150000000000003</v>
      </c>
      <c r="G7" s="41">
        <v>1</v>
      </c>
      <c r="H7" s="130" t="s">
        <v>144</v>
      </c>
      <c r="I7" s="130">
        <v>1</v>
      </c>
      <c r="J7" s="129">
        <f>IF(模拟模式!W10=1,0.04,IF(模拟模式!W10=2,0.07,0))+IF(模拟模式!H7="无幽不烛",0.1,0)</f>
        <v>7.0000000000000007E-2</v>
      </c>
      <c r="K7" s="129">
        <f>IF(模拟模式!V10=2,0.09,IF(模拟模式!V10=3,0.12,0))+0.1</f>
        <v>0.19</v>
      </c>
      <c r="L7" s="129">
        <v>0</v>
      </c>
      <c r="M7" s="41">
        <v>0</v>
      </c>
      <c r="N7" s="41" t="s">
        <v>104</v>
      </c>
    </row>
    <row r="8" spans="1:14" x14ac:dyDescent="0.2">
      <c r="A8" s="41">
        <v>7</v>
      </c>
      <c r="B8" s="41" t="s">
        <v>33</v>
      </c>
      <c r="C8" s="68">
        <v>155</v>
      </c>
      <c r="D8" s="68">
        <f t="shared" si="0"/>
        <v>163</v>
      </c>
      <c r="E8" s="159">
        <v>171</v>
      </c>
      <c r="F8" s="160">
        <v>0.88529999999999998</v>
      </c>
      <c r="G8" s="41">
        <v>1</v>
      </c>
      <c r="H8" s="130" t="s">
        <v>143</v>
      </c>
      <c r="I8" s="130">
        <f>模拟模式!V18</f>
        <v>1</v>
      </c>
      <c r="J8" s="129">
        <f>IF(模拟模式!W11=1,0.05,IF(模拟模式!W11=2,0.09,IF(模拟模式!W11=3,0.12,0)))+IF(模拟模式!J7="洞若观火",0.15,0)</f>
        <v>0.24</v>
      </c>
      <c r="K8" s="129">
        <f>IF(模拟模式!V11=1,0.04,IF(模拟模式!V11=2,0.07,0))+IF(模拟模式!H7="腾焰飞芒",0.1,0)</f>
        <v>0.14000000000000001</v>
      </c>
      <c r="L8" s="129">
        <f>IF(模拟模式!H7="腾焰飞芒",0.1,0)</f>
        <v>0.1</v>
      </c>
      <c r="M8" s="41">
        <v>0</v>
      </c>
      <c r="N8" s="41"/>
    </row>
    <row r="9" spans="1:14" x14ac:dyDescent="0.2">
      <c r="A9" s="41">
        <v>8</v>
      </c>
      <c r="B9" s="41" t="s">
        <v>35</v>
      </c>
      <c r="C9" s="68">
        <v>98</v>
      </c>
      <c r="D9" s="68">
        <f t="shared" si="0"/>
        <v>103</v>
      </c>
      <c r="E9" s="159">
        <v>108</v>
      </c>
      <c r="F9" s="160">
        <v>0.52610000000000001</v>
      </c>
      <c r="G9" s="41">
        <v>1</v>
      </c>
      <c r="H9" s="130" t="s">
        <v>144</v>
      </c>
      <c r="I9" s="130">
        <f>模拟模式!V19</f>
        <v>1</v>
      </c>
      <c r="J9" s="129">
        <f>IF(模拟模式!J7="洞若观火",0.15,0)</f>
        <v>0.15</v>
      </c>
      <c r="K9" s="129">
        <f>IF(模拟模式!V12=1,0.05,IF(模拟模式!V12=2,0.09,IF(模拟模式!V12=3,0.12,0)))+IF(模拟模式!H7="腾焰飞芒",0.1,0)</f>
        <v>0.22</v>
      </c>
      <c r="L9" s="129">
        <f>IF(模拟模式!H7="腾焰飞芒",0.1,0)</f>
        <v>0.1</v>
      </c>
      <c r="M9" s="41">
        <v>0</v>
      </c>
      <c r="N9" s="41"/>
    </row>
    <row r="10" spans="1:14" x14ac:dyDescent="0.2">
      <c r="A10" s="41">
        <v>9</v>
      </c>
      <c r="B10" s="41" t="s">
        <v>107</v>
      </c>
      <c r="C10" s="68">
        <v>197</v>
      </c>
      <c r="D10" s="68">
        <f>AVERAGE(C10,E10)</f>
        <v>207</v>
      </c>
      <c r="E10" s="159">
        <v>217</v>
      </c>
      <c r="F10" s="160">
        <f>1.1823*1.1</f>
        <v>1.30053</v>
      </c>
      <c r="G10" s="41">
        <v>2</v>
      </c>
      <c r="H10" s="130" t="s">
        <v>143</v>
      </c>
      <c r="I10" s="130">
        <f>IF(模拟模式!O7="幽隐尘迹",模拟模式!V17,1)</f>
        <v>1</v>
      </c>
      <c r="J10" s="129">
        <f>IF(模拟模式!W14=1,0.05,IF(模拟模式!W14=2,0.09,IF(模拟模式!W14=3,0.12,0)))+IF(模拟模式!I10="有",0.1,0)+IF(模拟模式!K10="阴阳往极",0.05,0)</f>
        <v>0.2</v>
      </c>
      <c r="K10" s="129">
        <f>IF(模拟模式!V14=1,0.05,IF(模拟模式!V14=2,0.09,IF(模拟模式!V14=3,0.12,0)))</f>
        <v>0.12</v>
      </c>
      <c r="L10" s="129">
        <v>0</v>
      </c>
      <c r="M10" s="41">
        <v>0</v>
      </c>
      <c r="N10" s="41"/>
    </row>
    <row r="11" spans="1:14" x14ac:dyDescent="0.2">
      <c r="A11" s="41">
        <v>10</v>
      </c>
      <c r="B11" s="41" t="s">
        <v>359</v>
      </c>
      <c r="C11" s="68"/>
      <c r="D11" s="68">
        <f>0.8283*207</f>
        <v>171.4581</v>
      </c>
      <c r="E11" s="159"/>
      <c r="F11" s="161">
        <f>0.9814*1.1</f>
        <v>1.0795400000000002</v>
      </c>
      <c r="G11" s="41">
        <v>2</v>
      </c>
      <c r="H11" s="130" t="s">
        <v>143</v>
      </c>
      <c r="I11" s="130">
        <v>2</v>
      </c>
      <c r="J11" s="129">
        <f>IF(模拟模式!W14=1,0.05,IF(模拟模式!W14=2,0.09,IF(模拟模式!W14=3,0.12,0)))+IF(模拟模式!I10="有",0.1,0)+IF(模拟模式!K10="阴阳往极",0.05,0)</f>
        <v>0.2</v>
      </c>
      <c r="K11" s="129">
        <f>IF(模拟模式!V14=1,0.05,IF(模拟模式!V14=2,0.09,IF(模拟模式!V14=3,0.12,0)))</f>
        <v>0.12</v>
      </c>
      <c r="L11" s="129">
        <v>0</v>
      </c>
      <c r="M11" s="41">
        <v>0</v>
      </c>
      <c r="N11" s="41" t="s">
        <v>121</v>
      </c>
    </row>
    <row r="12" spans="1:14" x14ac:dyDescent="0.2">
      <c r="A12" s="41">
        <v>11</v>
      </c>
      <c r="B12" s="41" t="s">
        <v>360</v>
      </c>
      <c r="C12" s="68"/>
      <c r="D12" s="68">
        <f>0.7707*207</f>
        <v>159.53490000000002</v>
      </c>
      <c r="E12" s="159"/>
      <c r="F12" s="161">
        <f>0.9132*1.1</f>
        <v>1.0045200000000001</v>
      </c>
      <c r="G12" s="41">
        <v>2</v>
      </c>
      <c r="H12" s="130" t="s">
        <v>143</v>
      </c>
      <c r="I12" s="130">
        <v>3</v>
      </c>
      <c r="J12" s="129">
        <f>IF(模拟模式!W14=1,0.05,IF(模拟模式!W14=2,0.09,IF(模拟模式!W14=3,0.12,0)))+IF(模拟模式!I10="有",0.1,0)+IF(模拟模式!K10="阴阳往极",0.05,0)</f>
        <v>0.2</v>
      </c>
      <c r="K12" s="129">
        <f>IF(模拟模式!V14=1,0.05,IF(模拟模式!V14=2,0.09,IF(模拟模式!V14=3,0.12,0)))</f>
        <v>0.12</v>
      </c>
      <c r="L12" s="129">
        <v>0</v>
      </c>
      <c r="M12" s="41">
        <v>0</v>
      </c>
      <c r="N12" s="41" t="s">
        <v>122</v>
      </c>
    </row>
    <row r="13" spans="1:14" x14ac:dyDescent="0.2">
      <c r="A13" s="41">
        <v>12</v>
      </c>
      <c r="B13" s="41" t="s">
        <v>361</v>
      </c>
      <c r="C13" s="68"/>
      <c r="D13" s="68">
        <f>0.7012*207</f>
        <v>145.14840000000001</v>
      </c>
      <c r="E13" s="159"/>
      <c r="F13" s="161">
        <f>0.8308*1.1</f>
        <v>0.91388000000000003</v>
      </c>
      <c r="G13" s="41">
        <v>2</v>
      </c>
      <c r="H13" s="130" t="s">
        <v>143</v>
      </c>
      <c r="I13" s="130">
        <v>4</v>
      </c>
      <c r="J13" s="129">
        <f>IF(模拟模式!W14=1,0.05,IF(模拟模式!W14=2,0.09,IF(模拟模式!W14=3,0.12,0)))+IF(模拟模式!I10="有",0.1,0)+IF(模拟模式!K10="阴阳往极",0.05,0)</f>
        <v>0.2</v>
      </c>
      <c r="K13" s="129">
        <f>IF(模拟模式!V14=1,0.05,IF(模拟模式!V14=2,0.09,IF(模拟模式!V14=3,0.12,0)))</f>
        <v>0.12</v>
      </c>
      <c r="L13" s="129">
        <v>0</v>
      </c>
      <c r="M13" s="41">
        <v>0</v>
      </c>
      <c r="N13" s="41" t="s">
        <v>123</v>
      </c>
    </row>
    <row r="14" spans="1:14" x14ac:dyDescent="0.2">
      <c r="A14" s="41">
        <v>13</v>
      </c>
      <c r="B14" s="41" t="s">
        <v>362</v>
      </c>
      <c r="C14" s="68"/>
      <c r="D14" s="68">
        <f>0.6441*207</f>
        <v>133.3287</v>
      </c>
      <c r="E14" s="159"/>
      <c r="F14" s="161">
        <f>0.7634*1.1</f>
        <v>0.83974000000000004</v>
      </c>
      <c r="G14" s="41">
        <v>2</v>
      </c>
      <c r="H14" s="130" t="s">
        <v>143</v>
      </c>
      <c r="I14" s="130">
        <v>5</v>
      </c>
      <c r="J14" s="129">
        <f>IF(模拟模式!W14=1,0.05,IF(模拟模式!W14=2,0.09,IF(模拟模式!W14=3,0.12,0)))+IF(模拟模式!I10="有",0.1,0)+IF(模拟模式!K10="阴阳往极",0.05,0)</f>
        <v>0.2</v>
      </c>
      <c r="K14" s="129">
        <f>IF(模拟模式!V14=1,0.05,IF(模拟模式!V14=2,0.09,IF(模拟模式!V14=3,0.12,0)))</f>
        <v>0.12</v>
      </c>
      <c r="L14" s="129">
        <v>0</v>
      </c>
      <c r="M14" s="41">
        <v>0</v>
      </c>
      <c r="N14" s="41" t="s">
        <v>124</v>
      </c>
    </row>
    <row r="15" spans="1:14" x14ac:dyDescent="0.2">
      <c r="A15" s="41">
        <v>14</v>
      </c>
      <c r="B15" s="41" t="s">
        <v>363</v>
      </c>
      <c r="C15" s="68"/>
      <c r="D15" s="68">
        <f>0.5837*207</f>
        <v>120.8259</v>
      </c>
      <c r="E15" s="159"/>
      <c r="F15" s="161">
        <f>0.6915*1.1</f>
        <v>0.76065000000000005</v>
      </c>
      <c r="G15" s="41">
        <v>2</v>
      </c>
      <c r="H15" s="130" t="s">
        <v>143</v>
      </c>
      <c r="I15" s="130">
        <v>6</v>
      </c>
      <c r="J15" s="129">
        <f>IF(模拟模式!W14=1,0.05,IF(模拟模式!W14=2,0.09,IF(模拟模式!W14=3,0.12,0)))+IF(模拟模式!I10="有",0.1,0)+IF(模拟模式!K10="阴阳往极",0.05,0)</f>
        <v>0.2</v>
      </c>
      <c r="K15" s="129">
        <f>IF(模拟模式!V14=1,0.05,IF(模拟模式!V14=2,0.09,IF(模拟模式!V14=3,0.12,0)))</f>
        <v>0.12</v>
      </c>
      <c r="L15" s="129">
        <v>0</v>
      </c>
      <c r="M15" s="41">
        <v>0</v>
      </c>
      <c r="N15" s="41" t="s">
        <v>125</v>
      </c>
    </row>
    <row r="16" spans="1:14" x14ac:dyDescent="0.2">
      <c r="A16" s="41">
        <v>15</v>
      </c>
      <c r="B16" s="41" t="s">
        <v>364</v>
      </c>
      <c r="C16" s="68"/>
      <c r="D16" s="68">
        <f>0.5194*207</f>
        <v>107.5158</v>
      </c>
      <c r="E16" s="159"/>
      <c r="F16" s="161">
        <f>0.6154*1.1</f>
        <v>0.67693999999999999</v>
      </c>
      <c r="G16" s="41">
        <v>2</v>
      </c>
      <c r="H16" s="130" t="s">
        <v>143</v>
      </c>
      <c r="I16" s="130">
        <v>7</v>
      </c>
      <c r="J16" s="129">
        <f>IF(模拟模式!W14=1,0.05,IF(模拟模式!W14=2,0.09,IF(模拟模式!W14=3,0.12,0)))+IF(模拟模式!I10="有",0.1,0)+IF(模拟模式!K10="阴阳往极",0.05,0)</f>
        <v>0.2</v>
      </c>
      <c r="K16" s="129">
        <f>IF(模拟模式!V14=1,0.05,IF(模拟模式!V14=2,0.09,IF(模拟模式!V14=3,0.12,0)))</f>
        <v>0.12</v>
      </c>
      <c r="L16" s="129">
        <v>0</v>
      </c>
      <c r="M16" s="41">
        <v>0</v>
      </c>
      <c r="N16" s="41" t="s">
        <v>126</v>
      </c>
    </row>
    <row r="17" spans="1:14" x14ac:dyDescent="0.2">
      <c r="A17" s="41">
        <v>16</v>
      </c>
      <c r="B17" s="41" t="s">
        <v>365</v>
      </c>
      <c r="C17" s="68"/>
      <c r="D17" s="68">
        <f>0.4448*207</f>
        <v>92.073599999999999</v>
      </c>
      <c r="E17" s="159"/>
      <c r="F17" s="161">
        <f>0.5271*1.1</f>
        <v>0.57981000000000005</v>
      </c>
      <c r="G17" s="41">
        <v>2</v>
      </c>
      <c r="H17" s="130" t="s">
        <v>143</v>
      </c>
      <c r="I17" s="130">
        <v>8</v>
      </c>
      <c r="J17" s="129">
        <f>IF(模拟模式!W14=1,0.05,IF(模拟模式!W14=2,0.09,IF(模拟模式!W14=3,0.12,0)))+IF(模拟模式!I10="有",0.1,0)+IF(模拟模式!K10="阴阳往极",0.05,0)</f>
        <v>0.2</v>
      </c>
      <c r="K17" s="129">
        <f>IF(模拟模式!V14=1,0.05,IF(模拟模式!V14=2,0.09,IF(模拟模式!V14=3,0.12,0)))</f>
        <v>0.12</v>
      </c>
      <c r="L17" s="129">
        <v>0</v>
      </c>
      <c r="M17" s="41">
        <v>0</v>
      </c>
      <c r="N17" s="41" t="s">
        <v>127</v>
      </c>
    </row>
    <row r="18" spans="1:14" x14ac:dyDescent="0.2">
      <c r="A18" s="41">
        <v>17</v>
      </c>
      <c r="B18" s="41" t="s">
        <v>413</v>
      </c>
      <c r="C18" s="68">
        <v>73</v>
      </c>
      <c r="D18" s="68">
        <f>AVERAGE(C18,E18)</f>
        <v>74</v>
      </c>
      <c r="E18" s="159">
        <v>75</v>
      </c>
      <c r="F18" s="160">
        <f>0.3906*1.1</f>
        <v>0.42966000000000004</v>
      </c>
      <c r="G18" s="41">
        <f>1</f>
        <v>1</v>
      </c>
      <c r="H18" s="130" t="s">
        <v>144</v>
      </c>
      <c r="I18" s="130">
        <v>3</v>
      </c>
      <c r="J18" s="129">
        <f>IF(模拟模式!W14=1,0.05,IF(模拟模式!W14=2,0.09,IF(模拟模式!W14=3,0.12,0)))+IF(模拟模式!I10="有",0.1,0)+IF(模拟模式!K10="阴阳往极",0.05,0)</f>
        <v>0.2</v>
      </c>
      <c r="K18" s="129">
        <f>IF(模拟模式!V14=1,0.05,IF(模拟模式!V14=2,0.09,IF(模拟模式!V14=3,0.12,0)))</f>
        <v>0.12</v>
      </c>
      <c r="L18" s="129">
        <v>0</v>
      </c>
      <c r="M18" s="41">
        <v>0</v>
      </c>
      <c r="N18" s="41" t="s">
        <v>412</v>
      </c>
    </row>
    <row r="19" spans="1:14" x14ac:dyDescent="0.2">
      <c r="A19" s="41">
        <v>18</v>
      </c>
      <c r="B19" s="41" t="s">
        <v>44</v>
      </c>
      <c r="C19" s="68">
        <v>95</v>
      </c>
      <c r="D19" s="68">
        <f t="shared" ref="D19" si="1">AVERAGE(C19,E19)</f>
        <v>99.5</v>
      </c>
      <c r="E19" s="159">
        <v>104</v>
      </c>
      <c r="F19" s="160">
        <f>1.0417*1.1</f>
        <v>1.1458700000000002</v>
      </c>
      <c r="G19" s="41">
        <v>2</v>
      </c>
      <c r="H19" s="130" t="s">
        <v>144</v>
      </c>
      <c r="I19" s="130">
        <v>1</v>
      </c>
      <c r="J19" s="129">
        <f>IF(模拟模式!W13=1,0.05,IF(模拟模式!W13=2,0.09,IF(模拟模式!W13=3,0.12,0)))+IF(模拟模式!K10="阴阳往极",0.05,0)</f>
        <v>0.14000000000000001</v>
      </c>
      <c r="K19" s="129">
        <f>IF(模拟模式!V13=1,0.05,IF(模拟模式!V13=2,0.09,IF(模拟模式!V13=3,0.12,0)))</f>
        <v>0.09</v>
      </c>
      <c r="L19" s="129">
        <v>0</v>
      </c>
      <c r="M19" s="41">
        <v>0</v>
      </c>
      <c r="N19" s="41" t="s">
        <v>116</v>
      </c>
    </row>
    <row r="20" spans="1:14" x14ac:dyDescent="0.2">
      <c r="A20" s="41"/>
      <c r="B20" s="41" t="s">
        <v>105</v>
      </c>
      <c r="C20" s="68">
        <v>55</v>
      </c>
      <c r="D20" s="68">
        <f t="shared" ref="D20:D25" si="2">AVERAGE(C20,E20)</f>
        <v>55</v>
      </c>
      <c r="E20" s="159">
        <v>55</v>
      </c>
      <c r="F20" s="161">
        <v>0.1045</v>
      </c>
      <c r="G20" s="41">
        <v>0</v>
      </c>
      <c r="H20" s="130" t="s">
        <v>144</v>
      </c>
      <c r="I20" s="130">
        <f>模拟模式!V19</f>
        <v>1</v>
      </c>
      <c r="J20" s="129">
        <f>IF(模拟模式!J7="洞若观火",0.1,0)</f>
        <v>0.1</v>
      </c>
      <c r="K20" s="129">
        <f>IF(模拟模式!V12=1,0.05,IF(模拟模式!V12=2,0.09,IF(模拟模式!V12=3,0.12,0)))+IF(模拟模式!H7="腾焰飞芒",0.1,0)</f>
        <v>0.22</v>
      </c>
      <c r="L20" s="129">
        <f>IF(模拟模式!H7="腾焰飞芒",0.1,0)</f>
        <v>0.1</v>
      </c>
      <c r="M20" s="41">
        <v>0</v>
      </c>
      <c r="N20" s="41" t="s">
        <v>106</v>
      </c>
    </row>
    <row r="21" spans="1:14" x14ac:dyDescent="0.2">
      <c r="A21" s="41"/>
      <c r="B21" s="41" t="s">
        <v>108</v>
      </c>
      <c r="C21" s="68">
        <v>29</v>
      </c>
      <c r="D21" s="68">
        <f t="shared" si="2"/>
        <v>29</v>
      </c>
      <c r="E21" s="159">
        <v>29</v>
      </c>
      <c r="F21" s="161">
        <v>0.28810000000000002</v>
      </c>
      <c r="G21" s="41">
        <v>0</v>
      </c>
      <c r="H21" s="130" t="s">
        <v>143</v>
      </c>
      <c r="I21" s="130">
        <f>模拟模式!V17</f>
        <v>1</v>
      </c>
      <c r="J21" s="129">
        <v>0</v>
      </c>
      <c r="K21" s="129">
        <v>0</v>
      </c>
      <c r="L21" s="129">
        <v>0</v>
      </c>
      <c r="M21" s="41">
        <v>0</v>
      </c>
      <c r="N21" s="41" t="s">
        <v>109</v>
      </c>
    </row>
    <row r="22" spans="1:14" x14ac:dyDescent="0.2">
      <c r="A22" s="41"/>
      <c r="B22" s="41" t="s">
        <v>113</v>
      </c>
      <c r="C22" s="68">
        <v>286</v>
      </c>
      <c r="D22" s="68">
        <f t="shared" si="2"/>
        <v>286</v>
      </c>
      <c r="E22" s="159">
        <v>286</v>
      </c>
      <c r="F22" s="161">
        <f>0.1883*1.1</f>
        <v>0.20713000000000001</v>
      </c>
      <c r="G22" s="41">
        <v>0</v>
      </c>
      <c r="H22" s="130" t="s">
        <v>143</v>
      </c>
      <c r="I22" s="130">
        <f>模拟模式!V20</f>
        <v>1</v>
      </c>
      <c r="J22" s="129">
        <v>0</v>
      </c>
      <c r="K22" s="129">
        <v>0</v>
      </c>
      <c r="L22" s="129">
        <v>0</v>
      </c>
      <c r="M22" s="41">
        <v>0</v>
      </c>
      <c r="N22" s="41"/>
    </row>
    <row r="23" spans="1:14" x14ac:dyDescent="0.2">
      <c r="A23" s="41"/>
      <c r="B23" s="41" t="s">
        <v>114</v>
      </c>
      <c r="C23" s="68">
        <v>286</v>
      </c>
      <c r="D23" s="68">
        <f t="shared" si="2"/>
        <v>286</v>
      </c>
      <c r="E23" s="159">
        <v>286</v>
      </c>
      <c r="F23" s="161">
        <f>0.1883*1.1</f>
        <v>0.20713000000000001</v>
      </c>
      <c r="G23" s="41">
        <v>0</v>
      </c>
      <c r="H23" s="130" t="s">
        <v>144</v>
      </c>
      <c r="I23" s="130">
        <f>模拟模式!V20</f>
        <v>1</v>
      </c>
      <c r="J23" s="129">
        <v>0</v>
      </c>
      <c r="K23" s="129">
        <v>0</v>
      </c>
      <c r="L23" s="129">
        <v>0</v>
      </c>
      <c r="M23" s="41">
        <v>0</v>
      </c>
      <c r="N23" s="41" t="s">
        <v>115</v>
      </c>
    </row>
    <row r="24" spans="1:14" x14ac:dyDescent="0.2">
      <c r="A24" s="41"/>
      <c r="B24" s="41" t="s">
        <v>117</v>
      </c>
      <c r="C24" s="68">
        <v>107</v>
      </c>
      <c r="D24" s="68">
        <f t="shared" si="2"/>
        <v>138</v>
      </c>
      <c r="E24" s="159">
        <v>169</v>
      </c>
      <c r="F24" s="160">
        <v>1.0415000000000001</v>
      </c>
      <c r="G24" s="41">
        <v>0</v>
      </c>
      <c r="H24" s="130" t="s">
        <v>143</v>
      </c>
      <c r="I24" s="130">
        <v>1</v>
      </c>
      <c r="J24" s="129">
        <v>0</v>
      </c>
      <c r="K24" s="129">
        <v>0</v>
      </c>
      <c r="L24" s="129">
        <v>0</v>
      </c>
      <c r="M24" s="41">
        <v>0</v>
      </c>
      <c r="N24" s="41" t="s">
        <v>118</v>
      </c>
    </row>
    <row r="25" spans="1:14" x14ac:dyDescent="0.2">
      <c r="A25" s="41"/>
      <c r="B25" s="41" t="s">
        <v>119</v>
      </c>
      <c r="C25" s="68">
        <v>0</v>
      </c>
      <c r="D25" s="68">
        <f t="shared" si="2"/>
        <v>0</v>
      </c>
      <c r="E25" s="68">
        <v>0</v>
      </c>
      <c r="F25" s="41">
        <v>0</v>
      </c>
      <c r="G25" s="41">
        <v>1.2</v>
      </c>
      <c r="H25" s="130" t="s">
        <v>146</v>
      </c>
      <c r="I25" s="130">
        <v>1</v>
      </c>
      <c r="J25" s="129">
        <v>0</v>
      </c>
      <c r="K25" s="129">
        <v>0</v>
      </c>
      <c r="L25" s="129">
        <v>0</v>
      </c>
      <c r="M25" s="41">
        <v>0</v>
      </c>
      <c r="N25" s="41" t="s">
        <v>120</v>
      </c>
    </row>
    <row r="30" spans="1:14" x14ac:dyDescent="0.2">
      <c r="A30" s="19" t="s">
        <v>128</v>
      </c>
    </row>
    <row r="31" spans="1:14" x14ac:dyDescent="0.2">
      <c r="A31" s="19" t="s">
        <v>129</v>
      </c>
    </row>
    <row r="32" spans="1:14" x14ac:dyDescent="0.2">
      <c r="A32" s="19" t="s">
        <v>130</v>
      </c>
    </row>
    <row r="33" spans="1:3" x14ac:dyDescent="0.2">
      <c r="A33" s="19" t="s">
        <v>131</v>
      </c>
    </row>
    <row r="34" spans="1:3" x14ac:dyDescent="0.2">
      <c r="A34" s="19" t="s">
        <v>132</v>
      </c>
      <c r="C34" s="43" t="s">
        <v>133</v>
      </c>
    </row>
    <row r="36" spans="1:3" x14ac:dyDescent="0.2">
      <c r="A36" s="19" t="s">
        <v>134</v>
      </c>
    </row>
    <row r="37" spans="1:3" x14ac:dyDescent="0.2">
      <c r="A37" s="19" t="s">
        <v>135</v>
      </c>
    </row>
    <row r="39" spans="1:3" x14ac:dyDescent="0.2">
      <c r="A39" s="19" t="s">
        <v>136</v>
      </c>
    </row>
    <row r="40" spans="1:3" x14ac:dyDescent="0.2">
      <c r="A40" s="19" t="s">
        <v>137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5E724-F244-4F76-BFE0-371753944B06}">
  <sheetPr codeName="Sheet13"/>
  <dimension ref="A1:AB48"/>
  <sheetViews>
    <sheetView workbookViewId="0"/>
  </sheetViews>
  <sheetFormatPr defaultColWidth="7.625" defaultRowHeight="14.25" x14ac:dyDescent="0.2"/>
  <cols>
    <col min="1" max="1" width="18" style="115" bestFit="1" customWidth="1"/>
    <col min="2" max="2" width="5.25" style="115" bestFit="1" customWidth="1"/>
    <col min="3" max="3" width="7.625" style="117" customWidth="1"/>
    <col min="4" max="4" width="7.625" style="45" customWidth="1"/>
    <col min="5" max="5" width="7.625" style="117" customWidth="1"/>
    <col min="6" max="6" width="7.625" style="45" customWidth="1"/>
    <col min="7" max="7" width="7.625" style="117" customWidth="1"/>
    <col min="8" max="8" width="7.625" style="45" customWidth="1"/>
    <col min="9" max="9" width="7.625" style="117" customWidth="1"/>
    <col min="10" max="10" width="7.625" style="45" customWidth="1"/>
    <col min="11" max="11" width="7.625" style="117" customWidth="1"/>
    <col min="12" max="12" width="7.625" style="45" customWidth="1"/>
    <col min="13" max="13" width="7.625" style="117" customWidth="1"/>
    <col min="14" max="14" width="7.625" style="45" customWidth="1"/>
    <col min="15" max="15" width="7.625" style="117" customWidth="1"/>
    <col min="16" max="16" width="7.625" style="45" customWidth="1"/>
    <col min="17" max="16384" width="7.625" style="115"/>
  </cols>
  <sheetData>
    <row r="1" spans="1:28" s="121" customFormat="1" ht="30" customHeight="1" x14ac:dyDescent="0.2">
      <c r="B1" s="261" t="s">
        <v>199</v>
      </c>
      <c r="C1" s="265" t="s">
        <v>0</v>
      </c>
      <c r="D1" s="265"/>
      <c r="E1" s="265" t="s">
        <v>1</v>
      </c>
      <c r="F1" s="265"/>
      <c r="G1" s="265" t="s">
        <v>2</v>
      </c>
      <c r="H1" s="265"/>
      <c r="I1" s="265" t="s">
        <v>3</v>
      </c>
      <c r="J1" s="265"/>
      <c r="K1" s="265" t="s">
        <v>4</v>
      </c>
      <c r="L1" s="265"/>
      <c r="M1" s="265" t="s">
        <v>5</v>
      </c>
      <c r="N1" s="265"/>
      <c r="O1" s="265" t="s">
        <v>6</v>
      </c>
      <c r="P1" s="265"/>
    </row>
    <row r="2" spans="1:28" x14ac:dyDescent="0.2">
      <c r="B2" s="261"/>
      <c r="C2" s="117" t="s">
        <v>181</v>
      </c>
      <c r="D2" s="45" t="s">
        <v>180</v>
      </c>
      <c r="E2" s="117" t="s">
        <v>181</v>
      </c>
      <c r="F2" s="45" t="s">
        <v>180</v>
      </c>
      <c r="G2" s="117" t="s">
        <v>181</v>
      </c>
      <c r="H2" s="45" t="s">
        <v>180</v>
      </c>
      <c r="I2" s="117" t="s">
        <v>181</v>
      </c>
      <c r="J2" s="45" t="s">
        <v>180</v>
      </c>
      <c r="K2" s="117" t="s">
        <v>181</v>
      </c>
      <c r="L2" s="45" t="s">
        <v>180</v>
      </c>
      <c r="M2" s="117" t="s">
        <v>181</v>
      </c>
      <c r="N2" s="45" t="s">
        <v>180</v>
      </c>
      <c r="O2" s="117" t="s">
        <v>181</v>
      </c>
      <c r="P2" s="45" t="s">
        <v>180</v>
      </c>
    </row>
    <row r="3" spans="1:28" x14ac:dyDescent="0.2">
      <c r="A3" s="115" t="s">
        <v>290</v>
      </c>
      <c r="C3" s="117">
        <f>'模拟-模拟计算'!C5</f>
        <v>1681</v>
      </c>
      <c r="E3" s="117">
        <f>'模拟-模拟计算'!C6</f>
        <v>8660</v>
      </c>
      <c r="H3" s="45">
        <f>'模拟-模拟计算'!C7</f>
        <v>0.2555</v>
      </c>
      <c r="J3" s="45">
        <f>'模拟-模拟计算'!C8</f>
        <v>1.9528000000000001</v>
      </c>
      <c r="K3" s="117">
        <f>'模拟-模拟计算'!C9</f>
        <v>7003.0928800000002</v>
      </c>
      <c r="N3" s="45">
        <f>'模拟-模拟计算'!C10</f>
        <v>1.0518000000000001</v>
      </c>
      <c r="P3" s="45">
        <f>'模拟-模拟计算'!C11</f>
        <v>0.25590000000000002</v>
      </c>
    </row>
    <row r="4" spans="1:28" x14ac:dyDescent="0.2">
      <c r="A4" s="115" t="s">
        <v>182</v>
      </c>
      <c r="C4" s="117">
        <v>0</v>
      </c>
      <c r="D4" s="45">
        <v>0</v>
      </c>
      <c r="E4" s="117">
        <v>0</v>
      </c>
      <c r="F4" s="45">
        <v>0</v>
      </c>
      <c r="G4" s="117">
        <v>0</v>
      </c>
      <c r="H4" s="45">
        <v>0</v>
      </c>
      <c r="I4" s="117">
        <v>0</v>
      </c>
      <c r="J4" s="45">
        <v>0</v>
      </c>
      <c r="K4" s="117">
        <v>0</v>
      </c>
      <c r="L4" s="45">
        <v>0</v>
      </c>
      <c r="M4" s="117">
        <v>0</v>
      </c>
      <c r="N4" s="45">
        <v>0</v>
      </c>
      <c r="O4" s="117">
        <v>0</v>
      </c>
      <c r="P4" s="45">
        <v>0</v>
      </c>
    </row>
    <row r="5" spans="1:28" x14ac:dyDescent="0.2">
      <c r="A5" s="115" t="s">
        <v>204</v>
      </c>
      <c r="C5" s="117">
        <f t="shared" ref="C5:P5" si="0">SUMPRODUCT(($B$13:$B$48)*(C13:C48))</f>
        <v>189</v>
      </c>
      <c r="D5" s="45">
        <f t="shared" si="0"/>
        <v>0</v>
      </c>
      <c r="E5" s="117">
        <f t="shared" si="0"/>
        <v>413</v>
      </c>
      <c r="F5" s="45">
        <f t="shared" si="0"/>
        <v>0.43000000000000005</v>
      </c>
      <c r="G5" s="117">
        <f t="shared" si="0"/>
        <v>232</v>
      </c>
      <c r="H5" s="45">
        <f t="shared" si="0"/>
        <v>0.05</v>
      </c>
      <c r="I5" s="117">
        <f t="shared" si="0"/>
        <v>52</v>
      </c>
      <c r="J5" s="45">
        <f t="shared" si="0"/>
        <v>0.1</v>
      </c>
      <c r="K5" s="117">
        <f t="shared" si="0"/>
        <v>865</v>
      </c>
      <c r="L5" s="45">
        <f t="shared" si="0"/>
        <v>0.35</v>
      </c>
      <c r="M5" s="117">
        <f t="shared" si="0"/>
        <v>180</v>
      </c>
      <c r="N5" s="45">
        <f t="shared" si="0"/>
        <v>0.05</v>
      </c>
      <c r="O5" s="117">
        <f t="shared" si="0"/>
        <v>0</v>
      </c>
      <c r="P5" s="45">
        <f t="shared" si="0"/>
        <v>4.02E-2</v>
      </c>
    </row>
    <row r="6" spans="1:28" s="125" customFormat="1" x14ac:dyDescent="0.2">
      <c r="A6" s="262" t="s">
        <v>205</v>
      </c>
      <c r="B6" s="262"/>
      <c r="C6" s="285">
        <f>(C3+C4+C5)*(1+D4+D5)</f>
        <v>1870</v>
      </c>
      <c r="D6" s="285"/>
      <c r="E6" s="162" t="s">
        <v>206</v>
      </c>
      <c r="F6" s="163" t="s">
        <v>207</v>
      </c>
      <c r="G6" s="286">
        <f>H3+H4+H5+(G4+G5+(C6-C3)*系数!B13)/系数!B3</f>
        <v>0.32185145527300218</v>
      </c>
      <c r="H6" s="286"/>
      <c r="I6" s="286">
        <f>J3+J4+J5+(I4+I5)/系数!B4</f>
        <v>2.0624828854998789</v>
      </c>
      <c r="J6" s="286"/>
      <c r="K6" s="286">
        <f>((K3+K4+K5+(C6-C3)*系数!B10)*(1+L4+L5))/系数!B5</f>
        <v>0.69723220422048726</v>
      </c>
      <c r="L6" s="286"/>
      <c r="M6" s="162" t="s">
        <v>213</v>
      </c>
      <c r="N6" s="163" t="s">
        <v>53</v>
      </c>
      <c r="O6" s="162" t="s">
        <v>215</v>
      </c>
      <c r="P6" s="163" t="s">
        <v>54</v>
      </c>
    </row>
    <row r="7" spans="1:28" s="125" customFormat="1" x14ac:dyDescent="0.2">
      <c r="A7" s="262"/>
      <c r="B7" s="262"/>
      <c r="C7" s="285"/>
      <c r="D7" s="285"/>
      <c r="E7" s="162">
        <f>(E3+E4+E5+(C6-C3)*系数!B9)*(1+F4+F5)</f>
        <v>13023.038600000002</v>
      </c>
      <c r="F7" s="162">
        <f>E7+C6*系数!B12</f>
        <v>16576.0386</v>
      </c>
      <c r="G7" s="286"/>
      <c r="H7" s="286"/>
      <c r="I7" s="286"/>
      <c r="J7" s="286"/>
      <c r="K7" s="286"/>
      <c r="L7" s="286"/>
      <c r="M7" s="163">
        <f>N3+N4+N5+(M4+M5)/系数!B6</f>
        <v>1.1147046133992904</v>
      </c>
      <c r="N7" s="163">
        <f>MAX(0,分析模式!E18-M7)</f>
        <v>0</v>
      </c>
      <c r="O7" s="163">
        <f>P3+P4+P5+(O4+O5)/系数!B7</f>
        <v>0.29610000000000003</v>
      </c>
      <c r="P7" s="163">
        <f>MAX(0,分析模式!E19-O7)</f>
        <v>5.3899999999999948E-2</v>
      </c>
    </row>
    <row r="8" spans="1:28" x14ac:dyDescent="0.2">
      <c r="D8" s="117"/>
      <c r="F8" s="117"/>
      <c r="G8" s="45"/>
      <c r="I8" s="45"/>
      <c r="K8" s="45"/>
      <c r="M8" s="45"/>
      <c r="O8" s="45"/>
    </row>
    <row r="9" spans="1:28" s="261" customFormat="1" x14ac:dyDescent="0.2"/>
    <row r="10" spans="1:28" s="258" customFormat="1" x14ac:dyDescent="0.2">
      <c r="A10" s="258" t="s">
        <v>245</v>
      </c>
    </row>
    <row r="11" spans="1:28" s="258" customFormat="1" x14ac:dyDescent="0.2">
      <c r="A11" s="258" t="s">
        <v>366</v>
      </c>
    </row>
    <row r="12" spans="1:28" s="72" customFormat="1" x14ac:dyDescent="0.2"/>
    <row r="13" spans="1:28" x14ac:dyDescent="0.2">
      <c r="A13" s="115" t="s">
        <v>183</v>
      </c>
      <c r="B13" s="115">
        <f>IF(模拟模式!O13="蒸鱼菜盘",1,0)</f>
        <v>1</v>
      </c>
      <c r="N13" s="45">
        <v>0.01</v>
      </c>
      <c r="P13" s="45">
        <v>0.03</v>
      </c>
    </row>
    <row r="14" spans="1:28" x14ac:dyDescent="0.2">
      <c r="A14" s="115" t="s">
        <v>68</v>
      </c>
      <c r="B14" s="115">
        <f>IF(模拟模式!P13="有",1,0)</f>
        <v>1</v>
      </c>
      <c r="N14" s="45">
        <v>0.01</v>
      </c>
      <c r="P14" s="45">
        <v>1.0200000000000001E-2</v>
      </c>
    </row>
    <row r="15" spans="1:28" x14ac:dyDescent="0.2">
      <c r="A15" s="115" t="s">
        <v>506</v>
      </c>
      <c r="B15" s="115">
        <f>IF(模拟模式!M10="有",1,0)</f>
        <v>1</v>
      </c>
      <c r="K15" s="117">
        <v>207</v>
      </c>
      <c r="Q15" s="122"/>
      <c r="R15" s="45"/>
      <c r="S15" s="117"/>
      <c r="T15" s="45"/>
      <c r="U15" s="117"/>
      <c r="V15" s="45"/>
      <c r="W15" s="117"/>
      <c r="X15" s="45"/>
      <c r="Y15" s="117"/>
      <c r="Z15" s="45"/>
      <c r="AA15" s="117"/>
      <c r="AB15" s="45"/>
    </row>
    <row r="16" spans="1:28" x14ac:dyDescent="0.2">
      <c r="A16" s="115" t="s">
        <v>507</v>
      </c>
      <c r="B16" s="115">
        <f>IF(模拟模式!N10="有",1,0)</f>
        <v>1</v>
      </c>
      <c r="E16" s="117">
        <v>148</v>
      </c>
      <c r="Q16" s="122"/>
      <c r="R16" s="45"/>
      <c r="S16" s="117"/>
      <c r="T16" s="45"/>
      <c r="U16" s="117"/>
      <c r="V16" s="45"/>
      <c r="W16" s="117"/>
      <c r="X16" s="45"/>
      <c r="Y16" s="117"/>
      <c r="Z16" s="45"/>
      <c r="AA16" s="117"/>
      <c r="AB16" s="45"/>
    </row>
    <row r="18" spans="1:16" x14ac:dyDescent="0.2">
      <c r="A18" s="115" t="s">
        <v>74</v>
      </c>
      <c r="B18" s="115">
        <f>IF(模拟模式!J16="有",1,0)</f>
        <v>1</v>
      </c>
      <c r="C18" s="117">
        <v>52</v>
      </c>
      <c r="E18" s="117">
        <v>52</v>
      </c>
      <c r="G18" s="117">
        <v>52</v>
      </c>
      <c r="I18" s="117">
        <v>52</v>
      </c>
      <c r="K18" s="117">
        <v>52</v>
      </c>
    </row>
    <row r="19" spans="1:16" x14ac:dyDescent="0.2">
      <c r="A19" s="115" t="s">
        <v>75</v>
      </c>
      <c r="B19" s="115">
        <f>IF(模拟模式!K16="有",1,0)</f>
        <v>1</v>
      </c>
      <c r="H19" s="45">
        <v>0.05</v>
      </c>
      <c r="J19" s="45">
        <v>0.1</v>
      </c>
    </row>
    <row r="20" spans="1:16" x14ac:dyDescent="0.2">
      <c r="A20" s="115" t="s">
        <v>76</v>
      </c>
      <c r="B20" s="115">
        <f>IF(模拟模式!L16="有",1,0)</f>
        <v>1</v>
      </c>
      <c r="F20" s="45">
        <v>0.1</v>
      </c>
    </row>
    <row r="21" spans="1:16" x14ac:dyDescent="0.2">
      <c r="A21" s="115" t="s">
        <v>201</v>
      </c>
      <c r="B21" s="115">
        <f>IF(模拟模式!M16="10层",1,0)</f>
        <v>1</v>
      </c>
      <c r="L21" s="45">
        <v>0.25</v>
      </c>
    </row>
    <row r="22" spans="1:16" x14ac:dyDescent="0.2">
      <c r="A22" s="115" t="s">
        <v>78</v>
      </c>
      <c r="B22" s="115">
        <f>IF(模拟模式!N16="有",1,0)</f>
        <v>1</v>
      </c>
      <c r="F22" s="45">
        <v>0.1</v>
      </c>
    </row>
    <row r="23" spans="1:16" x14ac:dyDescent="0.2">
      <c r="A23" s="115" t="s">
        <v>79</v>
      </c>
      <c r="B23" s="115">
        <f>IF(模拟模式!O16="有",1,0)</f>
        <v>1</v>
      </c>
      <c r="F23" s="45">
        <v>0.08</v>
      </c>
    </row>
    <row r="24" spans="1:16" x14ac:dyDescent="0.2">
      <c r="A24" s="115" t="s">
        <v>200</v>
      </c>
      <c r="B24" s="115">
        <f>IF(模拟模式!R16="6层",1,0)</f>
        <v>0</v>
      </c>
      <c r="P24" s="45">
        <v>4.3E-3</v>
      </c>
    </row>
    <row r="26" spans="1:16" x14ac:dyDescent="0.2">
      <c r="A26" s="115" t="s">
        <v>184</v>
      </c>
      <c r="B26" s="115">
        <f>IF(模拟模式!$I$16='模拟-全程加成'!A26,1,0)</f>
        <v>0</v>
      </c>
      <c r="H26" s="45">
        <v>0.08</v>
      </c>
      <c r="J26" s="45">
        <v>0.1</v>
      </c>
      <c r="N26" s="45">
        <v>0.03</v>
      </c>
    </row>
    <row r="27" spans="1:16" x14ac:dyDescent="0.2">
      <c r="A27" s="115" t="s">
        <v>185</v>
      </c>
      <c r="B27" s="115">
        <f>IF(模拟模式!$I$16='模拟-全程加成'!A27,1,0)</f>
        <v>0</v>
      </c>
      <c r="F27" s="45">
        <v>0.05</v>
      </c>
      <c r="L27" s="45">
        <v>0.2</v>
      </c>
    </row>
    <row r="28" spans="1:16" x14ac:dyDescent="0.2">
      <c r="A28" s="115" t="s">
        <v>186</v>
      </c>
      <c r="B28" s="115">
        <f>IF(模拟模式!$I$16='模拟-全程加成'!A28,1,0)</f>
        <v>1</v>
      </c>
      <c r="F28" s="45">
        <v>0.15</v>
      </c>
      <c r="L28" s="45">
        <v>0.1</v>
      </c>
      <c r="N28" s="45">
        <v>0.03</v>
      </c>
    </row>
    <row r="29" spans="1:16" x14ac:dyDescent="0.2">
      <c r="A29" s="115" t="s">
        <v>187</v>
      </c>
      <c r="B29" s="115">
        <f>IF(模拟模式!$I$16='模拟-全程加成'!A29,1,0)</f>
        <v>0</v>
      </c>
      <c r="F29" s="45">
        <v>0.05</v>
      </c>
    </row>
    <row r="30" spans="1:16" x14ac:dyDescent="0.2">
      <c r="A30" s="115" t="s">
        <v>188</v>
      </c>
      <c r="B30" s="115">
        <f>IF(模拟模式!$I$16='模拟-全程加成'!A30,1,0)</f>
        <v>0</v>
      </c>
      <c r="F30" s="45">
        <v>0.05</v>
      </c>
      <c r="H30" s="45">
        <v>0.03</v>
      </c>
      <c r="J30" s="45">
        <v>0.1</v>
      </c>
      <c r="L30" s="45">
        <v>0.05</v>
      </c>
    </row>
    <row r="31" spans="1:16" x14ac:dyDescent="0.2">
      <c r="A31" s="115" t="s">
        <v>189</v>
      </c>
      <c r="B31" s="115">
        <f>IF(模拟模式!$I$16='模拟-全程加成'!A31,1,0)</f>
        <v>0</v>
      </c>
      <c r="D31" s="45">
        <v>0.03</v>
      </c>
    </row>
    <row r="32" spans="1:16" x14ac:dyDescent="0.2">
      <c r="A32" s="115" t="s">
        <v>190</v>
      </c>
      <c r="B32" s="115">
        <f>IF(模拟模式!$I$16='模拟-全程加成'!A32,1,0)</f>
        <v>0</v>
      </c>
      <c r="F32" s="45">
        <v>0.05</v>
      </c>
      <c r="H32" s="45">
        <f>(3+10*6/20)%</f>
        <v>0.06</v>
      </c>
    </row>
    <row r="33" spans="1:15" x14ac:dyDescent="0.2">
      <c r="A33" s="115" t="s">
        <v>192</v>
      </c>
      <c r="B33" s="115">
        <f>IF(模拟模式!$I$16='模拟-全程加成'!A33,1,0)</f>
        <v>0</v>
      </c>
      <c r="H33" s="45">
        <v>0.08</v>
      </c>
      <c r="N33" s="45">
        <v>0.03</v>
      </c>
    </row>
    <row r="34" spans="1:15" x14ac:dyDescent="0.2">
      <c r="A34" s="115" t="s">
        <v>193</v>
      </c>
      <c r="B34" s="115">
        <f>IF(模拟模式!$I$16='模拟-全程加成'!A34,1,0)</f>
        <v>0</v>
      </c>
      <c r="H34" s="45">
        <v>0.05</v>
      </c>
    </row>
    <row r="36" spans="1:15" x14ac:dyDescent="0.2">
      <c r="A36" s="115" t="s">
        <v>458</v>
      </c>
      <c r="B36" s="115">
        <f>IF(模拟模式!$Q$13="有",1,0)</f>
        <v>0</v>
      </c>
      <c r="E36" s="117">
        <v>1550</v>
      </c>
    </row>
    <row r="37" spans="1:15" x14ac:dyDescent="0.2">
      <c r="A37" s="115" t="s">
        <v>319</v>
      </c>
      <c r="B37" s="115">
        <f>IF(模拟模式!$I$13='模拟-全程加成'!A37,1,0)</f>
        <v>0</v>
      </c>
      <c r="G37" s="117">
        <v>265</v>
      </c>
    </row>
    <row r="38" spans="1:15" x14ac:dyDescent="0.2">
      <c r="A38" s="115" t="s">
        <v>320</v>
      </c>
      <c r="B38" s="115">
        <f>IF(模拟模式!$I$13='模拟-全程加成'!A38,1,0)</f>
        <v>1</v>
      </c>
      <c r="K38" s="117">
        <v>265</v>
      </c>
    </row>
    <row r="39" spans="1:15" x14ac:dyDescent="0.2">
      <c r="A39" s="115" t="s">
        <v>321</v>
      </c>
      <c r="B39" s="115">
        <f>IF(模拟模式!$I$13='模拟-全程加成'!A39,1,0)</f>
        <v>0</v>
      </c>
      <c r="M39" s="117">
        <v>265</v>
      </c>
    </row>
    <row r="40" spans="1:15" x14ac:dyDescent="0.2">
      <c r="A40" s="115" t="s">
        <v>322</v>
      </c>
      <c r="B40" s="115">
        <f>IF(模拟模式!$I$13='模拟-全程加成'!A40,1,0)</f>
        <v>0</v>
      </c>
      <c r="E40" s="117">
        <v>143</v>
      </c>
    </row>
    <row r="41" spans="1:15" x14ac:dyDescent="0.2">
      <c r="A41" s="115" t="s">
        <v>323</v>
      </c>
      <c r="B41" s="115">
        <f>IF(模拟模式!$J$13='模拟-全程加成'!A41,1,0)</f>
        <v>1</v>
      </c>
      <c r="C41" s="117">
        <v>60</v>
      </c>
    </row>
    <row r="42" spans="1:15" x14ac:dyDescent="0.2">
      <c r="A42" s="115" t="s">
        <v>325</v>
      </c>
      <c r="B42" s="115">
        <f>IF(模拟模式!$K$13='模拟-全程加成'!A42,1,0)</f>
        <v>0</v>
      </c>
      <c r="G42" s="117">
        <v>341</v>
      </c>
    </row>
    <row r="43" spans="1:15" x14ac:dyDescent="0.2">
      <c r="A43" s="115" t="s">
        <v>326</v>
      </c>
      <c r="B43" s="115">
        <f>IF(模拟模式!$K$13='模拟-全程加成'!A43,1,0)</f>
        <v>1</v>
      </c>
      <c r="K43" s="117">
        <v>341</v>
      </c>
    </row>
    <row r="44" spans="1:15" s="45" customFormat="1" x14ac:dyDescent="0.2">
      <c r="A44" s="115" t="s">
        <v>327</v>
      </c>
      <c r="B44" s="115">
        <f>IF(模拟模式!$K$13='模拟-全程加成'!A44,1,0)</f>
        <v>0</v>
      </c>
      <c r="C44" s="117"/>
      <c r="E44" s="117"/>
      <c r="G44" s="117"/>
      <c r="I44" s="117"/>
      <c r="K44" s="117"/>
      <c r="M44" s="117">
        <v>341</v>
      </c>
      <c r="O44" s="117"/>
    </row>
    <row r="45" spans="1:15" s="45" customFormat="1" x14ac:dyDescent="0.2">
      <c r="A45" s="115" t="s">
        <v>328</v>
      </c>
      <c r="B45" s="115">
        <f>IF(模拟模式!$K$13='模拟-全程加成'!A45,1,0)</f>
        <v>0</v>
      </c>
      <c r="C45" s="117"/>
      <c r="E45" s="117">
        <v>183</v>
      </c>
      <c r="G45" s="117"/>
      <c r="I45" s="117"/>
      <c r="K45" s="117"/>
      <c r="M45" s="117"/>
      <c r="O45" s="117"/>
    </row>
    <row r="46" spans="1:15" s="45" customFormat="1" x14ac:dyDescent="0.2">
      <c r="A46" s="115" t="s">
        <v>329</v>
      </c>
      <c r="B46" s="115">
        <f>IF(模拟模式!$L$13='模拟-全程加成'!A46,1,0)</f>
        <v>1</v>
      </c>
      <c r="C46" s="117">
        <v>77</v>
      </c>
      <c r="E46" s="117"/>
      <c r="G46" s="117"/>
      <c r="I46" s="117"/>
      <c r="K46" s="117"/>
      <c r="M46" s="117"/>
      <c r="O46" s="117"/>
    </row>
    <row r="47" spans="1:15" s="45" customFormat="1" x14ac:dyDescent="0.2">
      <c r="A47" s="115" t="s">
        <v>333</v>
      </c>
      <c r="B47" s="115">
        <f>IF(模拟模式!$M$13='模拟-全程加成'!A47,1,0)</f>
        <v>1</v>
      </c>
      <c r="C47" s="117"/>
      <c r="E47" s="117">
        <v>116</v>
      </c>
      <c r="G47" s="117"/>
      <c r="I47" s="117"/>
      <c r="K47" s="117"/>
      <c r="M47" s="117"/>
      <c r="O47" s="117"/>
    </row>
    <row r="48" spans="1:15" s="45" customFormat="1" x14ac:dyDescent="0.2">
      <c r="A48" s="115" t="s">
        <v>324</v>
      </c>
      <c r="B48" s="115">
        <f>IF(模拟模式!$N$13='模拟-全程加成'!A48,1,0)</f>
        <v>1</v>
      </c>
      <c r="C48" s="117"/>
      <c r="E48" s="117">
        <v>97</v>
      </c>
      <c r="G48" s="117">
        <v>180</v>
      </c>
      <c r="I48" s="117"/>
      <c r="K48" s="117"/>
      <c r="M48" s="117">
        <v>180</v>
      </c>
      <c r="O48" s="117"/>
    </row>
  </sheetData>
  <mergeCells count="17">
    <mergeCell ref="O1:P1"/>
    <mergeCell ref="A11:XFD11"/>
    <mergeCell ref="K1:L1"/>
    <mergeCell ref="B1:B2"/>
    <mergeCell ref="C1:D1"/>
    <mergeCell ref="E1:F1"/>
    <mergeCell ref="G1:H1"/>
    <mergeCell ref="I1:J1"/>
    <mergeCell ref="A6:A7"/>
    <mergeCell ref="B6:B7"/>
    <mergeCell ref="C6:D7"/>
    <mergeCell ref="G6:H7"/>
    <mergeCell ref="I6:J7"/>
    <mergeCell ref="K6:L7"/>
    <mergeCell ref="A10:XFD10"/>
    <mergeCell ref="A9:XFD9"/>
    <mergeCell ref="M1:N1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3666B-5543-4BDE-8566-1FB79C1408CE}">
  <sheetPr codeName="Sheet8"/>
  <dimension ref="B1:DM1003"/>
  <sheetViews>
    <sheetView workbookViewId="0">
      <selection activeCell="C28" sqref="C28"/>
    </sheetView>
  </sheetViews>
  <sheetFormatPr defaultRowHeight="14.25" x14ac:dyDescent="0.2"/>
  <cols>
    <col min="1" max="1" width="1.625" style="115" customWidth="1"/>
    <col min="2" max="2" width="9" style="117"/>
    <col min="3" max="3" width="13.5" style="167" bestFit="1" customWidth="1"/>
    <col min="4" max="4" width="13" style="115" bestFit="1" customWidth="1"/>
    <col min="5" max="6" width="9" style="115"/>
    <col min="7" max="7" width="9" style="117"/>
    <col min="8" max="10" width="9" style="45"/>
    <col min="11" max="12" width="9" style="119"/>
    <col min="13" max="14" width="9" style="115"/>
    <col min="15" max="16" width="9" style="46"/>
    <col min="17" max="17" width="9" style="45"/>
    <col min="18" max="18" width="9" style="117"/>
    <col min="19" max="20" width="9" style="45"/>
    <col min="21" max="21" width="9" style="119"/>
    <col min="22" max="23" width="9" style="47"/>
    <col min="24" max="25" width="9" style="48"/>
    <col min="26" max="26" width="15.625" style="49" customWidth="1"/>
    <col min="27" max="27" width="9" style="50"/>
    <col min="28" max="28" width="9" style="115"/>
    <col min="29" max="31" width="9" style="51"/>
    <col min="32" max="32" width="9" style="52"/>
    <col min="33" max="34" width="9" style="53"/>
    <col min="35" max="35" width="9" style="54"/>
    <col min="36" max="36" width="9" style="52"/>
    <col min="37" max="39" width="9" style="51"/>
    <col min="40" max="40" width="9" style="52"/>
    <col min="41" max="42" width="9" style="53"/>
    <col min="43" max="43" width="9" style="55"/>
    <col min="44" max="44" width="9" style="56"/>
    <col min="45" max="46" width="9" style="53"/>
    <col min="47" max="47" width="9" style="54"/>
    <col min="48" max="48" width="9" style="56"/>
    <col min="49" max="50" width="9" style="107"/>
    <col min="51" max="51" width="9" style="52"/>
    <col min="52" max="53" width="9" style="107"/>
    <col min="54" max="54" width="9" style="140"/>
    <col min="55" max="57" width="9" style="19"/>
    <col min="58" max="58" width="9" style="52"/>
    <col min="59" max="61" width="9" style="19"/>
    <col min="62" max="62" width="9" style="51"/>
    <col min="63" max="63" width="9" style="115"/>
    <col min="64" max="64" width="9" style="57"/>
    <col min="65" max="65" width="9" style="115"/>
    <col min="66" max="66" width="9" style="19"/>
    <col min="67" max="67" width="9" style="43"/>
    <col min="68" max="75" width="9" style="115"/>
    <col min="76" max="76" width="9" style="164"/>
    <col min="77" max="87" width="9" style="115"/>
    <col min="88" max="88" width="9" style="119"/>
    <col min="89" max="106" width="9" style="115"/>
    <col min="107" max="108" width="9" style="19"/>
    <col min="109" max="109" width="9" style="58"/>
    <col min="110" max="117" width="9" style="19"/>
    <col min="118" max="16384" width="9" style="115"/>
  </cols>
  <sheetData>
    <row r="1" spans="2:117" x14ac:dyDescent="0.2">
      <c r="C1" s="115"/>
    </row>
    <row r="2" spans="2:117" x14ac:dyDescent="0.2">
      <c r="B2" s="59" t="s">
        <v>277</v>
      </c>
      <c r="C2" s="60">
        <f>模拟模式!N21</f>
        <v>500</v>
      </c>
      <c r="E2" s="113" t="s">
        <v>279</v>
      </c>
      <c r="F2" s="60">
        <f>IF(模拟模式!C16=4359,0.75,IF(模拟模式!C16=2704,0.8125,IF(模拟模式!C16=1269,0.875,IF(模拟模式!C16=19,0.9375,1))))</f>
        <v>0.875</v>
      </c>
      <c r="H2" s="287" t="s">
        <v>386</v>
      </c>
      <c r="I2" s="287"/>
      <c r="AC2" s="115"/>
      <c r="AD2" s="115"/>
      <c r="AE2" s="115"/>
      <c r="AF2" s="47"/>
      <c r="AG2" s="61"/>
      <c r="AH2" s="61"/>
      <c r="AI2" s="62"/>
      <c r="AJ2" s="47"/>
      <c r="AK2" s="115"/>
      <c r="AL2" s="115"/>
      <c r="AM2" s="115"/>
      <c r="AN2" s="47"/>
      <c r="AO2" s="61"/>
      <c r="AP2" s="61"/>
      <c r="AQ2" s="63"/>
      <c r="AR2" s="64"/>
      <c r="AS2" s="61"/>
      <c r="AT2" s="61"/>
      <c r="AU2" s="62"/>
      <c r="AV2" s="64"/>
      <c r="AW2" s="108"/>
      <c r="AX2" s="108"/>
      <c r="AY2" s="47"/>
      <c r="AZ2" s="108"/>
      <c r="BA2" s="108"/>
      <c r="BC2" s="115"/>
      <c r="BD2" s="115"/>
      <c r="BE2" s="115"/>
      <c r="BF2" s="47"/>
      <c r="BG2" s="115"/>
      <c r="BH2" s="115"/>
      <c r="BI2" s="115"/>
      <c r="BJ2" s="115"/>
      <c r="BN2" s="115"/>
      <c r="BO2" s="117"/>
      <c r="DD2" s="115"/>
    </row>
    <row r="3" spans="2:117" x14ac:dyDescent="0.2">
      <c r="C3" s="115"/>
      <c r="H3" s="60" t="s">
        <v>394</v>
      </c>
      <c r="I3" s="65">
        <f>0.05+IF(模拟模式!O19="有",0.03,0)+IF(模拟模式!N19="有",0.12,0)</f>
        <v>0.2</v>
      </c>
      <c r="AC3" s="115"/>
      <c r="AD3" s="115"/>
      <c r="AE3" s="115"/>
      <c r="AF3" s="47"/>
      <c r="AG3" s="61"/>
      <c r="AH3" s="61"/>
      <c r="AI3" s="62"/>
      <c r="AJ3" s="47"/>
      <c r="AK3" s="115"/>
      <c r="AL3" s="115"/>
      <c r="AM3" s="115"/>
      <c r="AN3" s="47"/>
      <c r="AO3" s="61"/>
      <c r="AP3" s="61"/>
      <c r="AQ3" s="63"/>
      <c r="AR3" s="64"/>
      <c r="AS3" s="61"/>
      <c r="AT3" s="61"/>
      <c r="AU3" s="62"/>
      <c r="AV3" s="64"/>
      <c r="AW3" s="108"/>
      <c r="AX3" s="108"/>
      <c r="AY3" s="47"/>
      <c r="AZ3" s="108"/>
      <c r="BA3" s="108"/>
      <c r="BC3" s="115"/>
      <c r="BD3" s="115"/>
      <c r="BE3" s="115"/>
      <c r="BF3" s="47"/>
      <c r="BG3" s="115"/>
      <c r="BH3" s="115"/>
      <c r="BI3" s="115"/>
      <c r="BJ3" s="115"/>
      <c r="BN3" s="115"/>
      <c r="BO3" s="117"/>
      <c r="DD3" s="115"/>
    </row>
    <row r="4" spans="2:117" x14ac:dyDescent="0.2">
      <c r="B4" s="98" t="s">
        <v>290</v>
      </c>
      <c r="C4" s="98"/>
      <c r="E4" s="113" t="s">
        <v>278</v>
      </c>
      <c r="F4" s="60">
        <f>F2+(模拟模式!R18/2+模拟模式!R19)/1000</f>
        <v>0.92249999999999999</v>
      </c>
      <c r="H4" s="60" t="s">
        <v>393</v>
      </c>
      <c r="I4" s="65">
        <f>0.05+IF(模拟模式!O19="有",0.03,0)</f>
        <v>0.08</v>
      </c>
      <c r="J4" s="115"/>
      <c r="K4" s="115"/>
      <c r="L4" s="115"/>
      <c r="O4" s="115"/>
      <c r="P4" s="115"/>
      <c r="Q4" s="115"/>
      <c r="R4" s="115"/>
      <c r="S4" s="115"/>
      <c r="T4" s="115"/>
      <c r="U4" s="115"/>
      <c r="AC4" s="115"/>
      <c r="AD4" s="115"/>
      <c r="AE4" s="115"/>
      <c r="AF4" s="47"/>
      <c r="AG4" s="61"/>
      <c r="AH4" s="61"/>
      <c r="AI4" s="62"/>
      <c r="AJ4" s="47"/>
      <c r="AK4" s="115"/>
      <c r="AL4" s="115"/>
      <c r="AM4" s="115"/>
      <c r="AN4" s="47"/>
      <c r="AO4" s="61"/>
      <c r="AP4" s="61"/>
      <c r="AQ4" s="63"/>
      <c r="AR4" s="64"/>
      <c r="AS4" s="61"/>
      <c r="AT4" s="61"/>
      <c r="AU4" s="62"/>
      <c r="AV4" s="64"/>
      <c r="AW4" s="108"/>
      <c r="AX4" s="108"/>
      <c r="AY4" s="47"/>
      <c r="AZ4" s="108"/>
      <c r="BA4" s="108"/>
      <c r="BC4" s="115"/>
      <c r="BD4" s="115"/>
      <c r="BE4" s="115"/>
      <c r="BF4" s="47"/>
      <c r="BG4" s="115"/>
      <c r="BH4" s="115"/>
      <c r="BI4" s="115"/>
      <c r="BJ4" s="115"/>
      <c r="BN4" s="115"/>
      <c r="BO4" s="117"/>
      <c r="DC4" s="115"/>
      <c r="DD4" s="115"/>
      <c r="DF4" s="115"/>
      <c r="DG4" s="115"/>
      <c r="DH4" s="115"/>
      <c r="DI4" s="115"/>
      <c r="DJ4" s="115"/>
      <c r="DK4" s="115"/>
      <c r="DL4" s="115"/>
      <c r="DM4" s="115"/>
    </row>
    <row r="5" spans="2:117" x14ac:dyDescent="0.2">
      <c r="B5" s="41" t="s">
        <v>0</v>
      </c>
      <c r="C5" s="41">
        <f>模拟模式!C8</f>
        <v>1681</v>
      </c>
      <c r="H5" s="66" t="s">
        <v>392</v>
      </c>
      <c r="I5" s="65">
        <f>IF(模拟模式!O19="有",0.03,0)</f>
        <v>0.03</v>
      </c>
      <c r="J5" s="115"/>
      <c r="K5" s="115"/>
      <c r="L5" s="115"/>
      <c r="O5" s="115"/>
      <c r="P5" s="115"/>
      <c r="Q5" s="115"/>
      <c r="R5" s="115"/>
      <c r="S5" s="115"/>
      <c r="T5" s="115"/>
      <c r="U5" s="115"/>
      <c r="AC5" s="115"/>
      <c r="AD5" s="115"/>
      <c r="AE5" s="115"/>
      <c r="AF5" s="47"/>
      <c r="AG5" s="61"/>
      <c r="AH5" s="61"/>
      <c r="AI5" s="62"/>
      <c r="AJ5" s="47"/>
      <c r="AK5" s="115"/>
      <c r="AL5" s="115"/>
      <c r="AM5" s="115"/>
      <c r="AN5" s="47"/>
      <c r="AO5" s="61"/>
      <c r="AP5" s="61"/>
      <c r="AQ5" s="63"/>
      <c r="AR5" s="64"/>
      <c r="AS5" s="61"/>
      <c r="AT5" s="61"/>
      <c r="AU5" s="62"/>
      <c r="AV5" s="64"/>
      <c r="AW5" s="108"/>
      <c r="AX5" s="108"/>
      <c r="AY5" s="47"/>
      <c r="AZ5" s="108"/>
      <c r="BA5" s="108"/>
      <c r="BC5" s="115"/>
      <c r="BD5" s="115"/>
      <c r="BE5" s="115"/>
      <c r="BF5" s="47"/>
      <c r="BG5" s="115"/>
      <c r="BH5" s="115"/>
      <c r="BI5" s="115"/>
      <c r="BJ5" s="115"/>
      <c r="BN5" s="115"/>
      <c r="BO5" s="117"/>
      <c r="DC5" s="115"/>
      <c r="DD5" s="115"/>
      <c r="DF5" s="115"/>
      <c r="DG5" s="115"/>
      <c r="DH5" s="115"/>
      <c r="DI5" s="115"/>
      <c r="DJ5" s="115"/>
      <c r="DK5" s="115"/>
      <c r="DL5" s="115"/>
      <c r="DM5" s="115"/>
    </row>
    <row r="6" spans="2:117" x14ac:dyDescent="0.2">
      <c r="B6" s="41" t="s">
        <v>1</v>
      </c>
      <c r="C6" s="41">
        <f>模拟模式!C9</f>
        <v>8660</v>
      </c>
      <c r="E6" s="228" t="s">
        <v>373</v>
      </c>
      <c r="F6" s="228"/>
      <c r="H6" s="115"/>
      <c r="I6" s="48"/>
      <c r="J6" s="115"/>
      <c r="K6" s="115"/>
      <c r="L6" s="115"/>
      <c r="O6" s="115"/>
      <c r="P6" s="115"/>
      <c r="Q6" s="115"/>
      <c r="R6" s="115"/>
      <c r="S6" s="115"/>
      <c r="T6" s="115"/>
      <c r="U6" s="115"/>
      <c r="AC6" s="115"/>
      <c r="AD6" s="115"/>
      <c r="AE6" s="115"/>
      <c r="AF6" s="47"/>
      <c r="AG6" s="61"/>
      <c r="AH6" s="61"/>
      <c r="AI6" s="62"/>
      <c r="AJ6" s="47"/>
      <c r="AK6" s="115"/>
      <c r="AL6" s="115"/>
      <c r="AM6" s="115"/>
      <c r="AN6" s="47"/>
      <c r="AO6" s="61"/>
      <c r="AP6" s="61"/>
      <c r="AQ6" s="63"/>
      <c r="AR6" s="64"/>
      <c r="AS6" s="61"/>
      <c r="AT6" s="61"/>
      <c r="AU6" s="62"/>
      <c r="AV6" s="64"/>
      <c r="AW6" s="108"/>
      <c r="AX6" s="108"/>
      <c r="AY6" s="47"/>
      <c r="AZ6" s="108"/>
      <c r="BA6" s="108"/>
      <c r="BC6" s="115"/>
      <c r="BD6" s="115"/>
      <c r="BE6" s="115"/>
      <c r="BF6" s="47"/>
      <c r="BG6" s="115"/>
      <c r="BH6" s="115"/>
      <c r="BI6" s="115"/>
      <c r="BJ6" s="115"/>
      <c r="BN6" s="115"/>
      <c r="BO6" s="117"/>
      <c r="DC6" s="115"/>
      <c r="DD6" s="115"/>
      <c r="DF6" s="115"/>
      <c r="DG6" s="115"/>
      <c r="DH6" s="115"/>
      <c r="DI6" s="115"/>
      <c r="DJ6" s="115"/>
      <c r="DK6" s="115"/>
      <c r="DL6" s="115"/>
      <c r="DM6" s="115"/>
    </row>
    <row r="7" spans="2:117" x14ac:dyDescent="0.2">
      <c r="B7" s="41" t="s">
        <v>2</v>
      </c>
      <c r="C7" s="42">
        <f>模拟模式!C10</f>
        <v>0.2555</v>
      </c>
      <c r="E7" s="60" t="s">
        <v>370</v>
      </c>
      <c r="F7" s="60">
        <f>('模拟-全程加成'!C3+'模拟-全程加成'!C4+'模拟-全程加成'!C5)*(1+'模拟-全程加成'!D4+'模拟-全程加成'!D5)</f>
        <v>1870</v>
      </c>
      <c r="H7" s="114" t="s">
        <v>355</v>
      </c>
      <c r="I7" s="67">
        <f>2/30</f>
        <v>6.6666666666666666E-2</v>
      </c>
      <c r="J7" s="115"/>
      <c r="K7" s="115"/>
      <c r="L7" s="115"/>
      <c r="O7" s="115"/>
      <c r="P7" s="115"/>
      <c r="Q7" s="115"/>
      <c r="R7" s="115"/>
      <c r="S7" s="115"/>
      <c r="T7" s="115"/>
      <c r="U7" s="115"/>
      <c r="AC7" s="115"/>
      <c r="AD7" s="115"/>
      <c r="AE7" s="115"/>
      <c r="AF7" s="47"/>
      <c r="AG7" s="61"/>
      <c r="AH7" s="61"/>
      <c r="AI7" s="62"/>
      <c r="AJ7" s="47"/>
      <c r="AK7" s="115"/>
      <c r="AL7" s="115"/>
      <c r="AM7" s="115"/>
      <c r="AN7" s="47"/>
      <c r="AO7" s="61"/>
      <c r="AP7" s="61"/>
      <c r="AQ7" s="63"/>
      <c r="AR7" s="64"/>
      <c r="AS7" s="61"/>
      <c r="AT7" s="61"/>
      <c r="AU7" s="62"/>
      <c r="AV7" s="64"/>
      <c r="AW7" s="108"/>
      <c r="AX7" s="108"/>
      <c r="AY7" s="47"/>
      <c r="AZ7" s="108"/>
      <c r="BA7" s="108"/>
      <c r="BC7" s="115"/>
      <c r="BD7" s="115"/>
      <c r="BE7" s="115"/>
      <c r="BF7" s="47"/>
      <c r="BG7" s="115"/>
      <c r="BH7" s="115"/>
      <c r="BI7" s="115"/>
      <c r="BJ7" s="115"/>
      <c r="BN7" s="115"/>
      <c r="BO7" s="117"/>
      <c r="DC7" s="115"/>
      <c r="DD7" s="115"/>
      <c r="DF7" s="115"/>
      <c r="DG7" s="115"/>
      <c r="DH7" s="115"/>
      <c r="DI7" s="115"/>
      <c r="DJ7" s="115"/>
      <c r="DK7" s="115"/>
      <c r="DL7" s="115"/>
      <c r="DM7" s="115"/>
    </row>
    <row r="8" spans="2:117" x14ac:dyDescent="0.2">
      <c r="B8" s="41" t="s">
        <v>3</v>
      </c>
      <c r="C8" s="42">
        <f>模拟模式!C11</f>
        <v>1.9528000000000001</v>
      </c>
      <c r="E8" s="60" t="s">
        <v>371</v>
      </c>
      <c r="F8" s="66">
        <f>'模拟-全程加成'!N3+'模拟-全程加成'!N4+'模拟-全程加成'!N5+('模拟-全程加成'!M4+'模拟-全程加成'!M5)/系数!B6</f>
        <v>1.1147046133992904</v>
      </c>
      <c r="J8" s="115"/>
      <c r="K8" s="115"/>
      <c r="L8" s="115"/>
      <c r="O8" s="115"/>
      <c r="P8" s="115"/>
      <c r="Q8" s="115"/>
      <c r="R8" s="115"/>
      <c r="S8" s="115"/>
      <c r="T8" s="115"/>
      <c r="U8" s="115"/>
      <c r="AC8" s="115"/>
      <c r="AD8" s="115"/>
      <c r="AE8" s="115"/>
      <c r="AF8" s="47"/>
      <c r="AG8" s="61"/>
      <c r="AH8" s="61"/>
      <c r="AI8" s="62"/>
      <c r="AJ8" s="47"/>
      <c r="AK8" s="115"/>
      <c r="AL8" s="115"/>
      <c r="AM8" s="115"/>
      <c r="AN8" s="47"/>
      <c r="AO8" s="61"/>
      <c r="AP8" s="61"/>
      <c r="AQ8" s="63"/>
      <c r="AR8" s="64"/>
      <c r="AS8" s="61"/>
      <c r="AT8" s="61"/>
      <c r="AU8" s="62"/>
      <c r="AV8" s="64"/>
      <c r="AW8" s="108"/>
      <c r="AX8" s="108"/>
      <c r="AY8" s="47"/>
      <c r="AZ8" s="108"/>
      <c r="BA8" s="108"/>
      <c r="BC8" s="115"/>
      <c r="BD8" s="115"/>
      <c r="BE8" s="115"/>
      <c r="BF8" s="47"/>
      <c r="BG8" s="115"/>
      <c r="BH8" s="115"/>
      <c r="BI8" s="115"/>
      <c r="BJ8" s="115"/>
      <c r="BN8" s="115"/>
      <c r="BO8" s="117"/>
      <c r="DC8" s="115"/>
      <c r="DD8" s="115"/>
      <c r="DF8" s="115"/>
      <c r="DG8" s="115"/>
      <c r="DH8" s="115"/>
      <c r="DI8" s="115"/>
      <c r="DJ8" s="115"/>
      <c r="DK8" s="115"/>
      <c r="DL8" s="115"/>
      <c r="DM8" s="115"/>
    </row>
    <row r="9" spans="2:117" x14ac:dyDescent="0.2">
      <c r="B9" s="41" t="s">
        <v>4</v>
      </c>
      <c r="C9" s="68">
        <f>模拟模式!C12*系数!B5</f>
        <v>7003.0928800000002</v>
      </c>
      <c r="E9" s="60" t="s">
        <v>372</v>
      </c>
      <c r="F9" s="66">
        <f>'模拟-全程加成'!P3+'模拟-全程加成'!P4+'模拟-全程加成'!P5+('模拟-全程加成'!O4+'模拟-全程加成'!O5)/系数!B7</f>
        <v>0.29610000000000003</v>
      </c>
      <c r="H9" s="60" t="s">
        <v>397</v>
      </c>
      <c r="I9" s="67">
        <f>((模拟模式!$E$21-IF(模拟模式!$I$19="有",200,IF(模拟模式!$I$19="劲风",400,0)))*IF(模拟模式!$K$19="有",0.7,1))/(((模拟模式!$E$21-IF(模拟模式!$I$19="有",200,IF(模拟模式!$I$19="劲风",400,0)))*IF(模拟模式!$K$19="有",0.7,1))+(185*模拟模式!$E$22-16800)*4.08224)</f>
        <v>0.27383198938226383</v>
      </c>
      <c r="J9" s="115"/>
      <c r="K9" s="115"/>
      <c r="L9" s="115"/>
      <c r="O9" s="115"/>
      <c r="P9" s="115"/>
      <c r="Q9" s="115"/>
      <c r="R9" s="115"/>
      <c r="S9" s="115"/>
      <c r="T9" s="115"/>
      <c r="U9" s="115"/>
      <c r="AC9" s="115"/>
      <c r="AD9" s="115"/>
      <c r="AE9" s="115"/>
      <c r="AF9" s="47"/>
      <c r="AG9" s="61"/>
      <c r="AH9" s="61"/>
      <c r="AI9" s="62"/>
      <c r="AJ9" s="47"/>
      <c r="AK9" s="115"/>
      <c r="AL9" s="115"/>
      <c r="AM9" s="115"/>
      <c r="AN9" s="47"/>
      <c r="AO9" s="61"/>
      <c r="AP9" s="61"/>
      <c r="AQ9" s="63"/>
      <c r="AR9" s="64"/>
      <c r="AS9" s="61"/>
      <c r="AT9" s="61"/>
      <c r="AU9" s="62"/>
      <c r="AV9" s="64"/>
      <c r="AW9" s="108"/>
      <c r="AX9" s="108"/>
      <c r="AY9" s="47"/>
      <c r="AZ9" s="108"/>
      <c r="BA9" s="108"/>
      <c r="BC9" s="115"/>
      <c r="BD9" s="115"/>
      <c r="BE9" s="115"/>
      <c r="BF9" s="47"/>
      <c r="BG9" s="115"/>
      <c r="BH9" s="115"/>
      <c r="BI9" s="115"/>
      <c r="BJ9" s="115"/>
      <c r="BN9" s="115"/>
      <c r="BO9" s="117"/>
      <c r="DC9" s="115"/>
      <c r="DD9" s="115"/>
      <c r="DF9" s="115"/>
      <c r="DG9" s="115"/>
      <c r="DH9" s="115"/>
      <c r="DI9" s="115"/>
      <c r="DJ9" s="115"/>
      <c r="DK9" s="115"/>
      <c r="DL9" s="115"/>
      <c r="DM9" s="115"/>
    </row>
    <row r="10" spans="2:117" x14ac:dyDescent="0.2">
      <c r="B10" s="41" t="s">
        <v>5</v>
      </c>
      <c r="C10" s="42">
        <f>模拟模式!C13</f>
        <v>1.0518000000000001</v>
      </c>
      <c r="E10" s="60" t="s">
        <v>368</v>
      </c>
      <c r="F10" s="66">
        <f>MAX(0,模拟模式!E18-F8)</f>
        <v>0</v>
      </c>
      <c r="H10" s="66" t="s">
        <v>318</v>
      </c>
      <c r="I10" s="69">
        <f>模拟模式!C15*(1+模拟模式!C21/系数!B5)*(1-I9)*(模拟模式!C19*模拟模式!C20+(1-模拟模式!C19-F11-F10)+0.25*F11)*(1+I5)</f>
        <v>361.51064354704795</v>
      </c>
      <c r="J10" s="115"/>
      <c r="K10" s="115"/>
      <c r="L10" s="115"/>
      <c r="O10" s="115"/>
      <c r="P10" s="115"/>
      <c r="Q10" s="115"/>
      <c r="R10" s="115"/>
      <c r="S10" s="115"/>
      <c r="T10" s="115"/>
      <c r="U10" s="115"/>
      <c r="AC10" s="115"/>
      <c r="AD10" s="115"/>
      <c r="AE10" s="115"/>
      <c r="AF10" s="47"/>
      <c r="AG10" s="61"/>
      <c r="AH10" s="61"/>
      <c r="AI10" s="62"/>
      <c r="AJ10" s="47"/>
      <c r="AK10" s="115"/>
      <c r="AL10" s="115"/>
      <c r="AM10" s="115"/>
      <c r="AN10" s="47"/>
      <c r="AO10" s="61"/>
      <c r="AP10" s="61"/>
      <c r="AQ10" s="63"/>
      <c r="AR10" s="64"/>
      <c r="AS10" s="61"/>
      <c r="AT10" s="61"/>
      <c r="AU10" s="62"/>
      <c r="AV10" s="64"/>
      <c r="AW10" s="108"/>
      <c r="AX10" s="108"/>
      <c r="AY10" s="47"/>
      <c r="AZ10" s="108"/>
      <c r="BA10" s="108"/>
      <c r="BC10" s="115"/>
      <c r="BD10" s="115"/>
      <c r="BE10" s="115"/>
      <c r="BF10" s="47"/>
      <c r="BG10" s="115"/>
      <c r="BH10" s="115"/>
      <c r="BI10" s="115"/>
      <c r="BJ10" s="115"/>
      <c r="BN10" s="115"/>
      <c r="BO10" s="117"/>
      <c r="DC10" s="115"/>
      <c r="DD10" s="115"/>
      <c r="DF10" s="115"/>
      <c r="DG10" s="115"/>
      <c r="DH10" s="115"/>
      <c r="DI10" s="115"/>
      <c r="DJ10" s="115"/>
      <c r="DK10" s="115"/>
      <c r="DL10" s="115"/>
      <c r="DM10" s="115"/>
    </row>
    <row r="11" spans="2:117" x14ac:dyDescent="0.2">
      <c r="B11" s="41" t="s">
        <v>6</v>
      </c>
      <c r="C11" s="42">
        <f>模拟模式!C14</f>
        <v>0.25590000000000002</v>
      </c>
      <c r="E11" s="60" t="s">
        <v>369</v>
      </c>
      <c r="F11" s="66">
        <f>MAX(0,模拟模式!E19-F9)</f>
        <v>5.3899999999999948E-2</v>
      </c>
      <c r="H11" s="66" t="s">
        <v>396</v>
      </c>
      <c r="I11" s="69">
        <f>1.2*I10</f>
        <v>433.81277225645755</v>
      </c>
      <c r="J11" s="115"/>
      <c r="K11" s="115"/>
      <c r="L11" s="115"/>
      <c r="O11" s="115"/>
      <c r="P11" s="115"/>
      <c r="Q11" s="115"/>
      <c r="R11" s="115"/>
      <c r="S11" s="115"/>
      <c r="T11" s="115"/>
      <c r="U11" s="115"/>
      <c r="AC11" s="115"/>
      <c r="AD11" s="115"/>
      <c r="AE11" s="115"/>
      <c r="AF11" s="47"/>
      <c r="AG11" s="61"/>
      <c r="AH11" s="61"/>
      <c r="AI11" s="62"/>
      <c r="AJ11" s="47"/>
      <c r="AK11" s="115"/>
      <c r="AL11" s="115"/>
      <c r="AM11" s="115"/>
      <c r="AN11" s="47"/>
      <c r="AO11" s="61"/>
      <c r="AP11" s="61"/>
      <c r="AQ11" s="63"/>
      <c r="AR11" s="64"/>
      <c r="AS11" s="61"/>
      <c r="AT11" s="61"/>
      <c r="AU11" s="62"/>
      <c r="AV11" s="64"/>
      <c r="AW11" s="108"/>
      <c r="AX11" s="108"/>
      <c r="AY11" s="47"/>
      <c r="AZ11" s="108"/>
      <c r="BA11" s="108"/>
      <c r="BC11" s="115"/>
      <c r="BD11" s="115"/>
      <c r="BE11" s="115"/>
      <c r="BF11" s="47"/>
      <c r="BG11" s="115"/>
      <c r="BH11" s="115"/>
      <c r="BI11" s="115"/>
      <c r="BJ11" s="115"/>
      <c r="BN11" s="115"/>
      <c r="BO11" s="117"/>
      <c r="DC11" s="115"/>
      <c r="DD11" s="115"/>
      <c r="DF11" s="115"/>
      <c r="DG11" s="115"/>
      <c r="DH11" s="115"/>
      <c r="DI11" s="115"/>
      <c r="DJ11" s="115"/>
      <c r="DK11" s="115"/>
      <c r="DL11" s="115"/>
      <c r="DM11" s="115"/>
    </row>
    <row r="12" spans="2:117" x14ac:dyDescent="0.2">
      <c r="B12" s="19"/>
      <c r="C12" s="70"/>
      <c r="J12" s="115"/>
      <c r="K12" s="115"/>
      <c r="L12" s="115"/>
      <c r="O12" s="115"/>
      <c r="P12" s="115"/>
      <c r="Q12" s="115"/>
      <c r="R12" s="115"/>
      <c r="S12" s="115"/>
      <c r="T12" s="115"/>
      <c r="U12" s="115"/>
      <c r="AC12" s="115"/>
      <c r="AD12" s="115"/>
      <c r="AE12" s="115"/>
      <c r="AF12" s="47"/>
      <c r="AG12" s="61"/>
      <c r="AH12" s="61"/>
      <c r="AI12" s="62"/>
      <c r="AJ12" s="47"/>
      <c r="AK12" s="115"/>
      <c r="AL12" s="115"/>
      <c r="AM12" s="115"/>
      <c r="AN12" s="47"/>
      <c r="AO12" s="61"/>
      <c r="AP12" s="61"/>
      <c r="AQ12" s="63"/>
      <c r="AR12" s="64"/>
      <c r="AS12" s="61"/>
      <c r="AT12" s="61"/>
      <c r="AU12" s="62"/>
      <c r="AV12" s="64"/>
      <c r="AW12" s="108"/>
      <c r="AX12" s="108"/>
      <c r="AY12" s="47"/>
      <c r="AZ12" s="108"/>
      <c r="BA12" s="108"/>
      <c r="BC12" s="115"/>
      <c r="BD12" s="115"/>
      <c r="BE12" s="115"/>
      <c r="BF12" s="47"/>
      <c r="BG12" s="115"/>
      <c r="BH12" s="115"/>
      <c r="BI12" s="115"/>
      <c r="BJ12" s="115"/>
      <c r="BN12" s="115"/>
      <c r="BO12" s="117"/>
      <c r="DC12" s="115"/>
      <c r="DD12" s="115"/>
      <c r="DF12" s="115"/>
      <c r="DG12" s="115"/>
      <c r="DH12" s="115"/>
      <c r="DI12" s="115"/>
      <c r="DJ12" s="115"/>
      <c r="DK12" s="115"/>
      <c r="DL12" s="115"/>
      <c r="DM12" s="115"/>
    </row>
    <row r="13" spans="2:117" x14ac:dyDescent="0.2">
      <c r="B13" s="71" t="s">
        <v>383</v>
      </c>
      <c r="C13" s="72" t="s">
        <v>409</v>
      </c>
      <c r="J13" s="115"/>
      <c r="K13" s="115"/>
      <c r="L13" s="115"/>
      <c r="O13" s="115"/>
      <c r="P13" s="115"/>
      <c r="Q13" s="115"/>
      <c r="R13" s="115"/>
      <c r="S13" s="115"/>
      <c r="T13" s="115"/>
      <c r="U13" s="115"/>
      <c r="AC13" s="115"/>
      <c r="AD13" s="115"/>
      <c r="AE13" s="115"/>
      <c r="AF13" s="47"/>
      <c r="AG13" s="61"/>
      <c r="AH13" s="61"/>
      <c r="AI13" s="62"/>
      <c r="AJ13" s="47"/>
      <c r="AK13" s="115"/>
      <c r="AL13" s="115"/>
      <c r="AM13" s="115"/>
      <c r="AN13" s="47"/>
      <c r="AO13" s="61"/>
      <c r="AP13" s="61"/>
      <c r="AQ13" s="63"/>
      <c r="AR13" s="64"/>
      <c r="AS13" s="61"/>
      <c r="AT13" s="61"/>
      <c r="AU13" s="62"/>
      <c r="AV13" s="64"/>
      <c r="AW13" s="108"/>
      <c r="AX13" s="108"/>
      <c r="AY13" s="47"/>
      <c r="AZ13" s="108"/>
      <c r="BA13" s="108"/>
      <c r="BC13" s="115"/>
      <c r="BD13" s="115"/>
      <c r="BE13" s="115"/>
      <c r="BF13" s="47"/>
      <c r="BG13" s="115"/>
      <c r="BH13" s="115"/>
      <c r="BI13" s="115"/>
      <c r="BJ13" s="115"/>
      <c r="BN13" s="115"/>
      <c r="BO13" s="117"/>
      <c r="DC13" s="115"/>
      <c r="DD13" s="115"/>
      <c r="DF13" s="115"/>
      <c r="DG13" s="115"/>
      <c r="DH13" s="115"/>
      <c r="DI13" s="115"/>
      <c r="DJ13" s="115"/>
      <c r="DK13" s="115"/>
      <c r="DL13" s="115"/>
      <c r="DM13" s="115"/>
    </row>
    <row r="14" spans="2:117" x14ac:dyDescent="0.2">
      <c r="B14" s="115"/>
      <c r="C14" s="71" t="s">
        <v>382</v>
      </c>
      <c r="J14" s="115"/>
      <c r="K14" s="115"/>
      <c r="L14" s="115"/>
      <c r="O14" s="115"/>
      <c r="P14" s="115"/>
      <c r="Q14" s="115"/>
      <c r="R14" s="115"/>
      <c r="S14" s="115"/>
      <c r="T14" s="115"/>
      <c r="U14" s="115"/>
      <c r="AC14" s="115"/>
      <c r="AD14" s="115"/>
      <c r="AE14" s="115"/>
      <c r="AF14" s="47"/>
      <c r="AG14" s="61"/>
      <c r="AH14" s="61"/>
      <c r="AI14" s="62"/>
      <c r="AJ14" s="47"/>
      <c r="AK14" s="115"/>
      <c r="AL14" s="115"/>
      <c r="AM14" s="115"/>
      <c r="AN14" s="47"/>
      <c r="AO14" s="61"/>
      <c r="AP14" s="61"/>
      <c r="AQ14" s="63"/>
      <c r="AR14" s="64"/>
      <c r="AS14" s="61"/>
      <c r="AT14" s="61"/>
      <c r="AU14" s="62"/>
      <c r="AV14" s="64"/>
      <c r="AW14" s="108"/>
      <c r="AX14" s="108"/>
      <c r="AY14" s="47"/>
      <c r="AZ14" s="108"/>
      <c r="BA14" s="108"/>
      <c r="BC14" s="115"/>
      <c r="BD14" s="115"/>
      <c r="BE14" s="115"/>
      <c r="BF14" s="47"/>
      <c r="BG14" s="115"/>
      <c r="BH14" s="115"/>
      <c r="BI14" s="115"/>
      <c r="BJ14" s="115"/>
      <c r="BN14" s="115"/>
      <c r="BO14" s="117"/>
      <c r="DC14" s="115"/>
      <c r="DD14" s="115"/>
      <c r="DF14" s="115"/>
      <c r="DG14" s="115"/>
      <c r="DH14" s="115"/>
      <c r="DI14" s="115"/>
      <c r="DJ14" s="115"/>
      <c r="DK14" s="115"/>
      <c r="DL14" s="115"/>
      <c r="DM14" s="115"/>
    </row>
    <row r="15" spans="2:117" x14ac:dyDescent="0.2">
      <c r="B15" s="115"/>
      <c r="C15" s="71" t="s">
        <v>456</v>
      </c>
      <c r="J15" s="115"/>
      <c r="K15" s="115"/>
      <c r="L15" s="115"/>
      <c r="O15" s="115"/>
      <c r="P15" s="115"/>
      <c r="Q15" s="115"/>
      <c r="R15" s="115"/>
      <c r="S15" s="115"/>
      <c r="T15" s="115"/>
      <c r="U15" s="115"/>
      <c r="AC15" s="115"/>
      <c r="AD15" s="115"/>
      <c r="AE15" s="115"/>
      <c r="AF15" s="47"/>
      <c r="AG15" s="61"/>
      <c r="AH15" s="61"/>
      <c r="AI15" s="62"/>
      <c r="AJ15" s="47"/>
      <c r="AK15" s="115"/>
      <c r="AL15" s="115"/>
      <c r="AM15" s="115"/>
      <c r="AN15" s="47"/>
      <c r="AO15" s="61"/>
      <c r="AP15" s="61"/>
      <c r="AQ15" s="63"/>
      <c r="AR15" s="64"/>
      <c r="AS15" s="61"/>
      <c r="AT15" s="61"/>
      <c r="AU15" s="62"/>
      <c r="AV15" s="64"/>
      <c r="AW15" s="108"/>
      <c r="AX15" s="108"/>
      <c r="AY15" s="47"/>
      <c r="AZ15" s="108"/>
      <c r="BA15" s="108"/>
      <c r="BC15" s="115"/>
      <c r="BD15" s="115"/>
      <c r="BE15" s="115"/>
      <c r="BF15" s="47"/>
      <c r="BG15" s="115"/>
      <c r="BH15" s="115"/>
      <c r="BI15" s="115"/>
      <c r="BJ15" s="115"/>
      <c r="BN15" s="115"/>
      <c r="BO15" s="117"/>
      <c r="DC15" s="115"/>
      <c r="DD15" s="115"/>
      <c r="DF15" s="115"/>
      <c r="DG15" s="115"/>
      <c r="DH15" s="115"/>
      <c r="DI15" s="115"/>
      <c r="DJ15" s="115"/>
      <c r="DK15" s="115"/>
      <c r="DL15" s="115"/>
      <c r="DM15" s="115"/>
    </row>
    <row r="16" spans="2:117" x14ac:dyDescent="0.2">
      <c r="B16" s="115"/>
      <c r="C16" s="71" t="s">
        <v>404</v>
      </c>
      <c r="J16" s="115"/>
      <c r="K16" s="115"/>
      <c r="L16" s="115"/>
      <c r="O16" s="115"/>
      <c r="P16" s="115"/>
      <c r="Q16" s="115"/>
      <c r="R16" s="115"/>
      <c r="S16" s="115"/>
      <c r="T16" s="115"/>
      <c r="U16" s="115"/>
      <c r="AC16" s="115"/>
      <c r="AD16" s="115"/>
      <c r="AE16" s="115"/>
      <c r="AF16" s="47"/>
      <c r="AG16" s="61"/>
      <c r="AH16" s="61"/>
      <c r="AI16" s="62"/>
      <c r="AJ16" s="47"/>
      <c r="AK16" s="115"/>
      <c r="AL16" s="115"/>
      <c r="AM16" s="115"/>
      <c r="AN16" s="47"/>
      <c r="AO16" s="61"/>
      <c r="AP16" s="61"/>
      <c r="AQ16" s="63"/>
      <c r="AR16" s="64"/>
      <c r="AS16" s="61"/>
      <c r="AT16" s="61"/>
      <c r="AU16" s="62"/>
      <c r="AV16" s="64"/>
      <c r="AW16" s="108"/>
      <c r="AX16" s="108"/>
      <c r="AY16" s="47"/>
      <c r="AZ16" s="108"/>
      <c r="BA16" s="108"/>
      <c r="BC16" s="115"/>
      <c r="BD16" s="115"/>
      <c r="BE16" s="115"/>
      <c r="BF16" s="47"/>
      <c r="BG16" s="115"/>
      <c r="BH16" s="115"/>
      <c r="BI16" s="115"/>
      <c r="BJ16" s="115"/>
      <c r="BN16" s="115"/>
      <c r="BO16" s="117"/>
      <c r="DC16" s="115"/>
      <c r="DD16" s="115"/>
      <c r="DF16" s="115"/>
      <c r="DG16" s="115"/>
      <c r="DH16" s="115"/>
      <c r="DI16" s="115"/>
      <c r="DJ16" s="115"/>
      <c r="DK16" s="115"/>
      <c r="DL16" s="115"/>
      <c r="DM16" s="115"/>
    </row>
    <row r="17" spans="2:117" x14ac:dyDescent="0.2">
      <c r="B17" s="71" t="s">
        <v>384</v>
      </c>
      <c r="C17" s="71" t="s">
        <v>317</v>
      </c>
      <c r="J17" s="115"/>
      <c r="K17" s="115"/>
      <c r="L17" s="115"/>
      <c r="O17" s="115"/>
      <c r="P17" s="115"/>
      <c r="Q17" s="115"/>
      <c r="R17" s="115"/>
      <c r="S17" s="115"/>
      <c r="T17" s="115"/>
      <c r="U17" s="115"/>
      <c r="AC17" s="115"/>
      <c r="AD17" s="115"/>
      <c r="AE17" s="115"/>
      <c r="AF17" s="47"/>
      <c r="AG17" s="61"/>
      <c r="AH17" s="61"/>
      <c r="AI17" s="62"/>
      <c r="AJ17" s="47"/>
      <c r="AK17" s="115"/>
      <c r="AL17" s="115"/>
      <c r="AM17" s="115"/>
      <c r="AN17" s="47"/>
      <c r="AO17" s="61"/>
      <c r="AP17" s="61"/>
      <c r="AQ17" s="63"/>
      <c r="AR17" s="64"/>
      <c r="AS17" s="61"/>
      <c r="AT17" s="61"/>
      <c r="AU17" s="62"/>
      <c r="AV17" s="64"/>
      <c r="AW17" s="108"/>
      <c r="AX17" s="108"/>
      <c r="AY17" s="47"/>
      <c r="AZ17" s="108"/>
      <c r="BA17" s="108"/>
      <c r="BC17" s="115"/>
      <c r="BD17" s="115"/>
      <c r="BE17" s="115"/>
      <c r="BF17" s="47"/>
      <c r="BG17" s="115"/>
      <c r="BH17" s="115"/>
      <c r="BI17" s="115"/>
      <c r="BJ17" s="115"/>
      <c r="BN17" s="115"/>
      <c r="BO17" s="117"/>
      <c r="DC17" s="115"/>
      <c r="DD17" s="115"/>
      <c r="DF17" s="115"/>
      <c r="DG17" s="115"/>
      <c r="DH17" s="115"/>
      <c r="DI17" s="115"/>
      <c r="DJ17" s="115"/>
      <c r="DK17" s="115"/>
      <c r="DL17" s="115"/>
      <c r="DM17" s="115"/>
    </row>
    <row r="18" spans="2:117" x14ac:dyDescent="0.2">
      <c r="B18" s="71"/>
      <c r="C18" s="71" t="s">
        <v>543</v>
      </c>
      <c r="J18" s="115"/>
      <c r="K18" s="115"/>
      <c r="L18" s="115"/>
      <c r="O18" s="115"/>
      <c r="P18" s="115"/>
      <c r="Q18" s="115"/>
      <c r="R18" s="115"/>
      <c r="S18" s="115"/>
      <c r="T18" s="115"/>
      <c r="U18" s="115"/>
      <c r="AC18" s="115"/>
      <c r="AD18" s="115"/>
      <c r="AE18" s="115"/>
      <c r="AF18" s="47"/>
      <c r="AG18" s="61"/>
      <c r="AH18" s="61"/>
      <c r="AI18" s="62"/>
      <c r="AJ18" s="47"/>
      <c r="AK18" s="115"/>
      <c r="AL18" s="115"/>
      <c r="AM18" s="115"/>
      <c r="AN18" s="47"/>
      <c r="AO18" s="61"/>
      <c r="AP18" s="61"/>
      <c r="AQ18" s="63"/>
      <c r="AR18" s="64"/>
      <c r="AS18" s="61"/>
      <c r="AT18" s="61"/>
      <c r="AU18" s="62"/>
      <c r="AV18" s="64"/>
      <c r="AW18" s="108"/>
      <c r="AX18" s="108"/>
      <c r="AY18" s="47"/>
      <c r="AZ18" s="108"/>
      <c r="BA18" s="108"/>
      <c r="BC18" s="115"/>
      <c r="BD18" s="115"/>
      <c r="BE18" s="115"/>
      <c r="BF18" s="47"/>
      <c r="BG18" s="115"/>
      <c r="BH18" s="115"/>
      <c r="BI18" s="115"/>
      <c r="BJ18" s="115"/>
      <c r="BN18" s="115"/>
      <c r="BO18" s="117"/>
      <c r="DC18" s="115"/>
      <c r="DD18" s="115"/>
      <c r="DF18" s="115"/>
      <c r="DG18" s="115"/>
      <c r="DH18" s="115"/>
      <c r="DI18" s="115"/>
      <c r="DJ18" s="115"/>
      <c r="DK18" s="115"/>
      <c r="DL18" s="115"/>
      <c r="DM18" s="115"/>
    </row>
    <row r="19" spans="2:117" x14ac:dyDescent="0.2">
      <c r="B19" s="71"/>
      <c r="C19" s="71"/>
      <c r="J19" s="115"/>
      <c r="K19" s="115"/>
      <c r="L19" s="115"/>
      <c r="O19" s="115"/>
      <c r="P19" s="115"/>
      <c r="Q19" s="115"/>
      <c r="R19" s="115"/>
      <c r="S19" s="115"/>
      <c r="T19" s="115"/>
      <c r="U19" s="115"/>
      <c r="AC19" s="115"/>
      <c r="AD19" s="115"/>
      <c r="AE19" s="115"/>
      <c r="AF19" s="47"/>
      <c r="AG19" s="61"/>
      <c r="AH19" s="61"/>
      <c r="AI19" s="62"/>
      <c r="AJ19" s="47"/>
      <c r="AK19" s="115"/>
      <c r="AL19" s="115"/>
      <c r="AM19" s="115"/>
      <c r="AN19" s="47"/>
      <c r="AO19" s="61"/>
      <c r="AP19" s="61"/>
      <c r="AQ19" s="63"/>
      <c r="AR19" s="64"/>
      <c r="AS19" s="61"/>
      <c r="AT19" s="61"/>
      <c r="AU19" s="62"/>
      <c r="AV19" s="64"/>
      <c r="AW19" s="108"/>
      <c r="AX19" s="108"/>
      <c r="AY19" s="47"/>
      <c r="AZ19" s="108"/>
      <c r="BA19" s="108"/>
      <c r="BC19" s="115"/>
      <c r="BD19" s="115"/>
      <c r="BE19" s="115"/>
      <c r="BF19" s="47"/>
      <c r="BG19" s="115"/>
      <c r="BH19" s="115"/>
      <c r="BI19" s="115"/>
      <c r="BJ19" s="115"/>
      <c r="BN19" s="115"/>
      <c r="BO19" s="117"/>
      <c r="DC19" s="115"/>
      <c r="DD19" s="115"/>
      <c r="DF19" s="115"/>
      <c r="DG19" s="115"/>
      <c r="DH19" s="115"/>
      <c r="DI19" s="115"/>
      <c r="DJ19" s="115"/>
      <c r="DK19" s="115"/>
      <c r="DL19" s="115"/>
      <c r="DM19" s="115"/>
    </row>
    <row r="20" spans="2:117" x14ac:dyDescent="0.2">
      <c r="B20" s="71" t="s">
        <v>398</v>
      </c>
      <c r="C20" s="71"/>
      <c r="J20" s="115"/>
      <c r="K20" s="115"/>
      <c r="L20" s="115"/>
      <c r="O20" s="115"/>
      <c r="P20" s="115"/>
      <c r="Q20" s="115"/>
      <c r="R20" s="115"/>
      <c r="S20" s="115"/>
      <c r="T20" s="115"/>
      <c r="U20" s="115"/>
      <c r="AC20" s="115"/>
      <c r="AD20" s="115"/>
      <c r="AE20" s="115"/>
      <c r="AF20" s="47"/>
      <c r="AG20" s="61"/>
      <c r="AH20" s="61"/>
      <c r="AI20" s="62"/>
      <c r="AJ20" s="47"/>
      <c r="AK20" s="115"/>
      <c r="AL20" s="115"/>
      <c r="AM20" s="115"/>
      <c r="AN20" s="47"/>
      <c r="AO20" s="61"/>
      <c r="AP20" s="61"/>
      <c r="AQ20" s="63"/>
      <c r="AR20" s="64"/>
      <c r="AS20" s="61"/>
      <c r="AT20" s="61"/>
      <c r="AU20" s="62"/>
      <c r="AV20" s="64"/>
      <c r="AW20" s="108"/>
      <c r="AX20" s="108"/>
      <c r="AY20" s="47"/>
      <c r="AZ20" s="108"/>
      <c r="BA20" s="108"/>
      <c r="BC20" s="115"/>
      <c r="BD20" s="115"/>
      <c r="BE20" s="115"/>
      <c r="BF20" s="47"/>
      <c r="BG20" s="115"/>
      <c r="BH20" s="115"/>
      <c r="BI20" s="115"/>
      <c r="BJ20" s="115"/>
      <c r="BN20" s="115"/>
      <c r="BO20" s="117"/>
      <c r="DC20" s="115"/>
      <c r="DD20" s="115"/>
      <c r="DF20" s="115"/>
      <c r="DG20" s="115"/>
      <c r="DH20" s="115"/>
      <c r="DI20" s="115"/>
      <c r="DJ20" s="115"/>
      <c r="DK20" s="115"/>
      <c r="DL20" s="115"/>
      <c r="DM20" s="115"/>
    </row>
    <row r="21" spans="2:117" x14ac:dyDescent="0.2">
      <c r="B21" s="71" t="s">
        <v>399</v>
      </c>
      <c r="C21" s="115"/>
      <c r="J21" s="115"/>
      <c r="K21" s="115"/>
      <c r="L21" s="115"/>
      <c r="O21" s="115"/>
      <c r="P21" s="115"/>
      <c r="Q21" s="115"/>
      <c r="R21" s="115"/>
      <c r="S21" s="115"/>
      <c r="T21" s="115"/>
      <c r="U21" s="115"/>
      <c r="AC21" s="115"/>
      <c r="AD21" s="115"/>
      <c r="AE21" s="115"/>
      <c r="AF21" s="47"/>
      <c r="AG21" s="61"/>
      <c r="AH21" s="61"/>
      <c r="AI21" s="62"/>
      <c r="AJ21" s="47"/>
      <c r="AK21" s="115"/>
      <c r="AL21" s="115"/>
      <c r="AM21" s="115"/>
      <c r="AN21" s="47"/>
      <c r="AO21" s="61"/>
      <c r="AP21" s="61"/>
      <c r="AQ21" s="63"/>
      <c r="AR21" s="64"/>
      <c r="AS21" s="61"/>
      <c r="AT21" s="61"/>
      <c r="AU21" s="62"/>
      <c r="AV21" s="64"/>
      <c r="AW21" s="108"/>
      <c r="AX21" s="108"/>
      <c r="AY21" s="47"/>
      <c r="AZ21" s="108"/>
      <c r="BA21" s="108"/>
      <c r="BC21" s="115"/>
      <c r="BD21" s="115"/>
      <c r="BE21" s="115"/>
      <c r="BF21" s="47"/>
      <c r="BG21" s="115"/>
      <c r="BH21" s="115"/>
      <c r="BI21" s="115"/>
      <c r="BJ21" s="115"/>
      <c r="BN21" s="115"/>
      <c r="BO21" s="117"/>
      <c r="DC21" s="115"/>
      <c r="DD21" s="115"/>
      <c r="DF21" s="115"/>
      <c r="DG21" s="115"/>
      <c r="DH21" s="115"/>
      <c r="DI21" s="115"/>
      <c r="DJ21" s="115"/>
      <c r="DK21" s="115"/>
      <c r="DL21" s="115"/>
      <c r="DM21" s="115"/>
    </row>
    <row r="22" spans="2:117" x14ac:dyDescent="0.2">
      <c r="B22" s="71"/>
      <c r="C22" s="71"/>
      <c r="J22" s="115"/>
      <c r="K22" s="115"/>
      <c r="L22" s="115"/>
      <c r="O22" s="115"/>
      <c r="P22" s="115"/>
      <c r="Q22" s="115"/>
      <c r="R22" s="115"/>
      <c r="S22" s="115"/>
      <c r="T22" s="115"/>
      <c r="U22" s="115"/>
      <c r="AC22" s="115"/>
      <c r="AD22" s="115"/>
      <c r="AE22" s="115"/>
      <c r="AF22" s="47"/>
      <c r="AG22" s="61"/>
      <c r="AH22" s="61"/>
      <c r="AI22" s="62"/>
      <c r="AJ22" s="47"/>
      <c r="AK22" s="115"/>
      <c r="AL22" s="115"/>
      <c r="AM22" s="115"/>
      <c r="AN22" s="47"/>
      <c r="AO22" s="61"/>
      <c r="AP22" s="61"/>
      <c r="AQ22" s="63"/>
      <c r="AR22" s="64"/>
      <c r="AS22" s="61"/>
      <c r="AT22" s="61"/>
      <c r="AU22" s="62"/>
      <c r="AV22" s="64"/>
      <c r="AW22" s="108"/>
      <c r="AX22" s="108"/>
      <c r="AY22" s="47"/>
      <c r="AZ22" s="108"/>
      <c r="BA22" s="108"/>
      <c r="BC22" s="115"/>
      <c r="BD22" s="115"/>
      <c r="BE22" s="115"/>
      <c r="BF22" s="47"/>
      <c r="BG22" s="115"/>
      <c r="BH22" s="115"/>
      <c r="BI22" s="115"/>
      <c r="BJ22" s="115"/>
      <c r="BN22" s="115"/>
      <c r="BO22" s="117"/>
      <c r="DC22" s="115"/>
      <c r="DD22" s="115"/>
      <c r="DF22" s="115"/>
      <c r="DG22" s="115"/>
      <c r="DH22" s="115"/>
      <c r="DI22" s="115"/>
      <c r="DJ22" s="115"/>
      <c r="DK22" s="115"/>
      <c r="DL22" s="115"/>
      <c r="DM22" s="115"/>
    </row>
    <row r="23" spans="2:117" x14ac:dyDescent="0.2">
      <c r="B23" s="73" t="s">
        <v>492</v>
      </c>
      <c r="C23" s="115"/>
    </row>
    <row r="24" spans="2:117" s="75" customFormat="1" ht="15" thickBot="1" x14ac:dyDescent="0.25">
      <c r="B24" s="74"/>
      <c r="G24" s="74"/>
      <c r="H24" s="76"/>
      <c r="I24" s="76"/>
      <c r="V24" s="77"/>
      <c r="W24" s="77"/>
      <c r="X24" s="78"/>
      <c r="Y24" s="78"/>
      <c r="Z24" s="79"/>
      <c r="AA24" s="80"/>
      <c r="AF24" s="77"/>
      <c r="AG24" s="81"/>
      <c r="AH24" s="81"/>
      <c r="AI24" s="82"/>
      <c r="AJ24" s="77"/>
      <c r="AN24" s="77"/>
      <c r="AO24" s="81"/>
      <c r="AP24" s="81"/>
      <c r="AQ24" s="83"/>
      <c r="AR24" s="84"/>
      <c r="AS24" s="81"/>
      <c r="AT24" s="81"/>
      <c r="AU24" s="82"/>
      <c r="AV24" s="84"/>
      <c r="AW24" s="109"/>
      <c r="AX24" s="109"/>
      <c r="AY24" s="77"/>
      <c r="AZ24" s="109"/>
      <c r="BA24" s="109"/>
      <c r="BB24" s="85"/>
      <c r="BF24" s="77"/>
      <c r="BL24" s="85"/>
      <c r="BO24" s="74"/>
      <c r="BX24" s="165"/>
      <c r="CJ24" s="112"/>
      <c r="DE24" s="86"/>
    </row>
    <row r="25" spans="2:117" x14ac:dyDescent="0.2">
      <c r="B25" s="117" t="s">
        <v>149</v>
      </c>
      <c r="C25" s="115"/>
      <c r="E25" s="261" t="s">
        <v>160</v>
      </c>
      <c r="F25" s="261"/>
      <c r="G25" s="288" t="s">
        <v>161</v>
      </c>
      <c r="H25" s="288"/>
      <c r="I25" s="288"/>
      <c r="J25" s="288"/>
      <c r="K25" s="288"/>
      <c r="L25" s="288"/>
      <c r="M25" s="261" t="s">
        <v>163</v>
      </c>
      <c r="N25" s="261"/>
      <c r="O25" s="288" t="s">
        <v>162</v>
      </c>
      <c r="P25" s="288"/>
      <c r="Q25" s="288"/>
      <c r="R25" s="288" t="s">
        <v>356</v>
      </c>
      <c r="S25" s="288"/>
      <c r="T25" s="288" t="s">
        <v>395</v>
      </c>
      <c r="U25" s="293" t="s">
        <v>357</v>
      </c>
      <c r="V25" s="260" t="s">
        <v>165</v>
      </c>
      <c r="W25" s="260" t="s">
        <v>315</v>
      </c>
      <c r="X25" s="291" t="s">
        <v>410</v>
      </c>
      <c r="Y25" s="296" t="s">
        <v>411</v>
      </c>
      <c r="Z25" s="300" t="s">
        <v>316</v>
      </c>
      <c r="AA25" s="297" t="s">
        <v>358</v>
      </c>
      <c r="AB25" s="261" t="s">
        <v>164</v>
      </c>
      <c r="AC25" s="261" t="s">
        <v>305</v>
      </c>
      <c r="AD25" s="261"/>
      <c r="AE25" s="261"/>
      <c r="AF25" s="261"/>
      <c r="AG25" s="261"/>
      <c r="AH25" s="261"/>
      <c r="AI25" s="261"/>
      <c r="AJ25" s="261"/>
      <c r="AK25" s="261" t="s">
        <v>306</v>
      </c>
      <c r="AL25" s="261"/>
      <c r="AM25" s="261"/>
      <c r="AN25" s="261"/>
      <c r="AO25" s="261"/>
      <c r="AP25" s="261"/>
      <c r="AQ25" s="261"/>
      <c r="AR25" s="261"/>
      <c r="AS25" s="288" t="s">
        <v>414</v>
      </c>
      <c r="AT25" s="288"/>
      <c r="AU25" s="288"/>
      <c r="AV25" s="288"/>
      <c r="AW25" s="302" t="s">
        <v>530</v>
      </c>
      <c r="AX25" s="302"/>
      <c r="AY25" s="302"/>
      <c r="AZ25" s="302" t="s">
        <v>531</v>
      </c>
      <c r="BA25" s="302"/>
      <c r="BB25" s="302"/>
      <c r="BC25" s="288" t="s">
        <v>341</v>
      </c>
      <c r="BD25" s="288"/>
      <c r="BE25" s="288"/>
      <c r="BF25" s="288"/>
      <c r="BG25" s="261" t="s">
        <v>284</v>
      </c>
      <c r="BH25" s="288" t="s">
        <v>343</v>
      </c>
      <c r="BI25" s="288"/>
      <c r="BJ25" s="288"/>
      <c r="BK25" s="288" t="s">
        <v>41</v>
      </c>
      <c r="BL25" s="288"/>
      <c r="BM25" s="288"/>
      <c r="BN25" s="261" t="s">
        <v>289</v>
      </c>
      <c r="BO25" s="261"/>
      <c r="BP25" s="261"/>
      <c r="BQ25" s="288" t="s">
        <v>537</v>
      </c>
      <c r="BR25" s="288"/>
      <c r="BS25" s="288"/>
      <c r="BT25" s="288" t="s">
        <v>540</v>
      </c>
      <c r="BU25" s="288"/>
      <c r="BV25" s="288"/>
      <c r="BW25" s="288" t="s">
        <v>541</v>
      </c>
      <c r="BX25" s="288"/>
      <c r="BY25" s="288"/>
      <c r="BZ25" s="288" t="s">
        <v>346</v>
      </c>
      <c r="CA25" s="288"/>
      <c r="CB25" s="288"/>
      <c r="CC25" s="288"/>
      <c r="CD25" s="288" t="s">
        <v>347</v>
      </c>
      <c r="CE25" s="288"/>
      <c r="CF25" s="288"/>
      <c r="CG25" s="288"/>
      <c r="CH25" s="288" t="s">
        <v>533</v>
      </c>
      <c r="CI25" s="288"/>
      <c r="CJ25" s="288"/>
      <c r="CK25" s="288"/>
      <c r="CL25" s="261" t="s">
        <v>283</v>
      </c>
      <c r="CM25" s="261"/>
      <c r="CN25" s="261"/>
      <c r="CO25" s="261"/>
      <c r="CP25" s="288" t="s">
        <v>387</v>
      </c>
      <c r="CQ25" s="288"/>
      <c r="CR25" s="288" t="s">
        <v>376</v>
      </c>
      <c r="CS25" s="288"/>
      <c r="CT25" s="288" t="s">
        <v>528</v>
      </c>
      <c r="CU25" s="288"/>
      <c r="CV25" s="288"/>
      <c r="CW25" s="261" t="s">
        <v>282</v>
      </c>
      <c r="CX25" s="261"/>
      <c r="CY25" s="261"/>
      <c r="CZ25" s="261"/>
      <c r="DA25" s="261"/>
      <c r="DB25" s="261"/>
      <c r="DD25" s="115"/>
    </row>
    <row r="26" spans="2:117" x14ac:dyDescent="0.2">
      <c r="B26" s="117" t="s">
        <v>309</v>
      </c>
      <c r="C26" s="115" t="s">
        <v>150</v>
      </c>
      <c r="D26" s="115" t="s">
        <v>304</v>
      </c>
      <c r="E26" s="115" t="s">
        <v>151</v>
      </c>
      <c r="F26" s="115" t="s">
        <v>152</v>
      </c>
      <c r="G26" s="117" t="s">
        <v>15</v>
      </c>
      <c r="H26" s="45" t="s">
        <v>156</v>
      </c>
      <c r="I26" s="45" t="s">
        <v>157</v>
      </c>
      <c r="J26" s="45" t="s">
        <v>158</v>
      </c>
      <c r="K26" s="119" t="s">
        <v>380</v>
      </c>
      <c r="L26" s="119" t="s">
        <v>381</v>
      </c>
      <c r="M26" s="115" t="s">
        <v>156</v>
      </c>
      <c r="N26" s="115" t="s">
        <v>159</v>
      </c>
      <c r="O26" s="46" t="s">
        <v>385</v>
      </c>
      <c r="P26" s="46" t="s">
        <v>423</v>
      </c>
      <c r="Q26" s="45" t="s">
        <v>424</v>
      </c>
      <c r="R26" s="117" t="s">
        <v>390</v>
      </c>
      <c r="S26" s="45" t="s">
        <v>391</v>
      </c>
      <c r="T26" s="261"/>
      <c r="U26" s="294"/>
      <c r="V26" s="260"/>
      <c r="W26" s="260"/>
      <c r="X26" s="291"/>
      <c r="Y26" s="291"/>
      <c r="Z26" s="301"/>
      <c r="AA26" s="298"/>
      <c r="AB26" s="261"/>
      <c r="AC26" s="115" t="s">
        <v>307</v>
      </c>
      <c r="AD26" s="115" t="s">
        <v>314</v>
      </c>
      <c r="AE26" s="115" t="s">
        <v>313</v>
      </c>
      <c r="AF26" s="117" t="s">
        <v>400</v>
      </c>
      <c r="AG26" s="45" t="s">
        <v>401</v>
      </c>
      <c r="AH26" s="45" t="s">
        <v>402</v>
      </c>
      <c r="AI26" s="87" t="s">
        <v>403</v>
      </c>
      <c r="AJ26" s="117" t="s">
        <v>308</v>
      </c>
      <c r="AK26" s="115" t="s">
        <v>307</v>
      </c>
      <c r="AL26" s="115" t="s">
        <v>314</v>
      </c>
      <c r="AM26" s="115" t="s">
        <v>313</v>
      </c>
      <c r="AN26" s="117" t="s">
        <v>405</v>
      </c>
      <c r="AO26" s="45" t="s">
        <v>406</v>
      </c>
      <c r="AP26" s="45" t="s">
        <v>407</v>
      </c>
      <c r="AQ26" s="46" t="s">
        <v>408</v>
      </c>
      <c r="AR26" s="57" t="s">
        <v>308</v>
      </c>
      <c r="AS26" s="45" t="s">
        <v>416</v>
      </c>
      <c r="AT26" s="45" t="s">
        <v>417</v>
      </c>
      <c r="AU26" s="87" t="s">
        <v>418</v>
      </c>
      <c r="AV26" s="57" t="s">
        <v>415</v>
      </c>
      <c r="AW26" s="110" t="s">
        <v>525</v>
      </c>
      <c r="AX26" s="110" t="s">
        <v>526</v>
      </c>
      <c r="AY26" s="117" t="s">
        <v>532</v>
      </c>
      <c r="AZ26" s="110" t="s">
        <v>525</v>
      </c>
      <c r="BA26" s="110" t="s">
        <v>526</v>
      </c>
      <c r="BB26" s="57" t="s">
        <v>532</v>
      </c>
      <c r="BC26" s="115" t="s">
        <v>338</v>
      </c>
      <c r="BD26" s="115" t="s">
        <v>351</v>
      </c>
      <c r="BE26" s="115" t="s">
        <v>340</v>
      </c>
      <c r="BF26" s="117" t="s">
        <v>339</v>
      </c>
      <c r="BG26" s="261"/>
      <c r="BH26" s="115" t="s">
        <v>350</v>
      </c>
      <c r="BI26" s="115" t="s">
        <v>353</v>
      </c>
      <c r="BJ26" s="115" t="s">
        <v>354</v>
      </c>
      <c r="BK26" s="115" t="s">
        <v>350</v>
      </c>
      <c r="BL26" s="57" t="s">
        <v>353</v>
      </c>
      <c r="BM26" s="115" t="s">
        <v>354</v>
      </c>
      <c r="BN26" s="115" t="s">
        <v>307</v>
      </c>
      <c r="BO26" s="117" t="s">
        <v>351</v>
      </c>
      <c r="BP26" s="115" t="s">
        <v>352</v>
      </c>
      <c r="BQ26" s="115" t="s">
        <v>526</v>
      </c>
      <c r="BR26" s="115" t="s">
        <v>538</v>
      </c>
      <c r="BS26" s="115" t="s">
        <v>539</v>
      </c>
      <c r="BT26" s="115" t="s">
        <v>525</v>
      </c>
      <c r="BU26" s="115" t="s">
        <v>526</v>
      </c>
      <c r="BV26" s="115" t="s">
        <v>538</v>
      </c>
      <c r="BW26" s="115" t="s">
        <v>525</v>
      </c>
      <c r="BX26" s="164" t="s">
        <v>542</v>
      </c>
      <c r="BY26" s="115" t="s">
        <v>538</v>
      </c>
      <c r="BZ26" s="115" t="s">
        <v>344</v>
      </c>
      <c r="CA26" s="115" t="s">
        <v>349</v>
      </c>
      <c r="CB26" s="115" t="s">
        <v>345</v>
      </c>
      <c r="CC26" s="115" t="s">
        <v>342</v>
      </c>
      <c r="CD26" s="115" t="s">
        <v>344</v>
      </c>
      <c r="CE26" s="115" t="s">
        <v>349</v>
      </c>
      <c r="CF26" s="115" t="s">
        <v>345</v>
      </c>
      <c r="CG26" s="115" t="s">
        <v>342</v>
      </c>
      <c r="CH26" s="115" t="s">
        <v>525</v>
      </c>
      <c r="CI26" s="115" t="s">
        <v>526</v>
      </c>
      <c r="CJ26" s="119" t="s">
        <v>534</v>
      </c>
      <c r="CK26" s="115" t="s">
        <v>527</v>
      </c>
      <c r="CL26" s="115" t="s">
        <v>285</v>
      </c>
      <c r="CM26" s="115" t="s">
        <v>286</v>
      </c>
      <c r="CN26" s="115" t="s">
        <v>287</v>
      </c>
      <c r="CO26" s="115" t="s">
        <v>288</v>
      </c>
      <c r="CP26" s="115" t="s">
        <v>388</v>
      </c>
      <c r="CQ26" s="115" t="s">
        <v>389</v>
      </c>
      <c r="CR26" s="115" t="s">
        <v>374</v>
      </c>
      <c r="CS26" s="115" t="s">
        <v>375</v>
      </c>
      <c r="CT26" s="115" t="s">
        <v>525</v>
      </c>
      <c r="CU26" s="115" t="s">
        <v>526</v>
      </c>
      <c r="CV26" s="115" t="s">
        <v>527</v>
      </c>
      <c r="CW26" s="115" t="s">
        <v>153</v>
      </c>
      <c r="CX26" s="115" t="s">
        <v>154</v>
      </c>
      <c r="CY26" s="115" t="s">
        <v>155</v>
      </c>
      <c r="CZ26" s="115" t="s">
        <v>348</v>
      </c>
      <c r="DA26" s="115" t="s">
        <v>280</v>
      </c>
      <c r="DB26" s="115" t="s">
        <v>281</v>
      </c>
      <c r="DD26" s="115"/>
      <c r="DE26" s="115"/>
    </row>
    <row r="27" spans="2:117" s="116" customFormat="1" x14ac:dyDescent="0.2">
      <c r="E27" s="116">
        <v>0</v>
      </c>
      <c r="F27" s="116">
        <v>0</v>
      </c>
      <c r="G27" s="118"/>
      <c r="H27" s="88"/>
      <c r="I27" s="88"/>
      <c r="J27" s="88"/>
      <c r="K27" s="120"/>
      <c r="L27" s="120"/>
      <c r="O27" s="89"/>
      <c r="P27" s="89"/>
      <c r="Q27" s="88"/>
      <c r="R27" s="118"/>
      <c r="S27" s="88"/>
      <c r="T27" s="289"/>
      <c r="U27" s="295"/>
      <c r="V27" s="290"/>
      <c r="W27" s="290"/>
      <c r="X27" s="292"/>
      <c r="Y27" s="292"/>
      <c r="Z27" s="90">
        <v>0</v>
      </c>
      <c r="AA27" s="299"/>
      <c r="AB27" s="289"/>
      <c r="AF27" s="91"/>
      <c r="AG27" s="92"/>
      <c r="AH27" s="92"/>
      <c r="AI27" s="93"/>
      <c r="AJ27" s="91"/>
      <c r="AN27" s="91"/>
      <c r="AO27" s="92"/>
      <c r="AP27" s="92"/>
      <c r="AQ27" s="94"/>
      <c r="AR27" s="95"/>
      <c r="AS27" s="92"/>
      <c r="AT27" s="92"/>
      <c r="AU27" s="93"/>
      <c r="AV27" s="95"/>
      <c r="AW27" s="111">
        <v>0</v>
      </c>
      <c r="AX27" s="111">
        <v>0</v>
      </c>
      <c r="AY27" s="91">
        <v>0</v>
      </c>
      <c r="AZ27" s="111">
        <v>0</v>
      </c>
      <c r="BA27" s="111">
        <v>0</v>
      </c>
      <c r="BB27" s="95">
        <v>0</v>
      </c>
      <c r="BF27" s="91"/>
      <c r="BG27" s="116">
        <v>0</v>
      </c>
      <c r="BH27" s="116">
        <v>0</v>
      </c>
      <c r="BI27" s="116">
        <v>0</v>
      </c>
      <c r="BJ27" s="116">
        <v>0</v>
      </c>
      <c r="BK27" s="116">
        <v>0</v>
      </c>
      <c r="BL27" s="96">
        <v>0</v>
      </c>
      <c r="BM27" s="116">
        <v>0</v>
      </c>
      <c r="BN27" s="116">
        <v>0</v>
      </c>
      <c r="BO27" s="118">
        <v>0</v>
      </c>
      <c r="BP27" s="116">
        <v>0</v>
      </c>
      <c r="BQ27" s="116">
        <v>0</v>
      </c>
      <c r="BR27" s="116">
        <v>0</v>
      </c>
      <c r="BS27" s="116">
        <v>0</v>
      </c>
      <c r="BT27" s="116">
        <v>0</v>
      </c>
      <c r="BU27" s="116">
        <v>0</v>
      </c>
      <c r="BV27" s="116">
        <v>0</v>
      </c>
      <c r="BW27" s="116">
        <v>0</v>
      </c>
      <c r="BX27" s="166">
        <v>0</v>
      </c>
      <c r="BY27" s="116">
        <v>0</v>
      </c>
      <c r="BZ27" s="116">
        <v>0</v>
      </c>
      <c r="CA27" s="116">
        <v>0</v>
      </c>
      <c r="CB27" s="116">
        <v>0</v>
      </c>
      <c r="CC27" s="116">
        <v>0</v>
      </c>
      <c r="CD27" s="116">
        <v>0</v>
      </c>
      <c r="CE27" s="116">
        <v>0</v>
      </c>
      <c r="CF27" s="116">
        <v>0</v>
      </c>
      <c r="CG27" s="116">
        <v>0</v>
      </c>
      <c r="CH27" s="116">
        <v>0</v>
      </c>
      <c r="CI27" s="116">
        <v>0</v>
      </c>
      <c r="CJ27" s="120">
        <v>0</v>
      </c>
      <c r="CK27" s="116">
        <v>0</v>
      </c>
      <c r="CL27" s="116">
        <v>0</v>
      </c>
      <c r="CM27" s="116">
        <v>0</v>
      </c>
      <c r="CN27" s="116">
        <v>0</v>
      </c>
      <c r="CO27" s="116">
        <v>0</v>
      </c>
      <c r="CP27" s="116">
        <v>0</v>
      </c>
      <c r="CQ27" s="116">
        <v>0</v>
      </c>
      <c r="CR27" s="116">
        <v>0</v>
      </c>
      <c r="CS27" s="116">
        <v>0</v>
      </c>
      <c r="CT27" s="116">
        <v>0</v>
      </c>
      <c r="CU27" s="116">
        <v>0</v>
      </c>
      <c r="CV27" s="116">
        <v>0</v>
      </c>
      <c r="CW27" s="116">
        <v>0</v>
      </c>
      <c r="CX27" s="116">
        <v>0</v>
      </c>
      <c r="CY27" s="116">
        <v>0</v>
      </c>
      <c r="CZ27" s="116">
        <v>0</v>
      </c>
      <c r="DA27" s="116">
        <v>0</v>
      </c>
      <c r="DB27" s="116">
        <v>0</v>
      </c>
    </row>
    <row r="28" spans="2:117" x14ac:dyDescent="0.2">
      <c r="B28" s="117">
        <f>$F$4</f>
        <v>0.92249999999999999</v>
      </c>
      <c r="C28" s="167" t="str">
        <f t="shared" ref="C28:C91" si="0">IF(F27=100,"净世破魔击·月",IF(E27=100,"净世破魔击·日",IF(E27&lt;20,IF(C27="赤日轮1","赤日轮2",IF(C27="赤日轮2","赤日轮3","赤日轮1")),IF(AND(E27&gt;19,F27&lt;44,CX27&lt;$F$4),"银月斩",IF(AND(E27&lt;40,CY27&lt;$F$4),"驱夜断愁",IF(AND(E27&lt;60,CW27&lt;$F$4),"烈日斩",IF(C27="幽月轮1","幽月轮2",IF(C27="幽月轮2","幽月轮3","幽月轮1"))))))))</f>
        <v>赤日轮1</v>
      </c>
      <c r="D28" s="115">
        <f>IF(C28="赤日轮1",1,IF(C28="赤日轮2",2,IF(C28="赤日轮3",3,IF(C28="幽月轮1",4,IF(C28="幽月轮2",5,IF(C28="幽月轮3",6,IF(C28="烈日斩",7,IF(C28="银月斩",8,IF(C28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28="净世破魔击·月",17,IF(C28="驱夜断愁",18,0)))))))))))</f>
        <v>1</v>
      </c>
      <c r="E28" s="115">
        <f ca="1">IF(AND(CU28,OR(C28="幽月轮1",C28="幽月轮2",C28="幽月轮3",C28="银月斩",C28="驱夜断愁",C28="净世破魔击·月")),100,MIN(IF(OR(CN28,BE28),0,IF(OR($C28="赤日轮1",$C28="赤日轮2",$C28="赤日轮3"),E27+20+IF(模拟模式!$I$7="日月凌天",4,0)+IF(CR27,20,0),IF($C28="烈日斩",E27+40,IF($C28="驱夜断愁",IF(模拟模式!$R$7="万念俱寂",E27+20,E27+60),IF($C28="净世破魔击·月",IF(OR(DB27&gt;0,CV27&gt;0),100,IF(模拟模式!$M$7="辉耀红尘",E27+20,E27)),IF($C28="净世破魔击·日",E27-100,E27)))))),100))</f>
        <v>20</v>
      </c>
      <c r="F28" s="115">
        <f ca="1">IF(AND(CU28,OR(C28="赤日轮1",C28="赤日轮2",C28="赤日轮3",C28="烈日斩",C28="净世破魔击·日")),100,MIN(IF(CO28,0,IF(OR($C28="幽月轮1",$C28="幽月轮2",$C28="幽月轮3"),F27+20+IF(模拟模式!$I$7="日月凌天",4,0)+IF(CS27,20,0),IF($C28="银月斩",F27+40+IF(模拟模式!$X$12=1,5,0),IF($C28="驱夜断愁",IF(模拟模式!$R$7="万念俱寂",F27+20,F27+60),IF($C28="净世破魔击·月",IF(模拟模式!$M$7="辉耀红尘",F27-80,F27-100),IF(AND(C28="净世破魔击·日",OR(DB27&gt;0,CV27&gt;0)),100,F27)))))),100))</f>
        <v>0</v>
      </c>
      <c r="G28" s="117">
        <f ca="1">('模拟-全程加成'!$E$3+'模拟-全程加成'!$E$4+'模拟-全程加成'!$E$5+('模拟-全程加成'!$C$6-'模拟-全程加成'!$C$3)*系数!$B$9+BS28*23)*(1+'模拟-全程加成'!$F$4+'模拟-全程加成'!$F$5+BJ28*10%+BM28*20%+BP28*4%+CG28*30%)+$F$7*系数!$B$12</f>
        <v>16940.3194</v>
      </c>
      <c r="H28" s="45">
        <f ca="1">'模拟-全程加成'!$H$3+'模拟-全程加成'!$H$4+'模拟-全程加成'!$H$5+('模拟-全程加成'!$G$4+'模拟-全程加成'!$G$5+('模拟-全程加成'!$C$6-'模拟-全程加成'!$C$3)*系数!$B$13)/系数!$B$3+LOOKUP(D28,'模拟-单技能数据'!$A$2:$A$19,'模拟-单技能数据'!$K$2:$K$19)+BG28*10%+IF(BV28&gt;0,378,0)</f>
        <v>0.4618514552730022</v>
      </c>
      <c r="I28" s="45">
        <f ca="1">'模拟-全程加成'!$J$3+'模拟-全程加成'!$J$4+'模拟-全程加成'!$J$5+('模拟-全程加成'!$I$4+'模拟-全程加成'!$I$5)/系数!$B$4+LOOKUP(D28,'模拟-单技能数据'!$A$2:$A$19,'模拟-单技能数据'!$L$2:$L$19)+BG28*10%</f>
        <v>2.162482885499879</v>
      </c>
      <c r="J28" s="45">
        <f ca="1">(('模拟-全程加成'!$K$3+'模拟-全程加成'!$K$4+'模拟-全程加成'!$K$5+('模拟-全程加成'!$C$6-'模拟-全程加成'!$C$3)*系数!$B$10+IF(BV28&gt;0,882,0)+IF(BY28&gt;0,1831,0))*(1+'模拟-全程加成'!$L$4+'模拟-全程加成'!$L$5+CC28*20%))/系数!$B$5</f>
        <v>0.69723220422048726</v>
      </c>
      <c r="K28" s="119">
        <f ca="1">LOOKUP(D28,'模拟-单技能数据'!$A$2:$A$19,'模拟-单技能数据'!$J$2:$J$19)+IF(CM28,60%,0)+IF(DB27-DB28&gt;0,30%,0)+IF(OR(AND(OR(C28="赤日轮1",C28="赤日轮2",C28="赤日轮3"),CR28),AND(OR(C28="幽月轮1",C28="幽月轮2",C28="幽月轮3"),CS28)),35%,0)+CJ28</f>
        <v>0.12</v>
      </c>
      <c r="L28" s="119">
        <f ca="1">IF(AND(C28="烈日斩",模拟模式!$X$11=1),10%,0)+IF(AND(C28="驱夜断愁",AB28=1),30%,0)</f>
        <v>0</v>
      </c>
      <c r="M28" s="45">
        <f ca="1">MIN(H28,1-$F$10-$F$11)</f>
        <v>0.4618514552730022</v>
      </c>
      <c r="N28" s="45">
        <f ca="1">1-$F$10-$F$11-M28</f>
        <v>0.48424854472699785</v>
      </c>
      <c r="O28" s="46">
        <f ca="1">RAND()</f>
        <v>0.51856982422670361</v>
      </c>
      <c r="P28" s="46" t="str">
        <f ca="1">IF(O28&lt;$F$10,"偏",IF(O28&lt;$F$10+$F$11,"识",IF(O28&lt;$F$10+$F$11+H28,"会","命")))</f>
        <v>命</v>
      </c>
      <c r="Q28" s="45">
        <f ca="1">IF(P28="会",I28,IF(P28="命",1,IF(P28="识",0.25,0)))</f>
        <v>1</v>
      </c>
      <c r="R28" s="117">
        <f ca="1">模拟模式!$E$20*(1-IF(模拟模式!$J$19="有",0.15,0))*(1-IF(模拟模式!$K$19="有",0.3,0)-IF(CQ28,0.5,0))</f>
        <v>2950.6049999999996</v>
      </c>
      <c r="S28" s="45">
        <f ca="1">R28/(R28+(185*模拟模式!$E$22-16800)*4.08224)</f>
        <v>0.24272716014590323</v>
      </c>
      <c r="T28" s="45" t="str">
        <f>LOOKUP(D28,'模拟-单技能数据'!$A$2:$A$19,'模拟-单技能数据'!$H$2:$H$19)</f>
        <v>阳</v>
      </c>
      <c r="U28" s="119">
        <f>IF(T28="阳",$I$3,IF(T28="阴",$I$4,0))</f>
        <v>0.2</v>
      </c>
      <c r="V28" s="47">
        <f ca="1">(1+L28)*(LOOKUP(D28,'模拟-单技能数据'!$A$2:$A$19,'模拟-单技能数据'!$D$2:$D$19)+G28*LOOKUP(D28,'模拟-单技能数据'!$A$2:$A$19,'模拟-单技能数据'!$F$2:$F$19))*(1+J28)*(1+K28)*(1-S28)*(1+U28)*Q28*LOOKUP(D28,'模拟-单技能数据'!$A$2:$A$19,'模拟-单技能数据'!$I$2:$I$20)</f>
        <v>17184.801884551889</v>
      </c>
      <c r="W28" s="47">
        <f>LOOKUP(D28,'模拟-单技能数据'!$A$2:$A$19,'模拟-单技能数据'!$G$2:$G$19)*$I$10</f>
        <v>361.51064354704795</v>
      </c>
      <c r="X28" s="47">
        <f ca="1">AJ28+AR28+AV28+BF28+AY28+BB28</f>
        <v>6748.7119392909808</v>
      </c>
      <c r="Y28" s="47">
        <f ca="1">V28+W28+X28</f>
        <v>24295.024467389918</v>
      </c>
      <c r="Z28" s="49">
        <f ca="1">Z27+Y28</f>
        <v>24295.024467389918</v>
      </c>
      <c r="AA28" s="97">
        <f ca="1">Z28/B28</f>
        <v>26336.069883349504</v>
      </c>
      <c r="AB28" s="115">
        <f ca="1">IF(OR(C28="赤日轮1",C28="赤日轮2",C28="赤日轮3"),IF(RAND()&lt;模拟模式!$Y$17,1,0),IF(OR(C28="幽月轮1",C28="幽月轮2",C28="幽月轮3"),IF(RAND()&lt;模拟模式!$Y$18,1,0),IF(C28="烈日斩",IF(RAND()&lt;模拟模式!$Y$19,1,0),IF(C28="银月斩",IF(RAND()&lt;模拟模式!$Y$20,1,0),IF(C28="驱夜断愁",IF(RAND()&lt;模拟模式!$Y$21,1,0),IF(C28="净世破魔击·日",IF(RAND()&lt;模拟模式!$Y$22,1,0),IF(C28="净世破魔击·月",IF(RAND()&lt;模拟模式!$Y$23,1,0),0)))))))</f>
        <v>1</v>
      </c>
      <c r="AC28" s="115" t="b">
        <f t="shared" ref="AC28:AC59" si="1">C28="银月斩"</f>
        <v>0</v>
      </c>
      <c r="AD28" s="115" t="b">
        <f>IF(AC28,TRUE,FALSE)</f>
        <v>0</v>
      </c>
      <c r="AE28" s="115">
        <f>IF(AC28,6-AD28,AE27-AD28)</f>
        <v>0</v>
      </c>
      <c r="AF28" s="47">
        <f>IF(AC28,('模拟-单技能数据'!$D$20+G28*'模拟-单技能数据'!$F$20)*(1+J28)*(1+'模拟-单技能数据'!$J$20)*(1+U28),0)</f>
        <v>0</v>
      </c>
      <c r="AG28" s="61">
        <f>IF(AF28&gt;0,M28,AG27)</f>
        <v>0</v>
      </c>
      <c r="AH28" s="61">
        <f>IF(AF28&gt;0,I28,AH27)</f>
        <v>0</v>
      </c>
      <c r="AI28" s="62">
        <f ca="1">RAND()</f>
        <v>0.33109963935416697</v>
      </c>
      <c r="AJ28" s="47">
        <f ca="1">IF(AD28,IF(AI28&lt;$F$10,0,IF(AI28&lt;$F$10+$F$11,0.25,IF(AI28&lt;$F$10+$F$11+AG28,AH28,1)))*IF(AF28&gt;0,AF28,IF(AF27&gt;0,AF27,IF(AF26&gt;0,AF26,IF(AF25&gt;0,AF25,IF(AF24&gt;0,AF24,IF(AF21&gt;0,AF21,IF(AF20&gt;0,AF20,IF(AF19&gt;0,AF19,IF(AF17&gt;0,AF17,IF(AF15&gt;0,AF15,IF(AF14&gt;0,AF14,IF(AF13&gt;0,AF13,0)))))))))))),0)*(1-$S28)*'模拟-单技能数据'!$I$20</f>
        <v>0</v>
      </c>
      <c r="AK28" s="115" t="b">
        <f t="shared" ref="AK28:AK59" si="2">C28="净世破魔击·日"</f>
        <v>0</v>
      </c>
      <c r="AL28" s="115" t="b">
        <f>IF(AK28,TRUE,FALSE)</f>
        <v>0</v>
      </c>
      <c r="AM28" s="115">
        <f>IF(AK28,6-AL28,AM27-AL28)</f>
        <v>0</v>
      </c>
      <c r="AN28" s="47">
        <f>IF(AK28,('模拟-单技能数据'!$D$21+G28*'模拟-单技能数据'!$F$21)*(1+J28)*(1+'模拟-单技能数据'!$J$21)*(1+U28),0)</f>
        <v>0</v>
      </c>
      <c r="AO28" s="61">
        <f>IF(AN28&gt;0,M28-'模拟-单技能数据'!$K$10,AO27)</f>
        <v>0</v>
      </c>
      <c r="AP28" s="61">
        <f>IF(AN28&gt;0,I28-'模拟-单技能数据'!$L$10,AP27)</f>
        <v>0</v>
      </c>
      <c r="AQ28" s="63">
        <f ca="1">RAND()</f>
        <v>0.43453329909536731</v>
      </c>
      <c r="AR28" s="64">
        <f ca="1">IF(AL28,IF(AQ28&lt;$F$10,0,IF(AQ28&lt;$F$10+$F$11,0.25,IF(AQ28&lt;$F$10+$F$11+AO28,AP28,1)))*IF(AN28&gt;0,AN28,IF(AN27&gt;0,AN27,IF(AN26&gt;0,AN26,IF(AN25&gt;0,AN25,IF(AN24&gt;0,AN24,IF(AN21&gt;0,AN21,IF(AN20&gt;0,AN20,IF(AN19&gt;0,AN19,IF(AN17&gt;0,AN17,IF(AN15&gt;0,AN15,IF(AN14&gt;0,AN14,IF(AN13&gt;0,AN13,0)))))))))))),0)*(1-$S28)*'模拟-单技能数据'!$I$21</f>
        <v>0</v>
      </c>
      <c r="AS28" s="61">
        <f>IF(OR(C28="净世破魔击·日",C28="净世破魔击·月"),M28-'模拟-单技能数据'!$K$10,0)</f>
        <v>0</v>
      </c>
      <c r="AT28" s="61">
        <f>IF(OR(C28="净世破魔击·日",C28="净世破魔击·月"),I28-'模拟-单技能数据'!$L$10,0)</f>
        <v>0</v>
      </c>
      <c r="AU28" s="62">
        <f ca="1">RAND()</f>
        <v>0.13285649774504205</v>
      </c>
      <c r="AV28" s="64">
        <f>IF(AS28&gt;0,('模拟-单技能数据'!$D$22+G28*'模拟-单技能数据'!$F$22)*(1+J28)*(1-S28)*IF(AU28&lt;$F$10,0,IF(AU28&lt;$F$10+$F$11,0.25,IF(AU28&lt;$F$10+$F$11+AS28,AT28,1)))*(1+U28),0)*'模拟-单技能数据'!$I$22</f>
        <v>0</v>
      </c>
      <c r="AW28" s="108">
        <f ca="1">IF(AX28,20-$F$4,MAX(AW27-$F$4,0))</f>
        <v>0</v>
      </c>
      <c r="AX28" s="108" t="b">
        <f ca="1">AND(模拟模式!$P$10="有",AW27=0,RAND()&lt;IF(C28="净世破魔击·月",0.1*8/3,IF(C28="净世破魔击·日",0.1*4/3,0.1*2/3)))</f>
        <v>0</v>
      </c>
      <c r="AY28" s="47">
        <f ca="1">IF(AX28,(18+G28*0.722)*(1+J28)*(1-S28)*(1+$I$4)*IF(P28="会",'模拟-全程加成'!$J$3+'模拟-全程加成'!$J$4+'模拟-全程加成'!$J$5+('模拟-全程加成'!$I$4+'模拟-全程加成'!$I$5)/系数!$B$4+BG28*10%,IF(P28="命",1,IF(P28="识",0.25,0))),0)</f>
        <v>0</v>
      </c>
      <c r="AZ28" s="108">
        <f>IF(BA28,20-$F$4,MAX(AZ27-$F$4,0))</f>
        <v>19.077500000000001</v>
      </c>
      <c r="BA28" s="108" t="b">
        <f>AND(模拟模式!$Q$10="有",AZ27=0)</f>
        <v>1</v>
      </c>
      <c r="BB28" s="140">
        <f ca="1">IF(BA28,(0+G28*0.287)*(1+J28)*(1-S28)*(1+$I$4)*IF(P28="会",'模拟-全程加成'!$J$3+'模拟-全程加成'!$J$4+'模拟-全程加成'!$J$5+('模拟-全程加成'!$I$4+'模拟-全程加成'!$I$5)/系数!$B$4+BG28*10%,IF(P28="命",1,IF(P28="识",0.25,0))),0)</f>
        <v>6748.7119392909808</v>
      </c>
      <c r="BC28" s="115" t="b">
        <f ca="1">AND(模拟模式!$R$7="伏明众生",E28=60,F28=20,DA28&lt;5,CZ27&lt;$F$4)</f>
        <v>0</v>
      </c>
      <c r="BD28" s="115">
        <f t="shared" ref="BD28:BD59" ca="1" si="3">IF(BC28,6-$F$4,MAX(0,BD27-$F$4))</f>
        <v>0</v>
      </c>
      <c r="BE28" s="115" t="b">
        <f t="shared" ref="BE28:BE59" si="4">AND(BD27&gt;0,BD27-$F$4&lt;0)</f>
        <v>0</v>
      </c>
      <c r="BF28" s="47">
        <f ca="1">IF(BC28,4*('模拟-单技能数据'!$D$24+G28*'模拟-单技能数据'!$F$24)*(1+J28)*(1+'模拟-单技能数据'!$J$24)*(1-S28)*(1+$I$3)*(('模拟-全程加成'!$J$3+'模拟-全程加成'!$J$4+'模拟-全程加成'!$J$5+('模拟-全程加成'!$I$4+'模拟-全程加成'!$I$5)/系数!$B$4+BG28*10%)*('模拟-全程加成'!$J$3+'模拟-全程加成'!$J$4+'模拟-全程加成'!$J$5+('模拟-全程加成'!$I$4+'模拟-全程加成'!$I$5)/系数!$B$4+BG28*10%)+(1-('模拟-全程加成'!$J$3+'模拟-全程加成'!$J$4+'模拟-全程加成'!$J$5+('模拟-全程加成'!$I$4+'模拟-全程加成'!$I$5)/系数!$B$4+BG28*10%)-$F$10-$F$11)+F11*0.25),0)*'模拟-单技能数据'!$I$24</f>
        <v>0</v>
      </c>
      <c r="BG28" s="115" t="b">
        <f ca="1">OR(AND(OR(C28="烈日斩",C28="银月斩"),模拟模式!$I$7="净身明礼"),AND(C28="净世破魔击·日",模拟模式!$J$7="洞若观火"),AND(C29="净世破魔击·月",模拟模式!$J$7="洞若观火"),AB28=1)</f>
        <v>1</v>
      </c>
      <c r="BH28" s="115" t="b">
        <f ca="1">RAND()&lt;IF(C28="净世破魔击·月",4*$I$7,IF(C28="净世破魔击·日",2*$I$7,$I$7))</f>
        <v>0</v>
      </c>
      <c r="BI28" s="115">
        <f t="shared" ref="BI28:BI59" ca="1" si="5">IF(BH28,6,MAX(0,BI27-$F$4))</f>
        <v>0</v>
      </c>
      <c r="BJ28" s="115" t="b">
        <f ca="1">BI28&gt;0</f>
        <v>0</v>
      </c>
      <c r="BK28" s="115" t="b">
        <f>AND(C28="驱夜断愁",模拟模式!$P$7="天地诛戮")</f>
        <v>0</v>
      </c>
      <c r="BL28" s="57">
        <f t="shared" ref="BL28:BL59" si="6">IF(BK28,20,MAX(0,BL27-$F$4))</f>
        <v>0</v>
      </c>
      <c r="BM28" s="115" t="b">
        <f>BL28&gt;0</f>
        <v>0</v>
      </c>
      <c r="BN28" s="115" t="b">
        <f ca="1">AND(OR(C28="赤日轮1",C28="赤日轮2",C28="赤日轮3",C28="幽月轮1",C28="幽月轮2",C28="幽月轮3"),AB28=1,模拟模式!$L$7="明光恒照")</f>
        <v>1</v>
      </c>
      <c r="BO28" s="117">
        <f t="shared" ref="BO28:BO59" ca="1" si="7">IF(BN28,30,MAX(0,BO27-$F$4))</f>
        <v>30</v>
      </c>
      <c r="BP28" s="115">
        <f ca="1">IF(BO28&gt;0,MIN(6,IF(BN28,BP27+1,BP27)),0)</f>
        <v>1</v>
      </c>
      <c r="BQ28" s="115" t="b">
        <f>模拟模式!$K$10="2600·水"</f>
        <v>0</v>
      </c>
      <c r="BR28" s="117">
        <f>IF(BQ28,6,MAX(0,BR27-$F$4))</f>
        <v>0</v>
      </c>
      <c r="BS28" s="115">
        <f>IF(BR28&gt;0,MIN(10,IF(BQ28,BS27+IF(C28="净世破魔击·月",4,IF(C28="净世破魔击·日",2,1)),BS27)),0)</f>
        <v>0</v>
      </c>
      <c r="BT28" s="115">
        <f ca="1">IF(BU28,60-$F$4,MAX(0,BT27-$F$4))</f>
        <v>0</v>
      </c>
      <c r="BU28" s="115" t="b">
        <f ca="1">AND(模拟模式!$K$10="2300·雷",BT27=0,RAND()&lt;IF(C28="净世破魔击·月",5*0.05*2/3,IF(C28="净世破魔击·日",3*0.05*2/3,0.05*2*2/3)))</f>
        <v>0</v>
      </c>
      <c r="BV28" s="115">
        <f ca="1">IF(BU28,15-$F$4,MAX(0,BV27-$F$4))</f>
        <v>0</v>
      </c>
      <c r="BW28" s="115">
        <f ca="1">IF(BX28,180-$F$4,MAX(0,BW27-$F$4))</f>
        <v>0</v>
      </c>
      <c r="BX28" s="164" t="b">
        <f ca="1">AND(BW27=0,OR(AND(E27=80,F27=100),CU28))</f>
        <v>0</v>
      </c>
      <c r="BY28" s="115">
        <f ca="1">IF(BX28,15-$F$4,MAX(0,BY27-$F$4))</f>
        <v>0</v>
      </c>
      <c r="BZ28" s="115">
        <f>IF(OR(模拟模式!$P$16="10人团",模拟模式!$P$16="25人团"),IF(B28/30&gt;CA27,1,0),0)</f>
        <v>0</v>
      </c>
      <c r="CA28" s="115">
        <f t="shared" ref="CA28:CA91" si="8">CA27+BZ28</f>
        <v>0</v>
      </c>
      <c r="CB28" s="115">
        <f ca="1">IF(BZ28=1,IF(模拟模式!$P$16="10人团",15,0)+IF(模拟模式!$P$16="25人团",IF(RAND()&lt;0.6,15,0)),MAX(0,CB27-$F$4))</f>
        <v>0</v>
      </c>
      <c r="CC28" s="115" t="b">
        <f ca="1">CB28&gt;0</f>
        <v>0</v>
      </c>
      <c r="CD28" s="115">
        <f>IF(模拟模式!$Q$16="1个",IF(B28/40&gt;CE27,1,0),0)</f>
        <v>0</v>
      </c>
      <c r="CE28" s="115">
        <f>CE27+CD28</f>
        <v>0</v>
      </c>
      <c r="CF28" s="115">
        <f>IF(OR(CD28=1,模拟模式!$Q$16="2个"),20,MAX(0,CF27-$F$4))</f>
        <v>0</v>
      </c>
      <c r="CG28" s="115" t="b">
        <f>CF28&gt;0</f>
        <v>0</v>
      </c>
      <c r="CH28" s="115">
        <f ca="1">IF(CI28,30-$F$4,MAX(0,CH27-$F$4))</f>
        <v>0</v>
      </c>
      <c r="CI28" s="115" t="b">
        <f ca="1">AND(CH27=0,RAND()&lt;IF(C28="净世破魔击·月",4*0.2*2/3,IF(C28="净世破魔击·日",2*0.2*2/3,0.2*2/3)))</f>
        <v>0</v>
      </c>
      <c r="CJ28" s="119">
        <f ca="1">IF(CI28,IF(RAND()&lt;0.7,0.05,0.01),IF(CK28&gt;0,CJ27,0))</f>
        <v>0</v>
      </c>
      <c r="CK28" s="115">
        <f ca="1">IF(CI28,8-$F$4,MAX(0,CK27-$F$4))</f>
        <v>0</v>
      </c>
      <c r="CL28" s="115" t="b">
        <f>AND(模拟模式!$S$7="驱夷逐法",OR(AND(C28="净世破魔击·月",E27&gt;59),AND(C28="净世破魔击·日",F27&gt;59)))</f>
        <v>0</v>
      </c>
      <c r="CM28" s="115" t="b">
        <f ca="1">OR(CL28,AND(C28="净世破魔击·日",CL27,RAND()&lt;模拟模式!$U$23))</f>
        <v>0</v>
      </c>
      <c r="CN28" s="115" t="b">
        <f ca="1">IF(模拟模式!$M$7="辉耀红尘",AND(C28="净世破魔击·月",CL28,CV28=0,E27&lt;80),AND(C28="净世破魔击·月",CL28,E27&lt;100))</f>
        <v>0</v>
      </c>
      <c r="CO28" s="115" t="b">
        <f t="shared" ref="CO28:CO91" ca="1" si="9">AND(C28="净世破魔击·日",CL28,CV28=0)</f>
        <v>0</v>
      </c>
      <c r="CP28" s="115" t="b">
        <f ca="1">AND(模拟模式!$O$7="用晦而明",OR(C28="净世破魔击·日",C28="净世破魔击·月",C28="驱夜断愁"),AB28)</f>
        <v>0</v>
      </c>
      <c r="CQ28" s="115" t="b">
        <f ca="1">OR(CP28,AND(CP27,RAND()&lt;模拟模式!$U$23))</f>
        <v>0</v>
      </c>
      <c r="CR28" s="115" t="b">
        <f>AND(模拟模式!$S$7="日月齐光",OR(C28="幽月轮1",C28="幽月轮2",C28="幽月轮3",CR27),NOT(OR(C28="赤日轮1",C28="赤日轮2",C28="赤日轮3")))</f>
        <v>0</v>
      </c>
      <c r="CS28" s="115" t="b">
        <f>AND(模拟模式!$S$7="日月齐光",OR(C28="赤日轮1",C28="赤日轮2",C28="赤日轮3",CS27),NOT(OR(C28="幽月轮1",C28="幽月轮2",C28="幽月轮3")))</f>
        <v>0</v>
      </c>
      <c r="CT28" s="115">
        <f ca="1">IF(CU28,30,MAX(CT27-$F$4,0))</f>
        <v>0</v>
      </c>
      <c r="CU28" s="115" t="b">
        <f ca="1">AND(模拟模式!$K$10="阴阳往极",CT27=0,RAND()&lt;IF(C28="净世破魔击·月",0.0275*7/3,IF(C28="净世破魔击·日",0.0275*3/3,0.0275*2/3)))</f>
        <v>0</v>
      </c>
      <c r="CV28" s="115">
        <f ca="1">IF(CU28,5-$F$4,MAX(CV27-$F$4,0))</f>
        <v>0</v>
      </c>
      <c r="CW28" s="115">
        <f t="shared" ref="CW28:CW59" si="10">MAX(IF($C28="烈日斩",6,CW27-$F$4),0)</f>
        <v>0</v>
      </c>
      <c r="CX28" s="115">
        <f t="shared" ref="CX28:CX59" si="11">MAX(IF($C28="银月斩",6,CX27-$F$4),0)</f>
        <v>0</v>
      </c>
      <c r="CY28" s="115">
        <f>MAX(IF($C28="驱夜断愁",IF(模拟模式!$R$7="万念俱寂",6,45),CY27-$F$4),0)</f>
        <v>0</v>
      </c>
      <c r="CZ28" s="115">
        <f t="shared" ref="CZ28:CZ91" ca="1" si="12">IF(BC28,25,MAX(0,CZ27-$F$4))</f>
        <v>0</v>
      </c>
      <c r="DA28" s="115">
        <f ca="1">IF(模拟模式!$N$7="日月同辉",IF(DB27=2,0,MIN(6,IF(AND(OR(C28="赤日轮1",C28="赤日轮2",C28="赤日轮3",C28="幽月轮1",C28="幽月轮2",C28="幽月轮3"),AB28=1),DA27+1,DA27))),0)</f>
        <v>1</v>
      </c>
      <c r="DB28" s="115">
        <f t="shared" ref="DB28:DB91" ca="1" si="13">MAX(0,IF(DA28=6,2,IF(OR(C28="净世破魔击·月",C28="净世破魔击·日"),DB27-1,DB27)))</f>
        <v>0</v>
      </c>
      <c r="DD28" s="115"/>
      <c r="DE28" s="115"/>
    </row>
    <row r="29" spans="2:117" x14ac:dyDescent="0.2">
      <c r="B29" s="117">
        <f t="shared" ref="B29:B60" si="14">B28+$F$4</f>
        <v>1.845</v>
      </c>
      <c r="C29" s="167" t="str">
        <f t="shared" ca="1" si="0"/>
        <v>银月斩</v>
      </c>
      <c r="D29" s="115">
        <f ca="1">IF(C29="赤日轮1",1,IF(C29="赤日轮2",2,IF(C29="赤日轮3",3,IF(C29="幽月轮1",4,IF(C29="幽月轮2",5,IF(C29="幽月轮3",6,IF(C29="烈日斩",7,IF(C29="银月斩",8,IF(C29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29="净世破魔击·月",17,IF(C29="驱夜断愁",18,0)))))))))))</f>
        <v>8</v>
      </c>
      <c r="E29" s="115">
        <f ca="1">IF(AND(CU29,OR(C29="幽月轮1",C29="幽月轮2",C29="幽月轮3",C29="银月斩",C29="驱夜断愁",C29="净世破魔击·月")),100,MIN(IF(OR(CN29,BE29),0,IF(OR($C29="赤日轮1",$C29="赤日轮2",$C29="赤日轮3"),E28+20+IF(模拟模式!$I$7="日月凌天",4,0)+IF(CR28,20,0),IF($C29="烈日斩",E28+40,IF($C29="驱夜断愁",IF(模拟模式!$R$7="万念俱寂",E28+20,E28+60),IF($C29="净世破魔击·月",IF(OR(DB28&gt;0,CV28&gt;0),100,IF(模拟模式!$M$7="辉耀红尘",E28+20,E28)),IF($C29="净世破魔击·日",E28-100,E28)))))),100))</f>
        <v>20</v>
      </c>
      <c r="F29" s="115">
        <f ca="1">IF(AND(CU29,OR(C29="赤日轮1",C29="赤日轮2",C29="赤日轮3",C29="烈日斩",C29="净世破魔击·日")),100,MIN(IF(CO29,0,IF(OR($C29="幽月轮1",$C29="幽月轮2",$C29="幽月轮3"),F28+20+IF(模拟模式!$I$7="日月凌天",4,0)+IF(CS28,20,0),IF($C29="银月斩",F28+40+IF(模拟模式!$X$12=1,5,0),IF($C29="驱夜断愁",IF(模拟模式!$R$7="万念俱寂",F28+20,F28+60),IF($C29="净世破魔击·月",IF(模拟模式!$M$7="辉耀红尘",F28-80,F28-100),IF(AND(C29="净世破魔击·日",OR(DB28&gt;0,CV28&gt;0)),100,F28)))))),100))</f>
        <v>45</v>
      </c>
      <c r="G29" s="117">
        <f ca="1">('模拟-全程加成'!$E$3+'模拟-全程加成'!$E$4+'模拟-全程加成'!$E$5+('模拟-全程加成'!$C$6-'模拟-全程加成'!$C$3)*系数!$B$9+BS29*23)*(1+'模拟-全程加成'!$F$4+'模拟-全程加成'!$F$5+BJ29*10%+BM29*20%+BP29*4%+CG29*30%)+$F$7*系数!$B$12</f>
        <v>16940.3194</v>
      </c>
      <c r="H29" s="45">
        <f ca="1">'模拟-全程加成'!$H$3+'模拟-全程加成'!$H$4+'模拟-全程加成'!$H$5+('模拟-全程加成'!$G$4+'模拟-全程加成'!$G$5+('模拟-全程加成'!$C$6-'模拟-全程加成'!$C$3)*系数!$B$13)/系数!$B$3+LOOKUP(D29,'模拟-单技能数据'!$A$2:$A$19,'模拟-单技能数据'!$K$2:$K$19)+BG29*10%+IF(BV29&gt;0,378,0)</f>
        <v>0.64185145527300214</v>
      </c>
      <c r="I29" s="45">
        <f ca="1">'模拟-全程加成'!$J$3+'模拟-全程加成'!$J$4+'模拟-全程加成'!$J$5+('模拟-全程加成'!$I$4+'模拟-全程加成'!$I$5)/系数!$B$4+LOOKUP(D29,'模拟-单技能数据'!$A$2:$A$19,'模拟-单技能数据'!$L$2:$L$19)+BG29*10%</f>
        <v>2.2624828854998791</v>
      </c>
      <c r="J29" s="45">
        <f ca="1">(('模拟-全程加成'!$K$3+'模拟-全程加成'!$K$4+'模拟-全程加成'!$K$5+('模拟-全程加成'!$C$6-'模拟-全程加成'!$C$3)*系数!$B$10+IF(BV29&gt;0,882,0)+IF(BY29&gt;0,1831,0))*(1+'模拟-全程加成'!$L$4+'模拟-全程加成'!$L$5+CC29*20%))/系数!$B$5</f>
        <v>0.69723220422048726</v>
      </c>
      <c r="K29" s="119">
        <f ca="1">LOOKUP(D29,'模拟-单技能数据'!$A$2:$A$19,'模拟-单技能数据'!$J$2:$J$19)+IF(CM29,60%,0)+IF(DB28-DB29&gt;0,30%,0)+IF(OR(AND(OR(C29="赤日轮1",C29="赤日轮2",C29="赤日轮3"),CR29),AND(OR(C29="幽月轮1",C29="幽月轮2",C29="幽月轮3"),CS29)),35%,0)+CJ29</f>
        <v>0.2</v>
      </c>
      <c r="L29" s="119">
        <f ca="1">IF(AND(C29="烈日斩",模拟模式!$X$11=1),10%,0)+IF(AND(C29="驱夜断愁",AB29=1),30%,0)</f>
        <v>0</v>
      </c>
      <c r="M29" s="45">
        <f t="shared" ref="M29:M92" ca="1" si="15">MIN(H29,1-$F$10-$F$11)</f>
        <v>0.64185145527300214</v>
      </c>
      <c r="N29" s="45">
        <f t="shared" ref="N29:N92" ca="1" si="16">1-$F$10-$F$11-M29</f>
        <v>0.30424854472699792</v>
      </c>
      <c r="O29" s="46">
        <f t="shared" ref="O29:O92" ca="1" si="17">RAND()</f>
        <v>0.77302747974080976</v>
      </c>
      <c r="P29" s="46" t="str">
        <f t="shared" ref="P29:P92" ca="1" si="18">IF(O29&lt;$F$10,"偏",IF(O29&lt;$F$10+$F$11,"识",IF(O29&lt;$F$10+$F$11+H29,"会","命")))</f>
        <v>命</v>
      </c>
      <c r="Q29" s="45">
        <f t="shared" ref="Q29:Q92" ca="1" si="19">IF(P29="会",I29,IF(P29="命",1,IF(P29="识",0.25,0)))</f>
        <v>1</v>
      </c>
      <c r="R29" s="117">
        <f ca="1">模拟模式!$E$20*(1-IF(模拟模式!$J$19="有",0.15,0))*(1-IF(模拟模式!$K$19="有",0.3,0)-IF(CQ29,0.5,0))</f>
        <v>2950.6049999999996</v>
      </c>
      <c r="S29" s="45">
        <f ca="1">R29/(R29+(185*模拟模式!$E$22-16800)*4.08224)</f>
        <v>0.24272716014590323</v>
      </c>
      <c r="T29" s="45" t="str">
        <f ca="1">LOOKUP(D29,'模拟-单技能数据'!$A$2:$A$19,'模拟-单技能数据'!$H$2:$H$19)</f>
        <v>阴</v>
      </c>
      <c r="U29" s="119">
        <f t="shared" ref="U29:U92" ca="1" si="20">IF(T29="阳",$I$3,IF(T29="阴",$I$4,0))</f>
        <v>0.08</v>
      </c>
      <c r="V29" s="47">
        <f ca="1">(1+L29)*(LOOKUP(D29,'模拟-单技能数据'!$A$2:$A$19,'模拟-单技能数据'!$D$2:$D$19)+G29*LOOKUP(D29,'模拟-单技能数据'!$A$2:$A$19,'模拟-单技能数据'!$F$2:$F$19))*(1+J29)*(1+K29)*(1-S29)*(1+U29)*Q29*LOOKUP(D29,'模拟-单技能数据'!$A$2:$A$19,'模拟-单技能数据'!$I$2:$I$20)</f>
        <v>15016.852927298993</v>
      </c>
      <c r="W29" s="47">
        <f ca="1">LOOKUP(D29,'模拟-单技能数据'!$A$2:$A$19,'模拟-单技能数据'!$G$2:$G$19)*$I$10</f>
        <v>361.51064354704795</v>
      </c>
      <c r="X29" s="47">
        <f t="shared" ref="X29:X92" ca="1" si="21">AJ29+AR29+AV29+BF29+AY29+BB29</f>
        <v>6305.5202958345326</v>
      </c>
      <c r="Y29" s="47">
        <f t="shared" ref="Y29:Y92" ca="1" si="22">V29+W29+X29</f>
        <v>21683.883866680575</v>
      </c>
      <c r="Z29" s="49">
        <f t="shared" ref="Z29:Z92" ca="1" si="23">Z28+Y29</f>
        <v>45978.908334070496</v>
      </c>
      <c r="AA29" s="97">
        <f t="shared" ref="AA29:AA92" ca="1" si="24">Z29/B29</f>
        <v>24920.817525241462</v>
      </c>
      <c r="AB29" s="115">
        <f ca="1">IF(OR(C29="赤日轮1",C29="赤日轮2",C29="赤日轮3"),IF(RAND()&lt;模拟模式!$Y$17,1,0),IF(OR(C29="幽月轮1",C29="幽月轮2",C29="幽月轮3"),IF(RAND()&lt;模拟模式!$Y$18,1,0),IF(C29="烈日斩",IF(RAND()&lt;模拟模式!$Y$19,1,0),IF(C29="银月斩",IF(RAND()&lt;模拟模式!$Y$20,1,0),IF(C29="驱夜断愁",IF(RAND()&lt;模拟模式!$Y$21,1,0),IF(C29="净世破魔击·日",IF(RAND()&lt;模拟模式!$Y$22,1,0),IF(C29="净世破魔击·月",IF(RAND()&lt;模拟模式!$Y$23,1,0),0)))))))</f>
        <v>1</v>
      </c>
      <c r="AC29" s="115" t="b">
        <f t="shared" ca="1" si="1"/>
        <v>1</v>
      </c>
      <c r="AD29" s="115" t="b">
        <f ca="1">IF(AD28+AD27=1,IF(AE28&gt;0,NOT(AD28),FALSE),AC29)</f>
        <v>1</v>
      </c>
      <c r="AE29" s="115">
        <f ca="1">IF(AC29,IF(AD27+AD28=0,6,6-AD29),AE28-AD29)</f>
        <v>6</v>
      </c>
      <c r="AF29" s="47">
        <f ca="1">IF(AC29,('模拟-单技能数据'!$D$20+G29*'模拟-单技能数据'!$F$20)*(1+J29)*(1+'模拟-单技能数据'!$J$20)*(1+U29),0)</f>
        <v>3680.3001927437185</v>
      </c>
      <c r="AG29" s="61">
        <f t="shared" ref="AG29:AG92" ca="1" si="25">IF(AF29&gt;0,M29,AG28)</f>
        <v>0.64185145527300214</v>
      </c>
      <c r="AH29" s="61">
        <f t="shared" ref="AH29:AH92" ca="1" si="26">IF(AF29&gt;0,I29,AH28)</f>
        <v>2.2624828854998791</v>
      </c>
      <c r="AI29" s="62">
        <f t="shared" ref="AI29:AI92" ca="1" si="27">RAND()</f>
        <v>0.40189804194311907</v>
      </c>
      <c r="AJ29" s="47">
        <f ca="1">IF(AD29,IF(AI29&lt;$F$10,0,IF(AI29&lt;$F$10+$F$11,0.25,IF(AI29&lt;$F$10+$F$11+AG29,AH29,1)))*IF(AF29&gt;0,AF29,IF(AF28&gt;0,AF28,IF(AF27&gt;0,AF27,IF(AF26&gt;0,AF26,IF(AF25&gt;0,AF25,IF(AF24&gt;0,AF24,IF(AF21&gt;0,AF21,IF(AF20&gt;0,AF20,IF(AF19&gt;0,AF19,IF(AF16&gt;0,AF16,IF(AF15&gt;0,AF15,IF(AF14&gt;0,AF14,0)))))))))))),0)*(1-$S29)*'模拟-单技能数据'!$I$20</f>
        <v>6305.5202958345326</v>
      </c>
      <c r="AK29" s="115" t="b">
        <f t="shared" ca="1" si="2"/>
        <v>0</v>
      </c>
      <c r="AL29" s="115" t="b">
        <f ca="1">IF(AL28+AL27=1,IF(AM28&gt;0,NOT(AL28),FALSE),AK29)</f>
        <v>0</v>
      </c>
      <c r="AM29" s="115">
        <f ca="1">IF(AK29,IF(AL27+AL28=0,6,6-AL29),AM28-AL29)</f>
        <v>0</v>
      </c>
      <c r="AN29" s="47">
        <f ca="1">IF(AK29,('模拟-单技能数据'!$D$21+G29*'模拟-单技能数据'!$F$21)*(1+J29)*(1+'模拟-单技能数据'!$J$21)*(1+U29),0)</f>
        <v>0</v>
      </c>
      <c r="AO29" s="61">
        <f ca="1">IF(AN29&gt;0,M29-'模拟-单技能数据'!$K$10,AO28)</f>
        <v>0</v>
      </c>
      <c r="AP29" s="61">
        <f ca="1">IF(AN29&gt;0,I29-'模拟-单技能数据'!$L$10,AP28)</f>
        <v>0</v>
      </c>
      <c r="AQ29" s="63">
        <f t="shared" ref="AQ29:AQ92" ca="1" si="28">RAND()</f>
        <v>0.65269421241542591</v>
      </c>
      <c r="AR29" s="64">
        <f ca="1">IF(AL29,IF(AQ29&lt;$F$10,0,IF(AQ29&lt;$F$10+$F$11,0.25,IF(AQ29&lt;$F$10+$F$11+AO29,AP29,1)))*IF(AN29&gt;0,AN29,IF(AN28&gt;0,AN28,IF(AN27&gt;0,AN27,IF(AN26&gt;0,AN26,IF(AN25&gt;0,AN25,IF(AN24&gt;0,AN24,IF(AN21&gt;0,AN21,IF(AN20&gt;0,AN20,IF(AN19&gt;0,AN19,IF(AN16&gt;0,AN16,IF(AN15&gt;0,AN15,IF(AN14&gt;0,AN14,0)))))))))))),0)*(1-$S29)*'模拟-单技能数据'!$I$21</f>
        <v>0</v>
      </c>
      <c r="AS29" s="61">
        <f ca="1">IF(OR(C29="净世破魔击·日",C29="净世破魔击·月"),M29-'模拟-单技能数据'!$K$10,0)</f>
        <v>0</v>
      </c>
      <c r="AT29" s="61">
        <f ca="1">IF(OR(C29="净世破魔击·日",C29="净世破魔击·月"),I29-'模拟-单技能数据'!$L$10,0)</f>
        <v>0</v>
      </c>
      <c r="AU29" s="62">
        <f t="shared" ref="AU29:AU92" ca="1" si="29">RAND()</f>
        <v>8.5124197660690459E-2</v>
      </c>
      <c r="AV29" s="64">
        <f ca="1">IF(AS29&gt;0,('模拟-单技能数据'!$D$22+G29*'模拟-单技能数据'!$F$22)*(1+J29)*(1-S29)*IF(AU29&lt;$F$10,0,IF(AU29&lt;$F$10+$F$11,0.25,IF(AU29&lt;$F$10+$F$11+AS29,AT29,1)))*(1+U29),0)*'模拟-单技能数据'!$I$22</f>
        <v>0</v>
      </c>
      <c r="AW29" s="108">
        <f t="shared" ref="AW29:AW92" ca="1" si="30">IF(AX29,20-$F$4,MAX(AW28-$F$4,0))</f>
        <v>0</v>
      </c>
      <c r="AX29" s="108" t="b">
        <f ca="1">AND(模拟模式!$P$10="有",AW28=0,RAND()&lt;IF(C29="净世破魔击·月",0.1*8/3,IF(C29="净世破魔击·日",0.1*4/3,0.1*2/3)))</f>
        <v>0</v>
      </c>
      <c r="AY29" s="47">
        <f ca="1">IF(AX29,(18+G29*0.722)*(1+J29)*(1-S29)*(1+$I$4)*IF(P29="会",'模拟-全程加成'!$J$3+'模拟-全程加成'!$J$4+'模拟-全程加成'!$J$5+('模拟-全程加成'!$I$4+'模拟-全程加成'!$I$5)/系数!$B$4+BG29*10%,IF(P29="命",1,IF(P29="识",0.25,0))),0)</f>
        <v>0</v>
      </c>
      <c r="AZ29" s="108">
        <f t="shared" ref="AZ29:AZ92" si="31">IF(BA29,20-$F$4,MAX(AZ28-$F$4,0))</f>
        <v>18.155000000000001</v>
      </c>
      <c r="BA29" s="108" t="b">
        <f>AND(模拟模式!$Q$10="有",AZ28=0)</f>
        <v>0</v>
      </c>
      <c r="BB29" s="140">
        <f>IF(BA29,(0+G29*0.287)*(1+J29)*(1-S29)*(1+$I$4)*IF(P29="会",'模拟-全程加成'!$J$3+'模拟-全程加成'!$J$4+'模拟-全程加成'!$J$5+('模拟-全程加成'!$I$4+'模拟-全程加成'!$I$5)/系数!$B$4+BG29*10%,IF(P29="命",1,IF(P29="识",0.25,0))),0)</f>
        <v>0</v>
      </c>
      <c r="BC29" s="115" t="b">
        <f ca="1">AND(模拟模式!$R$7="伏明众生",E29=60,F29=20,DA29&lt;5,CZ28&lt;$F$4)</f>
        <v>0</v>
      </c>
      <c r="BD29" s="115">
        <f t="shared" ca="1" si="3"/>
        <v>0</v>
      </c>
      <c r="BE29" s="115" t="b">
        <f t="shared" ca="1" si="4"/>
        <v>0</v>
      </c>
      <c r="BF29" s="47">
        <f ca="1">IF(BC29,4*('模拟-单技能数据'!$D$24+G29*'模拟-单技能数据'!$F$24)*(1+J29)*(1+'模拟-单技能数据'!$J$24)*(1-S29)*(1+$I$3)*(('模拟-全程加成'!$J$3+'模拟-全程加成'!$J$4+'模拟-全程加成'!$J$5+('模拟-全程加成'!$I$4+'模拟-全程加成'!$I$5)/系数!$B$4+BG29*10%)*('模拟-全程加成'!$J$3+'模拟-全程加成'!$J$4+'模拟-全程加成'!$J$5+('模拟-全程加成'!$I$4+'模拟-全程加成'!$I$5)/系数!$B$4+BG29*10%)+(1-('模拟-全程加成'!$J$3+'模拟-全程加成'!$J$4+'模拟-全程加成'!$J$5+('模拟-全程加成'!$I$4+'模拟-全程加成'!$I$5)/系数!$B$4+BG29*10%)-$F$10-$F$11)+F12*0.25),0)*'模拟-单技能数据'!$I$24</f>
        <v>0</v>
      </c>
      <c r="BG29" s="115" t="b">
        <f ca="1">OR(AND(OR(C29="烈日斩",C29="银月斩"),模拟模式!$I$7="净身明礼"),AND(C29="净世破魔击·日",模拟模式!$J$7="洞若观火"),AND(C30="净世破魔击·月",模拟模式!$J$7="洞若观火"),AB29=1)</f>
        <v>1</v>
      </c>
      <c r="BH29" s="115" t="b">
        <f t="shared" ref="BH29:BH92" ca="1" si="32">RAND()&lt;IF(C29="净世破魔击·月",4*$I$7,IF(C29="净世破魔击·日",2*$I$7,$I$7))</f>
        <v>0</v>
      </c>
      <c r="BI29" s="115">
        <f t="shared" ca="1" si="5"/>
        <v>0</v>
      </c>
      <c r="BJ29" s="115" t="b">
        <f t="shared" ref="BJ29:BJ92" ca="1" si="33">BI29&gt;0</f>
        <v>0</v>
      </c>
      <c r="BK29" s="115" t="b">
        <f ca="1">AND(C29="驱夜断愁",模拟模式!$P$7="天地诛戮")</f>
        <v>0</v>
      </c>
      <c r="BL29" s="57">
        <f t="shared" ca="1" si="6"/>
        <v>0</v>
      </c>
      <c r="BM29" s="115" t="b">
        <f t="shared" ref="BM29:BM92" ca="1" si="34">BL29&gt;0</f>
        <v>0</v>
      </c>
      <c r="BN29" s="115" t="b">
        <f ca="1">AND(OR(C29="赤日轮1",C29="赤日轮2",C29="赤日轮3",C29="幽月轮1",C29="幽月轮2",C29="幽月轮3"),AB29=1,模拟模式!$L$7="明光恒照")</f>
        <v>0</v>
      </c>
      <c r="BO29" s="117">
        <f t="shared" ca="1" si="7"/>
        <v>29.077500000000001</v>
      </c>
      <c r="BP29" s="115">
        <f t="shared" ref="BP29:BP92" ca="1" si="35">IF(BO29&gt;0,MIN(6,IF(BN29,BP28+1,BP28)),0)</f>
        <v>1</v>
      </c>
      <c r="BQ29" s="115" t="b">
        <f>模拟模式!$K$10="2600·水"</f>
        <v>0</v>
      </c>
      <c r="BR29" s="117">
        <f t="shared" ref="BR29:BR92" si="36">IF(BQ29,6,MAX(0,BR28-$F$4))</f>
        <v>0</v>
      </c>
      <c r="BS29" s="115">
        <f t="shared" ref="BS29:BS92" si="37">IF(BR29&gt;0,MIN(10,IF(BQ29,BS28+IF(C29="净世破魔击·月",4,IF(C29="净世破魔击·日",2,1)),BS28)),0)</f>
        <v>0</v>
      </c>
      <c r="BT29" s="115">
        <f t="shared" ref="BT29:BT92" ca="1" si="38">IF(BU29,60-$F$4,MAX(0,BT28-$F$4))</f>
        <v>0</v>
      </c>
      <c r="BU29" s="115" t="b">
        <f ca="1">AND(模拟模式!$K$10="2300·雷",BT28=0,RAND()&lt;IF(C29="净世破魔击·月",5*0.05*2/3,IF(C29="净世破魔击·日",3*0.05*2/3,0.05*2*2/3)))</f>
        <v>0</v>
      </c>
      <c r="BV29" s="115">
        <f t="shared" ref="BV29:BV92" ca="1" si="39">IF(BU29,15-$F$4,MAX(0,BV28-$F$4))</f>
        <v>0</v>
      </c>
      <c r="BW29" s="115">
        <f t="shared" ref="BW29:BW92" ca="1" si="40">IF(BX29,180-$F$4,MAX(0,BW28-$F$4))</f>
        <v>0</v>
      </c>
      <c r="BX29" s="164" t="b">
        <f t="shared" ref="BX29:BX92" ca="1" si="41">AND(BW28=0,OR(AND(E28=80,F28=100),CU29))</f>
        <v>0</v>
      </c>
      <c r="BY29" s="115">
        <f t="shared" ref="BY29:BY92" ca="1" si="42">IF(BX29,15-$F$4,MAX(0,BY28-$F$4))</f>
        <v>0</v>
      </c>
      <c r="BZ29" s="115">
        <f>IF(OR(模拟模式!$P$16="10人团",模拟模式!$P$16="25人团"),IF(B29/30&gt;CA28,1,0),0)</f>
        <v>0</v>
      </c>
      <c r="CA29" s="115">
        <f t="shared" si="8"/>
        <v>0</v>
      </c>
      <c r="CB29" s="115">
        <f ca="1">IF(BZ29=1,IF(模拟模式!$P$16="10人团",15,0)+IF(模拟模式!$P$16="25人团",IF(RAND()&lt;0.6,15,0)),MAX(0,CB28-$F$4))</f>
        <v>0</v>
      </c>
      <c r="CC29" s="115" t="b">
        <f t="shared" ref="CC29:CC92" ca="1" si="43">CB29&gt;0</f>
        <v>0</v>
      </c>
      <c r="CD29" s="115">
        <f>IF(模拟模式!$Q$16="1个",IF(B29/40&gt;CE28,1,0),0)</f>
        <v>0</v>
      </c>
      <c r="CE29" s="115">
        <f t="shared" ref="CE29:CE92" si="44">CE28+CD29</f>
        <v>0</v>
      </c>
      <c r="CF29" s="115">
        <f>IF(OR(CD29=1,模拟模式!$Q$16="2个"),20,MAX(0,CF28-$F$4))</f>
        <v>0</v>
      </c>
      <c r="CG29" s="115" t="b">
        <f t="shared" ref="CG29:CG92" si="45">CF29&gt;0</f>
        <v>0</v>
      </c>
      <c r="CH29" s="115">
        <f t="shared" ref="CH29:CH92" ca="1" si="46">IF(CI29,30-$F$4,MAX(0,CH28-$F$4))</f>
        <v>29.077500000000001</v>
      </c>
      <c r="CI29" s="115" t="b">
        <f t="shared" ref="CI29:CI92" ca="1" si="47">AND(CH28=0,RAND()&lt;IF(C29="净世破魔击·月",4*0.2*2/3,IF(C29="净世破魔击·日",2*0.2*2/3,0.2*2/3)))</f>
        <v>1</v>
      </c>
      <c r="CJ29" s="119">
        <f t="shared" ref="CJ29:CJ92" ca="1" si="48">IF(CI29,IF(RAND()&lt;0.7,0.05,0.01),IF(CK29&gt;0,CJ28,0))</f>
        <v>0.05</v>
      </c>
      <c r="CK29" s="115">
        <f t="shared" ref="CK29:CK92" ca="1" si="49">IF(CI29,8-$F$4,MAX(0,CK28-$F$4))</f>
        <v>7.0774999999999997</v>
      </c>
      <c r="CL29" s="115" t="b">
        <f ca="1">AND(模拟模式!$S$7="驱夷逐法",OR(AND(C29="净世破魔击·月",E28&gt;59),AND(C29="净世破魔击·日",F28&gt;59)))</f>
        <v>0</v>
      </c>
      <c r="CM29" s="115" t="b">
        <f ca="1">OR(CL29,AND(C29="净世破魔击·日",CL28,RAND()&lt;模拟模式!$U$23))</f>
        <v>0</v>
      </c>
      <c r="CN29" s="115" t="b">
        <f ca="1">IF(模拟模式!$M$7="辉耀红尘",AND(C29="净世破魔击·月",CL29,CV29=0,E28&lt;80),AND(C29="净世破魔击·月",CL29,E28&lt;100))</f>
        <v>0</v>
      </c>
      <c r="CO29" s="115" t="b">
        <f t="shared" ca="1" si="9"/>
        <v>0</v>
      </c>
      <c r="CP29" s="115" t="b">
        <f ca="1">AND(模拟模式!$O$7="用晦而明",OR(C29="净世破魔击·日",C29="净世破魔击·月",C29="驱夜断愁"),AB29)</f>
        <v>0</v>
      </c>
      <c r="CQ29" s="115" t="b">
        <f ca="1">OR(CP29,AND(CP28,RAND()&lt;模拟模式!$U$23))</f>
        <v>0</v>
      </c>
      <c r="CR29" s="115" t="b">
        <f ca="1">AND(模拟模式!$S$7="日月齐光",OR(C29="幽月轮1",C29="幽月轮2",C29="幽月轮3",CR28),NOT(OR(C29="赤日轮1",C29="赤日轮2",C29="赤日轮3")))</f>
        <v>0</v>
      </c>
      <c r="CS29" s="115" t="b">
        <f ca="1">AND(模拟模式!$S$7="日月齐光",OR(C29="赤日轮1",C29="赤日轮2",C29="赤日轮3",CS28),NOT(OR(C29="幽月轮1",C29="幽月轮2",C29="幽月轮3")))</f>
        <v>0</v>
      </c>
      <c r="CT29" s="115">
        <f t="shared" ref="CT29:CT92" ca="1" si="50">IF(CU29,30,MAX(CT28-$F$4,0))</f>
        <v>0</v>
      </c>
      <c r="CU29" s="115" t="b">
        <f ca="1">AND(模拟模式!$K$10="阴阳往极",CT28=0,RAND()&lt;IF(C29="净世破魔击·月",0.0275*7/3,IF(C29="净世破魔击·日",0.0275*3/3,0.0275*2/3)))</f>
        <v>0</v>
      </c>
      <c r="CV29" s="115">
        <f t="shared" ref="CV29:CV92" ca="1" si="51">IF(CU29,5-$F$4,MAX(CV28-$F$4,0))</f>
        <v>0</v>
      </c>
      <c r="CW29" s="115">
        <f t="shared" ca="1" si="10"/>
        <v>0</v>
      </c>
      <c r="CX29" s="115">
        <f t="shared" ca="1" si="11"/>
        <v>6</v>
      </c>
      <c r="CY29" s="115">
        <f ca="1">MAX(IF($C29="驱夜断愁",IF(模拟模式!$R$7="万念俱寂",6,45),CY28-$F$4),0)</f>
        <v>0</v>
      </c>
      <c r="CZ29" s="115">
        <f t="shared" ca="1" si="12"/>
        <v>0</v>
      </c>
      <c r="DA29" s="115">
        <f ca="1">IF(模拟模式!$N$7="日月同辉",IF(DB28=2,0,MIN(6,IF(AND(OR(C29="赤日轮1",C29="赤日轮2",C29="赤日轮3",C29="幽月轮1",C29="幽月轮2",C29="幽月轮3"),AB29=1),DA28+1,DA28))),0)</f>
        <v>1</v>
      </c>
      <c r="DB29" s="115">
        <f t="shared" ca="1" si="13"/>
        <v>0</v>
      </c>
      <c r="DD29" s="115"/>
      <c r="DE29" s="115"/>
    </row>
    <row r="30" spans="2:117" x14ac:dyDescent="0.2">
      <c r="B30" s="117">
        <f t="shared" si="14"/>
        <v>2.7675000000000001</v>
      </c>
      <c r="C30" s="167" t="str">
        <f t="shared" ca="1" si="0"/>
        <v>驱夜断愁</v>
      </c>
      <c r="D30" s="115">
        <f ca="1">IF(C30="赤日轮1",1,IF(C30="赤日轮2",2,IF(C30="赤日轮3",3,IF(C30="幽月轮1",4,IF(C30="幽月轮2",5,IF(C30="幽月轮3",6,IF(C30="烈日斩",7,IF(C30="银月斩",8,IF(C30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30="净世破魔击·月",17,IF(C30="驱夜断愁",18,0)))))))))))</f>
        <v>18</v>
      </c>
      <c r="E30" s="115">
        <f ca="1">IF(AND(CU30,OR(C30="幽月轮1",C30="幽月轮2",C30="幽月轮3",C30="银月斩",C30="驱夜断愁",C30="净世破魔击·月")),100,MIN(IF(OR(CN30,BE30),0,IF(OR($C30="赤日轮1",$C30="赤日轮2",$C30="赤日轮3"),E29+20+IF(模拟模式!$I$7="日月凌天",4,0)+IF(CR29,20,0),IF($C30="烈日斩",E29+40,IF($C30="驱夜断愁",IF(模拟模式!$R$7="万念俱寂",E29+20,E29+60),IF($C30="净世破魔击·月",IF(OR(DB29&gt;0,CV29&gt;0),100,IF(模拟模式!$M$7="辉耀红尘",E29+20,E29)),IF($C30="净世破魔击·日",E29-100,E29)))))),100))</f>
        <v>40</v>
      </c>
      <c r="F30" s="115">
        <f ca="1">IF(AND(CU30,OR(C30="赤日轮1",C30="赤日轮2",C30="赤日轮3",C30="烈日斩",C30="净世破魔击·日")),100,MIN(IF(CO30,0,IF(OR($C30="幽月轮1",$C30="幽月轮2",$C30="幽月轮3"),F29+20+IF(模拟模式!$I$7="日月凌天",4,0)+IF(CS29,20,0),IF($C30="银月斩",F29+40+IF(模拟模式!$X$12=1,5,0),IF($C30="驱夜断愁",IF(模拟模式!$R$7="万念俱寂",F29+20,F29+60),IF($C30="净世破魔击·月",IF(模拟模式!$M$7="辉耀红尘",F29-80,F29-100),IF(AND(C30="净世破魔击·日",OR(DB29&gt;0,CV29&gt;0)),100,F29)))))),100))</f>
        <v>65</v>
      </c>
      <c r="G30" s="117">
        <f ca="1">('模拟-全程加成'!$E$3+'模拟-全程加成'!$E$4+'模拟-全程加成'!$E$5+('模拟-全程加成'!$C$6-'模拟-全程加成'!$C$3)*系数!$B$9+BS30*23)*(1+'模拟-全程加成'!$F$4+'模拟-全程加成'!$F$5+BJ30*10%+BM30*20%+BP30*4%+CG30*30%)+$F$7*系数!$B$12</f>
        <v>18761.723400000003</v>
      </c>
      <c r="H30" s="45">
        <f ca="1">'模拟-全程加成'!$H$3+'模拟-全程加成'!$H$4+'模拟-全程加成'!$H$5+('模拟-全程加成'!$G$4+'模拟-全程加成'!$G$5+('模拟-全程加成'!$C$6-'模拟-全程加成'!$C$3)*系数!$B$13)/系数!$B$3+LOOKUP(D30,'模拟-单技能数据'!$A$2:$A$19,'模拟-单技能数据'!$K$2:$K$19)+BG30*10%+IF(BV30&gt;0,378,0)</f>
        <v>0.51185145527300213</v>
      </c>
      <c r="I30" s="45">
        <f ca="1">'模拟-全程加成'!$J$3+'模拟-全程加成'!$J$4+'模拟-全程加成'!$J$5+('模拟-全程加成'!$I$4+'模拟-全程加成'!$I$5)/系数!$B$4+LOOKUP(D30,'模拟-单技能数据'!$A$2:$A$19,'模拟-单技能数据'!$L$2:$L$19)+BG30*10%</f>
        <v>2.162482885499879</v>
      </c>
      <c r="J30" s="45">
        <f ca="1">(('模拟-全程加成'!$K$3+'模拟-全程加成'!$K$4+'模拟-全程加成'!$K$5+('模拟-全程加成'!$C$6-'模拟-全程加成'!$C$3)*系数!$B$10+IF(BV30&gt;0,882,0)+IF(BY30&gt;0,1831,0))*(1+'模拟-全程加成'!$L$4+'模拟-全程加成'!$L$5+CC30*20%))/系数!$B$5</f>
        <v>0.69723220422048726</v>
      </c>
      <c r="K30" s="119">
        <f ca="1">LOOKUP(D30,'模拟-单技能数据'!$A$2:$A$19,'模拟-单技能数据'!$J$2:$J$19)+IF(CM30,60%,0)+IF(DB29-DB30&gt;0,30%,0)+IF(OR(AND(OR(C30="赤日轮1",C30="赤日轮2",C30="赤日轮3"),CR30),AND(OR(C30="幽月轮1",C30="幽月轮2",C30="幽月轮3"),CS30)),35%,0)+CJ30</f>
        <v>0.19</v>
      </c>
      <c r="L30" s="119">
        <f ca="1">IF(AND(C30="烈日斩",模拟模式!$X$11=1),10%,0)+IF(AND(C30="驱夜断愁",AB30=1),30%,0)</f>
        <v>0.3</v>
      </c>
      <c r="M30" s="45">
        <f t="shared" ca="1" si="15"/>
        <v>0.51185145527300213</v>
      </c>
      <c r="N30" s="45">
        <f t="shared" ca="1" si="16"/>
        <v>0.43424854472699792</v>
      </c>
      <c r="O30" s="46">
        <f t="shared" ca="1" si="17"/>
        <v>0.27820121622200522</v>
      </c>
      <c r="P30" s="46" t="str">
        <f t="shared" ca="1" si="18"/>
        <v>会</v>
      </c>
      <c r="Q30" s="45">
        <f t="shared" ca="1" si="19"/>
        <v>2.162482885499879</v>
      </c>
      <c r="R30" s="117">
        <f ca="1">模拟模式!$E$20*(1-IF(模拟模式!$J$19="有",0.15,0))*(1-IF(模拟模式!$K$19="有",0.3,0)-IF(CQ30,0.5,0))</f>
        <v>843.02999999999975</v>
      </c>
      <c r="S30" s="45">
        <f ca="1">R30/(R30+(185*模拟模式!$E$22-16800)*4.08224)</f>
        <v>8.389626085980037E-2</v>
      </c>
      <c r="T30" s="45" t="str">
        <f ca="1">LOOKUP(D30,'模拟-单技能数据'!$A$2:$A$19,'模拟-单技能数据'!$H$2:$H$19)</f>
        <v>阴</v>
      </c>
      <c r="U30" s="119">
        <f t="shared" ca="1" si="20"/>
        <v>0.08</v>
      </c>
      <c r="V30" s="47">
        <f ca="1">(1+L30)*(LOOKUP(D30,'模拟-单技能数据'!$A$2:$A$19,'模拟-单技能数据'!$D$2:$D$19)+G30*LOOKUP(D30,'模拟-单技能数据'!$A$2:$A$19,'模拟-单技能数据'!$F$2:$F$19))*(1+J30)*(1+K30)*(1-S30)*(1+U30)*Q30*LOOKUP(D30,'模拟-单技能数据'!$A$2:$A$19,'模拟-单技能数据'!$I$2:$I$20)</f>
        <v>121329.42067299986</v>
      </c>
      <c r="W30" s="47">
        <f ca="1">LOOKUP(D30,'模拟-单技能数据'!$A$2:$A$19,'模拟-单技能数据'!$G$2:$G$19)*$I$10</f>
        <v>723.0212870940959</v>
      </c>
      <c r="X30" s="47">
        <f t="shared" ca="1" si="21"/>
        <v>0</v>
      </c>
      <c r="Y30" s="47">
        <f t="shared" ca="1" si="22"/>
        <v>122052.44196009394</v>
      </c>
      <c r="Z30" s="49">
        <f t="shared" ca="1" si="23"/>
        <v>168031.35029416444</v>
      </c>
      <c r="AA30" s="97">
        <f t="shared" ca="1" si="24"/>
        <v>60715.935065642072</v>
      </c>
      <c r="AB30" s="115">
        <f ca="1">IF(OR(C30="赤日轮1",C30="赤日轮2",C30="赤日轮3"),IF(RAND()&lt;模拟模式!$Y$17,1,0),IF(OR(C30="幽月轮1",C30="幽月轮2",C30="幽月轮3"),IF(RAND()&lt;模拟模式!$Y$18,1,0),IF(C30="烈日斩",IF(RAND()&lt;模拟模式!$Y$19,1,0),IF(C30="银月斩",IF(RAND()&lt;模拟模式!$Y$20,1,0),IF(C30="驱夜断愁",IF(RAND()&lt;模拟模式!$Y$21,1,0),IF(C30="净世破魔击·日",IF(RAND()&lt;模拟模式!$Y$22,1,0),IF(C30="净世破魔击·月",IF(RAND()&lt;模拟模式!$Y$23,1,0),0)))))))</f>
        <v>1</v>
      </c>
      <c r="AC30" s="115" t="b">
        <f t="shared" ca="1" si="1"/>
        <v>0</v>
      </c>
      <c r="AD30" s="115" t="b">
        <f t="shared" ref="AD30:AD93" ca="1" si="52">IF(AD29+AD28=1,IF(AE29&gt;0,NOT(AD29),FALSE),AC30)</f>
        <v>0</v>
      </c>
      <c r="AE30" s="115">
        <f t="shared" ref="AE30:AE93" ca="1" si="53">IF(AC30,IF(AD28+AD29=0,6,6-AD30),AE29-AD30)</f>
        <v>6</v>
      </c>
      <c r="AF30" s="47">
        <f ca="1">IF(AC30,('模拟-单技能数据'!$D$20+G30*'模拟-单技能数据'!$F$20)*(1+J30)*(1+'模拟-单技能数据'!$J$20)*(1+U30),0)</f>
        <v>0</v>
      </c>
      <c r="AG30" s="61">
        <f t="shared" ca="1" si="25"/>
        <v>0.64185145527300214</v>
      </c>
      <c r="AH30" s="61">
        <f t="shared" ca="1" si="26"/>
        <v>2.2624828854998791</v>
      </c>
      <c r="AI30" s="62">
        <f t="shared" ca="1" si="27"/>
        <v>3.9734884016859651E-2</v>
      </c>
      <c r="AJ30" s="47">
        <f ca="1">IF(AD30,IF(AI30&lt;$F$10,0,IF(AI30&lt;$F$10+$F$11,0.25,IF(AI30&lt;$F$10+$F$11+AG30,AH30,1)))*IF(AF30&gt;0,AF30,IF(AF29&gt;0,AF29,IF(AF28&gt;0,AF28,IF(AF27&gt;0,AF27,IF(AF26&gt;0,AF26,IF(AF25&gt;0,AF25,IF(AF24&gt;0,AF24,IF(AF21&gt;0,AF21,IF(AF20&gt;0,AF20,IF(AF17&gt;0,AF17,IF(AF16&gt;0,AF16,IF(AF15&gt;0,AF15,0)))))))))))),0)*(1-$S30)*'模拟-单技能数据'!$I$20</f>
        <v>0</v>
      </c>
      <c r="AK30" s="115" t="b">
        <f t="shared" ca="1" si="2"/>
        <v>0</v>
      </c>
      <c r="AL30" s="115" t="b">
        <f t="shared" ref="AL30:AL93" ca="1" si="54">IF(AL29+AL28=1,IF(AM29&gt;0,NOT(AL29),FALSE),AK30)</f>
        <v>0</v>
      </c>
      <c r="AM30" s="115">
        <f t="shared" ref="AM30:AM93" ca="1" si="55">IF(AK30,IF(AL28+AL29=0,6,6-AL30),AM29-AL30)</f>
        <v>0</v>
      </c>
      <c r="AN30" s="47">
        <f ca="1">IF(AK30,('模拟-单技能数据'!$D$21+G30*'模拟-单技能数据'!$F$21)*(1+J30)*(1+'模拟-单技能数据'!$J$21)*(1+U30),0)</f>
        <v>0</v>
      </c>
      <c r="AO30" s="61">
        <f ca="1">IF(AN30&gt;0,M30-'模拟-单技能数据'!$K$10,AO29)</f>
        <v>0</v>
      </c>
      <c r="AP30" s="61">
        <f ca="1">IF(AN30&gt;0,I30-'模拟-单技能数据'!$L$10,AP29)</f>
        <v>0</v>
      </c>
      <c r="AQ30" s="63">
        <f t="shared" ca="1" si="28"/>
        <v>0.91258490100665501</v>
      </c>
      <c r="AR30" s="64">
        <f ca="1">IF(AL30,IF(AQ30&lt;$F$10,0,IF(AQ30&lt;$F$10+$F$11,0.25,IF(AQ30&lt;$F$10+$F$11+AO30,AP30,1)))*IF(AN30&gt;0,AN30,IF(AN29&gt;0,AN29,IF(AN28&gt;0,AN28,IF(AN27&gt;0,AN27,IF(AN26&gt;0,AN26,IF(AN25&gt;0,AN25,IF(AN24&gt;0,AN24,IF(AN21&gt;0,AN21,IF(AN20&gt;0,AN20,IF(AN17&gt;0,AN17,IF(AN16&gt;0,AN16,IF(AN15&gt;0,AN15,0)))))))))))),0)*(1-$S30)*'模拟-单技能数据'!$I$21</f>
        <v>0</v>
      </c>
      <c r="AS30" s="61">
        <f ca="1">IF(OR(C30="净世破魔击·日",C30="净世破魔击·月"),M30-'模拟-单技能数据'!$K$10,0)</f>
        <v>0</v>
      </c>
      <c r="AT30" s="61">
        <f ca="1">IF(OR(C30="净世破魔击·日",C30="净世破魔击·月"),I30-'模拟-单技能数据'!$L$10,0)</f>
        <v>0</v>
      </c>
      <c r="AU30" s="62">
        <f t="shared" ca="1" si="29"/>
        <v>0.20066210430112286</v>
      </c>
      <c r="AV30" s="64">
        <f ca="1">IF(AS30&gt;0,('模拟-单技能数据'!$D$22+G30*'模拟-单技能数据'!$F$22)*(1+J30)*(1-S30)*IF(AU30&lt;$F$10,0,IF(AU30&lt;$F$10+$F$11,0.25,IF(AU30&lt;$F$10+$F$11+AS30,AT30,1)))*(1+U30),0)*'模拟-单技能数据'!$I$22</f>
        <v>0</v>
      </c>
      <c r="AW30" s="108">
        <f t="shared" ca="1" si="30"/>
        <v>0</v>
      </c>
      <c r="AX30" s="108" t="b">
        <f ca="1">AND(模拟模式!$P$10="有",AW29=0,RAND()&lt;IF(C30="净世破魔击·月",0.1*8/3,IF(C30="净世破魔击·日",0.1*4/3,0.1*2/3)))</f>
        <v>0</v>
      </c>
      <c r="AY30" s="47">
        <f ca="1">IF(AX30,(18+G30*0.722)*(1+J30)*(1-S30)*(1+$I$4)*IF(P30="会",'模拟-全程加成'!$J$3+'模拟-全程加成'!$J$4+'模拟-全程加成'!$J$5+('模拟-全程加成'!$I$4+'模拟-全程加成'!$I$5)/系数!$B$4+BG30*10%,IF(P30="命",1,IF(P30="识",0.25,0))),0)</f>
        <v>0</v>
      </c>
      <c r="AZ30" s="108">
        <f t="shared" si="31"/>
        <v>17.232500000000002</v>
      </c>
      <c r="BA30" s="108" t="b">
        <f>AND(模拟模式!$Q$10="有",AZ29=0)</f>
        <v>0</v>
      </c>
      <c r="BB30" s="140">
        <f>IF(BA30,(0+G30*0.287)*(1+J30)*(1-S30)*(1+$I$4)*IF(P30="会",'模拟-全程加成'!$J$3+'模拟-全程加成'!$J$4+'模拟-全程加成'!$J$5+('模拟-全程加成'!$I$4+'模拟-全程加成'!$I$5)/系数!$B$4+BG30*10%,IF(P30="命",1,IF(P30="识",0.25,0))),0)</f>
        <v>0</v>
      </c>
      <c r="BC30" s="115" t="b">
        <f ca="1">AND(模拟模式!$R$7="伏明众生",E30=60,F30=20,DA30&lt;5,CZ29&lt;$F$4)</f>
        <v>0</v>
      </c>
      <c r="BD30" s="115">
        <f t="shared" ca="1" si="3"/>
        <v>0</v>
      </c>
      <c r="BE30" s="115" t="b">
        <f t="shared" ca="1" si="4"/>
        <v>0</v>
      </c>
      <c r="BF30" s="47">
        <f ca="1">IF(BC30,4*('模拟-单技能数据'!$D$24+G30*'模拟-单技能数据'!$F$24)*(1+J30)*(1+'模拟-单技能数据'!$J$24)*(1-S30)*(1+$I$3)*(('模拟-全程加成'!$J$3+'模拟-全程加成'!$J$4+'模拟-全程加成'!$J$5+('模拟-全程加成'!$I$4+'模拟-全程加成'!$I$5)/系数!$B$4+BG30*10%)*('模拟-全程加成'!$J$3+'模拟-全程加成'!$J$4+'模拟-全程加成'!$J$5+('模拟-全程加成'!$I$4+'模拟-全程加成'!$I$5)/系数!$B$4+BG30*10%)+(1-('模拟-全程加成'!$J$3+'模拟-全程加成'!$J$4+'模拟-全程加成'!$J$5+('模拟-全程加成'!$I$4+'模拟-全程加成'!$I$5)/系数!$B$4+BG30*10%)-$F$10-$F$11)+F13*0.25),0)*'模拟-单技能数据'!$I$24</f>
        <v>0</v>
      </c>
      <c r="BG30" s="115" t="b">
        <f ca="1">OR(AND(OR(C30="烈日斩",C30="银月斩"),模拟模式!$I$7="净身明礼"),AND(C30="净世破魔击·日",模拟模式!$J$7="洞若观火"),AND(C31="净世破魔击·月",模拟模式!$J$7="洞若观火"),AB30=1)</f>
        <v>1</v>
      </c>
      <c r="BH30" s="115" t="b">
        <f t="shared" ca="1" si="32"/>
        <v>0</v>
      </c>
      <c r="BI30" s="115">
        <f t="shared" ca="1" si="5"/>
        <v>0</v>
      </c>
      <c r="BJ30" s="115" t="b">
        <f t="shared" ca="1" si="33"/>
        <v>0</v>
      </c>
      <c r="BK30" s="115" t="b">
        <f ca="1">AND(C30="驱夜断愁",模拟模式!$P$7="天地诛戮")</f>
        <v>1</v>
      </c>
      <c r="BL30" s="57">
        <f t="shared" ca="1" si="6"/>
        <v>20</v>
      </c>
      <c r="BM30" s="115" t="b">
        <f t="shared" ca="1" si="34"/>
        <v>1</v>
      </c>
      <c r="BN30" s="115" t="b">
        <f ca="1">AND(OR(C30="赤日轮1",C30="赤日轮2",C30="赤日轮3",C30="幽月轮1",C30="幽月轮2",C30="幽月轮3"),AB30=1,模拟模式!$L$7="明光恒照")</f>
        <v>0</v>
      </c>
      <c r="BO30" s="117">
        <f t="shared" ca="1" si="7"/>
        <v>28.155000000000001</v>
      </c>
      <c r="BP30" s="115">
        <f t="shared" ca="1" si="35"/>
        <v>1</v>
      </c>
      <c r="BQ30" s="115" t="b">
        <f>模拟模式!$K$10="2600·水"</f>
        <v>0</v>
      </c>
      <c r="BR30" s="117">
        <f t="shared" si="36"/>
        <v>0</v>
      </c>
      <c r="BS30" s="115">
        <f t="shared" si="37"/>
        <v>0</v>
      </c>
      <c r="BT30" s="115">
        <f t="shared" ca="1" si="38"/>
        <v>0</v>
      </c>
      <c r="BU30" s="115" t="b">
        <f ca="1">AND(模拟模式!$K$10="2300·雷",BT29=0,RAND()&lt;IF(C30="净世破魔击·月",5*0.05*2/3,IF(C30="净世破魔击·日",3*0.05*2/3,0.05*2*2/3)))</f>
        <v>0</v>
      </c>
      <c r="BV30" s="115">
        <f t="shared" ca="1" si="39"/>
        <v>0</v>
      </c>
      <c r="BW30" s="115">
        <f t="shared" ca="1" si="40"/>
        <v>0</v>
      </c>
      <c r="BX30" s="164" t="b">
        <f t="shared" ca="1" si="41"/>
        <v>0</v>
      </c>
      <c r="BY30" s="115">
        <f t="shared" ca="1" si="42"/>
        <v>0</v>
      </c>
      <c r="BZ30" s="115">
        <f>IF(OR(模拟模式!$P$16="10人团",模拟模式!$P$16="25人团"),IF(B30/30&gt;CA29,1,0),0)</f>
        <v>0</v>
      </c>
      <c r="CA30" s="115">
        <f t="shared" si="8"/>
        <v>0</v>
      </c>
      <c r="CB30" s="115">
        <f ca="1">IF(BZ30=1,IF(模拟模式!$P$16="10人团",15,0)+IF(模拟模式!$P$16="25人团",IF(RAND()&lt;0.6,15,0)),MAX(0,CB29-$F$4))</f>
        <v>0</v>
      </c>
      <c r="CC30" s="115" t="b">
        <f t="shared" ca="1" si="43"/>
        <v>0</v>
      </c>
      <c r="CD30" s="115">
        <f>IF(模拟模式!$Q$16="1个",IF(B30/40&gt;CE29,1,0),0)</f>
        <v>0</v>
      </c>
      <c r="CE30" s="115">
        <f t="shared" si="44"/>
        <v>0</v>
      </c>
      <c r="CF30" s="115">
        <f>IF(OR(CD30=1,模拟模式!$Q$16="2个"),20,MAX(0,CF29-$F$4))</f>
        <v>0</v>
      </c>
      <c r="CG30" s="115" t="b">
        <f t="shared" si="45"/>
        <v>0</v>
      </c>
      <c r="CH30" s="115">
        <f t="shared" ca="1" si="46"/>
        <v>28.155000000000001</v>
      </c>
      <c r="CI30" s="115" t="b">
        <f t="shared" ca="1" si="47"/>
        <v>0</v>
      </c>
      <c r="CJ30" s="119">
        <f t="shared" ca="1" si="48"/>
        <v>0.05</v>
      </c>
      <c r="CK30" s="115">
        <f t="shared" ca="1" si="49"/>
        <v>6.1549999999999994</v>
      </c>
      <c r="CL30" s="115" t="b">
        <f ca="1">AND(模拟模式!$S$7="驱夷逐法",OR(AND(C30="净世破魔击·月",E29&gt;59),AND(C30="净世破魔击·日",F29&gt;59)))</f>
        <v>0</v>
      </c>
      <c r="CM30" s="115" t="b">
        <f ca="1">OR(CL30,AND(C30="净世破魔击·日",CL29,RAND()&lt;模拟模式!$U$23))</f>
        <v>0</v>
      </c>
      <c r="CN30" s="115" t="b">
        <f ca="1">IF(模拟模式!$M$7="辉耀红尘",AND(C30="净世破魔击·月",CL30,CV30=0,E29&lt;80),AND(C30="净世破魔击·月",CL30,E29&lt;100))</f>
        <v>0</v>
      </c>
      <c r="CO30" s="115" t="b">
        <f t="shared" ca="1" si="9"/>
        <v>0</v>
      </c>
      <c r="CP30" s="115" t="b">
        <f ca="1">AND(模拟模式!$O$7="用晦而明",OR(C30="净世破魔击·日",C30="净世破魔击·月",C30="驱夜断愁"),AB30)</f>
        <v>1</v>
      </c>
      <c r="CQ30" s="115" t="b">
        <f ca="1">OR(CP30,AND(CP29,RAND()&lt;模拟模式!$U$23))</f>
        <v>1</v>
      </c>
      <c r="CR30" s="115" t="b">
        <f ca="1">AND(模拟模式!$S$7="日月齐光",OR(C30="幽月轮1",C30="幽月轮2",C30="幽月轮3",CR29),NOT(OR(C30="赤日轮1",C30="赤日轮2",C30="赤日轮3")))</f>
        <v>0</v>
      </c>
      <c r="CS30" s="115" t="b">
        <f ca="1">AND(模拟模式!$S$7="日月齐光",OR(C30="赤日轮1",C30="赤日轮2",C30="赤日轮3",CS29),NOT(OR(C30="幽月轮1",C30="幽月轮2",C30="幽月轮3")))</f>
        <v>0</v>
      </c>
      <c r="CT30" s="115">
        <f t="shared" ca="1" si="50"/>
        <v>0</v>
      </c>
      <c r="CU30" s="115" t="b">
        <f ca="1">AND(模拟模式!$K$10="阴阳往极",CT29=0,RAND()&lt;IF(C30="净世破魔击·月",0.0275*7/3,IF(C30="净世破魔击·日",0.0275*3/3,0.0275*2/3)))</f>
        <v>0</v>
      </c>
      <c r="CV30" s="115">
        <f t="shared" ca="1" si="51"/>
        <v>0</v>
      </c>
      <c r="CW30" s="115">
        <f t="shared" ca="1" si="10"/>
        <v>0</v>
      </c>
      <c r="CX30" s="115">
        <f t="shared" ca="1" si="11"/>
        <v>5.0774999999999997</v>
      </c>
      <c r="CY30" s="115">
        <f ca="1">MAX(IF($C30="驱夜断愁",IF(模拟模式!$R$7="万念俱寂",6,45),CY29-$F$4),0)</f>
        <v>6</v>
      </c>
      <c r="CZ30" s="115">
        <f t="shared" ca="1" si="12"/>
        <v>0</v>
      </c>
      <c r="DA30" s="115">
        <f ca="1">IF(模拟模式!$N$7="日月同辉",IF(DB29=2,0,MIN(6,IF(AND(OR(C30="赤日轮1",C30="赤日轮2",C30="赤日轮3",C30="幽月轮1",C30="幽月轮2",C30="幽月轮3"),AB30=1),DA29+1,DA29))),0)</f>
        <v>1</v>
      </c>
      <c r="DB30" s="115">
        <f t="shared" ca="1" si="13"/>
        <v>0</v>
      </c>
      <c r="DD30" s="115"/>
      <c r="DE30" s="115"/>
    </row>
    <row r="31" spans="2:117" x14ac:dyDescent="0.2">
      <c r="B31" s="117">
        <f t="shared" si="14"/>
        <v>3.69</v>
      </c>
      <c r="C31" s="167" t="str">
        <f t="shared" ca="1" si="0"/>
        <v>烈日斩</v>
      </c>
      <c r="D31" s="115">
        <f ca="1">IF(C31="赤日轮1",1,IF(C31="赤日轮2",2,IF(C31="赤日轮3",3,IF(C31="幽月轮1",4,IF(C31="幽月轮2",5,IF(C31="幽月轮3",6,IF(C31="烈日斩",7,IF(C31="银月斩",8,IF(C31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31="净世破魔击·月",17,IF(C31="驱夜断愁",18,0)))))))))))</f>
        <v>7</v>
      </c>
      <c r="E31" s="115">
        <f ca="1">IF(AND(CU31,OR(C31="幽月轮1",C31="幽月轮2",C31="幽月轮3",C31="银月斩",C31="驱夜断愁",C31="净世破魔击·月")),100,MIN(IF(OR(CN31,BE31),0,IF(OR($C31="赤日轮1",$C31="赤日轮2",$C31="赤日轮3"),E30+20+IF(模拟模式!$I$7="日月凌天",4,0)+IF(CR30,20,0),IF($C31="烈日斩",E30+40,IF($C31="驱夜断愁",IF(模拟模式!$R$7="万念俱寂",E30+20,E30+60),IF($C31="净世破魔击·月",IF(OR(DB30&gt;0,CV30&gt;0),100,IF(模拟模式!$M$7="辉耀红尘",E30+20,E30)),IF($C31="净世破魔击·日",E30-100,E30)))))),100))</f>
        <v>80</v>
      </c>
      <c r="F31" s="115">
        <f ca="1">IF(AND(CU31,OR(C31="赤日轮1",C31="赤日轮2",C31="赤日轮3",C31="烈日斩",C31="净世破魔击·日")),100,MIN(IF(CO31,0,IF(OR($C31="幽月轮1",$C31="幽月轮2",$C31="幽月轮3"),F30+20+IF(模拟模式!$I$7="日月凌天",4,0)+IF(CS30,20,0),IF($C31="银月斩",F30+40+IF(模拟模式!$X$12=1,5,0),IF($C31="驱夜断愁",IF(模拟模式!$R$7="万念俱寂",F30+20,F30+60),IF($C31="净世破魔击·月",IF(模拟模式!$M$7="辉耀红尘",F30-80,F30-100),IF(AND(C31="净世破魔击·日",OR(DB30&gt;0,CV30&gt;0)),100,F30)))))),100))</f>
        <v>65</v>
      </c>
      <c r="G31" s="117">
        <f ca="1">('模拟-全程加成'!$E$3+'模拟-全程加成'!$E$4+'模拟-全程加成'!$E$5+('模拟-全程加成'!$C$6-'模拟-全程加成'!$C$3)*系数!$B$9+BS31*23)*(1+'模拟-全程加成'!$F$4+'模拟-全程加成'!$F$5+BJ31*10%+BM31*20%+BP31*4%+CG31*30%)+$F$7*系数!$B$12</f>
        <v>18761.723400000003</v>
      </c>
      <c r="H31" s="45">
        <f ca="1">'模拟-全程加成'!$H$3+'模拟-全程加成'!$H$4+'模拟-全程加成'!$H$5+('模拟-全程加成'!$G$4+'模拟-全程加成'!$G$5+('模拟-全程加成'!$C$6-'模拟-全程加成'!$C$3)*系数!$B$13)/系数!$B$3+LOOKUP(D31,'模拟-单技能数据'!$A$2:$A$19,'模拟-单技能数据'!$K$2:$K$19)+BG31*10%+IF(BV31&gt;0,378,0)</f>
        <v>0.56185145527300218</v>
      </c>
      <c r="I31" s="45">
        <f ca="1">'模拟-全程加成'!$J$3+'模拟-全程加成'!$J$4+'模拟-全程加成'!$J$5+('模拟-全程加成'!$I$4+'模拟-全程加成'!$I$5)/系数!$B$4+LOOKUP(D31,'模拟-单技能数据'!$A$2:$A$19,'模拟-单技能数据'!$L$2:$L$19)+BG31*10%</f>
        <v>2.2624828854998791</v>
      </c>
      <c r="J31" s="45">
        <f ca="1">(('模拟-全程加成'!$K$3+'模拟-全程加成'!$K$4+'模拟-全程加成'!$K$5+('模拟-全程加成'!$C$6-'模拟-全程加成'!$C$3)*系数!$B$10+IF(BV31&gt;0,882,0)+IF(BY31&gt;0,1831,0))*(1+'模拟-全程加成'!$L$4+'模拟-全程加成'!$L$5+CC31*20%))/系数!$B$5</f>
        <v>0.69723220422048726</v>
      </c>
      <c r="K31" s="119">
        <f ca="1">LOOKUP(D31,'模拟-单技能数据'!$A$2:$A$19,'模拟-单技能数据'!$J$2:$J$19)+IF(CM31,60%,0)+IF(DB30-DB31&gt;0,30%,0)+IF(OR(AND(OR(C31="赤日轮1",C31="赤日轮2",C31="赤日轮3"),CR31),AND(OR(C31="幽月轮1",C31="幽月轮2",C31="幽月轮3"),CS31)),35%,0)+CJ31</f>
        <v>0.28999999999999998</v>
      </c>
      <c r="L31" s="119">
        <f ca="1">IF(AND(C31="烈日斩",模拟模式!$X$11=1),10%,0)+IF(AND(C31="驱夜断愁",AB31=1),30%,0)</f>
        <v>0.1</v>
      </c>
      <c r="M31" s="45">
        <f t="shared" ca="1" si="15"/>
        <v>0.56185145527300218</v>
      </c>
      <c r="N31" s="45">
        <f t="shared" ca="1" si="16"/>
        <v>0.38424854472699788</v>
      </c>
      <c r="O31" s="46">
        <f t="shared" ca="1" si="17"/>
        <v>0.44352781087264825</v>
      </c>
      <c r="P31" s="46" t="str">
        <f t="shared" ca="1" si="18"/>
        <v>会</v>
      </c>
      <c r="Q31" s="45">
        <f t="shared" ca="1" si="19"/>
        <v>2.2624828854998791</v>
      </c>
      <c r="R31" s="117">
        <f ca="1">模拟模式!$E$20*(1-IF(模拟模式!$J$19="有",0.15,0))*(1-IF(模拟模式!$K$19="有",0.3,0)-IF(CQ31,0.5,0))</f>
        <v>843.02999999999975</v>
      </c>
      <c r="S31" s="45">
        <f ca="1">R31/(R31+(185*模拟模式!$E$22-16800)*4.08224)</f>
        <v>8.389626085980037E-2</v>
      </c>
      <c r="T31" s="45" t="str">
        <f ca="1">LOOKUP(D31,'模拟-单技能数据'!$A$2:$A$19,'模拟-单技能数据'!$H$2:$H$19)</f>
        <v>阳</v>
      </c>
      <c r="U31" s="119">
        <f t="shared" ca="1" si="20"/>
        <v>0.2</v>
      </c>
      <c r="V31" s="47">
        <f ca="1">(1+L31)*(LOOKUP(D31,'模拟-单技能数据'!$A$2:$A$19,'模拟-单技能数据'!$D$2:$D$19)+G31*LOOKUP(D31,'模拟-单技能数据'!$A$2:$A$19,'模拟-单技能数据'!$F$2:$F$19))*(1+J31)*(1+K31)*(1-S31)*(1+U31)*Q31*LOOKUP(D31,'模拟-单技能数据'!$A$2:$A$19,'模拟-单技能数据'!$I$2:$I$20)</f>
        <v>100470.65508430792</v>
      </c>
      <c r="W31" s="47">
        <f ca="1">LOOKUP(D31,'模拟-单技能数据'!$A$2:$A$19,'模拟-单技能数据'!$G$2:$G$19)*$I$10</f>
        <v>361.51064354704795</v>
      </c>
      <c r="X31" s="47">
        <f t="shared" ca="1" si="21"/>
        <v>7628.0442348247816</v>
      </c>
      <c r="Y31" s="47">
        <f t="shared" ca="1" si="22"/>
        <v>108460.20996267974</v>
      </c>
      <c r="Z31" s="49">
        <f t="shared" ca="1" si="23"/>
        <v>276491.56025684415</v>
      </c>
      <c r="AA31" s="97">
        <f t="shared" ca="1" si="24"/>
        <v>74929.962129226056</v>
      </c>
      <c r="AB31" s="115">
        <f ca="1">IF(OR(C31="赤日轮1",C31="赤日轮2",C31="赤日轮3"),IF(RAND()&lt;模拟模式!$Y$17,1,0),IF(OR(C31="幽月轮1",C31="幽月轮2",C31="幽月轮3"),IF(RAND()&lt;模拟模式!$Y$18,1,0),IF(C31="烈日斩",IF(RAND()&lt;模拟模式!$Y$19,1,0),IF(C31="银月斩",IF(RAND()&lt;模拟模式!$Y$20,1,0),IF(C31="驱夜断愁",IF(RAND()&lt;模拟模式!$Y$21,1,0),IF(C31="净世破魔击·日",IF(RAND()&lt;模拟模式!$Y$22,1,0),IF(C31="净世破魔击·月",IF(RAND()&lt;模拟模式!$Y$23,1,0),0)))))))</f>
        <v>1</v>
      </c>
      <c r="AC31" s="115" t="b">
        <f t="shared" ca="1" si="1"/>
        <v>0</v>
      </c>
      <c r="AD31" s="115" t="b">
        <f t="shared" ca="1" si="52"/>
        <v>1</v>
      </c>
      <c r="AE31" s="115">
        <f t="shared" ca="1" si="53"/>
        <v>5</v>
      </c>
      <c r="AF31" s="47">
        <f ca="1">IF(AC31,('模拟-单技能数据'!$D$20+G31*'模拟-单技能数据'!$F$20)*(1+J31)*(1+'模拟-单技能数据'!$J$20)*(1+U31),0)</f>
        <v>0</v>
      </c>
      <c r="AG31" s="61">
        <f t="shared" ca="1" si="25"/>
        <v>0.64185145527300214</v>
      </c>
      <c r="AH31" s="61">
        <f t="shared" ca="1" si="26"/>
        <v>2.2624828854998791</v>
      </c>
      <c r="AI31" s="62">
        <f t="shared" ca="1" si="27"/>
        <v>0.10741401190267419</v>
      </c>
      <c r="AJ31" s="47">
        <f ca="1">IF(AD31,IF(AI31&lt;$F$10,0,IF(AI31&lt;$F$10+$F$11,0.25,IF(AI31&lt;$F$10+$F$11+AG31,AH31,1)))*IF(AF31&gt;0,AF31,IF(AF30&gt;0,AF30,IF(AF29&gt;0,AF29,IF(AF28&gt;0,AF28,IF(AF27&gt;0,AF27,IF(AF26&gt;0,AF26,IF(AF25&gt;0,AF25,IF(AF24&gt;0,AF24,IF(AF21&gt;0,AF21,IF(AF19&gt;0,AF19,IF(AF17&gt;0,AF17,IF(AF16&gt;0,AF16,0)))))))))))),0)*(1-$S31)*'模拟-单技能数据'!$I$20</f>
        <v>7628.0442348247816</v>
      </c>
      <c r="AK31" s="115" t="b">
        <f t="shared" ca="1" si="2"/>
        <v>0</v>
      </c>
      <c r="AL31" s="115" t="b">
        <f t="shared" ca="1" si="54"/>
        <v>0</v>
      </c>
      <c r="AM31" s="115">
        <f t="shared" ca="1" si="55"/>
        <v>0</v>
      </c>
      <c r="AN31" s="47">
        <f ca="1">IF(AK31,('模拟-单技能数据'!$D$21+G31*'模拟-单技能数据'!$F$21)*(1+J31)*(1+'模拟-单技能数据'!$J$21)*(1+U31),0)</f>
        <v>0</v>
      </c>
      <c r="AO31" s="61">
        <f ca="1">IF(AN31&gt;0,M31-'模拟-单技能数据'!$K$10,AO30)</f>
        <v>0</v>
      </c>
      <c r="AP31" s="61">
        <f ca="1">IF(AN31&gt;0,I31-'模拟-单技能数据'!$L$10,AP30)</f>
        <v>0</v>
      </c>
      <c r="AQ31" s="63">
        <f t="shared" ca="1" si="28"/>
        <v>0.93061346429336556</v>
      </c>
      <c r="AR31" s="64">
        <f ca="1">IF(AL31,IF(AQ31&lt;$F$10,0,IF(AQ31&lt;$F$10+$F$11,0.25,IF(AQ31&lt;$F$10+$F$11+AO31,AP31,1)))*IF(AN31&gt;0,AN31,IF(AN30&gt;0,AN30,IF(AN29&gt;0,AN29,IF(AN28&gt;0,AN28,IF(AN27&gt;0,AN27,IF(AN26&gt;0,AN26,IF(AN25&gt;0,AN25,IF(AN24&gt;0,AN24,IF(AN21&gt;0,AN21,IF(AN19&gt;0,AN19,IF(AN17&gt;0,AN17,IF(AN16&gt;0,AN16,0)))))))))))),0)*(1-$S31)*'模拟-单技能数据'!$I$21</f>
        <v>0</v>
      </c>
      <c r="AS31" s="61">
        <f ca="1">IF(OR(C31="净世破魔击·日",C31="净世破魔击·月"),M31-'模拟-单技能数据'!$K$10,0)</f>
        <v>0</v>
      </c>
      <c r="AT31" s="61">
        <f ca="1">IF(OR(C31="净世破魔击·日",C31="净世破魔击·月"),I31-'模拟-单技能数据'!$L$10,0)</f>
        <v>0</v>
      </c>
      <c r="AU31" s="62">
        <f t="shared" ca="1" si="29"/>
        <v>2.6920749530670696E-2</v>
      </c>
      <c r="AV31" s="64">
        <f ca="1">IF(AS31&gt;0,('模拟-单技能数据'!$D$22+G31*'模拟-单技能数据'!$F$22)*(1+J31)*(1-S31)*IF(AU31&lt;$F$10,0,IF(AU31&lt;$F$10+$F$11,0.25,IF(AU31&lt;$F$10+$F$11+AS31,AT31,1)))*(1+U31),0)*'模拟-单技能数据'!$I$22</f>
        <v>0</v>
      </c>
      <c r="AW31" s="108">
        <f t="shared" ca="1" si="30"/>
        <v>0</v>
      </c>
      <c r="AX31" s="108" t="b">
        <f ca="1">AND(模拟模式!$P$10="有",AW30=0,RAND()&lt;IF(C31="净世破魔击·月",0.1*8/3,IF(C31="净世破魔击·日",0.1*4/3,0.1*2/3)))</f>
        <v>0</v>
      </c>
      <c r="AY31" s="47">
        <f ca="1">IF(AX31,(18+G31*0.722)*(1+J31)*(1-S31)*(1+$I$4)*IF(P31="会",'模拟-全程加成'!$J$3+'模拟-全程加成'!$J$4+'模拟-全程加成'!$J$5+('模拟-全程加成'!$I$4+'模拟-全程加成'!$I$5)/系数!$B$4+BG31*10%,IF(P31="命",1,IF(P31="识",0.25,0))),0)</f>
        <v>0</v>
      </c>
      <c r="AZ31" s="108">
        <f t="shared" si="31"/>
        <v>16.310000000000002</v>
      </c>
      <c r="BA31" s="108" t="b">
        <f>AND(模拟模式!$Q$10="有",AZ30=0)</f>
        <v>0</v>
      </c>
      <c r="BB31" s="140">
        <f>IF(BA31,(0+G31*0.287)*(1+J31)*(1-S31)*(1+$I$4)*IF(P31="会",'模拟-全程加成'!$J$3+'模拟-全程加成'!$J$4+'模拟-全程加成'!$J$5+('模拟-全程加成'!$I$4+'模拟-全程加成'!$I$5)/系数!$B$4+BG31*10%,IF(P31="命",1,IF(P31="识",0.25,0))),0)</f>
        <v>0</v>
      </c>
      <c r="BC31" s="115" t="b">
        <f ca="1">AND(模拟模式!$R$7="伏明众生",E31=60,F31=20,DA31&lt;5,CZ30&lt;$F$4)</f>
        <v>0</v>
      </c>
      <c r="BD31" s="115">
        <f t="shared" ca="1" si="3"/>
        <v>0</v>
      </c>
      <c r="BE31" s="115" t="b">
        <f t="shared" ca="1" si="4"/>
        <v>0</v>
      </c>
      <c r="BF31" s="47">
        <f ca="1">IF(BC31,4*('模拟-单技能数据'!$D$24+G31*'模拟-单技能数据'!$F$24)*(1+J31)*(1+'模拟-单技能数据'!$J$24)*(1-S31)*(1+$I$3)*(('模拟-全程加成'!$J$3+'模拟-全程加成'!$J$4+'模拟-全程加成'!$J$5+('模拟-全程加成'!$I$4+'模拟-全程加成'!$I$5)/系数!$B$4+BG31*10%)*('模拟-全程加成'!$J$3+'模拟-全程加成'!$J$4+'模拟-全程加成'!$J$5+('模拟-全程加成'!$I$4+'模拟-全程加成'!$I$5)/系数!$B$4+BG31*10%)+(1-('模拟-全程加成'!$J$3+'模拟-全程加成'!$J$4+'模拟-全程加成'!$J$5+('模拟-全程加成'!$I$4+'模拟-全程加成'!$I$5)/系数!$B$4+BG31*10%)-$F$10-$F$11)+F14*0.25),0)*'模拟-单技能数据'!$I$24</f>
        <v>0</v>
      </c>
      <c r="BG31" s="115" t="b">
        <f ca="1">OR(AND(OR(C31="烈日斩",C31="银月斩"),模拟模式!$I$7="净身明礼"),AND(C31="净世破魔击·日",模拟模式!$J$7="洞若观火"),AND(C32="净世破魔击·月",模拟模式!$J$7="洞若观火"),AB31=1)</f>
        <v>1</v>
      </c>
      <c r="BH31" s="115" t="b">
        <f t="shared" ca="1" si="32"/>
        <v>0</v>
      </c>
      <c r="BI31" s="115">
        <f t="shared" ca="1" si="5"/>
        <v>0</v>
      </c>
      <c r="BJ31" s="115" t="b">
        <f t="shared" ca="1" si="33"/>
        <v>0</v>
      </c>
      <c r="BK31" s="115" t="b">
        <f ca="1">AND(C31="驱夜断愁",模拟模式!$P$7="天地诛戮")</f>
        <v>0</v>
      </c>
      <c r="BL31" s="57">
        <f t="shared" ca="1" si="6"/>
        <v>19.077500000000001</v>
      </c>
      <c r="BM31" s="115" t="b">
        <f t="shared" ca="1" si="34"/>
        <v>1</v>
      </c>
      <c r="BN31" s="115" t="b">
        <f ca="1">AND(OR(C31="赤日轮1",C31="赤日轮2",C31="赤日轮3",C31="幽月轮1",C31="幽月轮2",C31="幽月轮3"),AB31=1,模拟模式!$L$7="明光恒照")</f>
        <v>0</v>
      </c>
      <c r="BO31" s="117">
        <f t="shared" ca="1" si="7"/>
        <v>27.232500000000002</v>
      </c>
      <c r="BP31" s="115">
        <f t="shared" ca="1" si="35"/>
        <v>1</v>
      </c>
      <c r="BQ31" s="115" t="b">
        <f>模拟模式!$K$10="2600·水"</f>
        <v>0</v>
      </c>
      <c r="BR31" s="117">
        <f t="shared" si="36"/>
        <v>0</v>
      </c>
      <c r="BS31" s="115">
        <f t="shared" si="37"/>
        <v>0</v>
      </c>
      <c r="BT31" s="115">
        <f t="shared" ca="1" si="38"/>
        <v>0</v>
      </c>
      <c r="BU31" s="115" t="b">
        <f ca="1">AND(模拟模式!$K$10="2300·雷",BT30=0,RAND()&lt;IF(C31="净世破魔击·月",5*0.05*2/3,IF(C31="净世破魔击·日",3*0.05*2/3,0.05*2*2/3)))</f>
        <v>0</v>
      </c>
      <c r="BV31" s="115">
        <f t="shared" ca="1" si="39"/>
        <v>0</v>
      </c>
      <c r="BW31" s="115">
        <f t="shared" ca="1" si="40"/>
        <v>0</v>
      </c>
      <c r="BX31" s="164" t="b">
        <f t="shared" ca="1" si="41"/>
        <v>0</v>
      </c>
      <c r="BY31" s="115">
        <f t="shared" ca="1" si="42"/>
        <v>0</v>
      </c>
      <c r="BZ31" s="115">
        <f>IF(OR(模拟模式!$P$16="10人团",模拟模式!$P$16="25人团"),IF(B31/30&gt;CA30,1,0),0)</f>
        <v>0</v>
      </c>
      <c r="CA31" s="115">
        <f t="shared" si="8"/>
        <v>0</v>
      </c>
      <c r="CB31" s="115">
        <f ca="1">IF(BZ31=1,IF(模拟模式!$P$16="10人团",15,0)+IF(模拟模式!$P$16="25人团",IF(RAND()&lt;0.6,15,0)),MAX(0,CB30-$F$4))</f>
        <v>0</v>
      </c>
      <c r="CC31" s="115" t="b">
        <f t="shared" ca="1" si="43"/>
        <v>0</v>
      </c>
      <c r="CD31" s="115">
        <f>IF(模拟模式!$Q$16="1个",IF(B31/40&gt;CE30,1,0),0)</f>
        <v>0</v>
      </c>
      <c r="CE31" s="115">
        <f t="shared" si="44"/>
        <v>0</v>
      </c>
      <c r="CF31" s="115">
        <f>IF(OR(CD31=1,模拟模式!$Q$16="2个"),20,MAX(0,CF30-$F$4))</f>
        <v>0</v>
      </c>
      <c r="CG31" s="115" t="b">
        <f t="shared" si="45"/>
        <v>0</v>
      </c>
      <c r="CH31" s="115">
        <f t="shared" ca="1" si="46"/>
        <v>27.232500000000002</v>
      </c>
      <c r="CI31" s="115" t="b">
        <f t="shared" ca="1" si="47"/>
        <v>0</v>
      </c>
      <c r="CJ31" s="119">
        <f t="shared" ca="1" si="48"/>
        <v>0.05</v>
      </c>
      <c r="CK31" s="115">
        <f t="shared" ca="1" si="49"/>
        <v>5.232499999999999</v>
      </c>
      <c r="CL31" s="115" t="b">
        <f ca="1">AND(模拟模式!$S$7="驱夷逐法",OR(AND(C31="净世破魔击·月",E30&gt;59),AND(C31="净世破魔击·日",F30&gt;59)))</f>
        <v>0</v>
      </c>
      <c r="CM31" s="115" t="b">
        <f ca="1">OR(CL31,AND(C31="净世破魔击·日",CL30,RAND()&lt;模拟模式!$U$23))</f>
        <v>0</v>
      </c>
      <c r="CN31" s="115" t="b">
        <f ca="1">IF(模拟模式!$M$7="辉耀红尘",AND(C31="净世破魔击·月",CL31,CV31=0,E30&lt;80),AND(C31="净世破魔击·月",CL31,E30&lt;100))</f>
        <v>0</v>
      </c>
      <c r="CO31" s="115" t="b">
        <f t="shared" ca="1" si="9"/>
        <v>0</v>
      </c>
      <c r="CP31" s="115" t="b">
        <f ca="1">AND(模拟模式!$O$7="用晦而明",OR(C31="净世破魔击·日",C31="净世破魔击·月",C31="驱夜断愁"),AB31)</f>
        <v>0</v>
      </c>
      <c r="CQ31" s="115" t="b">
        <f ca="1">OR(CP31,AND(CP30,RAND()&lt;模拟模式!$U$23))</f>
        <v>1</v>
      </c>
      <c r="CR31" s="115" t="b">
        <f ca="1">AND(模拟模式!$S$7="日月齐光",OR(C31="幽月轮1",C31="幽月轮2",C31="幽月轮3",CR30),NOT(OR(C31="赤日轮1",C31="赤日轮2",C31="赤日轮3")))</f>
        <v>0</v>
      </c>
      <c r="CS31" s="115" t="b">
        <f ca="1">AND(模拟模式!$S$7="日月齐光",OR(C31="赤日轮1",C31="赤日轮2",C31="赤日轮3",CS30),NOT(OR(C31="幽月轮1",C31="幽月轮2",C31="幽月轮3")))</f>
        <v>0</v>
      </c>
      <c r="CT31" s="115">
        <f t="shared" ca="1" si="50"/>
        <v>0</v>
      </c>
      <c r="CU31" s="115" t="b">
        <f ca="1">AND(模拟模式!$K$10="阴阳往极",CT30=0,RAND()&lt;IF(C31="净世破魔击·月",0.0275*7/3,IF(C31="净世破魔击·日",0.0275*3/3,0.0275*2/3)))</f>
        <v>0</v>
      </c>
      <c r="CV31" s="115">
        <f t="shared" ca="1" si="51"/>
        <v>0</v>
      </c>
      <c r="CW31" s="115">
        <f t="shared" ca="1" si="10"/>
        <v>6</v>
      </c>
      <c r="CX31" s="115">
        <f t="shared" ca="1" si="11"/>
        <v>4.1549999999999994</v>
      </c>
      <c r="CY31" s="115">
        <f ca="1">MAX(IF($C31="驱夜断愁",IF(模拟模式!$R$7="万念俱寂",6,45),CY30-$F$4),0)</f>
        <v>5.0774999999999997</v>
      </c>
      <c r="CZ31" s="115">
        <f t="shared" ca="1" si="12"/>
        <v>0</v>
      </c>
      <c r="DA31" s="115">
        <f ca="1">IF(模拟模式!$N$7="日月同辉",IF(DB30=2,0,MIN(6,IF(AND(OR(C31="赤日轮1",C31="赤日轮2",C31="赤日轮3",C31="幽月轮1",C31="幽月轮2",C31="幽月轮3"),AB31=1),DA30+1,DA30))),0)</f>
        <v>1</v>
      </c>
      <c r="DB31" s="115">
        <f t="shared" ca="1" si="13"/>
        <v>0</v>
      </c>
      <c r="DD31" s="115"/>
      <c r="DE31" s="115"/>
    </row>
    <row r="32" spans="2:117" x14ac:dyDescent="0.2">
      <c r="B32" s="117">
        <f t="shared" si="14"/>
        <v>4.6124999999999998</v>
      </c>
      <c r="C32" s="167" t="str">
        <f t="shared" ca="1" si="0"/>
        <v>幽月轮1</v>
      </c>
      <c r="D32" s="115">
        <f ca="1">IF(C32="赤日轮1",1,IF(C32="赤日轮2",2,IF(C32="赤日轮3",3,IF(C32="幽月轮1",4,IF(C32="幽月轮2",5,IF(C32="幽月轮3",6,IF(C32="烈日斩",7,IF(C32="银月斩",8,IF(C32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32="净世破魔击·月",17,IF(C32="驱夜断愁",18,0)))))))))))</f>
        <v>4</v>
      </c>
      <c r="E32" s="115">
        <f ca="1">IF(AND(CU32,OR(C32="幽月轮1",C32="幽月轮2",C32="幽月轮3",C32="银月斩",C32="驱夜断愁",C32="净世破魔击·月")),100,MIN(IF(OR(CN32,BE32),0,IF(OR($C32="赤日轮1",$C32="赤日轮2",$C32="赤日轮3"),E31+20+IF(模拟模式!$I$7="日月凌天",4,0)+IF(CR31,20,0),IF($C32="烈日斩",E31+40,IF($C32="驱夜断愁",IF(模拟模式!$R$7="万念俱寂",E31+20,E31+60),IF($C32="净世破魔击·月",IF(OR(DB31&gt;0,CV31&gt;0),100,IF(模拟模式!$M$7="辉耀红尘",E31+20,E31)),IF($C32="净世破魔击·日",E31-100,E31)))))),100))</f>
        <v>80</v>
      </c>
      <c r="F32" s="115">
        <f ca="1">IF(AND(CU32,OR(C32="赤日轮1",C32="赤日轮2",C32="赤日轮3",C32="烈日斩",C32="净世破魔击·日")),100,MIN(IF(CO32,0,IF(OR($C32="幽月轮1",$C32="幽月轮2",$C32="幽月轮3"),F31+20+IF(模拟模式!$I$7="日月凌天",4,0)+IF(CS31,20,0),IF($C32="银月斩",F31+40+IF(模拟模式!$X$12=1,5,0),IF($C32="驱夜断愁",IF(模拟模式!$R$7="万念俱寂",F31+20,F31+60),IF($C32="净世破魔击·月",IF(模拟模式!$M$7="辉耀红尘",F31-80,F31-100),IF(AND(C32="净世破魔击·日",OR(DB31&gt;0,CV31&gt;0)),100,F31)))))),100))</f>
        <v>85</v>
      </c>
      <c r="G32" s="117">
        <f ca="1">('模拟-全程加成'!$E$3+'模拟-全程加成'!$E$4+'模拟-全程加成'!$E$5+('模拟-全程加成'!$C$6-'模拟-全程加成'!$C$3)*系数!$B$9+BS32*23)*(1+'模拟-全程加成'!$F$4+'模拟-全程加成'!$F$5+BJ32*10%+BM32*20%+BP32*4%+CG32*30%)+$F$7*系数!$B$12</f>
        <v>19126.004200000003</v>
      </c>
      <c r="H32" s="45">
        <f ca="1">'模拟-全程加成'!$H$3+'模拟-全程加成'!$H$4+'模拟-全程加成'!$H$5+('模拟-全程加成'!$G$4+'模拟-全程加成'!$G$5+('模拟-全程加成'!$C$6-'模拟-全程加成'!$C$3)*系数!$B$13)/系数!$B$3+LOOKUP(D32,'模拟-单技能数据'!$A$2:$A$19,'模拟-单技能数据'!$K$2:$K$19)+BG32*10%+IF(BV32&gt;0,378,0)</f>
        <v>0.51185145527300213</v>
      </c>
      <c r="I32" s="45">
        <f ca="1">'模拟-全程加成'!$J$3+'模拟-全程加成'!$J$4+'模拟-全程加成'!$J$5+('模拟-全程加成'!$I$4+'模拟-全程加成'!$I$5)/系数!$B$4+LOOKUP(D32,'模拟-单技能数据'!$A$2:$A$19,'模拟-单技能数据'!$L$2:$L$19)+BG32*10%</f>
        <v>2.162482885499879</v>
      </c>
      <c r="J32" s="45">
        <f ca="1">(('模拟-全程加成'!$K$3+'模拟-全程加成'!$K$4+'模拟-全程加成'!$K$5+('模拟-全程加成'!$C$6-'模拟-全程加成'!$C$3)*系数!$B$10+IF(BV32&gt;0,882,0)+IF(BY32&gt;0,1831,0))*(1+'模拟-全程加成'!$L$4+'模拟-全程加成'!$L$5+CC32*20%))/系数!$B$5</f>
        <v>0.69723220422048726</v>
      </c>
      <c r="K32" s="119">
        <f ca="1">LOOKUP(D32,'模拟-单技能数据'!$A$2:$A$19,'模拟-单技能数据'!$J$2:$J$19)+IF(CM32,60%,0)+IF(DB31-DB32&gt;0,30%,0)+IF(OR(AND(OR(C32="赤日轮1",C32="赤日轮2",C32="赤日轮3"),CR32),AND(OR(C32="幽月轮1",C32="幽月轮2",C32="幽月轮3"),CS32)),35%,0)+CJ32</f>
        <v>0.12000000000000001</v>
      </c>
      <c r="L32" s="119">
        <f ca="1">IF(AND(C32="烈日斩",模拟模式!$X$11=1),10%,0)+IF(AND(C32="驱夜断愁",AB32=1),30%,0)</f>
        <v>0</v>
      </c>
      <c r="M32" s="45">
        <f t="shared" ca="1" si="15"/>
        <v>0.51185145527300213</v>
      </c>
      <c r="N32" s="45">
        <f t="shared" ca="1" si="16"/>
        <v>0.43424854472699792</v>
      </c>
      <c r="O32" s="46">
        <f t="shared" ca="1" si="17"/>
        <v>0.4317005469688574</v>
      </c>
      <c r="P32" s="46" t="str">
        <f t="shared" ca="1" si="18"/>
        <v>会</v>
      </c>
      <c r="Q32" s="45">
        <f t="shared" ca="1" si="19"/>
        <v>2.162482885499879</v>
      </c>
      <c r="R32" s="117">
        <f ca="1">模拟模式!$E$20*(1-IF(模拟模式!$J$19="有",0.15,0))*(1-IF(模拟模式!$K$19="有",0.3,0)-IF(CQ32,0.5,0))</f>
        <v>2950.6049999999996</v>
      </c>
      <c r="S32" s="45">
        <f ca="1">R32/(R32+(185*模拟模式!$E$22-16800)*4.08224)</f>
        <v>0.24272716014590323</v>
      </c>
      <c r="T32" s="45" t="str">
        <f ca="1">LOOKUP(D32,'模拟-单技能数据'!$A$2:$A$19,'模拟-单技能数据'!$H$2:$H$19)</f>
        <v>阴</v>
      </c>
      <c r="U32" s="119">
        <f t="shared" ca="1" si="20"/>
        <v>0.08</v>
      </c>
      <c r="V32" s="47">
        <f ca="1">(1+L32)*(LOOKUP(D32,'模拟-单技能数据'!$A$2:$A$19,'模拟-单技能数据'!$D$2:$D$19)+G32*LOOKUP(D32,'模拟-单技能数据'!$A$2:$A$19,'模拟-单技能数据'!$F$2:$F$19))*(1+J32)*(1+K32)*(1-S32)*(1+U32)*Q32*LOOKUP(D32,'模拟-单技能数据'!$A$2:$A$19,'模拟-单技能数据'!$I$2:$I$20)</f>
        <v>34146.462736942725</v>
      </c>
      <c r="W32" s="47">
        <f ca="1">LOOKUP(D32,'模拟-单技能数据'!$A$2:$A$19,'模拟-单技能数据'!$G$2:$G$19)*$I$10</f>
        <v>361.51064354704795</v>
      </c>
      <c r="X32" s="47">
        <f t="shared" ca="1" si="21"/>
        <v>0</v>
      </c>
      <c r="Y32" s="47">
        <f t="shared" ca="1" si="22"/>
        <v>34507.97338048977</v>
      </c>
      <c r="Z32" s="49">
        <f t="shared" ca="1" si="23"/>
        <v>310999.53363733389</v>
      </c>
      <c r="AA32" s="97">
        <f t="shared" ca="1" si="24"/>
        <v>67425.373146305457</v>
      </c>
      <c r="AB32" s="115">
        <f ca="1">IF(OR(C32="赤日轮1",C32="赤日轮2",C32="赤日轮3"),IF(RAND()&lt;模拟模式!$Y$17,1,0),IF(OR(C32="幽月轮1",C32="幽月轮2",C32="幽月轮3"),IF(RAND()&lt;模拟模式!$Y$18,1,0),IF(C32="烈日斩",IF(RAND()&lt;模拟模式!$Y$19,1,0),IF(C32="银月斩",IF(RAND()&lt;模拟模式!$Y$20,1,0),IF(C32="驱夜断愁",IF(RAND()&lt;模拟模式!$Y$21,1,0),IF(C32="净世破魔击·日",IF(RAND()&lt;模拟模式!$Y$22,1,0),IF(C32="净世破魔击·月",IF(RAND()&lt;模拟模式!$Y$23,1,0),0)))))))</f>
        <v>1</v>
      </c>
      <c r="AC32" s="115" t="b">
        <f t="shared" ca="1" si="1"/>
        <v>0</v>
      </c>
      <c r="AD32" s="115" t="b">
        <f t="shared" ca="1" si="52"/>
        <v>0</v>
      </c>
      <c r="AE32" s="115">
        <f t="shared" ca="1" si="53"/>
        <v>5</v>
      </c>
      <c r="AF32" s="47">
        <f ca="1">IF(AC32,('模拟-单技能数据'!$D$20+G32*'模拟-单技能数据'!$F$20)*(1+J32)*(1+'模拟-单技能数据'!$J$20)*(1+U32),0)</f>
        <v>0</v>
      </c>
      <c r="AG32" s="61">
        <f t="shared" ca="1" si="25"/>
        <v>0.64185145527300214</v>
      </c>
      <c r="AH32" s="61">
        <f t="shared" ca="1" si="26"/>
        <v>2.2624828854998791</v>
      </c>
      <c r="AI32" s="62">
        <f t="shared" ca="1" si="27"/>
        <v>0.44849035221556866</v>
      </c>
      <c r="AJ32" s="47">
        <f ca="1">IF(AD32,IF(AI32&lt;$F$10,0,IF(AI32&lt;$F$10+$F$11,0.25,IF(AI32&lt;$F$10+$F$11+AG32,AH32,1)))*IF(AF32&gt;0,AF32,IF(AF31&gt;0,AF31,IF(AF30&gt;0,AF30,IF(AF29&gt;0,AF29,IF(AF28&gt;0,AF28,IF(AF27&gt;0,AF27,IF(AF26&gt;0,AF26,IF(AF25&gt;0,AF25,IF(AF24&gt;0,AF24,IF(AF20&gt;0,AF20,IF(AF19&gt;0,AF19,IF(AF17&gt;0,AF17,0)))))))))))),0)*(1-$S32)*'模拟-单技能数据'!$I$20</f>
        <v>0</v>
      </c>
      <c r="AK32" s="115" t="b">
        <f t="shared" ca="1" si="2"/>
        <v>0</v>
      </c>
      <c r="AL32" s="115" t="b">
        <f t="shared" ca="1" si="54"/>
        <v>0</v>
      </c>
      <c r="AM32" s="115">
        <f t="shared" ca="1" si="55"/>
        <v>0</v>
      </c>
      <c r="AN32" s="47">
        <f ca="1">IF(AK32,('模拟-单技能数据'!$D$21+G32*'模拟-单技能数据'!$F$21)*(1+J32)*(1+'模拟-单技能数据'!$J$21)*(1+U32),0)</f>
        <v>0</v>
      </c>
      <c r="AO32" s="61">
        <f ca="1">IF(AN32&gt;0,M32-'模拟-单技能数据'!$K$10,AO31)</f>
        <v>0</v>
      </c>
      <c r="AP32" s="61">
        <f ca="1">IF(AN32&gt;0,I32-'模拟-单技能数据'!$L$10,AP31)</f>
        <v>0</v>
      </c>
      <c r="AQ32" s="63">
        <f t="shared" ca="1" si="28"/>
        <v>0.43194961362555351</v>
      </c>
      <c r="AR32" s="64">
        <f ca="1">IF(AL32,IF(AQ32&lt;$F$10,0,IF(AQ32&lt;$F$10+$F$11,0.25,IF(AQ32&lt;$F$10+$F$11+AO32,AP32,1)))*IF(AN32&gt;0,AN32,IF(AN31&gt;0,AN31,IF(AN30&gt;0,AN30,IF(AN29&gt;0,AN29,IF(AN28&gt;0,AN28,IF(AN27&gt;0,AN27,IF(AN26&gt;0,AN26,IF(AN25&gt;0,AN25,IF(AN24&gt;0,AN24,IF(AN20&gt;0,AN20,IF(AN19&gt;0,AN19,IF(AN17&gt;0,AN17,0)))))))))))),0)*(1-$S32)*'模拟-单技能数据'!$I$21</f>
        <v>0</v>
      </c>
      <c r="AS32" s="61">
        <f ca="1">IF(OR(C32="净世破魔击·日",C32="净世破魔击·月"),M32-'模拟-单技能数据'!$K$10,0)</f>
        <v>0</v>
      </c>
      <c r="AT32" s="61">
        <f ca="1">IF(OR(C32="净世破魔击·日",C32="净世破魔击·月"),I32-'模拟-单技能数据'!$L$10,0)</f>
        <v>0</v>
      </c>
      <c r="AU32" s="62">
        <f t="shared" ca="1" si="29"/>
        <v>1.7364725604168796E-2</v>
      </c>
      <c r="AV32" s="64">
        <f ca="1">IF(AS32&gt;0,('模拟-单技能数据'!$D$22+G32*'模拟-单技能数据'!$F$22)*(1+J32)*(1-S32)*IF(AU32&lt;$F$10,0,IF(AU32&lt;$F$10+$F$11,0.25,IF(AU32&lt;$F$10+$F$11+AS32,AT32,1)))*(1+U32),0)*'模拟-单技能数据'!$I$22</f>
        <v>0</v>
      </c>
      <c r="AW32" s="108">
        <f t="shared" ca="1" si="30"/>
        <v>0</v>
      </c>
      <c r="AX32" s="108" t="b">
        <f ca="1">AND(模拟模式!$P$10="有",AW31=0,RAND()&lt;IF(C32="净世破魔击·月",0.1*8/3,IF(C32="净世破魔击·日",0.1*4/3,0.1*2/3)))</f>
        <v>0</v>
      </c>
      <c r="AY32" s="47">
        <f ca="1">IF(AX32,(18+G32*0.722)*(1+J32)*(1-S32)*(1+$I$4)*IF(P32="会",'模拟-全程加成'!$J$3+'模拟-全程加成'!$J$4+'模拟-全程加成'!$J$5+('模拟-全程加成'!$I$4+'模拟-全程加成'!$I$5)/系数!$B$4+BG32*10%,IF(P32="命",1,IF(P32="识",0.25,0))),0)</f>
        <v>0</v>
      </c>
      <c r="AZ32" s="108">
        <f t="shared" si="31"/>
        <v>15.387500000000003</v>
      </c>
      <c r="BA32" s="108" t="b">
        <f>AND(模拟模式!$Q$10="有",AZ31=0)</f>
        <v>0</v>
      </c>
      <c r="BB32" s="140">
        <f>IF(BA32,(0+G32*0.287)*(1+J32)*(1-S32)*(1+$I$4)*IF(P32="会",'模拟-全程加成'!$J$3+'模拟-全程加成'!$J$4+'模拟-全程加成'!$J$5+('模拟-全程加成'!$I$4+'模拟-全程加成'!$I$5)/系数!$B$4+BG32*10%,IF(P32="命",1,IF(P32="识",0.25,0))),0)</f>
        <v>0</v>
      </c>
      <c r="BC32" s="115" t="b">
        <f ca="1">AND(模拟模式!$R$7="伏明众生",E32=60,F32=20,DA32&lt;5,CZ31&lt;$F$4)</f>
        <v>0</v>
      </c>
      <c r="BD32" s="115">
        <f t="shared" ca="1" si="3"/>
        <v>0</v>
      </c>
      <c r="BE32" s="115" t="b">
        <f t="shared" ca="1" si="4"/>
        <v>0</v>
      </c>
      <c r="BF32" s="47">
        <f ca="1">IF(BC32,4*('模拟-单技能数据'!$D$24+G32*'模拟-单技能数据'!$F$24)*(1+J32)*(1+'模拟-单技能数据'!$J$24)*(1-S32)*(1+$I$3)*(('模拟-全程加成'!$J$3+'模拟-全程加成'!$J$4+'模拟-全程加成'!$J$5+('模拟-全程加成'!$I$4+'模拟-全程加成'!$I$5)/系数!$B$4+BG32*10%)*('模拟-全程加成'!$J$3+'模拟-全程加成'!$J$4+'模拟-全程加成'!$J$5+('模拟-全程加成'!$I$4+'模拟-全程加成'!$I$5)/系数!$B$4+BG32*10%)+(1-('模拟-全程加成'!$J$3+'模拟-全程加成'!$J$4+'模拟-全程加成'!$J$5+('模拟-全程加成'!$I$4+'模拟-全程加成'!$I$5)/系数!$B$4+BG32*10%)-$F$10-$F$11)+F15*0.25),0)*'模拟-单技能数据'!$I$24</f>
        <v>0</v>
      </c>
      <c r="BG32" s="115" t="b">
        <f ca="1">OR(AND(OR(C32="烈日斩",C32="银月斩"),模拟模式!$I$7="净身明礼"),AND(C32="净世破魔击·日",模拟模式!$J$7="洞若观火"),AND(C33="净世破魔击·月",模拟模式!$J$7="洞若观火"),AB32=1)</f>
        <v>1</v>
      </c>
      <c r="BH32" s="115" t="b">
        <f t="shared" ca="1" si="32"/>
        <v>0</v>
      </c>
      <c r="BI32" s="115">
        <f t="shared" ca="1" si="5"/>
        <v>0</v>
      </c>
      <c r="BJ32" s="115" t="b">
        <f t="shared" ca="1" si="33"/>
        <v>0</v>
      </c>
      <c r="BK32" s="115" t="b">
        <f ca="1">AND(C32="驱夜断愁",模拟模式!$P$7="天地诛戮")</f>
        <v>0</v>
      </c>
      <c r="BL32" s="57">
        <f t="shared" ca="1" si="6"/>
        <v>18.155000000000001</v>
      </c>
      <c r="BM32" s="115" t="b">
        <f t="shared" ca="1" si="34"/>
        <v>1</v>
      </c>
      <c r="BN32" s="115" t="b">
        <f ca="1">AND(OR(C32="赤日轮1",C32="赤日轮2",C32="赤日轮3",C32="幽月轮1",C32="幽月轮2",C32="幽月轮3"),AB32=1,模拟模式!$L$7="明光恒照")</f>
        <v>1</v>
      </c>
      <c r="BO32" s="117">
        <f t="shared" ca="1" si="7"/>
        <v>30</v>
      </c>
      <c r="BP32" s="115">
        <f t="shared" ca="1" si="35"/>
        <v>2</v>
      </c>
      <c r="BQ32" s="115" t="b">
        <f>模拟模式!$K$10="2600·水"</f>
        <v>0</v>
      </c>
      <c r="BR32" s="117">
        <f t="shared" si="36"/>
        <v>0</v>
      </c>
      <c r="BS32" s="115">
        <f t="shared" si="37"/>
        <v>0</v>
      </c>
      <c r="BT32" s="115">
        <f t="shared" ca="1" si="38"/>
        <v>0</v>
      </c>
      <c r="BU32" s="115" t="b">
        <f ca="1">AND(模拟模式!$K$10="2300·雷",BT31=0,RAND()&lt;IF(C32="净世破魔击·月",5*0.05*2/3,IF(C32="净世破魔击·日",3*0.05*2/3,0.05*2*2/3)))</f>
        <v>0</v>
      </c>
      <c r="BV32" s="115">
        <f t="shared" ca="1" si="39"/>
        <v>0</v>
      </c>
      <c r="BW32" s="115">
        <f t="shared" ca="1" si="40"/>
        <v>0</v>
      </c>
      <c r="BX32" s="164" t="b">
        <f t="shared" ca="1" si="41"/>
        <v>0</v>
      </c>
      <c r="BY32" s="115">
        <f t="shared" ca="1" si="42"/>
        <v>0</v>
      </c>
      <c r="BZ32" s="115">
        <f>IF(OR(模拟模式!$P$16="10人团",模拟模式!$P$16="25人团"),IF(B32/30&gt;CA31,1,0),0)</f>
        <v>0</v>
      </c>
      <c r="CA32" s="115">
        <f t="shared" si="8"/>
        <v>0</v>
      </c>
      <c r="CB32" s="115">
        <f ca="1">IF(BZ32=1,IF(模拟模式!$P$16="10人团",15,0)+IF(模拟模式!$P$16="25人团",IF(RAND()&lt;0.6,15,0)),MAX(0,CB31-$F$4))</f>
        <v>0</v>
      </c>
      <c r="CC32" s="115" t="b">
        <f t="shared" ca="1" si="43"/>
        <v>0</v>
      </c>
      <c r="CD32" s="115">
        <f>IF(模拟模式!$Q$16="1个",IF(B32/40&gt;CE31,1,0),0)</f>
        <v>0</v>
      </c>
      <c r="CE32" s="115">
        <f t="shared" si="44"/>
        <v>0</v>
      </c>
      <c r="CF32" s="115">
        <f>IF(OR(CD32=1,模拟模式!$Q$16="2个"),20,MAX(0,CF31-$F$4))</f>
        <v>0</v>
      </c>
      <c r="CG32" s="115" t="b">
        <f t="shared" si="45"/>
        <v>0</v>
      </c>
      <c r="CH32" s="115">
        <f t="shared" ca="1" si="46"/>
        <v>26.310000000000002</v>
      </c>
      <c r="CI32" s="115" t="b">
        <f t="shared" ca="1" si="47"/>
        <v>0</v>
      </c>
      <c r="CJ32" s="119">
        <f t="shared" ca="1" si="48"/>
        <v>0.05</v>
      </c>
      <c r="CK32" s="115">
        <f t="shared" ca="1" si="49"/>
        <v>4.3099999999999987</v>
      </c>
      <c r="CL32" s="115" t="b">
        <f ca="1">AND(模拟模式!$S$7="驱夷逐法",OR(AND(C32="净世破魔击·月",E31&gt;59),AND(C32="净世破魔击·日",F31&gt;59)))</f>
        <v>0</v>
      </c>
      <c r="CM32" s="115" t="b">
        <f ca="1">OR(CL32,AND(C32="净世破魔击·日",CL31,RAND()&lt;模拟模式!$U$23))</f>
        <v>0</v>
      </c>
      <c r="CN32" s="115" t="b">
        <f ca="1">IF(模拟模式!$M$7="辉耀红尘",AND(C32="净世破魔击·月",CL32,CV32=0,E31&lt;80),AND(C32="净世破魔击·月",CL32,E31&lt;100))</f>
        <v>0</v>
      </c>
      <c r="CO32" s="115" t="b">
        <f t="shared" ca="1" si="9"/>
        <v>0</v>
      </c>
      <c r="CP32" s="115" t="b">
        <f ca="1">AND(模拟模式!$O$7="用晦而明",OR(C32="净世破魔击·日",C32="净世破魔击·月",C32="驱夜断愁"),AB32)</f>
        <v>0</v>
      </c>
      <c r="CQ32" s="115" t="b">
        <f ca="1">OR(CP32,AND(CP31,RAND()&lt;模拟模式!$U$23))</f>
        <v>0</v>
      </c>
      <c r="CR32" s="115" t="b">
        <f ca="1">AND(模拟模式!$S$7="日月齐光",OR(C32="幽月轮1",C32="幽月轮2",C32="幽月轮3",CR31),NOT(OR(C32="赤日轮1",C32="赤日轮2",C32="赤日轮3")))</f>
        <v>0</v>
      </c>
      <c r="CS32" s="115" t="b">
        <f ca="1">AND(模拟模式!$S$7="日月齐光",OR(C32="赤日轮1",C32="赤日轮2",C32="赤日轮3",CS31),NOT(OR(C32="幽月轮1",C32="幽月轮2",C32="幽月轮3")))</f>
        <v>0</v>
      </c>
      <c r="CT32" s="115">
        <f t="shared" ca="1" si="50"/>
        <v>0</v>
      </c>
      <c r="CU32" s="115" t="b">
        <f ca="1">AND(模拟模式!$K$10="阴阳往极",CT31=0,RAND()&lt;IF(C32="净世破魔击·月",0.0275*7/3,IF(C32="净世破魔击·日",0.0275*3/3,0.0275*2/3)))</f>
        <v>0</v>
      </c>
      <c r="CV32" s="115">
        <f t="shared" ca="1" si="51"/>
        <v>0</v>
      </c>
      <c r="CW32" s="115">
        <f t="shared" ca="1" si="10"/>
        <v>5.0774999999999997</v>
      </c>
      <c r="CX32" s="115">
        <f t="shared" ca="1" si="11"/>
        <v>3.2324999999999995</v>
      </c>
      <c r="CY32" s="115">
        <f ca="1">MAX(IF($C32="驱夜断愁",IF(模拟模式!$R$7="万念俱寂",6,45),CY31-$F$4),0)</f>
        <v>4.1549999999999994</v>
      </c>
      <c r="CZ32" s="115">
        <f t="shared" ca="1" si="12"/>
        <v>0</v>
      </c>
      <c r="DA32" s="115">
        <f ca="1">IF(模拟模式!$N$7="日月同辉",IF(DB31=2,0,MIN(6,IF(AND(OR(C32="赤日轮1",C32="赤日轮2",C32="赤日轮3",C32="幽月轮1",C32="幽月轮2",C32="幽月轮3"),AB32=1),DA31+1,DA31))),0)</f>
        <v>2</v>
      </c>
      <c r="DB32" s="115">
        <f t="shared" ca="1" si="13"/>
        <v>0</v>
      </c>
      <c r="DD32" s="115"/>
      <c r="DE32" s="115"/>
    </row>
    <row r="33" spans="2:117" x14ac:dyDescent="0.2">
      <c r="B33" s="117">
        <f t="shared" si="14"/>
        <v>5.5350000000000001</v>
      </c>
      <c r="C33" s="167" t="str">
        <f t="shared" ca="1" si="0"/>
        <v>幽月轮2</v>
      </c>
      <c r="D33" s="115">
        <f ca="1">IF(C33="赤日轮1",1,IF(C33="赤日轮2",2,IF(C33="赤日轮3",3,IF(C33="幽月轮1",4,IF(C33="幽月轮2",5,IF(C33="幽月轮3",6,IF(C33="烈日斩",7,IF(C33="银月斩",8,IF(C33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33="净世破魔击·月",17,IF(C33="驱夜断愁",18,0)))))))))))</f>
        <v>5</v>
      </c>
      <c r="E33" s="115">
        <f ca="1">IF(AND(CU33,OR(C33="幽月轮1",C33="幽月轮2",C33="幽月轮3",C33="银月斩",C33="驱夜断愁",C33="净世破魔击·月")),100,MIN(IF(OR(CN33,BE33),0,IF(OR($C33="赤日轮1",$C33="赤日轮2",$C33="赤日轮3"),E32+20+IF(模拟模式!$I$7="日月凌天",4,0)+IF(CR32,20,0),IF($C33="烈日斩",E32+40,IF($C33="驱夜断愁",IF(模拟模式!$R$7="万念俱寂",E32+20,E32+60),IF($C33="净世破魔击·月",IF(OR(DB32&gt;0,CV32&gt;0),100,IF(模拟模式!$M$7="辉耀红尘",E32+20,E32)),IF($C33="净世破魔击·日",E32-100,E32)))))),100))</f>
        <v>80</v>
      </c>
      <c r="F33" s="115">
        <f ca="1">IF(AND(CU33,OR(C33="赤日轮1",C33="赤日轮2",C33="赤日轮3",C33="烈日斩",C33="净世破魔击·日")),100,MIN(IF(CO33,0,IF(OR($C33="幽月轮1",$C33="幽月轮2",$C33="幽月轮3"),F32+20+IF(模拟模式!$I$7="日月凌天",4,0)+IF(CS32,20,0),IF($C33="银月斩",F32+40+IF(模拟模式!$X$12=1,5,0),IF($C33="驱夜断愁",IF(模拟模式!$R$7="万念俱寂",F32+20,F32+60),IF($C33="净世破魔击·月",IF(模拟模式!$M$7="辉耀红尘",F32-80,F32-100),IF(AND(C33="净世破魔击·日",OR(DB32&gt;0,CV32&gt;0)),100,F32)))))),100))</f>
        <v>100</v>
      </c>
      <c r="G33" s="117">
        <f ca="1">('模拟-全程加成'!$E$3+'模拟-全程加成'!$E$4+'模拟-全程加成'!$E$5+('模拟-全程加成'!$C$6-'模拟-全程加成'!$C$3)*系数!$B$9+BS33*23)*(1+'模拟-全程加成'!$F$4+'模拟-全程加成'!$F$5+BJ33*10%+BM33*20%+BP33*4%+CG33*30%)+$F$7*系数!$B$12</f>
        <v>19490.285</v>
      </c>
      <c r="H33" s="45">
        <f ca="1">'模拟-全程加成'!$H$3+'模拟-全程加成'!$H$4+'模拟-全程加成'!$H$5+('模拟-全程加成'!$G$4+'模拟-全程加成'!$G$5+('模拟-全程加成'!$C$6-'模拟-全程加成'!$C$3)*系数!$B$13)/系数!$B$3+LOOKUP(D33,'模拟-单技能数据'!$A$2:$A$19,'模拟-单技能数据'!$K$2:$K$19)+BG33*10%+IF(BV33&gt;0,378,0)</f>
        <v>0.56185145527300218</v>
      </c>
      <c r="I33" s="45">
        <f ca="1">'模拟-全程加成'!$J$3+'模拟-全程加成'!$J$4+'模拟-全程加成'!$J$5+('模拟-全程加成'!$I$4+'模拟-全程加成'!$I$5)/系数!$B$4+LOOKUP(D33,'模拟-单技能数据'!$A$2:$A$19,'模拟-单技能数据'!$L$2:$L$19)+BG33*10%</f>
        <v>2.162482885499879</v>
      </c>
      <c r="J33" s="45">
        <f ca="1">(('模拟-全程加成'!$K$3+'模拟-全程加成'!$K$4+'模拟-全程加成'!$K$5+('模拟-全程加成'!$C$6-'模拟-全程加成'!$C$3)*系数!$B$10+IF(BV33&gt;0,882,0)+IF(BY33&gt;0,1831,0))*(1+'模拟-全程加成'!$L$4+'模拟-全程加成'!$L$5+CC33*20%))/系数!$B$5</f>
        <v>0.69723220422048726</v>
      </c>
      <c r="K33" s="119">
        <f ca="1">LOOKUP(D33,'模拟-单技能数据'!$A$2:$A$19,'模拟-单技能数据'!$J$2:$J$19)+IF(CM33,60%,0)+IF(DB32-DB33&gt;0,30%,0)+IF(OR(AND(OR(C33="赤日轮1",C33="赤日轮2",C33="赤日轮3"),CR33),AND(OR(C33="幽月轮1",C33="幽月轮2",C33="幽月轮3"),CS33)),35%,0)+CJ33</f>
        <v>0.12000000000000001</v>
      </c>
      <c r="L33" s="119">
        <f ca="1">IF(AND(C33="烈日斩",模拟模式!$X$11=1),10%,0)+IF(AND(C33="驱夜断愁",AB33=1),30%,0)</f>
        <v>0</v>
      </c>
      <c r="M33" s="45">
        <f t="shared" ca="1" si="15"/>
        <v>0.56185145527300218</v>
      </c>
      <c r="N33" s="45">
        <f t="shared" ca="1" si="16"/>
        <v>0.38424854472699788</v>
      </c>
      <c r="O33" s="46">
        <f t="shared" ca="1" si="17"/>
        <v>0.9073883324197406</v>
      </c>
      <c r="P33" s="46" t="str">
        <f t="shared" ca="1" si="18"/>
        <v>命</v>
      </c>
      <c r="Q33" s="45">
        <f t="shared" ca="1" si="19"/>
        <v>1</v>
      </c>
      <c r="R33" s="117">
        <f ca="1">模拟模式!$E$20*(1-IF(模拟模式!$J$19="有",0.15,0))*(1-IF(模拟模式!$K$19="有",0.3,0)-IF(CQ33,0.5,0))</f>
        <v>2950.6049999999996</v>
      </c>
      <c r="S33" s="45">
        <f ca="1">R33/(R33+(185*模拟模式!$E$22-16800)*4.08224)</f>
        <v>0.24272716014590323</v>
      </c>
      <c r="T33" s="45" t="str">
        <f ca="1">LOOKUP(D33,'模拟-单技能数据'!$A$2:$A$19,'模拟-单技能数据'!$H$2:$H$19)</f>
        <v>阴</v>
      </c>
      <c r="U33" s="119">
        <f t="shared" ca="1" si="20"/>
        <v>0.08</v>
      </c>
      <c r="V33" s="47">
        <f ca="1">(1+L33)*(LOOKUP(D33,'模拟-单技能数据'!$A$2:$A$19,'模拟-单技能数据'!$D$2:$D$19)+G33*LOOKUP(D33,'模拟-单技能数据'!$A$2:$A$19,'模拟-单技能数据'!$F$2:$F$19))*(1+J33)*(1+K33)*(1-S33)*(1+U33)*Q33*LOOKUP(D33,'模拟-单技能数据'!$A$2:$A$19,'模拟-单技能数据'!$I$2:$I$20)</f>
        <v>16088.910765987295</v>
      </c>
      <c r="W33" s="47">
        <f ca="1">LOOKUP(D33,'模拟-单技能数据'!$A$2:$A$19,'模拟-单技能数据'!$G$2:$G$19)*$I$10</f>
        <v>361.51064354704795</v>
      </c>
      <c r="X33" s="47">
        <f t="shared" ca="1" si="21"/>
        <v>2786.9913784746154</v>
      </c>
      <c r="Y33" s="47">
        <f t="shared" ca="1" si="22"/>
        <v>19237.412788008958</v>
      </c>
      <c r="Z33" s="49">
        <f t="shared" ca="1" si="23"/>
        <v>330236.94642534287</v>
      </c>
      <c r="AA33" s="97">
        <f t="shared" ca="1" si="24"/>
        <v>59663.404954894824</v>
      </c>
      <c r="AB33" s="115">
        <f ca="1">IF(OR(C33="赤日轮1",C33="赤日轮2",C33="赤日轮3"),IF(RAND()&lt;模拟模式!$Y$17,1,0),IF(OR(C33="幽月轮1",C33="幽月轮2",C33="幽月轮3"),IF(RAND()&lt;模拟模式!$Y$18,1,0),IF(C33="烈日斩",IF(RAND()&lt;模拟模式!$Y$19,1,0),IF(C33="银月斩",IF(RAND()&lt;模拟模式!$Y$20,1,0),IF(C33="驱夜断愁",IF(RAND()&lt;模拟模式!$Y$21,1,0),IF(C33="净世破魔击·日",IF(RAND()&lt;模拟模式!$Y$22,1,0),IF(C33="净世破魔击·月",IF(RAND()&lt;模拟模式!$Y$23,1,0),0)))))))</f>
        <v>1</v>
      </c>
      <c r="AC33" s="115" t="b">
        <f t="shared" ca="1" si="1"/>
        <v>0</v>
      </c>
      <c r="AD33" s="115" t="b">
        <f t="shared" ca="1" si="52"/>
        <v>1</v>
      </c>
      <c r="AE33" s="115">
        <f t="shared" ca="1" si="53"/>
        <v>4</v>
      </c>
      <c r="AF33" s="47">
        <f ca="1">IF(AC33,('模拟-单技能数据'!$D$20+G33*'模拟-单技能数据'!$F$20)*(1+J33)*(1+'模拟-单技能数据'!$J$20)*(1+U33),0)</f>
        <v>0</v>
      </c>
      <c r="AG33" s="61">
        <f t="shared" ca="1" si="25"/>
        <v>0.64185145527300214</v>
      </c>
      <c r="AH33" s="61">
        <f t="shared" ca="1" si="26"/>
        <v>2.2624828854998791</v>
      </c>
      <c r="AI33" s="62">
        <f t="shared" ca="1" si="27"/>
        <v>0.96874445166456535</v>
      </c>
      <c r="AJ33" s="47">
        <f ca="1">IF(AD33,IF(AI33&lt;$F$10,0,IF(AI33&lt;$F$10+$F$11,0.25,IF(AI33&lt;$F$10+$F$11+AG33,AH33,1)))*IF(AF33&gt;0,AF33,IF(AF32&gt;0,AF32,IF(AF31&gt;0,AF31,IF(AF30&gt;0,AF30,IF(AF29&gt;0,AF29,IF(AF28&gt;0,AF28,IF(AF27&gt;0,AF27,IF(AF26&gt;0,AF26,IF(AF25&gt;0,AF25,IF(AF21&gt;0,AF21,IF(AF20&gt;0,AF20,IF(AF19&gt;0,AF19,0)))))))))))),0)*(1-$S33)*'模拟-单技能数据'!$I$20</f>
        <v>2786.9913784746154</v>
      </c>
      <c r="AK33" s="115" t="b">
        <f t="shared" ca="1" si="2"/>
        <v>0</v>
      </c>
      <c r="AL33" s="115" t="b">
        <f t="shared" ca="1" si="54"/>
        <v>0</v>
      </c>
      <c r="AM33" s="115">
        <f t="shared" ca="1" si="55"/>
        <v>0</v>
      </c>
      <c r="AN33" s="47">
        <f ca="1">IF(AK33,('模拟-单技能数据'!$D$21+G33*'模拟-单技能数据'!$F$21)*(1+J33)*(1+'模拟-单技能数据'!$J$21)*(1+U33),0)</f>
        <v>0</v>
      </c>
      <c r="AO33" s="61">
        <f ca="1">IF(AN33&gt;0,M33-'模拟-单技能数据'!$K$10,AO32)</f>
        <v>0</v>
      </c>
      <c r="AP33" s="61">
        <f ca="1">IF(AN33&gt;0,I33-'模拟-单技能数据'!$L$10,AP32)</f>
        <v>0</v>
      </c>
      <c r="AQ33" s="63">
        <f t="shared" ca="1" si="28"/>
        <v>0.63854956591123713</v>
      </c>
      <c r="AR33" s="64">
        <f ca="1">IF(AL33,IF(AQ33&lt;$F$10,0,IF(AQ33&lt;$F$10+$F$11,0.25,IF(AQ33&lt;$F$10+$F$11+AO33,AP33,1)))*IF(AN33&gt;0,AN33,IF(AN32&gt;0,AN32,IF(AN31&gt;0,AN31,IF(AN30&gt;0,AN30,IF(AN29&gt;0,AN29,IF(AN28&gt;0,AN28,IF(AN27&gt;0,AN27,IF(AN26&gt;0,AN26,IF(AN25&gt;0,AN25,IF(AN21&gt;0,AN21,IF(AN20&gt;0,AN20,IF(AN19&gt;0,AN19,0)))))))))))),0)*(1-$S33)*'模拟-单技能数据'!$I$21</f>
        <v>0</v>
      </c>
      <c r="AS33" s="61">
        <f ca="1">IF(OR(C33="净世破魔击·日",C33="净世破魔击·月"),M33-'模拟-单技能数据'!$K$10,0)</f>
        <v>0</v>
      </c>
      <c r="AT33" s="61">
        <f ca="1">IF(OR(C33="净世破魔击·日",C33="净世破魔击·月"),I33-'模拟-单技能数据'!$L$10,0)</f>
        <v>0</v>
      </c>
      <c r="AU33" s="62">
        <f t="shared" ca="1" si="29"/>
        <v>4.4359789203020417E-2</v>
      </c>
      <c r="AV33" s="64">
        <f ca="1">IF(AS33&gt;0,('模拟-单技能数据'!$D$22+G33*'模拟-单技能数据'!$F$22)*(1+J33)*(1-S33)*IF(AU33&lt;$F$10,0,IF(AU33&lt;$F$10+$F$11,0.25,IF(AU33&lt;$F$10+$F$11+AS33,AT33,1)))*(1+U33),0)*'模拟-单技能数据'!$I$22</f>
        <v>0</v>
      </c>
      <c r="AW33" s="108">
        <f t="shared" ca="1" si="30"/>
        <v>0</v>
      </c>
      <c r="AX33" s="108" t="b">
        <f ca="1">AND(模拟模式!$P$10="有",AW32=0,RAND()&lt;IF(C33="净世破魔击·月",0.1*8/3,IF(C33="净世破魔击·日",0.1*4/3,0.1*2/3)))</f>
        <v>0</v>
      </c>
      <c r="AY33" s="47">
        <f ca="1">IF(AX33,(18+G33*0.722)*(1+J33)*(1-S33)*(1+$I$4)*IF(P33="会",'模拟-全程加成'!$J$3+'模拟-全程加成'!$J$4+'模拟-全程加成'!$J$5+('模拟-全程加成'!$I$4+'模拟-全程加成'!$I$5)/系数!$B$4+BG33*10%,IF(P33="命",1,IF(P33="识",0.25,0))),0)</f>
        <v>0</v>
      </c>
      <c r="AZ33" s="108">
        <f t="shared" si="31"/>
        <v>14.465000000000003</v>
      </c>
      <c r="BA33" s="108" t="b">
        <f>AND(模拟模式!$Q$10="有",AZ32=0)</f>
        <v>0</v>
      </c>
      <c r="BB33" s="140">
        <f>IF(BA33,(0+G33*0.287)*(1+J33)*(1-S33)*(1+$I$4)*IF(P33="会",'模拟-全程加成'!$J$3+'模拟-全程加成'!$J$4+'模拟-全程加成'!$J$5+('模拟-全程加成'!$I$4+'模拟-全程加成'!$I$5)/系数!$B$4+BG33*10%,IF(P33="命",1,IF(P33="识",0.25,0))),0)</f>
        <v>0</v>
      </c>
      <c r="BC33" s="115" t="b">
        <f ca="1">AND(模拟模式!$R$7="伏明众生",E33=60,F33=20,DA33&lt;5,CZ32&lt;$F$4)</f>
        <v>0</v>
      </c>
      <c r="BD33" s="115">
        <f t="shared" ca="1" si="3"/>
        <v>0</v>
      </c>
      <c r="BE33" s="115" t="b">
        <f t="shared" ca="1" si="4"/>
        <v>0</v>
      </c>
      <c r="BF33" s="47">
        <f ca="1">IF(BC33,4*('模拟-单技能数据'!$D$24+G33*'模拟-单技能数据'!$F$24)*(1+J33)*(1+'模拟-单技能数据'!$J$24)*(1-S33)*(1+$I$3)*(('模拟-全程加成'!$J$3+'模拟-全程加成'!$J$4+'模拟-全程加成'!$J$5+('模拟-全程加成'!$I$4+'模拟-全程加成'!$I$5)/系数!$B$4+BG33*10%)*('模拟-全程加成'!$J$3+'模拟-全程加成'!$J$4+'模拟-全程加成'!$J$5+('模拟-全程加成'!$I$4+'模拟-全程加成'!$I$5)/系数!$B$4+BG33*10%)+(1-('模拟-全程加成'!$J$3+'模拟-全程加成'!$J$4+'模拟-全程加成'!$J$5+('模拟-全程加成'!$I$4+'模拟-全程加成'!$I$5)/系数!$B$4+BG33*10%)-$F$10-$F$11)+F16*0.25),0)*'模拟-单技能数据'!$I$24</f>
        <v>0</v>
      </c>
      <c r="BG33" s="115" t="b">
        <f ca="1">OR(AND(OR(C33="烈日斩",C33="银月斩"),模拟模式!$I$7="净身明礼"),AND(C33="净世破魔击·日",模拟模式!$J$7="洞若观火"),AND(C34="净世破魔击·月",模拟模式!$J$7="洞若观火"),AB33=1)</f>
        <v>1</v>
      </c>
      <c r="BH33" s="115" t="b">
        <f t="shared" ca="1" si="32"/>
        <v>0</v>
      </c>
      <c r="BI33" s="115">
        <f t="shared" ca="1" si="5"/>
        <v>0</v>
      </c>
      <c r="BJ33" s="115" t="b">
        <f t="shared" ca="1" si="33"/>
        <v>0</v>
      </c>
      <c r="BK33" s="115" t="b">
        <f ca="1">AND(C33="驱夜断愁",模拟模式!$P$7="天地诛戮")</f>
        <v>0</v>
      </c>
      <c r="BL33" s="57">
        <f t="shared" ca="1" si="6"/>
        <v>17.232500000000002</v>
      </c>
      <c r="BM33" s="115" t="b">
        <f t="shared" ca="1" si="34"/>
        <v>1</v>
      </c>
      <c r="BN33" s="115" t="b">
        <f ca="1">AND(OR(C33="赤日轮1",C33="赤日轮2",C33="赤日轮3",C33="幽月轮1",C33="幽月轮2",C33="幽月轮3"),AB33=1,模拟模式!$L$7="明光恒照")</f>
        <v>1</v>
      </c>
      <c r="BO33" s="117">
        <f t="shared" ca="1" si="7"/>
        <v>30</v>
      </c>
      <c r="BP33" s="115">
        <f t="shared" ca="1" si="35"/>
        <v>3</v>
      </c>
      <c r="BQ33" s="115" t="b">
        <f>模拟模式!$K$10="2600·水"</f>
        <v>0</v>
      </c>
      <c r="BR33" s="117">
        <f t="shared" si="36"/>
        <v>0</v>
      </c>
      <c r="BS33" s="115">
        <f t="shared" si="37"/>
        <v>0</v>
      </c>
      <c r="BT33" s="115">
        <f t="shared" ca="1" si="38"/>
        <v>0</v>
      </c>
      <c r="BU33" s="115" t="b">
        <f ca="1">AND(模拟模式!$K$10="2300·雷",BT32=0,RAND()&lt;IF(C33="净世破魔击·月",5*0.05*2/3,IF(C33="净世破魔击·日",3*0.05*2/3,0.05*2*2/3)))</f>
        <v>0</v>
      </c>
      <c r="BV33" s="115">
        <f t="shared" ca="1" si="39"/>
        <v>0</v>
      </c>
      <c r="BW33" s="115">
        <f t="shared" ca="1" si="40"/>
        <v>0</v>
      </c>
      <c r="BX33" s="164" t="b">
        <f t="shared" ca="1" si="41"/>
        <v>0</v>
      </c>
      <c r="BY33" s="115">
        <f t="shared" ca="1" si="42"/>
        <v>0</v>
      </c>
      <c r="BZ33" s="115">
        <f>IF(OR(模拟模式!$P$16="10人团",模拟模式!$P$16="25人团"),IF(B33/30&gt;CA32,1,0),0)</f>
        <v>0</v>
      </c>
      <c r="CA33" s="115">
        <f t="shared" si="8"/>
        <v>0</v>
      </c>
      <c r="CB33" s="115">
        <f ca="1">IF(BZ33=1,IF(模拟模式!$P$16="10人团",15,0)+IF(模拟模式!$P$16="25人团",IF(RAND()&lt;0.6,15,0)),MAX(0,CB32-$F$4))</f>
        <v>0</v>
      </c>
      <c r="CC33" s="115" t="b">
        <f t="shared" ca="1" si="43"/>
        <v>0</v>
      </c>
      <c r="CD33" s="115">
        <f>IF(模拟模式!$Q$16="1个",IF(B33/40&gt;CE32,1,0),0)</f>
        <v>0</v>
      </c>
      <c r="CE33" s="115">
        <f t="shared" si="44"/>
        <v>0</v>
      </c>
      <c r="CF33" s="115">
        <f>IF(OR(CD33=1,模拟模式!$Q$16="2个"),20,MAX(0,CF32-$F$4))</f>
        <v>0</v>
      </c>
      <c r="CG33" s="115" t="b">
        <f t="shared" si="45"/>
        <v>0</v>
      </c>
      <c r="CH33" s="115">
        <f t="shared" ca="1" si="46"/>
        <v>25.387500000000003</v>
      </c>
      <c r="CI33" s="115" t="b">
        <f t="shared" ca="1" si="47"/>
        <v>0</v>
      </c>
      <c r="CJ33" s="119">
        <f t="shared" ca="1" si="48"/>
        <v>0.05</v>
      </c>
      <c r="CK33" s="115">
        <f t="shared" ca="1" si="49"/>
        <v>3.3874999999999988</v>
      </c>
      <c r="CL33" s="115" t="b">
        <f ca="1">AND(模拟模式!$S$7="驱夷逐法",OR(AND(C33="净世破魔击·月",E32&gt;59),AND(C33="净世破魔击·日",F32&gt;59)))</f>
        <v>0</v>
      </c>
      <c r="CM33" s="115" t="b">
        <f ca="1">OR(CL33,AND(C33="净世破魔击·日",CL32,RAND()&lt;模拟模式!$U$23))</f>
        <v>0</v>
      </c>
      <c r="CN33" s="115" t="b">
        <f ca="1">IF(模拟模式!$M$7="辉耀红尘",AND(C33="净世破魔击·月",CL33,CV33=0,E32&lt;80),AND(C33="净世破魔击·月",CL33,E32&lt;100))</f>
        <v>0</v>
      </c>
      <c r="CO33" s="115" t="b">
        <f t="shared" ca="1" si="9"/>
        <v>0</v>
      </c>
      <c r="CP33" s="115" t="b">
        <f ca="1">AND(模拟模式!$O$7="用晦而明",OR(C33="净世破魔击·日",C33="净世破魔击·月",C33="驱夜断愁"),AB33)</f>
        <v>0</v>
      </c>
      <c r="CQ33" s="115" t="b">
        <f ca="1">OR(CP33,AND(CP32,RAND()&lt;模拟模式!$U$23))</f>
        <v>0</v>
      </c>
      <c r="CR33" s="115" t="b">
        <f ca="1">AND(模拟模式!$S$7="日月齐光",OR(C33="幽月轮1",C33="幽月轮2",C33="幽月轮3",CR32),NOT(OR(C33="赤日轮1",C33="赤日轮2",C33="赤日轮3")))</f>
        <v>0</v>
      </c>
      <c r="CS33" s="115" t="b">
        <f ca="1">AND(模拟模式!$S$7="日月齐光",OR(C33="赤日轮1",C33="赤日轮2",C33="赤日轮3",CS32),NOT(OR(C33="幽月轮1",C33="幽月轮2",C33="幽月轮3")))</f>
        <v>0</v>
      </c>
      <c r="CT33" s="115">
        <f t="shared" ca="1" si="50"/>
        <v>0</v>
      </c>
      <c r="CU33" s="115" t="b">
        <f ca="1">AND(模拟模式!$K$10="阴阳往极",CT32=0,RAND()&lt;IF(C33="净世破魔击·月",0.0275*7/3,IF(C33="净世破魔击·日",0.0275*3/3,0.0275*2/3)))</f>
        <v>0</v>
      </c>
      <c r="CV33" s="115">
        <f t="shared" ca="1" si="51"/>
        <v>0</v>
      </c>
      <c r="CW33" s="115">
        <f t="shared" ca="1" si="10"/>
        <v>4.1549999999999994</v>
      </c>
      <c r="CX33" s="115">
        <f t="shared" ca="1" si="11"/>
        <v>2.3099999999999996</v>
      </c>
      <c r="CY33" s="115">
        <f ca="1">MAX(IF($C33="驱夜断愁",IF(模拟模式!$R$7="万念俱寂",6,45),CY32-$F$4),0)</f>
        <v>3.2324999999999995</v>
      </c>
      <c r="CZ33" s="115">
        <f t="shared" ca="1" si="12"/>
        <v>0</v>
      </c>
      <c r="DA33" s="115">
        <f ca="1">IF(模拟模式!$N$7="日月同辉",IF(DB32=2,0,MIN(6,IF(AND(OR(C33="赤日轮1",C33="赤日轮2",C33="赤日轮3",C33="幽月轮1",C33="幽月轮2",C33="幽月轮3"),AB33=1),DA32+1,DA32))),0)</f>
        <v>3</v>
      </c>
      <c r="DB33" s="115">
        <f t="shared" ca="1" si="13"/>
        <v>0</v>
      </c>
      <c r="DD33" s="115"/>
      <c r="DE33" s="115"/>
      <c r="DF33" s="115"/>
      <c r="DG33" s="115"/>
      <c r="DH33" s="115"/>
      <c r="DI33" s="115"/>
      <c r="DJ33" s="115"/>
      <c r="DK33" s="115"/>
      <c r="DL33" s="115"/>
      <c r="DM33" s="115"/>
    </row>
    <row r="34" spans="2:117" x14ac:dyDescent="0.2">
      <c r="B34" s="117">
        <f t="shared" si="14"/>
        <v>6.4575000000000005</v>
      </c>
      <c r="C34" s="167" t="str">
        <f t="shared" ca="1" si="0"/>
        <v>净世破魔击·月</v>
      </c>
      <c r="D34" s="115">
        <f ca="1">IF(C34="赤日轮1",1,IF(C34="赤日轮2",2,IF(C34="赤日轮3",3,IF(C34="幽月轮1",4,IF(C34="幽月轮2",5,IF(C34="幽月轮3",6,IF(C34="烈日斩",7,IF(C34="银月斩",8,IF(C34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34="净世破魔击·月",17,IF(C34="驱夜断愁",18,0)))))))))))</f>
        <v>17</v>
      </c>
      <c r="E34" s="115">
        <f ca="1">IF(AND(CU34,OR(C34="幽月轮1",C34="幽月轮2",C34="幽月轮3",C34="银月斩",C34="驱夜断愁",C34="净世破魔击·月")),100,MIN(IF(OR(CN34,BE34),0,IF(OR($C34="赤日轮1",$C34="赤日轮2",$C34="赤日轮3"),E33+20+IF(模拟模式!$I$7="日月凌天",4,0)+IF(CR33,20,0),IF($C34="烈日斩",E33+40,IF($C34="驱夜断愁",IF(模拟模式!$R$7="万念俱寂",E33+20,E33+60),IF($C34="净世破魔击·月",IF(OR(DB33&gt;0,CV33&gt;0),100,IF(模拟模式!$M$7="辉耀红尘",E33+20,E33)),IF($C34="净世破魔击·日",E33-100,E33)))))),100))</f>
        <v>100</v>
      </c>
      <c r="F34" s="115">
        <f ca="1">IF(AND(CU34,OR(C34="赤日轮1",C34="赤日轮2",C34="赤日轮3",C34="烈日斩",C34="净世破魔击·日")),100,MIN(IF(CO34,0,IF(OR($C34="幽月轮1",$C34="幽月轮2",$C34="幽月轮3"),F33+20+IF(模拟模式!$I$7="日月凌天",4,0)+IF(CS33,20,0),IF($C34="银月斩",F33+40+IF(模拟模式!$X$12=1,5,0),IF($C34="驱夜断愁",IF(模拟模式!$R$7="万念俱寂",F33+20,F33+60),IF($C34="净世破魔击·月",IF(模拟模式!$M$7="辉耀红尘",F33-80,F33-100),IF(AND(C34="净世破魔击·日",OR(DB33&gt;0,CV33&gt;0)),100,F33)))))),100))</f>
        <v>20</v>
      </c>
      <c r="G34" s="117">
        <f ca="1">('模拟-全程加成'!$E$3+'模拟-全程加成'!$E$4+'模拟-全程加成'!$E$5+('模拟-全程加成'!$C$6-'模拟-全程加成'!$C$3)*系数!$B$9+BS34*23)*(1+'模拟-全程加成'!$F$4+'模拟-全程加成'!$F$5+BJ34*10%+BM34*20%+BP34*4%+CG34*30%)+$F$7*系数!$B$12</f>
        <v>19490.285</v>
      </c>
      <c r="H34" s="45">
        <f ca="1">'模拟-全程加成'!$H$3+'模拟-全程加成'!$H$4+'模拟-全程加成'!$H$5+('模拟-全程加成'!$G$4+'模拟-全程加成'!$G$5+('模拟-全程加成'!$C$6-'模拟-全程加成'!$C$3)*系数!$B$13)/系数!$B$3+LOOKUP(D34,'模拟-单技能数据'!$A$2:$A$19,'模拟-单技能数据'!$K$2:$K$19)+BG34*10%+IF(BV34&gt;0,378,0)</f>
        <v>0.54185145527300216</v>
      </c>
      <c r="I34" s="45">
        <f ca="1">'模拟-全程加成'!$J$3+'模拟-全程加成'!$J$4+'模拟-全程加成'!$J$5+('模拟-全程加成'!$I$4+'模拟-全程加成'!$I$5)/系数!$B$4+LOOKUP(D34,'模拟-单技能数据'!$A$2:$A$19,'模拟-单技能数据'!$L$2:$L$19)+BG34*10%</f>
        <v>2.162482885499879</v>
      </c>
      <c r="J34" s="45">
        <f ca="1">(('模拟-全程加成'!$K$3+'模拟-全程加成'!$K$4+'模拟-全程加成'!$K$5+('模拟-全程加成'!$C$6-'模拟-全程加成'!$C$3)*系数!$B$10+IF(BV34&gt;0,882,0)+IF(BY34&gt;0,1831,0))*(1+'模拟-全程加成'!$L$4+'模拟-全程加成'!$L$5+CC34*20%))/系数!$B$5</f>
        <v>0.85832564669386491</v>
      </c>
      <c r="K34" s="119">
        <f ca="1">LOOKUP(D34,'模拟-单技能数据'!$A$2:$A$19,'模拟-单技能数据'!$J$2:$J$19)+IF(CM34,60%,0)+IF(DB33-DB34&gt;0,30%,0)+IF(OR(AND(OR(C34="赤日轮1",C34="赤日轮2",C34="赤日轮3"),CR34),AND(OR(C34="幽月轮1",C34="幽月轮2",C34="幽月轮3"),CS34)),35%,0)+CJ34</f>
        <v>0.85000000000000009</v>
      </c>
      <c r="L34" s="119">
        <f ca="1">IF(AND(C34="烈日斩",模拟模式!$X$11=1),10%,0)+IF(AND(C34="驱夜断愁",AB34=1),30%,0)</f>
        <v>0</v>
      </c>
      <c r="M34" s="45">
        <f t="shared" ca="1" si="15"/>
        <v>0.54185145527300216</v>
      </c>
      <c r="N34" s="45">
        <f t="shared" ca="1" si="16"/>
        <v>0.40424854472699789</v>
      </c>
      <c r="O34" s="46">
        <f t="shared" ca="1" si="17"/>
        <v>0.82235851076168209</v>
      </c>
      <c r="P34" s="46" t="str">
        <f t="shared" ca="1" si="18"/>
        <v>命</v>
      </c>
      <c r="Q34" s="45">
        <f t="shared" ca="1" si="19"/>
        <v>1</v>
      </c>
      <c r="R34" s="117">
        <f ca="1">模拟模式!$E$20*(1-IF(模拟模式!$J$19="有",0.15,0))*(1-IF(模拟模式!$K$19="有",0.3,0)-IF(CQ34,0.5,0))</f>
        <v>843.02999999999975</v>
      </c>
      <c r="S34" s="45">
        <f ca="1">R34/(R34+(185*模拟模式!$E$22-16800)*4.08224)</f>
        <v>8.389626085980037E-2</v>
      </c>
      <c r="T34" s="45" t="str">
        <f ca="1">LOOKUP(D34,'模拟-单技能数据'!$A$2:$A$19,'模拟-单技能数据'!$H$2:$H$19)</f>
        <v>阴</v>
      </c>
      <c r="U34" s="119">
        <f t="shared" ca="1" si="20"/>
        <v>0.08</v>
      </c>
      <c r="V34" s="47">
        <f ca="1">(1+L34)*(LOOKUP(D34,'模拟-单技能数据'!$A$2:$A$19,'模拟-单技能数据'!$D$2:$D$19)+G34*LOOKUP(D34,'模拟-单技能数据'!$A$2:$A$19,'模拟-单技能数据'!$F$2:$F$19))*(1+J34)*(1+K34)*(1-S34)*(1+U34)*Q34*LOOKUP(D34,'模拟-单技能数据'!$A$2:$A$19,'模拟-单技能数据'!$I$2:$I$20)</f>
        <v>86207.924322148247</v>
      </c>
      <c r="W34" s="47">
        <f ca="1">LOOKUP(D34,'模拟-单技能数据'!$A$2:$A$19,'模拟-单技能数据'!$G$2:$G$19)*$I$10</f>
        <v>361.51064354704795</v>
      </c>
      <c r="X34" s="47">
        <f t="shared" ca="1" si="21"/>
        <v>7948.3640624429972</v>
      </c>
      <c r="Y34" s="47">
        <f t="shared" ca="1" si="22"/>
        <v>94517.799028138295</v>
      </c>
      <c r="Z34" s="49">
        <f t="shared" ca="1" si="23"/>
        <v>424754.74545348115</v>
      </c>
      <c r="AA34" s="97">
        <f t="shared" ca="1" si="24"/>
        <v>65776.964065579727</v>
      </c>
      <c r="AB34" s="115">
        <f ca="1">IF(OR(C34="赤日轮1",C34="赤日轮2",C34="赤日轮3"),IF(RAND()&lt;模拟模式!$Y$17,1,0),IF(OR(C34="幽月轮1",C34="幽月轮2",C34="幽月轮3"),IF(RAND()&lt;模拟模式!$Y$18,1,0),IF(C34="烈日斩",IF(RAND()&lt;模拟模式!$Y$19,1,0),IF(C34="银月斩",IF(RAND()&lt;模拟模式!$Y$20,1,0),IF(C34="驱夜断愁",IF(RAND()&lt;模拟模式!$Y$21,1,0),IF(C34="净世破魔击·日",IF(RAND()&lt;模拟模式!$Y$22,1,0),IF(C34="净世破魔击·月",IF(RAND()&lt;模拟模式!$Y$23,1,0),0)))))))</f>
        <v>1</v>
      </c>
      <c r="AC34" s="115" t="b">
        <f t="shared" ca="1" si="1"/>
        <v>0</v>
      </c>
      <c r="AD34" s="115" t="b">
        <f t="shared" ca="1" si="52"/>
        <v>0</v>
      </c>
      <c r="AE34" s="115">
        <f t="shared" ca="1" si="53"/>
        <v>4</v>
      </c>
      <c r="AF34" s="47">
        <f ca="1">IF(AC34,('模拟-单技能数据'!$D$20+G34*'模拟-单技能数据'!$F$20)*(1+J34)*(1+'模拟-单技能数据'!$J$20)*(1+U34),0)</f>
        <v>0</v>
      </c>
      <c r="AG34" s="61">
        <f t="shared" ca="1" si="25"/>
        <v>0.64185145527300214</v>
      </c>
      <c r="AH34" s="61">
        <f t="shared" ca="1" si="26"/>
        <v>2.2624828854998791</v>
      </c>
      <c r="AI34" s="62">
        <f t="shared" ca="1" si="27"/>
        <v>0.75682373310426032</v>
      </c>
      <c r="AJ34" s="47">
        <f ca="1">IF(AD34,IF(AI34&lt;$F$10,0,IF(AI34&lt;$F$10+$F$11,0.25,IF(AI34&lt;$F$10+$F$11+AG34,AH34,1)))*IF(AF34&gt;0,AF34,IF(AF33&gt;0,AF33,IF(AF32&gt;0,AF32,IF(AF31&gt;0,AF31,IF(AF30&gt;0,AF30,IF(AF29&gt;0,AF29,IF(AF28&gt;0,AF28,IF(AF27&gt;0,AF27,IF(AF26&gt;0,AF26,IF(AF24&gt;0,AF24,IF(AF21&gt;0,AF21,IF(AF20&gt;0,AF20,0)))))))))))),0)*(1-$S34)*'模拟-单技能数据'!$I$20</f>
        <v>0</v>
      </c>
      <c r="AK34" s="115" t="b">
        <f t="shared" ca="1" si="2"/>
        <v>0</v>
      </c>
      <c r="AL34" s="115" t="b">
        <f t="shared" ca="1" si="54"/>
        <v>0</v>
      </c>
      <c r="AM34" s="115">
        <f t="shared" ca="1" si="55"/>
        <v>0</v>
      </c>
      <c r="AN34" s="47">
        <f ca="1">IF(AK34,('模拟-单技能数据'!$D$21+G34*'模拟-单技能数据'!$F$21)*(1+J34)*(1+'模拟-单技能数据'!$J$21)*(1+U34),0)</f>
        <v>0</v>
      </c>
      <c r="AO34" s="61">
        <f ca="1">IF(AN34&gt;0,M34-'模拟-单技能数据'!$K$10,AO33)</f>
        <v>0</v>
      </c>
      <c r="AP34" s="61">
        <f ca="1">IF(AN34&gt;0,I34-'模拟-单技能数据'!$L$10,AP33)</f>
        <v>0</v>
      </c>
      <c r="AQ34" s="63">
        <f t="shared" ca="1" si="28"/>
        <v>0.51749358638206222</v>
      </c>
      <c r="AR34" s="64">
        <f ca="1">IF(AL34,IF(AQ34&lt;$F$10,0,IF(AQ34&lt;$F$10+$F$11,0.25,IF(AQ34&lt;$F$10+$F$11+AO34,AP34,1)))*IF(AN34&gt;0,AN34,IF(AN33&gt;0,AN33,IF(AN32&gt;0,AN32,IF(AN31&gt;0,AN31,IF(AN30&gt;0,AN30,IF(AN29&gt;0,AN29,IF(AN28&gt;0,AN28,IF(AN27&gt;0,AN27,IF(AN26&gt;0,AN26,IF(AN24&gt;0,AN24,IF(AN21&gt;0,AN21,IF(AN20&gt;0,AN20,0)))))))))))),0)*(1-$S34)*'模拟-单技能数据'!$I$21</f>
        <v>0</v>
      </c>
      <c r="AS34" s="61">
        <f ca="1">IF(OR(C34="净世破魔击·日",C34="净世破魔击·月"),M34-'模拟-单技能数据'!$K$10,0)</f>
        <v>0.42185145527300216</v>
      </c>
      <c r="AT34" s="61">
        <f ca="1">IF(OR(C34="净世破魔击·日",C34="净世破魔击·月"),I34-'模拟-单技能数据'!$L$10,0)</f>
        <v>2.162482885499879</v>
      </c>
      <c r="AU34" s="62">
        <f t="shared" ca="1" si="29"/>
        <v>0.97865888999974349</v>
      </c>
      <c r="AV34" s="64">
        <f ca="1">IF(AS34&gt;0,('模拟-单技能数据'!$D$22+G34*'模拟-单技能数据'!$F$22)*(1+J34)*(1-S34)*IF(AU34&lt;$F$10,0,IF(AU34&lt;$F$10+$F$11,0.25,IF(AU34&lt;$F$10+$F$11+AS34,AT34,1)))*(1+U34),0)*'模拟-单技能数据'!$I$22</f>
        <v>7948.3640624429972</v>
      </c>
      <c r="AW34" s="108">
        <f t="shared" ca="1" si="30"/>
        <v>0</v>
      </c>
      <c r="AX34" s="108" t="b">
        <f ca="1">AND(模拟模式!$P$10="有",AW33=0,RAND()&lt;IF(C34="净世破魔击·月",0.1*8/3,IF(C34="净世破魔击·日",0.1*4/3,0.1*2/3)))</f>
        <v>0</v>
      </c>
      <c r="AY34" s="47">
        <f ca="1">IF(AX34,(18+G34*0.722)*(1+J34)*(1-S34)*(1+$I$4)*IF(P34="会",'模拟-全程加成'!$J$3+'模拟-全程加成'!$J$4+'模拟-全程加成'!$J$5+('模拟-全程加成'!$I$4+'模拟-全程加成'!$I$5)/系数!$B$4+BG34*10%,IF(P34="命",1,IF(P34="识",0.25,0))),0)</f>
        <v>0</v>
      </c>
      <c r="AZ34" s="108">
        <f t="shared" si="31"/>
        <v>13.542500000000004</v>
      </c>
      <c r="BA34" s="108" t="b">
        <f>AND(模拟模式!$Q$10="有",AZ33=0)</f>
        <v>0</v>
      </c>
      <c r="BB34" s="140">
        <f>IF(BA34,(0+G34*0.287)*(1+J34)*(1-S34)*(1+$I$4)*IF(P34="会",'模拟-全程加成'!$J$3+'模拟-全程加成'!$J$4+'模拟-全程加成'!$J$5+('模拟-全程加成'!$I$4+'模拟-全程加成'!$I$5)/系数!$B$4+BG34*10%,IF(P34="命",1,IF(P34="识",0.25,0))),0)</f>
        <v>0</v>
      </c>
      <c r="BC34" s="115" t="b">
        <f ca="1">AND(模拟模式!$R$7="伏明众生",E34=60,F34=20,DA34&lt;5,CZ33&lt;$F$4)</f>
        <v>0</v>
      </c>
      <c r="BD34" s="115">
        <f t="shared" ca="1" si="3"/>
        <v>0</v>
      </c>
      <c r="BE34" s="115" t="b">
        <f t="shared" ca="1" si="4"/>
        <v>0</v>
      </c>
      <c r="BF34" s="47">
        <f ca="1">IF(BC34,4*('模拟-单技能数据'!$D$24+G34*'模拟-单技能数据'!$F$24)*(1+J34)*(1+'模拟-单技能数据'!$J$24)*(1-S34)*(1+$I$3)*(('模拟-全程加成'!$J$3+'模拟-全程加成'!$J$4+'模拟-全程加成'!$J$5+('模拟-全程加成'!$I$4+'模拟-全程加成'!$I$5)/系数!$B$4+BG34*10%)*('模拟-全程加成'!$J$3+'模拟-全程加成'!$J$4+'模拟-全程加成'!$J$5+('模拟-全程加成'!$I$4+'模拟-全程加成'!$I$5)/系数!$B$4+BG34*10%)+(1-('模拟-全程加成'!$J$3+'模拟-全程加成'!$J$4+'模拟-全程加成'!$J$5+('模拟-全程加成'!$I$4+'模拟-全程加成'!$I$5)/系数!$B$4+BG34*10%)-$F$10-$F$11)+F17*0.25),0)*'模拟-单技能数据'!$I$24</f>
        <v>0</v>
      </c>
      <c r="BG34" s="115" t="b">
        <f ca="1">OR(AND(OR(C34="烈日斩",C34="银月斩"),模拟模式!$I$7="净身明礼"),AND(C34="净世破魔击·日",模拟模式!$J$7="洞若观火"),AND(C35="净世破魔击·月",模拟模式!$J$7="洞若观火"),AB34=1)</f>
        <v>1</v>
      </c>
      <c r="BH34" s="115" t="b">
        <f t="shared" ca="1" si="32"/>
        <v>0</v>
      </c>
      <c r="BI34" s="115">
        <f t="shared" ca="1" si="5"/>
        <v>0</v>
      </c>
      <c r="BJ34" s="115" t="b">
        <f t="shared" ca="1" si="33"/>
        <v>0</v>
      </c>
      <c r="BK34" s="115" t="b">
        <f ca="1">AND(C34="驱夜断愁",模拟模式!$P$7="天地诛戮")</f>
        <v>0</v>
      </c>
      <c r="BL34" s="57">
        <f t="shared" ca="1" si="6"/>
        <v>16.310000000000002</v>
      </c>
      <c r="BM34" s="115" t="b">
        <f t="shared" ca="1" si="34"/>
        <v>1</v>
      </c>
      <c r="BN34" s="115" t="b">
        <f ca="1">AND(OR(C34="赤日轮1",C34="赤日轮2",C34="赤日轮3",C34="幽月轮1",C34="幽月轮2",C34="幽月轮3"),AB34=1,模拟模式!$L$7="明光恒照")</f>
        <v>0</v>
      </c>
      <c r="BO34" s="117">
        <f t="shared" ca="1" si="7"/>
        <v>29.077500000000001</v>
      </c>
      <c r="BP34" s="115">
        <f t="shared" ca="1" si="35"/>
        <v>3</v>
      </c>
      <c r="BQ34" s="115" t="b">
        <f>模拟模式!$K$10="2600·水"</f>
        <v>0</v>
      </c>
      <c r="BR34" s="117">
        <f t="shared" si="36"/>
        <v>0</v>
      </c>
      <c r="BS34" s="115">
        <f t="shared" si="37"/>
        <v>0</v>
      </c>
      <c r="BT34" s="115">
        <f t="shared" ca="1" si="38"/>
        <v>0</v>
      </c>
      <c r="BU34" s="115" t="b">
        <f ca="1">AND(模拟模式!$K$10="2300·雷",BT33=0,RAND()&lt;IF(C34="净世破魔击·月",5*0.05*2/3,IF(C34="净世破魔击·日",3*0.05*2/3,0.05*2*2/3)))</f>
        <v>0</v>
      </c>
      <c r="BV34" s="115">
        <f t="shared" ca="1" si="39"/>
        <v>0</v>
      </c>
      <c r="BW34" s="115">
        <f t="shared" ca="1" si="40"/>
        <v>179.07749999999999</v>
      </c>
      <c r="BX34" s="164" t="b">
        <f t="shared" ca="1" si="41"/>
        <v>1</v>
      </c>
      <c r="BY34" s="115">
        <f t="shared" ca="1" si="42"/>
        <v>14.077500000000001</v>
      </c>
      <c r="BZ34" s="115">
        <f>IF(OR(模拟模式!$P$16="10人团",模拟模式!$P$16="25人团"),IF(B34/30&gt;CA33,1,0),0)</f>
        <v>0</v>
      </c>
      <c r="CA34" s="115">
        <f t="shared" si="8"/>
        <v>0</v>
      </c>
      <c r="CB34" s="115">
        <f ca="1">IF(BZ34=1,IF(模拟模式!$P$16="10人团",15,0)+IF(模拟模式!$P$16="25人团",IF(RAND()&lt;0.6,15,0)),MAX(0,CB33-$F$4))</f>
        <v>0</v>
      </c>
      <c r="CC34" s="115" t="b">
        <f t="shared" ca="1" si="43"/>
        <v>0</v>
      </c>
      <c r="CD34" s="115">
        <f>IF(模拟模式!$Q$16="1个",IF(B34/40&gt;CE33,1,0),0)</f>
        <v>0</v>
      </c>
      <c r="CE34" s="115">
        <f t="shared" si="44"/>
        <v>0</v>
      </c>
      <c r="CF34" s="115">
        <f>IF(OR(CD34=1,模拟模式!$Q$16="2个"),20,MAX(0,CF33-$F$4))</f>
        <v>0</v>
      </c>
      <c r="CG34" s="115" t="b">
        <f t="shared" si="45"/>
        <v>0</v>
      </c>
      <c r="CH34" s="115">
        <f t="shared" ca="1" si="46"/>
        <v>24.465000000000003</v>
      </c>
      <c r="CI34" s="115" t="b">
        <f t="shared" ca="1" si="47"/>
        <v>0</v>
      </c>
      <c r="CJ34" s="119">
        <f t="shared" ca="1" si="48"/>
        <v>0.05</v>
      </c>
      <c r="CK34" s="115">
        <f t="shared" ca="1" si="49"/>
        <v>2.464999999999999</v>
      </c>
      <c r="CL34" s="115" t="b">
        <f ca="1">AND(模拟模式!$S$7="驱夷逐法",OR(AND(C34="净世破魔击·月",E33&gt;59),AND(C34="净世破魔击·日",F33&gt;59)))</f>
        <v>1</v>
      </c>
      <c r="CM34" s="115" t="b">
        <f ca="1">OR(CL34,AND(C34="净世破魔击·日",CL33,RAND()&lt;模拟模式!$U$23))</f>
        <v>1</v>
      </c>
      <c r="CN34" s="115" t="b">
        <f ca="1">IF(模拟模式!$M$7="辉耀红尘",AND(C34="净世破魔击·月",CL34,CV34=0,E33&lt;80),AND(C34="净世破魔击·月",CL34,E33&lt;100))</f>
        <v>0</v>
      </c>
      <c r="CO34" s="115" t="b">
        <f t="shared" ca="1" si="9"/>
        <v>0</v>
      </c>
      <c r="CP34" s="115" t="b">
        <f ca="1">AND(模拟模式!$O$7="用晦而明",OR(C34="净世破魔击·日",C34="净世破魔击·月",C34="驱夜断愁"),AB34)</f>
        <v>1</v>
      </c>
      <c r="CQ34" s="115" t="b">
        <f ca="1">OR(CP34,AND(CP33,RAND()&lt;模拟模式!$U$23))</f>
        <v>1</v>
      </c>
      <c r="CR34" s="115" t="b">
        <f ca="1">AND(模拟模式!$S$7="日月齐光",OR(C34="幽月轮1",C34="幽月轮2",C34="幽月轮3",CR33),NOT(OR(C34="赤日轮1",C34="赤日轮2",C34="赤日轮3")))</f>
        <v>0</v>
      </c>
      <c r="CS34" s="115" t="b">
        <f ca="1">AND(模拟模式!$S$7="日月齐光",OR(C34="赤日轮1",C34="赤日轮2",C34="赤日轮3",CS33),NOT(OR(C34="幽月轮1",C34="幽月轮2",C34="幽月轮3")))</f>
        <v>0</v>
      </c>
      <c r="CT34" s="115">
        <f t="shared" ca="1" si="50"/>
        <v>0</v>
      </c>
      <c r="CU34" s="115" t="b">
        <f ca="1">AND(模拟模式!$K$10="阴阳往极",CT33=0,RAND()&lt;IF(C34="净世破魔击·月",0.0275*7/3,IF(C34="净世破魔击·日",0.0275*3/3,0.0275*2/3)))</f>
        <v>0</v>
      </c>
      <c r="CV34" s="115">
        <f t="shared" ca="1" si="51"/>
        <v>0</v>
      </c>
      <c r="CW34" s="115">
        <f t="shared" ca="1" si="10"/>
        <v>3.2324999999999995</v>
      </c>
      <c r="CX34" s="115">
        <f t="shared" ca="1" si="11"/>
        <v>1.3874999999999997</v>
      </c>
      <c r="CY34" s="115">
        <f ca="1">MAX(IF($C34="驱夜断愁",IF(模拟模式!$R$7="万念俱寂",6,45),CY33-$F$4),0)</f>
        <v>2.3099999999999996</v>
      </c>
      <c r="CZ34" s="115">
        <f t="shared" ca="1" si="12"/>
        <v>0</v>
      </c>
      <c r="DA34" s="115">
        <f ca="1">IF(模拟模式!$N$7="日月同辉",IF(DB33=2,0,MIN(6,IF(AND(OR(C34="赤日轮1",C34="赤日轮2",C34="赤日轮3",C34="幽月轮1",C34="幽月轮2",C34="幽月轮3"),AB34=1),DA33+1,DA33))),0)</f>
        <v>3</v>
      </c>
      <c r="DB34" s="115">
        <f t="shared" ca="1" si="13"/>
        <v>0</v>
      </c>
      <c r="DD34" s="115"/>
      <c r="DE34" s="115"/>
      <c r="DF34" s="115"/>
      <c r="DG34" s="115"/>
      <c r="DH34" s="115"/>
      <c r="DI34" s="115"/>
      <c r="DJ34" s="115"/>
      <c r="DK34" s="115"/>
      <c r="DL34" s="115"/>
      <c r="DM34" s="115"/>
    </row>
    <row r="35" spans="2:117" x14ac:dyDescent="0.2">
      <c r="B35" s="117">
        <f t="shared" si="14"/>
        <v>7.3800000000000008</v>
      </c>
      <c r="C35" s="167" t="str">
        <f t="shared" ca="1" si="0"/>
        <v>净世破魔击·日</v>
      </c>
      <c r="D35" s="115">
        <f ca="1">IF(C35="赤日轮1",1,IF(C35="赤日轮2",2,IF(C35="赤日轮3",3,IF(C35="幽月轮1",4,IF(C35="幽月轮2",5,IF(C35="幽月轮3",6,IF(C35="烈日斩",7,IF(C35="银月斩",8,IF(C35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35="净世破魔击·月",17,IF(C35="驱夜断愁",18,0)))))))))))</f>
        <v>9</v>
      </c>
      <c r="E35" s="115">
        <f ca="1">IF(AND(CU35,OR(C35="幽月轮1",C35="幽月轮2",C35="幽月轮3",C35="银月斩",C35="驱夜断愁",C35="净世破魔击·月")),100,MIN(IF(OR(CN35,BE35),0,IF(OR($C35="赤日轮1",$C35="赤日轮2",$C35="赤日轮3"),E34+20+IF(模拟模式!$I$7="日月凌天",4,0)+IF(CR34,20,0),IF($C35="烈日斩",E34+40,IF($C35="驱夜断愁",IF(模拟模式!$R$7="万念俱寂",E34+20,E34+60),IF($C35="净世破魔击·月",IF(OR(DB34&gt;0,CV34&gt;0),100,IF(模拟模式!$M$7="辉耀红尘",E34+20,E34)),IF($C35="净世破魔击·日",E34-100,E34)))))),100))</f>
        <v>0</v>
      </c>
      <c r="F35" s="115">
        <f ca="1">IF(AND(CU35,OR(C35="赤日轮1",C35="赤日轮2",C35="赤日轮3",C35="烈日斩",C35="净世破魔击·日")),100,MIN(IF(CO35,0,IF(OR($C35="幽月轮1",$C35="幽月轮2",$C35="幽月轮3"),F34+20+IF(模拟模式!$I$7="日月凌天",4,0)+IF(CS34,20,0),IF($C35="银月斩",F34+40+IF(模拟模式!$X$12=1,5,0),IF($C35="驱夜断愁",IF(模拟模式!$R$7="万念俱寂",F34+20,F34+60),IF($C35="净世破魔击·月",IF(模拟模式!$M$7="辉耀红尘",F34-80,F34-100),IF(AND(C35="净世破魔击·日",OR(DB34&gt;0,CV34&gt;0)),100,F34)))))),100))</f>
        <v>20</v>
      </c>
      <c r="G35" s="117">
        <f ca="1">('模拟-全程加成'!$E$3+'模拟-全程加成'!$E$4+'模拟-全程加成'!$E$5+('模拟-全程加成'!$C$6-'模拟-全程加成'!$C$3)*系数!$B$9+BS35*23)*(1+'模拟-全程加成'!$F$4+'模拟-全程加成'!$F$5+BJ35*10%+BM35*20%+BP35*4%+CG35*30%)+$F$7*系数!$B$12</f>
        <v>19490.285</v>
      </c>
      <c r="H35" s="45">
        <f ca="1">'模拟-全程加成'!$H$3+'模拟-全程加成'!$H$4+'模拟-全程加成'!$H$5+('模拟-全程加成'!$G$4+'模拟-全程加成'!$G$5+('模拟-全程加成'!$C$6-'模拟-全程加成'!$C$3)*系数!$B$13)/系数!$B$3+LOOKUP(D35,'模拟-单技能数据'!$A$2:$A$19,'模拟-单技能数据'!$K$2:$K$19)+BG35*10%+IF(BV35&gt;0,378,0)</f>
        <v>0.54185145527300216</v>
      </c>
      <c r="I35" s="45">
        <f ca="1">'模拟-全程加成'!$J$3+'模拟-全程加成'!$J$4+'模拟-全程加成'!$J$5+('模拟-全程加成'!$I$4+'模拟-全程加成'!$I$5)/系数!$B$4+LOOKUP(D35,'模拟-单技能数据'!$A$2:$A$19,'模拟-单技能数据'!$L$2:$L$19)+BG35*10%</f>
        <v>2.162482885499879</v>
      </c>
      <c r="J35" s="45">
        <f ca="1">(('模拟-全程加成'!$K$3+'模拟-全程加成'!$K$4+'模拟-全程加成'!$K$5+('模拟-全程加成'!$C$6-'模拟-全程加成'!$C$3)*系数!$B$10+IF(BV35&gt;0,882,0)+IF(BY35&gt;0,1831,0))*(1+'模拟-全程加成'!$L$4+'模拟-全程加成'!$L$5+CC35*20%))/系数!$B$5</f>
        <v>0.85832564669386491</v>
      </c>
      <c r="K35" s="119">
        <f ca="1">LOOKUP(D35,'模拟-单技能数据'!$A$2:$A$19,'模拟-单技能数据'!$J$2:$J$19)+IF(CM35,60%,0)+IF(DB34-DB35&gt;0,30%,0)+IF(OR(AND(OR(C35="赤日轮1",C35="赤日轮2",C35="赤日轮3"),CR35),AND(OR(C35="幽月轮1",C35="幽月轮2",C35="幽月轮3"),CS35)),35%,0)+CJ35</f>
        <v>0.85000000000000009</v>
      </c>
      <c r="L35" s="119">
        <f ca="1">IF(AND(C35="烈日斩",模拟模式!$X$11=1),10%,0)+IF(AND(C35="驱夜断愁",AB35=1),30%,0)</f>
        <v>0</v>
      </c>
      <c r="M35" s="45">
        <f t="shared" ca="1" si="15"/>
        <v>0.54185145527300216</v>
      </c>
      <c r="N35" s="45">
        <f t="shared" ca="1" si="16"/>
        <v>0.40424854472699789</v>
      </c>
      <c r="O35" s="46">
        <f t="shared" ca="1" si="17"/>
        <v>0.65351780540215321</v>
      </c>
      <c r="P35" s="46" t="str">
        <f t="shared" ca="1" si="18"/>
        <v>命</v>
      </c>
      <c r="Q35" s="45">
        <f t="shared" ca="1" si="19"/>
        <v>1</v>
      </c>
      <c r="R35" s="117">
        <f ca="1">模拟模式!$E$20*(1-IF(模拟模式!$J$19="有",0.15,0))*(1-IF(模拟模式!$K$19="有",0.3,0)-IF(CQ35,0.5,0))</f>
        <v>843.02999999999975</v>
      </c>
      <c r="S35" s="45">
        <f ca="1">R35/(R35+(185*模拟模式!$E$22-16800)*4.08224)</f>
        <v>8.389626085980037E-2</v>
      </c>
      <c r="T35" s="45" t="str">
        <f ca="1">LOOKUP(D35,'模拟-单技能数据'!$A$2:$A$19,'模拟-单技能数据'!$H$2:$H$19)</f>
        <v>阳</v>
      </c>
      <c r="U35" s="119">
        <f t="shared" ca="1" si="20"/>
        <v>0.2</v>
      </c>
      <c r="V35" s="47">
        <f ca="1">(1+L35)*(LOOKUP(D35,'模拟-单技能数据'!$A$2:$A$19,'模拟-单技能数据'!$D$2:$D$19)+G35*LOOKUP(D35,'模拟-单技能数据'!$A$2:$A$19,'模拟-单技能数据'!$F$2:$F$19))*(1+J35)*(1+K35)*(1-S35)*(1+U35)*Q35*LOOKUP(D35,'模拟-单技能数据'!$A$2:$A$19,'模拟-单技能数据'!$I$2:$I$20)</f>
        <v>96580.676634014308</v>
      </c>
      <c r="W35" s="47">
        <f ca="1">LOOKUP(D35,'模拟-单技能数据'!$A$2:$A$19,'模拟-单技能数据'!$G$2:$G$19)*$I$10</f>
        <v>723.0212870940959</v>
      </c>
      <c r="X35" s="47">
        <f t="shared" ca="1" si="21"/>
        <v>51660.45203814163</v>
      </c>
      <c r="Y35" s="47">
        <f t="shared" ca="1" si="22"/>
        <v>148964.14995925003</v>
      </c>
      <c r="Z35" s="49">
        <f t="shared" ca="1" si="23"/>
        <v>573718.89541273122</v>
      </c>
      <c r="AA35" s="97">
        <f t="shared" ca="1" si="24"/>
        <v>77739.687725302327</v>
      </c>
      <c r="AB35" s="115">
        <f ca="1">IF(OR(C35="赤日轮1",C35="赤日轮2",C35="赤日轮3"),IF(RAND()&lt;模拟模式!$Y$17,1,0),IF(OR(C35="幽月轮1",C35="幽月轮2",C35="幽月轮3"),IF(RAND()&lt;模拟模式!$Y$18,1,0),IF(C35="烈日斩",IF(RAND()&lt;模拟模式!$Y$19,1,0),IF(C35="银月斩",IF(RAND()&lt;模拟模式!$Y$20,1,0),IF(C35="驱夜断愁",IF(RAND()&lt;模拟模式!$Y$21,1,0),IF(C35="净世破魔击·日",IF(RAND()&lt;模拟模式!$Y$22,1,0),IF(C35="净世破魔击·月",IF(RAND()&lt;模拟模式!$Y$23,1,0),0)))))))</f>
        <v>1</v>
      </c>
      <c r="AC35" s="115" t="b">
        <f t="shared" ca="1" si="1"/>
        <v>0</v>
      </c>
      <c r="AD35" s="115" t="b">
        <f t="shared" ca="1" si="52"/>
        <v>1</v>
      </c>
      <c r="AE35" s="115">
        <f t="shared" ca="1" si="53"/>
        <v>3</v>
      </c>
      <c r="AF35" s="47">
        <f ca="1">IF(AC35,('模拟-单技能数据'!$D$20+G35*'模拟-单技能数据'!$F$20)*(1+J35)*(1+'模拟-单技能数据'!$J$20)*(1+U35),0)</f>
        <v>0</v>
      </c>
      <c r="AG35" s="61">
        <f t="shared" ca="1" si="25"/>
        <v>0.64185145527300214</v>
      </c>
      <c r="AH35" s="61">
        <f t="shared" ca="1" si="26"/>
        <v>2.2624828854998791</v>
      </c>
      <c r="AI35" s="62">
        <f t="shared" ca="1" si="27"/>
        <v>6.1698702656944993E-2</v>
      </c>
      <c r="AJ35" s="47">
        <f ca="1">IF(AD35,IF(AI35&lt;$F$10,0,IF(AI35&lt;$F$10+$F$11,0.25,IF(AI35&lt;$F$10+$F$11+AG35,AH35,1)))*IF(AF35&gt;0,AF35,IF(AF34&gt;0,AF34,IF(AF33&gt;0,AF33,IF(AF32&gt;0,AF32,IF(AF31&gt;0,AF31,IF(AF30&gt;0,AF30,IF(AF29&gt;0,AF29,IF(AF28&gt;0,AF28,IF(AF27&gt;0,AF27,IF(AF25&gt;0,AF25,IF(AF24&gt;0,AF24,IF(AF21&gt;0,AF21,0)))))))))))),0)*(1-$S35)*'模拟-单技能数据'!$I$20</f>
        <v>7628.0442348247816</v>
      </c>
      <c r="AK35" s="115" t="b">
        <f t="shared" ca="1" si="2"/>
        <v>1</v>
      </c>
      <c r="AL35" s="115" t="b">
        <f t="shared" ca="1" si="54"/>
        <v>1</v>
      </c>
      <c r="AM35" s="115">
        <f t="shared" ca="1" si="55"/>
        <v>6</v>
      </c>
      <c r="AN35" s="47">
        <f ca="1">IF(AK35,('模拟-单技能数据'!$D$21+G35*'模拟-单技能数据'!$F$21)*(1+J35)*(1+'模拟-单技能数据'!$J$21)*(1+U35),0)</f>
        <v>12586.404910489387</v>
      </c>
      <c r="AO35" s="61">
        <f ca="1">IF(AN35&gt;0,M35-'模拟-单技能数据'!$K$10,AO34)</f>
        <v>0.42185145527300216</v>
      </c>
      <c r="AP35" s="61">
        <f ca="1">IF(AN35&gt;0,I35-'模拟-单技能数据'!$L$10,AP34)</f>
        <v>2.162482885499879</v>
      </c>
      <c r="AQ35" s="63">
        <f t="shared" ca="1" si="28"/>
        <v>7.4492163424886404E-2</v>
      </c>
      <c r="AR35" s="64">
        <f ca="1">IF(AL35,IF(AQ35&lt;$F$10,0,IF(AQ35&lt;$F$10+$F$11,0.25,IF(AQ35&lt;$F$10+$F$11+AO35,AP35,1)))*IF(AN35&gt;0,AN35,IF(AN34&gt;0,AN34,IF(AN33&gt;0,AN33,IF(AN32&gt;0,AN32,IF(AN31&gt;0,AN31,IF(AN30&gt;0,AN30,IF(AN29&gt;0,AN29,IF(AN28&gt;0,AN28,IF(AN27&gt;0,AN27,IF(AN25&gt;0,AN25,IF(AN24&gt;0,AN24,IF(AN21&gt;0,AN21,0)))))))))))),0)*(1-$S35)*'模拟-单技能数据'!$I$21</f>
        <v>24934.406411366544</v>
      </c>
      <c r="AS35" s="61">
        <f ca="1">IF(OR(C35="净世破魔击·日",C35="净世破魔击·月"),M35-'模拟-单技能数据'!$K$10,0)</f>
        <v>0.42185145527300216</v>
      </c>
      <c r="AT35" s="61">
        <f ca="1">IF(OR(C35="净世破魔击·日",C35="净世破魔击·月"),I35-'模拟-单技能数据'!$L$10,0)</f>
        <v>2.162482885499879</v>
      </c>
      <c r="AU35" s="62">
        <f t="shared" ca="1" si="29"/>
        <v>0.28380739532086852</v>
      </c>
      <c r="AV35" s="64">
        <f ca="1">IF(AS35&gt;0,('模拟-单技能数据'!$D$22+G35*'模拟-单技能数据'!$F$22)*(1+J35)*(1-S35)*IF(AU35&lt;$F$10,0,IF(AU35&lt;$F$10+$F$11,0.25,IF(AU35&lt;$F$10+$F$11+AS35,AT35,1)))*(1+U35),0)*'模拟-单技能数据'!$I$22</f>
        <v>19098.001391950304</v>
      </c>
      <c r="AW35" s="108">
        <f t="shared" ca="1" si="30"/>
        <v>0</v>
      </c>
      <c r="AX35" s="108" t="b">
        <f ca="1">AND(模拟模式!$P$10="有",AW34=0,RAND()&lt;IF(C35="净世破魔击·月",0.1*8/3,IF(C35="净世破魔击·日",0.1*4/3,0.1*2/3)))</f>
        <v>0</v>
      </c>
      <c r="AY35" s="47">
        <f ca="1">IF(AX35,(18+G35*0.722)*(1+J35)*(1-S35)*(1+$I$4)*IF(P35="会",'模拟-全程加成'!$J$3+'模拟-全程加成'!$J$4+'模拟-全程加成'!$J$5+('模拟-全程加成'!$I$4+'模拟-全程加成'!$I$5)/系数!$B$4+BG35*10%,IF(P35="命",1,IF(P35="识",0.25,0))),0)</f>
        <v>0</v>
      </c>
      <c r="AZ35" s="108">
        <f t="shared" si="31"/>
        <v>12.620000000000005</v>
      </c>
      <c r="BA35" s="108" t="b">
        <f>AND(模拟模式!$Q$10="有",AZ34=0)</f>
        <v>0</v>
      </c>
      <c r="BB35" s="140">
        <f>IF(BA35,(0+G35*0.287)*(1+J35)*(1-S35)*(1+$I$4)*IF(P35="会",'模拟-全程加成'!$J$3+'模拟-全程加成'!$J$4+'模拟-全程加成'!$J$5+('模拟-全程加成'!$I$4+'模拟-全程加成'!$I$5)/系数!$B$4+BG35*10%,IF(P35="命",1,IF(P35="识",0.25,0))),0)</f>
        <v>0</v>
      </c>
      <c r="BC35" s="115" t="b">
        <f ca="1">AND(模拟模式!$R$7="伏明众生",E35=60,F35=20,DA35&lt;5,CZ34&lt;$F$4)</f>
        <v>0</v>
      </c>
      <c r="BD35" s="115">
        <f t="shared" ca="1" si="3"/>
        <v>0</v>
      </c>
      <c r="BE35" s="115" t="b">
        <f t="shared" ca="1" si="4"/>
        <v>0</v>
      </c>
      <c r="BF35" s="47">
        <f ca="1">IF(BC35,4*('模拟-单技能数据'!$D$24+G35*'模拟-单技能数据'!$F$24)*(1+J35)*(1+'模拟-单技能数据'!$J$24)*(1-S35)*(1+$I$3)*(('模拟-全程加成'!$J$3+'模拟-全程加成'!$J$4+'模拟-全程加成'!$J$5+('模拟-全程加成'!$I$4+'模拟-全程加成'!$I$5)/系数!$B$4+BG35*10%)*('模拟-全程加成'!$J$3+'模拟-全程加成'!$J$4+'模拟-全程加成'!$J$5+('模拟-全程加成'!$I$4+'模拟-全程加成'!$I$5)/系数!$B$4+BG35*10%)+(1-('模拟-全程加成'!$J$3+'模拟-全程加成'!$J$4+'模拟-全程加成'!$J$5+('模拟-全程加成'!$I$4+'模拟-全程加成'!$I$5)/系数!$B$4+BG35*10%)-$F$10-$F$11)+F19*0.25),0)*'模拟-单技能数据'!$I$24</f>
        <v>0</v>
      </c>
      <c r="BG35" s="115" t="b">
        <f ca="1">OR(AND(OR(C35="烈日斩",C35="银月斩"),模拟模式!$I$7="净身明礼"),AND(C35="净世破魔击·日",模拟模式!$J$7="洞若观火"),AND(C36="净世破魔击·月",模拟模式!$J$7="洞若观火"),AB35=1)</f>
        <v>1</v>
      </c>
      <c r="BH35" s="115" t="b">
        <f t="shared" ca="1" si="32"/>
        <v>0</v>
      </c>
      <c r="BI35" s="115">
        <f t="shared" ca="1" si="5"/>
        <v>0</v>
      </c>
      <c r="BJ35" s="115" t="b">
        <f t="shared" ca="1" si="33"/>
        <v>0</v>
      </c>
      <c r="BK35" s="115" t="b">
        <f ca="1">AND(C35="驱夜断愁",模拟模式!$P$7="天地诛戮")</f>
        <v>0</v>
      </c>
      <c r="BL35" s="57">
        <f t="shared" ca="1" si="6"/>
        <v>15.387500000000003</v>
      </c>
      <c r="BM35" s="115" t="b">
        <f t="shared" ca="1" si="34"/>
        <v>1</v>
      </c>
      <c r="BN35" s="115" t="b">
        <f ca="1">AND(OR(C35="赤日轮1",C35="赤日轮2",C35="赤日轮3",C35="幽月轮1",C35="幽月轮2",C35="幽月轮3"),AB35=1,模拟模式!$L$7="明光恒照")</f>
        <v>0</v>
      </c>
      <c r="BO35" s="117">
        <f t="shared" ca="1" si="7"/>
        <v>28.155000000000001</v>
      </c>
      <c r="BP35" s="115">
        <f t="shared" ca="1" si="35"/>
        <v>3</v>
      </c>
      <c r="BQ35" s="115" t="b">
        <f>模拟模式!$K$10="2600·水"</f>
        <v>0</v>
      </c>
      <c r="BR35" s="117">
        <f t="shared" si="36"/>
        <v>0</v>
      </c>
      <c r="BS35" s="115">
        <f t="shared" si="37"/>
        <v>0</v>
      </c>
      <c r="BT35" s="115">
        <f t="shared" ca="1" si="38"/>
        <v>0</v>
      </c>
      <c r="BU35" s="115" t="b">
        <f ca="1">AND(模拟模式!$K$10="2300·雷",BT34=0,RAND()&lt;IF(C35="净世破魔击·月",5*0.05*2/3,IF(C35="净世破魔击·日",3*0.05*2/3,0.05*2*2/3)))</f>
        <v>0</v>
      </c>
      <c r="BV35" s="115">
        <f t="shared" ca="1" si="39"/>
        <v>0</v>
      </c>
      <c r="BW35" s="115">
        <f t="shared" ca="1" si="40"/>
        <v>178.15499999999997</v>
      </c>
      <c r="BX35" s="164" t="b">
        <f t="shared" ca="1" si="41"/>
        <v>0</v>
      </c>
      <c r="BY35" s="115">
        <f t="shared" ca="1" si="42"/>
        <v>13.155000000000001</v>
      </c>
      <c r="BZ35" s="115">
        <f>IF(OR(模拟模式!$P$16="10人团",模拟模式!$P$16="25人团"),IF(B35/30&gt;CA34,1,0),0)</f>
        <v>0</v>
      </c>
      <c r="CA35" s="115">
        <f t="shared" si="8"/>
        <v>0</v>
      </c>
      <c r="CB35" s="115">
        <f ca="1">IF(BZ35=1,IF(模拟模式!$P$16="10人团",15,0)+IF(模拟模式!$P$16="25人团",IF(RAND()&lt;0.6,15,0)),MAX(0,CB34-$F$4))</f>
        <v>0</v>
      </c>
      <c r="CC35" s="115" t="b">
        <f t="shared" ca="1" si="43"/>
        <v>0</v>
      </c>
      <c r="CD35" s="115">
        <f>IF(模拟模式!$Q$16="1个",IF(B35/40&gt;CE34,1,0),0)</f>
        <v>0</v>
      </c>
      <c r="CE35" s="115">
        <f t="shared" si="44"/>
        <v>0</v>
      </c>
      <c r="CF35" s="115">
        <f>IF(OR(CD35=1,模拟模式!$Q$16="2个"),20,MAX(0,CF34-$F$4))</f>
        <v>0</v>
      </c>
      <c r="CG35" s="115" t="b">
        <f t="shared" si="45"/>
        <v>0</v>
      </c>
      <c r="CH35" s="115">
        <f t="shared" ca="1" si="46"/>
        <v>23.542500000000004</v>
      </c>
      <c r="CI35" s="115" t="b">
        <f t="shared" ca="1" si="47"/>
        <v>0</v>
      </c>
      <c r="CJ35" s="119">
        <f t="shared" ca="1" si="48"/>
        <v>0.05</v>
      </c>
      <c r="CK35" s="115">
        <f t="shared" ca="1" si="49"/>
        <v>1.5424999999999991</v>
      </c>
      <c r="CL35" s="115" t="b">
        <f ca="1">AND(模拟模式!$S$7="驱夷逐法",OR(AND(C35="净世破魔击·月",E34&gt;59),AND(C35="净世破魔击·日",F34&gt;59)))</f>
        <v>0</v>
      </c>
      <c r="CM35" s="115" t="b">
        <f ca="1">OR(CL35,AND(C35="净世破魔击·日",CL34,RAND()&lt;模拟模式!$U$23))</f>
        <v>1</v>
      </c>
      <c r="CN35" s="115" t="b">
        <f ca="1">IF(模拟模式!$M$7="辉耀红尘",AND(C35="净世破魔击·月",CL35,CV35=0,E34&lt;80),AND(C35="净世破魔击·月",CL35,E34&lt;100))</f>
        <v>0</v>
      </c>
      <c r="CO35" s="115" t="b">
        <f t="shared" ca="1" si="9"/>
        <v>0</v>
      </c>
      <c r="CP35" s="115" t="b">
        <f ca="1">AND(模拟模式!$O$7="用晦而明",OR(C35="净世破魔击·日",C35="净世破魔击·月",C35="驱夜断愁"),AB35)</f>
        <v>1</v>
      </c>
      <c r="CQ35" s="115" t="b">
        <f ca="1">OR(CP35,AND(CP34,RAND()&lt;模拟模式!$U$23))</f>
        <v>1</v>
      </c>
      <c r="CR35" s="115" t="b">
        <f ca="1">AND(模拟模式!$S$7="日月齐光",OR(C35="幽月轮1",C35="幽月轮2",C35="幽月轮3",CR34),NOT(OR(C35="赤日轮1",C35="赤日轮2",C35="赤日轮3")))</f>
        <v>0</v>
      </c>
      <c r="CS35" s="115" t="b">
        <f ca="1">AND(模拟模式!$S$7="日月齐光",OR(C35="赤日轮1",C35="赤日轮2",C35="赤日轮3",CS34),NOT(OR(C35="幽月轮1",C35="幽月轮2",C35="幽月轮3")))</f>
        <v>0</v>
      </c>
      <c r="CT35" s="115">
        <f t="shared" ca="1" si="50"/>
        <v>0</v>
      </c>
      <c r="CU35" s="115" t="b">
        <f ca="1">AND(模拟模式!$K$10="阴阳往极",CT34=0,RAND()&lt;IF(C35="净世破魔击·月",0.0275*7/3,IF(C35="净世破魔击·日",0.0275*3/3,0.0275*2/3)))</f>
        <v>0</v>
      </c>
      <c r="CV35" s="115">
        <f t="shared" ca="1" si="51"/>
        <v>0</v>
      </c>
      <c r="CW35" s="115">
        <f t="shared" ca="1" si="10"/>
        <v>2.3099999999999996</v>
      </c>
      <c r="CX35" s="115">
        <f t="shared" ca="1" si="11"/>
        <v>0.46499999999999975</v>
      </c>
      <c r="CY35" s="115">
        <f ca="1">MAX(IF($C35="驱夜断愁",IF(模拟模式!$R$7="万念俱寂",6,45),CY34-$F$4),0)</f>
        <v>1.3874999999999997</v>
      </c>
      <c r="CZ35" s="115">
        <f t="shared" ca="1" si="12"/>
        <v>0</v>
      </c>
      <c r="DA35" s="115">
        <f ca="1">IF(模拟模式!$N$7="日月同辉",IF(DB34=2,0,MIN(6,IF(AND(OR(C35="赤日轮1",C35="赤日轮2",C35="赤日轮3",C35="幽月轮1",C35="幽月轮2",C35="幽月轮3"),AB35=1),DA34+1,DA34))),0)</f>
        <v>3</v>
      </c>
      <c r="DB35" s="115">
        <f t="shared" ca="1" si="13"/>
        <v>0</v>
      </c>
      <c r="DD35" s="115"/>
      <c r="DE35" s="115"/>
      <c r="DF35" s="115"/>
      <c r="DG35" s="115"/>
      <c r="DH35" s="115"/>
      <c r="DI35" s="115"/>
      <c r="DJ35" s="115"/>
      <c r="DK35" s="115"/>
      <c r="DL35" s="115"/>
      <c r="DM35" s="115"/>
    </row>
    <row r="36" spans="2:117" x14ac:dyDescent="0.2">
      <c r="B36" s="117">
        <f t="shared" si="14"/>
        <v>8.3025000000000002</v>
      </c>
      <c r="C36" s="167" t="str">
        <f t="shared" ca="1" si="0"/>
        <v>赤日轮1</v>
      </c>
      <c r="D36" s="115">
        <f ca="1">IF(C36="赤日轮1",1,IF(C36="赤日轮2",2,IF(C36="赤日轮3",3,IF(C36="幽月轮1",4,IF(C36="幽月轮2",5,IF(C36="幽月轮3",6,IF(C36="烈日斩",7,IF(C36="银月斩",8,IF(C36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36="净世破魔击·月",17,IF(C36="驱夜断愁",18,0)))))))))))</f>
        <v>1</v>
      </c>
      <c r="E36" s="115">
        <f ca="1">IF(AND(CU36,OR(C36="幽月轮1",C36="幽月轮2",C36="幽月轮3",C36="银月斩",C36="驱夜断愁",C36="净世破魔击·月")),100,MIN(IF(OR(CN36,BE36),0,IF(OR($C36="赤日轮1",$C36="赤日轮2",$C36="赤日轮3"),E35+20+IF(模拟模式!$I$7="日月凌天",4,0)+IF(CR35,20,0),IF($C36="烈日斩",E35+40,IF($C36="驱夜断愁",IF(模拟模式!$R$7="万念俱寂",E35+20,E35+60),IF($C36="净世破魔击·月",IF(OR(DB35&gt;0,CV35&gt;0),100,IF(模拟模式!$M$7="辉耀红尘",E35+20,E35)),IF($C36="净世破魔击·日",E35-100,E35)))))),100))</f>
        <v>20</v>
      </c>
      <c r="F36" s="115">
        <f ca="1">IF(AND(CU36,OR(C36="赤日轮1",C36="赤日轮2",C36="赤日轮3",C36="烈日斩",C36="净世破魔击·日")),100,MIN(IF(CO36,0,IF(OR($C36="幽月轮1",$C36="幽月轮2",$C36="幽月轮3"),F35+20+IF(模拟模式!$I$7="日月凌天",4,0)+IF(CS35,20,0),IF($C36="银月斩",F35+40+IF(模拟模式!$X$12=1,5,0),IF($C36="驱夜断愁",IF(模拟模式!$R$7="万念俱寂",F35+20,F35+60),IF($C36="净世破魔击·月",IF(模拟模式!$M$7="辉耀红尘",F35-80,F35-100),IF(AND(C36="净世破魔击·日",OR(DB35&gt;0,CV35&gt;0)),100,F35)))))),100))</f>
        <v>20</v>
      </c>
      <c r="G36" s="117">
        <f ca="1">('模拟-全程加成'!$E$3+'模拟-全程加成'!$E$4+'模拟-全程加成'!$E$5+('模拟-全程加成'!$C$6-'模拟-全程加成'!$C$3)*系数!$B$9+BS36*23)*(1+'模拟-全程加成'!$F$4+'模拟-全程加成'!$F$5+BJ36*10%+BM36*20%+BP36*4%+CG36*30%)+$F$7*系数!$B$12</f>
        <v>19854.5658</v>
      </c>
      <c r="H36" s="45">
        <f ca="1">'模拟-全程加成'!$H$3+'模拟-全程加成'!$H$4+'模拟-全程加成'!$H$5+('模拟-全程加成'!$G$4+'模拟-全程加成'!$G$5+('模拟-全程加成'!$C$6-'模拟-全程加成'!$C$3)*系数!$B$13)/系数!$B$3+LOOKUP(D36,'模拟-单技能数据'!$A$2:$A$19,'模拟-单技能数据'!$K$2:$K$19)+BG36*10%+IF(BV36&gt;0,378,0)</f>
        <v>0.4618514552730022</v>
      </c>
      <c r="I36" s="45">
        <f ca="1">'模拟-全程加成'!$J$3+'模拟-全程加成'!$J$4+'模拟-全程加成'!$J$5+('模拟-全程加成'!$I$4+'模拟-全程加成'!$I$5)/系数!$B$4+LOOKUP(D36,'模拟-单技能数据'!$A$2:$A$19,'模拟-单技能数据'!$L$2:$L$19)+BG36*10%</f>
        <v>2.162482885499879</v>
      </c>
      <c r="J36" s="45">
        <f ca="1">(('模拟-全程加成'!$K$3+'模拟-全程加成'!$K$4+'模拟-全程加成'!$K$5+('模拟-全程加成'!$C$6-'模拟-全程加成'!$C$3)*系数!$B$10+IF(BV36&gt;0,882,0)+IF(BY36&gt;0,1831,0))*(1+'模拟-全程加成'!$L$4+'模拟-全程加成'!$L$5+CC36*20%))/系数!$B$5</f>
        <v>0.85832564669386491</v>
      </c>
      <c r="K36" s="119">
        <f ca="1">LOOKUP(D36,'模拟-单技能数据'!$A$2:$A$19,'模拟-单技能数据'!$J$2:$J$19)+IF(CM36,60%,0)+IF(DB35-DB36&gt;0,30%,0)+IF(OR(AND(OR(C36="赤日轮1",C36="赤日轮2",C36="赤日轮3"),CR36),AND(OR(C36="幽月轮1",C36="幽月轮2",C36="幽月轮3"),CS36)),35%,0)+CJ36</f>
        <v>0.16999999999999998</v>
      </c>
      <c r="L36" s="119">
        <f ca="1">IF(AND(C36="烈日斩",模拟模式!$X$11=1),10%,0)+IF(AND(C36="驱夜断愁",AB36=1),30%,0)</f>
        <v>0</v>
      </c>
      <c r="M36" s="45">
        <f t="shared" ca="1" si="15"/>
        <v>0.4618514552730022</v>
      </c>
      <c r="N36" s="45">
        <f t="shared" ca="1" si="16"/>
        <v>0.48424854472699785</v>
      </c>
      <c r="O36" s="46">
        <f t="shared" ca="1" si="17"/>
        <v>0.13878909640534742</v>
      </c>
      <c r="P36" s="46" t="str">
        <f t="shared" ca="1" si="18"/>
        <v>会</v>
      </c>
      <c r="Q36" s="45">
        <f t="shared" ca="1" si="19"/>
        <v>2.162482885499879</v>
      </c>
      <c r="R36" s="117">
        <f ca="1">模拟模式!$E$20*(1-IF(模拟模式!$J$19="有",0.15,0))*(1-IF(模拟模式!$K$19="有",0.3,0)-IF(CQ36,0.5,0))</f>
        <v>843.02999999999975</v>
      </c>
      <c r="S36" s="45">
        <f ca="1">R36/(R36+(185*模拟模式!$E$22-16800)*4.08224)</f>
        <v>8.389626085980037E-2</v>
      </c>
      <c r="T36" s="45" t="str">
        <f ca="1">LOOKUP(D36,'模拟-单技能数据'!$A$2:$A$19,'模拟-单技能数据'!$H$2:$H$19)</f>
        <v>阳</v>
      </c>
      <c r="U36" s="119">
        <f t="shared" ca="1" si="20"/>
        <v>0.2</v>
      </c>
      <c r="V36" s="47">
        <f ca="1">(1+L36)*(LOOKUP(D36,'模拟-单技能数据'!$A$2:$A$19,'模拟-单技能数据'!$D$2:$D$19)+G36*LOOKUP(D36,'模拟-单技能数据'!$A$2:$A$19,'模拟-单技能数据'!$F$2:$F$19))*(1+J36)*(1+K36)*(1-S36)*(1+U36)*Q36*LOOKUP(D36,'模拟-单技能数据'!$A$2:$A$19,'模拟-单技能数据'!$I$2:$I$20)</f>
        <v>60137.666879739852</v>
      </c>
      <c r="W36" s="47">
        <f ca="1">LOOKUP(D36,'模拟-单技能数据'!$A$2:$A$19,'模拟-单技能数据'!$G$2:$G$19)*$I$10</f>
        <v>361.51064354704795</v>
      </c>
      <c r="X36" s="47">
        <f t="shared" ca="1" si="21"/>
        <v>0</v>
      </c>
      <c r="Y36" s="47">
        <f t="shared" ca="1" si="22"/>
        <v>60499.177523286897</v>
      </c>
      <c r="Z36" s="49">
        <f t="shared" ca="1" si="23"/>
        <v>634218.07293601811</v>
      </c>
      <c r="AA36" s="97">
        <f t="shared" ca="1" si="24"/>
        <v>76388.80733947824</v>
      </c>
      <c r="AB36" s="115">
        <f ca="1">IF(OR(C36="赤日轮1",C36="赤日轮2",C36="赤日轮3"),IF(RAND()&lt;模拟模式!$Y$17,1,0),IF(OR(C36="幽月轮1",C36="幽月轮2",C36="幽月轮3"),IF(RAND()&lt;模拟模式!$Y$18,1,0),IF(C36="烈日斩",IF(RAND()&lt;模拟模式!$Y$19,1,0),IF(C36="银月斩",IF(RAND()&lt;模拟模式!$Y$20,1,0),IF(C36="驱夜断愁",IF(RAND()&lt;模拟模式!$Y$21,1,0),IF(C36="净世破魔击·日",IF(RAND()&lt;模拟模式!$Y$22,1,0),IF(C36="净世破魔击·月",IF(RAND()&lt;模拟模式!$Y$23,1,0),0)))))))</f>
        <v>1</v>
      </c>
      <c r="AC36" s="115" t="b">
        <f t="shared" ca="1" si="1"/>
        <v>0</v>
      </c>
      <c r="AD36" s="115" t="b">
        <f t="shared" ca="1" si="52"/>
        <v>0</v>
      </c>
      <c r="AE36" s="115">
        <f t="shared" ca="1" si="53"/>
        <v>3</v>
      </c>
      <c r="AF36" s="47">
        <f ca="1">IF(AC36,('模拟-单技能数据'!$D$20+G36*'模拟-单技能数据'!$F$20)*(1+J36)*(1+'模拟-单技能数据'!$J$20)*(1+U36),0)</f>
        <v>0</v>
      </c>
      <c r="AG36" s="61">
        <f t="shared" ca="1" si="25"/>
        <v>0.64185145527300214</v>
      </c>
      <c r="AH36" s="61">
        <f t="shared" ca="1" si="26"/>
        <v>2.2624828854998791</v>
      </c>
      <c r="AI36" s="62">
        <f t="shared" ca="1" si="27"/>
        <v>0.87781980836513329</v>
      </c>
      <c r="AJ36" s="47">
        <f ca="1">IF(AD36,IF(AI36&lt;$F$10,0,IF(AI36&lt;$F$10+$F$11,0.25,IF(AI36&lt;$F$10+$F$11+AG36,AH36,1)))*IF(AF36&gt;0,AF36,IF(AF35&gt;0,AF35,IF(AF34&gt;0,AF34,IF(AF33&gt;0,AF33,IF(AF32&gt;0,AF32,IF(AF31&gt;0,AF31,IF(AF30&gt;0,AF30,IF(AF29&gt;0,AF29,IF(AF28&gt;0,AF28,IF(AF26&gt;0,AF26,IF(AF25&gt;0,AF25,IF(AF24&gt;0,AF24,0)))))))))))),0)*(1-$S36)*'模拟-单技能数据'!$I$20</f>
        <v>0</v>
      </c>
      <c r="AK36" s="115" t="b">
        <f t="shared" ca="1" si="2"/>
        <v>0</v>
      </c>
      <c r="AL36" s="115" t="b">
        <f t="shared" ca="1" si="54"/>
        <v>0</v>
      </c>
      <c r="AM36" s="115">
        <f t="shared" ca="1" si="55"/>
        <v>6</v>
      </c>
      <c r="AN36" s="47">
        <f ca="1">IF(AK36,('模拟-单技能数据'!$D$21+G36*'模拟-单技能数据'!$F$21)*(1+J36)*(1+'模拟-单技能数据'!$J$21)*(1+U36),0)</f>
        <v>0</v>
      </c>
      <c r="AO36" s="61">
        <f ca="1">IF(AN36&gt;0,M36-'模拟-单技能数据'!$K$10,AO35)</f>
        <v>0.42185145527300216</v>
      </c>
      <c r="AP36" s="61">
        <f ca="1">IF(AN36&gt;0,I36-'模拟-单技能数据'!$L$10,AP35)</f>
        <v>2.162482885499879</v>
      </c>
      <c r="AQ36" s="63">
        <f t="shared" ca="1" si="28"/>
        <v>0.62654178164022856</v>
      </c>
      <c r="AR36" s="64">
        <f ca="1">IF(AL36,IF(AQ36&lt;$F$10,0,IF(AQ36&lt;$F$10+$F$11,0.25,IF(AQ36&lt;$F$10+$F$11+AO36,AP36,1)))*IF(AN36&gt;0,AN36,IF(AN35&gt;0,AN35,IF(AN34&gt;0,AN34,IF(AN33&gt;0,AN33,IF(AN32&gt;0,AN32,IF(AN31&gt;0,AN31,IF(AN30&gt;0,AN30,IF(AN29&gt;0,AN29,IF(AN28&gt;0,AN28,IF(AN26&gt;0,AN26,IF(AN25&gt;0,AN25,IF(AN24&gt;0,AN24,0)))))))))))),0)*(1-$S36)*'模拟-单技能数据'!$I$21</f>
        <v>0</v>
      </c>
      <c r="AS36" s="61">
        <f ca="1">IF(OR(C36="净世破魔击·日",C36="净世破魔击·月"),M36-'模拟-单技能数据'!$K$10,0)</f>
        <v>0</v>
      </c>
      <c r="AT36" s="61">
        <f ca="1">IF(OR(C36="净世破魔击·日",C36="净世破魔击·月"),I36-'模拟-单技能数据'!$L$10,0)</f>
        <v>0</v>
      </c>
      <c r="AU36" s="62">
        <f t="shared" ca="1" si="29"/>
        <v>0.36515078584166061</v>
      </c>
      <c r="AV36" s="64">
        <f ca="1">IF(AS36&gt;0,('模拟-单技能数据'!$D$22+G36*'模拟-单技能数据'!$F$22)*(1+J36)*(1-S36)*IF(AU36&lt;$F$10,0,IF(AU36&lt;$F$10+$F$11,0.25,IF(AU36&lt;$F$10+$F$11+AS36,AT36,1)))*(1+U36),0)*'模拟-单技能数据'!$I$22</f>
        <v>0</v>
      </c>
      <c r="AW36" s="108">
        <f t="shared" ca="1" si="30"/>
        <v>0</v>
      </c>
      <c r="AX36" s="108" t="b">
        <f ca="1">AND(模拟模式!$P$10="有",AW35=0,RAND()&lt;IF(C36="净世破魔击·月",0.1*8/3,IF(C36="净世破魔击·日",0.1*4/3,0.1*2/3)))</f>
        <v>0</v>
      </c>
      <c r="AY36" s="47">
        <f ca="1">IF(AX36,(18+G36*0.722)*(1+J36)*(1-S36)*(1+$I$4)*IF(P36="会",'模拟-全程加成'!$J$3+'模拟-全程加成'!$J$4+'模拟-全程加成'!$J$5+('模拟-全程加成'!$I$4+'模拟-全程加成'!$I$5)/系数!$B$4+BG36*10%,IF(P36="命",1,IF(P36="识",0.25,0))),0)</f>
        <v>0</v>
      </c>
      <c r="AZ36" s="108">
        <f t="shared" si="31"/>
        <v>11.697500000000005</v>
      </c>
      <c r="BA36" s="108" t="b">
        <f>AND(模拟模式!$Q$10="有",AZ35=0)</f>
        <v>0</v>
      </c>
      <c r="BB36" s="140">
        <f>IF(BA36,(0+G36*0.287)*(1+J36)*(1-S36)*(1+$I$4)*IF(P36="会",'模拟-全程加成'!$J$3+'模拟-全程加成'!$J$4+'模拟-全程加成'!$J$5+('模拟-全程加成'!$I$4+'模拟-全程加成'!$I$5)/系数!$B$4+BG36*10%,IF(P36="命",1,IF(P36="识",0.25,0))),0)</f>
        <v>0</v>
      </c>
      <c r="BC36" s="115" t="b">
        <f ca="1">AND(模拟模式!$R$7="伏明众生",E36=60,F36=20,DA36&lt;5,CZ35&lt;$F$4)</f>
        <v>0</v>
      </c>
      <c r="BD36" s="115">
        <f t="shared" ca="1" si="3"/>
        <v>0</v>
      </c>
      <c r="BE36" s="115" t="b">
        <f t="shared" ca="1" si="4"/>
        <v>0</v>
      </c>
      <c r="BF36" s="47">
        <f ca="1">IF(BC36,4*('模拟-单技能数据'!$D$24+G36*'模拟-单技能数据'!$F$24)*(1+J36)*(1+'模拟-单技能数据'!$J$24)*(1-S36)*(1+$I$3)*(('模拟-全程加成'!$J$3+'模拟-全程加成'!$J$4+'模拟-全程加成'!$J$5+('模拟-全程加成'!$I$4+'模拟-全程加成'!$I$5)/系数!$B$4+BG36*10%)*('模拟-全程加成'!$J$3+'模拟-全程加成'!$J$4+'模拟-全程加成'!$J$5+('模拟-全程加成'!$I$4+'模拟-全程加成'!$I$5)/系数!$B$4+BG36*10%)+(1-('模拟-全程加成'!$J$3+'模拟-全程加成'!$J$4+'模拟-全程加成'!$J$5+('模拟-全程加成'!$I$4+'模拟-全程加成'!$I$5)/系数!$B$4+BG36*10%)-$F$10-$F$11)+F20*0.25),0)*'模拟-单技能数据'!$I$24</f>
        <v>0</v>
      </c>
      <c r="BG36" s="115" t="b">
        <f ca="1">OR(AND(OR(C36="烈日斩",C36="银月斩"),模拟模式!$I$7="净身明礼"),AND(C36="净世破魔击·日",模拟模式!$J$7="洞若观火"),AND(C37="净世破魔击·月",模拟模式!$J$7="洞若观火"),AB36=1)</f>
        <v>1</v>
      </c>
      <c r="BH36" s="115" t="b">
        <f t="shared" ca="1" si="32"/>
        <v>0</v>
      </c>
      <c r="BI36" s="115">
        <f t="shared" ca="1" si="5"/>
        <v>0</v>
      </c>
      <c r="BJ36" s="115" t="b">
        <f t="shared" ca="1" si="33"/>
        <v>0</v>
      </c>
      <c r="BK36" s="115" t="b">
        <f ca="1">AND(C36="驱夜断愁",模拟模式!$P$7="天地诛戮")</f>
        <v>0</v>
      </c>
      <c r="BL36" s="57">
        <f t="shared" ca="1" si="6"/>
        <v>14.465000000000003</v>
      </c>
      <c r="BM36" s="115" t="b">
        <f t="shared" ca="1" si="34"/>
        <v>1</v>
      </c>
      <c r="BN36" s="115" t="b">
        <f ca="1">AND(OR(C36="赤日轮1",C36="赤日轮2",C36="赤日轮3",C36="幽月轮1",C36="幽月轮2",C36="幽月轮3"),AB36=1,模拟模式!$L$7="明光恒照")</f>
        <v>1</v>
      </c>
      <c r="BO36" s="117">
        <f t="shared" ca="1" si="7"/>
        <v>30</v>
      </c>
      <c r="BP36" s="115">
        <f t="shared" ca="1" si="35"/>
        <v>4</v>
      </c>
      <c r="BQ36" s="115" t="b">
        <f>模拟模式!$K$10="2600·水"</f>
        <v>0</v>
      </c>
      <c r="BR36" s="117">
        <f t="shared" si="36"/>
        <v>0</v>
      </c>
      <c r="BS36" s="115">
        <f t="shared" si="37"/>
        <v>0</v>
      </c>
      <c r="BT36" s="115">
        <f t="shared" ca="1" si="38"/>
        <v>0</v>
      </c>
      <c r="BU36" s="115" t="b">
        <f ca="1">AND(模拟模式!$K$10="2300·雷",BT35=0,RAND()&lt;IF(C36="净世破魔击·月",5*0.05*2/3,IF(C36="净世破魔击·日",3*0.05*2/3,0.05*2*2/3)))</f>
        <v>0</v>
      </c>
      <c r="BV36" s="115">
        <f t="shared" ca="1" si="39"/>
        <v>0</v>
      </c>
      <c r="BW36" s="115">
        <f t="shared" ca="1" si="40"/>
        <v>177.23249999999996</v>
      </c>
      <c r="BX36" s="164" t="b">
        <f t="shared" ca="1" si="41"/>
        <v>0</v>
      </c>
      <c r="BY36" s="115">
        <f t="shared" ca="1" si="42"/>
        <v>12.232500000000002</v>
      </c>
      <c r="BZ36" s="115">
        <f>IF(OR(模拟模式!$P$16="10人团",模拟模式!$P$16="25人团"),IF(B36/30&gt;CA35,1,0),0)</f>
        <v>0</v>
      </c>
      <c r="CA36" s="115">
        <f t="shared" si="8"/>
        <v>0</v>
      </c>
      <c r="CB36" s="115">
        <f ca="1">IF(BZ36=1,IF(模拟模式!$P$16="10人团",15,0)+IF(模拟模式!$P$16="25人团",IF(RAND()&lt;0.6,15,0)),MAX(0,CB35-$F$4))</f>
        <v>0</v>
      </c>
      <c r="CC36" s="115" t="b">
        <f t="shared" ca="1" si="43"/>
        <v>0</v>
      </c>
      <c r="CD36" s="115">
        <f>IF(模拟模式!$Q$16="1个",IF(B36/40&gt;CE35,1,0),0)</f>
        <v>0</v>
      </c>
      <c r="CE36" s="115">
        <f t="shared" si="44"/>
        <v>0</v>
      </c>
      <c r="CF36" s="115">
        <f>IF(OR(CD36=1,模拟模式!$Q$16="2个"),20,MAX(0,CF35-$F$4))</f>
        <v>0</v>
      </c>
      <c r="CG36" s="115" t="b">
        <f t="shared" si="45"/>
        <v>0</v>
      </c>
      <c r="CH36" s="115">
        <f t="shared" ca="1" si="46"/>
        <v>22.620000000000005</v>
      </c>
      <c r="CI36" s="115" t="b">
        <f t="shared" ca="1" si="47"/>
        <v>0</v>
      </c>
      <c r="CJ36" s="119">
        <f t="shared" ca="1" si="48"/>
        <v>0.05</v>
      </c>
      <c r="CK36" s="115">
        <f t="shared" ca="1" si="49"/>
        <v>0.61999999999999911</v>
      </c>
      <c r="CL36" s="115" t="b">
        <f ca="1">AND(模拟模式!$S$7="驱夷逐法",OR(AND(C36="净世破魔击·月",E35&gt;59),AND(C36="净世破魔击·日",F35&gt;59)))</f>
        <v>0</v>
      </c>
      <c r="CM36" s="115" t="b">
        <f ca="1">OR(CL36,AND(C36="净世破魔击·日",CL35,RAND()&lt;模拟模式!$U$23))</f>
        <v>0</v>
      </c>
      <c r="CN36" s="115" t="b">
        <f ca="1">IF(模拟模式!$M$7="辉耀红尘",AND(C36="净世破魔击·月",CL36,CV36=0,E35&lt;80),AND(C36="净世破魔击·月",CL36,E35&lt;100))</f>
        <v>0</v>
      </c>
      <c r="CO36" s="115" t="b">
        <f t="shared" ca="1" si="9"/>
        <v>0</v>
      </c>
      <c r="CP36" s="115" t="b">
        <f ca="1">AND(模拟模式!$O$7="用晦而明",OR(C36="净世破魔击·日",C36="净世破魔击·月",C36="驱夜断愁"),AB36)</f>
        <v>0</v>
      </c>
      <c r="CQ36" s="115" t="b">
        <f ca="1">OR(CP36,AND(CP35,RAND()&lt;模拟模式!$U$23))</f>
        <v>1</v>
      </c>
      <c r="CR36" s="115" t="b">
        <f ca="1">AND(模拟模式!$S$7="日月齐光",OR(C36="幽月轮1",C36="幽月轮2",C36="幽月轮3",CR35),NOT(OR(C36="赤日轮1",C36="赤日轮2",C36="赤日轮3")))</f>
        <v>0</v>
      </c>
      <c r="CS36" s="115" t="b">
        <f ca="1">AND(模拟模式!$S$7="日月齐光",OR(C36="赤日轮1",C36="赤日轮2",C36="赤日轮3",CS35),NOT(OR(C36="幽月轮1",C36="幽月轮2",C36="幽月轮3")))</f>
        <v>0</v>
      </c>
      <c r="CT36" s="115">
        <f t="shared" ca="1" si="50"/>
        <v>0</v>
      </c>
      <c r="CU36" s="115" t="b">
        <f ca="1">AND(模拟模式!$K$10="阴阳往极",CT35=0,RAND()&lt;IF(C36="净世破魔击·月",0.0275*7/3,IF(C36="净世破魔击·日",0.0275*3/3,0.0275*2/3)))</f>
        <v>0</v>
      </c>
      <c r="CV36" s="115">
        <f t="shared" ca="1" si="51"/>
        <v>0</v>
      </c>
      <c r="CW36" s="115">
        <f t="shared" ca="1" si="10"/>
        <v>1.3874999999999997</v>
      </c>
      <c r="CX36" s="115">
        <f t="shared" ca="1" si="11"/>
        <v>0</v>
      </c>
      <c r="CY36" s="115">
        <f ca="1">MAX(IF($C36="驱夜断愁",IF(模拟模式!$R$7="万念俱寂",6,45),CY35-$F$4),0)</f>
        <v>0.46499999999999975</v>
      </c>
      <c r="CZ36" s="115">
        <f t="shared" ca="1" si="12"/>
        <v>0</v>
      </c>
      <c r="DA36" s="115">
        <f ca="1">IF(模拟模式!$N$7="日月同辉",IF(DB35=2,0,MIN(6,IF(AND(OR(C36="赤日轮1",C36="赤日轮2",C36="赤日轮3",C36="幽月轮1",C36="幽月轮2",C36="幽月轮3"),AB36=1),DA35+1,DA35))),0)</f>
        <v>4</v>
      </c>
      <c r="DB36" s="115">
        <f t="shared" ca="1" si="13"/>
        <v>0</v>
      </c>
      <c r="DD36" s="115"/>
      <c r="DE36" s="115"/>
      <c r="DF36" s="115"/>
      <c r="DG36" s="115"/>
      <c r="DH36" s="115"/>
      <c r="DI36" s="115"/>
      <c r="DJ36" s="115"/>
      <c r="DK36" s="115"/>
      <c r="DL36" s="115"/>
      <c r="DM36" s="115"/>
    </row>
    <row r="37" spans="2:117" x14ac:dyDescent="0.2">
      <c r="B37" s="117">
        <f t="shared" si="14"/>
        <v>9.2249999999999996</v>
      </c>
      <c r="C37" s="167" t="str">
        <f t="shared" ca="1" si="0"/>
        <v>银月斩</v>
      </c>
      <c r="D37" s="115">
        <f ca="1">IF(C37="赤日轮1",1,IF(C37="赤日轮2",2,IF(C37="赤日轮3",3,IF(C37="幽月轮1",4,IF(C37="幽月轮2",5,IF(C37="幽月轮3",6,IF(C37="烈日斩",7,IF(C37="银月斩",8,IF(C37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37="净世破魔击·月",17,IF(C37="驱夜断愁",18,0)))))))))))</f>
        <v>8</v>
      </c>
      <c r="E37" s="115">
        <f ca="1">IF(AND(CU37,OR(C37="幽月轮1",C37="幽月轮2",C37="幽月轮3",C37="银月斩",C37="驱夜断愁",C37="净世破魔击·月")),100,MIN(IF(OR(CN37,BE37),0,IF(OR($C37="赤日轮1",$C37="赤日轮2",$C37="赤日轮3"),E36+20+IF(模拟模式!$I$7="日月凌天",4,0)+IF(CR36,20,0),IF($C37="烈日斩",E36+40,IF($C37="驱夜断愁",IF(模拟模式!$R$7="万念俱寂",E36+20,E36+60),IF($C37="净世破魔击·月",IF(OR(DB36&gt;0,CV36&gt;0),100,IF(模拟模式!$M$7="辉耀红尘",E36+20,E36)),IF($C37="净世破魔击·日",E36-100,E36)))))),100))</f>
        <v>20</v>
      </c>
      <c r="F37" s="115">
        <f ca="1">IF(AND(CU37,OR(C37="赤日轮1",C37="赤日轮2",C37="赤日轮3",C37="烈日斩",C37="净世破魔击·日")),100,MIN(IF(CO37,0,IF(OR($C37="幽月轮1",$C37="幽月轮2",$C37="幽月轮3"),F36+20+IF(模拟模式!$I$7="日月凌天",4,0)+IF(CS36,20,0),IF($C37="银月斩",F36+40+IF(模拟模式!$X$12=1,5,0),IF($C37="驱夜断愁",IF(模拟模式!$R$7="万念俱寂",F36+20,F36+60),IF($C37="净世破魔击·月",IF(模拟模式!$M$7="辉耀红尘",F36-80,F36-100),IF(AND(C37="净世破魔击·日",OR(DB36&gt;0,CV36&gt;0)),100,F36)))))),100))</f>
        <v>65</v>
      </c>
      <c r="G37" s="117">
        <f ca="1">('模拟-全程加成'!$E$3+'模拟-全程加成'!$E$4+'模拟-全程加成'!$E$5+('模拟-全程加成'!$C$6-'模拟-全程加成'!$C$3)*系数!$B$9+BS37*23)*(1+'模拟-全程加成'!$F$4+'模拟-全程加成'!$F$5+BJ37*10%+BM37*20%+BP37*4%+CG37*30%)+$F$7*系数!$B$12</f>
        <v>20765.267800000001</v>
      </c>
      <c r="H37" s="45">
        <f ca="1">'模拟-全程加成'!$H$3+'模拟-全程加成'!$H$4+'模拟-全程加成'!$H$5+('模拟-全程加成'!$G$4+'模拟-全程加成'!$G$5+('模拟-全程加成'!$C$6-'模拟-全程加成'!$C$3)*系数!$B$13)/系数!$B$3+LOOKUP(D37,'模拟-单技能数据'!$A$2:$A$19,'模拟-单技能数据'!$K$2:$K$19)+BG37*10%+IF(BV37&gt;0,378,0)</f>
        <v>0.64185145527300214</v>
      </c>
      <c r="I37" s="45">
        <f ca="1">'模拟-全程加成'!$J$3+'模拟-全程加成'!$J$4+'模拟-全程加成'!$J$5+('模拟-全程加成'!$I$4+'模拟-全程加成'!$I$5)/系数!$B$4+LOOKUP(D37,'模拟-单技能数据'!$A$2:$A$19,'模拟-单技能数据'!$L$2:$L$19)+BG37*10%</f>
        <v>2.2624828854998791</v>
      </c>
      <c r="J37" s="45">
        <f ca="1">(('模拟-全程加成'!$K$3+'模拟-全程加成'!$K$4+'模拟-全程加成'!$K$5+('模拟-全程加成'!$C$6-'模拟-全程加成'!$C$3)*系数!$B$10+IF(BV37&gt;0,882,0)+IF(BY37&gt;0,1831,0))*(1+'模拟-全程加成'!$L$4+'模拟-全程加成'!$L$5+CC37*20%))/系数!$B$5</f>
        <v>0.85832564669386491</v>
      </c>
      <c r="K37" s="119">
        <f ca="1">LOOKUP(D37,'模拟-单技能数据'!$A$2:$A$19,'模拟-单技能数据'!$J$2:$J$19)+IF(CM37,60%,0)+IF(DB36-DB37&gt;0,30%,0)+IF(OR(AND(OR(C37="赤日轮1",C37="赤日轮2",C37="赤日轮3"),CR37),AND(OR(C37="幽月轮1",C37="幽月轮2",C37="幽月轮3"),CS37)),35%,0)+CJ37</f>
        <v>0.15</v>
      </c>
      <c r="L37" s="119">
        <f ca="1">IF(AND(C37="烈日斩",模拟模式!$X$11=1),10%,0)+IF(AND(C37="驱夜断愁",AB37=1),30%,0)</f>
        <v>0</v>
      </c>
      <c r="M37" s="45">
        <f t="shared" ca="1" si="15"/>
        <v>0.64185145527300214</v>
      </c>
      <c r="N37" s="45">
        <f t="shared" ca="1" si="16"/>
        <v>0.30424854472699792</v>
      </c>
      <c r="O37" s="46">
        <f t="shared" ca="1" si="17"/>
        <v>9.6046275346215015E-2</v>
      </c>
      <c r="P37" s="46" t="str">
        <f t="shared" ca="1" si="18"/>
        <v>会</v>
      </c>
      <c r="Q37" s="45">
        <f t="shared" ca="1" si="19"/>
        <v>2.2624828854998791</v>
      </c>
      <c r="R37" s="117">
        <f ca="1">模拟模式!$E$20*(1-IF(模拟模式!$J$19="有",0.15,0))*(1-IF(模拟模式!$K$19="有",0.3,0)-IF(CQ37,0.5,0))</f>
        <v>2950.6049999999996</v>
      </c>
      <c r="S37" s="45">
        <f ca="1">R37/(R37+(185*模拟模式!$E$22-16800)*4.08224)</f>
        <v>0.24272716014590323</v>
      </c>
      <c r="T37" s="45" t="str">
        <f ca="1">LOOKUP(D37,'模拟-单技能数据'!$A$2:$A$19,'模拟-单技能数据'!$H$2:$H$19)</f>
        <v>阴</v>
      </c>
      <c r="U37" s="119">
        <f t="shared" ca="1" si="20"/>
        <v>0.08</v>
      </c>
      <c r="V37" s="47">
        <f ca="1">(1+L37)*(LOOKUP(D37,'模拟-单技能数据'!$A$2:$A$19,'模拟-单技能数据'!$D$2:$D$19)+G37*LOOKUP(D37,'模拟-单技能数据'!$A$2:$A$19,'模拟-单技能数据'!$F$2:$F$19))*(1+J37)*(1+K37)*(1-S37)*(1+U37)*Q37*LOOKUP(D37,'模拟-单技能数据'!$A$2:$A$19,'模拟-单技能数据'!$I$2:$I$20)</f>
        <v>43607.621117637093</v>
      </c>
      <c r="W37" s="47">
        <f ca="1">LOOKUP(D37,'模拟-单技能数据'!$A$2:$A$19,'模拟-单技能数据'!$G$2:$G$19)*$I$10</f>
        <v>361.51064354704795</v>
      </c>
      <c r="X37" s="47">
        <f t="shared" ca="1" si="21"/>
        <v>17947.235471142627</v>
      </c>
      <c r="Y37" s="47">
        <f t="shared" ca="1" si="22"/>
        <v>61916.367232326767</v>
      </c>
      <c r="Z37" s="49">
        <f t="shared" ca="1" si="23"/>
        <v>696134.44016834488</v>
      </c>
      <c r="AA37" s="97">
        <f t="shared" ca="1" si="24"/>
        <v>75461.727931527901</v>
      </c>
      <c r="AB37" s="115">
        <f ca="1">IF(OR(C37="赤日轮1",C37="赤日轮2",C37="赤日轮3"),IF(RAND()&lt;模拟模式!$Y$17,1,0),IF(OR(C37="幽月轮1",C37="幽月轮2",C37="幽月轮3"),IF(RAND()&lt;模拟模式!$Y$18,1,0),IF(C37="烈日斩",IF(RAND()&lt;模拟模式!$Y$19,1,0),IF(C37="银月斩",IF(RAND()&lt;模拟模式!$Y$20,1,0),IF(C37="驱夜断愁",IF(RAND()&lt;模拟模式!$Y$21,1,0),IF(C37="净世破魔击·日",IF(RAND()&lt;模拟模式!$Y$22,1,0),IF(C37="净世破魔击·月",IF(RAND()&lt;模拟模式!$Y$23,1,0),0)))))))</f>
        <v>1</v>
      </c>
      <c r="AC37" s="115" t="b">
        <f t="shared" ca="1" si="1"/>
        <v>1</v>
      </c>
      <c r="AD37" s="115" t="b">
        <f t="shared" ca="1" si="52"/>
        <v>1</v>
      </c>
      <c r="AE37" s="115">
        <f t="shared" ca="1" si="53"/>
        <v>5</v>
      </c>
      <c r="AF37" s="47">
        <f ca="1">IF(AC37,('模拟-单技能数据'!$D$20+G37*'模拟-单技能数据'!$F$20)*(1+J37)*(1+'模拟-单技能数据'!$J$20)*(1+U37),0)</f>
        <v>4912.0470221306859</v>
      </c>
      <c r="AG37" s="61">
        <f t="shared" ca="1" si="25"/>
        <v>0.64185145527300214</v>
      </c>
      <c r="AH37" s="61">
        <f t="shared" ca="1" si="26"/>
        <v>2.2624828854998791</v>
      </c>
      <c r="AI37" s="62">
        <f t="shared" ca="1" si="27"/>
        <v>0.51210610549518043</v>
      </c>
      <c r="AJ37" s="47">
        <f ca="1">IF(AD37,IF(AI37&lt;$F$10,0,IF(AI37&lt;$F$10+$F$11,0.25,IF(AI37&lt;$F$10+$F$11+AG37,AH37,1)))*IF(AF37&gt;0,AF37,IF(AF36&gt;0,AF36,IF(AF35&gt;0,AF35,IF(AF34&gt;0,AF34,IF(AF33&gt;0,AF33,IF(AF32&gt;0,AF32,IF(AF31&gt;0,AF31,IF(AF30&gt;0,AF30,IF(AF29&gt;0,AF29,IF(AF27&gt;0,AF27,IF(AF26&gt;0,AF26,IF(AF25&gt;0,AF25,0)))))))))))),0)*(1-$S37)*'模拟-单技能数据'!$I$20</f>
        <v>8415.892881022779</v>
      </c>
      <c r="AK37" s="115" t="b">
        <f t="shared" ca="1" si="2"/>
        <v>0</v>
      </c>
      <c r="AL37" s="115" t="b">
        <f t="shared" ca="1" si="54"/>
        <v>1</v>
      </c>
      <c r="AM37" s="115">
        <f t="shared" ca="1" si="55"/>
        <v>5</v>
      </c>
      <c r="AN37" s="47">
        <f ca="1">IF(AK37,('模拟-单技能数据'!$D$21+G37*'模拟-单技能数据'!$F$21)*(1+J37)*(1+'模拟-单技能数据'!$J$21)*(1+U37),0)</f>
        <v>0</v>
      </c>
      <c r="AO37" s="61">
        <f ca="1">IF(AN37&gt;0,M37-'模拟-单技能数据'!$K$10,AO36)</f>
        <v>0.42185145527300216</v>
      </c>
      <c r="AP37" s="61">
        <f ca="1">IF(AN37&gt;0,I37-'模拟-单技能数据'!$L$10,AP36)</f>
        <v>2.162482885499879</v>
      </c>
      <c r="AQ37" s="63">
        <f t="shared" ca="1" si="28"/>
        <v>0.50370210126120074</v>
      </c>
      <c r="AR37" s="64">
        <f ca="1">IF(AL37,IF(AQ37&lt;$F$10,0,IF(AQ37&lt;$F$10+$F$11,0.25,IF(AQ37&lt;$F$10+$F$11+AO37,AP37,1)))*IF(AN37&gt;0,AN37,IF(AN36&gt;0,AN36,IF(AN35&gt;0,AN35,IF(AN34&gt;0,AN34,IF(AN33&gt;0,AN33,IF(AN32&gt;0,AN32,IF(AN31&gt;0,AN31,IF(AN30&gt;0,AN30,IF(AN29&gt;0,AN29,IF(AN27&gt;0,AN27,IF(AN26&gt;0,AN26,IF(AN25&gt;0,AN25,0)))))))))))),0)*(1-$S37)*'模拟-单技能数据'!$I$21</f>
        <v>9531.342590119848</v>
      </c>
      <c r="AS37" s="61">
        <f ca="1">IF(OR(C37="净世破魔击·日",C37="净世破魔击·月"),M37-'模拟-单技能数据'!$K$10,0)</f>
        <v>0</v>
      </c>
      <c r="AT37" s="61">
        <f ca="1">IF(OR(C37="净世破魔击·日",C37="净世破魔击·月"),I37-'模拟-单技能数据'!$L$10,0)</f>
        <v>0</v>
      </c>
      <c r="AU37" s="62">
        <f t="shared" ca="1" si="29"/>
        <v>1.4504265166514041E-2</v>
      </c>
      <c r="AV37" s="64">
        <f ca="1">IF(AS37&gt;0,('模拟-单技能数据'!$D$22+G37*'模拟-单技能数据'!$F$22)*(1+J37)*(1-S37)*IF(AU37&lt;$F$10,0,IF(AU37&lt;$F$10+$F$11,0.25,IF(AU37&lt;$F$10+$F$11+AS37,AT37,1)))*(1+U37),0)*'模拟-单技能数据'!$I$22</f>
        <v>0</v>
      </c>
      <c r="AW37" s="108">
        <f t="shared" ca="1" si="30"/>
        <v>0</v>
      </c>
      <c r="AX37" s="108" t="b">
        <f ca="1">AND(模拟模式!$P$10="有",AW36=0,RAND()&lt;IF(C37="净世破魔击·月",0.1*8/3,IF(C37="净世破魔击·日",0.1*4/3,0.1*2/3)))</f>
        <v>0</v>
      </c>
      <c r="AY37" s="47">
        <f ca="1">IF(AX37,(18+G37*0.722)*(1+J37)*(1-S37)*(1+$I$4)*IF(P37="会",'模拟-全程加成'!$J$3+'模拟-全程加成'!$J$4+'模拟-全程加成'!$J$5+('模拟-全程加成'!$I$4+'模拟-全程加成'!$I$5)/系数!$B$4+BG37*10%,IF(P37="命",1,IF(P37="识",0.25,0))),0)</f>
        <v>0</v>
      </c>
      <c r="AZ37" s="108">
        <f t="shared" si="31"/>
        <v>10.775000000000006</v>
      </c>
      <c r="BA37" s="108" t="b">
        <f>AND(模拟模式!$Q$10="有",AZ36=0)</f>
        <v>0</v>
      </c>
      <c r="BB37" s="140">
        <f>IF(BA37,(0+G37*0.287)*(1+J37)*(1-S37)*(1+$I$4)*IF(P37="会",'模拟-全程加成'!$J$3+'模拟-全程加成'!$J$4+'模拟-全程加成'!$J$5+('模拟-全程加成'!$I$4+'模拟-全程加成'!$I$5)/系数!$B$4+BG37*10%,IF(P37="命",1,IF(P37="识",0.25,0))),0)</f>
        <v>0</v>
      </c>
      <c r="BC37" s="115" t="b">
        <f ca="1">AND(模拟模式!$R$7="伏明众生",E37=60,F37=20,DA37&lt;5,CZ36&lt;$F$4)</f>
        <v>0</v>
      </c>
      <c r="BD37" s="115">
        <f t="shared" ca="1" si="3"/>
        <v>0</v>
      </c>
      <c r="BE37" s="115" t="b">
        <f t="shared" ca="1" si="4"/>
        <v>0</v>
      </c>
      <c r="BF37" s="47">
        <f ca="1">IF(BC37,4*('模拟-单技能数据'!$D$24+G37*'模拟-单技能数据'!$F$24)*(1+J37)*(1+'模拟-单技能数据'!$J$24)*(1-S37)*(1+$I$3)*(('模拟-全程加成'!$J$3+'模拟-全程加成'!$J$4+'模拟-全程加成'!$J$5+('模拟-全程加成'!$I$4+'模拟-全程加成'!$I$5)/系数!$B$4+BG37*10%)*('模拟-全程加成'!$J$3+'模拟-全程加成'!$J$4+'模拟-全程加成'!$J$5+('模拟-全程加成'!$I$4+'模拟-全程加成'!$I$5)/系数!$B$4+BG37*10%)+(1-('模拟-全程加成'!$J$3+'模拟-全程加成'!$J$4+'模拟-全程加成'!$J$5+('模拟-全程加成'!$I$4+'模拟-全程加成'!$I$5)/系数!$B$4+BG37*10%)-$F$10-$F$11)+F21*0.25),0)*'模拟-单技能数据'!$I$24</f>
        <v>0</v>
      </c>
      <c r="BG37" s="115" t="b">
        <f ca="1">OR(AND(OR(C37="烈日斩",C37="银月斩"),模拟模式!$I$7="净身明礼"),AND(C37="净世破魔击·日",模拟模式!$J$7="洞若观火"),AND(C38="净世破魔击·月",模拟模式!$J$7="洞若观火"),AB37=1)</f>
        <v>1</v>
      </c>
      <c r="BH37" s="115" t="b">
        <f t="shared" ca="1" si="32"/>
        <v>1</v>
      </c>
      <c r="BI37" s="115">
        <f t="shared" ca="1" si="5"/>
        <v>6</v>
      </c>
      <c r="BJ37" s="115" t="b">
        <f t="shared" ca="1" si="33"/>
        <v>1</v>
      </c>
      <c r="BK37" s="115" t="b">
        <f ca="1">AND(C37="驱夜断愁",模拟模式!$P$7="天地诛戮")</f>
        <v>0</v>
      </c>
      <c r="BL37" s="57">
        <f t="shared" ca="1" si="6"/>
        <v>13.542500000000004</v>
      </c>
      <c r="BM37" s="115" t="b">
        <f t="shared" ca="1" si="34"/>
        <v>1</v>
      </c>
      <c r="BN37" s="115" t="b">
        <f ca="1">AND(OR(C37="赤日轮1",C37="赤日轮2",C37="赤日轮3",C37="幽月轮1",C37="幽月轮2",C37="幽月轮3"),AB37=1,模拟模式!$L$7="明光恒照")</f>
        <v>0</v>
      </c>
      <c r="BO37" s="117">
        <f t="shared" ca="1" si="7"/>
        <v>29.077500000000001</v>
      </c>
      <c r="BP37" s="115">
        <f t="shared" ca="1" si="35"/>
        <v>4</v>
      </c>
      <c r="BQ37" s="115" t="b">
        <f>模拟模式!$K$10="2600·水"</f>
        <v>0</v>
      </c>
      <c r="BR37" s="117">
        <f t="shared" si="36"/>
        <v>0</v>
      </c>
      <c r="BS37" s="115">
        <f t="shared" si="37"/>
        <v>0</v>
      </c>
      <c r="BT37" s="115">
        <f t="shared" ca="1" si="38"/>
        <v>0</v>
      </c>
      <c r="BU37" s="115" t="b">
        <f ca="1">AND(模拟模式!$K$10="2300·雷",BT36=0,RAND()&lt;IF(C37="净世破魔击·月",5*0.05*2/3,IF(C37="净世破魔击·日",3*0.05*2/3,0.05*2*2/3)))</f>
        <v>0</v>
      </c>
      <c r="BV37" s="115">
        <f t="shared" ca="1" si="39"/>
        <v>0</v>
      </c>
      <c r="BW37" s="115">
        <f t="shared" ca="1" si="40"/>
        <v>176.30999999999995</v>
      </c>
      <c r="BX37" s="164" t="b">
        <f t="shared" ca="1" si="41"/>
        <v>0</v>
      </c>
      <c r="BY37" s="115">
        <f t="shared" ca="1" si="42"/>
        <v>11.310000000000002</v>
      </c>
      <c r="BZ37" s="115">
        <f>IF(OR(模拟模式!$P$16="10人团",模拟模式!$P$16="25人团"),IF(B37/30&gt;CA36,1,0),0)</f>
        <v>0</v>
      </c>
      <c r="CA37" s="115">
        <f t="shared" si="8"/>
        <v>0</v>
      </c>
      <c r="CB37" s="115">
        <f ca="1">IF(BZ37=1,IF(模拟模式!$P$16="10人团",15,0)+IF(模拟模式!$P$16="25人团",IF(RAND()&lt;0.6,15,0)),MAX(0,CB36-$F$4))</f>
        <v>0</v>
      </c>
      <c r="CC37" s="115" t="b">
        <f t="shared" ca="1" si="43"/>
        <v>0</v>
      </c>
      <c r="CD37" s="115">
        <f>IF(模拟模式!$Q$16="1个",IF(B37/40&gt;CE36,1,0),0)</f>
        <v>0</v>
      </c>
      <c r="CE37" s="115">
        <f t="shared" si="44"/>
        <v>0</v>
      </c>
      <c r="CF37" s="115">
        <f>IF(OR(CD37=1,模拟模式!$Q$16="2个"),20,MAX(0,CF36-$F$4))</f>
        <v>0</v>
      </c>
      <c r="CG37" s="115" t="b">
        <f t="shared" si="45"/>
        <v>0</v>
      </c>
      <c r="CH37" s="115">
        <f t="shared" ca="1" si="46"/>
        <v>21.697500000000005</v>
      </c>
      <c r="CI37" s="115" t="b">
        <f t="shared" ca="1" si="47"/>
        <v>0</v>
      </c>
      <c r="CJ37" s="119">
        <f t="shared" ca="1" si="48"/>
        <v>0</v>
      </c>
      <c r="CK37" s="115">
        <f t="shared" ca="1" si="49"/>
        <v>0</v>
      </c>
      <c r="CL37" s="115" t="b">
        <f ca="1">AND(模拟模式!$S$7="驱夷逐法",OR(AND(C37="净世破魔击·月",E36&gt;59),AND(C37="净世破魔击·日",F36&gt;59)))</f>
        <v>0</v>
      </c>
      <c r="CM37" s="115" t="b">
        <f ca="1">OR(CL37,AND(C37="净世破魔击·日",CL36,RAND()&lt;模拟模式!$U$23))</f>
        <v>0</v>
      </c>
      <c r="CN37" s="115" t="b">
        <f ca="1">IF(模拟模式!$M$7="辉耀红尘",AND(C37="净世破魔击·月",CL37,CV37=0,E36&lt;80),AND(C37="净世破魔击·月",CL37,E36&lt;100))</f>
        <v>0</v>
      </c>
      <c r="CO37" s="115" t="b">
        <f t="shared" ca="1" si="9"/>
        <v>0</v>
      </c>
      <c r="CP37" s="115" t="b">
        <f ca="1">AND(模拟模式!$O$7="用晦而明",OR(C37="净世破魔击·日",C37="净世破魔击·月",C37="驱夜断愁"),AB37)</f>
        <v>0</v>
      </c>
      <c r="CQ37" s="115" t="b">
        <f ca="1">OR(CP37,AND(CP36,RAND()&lt;模拟模式!$U$23))</f>
        <v>0</v>
      </c>
      <c r="CR37" s="115" t="b">
        <f ca="1">AND(模拟模式!$S$7="日月齐光",OR(C37="幽月轮1",C37="幽月轮2",C37="幽月轮3",CR36),NOT(OR(C37="赤日轮1",C37="赤日轮2",C37="赤日轮3")))</f>
        <v>0</v>
      </c>
      <c r="CS37" s="115" t="b">
        <f ca="1">AND(模拟模式!$S$7="日月齐光",OR(C37="赤日轮1",C37="赤日轮2",C37="赤日轮3",CS36),NOT(OR(C37="幽月轮1",C37="幽月轮2",C37="幽月轮3")))</f>
        <v>0</v>
      </c>
      <c r="CT37" s="115">
        <f t="shared" ca="1" si="50"/>
        <v>0</v>
      </c>
      <c r="CU37" s="115" t="b">
        <f ca="1">AND(模拟模式!$K$10="阴阳往极",CT36=0,RAND()&lt;IF(C37="净世破魔击·月",0.0275*7/3,IF(C37="净世破魔击·日",0.0275*3/3,0.0275*2/3)))</f>
        <v>0</v>
      </c>
      <c r="CV37" s="115">
        <f t="shared" ca="1" si="51"/>
        <v>0</v>
      </c>
      <c r="CW37" s="115">
        <f t="shared" ca="1" si="10"/>
        <v>0.46499999999999975</v>
      </c>
      <c r="CX37" s="115">
        <f t="shared" ca="1" si="11"/>
        <v>6</v>
      </c>
      <c r="CY37" s="115">
        <f ca="1">MAX(IF($C37="驱夜断愁",IF(模拟模式!$R$7="万念俱寂",6,45),CY36-$F$4),0)</f>
        <v>0</v>
      </c>
      <c r="CZ37" s="115">
        <f t="shared" ca="1" si="12"/>
        <v>0</v>
      </c>
      <c r="DA37" s="115">
        <f ca="1">IF(模拟模式!$N$7="日月同辉",IF(DB36=2,0,MIN(6,IF(AND(OR(C37="赤日轮1",C37="赤日轮2",C37="赤日轮3",C37="幽月轮1",C37="幽月轮2",C37="幽月轮3"),AB37=1),DA36+1,DA36))),0)</f>
        <v>4</v>
      </c>
      <c r="DB37" s="115">
        <f t="shared" ca="1" si="13"/>
        <v>0</v>
      </c>
      <c r="DD37" s="115"/>
      <c r="DE37" s="115"/>
      <c r="DF37" s="115"/>
      <c r="DG37" s="115"/>
      <c r="DH37" s="115"/>
      <c r="DI37" s="115"/>
      <c r="DJ37" s="115"/>
      <c r="DK37" s="115"/>
      <c r="DL37" s="115"/>
      <c r="DM37" s="115"/>
    </row>
    <row r="38" spans="2:117" x14ac:dyDescent="0.2">
      <c r="B38" s="117">
        <f t="shared" si="14"/>
        <v>10.147499999999999</v>
      </c>
      <c r="C38" s="167" t="str">
        <f t="shared" ca="1" si="0"/>
        <v>驱夜断愁</v>
      </c>
      <c r="D38" s="115">
        <f ca="1">IF(C38="赤日轮1",1,IF(C38="赤日轮2",2,IF(C38="赤日轮3",3,IF(C38="幽月轮1",4,IF(C38="幽月轮2",5,IF(C38="幽月轮3",6,IF(C38="烈日斩",7,IF(C38="银月斩",8,IF(C38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38="净世破魔击·月",17,IF(C38="驱夜断愁",18,0)))))))))))</f>
        <v>18</v>
      </c>
      <c r="E38" s="115">
        <f ca="1">IF(AND(CU38,OR(C38="幽月轮1",C38="幽月轮2",C38="幽月轮3",C38="银月斩",C38="驱夜断愁",C38="净世破魔击·月")),100,MIN(IF(OR(CN38,BE38),0,IF(OR($C38="赤日轮1",$C38="赤日轮2",$C38="赤日轮3"),E37+20+IF(模拟模式!$I$7="日月凌天",4,0)+IF(CR37,20,0),IF($C38="烈日斩",E37+40,IF($C38="驱夜断愁",IF(模拟模式!$R$7="万念俱寂",E37+20,E37+60),IF($C38="净世破魔击·月",IF(OR(DB37&gt;0,CV37&gt;0),100,IF(模拟模式!$M$7="辉耀红尘",E37+20,E37)),IF($C38="净世破魔击·日",E37-100,E37)))))),100))</f>
        <v>40</v>
      </c>
      <c r="F38" s="115">
        <f ca="1">IF(AND(CU38,OR(C38="赤日轮1",C38="赤日轮2",C38="赤日轮3",C38="烈日斩",C38="净世破魔击·日")),100,MIN(IF(CO38,0,IF(OR($C38="幽月轮1",$C38="幽月轮2",$C38="幽月轮3"),F37+20+IF(模拟模式!$I$7="日月凌天",4,0)+IF(CS37,20,0),IF($C38="银月斩",F37+40+IF(模拟模式!$X$12=1,5,0),IF($C38="驱夜断愁",IF(模拟模式!$R$7="万念俱寂",F37+20,F37+60),IF($C38="净世破魔击·月",IF(模拟模式!$M$7="辉耀红尘",F37-80,F37-100),IF(AND(C38="净世破魔击·日",OR(DB37&gt;0,CV37&gt;0)),100,F37)))))),100))</f>
        <v>85</v>
      </c>
      <c r="G38" s="117">
        <f ca="1">('模拟-全程加成'!$E$3+'模拟-全程加成'!$E$4+'模拟-全程加成'!$E$5+('模拟-全程加成'!$C$6-'模拟-全程加成'!$C$3)*系数!$B$9+BS38*23)*(1+'模拟-全程加成'!$F$4+'模拟-全程加成'!$F$5+BJ38*10%+BM38*20%+BP38*4%+CG38*30%)+$F$7*系数!$B$12</f>
        <v>20765.267800000001</v>
      </c>
      <c r="H38" s="45">
        <f ca="1">'模拟-全程加成'!$H$3+'模拟-全程加成'!$H$4+'模拟-全程加成'!$H$5+('模拟-全程加成'!$G$4+'模拟-全程加成'!$G$5+('模拟-全程加成'!$C$6-'模拟-全程加成'!$C$3)*系数!$B$13)/系数!$B$3+LOOKUP(D38,'模拟-单技能数据'!$A$2:$A$19,'模拟-单技能数据'!$K$2:$K$19)+BG38*10%+IF(BV38&gt;0,378,0)</f>
        <v>0.51185145527300213</v>
      </c>
      <c r="I38" s="45">
        <f ca="1">'模拟-全程加成'!$J$3+'模拟-全程加成'!$J$4+'模拟-全程加成'!$J$5+('模拟-全程加成'!$I$4+'模拟-全程加成'!$I$5)/系数!$B$4+LOOKUP(D38,'模拟-单技能数据'!$A$2:$A$19,'模拟-单技能数据'!$L$2:$L$19)+BG38*10%</f>
        <v>2.162482885499879</v>
      </c>
      <c r="J38" s="45">
        <f ca="1">(('模拟-全程加成'!$K$3+'模拟-全程加成'!$K$4+'模拟-全程加成'!$K$5+('模拟-全程加成'!$C$6-'模拟-全程加成'!$C$3)*系数!$B$10+IF(BV38&gt;0,882,0)+IF(BY38&gt;0,1831,0))*(1+'模拟-全程加成'!$L$4+'模拟-全程加成'!$L$5+CC38*20%))/系数!$B$5</f>
        <v>0.85832564669386491</v>
      </c>
      <c r="K38" s="119">
        <f ca="1">LOOKUP(D38,'模拟-单技能数据'!$A$2:$A$19,'模拟-单技能数据'!$J$2:$J$19)+IF(CM38,60%,0)+IF(DB37-DB38&gt;0,30%,0)+IF(OR(AND(OR(C38="赤日轮1",C38="赤日轮2",C38="赤日轮3"),CR38),AND(OR(C38="幽月轮1",C38="幽月轮2",C38="幽月轮3"),CS38)),35%,0)+CJ38</f>
        <v>0.14000000000000001</v>
      </c>
      <c r="L38" s="119">
        <f ca="1">IF(AND(C38="烈日斩",模拟模式!$X$11=1),10%,0)+IF(AND(C38="驱夜断愁",AB38=1),30%,0)</f>
        <v>0.3</v>
      </c>
      <c r="M38" s="45">
        <f t="shared" ca="1" si="15"/>
        <v>0.51185145527300213</v>
      </c>
      <c r="N38" s="45">
        <f t="shared" ca="1" si="16"/>
        <v>0.43424854472699792</v>
      </c>
      <c r="O38" s="46">
        <f t="shared" ca="1" si="17"/>
        <v>4.7998852901285916E-2</v>
      </c>
      <c r="P38" s="46" t="str">
        <f t="shared" ca="1" si="18"/>
        <v>识</v>
      </c>
      <c r="Q38" s="45">
        <f t="shared" ca="1" si="19"/>
        <v>0.25</v>
      </c>
      <c r="R38" s="117">
        <f ca="1">模拟模式!$E$20*(1-IF(模拟模式!$J$19="有",0.15,0))*(1-IF(模拟模式!$K$19="有",0.3,0)-IF(CQ38,0.5,0))</f>
        <v>843.02999999999975</v>
      </c>
      <c r="S38" s="45">
        <f ca="1">R38/(R38+(185*模拟模式!$E$22-16800)*4.08224)</f>
        <v>8.389626085980037E-2</v>
      </c>
      <c r="T38" s="45" t="str">
        <f ca="1">LOOKUP(D38,'模拟-单技能数据'!$A$2:$A$19,'模拟-单技能数据'!$H$2:$H$19)</f>
        <v>阴</v>
      </c>
      <c r="U38" s="119">
        <f t="shared" ca="1" si="20"/>
        <v>0.08</v>
      </c>
      <c r="V38" s="47">
        <f ca="1">(1+L38)*(LOOKUP(D38,'模拟-单技能数据'!$A$2:$A$19,'模拟-单技能数据'!$D$2:$D$19)+G38*LOOKUP(D38,'模拟-单技能数据'!$A$2:$A$19,'模拟-单技能数据'!$F$2:$F$19))*(1+J38)*(1+K38)*(1-S38)*(1+U38)*Q38*LOOKUP(D38,'模拟-单技能数据'!$A$2:$A$19,'模拟-单技能数据'!$I$2:$I$20)</f>
        <v>16276.597398043896</v>
      </c>
      <c r="W38" s="47">
        <f ca="1">LOOKUP(D38,'模拟-单技能数据'!$A$2:$A$19,'模拟-单技能数据'!$G$2:$G$19)*$I$10</f>
        <v>723.0212870940959</v>
      </c>
      <c r="X38" s="47">
        <f t="shared" ca="1" si="21"/>
        <v>0</v>
      </c>
      <c r="Y38" s="47">
        <f t="shared" ca="1" si="22"/>
        <v>16999.61868513799</v>
      </c>
      <c r="Z38" s="49">
        <f t="shared" ca="1" si="23"/>
        <v>713134.05885348283</v>
      </c>
      <c r="AA38" s="97">
        <f t="shared" ca="1" si="24"/>
        <v>70276.822749788902</v>
      </c>
      <c r="AB38" s="115">
        <f ca="1">IF(OR(C38="赤日轮1",C38="赤日轮2",C38="赤日轮3"),IF(RAND()&lt;模拟模式!$Y$17,1,0),IF(OR(C38="幽月轮1",C38="幽月轮2",C38="幽月轮3"),IF(RAND()&lt;模拟模式!$Y$18,1,0),IF(C38="烈日斩",IF(RAND()&lt;模拟模式!$Y$19,1,0),IF(C38="银月斩",IF(RAND()&lt;模拟模式!$Y$20,1,0),IF(C38="驱夜断愁",IF(RAND()&lt;模拟模式!$Y$21,1,0),IF(C38="净世破魔击·日",IF(RAND()&lt;模拟模式!$Y$22,1,0),IF(C38="净世破魔击·月",IF(RAND()&lt;模拟模式!$Y$23,1,0),0)))))))</f>
        <v>1</v>
      </c>
      <c r="AC38" s="115" t="b">
        <f t="shared" ca="1" si="1"/>
        <v>0</v>
      </c>
      <c r="AD38" s="115" t="b">
        <f t="shared" ca="1" si="52"/>
        <v>0</v>
      </c>
      <c r="AE38" s="115">
        <f t="shared" ca="1" si="53"/>
        <v>5</v>
      </c>
      <c r="AF38" s="47">
        <f ca="1">IF(AC38,('模拟-单技能数据'!$D$20+G38*'模拟-单技能数据'!$F$20)*(1+J38)*(1+'模拟-单技能数据'!$J$20)*(1+U38),0)</f>
        <v>0</v>
      </c>
      <c r="AG38" s="61">
        <f t="shared" ca="1" si="25"/>
        <v>0.64185145527300214</v>
      </c>
      <c r="AH38" s="61">
        <f t="shared" ca="1" si="26"/>
        <v>2.2624828854998791</v>
      </c>
      <c r="AI38" s="62">
        <f t="shared" ca="1" si="27"/>
        <v>0.75782236219139087</v>
      </c>
      <c r="AJ38" s="47">
        <f ca="1">IF(AD38,IF(AI38&lt;$F$10,0,IF(AI38&lt;$F$10+$F$11,0.25,IF(AI38&lt;$F$10+$F$11+AG38,AH38,1)))*IF(AF38&gt;0,AF38,IF(AF37&gt;0,AF37,IF(AF36&gt;0,AF36,IF(AF35&gt;0,AF35,IF(AF34&gt;0,AF34,IF(AF33&gt;0,AF33,IF(AF32&gt;0,AF32,IF(AF31&gt;0,AF31,IF(AF30&gt;0,AF30,IF(AF28&gt;0,AF28,IF(AF27&gt;0,AF27,IF(AF26&gt;0,AF26,0)))))))))))),0)*(1-$S38)*'模拟-单技能数据'!$I$20</f>
        <v>0</v>
      </c>
      <c r="AK38" s="115" t="b">
        <f t="shared" ca="1" si="2"/>
        <v>0</v>
      </c>
      <c r="AL38" s="115" t="b">
        <f t="shared" ca="1" si="54"/>
        <v>0</v>
      </c>
      <c r="AM38" s="115">
        <f t="shared" ca="1" si="55"/>
        <v>5</v>
      </c>
      <c r="AN38" s="47">
        <f ca="1">IF(AK38,('模拟-单技能数据'!$D$21+G38*'模拟-单技能数据'!$F$21)*(1+J38)*(1+'模拟-单技能数据'!$J$21)*(1+U38),0)</f>
        <v>0</v>
      </c>
      <c r="AO38" s="61">
        <f ca="1">IF(AN38&gt;0,M38-'模拟-单技能数据'!$K$10,AO37)</f>
        <v>0.42185145527300216</v>
      </c>
      <c r="AP38" s="61">
        <f ca="1">IF(AN38&gt;0,I38-'模拟-单技能数据'!$L$10,AP37)</f>
        <v>2.162482885499879</v>
      </c>
      <c r="AQ38" s="63">
        <f t="shared" ca="1" si="28"/>
        <v>0.99690123717322421</v>
      </c>
      <c r="AR38" s="64">
        <f ca="1">IF(AL38,IF(AQ38&lt;$F$10,0,IF(AQ38&lt;$F$10+$F$11,0.25,IF(AQ38&lt;$F$10+$F$11+AO38,AP38,1)))*IF(AN38&gt;0,AN38,IF(AN37&gt;0,AN37,IF(AN36&gt;0,AN36,IF(AN35&gt;0,AN35,IF(AN34&gt;0,AN34,IF(AN33&gt;0,AN33,IF(AN32&gt;0,AN32,IF(AN31&gt;0,AN31,IF(AN30&gt;0,AN30,IF(AN28&gt;0,AN28,IF(AN27&gt;0,AN27,IF(AN26&gt;0,AN26,0)))))))))))),0)*(1-$S38)*'模拟-单技能数据'!$I$21</f>
        <v>0</v>
      </c>
      <c r="AS38" s="61">
        <f ca="1">IF(OR(C38="净世破魔击·日",C38="净世破魔击·月"),M38-'模拟-单技能数据'!$K$10,0)</f>
        <v>0</v>
      </c>
      <c r="AT38" s="61">
        <f ca="1">IF(OR(C38="净世破魔击·日",C38="净世破魔击·月"),I38-'模拟-单技能数据'!$L$10,0)</f>
        <v>0</v>
      </c>
      <c r="AU38" s="62">
        <f t="shared" ca="1" si="29"/>
        <v>0.14668492271912525</v>
      </c>
      <c r="AV38" s="64">
        <f ca="1">IF(AS38&gt;0,('模拟-单技能数据'!$D$22+G38*'模拟-单技能数据'!$F$22)*(1+J38)*(1-S38)*IF(AU38&lt;$F$10,0,IF(AU38&lt;$F$10+$F$11,0.25,IF(AU38&lt;$F$10+$F$11+AS38,AT38,1)))*(1+U38),0)*'模拟-单技能数据'!$I$22</f>
        <v>0</v>
      </c>
      <c r="AW38" s="108">
        <f t="shared" ca="1" si="30"/>
        <v>0</v>
      </c>
      <c r="AX38" s="108" t="b">
        <f ca="1">AND(模拟模式!$P$10="有",AW37=0,RAND()&lt;IF(C38="净世破魔击·月",0.1*8/3,IF(C38="净世破魔击·日",0.1*4/3,0.1*2/3)))</f>
        <v>0</v>
      </c>
      <c r="AY38" s="47">
        <f ca="1">IF(AX38,(18+G38*0.722)*(1+J38)*(1-S38)*(1+$I$4)*IF(P38="会",'模拟-全程加成'!$J$3+'模拟-全程加成'!$J$4+'模拟-全程加成'!$J$5+('模拟-全程加成'!$I$4+'模拟-全程加成'!$I$5)/系数!$B$4+BG38*10%,IF(P38="命",1,IF(P38="识",0.25,0))),0)</f>
        <v>0</v>
      </c>
      <c r="AZ38" s="108">
        <f t="shared" si="31"/>
        <v>9.8525000000000063</v>
      </c>
      <c r="BA38" s="108" t="b">
        <f>AND(模拟模式!$Q$10="有",AZ37=0)</f>
        <v>0</v>
      </c>
      <c r="BB38" s="140">
        <f>IF(BA38,(0+G38*0.287)*(1+J38)*(1-S38)*(1+$I$4)*IF(P38="会",'模拟-全程加成'!$J$3+'模拟-全程加成'!$J$4+'模拟-全程加成'!$J$5+('模拟-全程加成'!$I$4+'模拟-全程加成'!$I$5)/系数!$B$4+BG38*10%,IF(P38="命",1,IF(P38="识",0.25,0))),0)</f>
        <v>0</v>
      </c>
      <c r="BC38" s="115" t="b">
        <f ca="1">AND(模拟模式!$R$7="伏明众生",E38=60,F38=20,DA38&lt;5,CZ37&lt;$F$4)</f>
        <v>0</v>
      </c>
      <c r="BD38" s="115">
        <f t="shared" ca="1" si="3"/>
        <v>0</v>
      </c>
      <c r="BE38" s="115" t="b">
        <f t="shared" ca="1" si="4"/>
        <v>0</v>
      </c>
      <c r="BF38" s="47">
        <f ca="1">IF(BC38,4*('模拟-单技能数据'!$D$24+G38*'模拟-单技能数据'!$F$24)*(1+J38)*(1+'模拟-单技能数据'!$J$24)*(1-S38)*(1+$I$3)*(('模拟-全程加成'!$J$3+'模拟-全程加成'!$J$4+'模拟-全程加成'!$J$5+('模拟-全程加成'!$I$4+'模拟-全程加成'!$I$5)/系数!$B$4+BG38*10%)*('模拟-全程加成'!$J$3+'模拟-全程加成'!$J$4+'模拟-全程加成'!$J$5+('模拟-全程加成'!$I$4+'模拟-全程加成'!$I$5)/系数!$B$4+BG38*10%)+(1-('模拟-全程加成'!$J$3+'模拟-全程加成'!$J$4+'模拟-全程加成'!$J$5+('模拟-全程加成'!$I$4+'模拟-全程加成'!$I$5)/系数!$B$4+BG38*10%)-$F$10-$F$11)+F24*0.25),0)*'模拟-单技能数据'!$I$24</f>
        <v>0</v>
      </c>
      <c r="BG38" s="115" t="b">
        <f ca="1">OR(AND(OR(C38="烈日斩",C38="银月斩"),模拟模式!$I$7="净身明礼"),AND(C38="净世破魔击·日",模拟模式!$J$7="洞若观火"),AND(C39="净世破魔击·月",模拟模式!$J$7="洞若观火"),AB38=1)</f>
        <v>1</v>
      </c>
      <c r="BH38" s="115" t="b">
        <f t="shared" ca="1" si="32"/>
        <v>1</v>
      </c>
      <c r="BI38" s="115">
        <f t="shared" ca="1" si="5"/>
        <v>6</v>
      </c>
      <c r="BJ38" s="115" t="b">
        <f t="shared" ca="1" si="33"/>
        <v>1</v>
      </c>
      <c r="BK38" s="115" t="b">
        <f ca="1">AND(C38="驱夜断愁",模拟模式!$P$7="天地诛戮")</f>
        <v>1</v>
      </c>
      <c r="BL38" s="57">
        <f t="shared" ca="1" si="6"/>
        <v>20</v>
      </c>
      <c r="BM38" s="115" t="b">
        <f t="shared" ca="1" si="34"/>
        <v>1</v>
      </c>
      <c r="BN38" s="115" t="b">
        <f ca="1">AND(OR(C38="赤日轮1",C38="赤日轮2",C38="赤日轮3",C38="幽月轮1",C38="幽月轮2",C38="幽月轮3"),AB38=1,模拟模式!$L$7="明光恒照")</f>
        <v>0</v>
      </c>
      <c r="BO38" s="117">
        <f t="shared" ca="1" si="7"/>
        <v>28.155000000000001</v>
      </c>
      <c r="BP38" s="115">
        <f t="shared" ca="1" si="35"/>
        <v>4</v>
      </c>
      <c r="BQ38" s="115" t="b">
        <f>模拟模式!$K$10="2600·水"</f>
        <v>0</v>
      </c>
      <c r="BR38" s="117">
        <f t="shared" si="36"/>
        <v>0</v>
      </c>
      <c r="BS38" s="115">
        <f t="shared" si="37"/>
        <v>0</v>
      </c>
      <c r="BT38" s="115">
        <f t="shared" ca="1" si="38"/>
        <v>0</v>
      </c>
      <c r="BU38" s="115" t="b">
        <f ca="1">AND(模拟模式!$K$10="2300·雷",BT37=0,RAND()&lt;IF(C38="净世破魔击·月",5*0.05*2/3,IF(C38="净世破魔击·日",3*0.05*2/3,0.05*2*2/3)))</f>
        <v>0</v>
      </c>
      <c r="BV38" s="115">
        <f t="shared" ca="1" si="39"/>
        <v>0</v>
      </c>
      <c r="BW38" s="115">
        <f t="shared" ca="1" si="40"/>
        <v>175.38749999999993</v>
      </c>
      <c r="BX38" s="164" t="b">
        <f t="shared" ca="1" si="41"/>
        <v>0</v>
      </c>
      <c r="BY38" s="115">
        <f t="shared" ca="1" si="42"/>
        <v>10.387500000000003</v>
      </c>
      <c r="BZ38" s="115">
        <f>IF(OR(模拟模式!$P$16="10人团",模拟模式!$P$16="25人团"),IF(B38/30&gt;CA37,1,0),0)</f>
        <v>0</v>
      </c>
      <c r="CA38" s="115">
        <f t="shared" si="8"/>
        <v>0</v>
      </c>
      <c r="CB38" s="115">
        <f ca="1">IF(BZ38=1,IF(模拟模式!$P$16="10人团",15,0)+IF(模拟模式!$P$16="25人团",IF(RAND()&lt;0.6,15,0)),MAX(0,CB37-$F$4))</f>
        <v>0</v>
      </c>
      <c r="CC38" s="115" t="b">
        <f t="shared" ca="1" si="43"/>
        <v>0</v>
      </c>
      <c r="CD38" s="115">
        <f>IF(模拟模式!$Q$16="1个",IF(B38/40&gt;CE37,1,0),0)</f>
        <v>0</v>
      </c>
      <c r="CE38" s="115">
        <f t="shared" si="44"/>
        <v>0</v>
      </c>
      <c r="CF38" s="115">
        <f>IF(OR(CD38=1,模拟模式!$Q$16="2个"),20,MAX(0,CF37-$F$4))</f>
        <v>0</v>
      </c>
      <c r="CG38" s="115" t="b">
        <f t="shared" si="45"/>
        <v>0</v>
      </c>
      <c r="CH38" s="115">
        <f t="shared" ca="1" si="46"/>
        <v>20.775000000000006</v>
      </c>
      <c r="CI38" s="115" t="b">
        <f t="shared" ca="1" si="47"/>
        <v>0</v>
      </c>
      <c r="CJ38" s="119">
        <f t="shared" ca="1" si="48"/>
        <v>0</v>
      </c>
      <c r="CK38" s="115">
        <f t="shared" ca="1" si="49"/>
        <v>0</v>
      </c>
      <c r="CL38" s="115" t="b">
        <f ca="1">AND(模拟模式!$S$7="驱夷逐法",OR(AND(C38="净世破魔击·月",E37&gt;59),AND(C38="净世破魔击·日",F37&gt;59)))</f>
        <v>0</v>
      </c>
      <c r="CM38" s="115" t="b">
        <f ca="1">OR(CL38,AND(C38="净世破魔击·日",CL37,RAND()&lt;模拟模式!$U$23))</f>
        <v>0</v>
      </c>
      <c r="CN38" s="115" t="b">
        <f ca="1">IF(模拟模式!$M$7="辉耀红尘",AND(C38="净世破魔击·月",CL38,CV38=0,E37&lt;80),AND(C38="净世破魔击·月",CL38,E37&lt;100))</f>
        <v>0</v>
      </c>
      <c r="CO38" s="115" t="b">
        <f t="shared" ca="1" si="9"/>
        <v>0</v>
      </c>
      <c r="CP38" s="115" t="b">
        <f ca="1">AND(模拟模式!$O$7="用晦而明",OR(C38="净世破魔击·日",C38="净世破魔击·月",C38="驱夜断愁"),AB38)</f>
        <v>1</v>
      </c>
      <c r="CQ38" s="115" t="b">
        <f ca="1">OR(CP38,AND(CP37,RAND()&lt;模拟模式!$U$23))</f>
        <v>1</v>
      </c>
      <c r="CR38" s="115" t="b">
        <f ca="1">AND(模拟模式!$S$7="日月齐光",OR(C38="幽月轮1",C38="幽月轮2",C38="幽月轮3",CR37),NOT(OR(C38="赤日轮1",C38="赤日轮2",C38="赤日轮3")))</f>
        <v>0</v>
      </c>
      <c r="CS38" s="115" t="b">
        <f ca="1">AND(模拟模式!$S$7="日月齐光",OR(C38="赤日轮1",C38="赤日轮2",C38="赤日轮3",CS37),NOT(OR(C38="幽月轮1",C38="幽月轮2",C38="幽月轮3")))</f>
        <v>0</v>
      </c>
      <c r="CT38" s="115">
        <f t="shared" ca="1" si="50"/>
        <v>0</v>
      </c>
      <c r="CU38" s="115" t="b">
        <f ca="1">AND(模拟模式!$K$10="阴阳往极",CT37=0,RAND()&lt;IF(C38="净世破魔击·月",0.0275*7/3,IF(C38="净世破魔击·日",0.0275*3/3,0.0275*2/3)))</f>
        <v>0</v>
      </c>
      <c r="CV38" s="115">
        <f t="shared" ca="1" si="51"/>
        <v>0</v>
      </c>
      <c r="CW38" s="115">
        <f t="shared" ca="1" si="10"/>
        <v>0</v>
      </c>
      <c r="CX38" s="115">
        <f t="shared" ca="1" si="11"/>
        <v>5.0774999999999997</v>
      </c>
      <c r="CY38" s="115">
        <f ca="1">MAX(IF($C38="驱夜断愁",IF(模拟模式!$R$7="万念俱寂",6,45),CY37-$F$4),0)</f>
        <v>6</v>
      </c>
      <c r="CZ38" s="115">
        <f t="shared" ca="1" si="12"/>
        <v>0</v>
      </c>
      <c r="DA38" s="115">
        <f ca="1">IF(模拟模式!$N$7="日月同辉",IF(DB37=2,0,MIN(6,IF(AND(OR(C38="赤日轮1",C38="赤日轮2",C38="赤日轮3",C38="幽月轮1",C38="幽月轮2",C38="幽月轮3"),AB38=1),DA37+1,DA37))),0)</f>
        <v>4</v>
      </c>
      <c r="DB38" s="115">
        <f t="shared" ca="1" si="13"/>
        <v>0</v>
      </c>
      <c r="DD38" s="115"/>
      <c r="DE38" s="115"/>
      <c r="DF38" s="115"/>
      <c r="DG38" s="115"/>
      <c r="DH38" s="115"/>
      <c r="DI38" s="115"/>
      <c r="DJ38" s="115"/>
      <c r="DK38" s="115"/>
      <c r="DL38" s="115"/>
      <c r="DM38" s="115"/>
    </row>
    <row r="39" spans="2:117" x14ac:dyDescent="0.2">
      <c r="B39" s="117">
        <f t="shared" si="14"/>
        <v>11.069999999999999</v>
      </c>
      <c r="C39" s="167" t="str">
        <f t="shared" ca="1" si="0"/>
        <v>烈日斩</v>
      </c>
      <c r="D39" s="115">
        <f ca="1">IF(C39="赤日轮1",1,IF(C39="赤日轮2",2,IF(C39="赤日轮3",3,IF(C39="幽月轮1",4,IF(C39="幽月轮2",5,IF(C39="幽月轮3",6,IF(C39="烈日斩",7,IF(C39="银月斩",8,IF(C39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39="净世破魔击·月",17,IF(C39="驱夜断愁",18,0)))))))))))</f>
        <v>7</v>
      </c>
      <c r="E39" s="115">
        <f ca="1">IF(AND(CU39,OR(C39="幽月轮1",C39="幽月轮2",C39="幽月轮3",C39="银月斩",C39="驱夜断愁",C39="净世破魔击·月")),100,MIN(IF(OR(CN39,BE39),0,IF(OR($C39="赤日轮1",$C39="赤日轮2",$C39="赤日轮3"),E38+20+IF(模拟模式!$I$7="日月凌天",4,0)+IF(CR38,20,0),IF($C39="烈日斩",E38+40,IF($C39="驱夜断愁",IF(模拟模式!$R$7="万念俱寂",E38+20,E38+60),IF($C39="净世破魔击·月",IF(OR(DB38&gt;0,CV38&gt;0),100,IF(模拟模式!$M$7="辉耀红尘",E38+20,E38)),IF($C39="净世破魔击·日",E38-100,E38)))))),100))</f>
        <v>80</v>
      </c>
      <c r="F39" s="115">
        <f ca="1">IF(AND(CU39,OR(C39="赤日轮1",C39="赤日轮2",C39="赤日轮3",C39="烈日斩",C39="净世破魔击·日")),100,MIN(IF(CO39,0,IF(OR($C39="幽月轮1",$C39="幽月轮2",$C39="幽月轮3"),F38+20+IF(模拟模式!$I$7="日月凌天",4,0)+IF(CS38,20,0),IF($C39="银月斩",F38+40+IF(模拟模式!$X$12=1,5,0),IF($C39="驱夜断愁",IF(模拟模式!$R$7="万念俱寂",F38+20,F38+60),IF($C39="净世破魔击·月",IF(模拟模式!$M$7="辉耀红尘",F38-80,F38-100),IF(AND(C39="净世破魔击·日",OR(DB38&gt;0,CV38&gt;0)),100,F38)))))),100))</f>
        <v>85</v>
      </c>
      <c r="G39" s="117">
        <f ca="1">('模拟-全程加成'!$E$3+'模拟-全程加成'!$E$4+'模拟-全程加成'!$E$5+('模拟-全程加成'!$C$6-'模拟-全程加成'!$C$3)*系数!$B$9+BS39*23)*(1+'模拟-全程加成'!$F$4+'模拟-全程加成'!$F$5+BJ39*10%+BM39*20%+BP39*4%+CG39*30%)+$F$7*系数!$B$12</f>
        <v>20765.267800000001</v>
      </c>
      <c r="H39" s="45">
        <f ca="1">'模拟-全程加成'!$H$3+'模拟-全程加成'!$H$4+'模拟-全程加成'!$H$5+('模拟-全程加成'!$G$4+'模拟-全程加成'!$G$5+('模拟-全程加成'!$C$6-'模拟-全程加成'!$C$3)*系数!$B$13)/系数!$B$3+LOOKUP(D39,'模拟-单技能数据'!$A$2:$A$19,'模拟-单技能数据'!$K$2:$K$19)+BG39*10%+IF(BV39&gt;0,378,0)</f>
        <v>0.56185145527300218</v>
      </c>
      <c r="I39" s="45">
        <f ca="1">'模拟-全程加成'!$J$3+'模拟-全程加成'!$J$4+'模拟-全程加成'!$J$5+('模拟-全程加成'!$I$4+'模拟-全程加成'!$I$5)/系数!$B$4+LOOKUP(D39,'模拟-单技能数据'!$A$2:$A$19,'模拟-单技能数据'!$L$2:$L$19)+BG39*10%</f>
        <v>2.2624828854998791</v>
      </c>
      <c r="J39" s="45">
        <f ca="1">(('模拟-全程加成'!$K$3+'模拟-全程加成'!$K$4+'模拟-全程加成'!$K$5+('模拟-全程加成'!$C$6-'模拟-全程加成'!$C$3)*系数!$B$10+IF(BV39&gt;0,882,0)+IF(BY39&gt;0,1831,0))*(1+'模拟-全程加成'!$L$4+'模拟-全程加成'!$L$5+CC39*20%))/系数!$B$5</f>
        <v>0.85832564669386491</v>
      </c>
      <c r="K39" s="119">
        <f ca="1">LOOKUP(D39,'模拟-单技能数据'!$A$2:$A$19,'模拟-单技能数据'!$J$2:$J$19)+IF(CM39,60%,0)+IF(DB38-DB39&gt;0,30%,0)+IF(OR(AND(OR(C39="赤日轮1",C39="赤日轮2",C39="赤日轮3"),CR39),AND(OR(C39="幽月轮1",C39="幽月轮2",C39="幽月轮3"),CS39)),35%,0)+CJ39</f>
        <v>0.24</v>
      </c>
      <c r="L39" s="119">
        <f ca="1">IF(AND(C39="烈日斩",模拟模式!$X$11=1),10%,0)+IF(AND(C39="驱夜断愁",AB39=1),30%,0)</f>
        <v>0.1</v>
      </c>
      <c r="M39" s="45">
        <f t="shared" ca="1" si="15"/>
        <v>0.56185145527300218</v>
      </c>
      <c r="N39" s="45">
        <f t="shared" ca="1" si="16"/>
        <v>0.38424854472699788</v>
      </c>
      <c r="O39" s="46">
        <f t="shared" ca="1" si="17"/>
        <v>0.41860340405505314</v>
      </c>
      <c r="P39" s="46" t="str">
        <f t="shared" ca="1" si="18"/>
        <v>会</v>
      </c>
      <c r="Q39" s="45">
        <f t="shared" ca="1" si="19"/>
        <v>2.2624828854998791</v>
      </c>
      <c r="R39" s="117">
        <f ca="1">模拟模式!$E$20*(1-IF(模拟模式!$J$19="有",0.15,0))*(1-IF(模拟模式!$K$19="有",0.3,0)-IF(CQ39,0.5,0))</f>
        <v>843.02999999999975</v>
      </c>
      <c r="S39" s="45">
        <f ca="1">R39/(R39+(185*模拟模式!$E$22-16800)*4.08224)</f>
        <v>8.389626085980037E-2</v>
      </c>
      <c r="T39" s="45" t="str">
        <f ca="1">LOOKUP(D39,'模拟-单技能数据'!$A$2:$A$19,'模拟-单技能数据'!$H$2:$H$19)</f>
        <v>阳</v>
      </c>
      <c r="U39" s="119">
        <f t="shared" ca="1" si="20"/>
        <v>0.2</v>
      </c>
      <c r="V39" s="47">
        <f ca="1">(1+L39)*(LOOKUP(D39,'模拟-单技能数据'!$A$2:$A$19,'模拟-单技能数据'!$D$2:$D$19)+G39*LOOKUP(D39,'模拟-单技能数据'!$A$2:$A$19,'模拟-单技能数据'!$F$2:$F$19))*(1+J39)*(1+K39)*(1-S39)*(1+U39)*Q39*LOOKUP(D39,'模拟-单技能数据'!$A$2:$A$19,'模拟-单技能数据'!$I$2:$I$20)</f>
        <v>116925.48020211683</v>
      </c>
      <c r="W39" s="47">
        <f ca="1">LOOKUP(D39,'模拟-单技能数据'!$A$2:$A$19,'模拟-单技能数据'!$G$2:$G$19)*$I$10</f>
        <v>361.51064354704795</v>
      </c>
      <c r="X39" s="47">
        <f t="shared" ca="1" si="21"/>
        <v>89115.715754853038</v>
      </c>
      <c r="Y39" s="47">
        <f t="shared" ca="1" si="22"/>
        <v>206402.70660051692</v>
      </c>
      <c r="Z39" s="49">
        <f t="shared" ca="1" si="23"/>
        <v>919536.76545399975</v>
      </c>
      <c r="AA39" s="97">
        <f t="shared" ca="1" si="24"/>
        <v>83065.651802529348</v>
      </c>
      <c r="AB39" s="115">
        <f ca="1">IF(OR(C39="赤日轮1",C39="赤日轮2",C39="赤日轮3"),IF(RAND()&lt;模拟模式!$Y$17,1,0),IF(OR(C39="幽月轮1",C39="幽月轮2",C39="幽月轮3"),IF(RAND()&lt;模拟模式!$Y$18,1,0),IF(C39="烈日斩",IF(RAND()&lt;模拟模式!$Y$19,1,0),IF(C39="银月斩",IF(RAND()&lt;模拟模式!$Y$20,1,0),IF(C39="驱夜断愁",IF(RAND()&lt;模拟模式!$Y$21,1,0),IF(C39="净世破魔击·日",IF(RAND()&lt;模拟模式!$Y$22,1,0),IF(C39="净世破魔击·月",IF(RAND()&lt;模拟模式!$Y$23,1,0),0)))))))</f>
        <v>1</v>
      </c>
      <c r="AC39" s="115" t="b">
        <f t="shared" ca="1" si="1"/>
        <v>0</v>
      </c>
      <c r="AD39" s="115" t="b">
        <f t="shared" ca="1" si="52"/>
        <v>1</v>
      </c>
      <c r="AE39" s="115">
        <f t="shared" ca="1" si="53"/>
        <v>4</v>
      </c>
      <c r="AF39" s="47">
        <f ca="1">IF(AC39,('模拟-单技能数据'!$D$20+G39*'模拟-单技能数据'!$F$20)*(1+J39)*(1+'模拟-单技能数据'!$J$20)*(1+U39),0)</f>
        <v>0</v>
      </c>
      <c r="AG39" s="61">
        <f t="shared" ca="1" si="25"/>
        <v>0.64185145527300214</v>
      </c>
      <c r="AH39" s="61">
        <f t="shared" ca="1" si="26"/>
        <v>2.2624828854998791</v>
      </c>
      <c r="AI39" s="62">
        <f t="shared" ca="1" si="27"/>
        <v>0.97215156062657093</v>
      </c>
      <c r="AJ39" s="47">
        <f ca="1">IF(AD39,IF(AI39&lt;$F$10,0,IF(AI39&lt;$F$10+$F$11,0.25,IF(AI39&lt;$F$10+$F$11+AG39,AH39,1)))*IF(AF39&gt;0,AF39,IF(AF38&gt;0,AF38,IF(AF37&gt;0,AF37,IF(AF36&gt;0,AF36,IF(AF35&gt;0,AF35,IF(AF34&gt;0,AF34,IF(AF33&gt;0,AF33,IF(AF32&gt;0,AF32,IF(AF31&gt;0,AF31,IF(AF29&gt;0,AF29,IF(AF28&gt;0,AF28,IF(AF27&gt;0,AF27,0)))))))))))),0)*(1-$S39)*'模拟-单技能数据'!$I$20</f>
        <v>4499.9446438064042</v>
      </c>
      <c r="AK39" s="115" t="b">
        <f t="shared" ca="1" si="2"/>
        <v>0</v>
      </c>
      <c r="AL39" s="115" t="b">
        <f t="shared" ca="1" si="54"/>
        <v>1</v>
      </c>
      <c r="AM39" s="115">
        <f t="shared" ca="1" si="55"/>
        <v>4</v>
      </c>
      <c r="AN39" s="47">
        <f ca="1">IF(AK39,('模拟-单技能数据'!$D$21+G39*'模拟-单技能数据'!$F$21)*(1+J39)*(1+'模拟-单技能数据'!$J$21)*(1+U39),0)</f>
        <v>0</v>
      </c>
      <c r="AO39" s="61">
        <f ca="1">IF(AN39&gt;0,M39-'模拟-单技能数据'!$K$10,AO38)</f>
        <v>0.42185145527300216</v>
      </c>
      <c r="AP39" s="61">
        <f ca="1">IF(AN39&gt;0,I39-'模拟-单技能数据'!$L$10,AP38)</f>
        <v>2.162482885499879</v>
      </c>
      <c r="AQ39" s="63">
        <f t="shared" ca="1" si="28"/>
        <v>0.3587511424698494</v>
      </c>
      <c r="AR39" s="64">
        <f ca="1">IF(AL39,IF(AQ39&lt;$F$10,0,IF(AQ39&lt;$F$10+$F$11,0.25,IF(AQ39&lt;$F$10+$F$11+AO39,AP39,1)))*IF(AN39&gt;0,AN39,IF(AN38&gt;0,AN38,IF(AN37&gt;0,AN37,IF(AN36&gt;0,AN36,IF(AN35&gt;0,AN35,IF(AN34&gt;0,AN34,IF(AN33&gt;0,AN33,IF(AN32&gt;0,AN32,IF(AN31&gt;0,AN31,IF(AN29&gt;0,AN29,IF(AN28&gt;0,AN28,IF(AN27&gt;0,AN27,0)))))))))))),0)*(1-$S39)*'模拟-单技能数据'!$I$21</f>
        <v>24934.406411366544</v>
      </c>
      <c r="AS39" s="61">
        <f ca="1">IF(OR(C39="净世破魔击·日",C39="净世破魔击·月"),M39-'模拟-单技能数据'!$K$10,0)</f>
        <v>0</v>
      </c>
      <c r="AT39" s="61">
        <f ca="1">IF(OR(C39="净世破魔击·日",C39="净世破魔击·月"),I39-'模拟-单技能数据'!$L$10,0)</f>
        <v>0</v>
      </c>
      <c r="AU39" s="62">
        <f t="shared" ca="1" si="29"/>
        <v>0.83964933239239559</v>
      </c>
      <c r="AV39" s="64">
        <f ca="1">IF(AS39&gt;0,('模拟-单技能数据'!$D$22+G39*'模拟-单技能数据'!$F$22)*(1+J39)*(1-S39)*IF(AU39&lt;$F$10,0,IF(AU39&lt;$F$10+$F$11,0.25,IF(AU39&lt;$F$10+$F$11+AS39,AT39,1)))*(1+U39),0)*'模拟-单技能数据'!$I$22</f>
        <v>0</v>
      </c>
      <c r="AW39" s="108">
        <f t="shared" ca="1" si="30"/>
        <v>19.077500000000001</v>
      </c>
      <c r="AX39" s="108" t="b">
        <f ca="1">AND(模拟模式!$P$10="有",AW38=0,RAND()&lt;IF(C39="净世破魔击·月",0.1*8/3,IF(C39="净世破魔击·日",0.1*4/3,0.1*2/3)))</f>
        <v>1</v>
      </c>
      <c r="AY39" s="47">
        <f ca="1">IF(AX39,(18+G39*0.722)*(1+J39)*(1-S39)*(1+$I$4)*IF(P39="会",'模拟-全程加成'!$J$3+'模拟-全程加成'!$J$4+'模拟-全程加成'!$J$5+('模拟-全程加成'!$I$4+'模拟-全程加成'!$I$5)/系数!$B$4+BG39*10%,IF(P39="命",1,IF(P39="识",0.25,0))),0)</f>
        <v>59681.364699680089</v>
      </c>
      <c r="AZ39" s="108">
        <f t="shared" si="31"/>
        <v>8.9300000000000068</v>
      </c>
      <c r="BA39" s="108" t="b">
        <f>AND(模拟模式!$Q$10="有",AZ38=0)</f>
        <v>0</v>
      </c>
      <c r="BB39" s="140">
        <f>IF(BA39,(0+G39*0.287)*(1+J39)*(1-S39)*(1+$I$4)*IF(P39="会",'模拟-全程加成'!$J$3+'模拟-全程加成'!$J$4+'模拟-全程加成'!$J$5+('模拟-全程加成'!$I$4+'模拟-全程加成'!$I$5)/系数!$B$4+BG39*10%,IF(P39="命",1,IF(P39="识",0.25,0))),0)</f>
        <v>0</v>
      </c>
      <c r="BC39" s="115" t="b">
        <f ca="1">AND(模拟模式!$R$7="伏明众生",E39=60,F39=20,DA39&lt;5,CZ38&lt;$F$4)</f>
        <v>0</v>
      </c>
      <c r="BD39" s="115">
        <f t="shared" ca="1" si="3"/>
        <v>0</v>
      </c>
      <c r="BE39" s="115" t="b">
        <f t="shared" ca="1" si="4"/>
        <v>0</v>
      </c>
      <c r="BF39" s="47">
        <f ca="1">IF(BC39,4*('模拟-单技能数据'!$D$24+G39*'模拟-单技能数据'!$F$24)*(1+J39)*(1+'模拟-单技能数据'!$J$24)*(1-S39)*(1+$I$3)*(('模拟-全程加成'!$J$3+'模拟-全程加成'!$J$4+'模拟-全程加成'!$J$5+('模拟-全程加成'!$I$4+'模拟-全程加成'!$I$5)/系数!$B$4+BG39*10%)*('模拟-全程加成'!$J$3+'模拟-全程加成'!$J$4+'模拟-全程加成'!$J$5+('模拟-全程加成'!$I$4+'模拟-全程加成'!$I$5)/系数!$B$4+BG39*10%)+(1-('模拟-全程加成'!$J$3+'模拟-全程加成'!$J$4+'模拟-全程加成'!$J$5+('模拟-全程加成'!$I$4+'模拟-全程加成'!$I$5)/系数!$B$4+BG39*10%)-$F$10-$F$11)+F25*0.25),0)*'模拟-单技能数据'!$I$24</f>
        <v>0</v>
      </c>
      <c r="BG39" s="115" t="b">
        <f ca="1">OR(AND(OR(C39="烈日斩",C39="银月斩"),模拟模式!$I$7="净身明礼"),AND(C39="净世破魔击·日",模拟模式!$J$7="洞若观火"),AND(C40="净世破魔击·月",模拟模式!$J$7="洞若观火"),AB39=1)</f>
        <v>1</v>
      </c>
      <c r="BH39" s="115" t="b">
        <f t="shared" ca="1" si="32"/>
        <v>1</v>
      </c>
      <c r="BI39" s="115">
        <f t="shared" ca="1" si="5"/>
        <v>6</v>
      </c>
      <c r="BJ39" s="115" t="b">
        <f t="shared" ca="1" si="33"/>
        <v>1</v>
      </c>
      <c r="BK39" s="115" t="b">
        <f ca="1">AND(C39="驱夜断愁",模拟模式!$P$7="天地诛戮")</f>
        <v>0</v>
      </c>
      <c r="BL39" s="57">
        <f t="shared" ca="1" si="6"/>
        <v>19.077500000000001</v>
      </c>
      <c r="BM39" s="115" t="b">
        <f t="shared" ca="1" si="34"/>
        <v>1</v>
      </c>
      <c r="BN39" s="115" t="b">
        <f ca="1">AND(OR(C39="赤日轮1",C39="赤日轮2",C39="赤日轮3",C39="幽月轮1",C39="幽月轮2",C39="幽月轮3"),AB39=1,模拟模式!$L$7="明光恒照")</f>
        <v>0</v>
      </c>
      <c r="BO39" s="117">
        <f t="shared" ca="1" si="7"/>
        <v>27.232500000000002</v>
      </c>
      <c r="BP39" s="115">
        <f t="shared" ca="1" si="35"/>
        <v>4</v>
      </c>
      <c r="BQ39" s="115" t="b">
        <f>模拟模式!$K$10="2600·水"</f>
        <v>0</v>
      </c>
      <c r="BR39" s="117">
        <f t="shared" si="36"/>
        <v>0</v>
      </c>
      <c r="BS39" s="115">
        <f t="shared" si="37"/>
        <v>0</v>
      </c>
      <c r="BT39" s="115">
        <f t="shared" ca="1" si="38"/>
        <v>0</v>
      </c>
      <c r="BU39" s="115" t="b">
        <f ca="1">AND(模拟模式!$K$10="2300·雷",BT38=0,RAND()&lt;IF(C39="净世破魔击·月",5*0.05*2/3,IF(C39="净世破魔击·日",3*0.05*2/3,0.05*2*2/3)))</f>
        <v>0</v>
      </c>
      <c r="BV39" s="115">
        <f t="shared" ca="1" si="39"/>
        <v>0</v>
      </c>
      <c r="BW39" s="115">
        <f t="shared" ca="1" si="40"/>
        <v>174.46499999999992</v>
      </c>
      <c r="BX39" s="164" t="b">
        <f t="shared" ca="1" si="41"/>
        <v>0</v>
      </c>
      <c r="BY39" s="115">
        <f t="shared" ca="1" si="42"/>
        <v>9.4650000000000034</v>
      </c>
      <c r="BZ39" s="115">
        <f>IF(OR(模拟模式!$P$16="10人团",模拟模式!$P$16="25人团"),IF(B39/30&gt;CA38,1,0),0)</f>
        <v>0</v>
      </c>
      <c r="CA39" s="115">
        <f t="shared" si="8"/>
        <v>0</v>
      </c>
      <c r="CB39" s="115">
        <f ca="1">IF(BZ39=1,IF(模拟模式!$P$16="10人团",15,0)+IF(模拟模式!$P$16="25人团",IF(RAND()&lt;0.6,15,0)),MAX(0,CB38-$F$4))</f>
        <v>0</v>
      </c>
      <c r="CC39" s="115" t="b">
        <f t="shared" ca="1" si="43"/>
        <v>0</v>
      </c>
      <c r="CD39" s="115">
        <f>IF(模拟模式!$Q$16="1个",IF(B39/40&gt;CE38,1,0),0)</f>
        <v>0</v>
      </c>
      <c r="CE39" s="115">
        <f t="shared" si="44"/>
        <v>0</v>
      </c>
      <c r="CF39" s="115">
        <f>IF(OR(CD39=1,模拟模式!$Q$16="2个"),20,MAX(0,CF38-$F$4))</f>
        <v>0</v>
      </c>
      <c r="CG39" s="115" t="b">
        <f t="shared" si="45"/>
        <v>0</v>
      </c>
      <c r="CH39" s="115">
        <f t="shared" ca="1" si="46"/>
        <v>19.852500000000006</v>
      </c>
      <c r="CI39" s="115" t="b">
        <f t="shared" ca="1" si="47"/>
        <v>0</v>
      </c>
      <c r="CJ39" s="119">
        <f t="shared" ca="1" si="48"/>
        <v>0</v>
      </c>
      <c r="CK39" s="115">
        <f t="shared" ca="1" si="49"/>
        <v>0</v>
      </c>
      <c r="CL39" s="115" t="b">
        <f ca="1">AND(模拟模式!$S$7="驱夷逐法",OR(AND(C39="净世破魔击·月",E38&gt;59),AND(C39="净世破魔击·日",F38&gt;59)))</f>
        <v>0</v>
      </c>
      <c r="CM39" s="115" t="b">
        <f ca="1">OR(CL39,AND(C39="净世破魔击·日",CL38,RAND()&lt;模拟模式!$U$23))</f>
        <v>0</v>
      </c>
      <c r="CN39" s="115" t="b">
        <f ca="1">IF(模拟模式!$M$7="辉耀红尘",AND(C39="净世破魔击·月",CL39,CV39=0,E38&lt;80),AND(C39="净世破魔击·月",CL39,E38&lt;100))</f>
        <v>0</v>
      </c>
      <c r="CO39" s="115" t="b">
        <f t="shared" ca="1" si="9"/>
        <v>0</v>
      </c>
      <c r="CP39" s="115" t="b">
        <f ca="1">AND(模拟模式!$O$7="用晦而明",OR(C39="净世破魔击·日",C39="净世破魔击·月",C39="驱夜断愁"),AB39)</f>
        <v>0</v>
      </c>
      <c r="CQ39" s="115" t="b">
        <f ca="1">OR(CP39,AND(CP38,RAND()&lt;模拟模式!$U$23))</f>
        <v>1</v>
      </c>
      <c r="CR39" s="115" t="b">
        <f ca="1">AND(模拟模式!$S$7="日月齐光",OR(C39="幽月轮1",C39="幽月轮2",C39="幽月轮3",CR38),NOT(OR(C39="赤日轮1",C39="赤日轮2",C39="赤日轮3")))</f>
        <v>0</v>
      </c>
      <c r="CS39" s="115" t="b">
        <f ca="1">AND(模拟模式!$S$7="日月齐光",OR(C39="赤日轮1",C39="赤日轮2",C39="赤日轮3",CS38),NOT(OR(C39="幽月轮1",C39="幽月轮2",C39="幽月轮3")))</f>
        <v>0</v>
      </c>
      <c r="CT39" s="115">
        <f t="shared" ca="1" si="50"/>
        <v>0</v>
      </c>
      <c r="CU39" s="115" t="b">
        <f ca="1">AND(模拟模式!$K$10="阴阳往极",CT38=0,RAND()&lt;IF(C39="净世破魔击·月",0.0275*7/3,IF(C39="净世破魔击·日",0.0275*3/3,0.0275*2/3)))</f>
        <v>0</v>
      </c>
      <c r="CV39" s="115">
        <f t="shared" ca="1" si="51"/>
        <v>0</v>
      </c>
      <c r="CW39" s="115">
        <f t="shared" ca="1" si="10"/>
        <v>6</v>
      </c>
      <c r="CX39" s="115">
        <f t="shared" ca="1" si="11"/>
        <v>4.1549999999999994</v>
      </c>
      <c r="CY39" s="115">
        <f ca="1">MAX(IF($C39="驱夜断愁",IF(模拟模式!$R$7="万念俱寂",6,45),CY38-$F$4),0)</f>
        <v>5.0774999999999997</v>
      </c>
      <c r="CZ39" s="115">
        <f t="shared" ca="1" si="12"/>
        <v>0</v>
      </c>
      <c r="DA39" s="115">
        <f ca="1">IF(模拟模式!$N$7="日月同辉",IF(DB38=2,0,MIN(6,IF(AND(OR(C39="赤日轮1",C39="赤日轮2",C39="赤日轮3",C39="幽月轮1",C39="幽月轮2",C39="幽月轮3"),AB39=1),DA38+1,DA38))),0)</f>
        <v>4</v>
      </c>
      <c r="DB39" s="115">
        <f t="shared" ca="1" si="13"/>
        <v>0</v>
      </c>
      <c r="DD39" s="115"/>
      <c r="DE39" s="115"/>
      <c r="DF39" s="115"/>
      <c r="DG39" s="115"/>
      <c r="DH39" s="115"/>
      <c r="DI39" s="115"/>
      <c r="DJ39" s="115"/>
      <c r="DK39" s="115"/>
      <c r="DL39" s="115"/>
      <c r="DM39" s="115"/>
    </row>
    <row r="40" spans="2:117" x14ac:dyDescent="0.2">
      <c r="B40" s="117">
        <f t="shared" si="14"/>
        <v>11.992499999999998</v>
      </c>
      <c r="C40" s="167" t="str">
        <f t="shared" ca="1" si="0"/>
        <v>幽月轮1</v>
      </c>
      <c r="D40" s="115">
        <f ca="1">IF(C40="赤日轮1",1,IF(C40="赤日轮2",2,IF(C40="赤日轮3",3,IF(C40="幽月轮1",4,IF(C40="幽月轮2",5,IF(C40="幽月轮3",6,IF(C40="烈日斩",7,IF(C40="银月斩",8,IF(C40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40="净世破魔击·月",17,IF(C40="驱夜断愁",18,0)))))))))))</f>
        <v>4</v>
      </c>
      <c r="E40" s="115">
        <f ca="1">IF(AND(CU40,OR(C40="幽月轮1",C40="幽月轮2",C40="幽月轮3",C40="银月斩",C40="驱夜断愁",C40="净世破魔击·月")),100,MIN(IF(OR(CN40,BE40),0,IF(OR($C40="赤日轮1",$C40="赤日轮2",$C40="赤日轮3"),E39+20+IF(模拟模式!$I$7="日月凌天",4,0)+IF(CR39,20,0),IF($C40="烈日斩",E39+40,IF($C40="驱夜断愁",IF(模拟模式!$R$7="万念俱寂",E39+20,E39+60),IF($C40="净世破魔击·月",IF(OR(DB39&gt;0,CV39&gt;0),100,IF(模拟模式!$M$7="辉耀红尘",E39+20,E39)),IF($C40="净世破魔击·日",E39-100,E39)))))),100))</f>
        <v>80</v>
      </c>
      <c r="F40" s="115">
        <f ca="1">IF(AND(CU40,OR(C40="赤日轮1",C40="赤日轮2",C40="赤日轮3",C40="烈日斩",C40="净世破魔击·日")),100,MIN(IF(CO40,0,IF(OR($C40="幽月轮1",$C40="幽月轮2",$C40="幽月轮3"),F39+20+IF(模拟模式!$I$7="日月凌天",4,0)+IF(CS39,20,0),IF($C40="银月斩",F39+40+IF(模拟模式!$X$12=1,5,0),IF($C40="驱夜断愁",IF(模拟模式!$R$7="万念俱寂",F39+20,F39+60),IF($C40="净世破魔击·月",IF(模拟模式!$M$7="辉耀红尘",F39-80,F39-100),IF(AND(C40="净世破魔击·日",OR(DB39&gt;0,CV39&gt;0)),100,F39)))))),100))</f>
        <v>100</v>
      </c>
      <c r="G40" s="117">
        <f ca="1">('模拟-全程加成'!$E$3+'模拟-全程加成'!$E$4+'模拟-全程加成'!$E$5+('模拟-全程加成'!$C$6-'模拟-全程加成'!$C$3)*系数!$B$9+BS40*23)*(1+'模拟-全程加成'!$F$4+'模拟-全程加成'!$F$5+BJ40*10%+BM40*20%+BP40*4%+CG40*30%)+$F$7*系数!$B$12</f>
        <v>21129.548600000002</v>
      </c>
      <c r="H40" s="45">
        <f ca="1">'模拟-全程加成'!$H$3+'模拟-全程加成'!$H$4+'模拟-全程加成'!$H$5+('模拟-全程加成'!$G$4+'模拟-全程加成'!$G$5+('模拟-全程加成'!$C$6-'模拟-全程加成'!$C$3)*系数!$B$13)/系数!$B$3+LOOKUP(D40,'模拟-单技能数据'!$A$2:$A$19,'模拟-单技能数据'!$K$2:$K$19)+BG40*10%+IF(BV40&gt;0,378,0)</f>
        <v>0.51185145527300213</v>
      </c>
      <c r="I40" s="45">
        <f ca="1">'模拟-全程加成'!$J$3+'模拟-全程加成'!$J$4+'模拟-全程加成'!$J$5+('模拟-全程加成'!$I$4+'模拟-全程加成'!$I$5)/系数!$B$4+LOOKUP(D40,'模拟-单技能数据'!$A$2:$A$19,'模拟-单技能数据'!$L$2:$L$19)+BG40*10%</f>
        <v>2.162482885499879</v>
      </c>
      <c r="J40" s="45">
        <f ca="1">(('模拟-全程加成'!$K$3+'模拟-全程加成'!$K$4+'模拟-全程加成'!$K$5+('模拟-全程加成'!$C$6-'模拟-全程加成'!$C$3)*系数!$B$10+IF(BV40&gt;0,882,0)+IF(BY40&gt;0,1831,0))*(1+'模拟-全程加成'!$L$4+'模拟-全程加成'!$L$5+CC40*20%))/系数!$B$5</f>
        <v>0.85832564669386491</v>
      </c>
      <c r="K40" s="119">
        <f ca="1">LOOKUP(D40,'模拟-单技能数据'!$A$2:$A$19,'模拟-单技能数据'!$J$2:$J$19)+IF(CM40,60%,0)+IF(DB39-DB40&gt;0,30%,0)+IF(OR(AND(OR(C40="赤日轮1",C40="赤日轮2",C40="赤日轮3"),CR40),AND(OR(C40="幽月轮1",C40="幽月轮2",C40="幽月轮3"),CS40)),35%,0)+CJ40</f>
        <v>7.0000000000000007E-2</v>
      </c>
      <c r="L40" s="119">
        <f ca="1">IF(AND(C40="烈日斩",模拟模式!$X$11=1),10%,0)+IF(AND(C40="驱夜断愁",AB40=1),30%,0)</f>
        <v>0</v>
      </c>
      <c r="M40" s="45">
        <f t="shared" ca="1" si="15"/>
        <v>0.51185145527300213</v>
      </c>
      <c r="N40" s="45">
        <f t="shared" ca="1" si="16"/>
        <v>0.43424854472699792</v>
      </c>
      <c r="O40" s="46">
        <f t="shared" ca="1" si="17"/>
        <v>0.44141893697692736</v>
      </c>
      <c r="P40" s="46" t="str">
        <f t="shared" ca="1" si="18"/>
        <v>会</v>
      </c>
      <c r="Q40" s="45">
        <f t="shared" ca="1" si="19"/>
        <v>2.162482885499879</v>
      </c>
      <c r="R40" s="117">
        <f ca="1">模拟模式!$E$20*(1-IF(模拟模式!$J$19="有",0.15,0))*(1-IF(模拟模式!$K$19="有",0.3,0)-IF(CQ40,0.5,0))</f>
        <v>2950.6049999999996</v>
      </c>
      <c r="S40" s="45">
        <f ca="1">R40/(R40+(185*模拟模式!$E$22-16800)*4.08224)</f>
        <v>0.24272716014590323</v>
      </c>
      <c r="T40" s="45" t="str">
        <f ca="1">LOOKUP(D40,'模拟-单技能数据'!$A$2:$A$19,'模拟-单技能数据'!$H$2:$H$19)</f>
        <v>阴</v>
      </c>
      <c r="U40" s="119">
        <f t="shared" ca="1" si="20"/>
        <v>0.08</v>
      </c>
      <c r="V40" s="47">
        <f ca="1">(1+L40)*(LOOKUP(D40,'模拟-单技能数据'!$A$2:$A$19,'模拟-单技能数据'!$D$2:$D$19)+G40*LOOKUP(D40,'模拟-单技能数据'!$A$2:$A$19,'模拟-单技能数据'!$F$2:$F$19))*(1+J40)*(1+K40)*(1-S40)*(1+U40)*Q40*LOOKUP(D40,'模拟-单技能数据'!$A$2:$A$19,'模拟-单技能数据'!$I$2:$I$20)</f>
        <v>39432.270490335977</v>
      </c>
      <c r="W40" s="47">
        <f ca="1">LOOKUP(D40,'模拟-单技能数据'!$A$2:$A$19,'模拟-单技能数据'!$G$2:$G$19)*$I$10</f>
        <v>361.51064354704795</v>
      </c>
      <c r="X40" s="47">
        <f t="shared" ca="1" si="21"/>
        <v>0</v>
      </c>
      <c r="Y40" s="47">
        <f t="shared" ca="1" si="22"/>
        <v>39793.781133883022</v>
      </c>
      <c r="Z40" s="49">
        <f t="shared" ca="1" si="23"/>
        <v>959330.5465878828</v>
      </c>
      <c r="AA40" s="97">
        <f t="shared" ca="1" si="24"/>
        <v>79994.208596029435</v>
      </c>
      <c r="AB40" s="115">
        <f ca="1">IF(OR(C40="赤日轮1",C40="赤日轮2",C40="赤日轮3"),IF(RAND()&lt;模拟模式!$Y$17,1,0),IF(OR(C40="幽月轮1",C40="幽月轮2",C40="幽月轮3"),IF(RAND()&lt;模拟模式!$Y$18,1,0),IF(C40="烈日斩",IF(RAND()&lt;模拟模式!$Y$19,1,0),IF(C40="银月斩",IF(RAND()&lt;模拟模式!$Y$20,1,0),IF(C40="驱夜断愁",IF(RAND()&lt;模拟模式!$Y$21,1,0),IF(C40="净世破魔击·日",IF(RAND()&lt;模拟模式!$Y$22,1,0),IF(C40="净世破魔击·月",IF(RAND()&lt;模拟模式!$Y$23,1,0),0)))))))</f>
        <v>1</v>
      </c>
      <c r="AC40" s="115" t="b">
        <f t="shared" ca="1" si="1"/>
        <v>0</v>
      </c>
      <c r="AD40" s="115" t="b">
        <f t="shared" ca="1" si="52"/>
        <v>0</v>
      </c>
      <c r="AE40" s="115">
        <f t="shared" ca="1" si="53"/>
        <v>4</v>
      </c>
      <c r="AF40" s="47">
        <f ca="1">IF(AC40,('模拟-单技能数据'!$D$20+G40*'模拟-单技能数据'!$F$20)*(1+J40)*(1+'模拟-单技能数据'!$J$20)*(1+U40),0)</f>
        <v>0</v>
      </c>
      <c r="AG40" s="61">
        <f t="shared" ca="1" si="25"/>
        <v>0.64185145527300214</v>
      </c>
      <c r="AH40" s="61">
        <f t="shared" ca="1" si="26"/>
        <v>2.2624828854998791</v>
      </c>
      <c r="AI40" s="62">
        <f t="shared" ca="1" si="27"/>
        <v>0.84759114356430609</v>
      </c>
      <c r="AJ40" s="47">
        <f ca="1">IF(AD40,IF(AI40&lt;$F$10,0,IF(AI40&lt;$F$10+$F$11,0.25,IF(AI40&lt;$F$10+$F$11+AG40,AH40,1)))*IF(AF40&gt;0,AF40,IF(AF39&gt;0,AF39,IF(AF38&gt;0,AF38,IF(AF37&gt;0,AF37,IF(AF36&gt;0,AF36,IF(AF35&gt;0,AF35,IF(AF34&gt;0,AF34,IF(AF33&gt;0,AF33,IF(AF32&gt;0,AF32,IF(AF30&gt;0,AF30,IF(AF29&gt;0,AF29,IF(AF28&gt;0,AF28,0)))))))))))),0)*(1-$S40)*'模拟-单技能数据'!$I$20</f>
        <v>0</v>
      </c>
      <c r="AK40" s="115" t="b">
        <f t="shared" ca="1" si="2"/>
        <v>0</v>
      </c>
      <c r="AL40" s="115" t="b">
        <f t="shared" ca="1" si="54"/>
        <v>0</v>
      </c>
      <c r="AM40" s="115">
        <f t="shared" ca="1" si="55"/>
        <v>4</v>
      </c>
      <c r="AN40" s="47">
        <f ca="1">IF(AK40,('模拟-单技能数据'!$D$21+G40*'模拟-单技能数据'!$F$21)*(1+J40)*(1+'模拟-单技能数据'!$J$21)*(1+U40),0)</f>
        <v>0</v>
      </c>
      <c r="AO40" s="61">
        <f ca="1">IF(AN40&gt;0,M40-'模拟-单技能数据'!$K$10,AO39)</f>
        <v>0.42185145527300216</v>
      </c>
      <c r="AP40" s="61">
        <f ca="1">IF(AN40&gt;0,I40-'模拟-单技能数据'!$L$10,AP39)</f>
        <v>2.162482885499879</v>
      </c>
      <c r="AQ40" s="63">
        <f t="shared" ca="1" si="28"/>
        <v>0.48196260668333668</v>
      </c>
      <c r="AR40" s="64">
        <f ca="1">IF(AL40,IF(AQ40&lt;$F$10,0,IF(AQ40&lt;$F$10+$F$11,0.25,IF(AQ40&lt;$F$10+$F$11+AO40,AP40,1)))*IF(AN40&gt;0,AN40,IF(AN39&gt;0,AN39,IF(AN38&gt;0,AN38,IF(AN37&gt;0,AN37,IF(AN36&gt;0,AN36,IF(AN35&gt;0,AN35,IF(AN34&gt;0,AN34,IF(AN33&gt;0,AN33,IF(AN32&gt;0,AN32,IF(AN30&gt;0,AN30,IF(AN29&gt;0,AN29,IF(AN28&gt;0,AN28,0)))))))))))),0)*(1-$S40)*'模拟-单技能数据'!$I$21</f>
        <v>0</v>
      </c>
      <c r="AS40" s="61">
        <f ca="1">IF(OR(C40="净世破魔击·日",C40="净世破魔击·月"),M40-'模拟-单技能数据'!$K$10,0)</f>
        <v>0</v>
      </c>
      <c r="AT40" s="61">
        <f ca="1">IF(OR(C40="净世破魔击·日",C40="净世破魔击·月"),I40-'模拟-单技能数据'!$L$10,0)</f>
        <v>0</v>
      </c>
      <c r="AU40" s="62">
        <f t="shared" ca="1" si="29"/>
        <v>0.4679831139869215</v>
      </c>
      <c r="AV40" s="64">
        <f ca="1">IF(AS40&gt;0,('模拟-单技能数据'!$D$22+G40*'模拟-单技能数据'!$F$22)*(1+J40)*(1-S40)*IF(AU40&lt;$F$10,0,IF(AU40&lt;$F$10+$F$11,0.25,IF(AU40&lt;$F$10+$F$11+AS40,AT40,1)))*(1+U40),0)*'模拟-单技能数据'!$I$22</f>
        <v>0</v>
      </c>
      <c r="AW40" s="108">
        <f t="shared" ca="1" si="30"/>
        <v>18.155000000000001</v>
      </c>
      <c r="AX40" s="108" t="b">
        <f ca="1">AND(模拟模式!$P$10="有",AW39=0,RAND()&lt;IF(C40="净世破魔击·月",0.1*8/3,IF(C40="净世破魔击·日",0.1*4/3,0.1*2/3)))</f>
        <v>0</v>
      </c>
      <c r="AY40" s="47">
        <f ca="1">IF(AX40,(18+G40*0.722)*(1+J40)*(1-S40)*(1+$I$4)*IF(P40="会",'模拟-全程加成'!$J$3+'模拟-全程加成'!$J$4+'模拟-全程加成'!$J$5+('模拟-全程加成'!$I$4+'模拟-全程加成'!$I$5)/系数!$B$4+BG40*10%,IF(P40="命",1,IF(P40="识",0.25,0))),0)</f>
        <v>0</v>
      </c>
      <c r="AZ40" s="108">
        <f t="shared" si="31"/>
        <v>8.0075000000000074</v>
      </c>
      <c r="BA40" s="108" t="b">
        <f>AND(模拟模式!$Q$10="有",AZ39=0)</f>
        <v>0</v>
      </c>
      <c r="BB40" s="140">
        <f>IF(BA40,(0+G40*0.287)*(1+J40)*(1-S40)*(1+$I$4)*IF(P40="会",'模拟-全程加成'!$J$3+'模拟-全程加成'!$J$4+'模拟-全程加成'!$J$5+('模拟-全程加成'!$I$4+'模拟-全程加成'!$I$5)/系数!$B$4+BG40*10%,IF(P40="命",1,IF(P40="识",0.25,0))),0)</f>
        <v>0</v>
      </c>
      <c r="BC40" s="115" t="b">
        <f ca="1">AND(模拟模式!$R$7="伏明众生",E40=60,F40=20,DA40&lt;5,CZ39&lt;$F$4)</f>
        <v>0</v>
      </c>
      <c r="BD40" s="115">
        <f t="shared" ca="1" si="3"/>
        <v>0</v>
      </c>
      <c r="BE40" s="115" t="b">
        <f t="shared" ca="1" si="4"/>
        <v>0</v>
      </c>
      <c r="BF40" s="47">
        <f ca="1">IF(BC40,4*('模拟-单技能数据'!$D$24+G40*'模拟-单技能数据'!$F$24)*(1+J40)*(1+'模拟-单技能数据'!$J$24)*(1-S40)*(1+$I$3)*(('模拟-全程加成'!$J$3+'模拟-全程加成'!$J$4+'模拟-全程加成'!$J$5+('模拟-全程加成'!$I$4+'模拟-全程加成'!$I$5)/系数!$B$4+BG40*10%)*('模拟-全程加成'!$J$3+'模拟-全程加成'!$J$4+'模拟-全程加成'!$J$5+('模拟-全程加成'!$I$4+'模拟-全程加成'!$I$5)/系数!$B$4+BG40*10%)+(1-('模拟-全程加成'!$J$3+'模拟-全程加成'!$J$4+'模拟-全程加成'!$J$5+('模拟-全程加成'!$I$4+'模拟-全程加成'!$I$5)/系数!$B$4+BG40*10%)-$F$10-$F$11)+F26*0.25),0)*'模拟-单技能数据'!$I$24</f>
        <v>0</v>
      </c>
      <c r="BG40" s="115" t="b">
        <f ca="1">OR(AND(OR(C40="烈日斩",C40="银月斩"),模拟模式!$I$7="净身明礼"),AND(C40="净世破魔击·日",模拟模式!$J$7="洞若观火"),AND(C41="净世破魔击·月",模拟模式!$J$7="洞若观火"),AB40=1)</f>
        <v>1</v>
      </c>
      <c r="BH40" s="115" t="b">
        <f t="shared" ca="1" si="32"/>
        <v>0</v>
      </c>
      <c r="BI40" s="115">
        <f t="shared" ca="1" si="5"/>
        <v>5.0774999999999997</v>
      </c>
      <c r="BJ40" s="115" t="b">
        <f t="shared" ca="1" si="33"/>
        <v>1</v>
      </c>
      <c r="BK40" s="115" t="b">
        <f ca="1">AND(C40="驱夜断愁",模拟模式!$P$7="天地诛戮")</f>
        <v>0</v>
      </c>
      <c r="BL40" s="57">
        <f t="shared" ca="1" si="6"/>
        <v>18.155000000000001</v>
      </c>
      <c r="BM40" s="115" t="b">
        <f t="shared" ca="1" si="34"/>
        <v>1</v>
      </c>
      <c r="BN40" s="115" t="b">
        <f ca="1">AND(OR(C40="赤日轮1",C40="赤日轮2",C40="赤日轮3",C40="幽月轮1",C40="幽月轮2",C40="幽月轮3"),AB40=1,模拟模式!$L$7="明光恒照")</f>
        <v>1</v>
      </c>
      <c r="BO40" s="117">
        <f t="shared" ca="1" si="7"/>
        <v>30</v>
      </c>
      <c r="BP40" s="115">
        <f t="shared" ca="1" si="35"/>
        <v>5</v>
      </c>
      <c r="BQ40" s="115" t="b">
        <f>模拟模式!$K$10="2600·水"</f>
        <v>0</v>
      </c>
      <c r="BR40" s="117">
        <f t="shared" si="36"/>
        <v>0</v>
      </c>
      <c r="BS40" s="115">
        <f t="shared" si="37"/>
        <v>0</v>
      </c>
      <c r="BT40" s="115">
        <f t="shared" ca="1" si="38"/>
        <v>0</v>
      </c>
      <c r="BU40" s="115" t="b">
        <f ca="1">AND(模拟模式!$K$10="2300·雷",BT39=0,RAND()&lt;IF(C40="净世破魔击·月",5*0.05*2/3,IF(C40="净世破魔击·日",3*0.05*2/3,0.05*2*2/3)))</f>
        <v>0</v>
      </c>
      <c r="BV40" s="115">
        <f t="shared" ca="1" si="39"/>
        <v>0</v>
      </c>
      <c r="BW40" s="115">
        <f t="shared" ca="1" si="40"/>
        <v>173.5424999999999</v>
      </c>
      <c r="BX40" s="164" t="b">
        <f t="shared" ca="1" si="41"/>
        <v>0</v>
      </c>
      <c r="BY40" s="115">
        <f t="shared" ca="1" si="42"/>
        <v>8.542500000000004</v>
      </c>
      <c r="BZ40" s="115">
        <f>IF(OR(模拟模式!$P$16="10人团",模拟模式!$P$16="25人团"),IF(B40/30&gt;CA39,1,0),0)</f>
        <v>0</v>
      </c>
      <c r="CA40" s="115">
        <f t="shared" si="8"/>
        <v>0</v>
      </c>
      <c r="CB40" s="115">
        <f ca="1">IF(BZ40=1,IF(模拟模式!$P$16="10人团",15,0)+IF(模拟模式!$P$16="25人团",IF(RAND()&lt;0.6,15,0)),MAX(0,CB39-$F$4))</f>
        <v>0</v>
      </c>
      <c r="CC40" s="115" t="b">
        <f t="shared" ca="1" si="43"/>
        <v>0</v>
      </c>
      <c r="CD40" s="115">
        <f>IF(模拟模式!$Q$16="1个",IF(B40/40&gt;CE39,1,0),0)</f>
        <v>0</v>
      </c>
      <c r="CE40" s="115">
        <f t="shared" si="44"/>
        <v>0</v>
      </c>
      <c r="CF40" s="115">
        <f>IF(OR(CD40=1,模拟模式!$Q$16="2个"),20,MAX(0,CF39-$F$4))</f>
        <v>0</v>
      </c>
      <c r="CG40" s="115" t="b">
        <f t="shared" si="45"/>
        <v>0</v>
      </c>
      <c r="CH40" s="115">
        <f t="shared" ca="1" si="46"/>
        <v>18.930000000000007</v>
      </c>
      <c r="CI40" s="115" t="b">
        <f t="shared" ca="1" si="47"/>
        <v>0</v>
      </c>
      <c r="CJ40" s="119">
        <f t="shared" ca="1" si="48"/>
        <v>0</v>
      </c>
      <c r="CK40" s="115">
        <f t="shared" ca="1" si="49"/>
        <v>0</v>
      </c>
      <c r="CL40" s="115" t="b">
        <f ca="1">AND(模拟模式!$S$7="驱夷逐法",OR(AND(C40="净世破魔击·月",E39&gt;59),AND(C40="净世破魔击·日",F39&gt;59)))</f>
        <v>0</v>
      </c>
      <c r="CM40" s="115" t="b">
        <f ca="1">OR(CL40,AND(C40="净世破魔击·日",CL39,RAND()&lt;模拟模式!$U$23))</f>
        <v>0</v>
      </c>
      <c r="CN40" s="115" t="b">
        <f ca="1">IF(模拟模式!$M$7="辉耀红尘",AND(C40="净世破魔击·月",CL40,CV40=0,E39&lt;80),AND(C40="净世破魔击·月",CL40,E39&lt;100))</f>
        <v>0</v>
      </c>
      <c r="CO40" s="115" t="b">
        <f t="shared" ca="1" si="9"/>
        <v>0</v>
      </c>
      <c r="CP40" s="115" t="b">
        <f ca="1">AND(模拟模式!$O$7="用晦而明",OR(C40="净世破魔击·日",C40="净世破魔击·月",C40="驱夜断愁"),AB40)</f>
        <v>0</v>
      </c>
      <c r="CQ40" s="115" t="b">
        <f ca="1">OR(CP40,AND(CP39,RAND()&lt;模拟模式!$U$23))</f>
        <v>0</v>
      </c>
      <c r="CR40" s="115" t="b">
        <f ca="1">AND(模拟模式!$S$7="日月齐光",OR(C40="幽月轮1",C40="幽月轮2",C40="幽月轮3",CR39),NOT(OR(C40="赤日轮1",C40="赤日轮2",C40="赤日轮3")))</f>
        <v>0</v>
      </c>
      <c r="CS40" s="115" t="b">
        <f ca="1">AND(模拟模式!$S$7="日月齐光",OR(C40="赤日轮1",C40="赤日轮2",C40="赤日轮3",CS39),NOT(OR(C40="幽月轮1",C40="幽月轮2",C40="幽月轮3")))</f>
        <v>0</v>
      </c>
      <c r="CT40" s="115">
        <f t="shared" ca="1" si="50"/>
        <v>0</v>
      </c>
      <c r="CU40" s="115" t="b">
        <f ca="1">AND(模拟模式!$K$10="阴阳往极",CT39=0,RAND()&lt;IF(C40="净世破魔击·月",0.0275*7/3,IF(C40="净世破魔击·日",0.0275*3/3,0.0275*2/3)))</f>
        <v>0</v>
      </c>
      <c r="CV40" s="115">
        <f t="shared" ca="1" si="51"/>
        <v>0</v>
      </c>
      <c r="CW40" s="115">
        <f t="shared" ca="1" si="10"/>
        <v>5.0774999999999997</v>
      </c>
      <c r="CX40" s="115">
        <f t="shared" ca="1" si="11"/>
        <v>3.2324999999999995</v>
      </c>
      <c r="CY40" s="115">
        <f ca="1">MAX(IF($C40="驱夜断愁",IF(模拟模式!$R$7="万念俱寂",6,45),CY39-$F$4),0)</f>
        <v>4.1549999999999994</v>
      </c>
      <c r="CZ40" s="115">
        <f t="shared" ca="1" si="12"/>
        <v>0</v>
      </c>
      <c r="DA40" s="115">
        <f ca="1">IF(模拟模式!$N$7="日月同辉",IF(DB39=2,0,MIN(6,IF(AND(OR(C40="赤日轮1",C40="赤日轮2",C40="赤日轮3",C40="幽月轮1",C40="幽月轮2",C40="幽月轮3"),AB40=1),DA39+1,DA39))),0)</f>
        <v>5</v>
      </c>
      <c r="DB40" s="115">
        <f t="shared" ca="1" si="13"/>
        <v>0</v>
      </c>
      <c r="DD40" s="115"/>
      <c r="DE40" s="115"/>
      <c r="DF40" s="115"/>
      <c r="DG40" s="115"/>
      <c r="DH40" s="115"/>
      <c r="DI40" s="115"/>
      <c r="DJ40" s="115"/>
      <c r="DK40" s="115"/>
      <c r="DL40" s="115"/>
      <c r="DM40" s="115"/>
    </row>
    <row r="41" spans="2:117" x14ac:dyDescent="0.2">
      <c r="B41" s="117">
        <f t="shared" si="14"/>
        <v>12.914999999999997</v>
      </c>
      <c r="C41" s="167" t="str">
        <f t="shared" ca="1" si="0"/>
        <v>净世破魔击·月</v>
      </c>
      <c r="D41" s="115">
        <f ca="1">IF(C41="赤日轮1",1,IF(C41="赤日轮2",2,IF(C41="赤日轮3",3,IF(C41="幽月轮1",4,IF(C41="幽月轮2",5,IF(C41="幽月轮3",6,IF(C41="烈日斩",7,IF(C41="银月斩",8,IF(C41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41="净世破魔击·月",17,IF(C41="驱夜断愁",18,0)))))))))))</f>
        <v>17</v>
      </c>
      <c r="E41" s="115">
        <f ca="1">IF(AND(CU41,OR(C41="幽月轮1",C41="幽月轮2",C41="幽月轮3",C41="银月斩",C41="驱夜断愁",C41="净世破魔击·月")),100,MIN(IF(OR(CN41,BE41),0,IF(OR($C41="赤日轮1",$C41="赤日轮2",$C41="赤日轮3"),E40+20+IF(模拟模式!$I$7="日月凌天",4,0)+IF(CR40,20,0),IF($C41="烈日斩",E40+40,IF($C41="驱夜断愁",IF(模拟模式!$R$7="万念俱寂",E40+20,E40+60),IF($C41="净世破魔击·月",IF(OR(DB40&gt;0,CV40&gt;0),100,IF(模拟模式!$M$7="辉耀红尘",E40+20,E40)),IF($C41="净世破魔击·日",E40-100,E40)))))),100))</f>
        <v>100</v>
      </c>
      <c r="F41" s="115">
        <f ca="1">IF(AND(CU41,OR(C41="赤日轮1",C41="赤日轮2",C41="赤日轮3",C41="烈日斩",C41="净世破魔击·日")),100,MIN(IF(CO41,0,IF(OR($C41="幽月轮1",$C41="幽月轮2",$C41="幽月轮3"),F40+20+IF(模拟模式!$I$7="日月凌天",4,0)+IF(CS40,20,0),IF($C41="银月斩",F40+40+IF(模拟模式!$X$12=1,5,0),IF($C41="驱夜断愁",IF(模拟模式!$R$7="万念俱寂",F40+20,F40+60),IF($C41="净世破魔击·月",IF(模拟模式!$M$7="辉耀红尘",F40-80,F40-100),IF(AND(C41="净世破魔击·日",OR(DB40&gt;0,CV40&gt;0)),100,F40)))))),100))</f>
        <v>20</v>
      </c>
      <c r="G41" s="117">
        <f ca="1">('模拟-全程加成'!$E$3+'模拟-全程加成'!$E$4+'模拟-全程加成'!$E$5+('模拟-全程加成'!$C$6-'模拟-全程加成'!$C$3)*系数!$B$9+BS41*23)*(1+'模拟-全程加成'!$F$4+'模拟-全程加成'!$F$5+BJ41*10%+BM41*20%+BP41*4%+CG41*30%)+$F$7*系数!$B$12</f>
        <v>21129.548600000002</v>
      </c>
      <c r="H41" s="45">
        <f ca="1">'模拟-全程加成'!$H$3+'模拟-全程加成'!$H$4+'模拟-全程加成'!$H$5+('模拟-全程加成'!$G$4+'模拟-全程加成'!$G$5+('模拟-全程加成'!$C$6-'模拟-全程加成'!$C$3)*系数!$B$13)/系数!$B$3+LOOKUP(D41,'模拟-单技能数据'!$A$2:$A$19,'模拟-单技能数据'!$K$2:$K$19)+BG41*10%+IF(BV41&gt;0,378,0)</f>
        <v>0.54185145527300216</v>
      </c>
      <c r="I41" s="45">
        <f ca="1">'模拟-全程加成'!$J$3+'模拟-全程加成'!$J$4+'模拟-全程加成'!$J$5+('模拟-全程加成'!$I$4+'模拟-全程加成'!$I$5)/系数!$B$4+LOOKUP(D41,'模拟-单技能数据'!$A$2:$A$19,'模拟-单技能数据'!$L$2:$L$19)+BG41*10%</f>
        <v>2.162482885499879</v>
      </c>
      <c r="J41" s="45">
        <f ca="1">(('模拟-全程加成'!$K$3+'模拟-全程加成'!$K$4+'模拟-全程加成'!$K$5+('模拟-全程加成'!$C$6-'模拟-全程加成'!$C$3)*系数!$B$10+IF(BV41&gt;0,882,0)+IF(BY41&gt;0,1831,0))*(1+'模拟-全程加成'!$L$4+'模拟-全程加成'!$L$5+CC41*20%))/系数!$B$5</f>
        <v>0.85832564669386491</v>
      </c>
      <c r="K41" s="119">
        <f ca="1">LOOKUP(D41,'模拟-单技能数据'!$A$2:$A$19,'模拟-单技能数据'!$J$2:$J$19)+IF(CM41,60%,0)+IF(DB40-DB41&gt;0,30%,0)+IF(OR(AND(OR(C41="赤日轮1",C41="赤日轮2",C41="赤日轮3"),CR41),AND(OR(C41="幽月轮1",C41="幽月轮2",C41="幽月轮3"),CS41)),35%,0)+CJ41</f>
        <v>0.8</v>
      </c>
      <c r="L41" s="119">
        <f ca="1">IF(AND(C41="烈日斩",模拟模式!$X$11=1),10%,0)+IF(AND(C41="驱夜断愁",AB41=1),30%,0)</f>
        <v>0</v>
      </c>
      <c r="M41" s="45">
        <f t="shared" ca="1" si="15"/>
        <v>0.54185145527300216</v>
      </c>
      <c r="N41" s="45">
        <f t="shared" ca="1" si="16"/>
        <v>0.40424854472699789</v>
      </c>
      <c r="O41" s="46">
        <f t="shared" ca="1" si="17"/>
        <v>0.67836119328830402</v>
      </c>
      <c r="P41" s="46" t="str">
        <f t="shared" ca="1" si="18"/>
        <v>命</v>
      </c>
      <c r="Q41" s="45">
        <f t="shared" ca="1" si="19"/>
        <v>1</v>
      </c>
      <c r="R41" s="117">
        <f ca="1">模拟模式!$E$20*(1-IF(模拟模式!$J$19="有",0.15,0))*(1-IF(模拟模式!$K$19="有",0.3,0)-IF(CQ41,0.5,0))</f>
        <v>843.02999999999975</v>
      </c>
      <c r="S41" s="45">
        <f ca="1">R41/(R41+(185*模拟模式!$E$22-16800)*4.08224)</f>
        <v>8.389626085980037E-2</v>
      </c>
      <c r="T41" s="45" t="str">
        <f ca="1">LOOKUP(D41,'模拟-单技能数据'!$A$2:$A$19,'模拟-单技能数据'!$H$2:$H$19)</f>
        <v>阴</v>
      </c>
      <c r="U41" s="119">
        <f t="shared" ca="1" si="20"/>
        <v>0.08</v>
      </c>
      <c r="V41" s="47">
        <f ca="1">(1+L41)*(LOOKUP(D41,'模拟-单技能数据'!$A$2:$A$19,'模拟-单技能数据'!$D$2:$D$19)+G41*LOOKUP(D41,'模拟-单技能数据'!$A$2:$A$19,'模拟-单技能数据'!$F$2:$F$19))*(1+J41)*(1+K41)*(1-S41)*(1+U41)*Q41*LOOKUP(D41,'模拟-单技能数据'!$A$2:$A$19,'模拟-单技能数据'!$I$2:$I$20)</f>
        <v>90870.886756751715</v>
      </c>
      <c r="W41" s="47">
        <f ca="1">LOOKUP(D41,'模拟-单技能数据'!$A$2:$A$19,'模拟-单技能数据'!$G$2:$G$19)*$I$10</f>
        <v>361.51064354704795</v>
      </c>
      <c r="X41" s="47">
        <f t="shared" ca="1" si="21"/>
        <v>30284.148158460855</v>
      </c>
      <c r="Y41" s="47">
        <f t="shared" ca="1" si="22"/>
        <v>121516.54555875962</v>
      </c>
      <c r="Z41" s="49">
        <f t="shared" ca="1" si="23"/>
        <v>1080847.0921466425</v>
      </c>
      <c r="AA41" s="97">
        <f t="shared" ca="1" si="24"/>
        <v>83689.283170471754</v>
      </c>
      <c r="AB41" s="115">
        <f ca="1">IF(OR(C41="赤日轮1",C41="赤日轮2",C41="赤日轮3"),IF(RAND()&lt;模拟模式!$Y$17,1,0),IF(OR(C41="幽月轮1",C41="幽月轮2",C41="幽月轮3"),IF(RAND()&lt;模拟模式!$Y$18,1,0),IF(C41="烈日斩",IF(RAND()&lt;模拟模式!$Y$19,1,0),IF(C41="银月斩",IF(RAND()&lt;模拟模式!$Y$20,1,0),IF(C41="驱夜断愁",IF(RAND()&lt;模拟模式!$Y$21,1,0),IF(C41="净世破魔击·日",IF(RAND()&lt;模拟模式!$Y$22,1,0),IF(C41="净世破魔击·月",IF(RAND()&lt;模拟模式!$Y$23,1,0),0)))))))</f>
        <v>1</v>
      </c>
      <c r="AC41" s="115" t="b">
        <f t="shared" ca="1" si="1"/>
        <v>0</v>
      </c>
      <c r="AD41" s="115" t="b">
        <f t="shared" ca="1" si="52"/>
        <v>1</v>
      </c>
      <c r="AE41" s="115">
        <f t="shared" ca="1" si="53"/>
        <v>3</v>
      </c>
      <c r="AF41" s="47">
        <f ca="1">IF(AC41,('模拟-单技能数据'!$D$20+G41*'模拟-单技能数据'!$F$20)*(1+J41)*(1+'模拟-单技能数据'!$J$20)*(1+U41),0)</f>
        <v>0</v>
      </c>
      <c r="AG41" s="61">
        <f t="shared" ca="1" si="25"/>
        <v>0.64185145527300214</v>
      </c>
      <c r="AH41" s="61">
        <f t="shared" ca="1" si="26"/>
        <v>2.2624828854998791</v>
      </c>
      <c r="AI41" s="62">
        <f t="shared" ca="1" si="27"/>
        <v>0.31496406532955068</v>
      </c>
      <c r="AJ41" s="47">
        <f ca="1">IF(AD41,IF(AI41&lt;$F$10,0,IF(AI41&lt;$F$10+$F$11,0.25,IF(AI41&lt;$F$10+$F$11+AG41,AH41,1)))*IF(AF41&gt;0,AF41,IF(AF40&gt;0,AF40,IF(AF39&gt;0,AF39,IF(AF38&gt;0,AF38,IF(AF37&gt;0,AF37,IF(AF36&gt;0,AF36,IF(AF35&gt;0,AF35,IF(AF34&gt;0,AF34,IF(AF33&gt;0,AF33,IF(AF31&gt;0,AF31,IF(AF30&gt;0,AF30,IF(AF29&gt;0,AF29,0)))))))))))),0)*(1-$S41)*'模拟-单技能数据'!$I$20</f>
        <v>10181.047742308838</v>
      </c>
      <c r="AK41" s="115" t="b">
        <f t="shared" ca="1" si="2"/>
        <v>0</v>
      </c>
      <c r="AL41" s="115" t="b">
        <f t="shared" ca="1" si="54"/>
        <v>1</v>
      </c>
      <c r="AM41" s="115">
        <f t="shared" ca="1" si="55"/>
        <v>3</v>
      </c>
      <c r="AN41" s="47">
        <f ca="1">IF(AK41,('模拟-单技能数据'!$D$21+G41*'模拟-单技能数据'!$F$21)*(1+J41)*(1+'模拟-单技能数据'!$J$21)*(1+U41),0)</f>
        <v>0</v>
      </c>
      <c r="AO41" s="61">
        <f ca="1">IF(AN41&gt;0,M41-'模拟-单技能数据'!$K$10,AO40)</f>
        <v>0.42185145527300216</v>
      </c>
      <c r="AP41" s="61">
        <f ca="1">IF(AN41&gt;0,I41-'模拟-单技能数据'!$L$10,AP40)</f>
        <v>2.162482885499879</v>
      </c>
      <c r="AQ41" s="63">
        <f t="shared" ca="1" si="28"/>
        <v>0.86548759617921855</v>
      </c>
      <c r="AR41" s="64">
        <f ca="1">IF(AL41,IF(AQ41&lt;$F$10,0,IF(AQ41&lt;$F$10+$F$11,0.25,IF(AQ41&lt;$F$10+$F$11+AO41,AP41,1)))*IF(AN41&gt;0,AN41,IF(AN40&gt;0,AN40,IF(AN39&gt;0,AN39,IF(AN38&gt;0,AN38,IF(AN37&gt;0,AN37,IF(AN36&gt;0,AN36,IF(AN35&gt;0,AN35,IF(AN34&gt;0,AN34,IF(AN33&gt;0,AN33,IF(AN31&gt;0,AN31,IF(AN30&gt;0,AN30,IF(AN29&gt;0,AN29,0)))))))))))),0)*(1-$S41)*'模拟-单技能数据'!$I$21</f>
        <v>11530.452600831897</v>
      </c>
      <c r="AS41" s="61">
        <f ca="1">IF(OR(C41="净世破魔击·日",C41="净世破魔击·月"),M41-'模拟-单技能数据'!$K$10,0)</f>
        <v>0.42185145527300216</v>
      </c>
      <c r="AT41" s="61">
        <f ca="1">IF(OR(C41="净世破魔击·日",C41="净世破魔击·月"),I41-'模拟-单技能数据'!$L$10,0)</f>
        <v>2.162482885499879</v>
      </c>
      <c r="AU41" s="62">
        <f t="shared" ca="1" si="29"/>
        <v>0.6188100041063016</v>
      </c>
      <c r="AV41" s="64">
        <f ca="1">IF(AS41&gt;0,('模拟-单技能数据'!$D$22+G41*'模拟-单技能数据'!$F$22)*(1+J41)*(1-S41)*IF(AU41&lt;$F$10,0,IF(AU41&lt;$F$10+$F$11,0.25,IF(AU41&lt;$F$10+$F$11+AS41,AT41,1)))*(1+U41),0)*'模拟-单技能数据'!$I$22</f>
        <v>8572.6478153201224</v>
      </c>
      <c r="AW41" s="108">
        <f t="shared" ca="1" si="30"/>
        <v>17.232500000000002</v>
      </c>
      <c r="AX41" s="108" t="b">
        <f ca="1">AND(模拟模式!$P$10="有",AW40=0,RAND()&lt;IF(C41="净世破魔击·月",0.1*8/3,IF(C41="净世破魔击·日",0.1*4/3,0.1*2/3)))</f>
        <v>0</v>
      </c>
      <c r="AY41" s="47">
        <f ca="1">IF(AX41,(18+G41*0.722)*(1+J41)*(1-S41)*(1+$I$4)*IF(P41="会",'模拟-全程加成'!$J$3+'模拟-全程加成'!$J$4+'模拟-全程加成'!$J$5+('模拟-全程加成'!$I$4+'模拟-全程加成'!$I$5)/系数!$B$4+BG41*10%,IF(P41="命",1,IF(P41="识",0.25,0))),0)</f>
        <v>0</v>
      </c>
      <c r="AZ41" s="108">
        <f t="shared" si="31"/>
        <v>7.0850000000000071</v>
      </c>
      <c r="BA41" s="108" t="b">
        <f>AND(模拟模式!$Q$10="有",AZ40=0)</f>
        <v>0</v>
      </c>
      <c r="BB41" s="140">
        <f>IF(BA41,(0+G41*0.287)*(1+J41)*(1-S41)*(1+$I$4)*IF(P41="会",'模拟-全程加成'!$J$3+'模拟-全程加成'!$J$4+'模拟-全程加成'!$J$5+('模拟-全程加成'!$I$4+'模拟-全程加成'!$I$5)/系数!$B$4+BG41*10%,IF(P41="命",1,IF(P41="识",0.25,0))),0)</f>
        <v>0</v>
      </c>
      <c r="BC41" s="115" t="b">
        <f ca="1">AND(模拟模式!$R$7="伏明众生",E41=60,F41=20,DA41&lt;5,CZ40&lt;$F$4)</f>
        <v>0</v>
      </c>
      <c r="BD41" s="115">
        <f t="shared" ca="1" si="3"/>
        <v>0</v>
      </c>
      <c r="BE41" s="115" t="b">
        <f t="shared" ca="1" si="4"/>
        <v>0</v>
      </c>
      <c r="BF41" s="47">
        <f ca="1">IF(BC41,4*('模拟-单技能数据'!$D$24+G41*'模拟-单技能数据'!$F$24)*(1+J41)*(1+'模拟-单技能数据'!$J$24)*(1-S41)*(1+$I$3)*(('模拟-全程加成'!$J$3+'模拟-全程加成'!$J$4+'模拟-全程加成'!$J$5+('模拟-全程加成'!$I$4+'模拟-全程加成'!$I$5)/系数!$B$4+BG41*10%)*('模拟-全程加成'!$J$3+'模拟-全程加成'!$J$4+'模拟-全程加成'!$J$5+('模拟-全程加成'!$I$4+'模拟-全程加成'!$I$5)/系数!$B$4+BG41*10%)+(1-('模拟-全程加成'!$J$3+'模拟-全程加成'!$J$4+'模拟-全程加成'!$J$5+('模拟-全程加成'!$I$4+'模拟-全程加成'!$I$5)/系数!$B$4+BG41*10%)-$F$10-$F$11)+F27*0.25),0)*'模拟-单技能数据'!$I$24</f>
        <v>0</v>
      </c>
      <c r="BG41" s="115" t="b">
        <f ca="1">OR(AND(OR(C41="烈日斩",C41="银月斩"),模拟模式!$I$7="净身明礼"),AND(C41="净世破魔击·日",模拟模式!$J$7="洞若观火"),AND(C42="净世破魔击·月",模拟模式!$J$7="洞若观火"),AB41=1)</f>
        <v>1</v>
      </c>
      <c r="BH41" s="115" t="b">
        <f t="shared" ca="1" si="32"/>
        <v>0</v>
      </c>
      <c r="BI41" s="115">
        <f t="shared" ca="1" si="5"/>
        <v>4.1549999999999994</v>
      </c>
      <c r="BJ41" s="115" t="b">
        <f t="shared" ca="1" si="33"/>
        <v>1</v>
      </c>
      <c r="BK41" s="115" t="b">
        <f ca="1">AND(C41="驱夜断愁",模拟模式!$P$7="天地诛戮")</f>
        <v>0</v>
      </c>
      <c r="BL41" s="57">
        <f t="shared" ca="1" si="6"/>
        <v>17.232500000000002</v>
      </c>
      <c r="BM41" s="115" t="b">
        <f t="shared" ca="1" si="34"/>
        <v>1</v>
      </c>
      <c r="BN41" s="115" t="b">
        <f ca="1">AND(OR(C41="赤日轮1",C41="赤日轮2",C41="赤日轮3",C41="幽月轮1",C41="幽月轮2",C41="幽月轮3"),AB41=1,模拟模式!$L$7="明光恒照")</f>
        <v>0</v>
      </c>
      <c r="BO41" s="117">
        <f t="shared" ca="1" si="7"/>
        <v>29.077500000000001</v>
      </c>
      <c r="BP41" s="115">
        <f t="shared" ca="1" si="35"/>
        <v>5</v>
      </c>
      <c r="BQ41" s="115" t="b">
        <f>模拟模式!$K$10="2600·水"</f>
        <v>0</v>
      </c>
      <c r="BR41" s="117">
        <f t="shared" si="36"/>
        <v>0</v>
      </c>
      <c r="BS41" s="115">
        <f t="shared" si="37"/>
        <v>0</v>
      </c>
      <c r="BT41" s="115">
        <f t="shared" ca="1" si="38"/>
        <v>0</v>
      </c>
      <c r="BU41" s="115" t="b">
        <f ca="1">AND(模拟模式!$K$10="2300·雷",BT40=0,RAND()&lt;IF(C41="净世破魔击·月",5*0.05*2/3,IF(C41="净世破魔击·日",3*0.05*2/3,0.05*2*2/3)))</f>
        <v>0</v>
      </c>
      <c r="BV41" s="115">
        <f t="shared" ca="1" si="39"/>
        <v>0</v>
      </c>
      <c r="BW41" s="115">
        <f t="shared" ca="1" si="40"/>
        <v>172.61999999999989</v>
      </c>
      <c r="BX41" s="164" t="b">
        <f t="shared" ca="1" si="41"/>
        <v>0</v>
      </c>
      <c r="BY41" s="115">
        <f t="shared" ca="1" si="42"/>
        <v>7.6200000000000037</v>
      </c>
      <c r="BZ41" s="115">
        <f>IF(OR(模拟模式!$P$16="10人团",模拟模式!$P$16="25人团"),IF(B41/30&gt;CA40,1,0),0)</f>
        <v>0</v>
      </c>
      <c r="CA41" s="115">
        <f t="shared" si="8"/>
        <v>0</v>
      </c>
      <c r="CB41" s="115">
        <f ca="1">IF(BZ41=1,IF(模拟模式!$P$16="10人团",15,0)+IF(模拟模式!$P$16="25人团",IF(RAND()&lt;0.6,15,0)),MAX(0,CB40-$F$4))</f>
        <v>0</v>
      </c>
      <c r="CC41" s="115" t="b">
        <f t="shared" ca="1" si="43"/>
        <v>0</v>
      </c>
      <c r="CD41" s="115">
        <f>IF(模拟模式!$Q$16="1个",IF(B41/40&gt;CE40,1,0),0)</f>
        <v>0</v>
      </c>
      <c r="CE41" s="115">
        <f t="shared" si="44"/>
        <v>0</v>
      </c>
      <c r="CF41" s="115">
        <f>IF(OR(CD41=1,模拟模式!$Q$16="2个"),20,MAX(0,CF40-$F$4))</f>
        <v>0</v>
      </c>
      <c r="CG41" s="115" t="b">
        <f t="shared" si="45"/>
        <v>0</v>
      </c>
      <c r="CH41" s="115">
        <f t="shared" ca="1" si="46"/>
        <v>18.007500000000007</v>
      </c>
      <c r="CI41" s="115" t="b">
        <f t="shared" ca="1" si="47"/>
        <v>0</v>
      </c>
      <c r="CJ41" s="119">
        <f t="shared" ca="1" si="48"/>
        <v>0</v>
      </c>
      <c r="CK41" s="115">
        <f t="shared" ca="1" si="49"/>
        <v>0</v>
      </c>
      <c r="CL41" s="115" t="b">
        <f ca="1">AND(模拟模式!$S$7="驱夷逐法",OR(AND(C41="净世破魔击·月",E40&gt;59),AND(C41="净世破魔击·日",F40&gt;59)))</f>
        <v>1</v>
      </c>
      <c r="CM41" s="115" t="b">
        <f ca="1">OR(CL41,AND(C41="净世破魔击·日",CL40,RAND()&lt;模拟模式!$U$23))</f>
        <v>1</v>
      </c>
      <c r="CN41" s="115" t="b">
        <f ca="1">IF(模拟模式!$M$7="辉耀红尘",AND(C41="净世破魔击·月",CL41,CV41=0,E40&lt;80),AND(C41="净世破魔击·月",CL41,E40&lt;100))</f>
        <v>0</v>
      </c>
      <c r="CO41" s="115" t="b">
        <f t="shared" ca="1" si="9"/>
        <v>0</v>
      </c>
      <c r="CP41" s="115" t="b">
        <f ca="1">AND(模拟模式!$O$7="用晦而明",OR(C41="净世破魔击·日",C41="净世破魔击·月",C41="驱夜断愁"),AB41)</f>
        <v>1</v>
      </c>
      <c r="CQ41" s="115" t="b">
        <f ca="1">OR(CP41,AND(CP40,RAND()&lt;模拟模式!$U$23))</f>
        <v>1</v>
      </c>
      <c r="CR41" s="115" t="b">
        <f ca="1">AND(模拟模式!$S$7="日月齐光",OR(C41="幽月轮1",C41="幽月轮2",C41="幽月轮3",CR40),NOT(OR(C41="赤日轮1",C41="赤日轮2",C41="赤日轮3")))</f>
        <v>0</v>
      </c>
      <c r="CS41" s="115" t="b">
        <f ca="1">AND(模拟模式!$S$7="日月齐光",OR(C41="赤日轮1",C41="赤日轮2",C41="赤日轮3",CS40),NOT(OR(C41="幽月轮1",C41="幽月轮2",C41="幽月轮3")))</f>
        <v>0</v>
      </c>
      <c r="CT41" s="115">
        <f t="shared" ca="1" si="50"/>
        <v>0</v>
      </c>
      <c r="CU41" s="115" t="b">
        <f ca="1">AND(模拟模式!$K$10="阴阳往极",CT40=0,RAND()&lt;IF(C41="净世破魔击·月",0.0275*7/3,IF(C41="净世破魔击·日",0.0275*3/3,0.0275*2/3)))</f>
        <v>0</v>
      </c>
      <c r="CV41" s="115">
        <f t="shared" ca="1" si="51"/>
        <v>0</v>
      </c>
      <c r="CW41" s="115">
        <f t="shared" ca="1" si="10"/>
        <v>4.1549999999999994</v>
      </c>
      <c r="CX41" s="115">
        <f t="shared" ca="1" si="11"/>
        <v>2.3099999999999996</v>
      </c>
      <c r="CY41" s="115">
        <f ca="1">MAX(IF($C41="驱夜断愁",IF(模拟模式!$R$7="万念俱寂",6,45),CY40-$F$4),0)</f>
        <v>3.2324999999999995</v>
      </c>
      <c r="CZ41" s="115">
        <f t="shared" ca="1" si="12"/>
        <v>0</v>
      </c>
      <c r="DA41" s="115">
        <f ca="1">IF(模拟模式!$N$7="日月同辉",IF(DB40=2,0,MIN(6,IF(AND(OR(C41="赤日轮1",C41="赤日轮2",C41="赤日轮3",C41="幽月轮1",C41="幽月轮2",C41="幽月轮3"),AB41=1),DA40+1,DA40))),0)</f>
        <v>5</v>
      </c>
      <c r="DB41" s="115">
        <f t="shared" ca="1" si="13"/>
        <v>0</v>
      </c>
      <c r="DD41" s="115"/>
      <c r="DE41" s="115"/>
      <c r="DF41" s="115"/>
      <c r="DG41" s="115"/>
      <c r="DH41" s="115"/>
      <c r="DI41" s="115"/>
      <c r="DJ41" s="115"/>
      <c r="DK41" s="115"/>
      <c r="DL41" s="115"/>
      <c r="DM41" s="115"/>
    </row>
    <row r="42" spans="2:117" x14ac:dyDescent="0.2">
      <c r="B42" s="117">
        <f t="shared" si="14"/>
        <v>13.837499999999997</v>
      </c>
      <c r="C42" s="167" t="str">
        <f t="shared" ca="1" si="0"/>
        <v>净世破魔击·日</v>
      </c>
      <c r="D42" s="115">
        <f ca="1">IF(C42="赤日轮1",1,IF(C42="赤日轮2",2,IF(C42="赤日轮3",3,IF(C42="幽月轮1",4,IF(C42="幽月轮2",5,IF(C42="幽月轮3",6,IF(C42="烈日斩",7,IF(C42="银月斩",8,IF(C42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42="净世破魔击·月",17,IF(C42="驱夜断愁",18,0)))))))))))</f>
        <v>9</v>
      </c>
      <c r="E42" s="115">
        <f ca="1">IF(AND(CU42,OR(C42="幽月轮1",C42="幽月轮2",C42="幽月轮3",C42="银月斩",C42="驱夜断愁",C42="净世破魔击·月")),100,MIN(IF(OR(CN42,BE42),0,IF(OR($C42="赤日轮1",$C42="赤日轮2",$C42="赤日轮3"),E41+20+IF(模拟模式!$I$7="日月凌天",4,0)+IF(CR41,20,0),IF($C42="烈日斩",E41+40,IF($C42="驱夜断愁",IF(模拟模式!$R$7="万念俱寂",E41+20,E41+60),IF($C42="净世破魔击·月",IF(OR(DB41&gt;0,CV41&gt;0),100,IF(模拟模式!$M$7="辉耀红尘",E41+20,E41)),IF($C42="净世破魔击·日",E41-100,E41)))))),100))</f>
        <v>0</v>
      </c>
      <c r="F42" s="115">
        <f ca="1">IF(AND(CU42,OR(C42="赤日轮1",C42="赤日轮2",C42="赤日轮3",C42="烈日斩",C42="净世破魔击·日")),100,MIN(IF(CO42,0,IF(OR($C42="幽月轮1",$C42="幽月轮2",$C42="幽月轮3"),F41+20+IF(模拟模式!$I$7="日月凌天",4,0)+IF(CS41,20,0),IF($C42="银月斩",F41+40+IF(模拟模式!$X$12=1,5,0),IF($C42="驱夜断愁",IF(模拟模式!$R$7="万念俱寂",F41+20,F41+60),IF($C42="净世破魔击·月",IF(模拟模式!$M$7="辉耀红尘",F41-80,F41-100),IF(AND(C42="净世破魔击·日",OR(DB41&gt;0,CV41&gt;0)),100,F41)))))),100))</f>
        <v>20</v>
      </c>
      <c r="G42" s="117">
        <f ca="1">('模拟-全程加成'!$E$3+'模拟-全程加成'!$E$4+'模拟-全程加成'!$E$5+('模拟-全程加成'!$C$6-'模拟-全程加成'!$C$3)*系数!$B$9+BS42*23)*(1+'模拟-全程加成'!$F$4+'模拟-全程加成'!$F$5+BJ42*10%+BM42*20%+BP42*4%+CG42*30%)+$F$7*系数!$B$12</f>
        <v>21129.548600000002</v>
      </c>
      <c r="H42" s="45">
        <f ca="1">'模拟-全程加成'!$H$3+'模拟-全程加成'!$H$4+'模拟-全程加成'!$H$5+('模拟-全程加成'!$G$4+'模拟-全程加成'!$G$5+('模拟-全程加成'!$C$6-'模拟-全程加成'!$C$3)*系数!$B$13)/系数!$B$3+LOOKUP(D42,'模拟-单技能数据'!$A$2:$A$19,'模拟-单技能数据'!$K$2:$K$19)+BG42*10%+IF(BV42&gt;0,378,0)</f>
        <v>0.54185145527300216</v>
      </c>
      <c r="I42" s="45">
        <f ca="1">'模拟-全程加成'!$J$3+'模拟-全程加成'!$J$4+'模拟-全程加成'!$J$5+('模拟-全程加成'!$I$4+'模拟-全程加成'!$I$5)/系数!$B$4+LOOKUP(D42,'模拟-单技能数据'!$A$2:$A$19,'模拟-单技能数据'!$L$2:$L$19)+BG42*10%</f>
        <v>2.162482885499879</v>
      </c>
      <c r="J42" s="45">
        <f ca="1">(('模拟-全程加成'!$K$3+'模拟-全程加成'!$K$4+'模拟-全程加成'!$K$5+('模拟-全程加成'!$C$6-'模拟-全程加成'!$C$3)*系数!$B$10+IF(BV42&gt;0,882,0)+IF(BY42&gt;0,1831,0))*(1+'模拟-全程加成'!$L$4+'模拟-全程加成'!$L$5+CC42*20%))/系数!$B$5</f>
        <v>0.85832564669386491</v>
      </c>
      <c r="K42" s="119">
        <f ca="1">LOOKUP(D42,'模拟-单技能数据'!$A$2:$A$19,'模拟-单技能数据'!$J$2:$J$19)+IF(CM42,60%,0)+IF(DB41-DB42&gt;0,30%,0)+IF(OR(AND(OR(C42="赤日轮1",C42="赤日轮2",C42="赤日轮3"),CR42),AND(OR(C42="幽月轮1",C42="幽月轮2",C42="幽月轮3"),CS42)),35%,0)+CJ42</f>
        <v>0.8</v>
      </c>
      <c r="L42" s="119">
        <f ca="1">IF(AND(C42="烈日斩",模拟模式!$X$11=1),10%,0)+IF(AND(C42="驱夜断愁",AB42=1),30%,0)</f>
        <v>0</v>
      </c>
      <c r="M42" s="45">
        <f t="shared" ca="1" si="15"/>
        <v>0.54185145527300216</v>
      </c>
      <c r="N42" s="45">
        <f t="shared" ca="1" si="16"/>
        <v>0.40424854472699789</v>
      </c>
      <c r="O42" s="46">
        <f t="shared" ca="1" si="17"/>
        <v>6.9944762672092819E-2</v>
      </c>
      <c r="P42" s="46" t="str">
        <f t="shared" ca="1" si="18"/>
        <v>会</v>
      </c>
      <c r="Q42" s="45">
        <f t="shared" ca="1" si="19"/>
        <v>2.162482885499879</v>
      </c>
      <c r="R42" s="117">
        <f ca="1">模拟模式!$E$20*(1-IF(模拟模式!$J$19="有",0.15,0))*(1-IF(模拟模式!$K$19="有",0.3,0)-IF(CQ42,0.5,0))</f>
        <v>843.02999999999975</v>
      </c>
      <c r="S42" s="45">
        <f ca="1">R42/(R42+(185*模拟模式!$E$22-16800)*4.08224)</f>
        <v>8.389626085980037E-2</v>
      </c>
      <c r="T42" s="45" t="str">
        <f ca="1">LOOKUP(D42,'模拟-单技能数据'!$A$2:$A$19,'模拟-单技能数据'!$H$2:$H$19)</f>
        <v>阳</v>
      </c>
      <c r="U42" s="119">
        <f t="shared" ca="1" si="20"/>
        <v>0.2</v>
      </c>
      <c r="V42" s="47">
        <f ca="1">(1+L42)*(LOOKUP(D42,'模拟-单技能数据'!$A$2:$A$19,'模拟-单技能数据'!$D$2:$D$19)+G42*LOOKUP(D42,'模拟-单技能数据'!$A$2:$A$19,'模拟-单技能数据'!$F$2:$F$19))*(1+J42)*(1+K42)*(1-S42)*(1+U42)*Q42*LOOKUP(D42,'模拟-单技能数据'!$A$2:$A$19,'模拟-单技能数据'!$I$2:$I$20)</f>
        <v>220162.18087301127</v>
      </c>
      <c r="W42" s="47">
        <f ca="1">LOOKUP(D42,'模拟-单技能数据'!$A$2:$A$19,'模拟-单技能数据'!$G$2:$G$19)*$I$10</f>
        <v>723.0212870940959</v>
      </c>
      <c r="X42" s="47">
        <f t="shared" ca="1" si="21"/>
        <v>20598.004648941875</v>
      </c>
      <c r="Y42" s="47">
        <f t="shared" ca="1" si="22"/>
        <v>241483.20680904726</v>
      </c>
      <c r="Z42" s="49">
        <f t="shared" ca="1" si="23"/>
        <v>1322330.2989556897</v>
      </c>
      <c r="AA42" s="97">
        <f t="shared" ca="1" si="24"/>
        <v>95561.358551450045</v>
      </c>
      <c r="AB42" s="115">
        <f ca="1">IF(OR(C42="赤日轮1",C42="赤日轮2",C42="赤日轮3"),IF(RAND()&lt;模拟模式!$Y$17,1,0),IF(OR(C42="幽月轮1",C42="幽月轮2",C42="幽月轮3"),IF(RAND()&lt;模拟模式!$Y$18,1,0),IF(C42="烈日斩",IF(RAND()&lt;模拟模式!$Y$19,1,0),IF(C42="银月斩",IF(RAND()&lt;模拟模式!$Y$20,1,0),IF(C42="驱夜断愁",IF(RAND()&lt;模拟模式!$Y$21,1,0),IF(C42="净世破魔击·日",IF(RAND()&lt;模拟模式!$Y$22,1,0),IF(C42="净世破魔击·月",IF(RAND()&lt;模拟模式!$Y$23,1,0),0)))))))</f>
        <v>1</v>
      </c>
      <c r="AC42" s="115" t="b">
        <f t="shared" ca="1" si="1"/>
        <v>0</v>
      </c>
      <c r="AD42" s="115" t="b">
        <f t="shared" ca="1" si="52"/>
        <v>0</v>
      </c>
      <c r="AE42" s="115">
        <f t="shared" ca="1" si="53"/>
        <v>3</v>
      </c>
      <c r="AF42" s="47">
        <f ca="1">IF(AC42,('模拟-单技能数据'!$D$20+G42*'模拟-单技能数据'!$F$20)*(1+J42)*(1+'模拟-单技能数据'!$J$20)*(1+U42),0)</f>
        <v>0</v>
      </c>
      <c r="AG42" s="61">
        <f t="shared" ca="1" si="25"/>
        <v>0.64185145527300214</v>
      </c>
      <c r="AH42" s="61">
        <f t="shared" ca="1" si="26"/>
        <v>2.2624828854998791</v>
      </c>
      <c r="AI42" s="62">
        <f t="shared" ca="1" si="27"/>
        <v>0.5612560051398584</v>
      </c>
      <c r="AJ42" s="47">
        <f ca="1">IF(AD42,IF(AI42&lt;$F$10,0,IF(AI42&lt;$F$10+$F$11,0.25,IF(AI42&lt;$F$10+$F$11+AG42,AH42,1)))*IF(AF42&gt;0,AF42,IF(AF41&gt;0,AF41,IF(AF40&gt;0,AF40,IF(AF39&gt;0,AF39,IF(AF38&gt;0,AF38,IF(AF37&gt;0,AF37,IF(AF36&gt;0,AF36,IF(AF35&gt;0,AF35,IF(AF34&gt;0,AF34,IF(AF32&gt;0,AF32,IF(AF31&gt;0,AF31,IF(AF30&gt;0,AF30,0)))))))))))),0)*(1-$S42)*'模拟-单技能数据'!$I$20</f>
        <v>0</v>
      </c>
      <c r="AK42" s="115" t="b">
        <f t="shared" ca="1" si="2"/>
        <v>1</v>
      </c>
      <c r="AL42" s="115" t="b">
        <f t="shared" ca="1" si="54"/>
        <v>0</v>
      </c>
      <c r="AM42" s="115">
        <f t="shared" ca="1" si="55"/>
        <v>6</v>
      </c>
      <c r="AN42" s="47">
        <f ca="1">IF(AK42,('模拟-单技能数据'!$D$21+G42*'模拟-单技能数据'!$F$21)*(1+J42)*(1+'模拟-单技能数据'!$J$21)*(1+U42),0)</f>
        <v>13639.566764516123</v>
      </c>
      <c r="AO42" s="61">
        <f ca="1">IF(AN42&gt;0,M42-'模拟-单技能数据'!$K$10,AO41)</f>
        <v>0.42185145527300216</v>
      </c>
      <c r="AP42" s="61">
        <f ca="1">IF(AN42&gt;0,I42-'模拟-单技能数据'!$L$10,AP41)</f>
        <v>2.162482885499879</v>
      </c>
      <c r="AQ42" s="63">
        <f t="shared" ca="1" si="28"/>
        <v>0.25527831268069612</v>
      </c>
      <c r="AR42" s="64">
        <f ca="1">IF(AL42,IF(AQ42&lt;$F$10,0,IF(AQ42&lt;$F$10+$F$11,0.25,IF(AQ42&lt;$F$10+$F$11+AO42,AP42,1)))*IF(AN42&gt;0,AN42,IF(AN41&gt;0,AN41,IF(AN40&gt;0,AN40,IF(AN39&gt;0,AN39,IF(AN38&gt;0,AN38,IF(AN37&gt;0,AN37,IF(AN36&gt;0,AN36,IF(AN35&gt;0,AN35,IF(AN34&gt;0,AN34,IF(AN32&gt;0,AN32,IF(AN31&gt;0,AN31,IF(AN30&gt;0,AN30,0)))))))))))),0)*(1-$S42)*'模拟-单技能数据'!$I$21</f>
        <v>0</v>
      </c>
      <c r="AS42" s="61">
        <f ca="1">IF(OR(C42="净世破魔击·日",C42="净世破魔击·月"),M42-'模拟-单技能数据'!$K$10,0)</f>
        <v>0.42185145527300216</v>
      </c>
      <c r="AT42" s="61">
        <f ca="1">IF(OR(C42="净世破魔击·日",C42="净世破魔击·月"),I42-'模拟-单技能数据'!$L$10,0)</f>
        <v>2.162482885499879</v>
      </c>
      <c r="AU42" s="62">
        <f t="shared" ca="1" si="29"/>
        <v>0.37800365252357826</v>
      </c>
      <c r="AV42" s="64">
        <f ca="1">IF(AS42&gt;0,('模拟-单技能数据'!$D$22+G42*'模拟-单技能数据'!$F$22)*(1+J42)*(1-S42)*IF(AU42&lt;$F$10,0,IF(AU42&lt;$F$10+$F$11,0.25,IF(AU42&lt;$F$10+$F$11+AS42,AT42,1)))*(1+U42),0)*'模拟-单技能数据'!$I$22</f>
        <v>20598.004648941875</v>
      </c>
      <c r="AW42" s="108">
        <f t="shared" ca="1" si="30"/>
        <v>16.310000000000002</v>
      </c>
      <c r="AX42" s="108" t="b">
        <f ca="1">AND(模拟模式!$P$10="有",AW41=0,RAND()&lt;IF(C42="净世破魔击·月",0.1*8/3,IF(C42="净世破魔击·日",0.1*4/3,0.1*2/3)))</f>
        <v>0</v>
      </c>
      <c r="AY42" s="47">
        <f ca="1">IF(AX42,(18+G42*0.722)*(1+J42)*(1-S42)*(1+$I$4)*IF(P42="会",'模拟-全程加成'!$J$3+'模拟-全程加成'!$J$4+'模拟-全程加成'!$J$5+('模拟-全程加成'!$I$4+'模拟-全程加成'!$I$5)/系数!$B$4+BG42*10%,IF(P42="命",1,IF(P42="识",0.25,0))),0)</f>
        <v>0</v>
      </c>
      <c r="AZ42" s="108">
        <f t="shared" si="31"/>
        <v>6.1625000000000068</v>
      </c>
      <c r="BA42" s="108" t="b">
        <f>AND(模拟模式!$Q$10="有",AZ41=0)</f>
        <v>0</v>
      </c>
      <c r="BB42" s="140">
        <f>IF(BA42,(0+G42*0.287)*(1+J42)*(1-S42)*(1+$I$4)*IF(P42="会",'模拟-全程加成'!$J$3+'模拟-全程加成'!$J$4+'模拟-全程加成'!$J$5+('模拟-全程加成'!$I$4+'模拟-全程加成'!$I$5)/系数!$B$4+BG42*10%,IF(P42="命",1,IF(P42="识",0.25,0))),0)</f>
        <v>0</v>
      </c>
      <c r="BC42" s="115" t="b">
        <f ca="1">AND(模拟模式!$R$7="伏明众生",E42=60,F42=20,DA42&lt;5,CZ41&lt;$F$4)</f>
        <v>0</v>
      </c>
      <c r="BD42" s="115">
        <f t="shared" ca="1" si="3"/>
        <v>0</v>
      </c>
      <c r="BE42" s="115" t="b">
        <f t="shared" ca="1" si="4"/>
        <v>0</v>
      </c>
      <c r="BF42" s="47">
        <f ca="1">IF(BC42,4*('模拟-单技能数据'!$D$24+G42*'模拟-单技能数据'!$F$24)*(1+J42)*(1+'模拟-单技能数据'!$J$24)*(1-S42)*(1+$I$3)*(('模拟-全程加成'!$J$3+'模拟-全程加成'!$J$4+'模拟-全程加成'!$J$5+('模拟-全程加成'!$I$4+'模拟-全程加成'!$I$5)/系数!$B$4+BG42*10%)*('模拟-全程加成'!$J$3+'模拟-全程加成'!$J$4+'模拟-全程加成'!$J$5+('模拟-全程加成'!$I$4+'模拟-全程加成'!$I$5)/系数!$B$4+BG42*10%)+(1-('模拟-全程加成'!$J$3+'模拟-全程加成'!$J$4+'模拟-全程加成'!$J$5+('模拟-全程加成'!$I$4+'模拟-全程加成'!$I$5)/系数!$B$4+BG42*10%)-$F$10-$F$11)+F28*0.25),0)*'模拟-单技能数据'!$I$24</f>
        <v>0</v>
      </c>
      <c r="BG42" s="115" t="b">
        <f ca="1">OR(AND(OR(C42="烈日斩",C42="银月斩"),模拟模式!$I$7="净身明礼"),AND(C42="净世破魔击·日",模拟模式!$J$7="洞若观火"),AND(C43="净世破魔击·月",模拟模式!$J$7="洞若观火"),AB42=1)</f>
        <v>1</v>
      </c>
      <c r="BH42" s="115" t="b">
        <f t="shared" ca="1" si="32"/>
        <v>0</v>
      </c>
      <c r="BI42" s="115">
        <f t="shared" ca="1" si="5"/>
        <v>3.2324999999999995</v>
      </c>
      <c r="BJ42" s="115" t="b">
        <f t="shared" ca="1" si="33"/>
        <v>1</v>
      </c>
      <c r="BK42" s="115" t="b">
        <f ca="1">AND(C42="驱夜断愁",模拟模式!$P$7="天地诛戮")</f>
        <v>0</v>
      </c>
      <c r="BL42" s="57">
        <f t="shared" ca="1" si="6"/>
        <v>16.310000000000002</v>
      </c>
      <c r="BM42" s="115" t="b">
        <f t="shared" ca="1" si="34"/>
        <v>1</v>
      </c>
      <c r="BN42" s="115" t="b">
        <f ca="1">AND(OR(C42="赤日轮1",C42="赤日轮2",C42="赤日轮3",C42="幽月轮1",C42="幽月轮2",C42="幽月轮3"),AB42=1,模拟模式!$L$7="明光恒照")</f>
        <v>0</v>
      </c>
      <c r="BO42" s="117">
        <f t="shared" ca="1" si="7"/>
        <v>28.155000000000001</v>
      </c>
      <c r="BP42" s="115">
        <f t="shared" ca="1" si="35"/>
        <v>5</v>
      </c>
      <c r="BQ42" s="115" t="b">
        <f>模拟模式!$K$10="2600·水"</f>
        <v>0</v>
      </c>
      <c r="BR42" s="117">
        <f t="shared" si="36"/>
        <v>0</v>
      </c>
      <c r="BS42" s="115">
        <f t="shared" si="37"/>
        <v>0</v>
      </c>
      <c r="BT42" s="115">
        <f t="shared" ca="1" si="38"/>
        <v>0</v>
      </c>
      <c r="BU42" s="115" t="b">
        <f ca="1">AND(模拟模式!$K$10="2300·雷",BT41=0,RAND()&lt;IF(C42="净世破魔击·月",5*0.05*2/3,IF(C42="净世破魔击·日",3*0.05*2/3,0.05*2*2/3)))</f>
        <v>0</v>
      </c>
      <c r="BV42" s="115">
        <f t="shared" ca="1" si="39"/>
        <v>0</v>
      </c>
      <c r="BW42" s="115">
        <f t="shared" ca="1" si="40"/>
        <v>171.69749999999988</v>
      </c>
      <c r="BX42" s="164" t="b">
        <f t="shared" ca="1" si="41"/>
        <v>0</v>
      </c>
      <c r="BY42" s="115">
        <f t="shared" ca="1" si="42"/>
        <v>6.6975000000000033</v>
      </c>
      <c r="BZ42" s="115">
        <f>IF(OR(模拟模式!$P$16="10人团",模拟模式!$P$16="25人团"),IF(B42/30&gt;CA41,1,0),0)</f>
        <v>0</v>
      </c>
      <c r="CA42" s="115">
        <f t="shared" si="8"/>
        <v>0</v>
      </c>
      <c r="CB42" s="115">
        <f ca="1">IF(BZ42=1,IF(模拟模式!$P$16="10人团",15,0)+IF(模拟模式!$P$16="25人团",IF(RAND()&lt;0.6,15,0)),MAX(0,CB41-$F$4))</f>
        <v>0</v>
      </c>
      <c r="CC42" s="115" t="b">
        <f t="shared" ca="1" si="43"/>
        <v>0</v>
      </c>
      <c r="CD42" s="115">
        <f>IF(模拟模式!$Q$16="1个",IF(B42/40&gt;CE41,1,0),0)</f>
        <v>0</v>
      </c>
      <c r="CE42" s="115">
        <f t="shared" si="44"/>
        <v>0</v>
      </c>
      <c r="CF42" s="115">
        <f>IF(OR(CD42=1,模拟模式!$Q$16="2个"),20,MAX(0,CF41-$F$4))</f>
        <v>0</v>
      </c>
      <c r="CG42" s="115" t="b">
        <f t="shared" si="45"/>
        <v>0</v>
      </c>
      <c r="CH42" s="115">
        <f t="shared" ca="1" si="46"/>
        <v>17.085000000000008</v>
      </c>
      <c r="CI42" s="115" t="b">
        <f t="shared" ca="1" si="47"/>
        <v>0</v>
      </c>
      <c r="CJ42" s="119">
        <f t="shared" ca="1" si="48"/>
        <v>0</v>
      </c>
      <c r="CK42" s="115">
        <f t="shared" ca="1" si="49"/>
        <v>0</v>
      </c>
      <c r="CL42" s="115" t="b">
        <f ca="1">AND(模拟模式!$S$7="驱夷逐法",OR(AND(C42="净世破魔击·月",E41&gt;59),AND(C42="净世破魔击·日",F41&gt;59)))</f>
        <v>0</v>
      </c>
      <c r="CM42" s="115" t="b">
        <f ca="1">OR(CL42,AND(C42="净世破魔击·日",CL41,RAND()&lt;模拟模式!$U$23))</f>
        <v>1</v>
      </c>
      <c r="CN42" s="115" t="b">
        <f ca="1">IF(模拟模式!$M$7="辉耀红尘",AND(C42="净世破魔击·月",CL42,CV42=0,E41&lt;80),AND(C42="净世破魔击·月",CL42,E41&lt;100))</f>
        <v>0</v>
      </c>
      <c r="CO42" s="115" t="b">
        <f t="shared" ca="1" si="9"/>
        <v>0</v>
      </c>
      <c r="CP42" s="115" t="b">
        <f ca="1">AND(模拟模式!$O$7="用晦而明",OR(C42="净世破魔击·日",C42="净世破魔击·月",C42="驱夜断愁"),AB42)</f>
        <v>1</v>
      </c>
      <c r="CQ42" s="115" t="b">
        <f ca="1">OR(CP42,AND(CP41,RAND()&lt;模拟模式!$U$23))</f>
        <v>1</v>
      </c>
      <c r="CR42" s="115" t="b">
        <f ca="1">AND(模拟模式!$S$7="日月齐光",OR(C42="幽月轮1",C42="幽月轮2",C42="幽月轮3",CR41),NOT(OR(C42="赤日轮1",C42="赤日轮2",C42="赤日轮3")))</f>
        <v>0</v>
      </c>
      <c r="CS42" s="115" t="b">
        <f ca="1">AND(模拟模式!$S$7="日月齐光",OR(C42="赤日轮1",C42="赤日轮2",C42="赤日轮3",CS41),NOT(OR(C42="幽月轮1",C42="幽月轮2",C42="幽月轮3")))</f>
        <v>0</v>
      </c>
      <c r="CT42" s="115">
        <f t="shared" ca="1" si="50"/>
        <v>0</v>
      </c>
      <c r="CU42" s="115" t="b">
        <f ca="1">AND(模拟模式!$K$10="阴阳往极",CT41=0,RAND()&lt;IF(C42="净世破魔击·月",0.0275*7/3,IF(C42="净世破魔击·日",0.0275*3/3,0.0275*2/3)))</f>
        <v>0</v>
      </c>
      <c r="CV42" s="115">
        <f t="shared" ca="1" si="51"/>
        <v>0</v>
      </c>
      <c r="CW42" s="115">
        <f t="shared" ca="1" si="10"/>
        <v>3.2324999999999995</v>
      </c>
      <c r="CX42" s="115">
        <f t="shared" ca="1" si="11"/>
        <v>1.3874999999999997</v>
      </c>
      <c r="CY42" s="115">
        <f ca="1">MAX(IF($C42="驱夜断愁",IF(模拟模式!$R$7="万念俱寂",6,45),CY41-$F$4),0)</f>
        <v>2.3099999999999996</v>
      </c>
      <c r="CZ42" s="115">
        <f t="shared" ca="1" si="12"/>
        <v>0</v>
      </c>
      <c r="DA42" s="115">
        <f ca="1">IF(模拟模式!$N$7="日月同辉",IF(DB41=2,0,MIN(6,IF(AND(OR(C42="赤日轮1",C42="赤日轮2",C42="赤日轮3",C42="幽月轮1",C42="幽月轮2",C42="幽月轮3"),AB42=1),DA41+1,DA41))),0)</f>
        <v>5</v>
      </c>
      <c r="DB42" s="115">
        <f t="shared" ca="1" si="13"/>
        <v>0</v>
      </c>
      <c r="DD42" s="115"/>
      <c r="DE42" s="115"/>
      <c r="DF42" s="115"/>
      <c r="DG42" s="115"/>
      <c r="DH42" s="115"/>
      <c r="DI42" s="115"/>
      <c r="DJ42" s="115"/>
      <c r="DK42" s="115"/>
      <c r="DL42" s="115"/>
      <c r="DM42" s="115"/>
    </row>
    <row r="43" spans="2:117" x14ac:dyDescent="0.2">
      <c r="B43" s="117">
        <f t="shared" si="14"/>
        <v>14.759999999999996</v>
      </c>
      <c r="C43" s="167" t="str">
        <f t="shared" ca="1" si="0"/>
        <v>赤日轮1</v>
      </c>
      <c r="D43" s="115">
        <f ca="1">IF(C43="赤日轮1",1,IF(C43="赤日轮2",2,IF(C43="赤日轮3",3,IF(C43="幽月轮1",4,IF(C43="幽月轮2",5,IF(C43="幽月轮3",6,IF(C43="烈日斩",7,IF(C43="银月斩",8,IF(C43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43="净世破魔击·月",17,IF(C43="驱夜断愁",18,0)))))))))))</f>
        <v>1</v>
      </c>
      <c r="E43" s="115">
        <f ca="1">IF(AND(CU43,OR(C43="幽月轮1",C43="幽月轮2",C43="幽月轮3",C43="银月斩",C43="驱夜断愁",C43="净世破魔击·月")),100,MIN(IF(OR(CN43,BE43),0,IF(OR($C43="赤日轮1",$C43="赤日轮2",$C43="赤日轮3"),E42+20+IF(模拟模式!$I$7="日月凌天",4,0)+IF(CR42,20,0),IF($C43="烈日斩",E42+40,IF($C43="驱夜断愁",IF(模拟模式!$R$7="万念俱寂",E42+20,E42+60),IF($C43="净世破魔击·月",IF(OR(DB42&gt;0,CV42&gt;0),100,IF(模拟模式!$M$7="辉耀红尘",E42+20,E42)),IF($C43="净世破魔击·日",E42-100,E42)))))),100))</f>
        <v>20</v>
      </c>
      <c r="F43" s="115">
        <f ca="1">IF(AND(CU43,OR(C43="赤日轮1",C43="赤日轮2",C43="赤日轮3",C43="烈日斩",C43="净世破魔击·日")),100,MIN(IF(CO43,0,IF(OR($C43="幽月轮1",$C43="幽月轮2",$C43="幽月轮3"),F42+20+IF(模拟模式!$I$7="日月凌天",4,0)+IF(CS42,20,0),IF($C43="银月斩",F42+40+IF(模拟模式!$X$12=1,5,0),IF($C43="驱夜断愁",IF(模拟模式!$R$7="万念俱寂",F42+20,F42+60),IF($C43="净世破魔击·月",IF(模拟模式!$M$7="辉耀红尘",F42-80,F42-100),IF(AND(C43="净世破魔击·日",OR(DB42&gt;0,CV42&gt;0)),100,F42)))))),100))</f>
        <v>20</v>
      </c>
      <c r="G43" s="117">
        <f ca="1">('模拟-全程加成'!$E$3+'模拟-全程加成'!$E$4+'模拟-全程加成'!$E$5+('模拟-全程加成'!$C$6-'模拟-全程加成'!$C$3)*系数!$B$9+BS43*23)*(1+'模拟-全程加成'!$F$4+'模拟-全程加成'!$F$5+BJ43*10%+BM43*20%+BP43*4%+CG43*30%)+$F$7*系数!$B$12</f>
        <v>21493.829400000002</v>
      </c>
      <c r="H43" s="45">
        <f ca="1">'模拟-全程加成'!$H$3+'模拟-全程加成'!$H$4+'模拟-全程加成'!$H$5+('模拟-全程加成'!$G$4+'模拟-全程加成'!$G$5+('模拟-全程加成'!$C$6-'模拟-全程加成'!$C$3)*系数!$B$13)/系数!$B$3+LOOKUP(D43,'模拟-单技能数据'!$A$2:$A$19,'模拟-单技能数据'!$K$2:$K$19)+BG43*10%+IF(BV43&gt;0,378,0)</f>
        <v>0.4618514552730022</v>
      </c>
      <c r="I43" s="45">
        <f ca="1">'模拟-全程加成'!$J$3+'模拟-全程加成'!$J$4+'模拟-全程加成'!$J$5+('模拟-全程加成'!$I$4+'模拟-全程加成'!$I$5)/系数!$B$4+LOOKUP(D43,'模拟-单技能数据'!$A$2:$A$19,'模拟-单技能数据'!$L$2:$L$19)+BG43*10%</f>
        <v>2.162482885499879</v>
      </c>
      <c r="J43" s="45">
        <f ca="1">(('模拟-全程加成'!$K$3+'模拟-全程加成'!$K$4+'模拟-全程加成'!$K$5+('模拟-全程加成'!$C$6-'模拟-全程加成'!$C$3)*系数!$B$10+IF(BV43&gt;0,882,0)+IF(BY43&gt;0,1831,0))*(1+'模拟-全程加成'!$L$4+'模拟-全程加成'!$L$5+CC43*20%))/系数!$B$5</f>
        <v>0.85832564669386491</v>
      </c>
      <c r="K43" s="119">
        <f ca="1">LOOKUP(D43,'模拟-单技能数据'!$A$2:$A$19,'模拟-单技能数据'!$J$2:$J$19)+IF(CM43,60%,0)+IF(DB42-DB43&gt;0,30%,0)+IF(OR(AND(OR(C43="赤日轮1",C43="赤日轮2",C43="赤日轮3"),CR43),AND(OR(C43="幽月轮1",C43="幽月轮2",C43="幽月轮3"),CS43)),35%,0)+CJ43</f>
        <v>0.12</v>
      </c>
      <c r="L43" s="119">
        <f ca="1">IF(AND(C43="烈日斩",模拟模式!$X$11=1),10%,0)+IF(AND(C43="驱夜断愁",AB43=1),30%,0)</f>
        <v>0</v>
      </c>
      <c r="M43" s="45">
        <f t="shared" ca="1" si="15"/>
        <v>0.4618514552730022</v>
      </c>
      <c r="N43" s="45">
        <f t="shared" ca="1" si="16"/>
        <v>0.48424854472699785</v>
      </c>
      <c r="O43" s="46">
        <f t="shared" ca="1" si="17"/>
        <v>0.3038763469510104</v>
      </c>
      <c r="P43" s="46" t="str">
        <f t="shared" ca="1" si="18"/>
        <v>会</v>
      </c>
      <c r="Q43" s="45">
        <f t="shared" ca="1" si="19"/>
        <v>2.162482885499879</v>
      </c>
      <c r="R43" s="117">
        <f ca="1">模拟模式!$E$20*(1-IF(模拟模式!$J$19="有",0.15,0))*(1-IF(模拟模式!$K$19="有",0.3,0)-IF(CQ43,0.5,0))</f>
        <v>843.02999999999975</v>
      </c>
      <c r="S43" s="45">
        <f ca="1">R43/(R43+(185*模拟模式!$E$22-16800)*4.08224)</f>
        <v>8.389626085980037E-2</v>
      </c>
      <c r="T43" s="45" t="str">
        <f ca="1">LOOKUP(D43,'模拟-单技能数据'!$A$2:$A$19,'模拟-单技能数据'!$H$2:$H$19)</f>
        <v>阳</v>
      </c>
      <c r="U43" s="119">
        <f t="shared" ca="1" si="20"/>
        <v>0.2</v>
      </c>
      <c r="V43" s="47">
        <f ca="1">(1+L43)*(LOOKUP(D43,'模拟-单技能数据'!$A$2:$A$19,'模拟-单技能数据'!$D$2:$D$19)+G43*LOOKUP(D43,'模拟-单技能数据'!$A$2:$A$19,'模拟-单技能数据'!$F$2:$F$19))*(1+J43)*(1+K43)*(1-S43)*(1+U43)*Q43*LOOKUP(D43,'模拟-单技能数据'!$A$2:$A$19,'模拟-单技能数据'!$I$2:$I$20)</f>
        <v>62261.439195113235</v>
      </c>
      <c r="W43" s="47">
        <f ca="1">LOOKUP(D43,'模拟-单技能数据'!$A$2:$A$19,'模拟-单技能数据'!$G$2:$G$19)*$I$10</f>
        <v>361.51064354704795</v>
      </c>
      <c r="X43" s="47">
        <f t="shared" ca="1" si="21"/>
        <v>22676.305855534454</v>
      </c>
      <c r="Y43" s="47">
        <f t="shared" ca="1" si="22"/>
        <v>85299.255694194726</v>
      </c>
      <c r="Z43" s="49">
        <f t="shared" ca="1" si="23"/>
        <v>1407629.5546498843</v>
      </c>
      <c r="AA43" s="97">
        <f t="shared" ca="1" si="24"/>
        <v>95367.856006089743</v>
      </c>
      <c r="AB43" s="115">
        <f ca="1">IF(OR(C43="赤日轮1",C43="赤日轮2",C43="赤日轮3"),IF(RAND()&lt;模拟模式!$Y$17,1,0),IF(OR(C43="幽月轮1",C43="幽月轮2",C43="幽月轮3"),IF(RAND()&lt;模拟模式!$Y$18,1,0),IF(C43="烈日斩",IF(RAND()&lt;模拟模式!$Y$19,1,0),IF(C43="银月斩",IF(RAND()&lt;模拟模式!$Y$20,1,0),IF(C43="驱夜断愁",IF(RAND()&lt;模拟模式!$Y$21,1,0),IF(C43="净世破魔击·日",IF(RAND()&lt;模拟模式!$Y$22,1,0),IF(C43="净世破魔击·月",IF(RAND()&lt;模拟模式!$Y$23,1,0),0)))))))</f>
        <v>1</v>
      </c>
      <c r="AC43" s="115" t="b">
        <f t="shared" ca="1" si="1"/>
        <v>0</v>
      </c>
      <c r="AD43" s="115" t="b">
        <f t="shared" ca="1" si="52"/>
        <v>1</v>
      </c>
      <c r="AE43" s="115">
        <f t="shared" ca="1" si="53"/>
        <v>2</v>
      </c>
      <c r="AF43" s="47">
        <f ca="1">IF(AC43,('模拟-单技能数据'!$D$20+G43*'模拟-单技能数据'!$F$20)*(1+J43)*(1+'模拟-单技能数据'!$J$20)*(1+U43),0)</f>
        <v>0</v>
      </c>
      <c r="AG43" s="61">
        <f t="shared" ca="1" si="25"/>
        <v>0.64185145527300214</v>
      </c>
      <c r="AH43" s="61">
        <f t="shared" ca="1" si="26"/>
        <v>2.2624828854998791</v>
      </c>
      <c r="AI43" s="62">
        <f t="shared" ca="1" si="27"/>
        <v>0.32793179431234198</v>
      </c>
      <c r="AJ43" s="47">
        <f ca="1">IF(AD43,IF(AI43&lt;$F$10,0,IF(AI43&lt;$F$10+$F$11,0.25,IF(AI43&lt;$F$10+$F$11+AG43,AH43,1)))*IF(AF43&gt;0,AF43,IF(AF42&gt;0,AF42,IF(AF41&gt;0,AF41,IF(AF40&gt;0,AF40,IF(AF39&gt;0,AF39,IF(AF38&gt;0,AF38,IF(AF37&gt;0,AF37,IF(AF36&gt;0,AF36,IF(AF35&gt;0,AF35,IF(AF33&gt;0,AF33,IF(AF32&gt;0,AF32,IF(AF31&gt;0,AF31,0)))))))))))),0)*(1-$S43)*'模拟-单技能数据'!$I$20</f>
        <v>10181.047742308838</v>
      </c>
      <c r="AK43" s="115" t="b">
        <f t="shared" ca="1" si="2"/>
        <v>0</v>
      </c>
      <c r="AL43" s="115" t="b">
        <f t="shared" ca="1" si="54"/>
        <v>1</v>
      </c>
      <c r="AM43" s="115">
        <f t="shared" ca="1" si="55"/>
        <v>5</v>
      </c>
      <c r="AN43" s="47">
        <f ca="1">IF(AK43,('模拟-单技能数据'!$D$21+G43*'模拟-单技能数据'!$F$21)*(1+J43)*(1+'模拟-单技能数据'!$J$21)*(1+U43),0)</f>
        <v>0</v>
      </c>
      <c r="AO43" s="61">
        <f ca="1">IF(AN43&gt;0,M43-'模拟-单技能数据'!$K$10,AO42)</f>
        <v>0.42185145527300216</v>
      </c>
      <c r="AP43" s="61">
        <f ca="1">IF(AN43&gt;0,I43-'模拟-单技能数据'!$L$10,AP42)</f>
        <v>2.162482885499879</v>
      </c>
      <c r="AQ43" s="63">
        <f t="shared" ca="1" si="28"/>
        <v>0.86308988999992753</v>
      </c>
      <c r="AR43" s="64">
        <f ca="1">IF(AL43,IF(AQ43&lt;$F$10,0,IF(AQ43&lt;$F$10+$F$11,0.25,IF(AQ43&lt;$F$10+$F$11+AO43,AP43,1)))*IF(AN43&gt;0,AN43,IF(AN42&gt;0,AN42,IF(AN41&gt;0,AN41,IF(AN40&gt;0,AN40,IF(AN39&gt;0,AN39,IF(AN38&gt;0,AN38,IF(AN37&gt;0,AN37,IF(AN36&gt;0,AN36,IF(AN35&gt;0,AN35,IF(AN33&gt;0,AN33,IF(AN32&gt;0,AN32,IF(AN31&gt;0,AN31,0)))))))))))),0)*(1-$S43)*'模拟-单技能数据'!$I$21</f>
        <v>12495.258113225615</v>
      </c>
      <c r="AS43" s="61">
        <f ca="1">IF(OR(C43="净世破魔击·日",C43="净世破魔击·月"),M43-'模拟-单技能数据'!$K$10,0)</f>
        <v>0</v>
      </c>
      <c r="AT43" s="61">
        <f ca="1">IF(OR(C43="净世破魔击·日",C43="净世破魔击·月"),I43-'模拟-单技能数据'!$L$10,0)</f>
        <v>0</v>
      </c>
      <c r="AU43" s="62">
        <f t="shared" ca="1" si="29"/>
        <v>0.83261786450736675</v>
      </c>
      <c r="AV43" s="64">
        <f ca="1">IF(AS43&gt;0,('模拟-单技能数据'!$D$22+G43*'模拟-单技能数据'!$F$22)*(1+J43)*(1-S43)*IF(AU43&lt;$F$10,0,IF(AU43&lt;$F$10+$F$11,0.25,IF(AU43&lt;$F$10+$F$11+AS43,AT43,1)))*(1+U43),0)*'模拟-单技能数据'!$I$22</f>
        <v>0</v>
      </c>
      <c r="AW43" s="108">
        <f t="shared" ca="1" si="30"/>
        <v>15.387500000000003</v>
      </c>
      <c r="AX43" s="108" t="b">
        <f ca="1">AND(模拟模式!$P$10="有",AW42=0,RAND()&lt;IF(C43="净世破魔击·月",0.1*8/3,IF(C43="净世破魔击·日",0.1*4/3,0.1*2/3)))</f>
        <v>0</v>
      </c>
      <c r="AY43" s="47">
        <f ca="1">IF(AX43,(18+G43*0.722)*(1+J43)*(1-S43)*(1+$I$4)*IF(P43="会",'模拟-全程加成'!$J$3+'模拟-全程加成'!$J$4+'模拟-全程加成'!$J$5+('模拟-全程加成'!$I$4+'模拟-全程加成'!$I$5)/系数!$B$4+BG43*10%,IF(P43="命",1,IF(P43="识",0.25,0))),0)</f>
        <v>0</v>
      </c>
      <c r="AZ43" s="108">
        <f t="shared" si="31"/>
        <v>5.2400000000000064</v>
      </c>
      <c r="BA43" s="108" t="b">
        <f>AND(模拟模式!$Q$10="有",AZ42=0)</f>
        <v>0</v>
      </c>
      <c r="BB43" s="140">
        <f>IF(BA43,(0+G43*0.287)*(1+J43)*(1-S43)*(1+$I$4)*IF(P43="会",'模拟-全程加成'!$J$3+'模拟-全程加成'!$J$4+'模拟-全程加成'!$J$5+('模拟-全程加成'!$I$4+'模拟-全程加成'!$I$5)/系数!$B$4+BG43*10%,IF(P43="命",1,IF(P43="识",0.25,0))),0)</f>
        <v>0</v>
      </c>
      <c r="BC43" s="115" t="b">
        <f ca="1">AND(模拟模式!$R$7="伏明众生",E43=60,F43=20,DA43&lt;5,CZ42&lt;$F$4)</f>
        <v>0</v>
      </c>
      <c r="BD43" s="115">
        <f t="shared" ca="1" si="3"/>
        <v>0</v>
      </c>
      <c r="BE43" s="115" t="b">
        <f t="shared" ca="1" si="4"/>
        <v>0</v>
      </c>
      <c r="BF43" s="47">
        <f ca="1">IF(BC43,4*('模拟-单技能数据'!$D$24+G43*'模拟-单技能数据'!$F$24)*(1+J43)*(1+'模拟-单技能数据'!$J$24)*(1-S43)*(1+$I$3)*(('模拟-全程加成'!$J$3+'模拟-全程加成'!$J$4+'模拟-全程加成'!$J$5+('模拟-全程加成'!$I$4+'模拟-全程加成'!$I$5)/系数!$B$4+BG43*10%)*('模拟-全程加成'!$J$3+'模拟-全程加成'!$J$4+'模拟-全程加成'!$J$5+('模拟-全程加成'!$I$4+'模拟-全程加成'!$I$5)/系数!$B$4+BG43*10%)+(1-('模拟-全程加成'!$J$3+'模拟-全程加成'!$J$4+'模拟-全程加成'!$J$5+('模拟-全程加成'!$I$4+'模拟-全程加成'!$I$5)/系数!$B$4+BG43*10%)-$F$10-$F$11)+F29*0.25),0)*'模拟-单技能数据'!$I$24</f>
        <v>0</v>
      </c>
      <c r="BG43" s="115" t="b">
        <f ca="1">OR(AND(OR(C43="烈日斩",C43="银月斩"),模拟模式!$I$7="净身明礼"),AND(C43="净世破魔击·日",模拟模式!$J$7="洞若观火"),AND(C44="净世破魔击·月",模拟模式!$J$7="洞若观火"),AB43=1)</f>
        <v>1</v>
      </c>
      <c r="BH43" s="115" t="b">
        <f t="shared" ca="1" si="32"/>
        <v>1</v>
      </c>
      <c r="BI43" s="115">
        <f t="shared" ca="1" si="5"/>
        <v>6</v>
      </c>
      <c r="BJ43" s="115" t="b">
        <f t="shared" ca="1" si="33"/>
        <v>1</v>
      </c>
      <c r="BK43" s="115" t="b">
        <f ca="1">AND(C43="驱夜断愁",模拟模式!$P$7="天地诛戮")</f>
        <v>0</v>
      </c>
      <c r="BL43" s="57">
        <f t="shared" ca="1" si="6"/>
        <v>15.387500000000003</v>
      </c>
      <c r="BM43" s="115" t="b">
        <f t="shared" ca="1" si="34"/>
        <v>1</v>
      </c>
      <c r="BN43" s="115" t="b">
        <f ca="1">AND(OR(C43="赤日轮1",C43="赤日轮2",C43="赤日轮3",C43="幽月轮1",C43="幽月轮2",C43="幽月轮3"),AB43=1,模拟模式!$L$7="明光恒照")</f>
        <v>1</v>
      </c>
      <c r="BO43" s="117">
        <f t="shared" ca="1" si="7"/>
        <v>30</v>
      </c>
      <c r="BP43" s="115">
        <f t="shared" ca="1" si="35"/>
        <v>6</v>
      </c>
      <c r="BQ43" s="115" t="b">
        <f>模拟模式!$K$10="2600·水"</f>
        <v>0</v>
      </c>
      <c r="BR43" s="117">
        <f t="shared" si="36"/>
        <v>0</v>
      </c>
      <c r="BS43" s="115">
        <f t="shared" si="37"/>
        <v>0</v>
      </c>
      <c r="BT43" s="115">
        <f t="shared" ca="1" si="38"/>
        <v>0</v>
      </c>
      <c r="BU43" s="115" t="b">
        <f ca="1">AND(模拟模式!$K$10="2300·雷",BT42=0,RAND()&lt;IF(C43="净世破魔击·月",5*0.05*2/3,IF(C43="净世破魔击·日",3*0.05*2/3,0.05*2*2/3)))</f>
        <v>0</v>
      </c>
      <c r="BV43" s="115">
        <f t="shared" ca="1" si="39"/>
        <v>0</v>
      </c>
      <c r="BW43" s="115">
        <f t="shared" ca="1" si="40"/>
        <v>170.77499999999986</v>
      </c>
      <c r="BX43" s="164" t="b">
        <f t="shared" ca="1" si="41"/>
        <v>0</v>
      </c>
      <c r="BY43" s="115">
        <f t="shared" ca="1" si="42"/>
        <v>5.775000000000003</v>
      </c>
      <c r="BZ43" s="115">
        <f>IF(OR(模拟模式!$P$16="10人团",模拟模式!$P$16="25人团"),IF(B43/30&gt;CA42,1,0),0)</f>
        <v>0</v>
      </c>
      <c r="CA43" s="115">
        <f t="shared" si="8"/>
        <v>0</v>
      </c>
      <c r="CB43" s="115">
        <f ca="1">IF(BZ43=1,IF(模拟模式!$P$16="10人团",15,0)+IF(模拟模式!$P$16="25人团",IF(RAND()&lt;0.6,15,0)),MAX(0,CB42-$F$4))</f>
        <v>0</v>
      </c>
      <c r="CC43" s="115" t="b">
        <f t="shared" ca="1" si="43"/>
        <v>0</v>
      </c>
      <c r="CD43" s="115">
        <f>IF(模拟模式!$Q$16="1个",IF(B43/40&gt;CE42,1,0),0)</f>
        <v>0</v>
      </c>
      <c r="CE43" s="115">
        <f t="shared" si="44"/>
        <v>0</v>
      </c>
      <c r="CF43" s="115">
        <f>IF(OR(CD43=1,模拟模式!$Q$16="2个"),20,MAX(0,CF42-$F$4))</f>
        <v>0</v>
      </c>
      <c r="CG43" s="115" t="b">
        <f t="shared" si="45"/>
        <v>0</v>
      </c>
      <c r="CH43" s="115">
        <f t="shared" ca="1" si="46"/>
        <v>16.162500000000009</v>
      </c>
      <c r="CI43" s="115" t="b">
        <f t="shared" ca="1" si="47"/>
        <v>0</v>
      </c>
      <c r="CJ43" s="119">
        <f t="shared" ca="1" si="48"/>
        <v>0</v>
      </c>
      <c r="CK43" s="115">
        <f t="shared" ca="1" si="49"/>
        <v>0</v>
      </c>
      <c r="CL43" s="115" t="b">
        <f ca="1">AND(模拟模式!$S$7="驱夷逐法",OR(AND(C43="净世破魔击·月",E42&gt;59),AND(C43="净世破魔击·日",F42&gt;59)))</f>
        <v>0</v>
      </c>
      <c r="CM43" s="115" t="b">
        <f ca="1">OR(CL43,AND(C43="净世破魔击·日",CL42,RAND()&lt;模拟模式!$U$23))</f>
        <v>0</v>
      </c>
      <c r="CN43" s="115" t="b">
        <f ca="1">IF(模拟模式!$M$7="辉耀红尘",AND(C43="净世破魔击·月",CL43,CV43=0,E42&lt;80),AND(C43="净世破魔击·月",CL43,E42&lt;100))</f>
        <v>0</v>
      </c>
      <c r="CO43" s="115" t="b">
        <f t="shared" ca="1" si="9"/>
        <v>0</v>
      </c>
      <c r="CP43" s="115" t="b">
        <f ca="1">AND(模拟模式!$O$7="用晦而明",OR(C43="净世破魔击·日",C43="净世破魔击·月",C43="驱夜断愁"),AB43)</f>
        <v>0</v>
      </c>
      <c r="CQ43" s="115" t="b">
        <f ca="1">OR(CP43,AND(CP42,RAND()&lt;模拟模式!$U$23))</f>
        <v>1</v>
      </c>
      <c r="CR43" s="115" t="b">
        <f ca="1">AND(模拟模式!$S$7="日月齐光",OR(C43="幽月轮1",C43="幽月轮2",C43="幽月轮3",CR42),NOT(OR(C43="赤日轮1",C43="赤日轮2",C43="赤日轮3")))</f>
        <v>0</v>
      </c>
      <c r="CS43" s="115" t="b">
        <f ca="1">AND(模拟模式!$S$7="日月齐光",OR(C43="赤日轮1",C43="赤日轮2",C43="赤日轮3",CS42),NOT(OR(C43="幽月轮1",C43="幽月轮2",C43="幽月轮3")))</f>
        <v>0</v>
      </c>
      <c r="CT43" s="115">
        <f t="shared" ca="1" si="50"/>
        <v>0</v>
      </c>
      <c r="CU43" s="115" t="b">
        <f ca="1">AND(模拟模式!$K$10="阴阳往极",CT42=0,RAND()&lt;IF(C43="净世破魔击·月",0.0275*7/3,IF(C43="净世破魔击·日",0.0275*3/3,0.0275*2/3)))</f>
        <v>0</v>
      </c>
      <c r="CV43" s="115">
        <f t="shared" ca="1" si="51"/>
        <v>0</v>
      </c>
      <c r="CW43" s="115">
        <f t="shared" ca="1" si="10"/>
        <v>2.3099999999999996</v>
      </c>
      <c r="CX43" s="115">
        <f t="shared" ca="1" si="11"/>
        <v>0.46499999999999975</v>
      </c>
      <c r="CY43" s="115">
        <f ca="1">MAX(IF($C43="驱夜断愁",IF(模拟模式!$R$7="万念俱寂",6,45),CY42-$F$4),0)</f>
        <v>1.3874999999999997</v>
      </c>
      <c r="CZ43" s="115">
        <f t="shared" ca="1" si="12"/>
        <v>0</v>
      </c>
      <c r="DA43" s="115">
        <f ca="1">IF(模拟模式!$N$7="日月同辉",IF(DB42=2,0,MIN(6,IF(AND(OR(C43="赤日轮1",C43="赤日轮2",C43="赤日轮3",C43="幽月轮1",C43="幽月轮2",C43="幽月轮3"),AB43=1),DA42+1,DA42))),0)</f>
        <v>6</v>
      </c>
      <c r="DB43" s="115">
        <f t="shared" ca="1" si="13"/>
        <v>2</v>
      </c>
      <c r="DD43" s="115"/>
      <c r="DE43" s="115"/>
      <c r="DF43" s="115"/>
      <c r="DG43" s="115"/>
      <c r="DH43" s="115"/>
      <c r="DI43" s="115"/>
      <c r="DJ43" s="115"/>
      <c r="DK43" s="115"/>
      <c r="DL43" s="115"/>
      <c r="DM43" s="115"/>
    </row>
    <row r="44" spans="2:117" x14ac:dyDescent="0.2">
      <c r="B44" s="117">
        <f t="shared" si="14"/>
        <v>15.682499999999996</v>
      </c>
      <c r="C44" s="167" t="str">
        <f t="shared" ca="1" si="0"/>
        <v>银月斩</v>
      </c>
      <c r="D44" s="115">
        <f ca="1">IF(C44="赤日轮1",1,IF(C44="赤日轮2",2,IF(C44="赤日轮3",3,IF(C44="幽月轮1",4,IF(C44="幽月轮2",5,IF(C44="幽月轮3",6,IF(C44="烈日斩",7,IF(C44="银月斩",8,IF(C44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44="净世破魔击·月",17,IF(C44="驱夜断愁",18,0)))))))))))</f>
        <v>8</v>
      </c>
      <c r="E44" s="115">
        <f ca="1">IF(AND(CU44,OR(C44="幽月轮1",C44="幽月轮2",C44="幽月轮3",C44="银月斩",C44="驱夜断愁",C44="净世破魔击·月")),100,MIN(IF(OR(CN44,BE44),0,IF(OR($C44="赤日轮1",$C44="赤日轮2",$C44="赤日轮3"),E43+20+IF(模拟模式!$I$7="日月凌天",4,0)+IF(CR43,20,0),IF($C44="烈日斩",E43+40,IF($C44="驱夜断愁",IF(模拟模式!$R$7="万念俱寂",E43+20,E43+60),IF($C44="净世破魔击·月",IF(OR(DB43&gt;0,CV43&gt;0),100,IF(模拟模式!$M$7="辉耀红尘",E43+20,E43)),IF($C44="净世破魔击·日",E43-100,E43)))))),100))</f>
        <v>20</v>
      </c>
      <c r="F44" s="115">
        <f ca="1">IF(AND(CU44,OR(C44="赤日轮1",C44="赤日轮2",C44="赤日轮3",C44="烈日斩",C44="净世破魔击·日")),100,MIN(IF(CO44,0,IF(OR($C44="幽月轮1",$C44="幽月轮2",$C44="幽月轮3"),F43+20+IF(模拟模式!$I$7="日月凌天",4,0)+IF(CS43,20,0),IF($C44="银月斩",F43+40+IF(模拟模式!$X$12=1,5,0),IF($C44="驱夜断愁",IF(模拟模式!$R$7="万念俱寂",F43+20,F43+60),IF($C44="净世破魔击·月",IF(模拟模式!$M$7="辉耀红尘",F43-80,F43-100),IF(AND(C44="净世破魔击·日",OR(DB43&gt;0,CV43&gt;0)),100,F43)))))),100))</f>
        <v>65</v>
      </c>
      <c r="G44" s="117">
        <f ca="1">('模拟-全程加成'!$E$3+'模拟-全程加成'!$E$4+'模拟-全程加成'!$E$5+('模拟-全程加成'!$C$6-'模拟-全程加成'!$C$3)*系数!$B$9+BS44*23)*(1+'模拟-全程加成'!$F$4+'模拟-全程加成'!$F$5+BJ44*10%+BM44*20%+BP44*4%+CG44*30%)+$F$7*系数!$B$12</f>
        <v>21493.829400000002</v>
      </c>
      <c r="H44" s="45">
        <f ca="1">'模拟-全程加成'!$H$3+'模拟-全程加成'!$H$4+'模拟-全程加成'!$H$5+('模拟-全程加成'!$G$4+'模拟-全程加成'!$G$5+('模拟-全程加成'!$C$6-'模拟-全程加成'!$C$3)*系数!$B$13)/系数!$B$3+LOOKUP(D44,'模拟-单技能数据'!$A$2:$A$19,'模拟-单技能数据'!$K$2:$K$19)+BG44*10%+IF(BV44&gt;0,378,0)</f>
        <v>0.64185145527300214</v>
      </c>
      <c r="I44" s="45">
        <f ca="1">'模拟-全程加成'!$J$3+'模拟-全程加成'!$J$4+'模拟-全程加成'!$J$5+('模拟-全程加成'!$I$4+'模拟-全程加成'!$I$5)/系数!$B$4+LOOKUP(D44,'模拟-单技能数据'!$A$2:$A$19,'模拟-单技能数据'!$L$2:$L$19)+BG44*10%</f>
        <v>2.2624828854998791</v>
      </c>
      <c r="J44" s="45">
        <f ca="1">(('模拟-全程加成'!$K$3+'模拟-全程加成'!$K$4+'模拟-全程加成'!$K$5+('模拟-全程加成'!$C$6-'模拟-全程加成'!$C$3)*系数!$B$10+IF(BV44&gt;0,882,0)+IF(BY44&gt;0,1831,0))*(1+'模拟-全程加成'!$L$4+'模拟-全程加成'!$L$5+CC44*20%))/系数!$B$5</f>
        <v>0.85832564669386491</v>
      </c>
      <c r="K44" s="119">
        <f ca="1">LOOKUP(D44,'模拟-单技能数据'!$A$2:$A$19,'模拟-单技能数据'!$J$2:$J$19)+IF(CM44,60%,0)+IF(DB43-DB44&gt;0,30%,0)+IF(OR(AND(OR(C44="赤日轮1",C44="赤日轮2",C44="赤日轮3"),CR44),AND(OR(C44="幽月轮1",C44="幽月轮2",C44="幽月轮3"),CS44)),35%,0)+CJ44</f>
        <v>0.15</v>
      </c>
      <c r="L44" s="119">
        <f ca="1">IF(AND(C44="烈日斩",模拟模式!$X$11=1),10%,0)+IF(AND(C44="驱夜断愁",AB44=1),30%,0)</f>
        <v>0</v>
      </c>
      <c r="M44" s="45">
        <f t="shared" ca="1" si="15"/>
        <v>0.64185145527300214</v>
      </c>
      <c r="N44" s="45">
        <f t="shared" ca="1" si="16"/>
        <v>0.30424854472699792</v>
      </c>
      <c r="O44" s="46">
        <f t="shared" ca="1" si="17"/>
        <v>0.64715994475604766</v>
      </c>
      <c r="P44" s="46" t="str">
        <f t="shared" ca="1" si="18"/>
        <v>会</v>
      </c>
      <c r="Q44" s="45">
        <f t="shared" ca="1" si="19"/>
        <v>2.2624828854998791</v>
      </c>
      <c r="R44" s="117">
        <f ca="1">模拟模式!$E$20*(1-IF(模拟模式!$J$19="有",0.15,0))*(1-IF(模拟模式!$K$19="有",0.3,0)-IF(CQ44,0.5,0))</f>
        <v>2950.6049999999996</v>
      </c>
      <c r="S44" s="45">
        <f ca="1">R44/(R44+(185*模拟模式!$E$22-16800)*4.08224)</f>
        <v>0.24272716014590323</v>
      </c>
      <c r="T44" s="45" t="str">
        <f ca="1">LOOKUP(D44,'模拟-单技能数据'!$A$2:$A$19,'模拟-单技能数据'!$H$2:$H$19)</f>
        <v>阴</v>
      </c>
      <c r="U44" s="119">
        <f t="shared" ca="1" si="20"/>
        <v>0.08</v>
      </c>
      <c r="V44" s="47">
        <f ca="1">(1+L44)*(LOOKUP(D44,'模拟-单技能数据'!$A$2:$A$19,'模拟-单技能数据'!$D$2:$D$19)+G44*LOOKUP(D44,'模拟-单技能数据'!$A$2:$A$19,'模拟-单技能数据'!$F$2:$F$19))*(1+J44)*(1+K44)*(1-S44)*(1+U44)*Q44*LOOKUP(D44,'模拟-单技能数据'!$A$2:$A$19,'模拟-单技能数据'!$I$2:$I$20)</f>
        <v>45123.329593076625</v>
      </c>
      <c r="W44" s="47">
        <f ca="1">LOOKUP(D44,'模拟-单技能数据'!$A$2:$A$19,'模拟-单技能数据'!$G$2:$G$19)*$I$10</f>
        <v>361.51064354704795</v>
      </c>
      <c r="X44" s="47">
        <f t="shared" ca="1" si="21"/>
        <v>0</v>
      </c>
      <c r="Y44" s="47">
        <f t="shared" ca="1" si="22"/>
        <v>45484.84023662367</v>
      </c>
      <c r="Z44" s="49">
        <f t="shared" ca="1" si="23"/>
        <v>1453114.3948865081</v>
      </c>
      <c r="AA44" s="97">
        <f t="shared" ca="1" si="24"/>
        <v>92658.338586737358</v>
      </c>
      <c r="AB44" s="115">
        <f ca="1">IF(OR(C44="赤日轮1",C44="赤日轮2",C44="赤日轮3"),IF(RAND()&lt;模拟模式!$Y$17,1,0),IF(OR(C44="幽月轮1",C44="幽月轮2",C44="幽月轮3"),IF(RAND()&lt;模拟模式!$Y$18,1,0),IF(C44="烈日斩",IF(RAND()&lt;模拟模式!$Y$19,1,0),IF(C44="银月斩",IF(RAND()&lt;模拟模式!$Y$20,1,0),IF(C44="驱夜断愁",IF(RAND()&lt;模拟模式!$Y$21,1,0),IF(C44="净世破魔击·日",IF(RAND()&lt;模拟模式!$Y$22,1,0),IF(C44="净世破魔击·月",IF(RAND()&lt;模拟模式!$Y$23,1,0),0)))))))</f>
        <v>1</v>
      </c>
      <c r="AC44" s="115" t="b">
        <f t="shared" ca="1" si="1"/>
        <v>1</v>
      </c>
      <c r="AD44" s="115" t="b">
        <f t="shared" ca="1" si="52"/>
        <v>0</v>
      </c>
      <c r="AE44" s="115">
        <f t="shared" ca="1" si="53"/>
        <v>6</v>
      </c>
      <c r="AF44" s="47">
        <f ca="1">IF(AC44,('模拟-单技能数据'!$D$20+G44*'模拟-单技能数据'!$F$20)*(1+J44)*(1+'模拟-单技能数据'!$J$20)*(1+U44),0)</f>
        <v>5080.1288758208948</v>
      </c>
      <c r="AG44" s="61">
        <f t="shared" ca="1" si="25"/>
        <v>0.64185145527300214</v>
      </c>
      <c r="AH44" s="61">
        <f t="shared" ca="1" si="26"/>
        <v>2.2624828854998791</v>
      </c>
      <c r="AI44" s="62">
        <f t="shared" ca="1" si="27"/>
        <v>0.15058128266792714</v>
      </c>
      <c r="AJ44" s="47">
        <f ca="1">IF(AD44,IF(AI44&lt;$F$10,0,IF(AI44&lt;$F$10+$F$11,0.25,IF(AI44&lt;$F$10+$F$11+AG44,AH44,1)))*IF(AF44&gt;0,AF44,IF(AF43&gt;0,AF43,IF(AF42&gt;0,AF42,IF(AF41&gt;0,AF41,IF(AF40&gt;0,AF40,IF(AF39&gt;0,AF39,IF(AF38&gt;0,AF38,IF(AF37&gt;0,AF37,IF(AF36&gt;0,AF36,IF(AF34&gt;0,AF34,IF(AF33&gt;0,AF33,IF(AF32&gt;0,AF32,0)))))))))))),0)*(1-$S44)*'模拟-单技能数据'!$I$20</f>
        <v>0</v>
      </c>
      <c r="AK44" s="115" t="b">
        <f t="shared" ca="1" si="2"/>
        <v>0</v>
      </c>
      <c r="AL44" s="115" t="b">
        <f t="shared" ca="1" si="54"/>
        <v>0</v>
      </c>
      <c r="AM44" s="115">
        <f t="shared" ca="1" si="55"/>
        <v>5</v>
      </c>
      <c r="AN44" s="47">
        <f ca="1">IF(AK44,('模拟-单技能数据'!$D$21+G44*'模拟-单技能数据'!$F$21)*(1+J44)*(1+'模拟-单技能数据'!$J$21)*(1+U44),0)</f>
        <v>0</v>
      </c>
      <c r="AO44" s="61">
        <f ca="1">IF(AN44&gt;0,M44-'模拟-单技能数据'!$K$10,AO43)</f>
        <v>0.42185145527300216</v>
      </c>
      <c r="AP44" s="61">
        <f ca="1">IF(AN44&gt;0,I44-'模拟-单技能数据'!$L$10,AP43)</f>
        <v>2.162482885499879</v>
      </c>
      <c r="AQ44" s="63">
        <f t="shared" ca="1" si="28"/>
        <v>0.46827950391906115</v>
      </c>
      <c r="AR44" s="64">
        <f ca="1">IF(AL44,IF(AQ44&lt;$F$10,0,IF(AQ44&lt;$F$10+$F$11,0.25,IF(AQ44&lt;$F$10+$F$11+AO44,AP44,1)))*IF(AN44&gt;0,AN44,IF(AN43&gt;0,AN43,IF(AN42&gt;0,AN42,IF(AN41&gt;0,AN41,IF(AN40&gt;0,AN40,IF(AN39&gt;0,AN39,IF(AN38&gt;0,AN38,IF(AN37&gt;0,AN37,IF(AN36&gt;0,AN36,IF(AN34&gt;0,AN34,IF(AN33&gt;0,AN33,IF(AN32&gt;0,AN32,0)))))))))))),0)*(1-$S44)*'模拟-单技能数据'!$I$21</f>
        <v>0</v>
      </c>
      <c r="AS44" s="61">
        <f ca="1">IF(OR(C44="净世破魔击·日",C44="净世破魔击·月"),M44-'模拟-单技能数据'!$K$10,0)</f>
        <v>0</v>
      </c>
      <c r="AT44" s="61">
        <f ca="1">IF(OR(C44="净世破魔击·日",C44="净世破魔击·月"),I44-'模拟-单技能数据'!$L$10,0)</f>
        <v>0</v>
      </c>
      <c r="AU44" s="62">
        <f t="shared" ca="1" si="29"/>
        <v>0.52195222009900266</v>
      </c>
      <c r="AV44" s="64">
        <f ca="1">IF(AS44&gt;0,('模拟-单技能数据'!$D$22+G44*'模拟-单技能数据'!$F$22)*(1+J44)*(1-S44)*IF(AU44&lt;$F$10,0,IF(AU44&lt;$F$10+$F$11,0.25,IF(AU44&lt;$F$10+$F$11+AS44,AT44,1)))*(1+U44),0)*'模拟-单技能数据'!$I$22</f>
        <v>0</v>
      </c>
      <c r="AW44" s="108">
        <f t="shared" ca="1" si="30"/>
        <v>14.465000000000003</v>
      </c>
      <c r="AX44" s="108" t="b">
        <f ca="1">AND(模拟模式!$P$10="有",AW43=0,RAND()&lt;IF(C44="净世破魔击·月",0.1*8/3,IF(C44="净世破魔击·日",0.1*4/3,0.1*2/3)))</f>
        <v>0</v>
      </c>
      <c r="AY44" s="47">
        <f ca="1">IF(AX44,(18+G44*0.722)*(1+J44)*(1-S44)*(1+$I$4)*IF(P44="会",'模拟-全程加成'!$J$3+'模拟-全程加成'!$J$4+'模拟-全程加成'!$J$5+('模拟-全程加成'!$I$4+'模拟-全程加成'!$I$5)/系数!$B$4+BG44*10%,IF(P44="命",1,IF(P44="识",0.25,0))),0)</f>
        <v>0</v>
      </c>
      <c r="AZ44" s="108">
        <f t="shared" si="31"/>
        <v>4.3175000000000061</v>
      </c>
      <c r="BA44" s="108" t="b">
        <f>AND(模拟模式!$Q$10="有",AZ43=0)</f>
        <v>0</v>
      </c>
      <c r="BB44" s="140">
        <f>IF(BA44,(0+G44*0.287)*(1+J44)*(1-S44)*(1+$I$4)*IF(P44="会",'模拟-全程加成'!$J$3+'模拟-全程加成'!$J$4+'模拟-全程加成'!$J$5+('模拟-全程加成'!$I$4+'模拟-全程加成'!$I$5)/系数!$B$4+BG44*10%,IF(P44="命",1,IF(P44="识",0.25,0))),0)</f>
        <v>0</v>
      </c>
      <c r="BC44" s="115" t="b">
        <f ca="1">AND(模拟模式!$R$7="伏明众生",E44=60,F44=20,DA44&lt;5,CZ43&lt;$F$4)</f>
        <v>0</v>
      </c>
      <c r="BD44" s="115">
        <f t="shared" ca="1" si="3"/>
        <v>0</v>
      </c>
      <c r="BE44" s="115" t="b">
        <f t="shared" ca="1" si="4"/>
        <v>0</v>
      </c>
      <c r="BF44" s="47">
        <f ca="1">IF(BC44,4*('模拟-单技能数据'!$D$24+G44*'模拟-单技能数据'!$F$24)*(1+J44)*(1+'模拟-单技能数据'!$J$24)*(1-S44)*(1+$I$3)*(('模拟-全程加成'!$J$3+'模拟-全程加成'!$J$4+'模拟-全程加成'!$J$5+('模拟-全程加成'!$I$4+'模拟-全程加成'!$I$5)/系数!$B$4+BG44*10%)*('模拟-全程加成'!$J$3+'模拟-全程加成'!$J$4+'模拟-全程加成'!$J$5+('模拟-全程加成'!$I$4+'模拟-全程加成'!$I$5)/系数!$B$4+BG44*10%)+(1-('模拟-全程加成'!$J$3+'模拟-全程加成'!$J$4+'模拟-全程加成'!$J$5+('模拟-全程加成'!$I$4+'模拟-全程加成'!$I$5)/系数!$B$4+BG44*10%)-$F$10-$F$11)+F30*0.25),0)*'模拟-单技能数据'!$I$24</f>
        <v>0</v>
      </c>
      <c r="BG44" s="115" t="b">
        <f ca="1">OR(AND(OR(C44="烈日斩",C44="银月斩"),模拟模式!$I$7="净身明礼"),AND(C44="净世破魔击·日",模拟模式!$J$7="洞若观火"),AND(C45="净世破魔击·月",模拟模式!$J$7="洞若观火"),AB44=1)</f>
        <v>1</v>
      </c>
      <c r="BH44" s="115" t="b">
        <f t="shared" ca="1" si="32"/>
        <v>0</v>
      </c>
      <c r="BI44" s="115">
        <f t="shared" ca="1" si="5"/>
        <v>5.0774999999999997</v>
      </c>
      <c r="BJ44" s="115" t="b">
        <f t="shared" ca="1" si="33"/>
        <v>1</v>
      </c>
      <c r="BK44" s="115" t="b">
        <f ca="1">AND(C44="驱夜断愁",模拟模式!$P$7="天地诛戮")</f>
        <v>0</v>
      </c>
      <c r="BL44" s="57">
        <f t="shared" ca="1" si="6"/>
        <v>14.465000000000003</v>
      </c>
      <c r="BM44" s="115" t="b">
        <f t="shared" ca="1" si="34"/>
        <v>1</v>
      </c>
      <c r="BN44" s="115" t="b">
        <f ca="1">AND(OR(C44="赤日轮1",C44="赤日轮2",C44="赤日轮3",C44="幽月轮1",C44="幽月轮2",C44="幽月轮3"),AB44=1,模拟模式!$L$7="明光恒照")</f>
        <v>0</v>
      </c>
      <c r="BO44" s="117">
        <f t="shared" ca="1" si="7"/>
        <v>29.077500000000001</v>
      </c>
      <c r="BP44" s="115">
        <f t="shared" ca="1" si="35"/>
        <v>6</v>
      </c>
      <c r="BQ44" s="115" t="b">
        <f>模拟模式!$K$10="2600·水"</f>
        <v>0</v>
      </c>
      <c r="BR44" s="117">
        <f t="shared" si="36"/>
        <v>0</v>
      </c>
      <c r="BS44" s="115">
        <f t="shared" si="37"/>
        <v>0</v>
      </c>
      <c r="BT44" s="115">
        <f t="shared" ca="1" si="38"/>
        <v>0</v>
      </c>
      <c r="BU44" s="115" t="b">
        <f ca="1">AND(模拟模式!$K$10="2300·雷",BT43=0,RAND()&lt;IF(C44="净世破魔击·月",5*0.05*2/3,IF(C44="净世破魔击·日",3*0.05*2/3,0.05*2*2/3)))</f>
        <v>0</v>
      </c>
      <c r="BV44" s="115">
        <f t="shared" ca="1" si="39"/>
        <v>0</v>
      </c>
      <c r="BW44" s="115">
        <f t="shared" ca="1" si="40"/>
        <v>169.85249999999985</v>
      </c>
      <c r="BX44" s="164" t="b">
        <f t="shared" ca="1" si="41"/>
        <v>0</v>
      </c>
      <c r="BY44" s="115">
        <f t="shared" ca="1" si="42"/>
        <v>4.8525000000000027</v>
      </c>
      <c r="BZ44" s="115">
        <f>IF(OR(模拟模式!$P$16="10人团",模拟模式!$P$16="25人团"),IF(B44/30&gt;CA43,1,0),0)</f>
        <v>0</v>
      </c>
      <c r="CA44" s="115">
        <f t="shared" si="8"/>
        <v>0</v>
      </c>
      <c r="CB44" s="115">
        <f ca="1">IF(BZ44=1,IF(模拟模式!$P$16="10人团",15,0)+IF(模拟模式!$P$16="25人团",IF(RAND()&lt;0.6,15,0)),MAX(0,CB43-$F$4))</f>
        <v>0</v>
      </c>
      <c r="CC44" s="115" t="b">
        <f t="shared" ca="1" si="43"/>
        <v>0</v>
      </c>
      <c r="CD44" s="115">
        <f>IF(模拟模式!$Q$16="1个",IF(B44/40&gt;CE43,1,0),0)</f>
        <v>0</v>
      </c>
      <c r="CE44" s="115">
        <f t="shared" si="44"/>
        <v>0</v>
      </c>
      <c r="CF44" s="115">
        <f>IF(OR(CD44=1,模拟模式!$Q$16="2个"),20,MAX(0,CF43-$F$4))</f>
        <v>0</v>
      </c>
      <c r="CG44" s="115" t="b">
        <f t="shared" si="45"/>
        <v>0</v>
      </c>
      <c r="CH44" s="115">
        <f t="shared" ca="1" si="46"/>
        <v>15.240000000000009</v>
      </c>
      <c r="CI44" s="115" t="b">
        <f t="shared" ca="1" si="47"/>
        <v>0</v>
      </c>
      <c r="CJ44" s="119">
        <f t="shared" ca="1" si="48"/>
        <v>0</v>
      </c>
      <c r="CK44" s="115">
        <f t="shared" ca="1" si="49"/>
        <v>0</v>
      </c>
      <c r="CL44" s="115" t="b">
        <f ca="1">AND(模拟模式!$S$7="驱夷逐法",OR(AND(C44="净世破魔击·月",E43&gt;59),AND(C44="净世破魔击·日",F43&gt;59)))</f>
        <v>0</v>
      </c>
      <c r="CM44" s="115" t="b">
        <f ca="1">OR(CL44,AND(C44="净世破魔击·日",CL43,RAND()&lt;模拟模式!$U$23))</f>
        <v>0</v>
      </c>
      <c r="CN44" s="115" t="b">
        <f ca="1">IF(模拟模式!$M$7="辉耀红尘",AND(C44="净世破魔击·月",CL44,CV44=0,E43&lt;80),AND(C44="净世破魔击·月",CL44,E43&lt;100))</f>
        <v>0</v>
      </c>
      <c r="CO44" s="115" t="b">
        <f t="shared" ca="1" si="9"/>
        <v>0</v>
      </c>
      <c r="CP44" s="115" t="b">
        <f ca="1">AND(模拟模式!$O$7="用晦而明",OR(C44="净世破魔击·日",C44="净世破魔击·月",C44="驱夜断愁"),AB44)</f>
        <v>0</v>
      </c>
      <c r="CQ44" s="115" t="b">
        <f ca="1">OR(CP44,AND(CP43,RAND()&lt;模拟模式!$U$23))</f>
        <v>0</v>
      </c>
      <c r="CR44" s="115" t="b">
        <f ca="1">AND(模拟模式!$S$7="日月齐光",OR(C44="幽月轮1",C44="幽月轮2",C44="幽月轮3",CR43),NOT(OR(C44="赤日轮1",C44="赤日轮2",C44="赤日轮3")))</f>
        <v>0</v>
      </c>
      <c r="CS44" s="115" t="b">
        <f ca="1">AND(模拟模式!$S$7="日月齐光",OR(C44="赤日轮1",C44="赤日轮2",C44="赤日轮3",CS43),NOT(OR(C44="幽月轮1",C44="幽月轮2",C44="幽月轮3")))</f>
        <v>0</v>
      </c>
      <c r="CT44" s="115">
        <f t="shared" ca="1" si="50"/>
        <v>0</v>
      </c>
      <c r="CU44" s="115" t="b">
        <f ca="1">AND(模拟模式!$K$10="阴阳往极",CT43=0,RAND()&lt;IF(C44="净世破魔击·月",0.0275*7/3,IF(C44="净世破魔击·日",0.0275*3/3,0.0275*2/3)))</f>
        <v>0</v>
      </c>
      <c r="CV44" s="115">
        <f t="shared" ca="1" si="51"/>
        <v>0</v>
      </c>
      <c r="CW44" s="115">
        <f t="shared" ca="1" si="10"/>
        <v>1.3874999999999997</v>
      </c>
      <c r="CX44" s="115">
        <f t="shared" ca="1" si="11"/>
        <v>6</v>
      </c>
      <c r="CY44" s="115">
        <f ca="1">MAX(IF($C44="驱夜断愁",IF(模拟模式!$R$7="万念俱寂",6,45),CY43-$F$4),0)</f>
        <v>0.46499999999999975</v>
      </c>
      <c r="CZ44" s="115">
        <f t="shared" ca="1" si="12"/>
        <v>0</v>
      </c>
      <c r="DA44" s="115">
        <f ca="1">IF(模拟模式!$N$7="日月同辉",IF(DB43=2,0,MIN(6,IF(AND(OR(C44="赤日轮1",C44="赤日轮2",C44="赤日轮3",C44="幽月轮1",C44="幽月轮2",C44="幽月轮3"),AB44=1),DA43+1,DA43))),0)</f>
        <v>0</v>
      </c>
      <c r="DB44" s="115">
        <f t="shared" ca="1" si="13"/>
        <v>2</v>
      </c>
      <c r="DD44" s="115"/>
      <c r="DE44" s="115"/>
      <c r="DF44" s="115"/>
      <c r="DG44" s="115"/>
      <c r="DH44" s="115"/>
      <c r="DI44" s="115"/>
      <c r="DJ44" s="115"/>
      <c r="DK44" s="115"/>
      <c r="DL44" s="115"/>
      <c r="DM44" s="115"/>
    </row>
    <row r="45" spans="2:117" x14ac:dyDescent="0.2">
      <c r="B45" s="117">
        <f t="shared" si="14"/>
        <v>16.604999999999997</v>
      </c>
      <c r="C45" s="167" t="str">
        <f t="shared" ca="1" si="0"/>
        <v>驱夜断愁</v>
      </c>
      <c r="D45" s="115">
        <f ca="1">IF(C45="赤日轮1",1,IF(C45="赤日轮2",2,IF(C45="赤日轮3",3,IF(C45="幽月轮1",4,IF(C45="幽月轮2",5,IF(C45="幽月轮3",6,IF(C45="烈日斩",7,IF(C45="银月斩",8,IF(C45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45="净世破魔击·月",17,IF(C45="驱夜断愁",18,0)))))))))))</f>
        <v>18</v>
      </c>
      <c r="E45" s="115">
        <f ca="1">IF(AND(CU45,OR(C45="幽月轮1",C45="幽月轮2",C45="幽月轮3",C45="银月斩",C45="驱夜断愁",C45="净世破魔击·月")),100,MIN(IF(OR(CN45,BE45),0,IF(OR($C45="赤日轮1",$C45="赤日轮2",$C45="赤日轮3"),E44+20+IF(模拟模式!$I$7="日月凌天",4,0)+IF(CR44,20,0),IF($C45="烈日斩",E44+40,IF($C45="驱夜断愁",IF(模拟模式!$R$7="万念俱寂",E44+20,E44+60),IF($C45="净世破魔击·月",IF(OR(DB44&gt;0,CV44&gt;0),100,IF(模拟模式!$M$7="辉耀红尘",E44+20,E44)),IF($C45="净世破魔击·日",E44-100,E44)))))),100))</f>
        <v>40</v>
      </c>
      <c r="F45" s="115">
        <f ca="1">IF(AND(CU45,OR(C45="赤日轮1",C45="赤日轮2",C45="赤日轮3",C45="烈日斩",C45="净世破魔击·日")),100,MIN(IF(CO45,0,IF(OR($C45="幽月轮1",$C45="幽月轮2",$C45="幽月轮3"),F44+20+IF(模拟模式!$I$7="日月凌天",4,0)+IF(CS44,20,0),IF($C45="银月斩",F44+40+IF(模拟模式!$X$12=1,5,0),IF($C45="驱夜断愁",IF(模拟模式!$R$7="万念俱寂",F44+20,F44+60),IF($C45="净世破魔击·月",IF(模拟模式!$M$7="辉耀红尘",F44-80,F44-100),IF(AND(C45="净世破魔击·日",OR(DB44&gt;0,CV44&gt;0)),100,F44)))))),100))</f>
        <v>85</v>
      </c>
      <c r="G45" s="117">
        <f ca="1">('模拟-全程加成'!$E$3+'模拟-全程加成'!$E$4+'模拟-全程加成'!$E$5+('模拟-全程加成'!$C$6-'模拟-全程加成'!$C$3)*系数!$B$9+BS45*23)*(1+'模拟-全程加成'!$F$4+'模拟-全程加成'!$F$5+BJ45*10%+BM45*20%+BP45*4%+CG45*30%)+$F$7*系数!$B$12</f>
        <v>21493.829400000002</v>
      </c>
      <c r="H45" s="45">
        <f ca="1">'模拟-全程加成'!$H$3+'模拟-全程加成'!$H$4+'模拟-全程加成'!$H$5+('模拟-全程加成'!$G$4+'模拟-全程加成'!$G$5+('模拟-全程加成'!$C$6-'模拟-全程加成'!$C$3)*系数!$B$13)/系数!$B$3+LOOKUP(D45,'模拟-单技能数据'!$A$2:$A$19,'模拟-单技能数据'!$K$2:$K$19)+BG45*10%+IF(BV45&gt;0,378,0)</f>
        <v>0.51185145527300213</v>
      </c>
      <c r="I45" s="45">
        <f ca="1">'模拟-全程加成'!$J$3+'模拟-全程加成'!$J$4+'模拟-全程加成'!$J$5+('模拟-全程加成'!$I$4+'模拟-全程加成'!$I$5)/系数!$B$4+LOOKUP(D45,'模拟-单技能数据'!$A$2:$A$19,'模拟-单技能数据'!$L$2:$L$19)+BG45*10%</f>
        <v>2.162482885499879</v>
      </c>
      <c r="J45" s="45">
        <f ca="1">(('模拟-全程加成'!$K$3+'模拟-全程加成'!$K$4+'模拟-全程加成'!$K$5+('模拟-全程加成'!$C$6-'模拟-全程加成'!$C$3)*系数!$B$10+IF(BV45&gt;0,882,0)+IF(BY45&gt;0,1831,0))*(1+'模拟-全程加成'!$L$4+'模拟-全程加成'!$L$5+CC45*20%))/系数!$B$5</f>
        <v>0.85832564669386491</v>
      </c>
      <c r="K45" s="119">
        <f ca="1">LOOKUP(D45,'模拟-单技能数据'!$A$2:$A$19,'模拟-单技能数据'!$J$2:$J$19)+IF(CM45,60%,0)+IF(DB44-DB45&gt;0,30%,0)+IF(OR(AND(OR(C45="赤日轮1",C45="赤日轮2",C45="赤日轮3"),CR45),AND(OR(C45="幽月轮1",C45="幽月轮2",C45="幽月轮3"),CS45)),35%,0)+CJ45</f>
        <v>0.14000000000000001</v>
      </c>
      <c r="L45" s="119">
        <f ca="1">IF(AND(C45="烈日斩",模拟模式!$X$11=1),10%,0)+IF(AND(C45="驱夜断愁",AB45=1),30%,0)</f>
        <v>0.3</v>
      </c>
      <c r="M45" s="45">
        <f t="shared" ca="1" si="15"/>
        <v>0.51185145527300213</v>
      </c>
      <c r="N45" s="45">
        <f t="shared" ca="1" si="16"/>
        <v>0.43424854472699792</v>
      </c>
      <c r="O45" s="46">
        <f t="shared" ca="1" si="17"/>
        <v>0.11749117103689288</v>
      </c>
      <c r="P45" s="46" t="str">
        <f t="shared" ca="1" si="18"/>
        <v>会</v>
      </c>
      <c r="Q45" s="45">
        <f t="shared" ca="1" si="19"/>
        <v>2.162482885499879</v>
      </c>
      <c r="R45" s="117">
        <f ca="1">模拟模式!$E$20*(1-IF(模拟模式!$J$19="有",0.15,0))*(1-IF(模拟模式!$K$19="有",0.3,0)-IF(CQ45,0.5,0))</f>
        <v>843.02999999999975</v>
      </c>
      <c r="S45" s="45">
        <f ca="1">R45/(R45+(185*模拟模式!$E$22-16800)*4.08224)</f>
        <v>8.389626085980037E-2</v>
      </c>
      <c r="T45" s="45" t="str">
        <f ca="1">LOOKUP(D45,'模拟-单技能数据'!$A$2:$A$19,'模拟-单技能数据'!$H$2:$H$19)</f>
        <v>阴</v>
      </c>
      <c r="U45" s="119">
        <f t="shared" ca="1" si="20"/>
        <v>0.08</v>
      </c>
      <c r="V45" s="47">
        <f ca="1">(1+L45)*(LOOKUP(D45,'模拟-单技能数据'!$A$2:$A$19,'模拟-单技能数据'!$D$2:$D$19)+G45*LOOKUP(D45,'模拟-单技能数据'!$A$2:$A$19,'模拟-单技能数据'!$F$2:$F$19))*(1+J45)*(1+K45)*(1-S45)*(1+U45)*Q45*LOOKUP(D45,'模拟-单技能数据'!$A$2:$A$19,'模拟-单技能数据'!$I$2:$I$20)</f>
        <v>145710.63353383858</v>
      </c>
      <c r="W45" s="47">
        <f ca="1">LOOKUP(D45,'模拟-单技能数据'!$A$2:$A$19,'模拟-单技能数据'!$G$2:$G$19)*$I$10</f>
        <v>723.0212870940959</v>
      </c>
      <c r="X45" s="47">
        <f t="shared" ca="1" si="21"/>
        <v>23024.683908375955</v>
      </c>
      <c r="Y45" s="47">
        <f t="shared" ca="1" si="22"/>
        <v>169458.33872930863</v>
      </c>
      <c r="Z45" s="49">
        <f t="shared" ca="1" si="23"/>
        <v>1622572.7336158168</v>
      </c>
      <c r="AA45" s="97">
        <f t="shared" ca="1" si="24"/>
        <v>97715.912894659268</v>
      </c>
      <c r="AB45" s="115">
        <f ca="1">IF(OR(C45="赤日轮1",C45="赤日轮2",C45="赤日轮3"),IF(RAND()&lt;模拟模式!$Y$17,1,0),IF(OR(C45="幽月轮1",C45="幽月轮2",C45="幽月轮3"),IF(RAND()&lt;模拟模式!$Y$18,1,0),IF(C45="烈日斩",IF(RAND()&lt;模拟模式!$Y$19,1,0),IF(C45="银月斩",IF(RAND()&lt;模拟模式!$Y$20,1,0),IF(C45="驱夜断愁",IF(RAND()&lt;模拟模式!$Y$21,1,0),IF(C45="净世破魔击·日",IF(RAND()&lt;模拟模式!$Y$22,1,0),IF(C45="净世破魔击·月",IF(RAND()&lt;模拟模式!$Y$23,1,0),0)))))))</f>
        <v>1</v>
      </c>
      <c r="AC45" s="115" t="b">
        <f t="shared" ca="1" si="1"/>
        <v>0</v>
      </c>
      <c r="AD45" s="115" t="b">
        <f t="shared" ca="1" si="52"/>
        <v>1</v>
      </c>
      <c r="AE45" s="115">
        <f t="shared" ca="1" si="53"/>
        <v>5</v>
      </c>
      <c r="AF45" s="47">
        <f ca="1">IF(AC45,('模拟-单技能数据'!$D$20+G45*'模拟-单技能数据'!$F$20)*(1+J45)*(1+'模拟-单技能数据'!$J$20)*(1+U45),0)</f>
        <v>0</v>
      </c>
      <c r="AG45" s="61">
        <f t="shared" ca="1" si="25"/>
        <v>0.64185145527300214</v>
      </c>
      <c r="AH45" s="61">
        <f t="shared" ca="1" si="26"/>
        <v>2.2624828854998791</v>
      </c>
      <c r="AI45" s="62">
        <f t="shared" ca="1" si="27"/>
        <v>0.13984580051496653</v>
      </c>
      <c r="AJ45" s="47">
        <f ca="1">IF(AD45,IF(AI45&lt;$F$10,0,IF(AI45&lt;$F$10+$F$11,0.25,IF(AI45&lt;$F$10+$F$11+AG45,AH45,1)))*IF(AF45&gt;0,AF45,IF(AF44&gt;0,AF44,IF(AF43&gt;0,AF43,IF(AF42&gt;0,AF42,IF(AF41&gt;0,AF41,IF(AF40&gt;0,AF40,IF(AF39&gt;0,AF39,IF(AF38&gt;0,AF38,IF(AF37&gt;0,AF37,IF(AF35&gt;0,AF35,IF(AF34&gt;0,AF34,IF(AF33&gt;0,AF33,0)))))))))))),0)*(1-$S45)*'模拟-单技能数据'!$I$20</f>
        <v>10529.42579515034</v>
      </c>
      <c r="AK45" s="115" t="b">
        <f t="shared" ca="1" si="2"/>
        <v>0</v>
      </c>
      <c r="AL45" s="115" t="b">
        <f t="shared" ca="1" si="54"/>
        <v>1</v>
      </c>
      <c r="AM45" s="115">
        <f t="shared" ca="1" si="55"/>
        <v>4</v>
      </c>
      <c r="AN45" s="47">
        <f ca="1">IF(AK45,('模拟-单技能数据'!$D$21+G45*'模拟-单技能数据'!$F$21)*(1+J45)*(1+'模拟-单技能数据'!$J$21)*(1+U45),0)</f>
        <v>0</v>
      </c>
      <c r="AO45" s="61">
        <f ca="1">IF(AN45&gt;0,M45-'模拟-单技能数据'!$K$10,AO44)</f>
        <v>0.42185145527300216</v>
      </c>
      <c r="AP45" s="61">
        <f ca="1">IF(AN45&gt;0,I45-'模拟-单技能数据'!$L$10,AP44)</f>
        <v>2.162482885499879</v>
      </c>
      <c r="AQ45" s="63">
        <f t="shared" ca="1" si="28"/>
        <v>0.70658943157780507</v>
      </c>
      <c r="AR45" s="64">
        <f ca="1">IF(AL45,IF(AQ45&lt;$F$10,0,IF(AQ45&lt;$F$10+$F$11,0.25,IF(AQ45&lt;$F$10+$F$11+AO45,AP45,1)))*IF(AN45&gt;0,AN45,IF(AN44&gt;0,AN44,IF(AN43&gt;0,AN43,IF(AN42&gt;0,AN42,IF(AN41&gt;0,AN41,IF(AN40&gt;0,AN40,IF(AN39&gt;0,AN39,IF(AN38&gt;0,AN38,IF(AN37&gt;0,AN37,IF(AN35&gt;0,AN35,IF(AN34&gt;0,AN34,IF(AN33&gt;0,AN33,0)))))))))))),0)*(1-$S45)*'模拟-单技能数据'!$I$21</f>
        <v>12495.258113225615</v>
      </c>
      <c r="AS45" s="61">
        <f ca="1">IF(OR(C45="净世破魔击·日",C45="净世破魔击·月"),M45-'模拟-单技能数据'!$K$10,0)</f>
        <v>0</v>
      </c>
      <c r="AT45" s="61">
        <f ca="1">IF(OR(C45="净世破魔击·日",C45="净世破魔击·月"),I45-'模拟-单技能数据'!$L$10,0)</f>
        <v>0</v>
      </c>
      <c r="AU45" s="62">
        <f t="shared" ca="1" si="29"/>
        <v>0.48295306585407882</v>
      </c>
      <c r="AV45" s="64">
        <f ca="1">IF(AS45&gt;0,('模拟-单技能数据'!$D$22+G45*'模拟-单技能数据'!$F$22)*(1+J45)*(1-S45)*IF(AU45&lt;$F$10,0,IF(AU45&lt;$F$10+$F$11,0.25,IF(AU45&lt;$F$10+$F$11+AS45,AT45,1)))*(1+U45),0)*'模拟-单技能数据'!$I$22</f>
        <v>0</v>
      </c>
      <c r="AW45" s="108">
        <f t="shared" ca="1" si="30"/>
        <v>13.542500000000004</v>
      </c>
      <c r="AX45" s="108" t="b">
        <f ca="1">AND(模拟模式!$P$10="有",AW44=0,RAND()&lt;IF(C45="净世破魔击·月",0.1*8/3,IF(C45="净世破魔击·日",0.1*4/3,0.1*2/3)))</f>
        <v>0</v>
      </c>
      <c r="AY45" s="47">
        <f ca="1">IF(AX45,(18+G45*0.722)*(1+J45)*(1-S45)*(1+$I$4)*IF(P45="会",'模拟-全程加成'!$J$3+'模拟-全程加成'!$J$4+'模拟-全程加成'!$J$5+('模拟-全程加成'!$I$4+'模拟-全程加成'!$I$5)/系数!$B$4+BG45*10%,IF(P45="命",1,IF(P45="识",0.25,0))),0)</f>
        <v>0</v>
      </c>
      <c r="AZ45" s="108">
        <f t="shared" si="31"/>
        <v>3.3950000000000062</v>
      </c>
      <c r="BA45" s="108" t="b">
        <f>AND(模拟模式!$Q$10="有",AZ44=0)</f>
        <v>0</v>
      </c>
      <c r="BB45" s="140">
        <f>IF(BA45,(0+G45*0.287)*(1+J45)*(1-S45)*(1+$I$4)*IF(P45="会",'模拟-全程加成'!$J$3+'模拟-全程加成'!$J$4+'模拟-全程加成'!$J$5+('模拟-全程加成'!$I$4+'模拟-全程加成'!$I$5)/系数!$B$4+BG45*10%,IF(P45="命",1,IF(P45="识",0.25,0))),0)</f>
        <v>0</v>
      </c>
      <c r="BC45" s="115" t="b">
        <f ca="1">AND(模拟模式!$R$7="伏明众生",E45=60,F45=20,DA45&lt;5,CZ44&lt;$F$4)</f>
        <v>0</v>
      </c>
      <c r="BD45" s="115">
        <f t="shared" ca="1" si="3"/>
        <v>0</v>
      </c>
      <c r="BE45" s="115" t="b">
        <f t="shared" ca="1" si="4"/>
        <v>0</v>
      </c>
      <c r="BF45" s="47">
        <f ca="1">IF(BC45,4*('模拟-单技能数据'!$D$24+G45*'模拟-单技能数据'!$F$24)*(1+J45)*(1+'模拟-单技能数据'!$J$24)*(1-S45)*(1+$I$3)*(('模拟-全程加成'!$J$3+'模拟-全程加成'!$J$4+'模拟-全程加成'!$J$5+('模拟-全程加成'!$I$4+'模拟-全程加成'!$I$5)/系数!$B$4+BG45*10%)*('模拟-全程加成'!$J$3+'模拟-全程加成'!$J$4+'模拟-全程加成'!$J$5+('模拟-全程加成'!$I$4+'模拟-全程加成'!$I$5)/系数!$B$4+BG45*10%)+(1-('模拟-全程加成'!$J$3+'模拟-全程加成'!$J$4+'模拟-全程加成'!$J$5+('模拟-全程加成'!$I$4+'模拟-全程加成'!$I$5)/系数!$B$4+BG45*10%)-$F$10-$F$11)+F31*0.25),0)*'模拟-单技能数据'!$I$24</f>
        <v>0</v>
      </c>
      <c r="BG45" s="115" t="b">
        <f ca="1">OR(AND(OR(C45="烈日斩",C45="银月斩"),模拟模式!$I$7="净身明礼"),AND(C45="净世破魔击·日",模拟模式!$J$7="洞若观火"),AND(C46="净世破魔击·月",模拟模式!$J$7="洞若观火"),AB45=1)</f>
        <v>1</v>
      </c>
      <c r="BH45" s="115" t="b">
        <f t="shared" ca="1" si="32"/>
        <v>0</v>
      </c>
      <c r="BI45" s="115">
        <f t="shared" ca="1" si="5"/>
        <v>4.1549999999999994</v>
      </c>
      <c r="BJ45" s="115" t="b">
        <f t="shared" ca="1" si="33"/>
        <v>1</v>
      </c>
      <c r="BK45" s="115" t="b">
        <f ca="1">AND(C45="驱夜断愁",模拟模式!$P$7="天地诛戮")</f>
        <v>1</v>
      </c>
      <c r="BL45" s="57">
        <f t="shared" ca="1" si="6"/>
        <v>20</v>
      </c>
      <c r="BM45" s="115" t="b">
        <f t="shared" ca="1" si="34"/>
        <v>1</v>
      </c>
      <c r="BN45" s="115" t="b">
        <f ca="1">AND(OR(C45="赤日轮1",C45="赤日轮2",C45="赤日轮3",C45="幽月轮1",C45="幽月轮2",C45="幽月轮3"),AB45=1,模拟模式!$L$7="明光恒照")</f>
        <v>0</v>
      </c>
      <c r="BO45" s="117">
        <f t="shared" ca="1" si="7"/>
        <v>28.155000000000001</v>
      </c>
      <c r="BP45" s="115">
        <f t="shared" ca="1" si="35"/>
        <v>6</v>
      </c>
      <c r="BQ45" s="115" t="b">
        <f>模拟模式!$K$10="2600·水"</f>
        <v>0</v>
      </c>
      <c r="BR45" s="117">
        <f t="shared" si="36"/>
        <v>0</v>
      </c>
      <c r="BS45" s="115">
        <f t="shared" si="37"/>
        <v>0</v>
      </c>
      <c r="BT45" s="115">
        <f t="shared" ca="1" si="38"/>
        <v>0</v>
      </c>
      <c r="BU45" s="115" t="b">
        <f ca="1">AND(模拟模式!$K$10="2300·雷",BT44=0,RAND()&lt;IF(C45="净世破魔击·月",5*0.05*2/3,IF(C45="净世破魔击·日",3*0.05*2/3,0.05*2*2/3)))</f>
        <v>0</v>
      </c>
      <c r="BV45" s="115">
        <f t="shared" ca="1" si="39"/>
        <v>0</v>
      </c>
      <c r="BW45" s="115">
        <f t="shared" ca="1" si="40"/>
        <v>168.92999999999984</v>
      </c>
      <c r="BX45" s="164" t="b">
        <f t="shared" ca="1" si="41"/>
        <v>0</v>
      </c>
      <c r="BY45" s="115">
        <f t="shared" ca="1" si="42"/>
        <v>3.9300000000000028</v>
      </c>
      <c r="BZ45" s="115">
        <f>IF(OR(模拟模式!$P$16="10人团",模拟模式!$P$16="25人团"),IF(B45/30&gt;CA44,1,0),0)</f>
        <v>0</v>
      </c>
      <c r="CA45" s="115">
        <f t="shared" si="8"/>
        <v>0</v>
      </c>
      <c r="CB45" s="115">
        <f ca="1">IF(BZ45=1,IF(模拟模式!$P$16="10人团",15,0)+IF(模拟模式!$P$16="25人团",IF(RAND()&lt;0.6,15,0)),MAX(0,CB44-$F$4))</f>
        <v>0</v>
      </c>
      <c r="CC45" s="115" t="b">
        <f t="shared" ca="1" si="43"/>
        <v>0</v>
      </c>
      <c r="CD45" s="115">
        <f>IF(模拟模式!$Q$16="1个",IF(B45/40&gt;CE44,1,0),0)</f>
        <v>0</v>
      </c>
      <c r="CE45" s="115">
        <f t="shared" si="44"/>
        <v>0</v>
      </c>
      <c r="CF45" s="115">
        <f>IF(OR(CD45=1,模拟模式!$Q$16="2个"),20,MAX(0,CF44-$F$4))</f>
        <v>0</v>
      </c>
      <c r="CG45" s="115" t="b">
        <f t="shared" si="45"/>
        <v>0</v>
      </c>
      <c r="CH45" s="115">
        <f t="shared" ca="1" si="46"/>
        <v>14.31750000000001</v>
      </c>
      <c r="CI45" s="115" t="b">
        <f t="shared" ca="1" si="47"/>
        <v>0</v>
      </c>
      <c r="CJ45" s="119">
        <f t="shared" ca="1" si="48"/>
        <v>0</v>
      </c>
      <c r="CK45" s="115">
        <f t="shared" ca="1" si="49"/>
        <v>0</v>
      </c>
      <c r="CL45" s="115" t="b">
        <f ca="1">AND(模拟模式!$S$7="驱夷逐法",OR(AND(C45="净世破魔击·月",E44&gt;59),AND(C45="净世破魔击·日",F44&gt;59)))</f>
        <v>0</v>
      </c>
      <c r="CM45" s="115" t="b">
        <f ca="1">OR(CL45,AND(C45="净世破魔击·日",CL44,RAND()&lt;模拟模式!$U$23))</f>
        <v>0</v>
      </c>
      <c r="CN45" s="115" t="b">
        <f ca="1">IF(模拟模式!$M$7="辉耀红尘",AND(C45="净世破魔击·月",CL45,CV45=0,E44&lt;80),AND(C45="净世破魔击·月",CL45,E44&lt;100))</f>
        <v>0</v>
      </c>
      <c r="CO45" s="115" t="b">
        <f t="shared" ca="1" si="9"/>
        <v>0</v>
      </c>
      <c r="CP45" s="115" t="b">
        <f ca="1">AND(模拟模式!$O$7="用晦而明",OR(C45="净世破魔击·日",C45="净世破魔击·月",C45="驱夜断愁"),AB45)</f>
        <v>1</v>
      </c>
      <c r="CQ45" s="115" t="b">
        <f ca="1">OR(CP45,AND(CP44,RAND()&lt;模拟模式!$U$23))</f>
        <v>1</v>
      </c>
      <c r="CR45" s="115" t="b">
        <f ca="1">AND(模拟模式!$S$7="日月齐光",OR(C45="幽月轮1",C45="幽月轮2",C45="幽月轮3",CR44),NOT(OR(C45="赤日轮1",C45="赤日轮2",C45="赤日轮3")))</f>
        <v>0</v>
      </c>
      <c r="CS45" s="115" t="b">
        <f ca="1">AND(模拟模式!$S$7="日月齐光",OR(C45="赤日轮1",C45="赤日轮2",C45="赤日轮3",CS44),NOT(OR(C45="幽月轮1",C45="幽月轮2",C45="幽月轮3")))</f>
        <v>0</v>
      </c>
      <c r="CT45" s="115">
        <f t="shared" ca="1" si="50"/>
        <v>0</v>
      </c>
      <c r="CU45" s="115" t="b">
        <f ca="1">AND(模拟模式!$K$10="阴阳往极",CT44=0,RAND()&lt;IF(C45="净世破魔击·月",0.0275*7/3,IF(C45="净世破魔击·日",0.0275*3/3,0.0275*2/3)))</f>
        <v>0</v>
      </c>
      <c r="CV45" s="115">
        <f t="shared" ca="1" si="51"/>
        <v>0</v>
      </c>
      <c r="CW45" s="115">
        <f t="shared" ca="1" si="10"/>
        <v>0.46499999999999975</v>
      </c>
      <c r="CX45" s="115">
        <f t="shared" ca="1" si="11"/>
        <v>5.0774999999999997</v>
      </c>
      <c r="CY45" s="115">
        <f ca="1">MAX(IF($C45="驱夜断愁",IF(模拟模式!$R$7="万念俱寂",6,45),CY44-$F$4),0)</f>
        <v>6</v>
      </c>
      <c r="CZ45" s="115">
        <f t="shared" ca="1" si="12"/>
        <v>0</v>
      </c>
      <c r="DA45" s="115">
        <f ca="1">IF(模拟模式!$N$7="日月同辉",IF(DB44=2,0,MIN(6,IF(AND(OR(C45="赤日轮1",C45="赤日轮2",C45="赤日轮3",C45="幽月轮1",C45="幽月轮2",C45="幽月轮3"),AB45=1),DA44+1,DA44))),0)</f>
        <v>0</v>
      </c>
      <c r="DB45" s="115">
        <f t="shared" ca="1" si="13"/>
        <v>2</v>
      </c>
      <c r="DD45" s="115"/>
      <c r="DE45" s="115"/>
      <c r="DF45" s="115"/>
      <c r="DG45" s="115"/>
      <c r="DH45" s="115"/>
      <c r="DI45" s="115"/>
      <c r="DJ45" s="115"/>
      <c r="DK45" s="115"/>
      <c r="DL45" s="115"/>
      <c r="DM45" s="115"/>
    </row>
    <row r="46" spans="2:117" x14ac:dyDescent="0.2">
      <c r="B46" s="117">
        <f t="shared" si="14"/>
        <v>17.527499999999996</v>
      </c>
      <c r="C46" s="167" t="str">
        <f t="shared" ca="1" si="0"/>
        <v>烈日斩</v>
      </c>
      <c r="D46" s="115">
        <f ca="1">IF(C46="赤日轮1",1,IF(C46="赤日轮2",2,IF(C46="赤日轮3",3,IF(C46="幽月轮1",4,IF(C46="幽月轮2",5,IF(C46="幽月轮3",6,IF(C46="烈日斩",7,IF(C46="银月斩",8,IF(C46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46="净世破魔击·月",17,IF(C46="驱夜断愁",18,0)))))))))))</f>
        <v>7</v>
      </c>
      <c r="E46" s="115">
        <f ca="1">IF(AND(CU46,OR(C46="幽月轮1",C46="幽月轮2",C46="幽月轮3",C46="银月斩",C46="驱夜断愁",C46="净世破魔击·月")),100,MIN(IF(OR(CN46,BE46),0,IF(OR($C46="赤日轮1",$C46="赤日轮2",$C46="赤日轮3"),E45+20+IF(模拟模式!$I$7="日月凌天",4,0)+IF(CR45,20,0),IF($C46="烈日斩",E45+40,IF($C46="驱夜断愁",IF(模拟模式!$R$7="万念俱寂",E45+20,E45+60),IF($C46="净世破魔击·月",IF(OR(DB45&gt;0,CV45&gt;0),100,IF(模拟模式!$M$7="辉耀红尘",E45+20,E45)),IF($C46="净世破魔击·日",E45-100,E45)))))),100))</f>
        <v>80</v>
      </c>
      <c r="F46" s="115">
        <f ca="1">IF(AND(CU46,OR(C46="赤日轮1",C46="赤日轮2",C46="赤日轮3",C46="烈日斩",C46="净世破魔击·日")),100,MIN(IF(CO46,0,IF(OR($C46="幽月轮1",$C46="幽月轮2",$C46="幽月轮3"),F45+20+IF(模拟模式!$I$7="日月凌天",4,0)+IF(CS45,20,0),IF($C46="银月斩",F45+40+IF(模拟模式!$X$12=1,5,0),IF($C46="驱夜断愁",IF(模拟模式!$R$7="万念俱寂",F45+20,F45+60),IF($C46="净世破魔击·月",IF(模拟模式!$M$7="辉耀红尘",F45-80,F45-100),IF(AND(C46="净世破魔击·日",OR(DB45&gt;0,CV45&gt;0)),100,F45)))))),100))</f>
        <v>85</v>
      </c>
      <c r="G46" s="117">
        <f ca="1">('模拟-全程加成'!$E$3+'模拟-全程加成'!$E$4+'模拟-全程加成'!$E$5+('模拟-全程加成'!$C$6-'模拟-全程加成'!$C$3)*系数!$B$9+BS46*23)*(1+'模拟-全程加成'!$F$4+'模拟-全程加成'!$F$5+BJ46*10%+BM46*20%+BP46*4%+CG46*30%)+$F$7*系数!$B$12</f>
        <v>21493.829400000002</v>
      </c>
      <c r="H46" s="45">
        <f ca="1">'模拟-全程加成'!$H$3+'模拟-全程加成'!$H$4+'模拟-全程加成'!$H$5+('模拟-全程加成'!$G$4+'模拟-全程加成'!$G$5+('模拟-全程加成'!$C$6-'模拟-全程加成'!$C$3)*系数!$B$13)/系数!$B$3+LOOKUP(D46,'模拟-单技能数据'!$A$2:$A$19,'模拟-单技能数据'!$K$2:$K$19)+BG46*10%+IF(BV46&gt;0,378,0)</f>
        <v>0.56185145527300218</v>
      </c>
      <c r="I46" s="45">
        <f ca="1">'模拟-全程加成'!$J$3+'模拟-全程加成'!$J$4+'模拟-全程加成'!$J$5+('模拟-全程加成'!$I$4+'模拟-全程加成'!$I$5)/系数!$B$4+LOOKUP(D46,'模拟-单技能数据'!$A$2:$A$19,'模拟-单技能数据'!$L$2:$L$19)+BG46*10%</f>
        <v>2.2624828854998791</v>
      </c>
      <c r="J46" s="45">
        <f ca="1">(('模拟-全程加成'!$K$3+'模拟-全程加成'!$K$4+'模拟-全程加成'!$K$5+('模拟-全程加成'!$C$6-'模拟-全程加成'!$C$3)*系数!$B$10+IF(BV46&gt;0,882,0)+IF(BY46&gt;0,1831,0))*(1+'模拟-全程加成'!$L$4+'模拟-全程加成'!$L$5+CC46*20%))/系数!$B$5</f>
        <v>0.85832564669386491</v>
      </c>
      <c r="K46" s="119">
        <f ca="1">LOOKUP(D46,'模拟-单技能数据'!$A$2:$A$19,'模拟-单技能数据'!$J$2:$J$19)+IF(CM46,60%,0)+IF(DB45-DB46&gt;0,30%,0)+IF(OR(AND(OR(C46="赤日轮1",C46="赤日轮2",C46="赤日轮3"),CR46),AND(OR(C46="幽月轮1",C46="幽月轮2",C46="幽月轮3"),CS46)),35%,0)+CJ46</f>
        <v>0.24</v>
      </c>
      <c r="L46" s="119">
        <f ca="1">IF(AND(C46="烈日斩",模拟模式!$X$11=1),10%,0)+IF(AND(C46="驱夜断愁",AB46=1),30%,0)</f>
        <v>0.1</v>
      </c>
      <c r="M46" s="45">
        <f t="shared" ca="1" si="15"/>
        <v>0.56185145527300218</v>
      </c>
      <c r="N46" s="45">
        <f t="shared" ca="1" si="16"/>
        <v>0.38424854472699788</v>
      </c>
      <c r="O46" s="46">
        <f t="shared" ca="1" si="17"/>
        <v>0.52918166169051106</v>
      </c>
      <c r="P46" s="46" t="str">
        <f t="shared" ca="1" si="18"/>
        <v>会</v>
      </c>
      <c r="Q46" s="45">
        <f t="shared" ca="1" si="19"/>
        <v>2.2624828854998791</v>
      </c>
      <c r="R46" s="117">
        <f ca="1">模拟模式!$E$20*(1-IF(模拟模式!$J$19="有",0.15,0))*(1-IF(模拟模式!$K$19="有",0.3,0)-IF(CQ46,0.5,0))</f>
        <v>843.02999999999975</v>
      </c>
      <c r="S46" s="45">
        <f ca="1">R46/(R46+(185*模拟模式!$E$22-16800)*4.08224)</f>
        <v>8.389626085980037E-2</v>
      </c>
      <c r="T46" s="45" t="str">
        <f ca="1">LOOKUP(D46,'模拟-单技能数据'!$A$2:$A$19,'模拟-单技能数据'!$H$2:$H$19)</f>
        <v>阳</v>
      </c>
      <c r="U46" s="119">
        <f t="shared" ca="1" si="20"/>
        <v>0.2</v>
      </c>
      <c r="V46" s="47">
        <f ca="1">(1+L46)*(LOOKUP(D46,'模拟-单技能数据'!$A$2:$A$19,'模拟-单技能数据'!$D$2:$D$19)+G46*LOOKUP(D46,'模拟-单技能数据'!$A$2:$A$19,'模拟-单技能数据'!$F$2:$F$19))*(1+J46)*(1+K46)*(1-S46)*(1+U46)*Q46*LOOKUP(D46,'模拟-单技能数据'!$A$2:$A$19,'模拟-单技能数据'!$I$2:$I$20)</f>
        <v>120991.8244001383</v>
      </c>
      <c r="W46" s="47">
        <f ca="1">LOOKUP(D46,'模拟-单技能数据'!$A$2:$A$19,'模拟-单技能数据'!$G$2:$G$19)*$I$10</f>
        <v>361.51064354704795</v>
      </c>
      <c r="X46" s="47">
        <f t="shared" ca="1" si="21"/>
        <v>0</v>
      </c>
      <c r="Y46" s="47">
        <f t="shared" ca="1" si="22"/>
        <v>121353.33504368535</v>
      </c>
      <c r="Z46" s="49">
        <f t="shared" ca="1" si="23"/>
        <v>1743926.0686595021</v>
      </c>
      <c r="AA46" s="97">
        <f t="shared" ca="1" si="24"/>
        <v>99496.566461817289</v>
      </c>
      <c r="AB46" s="115">
        <f ca="1">IF(OR(C46="赤日轮1",C46="赤日轮2",C46="赤日轮3"),IF(RAND()&lt;模拟模式!$Y$17,1,0),IF(OR(C46="幽月轮1",C46="幽月轮2",C46="幽月轮3"),IF(RAND()&lt;模拟模式!$Y$18,1,0),IF(C46="烈日斩",IF(RAND()&lt;模拟模式!$Y$19,1,0),IF(C46="银月斩",IF(RAND()&lt;模拟模式!$Y$20,1,0),IF(C46="驱夜断愁",IF(RAND()&lt;模拟模式!$Y$21,1,0),IF(C46="净世破魔击·日",IF(RAND()&lt;模拟模式!$Y$22,1,0),IF(C46="净世破魔击·月",IF(RAND()&lt;模拟模式!$Y$23,1,0),0)))))))</f>
        <v>1</v>
      </c>
      <c r="AC46" s="115" t="b">
        <f t="shared" ca="1" si="1"/>
        <v>0</v>
      </c>
      <c r="AD46" s="115" t="b">
        <f t="shared" ca="1" si="52"/>
        <v>0</v>
      </c>
      <c r="AE46" s="115">
        <f t="shared" ca="1" si="53"/>
        <v>5</v>
      </c>
      <c r="AF46" s="47">
        <f ca="1">IF(AC46,('模拟-单技能数据'!$D$20+G46*'模拟-单技能数据'!$F$20)*(1+J46)*(1+'模拟-单技能数据'!$J$20)*(1+U46),0)</f>
        <v>0</v>
      </c>
      <c r="AG46" s="61">
        <f t="shared" ca="1" si="25"/>
        <v>0.64185145527300214</v>
      </c>
      <c r="AH46" s="61">
        <f t="shared" ca="1" si="26"/>
        <v>2.2624828854998791</v>
      </c>
      <c r="AI46" s="62">
        <f t="shared" ca="1" si="27"/>
        <v>0.72255341799952066</v>
      </c>
      <c r="AJ46" s="47">
        <f ca="1">IF(AD46,IF(AI46&lt;$F$10,0,IF(AI46&lt;$F$10+$F$11,0.25,IF(AI46&lt;$F$10+$F$11+AG46,AH46,1)))*IF(AF46&gt;0,AF46,IF(AF45&gt;0,AF45,IF(AF44&gt;0,AF44,IF(AF43&gt;0,AF43,IF(AF42&gt;0,AF42,IF(AF41&gt;0,AF41,IF(AF40&gt;0,AF40,IF(AF39&gt;0,AF39,IF(AF38&gt;0,AF38,IF(AF36&gt;0,AF36,IF(AF35&gt;0,AF35,IF(AF34&gt;0,AF34,0)))))))))))),0)*(1-$S46)*'模拟-单技能数据'!$I$20</f>
        <v>0</v>
      </c>
      <c r="AK46" s="115" t="b">
        <f t="shared" ca="1" si="2"/>
        <v>0</v>
      </c>
      <c r="AL46" s="115" t="b">
        <f t="shared" ca="1" si="54"/>
        <v>0</v>
      </c>
      <c r="AM46" s="115">
        <f t="shared" ca="1" si="55"/>
        <v>4</v>
      </c>
      <c r="AN46" s="47">
        <f ca="1">IF(AK46,('模拟-单技能数据'!$D$21+G46*'模拟-单技能数据'!$F$21)*(1+J46)*(1+'模拟-单技能数据'!$J$21)*(1+U46),0)</f>
        <v>0</v>
      </c>
      <c r="AO46" s="61">
        <f ca="1">IF(AN46&gt;0,M46-'模拟-单技能数据'!$K$10,AO45)</f>
        <v>0.42185145527300216</v>
      </c>
      <c r="AP46" s="61">
        <f ca="1">IF(AN46&gt;0,I46-'模拟-单技能数据'!$L$10,AP45)</f>
        <v>2.162482885499879</v>
      </c>
      <c r="AQ46" s="63">
        <f t="shared" ca="1" si="28"/>
        <v>0.90611165437438412</v>
      </c>
      <c r="AR46" s="64">
        <f ca="1">IF(AL46,IF(AQ46&lt;$F$10,0,IF(AQ46&lt;$F$10+$F$11,0.25,IF(AQ46&lt;$F$10+$F$11+AO46,AP46,1)))*IF(AN46&gt;0,AN46,IF(AN45&gt;0,AN45,IF(AN44&gt;0,AN44,IF(AN43&gt;0,AN43,IF(AN42&gt;0,AN42,IF(AN41&gt;0,AN41,IF(AN40&gt;0,AN40,IF(AN39&gt;0,AN39,IF(AN38&gt;0,AN38,IF(AN36&gt;0,AN36,IF(AN35&gt;0,AN35,IF(AN34&gt;0,AN34,0)))))))))))),0)*(1-$S46)*'模拟-单技能数据'!$I$21</f>
        <v>0</v>
      </c>
      <c r="AS46" s="61">
        <f ca="1">IF(OR(C46="净世破魔击·日",C46="净世破魔击·月"),M46-'模拟-单技能数据'!$K$10,0)</f>
        <v>0</v>
      </c>
      <c r="AT46" s="61">
        <f ca="1">IF(OR(C46="净世破魔击·日",C46="净世破魔击·月"),I46-'模拟-单技能数据'!$L$10,0)</f>
        <v>0</v>
      </c>
      <c r="AU46" s="62">
        <f t="shared" ca="1" si="29"/>
        <v>0.13325507591225583</v>
      </c>
      <c r="AV46" s="64">
        <f ca="1">IF(AS46&gt;0,('模拟-单技能数据'!$D$22+G46*'模拟-单技能数据'!$F$22)*(1+J46)*(1-S46)*IF(AU46&lt;$F$10,0,IF(AU46&lt;$F$10+$F$11,0.25,IF(AU46&lt;$F$10+$F$11+AS46,AT46,1)))*(1+U46),0)*'模拟-单技能数据'!$I$22</f>
        <v>0</v>
      </c>
      <c r="AW46" s="108">
        <f t="shared" ca="1" si="30"/>
        <v>12.620000000000005</v>
      </c>
      <c r="AX46" s="108" t="b">
        <f ca="1">AND(模拟模式!$P$10="有",AW45=0,RAND()&lt;IF(C46="净世破魔击·月",0.1*8/3,IF(C46="净世破魔击·日",0.1*4/3,0.1*2/3)))</f>
        <v>0</v>
      </c>
      <c r="AY46" s="47">
        <f ca="1">IF(AX46,(18+G46*0.722)*(1+J46)*(1-S46)*(1+$I$4)*IF(P46="会",'模拟-全程加成'!$J$3+'模拟-全程加成'!$J$4+'模拟-全程加成'!$J$5+('模拟-全程加成'!$I$4+'模拟-全程加成'!$I$5)/系数!$B$4+BG46*10%,IF(P46="命",1,IF(P46="识",0.25,0))),0)</f>
        <v>0</v>
      </c>
      <c r="AZ46" s="108">
        <f t="shared" si="31"/>
        <v>2.4725000000000064</v>
      </c>
      <c r="BA46" s="108" t="b">
        <f>AND(模拟模式!$Q$10="有",AZ45=0)</f>
        <v>0</v>
      </c>
      <c r="BB46" s="140">
        <f>IF(BA46,(0+G46*0.287)*(1+J46)*(1-S46)*(1+$I$4)*IF(P46="会",'模拟-全程加成'!$J$3+'模拟-全程加成'!$J$4+'模拟-全程加成'!$J$5+('模拟-全程加成'!$I$4+'模拟-全程加成'!$I$5)/系数!$B$4+BG46*10%,IF(P46="命",1,IF(P46="识",0.25,0))),0)</f>
        <v>0</v>
      </c>
      <c r="BC46" s="115" t="b">
        <f ca="1">AND(模拟模式!$R$7="伏明众生",E46=60,F46=20,DA46&lt;5,CZ45&lt;$F$4)</f>
        <v>0</v>
      </c>
      <c r="BD46" s="115">
        <f t="shared" ca="1" si="3"/>
        <v>0</v>
      </c>
      <c r="BE46" s="115" t="b">
        <f t="shared" ca="1" si="4"/>
        <v>0</v>
      </c>
      <c r="BF46" s="47">
        <f ca="1">IF(BC46,4*('模拟-单技能数据'!$D$24+G46*'模拟-单技能数据'!$F$24)*(1+J46)*(1+'模拟-单技能数据'!$J$24)*(1-S46)*(1+$I$3)*(('模拟-全程加成'!$J$3+'模拟-全程加成'!$J$4+'模拟-全程加成'!$J$5+('模拟-全程加成'!$I$4+'模拟-全程加成'!$I$5)/系数!$B$4+BG46*10%)*('模拟-全程加成'!$J$3+'模拟-全程加成'!$J$4+'模拟-全程加成'!$J$5+('模拟-全程加成'!$I$4+'模拟-全程加成'!$I$5)/系数!$B$4+BG46*10%)+(1-('模拟-全程加成'!$J$3+'模拟-全程加成'!$J$4+'模拟-全程加成'!$J$5+('模拟-全程加成'!$I$4+'模拟-全程加成'!$I$5)/系数!$B$4+BG46*10%)-$F$10-$F$11)+F32*0.25),0)*'模拟-单技能数据'!$I$24</f>
        <v>0</v>
      </c>
      <c r="BG46" s="115" t="b">
        <f ca="1">OR(AND(OR(C46="烈日斩",C46="银月斩"),模拟模式!$I$7="净身明礼"),AND(C46="净世破魔击·日",模拟模式!$J$7="洞若观火"),AND(C47="净世破魔击·月",模拟模式!$J$7="洞若观火"),AB46=1)</f>
        <v>1</v>
      </c>
      <c r="BH46" s="115" t="b">
        <f t="shared" ca="1" si="32"/>
        <v>0</v>
      </c>
      <c r="BI46" s="115">
        <f t="shared" ca="1" si="5"/>
        <v>3.2324999999999995</v>
      </c>
      <c r="BJ46" s="115" t="b">
        <f t="shared" ca="1" si="33"/>
        <v>1</v>
      </c>
      <c r="BK46" s="115" t="b">
        <f ca="1">AND(C46="驱夜断愁",模拟模式!$P$7="天地诛戮")</f>
        <v>0</v>
      </c>
      <c r="BL46" s="57">
        <f t="shared" ca="1" si="6"/>
        <v>19.077500000000001</v>
      </c>
      <c r="BM46" s="115" t="b">
        <f t="shared" ca="1" si="34"/>
        <v>1</v>
      </c>
      <c r="BN46" s="115" t="b">
        <f ca="1">AND(OR(C46="赤日轮1",C46="赤日轮2",C46="赤日轮3",C46="幽月轮1",C46="幽月轮2",C46="幽月轮3"),AB46=1,模拟模式!$L$7="明光恒照")</f>
        <v>0</v>
      </c>
      <c r="BO46" s="117">
        <f t="shared" ca="1" si="7"/>
        <v>27.232500000000002</v>
      </c>
      <c r="BP46" s="115">
        <f t="shared" ca="1" si="35"/>
        <v>6</v>
      </c>
      <c r="BQ46" s="115" t="b">
        <f>模拟模式!$K$10="2600·水"</f>
        <v>0</v>
      </c>
      <c r="BR46" s="117">
        <f t="shared" si="36"/>
        <v>0</v>
      </c>
      <c r="BS46" s="115">
        <f t="shared" si="37"/>
        <v>0</v>
      </c>
      <c r="BT46" s="115">
        <f t="shared" ca="1" si="38"/>
        <v>0</v>
      </c>
      <c r="BU46" s="115" t="b">
        <f ca="1">AND(模拟模式!$K$10="2300·雷",BT45=0,RAND()&lt;IF(C46="净世破魔击·月",5*0.05*2/3,IF(C46="净世破魔击·日",3*0.05*2/3,0.05*2*2/3)))</f>
        <v>0</v>
      </c>
      <c r="BV46" s="115">
        <f t="shared" ca="1" si="39"/>
        <v>0</v>
      </c>
      <c r="BW46" s="115">
        <f t="shared" ca="1" si="40"/>
        <v>168.00749999999982</v>
      </c>
      <c r="BX46" s="164" t="b">
        <f t="shared" ca="1" si="41"/>
        <v>0</v>
      </c>
      <c r="BY46" s="115">
        <f t="shared" ca="1" si="42"/>
        <v>3.0075000000000029</v>
      </c>
      <c r="BZ46" s="115">
        <f>IF(OR(模拟模式!$P$16="10人团",模拟模式!$P$16="25人团"),IF(B46/30&gt;CA45,1,0),0)</f>
        <v>0</v>
      </c>
      <c r="CA46" s="115">
        <f t="shared" si="8"/>
        <v>0</v>
      </c>
      <c r="CB46" s="115">
        <f ca="1">IF(BZ46=1,IF(模拟模式!$P$16="10人团",15,0)+IF(模拟模式!$P$16="25人团",IF(RAND()&lt;0.6,15,0)),MAX(0,CB45-$F$4))</f>
        <v>0</v>
      </c>
      <c r="CC46" s="115" t="b">
        <f t="shared" ca="1" si="43"/>
        <v>0</v>
      </c>
      <c r="CD46" s="115">
        <f>IF(模拟模式!$Q$16="1个",IF(B46/40&gt;CE45,1,0),0)</f>
        <v>0</v>
      </c>
      <c r="CE46" s="115">
        <f t="shared" si="44"/>
        <v>0</v>
      </c>
      <c r="CF46" s="115">
        <f>IF(OR(CD46=1,模拟模式!$Q$16="2个"),20,MAX(0,CF45-$F$4))</f>
        <v>0</v>
      </c>
      <c r="CG46" s="115" t="b">
        <f t="shared" si="45"/>
        <v>0</v>
      </c>
      <c r="CH46" s="115">
        <f t="shared" ca="1" si="46"/>
        <v>13.39500000000001</v>
      </c>
      <c r="CI46" s="115" t="b">
        <f t="shared" ca="1" si="47"/>
        <v>0</v>
      </c>
      <c r="CJ46" s="119">
        <f t="shared" ca="1" si="48"/>
        <v>0</v>
      </c>
      <c r="CK46" s="115">
        <f t="shared" ca="1" si="49"/>
        <v>0</v>
      </c>
      <c r="CL46" s="115" t="b">
        <f ca="1">AND(模拟模式!$S$7="驱夷逐法",OR(AND(C46="净世破魔击·月",E45&gt;59),AND(C46="净世破魔击·日",F45&gt;59)))</f>
        <v>0</v>
      </c>
      <c r="CM46" s="115" t="b">
        <f ca="1">OR(CL46,AND(C46="净世破魔击·日",CL45,RAND()&lt;模拟模式!$U$23))</f>
        <v>0</v>
      </c>
      <c r="CN46" s="115" t="b">
        <f ca="1">IF(模拟模式!$M$7="辉耀红尘",AND(C46="净世破魔击·月",CL46,CV46=0,E45&lt;80),AND(C46="净世破魔击·月",CL46,E45&lt;100))</f>
        <v>0</v>
      </c>
      <c r="CO46" s="115" t="b">
        <f t="shared" ca="1" si="9"/>
        <v>0</v>
      </c>
      <c r="CP46" s="115" t="b">
        <f ca="1">AND(模拟模式!$O$7="用晦而明",OR(C46="净世破魔击·日",C46="净世破魔击·月",C46="驱夜断愁"),AB46)</f>
        <v>0</v>
      </c>
      <c r="CQ46" s="115" t="b">
        <f ca="1">OR(CP46,AND(CP45,RAND()&lt;模拟模式!$U$23))</f>
        <v>1</v>
      </c>
      <c r="CR46" s="115" t="b">
        <f ca="1">AND(模拟模式!$S$7="日月齐光",OR(C46="幽月轮1",C46="幽月轮2",C46="幽月轮3",CR45),NOT(OR(C46="赤日轮1",C46="赤日轮2",C46="赤日轮3")))</f>
        <v>0</v>
      </c>
      <c r="CS46" s="115" t="b">
        <f ca="1">AND(模拟模式!$S$7="日月齐光",OR(C46="赤日轮1",C46="赤日轮2",C46="赤日轮3",CS45),NOT(OR(C46="幽月轮1",C46="幽月轮2",C46="幽月轮3")))</f>
        <v>0</v>
      </c>
      <c r="CT46" s="115">
        <f t="shared" ca="1" si="50"/>
        <v>0</v>
      </c>
      <c r="CU46" s="115" t="b">
        <f ca="1">AND(模拟模式!$K$10="阴阳往极",CT45=0,RAND()&lt;IF(C46="净世破魔击·月",0.0275*7/3,IF(C46="净世破魔击·日",0.0275*3/3,0.0275*2/3)))</f>
        <v>0</v>
      </c>
      <c r="CV46" s="115">
        <f t="shared" ca="1" si="51"/>
        <v>0</v>
      </c>
      <c r="CW46" s="115">
        <f t="shared" ca="1" si="10"/>
        <v>6</v>
      </c>
      <c r="CX46" s="115">
        <f t="shared" ca="1" si="11"/>
        <v>4.1549999999999994</v>
      </c>
      <c r="CY46" s="115">
        <f ca="1">MAX(IF($C46="驱夜断愁",IF(模拟模式!$R$7="万念俱寂",6,45),CY45-$F$4),0)</f>
        <v>5.0774999999999997</v>
      </c>
      <c r="CZ46" s="115">
        <f t="shared" ca="1" si="12"/>
        <v>0</v>
      </c>
      <c r="DA46" s="115">
        <f ca="1">IF(模拟模式!$N$7="日月同辉",IF(DB45=2,0,MIN(6,IF(AND(OR(C46="赤日轮1",C46="赤日轮2",C46="赤日轮3",C46="幽月轮1",C46="幽月轮2",C46="幽月轮3"),AB46=1),DA45+1,DA45))),0)</f>
        <v>0</v>
      </c>
      <c r="DB46" s="115">
        <f t="shared" ca="1" si="13"/>
        <v>2</v>
      </c>
      <c r="DD46" s="115"/>
      <c r="DE46" s="115"/>
      <c r="DF46" s="115"/>
      <c r="DG46" s="115"/>
      <c r="DH46" s="115"/>
      <c r="DI46" s="115"/>
      <c r="DJ46" s="115"/>
      <c r="DK46" s="115"/>
      <c r="DL46" s="115"/>
      <c r="DM46" s="115"/>
    </row>
    <row r="47" spans="2:117" x14ac:dyDescent="0.2">
      <c r="B47" s="117">
        <f t="shared" si="14"/>
        <v>18.449999999999996</v>
      </c>
      <c r="C47" s="167" t="str">
        <f t="shared" ca="1" si="0"/>
        <v>幽月轮1</v>
      </c>
      <c r="D47" s="115">
        <f ca="1">IF(C47="赤日轮1",1,IF(C47="赤日轮2",2,IF(C47="赤日轮3",3,IF(C47="幽月轮1",4,IF(C47="幽月轮2",5,IF(C47="幽月轮3",6,IF(C47="烈日斩",7,IF(C47="银月斩",8,IF(C47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47="净世破魔击·月",17,IF(C47="驱夜断愁",18,0)))))))))))</f>
        <v>4</v>
      </c>
      <c r="E47" s="115">
        <f ca="1">IF(AND(CU47,OR(C47="幽月轮1",C47="幽月轮2",C47="幽月轮3",C47="银月斩",C47="驱夜断愁",C47="净世破魔击·月")),100,MIN(IF(OR(CN47,BE47),0,IF(OR($C47="赤日轮1",$C47="赤日轮2",$C47="赤日轮3"),E46+20+IF(模拟模式!$I$7="日月凌天",4,0)+IF(CR46,20,0),IF($C47="烈日斩",E46+40,IF($C47="驱夜断愁",IF(模拟模式!$R$7="万念俱寂",E46+20,E46+60),IF($C47="净世破魔击·月",IF(OR(DB46&gt;0,CV46&gt;0),100,IF(模拟模式!$M$7="辉耀红尘",E46+20,E46)),IF($C47="净世破魔击·日",E46-100,E46)))))),100))</f>
        <v>80</v>
      </c>
      <c r="F47" s="115">
        <f ca="1">IF(AND(CU47,OR(C47="赤日轮1",C47="赤日轮2",C47="赤日轮3",C47="烈日斩",C47="净世破魔击·日")),100,MIN(IF(CO47,0,IF(OR($C47="幽月轮1",$C47="幽月轮2",$C47="幽月轮3"),F46+20+IF(模拟模式!$I$7="日月凌天",4,0)+IF(CS46,20,0),IF($C47="银月斩",F46+40+IF(模拟模式!$X$12=1,5,0),IF($C47="驱夜断愁",IF(模拟模式!$R$7="万念俱寂",F46+20,F46+60),IF($C47="净世破魔击·月",IF(模拟模式!$M$7="辉耀红尘",F46-80,F46-100),IF(AND(C47="净世破魔击·日",OR(DB46&gt;0,CV46&gt;0)),100,F46)))))),100))</f>
        <v>100</v>
      </c>
      <c r="G47" s="117">
        <f ca="1">('模拟-全程加成'!$E$3+'模拟-全程加成'!$E$4+'模拟-全程加成'!$E$5+('模拟-全程加成'!$C$6-'模拟-全程加成'!$C$3)*系数!$B$9+BS47*23)*(1+'模拟-全程加成'!$F$4+'模拟-全程加成'!$F$5+BJ47*10%+BM47*20%+BP47*4%+CG47*30%)+$F$7*系数!$B$12</f>
        <v>21493.829400000002</v>
      </c>
      <c r="H47" s="45">
        <f ca="1">'模拟-全程加成'!$H$3+'模拟-全程加成'!$H$4+'模拟-全程加成'!$H$5+('模拟-全程加成'!$G$4+'模拟-全程加成'!$G$5+('模拟-全程加成'!$C$6-'模拟-全程加成'!$C$3)*系数!$B$13)/系数!$B$3+LOOKUP(D47,'模拟-单技能数据'!$A$2:$A$19,'模拟-单技能数据'!$K$2:$K$19)+BG47*10%+IF(BV47&gt;0,378,0)</f>
        <v>0.51185145527300213</v>
      </c>
      <c r="I47" s="45">
        <f ca="1">'模拟-全程加成'!$J$3+'模拟-全程加成'!$J$4+'模拟-全程加成'!$J$5+('模拟-全程加成'!$I$4+'模拟-全程加成'!$I$5)/系数!$B$4+LOOKUP(D47,'模拟-单技能数据'!$A$2:$A$19,'模拟-单技能数据'!$L$2:$L$19)+BG47*10%</f>
        <v>2.162482885499879</v>
      </c>
      <c r="J47" s="45">
        <f ca="1">(('模拟-全程加成'!$K$3+'模拟-全程加成'!$K$4+'模拟-全程加成'!$K$5+('模拟-全程加成'!$C$6-'模拟-全程加成'!$C$3)*系数!$B$10+IF(BV47&gt;0,882,0)+IF(BY47&gt;0,1831,0))*(1+'模拟-全程加成'!$L$4+'模拟-全程加成'!$L$5+CC47*20%))/系数!$B$5</f>
        <v>0.85832564669386491</v>
      </c>
      <c r="K47" s="119">
        <f ca="1">LOOKUP(D47,'模拟-单技能数据'!$A$2:$A$19,'模拟-单技能数据'!$J$2:$J$19)+IF(CM47,60%,0)+IF(DB46-DB47&gt;0,30%,0)+IF(OR(AND(OR(C47="赤日轮1",C47="赤日轮2",C47="赤日轮3"),CR47),AND(OR(C47="幽月轮1",C47="幽月轮2",C47="幽月轮3"),CS47)),35%,0)+CJ47</f>
        <v>7.0000000000000007E-2</v>
      </c>
      <c r="L47" s="119">
        <f ca="1">IF(AND(C47="烈日斩",模拟模式!$X$11=1),10%,0)+IF(AND(C47="驱夜断愁",AB47=1),30%,0)</f>
        <v>0</v>
      </c>
      <c r="M47" s="45">
        <f t="shared" ca="1" si="15"/>
        <v>0.51185145527300213</v>
      </c>
      <c r="N47" s="45">
        <f t="shared" ca="1" si="16"/>
        <v>0.43424854472699792</v>
      </c>
      <c r="O47" s="46">
        <f t="shared" ca="1" si="17"/>
        <v>0.76581900783106971</v>
      </c>
      <c r="P47" s="46" t="str">
        <f t="shared" ca="1" si="18"/>
        <v>命</v>
      </c>
      <c r="Q47" s="45">
        <f t="shared" ca="1" si="19"/>
        <v>1</v>
      </c>
      <c r="R47" s="117">
        <f ca="1">模拟模式!$E$20*(1-IF(模拟模式!$J$19="有",0.15,0))*(1-IF(模拟模式!$K$19="有",0.3,0)-IF(CQ47,0.5,0))</f>
        <v>2950.6049999999996</v>
      </c>
      <c r="S47" s="45">
        <f ca="1">R47/(R47+(185*模拟模式!$E$22-16800)*4.08224)</f>
        <v>0.24272716014590323</v>
      </c>
      <c r="T47" s="45" t="str">
        <f ca="1">LOOKUP(D47,'模拟-单技能数据'!$A$2:$A$19,'模拟-单技能数据'!$H$2:$H$19)</f>
        <v>阴</v>
      </c>
      <c r="U47" s="119">
        <f t="shared" ca="1" si="20"/>
        <v>0.08</v>
      </c>
      <c r="V47" s="47">
        <f ca="1">(1+L47)*(LOOKUP(D47,'模拟-单技能数据'!$A$2:$A$19,'模拟-单技能数据'!$D$2:$D$19)+G47*LOOKUP(D47,'模拟-单技能数据'!$A$2:$A$19,'模拟-单技能数据'!$F$2:$F$19))*(1+J47)*(1+K47)*(1-S47)*(1+U47)*Q47*LOOKUP(D47,'模拟-单技能数据'!$A$2:$A$19,'模拟-单技能数据'!$I$2:$I$20)</f>
        <v>18546.976435708992</v>
      </c>
      <c r="W47" s="47">
        <f ca="1">LOOKUP(D47,'模拟-单技能数据'!$A$2:$A$19,'模拟-单技能数据'!$G$2:$G$19)*$I$10</f>
        <v>361.51064354704795</v>
      </c>
      <c r="X47" s="47">
        <f t="shared" ca="1" si="21"/>
        <v>14175.917078762368</v>
      </c>
      <c r="Y47" s="47">
        <f t="shared" ca="1" si="22"/>
        <v>33084.404158018406</v>
      </c>
      <c r="Z47" s="49">
        <f t="shared" ca="1" si="23"/>
        <v>1777010.4728175204</v>
      </c>
      <c r="AA47" s="97">
        <f t="shared" ca="1" si="24"/>
        <v>96314.930776017383</v>
      </c>
      <c r="AB47" s="115">
        <f ca="1">IF(OR(C47="赤日轮1",C47="赤日轮2",C47="赤日轮3"),IF(RAND()&lt;模拟模式!$Y$17,1,0),IF(OR(C47="幽月轮1",C47="幽月轮2",C47="幽月轮3"),IF(RAND()&lt;模拟模式!$Y$18,1,0),IF(C47="烈日斩",IF(RAND()&lt;模拟模式!$Y$19,1,0),IF(C47="银月斩",IF(RAND()&lt;模拟模式!$Y$20,1,0),IF(C47="驱夜断愁",IF(RAND()&lt;模拟模式!$Y$21,1,0),IF(C47="净世破魔击·日",IF(RAND()&lt;模拟模式!$Y$22,1,0),IF(C47="净世破魔击·月",IF(RAND()&lt;模拟模式!$Y$23,1,0),0)))))))</f>
        <v>1</v>
      </c>
      <c r="AC47" s="115" t="b">
        <f t="shared" ca="1" si="1"/>
        <v>0</v>
      </c>
      <c r="AD47" s="115" t="b">
        <f t="shared" ca="1" si="52"/>
        <v>1</v>
      </c>
      <c r="AE47" s="115">
        <f t="shared" ca="1" si="53"/>
        <v>4</v>
      </c>
      <c r="AF47" s="47">
        <f ca="1">IF(AC47,('模拟-单技能数据'!$D$20+G47*'模拟-单技能数据'!$F$20)*(1+J47)*(1+'模拟-单技能数据'!$J$20)*(1+U47),0)</f>
        <v>0</v>
      </c>
      <c r="AG47" s="61">
        <f t="shared" ca="1" si="25"/>
        <v>0.64185145527300214</v>
      </c>
      <c r="AH47" s="61">
        <f t="shared" ca="1" si="26"/>
        <v>2.2624828854998791</v>
      </c>
      <c r="AI47" s="62">
        <f t="shared" ca="1" si="27"/>
        <v>0.78454825489180757</v>
      </c>
      <c r="AJ47" s="47">
        <f ca="1">IF(AD47,IF(AI47&lt;$F$10,0,IF(AI47&lt;$F$10+$F$11,0.25,IF(AI47&lt;$F$10+$F$11+AG47,AH47,1)))*IF(AF47&gt;0,AF47,IF(AF46&gt;0,AF46,IF(AF45&gt;0,AF45,IF(AF44&gt;0,AF44,IF(AF43&gt;0,AF43,IF(AF42&gt;0,AF42,IF(AF41&gt;0,AF41,IF(AF40&gt;0,AF40,IF(AF39&gt;0,AF39,IF(AF37&gt;0,AF37,IF(AF36&gt;0,AF36,IF(AF35&gt;0,AF35,0)))))))))))),0)*(1-$S47)*'模拟-单技能数据'!$I$20</f>
        <v>3847.0436206176892</v>
      </c>
      <c r="AK47" s="115" t="b">
        <f t="shared" ca="1" si="2"/>
        <v>0</v>
      </c>
      <c r="AL47" s="115" t="b">
        <f t="shared" ca="1" si="54"/>
        <v>1</v>
      </c>
      <c r="AM47" s="115">
        <f t="shared" ca="1" si="55"/>
        <v>3</v>
      </c>
      <c r="AN47" s="47">
        <f ca="1">IF(AK47,('模拟-单技能数据'!$D$21+G47*'模拟-单技能数据'!$F$21)*(1+J47)*(1+'模拟-单技能数据'!$J$21)*(1+U47),0)</f>
        <v>0</v>
      </c>
      <c r="AO47" s="61">
        <f ca="1">IF(AN47&gt;0,M47-'模拟-单技能数据'!$K$10,AO46)</f>
        <v>0.42185145527300216</v>
      </c>
      <c r="AP47" s="61">
        <f ca="1">IF(AN47&gt;0,I47-'模拟-单技能数据'!$L$10,AP46)</f>
        <v>2.162482885499879</v>
      </c>
      <c r="AQ47" s="63">
        <f t="shared" ca="1" si="28"/>
        <v>0.7096529997606712</v>
      </c>
      <c r="AR47" s="64">
        <f ca="1">IF(AL47,IF(AQ47&lt;$F$10,0,IF(AQ47&lt;$F$10+$F$11,0.25,IF(AQ47&lt;$F$10+$F$11+AO47,AP47,1)))*IF(AN47&gt;0,AN47,IF(AN46&gt;0,AN46,IF(AN45&gt;0,AN45,IF(AN44&gt;0,AN44,IF(AN43&gt;0,AN43,IF(AN42&gt;0,AN42,IF(AN41&gt;0,AN41,IF(AN40&gt;0,AN40,IF(AN39&gt;0,AN39,IF(AN37&gt;0,AN37,IF(AN36&gt;0,AN36,IF(AN35&gt;0,AN35,0)))))))))))),0)*(1-$S47)*'模拟-单技能数据'!$I$21</f>
        <v>10328.873458144679</v>
      </c>
      <c r="AS47" s="61">
        <f ca="1">IF(OR(C47="净世破魔击·日",C47="净世破魔击·月"),M47-'模拟-单技能数据'!$K$10,0)</f>
        <v>0</v>
      </c>
      <c r="AT47" s="61">
        <f ca="1">IF(OR(C47="净世破魔击·日",C47="净世破魔击·月"),I47-'模拟-单技能数据'!$L$10,0)</f>
        <v>0</v>
      </c>
      <c r="AU47" s="62">
        <f t="shared" ca="1" si="29"/>
        <v>0.63656066381503473</v>
      </c>
      <c r="AV47" s="64">
        <f ca="1">IF(AS47&gt;0,('模拟-单技能数据'!$D$22+G47*'模拟-单技能数据'!$F$22)*(1+J47)*(1-S47)*IF(AU47&lt;$F$10,0,IF(AU47&lt;$F$10+$F$11,0.25,IF(AU47&lt;$F$10+$F$11+AS47,AT47,1)))*(1+U47),0)*'模拟-单技能数据'!$I$22</f>
        <v>0</v>
      </c>
      <c r="AW47" s="108">
        <f t="shared" ca="1" si="30"/>
        <v>11.697500000000005</v>
      </c>
      <c r="AX47" s="108" t="b">
        <f ca="1">AND(模拟模式!$P$10="有",AW46=0,RAND()&lt;IF(C47="净世破魔击·月",0.1*8/3,IF(C47="净世破魔击·日",0.1*4/3,0.1*2/3)))</f>
        <v>0</v>
      </c>
      <c r="AY47" s="47">
        <f ca="1">IF(AX47,(18+G47*0.722)*(1+J47)*(1-S47)*(1+$I$4)*IF(P47="会",'模拟-全程加成'!$J$3+'模拟-全程加成'!$J$4+'模拟-全程加成'!$J$5+('模拟-全程加成'!$I$4+'模拟-全程加成'!$I$5)/系数!$B$4+BG47*10%,IF(P47="命",1,IF(P47="识",0.25,0))),0)</f>
        <v>0</v>
      </c>
      <c r="AZ47" s="108">
        <f t="shared" si="31"/>
        <v>1.5500000000000065</v>
      </c>
      <c r="BA47" s="108" t="b">
        <f>AND(模拟模式!$Q$10="有",AZ46=0)</f>
        <v>0</v>
      </c>
      <c r="BB47" s="140">
        <f>IF(BA47,(0+G47*0.287)*(1+J47)*(1-S47)*(1+$I$4)*IF(P47="会",'模拟-全程加成'!$J$3+'模拟-全程加成'!$J$4+'模拟-全程加成'!$J$5+('模拟-全程加成'!$I$4+'模拟-全程加成'!$I$5)/系数!$B$4+BG47*10%,IF(P47="命",1,IF(P47="识",0.25,0))),0)</f>
        <v>0</v>
      </c>
      <c r="BC47" s="115" t="b">
        <f ca="1">AND(模拟模式!$R$7="伏明众生",E47=60,F47=20,DA47&lt;5,CZ46&lt;$F$4)</f>
        <v>0</v>
      </c>
      <c r="BD47" s="115">
        <f t="shared" ca="1" si="3"/>
        <v>0</v>
      </c>
      <c r="BE47" s="115" t="b">
        <f t="shared" ca="1" si="4"/>
        <v>0</v>
      </c>
      <c r="BF47" s="47">
        <f ca="1">IF(BC47,4*('模拟-单技能数据'!$D$24+G47*'模拟-单技能数据'!$F$24)*(1+J47)*(1+'模拟-单技能数据'!$J$24)*(1-S47)*(1+$I$3)*(('模拟-全程加成'!$J$3+'模拟-全程加成'!$J$4+'模拟-全程加成'!$J$5+('模拟-全程加成'!$I$4+'模拟-全程加成'!$I$5)/系数!$B$4+BG47*10%)*('模拟-全程加成'!$J$3+'模拟-全程加成'!$J$4+'模拟-全程加成'!$J$5+('模拟-全程加成'!$I$4+'模拟-全程加成'!$I$5)/系数!$B$4+BG47*10%)+(1-('模拟-全程加成'!$J$3+'模拟-全程加成'!$J$4+'模拟-全程加成'!$J$5+('模拟-全程加成'!$I$4+'模拟-全程加成'!$I$5)/系数!$B$4+BG47*10%)-$F$10-$F$11)+F33*0.25),0)*'模拟-单技能数据'!$I$24</f>
        <v>0</v>
      </c>
      <c r="BG47" s="115" t="b">
        <f ca="1">OR(AND(OR(C47="烈日斩",C47="银月斩"),模拟模式!$I$7="净身明礼"),AND(C47="净世破魔击·日",模拟模式!$J$7="洞若观火"),AND(C48="净世破魔击·月",模拟模式!$J$7="洞若观火"),AB47=1)</f>
        <v>1</v>
      </c>
      <c r="BH47" s="115" t="b">
        <f t="shared" ca="1" si="32"/>
        <v>0</v>
      </c>
      <c r="BI47" s="115">
        <f t="shared" ca="1" si="5"/>
        <v>2.3099999999999996</v>
      </c>
      <c r="BJ47" s="115" t="b">
        <f t="shared" ca="1" si="33"/>
        <v>1</v>
      </c>
      <c r="BK47" s="115" t="b">
        <f ca="1">AND(C47="驱夜断愁",模拟模式!$P$7="天地诛戮")</f>
        <v>0</v>
      </c>
      <c r="BL47" s="57">
        <f t="shared" ca="1" si="6"/>
        <v>18.155000000000001</v>
      </c>
      <c r="BM47" s="115" t="b">
        <f t="shared" ca="1" si="34"/>
        <v>1</v>
      </c>
      <c r="BN47" s="115" t="b">
        <f ca="1">AND(OR(C47="赤日轮1",C47="赤日轮2",C47="赤日轮3",C47="幽月轮1",C47="幽月轮2",C47="幽月轮3"),AB47=1,模拟模式!$L$7="明光恒照")</f>
        <v>1</v>
      </c>
      <c r="BO47" s="117">
        <f t="shared" ca="1" si="7"/>
        <v>30</v>
      </c>
      <c r="BP47" s="115">
        <f t="shared" ca="1" si="35"/>
        <v>6</v>
      </c>
      <c r="BQ47" s="115" t="b">
        <f>模拟模式!$K$10="2600·水"</f>
        <v>0</v>
      </c>
      <c r="BR47" s="117">
        <f t="shared" si="36"/>
        <v>0</v>
      </c>
      <c r="BS47" s="115">
        <f t="shared" si="37"/>
        <v>0</v>
      </c>
      <c r="BT47" s="115">
        <f t="shared" ca="1" si="38"/>
        <v>0</v>
      </c>
      <c r="BU47" s="115" t="b">
        <f ca="1">AND(模拟模式!$K$10="2300·雷",BT46=0,RAND()&lt;IF(C47="净世破魔击·月",5*0.05*2/3,IF(C47="净世破魔击·日",3*0.05*2/3,0.05*2*2/3)))</f>
        <v>0</v>
      </c>
      <c r="BV47" s="115">
        <f t="shared" ca="1" si="39"/>
        <v>0</v>
      </c>
      <c r="BW47" s="115">
        <f t="shared" ca="1" si="40"/>
        <v>167.08499999999981</v>
      </c>
      <c r="BX47" s="164" t="b">
        <f t="shared" ca="1" si="41"/>
        <v>0</v>
      </c>
      <c r="BY47" s="115">
        <f t="shared" ca="1" si="42"/>
        <v>2.0850000000000031</v>
      </c>
      <c r="BZ47" s="115">
        <f>IF(OR(模拟模式!$P$16="10人团",模拟模式!$P$16="25人团"),IF(B47/30&gt;CA46,1,0),0)</f>
        <v>0</v>
      </c>
      <c r="CA47" s="115">
        <f t="shared" si="8"/>
        <v>0</v>
      </c>
      <c r="CB47" s="115">
        <f ca="1">IF(BZ47=1,IF(模拟模式!$P$16="10人团",15,0)+IF(模拟模式!$P$16="25人团",IF(RAND()&lt;0.6,15,0)),MAX(0,CB46-$F$4))</f>
        <v>0</v>
      </c>
      <c r="CC47" s="115" t="b">
        <f t="shared" ca="1" si="43"/>
        <v>0</v>
      </c>
      <c r="CD47" s="115">
        <f>IF(模拟模式!$Q$16="1个",IF(B47/40&gt;CE46,1,0),0)</f>
        <v>0</v>
      </c>
      <c r="CE47" s="115">
        <f t="shared" si="44"/>
        <v>0</v>
      </c>
      <c r="CF47" s="115">
        <f>IF(OR(CD47=1,模拟模式!$Q$16="2个"),20,MAX(0,CF46-$F$4))</f>
        <v>0</v>
      </c>
      <c r="CG47" s="115" t="b">
        <f t="shared" si="45"/>
        <v>0</v>
      </c>
      <c r="CH47" s="115">
        <f t="shared" ca="1" si="46"/>
        <v>12.472500000000011</v>
      </c>
      <c r="CI47" s="115" t="b">
        <f t="shared" ca="1" si="47"/>
        <v>0</v>
      </c>
      <c r="CJ47" s="119">
        <f t="shared" ca="1" si="48"/>
        <v>0</v>
      </c>
      <c r="CK47" s="115">
        <f t="shared" ca="1" si="49"/>
        <v>0</v>
      </c>
      <c r="CL47" s="115" t="b">
        <f ca="1">AND(模拟模式!$S$7="驱夷逐法",OR(AND(C47="净世破魔击·月",E46&gt;59),AND(C47="净世破魔击·日",F46&gt;59)))</f>
        <v>0</v>
      </c>
      <c r="CM47" s="115" t="b">
        <f ca="1">OR(CL47,AND(C47="净世破魔击·日",CL46,RAND()&lt;模拟模式!$U$23))</f>
        <v>0</v>
      </c>
      <c r="CN47" s="115" t="b">
        <f ca="1">IF(模拟模式!$M$7="辉耀红尘",AND(C47="净世破魔击·月",CL47,CV47=0,E46&lt;80),AND(C47="净世破魔击·月",CL47,E46&lt;100))</f>
        <v>0</v>
      </c>
      <c r="CO47" s="115" t="b">
        <f t="shared" ca="1" si="9"/>
        <v>0</v>
      </c>
      <c r="CP47" s="115" t="b">
        <f ca="1">AND(模拟模式!$O$7="用晦而明",OR(C47="净世破魔击·日",C47="净世破魔击·月",C47="驱夜断愁"),AB47)</f>
        <v>0</v>
      </c>
      <c r="CQ47" s="115" t="b">
        <f ca="1">OR(CP47,AND(CP46,RAND()&lt;模拟模式!$U$23))</f>
        <v>0</v>
      </c>
      <c r="CR47" s="115" t="b">
        <f ca="1">AND(模拟模式!$S$7="日月齐光",OR(C47="幽月轮1",C47="幽月轮2",C47="幽月轮3",CR46),NOT(OR(C47="赤日轮1",C47="赤日轮2",C47="赤日轮3")))</f>
        <v>0</v>
      </c>
      <c r="CS47" s="115" t="b">
        <f ca="1">AND(模拟模式!$S$7="日月齐光",OR(C47="赤日轮1",C47="赤日轮2",C47="赤日轮3",CS46),NOT(OR(C47="幽月轮1",C47="幽月轮2",C47="幽月轮3")))</f>
        <v>0</v>
      </c>
      <c r="CT47" s="115">
        <f t="shared" ca="1" si="50"/>
        <v>0</v>
      </c>
      <c r="CU47" s="115" t="b">
        <f ca="1">AND(模拟模式!$K$10="阴阳往极",CT46=0,RAND()&lt;IF(C47="净世破魔击·月",0.0275*7/3,IF(C47="净世破魔击·日",0.0275*3/3,0.0275*2/3)))</f>
        <v>0</v>
      </c>
      <c r="CV47" s="115">
        <f t="shared" ca="1" si="51"/>
        <v>0</v>
      </c>
      <c r="CW47" s="115">
        <f t="shared" ca="1" si="10"/>
        <v>5.0774999999999997</v>
      </c>
      <c r="CX47" s="115">
        <f t="shared" ca="1" si="11"/>
        <v>3.2324999999999995</v>
      </c>
      <c r="CY47" s="115">
        <f ca="1">MAX(IF($C47="驱夜断愁",IF(模拟模式!$R$7="万念俱寂",6,45),CY46-$F$4),0)</f>
        <v>4.1549999999999994</v>
      </c>
      <c r="CZ47" s="115">
        <f t="shared" ca="1" si="12"/>
        <v>0</v>
      </c>
      <c r="DA47" s="115">
        <f ca="1">IF(模拟模式!$N$7="日月同辉",IF(DB46=2,0,MIN(6,IF(AND(OR(C47="赤日轮1",C47="赤日轮2",C47="赤日轮3",C47="幽月轮1",C47="幽月轮2",C47="幽月轮3"),AB47=1),DA46+1,DA46))),0)</f>
        <v>0</v>
      </c>
      <c r="DB47" s="115">
        <f t="shared" ca="1" si="13"/>
        <v>2</v>
      </c>
      <c r="DD47" s="115"/>
      <c r="DE47" s="115"/>
      <c r="DF47" s="115"/>
      <c r="DG47" s="115"/>
      <c r="DH47" s="115"/>
      <c r="DI47" s="115"/>
      <c r="DJ47" s="115"/>
      <c r="DK47" s="115"/>
      <c r="DL47" s="115"/>
      <c r="DM47" s="115"/>
    </row>
    <row r="48" spans="2:117" x14ac:dyDescent="0.2">
      <c r="B48" s="117">
        <f t="shared" si="14"/>
        <v>19.372499999999995</v>
      </c>
      <c r="C48" s="167" t="str">
        <f t="shared" ca="1" si="0"/>
        <v>净世破魔击·月</v>
      </c>
      <c r="D48" s="115">
        <f ca="1">IF(C48="赤日轮1",1,IF(C48="赤日轮2",2,IF(C48="赤日轮3",3,IF(C48="幽月轮1",4,IF(C48="幽月轮2",5,IF(C48="幽月轮3",6,IF(C48="烈日斩",7,IF(C48="银月斩",8,IF(C48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48="净世破魔击·月",17,IF(C48="驱夜断愁",18,0)))))))))))</f>
        <v>17</v>
      </c>
      <c r="E48" s="115">
        <f ca="1">IF(AND(CU48,OR(C48="幽月轮1",C48="幽月轮2",C48="幽月轮3",C48="银月斩",C48="驱夜断愁",C48="净世破魔击·月")),100,MIN(IF(OR(CN48,BE48),0,IF(OR($C48="赤日轮1",$C48="赤日轮2",$C48="赤日轮3"),E47+20+IF(模拟模式!$I$7="日月凌天",4,0)+IF(CR47,20,0),IF($C48="烈日斩",E47+40,IF($C48="驱夜断愁",IF(模拟模式!$R$7="万念俱寂",E47+20,E47+60),IF($C48="净世破魔击·月",IF(OR(DB47&gt;0,CV47&gt;0),100,IF(模拟模式!$M$7="辉耀红尘",E47+20,E47)),IF($C48="净世破魔击·日",E47-100,E47)))))),100))</f>
        <v>100</v>
      </c>
      <c r="F48" s="115">
        <f ca="1">IF(AND(CU48,OR(C48="赤日轮1",C48="赤日轮2",C48="赤日轮3",C48="烈日斩",C48="净世破魔击·日")),100,MIN(IF(CO48,0,IF(OR($C48="幽月轮1",$C48="幽月轮2",$C48="幽月轮3"),F47+20+IF(模拟模式!$I$7="日月凌天",4,0)+IF(CS47,20,0),IF($C48="银月斩",F47+40+IF(模拟模式!$X$12=1,5,0),IF($C48="驱夜断愁",IF(模拟模式!$R$7="万念俱寂",F47+20,F47+60),IF($C48="净世破魔击·月",IF(模拟模式!$M$7="辉耀红尘",F47-80,F47-100),IF(AND(C48="净世破魔击·日",OR(DB47&gt;0,CV47&gt;0)),100,F47)))))),100))</f>
        <v>20</v>
      </c>
      <c r="G48" s="117">
        <f ca="1">('模拟-全程加成'!$E$3+'模拟-全程加成'!$E$4+'模拟-全程加成'!$E$5+('模拟-全程加成'!$C$6-'模拟-全程加成'!$C$3)*系数!$B$9+BS48*23)*(1+'模拟-全程加成'!$F$4+'模拟-全程加成'!$F$5+BJ48*10%+BM48*20%+BP48*4%+CG48*30%)+$F$7*系数!$B$12</f>
        <v>21493.829400000002</v>
      </c>
      <c r="H48" s="45">
        <f ca="1">'模拟-全程加成'!$H$3+'模拟-全程加成'!$H$4+'模拟-全程加成'!$H$5+('模拟-全程加成'!$G$4+'模拟-全程加成'!$G$5+('模拟-全程加成'!$C$6-'模拟-全程加成'!$C$3)*系数!$B$13)/系数!$B$3+LOOKUP(D48,'模拟-单技能数据'!$A$2:$A$19,'模拟-单技能数据'!$K$2:$K$19)+BG48*10%+IF(BV48&gt;0,378,0)</f>
        <v>0.54185145527300216</v>
      </c>
      <c r="I48" s="45">
        <f ca="1">'模拟-全程加成'!$J$3+'模拟-全程加成'!$J$4+'模拟-全程加成'!$J$5+('模拟-全程加成'!$I$4+'模拟-全程加成'!$I$5)/系数!$B$4+LOOKUP(D48,'模拟-单技能数据'!$A$2:$A$19,'模拟-单技能数据'!$L$2:$L$19)+BG48*10%</f>
        <v>2.162482885499879</v>
      </c>
      <c r="J48" s="45">
        <f ca="1">(('模拟-全程加成'!$K$3+'模拟-全程加成'!$K$4+'模拟-全程加成'!$K$5+('模拟-全程加成'!$C$6-'模拟-全程加成'!$C$3)*系数!$B$10+IF(BV48&gt;0,882,0)+IF(BY48&gt;0,1831,0))*(1+'模拟-全程加成'!$L$4+'模拟-全程加成'!$L$5+CC48*20%))/系数!$B$5</f>
        <v>0.85832564669386491</v>
      </c>
      <c r="K48" s="119">
        <f ca="1">LOOKUP(D48,'模拟-单技能数据'!$A$2:$A$19,'模拟-单技能数据'!$J$2:$J$19)+IF(CM48,60%,0)+IF(DB47-DB48&gt;0,30%,0)+IF(OR(AND(OR(C48="赤日轮1",C48="赤日轮2",C48="赤日轮3"),CR48),AND(OR(C48="幽月轮1",C48="幽月轮2",C48="幽月轮3"),CS48)),35%,0)+CJ48</f>
        <v>1.1000000000000001</v>
      </c>
      <c r="L48" s="119">
        <f ca="1">IF(AND(C48="烈日斩",模拟模式!$X$11=1),10%,0)+IF(AND(C48="驱夜断愁",AB48=1),30%,0)</f>
        <v>0</v>
      </c>
      <c r="M48" s="45">
        <f t="shared" ca="1" si="15"/>
        <v>0.54185145527300216</v>
      </c>
      <c r="N48" s="45">
        <f t="shared" ca="1" si="16"/>
        <v>0.40424854472699789</v>
      </c>
      <c r="O48" s="46">
        <f t="shared" ca="1" si="17"/>
        <v>0.13676810355279712</v>
      </c>
      <c r="P48" s="46" t="str">
        <f t="shared" ca="1" si="18"/>
        <v>会</v>
      </c>
      <c r="Q48" s="45">
        <f t="shared" ca="1" si="19"/>
        <v>2.162482885499879</v>
      </c>
      <c r="R48" s="117">
        <f ca="1">模拟模式!$E$20*(1-IF(模拟模式!$J$19="有",0.15,0))*(1-IF(模拟模式!$K$19="有",0.3,0)-IF(CQ48,0.5,0))</f>
        <v>843.02999999999975</v>
      </c>
      <c r="S48" s="45">
        <f ca="1">R48/(R48+(185*模拟模式!$E$22-16800)*4.08224)</f>
        <v>8.389626085980037E-2</v>
      </c>
      <c r="T48" s="45" t="str">
        <f ca="1">LOOKUP(D48,'模拟-单技能数据'!$A$2:$A$19,'模拟-单技能数据'!$H$2:$H$19)</f>
        <v>阴</v>
      </c>
      <c r="U48" s="119">
        <f t="shared" ca="1" si="20"/>
        <v>0.08</v>
      </c>
      <c r="V48" s="47">
        <f ca="1">(1+L48)*(LOOKUP(D48,'模拟-单技能数据'!$A$2:$A$19,'模拟-单技能数据'!$D$2:$D$19)+G48*LOOKUP(D48,'模拟-单技能数据'!$A$2:$A$19,'模拟-单技能数据'!$F$2:$F$19))*(1+J48)*(1+K48)*(1-S48)*(1+U48)*Q48*LOOKUP(D48,'模拟-单技能数据'!$A$2:$A$19,'模拟-单技能数据'!$I$2:$I$20)</f>
        <v>233178.38926078344</v>
      </c>
      <c r="W48" s="47">
        <f ca="1">LOOKUP(D48,'模拟-单技能数据'!$A$2:$A$19,'模拟-单技能数据'!$G$2:$G$19)*$I$10</f>
        <v>361.51064354704795</v>
      </c>
      <c r="X48" s="47">
        <f t="shared" ca="1" si="21"/>
        <v>18838.204835446006</v>
      </c>
      <c r="Y48" s="47">
        <f t="shared" ca="1" si="22"/>
        <v>252378.10473977649</v>
      </c>
      <c r="Z48" s="49">
        <f t="shared" ca="1" si="23"/>
        <v>2029388.577557297</v>
      </c>
      <c r="AA48" s="97">
        <f t="shared" ca="1" si="24"/>
        <v>104756.1531840133</v>
      </c>
      <c r="AB48" s="115">
        <f ca="1">IF(OR(C48="赤日轮1",C48="赤日轮2",C48="赤日轮3"),IF(RAND()&lt;模拟模式!$Y$17,1,0),IF(OR(C48="幽月轮1",C48="幽月轮2",C48="幽月轮3"),IF(RAND()&lt;模拟模式!$Y$18,1,0),IF(C48="烈日斩",IF(RAND()&lt;模拟模式!$Y$19,1,0),IF(C48="银月斩",IF(RAND()&lt;模拟模式!$Y$20,1,0),IF(C48="驱夜断愁",IF(RAND()&lt;模拟模式!$Y$21,1,0),IF(C48="净世破魔击·日",IF(RAND()&lt;模拟模式!$Y$22,1,0),IF(C48="净世破魔击·月",IF(RAND()&lt;模拟模式!$Y$23,1,0),0)))))))</f>
        <v>1</v>
      </c>
      <c r="AC48" s="115" t="b">
        <f t="shared" ca="1" si="1"/>
        <v>0</v>
      </c>
      <c r="AD48" s="115" t="b">
        <f t="shared" ca="1" si="52"/>
        <v>0</v>
      </c>
      <c r="AE48" s="115">
        <f t="shared" ca="1" si="53"/>
        <v>4</v>
      </c>
      <c r="AF48" s="47">
        <f ca="1">IF(AC48,('模拟-单技能数据'!$D$20+G48*'模拟-单技能数据'!$F$20)*(1+J48)*(1+'模拟-单技能数据'!$J$20)*(1+U48),0)</f>
        <v>0</v>
      </c>
      <c r="AG48" s="61">
        <f t="shared" ca="1" si="25"/>
        <v>0.64185145527300214</v>
      </c>
      <c r="AH48" s="61">
        <f t="shared" ca="1" si="26"/>
        <v>2.2624828854998791</v>
      </c>
      <c r="AI48" s="62">
        <f t="shared" ca="1" si="27"/>
        <v>0.73731009632022459</v>
      </c>
      <c r="AJ48" s="47">
        <f ca="1">IF(AD48,IF(AI48&lt;$F$10,0,IF(AI48&lt;$F$10+$F$11,0.25,IF(AI48&lt;$F$10+$F$11+AG48,AH48,1)))*IF(AF48&gt;0,AF48,IF(AF47&gt;0,AF47,IF(AF46&gt;0,AF46,IF(AF45&gt;0,AF45,IF(AF44&gt;0,AF44,IF(AF43&gt;0,AF43,IF(AF42&gt;0,AF42,IF(AF41&gt;0,AF41,IF(AF40&gt;0,AF40,IF(AF38&gt;0,AF38,IF(AF37&gt;0,AF37,IF(AF36&gt;0,AF36,0)))))))))))),0)*(1-$S48)*'模拟-单技能数据'!$I$20</f>
        <v>0</v>
      </c>
      <c r="AK48" s="115" t="b">
        <f t="shared" ca="1" si="2"/>
        <v>0</v>
      </c>
      <c r="AL48" s="115" t="b">
        <f t="shared" ca="1" si="54"/>
        <v>0</v>
      </c>
      <c r="AM48" s="115">
        <f t="shared" ca="1" si="55"/>
        <v>3</v>
      </c>
      <c r="AN48" s="47">
        <f ca="1">IF(AK48,('模拟-单技能数据'!$D$21+G48*'模拟-单技能数据'!$F$21)*(1+J48)*(1+'模拟-单技能数据'!$J$21)*(1+U48),0)</f>
        <v>0</v>
      </c>
      <c r="AO48" s="61">
        <f ca="1">IF(AN48&gt;0,M48-'模拟-单技能数据'!$K$10,AO47)</f>
        <v>0.42185145527300216</v>
      </c>
      <c r="AP48" s="61">
        <f ca="1">IF(AN48&gt;0,I48-'模拟-单技能数据'!$L$10,AP47)</f>
        <v>2.162482885499879</v>
      </c>
      <c r="AQ48" s="63">
        <f t="shared" ca="1" si="28"/>
        <v>0.20206629418648292</v>
      </c>
      <c r="AR48" s="64">
        <f ca="1">IF(AL48,IF(AQ48&lt;$F$10,0,IF(AQ48&lt;$F$10+$F$11,0.25,IF(AQ48&lt;$F$10+$F$11+AO48,AP48,1)))*IF(AN48&gt;0,AN48,IF(AN47&gt;0,AN47,IF(AN46&gt;0,AN46,IF(AN45&gt;0,AN45,IF(AN44&gt;0,AN44,IF(AN43&gt;0,AN43,IF(AN42&gt;0,AN42,IF(AN41&gt;0,AN41,IF(AN40&gt;0,AN40,IF(AN38&gt;0,AN38,IF(AN37&gt;0,AN37,IF(AN36&gt;0,AN36,0)))))))))))),0)*(1-$S48)*'模拟-单技能数据'!$I$21</f>
        <v>0</v>
      </c>
      <c r="AS48" s="61">
        <f ca="1">IF(OR(C48="净世破魔击·日",C48="净世破魔击·月"),M48-'模拟-单技能数据'!$K$10,0)</f>
        <v>0.42185145527300216</v>
      </c>
      <c r="AT48" s="61">
        <f ca="1">IF(OR(C48="净世破魔击·日",C48="净世破魔击·月"),I48-'模拟-单技能数据'!$L$10,0)</f>
        <v>2.162482885499879</v>
      </c>
      <c r="AU48" s="62">
        <f t="shared" ca="1" si="29"/>
        <v>0.36543057957615244</v>
      </c>
      <c r="AV48" s="64">
        <f ca="1">IF(AS48&gt;0,('模拟-单技能数据'!$D$22+G48*'模拟-单技能数据'!$F$22)*(1+J48)*(1-S48)*IF(AU48&lt;$F$10,0,IF(AU48&lt;$F$10+$F$11,0.25,IF(AU48&lt;$F$10+$F$11+AS48,AT48,1)))*(1+U48),0)*'模拟-单技能数据'!$I$22</f>
        <v>18838.204835446006</v>
      </c>
      <c r="AW48" s="108">
        <f t="shared" ca="1" si="30"/>
        <v>10.775000000000006</v>
      </c>
      <c r="AX48" s="108" t="b">
        <f ca="1">AND(模拟模式!$P$10="有",AW47=0,RAND()&lt;IF(C48="净世破魔击·月",0.1*8/3,IF(C48="净世破魔击·日",0.1*4/3,0.1*2/3)))</f>
        <v>0</v>
      </c>
      <c r="AY48" s="47">
        <f ca="1">IF(AX48,(18+G48*0.722)*(1+J48)*(1-S48)*(1+$I$4)*IF(P48="会",'模拟-全程加成'!$J$3+'模拟-全程加成'!$J$4+'模拟-全程加成'!$J$5+('模拟-全程加成'!$I$4+'模拟-全程加成'!$I$5)/系数!$B$4+BG48*10%,IF(P48="命",1,IF(P48="识",0.25,0))),0)</f>
        <v>0</v>
      </c>
      <c r="AZ48" s="108">
        <f t="shared" si="31"/>
        <v>0.6275000000000065</v>
      </c>
      <c r="BA48" s="108" t="b">
        <f>AND(模拟模式!$Q$10="有",AZ47=0)</f>
        <v>0</v>
      </c>
      <c r="BB48" s="140">
        <f>IF(BA48,(0+G48*0.287)*(1+J48)*(1-S48)*(1+$I$4)*IF(P48="会",'模拟-全程加成'!$J$3+'模拟-全程加成'!$J$4+'模拟-全程加成'!$J$5+('模拟-全程加成'!$I$4+'模拟-全程加成'!$I$5)/系数!$B$4+BG48*10%,IF(P48="命",1,IF(P48="识",0.25,0))),0)</f>
        <v>0</v>
      </c>
      <c r="BC48" s="115" t="b">
        <f ca="1">AND(模拟模式!$R$7="伏明众生",E48=60,F48=20,DA48&lt;5,CZ47&lt;$F$4)</f>
        <v>0</v>
      </c>
      <c r="BD48" s="115">
        <f t="shared" ca="1" si="3"/>
        <v>0</v>
      </c>
      <c r="BE48" s="115" t="b">
        <f t="shared" ca="1" si="4"/>
        <v>0</v>
      </c>
      <c r="BF48" s="47">
        <f ca="1">IF(BC48,4*('模拟-单技能数据'!$D$24+G48*'模拟-单技能数据'!$F$24)*(1+J48)*(1+'模拟-单技能数据'!$J$24)*(1-S48)*(1+$I$3)*(('模拟-全程加成'!$J$3+'模拟-全程加成'!$J$4+'模拟-全程加成'!$J$5+('模拟-全程加成'!$I$4+'模拟-全程加成'!$I$5)/系数!$B$4+BG48*10%)*('模拟-全程加成'!$J$3+'模拟-全程加成'!$J$4+'模拟-全程加成'!$J$5+('模拟-全程加成'!$I$4+'模拟-全程加成'!$I$5)/系数!$B$4+BG48*10%)+(1-('模拟-全程加成'!$J$3+'模拟-全程加成'!$J$4+'模拟-全程加成'!$J$5+('模拟-全程加成'!$I$4+'模拟-全程加成'!$I$5)/系数!$B$4+BG48*10%)-$F$10-$F$11)+F34*0.25),0)*'模拟-单技能数据'!$I$24</f>
        <v>0</v>
      </c>
      <c r="BG48" s="115" t="b">
        <f ca="1">OR(AND(OR(C48="烈日斩",C48="银月斩"),模拟模式!$I$7="净身明礼"),AND(C48="净世破魔击·日",模拟模式!$J$7="洞若观火"),AND(C49="净世破魔击·月",模拟模式!$J$7="洞若观火"),AB48=1)</f>
        <v>1</v>
      </c>
      <c r="BH48" s="115" t="b">
        <f t="shared" ca="1" si="32"/>
        <v>0</v>
      </c>
      <c r="BI48" s="115">
        <f t="shared" ca="1" si="5"/>
        <v>1.3874999999999997</v>
      </c>
      <c r="BJ48" s="115" t="b">
        <f t="shared" ca="1" si="33"/>
        <v>1</v>
      </c>
      <c r="BK48" s="115" t="b">
        <f ca="1">AND(C48="驱夜断愁",模拟模式!$P$7="天地诛戮")</f>
        <v>0</v>
      </c>
      <c r="BL48" s="57">
        <f t="shared" ca="1" si="6"/>
        <v>17.232500000000002</v>
      </c>
      <c r="BM48" s="115" t="b">
        <f t="shared" ca="1" si="34"/>
        <v>1</v>
      </c>
      <c r="BN48" s="115" t="b">
        <f ca="1">AND(OR(C48="赤日轮1",C48="赤日轮2",C48="赤日轮3",C48="幽月轮1",C48="幽月轮2",C48="幽月轮3"),AB48=1,模拟模式!$L$7="明光恒照")</f>
        <v>0</v>
      </c>
      <c r="BO48" s="117">
        <f t="shared" ca="1" si="7"/>
        <v>29.077500000000001</v>
      </c>
      <c r="BP48" s="115">
        <f t="shared" ca="1" si="35"/>
        <v>6</v>
      </c>
      <c r="BQ48" s="115" t="b">
        <f>模拟模式!$K$10="2600·水"</f>
        <v>0</v>
      </c>
      <c r="BR48" s="117">
        <f t="shared" si="36"/>
        <v>0</v>
      </c>
      <c r="BS48" s="115">
        <f t="shared" si="37"/>
        <v>0</v>
      </c>
      <c r="BT48" s="115">
        <f t="shared" ca="1" si="38"/>
        <v>0</v>
      </c>
      <c r="BU48" s="115" t="b">
        <f ca="1">AND(模拟模式!$K$10="2300·雷",BT47=0,RAND()&lt;IF(C48="净世破魔击·月",5*0.05*2/3,IF(C48="净世破魔击·日",3*0.05*2/3,0.05*2*2/3)))</f>
        <v>0</v>
      </c>
      <c r="BV48" s="115">
        <f t="shared" ca="1" si="39"/>
        <v>0</v>
      </c>
      <c r="BW48" s="115">
        <f t="shared" ca="1" si="40"/>
        <v>166.1624999999998</v>
      </c>
      <c r="BX48" s="164" t="b">
        <f t="shared" ca="1" si="41"/>
        <v>0</v>
      </c>
      <c r="BY48" s="115">
        <f t="shared" ca="1" si="42"/>
        <v>1.1625000000000032</v>
      </c>
      <c r="BZ48" s="115">
        <f>IF(OR(模拟模式!$P$16="10人团",模拟模式!$P$16="25人团"),IF(B48/30&gt;CA47,1,0),0)</f>
        <v>0</v>
      </c>
      <c r="CA48" s="115">
        <f t="shared" si="8"/>
        <v>0</v>
      </c>
      <c r="CB48" s="115">
        <f ca="1">IF(BZ48=1,IF(模拟模式!$P$16="10人团",15,0)+IF(模拟模式!$P$16="25人团",IF(RAND()&lt;0.6,15,0)),MAX(0,CB47-$F$4))</f>
        <v>0</v>
      </c>
      <c r="CC48" s="115" t="b">
        <f t="shared" ca="1" si="43"/>
        <v>0</v>
      </c>
      <c r="CD48" s="115">
        <f>IF(模拟模式!$Q$16="1个",IF(B48/40&gt;CE47,1,0),0)</f>
        <v>0</v>
      </c>
      <c r="CE48" s="115">
        <f t="shared" si="44"/>
        <v>0</v>
      </c>
      <c r="CF48" s="115">
        <f>IF(OR(CD48=1,模拟模式!$Q$16="2个"),20,MAX(0,CF47-$F$4))</f>
        <v>0</v>
      </c>
      <c r="CG48" s="115" t="b">
        <f t="shared" si="45"/>
        <v>0</v>
      </c>
      <c r="CH48" s="115">
        <f t="shared" ca="1" si="46"/>
        <v>11.550000000000011</v>
      </c>
      <c r="CI48" s="115" t="b">
        <f t="shared" ca="1" si="47"/>
        <v>0</v>
      </c>
      <c r="CJ48" s="119">
        <f t="shared" ca="1" si="48"/>
        <v>0</v>
      </c>
      <c r="CK48" s="115">
        <f t="shared" ca="1" si="49"/>
        <v>0</v>
      </c>
      <c r="CL48" s="115" t="b">
        <f ca="1">AND(模拟模式!$S$7="驱夷逐法",OR(AND(C48="净世破魔击·月",E47&gt;59),AND(C48="净世破魔击·日",F47&gt;59)))</f>
        <v>1</v>
      </c>
      <c r="CM48" s="115" t="b">
        <f ca="1">OR(CL48,AND(C48="净世破魔击·日",CL47,RAND()&lt;模拟模式!$U$23))</f>
        <v>1</v>
      </c>
      <c r="CN48" s="115" t="b">
        <f ca="1">IF(模拟模式!$M$7="辉耀红尘",AND(C48="净世破魔击·月",CL48,CV48=0,E47&lt;80),AND(C48="净世破魔击·月",CL48,E47&lt;100))</f>
        <v>0</v>
      </c>
      <c r="CO48" s="115" t="b">
        <f t="shared" ca="1" si="9"/>
        <v>0</v>
      </c>
      <c r="CP48" s="115" t="b">
        <f ca="1">AND(模拟模式!$O$7="用晦而明",OR(C48="净世破魔击·日",C48="净世破魔击·月",C48="驱夜断愁"),AB48)</f>
        <v>1</v>
      </c>
      <c r="CQ48" s="115" t="b">
        <f ca="1">OR(CP48,AND(CP47,RAND()&lt;模拟模式!$U$23))</f>
        <v>1</v>
      </c>
      <c r="CR48" s="115" t="b">
        <f ca="1">AND(模拟模式!$S$7="日月齐光",OR(C48="幽月轮1",C48="幽月轮2",C48="幽月轮3",CR47),NOT(OR(C48="赤日轮1",C48="赤日轮2",C48="赤日轮3")))</f>
        <v>0</v>
      </c>
      <c r="CS48" s="115" t="b">
        <f ca="1">AND(模拟模式!$S$7="日月齐光",OR(C48="赤日轮1",C48="赤日轮2",C48="赤日轮3",CS47),NOT(OR(C48="幽月轮1",C48="幽月轮2",C48="幽月轮3")))</f>
        <v>0</v>
      </c>
      <c r="CT48" s="115">
        <f t="shared" ca="1" si="50"/>
        <v>0</v>
      </c>
      <c r="CU48" s="115" t="b">
        <f ca="1">AND(模拟模式!$K$10="阴阳往极",CT47=0,RAND()&lt;IF(C48="净世破魔击·月",0.0275*7/3,IF(C48="净世破魔击·日",0.0275*3/3,0.0275*2/3)))</f>
        <v>0</v>
      </c>
      <c r="CV48" s="115">
        <f t="shared" ca="1" si="51"/>
        <v>0</v>
      </c>
      <c r="CW48" s="115">
        <f t="shared" ca="1" si="10"/>
        <v>4.1549999999999994</v>
      </c>
      <c r="CX48" s="115">
        <f t="shared" ca="1" si="11"/>
        <v>2.3099999999999996</v>
      </c>
      <c r="CY48" s="115">
        <f ca="1">MAX(IF($C48="驱夜断愁",IF(模拟模式!$R$7="万念俱寂",6,45),CY47-$F$4),0)</f>
        <v>3.2324999999999995</v>
      </c>
      <c r="CZ48" s="115">
        <f t="shared" ca="1" si="12"/>
        <v>0</v>
      </c>
      <c r="DA48" s="115">
        <f ca="1">IF(模拟模式!$N$7="日月同辉",IF(DB47=2,0,MIN(6,IF(AND(OR(C48="赤日轮1",C48="赤日轮2",C48="赤日轮3",C48="幽月轮1",C48="幽月轮2",C48="幽月轮3"),AB48=1),DA47+1,DA47))),0)</f>
        <v>0</v>
      </c>
      <c r="DB48" s="115">
        <f t="shared" ca="1" si="13"/>
        <v>1</v>
      </c>
      <c r="DD48" s="115"/>
      <c r="DE48" s="115"/>
      <c r="DF48" s="115"/>
      <c r="DG48" s="115"/>
      <c r="DH48" s="115"/>
      <c r="DI48" s="115"/>
      <c r="DJ48" s="115"/>
      <c r="DK48" s="115"/>
      <c r="DL48" s="115"/>
      <c r="DM48" s="115"/>
    </row>
    <row r="49" spans="2:117" x14ac:dyDescent="0.2">
      <c r="B49" s="117">
        <f t="shared" si="14"/>
        <v>20.294999999999995</v>
      </c>
      <c r="C49" s="167" t="str">
        <f t="shared" ca="1" si="0"/>
        <v>净世破魔击·日</v>
      </c>
      <c r="D49" s="115">
        <f ca="1">IF(C49="赤日轮1",1,IF(C49="赤日轮2",2,IF(C49="赤日轮3",3,IF(C49="幽月轮1",4,IF(C49="幽月轮2",5,IF(C49="幽月轮3",6,IF(C49="烈日斩",7,IF(C49="银月斩",8,IF(C49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49="净世破魔击·月",17,IF(C49="驱夜断愁",18,0)))))))))))</f>
        <v>9</v>
      </c>
      <c r="E49" s="115">
        <f ca="1">IF(AND(CU49,OR(C49="幽月轮1",C49="幽月轮2",C49="幽月轮3",C49="银月斩",C49="驱夜断愁",C49="净世破魔击·月")),100,MIN(IF(OR(CN49,BE49),0,IF(OR($C49="赤日轮1",$C49="赤日轮2",$C49="赤日轮3"),E48+20+IF(模拟模式!$I$7="日月凌天",4,0)+IF(CR48,20,0),IF($C49="烈日斩",E48+40,IF($C49="驱夜断愁",IF(模拟模式!$R$7="万念俱寂",E48+20,E48+60),IF($C49="净世破魔击·月",IF(OR(DB48&gt;0,CV48&gt;0),100,IF(模拟模式!$M$7="辉耀红尘",E48+20,E48)),IF($C49="净世破魔击·日",E48-100,E48)))))),100))</f>
        <v>0</v>
      </c>
      <c r="F49" s="115">
        <f ca="1">IF(AND(CU49,OR(C49="赤日轮1",C49="赤日轮2",C49="赤日轮3",C49="烈日斩",C49="净世破魔击·日")),100,MIN(IF(CO49,0,IF(OR($C49="幽月轮1",$C49="幽月轮2",$C49="幽月轮3"),F48+20+IF(模拟模式!$I$7="日月凌天",4,0)+IF(CS48,20,0),IF($C49="银月斩",F48+40+IF(模拟模式!$X$12=1,5,0),IF($C49="驱夜断愁",IF(模拟模式!$R$7="万念俱寂",F48+20,F48+60),IF($C49="净世破魔击·月",IF(模拟模式!$M$7="辉耀红尘",F48-80,F48-100),IF(AND(C49="净世破魔击·日",OR(DB48&gt;0,CV48&gt;0)),100,F48)))))),100))</f>
        <v>100</v>
      </c>
      <c r="G49" s="117">
        <f ca="1">('模拟-全程加成'!$E$3+'模拟-全程加成'!$E$4+'模拟-全程加成'!$E$5+('模拟-全程加成'!$C$6-'模拟-全程加成'!$C$3)*系数!$B$9+BS49*23)*(1+'模拟-全程加成'!$F$4+'模拟-全程加成'!$F$5+BJ49*10%+BM49*20%+BP49*4%+CG49*30%)+$F$7*系数!$B$12</f>
        <v>21493.829400000002</v>
      </c>
      <c r="H49" s="45">
        <f ca="1">'模拟-全程加成'!$H$3+'模拟-全程加成'!$H$4+'模拟-全程加成'!$H$5+('模拟-全程加成'!$G$4+'模拟-全程加成'!$G$5+('模拟-全程加成'!$C$6-'模拟-全程加成'!$C$3)*系数!$B$13)/系数!$B$3+LOOKUP(D49,'模拟-单技能数据'!$A$2:$A$19,'模拟-单技能数据'!$K$2:$K$19)+BG49*10%+IF(BV49&gt;0,378,0)</f>
        <v>0.54185145527300216</v>
      </c>
      <c r="I49" s="45">
        <f ca="1">'模拟-全程加成'!$J$3+'模拟-全程加成'!$J$4+'模拟-全程加成'!$J$5+('模拟-全程加成'!$I$4+'模拟-全程加成'!$I$5)/系数!$B$4+LOOKUP(D49,'模拟-单技能数据'!$A$2:$A$19,'模拟-单技能数据'!$L$2:$L$19)+BG49*10%</f>
        <v>2.162482885499879</v>
      </c>
      <c r="J49" s="45">
        <f ca="1">(('模拟-全程加成'!$K$3+'模拟-全程加成'!$K$4+'模拟-全程加成'!$K$5+('模拟-全程加成'!$C$6-'模拟-全程加成'!$C$3)*系数!$B$10+IF(BV49&gt;0,882,0)+IF(BY49&gt;0,1831,0))*(1+'模拟-全程加成'!$L$4+'模拟-全程加成'!$L$5+CC49*20%))/系数!$B$5</f>
        <v>0.85832564669386491</v>
      </c>
      <c r="K49" s="119">
        <f ca="1">LOOKUP(D49,'模拟-单技能数据'!$A$2:$A$19,'模拟-单技能数据'!$J$2:$J$19)+IF(CM49,60%,0)+IF(DB48-DB49&gt;0,30%,0)+IF(OR(AND(OR(C49="赤日轮1",C49="赤日轮2",C49="赤日轮3"),CR49),AND(OR(C49="幽月轮1",C49="幽月轮2",C49="幽月轮3"),CS49)),35%,0)+CJ49</f>
        <v>1.1000000000000001</v>
      </c>
      <c r="L49" s="119">
        <f ca="1">IF(AND(C49="烈日斩",模拟模式!$X$11=1),10%,0)+IF(AND(C49="驱夜断愁",AB49=1),30%,0)</f>
        <v>0</v>
      </c>
      <c r="M49" s="45">
        <f t="shared" ca="1" si="15"/>
        <v>0.54185145527300216</v>
      </c>
      <c r="N49" s="45">
        <f t="shared" ca="1" si="16"/>
        <v>0.40424854472699789</v>
      </c>
      <c r="O49" s="46">
        <f t="shared" ca="1" si="17"/>
        <v>6.8897457317457222E-2</v>
      </c>
      <c r="P49" s="46" t="str">
        <f t="shared" ca="1" si="18"/>
        <v>会</v>
      </c>
      <c r="Q49" s="45">
        <f t="shared" ca="1" si="19"/>
        <v>2.162482885499879</v>
      </c>
      <c r="R49" s="117">
        <f ca="1">模拟模式!$E$20*(1-IF(模拟模式!$J$19="有",0.15,0))*(1-IF(模拟模式!$K$19="有",0.3,0)-IF(CQ49,0.5,0))</f>
        <v>843.02999999999975</v>
      </c>
      <c r="S49" s="45">
        <f ca="1">R49/(R49+(185*模拟模式!$E$22-16800)*4.08224)</f>
        <v>8.389626085980037E-2</v>
      </c>
      <c r="T49" s="45" t="str">
        <f ca="1">LOOKUP(D49,'模拟-单技能数据'!$A$2:$A$19,'模拟-单技能数据'!$H$2:$H$19)</f>
        <v>阳</v>
      </c>
      <c r="U49" s="119">
        <f t="shared" ca="1" si="20"/>
        <v>0.2</v>
      </c>
      <c r="V49" s="47">
        <f ca="1">(1+L49)*(LOOKUP(D49,'模拟-单技能数据'!$A$2:$A$19,'模拟-单技能数据'!$D$2:$D$19)+G49*LOOKUP(D49,'模拟-单技能数据'!$A$2:$A$19,'模拟-单技能数据'!$F$2:$F$19))*(1+J49)*(1+K49)*(1-S49)*(1+U49)*Q49*LOOKUP(D49,'模拟-单技能数据'!$A$2:$A$19,'模拟-单技能数据'!$I$2:$I$20)</f>
        <v>261251.05451477368</v>
      </c>
      <c r="W49" s="47">
        <f ca="1">LOOKUP(D49,'模拟-单技能数据'!$A$2:$A$19,'模拟-单技能数据'!$G$2:$G$19)*$I$10</f>
        <v>723.0212870940959</v>
      </c>
      <c r="X49" s="47">
        <f t="shared" ca="1" si="21"/>
        <v>23386.14900545829</v>
      </c>
      <c r="Y49" s="47">
        <f t="shared" ca="1" si="22"/>
        <v>285360.2248073261</v>
      </c>
      <c r="Z49" s="49">
        <f t="shared" ca="1" si="23"/>
        <v>2314748.8023646232</v>
      </c>
      <c r="AA49" s="97">
        <f t="shared" ca="1" si="24"/>
        <v>114055.12699505415</v>
      </c>
      <c r="AB49" s="115">
        <f ca="1">IF(OR(C49="赤日轮1",C49="赤日轮2",C49="赤日轮3"),IF(RAND()&lt;模拟模式!$Y$17,1,0),IF(OR(C49="幽月轮1",C49="幽月轮2",C49="幽月轮3"),IF(RAND()&lt;模拟模式!$Y$18,1,0),IF(C49="烈日斩",IF(RAND()&lt;模拟模式!$Y$19,1,0),IF(C49="银月斩",IF(RAND()&lt;模拟模式!$Y$20,1,0),IF(C49="驱夜断愁",IF(RAND()&lt;模拟模式!$Y$21,1,0),IF(C49="净世破魔击·日",IF(RAND()&lt;模拟模式!$Y$22,1,0),IF(C49="净世破魔击·月",IF(RAND()&lt;模拟模式!$Y$23,1,0),0)))))))</f>
        <v>1</v>
      </c>
      <c r="AC49" s="115" t="b">
        <f t="shared" ca="1" si="1"/>
        <v>0</v>
      </c>
      <c r="AD49" s="115" t="b">
        <f t="shared" ca="1" si="52"/>
        <v>1</v>
      </c>
      <c r="AE49" s="115">
        <f t="shared" ca="1" si="53"/>
        <v>3</v>
      </c>
      <c r="AF49" s="47">
        <f ca="1">IF(AC49,('模拟-单技能数据'!$D$20+G49*'模拟-单技能数据'!$F$20)*(1+J49)*(1+'模拟-单技能数据'!$J$20)*(1+U49),0)</f>
        <v>0</v>
      </c>
      <c r="AG49" s="61">
        <f t="shared" ca="1" si="25"/>
        <v>0.64185145527300214</v>
      </c>
      <c r="AH49" s="61">
        <f t="shared" ca="1" si="26"/>
        <v>2.2624828854998791</v>
      </c>
      <c r="AI49" s="62">
        <f t="shared" ca="1" si="27"/>
        <v>0.24302689467037675</v>
      </c>
      <c r="AJ49" s="47">
        <f ca="1">IF(AD49,IF(AI49&lt;$F$10,0,IF(AI49&lt;$F$10+$F$11,0.25,IF(AI49&lt;$F$10+$F$11+AG49,AH49,1)))*IF(AF49&gt;0,AF49,IF(AF48&gt;0,AF48,IF(AF47&gt;0,AF47,IF(AF46&gt;0,AF46,IF(AF45&gt;0,AF45,IF(AF44&gt;0,AF44,IF(AF43&gt;0,AF43,IF(AF42&gt;0,AF42,IF(AF41&gt;0,AF41,IF(AF39&gt;0,AF39,IF(AF38&gt;0,AF38,IF(AF37&gt;0,AF37,0)))))))))))),0)*(1-$S49)*'模拟-单技能数据'!$I$20</f>
        <v>10529.42579515034</v>
      </c>
      <c r="AK49" s="115" t="b">
        <f t="shared" ca="1" si="2"/>
        <v>1</v>
      </c>
      <c r="AL49" s="115" t="b">
        <f t="shared" ca="1" si="54"/>
        <v>1</v>
      </c>
      <c r="AM49" s="115">
        <f t="shared" ca="1" si="55"/>
        <v>5</v>
      </c>
      <c r="AN49" s="47">
        <f ca="1">IF(AK49,('模拟-单技能数据'!$D$21+G49*'模拟-单技能数据'!$F$21)*(1+J49)*(1+'模拟-单技能数据'!$J$21)*(1+U49),0)</f>
        <v>13873.602732077619</v>
      </c>
      <c r="AO49" s="61">
        <f ca="1">IF(AN49&gt;0,M49-'模拟-单技能数据'!$K$10,AO48)</f>
        <v>0.42185145527300216</v>
      </c>
      <c r="AP49" s="61">
        <f ca="1">IF(AN49&gt;0,I49-'模拟-单技能数据'!$L$10,AP48)</f>
        <v>2.162482885499879</v>
      </c>
      <c r="AQ49" s="63">
        <f t="shared" ca="1" si="28"/>
        <v>3.086079242051476E-2</v>
      </c>
      <c r="AR49" s="64">
        <f ca="1">IF(AL49,IF(AQ49&lt;$F$10,0,IF(AQ49&lt;$F$10+$F$11,0.25,IF(AQ49&lt;$F$10+$F$11+AO49,AP49,1)))*IF(AN49&gt;0,AN49,IF(AN48&gt;0,AN48,IF(AN47&gt;0,AN47,IF(AN46&gt;0,AN46,IF(AN45&gt;0,AN45,IF(AN44&gt;0,AN44,IF(AN43&gt;0,AN43,IF(AN42&gt;0,AN42,IF(AN41&gt;0,AN41,IF(AN39&gt;0,AN39,IF(AN38&gt;0,AN38,IF(AN37&gt;0,AN37,0)))))))))))),0)*(1-$S49)*'模拟-单技能数据'!$I$21</f>
        <v>3177.4148345504991</v>
      </c>
      <c r="AS49" s="61">
        <f ca="1">IF(OR(C49="净世破魔击·日",C49="净世破魔击·月"),M49-'模拟-单技能数据'!$K$10,0)</f>
        <v>0.42185145527300216</v>
      </c>
      <c r="AT49" s="61">
        <f ca="1">IF(OR(C49="净世破魔击·日",C49="净世破魔击·月"),I49-'模拟-单技能数据'!$L$10,0)</f>
        <v>2.162482885499879</v>
      </c>
      <c r="AU49" s="62">
        <f t="shared" ca="1" si="29"/>
        <v>0.83920241558838593</v>
      </c>
      <c r="AV49" s="64">
        <f ca="1">IF(AS49&gt;0,('模拟-单技能数据'!$D$22+G49*'模拟-单技能数据'!$F$22)*(1+J49)*(1-S49)*IF(AU49&lt;$F$10,0,IF(AU49&lt;$F$10+$F$11,0.25,IF(AU49&lt;$F$10+$F$11+AS49,AT49,1)))*(1+U49),0)*'模拟-单技能数据'!$I$22</f>
        <v>9679.3083757574495</v>
      </c>
      <c r="AW49" s="108">
        <f t="shared" ca="1" si="30"/>
        <v>9.8525000000000063</v>
      </c>
      <c r="AX49" s="108" t="b">
        <f ca="1">AND(模拟模式!$P$10="有",AW48=0,RAND()&lt;IF(C49="净世破魔击·月",0.1*8/3,IF(C49="净世破魔击·日",0.1*4/3,0.1*2/3)))</f>
        <v>0</v>
      </c>
      <c r="AY49" s="47">
        <f ca="1">IF(AX49,(18+G49*0.722)*(1+J49)*(1-S49)*(1+$I$4)*IF(P49="会",'模拟-全程加成'!$J$3+'模拟-全程加成'!$J$4+'模拟-全程加成'!$J$5+('模拟-全程加成'!$I$4+'模拟-全程加成'!$I$5)/系数!$B$4+BG49*10%,IF(P49="命",1,IF(P49="识",0.25,0))),0)</f>
        <v>0</v>
      </c>
      <c r="AZ49" s="108">
        <f t="shared" si="31"/>
        <v>0</v>
      </c>
      <c r="BA49" s="108" t="b">
        <f>AND(模拟模式!$Q$10="有",AZ48=0)</f>
        <v>0</v>
      </c>
      <c r="BB49" s="140">
        <f>IF(BA49,(0+G49*0.287)*(1+J49)*(1-S49)*(1+$I$4)*IF(P49="会",'模拟-全程加成'!$J$3+'模拟-全程加成'!$J$4+'模拟-全程加成'!$J$5+('模拟-全程加成'!$I$4+'模拟-全程加成'!$I$5)/系数!$B$4+BG49*10%,IF(P49="命",1,IF(P49="识",0.25,0))),0)</f>
        <v>0</v>
      </c>
      <c r="BC49" s="115" t="b">
        <f ca="1">AND(模拟模式!$R$7="伏明众生",E49=60,F49=20,DA49&lt;5,CZ48&lt;$F$4)</f>
        <v>0</v>
      </c>
      <c r="BD49" s="115">
        <f t="shared" ca="1" si="3"/>
        <v>0</v>
      </c>
      <c r="BE49" s="115" t="b">
        <f t="shared" ca="1" si="4"/>
        <v>0</v>
      </c>
      <c r="BF49" s="47">
        <f ca="1">IF(BC49,4*('模拟-单技能数据'!$D$24+G49*'模拟-单技能数据'!$F$24)*(1+J49)*(1+'模拟-单技能数据'!$J$24)*(1-S49)*(1+$I$3)*(('模拟-全程加成'!$J$3+'模拟-全程加成'!$J$4+'模拟-全程加成'!$J$5+('模拟-全程加成'!$I$4+'模拟-全程加成'!$I$5)/系数!$B$4+BG49*10%)*('模拟-全程加成'!$J$3+'模拟-全程加成'!$J$4+'模拟-全程加成'!$J$5+('模拟-全程加成'!$I$4+'模拟-全程加成'!$I$5)/系数!$B$4+BG49*10%)+(1-('模拟-全程加成'!$J$3+'模拟-全程加成'!$J$4+'模拟-全程加成'!$J$5+('模拟-全程加成'!$I$4+'模拟-全程加成'!$I$5)/系数!$B$4+BG49*10%)-$F$10-$F$11)+F35*0.25),0)*'模拟-单技能数据'!$I$24</f>
        <v>0</v>
      </c>
      <c r="BG49" s="115" t="b">
        <f ca="1">OR(AND(OR(C49="烈日斩",C49="银月斩"),模拟模式!$I$7="净身明礼"),AND(C49="净世破魔击·日",模拟模式!$J$7="洞若观火"),AND(C50="净世破魔击·月",模拟模式!$J$7="洞若观火"),AB49=1)</f>
        <v>1</v>
      </c>
      <c r="BH49" s="115" t="b">
        <f t="shared" ca="1" si="32"/>
        <v>0</v>
      </c>
      <c r="BI49" s="115">
        <f t="shared" ca="1" si="5"/>
        <v>0.46499999999999975</v>
      </c>
      <c r="BJ49" s="115" t="b">
        <f t="shared" ca="1" si="33"/>
        <v>1</v>
      </c>
      <c r="BK49" s="115" t="b">
        <f ca="1">AND(C49="驱夜断愁",模拟模式!$P$7="天地诛戮")</f>
        <v>0</v>
      </c>
      <c r="BL49" s="57">
        <f t="shared" ca="1" si="6"/>
        <v>16.310000000000002</v>
      </c>
      <c r="BM49" s="115" t="b">
        <f t="shared" ca="1" si="34"/>
        <v>1</v>
      </c>
      <c r="BN49" s="115" t="b">
        <f ca="1">AND(OR(C49="赤日轮1",C49="赤日轮2",C49="赤日轮3",C49="幽月轮1",C49="幽月轮2",C49="幽月轮3"),AB49=1,模拟模式!$L$7="明光恒照")</f>
        <v>0</v>
      </c>
      <c r="BO49" s="117">
        <f t="shared" ca="1" si="7"/>
        <v>28.155000000000001</v>
      </c>
      <c r="BP49" s="115">
        <f t="shared" ca="1" si="35"/>
        <v>6</v>
      </c>
      <c r="BQ49" s="115" t="b">
        <f>模拟模式!$K$10="2600·水"</f>
        <v>0</v>
      </c>
      <c r="BR49" s="117">
        <f t="shared" si="36"/>
        <v>0</v>
      </c>
      <c r="BS49" s="115">
        <f t="shared" si="37"/>
        <v>0</v>
      </c>
      <c r="BT49" s="115">
        <f t="shared" ca="1" si="38"/>
        <v>0</v>
      </c>
      <c r="BU49" s="115" t="b">
        <f ca="1">AND(模拟模式!$K$10="2300·雷",BT48=0,RAND()&lt;IF(C49="净世破魔击·月",5*0.05*2/3,IF(C49="净世破魔击·日",3*0.05*2/3,0.05*2*2/3)))</f>
        <v>0</v>
      </c>
      <c r="BV49" s="115">
        <f t="shared" ca="1" si="39"/>
        <v>0</v>
      </c>
      <c r="BW49" s="115">
        <f t="shared" ca="1" si="40"/>
        <v>165.23999999999978</v>
      </c>
      <c r="BX49" s="164" t="b">
        <f t="shared" ca="1" si="41"/>
        <v>0</v>
      </c>
      <c r="BY49" s="115">
        <f t="shared" ca="1" si="42"/>
        <v>0.24000000000000321</v>
      </c>
      <c r="BZ49" s="115">
        <f>IF(OR(模拟模式!$P$16="10人团",模拟模式!$P$16="25人团"),IF(B49/30&gt;CA48,1,0),0)</f>
        <v>0</v>
      </c>
      <c r="CA49" s="115">
        <f t="shared" si="8"/>
        <v>0</v>
      </c>
      <c r="CB49" s="115">
        <f ca="1">IF(BZ49=1,IF(模拟模式!$P$16="10人团",15,0)+IF(模拟模式!$P$16="25人团",IF(RAND()&lt;0.6,15,0)),MAX(0,CB48-$F$4))</f>
        <v>0</v>
      </c>
      <c r="CC49" s="115" t="b">
        <f t="shared" ca="1" si="43"/>
        <v>0</v>
      </c>
      <c r="CD49" s="115">
        <f>IF(模拟模式!$Q$16="1个",IF(B49/40&gt;CE48,1,0),0)</f>
        <v>0</v>
      </c>
      <c r="CE49" s="115">
        <f t="shared" si="44"/>
        <v>0</v>
      </c>
      <c r="CF49" s="115">
        <f>IF(OR(CD49=1,模拟模式!$Q$16="2个"),20,MAX(0,CF48-$F$4))</f>
        <v>0</v>
      </c>
      <c r="CG49" s="115" t="b">
        <f t="shared" si="45"/>
        <v>0</v>
      </c>
      <c r="CH49" s="115">
        <f t="shared" ca="1" si="46"/>
        <v>10.627500000000012</v>
      </c>
      <c r="CI49" s="115" t="b">
        <f t="shared" ca="1" si="47"/>
        <v>0</v>
      </c>
      <c r="CJ49" s="119">
        <f t="shared" ca="1" si="48"/>
        <v>0</v>
      </c>
      <c r="CK49" s="115">
        <f t="shared" ca="1" si="49"/>
        <v>0</v>
      </c>
      <c r="CL49" s="115" t="b">
        <f ca="1">AND(模拟模式!$S$7="驱夷逐法",OR(AND(C49="净世破魔击·月",E48&gt;59),AND(C49="净世破魔击·日",F48&gt;59)))</f>
        <v>0</v>
      </c>
      <c r="CM49" s="115" t="b">
        <f ca="1">OR(CL49,AND(C49="净世破魔击·日",CL48,RAND()&lt;模拟模式!$U$23))</f>
        <v>1</v>
      </c>
      <c r="CN49" s="115" t="b">
        <f ca="1">IF(模拟模式!$M$7="辉耀红尘",AND(C49="净世破魔击·月",CL49,CV49=0,E48&lt;80),AND(C49="净世破魔击·月",CL49,E48&lt;100))</f>
        <v>0</v>
      </c>
      <c r="CO49" s="115" t="b">
        <f t="shared" ca="1" si="9"/>
        <v>0</v>
      </c>
      <c r="CP49" s="115" t="b">
        <f ca="1">AND(模拟模式!$O$7="用晦而明",OR(C49="净世破魔击·日",C49="净世破魔击·月",C49="驱夜断愁"),AB49)</f>
        <v>1</v>
      </c>
      <c r="CQ49" s="115" t="b">
        <f ca="1">OR(CP49,AND(CP48,RAND()&lt;模拟模式!$U$23))</f>
        <v>1</v>
      </c>
      <c r="CR49" s="115" t="b">
        <f ca="1">AND(模拟模式!$S$7="日月齐光",OR(C49="幽月轮1",C49="幽月轮2",C49="幽月轮3",CR48),NOT(OR(C49="赤日轮1",C49="赤日轮2",C49="赤日轮3")))</f>
        <v>0</v>
      </c>
      <c r="CS49" s="115" t="b">
        <f ca="1">AND(模拟模式!$S$7="日月齐光",OR(C49="赤日轮1",C49="赤日轮2",C49="赤日轮3",CS48),NOT(OR(C49="幽月轮1",C49="幽月轮2",C49="幽月轮3")))</f>
        <v>0</v>
      </c>
      <c r="CT49" s="115">
        <f t="shared" ca="1" si="50"/>
        <v>0</v>
      </c>
      <c r="CU49" s="115" t="b">
        <f ca="1">AND(模拟模式!$K$10="阴阳往极",CT48=0,RAND()&lt;IF(C49="净世破魔击·月",0.0275*7/3,IF(C49="净世破魔击·日",0.0275*3/3,0.0275*2/3)))</f>
        <v>0</v>
      </c>
      <c r="CV49" s="115">
        <f t="shared" ca="1" si="51"/>
        <v>0</v>
      </c>
      <c r="CW49" s="115">
        <f t="shared" ca="1" si="10"/>
        <v>3.2324999999999995</v>
      </c>
      <c r="CX49" s="115">
        <f t="shared" ca="1" si="11"/>
        <v>1.3874999999999997</v>
      </c>
      <c r="CY49" s="115">
        <f ca="1">MAX(IF($C49="驱夜断愁",IF(模拟模式!$R$7="万念俱寂",6,45),CY48-$F$4),0)</f>
        <v>2.3099999999999996</v>
      </c>
      <c r="CZ49" s="115">
        <f t="shared" ca="1" si="12"/>
        <v>0</v>
      </c>
      <c r="DA49" s="115">
        <f ca="1">IF(模拟模式!$N$7="日月同辉",IF(DB48=2,0,MIN(6,IF(AND(OR(C49="赤日轮1",C49="赤日轮2",C49="赤日轮3",C49="幽月轮1",C49="幽月轮2",C49="幽月轮3"),AB49=1),DA48+1,DA48))),0)</f>
        <v>0</v>
      </c>
      <c r="DB49" s="115">
        <f t="shared" ca="1" si="13"/>
        <v>0</v>
      </c>
      <c r="DD49" s="115"/>
      <c r="DE49" s="115"/>
      <c r="DF49" s="115"/>
      <c r="DG49" s="115"/>
      <c r="DH49" s="115"/>
      <c r="DI49" s="115"/>
      <c r="DJ49" s="115"/>
      <c r="DK49" s="115"/>
      <c r="DL49" s="115"/>
      <c r="DM49" s="115"/>
    </row>
    <row r="50" spans="2:117" x14ac:dyDescent="0.2">
      <c r="B50" s="117">
        <f t="shared" si="14"/>
        <v>21.217499999999994</v>
      </c>
      <c r="C50" s="167" t="str">
        <f t="shared" ca="1" si="0"/>
        <v>净世破魔击·月</v>
      </c>
      <c r="D50" s="115">
        <f ca="1">IF(C50="赤日轮1",1,IF(C50="赤日轮2",2,IF(C50="赤日轮3",3,IF(C50="幽月轮1",4,IF(C50="幽月轮2",5,IF(C50="幽月轮3",6,IF(C50="烈日斩",7,IF(C50="银月斩",8,IF(C50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50="净世破魔击·月",17,IF(C50="驱夜断愁",18,0)))))))))))</f>
        <v>17</v>
      </c>
      <c r="E50" s="115">
        <f ca="1">IF(AND(CU50,OR(C50="幽月轮1",C50="幽月轮2",C50="幽月轮3",C50="银月斩",C50="驱夜断愁",C50="净世破魔击·月")),100,MIN(IF(OR(CN50,BE50),0,IF(OR($C50="赤日轮1",$C50="赤日轮2",$C50="赤日轮3"),E49+20+IF(模拟模式!$I$7="日月凌天",4,0)+IF(CR49,20,0),IF($C50="烈日斩",E49+40,IF($C50="驱夜断愁",IF(模拟模式!$R$7="万念俱寂",E49+20,E49+60),IF($C50="净世破魔击·月",IF(OR(DB49&gt;0,CV49&gt;0),100,IF(模拟模式!$M$7="辉耀红尘",E49+20,E49)),IF($C50="净世破魔击·日",E49-100,E49)))))),100))</f>
        <v>20</v>
      </c>
      <c r="F50" s="115">
        <f ca="1">IF(AND(CU50,OR(C50="赤日轮1",C50="赤日轮2",C50="赤日轮3",C50="烈日斩",C50="净世破魔击·日")),100,MIN(IF(CO50,0,IF(OR($C50="幽月轮1",$C50="幽月轮2",$C50="幽月轮3"),F49+20+IF(模拟模式!$I$7="日月凌天",4,0)+IF(CS49,20,0),IF($C50="银月斩",F49+40+IF(模拟模式!$X$12=1,5,0),IF($C50="驱夜断愁",IF(模拟模式!$R$7="万念俱寂",F49+20,F49+60),IF($C50="净世破魔击·月",IF(模拟模式!$M$7="辉耀红尘",F49-80,F49-100),IF(AND(C50="净世破魔击·日",OR(DB49&gt;0,CV49&gt;0)),100,F49)))))),100))</f>
        <v>20</v>
      </c>
      <c r="G50" s="117">
        <f ca="1">('模拟-全程加成'!$E$3+'模拟-全程加成'!$E$4+'模拟-全程加成'!$E$5+('模拟-全程加成'!$C$6-'模拟-全程加成'!$C$3)*系数!$B$9+BS50*23)*(1+'模拟-全程加成'!$F$4+'模拟-全程加成'!$F$5+BJ50*10%+BM50*20%+BP50*4%+CG50*30%)+$F$7*系数!$B$12</f>
        <v>20583.127400000001</v>
      </c>
      <c r="H50" s="45">
        <f ca="1">'模拟-全程加成'!$H$3+'模拟-全程加成'!$H$4+'模拟-全程加成'!$H$5+('模拟-全程加成'!$G$4+'模拟-全程加成'!$G$5+('模拟-全程加成'!$C$6-'模拟-全程加成'!$C$3)*系数!$B$13)/系数!$B$3+LOOKUP(D50,'模拟-单技能数据'!$A$2:$A$19,'模拟-单技能数据'!$K$2:$K$19)+BG50*10%+IF(BV50&gt;0,378,0)</f>
        <v>0.54185145527300216</v>
      </c>
      <c r="I50" s="45">
        <f ca="1">'模拟-全程加成'!$J$3+'模拟-全程加成'!$J$4+'模拟-全程加成'!$J$5+('模拟-全程加成'!$I$4+'模拟-全程加成'!$I$5)/系数!$B$4+LOOKUP(D50,'模拟-单技能数据'!$A$2:$A$19,'模拟-单技能数据'!$L$2:$L$19)+BG50*10%</f>
        <v>2.162482885499879</v>
      </c>
      <c r="J50" s="45">
        <f ca="1">(('模拟-全程加成'!$K$3+'模拟-全程加成'!$K$4+'模拟-全程加成'!$K$5+('模拟-全程加成'!$C$6-'模拟-全程加成'!$C$3)*系数!$B$10+IF(BV50&gt;0,882,0)+IF(BY50&gt;0,1831,0))*(1+'模拟-全程加成'!$L$4+'模拟-全程加成'!$L$5+CC50*20%))/系数!$B$5</f>
        <v>0.69723220422048726</v>
      </c>
      <c r="K50" s="119">
        <f ca="1">LOOKUP(D50,'模拟-单技能数据'!$A$2:$A$19,'模拟-单技能数据'!$J$2:$J$19)+IF(CM50,60%,0)+IF(DB49-DB50&gt;0,30%,0)+IF(OR(AND(OR(C50="赤日轮1",C50="赤日轮2",C50="赤日轮3"),CR50),AND(OR(C50="幽月轮1",C50="幽月轮2",C50="幽月轮3"),CS50)),35%,0)+CJ50</f>
        <v>0.2</v>
      </c>
      <c r="L50" s="119">
        <f ca="1">IF(AND(C50="烈日斩",模拟模式!$X$11=1),10%,0)+IF(AND(C50="驱夜断愁",AB50=1),30%,0)</f>
        <v>0</v>
      </c>
      <c r="M50" s="45">
        <f t="shared" ca="1" si="15"/>
        <v>0.54185145527300216</v>
      </c>
      <c r="N50" s="45">
        <f t="shared" ca="1" si="16"/>
        <v>0.40424854472699789</v>
      </c>
      <c r="O50" s="46">
        <f t="shared" ca="1" si="17"/>
        <v>0.18853201833730071</v>
      </c>
      <c r="P50" s="46" t="str">
        <f t="shared" ca="1" si="18"/>
        <v>会</v>
      </c>
      <c r="Q50" s="45">
        <f t="shared" ca="1" si="19"/>
        <v>2.162482885499879</v>
      </c>
      <c r="R50" s="117">
        <f ca="1">模拟模式!$E$20*(1-IF(模拟模式!$J$19="有",0.15,0))*(1-IF(模拟模式!$K$19="有",0.3,0)-IF(CQ50,0.5,0))</f>
        <v>843.02999999999975</v>
      </c>
      <c r="S50" s="45">
        <f ca="1">R50/(R50+(185*模拟模式!$E$22-16800)*4.08224)</f>
        <v>8.389626085980037E-2</v>
      </c>
      <c r="T50" s="45" t="str">
        <f ca="1">LOOKUP(D50,'模拟-单技能数据'!$A$2:$A$19,'模拟-单技能数据'!$H$2:$H$19)</f>
        <v>阴</v>
      </c>
      <c r="U50" s="119">
        <f t="shared" ca="1" si="20"/>
        <v>0.08</v>
      </c>
      <c r="V50" s="47">
        <f ca="1">(1+L50)*(LOOKUP(D50,'模拟-单技能数据'!$A$2:$A$19,'模拟-单技能数据'!$D$2:$D$19)+G50*LOOKUP(D50,'模拟-单技能数据'!$A$2:$A$19,'模拟-单技能数据'!$F$2:$F$19))*(1+J50)*(1+K50)*(1-S50)*(1+U50)*Q50*LOOKUP(D50,'模拟-单技能数据'!$A$2:$A$19,'模拟-单技能数据'!$I$2:$I$20)</f>
        <v>116578.90677476654</v>
      </c>
      <c r="W50" s="47">
        <f ca="1">LOOKUP(D50,'模拟-单技能数据'!$A$2:$A$19,'模拟-单技能数据'!$G$2:$G$19)*$I$10</f>
        <v>361.51064354704795</v>
      </c>
      <c r="X50" s="47">
        <f t="shared" ca="1" si="21"/>
        <v>37971.582269951119</v>
      </c>
      <c r="Y50" s="47">
        <f t="shared" ca="1" si="22"/>
        <v>154911.99968826471</v>
      </c>
      <c r="Z50" s="49">
        <f t="shared" ca="1" si="23"/>
        <v>2469660.8020528881</v>
      </c>
      <c r="AA50" s="97">
        <f t="shared" ca="1" si="24"/>
        <v>116397.35133983215</v>
      </c>
      <c r="AB50" s="115">
        <f ca="1">IF(OR(C50="赤日轮1",C50="赤日轮2",C50="赤日轮3"),IF(RAND()&lt;模拟模式!$Y$17,1,0),IF(OR(C50="幽月轮1",C50="幽月轮2",C50="幽月轮3"),IF(RAND()&lt;模拟模式!$Y$18,1,0),IF(C50="烈日斩",IF(RAND()&lt;模拟模式!$Y$19,1,0),IF(C50="银月斩",IF(RAND()&lt;模拟模式!$Y$20,1,0),IF(C50="驱夜断愁",IF(RAND()&lt;模拟模式!$Y$21,1,0),IF(C50="净世破魔击·日",IF(RAND()&lt;模拟模式!$Y$22,1,0),IF(C50="净世破魔击·月",IF(RAND()&lt;模拟模式!$Y$23,1,0),0)))))))</f>
        <v>1</v>
      </c>
      <c r="AC50" s="115" t="b">
        <f t="shared" ca="1" si="1"/>
        <v>0</v>
      </c>
      <c r="AD50" s="115" t="b">
        <f t="shared" ca="1" si="52"/>
        <v>0</v>
      </c>
      <c r="AE50" s="115">
        <f t="shared" ca="1" si="53"/>
        <v>3</v>
      </c>
      <c r="AF50" s="47">
        <f ca="1">IF(AC50,('模拟-单技能数据'!$D$20+G50*'模拟-单技能数据'!$F$20)*(1+J50)*(1+'模拟-单技能数据'!$J$20)*(1+U50),0)</f>
        <v>0</v>
      </c>
      <c r="AG50" s="61">
        <f t="shared" ca="1" si="25"/>
        <v>0.64185145527300214</v>
      </c>
      <c r="AH50" s="61">
        <f t="shared" ca="1" si="26"/>
        <v>2.2624828854998791</v>
      </c>
      <c r="AI50" s="62">
        <f t="shared" ca="1" si="27"/>
        <v>0.91379175571393922</v>
      </c>
      <c r="AJ50" s="47">
        <f ca="1">IF(AD50,IF(AI50&lt;$F$10,0,IF(AI50&lt;$F$10+$F$11,0.25,IF(AI50&lt;$F$10+$F$11+AG50,AH50,1)))*IF(AF50&gt;0,AF50,IF(AF49&gt;0,AF49,IF(AF48&gt;0,AF48,IF(AF47&gt;0,AF47,IF(AF46&gt;0,AF46,IF(AF45&gt;0,AF45,IF(AF44&gt;0,AF44,IF(AF43&gt;0,AF43,IF(AF42&gt;0,AF42,IF(AF40&gt;0,AF40,IF(AF39&gt;0,AF39,IF(AF38&gt;0,AF38,0)))))))))))),0)*(1-$S50)*'模拟-单技能数据'!$I$20</f>
        <v>0</v>
      </c>
      <c r="AK50" s="115" t="b">
        <f t="shared" ca="1" si="2"/>
        <v>0</v>
      </c>
      <c r="AL50" s="115" t="b">
        <f t="shared" ca="1" si="54"/>
        <v>0</v>
      </c>
      <c r="AM50" s="115">
        <f t="shared" ca="1" si="55"/>
        <v>5</v>
      </c>
      <c r="AN50" s="47">
        <f ca="1">IF(AK50,('模拟-单技能数据'!$D$21+G50*'模拟-单技能数据'!$F$21)*(1+J50)*(1+'模拟-单技能数据'!$J$21)*(1+U50),0)</f>
        <v>0</v>
      </c>
      <c r="AO50" s="61">
        <f ca="1">IF(AN50&gt;0,M50-'模拟-单技能数据'!$K$10,AO49)</f>
        <v>0.42185145527300216</v>
      </c>
      <c r="AP50" s="61">
        <f ca="1">IF(AN50&gt;0,I50-'模拟-单技能数据'!$L$10,AP49)</f>
        <v>2.162482885499879</v>
      </c>
      <c r="AQ50" s="63">
        <f t="shared" ca="1" si="28"/>
        <v>0.81624118890608843</v>
      </c>
      <c r="AR50" s="64">
        <f ca="1">IF(AL50,IF(AQ50&lt;$F$10,0,IF(AQ50&lt;$F$10+$F$11,0.25,IF(AQ50&lt;$F$10+$F$11+AO50,AP50,1)))*IF(AN50&gt;0,AN50,IF(AN49&gt;0,AN49,IF(AN48&gt;0,AN48,IF(AN47&gt;0,AN47,IF(AN46&gt;0,AN46,IF(AN45&gt;0,AN45,IF(AN44&gt;0,AN44,IF(AN43&gt;0,AN43,IF(AN42&gt;0,AN42,IF(AN40&gt;0,AN40,IF(AN39&gt;0,AN39,IF(AN38&gt;0,AN38,0)))))))))))),0)*(1-$S50)*'模拟-单技能数据'!$I$21</f>
        <v>0</v>
      </c>
      <c r="AS50" s="61">
        <f ca="1">IF(OR(C50="净世破魔击·日",C50="净世破魔击·月"),M50-'模拟-单技能数据'!$K$10,0)</f>
        <v>0.42185145527300216</v>
      </c>
      <c r="AT50" s="61">
        <f ca="1">IF(OR(C50="净世破魔击·日",C50="净世破魔击·月"),I50-'模拟-单技能数据'!$L$10,0)</f>
        <v>2.162482885499879</v>
      </c>
      <c r="AU50" s="62">
        <f t="shared" ca="1" si="29"/>
        <v>0.46785785694672721</v>
      </c>
      <c r="AV50" s="64">
        <f ca="1">IF(AS50&gt;0,('模拟-单技能数据'!$D$22+G50*'模拟-单技能数据'!$F$22)*(1+J50)*(1-S50)*IF(AU50&lt;$F$10,0,IF(AU50&lt;$F$10+$F$11,0.25,IF(AU50&lt;$F$10+$F$11+AS50,AT50,1)))*(1+U50),0)*'模拟-单技能数据'!$I$22</f>
        <v>16520.1836685288</v>
      </c>
      <c r="AW50" s="108">
        <f t="shared" ca="1" si="30"/>
        <v>8.9300000000000068</v>
      </c>
      <c r="AX50" s="108" t="b">
        <f ca="1">AND(模拟模式!$P$10="有",AW49=0,RAND()&lt;IF(C50="净世破魔击·月",0.1*8/3,IF(C50="净世破魔击·日",0.1*4/3,0.1*2/3)))</f>
        <v>0</v>
      </c>
      <c r="AY50" s="47">
        <f ca="1">IF(AX50,(18+G50*0.722)*(1+J50)*(1-S50)*(1+$I$4)*IF(P50="会",'模拟-全程加成'!$J$3+'模拟-全程加成'!$J$4+'模拟-全程加成'!$J$5+('模拟-全程加成'!$I$4+'模拟-全程加成'!$I$5)/系数!$B$4+BG50*10%,IF(P50="命",1,IF(P50="识",0.25,0))),0)</f>
        <v>0</v>
      </c>
      <c r="AZ50" s="108">
        <f t="shared" si="31"/>
        <v>19.077500000000001</v>
      </c>
      <c r="BA50" s="108" t="b">
        <f>AND(模拟模式!$Q$10="有",AZ49=0)</f>
        <v>1</v>
      </c>
      <c r="BB50" s="140">
        <f ca="1">IF(BA50,(0+G50*0.287)*(1+J50)*(1-S50)*(1+$I$4)*IF(P50="会",'模拟-全程加成'!$J$3+'模拟-全程加成'!$J$4+'模拟-全程加成'!$J$5+('模拟-全程加成'!$I$4+'模拟-全程加成'!$I$5)/系数!$B$4+BG50*10%,IF(P50="命",1,IF(P50="识",0.25,0))),0)</f>
        <v>21451.398601422319</v>
      </c>
      <c r="BC50" s="115" t="b">
        <f ca="1">AND(模拟模式!$R$7="伏明众生",E50=60,F50=20,DA50&lt;5,CZ49&lt;$F$4)</f>
        <v>0</v>
      </c>
      <c r="BD50" s="115">
        <f t="shared" ca="1" si="3"/>
        <v>0</v>
      </c>
      <c r="BE50" s="115" t="b">
        <f t="shared" ca="1" si="4"/>
        <v>0</v>
      </c>
      <c r="BF50" s="47">
        <f ca="1">IF(BC50,4*('模拟-单技能数据'!$D$24+G50*'模拟-单技能数据'!$F$24)*(1+J50)*(1+'模拟-单技能数据'!$J$24)*(1-S50)*(1+$I$3)*(('模拟-全程加成'!$J$3+'模拟-全程加成'!$J$4+'模拟-全程加成'!$J$5+('模拟-全程加成'!$I$4+'模拟-全程加成'!$I$5)/系数!$B$4+BG50*10%)*('模拟-全程加成'!$J$3+'模拟-全程加成'!$J$4+'模拟-全程加成'!$J$5+('模拟-全程加成'!$I$4+'模拟-全程加成'!$I$5)/系数!$B$4+BG50*10%)+(1-('模拟-全程加成'!$J$3+'模拟-全程加成'!$J$4+'模拟-全程加成'!$J$5+('模拟-全程加成'!$I$4+'模拟-全程加成'!$I$5)/系数!$B$4+BG50*10%)-$F$10-$F$11)+F36*0.25),0)*'模拟-单技能数据'!$I$24</f>
        <v>0</v>
      </c>
      <c r="BG50" s="115" t="b">
        <f ca="1">OR(AND(OR(C50="烈日斩",C50="银月斩"),模拟模式!$I$7="净身明礼"),AND(C50="净世破魔击·日",模拟模式!$J$7="洞若观火"),AND(C51="净世破魔击·月",模拟模式!$J$7="洞若观火"),AB50=1)</f>
        <v>1</v>
      </c>
      <c r="BH50" s="115" t="b">
        <f t="shared" ca="1" si="32"/>
        <v>0</v>
      </c>
      <c r="BI50" s="115">
        <f t="shared" ca="1" si="5"/>
        <v>0</v>
      </c>
      <c r="BJ50" s="115" t="b">
        <f t="shared" ca="1" si="33"/>
        <v>0</v>
      </c>
      <c r="BK50" s="115" t="b">
        <f ca="1">AND(C50="驱夜断愁",模拟模式!$P$7="天地诛戮")</f>
        <v>0</v>
      </c>
      <c r="BL50" s="57">
        <f t="shared" ca="1" si="6"/>
        <v>15.387500000000003</v>
      </c>
      <c r="BM50" s="115" t="b">
        <f t="shared" ca="1" si="34"/>
        <v>1</v>
      </c>
      <c r="BN50" s="115" t="b">
        <f ca="1">AND(OR(C50="赤日轮1",C50="赤日轮2",C50="赤日轮3",C50="幽月轮1",C50="幽月轮2",C50="幽月轮3"),AB50=1,模拟模式!$L$7="明光恒照")</f>
        <v>0</v>
      </c>
      <c r="BO50" s="117">
        <f t="shared" ca="1" si="7"/>
        <v>27.232500000000002</v>
      </c>
      <c r="BP50" s="115">
        <f t="shared" ca="1" si="35"/>
        <v>6</v>
      </c>
      <c r="BQ50" s="115" t="b">
        <f>模拟模式!$K$10="2600·水"</f>
        <v>0</v>
      </c>
      <c r="BR50" s="117">
        <f t="shared" si="36"/>
        <v>0</v>
      </c>
      <c r="BS50" s="115">
        <f t="shared" si="37"/>
        <v>0</v>
      </c>
      <c r="BT50" s="115">
        <f t="shared" ca="1" si="38"/>
        <v>0</v>
      </c>
      <c r="BU50" s="115" t="b">
        <f ca="1">AND(模拟模式!$K$10="2300·雷",BT49=0,RAND()&lt;IF(C50="净世破魔击·月",5*0.05*2/3,IF(C50="净世破魔击·日",3*0.05*2/3,0.05*2*2/3)))</f>
        <v>0</v>
      </c>
      <c r="BV50" s="115">
        <f t="shared" ca="1" si="39"/>
        <v>0</v>
      </c>
      <c r="BW50" s="115">
        <f t="shared" ca="1" si="40"/>
        <v>164.31749999999977</v>
      </c>
      <c r="BX50" s="164" t="b">
        <f t="shared" ca="1" si="41"/>
        <v>0</v>
      </c>
      <c r="BY50" s="115">
        <f t="shared" ca="1" si="42"/>
        <v>0</v>
      </c>
      <c r="BZ50" s="115">
        <f>IF(OR(模拟模式!$P$16="10人团",模拟模式!$P$16="25人团"),IF(B50/30&gt;CA49,1,0),0)</f>
        <v>0</v>
      </c>
      <c r="CA50" s="115">
        <f t="shared" si="8"/>
        <v>0</v>
      </c>
      <c r="CB50" s="115">
        <f ca="1">IF(BZ50=1,IF(模拟模式!$P$16="10人团",15,0)+IF(模拟模式!$P$16="25人团",IF(RAND()&lt;0.6,15,0)),MAX(0,CB49-$F$4))</f>
        <v>0</v>
      </c>
      <c r="CC50" s="115" t="b">
        <f t="shared" ca="1" si="43"/>
        <v>0</v>
      </c>
      <c r="CD50" s="115">
        <f>IF(模拟模式!$Q$16="1个",IF(B50/40&gt;CE49,1,0),0)</f>
        <v>0</v>
      </c>
      <c r="CE50" s="115">
        <f t="shared" si="44"/>
        <v>0</v>
      </c>
      <c r="CF50" s="115">
        <f>IF(OR(CD50=1,模拟模式!$Q$16="2个"),20,MAX(0,CF49-$F$4))</f>
        <v>0</v>
      </c>
      <c r="CG50" s="115" t="b">
        <f t="shared" si="45"/>
        <v>0</v>
      </c>
      <c r="CH50" s="115">
        <f t="shared" ca="1" si="46"/>
        <v>9.7050000000000125</v>
      </c>
      <c r="CI50" s="115" t="b">
        <f t="shared" ca="1" si="47"/>
        <v>0</v>
      </c>
      <c r="CJ50" s="119">
        <f t="shared" ca="1" si="48"/>
        <v>0</v>
      </c>
      <c r="CK50" s="115">
        <f t="shared" ca="1" si="49"/>
        <v>0</v>
      </c>
      <c r="CL50" s="115" t="b">
        <f ca="1">AND(模拟模式!$S$7="驱夷逐法",OR(AND(C50="净世破魔击·月",E49&gt;59),AND(C50="净世破魔击·日",F49&gt;59)))</f>
        <v>0</v>
      </c>
      <c r="CM50" s="115" t="b">
        <f ca="1">OR(CL50,AND(C50="净世破魔击·日",CL49,RAND()&lt;模拟模式!$U$23))</f>
        <v>0</v>
      </c>
      <c r="CN50" s="115" t="b">
        <f ca="1">IF(模拟模式!$M$7="辉耀红尘",AND(C50="净世破魔击·月",CL50,CV50=0,E49&lt;80),AND(C50="净世破魔击·月",CL50,E49&lt;100))</f>
        <v>0</v>
      </c>
      <c r="CO50" s="115" t="b">
        <f t="shared" ca="1" si="9"/>
        <v>0</v>
      </c>
      <c r="CP50" s="115" t="b">
        <f ca="1">AND(模拟模式!$O$7="用晦而明",OR(C50="净世破魔击·日",C50="净世破魔击·月",C50="驱夜断愁"),AB50)</f>
        <v>1</v>
      </c>
      <c r="CQ50" s="115" t="b">
        <f ca="1">OR(CP50,AND(CP49,RAND()&lt;模拟模式!$U$23))</f>
        <v>1</v>
      </c>
      <c r="CR50" s="115" t="b">
        <f ca="1">AND(模拟模式!$S$7="日月齐光",OR(C50="幽月轮1",C50="幽月轮2",C50="幽月轮3",CR49),NOT(OR(C50="赤日轮1",C50="赤日轮2",C50="赤日轮3")))</f>
        <v>0</v>
      </c>
      <c r="CS50" s="115" t="b">
        <f ca="1">AND(模拟模式!$S$7="日月齐光",OR(C50="赤日轮1",C50="赤日轮2",C50="赤日轮3",CS49),NOT(OR(C50="幽月轮1",C50="幽月轮2",C50="幽月轮3")))</f>
        <v>0</v>
      </c>
      <c r="CT50" s="115">
        <f t="shared" ca="1" si="50"/>
        <v>0</v>
      </c>
      <c r="CU50" s="115" t="b">
        <f ca="1">AND(模拟模式!$K$10="阴阳往极",CT49=0,RAND()&lt;IF(C50="净世破魔击·月",0.0275*7/3,IF(C50="净世破魔击·日",0.0275*3/3,0.0275*2/3)))</f>
        <v>0</v>
      </c>
      <c r="CV50" s="115">
        <f t="shared" ca="1" si="51"/>
        <v>0</v>
      </c>
      <c r="CW50" s="115">
        <f t="shared" ca="1" si="10"/>
        <v>2.3099999999999996</v>
      </c>
      <c r="CX50" s="115">
        <f t="shared" ca="1" si="11"/>
        <v>0.46499999999999975</v>
      </c>
      <c r="CY50" s="115">
        <f ca="1">MAX(IF($C50="驱夜断愁",IF(模拟模式!$R$7="万念俱寂",6,45),CY49-$F$4),0)</f>
        <v>1.3874999999999997</v>
      </c>
      <c r="CZ50" s="115">
        <f t="shared" ca="1" si="12"/>
        <v>0</v>
      </c>
      <c r="DA50" s="115">
        <f ca="1">IF(模拟模式!$N$7="日月同辉",IF(DB49=2,0,MIN(6,IF(AND(OR(C50="赤日轮1",C50="赤日轮2",C50="赤日轮3",C50="幽月轮1",C50="幽月轮2",C50="幽月轮3"),AB50=1),DA49+1,DA49))),0)</f>
        <v>0</v>
      </c>
      <c r="DB50" s="115">
        <f t="shared" ca="1" si="13"/>
        <v>0</v>
      </c>
      <c r="DD50" s="115"/>
      <c r="DE50" s="115"/>
      <c r="DF50" s="115"/>
      <c r="DG50" s="115"/>
      <c r="DH50" s="115"/>
      <c r="DI50" s="115"/>
      <c r="DJ50" s="115"/>
      <c r="DK50" s="115"/>
      <c r="DL50" s="115"/>
      <c r="DM50" s="115"/>
    </row>
    <row r="51" spans="2:117" x14ac:dyDescent="0.2">
      <c r="B51" s="117">
        <f t="shared" si="14"/>
        <v>22.139999999999993</v>
      </c>
      <c r="C51" s="167" t="str">
        <f t="shared" ca="1" si="0"/>
        <v>银月斩</v>
      </c>
      <c r="D51" s="115">
        <f ca="1">IF(C51="赤日轮1",1,IF(C51="赤日轮2",2,IF(C51="赤日轮3",3,IF(C51="幽月轮1",4,IF(C51="幽月轮2",5,IF(C51="幽月轮3",6,IF(C51="烈日斩",7,IF(C51="银月斩",8,IF(C51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51="净世破魔击·月",17,IF(C51="驱夜断愁",18,0)))))))))))</f>
        <v>8</v>
      </c>
      <c r="E51" s="115">
        <f ca="1">IF(AND(CU51,OR(C51="幽月轮1",C51="幽月轮2",C51="幽月轮3",C51="银月斩",C51="驱夜断愁",C51="净世破魔击·月")),100,MIN(IF(OR(CN51,BE51),0,IF(OR($C51="赤日轮1",$C51="赤日轮2",$C51="赤日轮3"),E50+20+IF(模拟模式!$I$7="日月凌天",4,0)+IF(CR50,20,0),IF($C51="烈日斩",E50+40,IF($C51="驱夜断愁",IF(模拟模式!$R$7="万念俱寂",E50+20,E50+60),IF($C51="净世破魔击·月",IF(OR(DB50&gt;0,CV50&gt;0),100,IF(模拟模式!$M$7="辉耀红尘",E50+20,E50)),IF($C51="净世破魔击·日",E50-100,E50)))))),100))</f>
        <v>20</v>
      </c>
      <c r="F51" s="115">
        <f ca="1">IF(AND(CU51,OR(C51="赤日轮1",C51="赤日轮2",C51="赤日轮3",C51="烈日斩",C51="净世破魔击·日")),100,MIN(IF(CO51,0,IF(OR($C51="幽月轮1",$C51="幽月轮2",$C51="幽月轮3"),F50+20+IF(模拟模式!$I$7="日月凌天",4,0)+IF(CS50,20,0),IF($C51="银月斩",F50+40+IF(模拟模式!$X$12=1,5,0),IF($C51="驱夜断愁",IF(模拟模式!$R$7="万念俱寂",F50+20,F50+60),IF($C51="净世破魔击·月",IF(模拟模式!$M$7="辉耀红尘",F50-80,F50-100),IF(AND(C51="净世破魔击·日",OR(DB50&gt;0,CV50&gt;0)),100,F50)))))),100))</f>
        <v>65</v>
      </c>
      <c r="G51" s="117">
        <f ca="1">('模拟-全程加成'!$E$3+'模拟-全程加成'!$E$4+'模拟-全程加成'!$E$5+('模拟-全程加成'!$C$6-'模拟-全程加成'!$C$3)*系数!$B$9+BS51*23)*(1+'模拟-全程加成'!$F$4+'模拟-全程加成'!$F$5+BJ51*10%+BM51*20%+BP51*4%+CG51*30%)+$F$7*系数!$B$12</f>
        <v>20583.127400000001</v>
      </c>
      <c r="H51" s="45">
        <f ca="1">'模拟-全程加成'!$H$3+'模拟-全程加成'!$H$4+'模拟-全程加成'!$H$5+('模拟-全程加成'!$G$4+'模拟-全程加成'!$G$5+('模拟-全程加成'!$C$6-'模拟-全程加成'!$C$3)*系数!$B$13)/系数!$B$3+LOOKUP(D51,'模拟-单技能数据'!$A$2:$A$19,'模拟-单技能数据'!$K$2:$K$19)+BG51*10%+IF(BV51&gt;0,378,0)</f>
        <v>0.64185145527300214</v>
      </c>
      <c r="I51" s="45">
        <f ca="1">'模拟-全程加成'!$J$3+'模拟-全程加成'!$J$4+'模拟-全程加成'!$J$5+('模拟-全程加成'!$I$4+'模拟-全程加成'!$I$5)/系数!$B$4+LOOKUP(D51,'模拟-单技能数据'!$A$2:$A$19,'模拟-单技能数据'!$L$2:$L$19)+BG51*10%</f>
        <v>2.2624828854998791</v>
      </c>
      <c r="J51" s="45">
        <f ca="1">(('模拟-全程加成'!$K$3+'模拟-全程加成'!$K$4+'模拟-全程加成'!$K$5+('模拟-全程加成'!$C$6-'模拟-全程加成'!$C$3)*系数!$B$10+IF(BV51&gt;0,882,0)+IF(BY51&gt;0,1831,0))*(1+'模拟-全程加成'!$L$4+'模拟-全程加成'!$L$5+CC51*20%))/系数!$B$5</f>
        <v>0.69723220422048726</v>
      </c>
      <c r="K51" s="119">
        <f ca="1">LOOKUP(D51,'模拟-单技能数据'!$A$2:$A$19,'模拟-单技能数据'!$J$2:$J$19)+IF(CM51,60%,0)+IF(DB50-DB51&gt;0,30%,0)+IF(OR(AND(OR(C51="赤日轮1",C51="赤日轮2",C51="赤日轮3"),CR51),AND(OR(C51="幽月轮1",C51="幽月轮2",C51="幽月轮3"),CS51)),35%,0)+CJ51</f>
        <v>0.15</v>
      </c>
      <c r="L51" s="119">
        <f ca="1">IF(AND(C51="烈日斩",模拟模式!$X$11=1),10%,0)+IF(AND(C51="驱夜断愁",AB51=1),30%,0)</f>
        <v>0</v>
      </c>
      <c r="M51" s="45">
        <f t="shared" ca="1" si="15"/>
        <v>0.64185145527300214</v>
      </c>
      <c r="N51" s="45">
        <f t="shared" ca="1" si="16"/>
        <v>0.30424854472699792</v>
      </c>
      <c r="O51" s="46">
        <f t="shared" ca="1" si="17"/>
        <v>0.85305163858110256</v>
      </c>
      <c r="P51" s="46" t="str">
        <f t="shared" ca="1" si="18"/>
        <v>命</v>
      </c>
      <c r="Q51" s="45">
        <f t="shared" ca="1" si="19"/>
        <v>1</v>
      </c>
      <c r="R51" s="117">
        <f ca="1">模拟模式!$E$20*(1-IF(模拟模式!$J$19="有",0.15,0))*(1-IF(模拟模式!$K$19="有",0.3,0)-IF(CQ51,0.5,0))</f>
        <v>843.02999999999975</v>
      </c>
      <c r="S51" s="45">
        <f ca="1">R51/(R51+(185*模拟模式!$E$22-16800)*4.08224)</f>
        <v>8.389626085980037E-2</v>
      </c>
      <c r="T51" s="45" t="str">
        <f ca="1">LOOKUP(D51,'模拟-单技能数据'!$A$2:$A$19,'模拟-单技能数据'!$H$2:$H$19)</f>
        <v>阴</v>
      </c>
      <c r="U51" s="119">
        <f t="shared" ca="1" si="20"/>
        <v>0.08</v>
      </c>
      <c r="V51" s="47">
        <f ca="1">(1+L51)*(LOOKUP(D51,'模拟-单技能数据'!$A$2:$A$19,'模拟-单技能数据'!$D$2:$D$19)+G51*LOOKUP(D51,'模拟-单技能数据'!$A$2:$A$19,'模拟-单技能数据'!$F$2:$F$19))*(1+J51)*(1+K51)*(1-S51)*(1+U51)*Q51*LOOKUP(D51,'模拟-单技能数据'!$A$2:$A$19,'模拟-单技能数据'!$I$2:$I$20)</f>
        <v>21110.500523497569</v>
      </c>
      <c r="W51" s="47">
        <f ca="1">LOOKUP(D51,'模拟-单技能数据'!$A$2:$A$19,'模拟-单技能数据'!$G$2:$G$19)*$I$10</f>
        <v>361.51064354704795</v>
      </c>
      <c r="X51" s="47">
        <f t="shared" ca="1" si="21"/>
        <v>36703.355338021924</v>
      </c>
      <c r="Y51" s="47">
        <f t="shared" ca="1" si="22"/>
        <v>58175.366505066544</v>
      </c>
      <c r="Z51" s="49">
        <f t="shared" ca="1" si="23"/>
        <v>2527836.1685579545</v>
      </c>
      <c r="AA51" s="97">
        <f t="shared" ca="1" si="24"/>
        <v>114175.07536395462</v>
      </c>
      <c r="AB51" s="115">
        <f ca="1">IF(OR(C51="赤日轮1",C51="赤日轮2",C51="赤日轮3"),IF(RAND()&lt;模拟模式!$Y$17,1,0),IF(OR(C51="幽月轮1",C51="幽月轮2",C51="幽月轮3"),IF(RAND()&lt;模拟模式!$Y$18,1,0),IF(C51="烈日斩",IF(RAND()&lt;模拟模式!$Y$19,1,0),IF(C51="银月斩",IF(RAND()&lt;模拟模式!$Y$20,1,0),IF(C51="驱夜断愁",IF(RAND()&lt;模拟模式!$Y$21,1,0),IF(C51="净世破魔击·日",IF(RAND()&lt;模拟模式!$Y$22,1,0),IF(C51="净世破魔击·月",IF(RAND()&lt;模拟模式!$Y$23,1,0),0)))))))</f>
        <v>1</v>
      </c>
      <c r="AC51" s="115" t="b">
        <f t="shared" ca="1" si="1"/>
        <v>1</v>
      </c>
      <c r="AD51" s="115" t="b">
        <f t="shared" ca="1" si="52"/>
        <v>1</v>
      </c>
      <c r="AE51" s="115">
        <f t="shared" ca="1" si="53"/>
        <v>5</v>
      </c>
      <c r="AF51" s="47">
        <f ca="1">IF(AC51,('模拟-单技能数据'!$D$20+G51*'模拟-单技能数据'!$F$20)*(1+J51)*(1+'模拟-单技能数据'!$J$20)*(1+U51),0)</f>
        <v>4447.8565560098323</v>
      </c>
      <c r="AG51" s="61">
        <f t="shared" ca="1" si="25"/>
        <v>0.64185145527300214</v>
      </c>
      <c r="AH51" s="61">
        <f t="shared" ca="1" si="26"/>
        <v>2.2624828854998791</v>
      </c>
      <c r="AI51" s="62">
        <f t="shared" ca="1" si="27"/>
        <v>0.57576875788991855</v>
      </c>
      <c r="AJ51" s="47">
        <f ca="1">IF(AD51,IF(AI51&lt;$F$10,0,IF(AI51&lt;$F$10+$F$11,0.25,IF(AI51&lt;$F$10+$F$11+AG51,AH51,1)))*IF(AF51&gt;0,AF51,IF(AF50&gt;0,AF50,IF(AF49&gt;0,AF49,IF(AF48&gt;0,AF48,IF(AF47&gt;0,AF47,IF(AF46&gt;0,AF46,IF(AF45&gt;0,AF45,IF(AF44&gt;0,AF44,IF(AF43&gt;0,AF43,IF(AF41&gt;0,AF41,IF(AF40&gt;0,AF40,IF(AF39&gt;0,AF39,0)))))))))))),0)*(1-$S51)*'模拟-单技能数据'!$I$20</f>
        <v>9218.9345386263849</v>
      </c>
      <c r="AK51" s="115" t="b">
        <f t="shared" ca="1" si="2"/>
        <v>0</v>
      </c>
      <c r="AL51" s="115" t="b">
        <f t="shared" ca="1" si="54"/>
        <v>1</v>
      </c>
      <c r="AM51" s="115">
        <f t="shared" ca="1" si="55"/>
        <v>4</v>
      </c>
      <c r="AN51" s="47">
        <f ca="1">IF(AK51,('模拟-单技能数据'!$D$21+G51*'模拟-单技能数据'!$F$21)*(1+J51)*(1+'模拟-单技能数据'!$J$21)*(1+U51),0)</f>
        <v>0</v>
      </c>
      <c r="AO51" s="61">
        <f ca="1">IF(AN51&gt;0,M51-'模拟-单技能数据'!$K$10,AO50)</f>
        <v>0.42185145527300216</v>
      </c>
      <c r="AP51" s="61">
        <f ca="1">IF(AN51&gt;0,I51-'模拟-单技能数据'!$L$10,AP50)</f>
        <v>2.162482885499879</v>
      </c>
      <c r="AQ51" s="63">
        <f t="shared" ca="1" si="28"/>
        <v>0.10899461789417708</v>
      </c>
      <c r="AR51" s="64">
        <f ca="1">IF(AL51,IF(AQ51&lt;$F$10,0,IF(AQ51&lt;$F$10+$F$11,0.25,IF(AQ51&lt;$F$10+$F$11+AO51,AP51,1)))*IF(AN51&gt;0,AN51,IF(AN50&gt;0,AN50,IF(AN49&gt;0,AN49,IF(AN48&gt;0,AN48,IF(AN47&gt;0,AN47,IF(AN46&gt;0,AN46,IF(AN45&gt;0,AN45,IF(AN44&gt;0,AN44,IF(AN43&gt;0,AN43,IF(AN41&gt;0,AN41,IF(AN40&gt;0,AN40,IF(AN39&gt;0,AN39,0)))))))))))),0)*(1-$S51)*'模拟-单技能数据'!$I$21</f>
        <v>27484.420799395535</v>
      </c>
      <c r="AS51" s="61">
        <f ca="1">IF(OR(C51="净世破魔击·日",C51="净世破魔击·月"),M51-'模拟-单技能数据'!$K$10,0)</f>
        <v>0</v>
      </c>
      <c r="AT51" s="61">
        <f ca="1">IF(OR(C51="净世破魔击·日",C51="净世破魔击·月"),I51-'模拟-单技能数据'!$L$10,0)</f>
        <v>0</v>
      </c>
      <c r="AU51" s="62">
        <f t="shared" ca="1" si="29"/>
        <v>0.67715125446899505</v>
      </c>
      <c r="AV51" s="64">
        <f ca="1">IF(AS51&gt;0,('模拟-单技能数据'!$D$22+G51*'模拟-单技能数据'!$F$22)*(1+J51)*(1-S51)*IF(AU51&lt;$F$10,0,IF(AU51&lt;$F$10+$F$11,0.25,IF(AU51&lt;$F$10+$F$11+AS51,AT51,1)))*(1+U51),0)*'模拟-单技能数据'!$I$22</f>
        <v>0</v>
      </c>
      <c r="AW51" s="108">
        <f t="shared" ca="1" si="30"/>
        <v>8.0075000000000074</v>
      </c>
      <c r="AX51" s="108" t="b">
        <f ca="1">AND(模拟模式!$P$10="有",AW50=0,RAND()&lt;IF(C51="净世破魔击·月",0.1*8/3,IF(C51="净世破魔击·日",0.1*4/3,0.1*2/3)))</f>
        <v>0</v>
      </c>
      <c r="AY51" s="47">
        <f ca="1">IF(AX51,(18+G51*0.722)*(1+J51)*(1-S51)*(1+$I$4)*IF(P51="会",'模拟-全程加成'!$J$3+'模拟-全程加成'!$J$4+'模拟-全程加成'!$J$5+('模拟-全程加成'!$I$4+'模拟-全程加成'!$I$5)/系数!$B$4+BG51*10%,IF(P51="命",1,IF(P51="识",0.25,0))),0)</f>
        <v>0</v>
      </c>
      <c r="AZ51" s="108">
        <f t="shared" si="31"/>
        <v>18.155000000000001</v>
      </c>
      <c r="BA51" s="108" t="b">
        <f>AND(模拟模式!$Q$10="有",AZ50=0)</f>
        <v>0</v>
      </c>
      <c r="BB51" s="140">
        <f>IF(BA51,(0+G51*0.287)*(1+J51)*(1-S51)*(1+$I$4)*IF(P51="会",'模拟-全程加成'!$J$3+'模拟-全程加成'!$J$4+'模拟-全程加成'!$J$5+('模拟-全程加成'!$I$4+'模拟-全程加成'!$I$5)/系数!$B$4+BG51*10%,IF(P51="命",1,IF(P51="识",0.25,0))),0)</f>
        <v>0</v>
      </c>
      <c r="BC51" s="115" t="b">
        <f ca="1">AND(模拟模式!$R$7="伏明众生",E51=60,F51=20,DA51&lt;5,CZ50&lt;$F$4)</f>
        <v>0</v>
      </c>
      <c r="BD51" s="115">
        <f t="shared" ca="1" si="3"/>
        <v>0</v>
      </c>
      <c r="BE51" s="115" t="b">
        <f t="shared" ca="1" si="4"/>
        <v>0</v>
      </c>
      <c r="BF51" s="47">
        <f ca="1">IF(BC51,4*('模拟-单技能数据'!$D$24+G51*'模拟-单技能数据'!$F$24)*(1+J51)*(1+'模拟-单技能数据'!$J$24)*(1-S51)*(1+$I$3)*(('模拟-全程加成'!$J$3+'模拟-全程加成'!$J$4+'模拟-全程加成'!$J$5+('模拟-全程加成'!$I$4+'模拟-全程加成'!$I$5)/系数!$B$4+BG51*10%)*('模拟-全程加成'!$J$3+'模拟-全程加成'!$J$4+'模拟-全程加成'!$J$5+('模拟-全程加成'!$I$4+'模拟-全程加成'!$I$5)/系数!$B$4+BG51*10%)+(1-('模拟-全程加成'!$J$3+'模拟-全程加成'!$J$4+'模拟-全程加成'!$J$5+('模拟-全程加成'!$I$4+'模拟-全程加成'!$I$5)/系数!$B$4+BG51*10%)-$F$10-$F$11)+F37*0.25),0)*'模拟-单技能数据'!$I$24</f>
        <v>0</v>
      </c>
      <c r="BG51" s="115" t="b">
        <f ca="1">OR(AND(OR(C51="烈日斩",C51="银月斩"),模拟模式!$I$7="净身明礼"),AND(C51="净世破魔击·日",模拟模式!$J$7="洞若观火"),AND(C52="净世破魔击·月",模拟模式!$J$7="洞若观火"),AB51=1)</f>
        <v>1</v>
      </c>
      <c r="BH51" s="115" t="b">
        <f t="shared" ca="1" si="32"/>
        <v>0</v>
      </c>
      <c r="BI51" s="115">
        <f t="shared" ca="1" si="5"/>
        <v>0</v>
      </c>
      <c r="BJ51" s="115" t="b">
        <f t="shared" ca="1" si="33"/>
        <v>0</v>
      </c>
      <c r="BK51" s="115" t="b">
        <f ca="1">AND(C51="驱夜断愁",模拟模式!$P$7="天地诛戮")</f>
        <v>0</v>
      </c>
      <c r="BL51" s="57">
        <f t="shared" ca="1" si="6"/>
        <v>14.465000000000003</v>
      </c>
      <c r="BM51" s="115" t="b">
        <f t="shared" ca="1" si="34"/>
        <v>1</v>
      </c>
      <c r="BN51" s="115" t="b">
        <f ca="1">AND(OR(C51="赤日轮1",C51="赤日轮2",C51="赤日轮3",C51="幽月轮1",C51="幽月轮2",C51="幽月轮3"),AB51=1,模拟模式!$L$7="明光恒照")</f>
        <v>0</v>
      </c>
      <c r="BO51" s="117">
        <f t="shared" ca="1" si="7"/>
        <v>26.310000000000002</v>
      </c>
      <c r="BP51" s="115">
        <f t="shared" ca="1" si="35"/>
        <v>6</v>
      </c>
      <c r="BQ51" s="115" t="b">
        <f>模拟模式!$K$10="2600·水"</f>
        <v>0</v>
      </c>
      <c r="BR51" s="117">
        <f t="shared" si="36"/>
        <v>0</v>
      </c>
      <c r="BS51" s="115">
        <f t="shared" si="37"/>
        <v>0</v>
      </c>
      <c r="BT51" s="115">
        <f t="shared" ca="1" si="38"/>
        <v>0</v>
      </c>
      <c r="BU51" s="115" t="b">
        <f ca="1">AND(模拟模式!$K$10="2300·雷",BT50=0,RAND()&lt;IF(C51="净世破魔击·月",5*0.05*2/3,IF(C51="净世破魔击·日",3*0.05*2/3,0.05*2*2/3)))</f>
        <v>0</v>
      </c>
      <c r="BV51" s="115">
        <f t="shared" ca="1" si="39"/>
        <v>0</v>
      </c>
      <c r="BW51" s="115">
        <f t="shared" ca="1" si="40"/>
        <v>163.39499999999975</v>
      </c>
      <c r="BX51" s="164" t="b">
        <f t="shared" ca="1" si="41"/>
        <v>0</v>
      </c>
      <c r="BY51" s="115">
        <f t="shared" ca="1" si="42"/>
        <v>0</v>
      </c>
      <c r="BZ51" s="115">
        <f>IF(OR(模拟模式!$P$16="10人团",模拟模式!$P$16="25人团"),IF(B51/30&gt;CA50,1,0),0)</f>
        <v>0</v>
      </c>
      <c r="CA51" s="115">
        <f t="shared" si="8"/>
        <v>0</v>
      </c>
      <c r="CB51" s="115">
        <f ca="1">IF(BZ51=1,IF(模拟模式!$P$16="10人团",15,0)+IF(模拟模式!$P$16="25人团",IF(RAND()&lt;0.6,15,0)),MAX(0,CB50-$F$4))</f>
        <v>0</v>
      </c>
      <c r="CC51" s="115" t="b">
        <f t="shared" ca="1" si="43"/>
        <v>0</v>
      </c>
      <c r="CD51" s="115">
        <f>IF(模拟模式!$Q$16="1个",IF(B51/40&gt;CE50,1,0),0)</f>
        <v>0</v>
      </c>
      <c r="CE51" s="115">
        <f t="shared" si="44"/>
        <v>0</v>
      </c>
      <c r="CF51" s="115">
        <f>IF(OR(CD51=1,模拟模式!$Q$16="2个"),20,MAX(0,CF50-$F$4))</f>
        <v>0</v>
      </c>
      <c r="CG51" s="115" t="b">
        <f t="shared" si="45"/>
        <v>0</v>
      </c>
      <c r="CH51" s="115">
        <f t="shared" ca="1" si="46"/>
        <v>8.7825000000000131</v>
      </c>
      <c r="CI51" s="115" t="b">
        <f t="shared" ca="1" si="47"/>
        <v>0</v>
      </c>
      <c r="CJ51" s="119">
        <f t="shared" ca="1" si="48"/>
        <v>0</v>
      </c>
      <c r="CK51" s="115">
        <f t="shared" ca="1" si="49"/>
        <v>0</v>
      </c>
      <c r="CL51" s="115" t="b">
        <f ca="1">AND(模拟模式!$S$7="驱夷逐法",OR(AND(C51="净世破魔击·月",E50&gt;59),AND(C51="净世破魔击·日",F50&gt;59)))</f>
        <v>0</v>
      </c>
      <c r="CM51" s="115" t="b">
        <f ca="1">OR(CL51,AND(C51="净世破魔击·日",CL50,RAND()&lt;模拟模式!$U$23))</f>
        <v>0</v>
      </c>
      <c r="CN51" s="115" t="b">
        <f ca="1">IF(模拟模式!$M$7="辉耀红尘",AND(C51="净世破魔击·月",CL51,CV51=0,E50&lt;80),AND(C51="净世破魔击·月",CL51,E50&lt;100))</f>
        <v>0</v>
      </c>
      <c r="CO51" s="115" t="b">
        <f t="shared" ca="1" si="9"/>
        <v>0</v>
      </c>
      <c r="CP51" s="115" t="b">
        <f ca="1">AND(模拟模式!$O$7="用晦而明",OR(C51="净世破魔击·日",C51="净世破魔击·月",C51="驱夜断愁"),AB51)</f>
        <v>0</v>
      </c>
      <c r="CQ51" s="115" t="b">
        <f ca="1">OR(CP51,AND(CP50,RAND()&lt;模拟模式!$U$23))</f>
        <v>1</v>
      </c>
      <c r="CR51" s="115" t="b">
        <f ca="1">AND(模拟模式!$S$7="日月齐光",OR(C51="幽月轮1",C51="幽月轮2",C51="幽月轮3",CR50),NOT(OR(C51="赤日轮1",C51="赤日轮2",C51="赤日轮3")))</f>
        <v>0</v>
      </c>
      <c r="CS51" s="115" t="b">
        <f ca="1">AND(模拟模式!$S$7="日月齐光",OR(C51="赤日轮1",C51="赤日轮2",C51="赤日轮3",CS50),NOT(OR(C51="幽月轮1",C51="幽月轮2",C51="幽月轮3")))</f>
        <v>0</v>
      </c>
      <c r="CT51" s="115">
        <f t="shared" ca="1" si="50"/>
        <v>0</v>
      </c>
      <c r="CU51" s="115" t="b">
        <f ca="1">AND(模拟模式!$K$10="阴阳往极",CT50=0,RAND()&lt;IF(C51="净世破魔击·月",0.0275*7/3,IF(C51="净世破魔击·日",0.0275*3/3,0.0275*2/3)))</f>
        <v>0</v>
      </c>
      <c r="CV51" s="115">
        <f t="shared" ca="1" si="51"/>
        <v>0</v>
      </c>
      <c r="CW51" s="115">
        <f t="shared" ca="1" si="10"/>
        <v>1.3874999999999997</v>
      </c>
      <c r="CX51" s="115">
        <f t="shared" ca="1" si="11"/>
        <v>6</v>
      </c>
      <c r="CY51" s="115">
        <f ca="1">MAX(IF($C51="驱夜断愁",IF(模拟模式!$R$7="万念俱寂",6,45),CY50-$F$4),0)</f>
        <v>0.46499999999999975</v>
      </c>
      <c r="CZ51" s="115">
        <f t="shared" ca="1" si="12"/>
        <v>0</v>
      </c>
      <c r="DA51" s="115">
        <f ca="1">IF(模拟模式!$N$7="日月同辉",IF(DB50=2,0,MIN(6,IF(AND(OR(C51="赤日轮1",C51="赤日轮2",C51="赤日轮3",C51="幽月轮1",C51="幽月轮2",C51="幽月轮3"),AB51=1),DA50+1,DA50))),0)</f>
        <v>0</v>
      </c>
      <c r="DB51" s="115">
        <f t="shared" ca="1" si="13"/>
        <v>0</v>
      </c>
      <c r="DD51" s="115"/>
      <c r="DE51" s="115"/>
      <c r="DF51" s="115"/>
      <c r="DG51" s="115"/>
      <c r="DH51" s="115"/>
      <c r="DI51" s="115"/>
      <c r="DJ51" s="115"/>
      <c r="DK51" s="115"/>
      <c r="DL51" s="115"/>
      <c r="DM51" s="115"/>
    </row>
    <row r="52" spans="2:117" x14ac:dyDescent="0.2">
      <c r="B52" s="117">
        <f t="shared" si="14"/>
        <v>23.062499999999993</v>
      </c>
      <c r="C52" s="167" t="str">
        <f t="shared" ca="1" si="0"/>
        <v>驱夜断愁</v>
      </c>
      <c r="D52" s="115">
        <f ca="1">IF(C52="赤日轮1",1,IF(C52="赤日轮2",2,IF(C52="赤日轮3",3,IF(C52="幽月轮1",4,IF(C52="幽月轮2",5,IF(C52="幽月轮3",6,IF(C52="烈日斩",7,IF(C52="银月斩",8,IF(C52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52="净世破魔击·月",17,IF(C52="驱夜断愁",18,0)))))))))))</f>
        <v>18</v>
      </c>
      <c r="E52" s="115">
        <f ca="1">IF(AND(CU52,OR(C52="幽月轮1",C52="幽月轮2",C52="幽月轮3",C52="银月斩",C52="驱夜断愁",C52="净世破魔击·月")),100,MIN(IF(OR(CN52,BE52),0,IF(OR($C52="赤日轮1",$C52="赤日轮2",$C52="赤日轮3"),E51+20+IF(模拟模式!$I$7="日月凌天",4,0)+IF(CR51,20,0),IF($C52="烈日斩",E51+40,IF($C52="驱夜断愁",IF(模拟模式!$R$7="万念俱寂",E51+20,E51+60),IF($C52="净世破魔击·月",IF(OR(DB51&gt;0,CV51&gt;0),100,IF(模拟模式!$M$7="辉耀红尘",E51+20,E51)),IF($C52="净世破魔击·日",E51-100,E51)))))),100))</f>
        <v>40</v>
      </c>
      <c r="F52" s="115">
        <f ca="1">IF(AND(CU52,OR(C52="赤日轮1",C52="赤日轮2",C52="赤日轮3",C52="烈日斩",C52="净世破魔击·日")),100,MIN(IF(CO52,0,IF(OR($C52="幽月轮1",$C52="幽月轮2",$C52="幽月轮3"),F51+20+IF(模拟模式!$I$7="日月凌天",4,0)+IF(CS51,20,0),IF($C52="银月斩",F51+40+IF(模拟模式!$X$12=1,5,0),IF($C52="驱夜断愁",IF(模拟模式!$R$7="万念俱寂",F51+20,F51+60),IF($C52="净世破魔击·月",IF(模拟模式!$M$7="辉耀红尘",F51-80,F51-100),IF(AND(C52="净世破魔击·日",OR(DB51&gt;0,CV51&gt;0)),100,F51)))))),100))</f>
        <v>85</v>
      </c>
      <c r="G52" s="117">
        <f ca="1">('模拟-全程加成'!$E$3+'模拟-全程加成'!$E$4+'模拟-全程加成'!$E$5+('模拟-全程加成'!$C$6-'模拟-全程加成'!$C$3)*系数!$B$9+BS52*23)*(1+'模拟-全程加成'!$F$4+'模拟-全程加成'!$F$5+BJ52*10%+BM52*20%+BP52*4%+CG52*30%)+$F$7*系数!$B$12</f>
        <v>20583.127400000001</v>
      </c>
      <c r="H52" s="45">
        <f ca="1">'模拟-全程加成'!$H$3+'模拟-全程加成'!$H$4+'模拟-全程加成'!$H$5+('模拟-全程加成'!$G$4+'模拟-全程加成'!$G$5+('模拟-全程加成'!$C$6-'模拟-全程加成'!$C$3)*系数!$B$13)/系数!$B$3+LOOKUP(D52,'模拟-单技能数据'!$A$2:$A$19,'模拟-单技能数据'!$K$2:$K$19)+BG52*10%+IF(BV52&gt;0,378,0)</f>
        <v>0.51185145527300213</v>
      </c>
      <c r="I52" s="45">
        <f ca="1">'模拟-全程加成'!$J$3+'模拟-全程加成'!$J$4+'模拟-全程加成'!$J$5+('模拟-全程加成'!$I$4+'模拟-全程加成'!$I$5)/系数!$B$4+LOOKUP(D52,'模拟-单技能数据'!$A$2:$A$19,'模拟-单技能数据'!$L$2:$L$19)+BG52*10%</f>
        <v>2.162482885499879</v>
      </c>
      <c r="J52" s="45">
        <f ca="1">(('模拟-全程加成'!$K$3+'模拟-全程加成'!$K$4+'模拟-全程加成'!$K$5+('模拟-全程加成'!$C$6-'模拟-全程加成'!$C$3)*系数!$B$10+IF(BV52&gt;0,882,0)+IF(BY52&gt;0,1831,0))*(1+'模拟-全程加成'!$L$4+'模拟-全程加成'!$L$5+CC52*20%))/系数!$B$5</f>
        <v>0.69723220422048726</v>
      </c>
      <c r="K52" s="119">
        <f ca="1">LOOKUP(D52,'模拟-单技能数据'!$A$2:$A$19,'模拟-单技能数据'!$J$2:$J$19)+IF(CM52,60%,0)+IF(DB51-DB52&gt;0,30%,0)+IF(OR(AND(OR(C52="赤日轮1",C52="赤日轮2",C52="赤日轮3"),CR52),AND(OR(C52="幽月轮1",C52="幽月轮2",C52="幽月轮3"),CS52)),35%,0)+CJ52</f>
        <v>0.14000000000000001</v>
      </c>
      <c r="L52" s="119">
        <f ca="1">IF(AND(C52="烈日斩",模拟模式!$X$11=1),10%,0)+IF(AND(C52="驱夜断愁",AB52=1),30%,0)</f>
        <v>0.3</v>
      </c>
      <c r="M52" s="45">
        <f t="shared" ca="1" si="15"/>
        <v>0.51185145527300213</v>
      </c>
      <c r="N52" s="45">
        <f t="shared" ca="1" si="16"/>
        <v>0.43424854472699792</v>
      </c>
      <c r="O52" s="46">
        <f t="shared" ca="1" si="17"/>
        <v>0.62708777002148841</v>
      </c>
      <c r="P52" s="46" t="str">
        <f t="shared" ca="1" si="18"/>
        <v>命</v>
      </c>
      <c r="Q52" s="45">
        <f t="shared" ca="1" si="19"/>
        <v>1</v>
      </c>
      <c r="R52" s="117">
        <f ca="1">模拟模式!$E$20*(1-IF(模拟模式!$J$19="有",0.15,0))*(1-IF(模拟模式!$K$19="有",0.3,0)-IF(CQ52,0.5,0))</f>
        <v>843.02999999999975</v>
      </c>
      <c r="S52" s="45">
        <f ca="1">R52/(R52+(185*模拟模式!$E$22-16800)*4.08224)</f>
        <v>8.389626085980037E-2</v>
      </c>
      <c r="T52" s="45" t="str">
        <f ca="1">LOOKUP(D52,'模拟-单技能数据'!$A$2:$A$19,'模拟-单技能数据'!$H$2:$H$19)</f>
        <v>阴</v>
      </c>
      <c r="U52" s="119">
        <f t="shared" ca="1" si="20"/>
        <v>0.08</v>
      </c>
      <c r="V52" s="47">
        <f ca="1">(1+L52)*(LOOKUP(D52,'模拟-单技能数据'!$A$2:$A$19,'模拟-单技能数据'!$D$2:$D$19)+G52*LOOKUP(D52,'模拟-单技能数据'!$A$2:$A$19,'模拟-单技能数据'!$F$2:$F$19))*(1+J52)*(1+K52)*(1-S52)*(1+U52)*Q52*LOOKUP(D52,'模拟-单技能数据'!$A$2:$A$19,'模拟-单技能数据'!$I$2:$I$20)</f>
        <v>58943.088028757353</v>
      </c>
      <c r="W52" s="47">
        <f ca="1">LOOKUP(D52,'模拟-单技能数据'!$A$2:$A$19,'模拟-单技能数据'!$G$2:$G$19)*$I$10</f>
        <v>723.0212870940959</v>
      </c>
      <c r="X52" s="47">
        <f t="shared" ca="1" si="21"/>
        <v>0</v>
      </c>
      <c r="Y52" s="47">
        <f t="shared" ca="1" si="22"/>
        <v>59666.109315851449</v>
      </c>
      <c r="Z52" s="49">
        <f t="shared" ca="1" si="23"/>
        <v>2587502.2778738057</v>
      </c>
      <c r="AA52" s="97">
        <f t="shared" ca="1" si="24"/>
        <v>112195.22072081546</v>
      </c>
      <c r="AB52" s="115">
        <f ca="1">IF(OR(C52="赤日轮1",C52="赤日轮2",C52="赤日轮3"),IF(RAND()&lt;模拟模式!$Y$17,1,0),IF(OR(C52="幽月轮1",C52="幽月轮2",C52="幽月轮3"),IF(RAND()&lt;模拟模式!$Y$18,1,0),IF(C52="烈日斩",IF(RAND()&lt;模拟模式!$Y$19,1,0),IF(C52="银月斩",IF(RAND()&lt;模拟模式!$Y$20,1,0),IF(C52="驱夜断愁",IF(RAND()&lt;模拟模式!$Y$21,1,0),IF(C52="净世破魔击·日",IF(RAND()&lt;模拟模式!$Y$22,1,0),IF(C52="净世破魔击·月",IF(RAND()&lt;模拟模式!$Y$23,1,0),0)))))))</f>
        <v>1</v>
      </c>
      <c r="AC52" s="115" t="b">
        <f t="shared" ca="1" si="1"/>
        <v>0</v>
      </c>
      <c r="AD52" s="115" t="b">
        <f t="shared" ca="1" si="52"/>
        <v>0</v>
      </c>
      <c r="AE52" s="115">
        <f t="shared" ca="1" si="53"/>
        <v>5</v>
      </c>
      <c r="AF52" s="47">
        <f ca="1">IF(AC52,('模拟-单技能数据'!$D$20+G52*'模拟-单技能数据'!$F$20)*(1+J52)*(1+'模拟-单技能数据'!$J$20)*(1+U52),0)</f>
        <v>0</v>
      </c>
      <c r="AG52" s="61">
        <f t="shared" ca="1" si="25"/>
        <v>0.64185145527300214</v>
      </c>
      <c r="AH52" s="61">
        <f t="shared" ca="1" si="26"/>
        <v>2.2624828854998791</v>
      </c>
      <c r="AI52" s="62">
        <f t="shared" ca="1" si="27"/>
        <v>5.8555121419751277E-2</v>
      </c>
      <c r="AJ52" s="47">
        <f ca="1">IF(AD52,IF(AI52&lt;$F$10,0,IF(AI52&lt;$F$10+$F$11,0.25,IF(AI52&lt;$F$10+$F$11+AG52,AH52,1)))*IF(AF52&gt;0,AF52,IF(AF51&gt;0,AF51,IF(AF50&gt;0,AF50,IF(AF49&gt;0,AF49,IF(AF48&gt;0,AF48,IF(AF47&gt;0,AF47,IF(AF46&gt;0,AF46,IF(AF45&gt;0,AF45,IF(AF44&gt;0,AF44,IF(AF42&gt;0,AF42,IF(AF41&gt;0,AF41,IF(AF40&gt;0,AF40,0)))))))))))),0)*(1-$S52)*'模拟-单技能数据'!$I$20</f>
        <v>0</v>
      </c>
      <c r="AK52" s="115" t="b">
        <f t="shared" ca="1" si="2"/>
        <v>0</v>
      </c>
      <c r="AL52" s="115" t="b">
        <f t="shared" ca="1" si="54"/>
        <v>0</v>
      </c>
      <c r="AM52" s="115">
        <f t="shared" ca="1" si="55"/>
        <v>4</v>
      </c>
      <c r="AN52" s="47">
        <f ca="1">IF(AK52,('模拟-单技能数据'!$D$21+G52*'模拟-单技能数据'!$F$21)*(1+J52)*(1+'模拟-单技能数据'!$J$21)*(1+U52),0)</f>
        <v>0</v>
      </c>
      <c r="AO52" s="61">
        <f ca="1">IF(AN52&gt;0,M52-'模拟-单技能数据'!$K$10,AO51)</f>
        <v>0.42185145527300216</v>
      </c>
      <c r="AP52" s="61">
        <f ca="1">IF(AN52&gt;0,I52-'模拟-单技能数据'!$L$10,AP51)</f>
        <v>2.162482885499879</v>
      </c>
      <c r="AQ52" s="63">
        <f t="shared" ca="1" si="28"/>
        <v>0.77046939034964679</v>
      </c>
      <c r="AR52" s="64">
        <f ca="1">IF(AL52,IF(AQ52&lt;$F$10,0,IF(AQ52&lt;$F$10+$F$11,0.25,IF(AQ52&lt;$F$10+$F$11+AO52,AP52,1)))*IF(AN52&gt;0,AN52,IF(AN51&gt;0,AN51,IF(AN50&gt;0,AN50,IF(AN49&gt;0,AN49,IF(AN48&gt;0,AN48,IF(AN47&gt;0,AN47,IF(AN46&gt;0,AN46,IF(AN45&gt;0,AN45,IF(AN44&gt;0,AN44,IF(AN42&gt;0,AN42,IF(AN41&gt;0,AN41,IF(AN40&gt;0,AN40,0)))))))))))),0)*(1-$S52)*'模拟-单技能数据'!$I$21</f>
        <v>0</v>
      </c>
      <c r="AS52" s="61">
        <f ca="1">IF(OR(C52="净世破魔击·日",C52="净世破魔击·月"),M52-'模拟-单技能数据'!$K$10,0)</f>
        <v>0</v>
      </c>
      <c r="AT52" s="61">
        <f ca="1">IF(OR(C52="净世破魔击·日",C52="净世破魔击·月"),I52-'模拟-单技能数据'!$L$10,0)</f>
        <v>0</v>
      </c>
      <c r="AU52" s="62">
        <f t="shared" ca="1" si="29"/>
        <v>0.69130624084784209</v>
      </c>
      <c r="AV52" s="64">
        <f ca="1">IF(AS52&gt;0,('模拟-单技能数据'!$D$22+G52*'模拟-单技能数据'!$F$22)*(1+J52)*(1-S52)*IF(AU52&lt;$F$10,0,IF(AU52&lt;$F$10+$F$11,0.25,IF(AU52&lt;$F$10+$F$11+AS52,AT52,1)))*(1+U52),0)*'模拟-单技能数据'!$I$22</f>
        <v>0</v>
      </c>
      <c r="AW52" s="108">
        <f t="shared" ca="1" si="30"/>
        <v>7.0850000000000071</v>
      </c>
      <c r="AX52" s="108" t="b">
        <f ca="1">AND(模拟模式!$P$10="有",AW51=0,RAND()&lt;IF(C52="净世破魔击·月",0.1*8/3,IF(C52="净世破魔击·日",0.1*4/3,0.1*2/3)))</f>
        <v>0</v>
      </c>
      <c r="AY52" s="47">
        <f ca="1">IF(AX52,(18+G52*0.722)*(1+J52)*(1-S52)*(1+$I$4)*IF(P52="会",'模拟-全程加成'!$J$3+'模拟-全程加成'!$J$4+'模拟-全程加成'!$J$5+('模拟-全程加成'!$I$4+'模拟-全程加成'!$I$5)/系数!$B$4+BG52*10%,IF(P52="命",1,IF(P52="识",0.25,0))),0)</f>
        <v>0</v>
      </c>
      <c r="AZ52" s="108">
        <f t="shared" si="31"/>
        <v>17.232500000000002</v>
      </c>
      <c r="BA52" s="108" t="b">
        <f>AND(模拟模式!$Q$10="有",AZ51=0)</f>
        <v>0</v>
      </c>
      <c r="BB52" s="140">
        <f>IF(BA52,(0+G52*0.287)*(1+J52)*(1-S52)*(1+$I$4)*IF(P52="会",'模拟-全程加成'!$J$3+'模拟-全程加成'!$J$4+'模拟-全程加成'!$J$5+('模拟-全程加成'!$I$4+'模拟-全程加成'!$I$5)/系数!$B$4+BG52*10%,IF(P52="命",1,IF(P52="识",0.25,0))),0)</f>
        <v>0</v>
      </c>
      <c r="BC52" s="115" t="b">
        <f ca="1">AND(模拟模式!$R$7="伏明众生",E52=60,F52=20,DA52&lt;5,CZ51&lt;$F$4)</f>
        <v>0</v>
      </c>
      <c r="BD52" s="115">
        <f t="shared" ca="1" si="3"/>
        <v>0</v>
      </c>
      <c r="BE52" s="115" t="b">
        <f t="shared" ca="1" si="4"/>
        <v>0</v>
      </c>
      <c r="BF52" s="47">
        <f ca="1">IF(BC52,4*('模拟-单技能数据'!$D$24+G52*'模拟-单技能数据'!$F$24)*(1+J52)*(1+'模拟-单技能数据'!$J$24)*(1-S52)*(1+$I$3)*(('模拟-全程加成'!$J$3+'模拟-全程加成'!$J$4+'模拟-全程加成'!$J$5+('模拟-全程加成'!$I$4+'模拟-全程加成'!$I$5)/系数!$B$4+BG52*10%)*('模拟-全程加成'!$J$3+'模拟-全程加成'!$J$4+'模拟-全程加成'!$J$5+('模拟-全程加成'!$I$4+'模拟-全程加成'!$I$5)/系数!$B$4+BG52*10%)+(1-('模拟-全程加成'!$J$3+'模拟-全程加成'!$J$4+'模拟-全程加成'!$J$5+('模拟-全程加成'!$I$4+'模拟-全程加成'!$I$5)/系数!$B$4+BG52*10%)-$F$10-$F$11)+F38*0.25),0)*'模拟-单技能数据'!$I$24</f>
        <v>0</v>
      </c>
      <c r="BG52" s="115" t="b">
        <f ca="1">OR(AND(OR(C52="烈日斩",C52="银月斩"),模拟模式!$I$7="净身明礼"),AND(C52="净世破魔击·日",模拟模式!$J$7="洞若观火"),AND(C53="净世破魔击·月",模拟模式!$J$7="洞若观火"),AB52=1)</f>
        <v>1</v>
      </c>
      <c r="BH52" s="115" t="b">
        <f t="shared" ca="1" si="32"/>
        <v>0</v>
      </c>
      <c r="BI52" s="115">
        <f t="shared" ca="1" si="5"/>
        <v>0</v>
      </c>
      <c r="BJ52" s="115" t="b">
        <f t="shared" ca="1" si="33"/>
        <v>0</v>
      </c>
      <c r="BK52" s="115" t="b">
        <f ca="1">AND(C52="驱夜断愁",模拟模式!$P$7="天地诛戮")</f>
        <v>1</v>
      </c>
      <c r="BL52" s="57">
        <f t="shared" ca="1" si="6"/>
        <v>20</v>
      </c>
      <c r="BM52" s="115" t="b">
        <f t="shared" ca="1" si="34"/>
        <v>1</v>
      </c>
      <c r="BN52" s="115" t="b">
        <f ca="1">AND(OR(C52="赤日轮1",C52="赤日轮2",C52="赤日轮3",C52="幽月轮1",C52="幽月轮2",C52="幽月轮3"),AB52=1,模拟模式!$L$7="明光恒照")</f>
        <v>0</v>
      </c>
      <c r="BO52" s="117">
        <f t="shared" ca="1" si="7"/>
        <v>25.387500000000003</v>
      </c>
      <c r="BP52" s="115">
        <f t="shared" ca="1" si="35"/>
        <v>6</v>
      </c>
      <c r="BQ52" s="115" t="b">
        <f>模拟模式!$K$10="2600·水"</f>
        <v>0</v>
      </c>
      <c r="BR52" s="117">
        <f t="shared" si="36"/>
        <v>0</v>
      </c>
      <c r="BS52" s="115">
        <f t="shared" si="37"/>
        <v>0</v>
      </c>
      <c r="BT52" s="115">
        <f t="shared" ca="1" si="38"/>
        <v>0</v>
      </c>
      <c r="BU52" s="115" t="b">
        <f ca="1">AND(模拟模式!$K$10="2300·雷",BT51=0,RAND()&lt;IF(C52="净世破魔击·月",5*0.05*2/3,IF(C52="净世破魔击·日",3*0.05*2/3,0.05*2*2/3)))</f>
        <v>0</v>
      </c>
      <c r="BV52" s="115">
        <f t="shared" ca="1" si="39"/>
        <v>0</v>
      </c>
      <c r="BW52" s="115">
        <f t="shared" ca="1" si="40"/>
        <v>162.47249999999974</v>
      </c>
      <c r="BX52" s="164" t="b">
        <f t="shared" ca="1" si="41"/>
        <v>0</v>
      </c>
      <c r="BY52" s="115">
        <f t="shared" ca="1" si="42"/>
        <v>0</v>
      </c>
      <c r="BZ52" s="115">
        <f>IF(OR(模拟模式!$P$16="10人团",模拟模式!$P$16="25人团"),IF(B52/30&gt;CA51,1,0),0)</f>
        <v>0</v>
      </c>
      <c r="CA52" s="115">
        <f t="shared" si="8"/>
        <v>0</v>
      </c>
      <c r="CB52" s="115">
        <f ca="1">IF(BZ52=1,IF(模拟模式!$P$16="10人团",15,0)+IF(模拟模式!$P$16="25人团",IF(RAND()&lt;0.6,15,0)),MAX(0,CB51-$F$4))</f>
        <v>0</v>
      </c>
      <c r="CC52" s="115" t="b">
        <f t="shared" ca="1" si="43"/>
        <v>0</v>
      </c>
      <c r="CD52" s="115">
        <f>IF(模拟模式!$Q$16="1个",IF(B52/40&gt;CE51,1,0),0)</f>
        <v>0</v>
      </c>
      <c r="CE52" s="115">
        <f t="shared" si="44"/>
        <v>0</v>
      </c>
      <c r="CF52" s="115">
        <f>IF(OR(CD52=1,模拟模式!$Q$16="2个"),20,MAX(0,CF51-$F$4))</f>
        <v>0</v>
      </c>
      <c r="CG52" s="115" t="b">
        <f t="shared" si="45"/>
        <v>0</v>
      </c>
      <c r="CH52" s="115">
        <f t="shared" ca="1" si="46"/>
        <v>7.8600000000000128</v>
      </c>
      <c r="CI52" s="115" t="b">
        <f t="shared" ca="1" si="47"/>
        <v>0</v>
      </c>
      <c r="CJ52" s="119">
        <f t="shared" ca="1" si="48"/>
        <v>0</v>
      </c>
      <c r="CK52" s="115">
        <f t="shared" ca="1" si="49"/>
        <v>0</v>
      </c>
      <c r="CL52" s="115" t="b">
        <f ca="1">AND(模拟模式!$S$7="驱夷逐法",OR(AND(C52="净世破魔击·月",E51&gt;59),AND(C52="净世破魔击·日",F51&gt;59)))</f>
        <v>0</v>
      </c>
      <c r="CM52" s="115" t="b">
        <f ca="1">OR(CL52,AND(C52="净世破魔击·日",CL51,RAND()&lt;模拟模式!$U$23))</f>
        <v>0</v>
      </c>
      <c r="CN52" s="115" t="b">
        <f ca="1">IF(模拟模式!$M$7="辉耀红尘",AND(C52="净世破魔击·月",CL52,CV52=0,E51&lt;80),AND(C52="净世破魔击·月",CL52,E51&lt;100))</f>
        <v>0</v>
      </c>
      <c r="CO52" s="115" t="b">
        <f t="shared" ca="1" si="9"/>
        <v>0</v>
      </c>
      <c r="CP52" s="115" t="b">
        <f ca="1">AND(模拟模式!$O$7="用晦而明",OR(C52="净世破魔击·日",C52="净世破魔击·月",C52="驱夜断愁"),AB52)</f>
        <v>1</v>
      </c>
      <c r="CQ52" s="115" t="b">
        <f ca="1">OR(CP52,AND(CP51,RAND()&lt;模拟模式!$U$23))</f>
        <v>1</v>
      </c>
      <c r="CR52" s="115" t="b">
        <f ca="1">AND(模拟模式!$S$7="日月齐光",OR(C52="幽月轮1",C52="幽月轮2",C52="幽月轮3",CR51),NOT(OR(C52="赤日轮1",C52="赤日轮2",C52="赤日轮3")))</f>
        <v>0</v>
      </c>
      <c r="CS52" s="115" t="b">
        <f ca="1">AND(模拟模式!$S$7="日月齐光",OR(C52="赤日轮1",C52="赤日轮2",C52="赤日轮3",CS51),NOT(OR(C52="幽月轮1",C52="幽月轮2",C52="幽月轮3")))</f>
        <v>0</v>
      </c>
      <c r="CT52" s="115">
        <f t="shared" ca="1" si="50"/>
        <v>0</v>
      </c>
      <c r="CU52" s="115" t="b">
        <f ca="1">AND(模拟模式!$K$10="阴阳往极",CT51=0,RAND()&lt;IF(C52="净世破魔击·月",0.0275*7/3,IF(C52="净世破魔击·日",0.0275*3/3,0.0275*2/3)))</f>
        <v>0</v>
      </c>
      <c r="CV52" s="115">
        <f t="shared" ca="1" si="51"/>
        <v>0</v>
      </c>
      <c r="CW52" s="115">
        <f t="shared" ca="1" si="10"/>
        <v>0.46499999999999975</v>
      </c>
      <c r="CX52" s="115">
        <f t="shared" ca="1" si="11"/>
        <v>5.0774999999999997</v>
      </c>
      <c r="CY52" s="115">
        <f ca="1">MAX(IF($C52="驱夜断愁",IF(模拟模式!$R$7="万念俱寂",6,45),CY51-$F$4),0)</f>
        <v>6</v>
      </c>
      <c r="CZ52" s="115">
        <f t="shared" ca="1" si="12"/>
        <v>0</v>
      </c>
      <c r="DA52" s="115">
        <f ca="1">IF(模拟模式!$N$7="日月同辉",IF(DB51=2,0,MIN(6,IF(AND(OR(C52="赤日轮1",C52="赤日轮2",C52="赤日轮3",C52="幽月轮1",C52="幽月轮2",C52="幽月轮3"),AB52=1),DA51+1,DA51))),0)</f>
        <v>0</v>
      </c>
      <c r="DB52" s="115">
        <f t="shared" ca="1" si="13"/>
        <v>0</v>
      </c>
      <c r="DD52" s="115"/>
      <c r="DE52" s="115"/>
      <c r="DF52" s="115"/>
      <c r="DG52" s="115"/>
      <c r="DH52" s="115"/>
      <c r="DI52" s="115"/>
      <c r="DJ52" s="115"/>
      <c r="DK52" s="115"/>
      <c r="DL52" s="115"/>
      <c r="DM52" s="115"/>
    </row>
    <row r="53" spans="2:117" x14ac:dyDescent="0.2">
      <c r="B53" s="117">
        <f t="shared" si="14"/>
        <v>23.984999999999992</v>
      </c>
      <c r="C53" s="167" t="str">
        <f t="shared" ca="1" si="0"/>
        <v>烈日斩</v>
      </c>
      <c r="D53" s="115">
        <f ca="1">IF(C53="赤日轮1",1,IF(C53="赤日轮2",2,IF(C53="赤日轮3",3,IF(C53="幽月轮1",4,IF(C53="幽月轮2",5,IF(C53="幽月轮3",6,IF(C53="烈日斩",7,IF(C53="银月斩",8,IF(C53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53="净世破魔击·月",17,IF(C53="驱夜断愁",18,0)))))))))))</f>
        <v>7</v>
      </c>
      <c r="E53" s="115">
        <f ca="1">IF(AND(CU53,OR(C53="幽月轮1",C53="幽月轮2",C53="幽月轮3",C53="银月斩",C53="驱夜断愁",C53="净世破魔击·月")),100,MIN(IF(OR(CN53,BE53),0,IF(OR($C53="赤日轮1",$C53="赤日轮2",$C53="赤日轮3"),E52+20+IF(模拟模式!$I$7="日月凌天",4,0)+IF(CR52,20,0),IF($C53="烈日斩",E52+40,IF($C53="驱夜断愁",IF(模拟模式!$R$7="万念俱寂",E52+20,E52+60),IF($C53="净世破魔击·月",IF(OR(DB52&gt;0,CV52&gt;0),100,IF(模拟模式!$M$7="辉耀红尘",E52+20,E52)),IF($C53="净世破魔击·日",E52-100,E52)))))),100))</f>
        <v>80</v>
      </c>
      <c r="F53" s="115">
        <f ca="1">IF(AND(CU53,OR(C53="赤日轮1",C53="赤日轮2",C53="赤日轮3",C53="烈日斩",C53="净世破魔击·日")),100,MIN(IF(CO53,0,IF(OR($C53="幽月轮1",$C53="幽月轮2",$C53="幽月轮3"),F52+20+IF(模拟模式!$I$7="日月凌天",4,0)+IF(CS52,20,0),IF($C53="银月斩",F52+40+IF(模拟模式!$X$12=1,5,0),IF($C53="驱夜断愁",IF(模拟模式!$R$7="万念俱寂",F52+20,F52+60),IF($C53="净世破魔击·月",IF(模拟模式!$M$7="辉耀红尘",F52-80,F52-100),IF(AND(C53="净世破魔击·日",OR(DB52&gt;0,CV52&gt;0)),100,F52)))))),100))</f>
        <v>85</v>
      </c>
      <c r="G53" s="117">
        <f ca="1">('模拟-全程加成'!$E$3+'模拟-全程加成'!$E$4+'模拟-全程加成'!$E$5+('模拟-全程加成'!$C$6-'模拟-全程加成'!$C$3)*系数!$B$9+BS53*23)*(1+'模拟-全程加成'!$F$4+'模拟-全程加成'!$F$5+BJ53*10%+BM53*20%+BP53*4%+CG53*30%)+$F$7*系数!$B$12</f>
        <v>20583.127400000001</v>
      </c>
      <c r="H53" s="45">
        <f ca="1">'模拟-全程加成'!$H$3+'模拟-全程加成'!$H$4+'模拟-全程加成'!$H$5+('模拟-全程加成'!$G$4+'模拟-全程加成'!$G$5+('模拟-全程加成'!$C$6-'模拟-全程加成'!$C$3)*系数!$B$13)/系数!$B$3+LOOKUP(D53,'模拟-单技能数据'!$A$2:$A$19,'模拟-单技能数据'!$K$2:$K$19)+BG53*10%+IF(BV53&gt;0,378,0)</f>
        <v>0.56185145527300218</v>
      </c>
      <c r="I53" s="45">
        <f ca="1">'模拟-全程加成'!$J$3+'模拟-全程加成'!$J$4+'模拟-全程加成'!$J$5+('模拟-全程加成'!$I$4+'模拟-全程加成'!$I$5)/系数!$B$4+LOOKUP(D53,'模拟-单技能数据'!$A$2:$A$19,'模拟-单技能数据'!$L$2:$L$19)+BG53*10%</f>
        <v>2.2624828854998791</v>
      </c>
      <c r="J53" s="45">
        <f ca="1">(('模拟-全程加成'!$K$3+'模拟-全程加成'!$K$4+'模拟-全程加成'!$K$5+('模拟-全程加成'!$C$6-'模拟-全程加成'!$C$3)*系数!$B$10+IF(BV53&gt;0,882,0)+IF(BY53&gt;0,1831,0))*(1+'模拟-全程加成'!$L$4+'模拟-全程加成'!$L$5+CC53*20%))/系数!$B$5</f>
        <v>0.69723220422048726</v>
      </c>
      <c r="K53" s="119">
        <f ca="1">LOOKUP(D53,'模拟-单技能数据'!$A$2:$A$19,'模拟-单技能数据'!$J$2:$J$19)+IF(CM53,60%,0)+IF(DB52-DB53&gt;0,30%,0)+IF(OR(AND(OR(C53="赤日轮1",C53="赤日轮2",C53="赤日轮3"),CR53),AND(OR(C53="幽月轮1",C53="幽月轮2",C53="幽月轮3"),CS53)),35%,0)+CJ53</f>
        <v>0.24</v>
      </c>
      <c r="L53" s="119">
        <f ca="1">IF(AND(C53="烈日斩",模拟模式!$X$11=1),10%,0)+IF(AND(C53="驱夜断愁",AB53=1),30%,0)</f>
        <v>0.1</v>
      </c>
      <c r="M53" s="45">
        <f t="shared" ca="1" si="15"/>
        <v>0.56185145527300218</v>
      </c>
      <c r="N53" s="45">
        <f t="shared" ca="1" si="16"/>
        <v>0.38424854472699788</v>
      </c>
      <c r="O53" s="46">
        <f t="shared" ca="1" si="17"/>
        <v>0.32595485114908174</v>
      </c>
      <c r="P53" s="46" t="str">
        <f t="shared" ca="1" si="18"/>
        <v>会</v>
      </c>
      <c r="Q53" s="45">
        <f t="shared" ca="1" si="19"/>
        <v>2.2624828854998791</v>
      </c>
      <c r="R53" s="117">
        <f ca="1">模拟模式!$E$20*(1-IF(模拟模式!$J$19="有",0.15,0))*(1-IF(模拟模式!$K$19="有",0.3,0)-IF(CQ53,0.5,0))</f>
        <v>843.02999999999975</v>
      </c>
      <c r="S53" s="45">
        <f ca="1">R53/(R53+(185*模拟模式!$E$22-16800)*4.08224)</f>
        <v>8.389626085980037E-2</v>
      </c>
      <c r="T53" s="45" t="str">
        <f ca="1">LOOKUP(D53,'模拟-单技能数据'!$A$2:$A$19,'模拟-单技能数据'!$H$2:$H$19)</f>
        <v>阳</v>
      </c>
      <c r="U53" s="119">
        <f t="shared" ca="1" si="20"/>
        <v>0.2</v>
      </c>
      <c r="V53" s="47">
        <f ca="1">(1+L53)*(LOOKUP(D53,'模拟-单技能数据'!$A$2:$A$19,'模拟-单技能数据'!$D$2:$D$19)+G53*LOOKUP(D53,'模拟-单技能数据'!$A$2:$A$19,'模拟-单技能数据'!$F$2:$F$19))*(1+J53)*(1+K53)*(1-S53)*(1+U53)*Q53*LOOKUP(D53,'模拟-单技能数据'!$A$2:$A$19,'模拟-单技能数据'!$I$2:$I$20)</f>
        <v>105861.05199666526</v>
      </c>
      <c r="W53" s="47">
        <f ca="1">LOOKUP(D53,'模拟-单技能数据'!$A$2:$A$19,'模拟-单技能数据'!$G$2:$G$19)*$I$10</f>
        <v>361.51064354704795</v>
      </c>
      <c r="X53" s="47">
        <f t="shared" ca="1" si="21"/>
        <v>28503.0953049255</v>
      </c>
      <c r="Y53" s="47">
        <f t="shared" ca="1" si="22"/>
        <v>134725.65794513782</v>
      </c>
      <c r="Z53" s="49">
        <f t="shared" ca="1" si="23"/>
        <v>2722227.9358189437</v>
      </c>
      <c r="AA53" s="97">
        <f t="shared" ca="1" si="24"/>
        <v>113497.09967975588</v>
      </c>
      <c r="AB53" s="115">
        <f ca="1">IF(OR(C53="赤日轮1",C53="赤日轮2",C53="赤日轮3"),IF(RAND()&lt;模拟模式!$Y$17,1,0),IF(OR(C53="幽月轮1",C53="幽月轮2",C53="幽月轮3"),IF(RAND()&lt;模拟模式!$Y$18,1,0),IF(C53="烈日斩",IF(RAND()&lt;模拟模式!$Y$19,1,0),IF(C53="银月斩",IF(RAND()&lt;模拟模式!$Y$20,1,0),IF(C53="驱夜断愁",IF(RAND()&lt;模拟模式!$Y$21,1,0),IF(C53="净世破魔击·日",IF(RAND()&lt;模拟模式!$Y$22,1,0),IF(C53="净世破魔击·月",IF(RAND()&lt;模拟模式!$Y$23,1,0),0)))))))</f>
        <v>1</v>
      </c>
      <c r="AC53" s="115" t="b">
        <f t="shared" ca="1" si="1"/>
        <v>0</v>
      </c>
      <c r="AD53" s="115" t="b">
        <f t="shared" ca="1" si="52"/>
        <v>1</v>
      </c>
      <c r="AE53" s="115">
        <f t="shared" ca="1" si="53"/>
        <v>4</v>
      </c>
      <c r="AF53" s="47">
        <f ca="1">IF(AC53,('模拟-单技能数据'!$D$20+G53*'模拟-单技能数据'!$F$20)*(1+J53)*(1+'模拟-单技能数据'!$J$20)*(1+U53),0)</f>
        <v>0</v>
      </c>
      <c r="AG53" s="61">
        <f t="shared" ca="1" si="25"/>
        <v>0.64185145527300214</v>
      </c>
      <c r="AH53" s="61">
        <f t="shared" ca="1" si="26"/>
        <v>2.2624828854998791</v>
      </c>
      <c r="AI53" s="62">
        <f t="shared" ca="1" si="27"/>
        <v>3.9475864073312938E-2</v>
      </c>
      <c r="AJ53" s="47">
        <f ca="1">IF(AD53,IF(AI53&lt;$F$10,0,IF(AI53&lt;$F$10+$F$11,0.25,IF(AI53&lt;$F$10+$F$11+AG53,AH53,1)))*IF(AF53&gt;0,AF53,IF(AF52&gt;0,AF52,IF(AF51&gt;0,AF51,IF(AF50&gt;0,AF50,IF(AF49&gt;0,AF49,IF(AF48&gt;0,AF48,IF(AF47&gt;0,AF47,IF(AF46&gt;0,AF46,IF(AF45&gt;0,AF45,IF(AF43&gt;0,AF43,IF(AF42&gt;0,AF42,IF(AF41&gt;0,AF41,0)))))))))))),0)*(1-$S53)*'模拟-单技能数据'!$I$20</f>
        <v>1018.6745055299644</v>
      </c>
      <c r="AK53" s="115" t="b">
        <f t="shared" ca="1" si="2"/>
        <v>0</v>
      </c>
      <c r="AL53" s="115" t="b">
        <f t="shared" ca="1" si="54"/>
        <v>1</v>
      </c>
      <c r="AM53" s="115">
        <f t="shared" ca="1" si="55"/>
        <v>3</v>
      </c>
      <c r="AN53" s="47">
        <f ca="1">IF(AK53,('模拟-单技能数据'!$D$21+G53*'模拟-单技能数据'!$F$21)*(1+J53)*(1+'模拟-单技能数据'!$J$21)*(1+U53),0)</f>
        <v>0</v>
      </c>
      <c r="AO53" s="61">
        <f ca="1">IF(AN53&gt;0,M53-'模拟-单技能数据'!$K$10,AO52)</f>
        <v>0.42185145527300216</v>
      </c>
      <c r="AP53" s="61">
        <f ca="1">IF(AN53&gt;0,I53-'模拟-单技能数据'!$L$10,AP52)</f>
        <v>2.162482885499879</v>
      </c>
      <c r="AQ53" s="63">
        <f t="shared" ca="1" si="28"/>
        <v>9.6618184315666045E-2</v>
      </c>
      <c r="AR53" s="64">
        <f ca="1">IF(AL53,IF(AQ53&lt;$F$10,0,IF(AQ53&lt;$F$10+$F$11,0.25,IF(AQ53&lt;$F$10+$F$11+AO53,AP53,1)))*IF(AN53&gt;0,AN53,IF(AN52&gt;0,AN52,IF(AN51&gt;0,AN51,IF(AN50&gt;0,AN50,IF(AN49&gt;0,AN49,IF(AN48&gt;0,AN48,IF(AN47&gt;0,AN47,IF(AN46&gt;0,AN46,IF(AN45&gt;0,AN45,IF(AN43&gt;0,AN43,IF(AN42&gt;0,AN42,IF(AN41&gt;0,AN41,0)))))))))))),0)*(1-$S53)*'模拟-单技能数据'!$I$21</f>
        <v>27484.420799395535</v>
      </c>
      <c r="AS53" s="61">
        <f ca="1">IF(OR(C53="净世破魔击·日",C53="净世破魔击·月"),M53-'模拟-单技能数据'!$K$10,0)</f>
        <v>0</v>
      </c>
      <c r="AT53" s="61">
        <f ca="1">IF(OR(C53="净世破魔击·日",C53="净世破魔击·月"),I53-'模拟-单技能数据'!$L$10,0)</f>
        <v>0</v>
      </c>
      <c r="AU53" s="62">
        <f t="shared" ca="1" si="29"/>
        <v>0.46057000589053665</v>
      </c>
      <c r="AV53" s="64">
        <f ca="1">IF(AS53&gt;0,('模拟-单技能数据'!$D$22+G53*'模拟-单技能数据'!$F$22)*(1+J53)*(1-S53)*IF(AU53&lt;$F$10,0,IF(AU53&lt;$F$10+$F$11,0.25,IF(AU53&lt;$F$10+$F$11+AS53,AT53,1)))*(1+U53),0)*'模拟-单技能数据'!$I$22</f>
        <v>0</v>
      </c>
      <c r="AW53" s="108">
        <f t="shared" ca="1" si="30"/>
        <v>6.1625000000000068</v>
      </c>
      <c r="AX53" s="108" t="b">
        <f ca="1">AND(模拟模式!$P$10="有",AW52=0,RAND()&lt;IF(C53="净世破魔击·月",0.1*8/3,IF(C53="净世破魔击·日",0.1*4/3,0.1*2/3)))</f>
        <v>0</v>
      </c>
      <c r="AY53" s="47">
        <f ca="1">IF(AX53,(18+G53*0.722)*(1+J53)*(1-S53)*(1+$I$4)*IF(P53="会",'模拟-全程加成'!$J$3+'模拟-全程加成'!$J$4+'模拟-全程加成'!$J$5+('模拟-全程加成'!$I$4+'模拟-全程加成'!$I$5)/系数!$B$4+BG53*10%,IF(P53="命",1,IF(P53="识",0.25,0))),0)</f>
        <v>0</v>
      </c>
      <c r="AZ53" s="108">
        <f t="shared" si="31"/>
        <v>16.310000000000002</v>
      </c>
      <c r="BA53" s="108" t="b">
        <f>AND(模拟模式!$Q$10="有",AZ52=0)</f>
        <v>0</v>
      </c>
      <c r="BB53" s="140">
        <f>IF(BA53,(0+G53*0.287)*(1+J53)*(1-S53)*(1+$I$4)*IF(P53="会",'模拟-全程加成'!$J$3+'模拟-全程加成'!$J$4+'模拟-全程加成'!$J$5+('模拟-全程加成'!$I$4+'模拟-全程加成'!$I$5)/系数!$B$4+BG53*10%,IF(P53="命",1,IF(P53="识",0.25,0))),0)</f>
        <v>0</v>
      </c>
      <c r="BC53" s="115" t="b">
        <f ca="1">AND(模拟模式!$R$7="伏明众生",E53=60,F53=20,DA53&lt;5,CZ52&lt;$F$4)</f>
        <v>0</v>
      </c>
      <c r="BD53" s="115">
        <f t="shared" ca="1" si="3"/>
        <v>0</v>
      </c>
      <c r="BE53" s="115" t="b">
        <f t="shared" ca="1" si="4"/>
        <v>0</v>
      </c>
      <c r="BF53" s="47">
        <f ca="1">IF(BC53,4*('模拟-单技能数据'!$D$24+G53*'模拟-单技能数据'!$F$24)*(1+J53)*(1+'模拟-单技能数据'!$J$24)*(1-S53)*(1+$I$3)*(('模拟-全程加成'!$J$3+'模拟-全程加成'!$J$4+'模拟-全程加成'!$J$5+('模拟-全程加成'!$I$4+'模拟-全程加成'!$I$5)/系数!$B$4+BG53*10%)*('模拟-全程加成'!$J$3+'模拟-全程加成'!$J$4+'模拟-全程加成'!$J$5+('模拟-全程加成'!$I$4+'模拟-全程加成'!$I$5)/系数!$B$4+BG53*10%)+(1-('模拟-全程加成'!$J$3+'模拟-全程加成'!$J$4+'模拟-全程加成'!$J$5+('模拟-全程加成'!$I$4+'模拟-全程加成'!$I$5)/系数!$B$4+BG53*10%)-$F$10-$F$11)+F39*0.25),0)*'模拟-单技能数据'!$I$24</f>
        <v>0</v>
      </c>
      <c r="BG53" s="115" t="b">
        <f ca="1">OR(AND(OR(C53="烈日斩",C53="银月斩"),模拟模式!$I$7="净身明礼"),AND(C53="净世破魔击·日",模拟模式!$J$7="洞若观火"),AND(C54="净世破魔击·月",模拟模式!$J$7="洞若观火"),AB53=1)</f>
        <v>1</v>
      </c>
      <c r="BH53" s="115" t="b">
        <f t="shared" ca="1" si="32"/>
        <v>0</v>
      </c>
      <c r="BI53" s="115">
        <f t="shared" ca="1" si="5"/>
        <v>0</v>
      </c>
      <c r="BJ53" s="115" t="b">
        <f t="shared" ca="1" si="33"/>
        <v>0</v>
      </c>
      <c r="BK53" s="115" t="b">
        <f ca="1">AND(C53="驱夜断愁",模拟模式!$P$7="天地诛戮")</f>
        <v>0</v>
      </c>
      <c r="BL53" s="57">
        <f t="shared" ca="1" si="6"/>
        <v>19.077500000000001</v>
      </c>
      <c r="BM53" s="115" t="b">
        <f t="shared" ca="1" si="34"/>
        <v>1</v>
      </c>
      <c r="BN53" s="115" t="b">
        <f ca="1">AND(OR(C53="赤日轮1",C53="赤日轮2",C53="赤日轮3",C53="幽月轮1",C53="幽月轮2",C53="幽月轮3"),AB53=1,模拟模式!$L$7="明光恒照")</f>
        <v>0</v>
      </c>
      <c r="BO53" s="117">
        <f t="shared" ca="1" si="7"/>
        <v>24.465000000000003</v>
      </c>
      <c r="BP53" s="115">
        <f t="shared" ca="1" si="35"/>
        <v>6</v>
      </c>
      <c r="BQ53" s="115" t="b">
        <f>模拟模式!$K$10="2600·水"</f>
        <v>0</v>
      </c>
      <c r="BR53" s="117">
        <f t="shared" si="36"/>
        <v>0</v>
      </c>
      <c r="BS53" s="115">
        <f t="shared" si="37"/>
        <v>0</v>
      </c>
      <c r="BT53" s="115">
        <f t="shared" ca="1" si="38"/>
        <v>0</v>
      </c>
      <c r="BU53" s="115" t="b">
        <f ca="1">AND(模拟模式!$K$10="2300·雷",BT52=0,RAND()&lt;IF(C53="净世破魔击·月",5*0.05*2/3,IF(C53="净世破魔击·日",3*0.05*2/3,0.05*2*2/3)))</f>
        <v>0</v>
      </c>
      <c r="BV53" s="115">
        <f t="shared" ca="1" si="39"/>
        <v>0</v>
      </c>
      <c r="BW53" s="115">
        <f t="shared" ca="1" si="40"/>
        <v>161.54999999999973</v>
      </c>
      <c r="BX53" s="164" t="b">
        <f t="shared" ca="1" si="41"/>
        <v>0</v>
      </c>
      <c r="BY53" s="115">
        <f t="shared" ca="1" si="42"/>
        <v>0</v>
      </c>
      <c r="BZ53" s="115">
        <f>IF(OR(模拟模式!$P$16="10人团",模拟模式!$P$16="25人团"),IF(B53/30&gt;CA52,1,0),0)</f>
        <v>0</v>
      </c>
      <c r="CA53" s="115">
        <f t="shared" si="8"/>
        <v>0</v>
      </c>
      <c r="CB53" s="115">
        <f ca="1">IF(BZ53=1,IF(模拟模式!$P$16="10人团",15,0)+IF(模拟模式!$P$16="25人团",IF(RAND()&lt;0.6,15,0)),MAX(0,CB52-$F$4))</f>
        <v>0</v>
      </c>
      <c r="CC53" s="115" t="b">
        <f t="shared" ca="1" si="43"/>
        <v>0</v>
      </c>
      <c r="CD53" s="115">
        <f>IF(模拟模式!$Q$16="1个",IF(B53/40&gt;CE52,1,0),0)</f>
        <v>0</v>
      </c>
      <c r="CE53" s="115">
        <f t="shared" si="44"/>
        <v>0</v>
      </c>
      <c r="CF53" s="115">
        <f>IF(OR(CD53=1,模拟模式!$Q$16="2个"),20,MAX(0,CF52-$F$4))</f>
        <v>0</v>
      </c>
      <c r="CG53" s="115" t="b">
        <f t="shared" si="45"/>
        <v>0</v>
      </c>
      <c r="CH53" s="115">
        <f t="shared" ca="1" si="46"/>
        <v>6.9375000000000124</v>
      </c>
      <c r="CI53" s="115" t="b">
        <f t="shared" ca="1" si="47"/>
        <v>0</v>
      </c>
      <c r="CJ53" s="119">
        <f t="shared" ca="1" si="48"/>
        <v>0</v>
      </c>
      <c r="CK53" s="115">
        <f t="shared" ca="1" si="49"/>
        <v>0</v>
      </c>
      <c r="CL53" s="115" t="b">
        <f ca="1">AND(模拟模式!$S$7="驱夷逐法",OR(AND(C53="净世破魔击·月",E52&gt;59),AND(C53="净世破魔击·日",F52&gt;59)))</f>
        <v>0</v>
      </c>
      <c r="CM53" s="115" t="b">
        <f ca="1">OR(CL53,AND(C53="净世破魔击·日",CL52,RAND()&lt;模拟模式!$U$23))</f>
        <v>0</v>
      </c>
      <c r="CN53" s="115" t="b">
        <f ca="1">IF(模拟模式!$M$7="辉耀红尘",AND(C53="净世破魔击·月",CL53,CV53=0,E52&lt;80),AND(C53="净世破魔击·月",CL53,E52&lt;100))</f>
        <v>0</v>
      </c>
      <c r="CO53" s="115" t="b">
        <f t="shared" ca="1" si="9"/>
        <v>0</v>
      </c>
      <c r="CP53" s="115" t="b">
        <f ca="1">AND(模拟模式!$O$7="用晦而明",OR(C53="净世破魔击·日",C53="净世破魔击·月",C53="驱夜断愁"),AB53)</f>
        <v>0</v>
      </c>
      <c r="CQ53" s="115" t="b">
        <f ca="1">OR(CP53,AND(CP52,RAND()&lt;模拟模式!$U$23))</f>
        <v>1</v>
      </c>
      <c r="CR53" s="115" t="b">
        <f ca="1">AND(模拟模式!$S$7="日月齐光",OR(C53="幽月轮1",C53="幽月轮2",C53="幽月轮3",CR52),NOT(OR(C53="赤日轮1",C53="赤日轮2",C53="赤日轮3")))</f>
        <v>0</v>
      </c>
      <c r="CS53" s="115" t="b">
        <f ca="1">AND(模拟模式!$S$7="日月齐光",OR(C53="赤日轮1",C53="赤日轮2",C53="赤日轮3",CS52),NOT(OR(C53="幽月轮1",C53="幽月轮2",C53="幽月轮3")))</f>
        <v>0</v>
      </c>
      <c r="CT53" s="115">
        <f t="shared" ca="1" si="50"/>
        <v>0</v>
      </c>
      <c r="CU53" s="115" t="b">
        <f ca="1">AND(模拟模式!$K$10="阴阳往极",CT52=0,RAND()&lt;IF(C53="净世破魔击·月",0.0275*7/3,IF(C53="净世破魔击·日",0.0275*3/3,0.0275*2/3)))</f>
        <v>0</v>
      </c>
      <c r="CV53" s="115">
        <f t="shared" ca="1" si="51"/>
        <v>0</v>
      </c>
      <c r="CW53" s="115">
        <f t="shared" ca="1" si="10"/>
        <v>6</v>
      </c>
      <c r="CX53" s="115">
        <f t="shared" ca="1" si="11"/>
        <v>4.1549999999999994</v>
      </c>
      <c r="CY53" s="115">
        <f ca="1">MAX(IF($C53="驱夜断愁",IF(模拟模式!$R$7="万念俱寂",6,45),CY52-$F$4),0)</f>
        <v>5.0774999999999997</v>
      </c>
      <c r="CZ53" s="115">
        <f t="shared" ca="1" si="12"/>
        <v>0</v>
      </c>
      <c r="DA53" s="115">
        <f ca="1">IF(模拟模式!$N$7="日月同辉",IF(DB52=2,0,MIN(6,IF(AND(OR(C53="赤日轮1",C53="赤日轮2",C53="赤日轮3",C53="幽月轮1",C53="幽月轮2",C53="幽月轮3"),AB53=1),DA52+1,DA52))),0)</f>
        <v>0</v>
      </c>
      <c r="DB53" s="115">
        <f t="shared" ca="1" si="13"/>
        <v>0</v>
      </c>
      <c r="DD53" s="115"/>
      <c r="DE53" s="115"/>
      <c r="DF53" s="115"/>
      <c r="DG53" s="115"/>
      <c r="DH53" s="115"/>
      <c r="DI53" s="115"/>
      <c r="DJ53" s="115"/>
      <c r="DK53" s="115"/>
      <c r="DL53" s="115"/>
      <c r="DM53" s="115"/>
    </row>
    <row r="54" spans="2:117" x14ac:dyDescent="0.2">
      <c r="B54" s="117">
        <f t="shared" si="14"/>
        <v>24.907499999999992</v>
      </c>
      <c r="C54" s="167" t="str">
        <f t="shared" ca="1" si="0"/>
        <v>幽月轮1</v>
      </c>
      <c r="D54" s="115">
        <f ca="1">IF(C54="赤日轮1",1,IF(C54="赤日轮2",2,IF(C54="赤日轮3",3,IF(C54="幽月轮1",4,IF(C54="幽月轮2",5,IF(C54="幽月轮3",6,IF(C54="烈日斩",7,IF(C54="银月斩",8,IF(C54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54="净世破魔击·月",17,IF(C54="驱夜断愁",18,0)))))))))))</f>
        <v>4</v>
      </c>
      <c r="E54" s="115">
        <f ca="1">IF(AND(CU54,OR(C54="幽月轮1",C54="幽月轮2",C54="幽月轮3",C54="银月斩",C54="驱夜断愁",C54="净世破魔击·月")),100,MIN(IF(OR(CN54,BE54),0,IF(OR($C54="赤日轮1",$C54="赤日轮2",$C54="赤日轮3"),E53+20+IF(模拟模式!$I$7="日月凌天",4,0)+IF(CR53,20,0),IF($C54="烈日斩",E53+40,IF($C54="驱夜断愁",IF(模拟模式!$R$7="万念俱寂",E53+20,E53+60),IF($C54="净世破魔击·月",IF(OR(DB53&gt;0,CV53&gt;0),100,IF(模拟模式!$M$7="辉耀红尘",E53+20,E53)),IF($C54="净世破魔击·日",E53-100,E53)))))),100))</f>
        <v>80</v>
      </c>
      <c r="F54" s="115">
        <f ca="1">IF(AND(CU54,OR(C54="赤日轮1",C54="赤日轮2",C54="赤日轮3",C54="烈日斩",C54="净世破魔击·日")),100,MIN(IF(CO54,0,IF(OR($C54="幽月轮1",$C54="幽月轮2",$C54="幽月轮3"),F53+20+IF(模拟模式!$I$7="日月凌天",4,0)+IF(CS53,20,0),IF($C54="银月斩",F53+40+IF(模拟模式!$X$12=1,5,0),IF($C54="驱夜断愁",IF(模拟模式!$R$7="万念俱寂",F53+20,F53+60),IF($C54="净世破魔击·月",IF(模拟模式!$M$7="辉耀红尘",F53-80,F53-100),IF(AND(C54="净世破魔击·日",OR(DB53&gt;0,CV53&gt;0)),100,F53)))))),100))</f>
        <v>100</v>
      </c>
      <c r="G54" s="117">
        <f ca="1">('模拟-全程加成'!$E$3+'模拟-全程加成'!$E$4+'模拟-全程加成'!$E$5+('模拟-全程加成'!$C$6-'模拟-全程加成'!$C$3)*系数!$B$9+BS54*23)*(1+'模拟-全程加成'!$F$4+'模拟-全程加成'!$F$5+BJ54*10%+BM54*20%+BP54*4%+CG54*30%)+$F$7*系数!$B$12</f>
        <v>20583.127400000001</v>
      </c>
      <c r="H54" s="45">
        <f ca="1">'模拟-全程加成'!$H$3+'模拟-全程加成'!$H$4+'模拟-全程加成'!$H$5+('模拟-全程加成'!$G$4+'模拟-全程加成'!$G$5+('模拟-全程加成'!$C$6-'模拟-全程加成'!$C$3)*系数!$B$13)/系数!$B$3+LOOKUP(D54,'模拟-单技能数据'!$A$2:$A$19,'模拟-单技能数据'!$K$2:$K$19)+BG54*10%+IF(BV54&gt;0,378,0)</f>
        <v>0.51185145527300213</v>
      </c>
      <c r="I54" s="45">
        <f ca="1">'模拟-全程加成'!$J$3+'模拟-全程加成'!$J$4+'模拟-全程加成'!$J$5+('模拟-全程加成'!$I$4+'模拟-全程加成'!$I$5)/系数!$B$4+LOOKUP(D54,'模拟-单技能数据'!$A$2:$A$19,'模拟-单技能数据'!$L$2:$L$19)+BG54*10%</f>
        <v>2.162482885499879</v>
      </c>
      <c r="J54" s="45">
        <f ca="1">(('模拟-全程加成'!$K$3+'模拟-全程加成'!$K$4+'模拟-全程加成'!$K$5+('模拟-全程加成'!$C$6-'模拟-全程加成'!$C$3)*系数!$B$10+IF(BV54&gt;0,882,0)+IF(BY54&gt;0,1831,0))*(1+'模拟-全程加成'!$L$4+'模拟-全程加成'!$L$5+CC54*20%))/系数!$B$5</f>
        <v>0.69723220422048726</v>
      </c>
      <c r="K54" s="119">
        <f ca="1">LOOKUP(D54,'模拟-单技能数据'!$A$2:$A$19,'模拟-单技能数据'!$J$2:$J$19)+IF(CM54,60%,0)+IF(DB53-DB54&gt;0,30%,0)+IF(OR(AND(OR(C54="赤日轮1",C54="赤日轮2",C54="赤日轮3"),CR54),AND(OR(C54="幽月轮1",C54="幽月轮2",C54="幽月轮3"),CS54)),35%,0)+CJ54</f>
        <v>7.0000000000000007E-2</v>
      </c>
      <c r="L54" s="119">
        <f ca="1">IF(AND(C54="烈日斩",模拟模式!$X$11=1),10%,0)+IF(AND(C54="驱夜断愁",AB54=1),30%,0)</f>
        <v>0</v>
      </c>
      <c r="M54" s="45">
        <f t="shared" ca="1" si="15"/>
        <v>0.51185145527300213</v>
      </c>
      <c r="N54" s="45">
        <f t="shared" ca="1" si="16"/>
        <v>0.43424854472699792</v>
      </c>
      <c r="O54" s="46">
        <f t="shared" ca="1" si="17"/>
        <v>3.5494564493427694E-2</v>
      </c>
      <c r="P54" s="46" t="str">
        <f t="shared" ca="1" si="18"/>
        <v>识</v>
      </c>
      <c r="Q54" s="45">
        <f t="shared" ca="1" si="19"/>
        <v>0.25</v>
      </c>
      <c r="R54" s="117">
        <f ca="1">模拟模式!$E$20*(1-IF(模拟模式!$J$19="有",0.15,0))*(1-IF(模拟模式!$K$19="有",0.3,0)-IF(CQ54,0.5,0))</f>
        <v>2950.6049999999996</v>
      </c>
      <c r="S54" s="45">
        <f ca="1">R54/(R54+(185*模拟模式!$E$22-16800)*4.08224)</f>
        <v>0.24272716014590323</v>
      </c>
      <c r="T54" s="45" t="str">
        <f ca="1">LOOKUP(D54,'模拟-单技能数据'!$A$2:$A$19,'模拟-单技能数据'!$H$2:$H$19)</f>
        <v>阴</v>
      </c>
      <c r="U54" s="119">
        <f t="shared" ca="1" si="20"/>
        <v>0.08</v>
      </c>
      <c r="V54" s="47">
        <f ca="1">(1+L54)*(LOOKUP(D54,'模拟-单技能数据'!$A$2:$A$19,'模拟-单技能数据'!$D$2:$D$19)+G54*LOOKUP(D54,'模拟-单技能数据'!$A$2:$A$19,'模拟-单技能数据'!$F$2:$F$19))*(1+J54)*(1+K54)*(1-S54)*(1+U54)*Q54*LOOKUP(D54,'模拟-单技能数据'!$A$2:$A$19,'模拟-单技能数据'!$I$2:$I$20)</f>
        <v>4056.5545750795727</v>
      </c>
      <c r="W54" s="47">
        <f ca="1">LOOKUP(D54,'模拟-单技能数据'!$A$2:$A$19,'模拟-单技能数据'!$G$2:$G$19)*$I$10</f>
        <v>361.51064354704795</v>
      </c>
      <c r="X54" s="47">
        <f t="shared" ca="1" si="21"/>
        <v>0</v>
      </c>
      <c r="Y54" s="47">
        <f t="shared" ca="1" si="22"/>
        <v>4418.0652186266207</v>
      </c>
      <c r="Z54" s="49">
        <f t="shared" ca="1" si="23"/>
        <v>2726646.0010375702</v>
      </c>
      <c r="AA54" s="97">
        <f t="shared" ca="1" si="24"/>
        <v>109470.88230603517</v>
      </c>
      <c r="AB54" s="115">
        <f ca="1">IF(OR(C54="赤日轮1",C54="赤日轮2",C54="赤日轮3"),IF(RAND()&lt;模拟模式!$Y$17,1,0),IF(OR(C54="幽月轮1",C54="幽月轮2",C54="幽月轮3"),IF(RAND()&lt;模拟模式!$Y$18,1,0),IF(C54="烈日斩",IF(RAND()&lt;模拟模式!$Y$19,1,0),IF(C54="银月斩",IF(RAND()&lt;模拟模式!$Y$20,1,0),IF(C54="驱夜断愁",IF(RAND()&lt;模拟模式!$Y$21,1,0),IF(C54="净世破魔击·日",IF(RAND()&lt;模拟模式!$Y$22,1,0),IF(C54="净世破魔击·月",IF(RAND()&lt;模拟模式!$Y$23,1,0),0)))))))</f>
        <v>1</v>
      </c>
      <c r="AC54" s="115" t="b">
        <f t="shared" ca="1" si="1"/>
        <v>0</v>
      </c>
      <c r="AD54" s="115" t="b">
        <f t="shared" ca="1" si="52"/>
        <v>0</v>
      </c>
      <c r="AE54" s="115">
        <f t="shared" ca="1" si="53"/>
        <v>4</v>
      </c>
      <c r="AF54" s="47">
        <f ca="1">IF(AC54,('模拟-单技能数据'!$D$20+G54*'模拟-单技能数据'!$F$20)*(1+J54)*(1+'模拟-单技能数据'!$J$20)*(1+U54),0)</f>
        <v>0</v>
      </c>
      <c r="AG54" s="61">
        <f t="shared" ca="1" si="25"/>
        <v>0.64185145527300214</v>
      </c>
      <c r="AH54" s="61">
        <f t="shared" ca="1" si="26"/>
        <v>2.2624828854998791</v>
      </c>
      <c r="AI54" s="62">
        <f t="shared" ca="1" si="27"/>
        <v>2.9810827352330094E-2</v>
      </c>
      <c r="AJ54" s="47">
        <f ca="1">IF(AD54,IF(AI54&lt;$F$10,0,IF(AI54&lt;$F$10+$F$11,0.25,IF(AI54&lt;$F$10+$F$11+AG54,AH54,1)))*IF(AF54&gt;0,AF54,IF(AF53&gt;0,AF53,IF(AF52&gt;0,AF52,IF(AF51&gt;0,AF51,IF(AF50&gt;0,AF50,IF(AF49&gt;0,AF49,IF(AF48&gt;0,AF48,IF(AF47&gt;0,AF47,IF(AF46&gt;0,AF46,IF(AF44&gt;0,AF44,IF(AF43&gt;0,AF43,IF(AF42&gt;0,AF42,0)))))))))))),0)*(1-$S54)*'模拟-单技能数据'!$I$20</f>
        <v>0</v>
      </c>
      <c r="AK54" s="115" t="b">
        <f t="shared" ca="1" si="2"/>
        <v>0</v>
      </c>
      <c r="AL54" s="115" t="b">
        <f t="shared" ca="1" si="54"/>
        <v>0</v>
      </c>
      <c r="AM54" s="115">
        <f t="shared" ca="1" si="55"/>
        <v>3</v>
      </c>
      <c r="AN54" s="47">
        <f ca="1">IF(AK54,('模拟-单技能数据'!$D$21+G54*'模拟-单技能数据'!$F$21)*(1+J54)*(1+'模拟-单技能数据'!$J$21)*(1+U54),0)</f>
        <v>0</v>
      </c>
      <c r="AO54" s="61">
        <f ca="1">IF(AN54&gt;0,M54-'模拟-单技能数据'!$K$10,AO53)</f>
        <v>0.42185145527300216</v>
      </c>
      <c r="AP54" s="61">
        <f ca="1">IF(AN54&gt;0,I54-'模拟-单技能数据'!$L$10,AP53)</f>
        <v>2.162482885499879</v>
      </c>
      <c r="AQ54" s="63">
        <f t="shared" ca="1" si="28"/>
        <v>0.12550510366720369</v>
      </c>
      <c r="AR54" s="64">
        <f ca="1">IF(AL54,IF(AQ54&lt;$F$10,0,IF(AQ54&lt;$F$10+$F$11,0.25,IF(AQ54&lt;$F$10+$F$11+AO54,AP54,1)))*IF(AN54&gt;0,AN54,IF(AN53&gt;0,AN53,IF(AN52&gt;0,AN52,IF(AN51&gt;0,AN51,IF(AN50&gt;0,AN50,IF(AN49&gt;0,AN49,IF(AN48&gt;0,AN48,IF(AN47&gt;0,AN47,IF(AN46&gt;0,AN46,IF(AN44&gt;0,AN44,IF(AN43&gt;0,AN43,IF(AN42&gt;0,AN42,0)))))))))))),0)*(1-$S54)*'模拟-单技能数据'!$I$21</f>
        <v>0</v>
      </c>
      <c r="AS54" s="61">
        <f ca="1">IF(OR(C54="净世破魔击·日",C54="净世破魔击·月"),M54-'模拟-单技能数据'!$K$10,0)</f>
        <v>0</v>
      </c>
      <c r="AT54" s="61">
        <f ca="1">IF(OR(C54="净世破魔击·日",C54="净世破魔击·月"),I54-'模拟-单技能数据'!$L$10,0)</f>
        <v>0</v>
      </c>
      <c r="AU54" s="62">
        <f t="shared" ca="1" si="29"/>
        <v>1.4461207277778443E-2</v>
      </c>
      <c r="AV54" s="64">
        <f ca="1">IF(AS54&gt;0,('模拟-单技能数据'!$D$22+G54*'模拟-单技能数据'!$F$22)*(1+J54)*(1-S54)*IF(AU54&lt;$F$10,0,IF(AU54&lt;$F$10+$F$11,0.25,IF(AU54&lt;$F$10+$F$11+AS54,AT54,1)))*(1+U54),0)*'模拟-单技能数据'!$I$22</f>
        <v>0</v>
      </c>
      <c r="AW54" s="108">
        <f t="shared" ca="1" si="30"/>
        <v>5.2400000000000064</v>
      </c>
      <c r="AX54" s="108" t="b">
        <f ca="1">AND(模拟模式!$P$10="有",AW53=0,RAND()&lt;IF(C54="净世破魔击·月",0.1*8/3,IF(C54="净世破魔击·日",0.1*4/3,0.1*2/3)))</f>
        <v>0</v>
      </c>
      <c r="AY54" s="47">
        <f ca="1">IF(AX54,(18+G54*0.722)*(1+J54)*(1-S54)*(1+$I$4)*IF(P54="会",'模拟-全程加成'!$J$3+'模拟-全程加成'!$J$4+'模拟-全程加成'!$J$5+('模拟-全程加成'!$I$4+'模拟-全程加成'!$I$5)/系数!$B$4+BG54*10%,IF(P54="命",1,IF(P54="识",0.25,0))),0)</f>
        <v>0</v>
      </c>
      <c r="AZ54" s="108">
        <f t="shared" si="31"/>
        <v>15.387500000000003</v>
      </c>
      <c r="BA54" s="108" t="b">
        <f>AND(模拟模式!$Q$10="有",AZ53=0)</f>
        <v>0</v>
      </c>
      <c r="BB54" s="140">
        <f>IF(BA54,(0+G54*0.287)*(1+J54)*(1-S54)*(1+$I$4)*IF(P54="会",'模拟-全程加成'!$J$3+'模拟-全程加成'!$J$4+'模拟-全程加成'!$J$5+('模拟-全程加成'!$I$4+'模拟-全程加成'!$I$5)/系数!$B$4+BG54*10%,IF(P54="命",1,IF(P54="识",0.25,0))),0)</f>
        <v>0</v>
      </c>
      <c r="BC54" s="115" t="b">
        <f ca="1">AND(模拟模式!$R$7="伏明众生",E54=60,F54=20,DA54&lt;5,CZ53&lt;$F$4)</f>
        <v>0</v>
      </c>
      <c r="BD54" s="115">
        <f t="shared" ca="1" si="3"/>
        <v>0</v>
      </c>
      <c r="BE54" s="115" t="b">
        <f t="shared" ca="1" si="4"/>
        <v>0</v>
      </c>
      <c r="BF54" s="47">
        <f ca="1">IF(BC54,4*('模拟-单技能数据'!$D$24+G54*'模拟-单技能数据'!$F$24)*(1+J54)*(1+'模拟-单技能数据'!$J$24)*(1-S54)*(1+$I$3)*(('模拟-全程加成'!$J$3+'模拟-全程加成'!$J$4+'模拟-全程加成'!$J$5+('模拟-全程加成'!$I$4+'模拟-全程加成'!$I$5)/系数!$B$4+BG54*10%)*('模拟-全程加成'!$J$3+'模拟-全程加成'!$J$4+'模拟-全程加成'!$J$5+('模拟-全程加成'!$I$4+'模拟-全程加成'!$I$5)/系数!$B$4+BG54*10%)+(1-('模拟-全程加成'!$J$3+'模拟-全程加成'!$J$4+'模拟-全程加成'!$J$5+('模拟-全程加成'!$I$4+'模拟-全程加成'!$I$5)/系数!$B$4+BG54*10%)-$F$10-$F$11)+F40*0.25),0)*'模拟-单技能数据'!$I$24</f>
        <v>0</v>
      </c>
      <c r="BG54" s="115" t="b">
        <f ca="1">OR(AND(OR(C54="烈日斩",C54="银月斩"),模拟模式!$I$7="净身明礼"),AND(C54="净世破魔击·日",模拟模式!$J$7="洞若观火"),AND(C55="净世破魔击·月",模拟模式!$J$7="洞若观火"),AB54=1)</f>
        <v>1</v>
      </c>
      <c r="BH54" s="115" t="b">
        <f t="shared" ca="1" si="32"/>
        <v>0</v>
      </c>
      <c r="BI54" s="115">
        <f t="shared" ca="1" si="5"/>
        <v>0</v>
      </c>
      <c r="BJ54" s="115" t="b">
        <f t="shared" ca="1" si="33"/>
        <v>0</v>
      </c>
      <c r="BK54" s="115" t="b">
        <f ca="1">AND(C54="驱夜断愁",模拟模式!$P$7="天地诛戮")</f>
        <v>0</v>
      </c>
      <c r="BL54" s="57">
        <f t="shared" ca="1" si="6"/>
        <v>18.155000000000001</v>
      </c>
      <c r="BM54" s="115" t="b">
        <f t="shared" ca="1" si="34"/>
        <v>1</v>
      </c>
      <c r="BN54" s="115" t="b">
        <f ca="1">AND(OR(C54="赤日轮1",C54="赤日轮2",C54="赤日轮3",C54="幽月轮1",C54="幽月轮2",C54="幽月轮3"),AB54=1,模拟模式!$L$7="明光恒照")</f>
        <v>1</v>
      </c>
      <c r="BO54" s="117">
        <f t="shared" ca="1" si="7"/>
        <v>30</v>
      </c>
      <c r="BP54" s="115">
        <f t="shared" ca="1" si="35"/>
        <v>6</v>
      </c>
      <c r="BQ54" s="115" t="b">
        <f>模拟模式!$K$10="2600·水"</f>
        <v>0</v>
      </c>
      <c r="BR54" s="117">
        <f t="shared" si="36"/>
        <v>0</v>
      </c>
      <c r="BS54" s="115">
        <f t="shared" si="37"/>
        <v>0</v>
      </c>
      <c r="BT54" s="115">
        <f t="shared" ca="1" si="38"/>
        <v>0</v>
      </c>
      <c r="BU54" s="115" t="b">
        <f ca="1">AND(模拟模式!$K$10="2300·雷",BT53=0,RAND()&lt;IF(C54="净世破魔击·月",5*0.05*2/3,IF(C54="净世破魔击·日",3*0.05*2/3,0.05*2*2/3)))</f>
        <v>0</v>
      </c>
      <c r="BV54" s="115">
        <f t="shared" ca="1" si="39"/>
        <v>0</v>
      </c>
      <c r="BW54" s="115">
        <f t="shared" ca="1" si="40"/>
        <v>160.62749999999971</v>
      </c>
      <c r="BX54" s="164" t="b">
        <f t="shared" ca="1" si="41"/>
        <v>0</v>
      </c>
      <c r="BY54" s="115">
        <f t="shared" ca="1" si="42"/>
        <v>0</v>
      </c>
      <c r="BZ54" s="115">
        <f>IF(OR(模拟模式!$P$16="10人团",模拟模式!$P$16="25人团"),IF(B54/30&gt;CA53,1,0),0)</f>
        <v>0</v>
      </c>
      <c r="CA54" s="115">
        <f t="shared" si="8"/>
        <v>0</v>
      </c>
      <c r="CB54" s="115">
        <f ca="1">IF(BZ54=1,IF(模拟模式!$P$16="10人团",15,0)+IF(模拟模式!$P$16="25人团",IF(RAND()&lt;0.6,15,0)),MAX(0,CB53-$F$4))</f>
        <v>0</v>
      </c>
      <c r="CC54" s="115" t="b">
        <f t="shared" ca="1" si="43"/>
        <v>0</v>
      </c>
      <c r="CD54" s="115">
        <f>IF(模拟模式!$Q$16="1个",IF(B54/40&gt;CE53,1,0),0)</f>
        <v>0</v>
      </c>
      <c r="CE54" s="115">
        <f t="shared" si="44"/>
        <v>0</v>
      </c>
      <c r="CF54" s="115">
        <f>IF(OR(CD54=1,模拟模式!$Q$16="2个"),20,MAX(0,CF53-$F$4))</f>
        <v>0</v>
      </c>
      <c r="CG54" s="115" t="b">
        <f t="shared" si="45"/>
        <v>0</v>
      </c>
      <c r="CH54" s="115">
        <f t="shared" ca="1" si="46"/>
        <v>6.0150000000000121</v>
      </c>
      <c r="CI54" s="115" t="b">
        <f t="shared" ca="1" si="47"/>
        <v>0</v>
      </c>
      <c r="CJ54" s="119">
        <f t="shared" ca="1" si="48"/>
        <v>0</v>
      </c>
      <c r="CK54" s="115">
        <f t="shared" ca="1" si="49"/>
        <v>0</v>
      </c>
      <c r="CL54" s="115" t="b">
        <f ca="1">AND(模拟模式!$S$7="驱夷逐法",OR(AND(C54="净世破魔击·月",E53&gt;59),AND(C54="净世破魔击·日",F53&gt;59)))</f>
        <v>0</v>
      </c>
      <c r="CM54" s="115" t="b">
        <f ca="1">OR(CL54,AND(C54="净世破魔击·日",CL53,RAND()&lt;模拟模式!$U$23))</f>
        <v>0</v>
      </c>
      <c r="CN54" s="115" t="b">
        <f ca="1">IF(模拟模式!$M$7="辉耀红尘",AND(C54="净世破魔击·月",CL54,CV54=0,E53&lt;80),AND(C54="净世破魔击·月",CL54,E53&lt;100))</f>
        <v>0</v>
      </c>
      <c r="CO54" s="115" t="b">
        <f t="shared" ca="1" si="9"/>
        <v>0</v>
      </c>
      <c r="CP54" s="115" t="b">
        <f ca="1">AND(模拟模式!$O$7="用晦而明",OR(C54="净世破魔击·日",C54="净世破魔击·月",C54="驱夜断愁"),AB54)</f>
        <v>0</v>
      </c>
      <c r="CQ54" s="115" t="b">
        <f ca="1">OR(CP54,AND(CP53,RAND()&lt;模拟模式!$U$23))</f>
        <v>0</v>
      </c>
      <c r="CR54" s="115" t="b">
        <f ca="1">AND(模拟模式!$S$7="日月齐光",OR(C54="幽月轮1",C54="幽月轮2",C54="幽月轮3",CR53),NOT(OR(C54="赤日轮1",C54="赤日轮2",C54="赤日轮3")))</f>
        <v>0</v>
      </c>
      <c r="CS54" s="115" t="b">
        <f ca="1">AND(模拟模式!$S$7="日月齐光",OR(C54="赤日轮1",C54="赤日轮2",C54="赤日轮3",CS53),NOT(OR(C54="幽月轮1",C54="幽月轮2",C54="幽月轮3")))</f>
        <v>0</v>
      </c>
      <c r="CT54" s="115">
        <f t="shared" ca="1" si="50"/>
        <v>0</v>
      </c>
      <c r="CU54" s="115" t="b">
        <f ca="1">AND(模拟模式!$K$10="阴阳往极",CT53=0,RAND()&lt;IF(C54="净世破魔击·月",0.0275*7/3,IF(C54="净世破魔击·日",0.0275*3/3,0.0275*2/3)))</f>
        <v>0</v>
      </c>
      <c r="CV54" s="115">
        <f t="shared" ca="1" si="51"/>
        <v>0</v>
      </c>
      <c r="CW54" s="115">
        <f t="shared" ca="1" si="10"/>
        <v>5.0774999999999997</v>
      </c>
      <c r="CX54" s="115">
        <f t="shared" ca="1" si="11"/>
        <v>3.2324999999999995</v>
      </c>
      <c r="CY54" s="115">
        <f ca="1">MAX(IF($C54="驱夜断愁",IF(模拟模式!$R$7="万念俱寂",6,45),CY53-$F$4),0)</f>
        <v>4.1549999999999994</v>
      </c>
      <c r="CZ54" s="115">
        <f t="shared" ca="1" si="12"/>
        <v>0</v>
      </c>
      <c r="DA54" s="115">
        <f ca="1">IF(模拟模式!$N$7="日月同辉",IF(DB53=2,0,MIN(6,IF(AND(OR(C54="赤日轮1",C54="赤日轮2",C54="赤日轮3",C54="幽月轮1",C54="幽月轮2",C54="幽月轮3"),AB54=1),DA53+1,DA53))),0)</f>
        <v>1</v>
      </c>
      <c r="DB54" s="115">
        <f t="shared" ca="1" si="13"/>
        <v>0</v>
      </c>
      <c r="DD54" s="115"/>
      <c r="DE54" s="115"/>
      <c r="DF54" s="115"/>
      <c r="DG54" s="115"/>
      <c r="DH54" s="115"/>
      <c r="DI54" s="115"/>
      <c r="DJ54" s="115"/>
      <c r="DK54" s="115"/>
      <c r="DL54" s="115"/>
      <c r="DM54" s="115"/>
    </row>
    <row r="55" spans="2:117" x14ac:dyDescent="0.2">
      <c r="B55" s="117">
        <f t="shared" si="14"/>
        <v>25.829999999999991</v>
      </c>
      <c r="C55" s="167" t="str">
        <f t="shared" ca="1" si="0"/>
        <v>净世破魔击·月</v>
      </c>
      <c r="D55" s="115">
        <f ca="1">IF(C55="赤日轮1",1,IF(C55="赤日轮2",2,IF(C55="赤日轮3",3,IF(C55="幽月轮1",4,IF(C55="幽月轮2",5,IF(C55="幽月轮3",6,IF(C55="烈日斩",7,IF(C55="银月斩",8,IF(C55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55="净世破魔击·月",17,IF(C55="驱夜断愁",18,0)))))))))))</f>
        <v>17</v>
      </c>
      <c r="E55" s="115">
        <f ca="1">IF(AND(CU55,OR(C55="幽月轮1",C55="幽月轮2",C55="幽月轮3",C55="银月斩",C55="驱夜断愁",C55="净世破魔击·月")),100,MIN(IF(OR(CN55,BE55),0,IF(OR($C55="赤日轮1",$C55="赤日轮2",$C55="赤日轮3"),E54+20+IF(模拟模式!$I$7="日月凌天",4,0)+IF(CR54,20,0),IF($C55="烈日斩",E54+40,IF($C55="驱夜断愁",IF(模拟模式!$R$7="万念俱寂",E54+20,E54+60),IF($C55="净世破魔击·月",IF(OR(DB54&gt;0,CV54&gt;0),100,IF(模拟模式!$M$7="辉耀红尘",E54+20,E54)),IF($C55="净世破魔击·日",E54-100,E54)))))),100))</f>
        <v>100</v>
      </c>
      <c r="F55" s="115">
        <f ca="1">IF(AND(CU55,OR(C55="赤日轮1",C55="赤日轮2",C55="赤日轮3",C55="烈日斩",C55="净世破魔击·日")),100,MIN(IF(CO55,0,IF(OR($C55="幽月轮1",$C55="幽月轮2",$C55="幽月轮3"),F54+20+IF(模拟模式!$I$7="日月凌天",4,0)+IF(CS54,20,0),IF($C55="银月斩",F54+40+IF(模拟模式!$X$12=1,5,0),IF($C55="驱夜断愁",IF(模拟模式!$R$7="万念俱寂",F54+20,F54+60),IF($C55="净世破魔击·月",IF(模拟模式!$M$7="辉耀红尘",F54-80,F54-100),IF(AND(C55="净世破魔击·日",OR(DB54&gt;0,CV54&gt;0)),100,F54)))))),100))</f>
        <v>20</v>
      </c>
      <c r="G55" s="117">
        <f ca="1">('模拟-全程加成'!$E$3+'模拟-全程加成'!$E$4+'模拟-全程加成'!$E$5+('模拟-全程加成'!$C$6-'模拟-全程加成'!$C$3)*系数!$B$9+BS55*23)*(1+'模拟-全程加成'!$F$4+'模拟-全程加成'!$F$5+BJ55*10%+BM55*20%+BP55*4%+CG55*30%)+$F$7*系数!$B$12</f>
        <v>20583.127400000001</v>
      </c>
      <c r="H55" s="45">
        <f ca="1">'模拟-全程加成'!$H$3+'模拟-全程加成'!$H$4+'模拟-全程加成'!$H$5+('模拟-全程加成'!$G$4+'模拟-全程加成'!$G$5+('模拟-全程加成'!$C$6-'模拟-全程加成'!$C$3)*系数!$B$13)/系数!$B$3+LOOKUP(D55,'模拟-单技能数据'!$A$2:$A$19,'模拟-单技能数据'!$K$2:$K$19)+BG55*10%+IF(BV55&gt;0,378,0)</f>
        <v>0.54185145527300216</v>
      </c>
      <c r="I55" s="45">
        <f ca="1">'模拟-全程加成'!$J$3+'模拟-全程加成'!$J$4+'模拟-全程加成'!$J$5+('模拟-全程加成'!$I$4+'模拟-全程加成'!$I$5)/系数!$B$4+LOOKUP(D55,'模拟-单技能数据'!$A$2:$A$19,'模拟-单技能数据'!$L$2:$L$19)+BG55*10%</f>
        <v>2.162482885499879</v>
      </c>
      <c r="J55" s="45">
        <f ca="1">(('模拟-全程加成'!$K$3+'模拟-全程加成'!$K$4+'模拟-全程加成'!$K$5+('模拟-全程加成'!$C$6-'模拟-全程加成'!$C$3)*系数!$B$10+IF(BV55&gt;0,882,0)+IF(BY55&gt;0,1831,0))*(1+'模拟-全程加成'!$L$4+'模拟-全程加成'!$L$5+CC55*20%))/系数!$B$5</f>
        <v>0.69723220422048726</v>
      </c>
      <c r="K55" s="119">
        <f ca="1">LOOKUP(D55,'模拟-单技能数据'!$A$2:$A$19,'模拟-单技能数据'!$J$2:$J$19)+IF(CM55,60%,0)+IF(DB54-DB55&gt;0,30%,0)+IF(OR(AND(OR(C55="赤日轮1",C55="赤日轮2",C55="赤日轮3"),CR55),AND(OR(C55="幽月轮1",C55="幽月轮2",C55="幽月轮3"),CS55)),35%,0)+CJ55</f>
        <v>0.8</v>
      </c>
      <c r="L55" s="119">
        <f ca="1">IF(AND(C55="烈日斩",模拟模式!$X$11=1),10%,0)+IF(AND(C55="驱夜断愁",AB55=1),30%,0)</f>
        <v>0</v>
      </c>
      <c r="M55" s="45">
        <f t="shared" ca="1" si="15"/>
        <v>0.54185145527300216</v>
      </c>
      <c r="N55" s="45">
        <f t="shared" ca="1" si="16"/>
        <v>0.40424854472699789</v>
      </c>
      <c r="O55" s="46">
        <f t="shared" ca="1" si="17"/>
        <v>0.84620729829319075</v>
      </c>
      <c r="P55" s="46" t="str">
        <f t="shared" ca="1" si="18"/>
        <v>命</v>
      </c>
      <c r="Q55" s="45">
        <f t="shared" ca="1" si="19"/>
        <v>1</v>
      </c>
      <c r="R55" s="117">
        <f ca="1">模拟模式!$E$20*(1-IF(模拟模式!$J$19="有",0.15,0))*(1-IF(模拟模式!$K$19="有",0.3,0)-IF(CQ55,0.5,0))</f>
        <v>843.02999999999975</v>
      </c>
      <c r="S55" s="45">
        <f ca="1">R55/(R55+(185*模拟模式!$E$22-16800)*4.08224)</f>
        <v>8.389626085980037E-2</v>
      </c>
      <c r="T55" s="45" t="str">
        <f ca="1">LOOKUP(D55,'模拟-单技能数据'!$A$2:$A$19,'模拟-单技能数据'!$H$2:$H$19)</f>
        <v>阴</v>
      </c>
      <c r="U55" s="119">
        <f t="shared" ca="1" si="20"/>
        <v>0.08</v>
      </c>
      <c r="V55" s="47">
        <f ca="1">(1+L55)*(LOOKUP(D55,'模拟-单技能数据'!$A$2:$A$19,'模拟-单技能数据'!$D$2:$D$19)+G55*LOOKUP(D55,'模拟-单技能数据'!$A$2:$A$19,'模拟-单技能数据'!$F$2:$F$19))*(1+J55)*(1+K55)*(1-S55)*(1+U55)*Q55*LOOKUP(D55,'模拟-单技能数据'!$A$2:$A$19,'模拟-单技能数据'!$I$2:$I$20)</f>
        <v>80864.621558254468</v>
      </c>
      <c r="W55" s="47">
        <f ca="1">LOOKUP(D55,'模拟-单技能数据'!$A$2:$A$19,'模拟-单技能数据'!$G$2:$G$19)*$I$10</f>
        <v>361.51064354704795</v>
      </c>
      <c r="X55" s="47">
        <f t="shared" ca="1" si="21"/>
        <v>33468.981759541603</v>
      </c>
      <c r="Y55" s="47">
        <f t="shared" ca="1" si="22"/>
        <v>114695.11396134313</v>
      </c>
      <c r="Z55" s="49">
        <f t="shared" ca="1" si="23"/>
        <v>2841341.1149989134</v>
      </c>
      <c r="AA55" s="97">
        <f t="shared" ca="1" si="24"/>
        <v>110001.59175373265</v>
      </c>
      <c r="AB55" s="115">
        <f ca="1">IF(OR(C55="赤日轮1",C55="赤日轮2",C55="赤日轮3"),IF(RAND()&lt;模拟模式!$Y$17,1,0),IF(OR(C55="幽月轮1",C55="幽月轮2",C55="幽月轮3"),IF(RAND()&lt;模拟模式!$Y$18,1,0),IF(C55="烈日斩",IF(RAND()&lt;模拟模式!$Y$19,1,0),IF(C55="银月斩",IF(RAND()&lt;模拟模式!$Y$20,1,0),IF(C55="驱夜断愁",IF(RAND()&lt;模拟模式!$Y$21,1,0),IF(C55="净世破魔击·日",IF(RAND()&lt;模拟模式!$Y$22,1,0),IF(C55="净世破魔击·月",IF(RAND()&lt;模拟模式!$Y$23,1,0),0)))))))</f>
        <v>1</v>
      </c>
      <c r="AC55" s="115" t="b">
        <f t="shared" ca="1" si="1"/>
        <v>0</v>
      </c>
      <c r="AD55" s="115" t="b">
        <f t="shared" ca="1" si="52"/>
        <v>1</v>
      </c>
      <c r="AE55" s="115">
        <f t="shared" ca="1" si="53"/>
        <v>3</v>
      </c>
      <c r="AF55" s="47">
        <f ca="1">IF(AC55,('模拟-单技能数据'!$D$20+G55*'模拟-单技能数据'!$F$20)*(1+J55)*(1+'模拟-单技能数据'!$J$20)*(1+U55),0)</f>
        <v>0</v>
      </c>
      <c r="AG55" s="61">
        <f t="shared" ca="1" si="25"/>
        <v>0.64185145527300214</v>
      </c>
      <c r="AH55" s="61">
        <f t="shared" ca="1" si="26"/>
        <v>2.2624828854998791</v>
      </c>
      <c r="AI55" s="62">
        <f t="shared" ca="1" si="27"/>
        <v>0.80292856924817013</v>
      </c>
      <c r="AJ55" s="47">
        <f ca="1">IF(AD55,IF(AI55&lt;$F$10,0,IF(AI55&lt;$F$10+$F$11,0.25,IF(AI55&lt;$F$10+$F$11+AG55,AH55,1)))*IF(AF55&gt;0,AF55,IF(AF54&gt;0,AF54,IF(AF53&gt;0,AF53,IF(AF52&gt;0,AF52,IF(AF51&gt;0,AF51,IF(AF50&gt;0,AF50,IF(AF49&gt;0,AF49,IF(AF48&gt;0,AF48,IF(AF47&gt;0,AF47,IF(AF45&gt;0,AF45,IF(AF44&gt;0,AF44,IF(AF43&gt;0,AF43,0)))))))))))),0)*(1-$S55)*'模拟-单技能数据'!$I$20</f>
        <v>4074.6980221198578</v>
      </c>
      <c r="AK55" s="115" t="b">
        <f t="shared" ca="1" si="2"/>
        <v>0</v>
      </c>
      <c r="AL55" s="115" t="b">
        <f t="shared" ca="1" si="54"/>
        <v>1</v>
      </c>
      <c r="AM55" s="115">
        <f t="shared" ca="1" si="55"/>
        <v>2</v>
      </c>
      <c r="AN55" s="47">
        <f ca="1">IF(AK55,('模拟-单技能数据'!$D$21+G55*'模拟-单技能数据'!$F$21)*(1+J55)*(1+'模拟-单技能数据'!$J$21)*(1+U55),0)</f>
        <v>0</v>
      </c>
      <c r="AO55" s="61">
        <f ca="1">IF(AN55&gt;0,M55-'模拟-单技能数据'!$K$10,AO54)</f>
        <v>0.42185145527300216</v>
      </c>
      <c r="AP55" s="61">
        <f ca="1">IF(AN55&gt;0,I55-'模拟-单技能数据'!$L$10,AP54)</f>
        <v>2.162482885499879</v>
      </c>
      <c r="AQ55" s="63">
        <f t="shared" ca="1" si="28"/>
        <v>0.16436986644959961</v>
      </c>
      <c r="AR55" s="64">
        <f ca="1">IF(AL55,IF(AQ55&lt;$F$10,0,IF(AQ55&lt;$F$10+$F$11,0.25,IF(AQ55&lt;$F$10+$F$11+AO55,AP55,1)))*IF(AN55&gt;0,AN55,IF(AN54&gt;0,AN54,IF(AN53&gt;0,AN53,IF(AN52&gt;0,AN52,IF(AN51&gt;0,AN51,IF(AN50&gt;0,AN50,IF(AN49&gt;0,AN49,IF(AN48&gt;0,AN48,IF(AN47&gt;0,AN47,IF(AN45&gt;0,AN45,IF(AN44&gt;0,AN44,IF(AN43&gt;0,AN43,0)))))))))))),0)*(1-$S55)*'模拟-单技能数据'!$I$21</f>
        <v>27484.420799395535</v>
      </c>
      <c r="AS55" s="61">
        <f ca="1">IF(OR(C55="净世破魔击·日",C55="净世破魔击·月"),M55-'模拟-单技能数据'!$K$10,0)</f>
        <v>0.42185145527300216</v>
      </c>
      <c r="AT55" s="61">
        <f ca="1">IF(OR(C55="净世破魔击·日",C55="净世破魔击·月"),I55-'模拟-单技能数据'!$L$10,0)</f>
        <v>2.162482885499879</v>
      </c>
      <c r="AU55" s="62">
        <f t="shared" ca="1" si="29"/>
        <v>5.3304538329195905E-2</v>
      </c>
      <c r="AV55" s="64">
        <f ca="1">IF(AS55&gt;0,('模拟-单技能数据'!$D$22+G55*'模拟-单技能数据'!$F$22)*(1+J55)*(1-S55)*IF(AU55&lt;$F$10,0,IF(AU55&lt;$F$10+$F$11,0.25,IF(AU55&lt;$F$10+$F$11+AS55,AT55,1)))*(1+U55),0)*'模拟-单技能数据'!$I$22</f>
        <v>1909.8629380262123</v>
      </c>
      <c r="AW55" s="108">
        <f t="shared" ca="1" si="30"/>
        <v>4.3175000000000061</v>
      </c>
      <c r="AX55" s="108" t="b">
        <f ca="1">AND(模拟模式!$P$10="有",AW54=0,RAND()&lt;IF(C55="净世破魔击·月",0.1*8/3,IF(C55="净世破魔击·日",0.1*4/3,0.1*2/3)))</f>
        <v>0</v>
      </c>
      <c r="AY55" s="47">
        <f ca="1">IF(AX55,(18+G55*0.722)*(1+J55)*(1-S55)*(1+$I$4)*IF(P55="会",'模拟-全程加成'!$J$3+'模拟-全程加成'!$J$4+'模拟-全程加成'!$J$5+('模拟-全程加成'!$I$4+'模拟-全程加成'!$I$5)/系数!$B$4+BG55*10%,IF(P55="命",1,IF(P55="识",0.25,0))),0)</f>
        <v>0</v>
      </c>
      <c r="AZ55" s="108">
        <f t="shared" si="31"/>
        <v>14.465000000000003</v>
      </c>
      <c r="BA55" s="108" t="b">
        <f>AND(模拟模式!$Q$10="有",AZ54=0)</f>
        <v>0</v>
      </c>
      <c r="BB55" s="140">
        <f>IF(BA55,(0+G55*0.287)*(1+J55)*(1-S55)*(1+$I$4)*IF(P55="会",'模拟-全程加成'!$J$3+'模拟-全程加成'!$J$4+'模拟-全程加成'!$J$5+('模拟-全程加成'!$I$4+'模拟-全程加成'!$I$5)/系数!$B$4+BG55*10%,IF(P55="命",1,IF(P55="识",0.25,0))),0)</f>
        <v>0</v>
      </c>
      <c r="BC55" s="115" t="b">
        <f ca="1">AND(模拟模式!$R$7="伏明众生",E55=60,F55=20,DA55&lt;5,CZ54&lt;$F$4)</f>
        <v>0</v>
      </c>
      <c r="BD55" s="115">
        <f t="shared" ca="1" si="3"/>
        <v>0</v>
      </c>
      <c r="BE55" s="115" t="b">
        <f t="shared" ca="1" si="4"/>
        <v>0</v>
      </c>
      <c r="BF55" s="47">
        <f ca="1">IF(BC55,4*('模拟-单技能数据'!$D$24+G55*'模拟-单技能数据'!$F$24)*(1+J55)*(1+'模拟-单技能数据'!$J$24)*(1-S55)*(1+$I$3)*(('模拟-全程加成'!$J$3+'模拟-全程加成'!$J$4+'模拟-全程加成'!$J$5+('模拟-全程加成'!$I$4+'模拟-全程加成'!$I$5)/系数!$B$4+BG55*10%)*('模拟-全程加成'!$J$3+'模拟-全程加成'!$J$4+'模拟-全程加成'!$J$5+('模拟-全程加成'!$I$4+'模拟-全程加成'!$I$5)/系数!$B$4+BG55*10%)+(1-('模拟-全程加成'!$J$3+'模拟-全程加成'!$J$4+'模拟-全程加成'!$J$5+('模拟-全程加成'!$I$4+'模拟-全程加成'!$I$5)/系数!$B$4+BG55*10%)-$F$10-$F$11)+F41*0.25),0)*'模拟-单技能数据'!$I$24</f>
        <v>0</v>
      </c>
      <c r="BG55" s="115" t="b">
        <f ca="1">OR(AND(OR(C55="烈日斩",C55="银月斩"),模拟模式!$I$7="净身明礼"),AND(C55="净世破魔击·日",模拟模式!$J$7="洞若观火"),AND(C56="净世破魔击·月",模拟模式!$J$7="洞若观火"),AB55=1)</f>
        <v>1</v>
      </c>
      <c r="BH55" s="115" t="b">
        <f t="shared" ca="1" si="32"/>
        <v>0</v>
      </c>
      <c r="BI55" s="115">
        <f t="shared" ca="1" si="5"/>
        <v>0</v>
      </c>
      <c r="BJ55" s="115" t="b">
        <f t="shared" ca="1" si="33"/>
        <v>0</v>
      </c>
      <c r="BK55" s="115" t="b">
        <f ca="1">AND(C55="驱夜断愁",模拟模式!$P$7="天地诛戮")</f>
        <v>0</v>
      </c>
      <c r="BL55" s="57">
        <f t="shared" ca="1" si="6"/>
        <v>17.232500000000002</v>
      </c>
      <c r="BM55" s="115" t="b">
        <f t="shared" ca="1" si="34"/>
        <v>1</v>
      </c>
      <c r="BN55" s="115" t="b">
        <f ca="1">AND(OR(C55="赤日轮1",C55="赤日轮2",C55="赤日轮3",C55="幽月轮1",C55="幽月轮2",C55="幽月轮3"),AB55=1,模拟模式!$L$7="明光恒照")</f>
        <v>0</v>
      </c>
      <c r="BO55" s="117">
        <f t="shared" ca="1" si="7"/>
        <v>29.077500000000001</v>
      </c>
      <c r="BP55" s="115">
        <f t="shared" ca="1" si="35"/>
        <v>6</v>
      </c>
      <c r="BQ55" s="115" t="b">
        <f>模拟模式!$K$10="2600·水"</f>
        <v>0</v>
      </c>
      <c r="BR55" s="117">
        <f t="shared" si="36"/>
        <v>0</v>
      </c>
      <c r="BS55" s="115">
        <f t="shared" si="37"/>
        <v>0</v>
      </c>
      <c r="BT55" s="115">
        <f t="shared" ca="1" si="38"/>
        <v>0</v>
      </c>
      <c r="BU55" s="115" t="b">
        <f ca="1">AND(模拟模式!$K$10="2300·雷",BT54=0,RAND()&lt;IF(C55="净世破魔击·月",5*0.05*2/3,IF(C55="净世破魔击·日",3*0.05*2/3,0.05*2*2/3)))</f>
        <v>0</v>
      </c>
      <c r="BV55" s="115">
        <f t="shared" ca="1" si="39"/>
        <v>0</v>
      </c>
      <c r="BW55" s="115">
        <f t="shared" ca="1" si="40"/>
        <v>159.7049999999997</v>
      </c>
      <c r="BX55" s="164" t="b">
        <f t="shared" ca="1" si="41"/>
        <v>0</v>
      </c>
      <c r="BY55" s="115">
        <f t="shared" ca="1" si="42"/>
        <v>0</v>
      </c>
      <c r="BZ55" s="115">
        <f>IF(OR(模拟模式!$P$16="10人团",模拟模式!$P$16="25人团"),IF(B55/30&gt;CA54,1,0),0)</f>
        <v>0</v>
      </c>
      <c r="CA55" s="115">
        <f t="shared" si="8"/>
        <v>0</v>
      </c>
      <c r="CB55" s="115">
        <f ca="1">IF(BZ55=1,IF(模拟模式!$P$16="10人团",15,0)+IF(模拟模式!$P$16="25人团",IF(RAND()&lt;0.6,15,0)),MAX(0,CB54-$F$4))</f>
        <v>0</v>
      </c>
      <c r="CC55" s="115" t="b">
        <f t="shared" ca="1" si="43"/>
        <v>0</v>
      </c>
      <c r="CD55" s="115">
        <f>IF(模拟模式!$Q$16="1个",IF(B55/40&gt;CE54,1,0),0)</f>
        <v>0</v>
      </c>
      <c r="CE55" s="115">
        <f t="shared" si="44"/>
        <v>0</v>
      </c>
      <c r="CF55" s="115">
        <f>IF(OR(CD55=1,模拟模式!$Q$16="2个"),20,MAX(0,CF54-$F$4))</f>
        <v>0</v>
      </c>
      <c r="CG55" s="115" t="b">
        <f t="shared" si="45"/>
        <v>0</v>
      </c>
      <c r="CH55" s="115">
        <f t="shared" ca="1" si="46"/>
        <v>5.0925000000000118</v>
      </c>
      <c r="CI55" s="115" t="b">
        <f t="shared" ca="1" si="47"/>
        <v>0</v>
      </c>
      <c r="CJ55" s="119">
        <f t="shared" ca="1" si="48"/>
        <v>0</v>
      </c>
      <c r="CK55" s="115">
        <f t="shared" ca="1" si="49"/>
        <v>0</v>
      </c>
      <c r="CL55" s="115" t="b">
        <f ca="1">AND(模拟模式!$S$7="驱夷逐法",OR(AND(C55="净世破魔击·月",E54&gt;59),AND(C55="净世破魔击·日",F54&gt;59)))</f>
        <v>1</v>
      </c>
      <c r="CM55" s="115" t="b">
        <f ca="1">OR(CL55,AND(C55="净世破魔击·日",CL54,RAND()&lt;模拟模式!$U$23))</f>
        <v>1</v>
      </c>
      <c r="CN55" s="115" t="b">
        <f ca="1">IF(模拟模式!$M$7="辉耀红尘",AND(C55="净世破魔击·月",CL55,CV55=0,E54&lt;80),AND(C55="净世破魔击·月",CL55,E54&lt;100))</f>
        <v>0</v>
      </c>
      <c r="CO55" s="115" t="b">
        <f t="shared" ca="1" si="9"/>
        <v>0</v>
      </c>
      <c r="CP55" s="115" t="b">
        <f ca="1">AND(模拟模式!$O$7="用晦而明",OR(C55="净世破魔击·日",C55="净世破魔击·月",C55="驱夜断愁"),AB55)</f>
        <v>1</v>
      </c>
      <c r="CQ55" s="115" t="b">
        <f ca="1">OR(CP55,AND(CP54,RAND()&lt;模拟模式!$U$23))</f>
        <v>1</v>
      </c>
      <c r="CR55" s="115" t="b">
        <f ca="1">AND(模拟模式!$S$7="日月齐光",OR(C55="幽月轮1",C55="幽月轮2",C55="幽月轮3",CR54),NOT(OR(C55="赤日轮1",C55="赤日轮2",C55="赤日轮3")))</f>
        <v>0</v>
      </c>
      <c r="CS55" s="115" t="b">
        <f ca="1">AND(模拟模式!$S$7="日月齐光",OR(C55="赤日轮1",C55="赤日轮2",C55="赤日轮3",CS54),NOT(OR(C55="幽月轮1",C55="幽月轮2",C55="幽月轮3")))</f>
        <v>0</v>
      </c>
      <c r="CT55" s="115">
        <f t="shared" ca="1" si="50"/>
        <v>0</v>
      </c>
      <c r="CU55" s="115" t="b">
        <f ca="1">AND(模拟模式!$K$10="阴阳往极",CT54=0,RAND()&lt;IF(C55="净世破魔击·月",0.0275*7/3,IF(C55="净世破魔击·日",0.0275*3/3,0.0275*2/3)))</f>
        <v>0</v>
      </c>
      <c r="CV55" s="115">
        <f t="shared" ca="1" si="51"/>
        <v>0</v>
      </c>
      <c r="CW55" s="115">
        <f t="shared" ca="1" si="10"/>
        <v>4.1549999999999994</v>
      </c>
      <c r="CX55" s="115">
        <f t="shared" ca="1" si="11"/>
        <v>2.3099999999999996</v>
      </c>
      <c r="CY55" s="115">
        <f ca="1">MAX(IF($C55="驱夜断愁",IF(模拟模式!$R$7="万念俱寂",6,45),CY54-$F$4),0)</f>
        <v>3.2324999999999995</v>
      </c>
      <c r="CZ55" s="115">
        <f t="shared" ca="1" si="12"/>
        <v>0</v>
      </c>
      <c r="DA55" s="115">
        <f ca="1">IF(模拟模式!$N$7="日月同辉",IF(DB54=2,0,MIN(6,IF(AND(OR(C55="赤日轮1",C55="赤日轮2",C55="赤日轮3",C55="幽月轮1",C55="幽月轮2",C55="幽月轮3"),AB55=1),DA54+1,DA54))),0)</f>
        <v>1</v>
      </c>
      <c r="DB55" s="115">
        <f t="shared" ca="1" si="13"/>
        <v>0</v>
      </c>
      <c r="DD55" s="115"/>
      <c r="DE55" s="115"/>
      <c r="DF55" s="115"/>
      <c r="DG55" s="115"/>
      <c r="DH55" s="115"/>
      <c r="DI55" s="115"/>
      <c r="DJ55" s="115"/>
      <c r="DK55" s="115"/>
      <c r="DL55" s="115"/>
      <c r="DM55" s="115"/>
    </row>
    <row r="56" spans="2:117" x14ac:dyDescent="0.2">
      <c r="B56" s="117">
        <f t="shared" si="14"/>
        <v>26.752499999999991</v>
      </c>
      <c r="C56" s="167" t="str">
        <f t="shared" ca="1" si="0"/>
        <v>净世破魔击·日</v>
      </c>
      <c r="D56" s="115">
        <f ca="1">IF(C56="赤日轮1",1,IF(C56="赤日轮2",2,IF(C56="赤日轮3",3,IF(C56="幽月轮1",4,IF(C56="幽月轮2",5,IF(C56="幽月轮3",6,IF(C56="烈日斩",7,IF(C56="银月斩",8,IF(C56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56="净世破魔击·月",17,IF(C56="驱夜断愁",18,0)))))))))))</f>
        <v>9</v>
      </c>
      <c r="E56" s="115">
        <f ca="1">IF(AND(CU56,OR(C56="幽月轮1",C56="幽月轮2",C56="幽月轮3",C56="银月斩",C56="驱夜断愁",C56="净世破魔击·月")),100,MIN(IF(OR(CN56,BE56),0,IF(OR($C56="赤日轮1",$C56="赤日轮2",$C56="赤日轮3"),E55+20+IF(模拟模式!$I$7="日月凌天",4,0)+IF(CR55,20,0),IF($C56="烈日斩",E55+40,IF($C56="驱夜断愁",IF(模拟模式!$R$7="万念俱寂",E55+20,E55+60),IF($C56="净世破魔击·月",IF(OR(DB55&gt;0,CV55&gt;0),100,IF(模拟模式!$M$7="辉耀红尘",E55+20,E55)),IF($C56="净世破魔击·日",E55-100,E55)))))),100))</f>
        <v>0</v>
      </c>
      <c r="F56" s="115">
        <f ca="1">IF(AND(CU56,OR(C56="赤日轮1",C56="赤日轮2",C56="赤日轮3",C56="烈日斩",C56="净世破魔击·日")),100,MIN(IF(CO56,0,IF(OR($C56="幽月轮1",$C56="幽月轮2",$C56="幽月轮3"),F55+20+IF(模拟模式!$I$7="日月凌天",4,0)+IF(CS55,20,0),IF($C56="银月斩",F55+40+IF(模拟模式!$X$12=1,5,0),IF($C56="驱夜断愁",IF(模拟模式!$R$7="万念俱寂",F55+20,F55+60),IF($C56="净世破魔击·月",IF(模拟模式!$M$7="辉耀红尘",F55-80,F55-100),IF(AND(C56="净世破魔击·日",OR(DB55&gt;0,CV55&gt;0)),100,F55)))))),100))</f>
        <v>20</v>
      </c>
      <c r="G56" s="117">
        <f ca="1">('模拟-全程加成'!$E$3+'模拟-全程加成'!$E$4+'模拟-全程加成'!$E$5+('模拟-全程加成'!$C$6-'模拟-全程加成'!$C$3)*系数!$B$9+BS56*23)*(1+'模拟-全程加成'!$F$4+'模拟-全程加成'!$F$5+BJ56*10%+BM56*20%+BP56*4%+CG56*30%)+$F$7*系数!$B$12</f>
        <v>20583.127400000001</v>
      </c>
      <c r="H56" s="45">
        <f ca="1">'模拟-全程加成'!$H$3+'模拟-全程加成'!$H$4+'模拟-全程加成'!$H$5+('模拟-全程加成'!$G$4+'模拟-全程加成'!$G$5+('模拟-全程加成'!$C$6-'模拟-全程加成'!$C$3)*系数!$B$13)/系数!$B$3+LOOKUP(D56,'模拟-单技能数据'!$A$2:$A$19,'模拟-单技能数据'!$K$2:$K$19)+BG56*10%+IF(BV56&gt;0,378,0)</f>
        <v>0.54185145527300216</v>
      </c>
      <c r="I56" s="45">
        <f ca="1">'模拟-全程加成'!$J$3+'模拟-全程加成'!$J$4+'模拟-全程加成'!$J$5+('模拟-全程加成'!$I$4+'模拟-全程加成'!$I$5)/系数!$B$4+LOOKUP(D56,'模拟-单技能数据'!$A$2:$A$19,'模拟-单技能数据'!$L$2:$L$19)+BG56*10%</f>
        <v>2.162482885499879</v>
      </c>
      <c r="J56" s="45">
        <f ca="1">(('模拟-全程加成'!$K$3+'模拟-全程加成'!$K$4+'模拟-全程加成'!$K$5+('模拟-全程加成'!$C$6-'模拟-全程加成'!$C$3)*系数!$B$10+IF(BV56&gt;0,882,0)+IF(BY56&gt;0,1831,0))*(1+'模拟-全程加成'!$L$4+'模拟-全程加成'!$L$5+CC56*20%))/系数!$B$5</f>
        <v>0.69723220422048726</v>
      </c>
      <c r="K56" s="119">
        <f ca="1">LOOKUP(D56,'模拟-单技能数据'!$A$2:$A$19,'模拟-单技能数据'!$J$2:$J$19)+IF(CM56,60%,0)+IF(DB55-DB56&gt;0,30%,0)+IF(OR(AND(OR(C56="赤日轮1",C56="赤日轮2",C56="赤日轮3"),CR56),AND(OR(C56="幽月轮1",C56="幽月轮2",C56="幽月轮3"),CS56)),35%,0)+CJ56</f>
        <v>0.8</v>
      </c>
      <c r="L56" s="119">
        <f ca="1">IF(AND(C56="烈日斩",模拟模式!$X$11=1),10%,0)+IF(AND(C56="驱夜断愁",AB56=1),30%,0)</f>
        <v>0</v>
      </c>
      <c r="M56" s="45">
        <f t="shared" ca="1" si="15"/>
        <v>0.54185145527300216</v>
      </c>
      <c r="N56" s="45">
        <f t="shared" ca="1" si="16"/>
        <v>0.40424854472699789</v>
      </c>
      <c r="O56" s="46">
        <f t="shared" ca="1" si="17"/>
        <v>0.52808180320923503</v>
      </c>
      <c r="P56" s="46" t="str">
        <f t="shared" ca="1" si="18"/>
        <v>会</v>
      </c>
      <c r="Q56" s="45">
        <f t="shared" ca="1" si="19"/>
        <v>2.162482885499879</v>
      </c>
      <c r="R56" s="117">
        <f ca="1">模拟模式!$E$20*(1-IF(模拟模式!$J$19="有",0.15,0))*(1-IF(模拟模式!$K$19="有",0.3,0)-IF(CQ56,0.5,0))</f>
        <v>843.02999999999975</v>
      </c>
      <c r="S56" s="45">
        <f ca="1">R56/(R56+(185*模拟模式!$E$22-16800)*4.08224)</f>
        <v>8.389626085980037E-2</v>
      </c>
      <c r="T56" s="45" t="str">
        <f ca="1">LOOKUP(D56,'模拟-单技能数据'!$A$2:$A$19,'模拟-单技能数据'!$H$2:$H$19)</f>
        <v>阳</v>
      </c>
      <c r="U56" s="119">
        <f t="shared" ca="1" si="20"/>
        <v>0.2</v>
      </c>
      <c r="V56" s="47">
        <f ca="1">(1+L56)*(LOOKUP(D56,'模拟-单技能数据'!$A$2:$A$19,'模拟-单技能数据'!$D$2:$D$19)+G56*LOOKUP(D56,'模拟-单技能数据'!$A$2:$A$19,'模拟-单技能数据'!$F$2:$F$19))*(1+J56)*(1+K56)*(1-S56)*(1+U56)*Q56*LOOKUP(D56,'模拟-单技能数据'!$A$2:$A$19,'模拟-单技能数据'!$I$2:$I$20)</f>
        <v>195915.814886668</v>
      </c>
      <c r="W56" s="47">
        <f ca="1">LOOKUP(D56,'模拟-单技能数据'!$A$2:$A$19,'模拟-单技能数据'!$G$2:$G$19)*$I$10</f>
        <v>723.0212870940959</v>
      </c>
      <c r="X56" s="47">
        <f t="shared" ca="1" si="21"/>
        <v>8488.2797245609418</v>
      </c>
      <c r="Y56" s="47">
        <f t="shared" ca="1" si="22"/>
        <v>205127.11589832304</v>
      </c>
      <c r="Z56" s="49">
        <f t="shared" ca="1" si="23"/>
        <v>3046468.2308972366</v>
      </c>
      <c r="AA56" s="97">
        <f t="shared" ca="1" si="24"/>
        <v>113876.02021856789</v>
      </c>
      <c r="AB56" s="115">
        <f ca="1">IF(OR(C56="赤日轮1",C56="赤日轮2",C56="赤日轮3"),IF(RAND()&lt;模拟模式!$Y$17,1,0),IF(OR(C56="幽月轮1",C56="幽月轮2",C56="幽月轮3"),IF(RAND()&lt;模拟模式!$Y$18,1,0),IF(C56="烈日斩",IF(RAND()&lt;模拟模式!$Y$19,1,0),IF(C56="银月斩",IF(RAND()&lt;模拟模式!$Y$20,1,0),IF(C56="驱夜断愁",IF(RAND()&lt;模拟模式!$Y$21,1,0),IF(C56="净世破魔击·日",IF(RAND()&lt;模拟模式!$Y$22,1,0),IF(C56="净世破魔击·月",IF(RAND()&lt;模拟模式!$Y$23,1,0),0)))))))</f>
        <v>1</v>
      </c>
      <c r="AC56" s="115" t="b">
        <f t="shared" ca="1" si="1"/>
        <v>0</v>
      </c>
      <c r="AD56" s="115" t="b">
        <f t="shared" ca="1" si="52"/>
        <v>0</v>
      </c>
      <c r="AE56" s="115">
        <f t="shared" ca="1" si="53"/>
        <v>3</v>
      </c>
      <c r="AF56" s="47">
        <f ca="1">IF(AC56,('模拟-单技能数据'!$D$20+G56*'模拟-单技能数据'!$F$20)*(1+J56)*(1+'模拟-单技能数据'!$J$20)*(1+U56),0)</f>
        <v>0</v>
      </c>
      <c r="AG56" s="61">
        <f t="shared" ca="1" si="25"/>
        <v>0.64185145527300214</v>
      </c>
      <c r="AH56" s="61">
        <f t="shared" ca="1" si="26"/>
        <v>2.2624828854998791</v>
      </c>
      <c r="AI56" s="62">
        <f t="shared" ca="1" si="27"/>
        <v>0.97229579660053622</v>
      </c>
      <c r="AJ56" s="47">
        <f ca="1">IF(AD56,IF(AI56&lt;$F$10,0,IF(AI56&lt;$F$10+$F$11,0.25,IF(AI56&lt;$F$10+$F$11+AG56,AH56,1)))*IF(AF56&gt;0,AF56,IF(AF55&gt;0,AF55,IF(AF54&gt;0,AF54,IF(AF53&gt;0,AF53,IF(AF52&gt;0,AF52,IF(AF51&gt;0,AF51,IF(AF50&gt;0,AF50,IF(AF49&gt;0,AF49,IF(AF48&gt;0,AF48,IF(AF46&gt;0,AF46,IF(AF45&gt;0,AF45,IF(AF44&gt;0,AF44,0)))))))))))),0)*(1-$S56)*'模拟-单技能数据'!$I$20</f>
        <v>0</v>
      </c>
      <c r="AK56" s="115" t="b">
        <f t="shared" ca="1" si="2"/>
        <v>1</v>
      </c>
      <c r="AL56" s="115" t="b">
        <f t="shared" ca="1" si="54"/>
        <v>0</v>
      </c>
      <c r="AM56" s="115">
        <f t="shared" ca="1" si="55"/>
        <v>6</v>
      </c>
      <c r="AN56" s="47">
        <f ca="1">IF(AK56,('模拟-单技能数据'!$D$21+G56*'模拟-单技能数据'!$F$21)*(1+J56)*(1+'模拟-单技能数据'!$J$21)*(1+U56),0)</f>
        <v>12136.56601728573</v>
      </c>
      <c r="AO56" s="61">
        <f ca="1">IF(AN56&gt;0,M56-'模拟-单技能数据'!$K$10,AO55)</f>
        <v>0.42185145527300216</v>
      </c>
      <c r="AP56" s="61">
        <f ca="1">IF(AN56&gt;0,I56-'模拟-单技能数据'!$L$10,AP55)</f>
        <v>2.162482885499879</v>
      </c>
      <c r="AQ56" s="63">
        <f t="shared" ca="1" si="28"/>
        <v>0.2571143797201807</v>
      </c>
      <c r="AR56" s="64">
        <f ca="1">IF(AL56,IF(AQ56&lt;$F$10,0,IF(AQ56&lt;$F$10+$F$11,0.25,IF(AQ56&lt;$F$10+$F$11+AO56,AP56,1)))*IF(AN56&gt;0,AN56,IF(AN55&gt;0,AN55,IF(AN54&gt;0,AN54,IF(AN53&gt;0,AN53,IF(AN52&gt;0,AN52,IF(AN51&gt;0,AN51,IF(AN50&gt;0,AN50,IF(AN49&gt;0,AN49,IF(AN48&gt;0,AN48,IF(AN46&gt;0,AN46,IF(AN45&gt;0,AN45,IF(AN44&gt;0,AN44,0)))))))))))),0)*(1-$S56)*'模拟-单技能数据'!$I$21</f>
        <v>0</v>
      </c>
      <c r="AS56" s="61">
        <f ca="1">IF(OR(C56="净世破魔击·日",C56="净世破魔击·月"),M56-'模拟-单技能数据'!$K$10,0)</f>
        <v>0.42185145527300216</v>
      </c>
      <c r="AT56" s="61">
        <f ca="1">IF(OR(C56="净世破魔击·日",C56="净世破魔击·月"),I56-'模拟-单技能数据'!$L$10,0)</f>
        <v>2.162482885499879</v>
      </c>
      <c r="AU56" s="62">
        <f t="shared" ca="1" si="29"/>
        <v>0.7932704961718553</v>
      </c>
      <c r="AV56" s="64">
        <f ca="1">IF(AS56&gt;0,('模拟-单技能数据'!$D$22+G56*'模拟-单技能数据'!$F$22)*(1+J56)*(1-S56)*IF(AU56&lt;$F$10,0,IF(AU56&lt;$F$10+$F$11,0.25,IF(AU56&lt;$F$10+$F$11+AS56,AT56,1)))*(1+U56),0)*'模拟-单技能数据'!$I$22</f>
        <v>8488.2797245609418</v>
      </c>
      <c r="AW56" s="108">
        <f t="shared" ca="1" si="30"/>
        <v>3.3950000000000062</v>
      </c>
      <c r="AX56" s="108" t="b">
        <f ca="1">AND(模拟模式!$P$10="有",AW55=0,RAND()&lt;IF(C56="净世破魔击·月",0.1*8/3,IF(C56="净世破魔击·日",0.1*4/3,0.1*2/3)))</f>
        <v>0</v>
      </c>
      <c r="AY56" s="47">
        <f ca="1">IF(AX56,(18+G56*0.722)*(1+J56)*(1-S56)*(1+$I$4)*IF(P56="会",'模拟-全程加成'!$J$3+'模拟-全程加成'!$J$4+'模拟-全程加成'!$J$5+('模拟-全程加成'!$I$4+'模拟-全程加成'!$I$5)/系数!$B$4+BG56*10%,IF(P56="命",1,IF(P56="识",0.25,0))),0)</f>
        <v>0</v>
      </c>
      <c r="AZ56" s="108">
        <f t="shared" si="31"/>
        <v>13.542500000000004</v>
      </c>
      <c r="BA56" s="108" t="b">
        <f>AND(模拟模式!$Q$10="有",AZ55=0)</f>
        <v>0</v>
      </c>
      <c r="BB56" s="140">
        <f>IF(BA56,(0+G56*0.287)*(1+J56)*(1-S56)*(1+$I$4)*IF(P56="会",'模拟-全程加成'!$J$3+'模拟-全程加成'!$J$4+'模拟-全程加成'!$J$5+('模拟-全程加成'!$I$4+'模拟-全程加成'!$I$5)/系数!$B$4+BG56*10%,IF(P56="命",1,IF(P56="识",0.25,0))),0)</f>
        <v>0</v>
      </c>
      <c r="BC56" s="115" t="b">
        <f ca="1">AND(模拟模式!$R$7="伏明众生",E56=60,F56=20,DA56&lt;5,CZ55&lt;$F$4)</f>
        <v>0</v>
      </c>
      <c r="BD56" s="115">
        <f t="shared" ca="1" si="3"/>
        <v>0</v>
      </c>
      <c r="BE56" s="115" t="b">
        <f t="shared" ca="1" si="4"/>
        <v>0</v>
      </c>
      <c r="BF56" s="47">
        <f ca="1">IF(BC56,4*('模拟-单技能数据'!$D$24+G56*'模拟-单技能数据'!$F$24)*(1+J56)*(1+'模拟-单技能数据'!$J$24)*(1-S56)*(1+$I$3)*(('模拟-全程加成'!$J$3+'模拟-全程加成'!$J$4+'模拟-全程加成'!$J$5+('模拟-全程加成'!$I$4+'模拟-全程加成'!$I$5)/系数!$B$4+BG56*10%)*('模拟-全程加成'!$J$3+'模拟-全程加成'!$J$4+'模拟-全程加成'!$J$5+('模拟-全程加成'!$I$4+'模拟-全程加成'!$I$5)/系数!$B$4+BG56*10%)+(1-('模拟-全程加成'!$J$3+'模拟-全程加成'!$J$4+'模拟-全程加成'!$J$5+('模拟-全程加成'!$I$4+'模拟-全程加成'!$I$5)/系数!$B$4+BG56*10%)-$F$10-$F$11)+F42*0.25),0)*'模拟-单技能数据'!$I$24</f>
        <v>0</v>
      </c>
      <c r="BG56" s="115" t="b">
        <f ca="1">OR(AND(OR(C56="烈日斩",C56="银月斩"),模拟模式!$I$7="净身明礼"),AND(C56="净世破魔击·日",模拟模式!$J$7="洞若观火"),AND(C57="净世破魔击·月",模拟模式!$J$7="洞若观火"),AB56=1)</f>
        <v>1</v>
      </c>
      <c r="BH56" s="115" t="b">
        <f t="shared" ca="1" si="32"/>
        <v>0</v>
      </c>
      <c r="BI56" s="115">
        <f t="shared" ca="1" si="5"/>
        <v>0</v>
      </c>
      <c r="BJ56" s="115" t="b">
        <f t="shared" ca="1" si="33"/>
        <v>0</v>
      </c>
      <c r="BK56" s="115" t="b">
        <f ca="1">AND(C56="驱夜断愁",模拟模式!$P$7="天地诛戮")</f>
        <v>0</v>
      </c>
      <c r="BL56" s="57">
        <f t="shared" ca="1" si="6"/>
        <v>16.310000000000002</v>
      </c>
      <c r="BM56" s="115" t="b">
        <f t="shared" ca="1" si="34"/>
        <v>1</v>
      </c>
      <c r="BN56" s="115" t="b">
        <f ca="1">AND(OR(C56="赤日轮1",C56="赤日轮2",C56="赤日轮3",C56="幽月轮1",C56="幽月轮2",C56="幽月轮3"),AB56=1,模拟模式!$L$7="明光恒照")</f>
        <v>0</v>
      </c>
      <c r="BO56" s="117">
        <f t="shared" ca="1" si="7"/>
        <v>28.155000000000001</v>
      </c>
      <c r="BP56" s="115">
        <f t="shared" ca="1" si="35"/>
        <v>6</v>
      </c>
      <c r="BQ56" s="115" t="b">
        <f>模拟模式!$K$10="2600·水"</f>
        <v>0</v>
      </c>
      <c r="BR56" s="117">
        <f t="shared" si="36"/>
        <v>0</v>
      </c>
      <c r="BS56" s="115">
        <f t="shared" si="37"/>
        <v>0</v>
      </c>
      <c r="BT56" s="115">
        <f t="shared" ca="1" si="38"/>
        <v>0</v>
      </c>
      <c r="BU56" s="115" t="b">
        <f ca="1">AND(模拟模式!$K$10="2300·雷",BT55=0,RAND()&lt;IF(C56="净世破魔击·月",5*0.05*2/3,IF(C56="净世破魔击·日",3*0.05*2/3,0.05*2*2/3)))</f>
        <v>0</v>
      </c>
      <c r="BV56" s="115">
        <f t="shared" ca="1" si="39"/>
        <v>0</v>
      </c>
      <c r="BW56" s="115">
        <f t="shared" ca="1" si="40"/>
        <v>158.78249999999969</v>
      </c>
      <c r="BX56" s="164" t="b">
        <f t="shared" ca="1" si="41"/>
        <v>0</v>
      </c>
      <c r="BY56" s="115">
        <f t="shared" ca="1" si="42"/>
        <v>0</v>
      </c>
      <c r="BZ56" s="115">
        <f>IF(OR(模拟模式!$P$16="10人团",模拟模式!$P$16="25人团"),IF(B56/30&gt;CA55,1,0),0)</f>
        <v>0</v>
      </c>
      <c r="CA56" s="115">
        <f t="shared" si="8"/>
        <v>0</v>
      </c>
      <c r="CB56" s="115">
        <f ca="1">IF(BZ56=1,IF(模拟模式!$P$16="10人团",15,0)+IF(模拟模式!$P$16="25人团",IF(RAND()&lt;0.6,15,0)),MAX(0,CB55-$F$4))</f>
        <v>0</v>
      </c>
      <c r="CC56" s="115" t="b">
        <f t="shared" ca="1" si="43"/>
        <v>0</v>
      </c>
      <c r="CD56" s="115">
        <f>IF(模拟模式!$Q$16="1个",IF(B56/40&gt;CE55,1,0),0)</f>
        <v>0</v>
      </c>
      <c r="CE56" s="115">
        <f t="shared" si="44"/>
        <v>0</v>
      </c>
      <c r="CF56" s="115">
        <f>IF(OR(CD56=1,模拟模式!$Q$16="2个"),20,MAX(0,CF55-$F$4))</f>
        <v>0</v>
      </c>
      <c r="CG56" s="115" t="b">
        <f t="shared" si="45"/>
        <v>0</v>
      </c>
      <c r="CH56" s="115">
        <f t="shared" ca="1" si="46"/>
        <v>4.1700000000000115</v>
      </c>
      <c r="CI56" s="115" t="b">
        <f t="shared" ca="1" si="47"/>
        <v>0</v>
      </c>
      <c r="CJ56" s="119">
        <f t="shared" ca="1" si="48"/>
        <v>0</v>
      </c>
      <c r="CK56" s="115">
        <f t="shared" ca="1" si="49"/>
        <v>0</v>
      </c>
      <c r="CL56" s="115" t="b">
        <f ca="1">AND(模拟模式!$S$7="驱夷逐法",OR(AND(C56="净世破魔击·月",E55&gt;59),AND(C56="净世破魔击·日",F55&gt;59)))</f>
        <v>0</v>
      </c>
      <c r="CM56" s="115" t="b">
        <f ca="1">OR(CL56,AND(C56="净世破魔击·日",CL55,RAND()&lt;模拟模式!$U$23))</f>
        <v>1</v>
      </c>
      <c r="CN56" s="115" t="b">
        <f ca="1">IF(模拟模式!$M$7="辉耀红尘",AND(C56="净世破魔击·月",CL56,CV56=0,E55&lt;80),AND(C56="净世破魔击·月",CL56,E55&lt;100))</f>
        <v>0</v>
      </c>
      <c r="CO56" s="115" t="b">
        <f t="shared" ca="1" si="9"/>
        <v>0</v>
      </c>
      <c r="CP56" s="115" t="b">
        <f ca="1">AND(模拟模式!$O$7="用晦而明",OR(C56="净世破魔击·日",C56="净世破魔击·月",C56="驱夜断愁"),AB56)</f>
        <v>1</v>
      </c>
      <c r="CQ56" s="115" t="b">
        <f ca="1">OR(CP56,AND(CP55,RAND()&lt;模拟模式!$U$23))</f>
        <v>1</v>
      </c>
      <c r="CR56" s="115" t="b">
        <f ca="1">AND(模拟模式!$S$7="日月齐光",OR(C56="幽月轮1",C56="幽月轮2",C56="幽月轮3",CR55),NOT(OR(C56="赤日轮1",C56="赤日轮2",C56="赤日轮3")))</f>
        <v>0</v>
      </c>
      <c r="CS56" s="115" t="b">
        <f ca="1">AND(模拟模式!$S$7="日月齐光",OR(C56="赤日轮1",C56="赤日轮2",C56="赤日轮3",CS55),NOT(OR(C56="幽月轮1",C56="幽月轮2",C56="幽月轮3")))</f>
        <v>0</v>
      </c>
      <c r="CT56" s="115">
        <f t="shared" ca="1" si="50"/>
        <v>0</v>
      </c>
      <c r="CU56" s="115" t="b">
        <f ca="1">AND(模拟模式!$K$10="阴阳往极",CT55=0,RAND()&lt;IF(C56="净世破魔击·月",0.0275*7/3,IF(C56="净世破魔击·日",0.0275*3/3,0.0275*2/3)))</f>
        <v>0</v>
      </c>
      <c r="CV56" s="115">
        <f t="shared" ca="1" si="51"/>
        <v>0</v>
      </c>
      <c r="CW56" s="115">
        <f t="shared" ca="1" si="10"/>
        <v>3.2324999999999995</v>
      </c>
      <c r="CX56" s="115">
        <f t="shared" ca="1" si="11"/>
        <v>1.3874999999999997</v>
      </c>
      <c r="CY56" s="115">
        <f ca="1">MAX(IF($C56="驱夜断愁",IF(模拟模式!$R$7="万念俱寂",6,45),CY55-$F$4),0)</f>
        <v>2.3099999999999996</v>
      </c>
      <c r="CZ56" s="115">
        <f t="shared" ca="1" si="12"/>
        <v>0</v>
      </c>
      <c r="DA56" s="115">
        <f ca="1">IF(模拟模式!$N$7="日月同辉",IF(DB55=2,0,MIN(6,IF(AND(OR(C56="赤日轮1",C56="赤日轮2",C56="赤日轮3",C56="幽月轮1",C56="幽月轮2",C56="幽月轮3"),AB56=1),DA55+1,DA55))),0)</f>
        <v>1</v>
      </c>
      <c r="DB56" s="115">
        <f t="shared" ca="1" si="13"/>
        <v>0</v>
      </c>
      <c r="DD56" s="115"/>
      <c r="DE56" s="115"/>
      <c r="DF56" s="115"/>
      <c r="DG56" s="115"/>
      <c r="DH56" s="115"/>
      <c r="DI56" s="115"/>
      <c r="DJ56" s="115"/>
      <c r="DK56" s="115"/>
      <c r="DL56" s="115"/>
      <c r="DM56" s="115"/>
    </row>
    <row r="57" spans="2:117" x14ac:dyDescent="0.2">
      <c r="B57" s="117">
        <f t="shared" si="14"/>
        <v>27.67499999999999</v>
      </c>
      <c r="C57" s="167" t="str">
        <f t="shared" ca="1" si="0"/>
        <v>赤日轮1</v>
      </c>
      <c r="D57" s="115">
        <f ca="1">IF(C57="赤日轮1",1,IF(C57="赤日轮2",2,IF(C57="赤日轮3",3,IF(C57="幽月轮1",4,IF(C57="幽月轮2",5,IF(C57="幽月轮3",6,IF(C57="烈日斩",7,IF(C57="银月斩",8,IF(C57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57="净世破魔击·月",17,IF(C57="驱夜断愁",18,0)))))))))))</f>
        <v>1</v>
      </c>
      <c r="E57" s="115">
        <f ca="1">IF(AND(CU57,OR(C57="幽月轮1",C57="幽月轮2",C57="幽月轮3",C57="银月斩",C57="驱夜断愁",C57="净世破魔击·月")),100,MIN(IF(OR(CN57,BE57),0,IF(OR($C57="赤日轮1",$C57="赤日轮2",$C57="赤日轮3"),E56+20+IF(模拟模式!$I$7="日月凌天",4,0)+IF(CR56,20,0),IF($C57="烈日斩",E56+40,IF($C57="驱夜断愁",IF(模拟模式!$R$7="万念俱寂",E56+20,E56+60),IF($C57="净世破魔击·月",IF(OR(DB56&gt;0,CV56&gt;0),100,IF(模拟模式!$M$7="辉耀红尘",E56+20,E56)),IF($C57="净世破魔击·日",E56-100,E56)))))),100))</f>
        <v>20</v>
      </c>
      <c r="F57" s="115">
        <f ca="1">IF(AND(CU57,OR(C57="赤日轮1",C57="赤日轮2",C57="赤日轮3",C57="烈日斩",C57="净世破魔击·日")),100,MIN(IF(CO57,0,IF(OR($C57="幽月轮1",$C57="幽月轮2",$C57="幽月轮3"),F56+20+IF(模拟模式!$I$7="日月凌天",4,0)+IF(CS56,20,0),IF($C57="银月斩",F56+40+IF(模拟模式!$X$12=1,5,0),IF($C57="驱夜断愁",IF(模拟模式!$R$7="万念俱寂",F56+20,F56+60),IF($C57="净世破魔击·月",IF(模拟模式!$M$7="辉耀红尘",F56-80,F56-100),IF(AND(C57="净世破魔击·日",OR(DB56&gt;0,CV56&gt;0)),100,F56)))))),100))</f>
        <v>20</v>
      </c>
      <c r="G57" s="117">
        <f ca="1">('模拟-全程加成'!$E$3+'模拟-全程加成'!$E$4+'模拟-全程加成'!$E$5+('模拟-全程加成'!$C$6-'模拟-全程加成'!$C$3)*系数!$B$9+BS57*23)*(1+'模拟-全程加成'!$F$4+'模拟-全程加成'!$F$5+BJ57*10%+BM57*20%+BP57*4%+CG57*30%)+$F$7*系数!$B$12</f>
        <v>20583.127400000001</v>
      </c>
      <c r="H57" s="45">
        <f ca="1">'模拟-全程加成'!$H$3+'模拟-全程加成'!$H$4+'模拟-全程加成'!$H$5+('模拟-全程加成'!$G$4+'模拟-全程加成'!$G$5+('模拟-全程加成'!$C$6-'模拟-全程加成'!$C$3)*系数!$B$13)/系数!$B$3+LOOKUP(D57,'模拟-单技能数据'!$A$2:$A$19,'模拟-单技能数据'!$K$2:$K$19)+BG57*10%+IF(BV57&gt;0,378,0)</f>
        <v>0.4618514552730022</v>
      </c>
      <c r="I57" s="45">
        <f ca="1">'模拟-全程加成'!$J$3+'模拟-全程加成'!$J$4+'模拟-全程加成'!$J$5+('模拟-全程加成'!$I$4+'模拟-全程加成'!$I$5)/系数!$B$4+LOOKUP(D57,'模拟-单技能数据'!$A$2:$A$19,'模拟-单技能数据'!$L$2:$L$19)+BG57*10%</f>
        <v>2.162482885499879</v>
      </c>
      <c r="J57" s="45">
        <f ca="1">(('模拟-全程加成'!$K$3+'模拟-全程加成'!$K$4+'模拟-全程加成'!$K$5+('模拟-全程加成'!$C$6-'模拟-全程加成'!$C$3)*系数!$B$10+IF(BV57&gt;0,882,0)+IF(BY57&gt;0,1831,0))*(1+'模拟-全程加成'!$L$4+'模拟-全程加成'!$L$5+CC57*20%))/系数!$B$5</f>
        <v>0.69723220422048726</v>
      </c>
      <c r="K57" s="119">
        <f ca="1">LOOKUP(D57,'模拟-单技能数据'!$A$2:$A$19,'模拟-单技能数据'!$J$2:$J$19)+IF(CM57,60%,0)+IF(DB56-DB57&gt;0,30%,0)+IF(OR(AND(OR(C57="赤日轮1",C57="赤日轮2",C57="赤日轮3"),CR57),AND(OR(C57="幽月轮1",C57="幽月轮2",C57="幽月轮3"),CS57)),35%,0)+CJ57</f>
        <v>0.12</v>
      </c>
      <c r="L57" s="119">
        <f ca="1">IF(AND(C57="烈日斩",模拟模式!$X$11=1),10%,0)+IF(AND(C57="驱夜断愁",AB57=1),30%,0)</f>
        <v>0</v>
      </c>
      <c r="M57" s="45">
        <f t="shared" ca="1" si="15"/>
        <v>0.4618514552730022</v>
      </c>
      <c r="N57" s="45">
        <f t="shared" ca="1" si="16"/>
        <v>0.48424854472699785</v>
      </c>
      <c r="O57" s="46">
        <f t="shared" ca="1" si="17"/>
        <v>0.12628914587016649</v>
      </c>
      <c r="P57" s="46" t="str">
        <f t="shared" ca="1" si="18"/>
        <v>会</v>
      </c>
      <c r="Q57" s="45">
        <f t="shared" ca="1" si="19"/>
        <v>2.162482885499879</v>
      </c>
      <c r="R57" s="117">
        <f ca="1">模拟模式!$E$20*(1-IF(模拟模式!$J$19="有",0.15,0))*(1-IF(模拟模式!$K$19="有",0.3,0)-IF(CQ57,0.5,0))</f>
        <v>843.02999999999975</v>
      </c>
      <c r="S57" s="45">
        <f ca="1">R57/(R57+(185*模拟模式!$E$22-16800)*4.08224)</f>
        <v>8.389626085980037E-2</v>
      </c>
      <c r="T57" s="45" t="str">
        <f ca="1">LOOKUP(D57,'模拟-单技能数据'!$A$2:$A$19,'模拟-单技能数据'!$H$2:$H$19)</f>
        <v>阳</v>
      </c>
      <c r="U57" s="119">
        <f t="shared" ca="1" si="20"/>
        <v>0.2</v>
      </c>
      <c r="V57" s="47">
        <f ca="1">(1+L57)*(LOOKUP(D57,'模拟-单技能数据'!$A$2:$A$19,'模拟-单技能数据'!$D$2:$D$19)+G57*LOOKUP(D57,'模拟-单技能数据'!$A$2:$A$19,'模拟-单技能数据'!$F$2:$F$19))*(1+J57)*(1+K57)*(1-S57)*(1+U57)*Q57*LOOKUP(D57,'模拟-单技能数据'!$A$2:$A$19,'模拟-单技能数据'!$I$2:$I$20)</f>
        <v>54482.562593809358</v>
      </c>
      <c r="W57" s="47">
        <f ca="1">LOOKUP(D57,'模拟-单技能数据'!$A$2:$A$19,'模拟-单技能数据'!$G$2:$G$19)*$I$10</f>
        <v>361.51064354704795</v>
      </c>
      <c r="X57" s="47">
        <f t="shared" ca="1" si="21"/>
        <v>20337.288047383721</v>
      </c>
      <c r="Y57" s="47">
        <f t="shared" ca="1" si="22"/>
        <v>75181.361284740124</v>
      </c>
      <c r="Z57" s="49">
        <f t="shared" ca="1" si="23"/>
        <v>3121649.5921819769</v>
      </c>
      <c r="AA57" s="97">
        <f t="shared" ca="1" si="24"/>
        <v>112796.73323150778</v>
      </c>
      <c r="AB57" s="115">
        <f ca="1">IF(OR(C57="赤日轮1",C57="赤日轮2",C57="赤日轮3"),IF(RAND()&lt;模拟模式!$Y$17,1,0),IF(OR(C57="幽月轮1",C57="幽月轮2",C57="幽月轮3"),IF(RAND()&lt;模拟模式!$Y$18,1,0),IF(C57="烈日斩",IF(RAND()&lt;模拟模式!$Y$19,1,0),IF(C57="银月斩",IF(RAND()&lt;模拟模式!$Y$20,1,0),IF(C57="驱夜断愁",IF(RAND()&lt;模拟模式!$Y$21,1,0),IF(C57="净世破魔击·日",IF(RAND()&lt;模拟模式!$Y$22,1,0),IF(C57="净世破魔击·月",IF(RAND()&lt;模拟模式!$Y$23,1,0),0)))))))</f>
        <v>1</v>
      </c>
      <c r="AC57" s="115" t="b">
        <f t="shared" ca="1" si="1"/>
        <v>0</v>
      </c>
      <c r="AD57" s="115" t="b">
        <f t="shared" ca="1" si="52"/>
        <v>1</v>
      </c>
      <c r="AE57" s="115">
        <f t="shared" ca="1" si="53"/>
        <v>2</v>
      </c>
      <c r="AF57" s="47">
        <f ca="1">IF(AC57,('模拟-单技能数据'!$D$20+G57*'模拟-单技能数据'!$F$20)*(1+J57)*(1+'模拟-单技能数据'!$J$20)*(1+U57),0)</f>
        <v>0</v>
      </c>
      <c r="AG57" s="61">
        <f t="shared" ca="1" si="25"/>
        <v>0.64185145527300214</v>
      </c>
      <c r="AH57" s="61">
        <f t="shared" ca="1" si="26"/>
        <v>2.2624828854998791</v>
      </c>
      <c r="AI57" s="62">
        <f t="shared" ca="1" si="27"/>
        <v>0.4149308769926725</v>
      </c>
      <c r="AJ57" s="47">
        <f ca="1">IF(AD57,IF(AI57&lt;$F$10,0,IF(AI57&lt;$F$10+$F$11,0.25,IF(AI57&lt;$F$10+$F$11+AG57,AH57,1)))*IF(AF57&gt;0,AF57,IF(AF56&gt;0,AF56,IF(AF55&gt;0,AF55,IF(AF54&gt;0,AF54,IF(AF53&gt;0,AF53,IF(AF52&gt;0,AF52,IF(AF51&gt;0,AF51,IF(AF50&gt;0,AF50,IF(AF49&gt;0,AF49,IF(AF47&gt;0,AF47,IF(AF46&gt;0,AF46,IF(AF45&gt;0,AF45,0)))))))))))),0)*(1-$S57)*'模拟-单技能数据'!$I$20</f>
        <v>9218.9345386263849</v>
      </c>
      <c r="AK57" s="115" t="b">
        <f t="shared" ca="1" si="2"/>
        <v>0</v>
      </c>
      <c r="AL57" s="115" t="b">
        <f t="shared" ca="1" si="54"/>
        <v>1</v>
      </c>
      <c r="AM57" s="115">
        <f t="shared" ca="1" si="55"/>
        <v>5</v>
      </c>
      <c r="AN57" s="47">
        <f ca="1">IF(AK57,('模拟-单技能数据'!$D$21+G57*'模拟-单技能数据'!$F$21)*(1+J57)*(1+'模拟-单技能数据'!$J$21)*(1+U57),0)</f>
        <v>0</v>
      </c>
      <c r="AO57" s="61">
        <f ca="1">IF(AN57&gt;0,M57-'模拟-单技能数据'!$K$10,AO56)</f>
        <v>0.42185145527300216</v>
      </c>
      <c r="AP57" s="61">
        <f ca="1">IF(AN57&gt;0,I57-'模拟-单技能数据'!$L$10,AP56)</f>
        <v>2.162482885499879</v>
      </c>
      <c r="AQ57" s="63">
        <f t="shared" ca="1" si="28"/>
        <v>0.61194767394999594</v>
      </c>
      <c r="AR57" s="64">
        <f ca="1">IF(AL57,IF(AQ57&lt;$F$10,0,IF(AQ57&lt;$F$10+$F$11,0.25,IF(AQ57&lt;$F$10+$F$11+AO57,AP57,1)))*IF(AN57&gt;0,AN57,IF(AN56&gt;0,AN56,IF(AN55&gt;0,AN55,IF(AN54&gt;0,AN54,IF(AN53&gt;0,AN53,IF(AN52&gt;0,AN52,IF(AN51&gt;0,AN51,IF(AN50&gt;0,AN50,IF(AN49&gt;0,AN49,IF(AN47&gt;0,AN47,IF(AN46&gt;0,AN46,IF(AN45&gt;0,AN45,0)))))))))))),0)*(1-$S57)*'模拟-单技能数据'!$I$21</f>
        <v>11118.353508757338</v>
      </c>
      <c r="AS57" s="61">
        <f ca="1">IF(OR(C57="净世破魔击·日",C57="净世破魔击·月"),M57-'模拟-单技能数据'!$K$10,0)</f>
        <v>0</v>
      </c>
      <c r="AT57" s="61">
        <f ca="1">IF(OR(C57="净世破魔击·日",C57="净世破魔击·月"),I57-'模拟-单技能数据'!$L$10,0)</f>
        <v>0</v>
      </c>
      <c r="AU57" s="62">
        <f t="shared" ca="1" si="29"/>
        <v>0.49695188320685468</v>
      </c>
      <c r="AV57" s="64">
        <f ca="1">IF(AS57&gt;0,('模拟-单技能数据'!$D$22+G57*'模拟-单技能数据'!$F$22)*(1+J57)*(1-S57)*IF(AU57&lt;$F$10,0,IF(AU57&lt;$F$10+$F$11,0.25,IF(AU57&lt;$F$10+$F$11+AS57,AT57,1)))*(1+U57),0)*'模拟-单技能数据'!$I$22</f>
        <v>0</v>
      </c>
      <c r="AW57" s="108">
        <f t="shared" ca="1" si="30"/>
        <v>2.4725000000000064</v>
      </c>
      <c r="AX57" s="108" t="b">
        <f ca="1">AND(模拟模式!$P$10="有",AW56=0,RAND()&lt;IF(C57="净世破魔击·月",0.1*8/3,IF(C57="净世破魔击·日",0.1*4/3,0.1*2/3)))</f>
        <v>0</v>
      </c>
      <c r="AY57" s="47">
        <f ca="1">IF(AX57,(18+G57*0.722)*(1+J57)*(1-S57)*(1+$I$4)*IF(P57="会",'模拟-全程加成'!$J$3+'模拟-全程加成'!$J$4+'模拟-全程加成'!$J$5+('模拟-全程加成'!$I$4+'模拟-全程加成'!$I$5)/系数!$B$4+BG57*10%,IF(P57="命",1,IF(P57="识",0.25,0))),0)</f>
        <v>0</v>
      </c>
      <c r="AZ57" s="108">
        <f t="shared" si="31"/>
        <v>12.620000000000005</v>
      </c>
      <c r="BA57" s="108" t="b">
        <f>AND(模拟模式!$Q$10="有",AZ56=0)</f>
        <v>0</v>
      </c>
      <c r="BB57" s="140">
        <f>IF(BA57,(0+G57*0.287)*(1+J57)*(1-S57)*(1+$I$4)*IF(P57="会",'模拟-全程加成'!$J$3+'模拟-全程加成'!$J$4+'模拟-全程加成'!$J$5+('模拟-全程加成'!$I$4+'模拟-全程加成'!$I$5)/系数!$B$4+BG57*10%,IF(P57="命",1,IF(P57="识",0.25,0))),0)</f>
        <v>0</v>
      </c>
      <c r="BC57" s="115" t="b">
        <f ca="1">AND(模拟模式!$R$7="伏明众生",E57=60,F57=20,DA57&lt;5,CZ56&lt;$F$4)</f>
        <v>0</v>
      </c>
      <c r="BD57" s="115">
        <f t="shared" ca="1" si="3"/>
        <v>0</v>
      </c>
      <c r="BE57" s="115" t="b">
        <f t="shared" ca="1" si="4"/>
        <v>0</v>
      </c>
      <c r="BF57" s="47">
        <f ca="1">IF(BC57,4*('模拟-单技能数据'!$D$24+G57*'模拟-单技能数据'!$F$24)*(1+J57)*(1+'模拟-单技能数据'!$J$24)*(1-S57)*(1+$I$3)*(('模拟-全程加成'!$J$3+'模拟-全程加成'!$J$4+'模拟-全程加成'!$J$5+('模拟-全程加成'!$I$4+'模拟-全程加成'!$I$5)/系数!$B$4+BG57*10%)*('模拟-全程加成'!$J$3+'模拟-全程加成'!$J$4+'模拟-全程加成'!$J$5+('模拟-全程加成'!$I$4+'模拟-全程加成'!$I$5)/系数!$B$4+BG57*10%)+(1-('模拟-全程加成'!$J$3+'模拟-全程加成'!$J$4+'模拟-全程加成'!$J$5+('模拟-全程加成'!$I$4+'模拟-全程加成'!$I$5)/系数!$B$4+BG57*10%)-$F$10-$F$11)+F43*0.25),0)*'模拟-单技能数据'!$I$24</f>
        <v>0</v>
      </c>
      <c r="BG57" s="115" t="b">
        <f ca="1">OR(AND(OR(C57="烈日斩",C57="银月斩"),模拟模式!$I$7="净身明礼"),AND(C57="净世破魔击·日",模拟模式!$J$7="洞若观火"),AND(C58="净世破魔击·月",模拟模式!$J$7="洞若观火"),AB57=1)</f>
        <v>1</v>
      </c>
      <c r="BH57" s="115" t="b">
        <f t="shared" ca="1" si="32"/>
        <v>0</v>
      </c>
      <c r="BI57" s="115">
        <f t="shared" ca="1" si="5"/>
        <v>0</v>
      </c>
      <c r="BJ57" s="115" t="b">
        <f t="shared" ca="1" si="33"/>
        <v>0</v>
      </c>
      <c r="BK57" s="115" t="b">
        <f ca="1">AND(C57="驱夜断愁",模拟模式!$P$7="天地诛戮")</f>
        <v>0</v>
      </c>
      <c r="BL57" s="57">
        <f t="shared" ca="1" si="6"/>
        <v>15.387500000000003</v>
      </c>
      <c r="BM57" s="115" t="b">
        <f t="shared" ca="1" si="34"/>
        <v>1</v>
      </c>
      <c r="BN57" s="115" t="b">
        <f ca="1">AND(OR(C57="赤日轮1",C57="赤日轮2",C57="赤日轮3",C57="幽月轮1",C57="幽月轮2",C57="幽月轮3"),AB57=1,模拟模式!$L$7="明光恒照")</f>
        <v>1</v>
      </c>
      <c r="BO57" s="117">
        <f t="shared" ca="1" si="7"/>
        <v>30</v>
      </c>
      <c r="BP57" s="115">
        <f t="shared" ca="1" si="35"/>
        <v>6</v>
      </c>
      <c r="BQ57" s="115" t="b">
        <f>模拟模式!$K$10="2600·水"</f>
        <v>0</v>
      </c>
      <c r="BR57" s="117">
        <f t="shared" si="36"/>
        <v>0</v>
      </c>
      <c r="BS57" s="115">
        <f t="shared" si="37"/>
        <v>0</v>
      </c>
      <c r="BT57" s="115">
        <f t="shared" ca="1" si="38"/>
        <v>0</v>
      </c>
      <c r="BU57" s="115" t="b">
        <f ca="1">AND(模拟模式!$K$10="2300·雷",BT56=0,RAND()&lt;IF(C57="净世破魔击·月",5*0.05*2/3,IF(C57="净世破魔击·日",3*0.05*2/3,0.05*2*2/3)))</f>
        <v>0</v>
      </c>
      <c r="BV57" s="115">
        <f t="shared" ca="1" si="39"/>
        <v>0</v>
      </c>
      <c r="BW57" s="115">
        <f t="shared" ca="1" si="40"/>
        <v>157.85999999999967</v>
      </c>
      <c r="BX57" s="164" t="b">
        <f t="shared" ca="1" si="41"/>
        <v>0</v>
      </c>
      <c r="BY57" s="115">
        <f t="shared" ca="1" si="42"/>
        <v>0</v>
      </c>
      <c r="BZ57" s="115">
        <f>IF(OR(模拟模式!$P$16="10人团",模拟模式!$P$16="25人团"),IF(B57/30&gt;CA56,1,0),0)</f>
        <v>0</v>
      </c>
      <c r="CA57" s="115">
        <f t="shared" si="8"/>
        <v>0</v>
      </c>
      <c r="CB57" s="115">
        <f ca="1">IF(BZ57=1,IF(模拟模式!$P$16="10人团",15,0)+IF(模拟模式!$P$16="25人团",IF(RAND()&lt;0.6,15,0)),MAX(0,CB56-$F$4))</f>
        <v>0</v>
      </c>
      <c r="CC57" s="115" t="b">
        <f t="shared" ca="1" si="43"/>
        <v>0</v>
      </c>
      <c r="CD57" s="115">
        <f>IF(模拟模式!$Q$16="1个",IF(B57/40&gt;CE56,1,0),0)</f>
        <v>0</v>
      </c>
      <c r="CE57" s="115">
        <f t="shared" si="44"/>
        <v>0</v>
      </c>
      <c r="CF57" s="115">
        <f>IF(OR(CD57=1,模拟模式!$Q$16="2个"),20,MAX(0,CF56-$F$4))</f>
        <v>0</v>
      </c>
      <c r="CG57" s="115" t="b">
        <f t="shared" si="45"/>
        <v>0</v>
      </c>
      <c r="CH57" s="115">
        <f t="shared" ca="1" si="46"/>
        <v>3.2475000000000116</v>
      </c>
      <c r="CI57" s="115" t="b">
        <f t="shared" ca="1" si="47"/>
        <v>0</v>
      </c>
      <c r="CJ57" s="119">
        <f t="shared" ca="1" si="48"/>
        <v>0</v>
      </c>
      <c r="CK57" s="115">
        <f t="shared" ca="1" si="49"/>
        <v>0</v>
      </c>
      <c r="CL57" s="115" t="b">
        <f ca="1">AND(模拟模式!$S$7="驱夷逐法",OR(AND(C57="净世破魔击·月",E56&gt;59),AND(C57="净世破魔击·日",F56&gt;59)))</f>
        <v>0</v>
      </c>
      <c r="CM57" s="115" t="b">
        <f ca="1">OR(CL57,AND(C57="净世破魔击·日",CL56,RAND()&lt;模拟模式!$U$23))</f>
        <v>0</v>
      </c>
      <c r="CN57" s="115" t="b">
        <f ca="1">IF(模拟模式!$M$7="辉耀红尘",AND(C57="净世破魔击·月",CL57,CV57=0,E56&lt;80),AND(C57="净世破魔击·月",CL57,E56&lt;100))</f>
        <v>0</v>
      </c>
      <c r="CO57" s="115" t="b">
        <f t="shared" ca="1" si="9"/>
        <v>0</v>
      </c>
      <c r="CP57" s="115" t="b">
        <f ca="1">AND(模拟模式!$O$7="用晦而明",OR(C57="净世破魔击·日",C57="净世破魔击·月",C57="驱夜断愁"),AB57)</f>
        <v>0</v>
      </c>
      <c r="CQ57" s="115" t="b">
        <f ca="1">OR(CP57,AND(CP56,RAND()&lt;模拟模式!$U$23))</f>
        <v>1</v>
      </c>
      <c r="CR57" s="115" t="b">
        <f ca="1">AND(模拟模式!$S$7="日月齐光",OR(C57="幽月轮1",C57="幽月轮2",C57="幽月轮3",CR56),NOT(OR(C57="赤日轮1",C57="赤日轮2",C57="赤日轮3")))</f>
        <v>0</v>
      </c>
      <c r="CS57" s="115" t="b">
        <f ca="1">AND(模拟模式!$S$7="日月齐光",OR(C57="赤日轮1",C57="赤日轮2",C57="赤日轮3",CS56),NOT(OR(C57="幽月轮1",C57="幽月轮2",C57="幽月轮3")))</f>
        <v>0</v>
      </c>
      <c r="CT57" s="115">
        <f t="shared" ca="1" si="50"/>
        <v>0</v>
      </c>
      <c r="CU57" s="115" t="b">
        <f ca="1">AND(模拟模式!$K$10="阴阳往极",CT56=0,RAND()&lt;IF(C57="净世破魔击·月",0.0275*7/3,IF(C57="净世破魔击·日",0.0275*3/3,0.0275*2/3)))</f>
        <v>0</v>
      </c>
      <c r="CV57" s="115">
        <f t="shared" ca="1" si="51"/>
        <v>0</v>
      </c>
      <c r="CW57" s="115">
        <f t="shared" ca="1" si="10"/>
        <v>2.3099999999999996</v>
      </c>
      <c r="CX57" s="115">
        <f t="shared" ca="1" si="11"/>
        <v>0.46499999999999975</v>
      </c>
      <c r="CY57" s="115">
        <f ca="1">MAX(IF($C57="驱夜断愁",IF(模拟模式!$R$7="万念俱寂",6,45),CY56-$F$4),0)</f>
        <v>1.3874999999999997</v>
      </c>
      <c r="CZ57" s="115">
        <f t="shared" ca="1" si="12"/>
        <v>0</v>
      </c>
      <c r="DA57" s="115">
        <f ca="1">IF(模拟模式!$N$7="日月同辉",IF(DB56=2,0,MIN(6,IF(AND(OR(C57="赤日轮1",C57="赤日轮2",C57="赤日轮3",C57="幽月轮1",C57="幽月轮2",C57="幽月轮3"),AB57=1),DA56+1,DA56))),0)</f>
        <v>2</v>
      </c>
      <c r="DB57" s="115">
        <f t="shared" ca="1" si="13"/>
        <v>0</v>
      </c>
      <c r="DD57" s="115"/>
      <c r="DE57" s="115"/>
      <c r="DF57" s="115"/>
      <c r="DG57" s="115"/>
      <c r="DH57" s="115"/>
      <c r="DI57" s="115"/>
      <c r="DJ57" s="115"/>
      <c r="DK57" s="115"/>
      <c r="DL57" s="115"/>
      <c r="DM57" s="115"/>
    </row>
    <row r="58" spans="2:117" x14ac:dyDescent="0.2">
      <c r="B58" s="117">
        <f t="shared" si="14"/>
        <v>28.597499999999989</v>
      </c>
      <c r="C58" s="167" t="str">
        <f t="shared" ca="1" si="0"/>
        <v>银月斩</v>
      </c>
      <c r="D58" s="115">
        <f ca="1">IF(C58="赤日轮1",1,IF(C58="赤日轮2",2,IF(C58="赤日轮3",3,IF(C58="幽月轮1",4,IF(C58="幽月轮2",5,IF(C58="幽月轮3",6,IF(C58="烈日斩",7,IF(C58="银月斩",8,IF(C58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58="净世破魔击·月",17,IF(C58="驱夜断愁",18,0)))))))))))</f>
        <v>8</v>
      </c>
      <c r="E58" s="115">
        <f ca="1">IF(AND(CU58,OR(C58="幽月轮1",C58="幽月轮2",C58="幽月轮3",C58="银月斩",C58="驱夜断愁",C58="净世破魔击·月")),100,MIN(IF(OR(CN58,BE58),0,IF(OR($C58="赤日轮1",$C58="赤日轮2",$C58="赤日轮3"),E57+20+IF(模拟模式!$I$7="日月凌天",4,0)+IF(CR57,20,0),IF($C58="烈日斩",E57+40,IF($C58="驱夜断愁",IF(模拟模式!$R$7="万念俱寂",E57+20,E57+60),IF($C58="净世破魔击·月",IF(OR(DB57&gt;0,CV57&gt;0),100,IF(模拟模式!$M$7="辉耀红尘",E57+20,E57)),IF($C58="净世破魔击·日",E57-100,E57)))))),100))</f>
        <v>20</v>
      </c>
      <c r="F58" s="115">
        <f ca="1">IF(AND(CU58,OR(C58="赤日轮1",C58="赤日轮2",C58="赤日轮3",C58="烈日斩",C58="净世破魔击·日")),100,MIN(IF(CO58,0,IF(OR($C58="幽月轮1",$C58="幽月轮2",$C58="幽月轮3"),F57+20+IF(模拟模式!$I$7="日月凌天",4,0)+IF(CS57,20,0),IF($C58="银月斩",F57+40+IF(模拟模式!$X$12=1,5,0),IF($C58="驱夜断愁",IF(模拟模式!$R$7="万念俱寂",F57+20,F57+60),IF($C58="净世破魔击·月",IF(模拟模式!$M$7="辉耀红尘",F57-80,F57-100),IF(AND(C58="净世破魔击·日",OR(DB57&gt;0,CV57&gt;0)),100,F57)))))),100))</f>
        <v>65</v>
      </c>
      <c r="G58" s="117">
        <f ca="1">('模拟-全程加成'!$E$3+'模拟-全程加成'!$E$4+'模拟-全程加成'!$E$5+('模拟-全程加成'!$C$6-'模拟-全程加成'!$C$3)*系数!$B$9+BS58*23)*(1+'模拟-全程加成'!$F$4+'模拟-全程加成'!$F$5+BJ58*10%+BM58*20%+BP58*4%+CG58*30%)+$F$7*系数!$B$12</f>
        <v>20583.127400000001</v>
      </c>
      <c r="H58" s="45">
        <f ca="1">'模拟-全程加成'!$H$3+'模拟-全程加成'!$H$4+'模拟-全程加成'!$H$5+('模拟-全程加成'!$G$4+'模拟-全程加成'!$G$5+('模拟-全程加成'!$C$6-'模拟-全程加成'!$C$3)*系数!$B$13)/系数!$B$3+LOOKUP(D58,'模拟-单技能数据'!$A$2:$A$19,'模拟-单技能数据'!$K$2:$K$19)+BG58*10%+IF(BV58&gt;0,378,0)</f>
        <v>0.64185145527300214</v>
      </c>
      <c r="I58" s="45">
        <f ca="1">'模拟-全程加成'!$J$3+'模拟-全程加成'!$J$4+'模拟-全程加成'!$J$5+('模拟-全程加成'!$I$4+'模拟-全程加成'!$I$5)/系数!$B$4+LOOKUP(D58,'模拟-单技能数据'!$A$2:$A$19,'模拟-单技能数据'!$L$2:$L$19)+BG58*10%</f>
        <v>2.2624828854998791</v>
      </c>
      <c r="J58" s="45">
        <f ca="1">(('模拟-全程加成'!$K$3+'模拟-全程加成'!$K$4+'模拟-全程加成'!$K$5+('模拟-全程加成'!$C$6-'模拟-全程加成'!$C$3)*系数!$B$10+IF(BV58&gt;0,882,0)+IF(BY58&gt;0,1831,0))*(1+'模拟-全程加成'!$L$4+'模拟-全程加成'!$L$5+CC58*20%))/系数!$B$5</f>
        <v>0.69723220422048726</v>
      </c>
      <c r="K58" s="119">
        <f ca="1">LOOKUP(D58,'模拟-单技能数据'!$A$2:$A$19,'模拟-单技能数据'!$J$2:$J$19)+IF(CM58,60%,0)+IF(DB57-DB58&gt;0,30%,0)+IF(OR(AND(OR(C58="赤日轮1",C58="赤日轮2",C58="赤日轮3"),CR58),AND(OR(C58="幽月轮1",C58="幽月轮2",C58="幽月轮3"),CS58)),35%,0)+CJ58</f>
        <v>0.15</v>
      </c>
      <c r="L58" s="119">
        <f ca="1">IF(AND(C58="烈日斩",模拟模式!$X$11=1),10%,0)+IF(AND(C58="驱夜断愁",AB58=1),30%,0)</f>
        <v>0</v>
      </c>
      <c r="M58" s="45">
        <f t="shared" ca="1" si="15"/>
        <v>0.64185145527300214</v>
      </c>
      <c r="N58" s="45">
        <f t="shared" ca="1" si="16"/>
        <v>0.30424854472699792</v>
      </c>
      <c r="O58" s="46">
        <f t="shared" ca="1" si="17"/>
        <v>0.62939050466536406</v>
      </c>
      <c r="P58" s="46" t="str">
        <f t="shared" ca="1" si="18"/>
        <v>会</v>
      </c>
      <c r="Q58" s="45">
        <f t="shared" ca="1" si="19"/>
        <v>2.2624828854998791</v>
      </c>
      <c r="R58" s="117">
        <f ca="1">模拟模式!$E$20*(1-IF(模拟模式!$J$19="有",0.15,0))*(1-IF(模拟模式!$K$19="有",0.3,0)-IF(CQ58,0.5,0))</f>
        <v>2950.6049999999996</v>
      </c>
      <c r="S58" s="45">
        <f ca="1">R58/(R58+(185*模拟模式!$E$22-16800)*4.08224)</f>
        <v>0.24272716014590323</v>
      </c>
      <c r="T58" s="45" t="str">
        <f ca="1">LOOKUP(D58,'模拟-单技能数据'!$A$2:$A$19,'模拟-单技能数据'!$H$2:$H$19)</f>
        <v>阴</v>
      </c>
      <c r="U58" s="119">
        <f t="shared" ca="1" si="20"/>
        <v>0.08</v>
      </c>
      <c r="V58" s="47">
        <f ca="1">(1+L58)*(LOOKUP(D58,'模拟-单技能数据'!$A$2:$A$19,'模拟-单技能数据'!$D$2:$D$19)+G58*LOOKUP(D58,'模拟-单技能数据'!$A$2:$A$19,'模拟-单技能数据'!$F$2:$F$19))*(1+J58)*(1+K58)*(1-S58)*(1+U58)*Q58*LOOKUP(D58,'模拟-单技能数据'!$A$2:$A$19,'模拟-单技能数据'!$I$2:$I$20)</f>
        <v>39481.310356797861</v>
      </c>
      <c r="W58" s="47">
        <f ca="1">LOOKUP(D58,'模拟-单技能数据'!$A$2:$A$19,'模拟-单技能数据'!$G$2:$G$19)*$I$10</f>
        <v>361.51064354704795</v>
      </c>
      <c r="X58" s="47">
        <f t="shared" ca="1" si="21"/>
        <v>0</v>
      </c>
      <c r="Y58" s="47">
        <f t="shared" ca="1" si="22"/>
        <v>39842.821000344906</v>
      </c>
      <c r="Z58" s="49">
        <f t="shared" ca="1" si="23"/>
        <v>3161492.4131823219</v>
      </c>
      <c r="AA58" s="97">
        <f t="shared" ca="1" si="24"/>
        <v>110551.3563487131</v>
      </c>
      <c r="AB58" s="115">
        <f ca="1">IF(OR(C58="赤日轮1",C58="赤日轮2",C58="赤日轮3"),IF(RAND()&lt;模拟模式!$Y$17,1,0),IF(OR(C58="幽月轮1",C58="幽月轮2",C58="幽月轮3"),IF(RAND()&lt;模拟模式!$Y$18,1,0),IF(C58="烈日斩",IF(RAND()&lt;模拟模式!$Y$19,1,0),IF(C58="银月斩",IF(RAND()&lt;模拟模式!$Y$20,1,0),IF(C58="驱夜断愁",IF(RAND()&lt;模拟模式!$Y$21,1,0),IF(C58="净世破魔击·日",IF(RAND()&lt;模拟模式!$Y$22,1,0),IF(C58="净世破魔击·月",IF(RAND()&lt;模拟模式!$Y$23,1,0),0)))))))</f>
        <v>1</v>
      </c>
      <c r="AC58" s="115" t="b">
        <f t="shared" ca="1" si="1"/>
        <v>1</v>
      </c>
      <c r="AD58" s="115" t="b">
        <f t="shared" ca="1" si="52"/>
        <v>0</v>
      </c>
      <c r="AE58" s="115">
        <f t="shared" ca="1" si="53"/>
        <v>6</v>
      </c>
      <c r="AF58" s="47">
        <f ca="1">IF(AC58,('模拟-单技能数据'!$D$20+G58*'模拟-单技能数据'!$F$20)*(1+J58)*(1+'模拟-单技能数据'!$J$20)*(1+U58),0)</f>
        <v>4447.8565560098323</v>
      </c>
      <c r="AG58" s="61">
        <f t="shared" ca="1" si="25"/>
        <v>0.64185145527300214</v>
      </c>
      <c r="AH58" s="61">
        <f t="shared" ca="1" si="26"/>
        <v>2.2624828854998791</v>
      </c>
      <c r="AI58" s="62">
        <f t="shared" ca="1" si="27"/>
        <v>8.1327648749417336E-2</v>
      </c>
      <c r="AJ58" s="47">
        <f ca="1">IF(AD58,IF(AI58&lt;$F$10,0,IF(AI58&lt;$F$10+$F$11,0.25,IF(AI58&lt;$F$10+$F$11+AG58,AH58,1)))*IF(AF58&gt;0,AF58,IF(AF57&gt;0,AF57,IF(AF56&gt;0,AF56,IF(AF55&gt;0,AF55,IF(AF54&gt;0,AF54,IF(AF53&gt;0,AF53,IF(AF52&gt;0,AF52,IF(AF51&gt;0,AF51,IF(AF50&gt;0,AF50,IF(AF48&gt;0,AF48,IF(AF47&gt;0,AF47,IF(AF46&gt;0,AF46,0)))))))))))),0)*(1-$S58)*'模拟-单技能数据'!$I$20</f>
        <v>0</v>
      </c>
      <c r="AK58" s="115" t="b">
        <f t="shared" ca="1" si="2"/>
        <v>0</v>
      </c>
      <c r="AL58" s="115" t="b">
        <f t="shared" ca="1" si="54"/>
        <v>0</v>
      </c>
      <c r="AM58" s="115">
        <f t="shared" ca="1" si="55"/>
        <v>5</v>
      </c>
      <c r="AN58" s="47">
        <f ca="1">IF(AK58,('模拟-单技能数据'!$D$21+G58*'模拟-单技能数据'!$F$21)*(1+J58)*(1+'模拟-单技能数据'!$J$21)*(1+U58),0)</f>
        <v>0</v>
      </c>
      <c r="AO58" s="61">
        <f ca="1">IF(AN58&gt;0,M58-'模拟-单技能数据'!$K$10,AO57)</f>
        <v>0.42185145527300216</v>
      </c>
      <c r="AP58" s="61">
        <f ca="1">IF(AN58&gt;0,I58-'模拟-单技能数据'!$L$10,AP57)</f>
        <v>2.162482885499879</v>
      </c>
      <c r="AQ58" s="63">
        <f t="shared" ca="1" si="28"/>
        <v>0.28035346572892517</v>
      </c>
      <c r="AR58" s="64">
        <f ca="1">IF(AL58,IF(AQ58&lt;$F$10,0,IF(AQ58&lt;$F$10+$F$11,0.25,IF(AQ58&lt;$F$10+$F$11+AO58,AP58,1)))*IF(AN58&gt;0,AN58,IF(AN57&gt;0,AN57,IF(AN56&gt;0,AN56,IF(AN55&gt;0,AN55,IF(AN54&gt;0,AN54,IF(AN53&gt;0,AN53,IF(AN52&gt;0,AN52,IF(AN51&gt;0,AN51,IF(AN50&gt;0,AN50,IF(AN48&gt;0,AN48,IF(AN47&gt;0,AN47,IF(AN46&gt;0,AN46,0)))))))))))),0)*(1-$S58)*'模拟-单技能数据'!$I$21</f>
        <v>0</v>
      </c>
      <c r="AS58" s="61">
        <f ca="1">IF(OR(C58="净世破魔击·日",C58="净世破魔击·月"),M58-'模拟-单技能数据'!$K$10,0)</f>
        <v>0</v>
      </c>
      <c r="AT58" s="61">
        <f ca="1">IF(OR(C58="净世破魔击·日",C58="净世破魔击·月"),I58-'模拟-单技能数据'!$L$10,0)</f>
        <v>0</v>
      </c>
      <c r="AU58" s="62">
        <f t="shared" ca="1" si="29"/>
        <v>0.7973694829791691</v>
      </c>
      <c r="AV58" s="64">
        <f ca="1">IF(AS58&gt;0,('模拟-单技能数据'!$D$22+G58*'模拟-单技能数据'!$F$22)*(1+J58)*(1-S58)*IF(AU58&lt;$F$10,0,IF(AU58&lt;$F$10+$F$11,0.25,IF(AU58&lt;$F$10+$F$11+AS58,AT58,1)))*(1+U58),0)*'模拟-单技能数据'!$I$22</f>
        <v>0</v>
      </c>
      <c r="AW58" s="108">
        <f t="shared" ca="1" si="30"/>
        <v>1.5500000000000065</v>
      </c>
      <c r="AX58" s="108" t="b">
        <f ca="1">AND(模拟模式!$P$10="有",AW57=0,RAND()&lt;IF(C58="净世破魔击·月",0.1*8/3,IF(C58="净世破魔击·日",0.1*4/3,0.1*2/3)))</f>
        <v>0</v>
      </c>
      <c r="AY58" s="47">
        <f ca="1">IF(AX58,(18+G58*0.722)*(1+J58)*(1-S58)*(1+$I$4)*IF(P58="会",'模拟-全程加成'!$J$3+'模拟-全程加成'!$J$4+'模拟-全程加成'!$J$5+('模拟-全程加成'!$I$4+'模拟-全程加成'!$I$5)/系数!$B$4+BG58*10%,IF(P58="命",1,IF(P58="识",0.25,0))),0)</f>
        <v>0</v>
      </c>
      <c r="AZ58" s="108">
        <f t="shared" si="31"/>
        <v>11.697500000000005</v>
      </c>
      <c r="BA58" s="108" t="b">
        <f>AND(模拟模式!$Q$10="有",AZ57=0)</f>
        <v>0</v>
      </c>
      <c r="BB58" s="140">
        <f>IF(BA58,(0+G58*0.287)*(1+J58)*(1-S58)*(1+$I$4)*IF(P58="会",'模拟-全程加成'!$J$3+'模拟-全程加成'!$J$4+'模拟-全程加成'!$J$5+('模拟-全程加成'!$I$4+'模拟-全程加成'!$I$5)/系数!$B$4+BG58*10%,IF(P58="命",1,IF(P58="识",0.25,0))),0)</f>
        <v>0</v>
      </c>
      <c r="BC58" s="115" t="b">
        <f ca="1">AND(模拟模式!$R$7="伏明众生",E58=60,F58=20,DA58&lt;5,CZ57&lt;$F$4)</f>
        <v>0</v>
      </c>
      <c r="BD58" s="115">
        <f t="shared" ca="1" si="3"/>
        <v>0</v>
      </c>
      <c r="BE58" s="115" t="b">
        <f t="shared" ca="1" si="4"/>
        <v>0</v>
      </c>
      <c r="BF58" s="47">
        <f ca="1">IF(BC58,4*('模拟-单技能数据'!$D$24+G58*'模拟-单技能数据'!$F$24)*(1+J58)*(1+'模拟-单技能数据'!$J$24)*(1-S58)*(1+$I$3)*(('模拟-全程加成'!$J$3+'模拟-全程加成'!$J$4+'模拟-全程加成'!$J$5+('模拟-全程加成'!$I$4+'模拟-全程加成'!$I$5)/系数!$B$4+BG58*10%)*('模拟-全程加成'!$J$3+'模拟-全程加成'!$J$4+'模拟-全程加成'!$J$5+('模拟-全程加成'!$I$4+'模拟-全程加成'!$I$5)/系数!$B$4+BG58*10%)+(1-('模拟-全程加成'!$J$3+'模拟-全程加成'!$J$4+'模拟-全程加成'!$J$5+('模拟-全程加成'!$I$4+'模拟-全程加成'!$I$5)/系数!$B$4+BG58*10%)-$F$10-$F$11)+F44*0.25),0)*'模拟-单技能数据'!$I$24</f>
        <v>0</v>
      </c>
      <c r="BG58" s="115" t="b">
        <f ca="1">OR(AND(OR(C58="烈日斩",C58="银月斩"),模拟模式!$I$7="净身明礼"),AND(C58="净世破魔击·日",模拟模式!$J$7="洞若观火"),AND(C59="净世破魔击·月",模拟模式!$J$7="洞若观火"),AB58=1)</f>
        <v>1</v>
      </c>
      <c r="BH58" s="115" t="b">
        <f t="shared" ca="1" si="32"/>
        <v>0</v>
      </c>
      <c r="BI58" s="115">
        <f t="shared" ca="1" si="5"/>
        <v>0</v>
      </c>
      <c r="BJ58" s="115" t="b">
        <f t="shared" ca="1" si="33"/>
        <v>0</v>
      </c>
      <c r="BK58" s="115" t="b">
        <f ca="1">AND(C58="驱夜断愁",模拟模式!$P$7="天地诛戮")</f>
        <v>0</v>
      </c>
      <c r="BL58" s="57">
        <f t="shared" ca="1" si="6"/>
        <v>14.465000000000003</v>
      </c>
      <c r="BM58" s="115" t="b">
        <f t="shared" ca="1" si="34"/>
        <v>1</v>
      </c>
      <c r="BN58" s="115" t="b">
        <f ca="1">AND(OR(C58="赤日轮1",C58="赤日轮2",C58="赤日轮3",C58="幽月轮1",C58="幽月轮2",C58="幽月轮3"),AB58=1,模拟模式!$L$7="明光恒照")</f>
        <v>0</v>
      </c>
      <c r="BO58" s="117">
        <f t="shared" ca="1" si="7"/>
        <v>29.077500000000001</v>
      </c>
      <c r="BP58" s="115">
        <f t="shared" ca="1" si="35"/>
        <v>6</v>
      </c>
      <c r="BQ58" s="115" t="b">
        <f>模拟模式!$K$10="2600·水"</f>
        <v>0</v>
      </c>
      <c r="BR58" s="117">
        <f t="shared" si="36"/>
        <v>0</v>
      </c>
      <c r="BS58" s="115">
        <f t="shared" si="37"/>
        <v>0</v>
      </c>
      <c r="BT58" s="115">
        <f t="shared" ca="1" si="38"/>
        <v>0</v>
      </c>
      <c r="BU58" s="115" t="b">
        <f ca="1">AND(模拟模式!$K$10="2300·雷",BT57=0,RAND()&lt;IF(C58="净世破魔击·月",5*0.05*2/3,IF(C58="净世破魔击·日",3*0.05*2/3,0.05*2*2/3)))</f>
        <v>0</v>
      </c>
      <c r="BV58" s="115">
        <f t="shared" ca="1" si="39"/>
        <v>0</v>
      </c>
      <c r="BW58" s="115">
        <f t="shared" ca="1" si="40"/>
        <v>156.93749999999966</v>
      </c>
      <c r="BX58" s="164" t="b">
        <f t="shared" ca="1" si="41"/>
        <v>0</v>
      </c>
      <c r="BY58" s="115">
        <f t="shared" ca="1" si="42"/>
        <v>0</v>
      </c>
      <c r="BZ58" s="115">
        <f>IF(OR(模拟模式!$P$16="10人团",模拟模式!$P$16="25人团"),IF(B58/30&gt;CA57,1,0),0)</f>
        <v>0</v>
      </c>
      <c r="CA58" s="115">
        <f t="shared" si="8"/>
        <v>0</v>
      </c>
      <c r="CB58" s="115">
        <f ca="1">IF(BZ58=1,IF(模拟模式!$P$16="10人团",15,0)+IF(模拟模式!$P$16="25人团",IF(RAND()&lt;0.6,15,0)),MAX(0,CB57-$F$4))</f>
        <v>0</v>
      </c>
      <c r="CC58" s="115" t="b">
        <f t="shared" ca="1" si="43"/>
        <v>0</v>
      </c>
      <c r="CD58" s="115">
        <f>IF(模拟模式!$Q$16="1个",IF(B58/40&gt;CE57,1,0),0)</f>
        <v>0</v>
      </c>
      <c r="CE58" s="115">
        <f t="shared" si="44"/>
        <v>0</v>
      </c>
      <c r="CF58" s="115">
        <f>IF(OR(CD58=1,模拟模式!$Q$16="2个"),20,MAX(0,CF57-$F$4))</f>
        <v>0</v>
      </c>
      <c r="CG58" s="115" t="b">
        <f t="shared" si="45"/>
        <v>0</v>
      </c>
      <c r="CH58" s="115">
        <f t="shared" ca="1" si="46"/>
        <v>2.3250000000000117</v>
      </c>
      <c r="CI58" s="115" t="b">
        <f t="shared" ca="1" si="47"/>
        <v>0</v>
      </c>
      <c r="CJ58" s="119">
        <f t="shared" ca="1" si="48"/>
        <v>0</v>
      </c>
      <c r="CK58" s="115">
        <f t="shared" ca="1" si="49"/>
        <v>0</v>
      </c>
      <c r="CL58" s="115" t="b">
        <f ca="1">AND(模拟模式!$S$7="驱夷逐法",OR(AND(C58="净世破魔击·月",E57&gt;59),AND(C58="净世破魔击·日",F57&gt;59)))</f>
        <v>0</v>
      </c>
      <c r="CM58" s="115" t="b">
        <f ca="1">OR(CL58,AND(C58="净世破魔击·日",CL57,RAND()&lt;模拟模式!$U$23))</f>
        <v>0</v>
      </c>
      <c r="CN58" s="115" t="b">
        <f ca="1">IF(模拟模式!$M$7="辉耀红尘",AND(C58="净世破魔击·月",CL58,CV58=0,E57&lt;80),AND(C58="净世破魔击·月",CL58,E57&lt;100))</f>
        <v>0</v>
      </c>
      <c r="CO58" s="115" t="b">
        <f t="shared" ca="1" si="9"/>
        <v>0</v>
      </c>
      <c r="CP58" s="115" t="b">
        <f ca="1">AND(模拟模式!$O$7="用晦而明",OR(C58="净世破魔击·日",C58="净世破魔击·月",C58="驱夜断愁"),AB58)</f>
        <v>0</v>
      </c>
      <c r="CQ58" s="115" t="b">
        <f ca="1">OR(CP58,AND(CP57,RAND()&lt;模拟模式!$U$23))</f>
        <v>0</v>
      </c>
      <c r="CR58" s="115" t="b">
        <f ca="1">AND(模拟模式!$S$7="日月齐光",OR(C58="幽月轮1",C58="幽月轮2",C58="幽月轮3",CR57),NOT(OR(C58="赤日轮1",C58="赤日轮2",C58="赤日轮3")))</f>
        <v>0</v>
      </c>
      <c r="CS58" s="115" t="b">
        <f ca="1">AND(模拟模式!$S$7="日月齐光",OR(C58="赤日轮1",C58="赤日轮2",C58="赤日轮3",CS57),NOT(OR(C58="幽月轮1",C58="幽月轮2",C58="幽月轮3")))</f>
        <v>0</v>
      </c>
      <c r="CT58" s="115">
        <f t="shared" ca="1" si="50"/>
        <v>0</v>
      </c>
      <c r="CU58" s="115" t="b">
        <f ca="1">AND(模拟模式!$K$10="阴阳往极",CT57=0,RAND()&lt;IF(C58="净世破魔击·月",0.0275*7/3,IF(C58="净世破魔击·日",0.0275*3/3,0.0275*2/3)))</f>
        <v>0</v>
      </c>
      <c r="CV58" s="115">
        <f t="shared" ca="1" si="51"/>
        <v>0</v>
      </c>
      <c r="CW58" s="115">
        <f t="shared" ca="1" si="10"/>
        <v>1.3874999999999997</v>
      </c>
      <c r="CX58" s="115">
        <f t="shared" ca="1" si="11"/>
        <v>6</v>
      </c>
      <c r="CY58" s="115">
        <f ca="1">MAX(IF($C58="驱夜断愁",IF(模拟模式!$R$7="万念俱寂",6,45),CY57-$F$4),0)</f>
        <v>0.46499999999999975</v>
      </c>
      <c r="CZ58" s="115">
        <f t="shared" ca="1" si="12"/>
        <v>0</v>
      </c>
      <c r="DA58" s="115">
        <f ca="1">IF(模拟模式!$N$7="日月同辉",IF(DB57=2,0,MIN(6,IF(AND(OR(C58="赤日轮1",C58="赤日轮2",C58="赤日轮3",C58="幽月轮1",C58="幽月轮2",C58="幽月轮3"),AB58=1),DA57+1,DA57))),0)</f>
        <v>2</v>
      </c>
      <c r="DB58" s="115">
        <f t="shared" ca="1" si="13"/>
        <v>0</v>
      </c>
      <c r="DD58" s="115"/>
      <c r="DE58" s="115"/>
      <c r="DF58" s="115"/>
      <c r="DG58" s="115"/>
      <c r="DH58" s="115"/>
      <c r="DI58" s="115"/>
      <c r="DJ58" s="115"/>
      <c r="DK58" s="115"/>
      <c r="DL58" s="115"/>
      <c r="DM58" s="115"/>
    </row>
    <row r="59" spans="2:117" x14ac:dyDescent="0.2">
      <c r="B59" s="117">
        <f t="shared" si="14"/>
        <v>29.519999999999989</v>
      </c>
      <c r="C59" s="167" t="str">
        <f t="shared" ca="1" si="0"/>
        <v>驱夜断愁</v>
      </c>
      <c r="D59" s="115">
        <f ca="1">IF(C59="赤日轮1",1,IF(C59="赤日轮2",2,IF(C59="赤日轮3",3,IF(C59="幽月轮1",4,IF(C59="幽月轮2",5,IF(C59="幽月轮3",6,IF(C59="烈日斩",7,IF(C59="银月斩",8,IF(C59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59="净世破魔击·月",17,IF(C59="驱夜断愁",18,0)))))))))))</f>
        <v>18</v>
      </c>
      <c r="E59" s="115">
        <f ca="1">IF(AND(CU59,OR(C59="幽月轮1",C59="幽月轮2",C59="幽月轮3",C59="银月斩",C59="驱夜断愁",C59="净世破魔击·月")),100,MIN(IF(OR(CN59,BE59),0,IF(OR($C59="赤日轮1",$C59="赤日轮2",$C59="赤日轮3"),E58+20+IF(模拟模式!$I$7="日月凌天",4,0)+IF(CR58,20,0),IF($C59="烈日斩",E58+40,IF($C59="驱夜断愁",IF(模拟模式!$R$7="万念俱寂",E58+20,E58+60),IF($C59="净世破魔击·月",IF(OR(DB58&gt;0,CV58&gt;0),100,IF(模拟模式!$M$7="辉耀红尘",E58+20,E58)),IF($C59="净世破魔击·日",E58-100,E58)))))),100))</f>
        <v>40</v>
      </c>
      <c r="F59" s="115">
        <f ca="1">IF(AND(CU59,OR(C59="赤日轮1",C59="赤日轮2",C59="赤日轮3",C59="烈日斩",C59="净世破魔击·日")),100,MIN(IF(CO59,0,IF(OR($C59="幽月轮1",$C59="幽月轮2",$C59="幽月轮3"),F58+20+IF(模拟模式!$I$7="日月凌天",4,0)+IF(CS58,20,0),IF($C59="银月斩",F58+40+IF(模拟模式!$X$12=1,5,0),IF($C59="驱夜断愁",IF(模拟模式!$R$7="万念俱寂",F58+20,F58+60),IF($C59="净世破魔击·月",IF(模拟模式!$M$7="辉耀红尘",F58-80,F58-100),IF(AND(C59="净世破魔击·日",OR(DB58&gt;0,CV58&gt;0)),100,F58)))))),100))</f>
        <v>85</v>
      </c>
      <c r="G59" s="117">
        <f ca="1">('模拟-全程加成'!$E$3+'模拟-全程加成'!$E$4+'模拟-全程加成'!$E$5+('模拟-全程加成'!$C$6-'模拟-全程加成'!$C$3)*系数!$B$9+BS59*23)*(1+'模拟-全程加成'!$F$4+'模拟-全程加成'!$F$5+BJ59*10%+BM59*20%+BP59*4%+CG59*30%)+$F$7*系数!$B$12</f>
        <v>20583.127400000001</v>
      </c>
      <c r="H59" s="45">
        <f ca="1">'模拟-全程加成'!$H$3+'模拟-全程加成'!$H$4+'模拟-全程加成'!$H$5+('模拟-全程加成'!$G$4+'模拟-全程加成'!$G$5+('模拟-全程加成'!$C$6-'模拟-全程加成'!$C$3)*系数!$B$13)/系数!$B$3+LOOKUP(D59,'模拟-单技能数据'!$A$2:$A$19,'模拟-单技能数据'!$K$2:$K$19)+BG59*10%+IF(BV59&gt;0,378,0)</f>
        <v>0.51185145527300213</v>
      </c>
      <c r="I59" s="45">
        <f ca="1">'模拟-全程加成'!$J$3+'模拟-全程加成'!$J$4+'模拟-全程加成'!$J$5+('模拟-全程加成'!$I$4+'模拟-全程加成'!$I$5)/系数!$B$4+LOOKUP(D59,'模拟-单技能数据'!$A$2:$A$19,'模拟-单技能数据'!$L$2:$L$19)+BG59*10%</f>
        <v>2.162482885499879</v>
      </c>
      <c r="J59" s="45">
        <f ca="1">(('模拟-全程加成'!$K$3+'模拟-全程加成'!$K$4+'模拟-全程加成'!$K$5+('模拟-全程加成'!$C$6-'模拟-全程加成'!$C$3)*系数!$B$10+IF(BV59&gt;0,882,0)+IF(BY59&gt;0,1831,0))*(1+'模拟-全程加成'!$L$4+'模拟-全程加成'!$L$5+CC59*20%))/系数!$B$5</f>
        <v>0.69723220422048726</v>
      </c>
      <c r="K59" s="119">
        <f ca="1">LOOKUP(D59,'模拟-单技能数据'!$A$2:$A$19,'模拟-单技能数据'!$J$2:$J$19)+IF(CM59,60%,0)+IF(DB58-DB59&gt;0,30%,0)+IF(OR(AND(OR(C59="赤日轮1",C59="赤日轮2",C59="赤日轮3"),CR59),AND(OR(C59="幽月轮1",C59="幽月轮2",C59="幽月轮3"),CS59)),35%,0)+CJ59</f>
        <v>0.14000000000000001</v>
      </c>
      <c r="L59" s="119">
        <f ca="1">IF(AND(C59="烈日斩",模拟模式!$X$11=1),10%,0)+IF(AND(C59="驱夜断愁",AB59=1),30%,0)</f>
        <v>0.3</v>
      </c>
      <c r="M59" s="45">
        <f t="shared" ca="1" si="15"/>
        <v>0.51185145527300213</v>
      </c>
      <c r="N59" s="45">
        <f t="shared" ca="1" si="16"/>
        <v>0.43424854472699792</v>
      </c>
      <c r="O59" s="46">
        <f t="shared" ca="1" si="17"/>
        <v>0.66435579893454333</v>
      </c>
      <c r="P59" s="46" t="str">
        <f t="shared" ca="1" si="18"/>
        <v>命</v>
      </c>
      <c r="Q59" s="45">
        <f t="shared" ca="1" si="19"/>
        <v>1</v>
      </c>
      <c r="R59" s="117">
        <f ca="1">模拟模式!$E$20*(1-IF(模拟模式!$J$19="有",0.15,0))*(1-IF(模拟模式!$K$19="有",0.3,0)-IF(CQ59,0.5,0))</f>
        <v>843.02999999999975</v>
      </c>
      <c r="S59" s="45">
        <f ca="1">R59/(R59+(185*模拟模式!$E$22-16800)*4.08224)</f>
        <v>8.389626085980037E-2</v>
      </c>
      <c r="T59" s="45" t="str">
        <f ca="1">LOOKUP(D59,'模拟-单技能数据'!$A$2:$A$19,'模拟-单技能数据'!$H$2:$H$19)</f>
        <v>阴</v>
      </c>
      <c r="U59" s="119">
        <f t="shared" ca="1" si="20"/>
        <v>0.08</v>
      </c>
      <c r="V59" s="47">
        <f ca="1">(1+L59)*(LOOKUP(D59,'模拟-单技能数据'!$A$2:$A$19,'模拟-单技能数据'!$D$2:$D$19)+G59*LOOKUP(D59,'模拟-单技能数据'!$A$2:$A$19,'模拟-单技能数据'!$F$2:$F$19))*(1+J59)*(1+K59)*(1-S59)*(1+U59)*Q59*LOOKUP(D59,'模拟-单技能数据'!$A$2:$A$19,'模拟-单技能数据'!$I$2:$I$20)</f>
        <v>58943.088028757353</v>
      </c>
      <c r="W59" s="47">
        <f ca="1">LOOKUP(D59,'模拟-单技能数据'!$A$2:$A$19,'模拟-单技能数据'!$G$2:$G$19)*$I$10</f>
        <v>723.0212870940959</v>
      </c>
      <c r="X59" s="47">
        <f t="shared" ca="1" si="21"/>
        <v>15193.051530877196</v>
      </c>
      <c r="Y59" s="47">
        <f t="shared" ca="1" si="22"/>
        <v>74859.160846728642</v>
      </c>
      <c r="Z59" s="49">
        <f t="shared" ca="1" si="23"/>
        <v>3236351.5740290508</v>
      </c>
      <c r="AA59" s="97">
        <f t="shared" ca="1" si="24"/>
        <v>109632.50589529308</v>
      </c>
      <c r="AB59" s="115">
        <f ca="1">IF(OR(C59="赤日轮1",C59="赤日轮2",C59="赤日轮3"),IF(RAND()&lt;模拟模式!$Y$17,1,0),IF(OR(C59="幽月轮1",C59="幽月轮2",C59="幽月轮3"),IF(RAND()&lt;模拟模式!$Y$18,1,0),IF(C59="烈日斩",IF(RAND()&lt;模拟模式!$Y$19,1,0),IF(C59="银月斩",IF(RAND()&lt;模拟模式!$Y$20,1,0),IF(C59="驱夜断愁",IF(RAND()&lt;模拟模式!$Y$21,1,0),IF(C59="净世破魔击·日",IF(RAND()&lt;模拟模式!$Y$22,1,0),IF(C59="净世破魔击·月",IF(RAND()&lt;模拟模式!$Y$23,1,0),0)))))))</f>
        <v>1</v>
      </c>
      <c r="AC59" s="115" t="b">
        <f t="shared" ca="1" si="1"/>
        <v>0</v>
      </c>
      <c r="AD59" s="115" t="b">
        <f t="shared" ca="1" si="52"/>
        <v>1</v>
      </c>
      <c r="AE59" s="115">
        <f t="shared" ca="1" si="53"/>
        <v>5</v>
      </c>
      <c r="AF59" s="47">
        <f ca="1">IF(AC59,('模拟-单技能数据'!$D$20+G59*'模拟-单技能数据'!$F$20)*(1+J59)*(1+'模拟-单技能数据'!$J$20)*(1+U59),0)</f>
        <v>0</v>
      </c>
      <c r="AG59" s="61">
        <f t="shared" ca="1" si="25"/>
        <v>0.64185145527300214</v>
      </c>
      <c r="AH59" s="61">
        <f t="shared" ca="1" si="26"/>
        <v>2.2624828854998791</v>
      </c>
      <c r="AI59" s="62">
        <f t="shared" ca="1" si="27"/>
        <v>0.76161396883685673</v>
      </c>
      <c r="AJ59" s="47">
        <f ca="1">IF(AD59,IF(AI59&lt;$F$10,0,IF(AI59&lt;$F$10+$F$11,0.25,IF(AI59&lt;$F$10+$F$11+AG59,AH59,1)))*IF(AF59&gt;0,AF59,IF(AF58&gt;0,AF58,IF(AF57&gt;0,AF57,IF(AF56&gt;0,AF56,IF(AF55&gt;0,AF55,IF(AF54&gt;0,AF54,IF(AF53&gt;0,AF53,IF(AF52&gt;0,AF52,IF(AF51&gt;0,AF51,IF(AF49&gt;0,AF49,IF(AF48&gt;0,AF48,IF(AF47&gt;0,AF47,0)))))))))))),0)*(1-$S59)*'模拟-单技能数据'!$I$20</f>
        <v>4074.6980221198578</v>
      </c>
      <c r="AK59" s="115" t="b">
        <f t="shared" ca="1" si="2"/>
        <v>0</v>
      </c>
      <c r="AL59" s="115" t="b">
        <f t="shared" ca="1" si="54"/>
        <v>1</v>
      </c>
      <c r="AM59" s="115">
        <f t="shared" ca="1" si="55"/>
        <v>4</v>
      </c>
      <c r="AN59" s="47">
        <f ca="1">IF(AK59,('模拟-单技能数据'!$D$21+G59*'模拟-单技能数据'!$F$21)*(1+J59)*(1+'模拟-单技能数据'!$J$21)*(1+U59),0)</f>
        <v>0</v>
      </c>
      <c r="AO59" s="61">
        <f ca="1">IF(AN59&gt;0,M59-'模拟-单技能数据'!$K$10,AO58)</f>
        <v>0.42185145527300216</v>
      </c>
      <c r="AP59" s="61">
        <f ca="1">IF(AN59&gt;0,I59-'模拟-单技能数据'!$L$10,AP58)</f>
        <v>2.162482885499879</v>
      </c>
      <c r="AQ59" s="63">
        <f t="shared" ca="1" si="28"/>
        <v>0.6962650515820592</v>
      </c>
      <c r="AR59" s="64">
        <f ca="1">IF(AL59,IF(AQ59&lt;$F$10,0,IF(AQ59&lt;$F$10+$F$11,0.25,IF(AQ59&lt;$F$10+$F$11+AO59,AP59,1)))*IF(AN59&gt;0,AN59,IF(AN58&gt;0,AN58,IF(AN57&gt;0,AN57,IF(AN56&gt;0,AN56,IF(AN55&gt;0,AN55,IF(AN54&gt;0,AN54,IF(AN53&gt;0,AN53,IF(AN52&gt;0,AN52,IF(AN51&gt;0,AN51,IF(AN49&gt;0,AN49,IF(AN48&gt;0,AN48,IF(AN47&gt;0,AN47,0)))))))))))),0)*(1-$S59)*'模拟-单技能数据'!$I$21</f>
        <v>11118.353508757338</v>
      </c>
      <c r="AS59" s="61">
        <f ca="1">IF(OR(C59="净世破魔击·日",C59="净世破魔击·月"),M59-'模拟-单技能数据'!$K$10,0)</f>
        <v>0</v>
      </c>
      <c r="AT59" s="61">
        <f ca="1">IF(OR(C59="净世破魔击·日",C59="净世破魔击·月"),I59-'模拟-单技能数据'!$L$10,0)</f>
        <v>0</v>
      </c>
      <c r="AU59" s="62">
        <f t="shared" ca="1" si="29"/>
        <v>0.32925749505632018</v>
      </c>
      <c r="AV59" s="64">
        <f ca="1">IF(AS59&gt;0,('模拟-单技能数据'!$D$22+G59*'模拟-单技能数据'!$F$22)*(1+J59)*(1-S59)*IF(AU59&lt;$F$10,0,IF(AU59&lt;$F$10+$F$11,0.25,IF(AU59&lt;$F$10+$F$11+AS59,AT59,1)))*(1+U59),0)*'模拟-单技能数据'!$I$22</f>
        <v>0</v>
      </c>
      <c r="AW59" s="108">
        <f t="shared" ca="1" si="30"/>
        <v>0.6275000000000065</v>
      </c>
      <c r="AX59" s="108" t="b">
        <f ca="1">AND(模拟模式!$P$10="有",AW58=0,RAND()&lt;IF(C59="净世破魔击·月",0.1*8/3,IF(C59="净世破魔击·日",0.1*4/3,0.1*2/3)))</f>
        <v>0</v>
      </c>
      <c r="AY59" s="47">
        <f ca="1">IF(AX59,(18+G59*0.722)*(1+J59)*(1-S59)*(1+$I$4)*IF(P59="会",'模拟-全程加成'!$J$3+'模拟-全程加成'!$J$4+'模拟-全程加成'!$J$5+('模拟-全程加成'!$I$4+'模拟-全程加成'!$I$5)/系数!$B$4+BG59*10%,IF(P59="命",1,IF(P59="识",0.25,0))),0)</f>
        <v>0</v>
      </c>
      <c r="AZ59" s="108">
        <f t="shared" si="31"/>
        <v>10.775000000000006</v>
      </c>
      <c r="BA59" s="108" t="b">
        <f>AND(模拟模式!$Q$10="有",AZ58=0)</f>
        <v>0</v>
      </c>
      <c r="BB59" s="140">
        <f>IF(BA59,(0+G59*0.287)*(1+J59)*(1-S59)*(1+$I$4)*IF(P59="会",'模拟-全程加成'!$J$3+'模拟-全程加成'!$J$4+'模拟-全程加成'!$J$5+('模拟-全程加成'!$I$4+'模拟-全程加成'!$I$5)/系数!$B$4+BG59*10%,IF(P59="命",1,IF(P59="识",0.25,0))),0)</f>
        <v>0</v>
      </c>
      <c r="BC59" s="115" t="b">
        <f ca="1">AND(模拟模式!$R$7="伏明众生",E59=60,F59=20,DA59&lt;5,CZ58&lt;$F$4)</f>
        <v>0</v>
      </c>
      <c r="BD59" s="115">
        <f t="shared" ca="1" si="3"/>
        <v>0</v>
      </c>
      <c r="BE59" s="115" t="b">
        <f t="shared" ca="1" si="4"/>
        <v>0</v>
      </c>
      <c r="BF59" s="47">
        <f ca="1">IF(BC59,4*('模拟-单技能数据'!$D$24+G59*'模拟-单技能数据'!$F$24)*(1+J59)*(1+'模拟-单技能数据'!$J$24)*(1-S59)*(1+$I$3)*(('模拟-全程加成'!$J$3+'模拟-全程加成'!$J$4+'模拟-全程加成'!$J$5+('模拟-全程加成'!$I$4+'模拟-全程加成'!$I$5)/系数!$B$4+BG59*10%)*('模拟-全程加成'!$J$3+'模拟-全程加成'!$J$4+'模拟-全程加成'!$J$5+('模拟-全程加成'!$I$4+'模拟-全程加成'!$I$5)/系数!$B$4+BG59*10%)+(1-('模拟-全程加成'!$J$3+'模拟-全程加成'!$J$4+'模拟-全程加成'!$J$5+('模拟-全程加成'!$I$4+'模拟-全程加成'!$I$5)/系数!$B$4+BG59*10%)-$F$10-$F$11)+F45*0.25),0)*'模拟-单技能数据'!$I$24</f>
        <v>0</v>
      </c>
      <c r="BG59" s="115" t="b">
        <f ca="1">OR(AND(OR(C59="烈日斩",C59="银月斩"),模拟模式!$I$7="净身明礼"),AND(C59="净世破魔击·日",模拟模式!$J$7="洞若观火"),AND(C60="净世破魔击·月",模拟模式!$J$7="洞若观火"),AB59=1)</f>
        <v>1</v>
      </c>
      <c r="BH59" s="115" t="b">
        <f t="shared" ca="1" si="32"/>
        <v>0</v>
      </c>
      <c r="BI59" s="115">
        <f t="shared" ca="1" si="5"/>
        <v>0</v>
      </c>
      <c r="BJ59" s="115" t="b">
        <f t="shared" ca="1" si="33"/>
        <v>0</v>
      </c>
      <c r="BK59" s="115" t="b">
        <f ca="1">AND(C59="驱夜断愁",模拟模式!$P$7="天地诛戮")</f>
        <v>1</v>
      </c>
      <c r="BL59" s="57">
        <f t="shared" ca="1" si="6"/>
        <v>20</v>
      </c>
      <c r="BM59" s="115" t="b">
        <f t="shared" ca="1" si="34"/>
        <v>1</v>
      </c>
      <c r="BN59" s="115" t="b">
        <f ca="1">AND(OR(C59="赤日轮1",C59="赤日轮2",C59="赤日轮3",C59="幽月轮1",C59="幽月轮2",C59="幽月轮3"),AB59=1,模拟模式!$L$7="明光恒照")</f>
        <v>0</v>
      </c>
      <c r="BO59" s="117">
        <f t="shared" ca="1" si="7"/>
        <v>28.155000000000001</v>
      </c>
      <c r="BP59" s="115">
        <f t="shared" ca="1" si="35"/>
        <v>6</v>
      </c>
      <c r="BQ59" s="115" t="b">
        <f>模拟模式!$K$10="2600·水"</f>
        <v>0</v>
      </c>
      <c r="BR59" s="117">
        <f t="shared" si="36"/>
        <v>0</v>
      </c>
      <c r="BS59" s="115">
        <f t="shared" si="37"/>
        <v>0</v>
      </c>
      <c r="BT59" s="115">
        <f t="shared" ca="1" si="38"/>
        <v>0</v>
      </c>
      <c r="BU59" s="115" t="b">
        <f ca="1">AND(模拟模式!$K$10="2300·雷",BT58=0,RAND()&lt;IF(C59="净世破魔击·月",5*0.05*2/3,IF(C59="净世破魔击·日",3*0.05*2/3,0.05*2*2/3)))</f>
        <v>0</v>
      </c>
      <c r="BV59" s="115">
        <f t="shared" ca="1" si="39"/>
        <v>0</v>
      </c>
      <c r="BW59" s="115">
        <f t="shared" ca="1" si="40"/>
        <v>156.01499999999965</v>
      </c>
      <c r="BX59" s="164" t="b">
        <f t="shared" ca="1" si="41"/>
        <v>0</v>
      </c>
      <c r="BY59" s="115">
        <f t="shared" ca="1" si="42"/>
        <v>0</v>
      </c>
      <c r="BZ59" s="115">
        <f>IF(OR(模拟模式!$P$16="10人团",模拟模式!$P$16="25人团"),IF(B59/30&gt;CA58,1,0),0)</f>
        <v>0</v>
      </c>
      <c r="CA59" s="115">
        <f t="shared" si="8"/>
        <v>0</v>
      </c>
      <c r="CB59" s="115">
        <f ca="1">IF(BZ59=1,IF(模拟模式!$P$16="10人团",15,0)+IF(模拟模式!$P$16="25人团",IF(RAND()&lt;0.6,15,0)),MAX(0,CB58-$F$4))</f>
        <v>0</v>
      </c>
      <c r="CC59" s="115" t="b">
        <f t="shared" ca="1" si="43"/>
        <v>0</v>
      </c>
      <c r="CD59" s="115">
        <f>IF(模拟模式!$Q$16="1个",IF(B59/40&gt;CE58,1,0),0)</f>
        <v>0</v>
      </c>
      <c r="CE59" s="115">
        <f t="shared" si="44"/>
        <v>0</v>
      </c>
      <c r="CF59" s="115">
        <f>IF(OR(CD59=1,模拟模式!$Q$16="2个"),20,MAX(0,CF58-$F$4))</f>
        <v>0</v>
      </c>
      <c r="CG59" s="115" t="b">
        <f t="shared" si="45"/>
        <v>0</v>
      </c>
      <c r="CH59" s="115">
        <f t="shared" ca="1" si="46"/>
        <v>1.4025000000000118</v>
      </c>
      <c r="CI59" s="115" t="b">
        <f t="shared" ca="1" si="47"/>
        <v>0</v>
      </c>
      <c r="CJ59" s="119">
        <f t="shared" ca="1" si="48"/>
        <v>0</v>
      </c>
      <c r="CK59" s="115">
        <f t="shared" ca="1" si="49"/>
        <v>0</v>
      </c>
      <c r="CL59" s="115" t="b">
        <f ca="1">AND(模拟模式!$S$7="驱夷逐法",OR(AND(C59="净世破魔击·月",E58&gt;59),AND(C59="净世破魔击·日",F58&gt;59)))</f>
        <v>0</v>
      </c>
      <c r="CM59" s="115" t="b">
        <f ca="1">OR(CL59,AND(C59="净世破魔击·日",CL58,RAND()&lt;模拟模式!$U$23))</f>
        <v>0</v>
      </c>
      <c r="CN59" s="115" t="b">
        <f ca="1">IF(模拟模式!$M$7="辉耀红尘",AND(C59="净世破魔击·月",CL59,CV59=0,E58&lt;80),AND(C59="净世破魔击·月",CL59,E58&lt;100))</f>
        <v>0</v>
      </c>
      <c r="CO59" s="115" t="b">
        <f t="shared" ca="1" si="9"/>
        <v>0</v>
      </c>
      <c r="CP59" s="115" t="b">
        <f ca="1">AND(模拟模式!$O$7="用晦而明",OR(C59="净世破魔击·日",C59="净世破魔击·月",C59="驱夜断愁"),AB59)</f>
        <v>1</v>
      </c>
      <c r="CQ59" s="115" t="b">
        <f ca="1">OR(CP59,AND(CP58,RAND()&lt;模拟模式!$U$23))</f>
        <v>1</v>
      </c>
      <c r="CR59" s="115" t="b">
        <f ca="1">AND(模拟模式!$S$7="日月齐光",OR(C59="幽月轮1",C59="幽月轮2",C59="幽月轮3",CR58),NOT(OR(C59="赤日轮1",C59="赤日轮2",C59="赤日轮3")))</f>
        <v>0</v>
      </c>
      <c r="CS59" s="115" t="b">
        <f ca="1">AND(模拟模式!$S$7="日月齐光",OR(C59="赤日轮1",C59="赤日轮2",C59="赤日轮3",CS58),NOT(OR(C59="幽月轮1",C59="幽月轮2",C59="幽月轮3")))</f>
        <v>0</v>
      </c>
      <c r="CT59" s="115">
        <f t="shared" ca="1" si="50"/>
        <v>0</v>
      </c>
      <c r="CU59" s="115" t="b">
        <f ca="1">AND(模拟模式!$K$10="阴阳往极",CT58=0,RAND()&lt;IF(C59="净世破魔击·月",0.0275*7/3,IF(C59="净世破魔击·日",0.0275*3/3,0.0275*2/3)))</f>
        <v>0</v>
      </c>
      <c r="CV59" s="115">
        <f t="shared" ca="1" si="51"/>
        <v>0</v>
      </c>
      <c r="CW59" s="115">
        <f t="shared" ca="1" si="10"/>
        <v>0.46499999999999975</v>
      </c>
      <c r="CX59" s="115">
        <f t="shared" ca="1" si="11"/>
        <v>5.0774999999999997</v>
      </c>
      <c r="CY59" s="115">
        <f ca="1">MAX(IF($C59="驱夜断愁",IF(模拟模式!$R$7="万念俱寂",6,45),CY58-$F$4),0)</f>
        <v>6</v>
      </c>
      <c r="CZ59" s="115">
        <f t="shared" ca="1" si="12"/>
        <v>0</v>
      </c>
      <c r="DA59" s="115">
        <f ca="1">IF(模拟模式!$N$7="日月同辉",IF(DB58=2,0,MIN(6,IF(AND(OR(C59="赤日轮1",C59="赤日轮2",C59="赤日轮3",C59="幽月轮1",C59="幽月轮2",C59="幽月轮3"),AB59=1),DA58+1,DA58))),0)</f>
        <v>2</v>
      </c>
      <c r="DB59" s="115">
        <f t="shared" ca="1" si="13"/>
        <v>0</v>
      </c>
      <c r="DD59" s="115"/>
      <c r="DE59" s="115"/>
      <c r="DF59" s="115"/>
      <c r="DG59" s="115"/>
      <c r="DH59" s="115"/>
      <c r="DI59" s="115"/>
      <c r="DJ59" s="115"/>
      <c r="DK59" s="115"/>
      <c r="DL59" s="115"/>
      <c r="DM59" s="115"/>
    </row>
    <row r="60" spans="2:117" x14ac:dyDescent="0.2">
      <c r="B60" s="117">
        <f t="shared" si="14"/>
        <v>30.442499999999988</v>
      </c>
      <c r="C60" s="167" t="str">
        <f t="shared" ca="1" si="0"/>
        <v>烈日斩</v>
      </c>
      <c r="D60" s="115">
        <f ca="1">IF(C60="赤日轮1",1,IF(C60="赤日轮2",2,IF(C60="赤日轮3",3,IF(C60="幽月轮1",4,IF(C60="幽月轮2",5,IF(C60="幽月轮3",6,IF(C60="烈日斩",7,IF(C60="银月斩",8,IF(C60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60="净世破魔击·月",17,IF(C60="驱夜断愁",18,0)))))))))))</f>
        <v>7</v>
      </c>
      <c r="E60" s="115">
        <f ca="1">IF(AND(CU60,OR(C60="幽月轮1",C60="幽月轮2",C60="幽月轮3",C60="银月斩",C60="驱夜断愁",C60="净世破魔击·月")),100,MIN(IF(OR(CN60,BE60),0,IF(OR($C60="赤日轮1",$C60="赤日轮2",$C60="赤日轮3"),E59+20+IF(模拟模式!$I$7="日月凌天",4,0)+IF(CR59,20,0),IF($C60="烈日斩",E59+40,IF($C60="驱夜断愁",IF(模拟模式!$R$7="万念俱寂",E59+20,E59+60),IF($C60="净世破魔击·月",IF(OR(DB59&gt;0,CV59&gt;0),100,IF(模拟模式!$M$7="辉耀红尘",E59+20,E59)),IF($C60="净世破魔击·日",E59-100,E59)))))),100))</f>
        <v>80</v>
      </c>
      <c r="F60" s="115">
        <f ca="1">IF(AND(CU60,OR(C60="赤日轮1",C60="赤日轮2",C60="赤日轮3",C60="烈日斩",C60="净世破魔击·日")),100,MIN(IF(CO60,0,IF(OR($C60="幽月轮1",$C60="幽月轮2",$C60="幽月轮3"),F59+20+IF(模拟模式!$I$7="日月凌天",4,0)+IF(CS59,20,0),IF($C60="银月斩",F59+40+IF(模拟模式!$X$12=1,5,0),IF($C60="驱夜断愁",IF(模拟模式!$R$7="万念俱寂",F59+20,F59+60),IF($C60="净世破魔击·月",IF(模拟模式!$M$7="辉耀红尘",F59-80,F59-100),IF(AND(C60="净世破魔击·日",OR(DB59&gt;0,CV59&gt;0)),100,F59)))))),100))</f>
        <v>85</v>
      </c>
      <c r="G60" s="117">
        <f ca="1">('模拟-全程加成'!$E$3+'模拟-全程加成'!$E$4+'模拟-全程加成'!$E$5+('模拟-全程加成'!$C$6-'模拟-全程加成'!$C$3)*系数!$B$9+BS60*23)*(1+'模拟-全程加成'!$F$4+'模拟-全程加成'!$F$5+BJ60*10%+BM60*20%+BP60*4%+CG60*30%)+$F$7*系数!$B$12</f>
        <v>20583.127400000001</v>
      </c>
      <c r="H60" s="45">
        <f ca="1">'模拟-全程加成'!$H$3+'模拟-全程加成'!$H$4+'模拟-全程加成'!$H$5+('模拟-全程加成'!$G$4+'模拟-全程加成'!$G$5+('模拟-全程加成'!$C$6-'模拟-全程加成'!$C$3)*系数!$B$13)/系数!$B$3+LOOKUP(D60,'模拟-单技能数据'!$A$2:$A$19,'模拟-单技能数据'!$K$2:$K$19)+BG60*10%+IF(BV60&gt;0,378,0)</f>
        <v>0.56185145527300218</v>
      </c>
      <c r="I60" s="45">
        <f ca="1">'模拟-全程加成'!$J$3+'模拟-全程加成'!$J$4+'模拟-全程加成'!$J$5+('模拟-全程加成'!$I$4+'模拟-全程加成'!$I$5)/系数!$B$4+LOOKUP(D60,'模拟-单技能数据'!$A$2:$A$19,'模拟-单技能数据'!$L$2:$L$19)+BG60*10%</f>
        <v>2.2624828854998791</v>
      </c>
      <c r="J60" s="45">
        <f ca="1">(('模拟-全程加成'!$K$3+'模拟-全程加成'!$K$4+'模拟-全程加成'!$K$5+('模拟-全程加成'!$C$6-'模拟-全程加成'!$C$3)*系数!$B$10+IF(BV60&gt;0,882,0)+IF(BY60&gt;0,1831,0))*(1+'模拟-全程加成'!$L$4+'模拟-全程加成'!$L$5+CC60*20%))/系数!$B$5</f>
        <v>0.69723220422048726</v>
      </c>
      <c r="K60" s="119">
        <f ca="1">LOOKUP(D60,'模拟-单技能数据'!$A$2:$A$19,'模拟-单技能数据'!$J$2:$J$19)+IF(CM60,60%,0)+IF(DB59-DB60&gt;0,30%,0)+IF(OR(AND(OR(C60="赤日轮1",C60="赤日轮2",C60="赤日轮3"),CR60),AND(OR(C60="幽月轮1",C60="幽月轮2",C60="幽月轮3"),CS60)),35%,0)+CJ60</f>
        <v>0.24</v>
      </c>
      <c r="L60" s="119">
        <f ca="1">IF(AND(C60="烈日斩",模拟模式!$X$11=1),10%,0)+IF(AND(C60="驱夜断愁",AB60=1),30%,0)</f>
        <v>0.1</v>
      </c>
      <c r="M60" s="45">
        <f t="shared" ca="1" si="15"/>
        <v>0.56185145527300218</v>
      </c>
      <c r="N60" s="45">
        <f t="shared" ca="1" si="16"/>
        <v>0.38424854472699788</v>
      </c>
      <c r="O60" s="46">
        <f t="shared" ca="1" si="17"/>
        <v>2.5484118882003526E-2</v>
      </c>
      <c r="P60" s="46" t="str">
        <f t="shared" ca="1" si="18"/>
        <v>识</v>
      </c>
      <c r="Q60" s="45">
        <f t="shared" ca="1" si="19"/>
        <v>0.25</v>
      </c>
      <c r="R60" s="117">
        <f ca="1">模拟模式!$E$20*(1-IF(模拟模式!$J$19="有",0.15,0))*(1-IF(模拟模式!$K$19="有",0.3,0)-IF(CQ60,0.5,0))</f>
        <v>843.02999999999975</v>
      </c>
      <c r="S60" s="45">
        <f ca="1">R60/(R60+(185*模拟模式!$E$22-16800)*4.08224)</f>
        <v>8.389626085980037E-2</v>
      </c>
      <c r="T60" s="45" t="str">
        <f ca="1">LOOKUP(D60,'模拟-单技能数据'!$A$2:$A$19,'模拟-单技能数据'!$H$2:$H$19)</f>
        <v>阳</v>
      </c>
      <c r="U60" s="119">
        <f t="shared" ca="1" si="20"/>
        <v>0.2</v>
      </c>
      <c r="V60" s="47">
        <f ca="1">(1+L60)*(LOOKUP(D60,'模拟-单技能数据'!$A$2:$A$19,'模拟-单技能数据'!$D$2:$D$19)+G60*LOOKUP(D60,'模拟-单技能数据'!$A$2:$A$19,'模拟-单技能数据'!$F$2:$F$19))*(1+J60)*(1+K60)*(1-S60)*(1+U60)*Q60*LOOKUP(D60,'模拟-单技能数据'!$A$2:$A$19,'模拟-单技能数据'!$I$2:$I$20)</f>
        <v>11697.442296152003</v>
      </c>
      <c r="W60" s="47">
        <f ca="1">LOOKUP(D60,'模拟-单技能数据'!$A$2:$A$19,'模拟-单技能数据'!$G$2:$G$19)*$I$10</f>
        <v>361.51064354704795</v>
      </c>
      <c r="X60" s="47">
        <f t="shared" ca="1" si="21"/>
        <v>0</v>
      </c>
      <c r="Y60" s="47">
        <f t="shared" ca="1" si="22"/>
        <v>12058.952939699051</v>
      </c>
      <c r="Z60" s="49">
        <f t="shared" ca="1" si="23"/>
        <v>3248410.5269687497</v>
      </c>
      <c r="AA60" s="97">
        <f t="shared" ca="1" si="24"/>
        <v>106706.43104110211</v>
      </c>
      <c r="AB60" s="115">
        <f ca="1">IF(OR(C60="赤日轮1",C60="赤日轮2",C60="赤日轮3"),IF(RAND()&lt;模拟模式!$Y$17,1,0),IF(OR(C60="幽月轮1",C60="幽月轮2",C60="幽月轮3"),IF(RAND()&lt;模拟模式!$Y$18,1,0),IF(C60="烈日斩",IF(RAND()&lt;模拟模式!$Y$19,1,0),IF(C60="银月斩",IF(RAND()&lt;模拟模式!$Y$20,1,0),IF(C60="驱夜断愁",IF(RAND()&lt;模拟模式!$Y$21,1,0),IF(C60="净世破魔击·日",IF(RAND()&lt;模拟模式!$Y$22,1,0),IF(C60="净世破魔击·月",IF(RAND()&lt;模拟模式!$Y$23,1,0),0)))))))</f>
        <v>1</v>
      </c>
      <c r="AC60" s="115" t="b">
        <f t="shared" ref="AC60:AC91" ca="1" si="56">C60="银月斩"</f>
        <v>0</v>
      </c>
      <c r="AD60" s="115" t="b">
        <f t="shared" ca="1" si="52"/>
        <v>0</v>
      </c>
      <c r="AE60" s="115">
        <f t="shared" ca="1" si="53"/>
        <v>5</v>
      </c>
      <c r="AF60" s="47">
        <f ca="1">IF(AC60,('模拟-单技能数据'!$D$20+G60*'模拟-单技能数据'!$F$20)*(1+J60)*(1+'模拟-单技能数据'!$J$20)*(1+U60),0)</f>
        <v>0</v>
      </c>
      <c r="AG60" s="61">
        <f t="shared" ca="1" si="25"/>
        <v>0.64185145527300214</v>
      </c>
      <c r="AH60" s="61">
        <f t="shared" ca="1" si="26"/>
        <v>2.2624828854998791</v>
      </c>
      <c r="AI60" s="62">
        <f t="shared" ca="1" si="27"/>
        <v>0.9253243084619367</v>
      </c>
      <c r="AJ60" s="47">
        <f ca="1">IF(AD60,IF(AI60&lt;$F$10,0,IF(AI60&lt;$F$10+$F$11,0.25,IF(AI60&lt;$F$10+$F$11+AG60,AH60,1)))*IF(AF60&gt;0,AF60,IF(AF59&gt;0,AF59,IF(AF58&gt;0,AF58,IF(AF57&gt;0,AF57,IF(AF56&gt;0,AF56,IF(AF55&gt;0,AF55,IF(AF54&gt;0,AF54,IF(AF53&gt;0,AF53,IF(AF52&gt;0,AF52,IF(AF50&gt;0,AF50,IF(AF49&gt;0,AF49,IF(AF48&gt;0,AF48,0)))))))))))),0)*(1-$S60)*'模拟-单技能数据'!$I$20</f>
        <v>0</v>
      </c>
      <c r="AK60" s="115" t="b">
        <f t="shared" ref="AK60:AK91" ca="1" si="57">C60="净世破魔击·日"</f>
        <v>0</v>
      </c>
      <c r="AL60" s="115" t="b">
        <f t="shared" ca="1" si="54"/>
        <v>0</v>
      </c>
      <c r="AM60" s="115">
        <f t="shared" ca="1" si="55"/>
        <v>4</v>
      </c>
      <c r="AN60" s="47">
        <f ca="1">IF(AK60,('模拟-单技能数据'!$D$21+G60*'模拟-单技能数据'!$F$21)*(1+J60)*(1+'模拟-单技能数据'!$J$21)*(1+U60),0)</f>
        <v>0</v>
      </c>
      <c r="AO60" s="61">
        <f ca="1">IF(AN60&gt;0,M60-'模拟-单技能数据'!$K$10,AO59)</f>
        <v>0.42185145527300216</v>
      </c>
      <c r="AP60" s="61">
        <f ca="1">IF(AN60&gt;0,I60-'模拟-单技能数据'!$L$10,AP59)</f>
        <v>2.162482885499879</v>
      </c>
      <c r="AQ60" s="63">
        <f t="shared" ca="1" si="28"/>
        <v>0.82966309814273431</v>
      </c>
      <c r="AR60" s="64">
        <f ca="1">IF(AL60,IF(AQ60&lt;$F$10,0,IF(AQ60&lt;$F$10+$F$11,0.25,IF(AQ60&lt;$F$10+$F$11+AO60,AP60,1)))*IF(AN60&gt;0,AN60,IF(AN59&gt;0,AN59,IF(AN58&gt;0,AN58,IF(AN57&gt;0,AN57,IF(AN56&gt;0,AN56,IF(AN55&gt;0,AN55,IF(AN54&gt;0,AN54,IF(AN53&gt;0,AN53,IF(AN52&gt;0,AN52,IF(AN50&gt;0,AN50,IF(AN49&gt;0,AN49,IF(AN48&gt;0,AN48,0)))))))))))),0)*(1-$S60)*'模拟-单技能数据'!$I$21</f>
        <v>0</v>
      </c>
      <c r="AS60" s="61">
        <f ca="1">IF(OR(C60="净世破魔击·日",C60="净世破魔击·月"),M60-'模拟-单技能数据'!$K$10,0)</f>
        <v>0</v>
      </c>
      <c r="AT60" s="61">
        <f ca="1">IF(OR(C60="净世破魔击·日",C60="净世破魔击·月"),I60-'模拟-单技能数据'!$L$10,0)</f>
        <v>0</v>
      </c>
      <c r="AU60" s="62">
        <f t="shared" ca="1" si="29"/>
        <v>0.35325352381195785</v>
      </c>
      <c r="AV60" s="64">
        <f ca="1">IF(AS60&gt;0,('模拟-单技能数据'!$D$22+G60*'模拟-单技能数据'!$F$22)*(1+J60)*(1-S60)*IF(AU60&lt;$F$10,0,IF(AU60&lt;$F$10+$F$11,0.25,IF(AU60&lt;$F$10+$F$11+AS60,AT60,1)))*(1+U60),0)*'模拟-单技能数据'!$I$22</f>
        <v>0</v>
      </c>
      <c r="AW60" s="108">
        <f t="shared" ca="1" si="30"/>
        <v>0</v>
      </c>
      <c r="AX60" s="108" t="b">
        <f ca="1">AND(模拟模式!$P$10="有",AW59=0,RAND()&lt;IF(C60="净世破魔击·月",0.1*8/3,IF(C60="净世破魔击·日",0.1*4/3,0.1*2/3)))</f>
        <v>0</v>
      </c>
      <c r="AY60" s="47">
        <f ca="1">IF(AX60,(18+G60*0.722)*(1+J60)*(1-S60)*(1+$I$4)*IF(P60="会",'模拟-全程加成'!$J$3+'模拟-全程加成'!$J$4+'模拟-全程加成'!$J$5+('模拟-全程加成'!$I$4+'模拟-全程加成'!$I$5)/系数!$B$4+BG60*10%,IF(P60="命",1,IF(P60="识",0.25,0))),0)</f>
        <v>0</v>
      </c>
      <c r="AZ60" s="108">
        <f t="shared" si="31"/>
        <v>9.8525000000000063</v>
      </c>
      <c r="BA60" s="108" t="b">
        <f>AND(模拟模式!$Q$10="有",AZ59=0)</f>
        <v>0</v>
      </c>
      <c r="BB60" s="140">
        <f>IF(BA60,(0+G60*0.287)*(1+J60)*(1-S60)*(1+$I$4)*IF(P60="会",'模拟-全程加成'!$J$3+'模拟-全程加成'!$J$4+'模拟-全程加成'!$J$5+('模拟-全程加成'!$I$4+'模拟-全程加成'!$I$5)/系数!$B$4+BG60*10%,IF(P60="命",1,IF(P60="识",0.25,0))),0)</f>
        <v>0</v>
      </c>
      <c r="BC60" s="115" t="b">
        <f ca="1">AND(模拟模式!$R$7="伏明众生",E60=60,F60=20,DA60&lt;5,CZ59&lt;$F$4)</f>
        <v>0</v>
      </c>
      <c r="BD60" s="115">
        <f t="shared" ref="BD60:BD91" ca="1" si="58">IF(BC60,6-$F$4,MAX(0,BD59-$F$4))</f>
        <v>0</v>
      </c>
      <c r="BE60" s="115" t="b">
        <f t="shared" ref="BE60:BE91" ca="1" si="59">AND(BD59&gt;0,BD59-$F$4&lt;0)</f>
        <v>0</v>
      </c>
      <c r="BF60" s="47">
        <f ca="1">IF(BC60,4*('模拟-单技能数据'!$D$24+G60*'模拟-单技能数据'!$F$24)*(1+J60)*(1+'模拟-单技能数据'!$J$24)*(1-S60)*(1+$I$3)*(('模拟-全程加成'!$J$3+'模拟-全程加成'!$J$4+'模拟-全程加成'!$J$5+('模拟-全程加成'!$I$4+'模拟-全程加成'!$I$5)/系数!$B$4+BG60*10%)*('模拟-全程加成'!$J$3+'模拟-全程加成'!$J$4+'模拟-全程加成'!$J$5+('模拟-全程加成'!$I$4+'模拟-全程加成'!$I$5)/系数!$B$4+BG60*10%)+(1-('模拟-全程加成'!$J$3+'模拟-全程加成'!$J$4+'模拟-全程加成'!$J$5+('模拟-全程加成'!$I$4+'模拟-全程加成'!$I$5)/系数!$B$4+BG60*10%)-$F$10-$F$11)+F46*0.25),0)*'模拟-单技能数据'!$I$24</f>
        <v>0</v>
      </c>
      <c r="BG60" s="115" t="b">
        <f ca="1">OR(AND(OR(C60="烈日斩",C60="银月斩"),模拟模式!$I$7="净身明礼"),AND(C60="净世破魔击·日",模拟模式!$J$7="洞若观火"),AND(C61="净世破魔击·月",模拟模式!$J$7="洞若观火"),AB60=1)</f>
        <v>1</v>
      </c>
      <c r="BH60" s="115" t="b">
        <f t="shared" ca="1" si="32"/>
        <v>0</v>
      </c>
      <c r="BI60" s="115">
        <f t="shared" ref="BI60:BI91" ca="1" si="60">IF(BH60,6,MAX(0,BI59-$F$4))</f>
        <v>0</v>
      </c>
      <c r="BJ60" s="115" t="b">
        <f t="shared" ca="1" si="33"/>
        <v>0</v>
      </c>
      <c r="BK60" s="115" t="b">
        <f ca="1">AND(C60="驱夜断愁",模拟模式!$P$7="天地诛戮")</f>
        <v>0</v>
      </c>
      <c r="BL60" s="57">
        <f t="shared" ref="BL60:BL91" ca="1" si="61">IF(BK60,20,MAX(0,BL59-$F$4))</f>
        <v>19.077500000000001</v>
      </c>
      <c r="BM60" s="115" t="b">
        <f t="shared" ca="1" si="34"/>
        <v>1</v>
      </c>
      <c r="BN60" s="115" t="b">
        <f ca="1">AND(OR(C60="赤日轮1",C60="赤日轮2",C60="赤日轮3",C60="幽月轮1",C60="幽月轮2",C60="幽月轮3"),AB60=1,模拟模式!$L$7="明光恒照")</f>
        <v>0</v>
      </c>
      <c r="BO60" s="117">
        <f t="shared" ref="BO60:BO91" ca="1" si="62">IF(BN60,30,MAX(0,BO59-$F$4))</f>
        <v>27.232500000000002</v>
      </c>
      <c r="BP60" s="115">
        <f t="shared" ca="1" si="35"/>
        <v>6</v>
      </c>
      <c r="BQ60" s="115" t="b">
        <f>模拟模式!$K$10="2600·水"</f>
        <v>0</v>
      </c>
      <c r="BR60" s="117">
        <f t="shared" si="36"/>
        <v>0</v>
      </c>
      <c r="BS60" s="115">
        <f t="shared" si="37"/>
        <v>0</v>
      </c>
      <c r="BT60" s="115">
        <f t="shared" ca="1" si="38"/>
        <v>0</v>
      </c>
      <c r="BU60" s="115" t="b">
        <f ca="1">AND(模拟模式!$K$10="2300·雷",BT59=0,RAND()&lt;IF(C60="净世破魔击·月",5*0.05*2/3,IF(C60="净世破魔击·日",3*0.05*2/3,0.05*2*2/3)))</f>
        <v>0</v>
      </c>
      <c r="BV60" s="115">
        <f t="shared" ca="1" si="39"/>
        <v>0</v>
      </c>
      <c r="BW60" s="115">
        <f t="shared" ca="1" si="40"/>
        <v>155.09249999999963</v>
      </c>
      <c r="BX60" s="164" t="b">
        <f t="shared" ca="1" si="41"/>
        <v>0</v>
      </c>
      <c r="BY60" s="115">
        <f t="shared" ca="1" si="42"/>
        <v>0</v>
      </c>
      <c r="BZ60" s="115">
        <f>IF(OR(模拟模式!$P$16="10人团",模拟模式!$P$16="25人团"),IF(B60/30&gt;CA59,1,0),0)</f>
        <v>0</v>
      </c>
      <c r="CA60" s="115">
        <f t="shared" si="8"/>
        <v>0</v>
      </c>
      <c r="CB60" s="115">
        <f ca="1">IF(BZ60=1,IF(模拟模式!$P$16="10人团",15,0)+IF(模拟模式!$P$16="25人团",IF(RAND()&lt;0.6,15,0)),MAX(0,CB59-$F$4))</f>
        <v>0</v>
      </c>
      <c r="CC60" s="115" t="b">
        <f t="shared" ca="1" si="43"/>
        <v>0</v>
      </c>
      <c r="CD60" s="115">
        <f>IF(模拟模式!$Q$16="1个",IF(B60/40&gt;CE59,1,0),0)</f>
        <v>0</v>
      </c>
      <c r="CE60" s="115">
        <f t="shared" si="44"/>
        <v>0</v>
      </c>
      <c r="CF60" s="115">
        <f>IF(OR(CD60=1,模拟模式!$Q$16="2个"),20,MAX(0,CF59-$F$4))</f>
        <v>0</v>
      </c>
      <c r="CG60" s="115" t="b">
        <f t="shared" si="45"/>
        <v>0</v>
      </c>
      <c r="CH60" s="115">
        <f t="shared" ca="1" si="46"/>
        <v>0.48000000000001186</v>
      </c>
      <c r="CI60" s="115" t="b">
        <f t="shared" ca="1" si="47"/>
        <v>0</v>
      </c>
      <c r="CJ60" s="119">
        <f t="shared" ca="1" si="48"/>
        <v>0</v>
      </c>
      <c r="CK60" s="115">
        <f t="shared" ca="1" si="49"/>
        <v>0</v>
      </c>
      <c r="CL60" s="115" t="b">
        <f ca="1">AND(模拟模式!$S$7="驱夷逐法",OR(AND(C60="净世破魔击·月",E59&gt;59),AND(C60="净世破魔击·日",F59&gt;59)))</f>
        <v>0</v>
      </c>
      <c r="CM60" s="115" t="b">
        <f ca="1">OR(CL60,AND(C60="净世破魔击·日",CL59,RAND()&lt;模拟模式!$U$23))</f>
        <v>0</v>
      </c>
      <c r="CN60" s="115" t="b">
        <f ca="1">IF(模拟模式!$M$7="辉耀红尘",AND(C60="净世破魔击·月",CL60,CV60=0,E59&lt;80),AND(C60="净世破魔击·月",CL60,E59&lt;100))</f>
        <v>0</v>
      </c>
      <c r="CO60" s="115" t="b">
        <f t="shared" ca="1" si="9"/>
        <v>0</v>
      </c>
      <c r="CP60" s="115" t="b">
        <f ca="1">AND(模拟模式!$O$7="用晦而明",OR(C60="净世破魔击·日",C60="净世破魔击·月",C60="驱夜断愁"),AB60)</f>
        <v>0</v>
      </c>
      <c r="CQ60" s="115" t="b">
        <f ca="1">OR(CP60,AND(CP59,RAND()&lt;模拟模式!$U$23))</f>
        <v>1</v>
      </c>
      <c r="CR60" s="115" t="b">
        <f ca="1">AND(模拟模式!$S$7="日月齐光",OR(C60="幽月轮1",C60="幽月轮2",C60="幽月轮3",CR59),NOT(OR(C60="赤日轮1",C60="赤日轮2",C60="赤日轮3")))</f>
        <v>0</v>
      </c>
      <c r="CS60" s="115" t="b">
        <f ca="1">AND(模拟模式!$S$7="日月齐光",OR(C60="赤日轮1",C60="赤日轮2",C60="赤日轮3",CS59),NOT(OR(C60="幽月轮1",C60="幽月轮2",C60="幽月轮3")))</f>
        <v>0</v>
      </c>
      <c r="CT60" s="115">
        <f t="shared" ca="1" si="50"/>
        <v>0</v>
      </c>
      <c r="CU60" s="115" t="b">
        <f ca="1">AND(模拟模式!$K$10="阴阳往极",CT59=0,RAND()&lt;IF(C60="净世破魔击·月",0.0275*7/3,IF(C60="净世破魔击·日",0.0275*3/3,0.0275*2/3)))</f>
        <v>0</v>
      </c>
      <c r="CV60" s="115">
        <f t="shared" ca="1" si="51"/>
        <v>0</v>
      </c>
      <c r="CW60" s="115">
        <f t="shared" ref="CW60:CW91" ca="1" si="63">MAX(IF($C60="烈日斩",6,CW59-$F$4),0)</f>
        <v>6</v>
      </c>
      <c r="CX60" s="115">
        <f t="shared" ref="CX60:CX91" ca="1" si="64">MAX(IF($C60="银月斩",6,CX59-$F$4),0)</f>
        <v>4.1549999999999994</v>
      </c>
      <c r="CY60" s="115">
        <f ca="1">MAX(IF($C60="驱夜断愁",IF(模拟模式!$R$7="万念俱寂",6,45),CY59-$F$4),0)</f>
        <v>5.0774999999999997</v>
      </c>
      <c r="CZ60" s="115">
        <f t="shared" ca="1" si="12"/>
        <v>0</v>
      </c>
      <c r="DA60" s="115">
        <f ca="1">IF(模拟模式!$N$7="日月同辉",IF(DB59=2,0,MIN(6,IF(AND(OR(C60="赤日轮1",C60="赤日轮2",C60="赤日轮3",C60="幽月轮1",C60="幽月轮2",C60="幽月轮3"),AB60=1),DA59+1,DA59))),0)</f>
        <v>2</v>
      </c>
      <c r="DB60" s="115">
        <f t="shared" ca="1" si="13"/>
        <v>0</v>
      </c>
      <c r="DD60" s="115"/>
      <c r="DE60" s="115"/>
      <c r="DF60" s="115"/>
      <c r="DG60" s="115"/>
      <c r="DH60" s="115"/>
      <c r="DI60" s="115"/>
      <c r="DJ60" s="115"/>
      <c r="DK60" s="115"/>
      <c r="DL60" s="115"/>
      <c r="DM60" s="115"/>
    </row>
    <row r="61" spans="2:117" x14ac:dyDescent="0.2">
      <c r="B61" s="117">
        <f t="shared" ref="B61:B92" si="65">B60+$F$4</f>
        <v>31.364999999999988</v>
      </c>
      <c r="C61" s="167" t="str">
        <f t="shared" ca="1" si="0"/>
        <v>幽月轮1</v>
      </c>
      <c r="D61" s="115">
        <f ca="1">IF(C61="赤日轮1",1,IF(C61="赤日轮2",2,IF(C61="赤日轮3",3,IF(C61="幽月轮1",4,IF(C61="幽月轮2",5,IF(C61="幽月轮3",6,IF(C61="烈日斩",7,IF(C61="银月斩",8,IF(C61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61="净世破魔击·月",17,IF(C61="驱夜断愁",18,0)))))))))))</f>
        <v>4</v>
      </c>
      <c r="E61" s="115">
        <f ca="1">IF(AND(CU61,OR(C61="幽月轮1",C61="幽月轮2",C61="幽月轮3",C61="银月斩",C61="驱夜断愁",C61="净世破魔击·月")),100,MIN(IF(OR(CN61,BE61),0,IF(OR($C61="赤日轮1",$C61="赤日轮2",$C61="赤日轮3"),E60+20+IF(模拟模式!$I$7="日月凌天",4,0)+IF(CR60,20,0),IF($C61="烈日斩",E60+40,IF($C61="驱夜断愁",IF(模拟模式!$R$7="万念俱寂",E60+20,E60+60),IF($C61="净世破魔击·月",IF(OR(DB60&gt;0,CV60&gt;0),100,IF(模拟模式!$M$7="辉耀红尘",E60+20,E60)),IF($C61="净世破魔击·日",E60-100,E60)))))),100))</f>
        <v>80</v>
      </c>
      <c r="F61" s="115">
        <f ca="1">IF(AND(CU61,OR(C61="赤日轮1",C61="赤日轮2",C61="赤日轮3",C61="烈日斩",C61="净世破魔击·日")),100,MIN(IF(CO61,0,IF(OR($C61="幽月轮1",$C61="幽月轮2",$C61="幽月轮3"),F60+20+IF(模拟模式!$I$7="日月凌天",4,0)+IF(CS60,20,0),IF($C61="银月斩",F60+40+IF(模拟模式!$X$12=1,5,0),IF($C61="驱夜断愁",IF(模拟模式!$R$7="万念俱寂",F60+20,F60+60),IF($C61="净世破魔击·月",IF(模拟模式!$M$7="辉耀红尘",F60-80,F60-100),IF(AND(C61="净世破魔击·日",OR(DB60&gt;0,CV60&gt;0)),100,F60)))))),100))</f>
        <v>100</v>
      </c>
      <c r="G61" s="117">
        <f ca="1">('模拟-全程加成'!$E$3+'模拟-全程加成'!$E$4+'模拟-全程加成'!$E$5+('模拟-全程加成'!$C$6-'模拟-全程加成'!$C$3)*系数!$B$9+BS61*23)*(1+'模拟-全程加成'!$F$4+'模拟-全程加成'!$F$5+BJ61*10%+BM61*20%+BP61*4%+CG61*30%)+$F$7*系数!$B$12</f>
        <v>20583.127400000001</v>
      </c>
      <c r="H61" s="45">
        <f ca="1">'模拟-全程加成'!$H$3+'模拟-全程加成'!$H$4+'模拟-全程加成'!$H$5+('模拟-全程加成'!$G$4+'模拟-全程加成'!$G$5+('模拟-全程加成'!$C$6-'模拟-全程加成'!$C$3)*系数!$B$13)/系数!$B$3+LOOKUP(D61,'模拟-单技能数据'!$A$2:$A$19,'模拟-单技能数据'!$K$2:$K$19)+BG61*10%+IF(BV61&gt;0,378,0)</f>
        <v>0.51185145527300213</v>
      </c>
      <c r="I61" s="45">
        <f ca="1">'模拟-全程加成'!$J$3+'模拟-全程加成'!$J$4+'模拟-全程加成'!$J$5+('模拟-全程加成'!$I$4+'模拟-全程加成'!$I$5)/系数!$B$4+LOOKUP(D61,'模拟-单技能数据'!$A$2:$A$19,'模拟-单技能数据'!$L$2:$L$19)+BG61*10%</f>
        <v>2.162482885499879</v>
      </c>
      <c r="J61" s="45">
        <f ca="1">(('模拟-全程加成'!$K$3+'模拟-全程加成'!$K$4+'模拟-全程加成'!$K$5+('模拟-全程加成'!$C$6-'模拟-全程加成'!$C$3)*系数!$B$10+IF(BV61&gt;0,882,0)+IF(BY61&gt;0,1831,0))*(1+'模拟-全程加成'!$L$4+'模拟-全程加成'!$L$5+CC61*20%))/系数!$B$5</f>
        <v>0.69723220422048726</v>
      </c>
      <c r="K61" s="119">
        <f ca="1">LOOKUP(D61,'模拟-单技能数据'!$A$2:$A$19,'模拟-单技能数据'!$J$2:$J$19)+IF(CM61,60%,0)+IF(DB60-DB61&gt;0,30%,0)+IF(OR(AND(OR(C61="赤日轮1",C61="赤日轮2",C61="赤日轮3"),CR61),AND(OR(C61="幽月轮1",C61="幽月轮2",C61="幽月轮3"),CS61)),35%,0)+CJ61</f>
        <v>7.0000000000000007E-2</v>
      </c>
      <c r="L61" s="119">
        <f ca="1">IF(AND(C61="烈日斩",模拟模式!$X$11=1),10%,0)+IF(AND(C61="驱夜断愁",AB61=1),30%,0)</f>
        <v>0</v>
      </c>
      <c r="M61" s="45">
        <f t="shared" ca="1" si="15"/>
        <v>0.51185145527300213</v>
      </c>
      <c r="N61" s="45">
        <f t="shared" ca="1" si="16"/>
        <v>0.43424854472699792</v>
      </c>
      <c r="O61" s="46">
        <f t="shared" ca="1" si="17"/>
        <v>0.60379510332848674</v>
      </c>
      <c r="P61" s="46" t="str">
        <f t="shared" ca="1" si="18"/>
        <v>命</v>
      </c>
      <c r="Q61" s="45">
        <f t="shared" ca="1" si="19"/>
        <v>1</v>
      </c>
      <c r="R61" s="117">
        <f ca="1">模拟模式!$E$20*(1-IF(模拟模式!$J$19="有",0.15,0))*(1-IF(模拟模式!$K$19="有",0.3,0)-IF(CQ61,0.5,0))</f>
        <v>2950.6049999999996</v>
      </c>
      <c r="S61" s="45">
        <f ca="1">R61/(R61+(185*模拟模式!$E$22-16800)*4.08224)</f>
        <v>0.24272716014590323</v>
      </c>
      <c r="T61" s="45" t="str">
        <f ca="1">LOOKUP(D61,'模拟-单技能数据'!$A$2:$A$19,'模拟-单技能数据'!$H$2:$H$19)</f>
        <v>阴</v>
      </c>
      <c r="U61" s="119">
        <f t="shared" ca="1" si="20"/>
        <v>0.08</v>
      </c>
      <c r="V61" s="47">
        <f ca="1">(1+L61)*(LOOKUP(D61,'模拟-单技能数据'!$A$2:$A$19,'模拟-单技能数据'!$D$2:$D$19)+G61*LOOKUP(D61,'模拟-单技能数据'!$A$2:$A$19,'模拟-单技能数据'!$F$2:$F$19))*(1+J61)*(1+K61)*(1-S61)*(1+U61)*Q61*LOOKUP(D61,'模拟-单技能数据'!$A$2:$A$19,'模拟-单技能数据'!$I$2:$I$20)</f>
        <v>16226.218300318291</v>
      </c>
      <c r="W61" s="47">
        <f ca="1">LOOKUP(D61,'模拟-单技能数据'!$A$2:$A$19,'模拟-单技能数据'!$G$2:$G$19)*$I$10</f>
        <v>361.51064354704795</v>
      </c>
      <c r="X61" s="47">
        <f t="shared" ca="1" si="21"/>
        <v>23242.954719083282</v>
      </c>
      <c r="Y61" s="47">
        <f t="shared" ca="1" si="22"/>
        <v>39830.683662948621</v>
      </c>
      <c r="Z61" s="49">
        <f t="shared" ca="1" si="23"/>
        <v>3288241.2106316984</v>
      </c>
      <c r="AA61" s="97">
        <f t="shared" ca="1" si="24"/>
        <v>104837.91521223338</v>
      </c>
      <c r="AB61" s="115">
        <f ca="1">IF(OR(C61="赤日轮1",C61="赤日轮2",C61="赤日轮3"),IF(RAND()&lt;模拟模式!$Y$17,1,0),IF(OR(C61="幽月轮1",C61="幽月轮2",C61="幽月轮3"),IF(RAND()&lt;模拟模式!$Y$18,1,0),IF(C61="烈日斩",IF(RAND()&lt;模拟模式!$Y$19,1,0),IF(C61="银月斩",IF(RAND()&lt;模拟模式!$Y$20,1,0),IF(C61="驱夜断愁",IF(RAND()&lt;模拟模式!$Y$21,1,0),IF(C61="净世破魔击·日",IF(RAND()&lt;模拟模式!$Y$22,1,0),IF(C61="净世破魔击·月",IF(RAND()&lt;模拟模式!$Y$23,1,0),0)))))))</f>
        <v>1</v>
      </c>
      <c r="AC61" s="115" t="b">
        <f t="shared" ca="1" si="56"/>
        <v>0</v>
      </c>
      <c r="AD61" s="115" t="b">
        <f t="shared" ca="1" si="52"/>
        <v>1</v>
      </c>
      <c r="AE61" s="115">
        <f t="shared" ca="1" si="53"/>
        <v>4</v>
      </c>
      <c r="AF61" s="47">
        <f ca="1">IF(AC61,('模拟-单技能数据'!$D$20+G61*'模拟-单技能数据'!$F$20)*(1+J61)*(1+'模拟-单技能数据'!$J$20)*(1+U61),0)</f>
        <v>0</v>
      </c>
      <c r="AG61" s="61">
        <f t="shared" ca="1" si="25"/>
        <v>0.64185145527300214</v>
      </c>
      <c r="AH61" s="61">
        <f t="shared" ca="1" si="26"/>
        <v>2.2624828854998791</v>
      </c>
      <c r="AI61" s="62">
        <f t="shared" ca="1" si="27"/>
        <v>0.74398591631065425</v>
      </c>
      <c r="AJ61" s="47">
        <f ca="1">IF(AD61,IF(AI61&lt;$F$10,0,IF(AI61&lt;$F$10+$F$11,0.25,IF(AI61&lt;$F$10+$F$11+AG61,AH61,1)))*IF(AF61&gt;0,AF61,IF(AF60&gt;0,AF60,IF(AF59&gt;0,AF59,IF(AF58&gt;0,AF58,IF(AF57&gt;0,AF57,IF(AF56&gt;0,AF56,IF(AF55&gt;0,AF55,IF(AF54&gt;0,AF54,IF(AF53&gt;0,AF53,IF(AF51&gt;0,AF51,IF(AF50&gt;0,AF50,IF(AF49&gt;0,AF49,0)))))))))))),0)*(1-$S61)*'模拟-单技能数据'!$I$20</f>
        <v>3368.2409654332282</v>
      </c>
      <c r="AK61" s="115" t="b">
        <f t="shared" ca="1" si="57"/>
        <v>0</v>
      </c>
      <c r="AL61" s="115" t="b">
        <f t="shared" ca="1" si="54"/>
        <v>1</v>
      </c>
      <c r="AM61" s="115">
        <f t="shared" ca="1" si="55"/>
        <v>3</v>
      </c>
      <c r="AN61" s="47">
        <f ca="1">IF(AK61,('模拟-单技能数据'!$D$21+G61*'模拟-单技能数据'!$F$21)*(1+J61)*(1+'模拟-单技能数据'!$J$21)*(1+U61),0)</f>
        <v>0</v>
      </c>
      <c r="AO61" s="61">
        <f ca="1">IF(AN61&gt;0,M61-'模拟-单技能数据'!$K$10,AO60)</f>
        <v>0.42185145527300216</v>
      </c>
      <c r="AP61" s="61">
        <f ca="1">IF(AN61&gt;0,I61-'模拟-单技能数据'!$L$10,AP60)</f>
        <v>2.162482885499879</v>
      </c>
      <c r="AQ61" s="63">
        <f t="shared" ca="1" si="28"/>
        <v>0.41166140392085604</v>
      </c>
      <c r="AR61" s="64">
        <f ca="1">IF(AL61,IF(AQ61&lt;$F$10,0,IF(AQ61&lt;$F$10+$F$11,0.25,IF(AQ61&lt;$F$10+$F$11+AO61,AP61,1)))*IF(AN61&gt;0,AN61,IF(AN60&gt;0,AN60,IF(AN59&gt;0,AN59,IF(AN58&gt;0,AN58,IF(AN57&gt;0,AN57,IF(AN56&gt;0,AN56,IF(AN55&gt;0,AN55,IF(AN54&gt;0,AN54,IF(AN53&gt;0,AN53,IF(AN51&gt;0,AN51,IF(AN50&gt;0,AN50,IF(AN49&gt;0,AN49,0)))))))))))),0)*(1-$S61)*'模拟-单技能数据'!$I$21</f>
        <v>19874.713753650052</v>
      </c>
      <c r="AS61" s="61">
        <f ca="1">IF(OR(C61="净世破魔击·日",C61="净世破魔击·月"),M61-'模拟-单技能数据'!$K$10,0)</f>
        <v>0</v>
      </c>
      <c r="AT61" s="61">
        <f ca="1">IF(OR(C61="净世破魔击·日",C61="净世破魔击·月"),I61-'模拟-单技能数据'!$L$10,0)</f>
        <v>0</v>
      </c>
      <c r="AU61" s="62">
        <f t="shared" ca="1" si="29"/>
        <v>0.68760150276765408</v>
      </c>
      <c r="AV61" s="64">
        <f ca="1">IF(AS61&gt;0,('模拟-单技能数据'!$D$22+G61*'模拟-单技能数据'!$F$22)*(1+J61)*(1-S61)*IF(AU61&lt;$F$10,0,IF(AU61&lt;$F$10+$F$11,0.25,IF(AU61&lt;$F$10+$F$11+AS61,AT61,1)))*(1+U61),0)*'模拟-单技能数据'!$I$22</f>
        <v>0</v>
      </c>
      <c r="AW61" s="108">
        <f t="shared" ca="1" si="30"/>
        <v>0</v>
      </c>
      <c r="AX61" s="108" t="b">
        <f ca="1">AND(模拟模式!$P$10="有",AW60=0,RAND()&lt;IF(C61="净世破魔击·月",0.1*8/3,IF(C61="净世破魔击·日",0.1*4/3,0.1*2/3)))</f>
        <v>0</v>
      </c>
      <c r="AY61" s="47">
        <f ca="1">IF(AX61,(18+G61*0.722)*(1+J61)*(1-S61)*(1+$I$4)*IF(P61="会",'模拟-全程加成'!$J$3+'模拟-全程加成'!$J$4+'模拟-全程加成'!$J$5+('模拟-全程加成'!$I$4+'模拟-全程加成'!$I$5)/系数!$B$4+BG61*10%,IF(P61="命",1,IF(P61="识",0.25,0))),0)</f>
        <v>0</v>
      </c>
      <c r="AZ61" s="108">
        <f t="shared" si="31"/>
        <v>8.9300000000000068</v>
      </c>
      <c r="BA61" s="108" t="b">
        <f>AND(模拟模式!$Q$10="有",AZ60=0)</f>
        <v>0</v>
      </c>
      <c r="BB61" s="140">
        <f>IF(BA61,(0+G61*0.287)*(1+J61)*(1-S61)*(1+$I$4)*IF(P61="会",'模拟-全程加成'!$J$3+'模拟-全程加成'!$J$4+'模拟-全程加成'!$J$5+('模拟-全程加成'!$I$4+'模拟-全程加成'!$I$5)/系数!$B$4+BG61*10%,IF(P61="命",1,IF(P61="识",0.25,0))),0)</f>
        <v>0</v>
      </c>
      <c r="BC61" s="115" t="b">
        <f ca="1">AND(模拟模式!$R$7="伏明众生",E61=60,F61=20,DA61&lt;5,CZ60&lt;$F$4)</f>
        <v>0</v>
      </c>
      <c r="BD61" s="115">
        <f t="shared" ca="1" si="58"/>
        <v>0</v>
      </c>
      <c r="BE61" s="115" t="b">
        <f t="shared" ca="1" si="59"/>
        <v>0</v>
      </c>
      <c r="BF61" s="47">
        <f ca="1">IF(BC61,4*('模拟-单技能数据'!$D$24+G61*'模拟-单技能数据'!$F$24)*(1+J61)*(1+'模拟-单技能数据'!$J$24)*(1-S61)*(1+$I$3)*(('模拟-全程加成'!$J$3+'模拟-全程加成'!$J$4+'模拟-全程加成'!$J$5+('模拟-全程加成'!$I$4+'模拟-全程加成'!$I$5)/系数!$B$4+BG61*10%)*('模拟-全程加成'!$J$3+'模拟-全程加成'!$J$4+'模拟-全程加成'!$J$5+('模拟-全程加成'!$I$4+'模拟-全程加成'!$I$5)/系数!$B$4+BG61*10%)+(1-('模拟-全程加成'!$J$3+'模拟-全程加成'!$J$4+'模拟-全程加成'!$J$5+('模拟-全程加成'!$I$4+'模拟-全程加成'!$I$5)/系数!$B$4+BG61*10%)-$F$10-$F$11)+F47*0.25),0)*'模拟-单技能数据'!$I$24</f>
        <v>0</v>
      </c>
      <c r="BG61" s="115" t="b">
        <f ca="1">OR(AND(OR(C61="烈日斩",C61="银月斩"),模拟模式!$I$7="净身明礼"),AND(C61="净世破魔击·日",模拟模式!$J$7="洞若观火"),AND(C62="净世破魔击·月",模拟模式!$J$7="洞若观火"),AB61=1)</f>
        <v>1</v>
      </c>
      <c r="BH61" s="115" t="b">
        <f t="shared" ca="1" si="32"/>
        <v>0</v>
      </c>
      <c r="BI61" s="115">
        <f t="shared" ca="1" si="60"/>
        <v>0</v>
      </c>
      <c r="BJ61" s="115" t="b">
        <f t="shared" ca="1" si="33"/>
        <v>0</v>
      </c>
      <c r="BK61" s="115" t="b">
        <f ca="1">AND(C61="驱夜断愁",模拟模式!$P$7="天地诛戮")</f>
        <v>0</v>
      </c>
      <c r="BL61" s="57">
        <f t="shared" ca="1" si="61"/>
        <v>18.155000000000001</v>
      </c>
      <c r="BM61" s="115" t="b">
        <f t="shared" ca="1" si="34"/>
        <v>1</v>
      </c>
      <c r="BN61" s="115" t="b">
        <f ca="1">AND(OR(C61="赤日轮1",C61="赤日轮2",C61="赤日轮3",C61="幽月轮1",C61="幽月轮2",C61="幽月轮3"),AB61=1,模拟模式!$L$7="明光恒照")</f>
        <v>1</v>
      </c>
      <c r="BO61" s="117">
        <f t="shared" ca="1" si="62"/>
        <v>30</v>
      </c>
      <c r="BP61" s="115">
        <f t="shared" ca="1" si="35"/>
        <v>6</v>
      </c>
      <c r="BQ61" s="115" t="b">
        <f>模拟模式!$K$10="2600·水"</f>
        <v>0</v>
      </c>
      <c r="BR61" s="117">
        <f t="shared" si="36"/>
        <v>0</v>
      </c>
      <c r="BS61" s="115">
        <f t="shared" si="37"/>
        <v>0</v>
      </c>
      <c r="BT61" s="115">
        <f t="shared" ca="1" si="38"/>
        <v>0</v>
      </c>
      <c r="BU61" s="115" t="b">
        <f ca="1">AND(模拟模式!$K$10="2300·雷",BT60=0,RAND()&lt;IF(C61="净世破魔击·月",5*0.05*2/3,IF(C61="净世破魔击·日",3*0.05*2/3,0.05*2*2/3)))</f>
        <v>0</v>
      </c>
      <c r="BV61" s="115">
        <f t="shared" ca="1" si="39"/>
        <v>0</v>
      </c>
      <c r="BW61" s="115">
        <f t="shared" ca="1" si="40"/>
        <v>154.16999999999962</v>
      </c>
      <c r="BX61" s="164" t="b">
        <f t="shared" ca="1" si="41"/>
        <v>0</v>
      </c>
      <c r="BY61" s="115">
        <f t="shared" ca="1" si="42"/>
        <v>0</v>
      </c>
      <c r="BZ61" s="115">
        <f>IF(OR(模拟模式!$P$16="10人团",模拟模式!$P$16="25人团"),IF(B61/30&gt;CA60,1,0),0)</f>
        <v>0</v>
      </c>
      <c r="CA61" s="115">
        <f t="shared" si="8"/>
        <v>0</v>
      </c>
      <c r="CB61" s="115">
        <f ca="1">IF(BZ61=1,IF(模拟模式!$P$16="10人团",15,0)+IF(模拟模式!$P$16="25人团",IF(RAND()&lt;0.6,15,0)),MAX(0,CB60-$F$4))</f>
        <v>0</v>
      </c>
      <c r="CC61" s="115" t="b">
        <f t="shared" ca="1" si="43"/>
        <v>0</v>
      </c>
      <c r="CD61" s="115">
        <f>IF(模拟模式!$Q$16="1个",IF(B61/40&gt;CE60,1,0),0)</f>
        <v>0</v>
      </c>
      <c r="CE61" s="115">
        <f t="shared" si="44"/>
        <v>0</v>
      </c>
      <c r="CF61" s="115">
        <f>IF(OR(CD61=1,模拟模式!$Q$16="2个"),20,MAX(0,CF60-$F$4))</f>
        <v>0</v>
      </c>
      <c r="CG61" s="115" t="b">
        <f t="shared" si="45"/>
        <v>0</v>
      </c>
      <c r="CH61" s="115">
        <f t="shared" ca="1" si="46"/>
        <v>0</v>
      </c>
      <c r="CI61" s="115" t="b">
        <f t="shared" ca="1" si="47"/>
        <v>0</v>
      </c>
      <c r="CJ61" s="119">
        <f t="shared" ca="1" si="48"/>
        <v>0</v>
      </c>
      <c r="CK61" s="115">
        <f t="shared" ca="1" si="49"/>
        <v>0</v>
      </c>
      <c r="CL61" s="115" t="b">
        <f ca="1">AND(模拟模式!$S$7="驱夷逐法",OR(AND(C61="净世破魔击·月",E60&gt;59),AND(C61="净世破魔击·日",F60&gt;59)))</f>
        <v>0</v>
      </c>
      <c r="CM61" s="115" t="b">
        <f ca="1">OR(CL61,AND(C61="净世破魔击·日",CL60,RAND()&lt;模拟模式!$U$23))</f>
        <v>0</v>
      </c>
      <c r="CN61" s="115" t="b">
        <f ca="1">IF(模拟模式!$M$7="辉耀红尘",AND(C61="净世破魔击·月",CL61,CV61=0,E60&lt;80),AND(C61="净世破魔击·月",CL61,E60&lt;100))</f>
        <v>0</v>
      </c>
      <c r="CO61" s="115" t="b">
        <f t="shared" ca="1" si="9"/>
        <v>0</v>
      </c>
      <c r="CP61" s="115" t="b">
        <f ca="1">AND(模拟模式!$O$7="用晦而明",OR(C61="净世破魔击·日",C61="净世破魔击·月",C61="驱夜断愁"),AB61)</f>
        <v>0</v>
      </c>
      <c r="CQ61" s="115" t="b">
        <f ca="1">OR(CP61,AND(CP60,RAND()&lt;模拟模式!$U$23))</f>
        <v>0</v>
      </c>
      <c r="CR61" s="115" t="b">
        <f ca="1">AND(模拟模式!$S$7="日月齐光",OR(C61="幽月轮1",C61="幽月轮2",C61="幽月轮3",CR60),NOT(OR(C61="赤日轮1",C61="赤日轮2",C61="赤日轮3")))</f>
        <v>0</v>
      </c>
      <c r="CS61" s="115" t="b">
        <f ca="1">AND(模拟模式!$S$7="日月齐光",OR(C61="赤日轮1",C61="赤日轮2",C61="赤日轮3",CS60),NOT(OR(C61="幽月轮1",C61="幽月轮2",C61="幽月轮3")))</f>
        <v>0</v>
      </c>
      <c r="CT61" s="115">
        <f t="shared" ca="1" si="50"/>
        <v>0</v>
      </c>
      <c r="CU61" s="115" t="b">
        <f ca="1">AND(模拟模式!$K$10="阴阳往极",CT60=0,RAND()&lt;IF(C61="净世破魔击·月",0.0275*7/3,IF(C61="净世破魔击·日",0.0275*3/3,0.0275*2/3)))</f>
        <v>0</v>
      </c>
      <c r="CV61" s="115">
        <f t="shared" ca="1" si="51"/>
        <v>0</v>
      </c>
      <c r="CW61" s="115">
        <f t="shared" ca="1" si="63"/>
        <v>5.0774999999999997</v>
      </c>
      <c r="CX61" s="115">
        <f t="shared" ca="1" si="64"/>
        <v>3.2324999999999995</v>
      </c>
      <c r="CY61" s="115">
        <f ca="1">MAX(IF($C61="驱夜断愁",IF(模拟模式!$R$7="万念俱寂",6,45),CY60-$F$4),0)</f>
        <v>4.1549999999999994</v>
      </c>
      <c r="CZ61" s="115">
        <f t="shared" ca="1" si="12"/>
        <v>0</v>
      </c>
      <c r="DA61" s="115">
        <f ca="1">IF(模拟模式!$N$7="日月同辉",IF(DB60=2,0,MIN(6,IF(AND(OR(C61="赤日轮1",C61="赤日轮2",C61="赤日轮3",C61="幽月轮1",C61="幽月轮2",C61="幽月轮3"),AB61=1),DA60+1,DA60))),0)</f>
        <v>3</v>
      </c>
      <c r="DB61" s="115">
        <f t="shared" ca="1" si="13"/>
        <v>0</v>
      </c>
      <c r="DD61" s="115"/>
      <c r="DE61" s="115"/>
      <c r="DF61" s="115"/>
      <c r="DG61" s="115"/>
      <c r="DH61" s="115"/>
      <c r="DI61" s="115"/>
      <c r="DJ61" s="115"/>
      <c r="DK61" s="115"/>
      <c r="DL61" s="115"/>
      <c r="DM61" s="115"/>
    </row>
    <row r="62" spans="2:117" x14ac:dyDescent="0.2">
      <c r="B62" s="117">
        <f t="shared" si="65"/>
        <v>32.287499999999987</v>
      </c>
      <c r="C62" s="167" t="str">
        <f t="shared" ca="1" si="0"/>
        <v>净世破魔击·月</v>
      </c>
      <c r="D62" s="115">
        <f ca="1">IF(C62="赤日轮1",1,IF(C62="赤日轮2",2,IF(C62="赤日轮3",3,IF(C62="幽月轮1",4,IF(C62="幽月轮2",5,IF(C62="幽月轮3",6,IF(C62="烈日斩",7,IF(C62="银月斩",8,IF(C62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62="净世破魔击·月",17,IF(C62="驱夜断愁",18,0)))))))))))</f>
        <v>17</v>
      </c>
      <c r="E62" s="115">
        <f ca="1">IF(AND(CU62,OR(C62="幽月轮1",C62="幽月轮2",C62="幽月轮3",C62="银月斩",C62="驱夜断愁",C62="净世破魔击·月")),100,MIN(IF(OR(CN62,BE62),0,IF(OR($C62="赤日轮1",$C62="赤日轮2",$C62="赤日轮3"),E61+20+IF(模拟模式!$I$7="日月凌天",4,0)+IF(CR61,20,0),IF($C62="烈日斩",E61+40,IF($C62="驱夜断愁",IF(模拟模式!$R$7="万念俱寂",E61+20,E61+60),IF($C62="净世破魔击·月",IF(OR(DB61&gt;0,CV61&gt;0),100,IF(模拟模式!$M$7="辉耀红尘",E61+20,E61)),IF($C62="净世破魔击·日",E61-100,E61)))))),100))</f>
        <v>100</v>
      </c>
      <c r="F62" s="115">
        <f ca="1">IF(AND(CU62,OR(C62="赤日轮1",C62="赤日轮2",C62="赤日轮3",C62="烈日斩",C62="净世破魔击·日")),100,MIN(IF(CO62,0,IF(OR($C62="幽月轮1",$C62="幽月轮2",$C62="幽月轮3"),F61+20+IF(模拟模式!$I$7="日月凌天",4,0)+IF(CS61,20,0),IF($C62="银月斩",F61+40+IF(模拟模式!$X$12=1,5,0),IF($C62="驱夜断愁",IF(模拟模式!$R$7="万念俱寂",F61+20,F61+60),IF($C62="净世破魔击·月",IF(模拟模式!$M$7="辉耀红尘",F61-80,F61-100),IF(AND(C62="净世破魔击·日",OR(DB61&gt;0,CV61&gt;0)),100,F61)))))),100))</f>
        <v>20</v>
      </c>
      <c r="G62" s="117">
        <f ca="1">('模拟-全程加成'!$E$3+'模拟-全程加成'!$E$4+'模拟-全程加成'!$E$5+('模拟-全程加成'!$C$6-'模拟-全程加成'!$C$3)*系数!$B$9+BS62*23)*(1+'模拟-全程加成'!$F$4+'模拟-全程加成'!$F$5+BJ62*10%+BM62*20%+BP62*4%+CG62*30%)+$F$7*系数!$B$12</f>
        <v>21493.829400000002</v>
      </c>
      <c r="H62" s="45">
        <f ca="1">'模拟-全程加成'!$H$3+'模拟-全程加成'!$H$4+'模拟-全程加成'!$H$5+('模拟-全程加成'!$G$4+'模拟-全程加成'!$G$5+('模拟-全程加成'!$C$6-'模拟-全程加成'!$C$3)*系数!$B$13)/系数!$B$3+LOOKUP(D62,'模拟-单技能数据'!$A$2:$A$19,'模拟-单技能数据'!$K$2:$K$19)+BG62*10%+IF(BV62&gt;0,378,0)</f>
        <v>0.54185145527300216</v>
      </c>
      <c r="I62" s="45">
        <f ca="1">'模拟-全程加成'!$J$3+'模拟-全程加成'!$J$4+'模拟-全程加成'!$J$5+('模拟-全程加成'!$I$4+'模拟-全程加成'!$I$5)/系数!$B$4+LOOKUP(D62,'模拟-单技能数据'!$A$2:$A$19,'模拟-单技能数据'!$L$2:$L$19)+BG62*10%</f>
        <v>2.162482885499879</v>
      </c>
      <c r="J62" s="45">
        <f ca="1">(('模拟-全程加成'!$K$3+'模拟-全程加成'!$K$4+'模拟-全程加成'!$K$5+('模拟-全程加成'!$C$6-'模拟-全程加成'!$C$3)*系数!$B$10+IF(BV62&gt;0,882,0)+IF(BY62&gt;0,1831,0))*(1+'模拟-全程加成'!$L$4+'模拟-全程加成'!$L$5+CC62*20%))/系数!$B$5</f>
        <v>0.69723220422048726</v>
      </c>
      <c r="K62" s="119">
        <f ca="1">LOOKUP(D62,'模拟-单技能数据'!$A$2:$A$19,'模拟-单技能数据'!$J$2:$J$19)+IF(CM62,60%,0)+IF(DB61-DB62&gt;0,30%,0)+IF(OR(AND(OR(C62="赤日轮1",C62="赤日轮2",C62="赤日轮3"),CR62),AND(OR(C62="幽月轮1",C62="幽月轮2",C62="幽月轮3"),CS62)),35%,0)+CJ62</f>
        <v>0.8</v>
      </c>
      <c r="L62" s="119">
        <f ca="1">IF(AND(C62="烈日斩",模拟模式!$X$11=1),10%,0)+IF(AND(C62="驱夜断愁",AB62=1),30%,0)</f>
        <v>0</v>
      </c>
      <c r="M62" s="45">
        <f t="shared" ca="1" si="15"/>
        <v>0.54185145527300216</v>
      </c>
      <c r="N62" s="45">
        <f t="shared" ca="1" si="16"/>
        <v>0.40424854472699789</v>
      </c>
      <c r="O62" s="46">
        <f t="shared" ca="1" si="17"/>
        <v>0.27518600683807681</v>
      </c>
      <c r="P62" s="46" t="str">
        <f t="shared" ca="1" si="18"/>
        <v>会</v>
      </c>
      <c r="Q62" s="45">
        <f t="shared" ca="1" si="19"/>
        <v>2.162482885499879</v>
      </c>
      <c r="R62" s="117">
        <f ca="1">模拟模式!$E$20*(1-IF(模拟模式!$J$19="有",0.15,0))*(1-IF(模拟模式!$K$19="有",0.3,0)-IF(CQ62,0.5,0))</f>
        <v>843.02999999999975</v>
      </c>
      <c r="S62" s="45">
        <f ca="1">R62/(R62+(185*模拟模式!$E$22-16800)*4.08224)</f>
        <v>8.389626085980037E-2</v>
      </c>
      <c r="T62" s="45" t="str">
        <f ca="1">LOOKUP(D62,'模拟-单技能数据'!$A$2:$A$19,'模拟-单技能数据'!$H$2:$H$19)</f>
        <v>阴</v>
      </c>
      <c r="U62" s="119">
        <f t="shared" ca="1" si="20"/>
        <v>0.08</v>
      </c>
      <c r="V62" s="47">
        <f ca="1">(1+L62)*(LOOKUP(D62,'模拟-单技能数据'!$A$2:$A$19,'模拟-单技能数据'!$D$2:$D$19)+G62*LOOKUP(D62,'模拟-单技能数据'!$A$2:$A$19,'模拟-单技能数据'!$F$2:$F$19))*(1+J62)*(1+K62)*(1-S62)*(1+U62)*Q62*LOOKUP(D62,'模拟-单技能数据'!$A$2:$A$19,'模拟-单技能数据'!$I$2:$I$20)</f>
        <v>182541.2211190153</v>
      </c>
      <c r="W62" s="47">
        <f ca="1">LOOKUP(D62,'模拟-单技能数据'!$A$2:$A$19,'模拟-单技能数据'!$G$2:$G$19)*$I$10</f>
        <v>361.51064354704795</v>
      </c>
      <c r="X62" s="47">
        <f t="shared" ca="1" si="21"/>
        <v>17205.169596245785</v>
      </c>
      <c r="Y62" s="47">
        <f t="shared" ca="1" si="22"/>
        <v>200107.90135880813</v>
      </c>
      <c r="Z62" s="49">
        <f t="shared" ca="1" si="23"/>
        <v>3488349.1119905063</v>
      </c>
      <c r="AA62" s="97">
        <f t="shared" ca="1" si="24"/>
        <v>108040.23575657787</v>
      </c>
      <c r="AB62" s="115">
        <f ca="1">IF(OR(C62="赤日轮1",C62="赤日轮2",C62="赤日轮3"),IF(RAND()&lt;模拟模式!$Y$17,1,0),IF(OR(C62="幽月轮1",C62="幽月轮2",C62="幽月轮3"),IF(RAND()&lt;模拟模式!$Y$18,1,0),IF(C62="烈日斩",IF(RAND()&lt;模拟模式!$Y$19,1,0),IF(C62="银月斩",IF(RAND()&lt;模拟模式!$Y$20,1,0),IF(C62="驱夜断愁",IF(RAND()&lt;模拟模式!$Y$21,1,0),IF(C62="净世破魔击·日",IF(RAND()&lt;模拟模式!$Y$22,1,0),IF(C62="净世破魔击·月",IF(RAND()&lt;模拟模式!$Y$23,1,0),0)))))))</f>
        <v>1</v>
      </c>
      <c r="AC62" s="115" t="b">
        <f t="shared" ca="1" si="56"/>
        <v>0</v>
      </c>
      <c r="AD62" s="115" t="b">
        <f t="shared" ca="1" si="52"/>
        <v>0</v>
      </c>
      <c r="AE62" s="115">
        <f t="shared" ca="1" si="53"/>
        <v>4</v>
      </c>
      <c r="AF62" s="47">
        <f ca="1">IF(AC62,('模拟-单技能数据'!$D$20+G62*'模拟-单技能数据'!$F$20)*(1+J62)*(1+'模拟-单技能数据'!$J$20)*(1+U62),0)</f>
        <v>0</v>
      </c>
      <c r="AG62" s="61">
        <f t="shared" ca="1" si="25"/>
        <v>0.64185145527300214</v>
      </c>
      <c r="AH62" s="61">
        <f t="shared" ca="1" si="26"/>
        <v>2.2624828854998791</v>
      </c>
      <c r="AI62" s="62">
        <f t="shared" ca="1" si="27"/>
        <v>0.54655117862969116</v>
      </c>
      <c r="AJ62" s="47">
        <f ca="1">IF(AD62,IF(AI62&lt;$F$10,0,IF(AI62&lt;$F$10+$F$11,0.25,IF(AI62&lt;$F$10+$F$11+AG62,AH62,1)))*IF(AF62&gt;0,AF62,IF(AF61&gt;0,AF61,IF(AF60&gt;0,AF60,IF(AF59&gt;0,AF59,IF(AF58&gt;0,AF58,IF(AF57&gt;0,AF57,IF(AF56&gt;0,AF56,IF(AF55&gt;0,AF55,IF(AF54&gt;0,AF54,IF(AF52&gt;0,AF52,IF(AF51&gt;0,AF51,IF(AF50&gt;0,AF50,0)))))))))))),0)*(1-$S62)*'模拟-单技能数据'!$I$20</f>
        <v>0</v>
      </c>
      <c r="AK62" s="115" t="b">
        <f t="shared" ca="1" si="57"/>
        <v>0</v>
      </c>
      <c r="AL62" s="115" t="b">
        <f t="shared" ca="1" si="54"/>
        <v>0</v>
      </c>
      <c r="AM62" s="115">
        <f t="shared" ca="1" si="55"/>
        <v>3</v>
      </c>
      <c r="AN62" s="47">
        <f ca="1">IF(AK62,('模拟-单技能数据'!$D$21+G62*'模拟-单技能数据'!$F$21)*(1+J62)*(1+'模拟-单技能数据'!$J$21)*(1+U62),0)</f>
        <v>0</v>
      </c>
      <c r="AO62" s="61">
        <f ca="1">IF(AN62&gt;0,M62-'模拟-单技能数据'!$K$10,AO61)</f>
        <v>0.42185145527300216</v>
      </c>
      <c r="AP62" s="61">
        <f ca="1">IF(AN62&gt;0,I62-'模拟-单技能数据'!$L$10,AP61)</f>
        <v>2.162482885499879</v>
      </c>
      <c r="AQ62" s="63">
        <f t="shared" ca="1" si="28"/>
        <v>0.2667855185529483</v>
      </c>
      <c r="AR62" s="64">
        <f ca="1">IF(AL62,IF(AQ62&lt;$F$10,0,IF(AQ62&lt;$F$10+$F$11,0.25,IF(AQ62&lt;$F$10+$F$11+AO62,AP62,1)))*IF(AN62&gt;0,AN62,IF(AN61&gt;0,AN61,IF(AN60&gt;0,AN60,IF(AN59&gt;0,AN59,IF(AN58&gt;0,AN58,IF(AN57&gt;0,AN57,IF(AN56&gt;0,AN56,IF(AN55&gt;0,AN55,IF(AN54&gt;0,AN54,IF(AN52&gt;0,AN52,IF(AN51&gt;0,AN51,IF(AN50&gt;0,AN50,0)))))))))))),0)*(1-$S62)*'模拟-单技能数据'!$I$21</f>
        <v>0</v>
      </c>
      <c r="AS62" s="61">
        <f ca="1">IF(OR(C62="净世破魔击·日",C62="净世破魔击·月"),M62-'模拟-单技能数据'!$K$10,0)</f>
        <v>0.42185145527300216</v>
      </c>
      <c r="AT62" s="61">
        <f ca="1">IF(OR(C62="净世破魔击·日",C62="净世破魔击·月"),I62-'模拟-单技能数据'!$L$10,0)</f>
        <v>2.162482885499879</v>
      </c>
      <c r="AU62" s="62">
        <f t="shared" ca="1" si="29"/>
        <v>0.11071241341834892</v>
      </c>
      <c r="AV62" s="64">
        <f ca="1">IF(AS62&gt;0,('模拟-单技能数据'!$D$22+G62*'模拟-单技能数据'!$F$22)*(1+J62)*(1-S62)*IF(AU62&lt;$F$10,0,IF(AU62&lt;$F$10+$F$11,0.25,IF(AU62&lt;$F$10+$F$11+AS62,AT62,1)))*(1+U62),0)*'模拟-单技能数据'!$I$22</f>
        <v>17205.169596245785</v>
      </c>
      <c r="AW62" s="108">
        <f t="shared" ca="1" si="30"/>
        <v>0</v>
      </c>
      <c r="AX62" s="108" t="b">
        <f ca="1">AND(模拟模式!$P$10="有",AW61=0,RAND()&lt;IF(C62="净世破魔击·月",0.1*8/3,IF(C62="净世破魔击·日",0.1*4/3,0.1*2/3)))</f>
        <v>0</v>
      </c>
      <c r="AY62" s="47">
        <f ca="1">IF(AX62,(18+G62*0.722)*(1+J62)*(1-S62)*(1+$I$4)*IF(P62="会",'模拟-全程加成'!$J$3+'模拟-全程加成'!$J$4+'模拟-全程加成'!$J$5+('模拟-全程加成'!$I$4+'模拟-全程加成'!$I$5)/系数!$B$4+BG62*10%,IF(P62="命",1,IF(P62="识",0.25,0))),0)</f>
        <v>0</v>
      </c>
      <c r="AZ62" s="108">
        <f t="shared" si="31"/>
        <v>8.0075000000000074</v>
      </c>
      <c r="BA62" s="108" t="b">
        <f>AND(模拟模式!$Q$10="有",AZ61=0)</f>
        <v>0</v>
      </c>
      <c r="BB62" s="140">
        <f>IF(BA62,(0+G62*0.287)*(1+J62)*(1-S62)*(1+$I$4)*IF(P62="会",'模拟-全程加成'!$J$3+'模拟-全程加成'!$J$4+'模拟-全程加成'!$J$5+('模拟-全程加成'!$I$4+'模拟-全程加成'!$I$5)/系数!$B$4+BG62*10%,IF(P62="命",1,IF(P62="识",0.25,0))),0)</f>
        <v>0</v>
      </c>
      <c r="BC62" s="115" t="b">
        <f ca="1">AND(模拟模式!$R$7="伏明众生",E62=60,F62=20,DA62&lt;5,CZ61&lt;$F$4)</f>
        <v>0</v>
      </c>
      <c r="BD62" s="115">
        <f t="shared" ca="1" si="58"/>
        <v>0</v>
      </c>
      <c r="BE62" s="115" t="b">
        <f t="shared" ca="1" si="59"/>
        <v>0</v>
      </c>
      <c r="BF62" s="47">
        <f ca="1">IF(BC62,4*('模拟-单技能数据'!$D$24+G62*'模拟-单技能数据'!$F$24)*(1+J62)*(1+'模拟-单技能数据'!$J$24)*(1-S62)*(1+$I$3)*(('模拟-全程加成'!$J$3+'模拟-全程加成'!$J$4+'模拟-全程加成'!$J$5+('模拟-全程加成'!$I$4+'模拟-全程加成'!$I$5)/系数!$B$4+BG62*10%)*('模拟-全程加成'!$J$3+'模拟-全程加成'!$J$4+'模拟-全程加成'!$J$5+('模拟-全程加成'!$I$4+'模拟-全程加成'!$I$5)/系数!$B$4+BG62*10%)+(1-('模拟-全程加成'!$J$3+'模拟-全程加成'!$J$4+'模拟-全程加成'!$J$5+('模拟-全程加成'!$I$4+'模拟-全程加成'!$I$5)/系数!$B$4+BG62*10%)-$F$10-$F$11)+F48*0.25),0)*'模拟-单技能数据'!$I$24</f>
        <v>0</v>
      </c>
      <c r="BG62" s="115" t="b">
        <f ca="1">OR(AND(OR(C62="烈日斩",C62="银月斩"),模拟模式!$I$7="净身明礼"),AND(C62="净世破魔击·日",模拟模式!$J$7="洞若观火"),AND(C63="净世破魔击·月",模拟模式!$J$7="洞若观火"),AB62=1)</f>
        <v>1</v>
      </c>
      <c r="BH62" s="115" t="b">
        <f t="shared" ca="1" si="32"/>
        <v>1</v>
      </c>
      <c r="BI62" s="115">
        <f t="shared" ca="1" si="60"/>
        <v>6</v>
      </c>
      <c r="BJ62" s="115" t="b">
        <f t="shared" ca="1" si="33"/>
        <v>1</v>
      </c>
      <c r="BK62" s="115" t="b">
        <f ca="1">AND(C62="驱夜断愁",模拟模式!$P$7="天地诛戮")</f>
        <v>0</v>
      </c>
      <c r="BL62" s="57">
        <f t="shared" ca="1" si="61"/>
        <v>17.232500000000002</v>
      </c>
      <c r="BM62" s="115" t="b">
        <f t="shared" ca="1" si="34"/>
        <v>1</v>
      </c>
      <c r="BN62" s="115" t="b">
        <f ca="1">AND(OR(C62="赤日轮1",C62="赤日轮2",C62="赤日轮3",C62="幽月轮1",C62="幽月轮2",C62="幽月轮3"),AB62=1,模拟模式!$L$7="明光恒照")</f>
        <v>0</v>
      </c>
      <c r="BO62" s="117">
        <f t="shared" ca="1" si="62"/>
        <v>29.077500000000001</v>
      </c>
      <c r="BP62" s="115">
        <f t="shared" ca="1" si="35"/>
        <v>6</v>
      </c>
      <c r="BQ62" s="115" t="b">
        <f>模拟模式!$K$10="2600·水"</f>
        <v>0</v>
      </c>
      <c r="BR62" s="117">
        <f t="shared" si="36"/>
        <v>0</v>
      </c>
      <c r="BS62" s="115">
        <f t="shared" si="37"/>
        <v>0</v>
      </c>
      <c r="BT62" s="115">
        <f t="shared" ca="1" si="38"/>
        <v>0</v>
      </c>
      <c r="BU62" s="115" t="b">
        <f ca="1">AND(模拟模式!$K$10="2300·雷",BT61=0,RAND()&lt;IF(C62="净世破魔击·月",5*0.05*2/3,IF(C62="净世破魔击·日",3*0.05*2/3,0.05*2*2/3)))</f>
        <v>0</v>
      </c>
      <c r="BV62" s="115">
        <f t="shared" ca="1" si="39"/>
        <v>0</v>
      </c>
      <c r="BW62" s="115">
        <f t="shared" ca="1" si="40"/>
        <v>153.2474999999996</v>
      </c>
      <c r="BX62" s="164" t="b">
        <f t="shared" ca="1" si="41"/>
        <v>0</v>
      </c>
      <c r="BY62" s="115">
        <f t="shared" ca="1" si="42"/>
        <v>0</v>
      </c>
      <c r="BZ62" s="115">
        <f>IF(OR(模拟模式!$P$16="10人团",模拟模式!$P$16="25人团"),IF(B62/30&gt;CA61,1,0),0)</f>
        <v>0</v>
      </c>
      <c r="CA62" s="115">
        <f t="shared" si="8"/>
        <v>0</v>
      </c>
      <c r="CB62" s="115">
        <f ca="1">IF(BZ62=1,IF(模拟模式!$P$16="10人团",15,0)+IF(模拟模式!$P$16="25人团",IF(RAND()&lt;0.6,15,0)),MAX(0,CB61-$F$4))</f>
        <v>0</v>
      </c>
      <c r="CC62" s="115" t="b">
        <f t="shared" ca="1" si="43"/>
        <v>0</v>
      </c>
      <c r="CD62" s="115">
        <f>IF(模拟模式!$Q$16="1个",IF(B62/40&gt;CE61,1,0),0)</f>
        <v>0</v>
      </c>
      <c r="CE62" s="115">
        <f t="shared" si="44"/>
        <v>0</v>
      </c>
      <c r="CF62" s="115">
        <f>IF(OR(CD62=1,模拟模式!$Q$16="2个"),20,MAX(0,CF61-$F$4))</f>
        <v>0</v>
      </c>
      <c r="CG62" s="115" t="b">
        <f t="shared" si="45"/>
        <v>0</v>
      </c>
      <c r="CH62" s="115">
        <f t="shared" ca="1" si="46"/>
        <v>0</v>
      </c>
      <c r="CI62" s="115" t="b">
        <f t="shared" ca="1" si="47"/>
        <v>0</v>
      </c>
      <c r="CJ62" s="119">
        <f t="shared" ca="1" si="48"/>
        <v>0</v>
      </c>
      <c r="CK62" s="115">
        <f t="shared" ca="1" si="49"/>
        <v>0</v>
      </c>
      <c r="CL62" s="115" t="b">
        <f ca="1">AND(模拟模式!$S$7="驱夷逐法",OR(AND(C62="净世破魔击·月",E61&gt;59),AND(C62="净世破魔击·日",F61&gt;59)))</f>
        <v>1</v>
      </c>
      <c r="CM62" s="115" t="b">
        <f ca="1">OR(CL62,AND(C62="净世破魔击·日",CL61,RAND()&lt;模拟模式!$U$23))</f>
        <v>1</v>
      </c>
      <c r="CN62" s="115" t="b">
        <f ca="1">IF(模拟模式!$M$7="辉耀红尘",AND(C62="净世破魔击·月",CL62,CV62=0,E61&lt;80),AND(C62="净世破魔击·月",CL62,E61&lt;100))</f>
        <v>0</v>
      </c>
      <c r="CO62" s="115" t="b">
        <f t="shared" ca="1" si="9"/>
        <v>0</v>
      </c>
      <c r="CP62" s="115" t="b">
        <f ca="1">AND(模拟模式!$O$7="用晦而明",OR(C62="净世破魔击·日",C62="净世破魔击·月",C62="驱夜断愁"),AB62)</f>
        <v>1</v>
      </c>
      <c r="CQ62" s="115" t="b">
        <f ca="1">OR(CP62,AND(CP61,RAND()&lt;模拟模式!$U$23))</f>
        <v>1</v>
      </c>
      <c r="CR62" s="115" t="b">
        <f ca="1">AND(模拟模式!$S$7="日月齐光",OR(C62="幽月轮1",C62="幽月轮2",C62="幽月轮3",CR61),NOT(OR(C62="赤日轮1",C62="赤日轮2",C62="赤日轮3")))</f>
        <v>0</v>
      </c>
      <c r="CS62" s="115" t="b">
        <f ca="1">AND(模拟模式!$S$7="日月齐光",OR(C62="赤日轮1",C62="赤日轮2",C62="赤日轮3",CS61),NOT(OR(C62="幽月轮1",C62="幽月轮2",C62="幽月轮3")))</f>
        <v>0</v>
      </c>
      <c r="CT62" s="115">
        <f t="shared" ca="1" si="50"/>
        <v>0</v>
      </c>
      <c r="CU62" s="115" t="b">
        <f ca="1">AND(模拟模式!$K$10="阴阳往极",CT61=0,RAND()&lt;IF(C62="净世破魔击·月",0.0275*7/3,IF(C62="净世破魔击·日",0.0275*3/3,0.0275*2/3)))</f>
        <v>0</v>
      </c>
      <c r="CV62" s="115">
        <f t="shared" ca="1" si="51"/>
        <v>0</v>
      </c>
      <c r="CW62" s="115">
        <f t="shared" ca="1" si="63"/>
        <v>4.1549999999999994</v>
      </c>
      <c r="CX62" s="115">
        <f t="shared" ca="1" si="64"/>
        <v>2.3099999999999996</v>
      </c>
      <c r="CY62" s="115">
        <f ca="1">MAX(IF($C62="驱夜断愁",IF(模拟模式!$R$7="万念俱寂",6,45),CY61-$F$4),0)</f>
        <v>3.2324999999999995</v>
      </c>
      <c r="CZ62" s="115">
        <f t="shared" ca="1" si="12"/>
        <v>0</v>
      </c>
      <c r="DA62" s="115">
        <f ca="1">IF(模拟模式!$N$7="日月同辉",IF(DB61=2,0,MIN(6,IF(AND(OR(C62="赤日轮1",C62="赤日轮2",C62="赤日轮3",C62="幽月轮1",C62="幽月轮2",C62="幽月轮3"),AB62=1),DA61+1,DA61))),0)</f>
        <v>3</v>
      </c>
      <c r="DB62" s="115">
        <f t="shared" ca="1" si="13"/>
        <v>0</v>
      </c>
      <c r="DD62" s="115"/>
      <c r="DE62" s="115"/>
      <c r="DF62" s="115"/>
      <c r="DG62" s="115"/>
      <c r="DH62" s="115"/>
      <c r="DI62" s="115"/>
      <c r="DJ62" s="115"/>
      <c r="DK62" s="115"/>
      <c r="DL62" s="115"/>
      <c r="DM62" s="115"/>
    </row>
    <row r="63" spans="2:117" x14ac:dyDescent="0.2">
      <c r="B63" s="117">
        <f t="shared" si="65"/>
        <v>33.209999999999987</v>
      </c>
      <c r="C63" s="167" t="str">
        <f t="shared" ca="1" si="0"/>
        <v>净世破魔击·日</v>
      </c>
      <c r="D63" s="115">
        <f ca="1">IF(C63="赤日轮1",1,IF(C63="赤日轮2",2,IF(C63="赤日轮3",3,IF(C63="幽月轮1",4,IF(C63="幽月轮2",5,IF(C63="幽月轮3",6,IF(C63="烈日斩",7,IF(C63="银月斩",8,IF(C63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63="净世破魔击·月",17,IF(C63="驱夜断愁",18,0)))))))))))</f>
        <v>9</v>
      </c>
      <c r="E63" s="115">
        <f ca="1">IF(AND(CU63,OR(C63="幽月轮1",C63="幽月轮2",C63="幽月轮3",C63="银月斩",C63="驱夜断愁",C63="净世破魔击·月")),100,MIN(IF(OR(CN63,BE63),0,IF(OR($C63="赤日轮1",$C63="赤日轮2",$C63="赤日轮3"),E62+20+IF(模拟模式!$I$7="日月凌天",4,0)+IF(CR62,20,0),IF($C63="烈日斩",E62+40,IF($C63="驱夜断愁",IF(模拟模式!$R$7="万念俱寂",E62+20,E62+60),IF($C63="净世破魔击·月",IF(OR(DB62&gt;0,CV62&gt;0),100,IF(模拟模式!$M$7="辉耀红尘",E62+20,E62)),IF($C63="净世破魔击·日",E62-100,E62)))))),100))</f>
        <v>0</v>
      </c>
      <c r="F63" s="115">
        <f ca="1">IF(AND(CU63,OR(C63="赤日轮1",C63="赤日轮2",C63="赤日轮3",C63="烈日斩",C63="净世破魔击·日")),100,MIN(IF(CO63,0,IF(OR($C63="幽月轮1",$C63="幽月轮2",$C63="幽月轮3"),F62+20+IF(模拟模式!$I$7="日月凌天",4,0)+IF(CS62,20,0),IF($C63="银月斩",F62+40+IF(模拟模式!$X$12=1,5,0),IF($C63="驱夜断愁",IF(模拟模式!$R$7="万念俱寂",F62+20,F62+60),IF($C63="净世破魔击·月",IF(模拟模式!$M$7="辉耀红尘",F62-80,F62-100),IF(AND(C63="净世破魔击·日",OR(DB62&gt;0,CV62&gt;0)),100,F62)))))),100))</f>
        <v>20</v>
      </c>
      <c r="G63" s="117">
        <f ca="1">('模拟-全程加成'!$E$3+'模拟-全程加成'!$E$4+'模拟-全程加成'!$E$5+('模拟-全程加成'!$C$6-'模拟-全程加成'!$C$3)*系数!$B$9+BS63*23)*(1+'模拟-全程加成'!$F$4+'模拟-全程加成'!$F$5+BJ63*10%+BM63*20%+BP63*4%+CG63*30%)+$F$7*系数!$B$12</f>
        <v>21493.829400000002</v>
      </c>
      <c r="H63" s="45">
        <f ca="1">'模拟-全程加成'!$H$3+'模拟-全程加成'!$H$4+'模拟-全程加成'!$H$5+('模拟-全程加成'!$G$4+'模拟-全程加成'!$G$5+('模拟-全程加成'!$C$6-'模拟-全程加成'!$C$3)*系数!$B$13)/系数!$B$3+LOOKUP(D63,'模拟-单技能数据'!$A$2:$A$19,'模拟-单技能数据'!$K$2:$K$19)+BG63*10%+IF(BV63&gt;0,378,0)</f>
        <v>0.54185145527300216</v>
      </c>
      <c r="I63" s="45">
        <f ca="1">'模拟-全程加成'!$J$3+'模拟-全程加成'!$J$4+'模拟-全程加成'!$J$5+('模拟-全程加成'!$I$4+'模拟-全程加成'!$I$5)/系数!$B$4+LOOKUP(D63,'模拟-单技能数据'!$A$2:$A$19,'模拟-单技能数据'!$L$2:$L$19)+BG63*10%</f>
        <v>2.162482885499879</v>
      </c>
      <c r="J63" s="45">
        <f ca="1">(('模拟-全程加成'!$K$3+'模拟-全程加成'!$K$4+'模拟-全程加成'!$K$5+('模拟-全程加成'!$C$6-'模拟-全程加成'!$C$3)*系数!$B$10+IF(BV63&gt;0,882,0)+IF(BY63&gt;0,1831,0))*(1+'模拟-全程加成'!$L$4+'模拟-全程加成'!$L$5+CC63*20%))/系数!$B$5</f>
        <v>0.69723220422048726</v>
      </c>
      <c r="K63" s="119">
        <f ca="1">LOOKUP(D63,'模拟-单技能数据'!$A$2:$A$19,'模拟-单技能数据'!$J$2:$J$19)+IF(CM63,60%,0)+IF(DB62-DB63&gt;0,30%,0)+IF(OR(AND(OR(C63="赤日轮1",C63="赤日轮2",C63="赤日轮3"),CR63),AND(OR(C63="幽月轮1",C63="幽月轮2",C63="幽月轮3"),CS63)),35%,0)+CJ63</f>
        <v>0.8</v>
      </c>
      <c r="L63" s="119">
        <f ca="1">IF(AND(C63="烈日斩",模拟模式!$X$11=1),10%,0)+IF(AND(C63="驱夜断愁",AB63=1),30%,0)</f>
        <v>0</v>
      </c>
      <c r="M63" s="45">
        <f t="shared" ca="1" si="15"/>
        <v>0.54185145527300216</v>
      </c>
      <c r="N63" s="45">
        <f t="shared" ca="1" si="16"/>
        <v>0.40424854472699789</v>
      </c>
      <c r="O63" s="46">
        <f t="shared" ca="1" si="17"/>
        <v>0.97672288711869881</v>
      </c>
      <c r="P63" s="46" t="str">
        <f t="shared" ca="1" si="18"/>
        <v>命</v>
      </c>
      <c r="Q63" s="45">
        <f t="shared" ca="1" si="19"/>
        <v>1</v>
      </c>
      <c r="R63" s="117">
        <f ca="1">模拟模式!$E$20*(1-IF(模拟模式!$J$19="有",0.15,0))*(1-IF(模拟模式!$K$19="有",0.3,0)-IF(CQ63,0.5,0))</f>
        <v>843.02999999999975</v>
      </c>
      <c r="S63" s="45">
        <f ca="1">R63/(R63+(185*模拟模式!$E$22-16800)*4.08224)</f>
        <v>8.389626085980037E-2</v>
      </c>
      <c r="T63" s="45" t="str">
        <f ca="1">LOOKUP(D63,'模拟-单技能数据'!$A$2:$A$19,'模拟-单技能数据'!$H$2:$H$19)</f>
        <v>阳</v>
      </c>
      <c r="U63" s="119">
        <f t="shared" ca="1" si="20"/>
        <v>0.2</v>
      </c>
      <c r="V63" s="47">
        <f ca="1">(1+L63)*(LOOKUP(D63,'模拟-单技能数据'!$A$2:$A$19,'模拟-单技能数据'!$D$2:$D$19)+G63*LOOKUP(D63,'模拟-单技能数据'!$A$2:$A$19,'模拟-单技能数据'!$F$2:$F$19))*(1+J63)*(1+K63)*(1-S63)*(1+U63)*Q63*LOOKUP(D63,'模拟-单技能数据'!$A$2:$A$19,'模拟-单技能数据'!$I$2:$I$20)</f>
        <v>94575.365106402023</v>
      </c>
      <c r="W63" s="47">
        <f ca="1">LOOKUP(D63,'模拟-单技能数据'!$A$2:$A$19,'模拟-单技能数据'!$G$2:$G$19)*$I$10</f>
        <v>723.0212870940959</v>
      </c>
      <c r="X63" s="47">
        <f t="shared" ca="1" si="21"/>
        <v>43161.036181153526</v>
      </c>
      <c r="Y63" s="47">
        <f t="shared" ca="1" si="22"/>
        <v>138459.42257464965</v>
      </c>
      <c r="Z63" s="49">
        <f t="shared" ca="1" si="23"/>
        <v>3626808.5345651559</v>
      </c>
      <c r="AA63" s="97">
        <f t="shared" ca="1" si="24"/>
        <v>109208.32684628597</v>
      </c>
      <c r="AB63" s="115">
        <f ca="1">IF(OR(C63="赤日轮1",C63="赤日轮2",C63="赤日轮3"),IF(RAND()&lt;模拟模式!$Y$17,1,0),IF(OR(C63="幽月轮1",C63="幽月轮2",C63="幽月轮3"),IF(RAND()&lt;模拟模式!$Y$18,1,0),IF(C63="烈日斩",IF(RAND()&lt;模拟模式!$Y$19,1,0),IF(C63="银月斩",IF(RAND()&lt;模拟模式!$Y$20,1,0),IF(C63="驱夜断愁",IF(RAND()&lt;模拟模式!$Y$21,1,0),IF(C63="净世破魔击·日",IF(RAND()&lt;模拟模式!$Y$22,1,0),IF(C63="净世破魔击·月",IF(RAND()&lt;模拟模式!$Y$23,1,0),0)))))))</f>
        <v>1</v>
      </c>
      <c r="AC63" s="115" t="b">
        <f t="shared" ca="1" si="56"/>
        <v>0</v>
      </c>
      <c r="AD63" s="115" t="b">
        <f t="shared" ca="1" si="52"/>
        <v>1</v>
      </c>
      <c r="AE63" s="115">
        <f t="shared" ca="1" si="53"/>
        <v>3</v>
      </c>
      <c r="AF63" s="47">
        <f ca="1">IF(AC63,('模拟-单技能数据'!$D$20+G63*'模拟-单技能数据'!$F$20)*(1+J63)*(1+'模拟-单技能数据'!$J$20)*(1+U63),0)</f>
        <v>0</v>
      </c>
      <c r="AG63" s="61">
        <f t="shared" ca="1" si="25"/>
        <v>0.64185145527300214</v>
      </c>
      <c r="AH63" s="61">
        <f t="shared" ca="1" si="26"/>
        <v>2.2624828854998791</v>
      </c>
      <c r="AI63" s="62">
        <f t="shared" ca="1" si="27"/>
        <v>0.39308638333074952</v>
      </c>
      <c r="AJ63" s="47">
        <f ca="1">IF(AD63,IF(AI63&lt;$F$10,0,IF(AI63&lt;$F$10+$F$11,0.25,IF(AI63&lt;$F$10+$F$11+AG63,AH63,1)))*IF(AF63&gt;0,AF63,IF(AF62&gt;0,AF62,IF(AF61&gt;0,AF61,IF(AF60&gt;0,AF60,IF(AF59&gt;0,AF59,IF(AF58&gt;0,AF58,IF(AF57&gt;0,AF57,IF(AF56&gt;0,AF56,IF(AF55&gt;0,AF55,IF(AF53&gt;0,AF53,IF(AF52&gt;0,AF52,IF(AF51&gt;0,AF51,0)))))))))))),0)*(1-$S63)*'模拟-单技能数据'!$I$20</f>
        <v>9218.9345386263849</v>
      </c>
      <c r="AK63" s="115" t="b">
        <f t="shared" ca="1" si="57"/>
        <v>1</v>
      </c>
      <c r="AL63" s="115" t="b">
        <f t="shared" ca="1" si="54"/>
        <v>1</v>
      </c>
      <c r="AM63" s="115">
        <f t="shared" ca="1" si="55"/>
        <v>5</v>
      </c>
      <c r="AN63" s="47">
        <f ca="1">IF(AK63,('模拟-单技能数据'!$D$21+G63*'模拟-单技能数据'!$F$21)*(1+J63)*(1+'模拟-单技能数据'!$J$21)*(1+U63),0)</f>
        <v>12670.936004857545</v>
      </c>
      <c r="AO63" s="61">
        <f ca="1">IF(AN63&gt;0,M63-'模拟-单技能数据'!$K$10,AO62)</f>
        <v>0.42185145527300216</v>
      </c>
      <c r="AP63" s="61">
        <f ca="1">IF(AN63&gt;0,I63-'模拟-单技能数据'!$L$10,AP62)</f>
        <v>2.162482885499879</v>
      </c>
      <c r="AQ63" s="63">
        <f t="shared" ca="1" si="28"/>
        <v>0.37055946771622783</v>
      </c>
      <c r="AR63" s="64">
        <f ca="1">IF(AL63,IF(AQ63&lt;$F$10,0,IF(AQ63&lt;$F$10+$F$11,0.25,IF(AQ63&lt;$F$10+$F$11+AO63,AP63,1)))*IF(AN63&gt;0,AN63,IF(AN62&gt;0,AN62,IF(AN61&gt;0,AN61,IF(AN60&gt;0,AN60,IF(AN59&gt;0,AN59,IF(AN58&gt;0,AN58,IF(AN57&gt;0,AN57,IF(AN56&gt;0,AN56,IF(AN55&gt;0,AN55,IF(AN53&gt;0,AN53,IF(AN52&gt;0,AN52,IF(AN51&gt;0,AN51,0)))))))))))),0)*(1-$S63)*'模拟-单技能数据'!$I$21</f>
        <v>25101.867467669974</v>
      </c>
      <c r="AS63" s="61">
        <f ca="1">IF(OR(C63="净世破魔击·日",C63="净世破魔击·月"),M63-'模拟-单技能数据'!$K$10,0)</f>
        <v>0.42185145527300216</v>
      </c>
      <c r="AT63" s="61">
        <f ca="1">IF(OR(C63="净世破魔击·日",C63="净世破魔击·月"),I63-'模拟-单技能数据'!$L$10,0)</f>
        <v>2.162482885499879</v>
      </c>
      <c r="AU63" s="62">
        <f t="shared" ca="1" si="29"/>
        <v>0.59689435162437265</v>
      </c>
      <c r="AV63" s="64">
        <f ca="1">IF(AS63&gt;0,('模拟-单技能数据'!$D$22+G63*'模拟-单技能数据'!$F$22)*(1+J63)*(1-S63)*IF(AU63&lt;$F$10,0,IF(AU63&lt;$F$10+$F$11,0.25,IF(AU63&lt;$F$10+$F$11+AS63,AT63,1)))*(1+U63),0)*'模拟-单技能数据'!$I$22</f>
        <v>8840.2341748571616</v>
      </c>
      <c r="AW63" s="108">
        <f t="shared" ca="1" si="30"/>
        <v>0</v>
      </c>
      <c r="AX63" s="108" t="b">
        <f ca="1">AND(模拟模式!$P$10="有",AW62=0,RAND()&lt;IF(C63="净世破魔击·月",0.1*8/3,IF(C63="净世破魔击·日",0.1*4/3,0.1*2/3)))</f>
        <v>0</v>
      </c>
      <c r="AY63" s="47">
        <f ca="1">IF(AX63,(18+G63*0.722)*(1+J63)*(1-S63)*(1+$I$4)*IF(P63="会",'模拟-全程加成'!$J$3+'模拟-全程加成'!$J$4+'模拟-全程加成'!$J$5+('模拟-全程加成'!$I$4+'模拟-全程加成'!$I$5)/系数!$B$4+BG63*10%,IF(P63="命",1,IF(P63="识",0.25,0))),0)</f>
        <v>0</v>
      </c>
      <c r="AZ63" s="108">
        <f t="shared" si="31"/>
        <v>7.0850000000000071</v>
      </c>
      <c r="BA63" s="108" t="b">
        <f>AND(模拟模式!$Q$10="有",AZ62=0)</f>
        <v>0</v>
      </c>
      <c r="BB63" s="140">
        <f>IF(BA63,(0+G63*0.287)*(1+J63)*(1-S63)*(1+$I$4)*IF(P63="会",'模拟-全程加成'!$J$3+'模拟-全程加成'!$J$4+'模拟-全程加成'!$J$5+('模拟-全程加成'!$I$4+'模拟-全程加成'!$I$5)/系数!$B$4+BG63*10%,IF(P63="命",1,IF(P63="识",0.25,0))),0)</f>
        <v>0</v>
      </c>
      <c r="BC63" s="115" t="b">
        <f ca="1">AND(模拟模式!$R$7="伏明众生",E63=60,F63=20,DA63&lt;5,CZ62&lt;$F$4)</f>
        <v>0</v>
      </c>
      <c r="BD63" s="115">
        <f t="shared" ca="1" si="58"/>
        <v>0</v>
      </c>
      <c r="BE63" s="115" t="b">
        <f t="shared" ca="1" si="59"/>
        <v>0</v>
      </c>
      <c r="BF63" s="47">
        <f ca="1">IF(BC63,4*('模拟-单技能数据'!$D$24+G63*'模拟-单技能数据'!$F$24)*(1+J63)*(1+'模拟-单技能数据'!$J$24)*(1-S63)*(1+$I$3)*(('模拟-全程加成'!$J$3+'模拟-全程加成'!$J$4+'模拟-全程加成'!$J$5+('模拟-全程加成'!$I$4+'模拟-全程加成'!$I$5)/系数!$B$4+BG63*10%)*('模拟-全程加成'!$J$3+'模拟-全程加成'!$J$4+'模拟-全程加成'!$J$5+('模拟-全程加成'!$I$4+'模拟-全程加成'!$I$5)/系数!$B$4+BG63*10%)+(1-('模拟-全程加成'!$J$3+'模拟-全程加成'!$J$4+'模拟-全程加成'!$J$5+('模拟-全程加成'!$I$4+'模拟-全程加成'!$I$5)/系数!$B$4+BG63*10%)-$F$10-$F$11)+F49*0.25),0)*'模拟-单技能数据'!$I$24</f>
        <v>0</v>
      </c>
      <c r="BG63" s="115" t="b">
        <f ca="1">OR(AND(OR(C63="烈日斩",C63="银月斩"),模拟模式!$I$7="净身明礼"),AND(C63="净世破魔击·日",模拟模式!$J$7="洞若观火"),AND(C64="净世破魔击·月",模拟模式!$J$7="洞若观火"),AB63=1)</f>
        <v>1</v>
      </c>
      <c r="BH63" s="115" t="b">
        <f t="shared" ca="1" si="32"/>
        <v>1</v>
      </c>
      <c r="BI63" s="115">
        <f t="shared" ca="1" si="60"/>
        <v>6</v>
      </c>
      <c r="BJ63" s="115" t="b">
        <f t="shared" ca="1" si="33"/>
        <v>1</v>
      </c>
      <c r="BK63" s="115" t="b">
        <f ca="1">AND(C63="驱夜断愁",模拟模式!$P$7="天地诛戮")</f>
        <v>0</v>
      </c>
      <c r="BL63" s="57">
        <f t="shared" ca="1" si="61"/>
        <v>16.310000000000002</v>
      </c>
      <c r="BM63" s="115" t="b">
        <f t="shared" ca="1" si="34"/>
        <v>1</v>
      </c>
      <c r="BN63" s="115" t="b">
        <f ca="1">AND(OR(C63="赤日轮1",C63="赤日轮2",C63="赤日轮3",C63="幽月轮1",C63="幽月轮2",C63="幽月轮3"),AB63=1,模拟模式!$L$7="明光恒照")</f>
        <v>0</v>
      </c>
      <c r="BO63" s="117">
        <f t="shared" ca="1" si="62"/>
        <v>28.155000000000001</v>
      </c>
      <c r="BP63" s="115">
        <f t="shared" ca="1" si="35"/>
        <v>6</v>
      </c>
      <c r="BQ63" s="115" t="b">
        <f>模拟模式!$K$10="2600·水"</f>
        <v>0</v>
      </c>
      <c r="BR63" s="117">
        <f t="shared" si="36"/>
        <v>0</v>
      </c>
      <c r="BS63" s="115">
        <f t="shared" si="37"/>
        <v>0</v>
      </c>
      <c r="BT63" s="115">
        <f t="shared" ca="1" si="38"/>
        <v>0</v>
      </c>
      <c r="BU63" s="115" t="b">
        <f ca="1">AND(模拟模式!$K$10="2300·雷",BT62=0,RAND()&lt;IF(C63="净世破魔击·月",5*0.05*2/3,IF(C63="净世破魔击·日",3*0.05*2/3,0.05*2*2/3)))</f>
        <v>0</v>
      </c>
      <c r="BV63" s="115">
        <f t="shared" ca="1" si="39"/>
        <v>0</v>
      </c>
      <c r="BW63" s="115">
        <f t="shared" ca="1" si="40"/>
        <v>152.32499999999959</v>
      </c>
      <c r="BX63" s="164" t="b">
        <f t="shared" ca="1" si="41"/>
        <v>0</v>
      </c>
      <c r="BY63" s="115">
        <f t="shared" ca="1" si="42"/>
        <v>0</v>
      </c>
      <c r="BZ63" s="115">
        <f>IF(OR(模拟模式!$P$16="10人团",模拟模式!$P$16="25人团"),IF(B63/30&gt;CA62,1,0),0)</f>
        <v>0</v>
      </c>
      <c r="CA63" s="115">
        <f t="shared" si="8"/>
        <v>0</v>
      </c>
      <c r="CB63" s="115">
        <f ca="1">IF(BZ63=1,IF(模拟模式!$P$16="10人团",15,0)+IF(模拟模式!$P$16="25人团",IF(RAND()&lt;0.6,15,0)),MAX(0,CB62-$F$4))</f>
        <v>0</v>
      </c>
      <c r="CC63" s="115" t="b">
        <f t="shared" ca="1" si="43"/>
        <v>0</v>
      </c>
      <c r="CD63" s="115">
        <f>IF(模拟模式!$Q$16="1个",IF(B63/40&gt;CE62,1,0),0)</f>
        <v>0</v>
      </c>
      <c r="CE63" s="115">
        <f t="shared" si="44"/>
        <v>0</v>
      </c>
      <c r="CF63" s="115">
        <f>IF(OR(CD63=1,模拟模式!$Q$16="2个"),20,MAX(0,CF62-$F$4))</f>
        <v>0</v>
      </c>
      <c r="CG63" s="115" t="b">
        <f t="shared" si="45"/>
        <v>0</v>
      </c>
      <c r="CH63" s="115">
        <f t="shared" ca="1" si="46"/>
        <v>0</v>
      </c>
      <c r="CI63" s="115" t="b">
        <f t="shared" ca="1" si="47"/>
        <v>0</v>
      </c>
      <c r="CJ63" s="119">
        <f t="shared" ca="1" si="48"/>
        <v>0</v>
      </c>
      <c r="CK63" s="115">
        <f t="shared" ca="1" si="49"/>
        <v>0</v>
      </c>
      <c r="CL63" s="115" t="b">
        <f ca="1">AND(模拟模式!$S$7="驱夷逐法",OR(AND(C63="净世破魔击·月",E62&gt;59),AND(C63="净世破魔击·日",F62&gt;59)))</f>
        <v>0</v>
      </c>
      <c r="CM63" s="115" t="b">
        <f ca="1">OR(CL63,AND(C63="净世破魔击·日",CL62,RAND()&lt;模拟模式!$U$23))</f>
        <v>1</v>
      </c>
      <c r="CN63" s="115" t="b">
        <f ca="1">IF(模拟模式!$M$7="辉耀红尘",AND(C63="净世破魔击·月",CL63,CV63=0,E62&lt;80),AND(C63="净世破魔击·月",CL63,E62&lt;100))</f>
        <v>0</v>
      </c>
      <c r="CO63" s="115" t="b">
        <f t="shared" ca="1" si="9"/>
        <v>0</v>
      </c>
      <c r="CP63" s="115" t="b">
        <f ca="1">AND(模拟模式!$O$7="用晦而明",OR(C63="净世破魔击·日",C63="净世破魔击·月",C63="驱夜断愁"),AB63)</f>
        <v>1</v>
      </c>
      <c r="CQ63" s="115" t="b">
        <f ca="1">OR(CP63,AND(CP62,RAND()&lt;模拟模式!$U$23))</f>
        <v>1</v>
      </c>
      <c r="CR63" s="115" t="b">
        <f ca="1">AND(模拟模式!$S$7="日月齐光",OR(C63="幽月轮1",C63="幽月轮2",C63="幽月轮3",CR62),NOT(OR(C63="赤日轮1",C63="赤日轮2",C63="赤日轮3")))</f>
        <v>0</v>
      </c>
      <c r="CS63" s="115" t="b">
        <f ca="1">AND(模拟模式!$S$7="日月齐光",OR(C63="赤日轮1",C63="赤日轮2",C63="赤日轮3",CS62),NOT(OR(C63="幽月轮1",C63="幽月轮2",C63="幽月轮3")))</f>
        <v>0</v>
      </c>
      <c r="CT63" s="115">
        <f t="shared" ca="1" si="50"/>
        <v>0</v>
      </c>
      <c r="CU63" s="115" t="b">
        <f ca="1">AND(模拟模式!$K$10="阴阳往极",CT62=0,RAND()&lt;IF(C63="净世破魔击·月",0.0275*7/3,IF(C63="净世破魔击·日",0.0275*3/3,0.0275*2/3)))</f>
        <v>0</v>
      </c>
      <c r="CV63" s="115">
        <f t="shared" ca="1" si="51"/>
        <v>0</v>
      </c>
      <c r="CW63" s="115">
        <f t="shared" ca="1" si="63"/>
        <v>3.2324999999999995</v>
      </c>
      <c r="CX63" s="115">
        <f t="shared" ca="1" si="64"/>
        <v>1.3874999999999997</v>
      </c>
      <c r="CY63" s="115">
        <f ca="1">MAX(IF($C63="驱夜断愁",IF(模拟模式!$R$7="万念俱寂",6,45),CY62-$F$4),0)</f>
        <v>2.3099999999999996</v>
      </c>
      <c r="CZ63" s="115">
        <f t="shared" ca="1" si="12"/>
        <v>0</v>
      </c>
      <c r="DA63" s="115">
        <f ca="1">IF(模拟模式!$N$7="日月同辉",IF(DB62=2,0,MIN(6,IF(AND(OR(C63="赤日轮1",C63="赤日轮2",C63="赤日轮3",C63="幽月轮1",C63="幽月轮2",C63="幽月轮3"),AB63=1),DA62+1,DA62))),0)</f>
        <v>3</v>
      </c>
      <c r="DB63" s="115">
        <f t="shared" ca="1" si="13"/>
        <v>0</v>
      </c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</row>
    <row r="64" spans="2:117" x14ac:dyDescent="0.2">
      <c r="B64" s="117">
        <f t="shared" si="65"/>
        <v>34.132499999999986</v>
      </c>
      <c r="C64" s="167" t="str">
        <f t="shared" ca="1" si="0"/>
        <v>赤日轮1</v>
      </c>
      <c r="D64" s="115">
        <f ca="1">IF(C64="赤日轮1",1,IF(C64="赤日轮2",2,IF(C64="赤日轮3",3,IF(C64="幽月轮1",4,IF(C64="幽月轮2",5,IF(C64="幽月轮3",6,IF(C64="烈日斩",7,IF(C64="银月斩",8,IF(C64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64="净世破魔击·月",17,IF(C64="驱夜断愁",18,0)))))))))))</f>
        <v>1</v>
      </c>
      <c r="E64" s="115">
        <f ca="1">IF(AND(CU64,OR(C64="幽月轮1",C64="幽月轮2",C64="幽月轮3",C64="银月斩",C64="驱夜断愁",C64="净世破魔击·月")),100,MIN(IF(OR(CN64,BE64),0,IF(OR($C64="赤日轮1",$C64="赤日轮2",$C64="赤日轮3"),E63+20+IF(模拟模式!$I$7="日月凌天",4,0)+IF(CR63,20,0),IF($C64="烈日斩",E63+40,IF($C64="驱夜断愁",IF(模拟模式!$R$7="万念俱寂",E63+20,E63+60),IF($C64="净世破魔击·月",IF(OR(DB63&gt;0,CV63&gt;0),100,IF(模拟模式!$M$7="辉耀红尘",E63+20,E63)),IF($C64="净世破魔击·日",E63-100,E63)))))),100))</f>
        <v>20</v>
      </c>
      <c r="F64" s="115">
        <f ca="1">IF(AND(CU64,OR(C64="赤日轮1",C64="赤日轮2",C64="赤日轮3",C64="烈日斩",C64="净世破魔击·日")),100,MIN(IF(CO64,0,IF(OR($C64="幽月轮1",$C64="幽月轮2",$C64="幽月轮3"),F63+20+IF(模拟模式!$I$7="日月凌天",4,0)+IF(CS63,20,0),IF($C64="银月斩",F63+40+IF(模拟模式!$X$12=1,5,0),IF($C64="驱夜断愁",IF(模拟模式!$R$7="万念俱寂",F63+20,F63+60),IF($C64="净世破魔击·月",IF(模拟模式!$M$7="辉耀红尘",F63-80,F63-100),IF(AND(C64="净世破魔击·日",OR(DB63&gt;0,CV63&gt;0)),100,F63)))))),100))</f>
        <v>20</v>
      </c>
      <c r="G64" s="117">
        <f ca="1">('模拟-全程加成'!$E$3+'模拟-全程加成'!$E$4+'模拟-全程加成'!$E$5+('模拟-全程加成'!$C$6-'模拟-全程加成'!$C$3)*系数!$B$9+BS64*23)*(1+'模拟-全程加成'!$F$4+'模拟-全程加成'!$F$5+BJ64*10%+BM64*20%+BP64*4%+CG64*30%)+$F$7*系数!$B$12</f>
        <v>21493.829400000002</v>
      </c>
      <c r="H64" s="45">
        <f ca="1">'模拟-全程加成'!$H$3+'模拟-全程加成'!$H$4+'模拟-全程加成'!$H$5+('模拟-全程加成'!$G$4+'模拟-全程加成'!$G$5+('模拟-全程加成'!$C$6-'模拟-全程加成'!$C$3)*系数!$B$13)/系数!$B$3+LOOKUP(D64,'模拟-单技能数据'!$A$2:$A$19,'模拟-单技能数据'!$K$2:$K$19)+BG64*10%+IF(BV64&gt;0,378,0)</f>
        <v>0.4618514552730022</v>
      </c>
      <c r="I64" s="45">
        <f ca="1">'模拟-全程加成'!$J$3+'模拟-全程加成'!$J$4+'模拟-全程加成'!$J$5+('模拟-全程加成'!$I$4+'模拟-全程加成'!$I$5)/系数!$B$4+LOOKUP(D64,'模拟-单技能数据'!$A$2:$A$19,'模拟-单技能数据'!$L$2:$L$19)+BG64*10%</f>
        <v>2.162482885499879</v>
      </c>
      <c r="J64" s="45">
        <f ca="1">(('模拟-全程加成'!$K$3+'模拟-全程加成'!$K$4+'模拟-全程加成'!$K$5+('模拟-全程加成'!$C$6-'模拟-全程加成'!$C$3)*系数!$B$10+IF(BV64&gt;0,882,0)+IF(BY64&gt;0,1831,0))*(1+'模拟-全程加成'!$L$4+'模拟-全程加成'!$L$5+CC64*20%))/系数!$B$5</f>
        <v>0.69723220422048726</v>
      </c>
      <c r="K64" s="119">
        <f ca="1">LOOKUP(D64,'模拟-单技能数据'!$A$2:$A$19,'模拟-单技能数据'!$J$2:$J$19)+IF(CM64,60%,0)+IF(DB63-DB64&gt;0,30%,0)+IF(OR(AND(OR(C64="赤日轮1",C64="赤日轮2",C64="赤日轮3"),CR64),AND(OR(C64="幽月轮1",C64="幽月轮2",C64="幽月轮3"),CS64)),35%,0)+CJ64</f>
        <v>0.12</v>
      </c>
      <c r="L64" s="119">
        <f ca="1">IF(AND(C64="烈日斩",模拟模式!$X$11=1),10%,0)+IF(AND(C64="驱夜断愁",AB64=1),30%,0)</f>
        <v>0</v>
      </c>
      <c r="M64" s="45">
        <f t="shared" ca="1" si="15"/>
        <v>0.4618514552730022</v>
      </c>
      <c r="N64" s="45">
        <f t="shared" ca="1" si="16"/>
        <v>0.48424854472699785</v>
      </c>
      <c r="O64" s="46">
        <f t="shared" ca="1" si="17"/>
        <v>0.68791814038824262</v>
      </c>
      <c r="P64" s="46" t="str">
        <f t="shared" ca="1" si="18"/>
        <v>命</v>
      </c>
      <c r="Q64" s="45">
        <f t="shared" ca="1" si="19"/>
        <v>1</v>
      </c>
      <c r="R64" s="117">
        <f ca="1">模拟模式!$E$20*(1-IF(模拟模式!$J$19="有",0.15,0))*(1-IF(模拟模式!$K$19="有",0.3,0)-IF(CQ64,0.5,0))</f>
        <v>843.02999999999975</v>
      </c>
      <c r="S64" s="45">
        <f ca="1">R64/(R64+(185*模拟模式!$E$22-16800)*4.08224)</f>
        <v>8.389626085980037E-2</v>
      </c>
      <c r="T64" s="45" t="str">
        <f ca="1">LOOKUP(D64,'模拟-单技能数据'!$A$2:$A$19,'模拟-单技能数据'!$H$2:$H$19)</f>
        <v>阳</v>
      </c>
      <c r="U64" s="119">
        <f t="shared" ca="1" si="20"/>
        <v>0.2</v>
      </c>
      <c r="V64" s="47">
        <f ca="1">(1+L64)*(LOOKUP(D64,'模拟-单技能数据'!$A$2:$A$19,'模拟-单技能数据'!$D$2:$D$19)+G64*LOOKUP(D64,'模拟-单技能数据'!$A$2:$A$19,'模拟-单技能数据'!$F$2:$F$19))*(1+J64)*(1+K64)*(1-S64)*(1+U64)*Q64*LOOKUP(D64,'模拟-单技能数据'!$A$2:$A$19,'模拟-单技能数据'!$I$2:$I$20)</f>
        <v>26295.771631143321</v>
      </c>
      <c r="W64" s="47">
        <f ca="1">LOOKUP(D64,'模拟-单技能数据'!$A$2:$A$19,'模拟-单技能数据'!$G$2:$G$19)*$I$10</f>
        <v>361.51064354704795</v>
      </c>
      <c r="X64" s="47">
        <f t="shared" ca="1" si="21"/>
        <v>0</v>
      </c>
      <c r="Y64" s="47">
        <f t="shared" ca="1" si="22"/>
        <v>26657.282274690369</v>
      </c>
      <c r="Z64" s="49">
        <f t="shared" ca="1" si="23"/>
        <v>3653465.8168398463</v>
      </c>
      <c r="AA64" s="97">
        <f t="shared" ca="1" si="24"/>
        <v>107037.74457891592</v>
      </c>
      <c r="AB64" s="115">
        <f ca="1">IF(OR(C64="赤日轮1",C64="赤日轮2",C64="赤日轮3"),IF(RAND()&lt;模拟模式!$Y$17,1,0),IF(OR(C64="幽月轮1",C64="幽月轮2",C64="幽月轮3"),IF(RAND()&lt;模拟模式!$Y$18,1,0),IF(C64="烈日斩",IF(RAND()&lt;模拟模式!$Y$19,1,0),IF(C64="银月斩",IF(RAND()&lt;模拟模式!$Y$20,1,0),IF(C64="驱夜断愁",IF(RAND()&lt;模拟模式!$Y$21,1,0),IF(C64="净世破魔击·日",IF(RAND()&lt;模拟模式!$Y$22,1,0),IF(C64="净世破魔击·月",IF(RAND()&lt;模拟模式!$Y$23,1,0),0)))))))</f>
        <v>1</v>
      </c>
      <c r="AC64" s="115" t="b">
        <f t="shared" ca="1" si="56"/>
        <v>0</v>
      </c>
      <c r="AD64" s="115" t="b">
        <f t="shared" ca="1" si="52"/>
        <v>0</v>
      </c>
      <c r="AE64" s="115">
        <f t="shared" ca="1" si="53"/>
        <v>3</v>
      </c>
      <c r="AF64" s="47">
        <f ca="1">IF(AC64,('模拟-单技能数据'!$D$20+G64*'模拟-单技能数据'!$F$20)*(1+J64)*(1+'模拟-单技能数据'!$J$20)*(1+U64),0)</f>
        <v>0</v>
      </c>
      <c r="AG64" s="61">
        <f t="shared" ca="1" si="25"/>
        <v>0.64185145527300214</v>
      </c>
      <c r="AH64" s="61">
        <f t="shared" ca="1" si="26"/>
        <v>2.2624828854998791</v>
      </c>
      <c r="AI64" s="62">
        <f t="shared" ca="1" si="27"/>
        <v>0.63421837253588542</v>
      </c>
      <c r="AJ64" s="47">
        <f ca="1">IF(AD64,IF(AI64&lt;$F$10,0,IF(AI64&lt;$F$10+$F$11,0.25,IF(AI64&lt;$F$10+$F$11+AG64,AH64,1)))*IF(AF64&gt;0,AF64,IF(AF63&gt;0,AF63,IF(AF62&gt;0,AF62,IF(AF61&gt;0,AF61,IF(AF60&gt;0,AF60,IF(AF59&gt;0,AF59,IF(AF58&gt;0,AF58,IF(AF57&gt;0,AF57,IF(AF56&gt;0,AF56,IF(AF54&gt;0,AF54,IF(AF53&gt;0,AF53,IF(AF52&gt;0,AF52,0)))))))))))),0)*(1-$S64)*'模拟-单技能数据'!$I$20</f>
        <v>0</v>
      </c>
      <c r="AK64" s="115" t="b">
        <f t="shared" ca="1" si="57"/>
        <v>0</v>
      </c>
      <c r="AL64" s="115" t="b">
        <f t="shared" ca="1" si="54"/>
        <v>0</v>
      </c>
      <c r="AM64" s="115">
        <f t="shared" ca="1" si="55"/>
        <v>5</v>
      </c>
      <c r="AN64" s="47">
        <f ca="1">IF(AK64,('模拟-单技能数据'!$D$21+G64*'模拟-单技能数据'!$F$21)*(1+J64)*(1+'模拟-单技能数据'!$J$21)*(1+U64),0)</f>
        <v>0</v>
      </c>
      <c r="AO64" s="61">
        <f ca="1">IF(AN64&gt;0,M64-'模拟-单技能数据'!$K$10,AO63)</f>
        <v>0.42185145527300216</v>
      </c>
      <c r="AP64" s="61">
        <f ca="1">IF(AN64&gt;0,I64-'模拟-单技能数据'!$L$10,AP63)</f>
        <v>2.162482885499879</v>
      </c>
      <c r="AQ64" s="63">
        <f t="shared" ca="1" si="28"/>
        <v>5.5401494566154286E-2</v>
      </c>
      <c r="AR64" s="64">
        <f ca="1">IF(AL64,IF(AQ64&lt;$F$10,0,IF(AQ64&lt;$F$10+$F$11,0.25,IF(AQ64&lt;$F$10+$F$11+AO64,AP64,1)))*IF(AN64&gt;0,AN64,IF(AN63&gt;0,AN63,IF(AN62&gt;0,AN62,IF(AN61&gt;0,AN61,IF(AN60&gt;0,AN60,IF(AN59&gt;0,AN59,IF(AN58&gt;0,AN58,IF(AN57&gt;0,AN57,IF(AN56&gt;0,AN56,IF(AN54&gt;0,AN54,IF(AN53&gt;0,AN53,IF(AN52&gt;0,AN52,0)))))))))))),0)*(1-$S64)*'模拟-单技能数据'!$I$21</f>
        <v>0</v>
      </c>
      <c r="AS64" s="61">
        <f ca="1">IF(OR(C64="净世破魔击·日",C64="净世破魔击·月"),M64-'模拟-单技能数据'!$K$10,0)</f>
        <v>0</v>
      </c>
      <c r="AT64" s="61">
        <f ca="1">IF(OR(C64="净世破魔击·日",C64="净世破魔击·月"),I64-'模拟-单技能数据'!$L$10,0)</f>
        <v>0</v>
      </c>
      <c r="AU64" s="62">
        <f t="shared" ca="1" si="29"/>
        <v>0.58066714589671153</v>
      </c>
      <c r="AV64" s="64">
        <f ca="1">IF(AS64&gt;0,('模拟-单技能数据'!$D$22+G64*'模拟-单技能数据'!$F$22)*(1+J64)*(1-S64)*IF(AU64&lt;$F$10,0,IF(AU64&lt;$F$10+$F$11,0.25,IF(AU64&lt;$F$10+$F$11+AS64,AT64,1)))*(1+U64),0)*'模拟-单技能数据'!$I$22</f>
        <v>0</v>
      </c>
      <c r="AW64" s="108">
        <f t="shared" ca="1" si="30"/>
        <v>0</v>
      </c>
      <c r="AX64" s="108" t="b">
        <f ca="1">AND(模拟模式!$P$10="有",AW63=0,RAND()&lt;IF(C64="净世破魔击·月",0.1*8/3,IF(C64="净世破魔击·日",0.1*4/3,0.1*2/3)))</f>
        <v>0</v>
      </c>
      <c r="AY64" s="47">
        <f ca="1">IF(AX64,(18+G64*0.722)*(1+J64)*(1-S64)*(1+$I$4)*IF(P64="会",'模拟-全程加成'!$J$3+'模拟-全程加成'!$J$4+'模拟-全程加成'!$J$5+('模拟-全程加成'!$I$4+'模拟-全程加成'!$I$5)/系数!$B$4+BG64*10%,IF(P64="命",1,IF(P64="识",0.25,0))),0)</f>
        <v>0</v>
      </c>
      <c r="AZ64" s="108">
        <f t="shared" si="31"/>
        <v>6.1625000000000068</v>
      </c>
      <c r="BA64" s="108" t="b">
        <f>AND(模拟模式!$Q$10="有",AZ63=0)</f>
        <v>0</v>
      </c>
      <c r="BB64" s="140">
        <f>IF(BA64,(0+G64*0.287)*(1+J64)*(1-S64)*(1+$I$4)*IF(P64="会",'模拟-全程加成'!$J$3+'模拟-全程加成'!$J$4+'模拟-全程加成'!$J$5+('模拟-全程加成'!$I$4+'模拟-全程加成'!$I$5)/系数!$B$4+BG64*10%,IF(P64="命",1,IF(P64="识",0.25,0))),0)</f>
        <v>0</v>
      </c>
      <c r="BC64" s="115" t="b">
        <f ca="1">AND(模拟模式!$R$7="伏明众生",E64=60,F64=20,DA64&lt;5,CZ63&lt;$F$4)</f>
        <v>0</v>
      </c>
      <c r="BD64" s="115">
        <f t="shared" ca="1" si="58"/>
        <v>0</v>
      </c>
      <c r="BE64" s="115" t="b">
        <f t="shared" ca="1" si="59"/>
        <v>0</v>
      </c>
      <c r="BF64" s="47">
        <f ca="1">IF(BC64,4*('模拟-单技能数据'!$D$24+G64*'模拟-单技能数据'!$F$24)*(1+J64)*(1+'模拟-单技能数据'!$J$24)*(1-S64)*(1+$I$3)*(('模拟-全程加成'!$J$3+'模拟-全程加成'!$J$4+'模拟-全程加成'!$J$5+('模拟-全程加成'!$I$4+'模拟-全程加成'!$I$5)/系数!$B$4+BG64*10%)*('模拟-全程加成'!$J$3+'模拟-全程加成'!$J$4+'模拟-全程加成'!$J$5+('模拟-全程加成'!$I$4+'模拟-全程加成'!$I$5)/系数!$B$4+BG64*10%)+(1-('模拟-全程加成'!$J$3+'模拟-全程加成'!$J$4+'模拟-全程加成'!$J$5+('模拟-全程加成'!$I$4+'模拟-全程加成'!$I$5)/系数!$B$4+BG64*10%)-$F$10-$F$11)+F50*0.25),0)*'模拟-单技能数据'!$I$24</f>
        <v>0</v>
      </c>
      <c r="BG64" s="115" t="b">
        <f ca="1">OR(AND(OR(C64="烈日斩",C64="银月斩"),模拟模式!$I$7="净身明礼"),AND(C64="净世破魔击·日",模拟模式!$J$7="洞若观火"),AND(C65="净世破魔击·月",模拟模式!$J$7="洞若观火"),AB64=1)</f>
        <v>1</v>
      </c>
      <c r="BH64" s="115" t="b">
        <f t="shared" ca="1" si="32"/>
        <v>0</v>
      </c>
      <c r="BI64" s="115">
        <f t="shared" ca="1" si="60"/>
        <v>5.0774999999999997</v>
      </c>
      <c r="BJ64" s="115" t="b">
        <f t="shared" ca="1" si="33"/>
        <v>1</v>
      </c>
      <c r="BK64" s="115" t="b">
        <f ca="1">AND(C64="驱夜断愁",模拟模式!$P$7="天地诛戮")</f>
        <v>0</v>
      </c>
      <c r="BL64" s="57">
        <f t="shared" ca="1" si="61"/>
        <v>15.387500000000003</v>
      </c>
      <c r="BM64" s="115" t="b">
        <f t="shared" ca="1" si="34"/>
        <v>1</v>
      </c>
      <c r="BN64" s="115" t="b">
        <f ca="1">AND(OR(C64="赤日轮1",C64="赤日轮2",C64="赤日轮3",C64="幽月轮1",C64="幽月轮2",C64="幽月轮3"),AB64=1,模拟模式!$L$7="明光恒照")</f>
        <v>1</v>
      </c>
      <c r="BO64" s="117">
        <f t="shared" ca="1" si="62"/>
        <v>30</v>
      </c>
      <c r="BP64" s="115">
        <f t="shared" ca="1" si="35"/>
        <v>6</v>
      </c>
      <c r="BQ64" s="115" t="b">
        <f>模拟模式!$K$10="2600·水"</f>
        <v>0</v>
      </c>
      <c r="BR64" s="117">
        <f t="shared" si="36"/>
        <v>0</v>
      </c>
      <c r="BS64" s="115">
        <f t="shared" si="37"/>
        <v>0</v>
      </c>
      <c r="BT64" s="115">
        <f t="shared" ca="1" si="38"/>
        <v>0</v>
      </c>
      <c r="BU64" s="115" t="b">
        <f ca="1">AND(模拟模式!$K$10="2300·雷",BT63=0,RAND()&lt;IF(C64="净世破魔击·月",5*0.05*2/3,IF(C64="净世破魔击·日",3*0.05*2/3,0.05*2*2/3)))</f>
        <v>0</v>
      </c>
      <c r="BV64" s="115">
        <f t="shared" ca="1" si="39"/>
        <v>0</v>
      </c>
      <c r="BW64" s="115">
        <f t="shared" ca="1" si="40"/>
        <v>151.40249999999958</v>
      </c>
      <c r="BX64" s="164" t="b">
        <f t="shared" ca="1" si="41"/>
        <v>0</v>
      </c>
      <c r="BY64" s="115">
        <f t="shared" ca="1" si="42"/>
        <v>0</v>
      </c>
      <c r="BZ64" s="115">
        <f>IF(OR(模拟模式!$P$16="10人团",模拟模式!$P$16="25人团"),IF(B64/30&gt;CA63,1,0),0)</f>
        <v>0</v>
      </c>
      <c r="CA64" s="115">
        <f t="shared" si="8"/>
        <v>0</v>
      </c>
      <c r="CB64" s="115">
        <f ca="1">IF(BZ64=1,IF(模拟模式!$P$16="10人团",15,0)+IF(模拟模式!$P$16="25人团",IF(RAND()&lt;0.6,15,0)),MAX(0,CB63-$F$4))</f>
        <v>0</v>
      </c>
      <c r="CC64" s="115" t="b">
        <f t="shared" ca="1" si="43"/>
        <v>0</v>
      </c>
      <c r="CD64" s="115">
        <f>IF(模拟模式!$Q$16="1个",IF(B64/40&gt;CE63,1,0),0)</f>
        <v>0</v>
      </c>
      <c r="CE64" s="115">
        <f t="shared" si="44"/>
        <v>0</v>
      </c>
      <c r="CF64" s="115">
        <f>IF(OR(CD64=1,模拟模式!$Q$16="2个"),20,MAX(0,CF63-$F$4))</f>
        <v>0</v>
      </c>
      <c r="CG64" s="115" t="b">
        <f t="shared" si="45"/>
        <v>0</v>
      </c>
      <c r="CH64" s="115">
        <f t="shared" ca="1" si="46"/>
        <v>0</v>
      </c>
      <c r="CI64" s="115" t="b">
        <f t="shared" ca="1" si="47"/>
        <v>0</v>
      </c>
      <c r="CJ64" s="119">
        <f t="shared" ca="1" si="48"/>
        <v>0</v>
      </c>
      <c r="CK64" s="115">
        <f t="shared" ca="1" si="49"/>
        <v>0</v>
      </c>
      <c r="CL64" s="115" t="b">
        <f ca="1">AND(模拟模式!$S$7="驱夷逐法",OR(AND(C64="净世破魔击·月",E63&gt;59),AND(C64="净世破魔击·日",F63&gt;59)))</f>
        <v>0</v>
      </c>
      <c r="CM64" s="115" t="b">
        <f ca="1">OR(CL64,AND(C64="净世破魔击·日",CL63,RAND()&lt;模拟模式!$U$23))</f>
        <v>0</v>
      </c>
      <c r="CN64" s="115" t="b">
        <f ca="1">IF(模拟模式!$M$7="辉耀红尘",AND(C64="净世破魔击·月",CL64,CV64=0,E63&lt;80),AND(C64="净世破魔击·月",CL64,E63&lt;100))</f>
        <v>0</v>
      </c>
      <c r="CO64" s="115" t="b">
        <f t="shared" ca="1" si="9"/>
        <v>0</v>
      </c>
      <c r="CP64" s="115" t="b">
        <f ca="1">AND(模拟模式!$O$7="用晦而明",OR(C64="净世破魔击·日",C64="净世破魔击·月",C64="驱夜断愁"),AB64)</f>
        <v>0</v>
      </c>
      <c r="CQ64" s="115" t="b">
        <f ca="1">OR(CP64,AND(CP63,RAND()&lt;模拟模式!$U$23))</f>
        <v>1</v>
      </c>
      <c r="CR64" s="115" t="b">
        <f ca="1">AND(模拟模式!$S$7="日月齐光",OR(C64="幽月轮1",C64="幽月轮2",C64="幽月轮3",CR63),NOT(OR(C64="赤日轮1",C64="赤日轮2",C64="赤日轮3")))</f>
        <v>0</v>
      </c>
      <c r="CS64" s="115" t="b">
        <f ca="1">AND(模拟模式!$S$7="日月齐光",OR(C64="赤日轮1",C64="赤日轮2",C64="赤日轮3",CS63),NOT(OR(C64="幽月轮1",C64="幽月轮2",C64="幽月轮3")))</f>
        <v>0</v>
      </c>
      <c r="CT64" s="115">
        <f t="shared" ca="1" si="50"/>
        <v>0</v>
      </c>
      <c r="CU64" s="115" t="b">
        <f ca="1">AND(模拟模式!$K$10="阴阳往极",CT63=0,RAND()&lt;IF(C64="净世破魔击·月",0.0275*7/3,IF(C64="净世破魔击·日",0.0275*3/3,0.0275*2/3)))</f>
        <v>0</v>
      </c>
      <c r="CV64" s="115">
        <f t="shared" ca="1" si="51"/>
        <v>0</v>
      </c>
      <c r="CW64" s="115">
        <f t="shared" ca="1" si="63"/>
        <v>2.3099999999999996</v>
      </c>
      <c r="CX64" s="115">
        <f t="shared" ca="1" si="64"/>
        <v>0.46499999999999975</v>
      </c>
      <c r="CY64" s="115">
        <f ca="1">MAX(IF($C64="驱夜断愁",IF(模拟模式!$R$7="万念俱寂",6,45),CY63-$F$4),0)</f>
        <v>1.3874999999999997</v>
      </c>
      <c r="CZ64" s="115">
        <f t="shared" ca="1" si="12"/>
        <v>0</v>
      </c>
      <c r="DA64" s="115">
        <f ca="1">IF(模拟模式!$N$7="日月同辉",IF(DB63=2,0,MIN(6,IF(AND(OR(C64="赤日轮1",C64="赤日轮2",C64="赤日轮3",C64="幽月轮1",C64="幽月轮2",C64="幽月轮3"),AB64=1),DA63+1,DA63))),0)</f>
        <v>4</v>
      </c>
      <c r="DB64" s="115">
        <f t="shared" ca="1" si="13"/>
        <v>0</v>
      </c>
      <c r="DD64" s="115"/>
      <c r="DE64" s="115"/>
      <c r="DF64" s="115"/>
      <c r="DG64" s="115"/>
      <c r="DH64" s="115"/>
      <c r="DI64" s="115"/>
      <c r="DJ64" s="115"/>
      <c r="DK64" s="115"/>
      <c r="DL64" s="115"/>
      <c r="DM64" s="115"/>
    </row>
    <row r="65" spans="2:117" x14ac:dyDescent="0.2">
      <c r="B65" s="117">
        <f t="shared" si="65"/>
        <v>35.054999999999986</v>
      </c>
      <c r="C65" s="167" t="str">
        <f t="shared" ca="1" si="0"/>
        <v>银月斩</v>
      </c>
      <c r="D65" s="115">
        <f ca="1">IF(C65="赤日轮1",1,IF(C65="赤日轮2",2,IF(C65="赤日轮3",3,IF(C65="幽月轮1",4,IF(C65="幽月轮2",5,IF(C65="幽月轮3",6,IF(C65="烈日斩",7,IF(C65="银月斩",8,IF(C65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65="净世破魔击·月",17,IF(C65="驱夜断愁",18,0)))))))))))</f>
        <v>8</v>
      </c>
      <c r="E65" s="115">
        <f ca="1">IF(AND(CU65,OR(C65="幽月轮1",C65="幽月轮2",C65="幽月轮3",C65="银月斩",C65="驱夜断愁",C65="净世破魔击·月")),100,MIN(IF(OR(CN65,BE65),0,IF(OR($C65="赤日轮1",$C65="赤日轮2",$C65="赤日轮3"),E64+20+IF(模拟模式!$I$7="日月凌天",4,0)+IF(CR64,20,0),IF($C65="烈日斩",E64+40,IF($C65="驱夜断愁",IF(模拟模式!$R$7="万念俱寂",E64+20,E64+60),IF($C65="净世破魔击·月",IF(OR(DB64&gt;0,CV64&gt;0),100,IF(模拟模式!$M$7="辉耀红尘",E64+20,E64)),IF($C65="净世破魔击·日",E64-100,E64)))))),100))</f>
        <v>20</v>
      </c>
      <c r="F65" s="115">
        <f ca="1">IF(AND(CU65,OR(C65="赤日轮1",C65="赤日轮2",C65="赤日轮3",C65="烈日斩",C65="净世破魔击·日")),100,MIN(IF(CO65,0,IF(OR($C65="幽月轮1",$C65="幽月轮2",$C65="幽月轮3"),F64+20+IF(模拟模式!$I$7="日月凌天",4,0)+IF(CS64,20,0),IF($C65="银月斩",F64+40+IF(模拟模式!$X$12=1,5,0),IF($C65="驱夜断愁",IF(模拟模式!$R$7="万念俱寂",F64+20,F64+60),IF($C65="净世破魔击·月",IF(模拟模式!$M$7="辉耀红尘",F64-80,F64-100),IF(AND(C65="净世破魔击·日",OR(DB64&gt;0,CV64&gt;0)),100,F64)))))),100))</f>
        <v>65</v>
      </c>
      <c r="G65" s="117">
        <f ca="1">('模拟-全程加成'!$E$3+'模拟-全程加成'!$E$4+'模拟-全程加成'!$E$5+('模拟-全程加成'!$C$6-'模拟-全程加成'!$C$3)*系数!$B$9+BS65*23)*(1+'模拟-全程加成'!$F$4+'模拟-全程加成'!$F$5+BJ65*10%+BM65*20%+BP65*4%+CG65*30%)+$F$7*系数!$B$12</f>
        <v>21493.829400000002</v>
      </c>
      <c r="H65" s="45">
        <f ca="1">'模拟-全程加成'!$H$3+'模拟-全程加成'!$H$4+'模拟-全程加成'!$H$5+('模拟-全程加成'!$G$4+'模拟-全程加成'!$G$5+('模拟-全程加成'!$C$6-'模拟-全程加成'!$C$3)*系数!$B$13)/系数!$B$3+LOOKUP(D65,'模拟-单技能数据'!$A$2:$A$19,'模拟-单技能数据'!$K$2:$K$19)+BG65*10%+IF(BV65&gt;0,378,0)</f>
        <v>0.64185145527300214</v>
      </c>
      <c r="I65" s="45">
        <f ca="1">'模拟-全程加成'!$J$3+'模拟-全程加成'!$J$4+'模拟-全程加成'!$J$5+('模拟-全程加成'!$I$4+'模拟-全程加成'!$I$5)/系数!$B$4+LOOKUP(D65,'模拟-单技能数据'!$A$2:$A$19,'模拟-单技能数据'!$L$2:$L$19)+BG65*10%</f>
        <v>2.2624828854998791</v>
      </c>
      <c r="J65" s="45">
        <f ca="1">(('模拟-全程加成'!$K$3+'模拟-全程加成'!$K$4+'模拟-全程加成'!$K$5+('模拟-全程加成'!$C$6-'模拟-全程加成'!$C$3)*系数!$B$10+IF(BV65&gt;0,882,0)+IF(BY65&gt;0,1831,0))*(1+'模拟-全程加成'!$L$4+'模拟-全程加成'!$L$5+CC65*20%))/系数!$B$5</f>
        <v>0.69723220422048726</v>
      </c>
      <c r="K65" s="119">
        <f ca="1">LOOKUP(D65,'模拟-单技能数据'!$A$2:$A$19,'模拟-单技能数据'!$J$2:$J$19)+IF(CM65,60%,0)+IF(DB64-DB65&gt;0,30%,0)+IF(OR(AND(OR(C65="赤日轮1",C65="赤日轮2",C65="赤日轮3"),CR65),AND(OR(C65="幽月轮1",C65="幽月轮2",C65="幽月轮3"),CS65)),35%,0)+CJ65</f>
        <v>0.15</v>
      </c>
      <c r="L65" s="119">
        <f ca="1">IF(AND(C65="烈日斩",模拟模式!$X$11=1),10%,0)+IF(AND(C65="驱夜断愁",AB65=1),30%,0)</f>
        <v>0</v>
      </c>
      <c r="M65" s="45">
        <f t="shared" ca="1" si="15"/>
        <v>0.64185145527300214</v>
      </c>
      <c r="N65" s="45">
        <f t="shared" ca="1" si="16"/>
        <v>0.30424854472699792</v>
      </c>
      <c r="O65" s="46">
        <f t="shared" ca="1" si="17"/>
        <v>0.6718929608369012</v>
      </c>
      <c r="P65" s="46" t="str">
        <f t="shared" ca="1" si="18"/>
        <v>会</v>
      </c>
      <c r="Q65" s="45">
        <f t="shared" ca="1" si="19"/>
        <v>2.2624828854998791</v>
      </c>
      <c r="R65" s="117">
        <f ca="1">模拟模式!$E$20*(1-IF(模拟模式!$J$19="有",0.15,0))*(1-IF(模拟模式!$K$19="有",0.3,0)-IF(CQ65,0.5,0))</f>
        <v>2950.6049999999996</v>
      </c>
      <c r="S65" s="45">
        <f ca="1">R65/(R65+(185*模拟模式!$E$22-16800)*4.08224)</f>
        <v>0.24272716014590323</v>
      </c>
      <c r="T65" s="45" t="str">
        <f ca="1">LOOKUP(D65,'模拟-单技能数据'!$A$2:$A$19,'模拟-单技能数据'!$H$2:$H$19)</f>
        <v>阴</v>
      </c>
      <c r="U65" s="119">
        <f t="shared" ca="1" si="20"/>
        <v>0.08</v>
      </c>
      <c r="V65" s="47">
        <f ca="1">(1+L65)*(LOOKUP(D65,'模拟-单技能数据'!$A$2:$A$19,'模拟-单技能数据'!$D$2:$D$19)+G65*LOOKUP(D65,'模拟-单技能数据'!$A$2:$A$19,'模拟-单技能数据'!$F$2:$F$19))*(1+J65)*(1+K65)*(1-S65)*(1+U65)*Q65*LOOKUP(D65,'模拟-单技能数据'!$A$2:$A$19,'模拟-单技能数据'!$I$2:$I$20)</f>
        <v>41211.704893206668</v>
      </c>
      <c r="W65" s="47">
        <f ca="1">LOOKUP(D65,'模拟-单技能数据'!$A$2:$A$19,'模拟-单技能数据'!$G$2:$G$19)*$I$10</f>
        <v>361.51064354704795</v>
      </c>
      <c r="X65" s="47">
        <f t="shared" ca="1" si="21"/>
        <v>13108.90905418088</v>
      </c>
      <c r="Y65" s="47">
        <f t="shared" ca="1" si="22"/>
        <v>54682.124590934603</v>
      </c>
      <c r="Z65" s="49">
        <f t="shared" ca="1" si="23"/>
        <v>3708147.941430781</v>
      </c>
      <c r="AA65" s="97">
        <f t="shared" ca="1" si="24"/>
        <v>105780.85697991107</v>
      </c>
      <c r="AB65" s="115">
        <f ca="1">IF(OR(C65="赤日轮1",C65="赤日轮2",C65="赤日轮3"),IF(RAND()&lt;模拟模式!$Y$17,1,0),IF(OR(C65="幽月轮1",C65="幽月轮2",C65="幽月轮3"),IF(RAND()&lt;模拟模式!$Y$18,1,0),IF(C65="烈日斩",IF(RAND()&lt;模拟模式!$Y$19,1,0),IF(C65="银月斩",IF(RAND()&lt;模拟模式!$Y$20,1,0),IF(C65="驱夜断愁",IF(RAND()&lt;模拟模式!$Y$21,1,0),IF(C65="净世破魔击·日",IF(RAND()&lt;模拟模式!$Y$22,1,0),IF(C65="净世破魔击·月",IF(RAND()&lt;模拟模式!$Y$23,1,0),0)))))))</f>
        <v>1</v>
      </c>
      <c r="AC65" s="115" t="b">
        <f t="shared" ca="1" si="56"/>
        <v>1</v>
      </c>
      <c r="AD65" s="115" t="b">
        <f t="shared" ca="1" si="52"/>
        <v>1</v>
      </c>
      <c r="AE65" s="115">
        <f t="shared" ca="1" si="53"/>
        <v>5</v>
      </c>
      <c r="AF65" s="47">
        <f ca="1">IF(AC65,('模拟-单技能数据'!$D$20+G65*'模拟-单技能数据'!$F$20)*(1+J65)*(1+'模拟-单技能数据'!$J$20)*(1+U65),0)</f>
        <v>4639.7456468263617</v>
      </c>
      <c r="AG65" s="61">
        <f t="shared" ca="1" si="25"/>
        <v>0.64185145527300214</v>
      </c>
      <c r="AH65" s="61">
        <f t="shared" ca="1" si="26"/>
        <v>2.2624828854998791</v>
      </c>
      <c r="AI65" s="62">
        <f t="shared" ca="1" si="27"/>
        <v>0.77525300427838939</v>
      </c>
      <c r="AJ65" s="47">
        <f ca="1">IF(AD65,IF(AI65&lt;$F$10,0,IF(AI65&lt;$F$10+$F$11,0.25,IF(AI65&lt;$F$10+$F$11+AG65,AH65,1)))*IF(AF65&gt;0,AF65,IF(AF64&gt;0,AF64,IF(AF63&gt;0,AF63,IF(AF62&gt;0,AF62,IF(AF61&gt;0,AF61,IF(AF60&gt;0,AF60,IF(AF59&gt;0,AF59,IF(AF58&gt;0,AF58,IF(AF57&gt;0,AF57,IF(AF55&gt;0,AF55,IF(AF54&gt;0,AF54,IF(AF53&gt;0,AF53,0)))))))))))),0)*(1-$S65)*'模拟-单技能数据'!$I$20</f>
        <v>3513.5533621728819</v>
      </c>
      <c r="AK65" s="115" t="b">
        <f t="shared" ca="1" si="57"/>
        <v>0</v>
      </c>
      <c r="AL65" s="115" t="b">
        <f t="shared" ca="1" si="54"/>
        <v>1</v>
      </c>
      <c r="AM65" s="115">
        <f t="shared" ca="1" si="55"/>
        <v>4</v>
      </c>
      <c r="AN65" s="47">
        <f ca="1">IF(AK65,('模拟-单技能数据'!$D$21+G65*'模拟-单技能数据'!$F$21)*(1+J65)*(1+'模拟-单技能数据'!$J$21)*(1+U65),0)</f>
        <v>0</v>
      </c>
      <c r="AO65" s="61">
        <f ca="1">IF(AN65&gt;0,M65-'模拟-单技能数据'!$K$10,AO64)</f>
        <v>0.42185145527300216</v>
      </c>
      <c r="AP65" s="61">
        <f ca="1">IF(AN65&gt;0,I65-'模拟-单技能数据'!$L$10,AP64)</f>
        <v>2.162482885499879</v>
      </c>
      <c r="AQ65" s="63">
        <f t="shared" ca="1" si="28"/>
        <v>0.59437653718933525</v>
      </c>
      <c r="AR65" s="64">
        <f ca="1">IF(AL65,IF(AQ65&lt;$F$10,0,IF(AQ65&lt;$F$10+$F$11,0.25,IF(AQ65&lt;$F$10+$F$11+AO65,AP65,1)))*IF(AN65&gt;0,AN65,IF(AN64&gt;0,AN64,IF(AN63&gt;0,AN63,IF(AN62&gt;0,AN62,IF(AN61&gt;0,AN61,IF(AN60&gt;0,AN60,IF(AN59&gt;0,AN59,IF(AN58&gt;0,AN58,IF(AN57&gt;0,AN57,IF(AN55&gt;0,AN55,IF(AN54&gt;0,AN54,IF(AN53&gt;0,AN53,0)))))))))))),0)*(1-$S65)*'模拟-单技能数据'!$I$21</f>
        <v>9595.3556920079973</v>
      </c>
      <c r="AS65" s="61">
        <f ca="1">IF(OR(C65="净世破魔击·日",C65="净世破魔击·月"),M65-'模拟-单技能数据'!$K$10,0)</f>
        <v>0</v>
      </c>
      <c r="AT65" s="61">
        <f ca="1">IF(OR(C65="净世破魔击·日",C65="净世破魔击·月"),I65-'模拟-单技能数据'!$L$10,0)</f>
        <v>0</v>
      </c>
      <c r="AU65" s="62">
        <f t="shared" ca="1" si="29"/>
        <v>0.262640063409189</v>
      </c>
      <c r="AV65" s="64">
        <f ca="1">IF(AS65&gt;0,('模拟-单技能数据'!$D$22+G65*'模拟-单技能数据'!$F$22)*(1+J65)*(1-S65)*IF(AU65&lt;$F$10,0,IF(AU65&lt;$F$10+$F$11,0.25,IF(AU65&lt;$F$10+$F$11+AS65,AT65,1)))*(1+U65),0)*'模拟-单技能数据'!$I$22</f>
        <v>0</v>
      </c>
      <c r="AW65" s="108">
        <f t="shared" ca="1" si="30"/>
        <v>0</v>
      </c>
      <c r="AX65" s="108" t="b">
        <f ca="1">AND(模拟模式!$P$10="有",AW64=0,RAND()&lt;IF(C65="净世破魔击·月",0.1*8/3,IF(C65="净世破魔击·日",0.1*4/3,0.1*2/3)))</f>
        <v>0</v>
      </c>
      <c r="AY65" s="47">
        <f ca="1">IF(AX65,(18+G65*0.722)*(1+J65)*(1-S65)*(1+$I$4)*IF(P65="会",'模拟-全程加成'!$J$3+'模拟-全程加成'!$J$4+'模拟-全程加成'!$J$5+('模拟-全程加成'!$I$4+'模拟-全程加成'!$I$5)/系数!$B$4+BG65*10%,IF(P65="命",1,IF(P65="识",0.25,0))),0)</f>
        <v>0</v>
      </c>
      <c r="AZ65" s="108">
        <f t="shared" si="31"/>
        <v>5.2400000000000064</v>
      </c>
      <c r="BA65" s="108" t="b">
        <f>AND(模拟模式!$Q$10="有",AZ64=0)</f>
        <v>0</v>
      </c>
      <c r="BB65" s="140">
        <f>IF(BA65,(0+G65*0.287)*(1+J65)*(1-S65)*(1+$I$4)*IF(P65="会",'模拟-全程加成'!$J$3+'模拟-全程加成'!$J$4+'模拟-全程加成'!$J$5+('模拟-全程加成'!$I$4+'模拟-全程加成'!$I$5)/系数!$B$4+BG65*10%,IF(P65="命",1,IF(P65="识",0.25,0))),0)</f>
        <v>0</v>
      </c>
      <c r="BC65" s="115" t="b">
        <f ca="1">AND(模拟模式!$R$7="伏明众生",E65=60,F65=20,DA65&lt;5,CZ64&lt;$F$4)</f>
        <v>0</v>
      </c>
      <c r="BD65" s="115">
        <f t="shared" ca="1" si="58"/>
        <v>0</v>
      </c>
      <c r="BE65" s="115" t="b">
        <f t="shared" ca="1" si="59"/>
        <v>0</v>
      </c>
      <c r="BF65" s="47">
        <f ca="1">IF(BC65,4*('模拟-单技能数据'!$D$24+G65*'模拟-单技能数据'!$F$24)*(1+J65)*(1+'模拟-单技能数据'!$J$24)*(1-S65)*(1+$I$3)*(('模拟-全程加成'!$J$3+'模拟-全程加成'!$J$4+'模拟-全程加成'!$J$5+('模拟-全程加成'!$I$4+'模拟-全程加成'!$I$5)/系数!$B$4+BG65*10%)*('模拟-全程加成'!$J$3+'模拟-全程加成'!$J$4+'模拟-全程加成'!$J$5+('模拟-全程加成'!$I$4+'模拟-全程加成'!$I$5)/系数!$B$4+BG65*10%)+(1-('模拟-全程加成'!$J$3+'模拟-全程加成'!$J$4+'模拟-全程加成'!$J$5+('模拟-全程加成'!$I$4+'模拟-全程加成'!$I$5)/系数!$B$4+BG65*10%)-$F$10-$F$11)+F51*0.25),0)*'模拟-单技能数据'!$I$24</f>
        <v>0</v>
      </c>
      <c r="BG65" s="115" t="b">
        <f ca="1">OR(AND(OR(C65="烈日斩",C65="银月斩"),模拟模式!$I$7="净身明礼"),AND(C65="净世破魔击·日",模拟模式!$J$7="洞若观火"),AND(C66="净世破魔击·月",模拟模式!$J$7="洞若观火"),AB65=1)</f>
        <v>1</v>
      </c>
      <c r="BH65" s="115" t="b">
        <f t="shared" ca="1" si="32"/>
        <v>0</v>
      </c>
      <c r="BI65" s="115">
        <f t="shared" ca="1" si="60"/>
        <v>4.1549999999999994</v>
      </c>
      <c r="BJ65" s="115" t="b">
        <f t="shared" ca="1" si="33"/>
        <v>1</v>
      </c>
      <c r="BK65" s="115" t="b">
        <f ca="1">AND(C65="驱夜断愁",模拟模式!$P$7="天地诛戮")</f>
        <v>0</v>
      </c>
      <c r="BL65" s="57">
        <f t="shared" ca="1" si="61"/>
        <v>14.465000000000003</v>
      </c>
      <c r="BM65" s="115" t="b">
        <f t="shared" ca="1" si="34"/>
        <v>1</v>
      </c>
      <c r="BN65" s="115" t="b">
        <f ca="1">AND(OR(C65="赤日轮1",C65="赤日轮2",C65="赤日轮3",C65="幽月轮1",C65="幽月轮2",C65="幽月轮3"),AB65=1,模拟模式!$L$7="明光恒照")</f>
        <v>0</v>
      </c>
      <c r="BO65" s="117">
        <f t="shared" ca="1" si="62"/>
        <v>29.077500000000001</v>
      </c>
      <c r="BP65" s="115">
        <f t="shared" ca="1" si="35"/>
        <v>6</v>
      </c>
      <c r="BQ65" s="115" t="b">
        <f>模拟模式!$K$10="2600·水"</f>
        <v>0</v>
      </c>
      <c r="BR65" s="117">
        <f t="shared" si="36"/>
        <v>0</v>
      </c>
      <c r="BS65" s="115">
        <f t="shared" si="37"/>
        <v>0</v>
      </c>
      <c r="BT65" s="115">
        <f t="shared" ca="1" si="38"/>
        <v>0</v>
      </c>
      <c r="BU65" s="115" t="b">
        <f ca="1">AND(模拟模式!$K$10="2300·雷",BT64=0,RAND()&lt;IF(C65="净世破魔击·月",5*0.05*2/3,IF(C65="净世破魔击·日",3*0.05*2/3,0.05*2*2/3)))</f>
        <v>0</v>
      </c>
      <c r="BV65" s="115">
        <f t="shared" ca="1" si="39"/>
        <v>0</v>
      </c>
      <c r="BW65" s="115">
        <f t="shared" ca="1" si="40"/>
        <v>150.47999999999956</v>
      </c>
      <c r="BX65" s="164" t="b">
        <f t="shared" ca="1" si="41"/>
        <v>0</v>
      </c>
      <c r="BY65" s="115">
        <f t="shared" ca="1" si="42"/>
        <v>0</v>
      </c>
      <c r="BZ65" s="115">
        <f>IF(OR(模拟模式!$P$16="10人团",模拟模式!$P$16="25人团"),IF(B65/30&gt;CA64,1,0),0)</f>
        <v>0</v>
      </c>
      <c r="CA65" s="115">
        <f t="shared" si="8"/>
        <v>0</v>
      </c>
      <c r="CB65" s="115">
        <f ca="1">IF(BZ65=1,IF(模拟模式!$P$16="10人团",15,0)+IF(模拟模式!$P$16="25人团",IF(RAND()&lt;0.6,15,0)),MAX(0,CB64-$F$4))</f>
        <v>0</v>
      </c>
      <c r="CC65" s="115" t="b">
        <f t="shared" ca="1" si="43"/>
        <v>0</v>
      </c>
      <c r="CD65" s="115">
        <f>IF(模拟模式!$Q$16="1个",IF(B65/40&gt;CE64,1,0),0)</f>
        <v>0</v>
      </c>
      <c r="CE65" s="115">
        <f t="shared" si="44"/>
        <v>0</v>
      </c>
      <c r="CF65" s="115">
        <f>IF(OR(CD65=1,模拟模式!$Q$16="2个"),20,MAX(0,CF64-$F$4))</f>
        <v>0</v>
      </c>
      <c r="CG65" s="115" t="b">
        <f t="shared" si="45"/>
        <v>0</v>
      </c>
      <c r="CH65" s="115">
        <f t="shared" ca="1" si="46"/>
        <v>0</v>
      </c>
      <c r="CI65" s="115" t="b">
        <f t="shared" ca="1" si="47"/>
        <v>0</v>
      </c>
      <c r="CJ65" s="119">
        <f t="shared" ca="1" si="48"/>
        <v>0</v>
      </c>
      <c r="CK65" s="115">
        <f t="shared" ca="1" si="49"/>
        <v>0</v>
      </c>
      <c r="CL65" s="115" t="b">
        <f ca="1">AND(模拟模式!$S$7="驱夷逐法",OR(AND(C65="净世破魔击·月",E64&gt;59),AND(C65="净世破魔击·日",F64&gt;59)))</f>
        <v>0</v>
      </c>
      <c r="CM65" s="115" t="b">
        <f ca="1">OR(CL65,AND(C65="净世破魔击·日",CL64,RAND()&lt;模拟模式!$U$23))</f>
        <v>0</v>
      </c>
      <c r="CN65" s="115" t="b">
        <f ca="1">IF(模拟模式!$M$7="辉耀红尘",AND(C65="净世破魔击·月",CL65,CV65=0,E64&lt;80),AND(C65="净世破魔击·月",CL65,E64&lt;100))</f>
        <v>0</v>
      </c>
      <c r="CO65" s="115" t="b">
        <f t="shared" ca="1" si="9"/>
        <v>0</v>
      </c>
      <c r="CP65" s="115" t="b">
        <f ca="1">AND(模拟模式!$O$7="用晦而明",OR(C65="净世破魔击·日",C65="净世破魔击·月",C65="驱夜断愁"),AB65)</f>
        <v>0</v>
      </c>
      <c r="CQ65" s="115" t="b">
        <f ca="1">OR(CP65,AND(CP64,RAND()&lt;模拟模式!$U$23))</f>
        <v>0</v>
      </c>
      <c r="CR65" s="115" t="b">
        <f ca="1">AND(模拟模式!$S$7="日月齐光",OR(C65="幽月轮1",C65="幽月轮2",C65="幽月轮3",CR64),NOT(OR(C65="赤日轮1",C65="赤日轮2",C65="赤日轮3")))</f>
        <v>0</v>
      </c>
      <c r="CS65" s="115" t="b">
        <f ca="1">AND(模拟模式!$S$7="日月齐光",OR(C65="赤日轮1",C65="赤日轮2",C65="赤日轮3",CS64),NOT(OR(C65="幽月轮1",C65="幽月轮2",C65="幽月轮3")))</f>
        <v>0</v>
      </c>
      <c r="CT65" s="115">
        <f t="shared" ca="1" si="50"/>
        <v>0</v>
      </c>
      <c r="CU65" s="115" t="b">
        <f ca="1">AND(模拟模式!$K$10="阴阳往极",CT64=0,RAND()&lt;IF(C65="净世破魔击·月",0.0275*7/3,IF(C65="净世破魔击·日",0.0275*3/3,0.0275*2/3)))</f>
        <v>0</v>
      </c>
      <c r="CV65" s="115">
        <f t="shared" ca="1" si="51"/>
        <v>0</v>
      </c>
      <c r="CW65" s="115">
        <f t="shared" ca="1" si="63"/>
        <v>1.3874999999999997</v>
      </c>
      <c r="CX65" s="115">
        <f t="shared" ca="1" si="64"/>
        <v>6</v>
      </c>
      <c r="CY65" s="115">
        <f ca="1">MAX(IF($C65="驱夜断愁",IF(模拟模式!$R$7="万念俱寂",6,45),CY64-$F$4),0)</f>
        <v>0.46499999999999975</v>
      </c>
      <c r="CZ65" s="115">
        <f t="shared" ca="1" si="12"/>
        <v>0</v>
      </c>
      <c r="DA65" s="115">
        <f ca="1">IF(模拟模式!$N$7="日月同辉",IF(DB64=2,0,MIN(6,IF(AND(OR(C65="赤日轮1",C65="赤日轮2",C65="赤日轮3",C65="幽月轮1",C65="幽月轮2",C65="幽月轮3"),AB65=1),DA64+1,DA64))),0)</f>
        <v>4</v>
      </c>
      <c r="DB65" s="115">
        <f t="shared" ca="1" si="13"/>
        <v>0</v>
      </c>
      <c r="DD65" s="115"/>
      <c r="DE65" s="115"/>
      <c r="DF65" s="115"/>
      <c r="DG65" s="115"/>
      <c r="DH65" s="115"/>
      <c r="DI65" s="115"/>
      <c r="DJ65" s="115"/>
      <c r="DK65" s="115"/>
      <c r="DL65" s="115"/>
      <c r="DM65" s="115"/>
    </row>
    <row r="66" spans="2:117" x14ac:dyDescent="0.2">
      <c r="B66" s="117">
        <f t="shared" si="65"/>
        <v>35.977499999999985</v>
      </c>
      <c r="C66" s="167" t="str">
        <f t="shared" ca="1" si="0"/>
        <v>驱夜断愁</v>
      </c>
      <c r="D66" s="115">
        <f ca="1">IF(C66="赤日轮1",1,IF(C66="赤日轮2",2,IF(C66="赤日轮3",3,IF(C66="幽月轮1",4,IF(C66="幽月轮2",5,IF(C66="幽月轮3",6,IF(C66="烈日斩",7,IF(C66="银月斩",8,IF(C66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66="净世破魔击·月",17,IF(C66="驱夜断愁",18,0)))))))))))</f>
        <v>18</v>
      </c>
      <c r="E66" s="115">
        <f ca="1">IF(AND(CU66,OR(C66="幽月轮1",C66="幽月轮2",C66="幽月轮3",C66="银月斩",C66="驱夜断愁",C66="净世破魔击·月")),100,MIN(IF(OR(CN66,BE66),0,IF(OR($C66="赤日轮1",$C66="赤日轮2",$C66="赤日轮3"),E65+20+IF(模拟模式!$I$7="日月凌天",4,0)+IF(CR65,20,0),IF($C66="烈日斩",E65+40,IF($C66="驱夜断愁",IF(模拟模式!$R$7="万念俱寂",E65+20,E65+60),IF($C66="净世破魔击·月",IF(OR(DB65&gt;0,CV65&gt;0),100,IF(模拟模式!$M$7="辉耀红尘",E65+20,E65)),IF($C66="净世破魔击·日",E65-100,E65)))))),100))</f>
        <v>40</v>
      </c>
      <c r="F66" s="115">
        <f ca="1">IF(AND(CU66,OR(C66="赤日轮1",C66="赤日轮2",C66="赤日轮3",C66="烈日斩",C66="净世破魔击·日")),100,MIN(IF(CO66,0,IF(OR($C66="幽月轮1",$C66="幽月轮2",$C66="幽月轮3"),F65+20+IF(模拟模式!$I$7="日月凌天",4,0)+IF(CS65,20,0),IF($C66="银月斩",F65+40+IF(模拟模式!$X$12=1,5,0),IF($C66="驱夜断愁",IF(模拟模式!$R$7="万念俱寂",F65+20,F65+60),IF($C66="净世破魔击·月",IF(模拟模式!$M$7="辉耀红尘",F65-80,F65-100),IF(AND(C66="净世破魔击·日",OR(DB65&gt;0,CV65&gt;0)),100,F65)))))),100))</f>
        <v>85</v>
      </c>
      <c r="G66" s="117">
        <f ca="1">('模拟-全程加成'!$E$3+'模拟-全程加成'!$E$4+'模拟-全程加成'!$E$5+('模拟-全程加成'!$C$6-'模拟-全程加成'!$C$3)*系数!$B$9+BS66*23)*(1+'模拟-全程加成'!$F$4+'模拟-全程加成'!$F$5+BJ66*10%+BM66*20%+BP66*4%+CG66*30%)+$F$7*系数!$B$12</f>
        <v>21493.829400000002</v>
      </c>
      <c r="H66" s="45">
        <f ca="1">'模拟-全程加成'!$H$3+'模拟-全程加成'!$H$4+'模拟-全程加成'!$H$5+('模拟-全程加成'!$G$4+'模拟-全程加成'!$G$5+('模拟-全程加成'!$C$6-'模拟-全程加成'!$C$3)*系数!$B$13)/系数!$B$3+LOOKUP(D66,'模拟-单技能数据'!$A$2:$A$19,'模拟-单技能数据'!$K$2:$K$19)+BG66*10%+IF(BV66&gt;0,378,0)</f>
        <v>0.51185145527300213</v>
      </c>
      <c r="I66" s="45">
        <f ca="1">'模拟-全程加成'!$J$3+'模拟-全程加成'!$J$4+'模拟-全程加成'!$J$5+('模拟-全程加成'!$I$4+'模拟-全程加成'!$I$5)/系数!$B$4+LOOKUP(D66,'模拟-单技能数据'!$A$2:$A$19,'模拟-单技能数据'!$L$2:$L$19)+BG66*10%</f>
        <v>2.162482885499879</v>
      </c>
      <c r="J66" s="45">
        <f ca="1">(('模拟-全程加成'!$K$3+'模拟-全程加成'!$K$4+'模拟-全程加成'!$K$5+('模拟-全程加成'!$C$6-'模拟-全程加成'!$C$3)*系数!$B$10+IF(BV66&gt;0,882,0)+IF(BY66&gt;0,1831,0))*(1+'模拟-全程加成'!$L$4+'模拟-全程加成'!$L$5+CC66*20%))/系数!$B$5</f>
        <v>0.69723220422048726</v>
      </c>
      <c r="K66" s="119">
        <f ca="1">LOOKUP(D66,'模拟-单技能数据'!$A$2:$A$19,'模拟-单技能数据'!$J$2:$J$19)+IF(CM66,60%,0)+IF(DB65-DB66&gt;0,30%,0)+IF(OR(AND(OR(C66="赤日轮1",C66="赤日轮2",C66="赤日轮3"),CR66),AND(OR(C66="幽月轮1",C66="幽月轮2",C66="幽月轮3"),CS66)),35%,0)+CJ66</f>
        <v>0.15000000000000002</v>
      </c>
      <c r="L66" s="119">
        <f ca="1">IF(AND(C66="烈日斩",模拟模式!$X$11=1),10%,0)+IF(AND(C66="驱夜断愁",AB66=1),30%,0)</f>
        <v>0.3</v>
      </c>
      <c r="M66" s="45">
        <f t="shared" ca="1" si="15"/>
        <v>0.51185145527300213</v>
      </c>
      <c r="N66" s="45">
        <f t="shared" ca="1" si="16"/>
        <v>0.43424854472699792</v>
      </c>
      <c r="O66" s="46">
        <f t="shared" ca="1" si="17"/>
        <v>0.32952672483308632</v>
      </c>
      <c r="P66" s="46" t="str">
        <f t="shared" ca="1" si="18"/>
        <v>会</v>
      </c>
      <c r="Q66" s="45">
        <f t="shared" ca="1" si="19"/>
        <v>2.162482885499879</v>
      </c>
      <c r="R66" s="117">
        <f ca="1">模拟模式!$E$20*(1-IF(模拟模式!$J$19="有",0.15,0))*(1-IF(模拟模式!$K$19="有",0.3,0)-IF(CQ66,0.5,0))</f>
        <v>843.02999999999975</v>
      </c>
      <c r="S66" s="45">
        <f ca="1">R66/(R66+(185*模拟模式!$E$22-16800)*4.08224)</f>
        <v>8.389626085980037E-2</v>
      </c>
      <c r="T66" s="45" t="str">
        <f ca="1">LOOKUP(D66,'模拟-单技能数据'!$A$2:$A$19,'模拟-单技能数据'!$H$2:$H$19)</f>
        <v>阴</v>
      </c>
      <c r="U66" s="119">
        <f t="shared" ca="1" si="20"/>
        <v>0.08</v>
      </c>
      <c r="V66" s="47">
        <f ca="1">(1+L66)*(LOOKUP(D66,'模拟-单技能数据'!$A$2:$A$19,'模拟-单技能数据'!$D$2:$D$19)+G66*LOOKUP(D66,'模拟-单技能数据'!$A$2:$A$19,'模拟-单技能数据'!$F$2:$F$19))*(1+J66)*(1+K66)*(1-S66)*(1+U66)*Q66*LOOKUP(D66,'模拟-单技能数据'!$A$2:$A$19,'模拟-单技能数据'!$I$2:$I$20)</f>
        <v>134246.71846289007</v>
      </c>
      <c r="W66" s="47">
        <f ca="1">LOOKUP(D66,'模拟-单技能数据'!$A$2:$A$19,'模拟-单技能数据'!$G$2:$G$19)*$I$10</f>
        <v>723.0212870940959</v>
      </c>
      <c r="X66" s="47">
        <f t="shared" ca="1" si="21"/>
        <v>56417.884370311374</v>
      </c>
      <c r="Y66" s="47">
        <f t="shared" ca="1" si="22"/>
        <v>191387.62412029554</v>
      </c>
      <c r="Z66" s="49">
        <f t="shared" ca="1" si="23"/>
        <v>3899535.5655510766</v>
      </c>
      <c r="AA66" s="97">
        <f t="shared" ca="1" si="24"/>
        <v>108388.17498578495</v>
      </c>
      <c r="AB66" s="115">
        <f ca="1">IF(OR(C66="赤日轮1",C66="赤日轮2",C66="赤日轮3"),IF(RAND()&lt;模拟模式!$Y$17,1,0),IF(OR(C66="幽月轮1",C66="幽月轮2",C66="幽月轮3"),IF(RAND()&lt;模拟模式!$Y$18,1,0),IF(C66="烈日斩",IF(RAND()&lt;模拟模式!$Y$19,1,0),IF(C66="银月斩",IF(RAND()&lt;模拟模式!$Y$20,1,0),IF(C66="驱夜断愁",IF(RAND()&lt;模拟模式!$Y$21,1,0),IF(C66="净世破魔击·日",IF(RAND()&lt;模拟模式!$Y$22,1,0),IF(C66="净世破魔击·月",IF(RAND()&lt;模拟模式!$Y$23,1,0),0)))))))</f>
        <v>1</v>
      </c>
      <c r="AC66" s="115" t="b">
        <f t="shared" ca="1" si="56"/>
        <v>0</v>
      </c>
      <c r="AD66" s="115" t="b">
        <f t="shared" ca="1" si="52"/>
        <v>0</v>
      </c>
      <c r="AE66" s="115">
        <f t="shared" ca="1" si="53"/>
        <v>5</v>
      </c>
      <c r="AF66" s="47">
        <f ca="1">IF(AC66,('模拟-单技能数据'!$D$20+G66*'模拟-单技能数据'!$F$20)*(1+J66)*(1+'模拟-单技能数据'!$J$20)*(1+U66),0)</f>
        <v>0</v>
      </c>
      <c r="AG66" s="61">
        <f t="shared" ca="1" si="25"/>
        <v>0.64185145527300214</v>
      </c>
      <c r="AH66" s="61">
        <f t="shared" ca="1" si="26"/>
        <v>2.2624828854998791</v>
      </c>
      <c r="AI66" s="62">
        <f t="shared" ca="1" si="27"/>
        <v>0.93199175760718134</v>
      </c>
      <c r="AJ66" s="47">
        <f ca="1">IF(AD66,IF(AI66&lt;$F$10,0,IF(AI66&lt;$F$10+$F$11,0.25,IF(AI66&lt;$F$10+$F$11+AG66,AH66,1)))*IF(AF66&gt;0,AF66,IF(AF65&gt;0,AF65,IF(AF64&gt;0,AF64,IF(AF63&gt;0,AF63,IF(AF62&gt;0,AF62,IF(AF61&gt;0,AF61,IF(AF60&gt;0,AF60,IF(AF59&gt;0,AF59,IF(AF58&gt;0,AF58,IF(AF56&gt;0,AF56,IF(AF55&gt;0,AF55,IF(AF54&gt;0,AF54,0)))))))))))),0)*(1-$S66)*'模拟-单技能数据'!$I$20</f>
        <v>0</v>
      </c>
      <c r="AK66" s="115" t="b">
        <f t="shared" ca="1" si="57"/>
        <v>0</v>
      </c>
      <c r="AL66" s="115" t="b">
        <f t="shared" ca="1" si="54"/>
        <v>0</v>
      </c>
      <c r="AM66" s="115">
        <f t="shared" ca="1" si="55"/>
        <v>4</v>
      </c>
      <c r="AN66" s="47">
        <f ca="1">IF(AK66,('模拟-单技能数据'!$D$21+G66*'模拟-单技能数据'!$F$21)*(1+J66)*(1+'模拟-单技能数据'!$J$21)*(1+U66),0)</f>
        <v>0</v>
      </c>
      <c r="AO66" s="61">
        <f ca="1">IF(AN66&gt;0,M66-'模拟-单技能数据'!$K$10,AO65)</f>
        <v>0.42185145527300216</v>
      </c>
      <c r="AP66" s="61">
        <f ca="1">IF(AN66&gt;0,I66-'模拟-单技能数据'!$L$10,AP65)</f>
        <v>2.162482885499879</v>
      </c>
      <c r="AQ66" s="63">
        <f t="shared" ca="1" si="28"/>
        <v>0.90545280414537455</v>
      </c>
      <c r="AR66" s="64">
        <f ca="1">IF(AL66,IF(AQ66&lt;$F$10,0,IF(AQ66&lt;$F$10+$F$11,0.25,IF(AQ66&lt;$F$10+$F$11+AO66,AP66,1)))*IF(AN66&gt;0,AN66,IF(AN65&gt;0,AN65,IF(AN64&gt;0,AN64,IF(AN63&gt;0,AN63,IF(AN62&gt;0,AN62,IF(AN61&gt;0,AN61,IF(AN60&gt;0,AN60,IF(AN59&gt;0,AN59,IF(AN58&gt;0,AN58,IF(AN56&gt;0,AN56,IF(AN55&gt;0,AN55,IF(AN54&gt;0,AN54,0)))))))))))),0)*(1-$S66)*'模拟-单技能数据'!$I$21</f>
        <v>0</v>
      </c>
      <c r="AS66" s="61">
        <f ca="1">IF(OR(C66="净世破魔击·日",C66="净世破魔击·月"),M66-'模拟-单技能数据'!$K$10,0)</f>
        <v>0</v>
      </c>
      <c r="AT66" s="61">
        <f ca="1">IF(OR(C66="净世破魔击·日",C66="净世破魔击·月"),I66-'模拟-单技能数据'!$L$10,0)</f>
        <v>0</v>
      </c>
      <c r="AU66" s="62">
        <f t="shared" ca="1" si="29"/>
        <v>0.56671134683108759</v>
      </c>
      <c r="AV66" s="64">
        <f ca="1">IF(AS66&gt;0,('模拟-单技能数据'!$D$22+G66*'模拟-单技能数据'!$F$22)*(1+J66)*(1-S66)*IF(AU66&lt;$F$10,0,IF(AU66&lt;$F$10+$F$11,0.25,IF(AU66&lt;$F$10+$F$11+AS66,AT66,1)))*(1+U66),0)*'模拟-单技能数据'!$I$22</f>
        <v>0</v>
      </c>
      <c r="AW66" s="108">
        <f t="shared" ca="1" si="30"/>
        <v>19.077500000000001</v>
      </c>
      <c r="AX66" s="108" t="b">
        <f ca="1">AND(模拟模式!$P$10="有",AW65=0,RAND()&lt;IF(C66="净世破魔击·月",0.1*8/3,IF(C66="净世破魔击·日",0.1*4/3,0.1*2/3)))</f>
        <v>1</v>
      </c>
      <c r="AY66" s="47">
        <f ca="1">IF(AX66,(18+G66*0.722)*(1+J66)*(1-S66)*(1+$I$4)*IF(P66="会",'模拟-全程加成'!$J$3+'模拟-全程加成'!$J$4+'模拟-全程加成'!$J$5+('模拟-全程加成'!$I$4+'模拟-全程加成'!$I$5)/系数!$B$4+BG66*10%,IF(P66="命",1,IF(P66="识",0.25,0))),0)</f>
        <v>56417.884370311374</v>
      </c>
      <c r="AZ66" s="108">
        <f t="shared" si="31"/>
        <v>4.3175000000000061</v>
      </c>
      <c r="BA66" s="108" t="b">
        <f>AND(模拟模式!$Q$10="有",AZ65=0)</f>
        <v>0</v>
      </c>
      <c r="BB66" s="140">
        <f>IF(BA66,(0+G66*0.287)*(1+J66)*(1-S66)*(1+$I$4)*IF(P66="会",'模拟-全程加成'!$J$3+'模拟-全程加成'!$J$4+'模拟-全程加成'!$J$5+('模拟-全程加成'!$I$4+'模拟-全程加成'!$I$5)/系数!$B$4+BG66*10%,IF(P66="命",1,IF(P66="识",0.25,0))),0)</f>
        <v>0</v>
      </c>
      <c r="BC66" s="115" t="b">
        <f ca="1">AND(模拟模式!$R$7="伏明众生",E66=60,F66=20,DA66&lt;5,CZ65&lt;$F$4)</f>
        <v>0</v>
      </c>
      <c r="BD66" s="115">
        <f t="shared" ca="1" si="58"/>
        <v>0</v>
      </c>
      <c r="BE66" s="115" t="b">
        <f t="shared" ca="1" si="59"/>
        <v>0</v>
      </c>
      <c r="BF66" s="47">
        <f ca="1">IF(BC66,4*('模拟-单技能数据'!$D$24+G66*'模拟-单技能数据'!$F$24)*(1+J66)*(1+'模拟-单技能数据'!$J$24)*(1-S66)*(1+$I$3)*(('模拟-全程加成'!$J$3+'模拟-全程加成'!$J$4+'模拟-全程加成'!$J$5+('模拟-全程加成'!$I$4+'模拟-全程加成'!$I$5)/系数!$B$4+BG66*10%)*('模拟-全程加成'!$J$3+'模拟-全程加成'!$J$4+'模拟-全程加成'!$J$5+('模拟-全程加成'!$I$4+'模拟-全程加成'!$I$5)/系数!$B$4+BG66*10%)+(1-('模拟-全程加成'!$J$3+'模拟-全程加成'!$J$4+'模拟-全程加成'!$J$5+('模拟-全程加成'!$I$4+'模拟-全程加成'!$I$5)/系数!$B$4+BG66*10%)-$F$10-$F$11)+F52*0.25),0)*'模拟-单技能数据'!$I$24</f>
        <v>0</v>
      </c>
      <c r="BG66" s="115" t="b">
        <f ca="1">OR(AND(OR(C66="烈日斩",C66="银月斩"),模拟模式!$I$7="净身明礼"),AND(C66="净世破魔击·日",模拟模式!$J$7="洞若观火"),AND(C67="净世破魔击·月",模拟模式!$J$7="洞若观火"),AB66=1)</f>
        <v>1</v>
      </c>
      <c r="BH66" s="115" t="b">
        <f t="shared" ca="1" si="32"/>
        <v>1</v>
      </c>
      <c r="BI66" s="115">
        <f t="shared" ca="1" si="60"/>
        <v>6</v>
      </c>
      <c r="BJ66" s="115" t="b">
        <f t="shared" ca="1" si="33"/>
        <v>1</v>
      </c>
      <c r="BK66" s="115" t="b">
        <f ca="1">AND(C66="驱夜断愁",模拟模式!$P$7="天地诛戮")</f>
        <v>1</v>
      </c>
      <c r="BL66" s="57">
        <f t="shared" ca="1" si="61"/>
        <v>20</v>
      </c>
      <c r="BM66" s="115" t="b">
        <f t="shared" ca="1" si="34"/>
        <v>1</v>
      </c>
      <c r="BN66" s="115" t="b">
        <f ca="1">AND(OR(C66="赤日轮1",C66="赤日轮2",C66="赤日轮3",C66="幽月轮1",C66="幽月轮2",C66="幽月轮3"),AB66=1,模拟模式!$L$7="明光恒照")</f>
        <v>0</v>
      </c>
      <c r="BO66" s="117">
        <f t="shared" ca="1" si="62"/>
        <v>28.155000000000001</v>
      </c>
      <c r="BP66" s="115">
        <f t="shared" ca="1" si="35"/>
        <v>6</v>
      </c>
      <c r="BQ66" s="115" t="b">
        <f>模拟模式!$K$10="2600·水"</f>
        <v>0</v>
      </c>
      <c r="BR66" s="117">
        <f t="shared" si="36"/>
        <v>0</v>
      </c>
      <c r="BS66" s="115">
        <f t="shared" si="37"/>
        <v>0</v>
      </c>
      <c r="BT66" s="115">
        <f t="shared" ca="1" si="38"/>
        <v>0</v>
      </c>
      <c r="BU66" s="115" t="b">
        <f ca="1">AND(模拟模式!$K$10="2300·雷",BT65=0,RAND()&lt;IF(C66="净世破魔击·月",5*0.05*2/3,IF(C66="净世破魔击·日",3*0.05*2/3,0.05*2*2/3)))</f>
        <v>0</v>
      </c>
      <c r="BV66" s="115">
        <f t="shared" ca="1" si="39"/>
        <v>0</v>
      </c>
      <c r="BW66" s="115">
        <f t="shared" ca="1" si="40"/>
        <v>149.55749999999955</v>
      </c>
      <c r="BX66" s="164" t="b">
        <f t="shared" ca="1" si="41"/>
        <v>0</v>
      </c>
      <c r="BY66" s="115">
        <f t="shared" ca="1" si="42"/>
        <v>0</v>
      </c>
      <c r="BZ66" s="115">
        <f>IF(OR(模拟模式!$P$16="10人团",模拟模式!$P$16="25人团"),IF(B66/30&gt;CA65,1,0),0)</f>
        <v>0</v>
      </c>
      <c r="CA66" s="115">
        <f t="shared" si="8"/>
        <v>0</v>
      </c>
      <c r="CB66" s="115">
        <f ca="1">IF(BZ66=1,IF(模拟模式!$P$16="10人团",15,0)+IF(模拟模式!$P$16="25人团",IF(RAND()&lt;0.6,15,0)),MAX(0,CB65-$F$4))</f>
        <v>0</v>
      </c>
      <c r="CC66" s="115" t="b">
        <f t="shared" ca="1" si="43"/>
        <v>0</v>
      </c>
      <c r="CD66" s="115">
        <f>IF(模拟模式!$Q$16="1个",IF(B66/40&gt;CE65,1,0),0)</f>
        <v>0</v>
      </c>
      <c r="CE66" s="115">
        <f t="shared" si="44"/>
        <v>0</v>
      </c>
      <c r="CF66" s="115">
        <f>IF(OR(CD66=1,模拟模式!$Q$16="2个"),20,MAX(0,CF65-$F$4))</f>
        <v>0</v>
      </c>
      <c r="CG66" s="115" t="b">
        <f t="shared" si="45"/>
        <v>0</v>
      </c>
      <c r="CH66" s="115">
        <f t="shared" ca="1" si="46"/>
        <v>29.077500000000001</v>
      </c>
      <c r="CI66" s="115" t="b">
        <f t="shared" ca="1" si="47"/>
        <v>1</v>
      </c>
      <c r="CJ66" s="119">
        <f t="shared" ca="1" si="48"/>
        <v>0.01</v>
      </c>
      <c r="CK66" s="115">
        <f t="shared" ca="1" si="49"/>
        <v>7.0774999999999997</v>
      </c>
      <c r="CL66" s="115" t="b">
        <f ca="1">AND(模拟模式!$S$7="驱夷逐法",OR(AND(C66="净世破魔击·月",E65&gt;59),AND(C66="净世破魔击·日",F65&gt;59)))</f>
        <v>0</v>
      </c>
      <c r="CM66" s="115" t="b">
        <f ca="1">OR(CL66,AND(C66="净世破魔击·日",CL65,RAND()&lt;模拟模式!$U$23))</f>
        <v>0</v>
      </c>
      <c r="CN66" s="115" t="b">
        <f ca="1">IF(模拟模式!$M$7="辉耀红尘",AND(C66="净世破魔击·月",CL66,CV66=0,E65&lt;80),AND(C66="净世破魔击·月",CL66,E65&lt;100))</f>
        <v>0</v>
      </c>
      <c r="CO66" s="115" t="b">
        <f t="shared" ca="1" si="9"/>
        <v>0</v>
      </c>
      <c r="CP66" s="115" t="b">
        <f ca="1">AND(模拟模式!$O$7="用晦而明",OR(C66="净世破魔击·日",C66="净世破魔击·月",C66="驱夜断愁"),AB66)</f>
        <v>1</v>
      </c>
      <c r="CQ66" s="115" t="b">
        <f ca="1">OR(CP66,AND(CP65,RAND()&lt;模拟模式!$U$23))</f>
        <v>1</v>
      </c>
      <c r="CR66" s="115" t="b">
        <f ca="1">AND(模拟模式!$S$7="日月齐光",OR(C66="幽月轮1",C66="幽月轮2",C66="幽月轮3",CR65),NOT(OR(C66="赤日轮1",C66="赤日轮2",C66="赤日轮3")))</f>
        <v>0</v>
      </c>
      <c r="CS66" s="115" t="b">
        <f ca="1">AND(模拟模式!$S$7="日月齐光",OR(C66="赤日轮1",C66="赤日轮2",C66="赤日轮3",CS65),NOT(OR(C66="幽月轮1",C66="幽月轮2",C66="幽月轮3")))</f>
        <v>0</v>
      </c>
      <c r="CT66" s="115">
        <f t="shared" ca="1" si="50"/>
        <v>0</v>
      </c>
      <c r="CU66" s="115" t="b">
        <f ca="1">AND(模拟模式!$K$10="阴阳往极",CT65=0,RAND()&lt;IF(C66="净世破魔击·月",0.0275*7/3,IF(C66="净世破魔击·日",0.0275*3/3,0.0275*2/3)))</f>
        <v>0</v>
      </c>
      <c r="CV66" s="115">
        <f t="shared" ca="1" si="51"/>
        <v>0</v>
      </c>
      <c r="CW66" s="115">
        <f t="shared" ca="1" si="63"/>
        <v>0.46499999999999975</v>
      </c>
      <c r="CX66" s="115">
        <f t="shared" ca="1" si="64"/>
        <v>5.0774999999999997</v>
      </c>
      <c r="CY66" s="115">
        <f ca="1">MAX(IF($C66="驱夜断愁",IF(模拟模式!$R$7="万念俱寂",6,45),CY65-$F$4),0)</f>
        <v>6</v>
      </c>
      <c r="CZ66" s="115">
        <f t="shared" ca="1" si="12"/>
        <v>0</v>
      </c>
      <c r="DA66" s="115">
        <f ca="1">IF(模拟模式!$N$7="日月同辉",IF(DB65=2,0,MIN(6,IF(AND(OR(C66="赤日轮1",C66="赤日轮2",C66="赤日轮3",C66="幽月轮1",C66="幽月轮2",C66="幽月轮3"),AB66=1),DA65+1,DA65))),0)</f>
        <v>4</v>
      </c>
      <c r="DB66" s="115">
        <f t="shared" ca="1" si="13"/>
        <v>0</v>
      </c>
      <c r="DD66" s="115"/>
      <c r="DE66" s="115"/>
      <c r="DF66" s="115"/>
      <c r="DG66" s="115"/>
      <c r="DH66" s="115"/>
      <c r="DI66" s="115"/>
      <c r="DJ66" s="115"/>
      <c r="DK66" s="115"/>
      <c r="DL66" s="115"/>
      <c r="DM66" s="115"/>
    </row>
    <row r="67" spans="2:117" x14ac:dyDescent="0.2">
      <c r="B67" s="117">
        <f t="shared" si="65"/>
        <v>36.899999999999984</v>
      </c>
      <c r="C67" s="167" t="str">
        <f t="shared" ca="1" si="0"/>
        <v>烈日斩</v>
      </c>
      <c r="D67" s="115">
        <f ca="1">IF(C67="赤日轮1",1,IF(C67="赤日轮2",2,IF(C67="赤日轮3",3,IF(C67="幽月轮1",4,IF(C67="幽月轮2",5,IF(C67="幽月轮3",6,IF(C67="烈日斩",7,IF(C67="银月斩",8,IF(C67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67="净世破魔击·月",17,IF(C67="驱夜断愁",18,0)))))))))))</f>
        <v>7</v>
      </c>
      <c r="E67" s="115">
        <f ca="1">IF(AND(CU67,OR(C67="幽月轮1",C67="幽月轮2",C67="幽月轮3",C67="银月斩",C67="驱夜断愁",C67="净世破魔击·月")),100,MIN(IF(OR(CN67,BE67),0,IF(OR($C67="赤日轮1",$C67="赤日轮2",$C67="赤日轮3"),E66+20+IF(模拟模式!$I$7="日月凌天",4,0)+IF(CR66,20,0),IF($C67="烈日斩",E66+40,IF($C67="驱夜断愁",IF(模拟模式!$R$7="万念俱寂",E66+20,E66+60),IF($C67="净世破魔击·月",IF(OR(DB66&gt;0,CV66&gt;0),100,IF(模拟模式!$M$7="辉耀红尘",E66+20,E66)),IF($C67="净世破魔击·日",E66-100,E66)))))),100))</f>
        <v>80</v>
      </c>
      <c r="F67" s="115">
        <f ca="1">IF(AND(CU67,OR(C67="赤日轮1",C67="赤日轮2",C67="赤日轮3",C67="烈日斩",C67="净世破魔击·日")),100,MIN(IF(CO67,0,IF(OR($C67="幽月轮1",$C67="幽月轮2",$C67="幽月轮3"),F66+20+IF(模拟模式!$I$7="日月凌天",4,0)+IF(CS66,20,0),IF($C67="银月斩",F66+40+IF(模拟模式!$X$12=1,5,0),IF($C67="驱夜断愁",IF(模拟模式!$R$7="万念俱寂",F66+20,F66+60),IF($C67="净世破魔击·月",IF(模拟模式!$M$7="辉耀红尘",F66-80,F66-100),IF(AND(C67="净世破魔击·日",OR(DB66&gt;0,CV66&gt;0)),100,F66)))))),100))</f>
        <v>85</v>
      </c>
      <c r="G67" s="117">
        <f ca="1">('模拟-全程加成'!$E$3+'模拟-全程加成'!$E$4+'模拟-全程加成'!$E$5+('模拟-全程加成'!$C$6-'模拟-全程加成'!$C$3)*系数!$B$9+BS67*23)*(1+'模拟-全程加成'!$F$4+'模拟-全程加成'!$F$5+BJ67*10%+BM67*20%+BP67*4%+CG67*30%)+$F$7*系数!$B$12</f>
        <v>21493.829400000002</v>
      </c>
      <c r="H67" s="45">
        <f ca="1">'模拟-全程加成'!$H$3+'模拟-全程加成'!$H$4+'模拟-全程加成'!$H$5+('模拟-全程加成'!$G$4+'模拟-全程加成'!$G$5+('模拟-全程加成'!$C$6-'模拟-全程加成'!$C$3)*系数!$B$13)/系数!$B$3+LOOKUP(D67,'模拟-单技能数据'!$A$2:$A$19,'模拟-单技能数据'!$K$2:$K$19)+BG67*10%+IF(BV67&gt;0,378,0)</f>
        <v>0.56185145527300218</v>
      </c>
      <c r="I67" s="45">
        <f ca="1">'模拟-全程加成'!$J$3+'模拟-全程加成'!$J$4+'模拟-全程加成'!$J$5+('模拟-全程加成'!$I$4+'模拟-全程加成'!$I$5)/系数!$B$4+LOOKUP(D67,'模拟-单技能数据'!$A$2:$A$19,'模拟-单技能数据'!$L$2:$L$19)+BG67*10%</f>
        <v>2.2624828854998791</v>
      </c>
      <c r="J67" s="45">
        <f ca="1">(('模拟-全程加成'!$K$3+'模拟-全程加成'!$K$4+'模拟-全程加成'!$K$5+('模拟-全程加成'!$C$6-'模拟-全程加成'!$C$3)*系数!$B$10+IF(BV67&gt;0,882,0)+IF(BY67&gt;0,1831,0))*(1+'模拟-全程加成'!$L$4+'模拟-全程加成'!$L$5+CC67*20%))/系数!$B$5</f>
        <v>0.69723220422048726</v>
      </c>
      <c r="K67" s="119">
        <f ca="1">LOOKUP(D67,'模拟-单技能数据'!$A$2:$A$19,'模拟-单技能数据'!$J$2:$J$19)+IF(CM67,60%,0)+IF(DB66-DB67&gt;0,30%,0)+IF(OR(AND(OR(C67="赤日轮1",C67="赤日轮2",C67="赤日轮3"),CR67),AND(OR(C67="幽月轮1",C67="幽月轮2",C67="幽月轮3"),CS67)),35%,0)+CJ67</f>
        <v>0.25</v>
      </c>
      <c r="L67" s="119">
        <f ca="1">IF(AND(C67="烈日斩",模拟模式!$X$11=1),10%,0)+IF(AND(C67="驱夜断愁",AB67=1),30%,0)</f>
        <v>0.1</v>
      </c>
      <c r="M67" s="45">
        <f t="shared" ca="1" si="15"/>
        <v>0.56185145527300218</v>
      </c>
      <c r="N67" s="45">
        <f t="shared" ca="1" si="16"/>
        <v>0.38424854472699788</v>
      </c>
      <c r="O67" s="46">
        <f t="shared" ca="1" si="17"/>
        <v>0.29337784887871587</v>
      </c>
      <c r="P67" s="46" t="str">
        <f t="shared" ca="1" si="18"/>
        <v>会</v>
      </c>
      <c r="Q67" s="45">
        <f t="shared" ca="1" si="19"/>
        <v>2.2624828854998791</v>
      </c>
      <c r="R67" s="117">
        <f ca="1">模拟模式!$E$20*(1-IF(模拟模式!$J$19="有",0.15,0))*(1-IF(模拟模式!$K$19="有",0.3,0)-IF(CQ67,0.5,0))</f>
        <v>843.02999999999975</v>
      </c>
      <c r="S67" s="45">
        <f ca="1">R67/(R67+(185*模拟模式!$E$22-16800)*4.08224)</f>
        <v>8.389626085980037E-2</v>
      </c>
      <c r="T67" s="45" t="str">
        <f ca="1">LOOKUP(D67,'模拟-单技能数据'!$A$2:$A$19,'模拟-单技能数据'!$H$2:$H$19)</f>
        <v>阳</v>
      </c>
      <c r="U67" s="119">
        <f t="shared" ca="1" si="20"/>
        <v>0.2</v>
      </c>
      <c r="V67" s="47">
        <f ca="1">(1+L67)*(LOOKUP(D67,'模拟-单技能数据'!$A$2:$A$19,'模拟-单技能数据'!$D$2:$D$19)+G67*LOOKUP(D67,'模拟-单技能数据'!$A$2:$A$19,'模拟-单技能数据'!$F$2:$F$19))*(1+J67)*(1+K67)*(1-S67)*(1+U67)*Q67*LOOKUP(D67,'模拟-单技能数据'!$A$2:$A$19,'模拟-单技能数据'!$I$2:$I$20)</f>
        <v>111394.5122696896</v>
      </c>
      <c r="W67" s="47">
        <f ca="1">LOOKUP(D67,'模拟-单技能数据'!$A$2:$A$19,'模拟-单技能数据'!$G$2:$G$19)*$I$10</f>
        <v>361.51064354704795</v>
      </c>
      <c r="X67" s="47">
        <f t="shared" ca="1" si="21"/>
        <v>12670.513936385452</v>
      </c>
      <c r="Y67" s="47">
        <f t="shared" ca="1" si="22"/>
        <v>124426.53684962211</v>
      </c>
      <c r="Z67" s="49">
        <f t="shared" ca="1" si="23"/>
        <v>4023962.1024006987</v>
      </c>
      <c r="AA67" s="97">
        <f t="shared" ca="1" si="24"/>
        <v>109050.46347969378</v>
      </c>
      <c r="AB67" s="115">
        <f ca="1">IF(OR(C67="赤日轮1",C67="赤日轮2",C67="赤日轮3"),IF(RAND()&lt;模拟模式!$Y$17,1,0),IF(OR(C67="幽月轮1",C67="幽月轮2",C67="幽月轮3"),IF(RAND()&lt;模拟模式!$Y$18,1,0),IF(C67="烈日斩",IF(RAND()&lt;模拟模式!$Y$19,1,0),IF(C67="银月斩",IF(RAND()&lt;模拟模式!$Y$20,1,0),IF(C67="驱夜断愁",IF(RAND()&lt;模拟模式!$Y$21,1,0),IF(C67="净世破魔击·日",IF(RAND()&lt;模拟模式!$Y$22,1,0),IF(C67="净世破魔击·月",IF(RAND()&lt;模拟模式!$Y$23,1,0),0)))))))</f>
        <v>1</v>
      </c>
      <c r="AC67" s="115" t="b">
        <f t="shared" ca="1" si="56"/>
        <v>0</v>
      </c>
      <c r="AD67" s="115" t="b">
        <f t="shared" ca="1" si="52"/>
        <v>1</v>
      </c>
      <c r="AE67" s="115">
        <f t="shared" ca="1" si="53"/>
        <v>4</v>
      </c>
      <c r="AF67" s="47">
        <f ca="1">IF(AC67,('模拟-单技能数据'!$D$20+G67*'模拟-单技能数据'!$F$20)*(1+J67)*(1+'模拟-单技能数据'!$J$20)*(1+U67),0)</f>
        <v>0</v>
      </c>
      <c r="AG67" s="61">
        <f t="shared" ca="1" si="25"/>
        <v>0.64185145527300214</v>
      </c>
      <c r="AH67" s="61">
        <f t="shared" ca="1" si="26"/>
        <v>2.2624828854998791</v>
      </c>
      <c r="AI67" s="62">
        <f t="shared" ca="1" si="27"/>
        <v>5.2253314341406898E-2</v>
      </c>
      <c r="AJ67" s="47">
        <f ca="1">IF(AD67,IF(AI67&lt;$F$10,0,IF(AI67&lt;$F$10+$F$11,0.25,IF(AI67&lt;$F$10+$F$11+AG67,AH67,1)))*IF(AF67&gt;0,AF67,IF(AF66&gt;0,AF66,IF(AF65&gt;0,AF65,IF(AF64&gt;0,AF64,IF(AF63&gt;0,AF63,IF(AF62&gt;0,AF62,IF(AF61&gt;0,AF61,IF(AF60&gt;0,AF60,IF(AF59&gt;0,AF59,IF(AF57&gt;0,AF57,IF(AF56&gt;0,AF56,IF(AF55&gt;0,AF55,0)))))))))))),0)*(1-$S67)*'模拟-单技能数据'!$I$20</f>
        <v>1062.6220839292735</v>
      </c>
      <c r="AK67" s="115" t="b">
        <f t="shared" ca="1" si="57"/>
        <v>0</v>
      </c>
      <c r="AL67" s="115" t="b">
        <f t="shared" ca="1" si="54"/>
        <v>1</v>
      </c>
      <c r="AM67" s="115">
        <f t="shared" ca="1" si="55"/>
        <v>3</v>
      </c>
      <c r="AN67" s="47">
        <f ca="1">IF(AK67,('模拟-单技能数据'!$D$21+G67*'模拟-单技能数据'!$F$21)*(1+J67)*(1+'模拟-单技能数据'!$J$21)*(1+U67),0)</f>
        <v>0</v>
      </c>
      <c r="AO67" s="61">
        <f ca="1">IF(AN67&gt;0,M67-'模拟-单技能数据'!$K$10,AO66)</f>
        <v>0.42185145527300216</v>
      </c>
      <c r="AP67" s="61">
        <f ca="1">IF(AN67&gt;0,I67-'模拟-单技能数据'!$L$10,AP66)</f>
        <v>2.162482885499879</v>
      </c>
      <c r="AQ67" s="63">
        <f t="shared" ca="1" si="28"/>
        <v>0.82576695183206927</v>
      </c>
      <c r="AR67" s="64">
        <f ca="1">IF(AL67,IF(AQ67&lt;$F$10,0,IF(AQ67&lt;$F$10+$F$11,0.25,IF(AQ67&lt;$F$10+$F$11+AO67,AP67,1)))*IF(AN67&gt;0,AN67,IF(AN66&gt;0,AN66,IF(AN65&gt;0,AN65,IF(AN64&gt;0,AN64,IF(AN63&gt;0,AN63,IF(AN62&gt;0,AN62,IF(AN61&gt;0,AN61,IF(AN60&gt;0,AN60,IF(AN59&gt;0,AN59,IF(AN57&gt;0,AN57,IF(AN56&gt;0,AN56,IF(AN55&gt;0,AN55,0)))))))))))),0)*(1-$S67)*'模拟-单技能数据'!$I$21</f>
        <v>11607.89185245618</v>
      </c>
      <c r="AS67" s="61">
        <f ca="1">IF(OR(C67="净世破魔击·日",C67="净世破魔击·月"),M67-'模拟-单技能数据'!$K$10,0)</f>
        <v>0</v>
      </c>
      <c r="AT67" s="61">
        <f ca="1">IF(OR(C67="净世破魔击·日",C67="净世破魔击·月"),I67-'模拟-单技能数据'!$L$10,0)</f>
        <v>0</v>
      </c>
      <c r="AU67" s="62">
        <f t="shared" ca="1" si="29"/>
        <v>0.99958337328566116</v>
      </c>
      <c r="AV67" s="64">
        <f ca="1">IF(AS67&gt;0,('模拟-单技能数据'!$D$22+G67*'模拟-单技能数据'!$F$22)*(1+J67)*(1-S67)*IF(AU67&lt;$F$10,0,IF(AU67&lt;$F$10+$F$11,0.25,IF(AU67&lt;$F$10+$F$11+AS67,AT67,1)))*(1+U67),0)*'模拟-单技能数据'!$I$22</f>
        <v>0</v>
      </c>
      <c r="AW67" s="108">
        <f t="shared" ca="1" si="30"/>
        <v>18.155000000000001</v>
      </c>
      <c r="AX67" s="108" t="b">
        <f ca="1">AND(模拟模式!$P$10="有",AW66=0,RAND()&lt;IF(C67="净世破魔击·月",0.1*8/3,IF(C67="净世破魔击·日",0.1*4/3,0.1*2/3)))</f>
        <v>0</v>
      </c>
      <c r="AY67" s="47">
        <f ca="1">IF(AX67,(18+G67*0.722)*(1+J67)*(1-S67)*(1+$I$4)*IF(P67="会",'模拟-全程加成'!$J$3+'模拟-全程加成'!$J$4+'模拟-全程加成'!$J$5+('模拟-全程加成'!$I$4+'模拟-全程加成'!$I$5)/系数!$B$4+BG67*10%,IF(P67="命",1,IF(P67="识",0.25,0))),0)</f>
        <v>0</v>
      </c>
      <c r="AZ67" s="108">
        <f t="shared" si="31"/>
        <v>3.3950000000000062</v>
      </c>
      <c r="BA67" s="108" t="b">
        <f>AND(模拟模式!$Q$10="有",AZ66=0)</f>
        <v>0</v>
      </c>
      <c r="BB67" s="140">
        <f>IF(BA67,(0+G67*0.287)*(1+J67)*(1-S67)*(1+$I$4)*IF(P67="会",'模拟-全程加成'!$J$3+'模拟-全程加成'!$J$4+'模拟-全程加成'!$J$5+('模拟-全程加成'!$I$4+'模拟-全程加成'!$I$5)/系数!$B$4+BG67*10%,IF(P67="命",1,IF(P67="识",0.25,0))),0)</f>
        <v>0</v>
      </c>
      <c r="BC67" s="115" t="b">
        <f ca="1">AND(模拟模式!$R$7="伏明众生",E67=60,F67=20,DA67&lt;5,CZ66&lt;$F$4)</f>
        <v>0</v>
      </c>
      <c r="BD67" s="115">
        <f t="shared" ca="1" si="58"/>
        <v>0</v>
      </c>
      <c r="BE67" s="115" t="b">
        <f t="shared" ca="1" si="59"/>
        <v>0</v>
      </c>
      <c r="BF67" s="47">
        <f ca="1">IF(BC67,4*('模拟-单技能数据'!$D$24+G67*'模拟-单技能数据'!$F$24)*(1+J67)*(1+'模拟-单技能数据'!$J$24)*(1-S67)*(1+$I$3)*(('模拟-全程加成'!$J$3+'模拟-全程加成'!$J$4+'模拟-全程加成'!$J$5+('模拟-全程加成'!$I$4+'模拟-全程加成'!$I$5)/系数!$B$4+BG67*10%)*('模拟-全程加成'!$J$3+'模拟-全程加成'!$J$4+'模拟-全程加成'!$J$5+('模拟-全程加成'!$I$4+'模拟-全程加成'!$I$5)/系数!$B$4+BG67*10%)+(1-('模拟-全程加成'!$J$3+'模拟-全程加成'!$J$4+'模拟-全程加成'!$J$5+('模拟-全程加成'!$I$4+'模拟-全程加成'!$I$5)/系数!$B$4+BG67*10%)-$F$10-$F$11)+F53*0.25),0)*'模拟-单技能数据'!$I$24</f>
        <v>0</v>
      </c>
      <c r="BG67" s="115" t="b">
        <f ca="1">OR(AND(OR(C67="烈日斩",C67="银月斩"),模拟模式!$I$7="净身明礼"),AND(C67="净世破魔击·日",模拟模式!$J$7="洞若观火"),AND(C68="净世破魔击·月",模拟模式!$J$7="洞若观火"),AB67=1)</f>
        <v>1</v>
      </c>
      <c r="BH67" s="115" t="b">
        <f t="shared" ca="1" si="32"/>
        <v>0</v>
      </c>
      <c r="BI67" s="115">
        <f t="shared" ca="1" si="60"/>
        <v>5.0774999999999997</v>
      </c>
      <c r="BJ67" s="115" t="b">
        <f t="shared" ca="1" si="33"/>
        <v>1</v>
      </c>
      <c r="BK67" s="115" t="b">
        <f ca="1">AND(C67="驱夜断愁",模拟模式!$P$7="天地诛戮")</f>
        <v>0</v>
      </c>
      <c r="BL67" s="57">
        <f t="shared" ca="1" si="61"/>
        <v>19.077500000000001</v>
      </c>
      <c r="BM67" s="115" t="b">
        <f t="shared" ca="1" si="34"/>
        <v>1</v>
      </c>
      <c r="BN67" s="115" t="b">
        <f ca="1">AND(OR(C67="赤日轮1",C67="赤日轮2",C67="赤日轮3",C67="幽月轮1",C67="幽月轮2",C67="幽月轮3"),AB67=1,模拟模式!$L$7="明光恒照")</f>
        <v>0</v>
      </c>
      <c r="BO67" s="117">
        <f t="shared" ca="1" si="62"/>
        <v>27.232500000000002</v>
      </c>
      <c r="BP67" s="115">
        <f t="shared" ca="1" si="35"/>
        <v>6</v>
      </c>
      <c r="BQ67" s="115" t="b">
        <f>模拟模式!$K$10="2600·水"</f>
        <v>0</v>
      </c>
      <c r="BR67" s="117">
        <f t="shared" si="36"/>
        <v>0</v>
      </c>
      <c r="BS67" s="115">
        <f t="shared" si="37"/>
        <v>0</v>
      </c>
      <c r="BT67" s="115">
        <f t="shared" ca="1" si="38"/>
        <v>0</v>
      </c>
      <c r="BU67" s="115" t="b">
        <f ca="1">AND(模拟模式!$K$10="2300·雷",BT66=0,RAND()&lt;IF(C67="净世破魔击·月",5*0.05*2/3,IF(C67="净世破魔击·日",3*0.05*2/3,0.05*2*2/3)))</f>
        <v>0</v>
      </c>
      <c r="BV67" s="115">
        <f t="shared" ca="1" si="39"/>
        <v>0</v>
      </c>
      <c r="BW67" s="115">
        <f t="shared" ca="1" si="40"/>
        <v>148.63499999999954</v>
      </c>
      <c r="BX67" s="164" t="b">
        <f t="shared" ca="1" si="41"/>
        <v>0</v>
      </c>
      <c r="BY67" s="115">
        <f t="shared" ca="1" si="42"/>
        <v>0</v>
      </c>
      <c r="BZ67" s="115">
        <f>IF(OR(模拟模式!$P$16="10人团",模拟模式!$P$16="25人团"),IF(B67/30&gt;CA66,1,0),0)</f>
        <v>0</v>
      </c>
      <c r="CA67" s="115">
        <f t="shared" si="8"/>
        <v>0</v>
      </c>
      <c r="CB67" s="115">
        <f ca="1">IF(BZ67=1,IF(模拟模式!$P$16="10人团",15,0)+IF(模拟模式!$P$16="25人团",IF(RAND()&lt;0.6,15,0)),MAX(0,CB66-$F$4))</f>
        <v>0</v>
      </c>
      <c r="CC67" s="115" t="b">
        <f t="shared" ca="1" si="43"/>
        <v>0</v>
      </c>
      <c r="CD67" s="115">
        <f>IF(模拟模式!$Q$16="1个",IF(B67/40&gt;CE66,1,0),0)</f>
        <v>0</v>
      </c>
      <c r="CE67" s="115">
        <f t="shared" si="44"/>
        <v>0</v>
      </c>
      <c r="CF67" s="115">
        <f>IF(OR(CD67=1,模拟模式!$Q$16="2个"),20,MAX(0,CF66-$F$4))</f>
        <v>0</v>
      </c>
      <c r="CG67" s="115" t="b">
        <f t="shared" si="45"/>
        <v>0</v>
      </c>
      <c r="CH67" s="115">
        <f t="shared" ca="1" si="46"/>
        <v>28.155000000000001</v>
      </c>
      <c r="CI67" s="115" t="b">
        <f t="shared" ca="1" si="47"/>
        <v>0</v>
      </c>
      <c r="CJ67" s="119">
        <f t="shared" ca="1" si="48"/>
        <v>0.01</v>
      </c>
      <c r="CK67" s="115">
        <f t="shared" ca="1" si="49"/>
        <v>6.1549999999999994</v>
      </c>
      <c r="CL67" s="115" t="b">
        <f ca="1">AND(模拟模式!$S$7="驱夷逐法",OR(AND(C67="净世破魔击·月",E66&gt;59),AND(C67="净世破魔击·日",F66&gt;59)))</f>
        <v>0</v>
      </c>
      <c r="CM67" s="115" t="b">
        <f ca="1">OR(CL67,AND(C67="净世破魔击·日",CL66,RAND()&lt;模拟模式!$U$23))</f>
        <v>0</v>
      </c>
      <c r="CN67" s="115" t="b">
        <f ca="1">IF(模拟模式!$M$7="辉耀红尘",AND(C67="净世破魔击·月",CL67,CV67=0,E66&lt;80),AND(C67="净世破魔击·月",CL67,E66&lt;100))</f>
        <v>0</v>
      </c>
      <c r="CO67" s="115" t="b">
        <f t="shared" ca="1" si="9"/>
        <v>0</v>
      </c>
      <c r="CP67" s="115" t="b">
        <f ca="1">AND(模拟模式!$O$7="用晦而明",OR(C67="净世破魔击·日",C67="净世破魔击·月",C67="驱夜断愁"),AB67)</f>
        <v>0</v>
      </c>
      <c r="CQ67" s="115" t="b">
        <f ca="1">OR(CP67,AND(CP66,RAND()&lt;模拟模式!$U$23))</f>
        <v>1</v>
      </c>
      <c r="CR67" s="115" t="b">
        <f ca="1">AND(模拟模式!$S$7="日月齐光",OR(C67="幽月轮1",C67="幽月轮2",C67="幽月轮3",CR66),NOT(OR(C67="赤日轮1",C67="赤日轮2",C67="赤日轮3")))</f>
        <v>0</v>
      </c>
      <c r="CS67" s="115" t="b">
        <f ca="1">AND(模拟模式!$S$7="日月齐光",OR(C67="赤日轮1",C67="赤日轮2",C67="赤日轮3",CS66),NOT(OR(C67="幽月轮1",C67="幽月轮2",C67="幽月轮3")))</f>
        <v>0</v>
      </c>
      <c r="CT67" s="115">
        <f t="shared" ca="1" si="50"/>
        <v>0</v>
      </c>
      <c r="CU67" s="115" t="b">
        <f ca="1">AND(模拟模式!$K$10="阴阳往极",CT66=0,RAND()&lt;IF(C67="净世破魔击·月",0.0275*7/3,IF(C67="净世破魔击·日",0.0275*3/3,0.0275*2/3)))</f>
        <v>0</v>
      </c>
      <c r="CV67" s="115">
        <f t="shared" ca="1" si="51"/>
        <v>0</v>
      </c>
      <c r="CW67" s="115">
        <f t="shared" ca="1" si="63"/>
        <v>6</v>
      </c>
      <c r="CX67" s="115">
        <f t="shared" ca="1" si="64"/>
        <v>4.1549999999999994</v>
      </c>
      <c r="CY67" s="115">
        <f ca="1">MAX(IF($C67="驱夜断愁",IF(模拟模式!$R$7="万念俱寂",6,45),CY66-$F$4),0)</f>
        <v>5.0774999999999997</v>
      </c>
      <c r="CZ67" s="115">
        <f t="shared" ca="1" si="12"/>
        <v>0</v>
      </c>
      <c r="DA67" s="115">
        <f ca="1">IF(模拟模式!$N$7="日月同辉",IF(DB66=2,0,MIN(6,IF(AND(OR(C67="赤日轮1",C67="赤日轮2",C67="赤日轮3",C67="幽月轮1",C67="幽月轮2",C67="幽月轮3"),AB67=1),DA66+1,DA66))),0)</f>
        <v>4</v>
      </c>
      <c r="DB67" s="115">
        <f t="shared" ca="1" si="13"/>
        <v>0</v>
      </c>
      <c r="DD67" s="115"/>
      <c r="DE67" s="115"/>
      <c r="DF67" s="115"/>
      <c r="DG67" s="115"/>
      <c r="DH67" s="115"/>
      <c r="DI67" s="115"/>
      <c r="DJ67" s="115"/>
      <c r="DK67" s="115"/>
      <c r="DL67" s="115"/>
      <c r="DM67" s="115"/>
    </row>
    <row r="68" spans="2:117" x14ac:dyDescent="0.2">
      <c r="B68" s="117">
        <f t="shared" si="65"/>
        <v>37.822499999999984</v>
      </c>
      <c r="C68" s="167" t="str">
        <f t="shared" ca="1" si="0"/>
        <v>幽月轮1</v>
      </c>
      <c r="D68" s="115">
        <f ca="1">IF(C68="赤日轮1",1,IF(C68="赤日轮2",2,IF(C68="赤日轮3",3,IF(C68="幽月轮1",4,IF(C68="幽月轮2",5,IF(C68="幽月轮3",6,IF(C68="烈日斩",7,IF(C68="银月斩",8,IF(C68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68="净世破魔击·月",17,IF(C68="驱夜断愁",18,0)))))))))))</f>
        <v>4</v>
      </c>
      <c r="E68" s="115">
        <f ca="1">IF(AND(CU68,OR(C68="幽月轮1",C68="幽月轮2",C68="幽月轮3",C68="银月斩",C68="驱夜断愁",C68="净世破魔击·月")),100,MIN(IF(OR(CN68,BE68),0,IF(OR($C68="赤日轮1",$C68="赤日轮2",$C68="赤日轮3"),E67+20+IF(模拟模式!$I$7="日月凌天",4,0)+IF(CR67,20,0),IF($C68="烈日斩",E67+40,IF($C68="驱夜断愁",IF(模拟模式!$R$7="万念俱寂",E67+20,E67+60),IF($C68="净世破魔击·月",IF(OR(DB67&gt;0,CV67&gt;0),100,IF(模拟模式!$M$7="辉耀红尘",E67+20,E67)),IF($C68="净世破魔击·日",E67-100,E67)))))),100))</f>
        <v>80</v>
      </c>
      <c r="F68" s="115">
        <f ca="1">IF(AND(CU68,OR(C68="赤日轮1",C68="赤日轮2",C68="赤日轮3",C68="烈日斩",C68="净世破魔击·日")),100,MIN(IF(CO68,0,IF(OR($C68="幽月轮1",$C68="幽月轮2",$C68="幽月轮3"),F67+20+IF(模拟模式!$I$7="日月凌天",4,0)+IF(CS67,20,0),IF($C68="银月斩",F67+40+IF(模拟模式!$X$12=1,5,0),IF($C68="驱夜断愁",IF(模拟模式!$R$7="万念俱寂",F67+20,F67+60),IF($C68="净世破魔击·月",IF(模拟模式!$M$7="辉耀红尘",F67-80,F67-100),IF(AND(C68="净世破魔击·日",OR(DB67&gt;0,CV67&gt;0)),100,F67)))))),100))</f>
        <v>100</v>
      </c>
      <c r="G68" s="117">
        <f ca="1">('模拟-全程加成'!$E$3+'模拟-全程加成'!$E$4+'模拟-全程加成'!$E$5+('模拟-全程加成'!$C$6-'模拟-全程加成'!$C$3)*系数!$B$9+BS68*23)*(1+'模拟-全程加成'!$F$4+'模拟-全程加成'!$F$5+BJ68*10%+BM68*20%+BP68*4%+CG68*30%)+$F$7*系数!$B$12</f>
        <v>21493.829400000002</v>
      </c>
      <c r="H68" s="45">
        <f ca="1">'模拟-全程加成'!$H$3+'模拟-全程加成'!$H$4+'模拟-全程加成'!$H$5+('模拟-全程加成'!$G$4+'模拟-全程加成'!$G$5+('模拟-全程加成'!$C$6-'模拟-全程加成'!$C$3)*系数!$B$13)/系数!$B$3+LOOKUP(D68,'模拟-单技能数据'!$A$2:$A$19,'模拟-单技能数据'!$K$2:$K$19)+BG68*10%+IF(BV68&gt;0,378,0)</f>
        <v>0.51185145527300213</v>
      </c>
      <c r="I68" s="45">
        <f ca="1">'模拟-全程加成'!$J$3+'模拟-全程加成'!$J$4+'模拟-全程加成'!$J$5+('模拟-全程加成'!$I$4+'模拟-全程加成'!$I$5)/系数!$B$4+LOOKUP(D68,'模拟-单技能数据'!$A$2:$A$19,'模拟-单技能数据'!$L$2:$L$19)+BG68*10%</f>
        <v>2.162482885499879</v>
      </c>
      <c r="J68" s="45">
        <f ca="1">(('模拟-全程加成'!$K$3+'模拟-全程加成'!$K$4+'模拟-全程加成'!$K$5+('模拟-全程加成'!$C$6-'模拟-全程加成'!$C$3)*系数!$B$10+IF(BV68&gt;0,882,0)+IF(BY68&gt;0,1831,0))*(1+'模拟-全程加成'!$L$4+'模拟-全程加成'!$L$5+CC68*20%))/系数!$B$5</f>
        <v>0.69723220422048726</v>
      </c>
      <c r="K68" s="119">
        <f ca="1">LOOKUP(D68,'模拟-单技能数据'!$A$2:$A$19,'模拟-单技能数据'!$J$2:$J$19)+IF(CM68,60%,0)+IF(DB67-DB68&gt;0,30%,0)+IF(OR(AND(OR(C68="赤日轮1",C68="赤日轮2",C68="赤日轮3"),CR68),AND(OR(C68="幽月轮1",C68="幽月轮2",C68="幽月轮3"),CS68)),35%,0)+CJ68</f>
        <v>0.08</v>
      </c>
      <c r="L68" s="119">
        <f ca="1">IF(AND(C68="烈日斩",模拟模式!$X$11=1),10%,0)+IF(AND(C68="驱夜断愁",AB68=1),30%,0)</f>
        <v>0</v>
      </c>
      <c r="M68" s="45">
        <f t="shared" ca="1" si="15"/>
        <v>0.51185145527300213</v>
      </c>
      <c r="N68" s="45">
        <f t="shared" ca="1" si="16"/>
        <v>0.43424854472699792</v>
      </c>
      <c r="O68" s="46">
        <f t="shared" ca="1" si="17"/>
        <v>0.96566620241613088</v>
      </c>
      <c r="P68" s="46" t="str">
        <f t="shared" ca="1" si="18"/>
        <v>命</v>
      </c>
      <c r="Q68" s="45">
        <f t="shared" ca="1" si="19"/>
        <v>1</v>
      </c>
      <c r="R68" s="117">
        <f ca="1">模拟模式!$E$20*(1-IF(模拟模式!$J$19="有",0.15,0))*(1-IF(模拟模式!$K$19="有",0.3,0)-IF(CQ68,0.5,0))</f>
        <v>2950.6049999999996</v>
      </c>
      <c r="S68" s="45">
        <f ca="1">R68/(R68+(185*模拟模式!$E$22-16800)*4.08224)</f>
        <v>0.24272716014590323</v>
      </c>
      <c r="T68" s="45" t="str">
        <f ca="1">LOOKUP(D68,'模拟-单技能数据'!$A$2:$A$19,'模拟-单技能数据'!$H$2:$H$19)</f>
        <v>阴</v>
      </c>
      <c r="U68" s="119">
        <f t="shared" ca="1" si="20"/>
        <v>0.08</v>
      </c>
      <c r="V68" s="47">
        <f ca="1">(1+L68)*(LOOKUP(D68,'模拟-单技能数据'!$A$2:$A$19,'模拟-单技能数据'!$D$2:$D$19)+G68*LOOKUP(D68,'模拟-单技能数据'!$A$2:$A$19,'模拟-单技能数据'!$F$2:$F$19))*(1+J68)*(1+K68)*(1-S68)*(1+U68)*Q68*LOOKUP(D68,'模拟-单技能数据'!$A$2:$A$19,'模拟-单技能数据'!$I$2:$I$20)</f>
        <v>17097.497192206338</v>
      </c>
      <c r="W68" s="47">
        <f ca="1">LOOKUP(D68,'模拟-单技能数据'!$A$2:$A$19,'模拟-单技能数据'!$G$2:$G$19)*$I$10</f>
        <v>361.51064354704795</v>
      </c>
      <c r="X68" s="47">
        <f t="shared" ca="1" si="21"/>
        <v>0</v>
      </c>
      <c r="Y68" s="47">
        <f t="shared" ca="1" si="22"/>
        <v>17459.007835753386</v>
      </c>
      <c r="Z68" s="49">
        <f t="shared" ca="1" si="23"/>
        <v>4041421.110236452</v>
      </c>
      <c r="AA68" s="97">
        <f t="shared" ca="1" si="24"/>
        <v>106852.29982778647</v>
      </c>
      <c r="AB68" s="115">
        <f ca="1">IF(OR(C68="赤日轮1",C68="赤日轮2",C68="赤日轮3"),IF(RAND()&lt;模拟模式!$Y$17,1,0),IF(OR(C68="幽月轮1",C68="幽月轮2",C68="幽月轮3"),IF(RAND()&lt;模拟模式!$Y$18,1,0),IF(C68="烈日斩",IF(RAND()&lt;模拟模式!$Y$19,1,0),IF(C68="银月斩",IF(RAND()&lt;模拟模式!$Y$20,1,0),IF(C68="驱夜断愁",IF(RAND()&lt;模拟模式!$Y$21,1,0),IF(C68="净世破魔击·日",IF(RAND()&lt;模拟模式!$Y$22,1,0),IF(C68="净世破魔击·月",IF(RAND()&lt;模拟模式!$Y$23,1,0),0)))))))</f>
        <v>1</v>
      </c>
      <c r="AC68" s="115" t="b">
        <f t="shared" ca="1" si="56"/>
        <v>0</v>
      </c>
      <c r="AD68" s="115" t="b">
        <f t="shared" ca="1" si="52"/>
        <v>0</v>
      </c>
      <c r="AE68" s="115">
        <f t="shared" ca="1" si="53"/>
        <v>4</v>
      </c>
      <c r="AF68" s="47">
        <f ca="1">IF(AC68,('模拟-单技能数据'!$D$20+G68*'模拟-单技能数据'!$F$20)*(1+J68)*(1+'模拟-单技能数据'!$J$20)*(1+U68),0)</f>
        <v>0</v>
      </c>
      <c r="AG68" s="61">
        <f t="shared" ca="1" si="25"/>
        <v>0.64185145527300214</v>
      </c>
      <c r="AH68" s="61">
        <f t="shared" ca="1" si="26"/>
        <v>2.2624828854998791</v>
      </c>
      <c r="AI68" s="62">
        <f t="shared" ca="1" si="27"/>
        <v>0.98727953834463089</v>
      </c>
      <c r="AJ68" s="47">
        <f ca="1">IF(AD68,IF(AI68&lt;$F$10,0,IF(AI68&lt;$F$10+$F$11,0.25,IF(AI68&lt;$F$10+$F$11+AG68,AH68,1)))*IF(AF68&gt;0,AF68,IF(AF67&gt;0,AF67,IF(AF66&gt;0,AF66,IF(AF65&gt;0,AF65,IF(AF64&gt;0,AF64,IF(AF63&gt;0,AF63,IF(AF62&gt;0,AF62,IF(AF61&gt;0,AF61,IF(AF60&gt;0,AF60,IF(AF58&gt;0,AF58,IF(AF57&gt;0,AF57,IF(AF56&gt;0,AF56,0)))))))))))),0)*(1-$S68)*'模拟-单技能数据'!$I$20</f>
        <v>0</v>
      </c>
      <c r="AK68" s="115" t="b">
        <f t="shared" ca="1" si="57"/>
        <v>0</v>
      </c>
      <c r="AL68" s="115" t="b">
        <f t="shared" ca="1" si="54"/>
        <v>0</v>
      </c>
      <c r="AM68" s="115">
        <f t="shared" ca="1" si="55"/>
        <v>3</v>
      </c>
      <c r="AN68" s="47">
        <f ca="1">IF(AK68,('模拟-单技能数据'!$D$21+G68*'模拟-单技能数据'!$F$21)*(1+J68)*(1+'模拟-单技能数据'!$J$21)*(1+U68),0)</f>
        <v>0</v>
      </c>
      <c r="AO68" s="61">
        <f ca="1">IF(AN68&gt;0,M68-'模拟-单技能数据'!$K$10,AO67)</f>
        <v>0.42185145527300216</v>
      </c>
      <c r="AP68" s="61">
        <f ca="1">IF(AN68&gt;0,I68-'模拟-单技能数据'!$L$10,AP67)</f>
        <v>2.162482885499879</v>
      </c>
      <c r="AQ68" s="63">
        <f t="shared" ca="1" si="28"/>
        <v>0.37006311999133201</v>
      </c>
      <c r="AR68" s="64">
        <f ca="1">IF(AL68,IF(AQ68&lt;$F$10,0,IF(AQ68&lt;$F$10+$F$11,0.25,IF(AQ68&lt;$F$10+$F$11+AO68,AP68,1)))*IF(AN68&gt;0,AN68,IF(AN67&gt;0,AN67,IF(AN66&gt;0,AN66,IF(AN65&gt;0,AN65,IF(AN64&gt;0,AN64,IF(AN63&gt;0,AN63,IF(AN62&gt;0,AN62,IF(AN61&gt;0,AN61,IF(AN60&gt;0,AN60,IF(AN58&gt;0,AN58,IF(AN57&gt;0,AN57,IF(AN56&gt;0,AN56,0)))))))))))),0)*(1-$S68)*'模拟-单技能数据'!$I$21</f>
        <v>0</v>
      </c>
      <c r="AS68" s="61">
        <f ca="1">IF(OR(C68="净世破魔击·日",C68="净世破魔击·月"),M68-'模拟-单技能数据'!$K$10,0)</f>
        <v>0</v>
      </c>
      <c r="AT68" s="61">
        <f ca="1">IF(OR(C68="净世破魔击·日",C68="净世破魔击·月"),I68-'模拟-单技能数据'!$L$10,0)</f>
        <v>0</v>
      </c>
      <c r="AU68" s="62">
        <f t="shared" ca="1" si="29"/>
        <v>0.76291990078509098</v>
      </c>
      <c r="AV68" s="64">
        <f ca="1">IF(AS68&gt;0,('模拟-单技能数据'!$D$22+G68*'模拟-单技能数据'!$F$22)*(1+J68)*(1-S68)*IF(AU68&lt;$F$10,0,IF(AU68&lt;$F$10+$F$11,0.25,IF(AU68&lt;$F$10+$F$11+AS68,AT68,1)))*(1+U68),0)*'模拟-单技能数据'!$I$22</f>
        <v>0</v>
      </c>
      <c r="AW68" s="108">
        <f t="shared" ca="1" si="30"/>
        <v>17.232500000000002</v>
      </c>
      <c r="AX68" s="108" t="b">
        <f ca="1">AND(模拟模式!$P$10="有",AW67=0,RAND()&lt;IF(C68="净世破魔击·月",0.1*8/3,IF(C68="净世破魔击·日",0.1*4/3,0.1*2/3)))</f>
        <v>0</v>
      </c>
      <c r="AY68" s="47">
        <f ca="1">IF(AX68,(18+G68*0.722)*(1+J68)*(1-S68)*(1+$I$4)*IF(P68="会",'模拟-全程加成'!$J$3+'模拟-全程加成'!$J$4+'模拟-全程加成'!$J$5+('模拟-全程加成'!$I$4+'模拟-全程加成'!$I$5)/系数!$B$4+BG68*10%,IF(P68="命",1,IF(P68="识",0.25,0))),0)</f>
        <v>0</v>
      </c>
      <c r="AZ68" s="108">
        <f t="shared" si="31"/>
        <v>2.4725000000000064</v>
      </c>
      <c r="BA68" s="108" t="b">
        <f>AND(模拟模式!$Q$10="有",AZ67=0)</f>
        <v>0</v>
      </c>
      <c r="BB68" s="140">
        <f>IF(BA68,(0+G68*0.287)*(1+J68)*(1-S68)*(1+$I$4)*IF(P68="会",'模拟-全程加成'!$J$3+'模拟-全程加成'!$J$4+'模拟-全程加成'!$J$5+('模拟-全程加成'!$I$4+'模拟-全程加成'!$I$5)/系数!$B$4+BG68*10%,IF(P68="命",1,IF(P68="识",0.25,0))),0)</f>
        <v>0</v>
      </c>
      <c r="BC68" s="115" t="b">
        <f ca="1">AND(模拟模式!$R$7="伏明众生",E68=60,F68=20,DA68&lt;5,CZ67&lt;$F$4)</f>
        <v>0</v>
      </c>
      <c r="BD68" s="115">
        <f t="shared" ca="1" si="58"/>
        <v>0</v>
      </c>
      <c r="BE68" s="115" t="b">
        <f t="shared" ca="1" si="59"/>
        <v>0</v>
      </c>
      <c r="BF68" s="47">
        <f ca="1">IF(BC68,4*('模拟-单技能数据'!$D$24+G68*'模拟-单技能数据'!$F$24)*(1+J68)*(1+'模拟-单技能数据'!$J$24)*(1-S68)*(1+$I$3)*(('模拟-全程加成'!$J$3+'模拟-全程加成'!$J$4+'模拟-全程加成'!$J$5+('模拟-全程加成'!$I$4+'模拟-全程加成'!$I$5)/系数!$B$4+BG68*10%)*('模拟-全程加成'!$J$3+'模拟-全程加成'!$J$4+'模拟-全程加成'!$J$5+('模拟-全程加成'!$I$4+'模拟-全程加成'!$I$5)/系数!$B$4+BG68*10%)+(1-('模拟-全程加成'!$J$3+'模拟-全程加成'!$J$4+'模拟-全程加成'!$J$5+('模拟-全程加成'!$I$4+'模拟-全程加成'!$I$5)/系数!$B$4+BG68*10%)-$F$10-$F$11)+F54*0.25),0)*'模拟-单技能数据'!$I$24</f>
        <v>0</v>
      </c>
      <c r="BG68" s="115" t="b">
        <f ca="1">OR(AND(OR(C68="烈日斩",C68="银月斩"),模拟模式!$I$7="净身明礼"),AND(C68="净世破魔击·日",模拟模式!$J$7="洞若观火"),AND(C69="净世破魔击·月",模拟模式!$J$7="洞若观火"),AB68=1)</f>
        <v>1</v>
      </c>
      <c r="BH68" s="115" t="b">
        <f t="shared" ca="1" si="32"/>
        <v>0</v>
      </c>
      <c r="BI68" s="115">
        <f t="shared" ca="1" si="60"/>
        <v>4.1549999999999994</v>
      </c>
      <c r="BJ68" s="115" t="b">
        <f t="shared" ca="1" si="33"/>
        <v>1</v>
      </c>
      <c r="BK68" s="115" t="b">
        <f ca="1">AND(C68="驱夜断愁",模拟模式!$P$7="天地诛戮")</f>
        <v>0</v>
      </c>
      <c r="BL68" s="57">
        <f t="shared" ca="1" si="61"/>
        <v>18.155000000000001</v>
      </c>
      <c r="BM68" s="115" t="b">
        <f t="shared" ca="1" si="34"/>
        <v>1</v>
      </c>
      <c r="BN68" s="115" t="b">
        <f ca="1">AND(OR(C68="赤日轮1",C68="赤日轮2",C68="赤日轮3",C68="幽月轮1",C68="幽月轮2",C68="幽月轮3"),AB68=1,模拟模式!$L$7="明光恒照")</f>
        <v>1</v>
      </c>
      <c r="BO68" s="117">
        <f t="shared" ca="1" si="62"/>
        <v>30</v>
      </c>
      <c r="BP68" s="115">
        <f t="shared" ca="1" si="35"/>
        <v>6</v>
      </c>
      <c r="BQ68" s="115" t="b">
        <f>模拟模式!$K$10="2600·水"</f>
        <v>0</v>
      </c>
      <c r="BR68" s="117">
        <f t="shared" si="36"/>
        <v>0</v>
      </c>
      <c r="BS68" s="115">
        <f t="shared" si="37"/>
        <v>0</v>
      </c>
      <c r="BT68" s="115">
        <f t="shared" ca="1" si="38"/>
        <v>0</v>
      </c>
      <c r="BU68" s="115" t="b">
        <f ca="1">AND(模拟模式!$K$10="2300·雷",BT67=0,RAND()&lt;IF(C68="净世破魔击·月",5*0.05*2/3,IF(C68="净世破魔击·日",3*0.05*2/3,0.05*2*2/3)))</f>
        <v>0</v>
      </c>
      <c r="BV68" s="115">
        <f t="shared" ca="1" si="39"/>
        <v>0</v>
      </c>
      <c r="BW68" s="115">
        <f t="shared" ca="1" si="40"/>
        <v>147.71249999999952</v>
      </c>
      <c r="BX68" s="164" t="b">
        <f t="shared" ca="1" si="41"/>
        <v>0</v>
      </c>
      <c r="BY68" s="115">
        <f t="shared" ca="1" si="42"/>
        <v>0</v>
      </c>
      <c r="BZ68" s="115">
        <f>IF(OR(模拟模式!$P$16="10人团",模拟模式!$P$16="25人团"),IF(B68/30&gt;CA67,1,0),0)</f>
        <v>0</v>
      </c>
      <c r="CA68" s="115">
        <f t="shared" si="8"/>
        <v>0</v>
      </c>
      <c r="CB68" s="115">
        <f ca="1">IF(BZ68=1,IF(模拟模式!$P$16="10人团",15,0)+IF(模拟模式!$P$16="25人团",IF(RAND()&lt;0.6,15,0)),MAX(0,CB67-$F$4))</f>
        <v>0</v>
      </c>
      <c r="CC68" s="115" t="b">
        <f t="shared" ca="1" si="43"/>
        <v>0</v>
      </c>
      <c r="CD68" s="115">
        <f>IF(模拟模式!$Q$16="1个",IF(B68/40&gt;CE67,1,0),0)</f>
        <v>0</v>
      </c>
      <c r="CE68" s="115">
        <f t="shared" si="44"/>
        <v>0</v>
      </c>
      <c r="CF68" s="115">
        <f>IF(OR(CD68=1,模拟模式!$Q$16="2个"),20,MAX(0,CF67-$F$4))</f>
        <v>0</v>
      </c>
      <c r="CG68" s="115" t="b">
        <f t="shared" si="45"/>
        <v>0</v>
      </c>
      <c r="CH68" s="115">
        <f t="shared" ca="1" si="46"/>
        <v>27.232500000000002</v>
      </c>
      <c r="CI68" s="115" t="b">
        <f t="shared" ca="1" si="47"/>
        <v>0</v>
      </c>
      <c r="CJ68" s="119">
        <f t="shared" ca="1" si="48"/>
        <v>0.01</v>
      </c>
      <c r="CK68" s="115">
        <f t="shared" ca="1" si="49"/>
        <v>5.232499999999999</v>
      </c>
      <c r="CL68" s="115" t="b">
        <f ca="1">AND(模拟模式!$S$7="驱夷逐法",OR(AND(C68="净世破魔击·月",E67&gt;59),AND(C68="净世破魔击·日",F67&gt;59)))</f>
        <v>0</v>
      </c>
      <c r="CM68" s="115" t="b">
        <f ca="1">OR(CL68,AND(C68="净世破魔击·日",CL67,RAND()&lt;模拟模式!$U$23))</f>
        <v>0</v>
      </c>
      <c r="CN68" s="115" t="b">
        <f ca="1">IF(模拟模式!$M$7="辉耀红尘",AND(C68="净世破魔击·月",CL68,CV68=0,E67&lt;80),AND(C68="净世破魔击·月",CL68,E67&lt;100))</f>
        <v>0</v>
      </c>
      <c r="CO68" s="115" t="b">
        <f t="shared" ca="1" si="9"/>
        <v>0</v>
      </c>
      <c r="CP68" s="115" t="b">
        <f ca="1">AND(模拟模式!$O$7="用晦而明",OR(C68="净世破魔击·日",C68="净世破魔击·月",C68="驱夜断愁"),AB68)</f>
        <v>0</v>
      </c>
      <c r="CQ68" s="115" t="b">
        <f ca="1">OR(CP68,AND(CP67,RAND()&lt;模拟模式!$U$23))</f>
        <v>0</v>
      </c>
      <c r="CR68" s="115" t="b">
        <f ca="1">AND(模拟模式!$S$7="日月齐光",OR(C68="幽月轮1",C68="幽月轮2",C68="幽月轮3",CR67),NOT(OR(C68="赤日轮1",C68="赤日轮2",C68="赤日轮3")))</f>
        <v>0</v>
      </c>
      <c r="CS68" s="115" t="b">
        <f ca="1">AND(模拟模式!$S$7="日月齐光",OR(C68="赤日轮1",C68="赤日轮2",C68="赤日轮3",CS67),NOT(OR(C68="幽月轮1",C68="幽月轮2",C68="幽月轮3")))</f>
        <v>0</v>
      </c>
      <c r="CT68" s="115">
        <f t="shared" ca="1" si="50"/>
        <v>0</v>
      </c>
      <c r="CU68" s="115" t="b">
        <f ca="1">AND(模拟模式!$K$10="阴阳往极",CT67=0,RAND()&lt;IF(C68="净世破魔击·月",0.0275*7/3,IF(C68="净世破魔击·日",0.0275*3/3,0.0275*2/3)))</f>
        <v>0</v>
      </c>
      <c r="CV68" s="115">
        <f t="shared" ca="1" si="51"/>
        <v>0</v>
      </c>
      <c r="CW68" s="115">
        <f t="shared" ca="1" si="63"/>
        <v>5.0774999999999997</v>
      </c>
      <c r="CX68" s="115">
        <f t="shared" ca="1" si="64"/>
        <v>3.2324999999999995</v>
      </c>
      <c r="CY68" s="115">
        <f ca="1">MAX(IF($C68="驱夜断愁",IF(模拟模式!$R$7="万念俱寂",6,45),CY67-$F$4),0)</f>
        <v>4.1549999999999994</v>
      </c>
      <c r="CZ68" s="115">
        <f t="shared" ca="1" si="12"/>
        <v>0</v>
      </c>
      <c r="DA68" s="115">
        <f ca="1">IF(模拟模式!$N$7="日月同辉",IF(DB67=2,0,MIN(6,IF(AND(OR(C68="赤日轮1",C68="赤日轮2",C68="赤日轮3",C68="幽月轮1",C68="幽月轮2",C68="幽月轮3"),AB68=1),DA67+1,DA67))),0)</f>
        <v>5</v>
      </c>
      <c r="DB68" s="115">
        <f t="shared" ca="1" si="13"/>
        <v>0</v>
      </c>
      <c r="DD68" s="115"/>
      <c r="DE68" s="115"/>
      <c r="DF68" s="115"/>
      <c r="DG68" s="115"/>
      <c r="DH68" s="115"/>
      <c r="DI68" s="115"/>
      <c r="DJ68" s="115"/>
      <c r="DK68" s="115"/>
      <c r="DL68" s="115"/>
      <c r="DM68" s="115"/>
    </row>
    <row r="69" spans="2:117" x14ac:dyDescent="0.2">
      <c r="B69" s="117">
        <f t="shared" si="65"/>
        <v>38.744999999999983</v>
      </c>
      <c r="C69" s="167" t="str">
        <f t="shared" ca="1" si="0"/>
        <v>净世破魔击·月</v>
      </c>
      <c r="D69" s="115">
        <f ca="1">IF(C69="赤日轮1",1,IF(C69="赤日轮2",2,IF(C69="赤日轮3",3,IF(C69="幽月轮1",4,IF(C69="幽月轮2",5,IF(C69="幽月轮3",6,IF(C69="烈日斩",7,IF(C69="银月斩",8,IF(C69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69="净世破魔击·月",17,IF(C69="驱夜断愁",18,0)))))))))))</f>
        <v>17</v>
      </c>
      <c r="E69" s="115">
        <f ca="1">IF(AND(CU69,OR(C69="幽月轮1",C69="幽月轮2",C69="幽月轮3",C69="银月斩",C69="驱夜断愁",C69="净世破魔击·月")),100,MIN(IF(OR(CN69,BE69),0,IF(OR($C69="赤日轮1",$C69="赤日轮2",$C69="赤日轮3"),E68+20+IF(模拟模式!$I$7="日月凌天",4,0)+IF(CR68,20,0),IF($C69="烈日斩",E68+40,IF($C69="驱夜断愁",IF(模拟模式!$R$7="万念俱寂",E68+20,E68+60),IF($C69="净世破魔击·月",IF(OR(DB68&gt;0,CV68&gt;0),100,IF(模拟模式!$M$7="辉耀红尘",E68+20,E68)),IF($C69="净世破魔击·日",E68-100,E68)))))),100))</f>
        <v>100</v>
      </c>
      <c r="F69" s="115">
        <f ca="1">IF(AND(CU69,OR(C69="赤日轮1",C69="赤日轮2",C69="赤日轮3",C69="烈日斩",C69="净世破魔击·日")),100,MIN(IF(CO69,0,IF(OR($C69="幽月轮1",$C69="幽月轮2",$C69="幽月轮3"),F68+20+IF(模拟模式!$I$7="日月凌天",4,0)+IF(CS68,20,0),IF($C69="银月斩",F68+40+IF(模拟模式!$X$12=1,5,0),IF($C69="驱夜断愁",IF(模拟模式!$R$7="万念俱寂",F68+20,F68+60),IF($C69="净世破魔击·月",IF(模拟模式!$M$7="辉耀红尘",F68-80,F68-100),IF(AND(C69="净世破魔击·日",OR(DB68&gt;0,CV68&gt;0)),100,F68)))))),100))</f>
        <v>20</v>
      </c>
      <c r="G69" s="117">
        <f ca="1">('模拟-全程加成'!$E$3+'模拟-全程加成'!$E$4+'模拟-全程加成'!$E$5+('模拟-全程加成'!$C$6-'模拟-全程加成'!$C$3)*系数!$B$9+BS69*23)*(1+'模拟-全程加成'!$F$4+'模拟-全程加成'!$F$5+BJ69*10%+BM69*20%+BP69*4%+CG69*30%)+$F$7*系数!$B$12</f>
        <v>21493.829400000002</v>
      </c>
      <c r="H69" s="45">
        <f ca="1">'模拟-全程加成'!$H$3+'模拟-全程加成'!$H$4+'模拟-全程加成'!$H$5+('模拟-全程加成'!$G$4+'模拟-全程加成'!$G$5+('模拟-全程加成'!$C$6-'模拟-全程加成'!$C$3)*系数!$B$13)/系数!$B$3+LOOKUP(D69,'模拟-单技能数据'!$A$2:$A$19,'模拟-单技能数据'!$K$2:$K$19)+BG69*10%+IF(BV69&gt;0,378,0)</f>
        <v>0.54185145527300216</v>
      </c>
      <c r="I69" s="45">
        <f ca="1">'模拟-全程加成'!$J$3+'模拟-全程加成'!$J$4+'模拟-全程加成'!$J$5+('模拟-全程加成'!$I$4+'模拟-全程加成'!$I$5)/系数!$B$4+LOOKUP(D69,'模拟-单技能数据'!$A$2:$A$19,'模拟-单技能数据'!$L$2:$L$19)+BG69*10%</f>
        <v>2.162482885499879</v>
      </c>
      <c r="J69" s="45">
        <f ca="1">(('模拟-全程加成'!$K$3+'模拟-全程加成'!$K$4+'模拟-全程加成'!$K$5+('模拟-全程加成'!$C$6-'模拟-全程加成'!$C$3)*系数!$B$10+IF(BV69&gt;0,882,0)+IF(BY69&gt;0,1831,0))*(1+'模拟-全程加成'!$L$4+'模拟-全程加成'!$L$5+CC69*20%))/系数!$B$5</f>
        <v>0.69723220422048726</v>
      </c>
      <c r="K69" s="119">
        <f ca="1">LOOKUP(D69,'模拟-单技能数据'!$A$2:$A$19,'模拟-单技能数据'!$J$2:$J$19)+IF(CM69,60%,0)+IF(DB68-DB69&gt;0,30%,0)+IF(OR(AND(OR(C69="赤日轮1",C69="赤日轮2",C69="赤日轮3"),CR69),AND(OR(C69="幽月轮1",C69="幽月轮2",C69="幽月轮3"),CS69)),35%,0)+CJ69</f>
        <v>0.81</v>
      </c>
      <c r="L69" s="119">
        <f ca="1">IF(AND(C69="烈日斩",模拟模式!$X$11=1),10%,0)+IF(AND(C69="驱夜断愁",AB69=1),30%,0)</f>
        <v>0</v>
      </c>
      <c r="M69" s="45">
        <f t="shared" ca="1" si="15"/>
        <v>0.54185145527300216</v>
      </c>
      <c r="N69" s="45">
        <f t="shared" ca="1" si="16"/>
        <v>0.40424854472699789</v>
      </c>
      <c r="O69" s="46">
        <f t="shared" ca="1" si="17"/>
        <v>0.15532981012683456</v>
      </c>
      <c r="P69" s="46" t="str">
        <f t="shared" ca="1" si="18"/>
        <v>会</v>
      </c>
      <c r="Q69" s="45">
        <f t="shared" ca="1" si="19"/>
        <v>2.162482885499879</v>
      </c>
      <c r="R69" s="117">
        <f ca="1">模拟模式!$E$20*(1-IF(模拟模式!$J$19="有",0.15,0))*(1-IF(模拟模式!$K$19="有",0.3,0)-IF(CQ69,0.5,0))</f>
        <v>843.02999999999975</v>
      </c>
      <c r="S69" s="45">
        <f ca="1">R69/(R69+(185*模拟模式!$E$22-16800)*4.08224)</f>
        <v>8.389626085980037E-2</v>
      </c>
      <c r="T69" s="45" t="str">
        <f ca="1">LOOKUP(D69,'模拟-单技能数据'!$A$2:$A$19,'模拟-单技能数据'!$H$2:$H$19)</f>
        <v>阴</v>
      </c>
      <c r="U69" s="119">
        <f t="shared" ca="1" si="20"/>
        <v>0.08</v>
      </c>
      <c r="V69" s="47">
        <f ca="1">(1+L69)*(LOOKUP(D69,'模拟-单技能数据'!$A$2:$A$19,'模拟-单技能数据'!$D$2:$D$19)+G69*LOOKUP(D69,'模拟-单技能数据'!$A$2:$A$19,'模拟-单技能数据'!$F$2:$F$19))*(1+J69)*(1+K69)*(1-S69)*(1+U69)*Q69*LOOKUP(D69,'模拟-单技能数据'!$A$2:$A$19,'模拟-单技能数据'!$I$2:$I$20)</f>
        <v>183555.33901412092</v>
      </c>
      <c r="W69" s="47">
        <f ca="1">LOOKUP(D69,'模拟-单技能数据'!$A$2:$A$19,'模拟-单技能数据'!$G$2:$G$19)*$I$10</f>
        <v>361.51064354704795</v>
      </c>
      <c r="X69" s="47">
        <f t="shared" ca="1" si="21"/>
        <v>23814.590945544718</v>
      </c>
      <c r="Y69" s="47">
        <f t="shared" ca="1" si="22"/>
        <v>207731.44060321269</v>
      </c>
      <c r="Z69" s="49">
        <f t="shared" ca="1" si="23"/>
        <v>4249152.5508396644</v>
      </c>
      <c r="AA69" s="97">
        <f t="shared" ca="1" si="24"/>
        <v>109669.70062820148</v>
      </c>
      <c r="AB69" s="115">
        <f ca="1">IF(OR(C69="赤日轮1",C69="赤日轮2",C69="赤日轮3"),IF(RAND()&lt;模拟模式!$Y$17,1,0),IF(OR(C69="幽月轮1",C69="幽月轮2",C69="幽月轮3"),IF(RAND()&lt;模拟模式!$Y$18,1,0),IF(C69="烈日斩",IF(RAND()&lt;模拟模式!$Y$19,1,0),IF(C69="银月斩",IF(RAND()&lt;模拟模式!$Y$20,1,0),IF(C69="驱夜断愁",IF(RAND()&lt;模拟模式!$Y$21,1,0),IF(C69="净世破魔击·日",IF(RAND()&lt;模拟模式!$Y$22,1,0),IF(C69="净世破魔击·月",IF(RAND()&lt;模拟模式!$Y$23,1,0),0)))))))</f>
        <v>1</v>
      </c>
      <c r="AC69" s="115" t="b">
        <f t="shared" ca="1" si="56"/>
        <v>0</v>
      </c>
      <c r="AD69" s="115" t="b">
        <f t="shared" ca="1" si="52"/>
        <v>1</v>
      </c>
      <c r="AE69" s="115">
        <f t="shared" ca="1" si="53"/>
        <v>3</v>
      </c>
      <c r="AF69" s="47">
        <f ca="1">IF(AC69,('模拟-单技能数据'!$D$20+G69*'模拟-单技能数据'!$F$20)*(1+J69)*(1+'模拟-单技能数据'!$J$20)*(1+U69),0)</f>
        <v>0</v>
      </c>
      <c r="AG69" s="61">
        <f t="shared" ca="1" si="25"/>
        <v>0.64185145527300214</v>
      </c>
      <c r="AH69" s="61">
        <f t="shared" ca="1" si="26"/>
        <v>2.2624828854998791</v>
      </c>
      <c r="AI69" s="62">
        <f t="shared" ca="1" si="27"/>
        <v>0.74047769026970456</v>
      </c>
      <c r="AJ69" s="47">
        <f ca="1">IF(AD69,IF(AI69&lt;$F$10,0,IF(AI69&lt;$F$10+$F$11,0.25,IF(AI69&lt;$F$10+$F$11+AG69,AH69,1)))*IF(AF69&gt;0,AF69,IF(AF68&gt;0,AF68,IF(AF67&gt;0,AF67,IF(AF66&gt;0,AF66,IF(AF65&gt;0,AF65,IF(AF64&gt;0,AF64,IF(AF63&gt;0,AF63,IF(AF62&gt;0,AF62,IF(AF61&gt;0,AF61,IF(AF59&gt;0,AF59,IF(AF58&gt;0,AF58,IF(AF57&gt;0,AF57,0)))))))))))),0)*(1-$S69)*'模拟-单技能数据'!$I$20</f>
        <v>4250.4883357170938</v>
      </c>
      <c r="AK69" s="115" t="b">
        <f t="shared" ca="1" si="57"/>
        <v>0</v>
      </c>
      <c r="AL69" s="115" t="b">
        <f t="shared" ca="1" si="54"/>
        <v>1</v>
      </c>
      <c r="AM69" s="115">
        <f t="shared" ca="1" si="55"/>
        <v>2</v>
      </c>
      <c r="AN69" s="47">
        <f ca="1">IF(AK69,('模拟-单技能数据'!$D$21+G69*'模拟-单技能数据'!$F$21)*(1+J69)*(1+'模拟-单技能数据'!$J$21)*(1+U69),0)</f>
        <v>0</v>
      </c>
      <c r="AO69" s="61">
        <f ca="1">IF(AN69&gt;0,M69-'模拟-单技能数据'!$K$10,AO68)</f>
        <v>0.42185145527300216</v>
      </c>
      <c r="AP69" s="61">
        <f ca="1">IF(AN69&gt;0,I69-'模拟-单技能数据'!$L$10,AP68)</f>
        <v>2.162482885499879</v>
      </c>
      <c r="AQ69" s="63">
        <f t="shared" ca="1" si="28"/>
        <v>0.55303350629776438</v>
      </c>
      <c r="AR69" s="64">
        <f ca="1">IF(AL69,IF(AQ69&lt;$F$10,0,IF(AQ69&lt;$F$10+$F$11,0.25,IF(AQ69&lt;$F$10+$F$11+AO69,AP69,1)))*IF(AN69&gt;0,AN69,IF(AN68&gt;0,AN68,IF(AN67&gt;0,AN67,IF(AN66&gt;0,AN66,IF(AN65&gt;0,AN65,IF(AN64&gt;0,AN64,IF(AN63&gt;0,AN63,IF(AN62&gt;0,AN62,IF(AN61&gt;0,AN61,IF(AN59&gt;0,AN59,IF(AN58&gt;0,AN58,IF(AN57&gt;0,AN57,0)))))))))))),0)*(1-$S69)*'模拟-单技能数据'!$I$21</f>
        <v>11607.89185245618</v>
      </c>
      <c r="AS69" s="61">
        <f ca="1">IF(OR(C69="净世破魔击·日",C69="净世破魔击·月"),M69-'模拟-单技能数据'!$K$10,0)</f>
        <v>0.42185145527300216</v>
      </c>
      <c r="AT69" s="61">
        <f ca="1">IF(OR(C69="净世破魔击·日",C69="净世破魔击·月"),I69-'模拟-单技能数据'!$L$10,0)</f>
        <v>2.162482885499879</v>
      </c>
      <c r="AU69" s="62">
        <f t="shared" ca="1" si="29"/>
        <v>0.64085942472807045</v>
      </c>
      <c r="AV69" s="64">
        <f ca="1">IF(AS69&gt;0,('模拟-单技能数据'!$D$22+G69*'模拟-单技能数据'!$F$22)*(1+J69)*(1-S69)*IF(AU69&lt;$F$10,0,IF(AU69&lt;$F$10+$F$11,0.25,IF(AU69&lt;$F$10+$F$11+AS69,AT69,1)))*(1+U69),0)*'模拟-单技能数据'!$I$22</f>
        <v>7956.2107573714466</v>
      </c>
      <c r="AW69" s="108">
        <f t="shared" ca="1" si="30"/>
        <v>16.310000000000002</v>
      </c>
      <c r="AX69" s="108" t="b">
        <f ca="1">AND(模拟模式!$P$10="有",AW68=0,RAND()&lt;IF(C69="净世破魔击·月",0.1*8/3,IF(C69="净世破魔击·日",0.1*4/3,0.1*2/3)))</f>
        <v>0</v>
      </c>
      <c r="AY69" s="47">
        <f ca="1">IF(AX69,(18+G69*0.722)*(1+J69)*(1-S69)*(1+$I$4)*IF(P69="会",'模拟-全程加成'!$J$3+'模拟-全程加成'!$J$4+'模拟-全程加成'!$J$5+('模拟-全程加成'!$I$4+'模拟-全程加成'!$I$5)/系数!$B$4+BG69*10%,IF(P69="命",1,IF(P69="识",0.25,0))),0)</f>
        <v>0</v>
      </c>
      <c r="AZ69" s="108">
        <f t="shared" si="31"/>
        <v>1.5500000000000065</v>
      </c>
      <c r="BA69" s="108" t="b">
        <f>AND(模拟模式!$Q$10="有",AZ68=0)</f>
        <v>0</v>
      </c>
      <c r="BB69" s="140">
        <f>IF(BA69,(0+G69*0.287)*(1+J69)*(1-S69)*(1+$I$4)*IF(P69="会",'模拟-全程加成'!$J$3+'模拟-全程加成'!$J$4+'模拟-全程加成'!$J$5+('模拟-全程加成'!$I$4+'模拟-全程加成'!$I$5)/系数!$B$4+BG69*10%,IF(P69="命",1,IF(P69="识",0.25,0))),0)</f>
        <v>0</v>
      </c>
      <c r="BC69" s="115" t="b">
        <f ca="1">AND(模拟模式!$R$7="伏明众生",E69=60,F69=20,DA69&lt;5,CZ68&lt;$F$4)</f>
        <v>0</v>
      </c>
      <c r="BD69" s="115">
        <f t="shared" ca="1" si="58"/>
        <v>0</v>
      </c>
      <c r="BE69" s="115" t="b">
        <f t="shared" ca="1" si="59"/>
        <v>0</v>
      </c>
      <c r="BF69" s="47">
        <f ca="1">IF(BC69,4*('模拟-单技能数据'!$D$24+G69*'模拟-单技能数据'!$F$24)*(1+J69)*(1+'模拟-单技能数据'!$J$24)*(1-S69)*(1+$I$3)*(('模拟-全程加成'!$J$3+'模拟-全程加成'!$J$4+'模拟-全程加成'!$J$5+('模拟-全程加成'!$I$4+'模拟-全程加成'!$I$5)/系数!$B$4+BG69*10%)*('模拟-全程加成'!$J$3+'模拟-全程加成'!$J$4+'模拟-全程加成'!$J$5+('模拟-全程加成'!$I$4+'模拟-全程加成'!$I$5)/系数!$B$4+BG69*10%)+(1-('模拟-全程加成'!$J$3+'模拟-全程加成'!$J$4+'模拟-全程加成'!$J$5+('模拟-全程加成'!$I$4+'模拟-全程加成'!$I$5)/系数!$B$4+BG69*10%)-$F$10-$F$11)+F55*0.25),0)*'模拟-单技能数据'!$I$24</f>
        <v>0</v>
      </c>
      <c r="BG69" s="115" t="b">
        <f ca="1">OR(AND(OR(C69="烈日斩",C69="银月斩"),模拟模式!$I$7="净身明礼"),AND(C69="净世破魔击·日",模拟模式!$J$7="洞若观火"),AND(C70="净世破魔击·月",模拟模式!$J$7="洞若观火"),AB69=1)</f>
        <v>1</v>
      </c>
      <c r="BH69" s="115" t="b">
        <f t="shared" ca="1" si="32"/>
        <v>0</v>
      </c>
      <c r="BI69" s="115">
        <f t="shared" ca="1" si="60"/>
        <v>3.2324999999999995</v>
      </c>
      <c r="BJ69" s="115" t="b">
        <f t="shared" ca="1" si="33"/>
        <v>1</v>
      </c>
      <c r="BK69" s="115" t="b">
        <f ca="1">AND(C69="驱夜断愁",模拟模式!$P$7="天地诛戮")</f>
        <v>0</v>
      </c>
      <c r="BL69" s="57">
        <f t="shared" ca="1" si="61"/>
        <v>17.232500000000002</v>
      </c>
      <c r="BM69" s="115" t="b">
        <f t="shared" ca="1" si="34"/>
        <v>1</v>
      </c>
      <c r="BN69" s="115" t="b">
        <f ca="1">AND(OR(C69="赤日轮1",C69="赤日轮2",C69="赤日轮3",C69="幽月轮1",C69="幽月轮2",C69="幽月轮3"),AB69=1,模拟模式!$L$7="明光恒照")</f>
        <v>0</v>
      </c>
      <c r="BO69" s="117">
        <f t="shared" ca="1" si="62"/>
        <v>29.077500000000001</v>
      </c>
      <c r="BP69" s="115">
        <f t="shared" ca="1" si="35"/>
        <v>6</v>
      </c>
      <c r="BQ69" s="115" t="b">
        <f>模拟模式!$K$10="2600·水"</f>
        <v>0</v>
      </c>
      <c r="BR69" s="117">
        <f t="shared" si="36"/>
        <v>0</v>
      </c>
      <c r="BS69" s="115">
        <f t="shared" si="37"/>
        <v>0</v>
      </c>
      <c r="BT69" s="115">
        <f t="shared" ca="1" si="38"/>
        <v>0</v>
      </c>
      <c r="BU69" s="115" t="b">
        <f ca="1">AND(模拟模式!$K$10="2300·雷",BT68=0,RAND()&lt;IF(C69="净世破魔击·月",5*0.05*2/3,IF(C69="净世破魔击·日",3*0.05*2/3,0.05*2*2/3)))</f>
        <v>0</v>
      </c>
      <c r="BV69" s="115">
        <f t="shared" ca="1" si="39"/>
        <v>0</v>
      </c>
      <c r="BW69" s="115">
        <f t="shared" ca="1" si="40"/>
        <v>146.78999999999951</v>
      </c>
      <c r="BX69" s="164" t="b">
        <f t="shared" ca="1" si="41"/>
        <v>0</v>
      </c>
      <c r="BY69" s="115">
        <f t="shared" ca="1" si="42"/>
        <v>0</v>
      </c>
      <c r="BZ69" s="115">
        <f>IF(OR(模拟模式!$P$16="10人团",模拟模式!$P$16="25人团"),IF(B69/30&gt;CA68,1,0),0)</f>
        <v>0</v>
      </c>
      <c r="CA69" s="115">
        <f t="shared" si="8"/>
        <v>0</v>
      </c>
      <c r="CB69" s="115">
        <f ca="1">IF(BZ69=1,IF(模拟模式!$P$16="10人团",15,0)+IF(模拟模式!$P$16="25人团",IF(RAND()&lt;0.6,15,0)),MAX(0,CB68-$F$4))</f>
        <v>0</v>
      </c>
      <c r="CC69" s="115" t="b">
        <f t="shared" ca="1" si="43"/>
        <v>0</v>
      </c>
      <c r="CD69" s="115">
        <f>IF(模拟模式!$Q$16="1个",IF(B69/40&gt;CE68,1,0),0)</f>
        <v>0</v>
      </c>
      <c r="CE69" s="115">
        <f t="shared" si="44"/>
        <v>0</v>
      </c>
      <c r="CF69" s="115">
        <f>IF(OR(CD69=1,模拟模式!$Q$16="2个"),20,MAX(0,CF68-$F$4))</f>
        <v>0</v>
      </c>
      <c r="CG69" s="115" t="b">
        <f t="shared" si="45"/>
        <v>0</v>
      </c>
      <c r="CH69" s="115">
        <f t="shared" ca="1" si="46"/>
        <v>26.310000000000002</v>
      </c>
      <c r="CI69" s="115" t="b">
        <f t="shared" ca="1" si="47"/>
        <v>0</v>
      </c>
      <c r="CJ69" s="119">
        <f t="shared" ca="1" si="48"/>
        <v>0.01</v>
      </c>
      <c r="CK69" s="115">
        <f t="shared" ca="1" si="49"/>
        <v>4.3099999999999987</v>
      </c>
      <c r="CL69" s="115" t="b">
        <f ca="1">AND(模拟模式!$S$7="驱夷逐法",OR(AND(C69="净世破魔击·月",E68&gt;59),AND(C69="净世破魔击·日",F68&gt;59)))</f>
        <v>1</v>
      </c>
      <c r="CM69" s="115" t="b">
        <f ca="1">OR(CL69,AND(C69="净世破魔击·日",CL68,RAND()&lt;模拟模式!$U$23))</f>
        <v>1</v>
      </c>
      <c r="CN69" s="115" t="b">
        <f ca="1">IF(模拟模式!$M$7="辉耀红尘",AND(C69="净世破魔击·月",CL69,CV69=0,E68&lt;80),AND(C69="净世破魔击·月",CL69,E68&lt;100))</f>
        <v>0</v>
      </c>
      <c r="CO69" s="115" t="b">
        <f t="shared" ca="1" si="9"/>
        <v>0</v>
      </c>
      <c r="CP69" s="115" t="b">
        <f ca="1">AND(模拟模式!$O$7="用晦而明",OR(C69="净世破魔击·日",C69="净世破魔击·月",C69="驱夜断愁"),AB69)</f>
        <v>1</v>
      </c>
      <c r="CQ69" s="115" t="b">
        <f ca="1">OR(CP69,AND(CP68,RAND()&lt;模拟模式!$U$23))</f>
        <v>1</v>
      </c>
      <c r="CR69" s="115" t="b">
        <f ca="1">AND(模拟模式!$S$7="日月齐光",OR(C69="幽月轮1",C69="幽月轮2",C69="幽月轮3",CR68),NOT(OR(C69="赤日轮1",C69="赤日轮2",C69="赤日轮3")))</f>
        <v>0</v>
      </c>
      <c r="CS69" s="115" t="b">
        <f ca="1">AND(模拟模式!$S$7="日月齐光",OR(C69="赤日轮1",C69="赤日轮2",C69="赤日轮3",CS68),NOT(OR(C69="幽月轮1",C69="幽月轮2",C69="幽月轮3")))</f>
        <v>0</v>
      </c>
      <c r="CT69" s="115">
        <f t="shared" ca="1" si="50"/>
        <v>0</v>
      </c>
      <c r="CU69" s="115" t="b">
        <f ca="1">AND(模拟模式!$K$10="阴阳往极",CT68=0,RAND()&lt;IF(C69="净世破魔击·月",0.0275*7/3,IF(C69="净世破魔击·日",0.0275*3/3,0.0275*2/3)))</f>
        <v>0</v>
      </c>
      <c r="CV69" s="115">
        <f t="shared" ca="1" si="51"/>
        <v>0</v>
      </c>
      <c r="CW69" s="115">
        <f t="shared" ca="1" si="63"/>
        <v>4.1549999999999994</v>
      </c>
      <c r="CX69" s="115">
        <f t="shared" ca="1" si="64"/>
        <v>2.3099999999999996</v>
      </c>
      <c r="CY69" s="115">
        <f ca="1">MAX(IF($C69="驱夜断愁",IF(模拟模式!$R$7="万念俱寂",6,45),CY68-$F$4),0)</f>
        <v>3.2324999999999995</v>
      </c>
      <c r="CZ69" s="115">
        <f t="shared" ca="1" si="12"/>
        <v>0</v>
      </c>
      <c r="DA69" s="115">
        <f ca="1">IF(模拟模式!$N$7="日月同辉",IF(DB68=2,0,MIN(6,IF(AND(OR(C69="赤日轮1",C69="赤日轮2",C69="赤日轮3",C69="幽月轮1",C69="幽月轮2",C69="幽月轮3"),AB69=1),DA68+1,DA68))),0)</f>
        <v>5</v>
      </c>
      <c r="DB69" s="115">
        <f t="shared" ca="1" si="13"/>
        <v>0</v>
      </c>
      <c r="DD69" s="115"/>
      <c r="DE69" s="115"/>
      <c r="DF69" s="115"/>
      <c r="DG69" s="115"/>
      <c r="DH69" s="115"/>
      <c r="DI69" s="115"/>
      <c r="DJ69" s="115"/>
      <c r="DK69" s="115"/>
      <c r="DL69" s="115"/>
      <c r="DM69" s="115"/>
    </row>
    <row r="70" spans="2:117" x14ac:dyDescent="0.2">
      <c r="B70" s="117">
        <f t="shared" si="65"/>
        <v>39.667499999999983</v>
      </c>
      <c r="C70" s="167" t="str">
        <f t="shared" ca="1" si="0"/>
        <v>净世破魔击·日</v>
      </c>
      <c r="D70" s="115">
        <f ca="1">IF(C70="赤日轮1",1,IF(C70="赤日轮2",2,IF(C70="赤日轮3",3,IF(C70="幽月轮1",4,IF(C70="幽月轮2",5,IF(C70="幽月轮3",6,IF(C70="烈日斩",7,IF(C70="银月斩",8,IF(C70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70="净世破魔击·月",17,IF(C70="驱夜断愁",18,0)))))))))))</f>
        <v>9</v>
      </c>
      <c r="E70" s="115">
        <f ca="1">IF(AND(CU70,OR(C70="幽月轮1",C70="幽月轮2",C70="幽月轮3",C70="银月斩",C70="驱夜断愁",C70="净世破魔击·月")),100,MIN(IF(OR(CN70,BE70),0,IF(OR($C70="赤日轮1",$C70="赤日轮2",$C70="赤日轮3"),E69+20+IF(模拟模式!$I$7="日月凌天",4,0)+IF(CR69,20,0),IF($C70="烈日斩",E69+40,IF($C70="驱夜断愁",IF(模拟模式!$R$7="万念俱寂",E69+20,E69+60),IF($C70="净世破魔击·月",IF(OR(DB69&gt;0,CV69&gt;0),100,IF(模拟模式!$M$7="辉耀红尘",E69+20,E69)),IF($C70="净世破魔击·日",E69-100,E69)))))),100))</f>
        <v>0</v>
      </c>
      <c r="F70" s="115">
        <f ca="1">IF(AND(CU70,OR(C70="赤日轮1",C70="赤日轮2",C70="赤日轮3",C70="烈日斩",C70="净世破魔击·日")),100,MIN(IF(CO70,0,IF(OR($C70="幽月轮1",$C70="幽月轮2",$C70="幽月轮3"),F69+20+IF(模拟模式!$I$7="日月凌天",4,0)+IF(CS69,20,0),IF($C70="银月斩",F69+40+IF(模拟模式!$X$12=1,5,0),IF($C70="驱夜断愁",IF(模拟模式!$R$7="万念俱寂",F69+20,F69+60),IF($C70="净世破魔击·月",IF(模拟模式!$M$7="辉耀红尘",F69-80,F69-100),IF(AND(C70="净世破魔击·日",OR(DB69&gt;0,CV69&gt;0)),100,F69)))))),100))</f>
        <v>20</v>
      </c>
      <c r="G70" s="117">
        <f ca="1">('模拟-全程加成'!$E$3+'模拟-全程加成'!$E$4+'模拟-全程加成'!$E$5+('模拟-全程加成'!$C$6-'模拟-全程加成'!$C$3)*系数!$B$9+BS70*23)*(1+'模拟-全程加成'!$F$4+'模拟-全程加成'!$F$5+BJ70*10%+BM70*20%+BP70*4%+CG70*30%)+$F$7*系数!$B$12</f>
        <v>21493.829400000002</v>
      </c>
      <c r="H70" s="45">
        <f ca="1">'模拟-全程加成'!$H$3+'模拟-全程加成'!$H$4+'模拟-全程加成'!$H$5+('模拟-全程加成'!$G$4+'模拟-全程加成'!$G$5+('模拟-全程加成'!$C$6-'模拟-全程加成'!$C$3)*系数!$B$13)/系数!$B$3+LOOKUP(D70,'模拟-单技能数据'!$A$2:$A$19,'模拟-单技能数据'!$K$2:$K$19)+BG70*10%+IF(BV70&gt;0,378,0)</f>
        <v>0.54185145527300216</v>
      </c>
      <c r="I70" s="45">
        <f ca="1">'模拟-全程加成'!$J$3+'模拟-全程加成'!$J$4+'模拟-全程加成'!$J$5+('模拟-全程加成'!$I$4+'模拟-全程加成'!$I$5)/系数!$B$4+LOOKUP(D70,'模拟-单技能数据'!$A$2:$A$19,'模拟-单技能数据'!$L$2:$L$19)+BG70*10%</f>
        <v>2.162482885499879</v>
      </c>
      <c r="J70" s="45">
        <f ca="1">(('模拟-全程加成'!$K$3+'模拟-全程加成'!$K$4+'模拟-全程加成'!$K$5+('模拟-全程加成'!$C$6-'模拟-全程加成'!$C$3)*系数!$B$10+IF(BV70&gt;0,882,0)+IF(BY70&gt;0,1831,0))*(1+'模拟-全程加成'!$L$4+'模拟-全程加成'!$L$5+CC70*20%))/系数!$B$5</f>
        <v>0.69723220422048726</v>
      </c>
      <c r="K70" s="119">
        <f ca="1">LOOKUP(D70,'模拟-单技能数据'!$A$2:$A$19,'模拟-单技能数据'!$J$2:$J$19)+IF(CM70,60%,0)+IF(DB69-DB70&gt;0,30%,0)+IF(OR(AND(OR(C70="赤日轮1",C70="赤日轮2",C70="赤日轮3"),CR70),AND(OR(C70="幽月轮1",C70="幽月轮2",C70="幽月轮3"),CS70)),35%,0)+CJ70</f>
        <v>0.81</v>
      </c>
      <c r="L70" s="119">
        <f ca="1">IF(AND(C70="烈日斩",模拟模式!$X$11=1),10%,0)+IF(AND(C70="驱夜断愁",AB70=1),30%,0)</f>
        <v>0</v>
      </c>
      <c r="M70" s="45">
        <f t="shared" ca="1" si="15"/>
        <v>0.54185145527300216</v>
      </c>
      <c r="N70" s="45">
        <f t="shared" ca="1" si="16"/>
        <v>0.40424854472699789</v>
      </c>
      <c r="O70" s="46">
        <f t="shared" ca="1" si="17"/>
        <v>0.11456790193523769</v>
      </c>
      <c r="P70" s="46" t="str">
        <f t="shared" ca="1" si="18"/>
        <v>会</v>
      </c>
      <c r="Q70" s="45">
        <f t="shared" ca="1" si="19"/>
        <v>2.162482885499879</v>
      </c>
      <c r="R70" s="117">
        <f ca="1">模拟模式!$E$20*(1-IF(模拟模式!$J$19="有",0.15,0))*(1-IF(模拟模式!$K$19="有",0.3,0)-IF(CQ70,0.5,0))</f>
        <v>843.02999999999975</v>
      </c>
      <c r="S70" s="45">
        <f ca="1">R70/(R70+(185*模拟模式!$E$22-16800)*4.08224)</f>
        <v>8.389626085980037E-2</v>
      </c>
      <c r="T70" s="45" t="str">
        <f ca="1">LOOKUP(D70,'模拟-单技能数据'!$A$2:$A$19,'模拟-单技能数据'!$H$2:$H$19)</f>
        <v>阳</v>
      </c>
      <c r="U70" s="119">
        <f t="shared" ca="1" si="20"/>
        <v>0.2</v>
      </c>
      <c r="V70" s="47">
        <f ca="1">(1+L70)*(LOOKUP(D70,'模拟-单技能数据'!$A$2:$A$19,'模拟-单技能数据'!$D$2:$D$19)+G70*LOOKUP(D70,'模拟-单技能数据'!$A$2:$A$19,'模拟-单技能数据'!$F$2:$F$19))*(1+J70)*(1+K70)*(1-S70)*(1+U70)*Q70*LOOKUP(D70,'模拟-单技能数据'!$A$2:$A$19,'模拟-单技能数据'!$I$2:$I$20)</f>
        <v>205653.81736823294</v>
      </c>
      <c r="W70" s="47">
        <f ca="1">LOOKUP(D70,'模拟-单技能数据'!$A$2:$A$19,'模拟-单技能数据'!$G$2:$G$19)*$I$10</f>
        <v>723.0212870940959</v>
      </c>
      <c r="X70" s="47">
        <f t="shared" ca="1" si="21"/>
        <v>8840.2341748571616</v>
      </c>
      <c r="Y70" s="47">
        <f t="shared" ca="1" si="22"/>
        <v>215217.07283018419</v>
      </c>
      <c r="Z70" s="49">
        <f t="shared" ca="1" si="23"/>
        <v>4464369.6236698488</v>
      </c>
      <c r="AA70" s="97">
        <f t="shared" ca="1" si="24"/>
        <v>112544.76898392514</v>
      </c>
      <c r="AB70" s="115">
        <f ca="1">IF(OR(C70="赤日轮1",C70="赤日轮2",C70="赤日轮3"),IF(RAND()&lt;模拟模式!$Y$17,1,0),IF(OR(C70="幽月轮1",C70="幽月轮2",C70="幽月轮3"),IF(RAND()&lt;模拟模式!$Y$18,1,0),IF(C70="烈日斩",IF(RAND()&lt;模拟模式!$Y$19,1,0),IF(C70="银月斩",IF(RAND()&lt;模拟模式!$Y$20,1,0),IF(C70="驱夜断愁",IF(RAND()&lt;模拟模式!$Y$21,1,0),IF(C70="净世破魔击·日",IF(RAND()&lt;模拟模式!$Y$22,1,0),IF(C70="净世破魔击·月",IF(RAND()&lt;模拟模式!$Y$23,1,0),0)))))))</f>
        <v>1</v>
      </c>
      <c r="AC70" s="115" t="b">
        <f t="shared" ca="1" si="56"/>
        <v>0</v>
      </c>
      <c r="AD70" s="115" t="b">
        <f t="shared" ca="1" si="52"/>
        <v>0</v>
      </c>
      <c r="AE70" s="115">
        <f t="shared" ca="1" si="53"/>
        <v>3</v>
      </c>
      <c r="AF70" s="47">
        <f ca="1">IF(AC70,('模拟-单技能数据'!$D$20+G70*'模拟-单技能数据'!$F$20)*(1+J70)*(1+'模拟-单技能数据'!$J$20)*(1+U70),0)</f>
        <v>0</v>
      </c>
      <c r="AG70" s="61">
        <f t="shared" ca="1" si="25"/>
        <v>0.64185145527300214</v>
      </c>
      <c r="AH70" s="61">
        <f t="shared" ca="1" si="26"/>
        <v>2.2624828854998791</v>
      </c>
      <c r="AI70" s="62">
        <f t="shared" ca="1" si="27"/>
        <v>0.41221613398700507</v>
      </c>
      <c r="AJ70" s="47">
        <f ca="1">IF(AD70,IF(AI70&lt;$F$10,0,IF(AI70&lt;$F$10+$F$11,0.25,IF(AI70&lt;$F$10+$F$11+AG70,AH70,1)))*IF(AF70&gt;0,AF70,IF(AF69&gt;0,AF69,IF(AF68&gt;0,AF68,IF(AF67&gt;0,AF67,IF(AF66&gt;0,AF66,IF(AF65&gt;0,AF65,IF(AF64&gt;0,AF64,IF(AF63&gt;0,AF63,IF(AF62&gt;0,AF62,IF(AF60&gt;0,AF60,IF(AF59&gt;0,AF59,IF(AF58&gt;0,AF58,0)))))))))))),0)*(1-$S70)*'模拟-单技能数据'!$I$20</f>
        <v>0</v>
      </c>
      <c r="AK70" s="115" t="b">
        <f t="shared" ca="1" si="57"/>
        <v>1</v>
      </c>
      <c r="AL70" s="115" t="b">
        <f t="shared" ca="1" si="54"/>
        <v>0</v>
      </c>
      <c r="AM70" s="115">
        <f t="shared" ca="1" si="55"/>
        <v>6</v>
      </c>
      <c r="AN70" s="47">
        <f ca="1">IF(AK70,('模拟-单技能数据'!$D$21+G70*'模拟-单技能数据'!$F$21)*(1+J70)*(1+'模拟-单技能数据'!$J$21)*(1+U70),0)</f>
        <v>12670.936004857545</v>
      </c>
      <c r="AO70" s="61">
        <f ca="1">IF(AN70&gt;0,M70-'模拟-单技能数据'!$K$10,AO69)</f>
        <v>0.42185145527300216</v>
      </c>
      <c r="AP70" s="61">
        <f ca="1">IF(AN70&gt;0,I70-'模拟-单技能数据'!$L$10,AP69)</f>
        <v>2.162482885499879</v>
      </c>
      <c r="AQ70" s="63">
        <f t="shared" ca="1" si="28"/>
        <v>0.33581404089091316</v>
      </c>
      <c r="AR70" s="64">
        <f ca="1">IF(AL70,IF(AQ70&lt;$F$10,0,IF(AQ70&lt;$F$10+$F$11,0.25,IF(AQ70&lt;$F$10+$F$11+AO70,AP70,1)))*IF(AN70&gt;0,AN70,IF(AN69&gt;0,AN69,IF(AN68&gt;0,AN68,IF(AN67&gt;0,AN67,IF(AN66&gt;0,AN66,IF(AN65&gt;0,AN65,IF(AN64&gt;0,AN64,IF(AN63&gt;0,AN63,IF(AN62&gt;0,AN62,IF(AN60&gt;0,AN60,IF(AN59&gt;0,AN59,IF(AN58&gt;0,AN58,0)))))))))))),0)*(1-$S70)*'模拟-单技能数据'!$I$21</f>
        <v>0</v>
      </c>
      <c r="AS70" s="61">
        <f ca="1">IF(OR(C70="净世破魔击·日",C70="净世破魔击·月"),M70-'模拟-单技能数据'!$K$10,0)</f>
        <v>0.42185145527300216</v>
      </c>
      <c r="AT70" s="61">
        <f ca="1">IF(OR(C70="净世破魔击·日",C70="净世破魔击·月"),I70-'模拟-单技能数据'!$L$10,0)</f>
        <v>2.162482885499879</v>
      </c>
      <c r="AU70" s="62">
        <f t="shared" ca="1" si="29"/>
        <v>0.64514571577562929</v>
      </c>
      <c r="AV70" s="64">
        <f ca="1">IF(AS70&gt;0,('模拟-单技能数据'!$D$22+G70*'模拟-单技能数据'!$F$22)*(1+J70)*(1-S70)*IF(AU70&lt;$F$10,0,IF(AU70&lt;$F$10+$F$11,0.25,IF(AU70&lt;$F$10+$F$11+AS70,AT70,1)))*(1+U70),0)*'模拟-单技能数据'!$I$22</f>
        <v>8840.2341748571616</v>
      </c>
      <c r="AW70" s="108">
        <f t="shared" ca="1" si="30"/>
        <v>15.387500000000003</v>
      </c>
      <c r="AX70" s="108" t="b">
        <f ca="1">AND(模拟模式!$P$10="有",AW69=0,RAND()&lt;IF(C70="净世破魔击·月",0.1*8/3,IF(C70="净世破魔击·日",0.1*4/3,0.1*2/3)))</f>
        <v>0</v>
      </c>
      <c r="AY70" s="47">
        <f ca="1">IF(AX70,(18+G70*0.722)*(1+J70)*(1-S70)*(1+$I$4)*IF(P70="会",'模拟-全程加成'!$J$3+'模拟-全程加成'!$J$4+'模拟-全程加成'!$J$5+('模拟-全程加成'!$I$4+'模拟-全程加成'!$I$5)/系数!$B$4+BG70*10%,IF(P70="命",1,IF(P70="识",0.25,0))),0)</f>
        <v>0</v>
      </c>
      <c r="AZ70" s="108">
        <f t="shared" si="31"/>
        <v>0.6275000000000065</v>
      </c>
      <c r="BA70" s="108" t="b">
        <f>AND(模拟模式!$Q$10="有",AZ69=0)</f>
        <v>0</v>
      </c>
      <c r="BB70" s="140">
        <f>IF(BA70,(0+G70*0.287)*(1+J70)*(1-S70)*(1+$I$4)*IF(P70="会",'模拟-全程加成'!$J$3+'模拟-全程加成'!$J$4+'模拟-全程加成'!$J$5+('模拟-全程加成'!$I$4+'模拟-全程加成'!$I$5)/系数!$B$4+BG70*10%,IF(P70="命",1,IF(P70="识",0.25,0))),0)</f>
        <v>0</v>
      </c>
      <c r="BC70" s="115" t="b">
        <f ca="1">AND(模拟模式!$R$7="伏明众生",E70=60,F70=20,DA70&lt;5,CZ69&lt;$F$4)</f>
        <v>0</v>
      </c>
      <c r="BD70" s="115">
        <f t="shared" ca="1" si="58"/>
        <v>0</v>
      </c>
      <c r="BE70" s="115" t="b">
        <f t="shared" ca="1" si="59"/>
        <v>0</v>
      </c>
      <c r="BF70" s="47">
        <f ca="1">IF(BC70,4*('模拟-单技能数据'!$D$24+G70*'模拟-单技能数据'!$F$24)*(1+J70)*(1+'模拟-单技能数据'!$J$24)*(1-S70)*(1+$I$3)*(('模拟-全程加成'!$J$3+'模拟-全程加成'!$J$4+'模拟-全程加成'!$J$5+('模拟-全程加成'!$I$4+'模拟-全程加成'!$I$5)/系数!$B$4+BG70*10%)*('模拟-全程加成'!$J$3+'模拟-全程加成'!$J$4+'模拟-全程加成'!$J$5+('模拟-全程加成'!$I$4+'模拟-全程加成'!$I$5)/系数!$B$4+BG70*10%)+(1-('模拟-全程加成'!$J$3+'模拟-全程加成'!$J$4+'模拟-全程加成'!$J$5+('模拟-全程加成'!$I$4+'模拟-全程加成'!$I$5)/系数!$B$4+BG70*10%)-$F$10-$F$11)+F56*0.25),0)*'模拟-单技能数据'!$I$24</f>
        <v>0</v>
      </c>
      <c r="BG70" s="115" t="b">
        <f ca="1">OR(AND(OR(C70="烈日斩",C70="银月斩"),模拟模式!$I$7="净身明礼"),AND(C70="净世破魔击·日",模拟模式!$J$7="洞若观火"),AND(C71="净世破魔击·月",模拟模式!$J$7="洞若观火"),AB70=1)</f>
        <v>1</v>
      </c>
      <c r="BH70" s="115" t="b">
        <f t="shared" ca="1" si="32"/>
        <v>0</v>
      </c>
      <c r="BI70" s="115">
        <f t="shared" ca="1" si="60"/>
        <v>2.3099999999999996</v>
      </c>
      <c r="BJ70" s="115" t="b">
        <f t="shared" ca="1" si="33"/>
        <v>1</v>
      </c>
      <c r="BK70" s="115" t="b">
        <f ca="1">AND(C70="驱夜断愁",模拟模式!$P$7="天地诛戮")</f>
        <v>0</v>
      </c>
      <c r="BL70" s="57">
        <f t="shared" ca="1" si="61"/>
        <v>16.310000000000002</v>
      </c>
      <c r="BM70" s="115" t="b">
        <f t="shared" ca="1" si="34"/>
        <v>1</v>
      </c>
      <c r="BN70" s="115" t="b">
        <f ca="1">AND(OR(C70="赤日轮1",C70="赤日轮2",C70="赤日轮3",C70="幽月轮1",C70="幽月轮2",C70="幽月轮3"),AB70=1,模拟模式!$L$7="明光恒照")</f>
        <v>0</v>
      </c>
      <c r="BO70" s="117">
        <f t="shared" ca="1" si="62"/>
        <v>28.155000000000001</v>
      </c>
      <c r="BP70" s="115">
        <f t="shared" ca="1" si="35"/>
        <v>6</v>
      </c>
      <c r="BQ70" s="115" t="b">
        <f>模拟模式!$K$10="2600·水"</f>
        <v>0</v>
      </c>
      <c r="BR70" s="117">
        <f t="shared" si="36"/>
        <v>0</v>
      </c>
      <c r="BS70" s="115">
        <f t="shared" si="37"/>
        <v>0</v>
      </c>
      <c r="BT70" s="115">
        <f t="shared" ca="1" si="38"/>
        <v>0</v>
      </c>
      <c r="BU70" s="115" t="b">
        <f ca="1">AND(模拟模式!$K$10="2300·雷",BT69=0,RAND()&lt;IF(C70="净世破魔击·月",5*0.05*2/3,IF(C70="净世破魔击·日",3*0.05*2/3,0.05*2*2/3)))</f>
        <v>0</v>
      </c>
      <c r="BV70" s="115">
        <f t="shared" ca="1" si="39"/>
        <v>0</v>
      </c>
      <c r="BW70" s="115">
        <f t="shared" ca="1" si="40"/>
        <v>145.8674999999995</v>
      </c>
      <c r="BX70" s="164" t="b">
        <f t="shared" ca="1" si="41"/>
        <v>0</v>
      </c>
      <c r="BY70" s="115">
        <f t="shared" ca="1" si="42"/>
        <v>0</v>
      </c>
      <c r="BZ70" s="115">
        <f>IF(OR(模拟模式!$P$16="10人团",模拟模式!$P$16="25人团"),IF(B70/30&gt;CA69,1,0),0)</f>
        <v>0</v>
      </c>
      <c r="CA70" s="115">
        <f t="shared" si="8"/>
        <v>0</v>
      </c>
      <c r="CB70" s="115">
        <f ca="1">IF(BZ70=1,IF(模拟模式!$P$16="10人团",15,0)+IF(模拟模式!$P$16="25人团",IF(RAND()&lt;0.6,15,0)),MAX(0,CB69-$F$4))</f>
        <v>0</v>
      </c>
      <c r="CC70" s="115" t="b">
        <f t="shared" ca="1" si="43"/>
        <v>0</v>
      </c>
      <c r="CD70" s="115">
        <f>IF(模拟模式!$Q$16="1个",IF(B70/40&gt;CE69,1,0),0)</f>
        <v>0</v>
      </c>
      <c r="CE70" s="115">
        <f t="shared" si="44"/>
        <v>0</v>
      </c>
      <c r="CF70" s="115">
        <f>IF(OR(CD70=1,模拟模式!$Q$16="2个"),20,MAX(0,CF69-$F$4))</f>
        <v>0</v>
      </c>
      <c r="CG70" s="115" t="b">
        <f t="shared" si="45"/>
        <v>0</v>
      </c>
      <c r="CH70" s="115">
        <f t="shared" ca="1" si="46"/>
        <v>25.387500000000003</v>
      </c>
      <c r="CI70" s="115" t="b">
        <f t="shared" ca="1" si="47"/>
        <v>0</v>
      </c>
      <c r="CJ70" s="119">
        <f t="shared" ca="1" si="48"/>
        <v>0.01</v>
      </c>
      <c r="CK70" s="115">
        <f t="shared" ca="1" si="49"/>
        <v>3.3874999999999988</v>
      </c>
      <c r="CL70" s="115" t="b">
        <f ca="1">AND(模拟模式!$S$7="驱夷逐法",OR(AND(C70="净世破魔击·月",E69&gt;59),AND(C70="净世破魔击·日",F69&gt;59)))</f>
        <v>0</v>
      </c>
      <c r="CM70" s="115" t="b">
        <f ca="1">OR(CL70,AND(C70="净世破魔击·日",CL69,RAND()&lt;模拟模式!$U$23))</f>
        <v>1</v>
      </c>
      <c r="CN70" s="115" t="b">
        <f ca="1">IF(模拟模式!$M$7="辉耀红尘",AND(C70="净世破魔击·月",CL70,CV70=0,E69&lt;80),AND(C70="净世破魔击·月",CL70,E69&lt;100))</f>
        <v>0</v>
      </c>
      <c r="CO70" s="115" t="b">
        <f t="shared" ca="1" si="9"/>
        <v>0</v>
      </c>
      <c r="CP70" s="115" t="b">
        <f ca="1">AND(模拟模式!$O$7="用晦而明",OR(C70="净世破魔击·日",C70="净世破魔击·月",C70="驱夜断愁"),AB70)</f>
        <v>1</v>
      </c>
      <c r="CQ70" s="115" t="b">
        <f ca="1">OR(CP70,AND(CP69,RAND()&lt;模拟模式!$U$23))</f>
        <v>1</v>
      </c>
      <c r="CR70" s="115" t="b">
        <f ca="1">AND(模拟模式!$S$7="日月齐光",OR(C70="幽月轮1",C70="幽月轮2",C70="幽月轮3",CR69),NOT(OR(C70="赤日轮1",C70="赤日轮2",C70="赤日轮3")))</f>
        <v>0</v>
      </c>
      <c r="CS70" s="115" t="b">
        <f ca="1">AND(模拟模式!$S$7="日月齐光",OR(C70="赤日轮1",C70="赤日轮2",C70="赤日轮3",CS69),NOT(OR(C70="幽月轮1",C70="幽月轮2",C70="幽月轮3")))</f>
        <v>0</v>
      </c>
      <c r="CT70" s="115">
        <f t="shared" ca="1" si="50"/>
        <v>0</v>
      </c>
      <c r="CU70" s="115" t="b">
        <f ca="1">AND(模拟模式!$K$10="阴阳往极",CT69=0,RAND()&lt;IF(C70="净世破魔击·月",0.0275*7/3,IF(C70="净世破魔击·日",0.0275*3/3,0.0275*2/3)))</f>
        <v>0</v>
      </c>
      <c r="CV70" s="115">
        <f t="shared" ca="1" si="51"/>
        <v>0</v>
      </c>
      <c r="CW70" s="115">
        <f t="shared" ca="1" si="63"/>
        <v>3.2324999999999995</v>
      </c>
      <c r="CX70" s="115">
        <f t="shared" ca="1" si="64"/>
        <v>1.3874999999999997</v>
      </c>
      <c r="CY70" s="115">
        <f ca="1">MAX(IF($C70="驱夜断愁",IF(模拟模式!$R$7="万念俱寂",6,45),CY69-$F$4),0)</f>
        <v>2.3099999999999996</v>
      </c>
      <c r="CZ70" s="115">
        <f t="shared" ca="1" si="12"/>
        <v>0</v>
      </c>
      <c r="DA70" s="115">
        <f ca="1">IF(模拟模式!$N$7="日月同辉",IF(DB69=2,0,MIN(6,IF(AND(OR(C70="赤日轮1",C70="赤日轮2",C70="赤日轮3",C70="幽月轮1",C70="幽月轮2",C70="幽月轮3"),AB70=1),DA69+1,DA69))),0)</f>
        <v>5</v>
      </c>
      <c r="DB70" s="115">
        <f t="shared" ca="1" si="13"/>
        <v>0</v>
      </c>
      <c r="DD70" s="115"/>
      <c r="DE70" s="115"/>
      <c r="DF70" s="115"/>
      <c r="DG70" s="115"/>
      <c r="DH70" s="115"/>
      <c r="DI70" s="115"/>
      <c r="DJ70" s="115"/>
      <c r="DK70" s="115"/>
      <c r="DL70" s="115"/>
      <c r="DM70" s="115"/>
    </row>
    <row r="71" spans="2:117" x14ac:dyDescent="0.2">
      <c r="B71" s="117">
        <f t="shared" si="65"/>
        <v>40.589999999999982</v>
      </c>
      <c r="C71" s="167" t="str">
        <f t="shared" ca="1" si="0"/>
        <v>赤日轮1</v>
      </c>
      <c r="D71" s="115">
        <f ca="1">IF(C71="赤日轮1",1,IF(C71="赤日轮2",2,IF(C71="赤日轮3",3,IF(C71="幽月轮1",4,IF(C71="幽月轮2",5,IF(C71="幽月轮3",6,IF(C71="烈日斩",7,IF(C71="银月斩",8,IF(C71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71="净世破魔击·月",17,IF(C71="驱夜断愁",18,0)))))))))))</f>
        <v>1</v>
      </c>
      <c r="E71" s="115">
        <f ca="1">IF(AND(CU71,OR(C71="幽月轮1",C71="幽月轮2",C71="幽月轮3",C71="银月斩",C71="驱夜断愁",C71="净世破魔击·月")),100,MIN(IF(OR(CN71,BE71),0,IF(OR($C71="赤日轮1",$C71="赤日轮2",$C71="赤日轮3"),E70+20+IF(模拟模式!$I$7="日月凌天",4,0)+IF(CR70,20,0),IF($C71="烈日斩",E70+40,IF($C71="驱夜断愁",IF(模拟模式!$R$7="万念俱寂",E70+20,E70+60),IF($C71="净世破魔击·月",IF(OR(DB70&gt;0,CV70&gt;0),100,IF(模拟模式!$M$7="辉耀红尘",E70+20,E70)),IF($C71="净世破魔击·日",E70-100,E70)))))),100))</f>
        <v>20</v>
      </c>
      <c r="F71" s="115">
        <f ca="1">IF(AND(CU71,OR(C71="赤日轮1",C71="赤日轮2",C71="赤日轮3",C71="烈日斩",C71="净世破魔击·日")),100,MIN(IF(CO71,0,IF(OR($C71="幽月轮1",$C71="幽月轮2",$C71="幽月轮3"),F70+20+IF(模拟模式!$I$7="日月凌天",4,0)+IF(CS70,20,0),IF($C71="银月斩",F70+40+IF(模拟模式!$X$12=1,5,0),IF($C71="驱夜断愁",IF(模拟模式!$R$7="万念俱寂",F70+20,F70+60),IF($C71="净世破魔击·月",IF(模拟模式!$M$7="辉耀红尘",F70-80,F70-100),IF(AND(C71="净世破魔击·日",OR(DB70&gt;0,CV70&gt;0)),100,F70)))))),100))</f>
        <v>20</v>
      </c>
      <c r="G71" s="117">
        <f ca="1">('模拟-全程加成'!$E$3+'模拟-全程加成'!$E$4+'模拟-全程加成'!$E$5+('模拟-全程加成'!$C$6-'模拟-全程加成'!$C$3)*系数!$B$9+BS71*23)*(1+'模拟-全程加成'!$F$4+'模拟-全程加成'!$F$5+BJ71*10%+BM71*20%+BP71*4%+CG71*30%)+$F$7*系数!$B$12</f>
        <v>21493.829400000002</v>
      </c>
      <c r="H71" s="45">
        <f ca="1">'模拟-全程加成'!$H$3+'模拟-全程加成'!$H$4+'模拟-全程加成'!$H$5+('模拟-全程加成'!$G$4+'模拟-全程加成'!$G$5+('模拟-全程加成'!$C$6-'模拟-全程加成'!$C$3)*系数!$B$13)/系数!$B$3+LOOKUP(D71,'模拟-单技能数据'!$A$2:$A$19,'模拟-单技能数据'!$K$2:$K$19)+BG71*10%+IF(BV71&gt;0,378,0)</f>
        <v>0.4618514552730022</v>
      </c>
      <c r="I71" s="45">
        <f ca="1">'模拟-全程加成'!$J$3+'模拟-全程加成'!$J$4+'模拟-全程加成'!$J$5+('模拟-全程加成'!$I$4+'模拟-全程加成'!$I$5)/系数!$B$4+LOOKUP(D71,'模拟-单技能数据'!$A$2:$A$19,'模拟-单技能数据'!$L$2:$L$19)+BG71*10%</f>
        <v>2.162482885499879</v>
      </c>
      <c r="J71" s="45">
        <f ca="1">(('模拟-全程加成'!$K$3+'模拟-全程加成'!$K$4+'模拟-全程加成'!$K$5+('模拟-全程加成'!$C$6-'模拟-全程加成'!$C$3)*系数!$B$10+IF(BV71&gt;0,882,0)+IF(BY71&gt;0,1831,0))*(1+'模拟-全程加成'!$L$4+'模拟-全程加成'!$L$5+CC71*20%))/系数!$B$5</f>
        <v>0.69723220422048726</v>
      </c>
      <c r="K71" s="119">
        <f ca="1">LOOKUP(D71,'模拟-单技能数据'!$A$2:$A$19,'模拟-单技能数据'!$J$2:$J$19)+IF(CM71,60%,0)+IF(DB70-DB71&gt;0,30%,0)+IF(OR(AND(OR(C71="赤日轮1",C71="赤日轮2",C71="赤日轮3"),CR71),AND(OR(C71="幽月轮1",C71="幽月轮2",C71="幽月轮3"),CS71)),35%,0)+CJ71</f>
        <v>0.13</v>
      </c>
      <c r="L71" s="119">
        <f ca="1">IF(AND(C71="烈日斩",模拟模式!$X$11=1),10%,0)+IF(AND(C71="驱夜断愁",AB71=1),30%,0)</f>
        <v>0</v>
      </c>
      <c r="M71" s="45">
        <f t="shared" ca="1" si="15"/>
        <v>0.4618514552730022</v>
      </c>
      <c r="N71" s="45">
        <f t="shared" ca="1" si="16"/>
        <v>0.48424854472699785</v>
      </c>
      <c r="O71" s="46">
        <f t="shared" ca="1" si="17"/>
        <v>0.33729737652523495</v>
      </c>
      <c r="P71" s="46" t="str">
        <f t="shared" ca="1" si="18"/>
        <v>会</v>
      </c>
      <c r="Q71" s="45">
        <f t="shared" ca="1" si="19"/>
        <v>2.162482885499879</v>
      </c>
      <c r="R71" s="117">
        <f ca="1">模拟模式!$E$20*(1-IF(模拟模式!$J$19="有",0.15,0))*(1-IF(模拟模式!$K$19="有",0.3,0)-IF(CQ71,0.5,0))</f>
        <v>843.02999999999975</v>
      </c>
      <c r="S71" s="45">
        <f ca="1">R71/(R71+(185*模拟模式!$E$22-16800)*4.08224)</f>
        <v>8.389626085980037E-2</v>
      </c>
      <c r="T71" s="45" t="str">
        <f ca="1">LOOKUP(D71,'模拟-单技能数据'!$A$2:$A$19,'模拟-单技能数据'!$H$2:$H$19)</f>
        <v>阳</v>
      </c>
      <c r="U71" s="119">
        <f t="shared" ca="1" si="20"/>
        <v>0.2</v>
      </c>
      <c r="V71" s="47">
        <f ca="1">(1+L71)*(LOOKUP(D71,'模拟-单技能数据'!$A$2:$A$19,'模拟-单技能数据'!$D$2:$D$19)+G71*LOOKUP(D71,'模拟-单技能数据'!$A$2:$A$19,'模拟-单技能数据'!$F$2:$F$19))*(1+J71)*(1+K71)*(1-S71)*(1+U71)*Q71*LOOKUP(D71,'模拟-单技能数据'!$A$2:$A$19,'模拟-单技能数据'!$I$2:$I$20)</f>
        <v>57371.871792944243</v>
      </c>
      <c r="W71" s="47">
        <f ca="1">LOOKUP(D71,'模拟-单技能数据'!$A$2:$A$19,'模拟-单技能数据'!$G$2:$G$19)*$I$10</f>
        <v>361.51064354704795</v>
      </c>
      <c r="X71" s="47">
        <f t="shared" ca="1" si="21"/>
        <v>21224.54896703297</v>
      </c>
      <c r="Y71" s="47">
        <f t="shared" ca="1" si="22"/>
        <v>78957.931403524257</v>
      </c>
      <c r="Z71" s="49">
        <f t="shared" ca="1" si="23"/>
        <v>4543327.555073373</v>
      </c>
      <c r="AA71" s="97">
        <f t="shared" ca="1" si="24"/>
        <v>111932.18908778948</v>
      </c>
      <c r="AB71" s="115">
        <f ca="1">IF(OR(C71="赤日轮1",C71="赤日轮2",C71="赤日轮3"),IF(RAND()&lt;模拟模式!$Y$17,1,0),IF(OR(C71="幽月轮1",C71="幽月轮2",C71="幽月轮3"),IF(RAND()&lt;模拟模式!$Y$18,1,0),IF(C71="烈日斩",IF(RAND()&lt;模拟模式!$Y$19,1,0),IF(C71="银月斩",IF(RAND()&lt;模拟模式!$Y$20,1,0),IF(C71="驱夜断愁",IF(RAND()&lt;模拟模式!$Y$21,1,0),IF(C71="净世破魔击·日",IF(RAND()&lt;模拟模式!$Y$22,1,0),IF(C71="净世破魔击·月",IF(RAND()&lt;模拟模式!$Y$23,1,0),0)))))))</f>
        <v>1</v>
      </c>
      <c r="AC71" s="115" t="b">
        <f t="shared" ca="1" si="56"/>
        <v>0</v>
      </c>
      <c r="AD71" s="115" t="b">
        <f t="shared" ca="1" si="52"/>
        <v>1</v>
      </c>
      <c r="AE71" s="115">
        <f t="shared" ca="1" si="53"/>
        <v>2</v>
      </c>
      <c r="AF71" s="47">
        <f ca="1">IF(AC71,('模拟-单技能数据'!$D$20+G71*'模拟-单技能数据'!$F$20)*(1+J71)*(1+'模拟-单技能数据'!$J$20)*(1+U71),0)</f>
        <v>0</v>
      </c>
      <c r="AG71" s="61">
        <f t="shared" ca="1" si="25"/>
        <v>0.64185145527300214</v>
      </c>
      <c r="AH71" s="61">
        <f t="shared" ca="1" si="26"/>
        <v>2.2624828854998791</v>
      </c>
      <c r="AI71" s="62">
        <f t="shared" ca="1" si="27"/>
        <v>0.6210276797966312</v>
      </c>
      <c r="AJ71" s="47">
        <f ca="1">IF(AD71,IF(AI71&lt;$F$10,0,IF(AI71&lt;$F$10+$F$11,0.25,IF(AI71&lt;$F$10+$F$11+AG71,AH71,1)))*IF(AF71&gt;0,AF71,IF(AF70&gt;0,AF70,IF(AF69&gt;0,AF69,IF(AF68&gt;0,AF68,IF(AF67&gt;0,AF67,IF(AF66&gt;0,AF66,IF(AF65&gt;0,AF65,IF(AF64&gt;0,AF64,IF(AF63&gt;0,AF63,IF(AF61&gt;0,AF61,IF(AF60&gt;0,AF60,IF(AF59&gt;0,AF59,0)))))))))))),0)*(1-$S71)*'模拟-单技能数据'!$I$20</f>
        <v>9616.6571145767884</v>
      </c>
      <c r="AK71" s="115" t="b">
        <f t="shared" ca="1" si="57"/>
        <v>0</v>
      </c>
      <c r="AL71" s="115" t="b">
        <f t="shared" ca="1" si="54"/>
        <v>1</v>
      </c>
      <c r="AM71" s="115">
        <f t="shared" ca="1" si="55"/>
        <v>5</v>
      </c>
      <c r="AN71" s="47">
        <f ca="1">IF(AK71,('模拟-单技能数据'!$D$21+G71*'模拟-单技能数据'!$F$21)*(1+J71)*(1+'模拟-单技能数据'!$J$21)*(1+U71),0)</f>
        <v>0</v>
      </c>
      <c r="AO71" s="61">
        <f ca="1">IF(AN71&gt;0,M71-'模拟-单技能数据'!$K$10,AO70)</f>
        <v>0.42185145527300216</v>
      </c>
      <c r="AP71" s="61">
        <f ca="1">IF(AN71&gt;0,I71-'模拟-单技能数据'!$L$10,AP70)</f>
        <v>2.162482885499879</v>
      </c>
      <c r="AQ71" s="63">
        <f t="shared" ca="1" si="28"/>
        <v>0.59733316142972959</v>
      </c>
      <c r="AR71" s="64">
        <f ca="1">IF(AL71,IF(AQ71&lt;$F$10,0,IF(AQ71&lt;$F$10+$F$11,0.25,IF(AQ71&lt;$F$10+$F$11+AO71,AP71,1)))*IF(AN71&gt;0,AN71,IF(AN70&gt;0,AN70,IF(AN69&gt;0,AN69,IF(AN68&gt;0,AN68,IF(AN67&gt;0,AN67,IF(AN66&gt;0,AN66,IF(AN65&gt;0,AN65,IF(AN64&gt;0,AN64,IF(AN63&gt;0,AN63,IF(AN61&gt;0,AN61,IF(AN60&gt;0,AN60,IF(AN59&gt;0,AN59,0)))))))))))),0)*(1-$S71)*'模拟-单技能数据'!$I$21</f>
        <v>11607.89185245618</v>
      </c>
      <c r="AS71" s="61">
        <f ca="1">IF(OR(C71="净世破魔击·日",C71="净世破魔击·月"),M71-'模拟-单技能数据'!$K$10,0)</f>
        <v>0</v>
      </c>
      <c r="AT71" s="61">
        <f ca="1">IF(OR(C71="净世破魔击·日",C71="净世破魔击·月"),I71-'模拟-单技能数据'!$L$10,0)</f>
        <v>0</v>
      </c>
      <c r="AU71" s="62">
        <f t="shared" ca="1" si="29"/>
        <v>0.99036270764952217</v>
      </c>
      <c r="AV71" s="64">
        <f ca="1">IF(AS71&gt;0,('模拟-单技能数据'!$D$22+G71*'模拟-单技能数据'!$F$22)*(1+J71)*(1-S71)*IF(AU71&lt;$F$10,0,IF(AU71&lt;$F$10+$F$11,0.25,IF(AU71&lt;$F$10+$F$11+AS71,AT71,1)))*(1+U71),0)*'模拟-单技能数据'!$I$22</f>
        <v>0</v>
      </c>
      <c r="AW71" s="108">
        <f t="shared" ca="1" si="30"/>
        <v>14.465000000000003</v>
      </c>
      <c r="AX71" s="108" t="b">
        <f ca="1">AND(模拟模式!$P$10="有",AW70=0,RAND()&lt;IF(C71="净世破魔击·月",0.1*8/3,IF(C71="净世破魔击·日",0.1*4/3,0.1*2/3)))</f>
        <v>0</v>
      </c>
      <c r="AY71" s="47">
        <f ca="1">IF(AX71,(18+G71*0.722)*(1+J71)*(1-S71)*(1+$I$4)*IF(P71="会",'模拟-全程加成'!$J$3+'模拟-全程加成'!$J$4+'模拟-全程加成'!$J$5+('模拟-全程加成'!$I$4+'模拟-全程加成'!$I$5)/系数!$B$4+BG71*10%,IF(P71="命",1,IF(P71="识",0.25,0))),0)</f>
        <v>0</v>
      </c>
      <c r="AZ71" s="108">
        <f t="shared" si="31"/>
        <v>0</v>
      </c>
      <c r="BA71" s="108" t="b">
        <f>AND(模拟模式!$Q$10="有",AZ70=0)</f>
        <v>0</v>
      </c>
      <c r="BB71" s="140">
        <f>IF(BA71,(0+G71*0.287)*(1+J71)*(1-S71)*(1+$I$4)*IF(P71="会",'模拟-全程加成'!$J$3+'模拟-全程加成'!$J$4+'模拟-全程加成'!$J$5+('模拟-全程加成'!$I$4+'模拟-全程加成'!$I$5)/系数!$B$4+BG71*10%,IF(P71="命",1,IF(P71="识",0.25,0))),0)</f>
        <v>0</v>
      </c>
      <c r="BC71" s="115" t="b">
        <f ca="1">AND(模拟模式!$R$7="伏明众生",E71=60,F71=20,DA71&lt;5,CZ70&lt;$F$4)</f>
        <v>0</v>
      </c>
      <c r="BD71" s="115">
        <f t="shared" ca="1" si="58"/>
        <v>0</v>
      </c>
      <c r="BE71" s="115" t="b">
        <f t="shared" ca="1" si="59"/>
        <v>0</v>
      </c>
      <c r="BF71" s="47">
        <f ca="1">IF(BC71,4*('模拟-单技能数据'!$D$24+G71*'模拟-单技能数据'!$F$24)*(1+J71)*(1+'模拟-单技能数据'!$J$24)*(1-S71)*(1+$I$3)*(('模拟-全程加成'!$J$3+'模拟-全程加成'!$J$4+'模拟-全程加成'!$J$5+('模拟-全程加成'!$I$4+'模拟-全程加成'!$I$5)/系数!$B$4+BG71*10%)*('模拟-全程加成'!$J$3+'模拟-全程加成'!$J$4+'模拟-全程加成'!$J$5+('模拟-全程加成'!$I$4+'模拟-全程加成'!$I$5)/系数!$B$4+BG71*10%)+(1-('模拟-全程加成'!$J$3+'模拟-全程加成'!$J$4+'模拟-全程加成'!$J$5+('模拟-全程加成'!$I$4+'模拟-全程加成'!$I$5)/系数!$B$4+BG71*10%)-$F$10-$F$11)+F57*0.25),0)*'模拟-单技能数据'!$I$24</f>
        <v>0</v>
      </c>
      <c r="BG71" s="115" t="b">
        <f ca="1">OR(AND(OR(C71="烈日斩",C71="银月斩"),模拟模式!$I$7="净身明礼"),AND(C71="净世破魔击·日",模拟模式!$J$7="洞若观火"),AND(C72="净世破魔击·月",模拟模式!$J$7="洞若观火"),AB71=1)</f>
        <v>1</v>
      </c>
      <c r="BH71" s="115" t="b">
        <f t="shared" ca="1" si="32"/>
        <v>0</v>
      </c>
      <c r="BI71" s="115">
        <f t="shared" ca="1" si="60"/>
        <v>1.3874999999999997</v>
      </c>
      <c r="BJ71" s="115" t="b">
        <f t="shared" ca="1" si="33"/>
        <v>1</v>
      </c>
      <c r="BK71" s="115" t="b">
        <f ca="1">AND(C71="驱夜断愁",模拟模式!$P$7="天地诛戮")</f>
        <v>0</v>
      </c>
      <c r="BL71" s="57">
        <f t="shared" ca="1" si="61"/>
        <v>15.387500000000003</v>
      </c>
      <c r="BM71" s="115" t="b">
        <f t="shared" ca="1" si="34"/>
        <v>1</v>
      </c>
      <c r="BN71" s="115" t="b">
        <f ca="1">AND(OR(C71="赤日轮1",C71="赤日轮2",C71="赤日轮3",C71="幽月轮1",C71="幽月轮2",C71="幽月轮3"),AB71=1,模拟模式!$L$7="明光恒照")</f>
        <v>1</v>
      </c>
      <c r="BO71" s="117">
        <f t="shared" ca="1" si="62"/>
        <v>30</v>
      </c>
      <c r="BP71" s="115">
        <f t="shared" ca="1" si="35"/>
        <v>6</v>
      </c>
      <c r="BQ71" s="115" t="b">
        <f>模拟模式!$K$10="2600·水"</f>
        <v>0</v>
      </c>
      <c r="BR71" s="117">
        <f t="shared" si="36"/>
        <v>0</v>
      </c>
      <c r="BS71" s="115">
        <f t="shared" si="37"/>
        <v>0</v>
      </c>
      <c r="BT71" s="115">
        <f t="shared" ca="1" si="38"/>
        <v>0</v>
      </c>
      <c r="BU71" s="115" t="b">
        <f ca="1">AND(模拟模式!$K$10="2300·雷",BT70=0,RAND()&lt;IF(C71="净世破魔击·月",5*0.05*2/3,IF(C71="净世破魔击·日",3*0.05*2/3,0.05*2*2/3)))</f>
        <v>0</v>
      </c>
      <c r="BV71" s="115">
        <f t="shared" ca="1" si="39"/>
        <v>0</v>
      </c>
      <c r="BW71" s="115">
        <f t="shared" ca="1" si="40"/>
        <v>144.94499999999948</v>
      </c>
      <c r="BX71" s="164" t="b">
        <f t="shared" ca="1" si="41"/>
        <v>0</v>
      </c>
      <c r="BY71" s="115">
        <f t="shared" ca="1" si="42"/>
        <v>0</v>
      </c>
      <c r="BZ71" s="115">
        <f>IF(OR(模拟模式!$P$16="10人团",模拟模式!$P$16="25人团"),IF(B71/30&gt;CA70,1,0),0)</f>
        <v>0</v>
      </c>
      <c r="CA71" s="115">
        <f t="shared" si="8"/>
        <v>0</v>
      </c>
      <c r="CB71" s="115">
        <f ca="1">IF(BZ71=1,IF(模拟模式!$P$16="10人团",15,0)+IF(模拟模式!$P$16="25人团",IF(RAND()&lt;0.6,15,0)),MAX(0,CB70-$F$4))</f>
        <v>0</v>
      </c>
      <c r="CC71" s="115" t="b">
        <f t="shared" ca="1" si="43"/>
        <v>0</v>
      </c>
      <c r="CD71" s="115">
        <f>IF(模拟模式!$Q$16="1个",IF(B71/40&gt;CE70,1,0),0)</f>
        <v>0</v>
      </c>
      <c r="CE71" s="115">
        <f t="shared" si="44"/>
        <v>0</v>
      </c>
      <c r="CF71" s="115">
        <f>IF(OR(CD71=1,模拟模式!$Q$16="2个"),20,MAX(0,CF70-$F$4))</f>
        <v>0</v>
      </c>
      <c r="CG71" s="115" t="b">
        <f t="shared" si="45"/>
        <v>0</v>
      </c>
      <c r="CH71" s="115">
        <f t="shared" ca="1" si="46"/>
        <v>24.465000000000003</v>
      </c>
      <c r="CI71" s="115" t="b">
        <f t="shared" ca="1" si="47"/>
        <v>0</v>
      </c>
      <c r="CJ71" s="119">
        <f t="shared" ca="1" si="48"/>
        <v>0.01</v>
      </c>
      <c r="CK71" s="115">
        <f t="shared" ca="1" si="49"/>
        <v>2.464999999999999</v>
      </c>
      <c r="CL71" s="115" t="b">
        <f ca="1">AND(模拟模式!$S$7="驱夷逐法",OR(AND(C71="净世破魔击·月",E70&gt;59),AND(C71="净世破魔击·日",F70&gt;59)))</f>
        <v>0</v>
      </c>
      <c r="CM71" s="115" t="b">
        <f ca="1">OR(CL71,AND(C71="净世破魔击·日",CL70,RAND()&lt;模拟模式!$U$23))</f>
        <v>0</v>
      </c>
      <c r="CN71" s="115" t="b">
        <f ca="1">IF(模拟模式!$M$7="辉耀红尘",AND(C71="净世破魔击·月",CL71,CV71=0,E70&lt;80),AND(C71="净世破魔击·月",CL71,E70&lt;100))</f>
        <v>0</v>
      </c>
      <c r="CO71" s="115" t="b">
        <f t="shared" ca="1" si="9"/>
        <v>0</v>
      </c>
      <c r="CP71" s="115" t="b">
        <f ca="1">AND(模拟模式!$O$7="用晦而明",OR(C71="净世破魔击·日",C71="净世破魔击·月",C71="驱夜断愁"),AB71)</f>
        <v>0</v>
      </c>
      <c r="CQ71" s="115" t="b">
        <f ca="1">OR(CP71,AND(CP70,RAND()&lt;模拟模式!$U$23))</f>
        <v>1</v>
      </c>
      <c r="CR71" s="115" t="b">
        <f ca="1">AND(模拟模式!$S$7="日月齐光",OR(C71="幽月轮1",C71="幽月轮2",C71="幽月轮3",CR70),NOT(OR(C71="赤日轮1",C71="赤日轮2",C71="赤日轮3")))</f>
        <v>0</v>
      </c>
      <c r="CS71" s="115" t="b">
        <f ca="1">AND(模拟模式!$S$7="日月齐光",OR(C71="赤日轮1",C71="赤日轮2",C71="赤日轮3",CS70),NOT(OR(C71="幽月轮1",C71="幽月轮2",C71="幽月轮3")))</f>
        <v>0</v>
      </c>
      <c r="CT71" s="115">
        <f t="shared" ca="1" si="50"/>
        <v>0</v>
      </c>
      <c r="CU71" s="115" t="b">
        <f ca="1">AND(模拟模式!$K$10="阴阳往极",CT70=0,RAND()&lt;IF(C71="净世破魔击·月",0.0275*7/3,IF(C71="净世破魔击·日",0.0275*3/3,0.0275*2/3)))</f>
        <v>0</v>
      </c>
      <c r="CV71" s="115">
        <f t="shared" ca="1" si="51"/>
        <v>0</v>
      </c>
      <c r="CW71" s="115">
        <f t="shared" ca="1" si="63"/>
        <v>2.3099999999999996</v>
      </c>
      <c r="CX71" s="115">
        <f t="shared" ca="1" si="64"/>
        <v>0.46499999999999975</v>
      </c>
      <c r="CY71" s="115">
        <f ca="1">MAX(IF($C71="驱夜断愁",IF(模拟模式!$R$7="万念俱寂",6,45),CY70-$F$4),0)</f>
        <v>1.3874999999999997</v>
      </c>
      <c r="CZ71" s="115">
        <f t="shared" ca="1" si="12"/>
        <v>0</v>
      </c>
      <c r="DA71" s="115">
        <f ca="1">IF(模拟模式!$N$7="日月同辉",IF(DB70=2,0,MIN(6,IF(AND(OR(C71="赤日轮1",C71="赤日轮2",C71="赤日轮3",C71="幽月轮1",C71="幽月轮2",C71="幽月轮3"),AB71=1),DA70+1,DA70))),0)</f>
        <v>6</v>
      </c>
      <c r="DB71" s="115">
        <f t="shared" ca="1" si="13"/>
        <v>2</v>
      </c>
      <c r="DD71" s="115"/>
      <c r="DE71" s="115"/>
      <c r="DF71" s="115"/>
      <c r="DG71" s="115"/>
      <c r="DH71" s="115"/>
      <c r="DI71" s="115"/>
      <c r="DJ71" s="115"/>
      <c r="DK71" s="115"/>
      <c r="DL71" s="115"/>
      <c r="DM71" s="115"/>
    </row>
    <row r="72" spans="2:117" x14ac:dyDescent="0.2">
      <c r="B72" s="117">
        <f t="shared" si="65"/>
        <v>41.512499999999982</v>
      </c>
      <c r="C72" s="167" t="str">
        <f t="shared" ca="1" si="0"/>
        <v>银月斩</v>
      </c>
      <c r="D72" s="115">
        <f ca="1">IF(C72="赤日轮1",1,IF(C72="赤日轮2",2,IF(C72="赤日轮3",3,IF(C72="幽月轮1",4,IF(C72="幽月轮2",5,IF(C72="幽月轮3",6,IF(C72="烈日斩",7,IF(C72="银月斩",8,IF(C72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72="净世破魔击·月",17,IF(C72="驱夜断愁",18,0)))))))))))</f>
        <v>8</v>
      </c>
      <c r="E72" s="115">
        <f ca="1">IF(AND(CU72,OR(C72="幽月轮1",C72="幽月轮2",C72="幽月轮3",C72="银月斩",C72="驱夜断愁",C72="净世破魔击·月")),100,MIN(IF(OR(CN72,BE72),0,IF(OR($C72="赤日轮1",$C72="赤日轮2",$C72="赤日轮3"),E71+20+IF(模拟模式!$I$7="日月凌天",4,0)+IF(CR71,20,0),IF($C72="烈日斩",E71+40,IF($C72="驱夜断愁",IF(模拟模式!$R$7="万念俱寂",E71+20,E71+60),IF($C72="净世破魔击·月",IF(OR(DB71&gt;0,CV71&gt;0),100,IF(模拟模式!$M$7="辉耀红尘",E71+20,E71)),IF($C72="净世破魔击·日",E71-100,E71)))))),100))</f>
        <v>20</v>
      </c>
      <c r="F72" s="115">
        <f ca="1">IF(AND(CU72,OR(C72="赤日轮1",C72="赤日轮2",C72="赤日轮3",C72="烈日斩",C72="净世破魔击·日")),100,MIN(IF(CO72,0,IF(OR($C72="幽月轮1",$C72="幽月轮2",$C72="幽月轮3"),F71+20+IF(模拟模式!$I$7="日月凌天",4,0)+IF(CS71,20,0),IF($C72="银月斩",F71+40+IF(模拟模式!$X$12=1,5,0),IF($C72="驱夜断愁",IF(模拟模式!$R$7="万念俱寂",F71+20,F71+60),IF($C72="净世破魔击·月",IF(模拟模式!$M$7="辉耀红尘",F71-80,F71-100),IF(AND(C72="净世破魔击·日",OR(DB71&gt;0,CV71&gt;0)),100,F71)))))),100))</f>
        <v>65</v>
      </c>
      <c r="G72" s="117">
        <f ca="1">('模拟-全程加成'!$E$3+'模拟-全程加成'!$E$4+'模拟-全程加成'!$E$5+('模拟-全程加成'!$C$6-'模拟-全程加成'!$C$3)*系数!$B$9+BS72*23)*(1+'模拟-全程加成'!$F$4+'模拟-全程加成'!$F$5+BJ72*10%+BM72*20%+BP72*4%+CG72*30%)+$F$7*系数!$B$12</f>
        <v>21493.829400000002</v>
      </c>
      <c r="H72" s="45">
        <f ca="1">'模拟-全程加成'!$H$3+'模拟-全程加成'!$H$4+'模拟-全程加成'!$H$5+('模拟-全程加成'!$G$4+'模拟-全程加成'!$G$5+('模拟-全程加成'!$C$6-'模拟-全程加成'!$C$3)*系数!$B$13)/系数!$B$3+LOOKUP(D72,'模拟-单技能数据'!$A$2:$A$19,'模拟-单技能数据'!$K$2:$K$19)+BG72*10%+IF(BV72&gt;0,378,0)</f>
        <v>0.64185145527300214</v>
      </c>
      <c r="I72" s="45">
        <f ca="1">'模拟-全程加成'!$J$3+'模拟-全程加成'!$J$4+'模拟-全程加成'!$J$5+('模拟-全程加成'!$I$4+'模拟-全程加成'!$I$5)/系数!$B$4+LOOKUP(D72,'模拟-单技能数据'!$A$2:$A$19,'模拟-单技能数据'!$L$2:$L$19)+BG72*10%</f>
        <v>2.2624828854998791</v>
      </c>
      <c r="J72" s="45">
        <f ca="1">(('模拟-全程加成'!$K$3+'模拟-全程加成'!$K$4+'模拟-全程加成'!$K$5+('模拟-全程加成'!$C$6-'模拟-全程加成'!$C$3)*系数!$B$10+IF(BV72&gt;0,882,0)+IF(BY72&gt;0,1831,0))*(1+'模拟-全程加成'!$L$4+'模拟-全程加成'!$L$5+CC72*20%))/系数!$B$5</f>
        <v>0.69723220422048726</v>
      </c>
      <c r="K72" s="119">
        <f ca="1">LOOKUP(D72,'模拟-单技能数据'!$A$2:$A$19,'模拟-单技能数据'!$J$2:$J$19)+IF(CM72,60%,0)+IF(DB71-DB72&gt;0,30%,0)+IF(OR(AND(OR(C72="赤日轮1",C72="赤日轮2",C72="赤日轮3"),CR72),AND(OR(C72="幽月轮1",C72="幽月轮2",C72="幽月轮3"),CS72)),35%,0)+CJ72</f>
        <v>0.16</v>
      </c>
      <c r="L72" s="119">
        <f ca="1">IF(AND(C72="烈日斩",模拟模式!$X$11=1),10%,0)+IF(AND(C72="驱夜断愁",AB72=1),30%,0)</f>
        <v>0</v>
      </c>
      <c r="M72" s="45">
        <f t="shared" ca="1" si="15"/>
        <v>0.64185145527300214</v>
      </c>
      <c r="N72" s="45">
        <f t="shared" ca="1" si="16"/>
        <v>0.30424854472699792</v>
      </c>
      <c r="O72" s="46">
        <f t="shared" ca="1" si="17"/>
        <v>0.25829011852890638</v>
      </c>
      <c r="P72" s="46" t="str">
        <f t="shared" ca="1" si="18"/>
        <v>会</v>
      </c>
      <c r="Q72" s="45">
        <f t="shared" ca="1" si="19"/>
        <v>2.2624828854998791</v>
      </c>
      <c r="R72" s="117">
        <f ca="1">模拟模式!$E$20*(1-IF(模拟模式!$J$19="有",0.15,0))*(1-IF(模拟模式!$K$19="有",0.3,0)-IF(CQ72,0.5,0))</f>
        <v>2950.6049999999996</v>
      </c>
      <c r="S72" s="45">
        <f ca="1">R72/(R72+(185*模拟模式!$E$22-16800)*4.08224)</f>
        <v>0.24272716014590323</v>
      </c>
      <c r="T72" s="45" t="str">
        <f ca="1">LOOKUP(D72,'模拟-单技能数据'!$A$2:$A$19,'模拟-单技能数据'!$H$2:$H$19)</f>
        <v>阴</v>
      </c>
      <c r="U72" s="119">
        <f t="shared" ca="1" si="20"/>
        <v>0.08</v>
      </c>
      <c r="V72" s="47">
        <f ca="1">(1+L72)*(LOOKUP(D72,'模拟-单技能数据'!$A$2:$A$19,'模拟-单技能数据'!$D$2:$D$19)+G72*LOOKUP(D72,'模拟-单技能数据'!$A$2:$A$19,'模拟-单技能数据'!$F$2:$F$19))*(1+J72)*(1+K72)*(1-S72)*(1+U72)*Q72*LOOKUP(D72,'模拟-单技能数据'!$A$2:$A$19,'模拟-单技能数据'!$I$2:$I$20)</f>
        <v>41570.067544451951</v>
      </c>
      <c r="W72" s="47">
        <f ca="1">LOOKUP(D72,'模拟-单技能数据'!$A$2:$A$19,'模拟-单技能数据'!$G$2:$G$19)*$I$10</f>
        <v>361.51064354704795</v>
      </c>
      <c r="X72" s="47">
        <f t="shared" ca="1" si="21"/>
        <v>18516.793070805608</v>
      </c>
      <c r="Y72" s="47">
        <f t="shared" ca="1" si="22"/>
        <v>60448.371258804604</v>
      </c>
      <c r="Z72" s="49">
        <f t="shared" ca="1" si="23"/>
        <v>4603775.9263321776</v>
      </c>
      <c r="AA72" s="97">
        <f t="shared" ca="1" si="24"/>
        <v>110900.95576831508</v>
      </c>
      <c r="AB72" s="115">
        <f ca="1">IF(OR(C72="赤日轮1",C72="赤日轮2",C72="赤日轮3"),IF(RAND()&lt;模拟模式!$Y$17,1,0),IF(OR(C72="幽月轮1",C72="幽月轮2",C72="幽月轮3"),IF(RAND()&lt;模拟模式!$Y$18,1,0),IF(C72="烈日斩",IF(RAND()&lt;模拟模式!$Y$19,1,0),IF(C72="银月斩",IF(RAND()&lt;模拟模式!$Y$20,1,0),IF(C72="驱夜断愁",IF(RAND()&lt;模拟模式!$Y$21,1,0),IF(C72="净世破魔击·日",IF(RAND()&lt;模拟模式!$Y$22,1,0),IF(C72="净世破魔击·月",IF(RAND()&lt;模拟模式!$Y$23,1,0),0)))))))</f>
        <v>1</v>
      </c>
      <c r="AC72" s="115" t="b">
        <f t="shared" ca="1" si="56"/>
        <v>1</v>
      </c>
      <c r="AD72" s="115" t="b">
        <f t="shared" ca="1" si="52"/>
        <v>0</v>
      </c>
      <c r="AE72" s="115">
        <f t="shared" ca="1" si="53"/>
        <v>6</v>
      </c>
      <c r="AF72" s="47">
        <f ca="1">IF(AC72,('模拟-单技能数据'!$D$20+G72*'模拟-单技能数据'!$F$20)*(1+J72)*(1+'模拟-单技能数据'!$J$20)*(1+U72),0)</f>
        <v>4639.7456468263617</v>
      </c>
      <c r="AG72" s="61">
        <f t="shared" ca="1" si="25"/>
        <v>0.64185145527300214</v>
      </c>
      <c r="AH72" s="61">
        <f t="shared" ca="1" si="26"/>
        <v>2.2624828854998791</v>
      </c>
      <c r="AI72" s="62">
        <f t="shared" ca="1" si="27"/>
        <v>0.35748009430699945</v>
      </c>
      <c r="AJ72" s="47">
        <f ca="1">IF(AD72,IF(AI72&lt;$F$10,0,IF(AI72&lt;$F$10+$F$11,0.25,IF(AI72&lt;$F$10+$F$11+AG72,AH72,1)))*IF(AF72&gt;0,AF72,IF(AF71&gt;0,AF71,IF(AF70&gt;0,AF70,IF(AF69&gt;0,AF69,IF(AF68&gt;0,AF68,IF(AF67&gt;0,AF67,IF(AF66&gt;0,AF66,IF(AF65&gt;0,AF65,IF(AF64&gt;0,AF64,IF(AF62&gt;0,AF62,IF(AF61&gt;0,AF61,IF(AF60&gt;0,AF60,0)))))))))))),0)*(1-$S72)*'模拟-单技能数据'!$I$20</f>
        <v>0</v>
      </c>
      <c r="AK72" s="115" t="b">
        <f t="shared" ca="1" si="57"/>
        <v>0</v>
      </c>
      <c r="AL72" s="115" t="b">
        <f t="shared" ca="1" si="54"/>
        <v>0</v>
      </c>
      <c r="AM72" s="115">
        <f t="shared" ca="1" si="55"/>
        <v>5</v>
      </c>
      <c r="AN72" s="47">
        <f ca="1">IF(AK72,('模拟-单技能数据'!$D$21+G72*'模拟-单技能数据'!$F$21)*(1+J72)*(1+'模拟-单技能数据'!$J$21)*(1+U72),0)</f>
        <v>0</v>
      </c>
      <c r="AO72" s="61">
        <f ca="1">IF(AN72&gt;0,M72-'模拟-单技能数据'!$K$10,AO71)</f>
        <v>0.42185145527300216</v>
      </c>
      <c r="AP72" s="61">
        <f ca="1">IF(AN72&gt;0,I72-'模拟-单技能数据'!$L$10,AP71)</f>
        <v>2.162482885499879</v>
      </c>
      <c r="AQ72" s="63">
        <f t="shared" ca="1" si="28"/>
        <v>0.61457207419890836</v>
      </c>
      <c r="AR72" s="64">
        <f ca="1">IF(AL72,IF(AQ72&lt;$F$10,0,IF(AQ72&lt;$F$10+$F$11,0.25,IF(AQ72&lt;$F$10+$F$11+AO72,AP72,1)))*IF(AN72&gt;0,AN72,IF(AN71&gt;0,AN71,IF(AN70&gt;0,AN70,IF(AN69&gt;0,AN69,IF(AN68&gt;0,AN68,IF(AN67&gt;0,AN67,IF(AN66&gt;0,AN66,IF(AN65&gt;0,AN65,IF(AN64&gt;0,AN64,IF(AN62&gt;0,AN62,IF(AN61&gt;0,AN61,IF(AN60&gt;0,AN60,0)))))))))))),0)*(1-$S72)*'模拟-单技能数据'!$I$21</f>
        <v>0</v>
      </c>
      <c r="AS72" s="61">
        <f ca="1">IF(OR(C72="净世破魔击·日",C72="净世破魔击·月"),M72-'模拟-单技能数据'!$K$10,0)</f>
        <v>0</v>
      </c>
      <c r="AT72" s="61">
        <f ca="1">IF(OR(C72="净世破魔击·日",C72="净世破魔击·月"),I72-'模拟-单技能数据'!$L$10,0)</f>
        <v>0</v>
      </c>
      <c r="AU72" s="62">
        <f t="shared" ca="1" si="29"/>
        <v>0.44171809907449988</v>
      </c>
      <c r="AV72" s="64">
        <f ca="1">IF(AS72&gt;0,('模拟-单技能数据'!$D$22+G72*'模拟-单技能数据'!$F$22)*(1+J72)*(1-S72)*IF(AU72&lt;$F$10,0,IF(AU72&lt;$F$10+$F$11,0.25,IF(AU72&lt;$F$10+$F$11+AS72,AT72,1)))*(1+U72),0)*'模拟-单技能数据'!$I$22</f>
        <v>0</v>
      </c>
      <c r="AW72" s="108">
        <f t="shared" ca="1" si="30"/>
        <v>13.542500000000004</v>
      </c>
      <c r="AX72" s="108" t="b">
        <f ca="1">AND(模拟模式!$P$10="有",AW71=0,RAND()&lt;IF(C72="净世破魔击·月",0.1*8/3,IF(C72="净世破魔击·日",0.1*4/3,0.1*2/3)))</f>
        <v>0</v>
      </c>
      <c r="AY72" s="47">
        <f ca="1">IF(AX72,(18+G72*0.722)*(1+J72)*(1-S72)*(1+$I$4)*IF(P72="会",'模拟-全程加成'!$J$3+'模拟-全程加成'!$J$4+'模拟-全程加成'!$J$5+('模拟-全程加成'!$I$4+'模拟-全程加成'!$I$5)/系数!$B$4+BG72*10%,IF(P72="命",1,IF(P72="识",0.25,0))),0)</f>
        <v>0</v>
      </c>
      <c r="AZ72" s="108">
        <f t="shared" si="31"/>
        <v>19.077500000000001</v>
      </c>
      <c r="BA72" s="108" t="b">
        <f>AND(模拟模式!$Q$10="有",AZ71=0)</f>
        <v>1</v>
      </c>
      <c r="BB72" s="140">
        <f ca="1">IF(BA72,(0+G72*0.287)*(1+J72)*(1-S72)*(1+$I$4)*IF(P72="会",'模拟-全程加成'!$J$3+'模拟-全程加成'!$J$4+'模拟-全程加成'!$J$5+('模拟-全程加成'!$I$4+'模拟-全程加成'!$I$5)/系数!$B$4+BG72*10%,IF(P72="命",1,IF(P72="识",0.25,0))),0)</f>
        <v>18516.793070805608</v>
      </c>
      <c r="BC72" s="115" t="b">
        <f ca="1">AND(模拟模式!$R$7="伏明众生",E72=60,F72=20,DA72&lt;5,CZ71&lt;$F$4)</f>
        <v>0</v>
      </c>
      <c r="BD72" s="115">
        <f t="shared" ca="1" si="58"/>
        <v>0</v>
      </c>
      <c r="BE72" s="115" t="b">
        <f t="shared" ca="1" si="59"/>
        <v>0</v>
      </c>
      <c r="BF72" s="47">
        <f ca="1">IF(BC72,4*('模拟-单技能数据'!$D$24+G72*'模拟-单技能数据'!$F$24)*(1+J72)*(1+'模拟-单技能数据'!$J$24)*(1-S72)*(1+$I$3)*(('模拟-全程加成'!$J$3+'模拟-全程加成'!$J$4+'模拟-全程加成'!$J$5+('模拟-全程加成'!$I$4+'模拟-全程加成'!$I$5)/系数!$B$4+BG72*10%)*('模拟-全程加成'!$J$3+'模拟-全程加成'!$J$4+'模拟-全程加成'!$J$5+('模拟-全程加成'!$I$4+'模拟-全程加成'!$I$5)/系数!$B$4+BG72*10%)+(1-('模拟-全程加成'!$J$3+'模拟-全程加成'!$J$4+'模拟-全程加成'!$J$5+('模拟-全程加成'!$I$4+'模拟-全程加成'!$I$5)/系数!$B$4+BG72*10%)-$F$10-$F$11)+F58*0.25),0)*'模拟-单技能数据'!$I$24</f>
        <v>0</v>
      </c>
      <c r="BG72" s="115" t="b">
        <f ca="1">OR(AND(OR(C72="烈日斩",C72="银月斩"),模拟模式!$I$7="净身明礼"),AND(C72="净世破魔击·日",模拟模式!$J$7="洞若观火"),AND(C73="净世破魔击·月",模拟模式!$J$7="洞若观火"),AB72=1)</f>
        <v>1</v>
      </c>
      <c r="BH72" s="115" t="b">
        <f t="shared" ca="1" si="32"/>
        <v>0</v>
      </c>
      <c r="BI72" s="115">
        <f t="shared" ca="1" si="60"/>
        <v>0.46499999999999975</v>
      </c>
      <c r="BJ72" s="115" t="b">
        <f t="shared" ca="1" si="33"/>
        <v>1</v>
      </c>
      <c r="BK72" s="115" t="b">
        <f ca="1">AND(C72="驱夜断愁",模拟模式!$P$7="天地诛戮")</f>
        <v>0</v>
      </c>
      <c r="BL72" s="57">
        <f t="shared" ca="1" si="61"/>
        <v>14.465000000000003</v>
      </c>
      <c r="BM72" s="115" t="b">
        <f t="shared" ca="1" si="34"/>
        <v>1</v>
      </c>
      <c r="BN72" s="115" t="b">
        <f ca="1">AND(OR(C72="赤日轮1",C72="赤日轮2",C72="赤日轮3",C72="幽月轮1",C72="幽月轮2",C72="幽月轮3"),AB72=1,模拟模式!$L$7="明光恒照")</f>
        <v>0</v>
      </c>
      <c r="BO72" s="117">
        <f t="shared" ca="1" si="62"/>
        <v>29.077500000000001</v>
      </c>
      <c r="BP72" s="115">
        <f t="shared" ca="1" si="35"/>
        <v>6</v>
      </c>
      <c r="BQ72" s="115" t="b">
        <f>模拟模式!$K$10="2600·水"</f>
        <v>0</v>
      </c>
      <c r="BR72" s="117">
        <f t="shared" si="36"/>
        <v>0</v>
      </c>
      <c r="BS72" s="115">
        <f t="shared" si="37"/>
        <v>0</v>
      </c>
      <c r="BT72" s="115">
        <f t="shared" ca="1" si="38"/>
        <v>0</v>
      </c>
      <c r="BU72" s="115" t="b">
        <f ca="1">AND(模拟模式!$K$10="2300·雷",BT71=0,RAND()&lt;IF(C72="净世破魔击·月",5*0.05*2/3,IF(C72="净世破魔击·日",3*0.05*2/3,0.05*2*2/3)))</f>
        <v>0</v>
      </c>
      <c r="BV72" s="115">
        <f t="shared" ca="1" si="39"/>
        <v>0</v>
      </c>
      <c r="BW72" s="115">
        <f t="shared" ca="1" si="40"/>
        <v>144.02249999999947</v>
      </c>
      <c r="BX72" s="164" t="b">
        <f t="shared" ca="1" si="41"/>
        <v>0</v>
      </c>
      <c r="BY72" s="115">
        <f t="shared" ca="1" si="42"/>
        <v>0</v>
      </c>
      <c r="BZ72" s="115">
        <f>IF(OR(模拟模式!$P$16="10人团",模拟模式!$P$16="25人团"),IF(B72/30&gt;CA71,1,0),0)</f>
        <v>0</v>
      </c>
      <c r="CA72" s="115">
        <f t="shared" si="8"/>
        <v>0</v>
      </c>
      <c r="CB72" s="115">
        <f ca="1">IF(BZ72=1,IF(模拟模式!$P$16="10人团",15,0)+IF(模拟模式!$P$16="25人团",IF(RAND()&lt;0.6,15,0)),MAX(0,CB71-$F$4))</f>
        <v>0</v>
      </c>
      <c r="CC72" s="115" t="b">
        <f t="shared" ca="1" si="43"/>
        <v>0</v>
      </c>
      <c r="CD72" s="115">
        <f>IF(模拟模式!$Q$16="1个",IF(B72/40&gt;CE71,1,0),0)</f>
        <v>0</v>
      </c>
      <c r="CE72" s="115">
        <f t="shared" si="44"/>
        <v>0</v>
      </c>
      <c r="CF72" s="115">
        <f>IF(OR(CD72=1,模拟模式!$Q$16="2个"),20,MAX(0,CF71-$F$4))</f>
        <v>0</v>
      </c>
      <c r="CG72" s="115" t="b">
        <f t="shared" si="45"/>
        <v>0</v>
      </c>
      <c r="CH72" s="115">
        <f t="shared" ca="1" si="46"/>
        <v>23.542500000000004</v>
      </c>
      <c r="CI72" s="115" t="b">
        <f t="shared" ca="1" si="47"/>
        <v>0</v>
      </c>
      <c r="CJ72" s="119">
        <f t="shared" ca="1" si="48"/>
        <v>0.01</v>
      </c>
      <c r="CK72" s="115">
        <f t="shared" ca="1" si="49"/>
        <v>1.5424999999999991</v>
      </c>
      <c r="CL72" s="115" t="b">
        <f ca="1">AND(模拟模式!$S$7="驱夷逐法",OR(AND(C72="净世破魔击·月",E71&gt;59),AND(C72="净世破魔击·日",F71&gt;59)))</f>
        <v>0</v>
      </c>
      <c r="CM72" s="115" t="b">
        <f ca="1">OR(CL72,AND(C72="净世破魔击·日",CL71,RAND()&lt;模拟模式!$U$23))</f>
        <v>0</v>
      </c>
      <c r="CN72" s="115" t="b">
        <f ca="1">IF(模拟模式!$M$7="辉耀红尘",AND(C72="净世破魔击·月",CL72,CV72=0,E71&lt;80),AND(C72="净世破魔击·月",CL72,E71&lt;100))</f>
        <v>0</v>
      </c>
      <c r="CO72" s="115" t="b">
        <f t="shared" ca="1" si="9"/>
        <v>0</v>
      </c>
      <c r="CP72" s="115" t="b">
        <f ca="1">AND(模拟模式!$O$7="用晦而明",OR(C72="净世破魔击·日",C72="净世破魔击·月",C72="驱夜断愁"),AB72)</f>
        <v>0</v>
      </c>
      <c r="CQ72" s="115" t="b">
        <f ca="1">OR(CP72,AND(CP71,RAND()&lt;模拟模式!$U$23))</f>
        <v>0</v>
      </c>
      <c r="CR72" s="115" t="b">
        <f ca="1">AND(模拟模式!$S$7="日月齐光",OR(C72="幽月轮1",C72="幽月轮2",C72="幽月轮3",CR71),NOT(OR(C72="赤日轮1",C72="赤日轮2",C72="赤日轮3")))</f>
        <v>0</v>
      </c>
      <c r="CS72" s="115" t="b">
        <f ca="1">AND(模拟模式!$S$7="日月齐光",OR(C72="赤日轮1",C72="赤日轮2",C72="赤日轮3",CS71),NOT(OR(C72="幽月轮1",C72="幽月轮2",C72="幽月轮3")))</f>
        <v>0</v>
      </c>
      <c r="CT72" s="115">
        <f t="shared" ca="1" si="50"/>
        <v>0</v>
      </c>
      <c r="CU72" s="115" t="b">
        <f ca="1">AND(模拟模式!$K$10="阴阳往极",CT71=0,RAND()&lt;IF(C72="净世破魔击·月",0.0275*7/3,IF(C72="净世破魔击·日",0.0275*3/3,0.0275*2/3)))</f>
        <v>0</v>
      </c>
      <c r="CV72" s="115">
        <f t="shared" ca="1" si="51"/>
        <v>0</v>
      </c>
      <c r="CW72" s="115">
        <f t="shared" ca="1" si="63"/>
        <v>1.3874999999999997</v>
      </c>
      <c r="CX72" s="115">
        <f t="shared" ca="1" si="64"/>
        <v>6</v>
      </c>
      <c r="CY72" s="115">
        <f ca="1">MAX(IF($C72="驱夜断愁",IF(模拟模式!$R$7="万念俱寂",6,45),CY71-$F$4),0)</f>
        <v>0.46499999999999975</v>
      </c>
      <c r="CZ72" s="115">
        <f t="shared" ca="1" si="12"/>
        <v>0</v>
      </c>
      <c r="DA72" s="115">
        <f ca="1">IF(模拟模式!$N$7="日月同辉",IF(DB71=2,0,MIN(6,IF(AND(OR(C72="赤日轮1",C72="赤日轮2",C72="赤日轮3",C72="幽月轮1",C72="幽月轮2",C72="幽月轮3"),AB72=1),DA71+1,DA71))),0)</f>
        <v>0</v>
      </c>
      <c r="DB72" s="115">
        <f t="shared" ca="1" si="13"/>
        <v>2</v>
      </c>
      <c r="DD72" s="115"/>
      <c r="DE72" s="115"/>
      <c r="DF72" s="115"/>
      <c r="DG72" s="115"/>
      <c r="DH72" s="115"/>
      <c r="DI72" s="115"/>
      <c r="DJ72" s="115"/>
      <c r="DK72" s="115"/>
      <c r="DL72" s="115"/>
      <c r="DM72" s="115"/>
    </row>
    <row r="73" spans="2:117" x14ac:dyDescent="0.2">
      <c r="B73" s="117">
        <f t="shared" si="65"/>
        <v>42.434999999999981</v>
      </c>
      <c r="C73" s="167" t="str">
        <f t="shared" ca="1" si="0"/>
        <v>驱夜断愁</v>
      </c>
      <c r="D73" s="115">
        <f ca="1">IF(C73="赤日轮1",1,IF(C73="赤日轮2",2,IF(C73="赤日轮3",3,IF(C73="幽月轮1",4,IF(C73="幽月轮2",5,IF(C73="幽月轮3",6,IF(C73="烈日斩",7,IF(C73="银月斩",8,IF(C73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73="净世破魔击·月",17,IF(C73="驱夜断愁",18,0)))))))))))</f>
        <v>18</v>
      </c>
      <c r="E73" s="115">
        <f ca="1">IF(AND(CU73,OR(C73="幽月轮1",C73="幽月轮2",C73="幽月轮3",C73="银月斩",C73="驱夜断愁",C73="净世破魔击·月")),100,MIN(IF(OR(CN73,BE73),0,IF(OR($C73="赤日轮1",$C73="赤日轮2",$C73="赤日轮3"),E72+20+IF(模拟模式!$I$7="日月凌天",4,0)+IF(CR72,20,0),IF($C73="烈日斩",E72+40,IF($C73="驱夜断愁",IF(模拟模式!$R$7="万念俱寂",E72+20,E72+60),IF($C73="净世破魔击·月",IF(OR(DB72&gt;0,CV72&gt;0),100,IF(模拟模式!$M$7="辉耀红尘",E72+20,E72)),IF($C73="净世破魔击·日",E72-100,E72)))))),100))</f>
        <v>40</v>
      </c>
      <c r="F73" s="115">
        <f ca="1">IF(AND(CU73,OR(C73="赤日轮1",C73="赤日轮2",C73="赤日轮3",C73="烈日斩",C73="净世破魔击·日")),100,MIN(IF(CO73,0,IF(OR($C73="幽月轮1",$C73="幽月轮2",$C73="幽月轮3"),F72+20+IF(模拟模式!$I$7="日月凌天",4,0)+IF(CS72,20,0),IF($C73="银月斩",F72+40+IF(模拟模式!$X$12=1,5,0),IF($C73="驱夜断愁",IF(模拟模式!$R$7="万念俱寂",F72+20,F72+60),IF($C73="净世破魔击·月",IF(模拟模式!$M$7="辉耀红尘",F72-80,F72-100),IF(AND(C73="净世破魔击·日",OR(DB72&gt;0,CV72&gt;0)),100,F72)))))),100))</f>
        <v>85</v>
      </c>
      <c r="G73" s="117">
        <f ca="1">('模拟-全程加成'!$E$3+'模拟-全程加成'!$E$4+'模拟-全程加成'!$E$5+('模拟-全程加成'!$C$6-'模拟-全程加成'!$C$3)*系数!$B$9+BS73*23)*(1+'模拟-全程加成'!$F$4+'模拟-全程加成'!$F$5+BJ73*10%+BM73*20%+BP73*4%+CG73*30%)+$F$7*系数!$B$12</f>
        <v>20583.127400000001</v>
      </c>
      <c r="H73" s="45">
        <f ca="1">'模拟-全程加成'!$H$3+'模拟-全程加成'!$H$4+'模拟-全程加成'!$H$5+('模拟-全程加成'!$G$4+'模拟-全程加成'!$G$5+('模拟-全程加成'!$C$6-'模拟-全程加成'!$C$3)*系数!$B$13)/系数!$B$3+LOOKUP(D73,'模拟-单技能数据'!$A$2:$A$19,'模拟-单技能数据'!$K$2:$K$19)+BG73*10%+IF(BV73&gt;0,378,0)</f>
        <v>0.51185145527300213</v>
      </c>
      <c r="I73" s="45">
        <f ca="1">'模拟-全程加成'!$J$3+'模拟-全程加成'!$J$4+'模拟-全程加成'!$J$5+('模拟-全程加成'!$I$4+'模拟-全程加成'!$I$5)/系数!$B$4+LOOKUP(D73,'模拟-单技能数据'!$A$2:$A$19,'模拟-单技能数据'!$L$2:$L$19)+BG73*10%</f>
        <v>2.162482885499879</v>
      </c>
      <c r="J73" s="45">
        <f ca="1">(('模拟-全程加成'!$K$3+'模拟-全程加成'!$K$4+'模拟-全程加成'!$K$5+('模拟-全程加成'!$C$6-'模拟-全程加成'!$C$3)*系数!$B$10+IF(BV73&gt;0,882,0)+IF(BY73&gt;0,1831,0))*(1+'模拟-全程加成'!$L$4+'模拟-全程加成'!$L$5+CC73*20%))/系数!$B$5</f>
        <v>0.69723220422048726</v>
      </c>
      <c r="K73" s="119">
        <f ca="1">LOOKUP(D73,'模拟-单技能数据'!$A$2:$A$19,'模拟-单技能数据'!$J$2:$J$19)+IF(CM73,60%,0)+IF(DB72-DB73&gt;0,30%,0)+IF(OR(AND(OR(C73="赤日轮1",C73="赤日轮2",C73="赤日轮3"),CR73),AND(OR(C73="幽月轮1",C73="幽月轮2",C73="幽月轮3"),CS73)),35%,0)+CJ73</f>
        <v>0.15000000000000002</v>
      </c>
      <c r="L73" s="119">
        <f ca="1">IF(AND(C73="烈日斩",模拟模式!$X$11=1),10%,0)+IF(AND(C73="驱夜断愁",AB73=1),30%,0)</f>
        <v>0.3</v>
      </c>
      <c r="M73" s="45">
        <f t="shared" ca="1" si="15"/>
        <v>0.51185145527300213</v>
      </c>
      <c r="N73" s="45">
        <f t="shared" ca="1" si="16"/>
        <v>0.43424854472699792</v>
      </c>
      <c r="O73" s="46">
        <f t="shared" ca="1" si="17"/>
        <v>0.91013998620895631</v>
      </c>
      <c r="P73" s="46" t="str">
        <f t="shared" ca="1" si="18"/>
        <v>命</v>
      </c>
      <c r="Q73" s="45">
        <f t="shared" ca="1" si="19"/>
        <v>1</v>
      </c>
      <c r="R73" s="117">
        <f ca="1">模拟模式!$E$20*(1-IF(模拟模式!$J$19="有",0.15,0))*(1-IF(模拟模式!$K$19="有",0.3,0)-IF(CQ73,0.5,0))</f>
        <v>843.02999999999975</v>
      </c>
      <c r="S73" s="45">
        <f ca="1">R73/(R73+(185*模拟模式!$E$22-16800)*4.08224)</f>
        <v>8.389626085980037E-2</v>
      </c>
      <c r="T73" s="45" t="str">
        <f ca="1">LOOKUP(D73,'模拟-单技能数据'!$A$2:$A$19,'模拟-单技能数据'!$H$2:$H$19)</f>
        <v>阴</v>
      </c>
      <c r="U73" s="119">
        <f t="shared" ca="1" si="20"/>
        <v>0.08</v>
      </c>
      <c r="V73" s="47">
        <f ca="1">(1+L73)*(LOOKUP(D73,'模拟-单技能数据'!$A$2:$A$19,'模拟-单技能数据'!$D$2:$D$19)+G73*LOOKUP(D73,'模拟-单技能数据'!$A$2:$A$19,'模拟-单技能数据'!$F$2:$F$19))*(1+J73)*(1+K73)*(1-S73)*(1+U73)*Q73*LOOKUP(D73,'模拟-单技能数据'!$A$2:$A$19,'模拟-单技能数据'!$I$2:$I$20)</f>
        <v>59460.132660588548</v>
      </c>
      <c r="W73" s="47">
        <f ca="1">LOOKUP(D73,'模拟-单技能数据'!$A$2:$A$19,'模拟-单技能数据'!$G$2:$G$19)*$I$10</f>
        <v>723.0212870940959</v>
      </c>
      <c r="X73" s="47">
        <f t="shared" ca="1" si="21"/>
        <v>34718.524582246762</v>
      </c>
      <c r="Y73" s="47">
        <f t="shared" ca="1" si="22"/>
        <v>94901.678529929399</v>
      </c>
      <c r="Z73" s="49">
        <f t="shared" ca="1" si="23"/>
        <v>4698677.604862107</v>
      </c>
      <c r="AA73" s="97">
        <f t="shared" ca="1" si="24"/>
        <v>110726.46647489358</v>
      </c>
      <c r="AB73" s="115">
        <f ca="1">IF(OR(C73="赤日轮1",C73="赤日轮2",C73="赤日轮3"),IF(RAND()&lt;模拟模式!$Y$17,1,0),IF(OR(C73="幽月轮1",C73="幽月轮2",C73="幽月轮3"),IF(RAND()&lt;模拟模式!$Y$18,1,0),IF(C73="烈日斩",IF(RAND()&lt;模拟模式!$Y$19,1,0),IF(C73="银月斩",IF(RAND()&lt;模拟模式!$Y$20,1,0),IF(C73="驱夜断愁",IF(RAND()&lt;模拟模式!$Y$21,1,0),IF(C73="净世破魔击·日",IF(RAND()&lt;模拟模式!$Y$22,1,0),IF(C73="净世破魔击·月",IF(RAND()&lt;模拟模式!$Y$23,1,0),0)))))))</f>
        <v>1</v>
      </c>
      <c r="AC73" s="115" t="b">
        <f t="shared" ca="1" si="56"/>
        <v>0</v>
      </c>
      <c r="AD73" s="115" t="b">
        <f t="shared" ca="1" si="52"/>
        <v>1</v>
      </c>
      <c r="AE73" s="115">
        <f t="shared" ca="1" si="53"/>
        <v>5</v>
      </c>
      <c r="AF73" s="47">
        <f ca="1">IF(AC73,('模拟-单技能数据'!$D$20+G73*'模拟-单技能数据'!$F$20)*(1+J73)*(1+'模拟-单技能数据'!$J$20)*(1+U73),0)</f>
        <v>0</v>
      </c>
      <c r="AG73" s="61">
        <f t="shared" ca="1" si="25"/>
        <v>0.64185145527300214</v>
      </c>
      <c r="AH73" s="61">
        <f t="shared" ca="1" si="26"/>
        <v>2.2624828854998791</v>
      </c>
      <c r="AI73" s="62">
        <f t="shared" ca="1" si="27"/>
        <v>0.23905998793899996</v>
      </c>
      <c r="AJ73" s="47">
        <f ca="1">IF(AD73,IF(AI73&lt;$F$10,0,IF(AI73&lt;$F$10+$F$11,0.25,IF(AI73&lt;$F$10+$F$11+AG73,AH73,1)))*IF(AF73&gt;0,AF73,IF(AF72&gt;0,AF72,IF(AF71&gt;0,AF71,IF(AF70&gt;0,AF70,IF(AF69&gt;0,AF69,IF(AF68&gt;0,AF68,IF(AF67&gt;0,AF67,IF(AF66&gt;0,AF66,IF(AF65&gt;0,AF65,IF(AF63&gt;0,AF63,IF(AF62&gt;0,AF62,IF(AF61&gt;0,AF61,0)))))))))))),0)*(1-$S73)*'模拟-单技能数据'!$I$20</f>
        <v>9616.6571145767884</v>
      </c>
      <c r="AK73" s="115" t="b">
        <f t="shared" ca="1" si="57"/>
        <v>0</v>
      </c>
      <c r="AL73" s="115" t="b">
        <f t="shared" ca="1" si="54"/>
        <v>1</v>
      </c>
      <c r="AM73" s="115">
        <f t="shared" ca="1" si="55"/>
        <v>4</v>
      </c>
      <c r="AN73" s="47">
        <f ca="1">IF(AK73,('模拟-单技能数据'!$D$21+G73*'模拟-单技能数据'!$F$21)*(1+J73)*(1+'模拟-单技能数据'!$J$21)*(1+U73),0)</f>
        <v>0</v>
      </c>
      <c r="AO73" s="61">
        <f ca="1">IF(AN73&gt;0,M73-'模拟-单技能数据'!$K$10,AO72)</f>
        <v>0.42185145527300216</v>
      </c>
      <c r="AP73" s="61">
        <f ca="1">IF(AN73&gt;0,I73-'模拟-单技能数据'!$L$10,AP72)</f>
        <v>2.162482885499879</v>
      </c>
      <c r="AQ73" s="63">
        <f t="shared" ca="1" si="28"/>
        <v>0.35434915884629892</v>
      </c>
      <c r="AR73" s="64">
        <f ca="1">IF(AL73,IF(AQ73&lt;$F$10,0,IF(AQ73&lt;$F$10+$F$11,0.25,IF(AQ73&lt;$F$10+$F$11+AO73,AP73,1)))*IF(AN73&gt;0,AN73,IF(AN72&gt;0,AN72,IF(AN71&gt;0,AN71,IF(AN70&gt;0,AN70,IF(AN69&gt;0,AN69,IF(AN68&gt;0,AN68,IF(AN67&gt;0,AN67,IF(AN66&gt;0,AN66,IF(AN65&gt;0,AN65,IF(AN63&gt;0,AN63,IF(AN62&gt;0,AN62,IF(AN61&gt;0,AN61,0)))))))))))),0)*(1-$S73)*'模拟-单技能数据'!$I$21</f>
        <v>25101.867467669974</v>
      </c>
      <c r="AS73" s="61">
        <f ca="1">IF(OR(C73="净世破魔击·日",C73="净世破魔击·月"),M73-'模拟-单技能数据'!$K$10,0)</f>
        <v>0</v>
      </c>
      <c r="AT73" s="61">
        <f ca="1">IF(OR(C73="净世破魔击·日",C73="净世破魔击·月"),I73-'模拟-单技能数据'!$L$10,0)</f>
        <v>0</v>
      </c>
      <c r="AU73" s="62">
        <f t="shared" ca="1" si="29"/>
        <v>0.39713681288393254</v>
      </c>
      <c r="AV73" s="64">
        <f ca="1">IF(AS73&gt;0,('模拟-单技能数据'!$D$22+G73*'模拟-单技能数据'!$F$22)*(1+J73)*(1-S73)*IF(AU73&lt;$F$10,0,IF(AU73&lt;$F$10+$F$11,0.25,IF(AU73&lt;$F$10+$F$11+AS73,AT73,1)))*(1+U73),0)*'模拟-单技能数据'!$I$22</f>
        <v>0</v>
      </c>
      <c r="AW73" s="108">
        <f t="shared" ca="1" si="30"/>
        <v>12.620000000000005</v>
      </c>
      <c r="AX73" s="108" t="b">
        <f ca="1">AND(模拟模式!$P$10="有",AW72=0,RAND()&lt;IF(C73="净世破魔击·月",0.1*8/3,IF(C73="净世破魔击·日",0.1*4/3,0.1*2/3)))</f>
        <v>0</v>
      </c>
      <c r="AY73" s="47">
        <f ca="1">IF(AX73,(18+G73*0.722)*(1+J73)*(1-S73)*(1+$I$4)*IF(P73="会",'模拟-全程加成'!$J$3+'模拟-全程加成'!$J$4+'模拟-全程加成'!$J$5+('模拟-全程加成'!$I$4+'模拟-全程加成'!$I$5)/系数!$B$4+BG73*10%,IF(P73="命",1,IF(P73="识",0.25,0))),0)</f>
        <v>0</v>
      </c>
      <c r="AZ73" s="108">
        <f t="shared" si="31"/>
        <v>18.155000000000001</v>
      </c>
      <c r="BA73" s="108" t="b">
        <f>AND(模拟模式!$Q$10="有",AZ72=0)</f>
        <v>0</v>
      </c>
      <c r="BB73" s="140">
        <f>IF(BA73,(0+G73*0.287)*(1+J73)*(1-S73)*(1+$I$4)*IF(P73="会",'模拟-全程加成'!$J$3+'模拟-全程加成'!$J$4+'模拟-全程加成'!$J$5+('模拟-全程加成'!$I$4+'模拟-全程加成'!$I$5)/系数!$B$4+BG73*10%,IF(P73="命",1,IF(P73="识",0.25,0))),0)</f>
        <v>0</v>
      </c>
      <c r="BC73" s="115" t="b">
        <f ca="1">AND(模拟模式!$R$7="伏明众生",E73=60,F73=20,DA73&lt;5,CZ72&lt;$F$4)</f>
        <v>0</v>
      </c>
      <c r="BD73" s="115">
        <f t="shared" ca="1" si="58"/>
        <v>0</v>
      </c>
      <c r="BE73" s="115" t="b">
        <f t="shared" ca="1" si="59"/>
        <v>0</v>
      </c>
      <c r="BF73" s="47">
        <f ca="1">IF(BC73,4*('模拟-单技能数据'!$D$24+G73*'模拟-单技能数据'!$F$24)*(1+J73)*(1+'模拟-单技能数据'!$J$24)*(1-S73)*(1+$I$3)*(('模拟-全程加成'!$J$3+'模拟-全程加成'!$J$4+'模拟-全程加成'!$J$5+('模拟-全程加成'!$I$4+'模拟-全程加成'!$I$5)/系数!$B$4+BG73*10%)*('模拟-全程加成'!$J$3+'模拟-全程加成'!$J$4+'模拟-全程加成'!$J$5+('模拟-全程加成'!$I$4+'模拟-全程加成'!$I$5)/系数!$B$4+BG73*10%)+(1-('模拟-全程加成'!$J$3+'模拟-全程加成'!$J$4+'模拟-全程加成'!$J$5+('模拟-全程加成'!$I$4+'模拟-全程加成'!$I$5)/系数!$B$4+BG73*10%)-$F$10-$F$11)+F59*0.25),0)*'模拟-单技能数据'!$I$24</f>
        <v>0</v>
      </c>
      <c r="BG73" s="115" t="b">
        <f ca="1">OR(AND(OR(C73="烈日斩",C73="银月斩"),模拟模式!$I$7="净身明礼"),AND(C73="净世破魔击·日",模拟模式!$J$7="洞若观火"),AND(C74="净世破魔击·月",模拟模式!$J$7="洞若观火"),AB73=1)</f>
        <v>1</v>
      </c>
      <c r="BH73" s="115" t="b">
        <f t="shared" ca="1" si="32"/>
        <v>0</v>
      </c>
      <c r="BI73" s="115">
        <f t="shared" ca="1" si="60"/>
        <v>0</v>
      </c>
      <c r="BJ73" s="115" t="b">
        <f t="shared" ca="1" si="33"/>
        <v>0</v>
      </c>
      <c r="BK73" s="115" t="b">
        <f ca="1">AND(C73="驱夜断愁",模拟模式!$P$7="天地诛戮")</f>
        <v>1</v>
      </c>
      <c r="BL73" s="57">
        <f t="shared" ca="1" si="61"/>
        <v>20</v>
      </c>
      <c r="BM73" s="115" t="b">
        <f t="shared" ca="1" si="34"/>
        <v>1</v>
      </c>
      <c r="BN73" s="115" t="b">
        <f ca="1">AND(OR(C73="赤日轮1",C73="赤日轮2",C73="赤日轮3",C73="幽月轮1",C73="幽月轮2",C73="幽月轮3"),AB73=1,模拟模式!$L$7="明光恒照")</f>
        <v>0</v>
      </c>
      <c r="BO73" s="117">
        <f t="shared" ca="1" si="62"/>
        <v>28.155000000000001</v>
      </c>
      <c r="BP73" s="115">
        <f t="shared" ca="1" si="35"/>
        <v>6</v>
      </c>
      <c r="BQ73" s="115" t="b">
        <f>模拟模式!$K$10="2600·水"</f>
        <v>0</v>
      </c>
      <c r="BR73" s="117">
        <f t="shared" si="36"/>
        <v>0</v>
      </c>
      <c r="BS73" s="115">
        <f t="shared" si="37"/>
        <v>0</v>
      </c>
      <c r="BT73" s="115">
        <f t="shared" ca="1" si="38"/>
        <v>0</v>
      </c>
      <c r="BU73" s="115" t="b">
        <f ca="1">AND(模拟模式!$K$10="2300·雷",BT72=0,RAND()&lt;IF(C73="净世破魔击·月",5*0.05*2/3,IF(C73="净世破魔击·日",3*0.05*2/3,0.05*2*2/3)))</f>
        <v>0</v>
      </c>
      <c r="BV73" s="115">
        <f t="shared" ca="1" si="39"/>
        <v>0</v>
      </c>
      <c r="BW73" s="115">
        <f t="shared" ca="1" si="40"/>
        <v>143.09999999999945</v>
      </c>
      <c r="BX73" s="164" t="b">
        <f t="shared" ca="1" si="41"/>
        <v>0</v>
      </c>
      <c r="BY73" s="115">
        <f t="shared" ca="1" si="42"/>
        <v>0</v>
      </c>
      <c r="BZ73" s="115">
        <f>IF(OR(模拟模式!$P$16="10人团",模拟模式!$P$16="25人团"),IF(B73/30&gt;CA72,1,0),0)</f>
        <v>0</v>
      </c>
      <c r="CA73" s="115">
        <f t="shared" si="8"/>
        <v>0</v>
      </c>
      <c r="CB73" s="115">
        <f ca="1">IF(BZ73=1,IF(模拟模式!$P$16="10人团",15,0)+IF(模拟模式!$P$16="25人团",IF(RAND()&lt;0.6,15,0)),MAX(0,CB72-$F$4))</f>
        <v>0</v>
      </c>
      <c r="CC73" s="115" t="b">
        <f t="shared" ca="1" si="43"/>
        <v>0</v>
      </c>
      <c r="CD73" s="115">
        <f>IF(模拟模式!$Q$16="1个",IF(B73/40&gt;CE72,1,0),0)</f>
        <v>0</v>
      </c>
      <c r="CE73" s="115">
        <f t="shared" si="44"/>
        <v>0</v>
      </c>
      <c r="CF73" s="115">
        <f>IF(OR(CD73=1,模拟模式!$Q$16="2个"),20,MAX(0,CF72-$F$4))</f>
        <v>0</v>
      </c>
      <c r="CG73" s="115" t="b">
        <f t="shared" si="45"/>
        <v>0</v>
      </c>
      <c r="CH73" s="115">
        <f t="shared" ca="1" si="46"/>
        <v>22.620000000000005</v>
      </c>
      <c r="CI73" s="115" t="b">
        <f t="shared" ca="1" si="47"/>
        <v>0</v>
      </c>
      <c r="CJ73" s="119">
        <f t="shared" ca="1" si="48"/>
        <v>0.01</v>
      </c>
      <c r="CK73" s="115">
        <f t="shared" ca="1" si="49"/>
        <v>0.61999999999999911</v>
      </c>
      <c r="CL73" s="115" t="b">
        <f ca="1">AND(模拟模式!$S$7="驱夷逐法",OR(AND(C73="净世破魔击·月",E72&gt;59),AND(C73="净世破魔击·日",F72&gt;59)))</f>
        <v>0</v>
      </c>
      <c r="CM73" s="115" t="b">
        <f ca="1">OR(CL73,AND(C73="净世破魔击·日",CL72,RAND()&lt;模拟模式!$U$23))</f>
        <v>0</v>
      </c>
      <c r="CN73" s="115" t="b">
        <f ca="1">IF(模拟模式!$M$7="辉耀红尘",AND(C73="净世破魔击·月",CL73,CV73=0,E72&lt;80),AND(C73="净世破魔击·月",CL73,E72&lt;100))</f>
        <v>0</v>
      </c>
      <c r="CO73" s="115" t="b">
        <f t="shared" ca="1" si="9"/>
        <v>0</v>
      </c>
      <c r="CP73" s="115" t="b">
        <f ca="1">AND(模拟模式!$O$7="用晦而明",OR(C73="净世破魔击·日",C73="净世破魔击·月",C73="驱夜断愁"),AB73)</f>
        <v>1</v>
      </c>
      <c r="CQ73" s="115" t="b">
        <f ca="1">OR(CP73,AND(CP72,RAND()&lt;模拟模式!$U$23))</f>
        <v>1</v>
      </c>
      <c r="CR73" s="115" t="b">
        <f ca="1">AND(模拟模式!$S$7="日月齐光",OR(C73="幽月轮1",C73="幽月轮2",C73="幽月轮3",CR72),NOT(OR(C73="赤日轮1",C73="赤日轮2",C73="赤日轮3")))</f>
        <v>0</v>
      </c>
      <c r="CS73" s="115" t="b">
        <f ca="1">AND(模拟模式!$S$7="日月齐光",OR(C73="赤日轮1",C73="赤日轮2",C73="赤日轮3",CS72),NOT(OR(C73="幽月轮1",C73="幽月轮2",C73="幽月轮3")))</f>
        <v>0</v>
      </c>
      <c r="CT73" s="115">
        <f t="shared" ca="1" si="50"/>
        <v>0</v>
      </c>
      <c r="CU73" s="115" t="b">
        <f ca="1">AND(模拟模式!$K$10="阴阳往极",CT72=0,RAND()&lt;IF(C73="净世破魔击·月",0.0275*7/3,IF(C73="净世破魔击·日",0.0275*3/3,0.0275*2/3)))</f>
        <v>0</v>
      </c>
      <c r="CV73" s="115">
        <f t="shared" ca="1" si="51"/>
        <v>0</v>
      </c>
      <c r="CW73" s="115">
        <f t="shared" ca="1" si="63"/>
        <v>0.46499999999999975</v>
      </c>
      <c r="CX73" s="115">
        <f t="shared" ca="1" si="64"/>
        <v>5.0774999999999997</v>
      </c>
      <c r="CY73" s="115">
        <f ca="1">MAX(IF($C73="驱夜断愁",IF(模拟模式!$R$7="万念俱寂",6,45),CY72-$F$4),0)</f>
        <v>6</v>
      </c>
      <c r="CZ73" s="115">
        <f t="shared" ca="1" si="12"/>
        <v>0</v>
      </c>
      <c r="DA73" s="115">
        <f ca="1">IF(模拟模式!$N$7="日月同辉",IF(DB72=2,0,MIN(6,IF(AND(OR(C73="赤日轮1",C73="赤日轮2",C73="赤日轮3",C73="幽月轮1",C73="幽月轮2",C73="幽月轮3"),AB73=1),DA72+1,DA72))),0)</f>
        <v>0</v>
      </c>
      <c r="DB73" s="115">
        <f t="shared" ca="1" si="13"/>
        <v>2</v>
      </c>
      <c r="DD73" s="115"/>
      <c r="DE73" s="115"/>
      <c r="DF73" s="115"/>
      <c r="DG73" s="115"/>
      <c r="DH73" s="115"/>
      <c r="DI73" s="115"/>
      <c r="DJ73" s="115"/>
      <c r="DK73" s="115"/>
      <c r="DL73" s="115"/>
      <c r="DM73" s="115"/>
    </row>
    <row r="74" spans="2:117" x14ac:dyDescent="0.2">
      <c r="B74" s="117">
        <f t="shared" si="65"/>
        <v>43.35749999999998</v>
      </c>
      <c r="C74" s="167" t="str">
        <f t="shared" ca="1" si="0"/>
        <v>烈日斩</v>
      </c>
      <c r="D74" s="115">
        <f ca="1">IF(C74="赤日轮1",1,IF(C74="赤日轮2",2,IF(C74="赤日轮3",3,IF(C74="幽月轮1",4,IF(C74="幽月轮2",5,IF(C74="幽月轮3",6,IF(C74="烈日斩",7,IF(C74="银月斩",8,IF(C74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74="净世破魔击·月",17,IF(C74="驱夜断愁",18,0)))))))))))</f>
        <v>7</v>
      </c>
      <c r="E74" s="115">
        <f ca="1">IF(AND(CU74,OR(C74="幽月轮1",C74="幽月轮2",C74="幽月轮3",C74="银月斩",C74="驱夜断愁",C74="净世破魔击·月")),100,MIN(IF(OR(CN74,BE74),0,IF(OR($C74="赤日轮1",$C74="赤日轮2",$C74="赤日轮3"),E73+20+IF(模拟模式!$I$7="日月凌天",4,0)+IF(CR73,20,0),IF($C74="烈日斩",E73+40,IF($C74="驱夜断愁",IF(模拟模式!$R$7="万念俱寂",E73+20,E73+60),IF($C74="净世破魔击·月",IF(OR(DB73&gt;0,CV73&gt;0),100,IF(模拟模式!$M$7="辉耀红尘",E73+20,E73)),IF($C74="净世破魔击·日",E73-100,E73)))))),100))</f>
        <v>80</v>
      </c>
      <c r="F74" s="115">
        <f ca="1">IF(AND(CU74,OR(C74="赤日轮1",C74="赤日轮2",C74="赤日轮3",C74="烈日斩",C74="净世破魔击·日")),100,MIN(IF(CO74,0,IF(OR($C74="幽月轮1",$C74="幽月轮2",$C74="幽月轮3"),F73+20+IF(模拟模式!$I$7="日月凌天",4,0)+IF(CS73,20,0),IF($C74="银月斩",F73+40+IF(模拟模式!$X$12=1,5,0),IF($C74="驱夜断愁",IF(模拟模式!$R$7="万念俱寂",F73+20,F73+60),IF($C74="净世破魔击·月",IF(模拟模式!$M$7="辉耀红尘",F73-80,F73-100),IF(AND(C74="净世破魔击·日",OR(DB73&gt;0,CV73&gt;0)),100,F73)))))),100))</f>
        <v>85</v>
      </c>
      <c r="G74" s="117">
        <f ca="1">('模拟-全程加成'!$E$3+'模拟-全程加成'!$E$4+'模拟-全程加成'!$E$5+('模拟-全程加成'!$C$6-'模拟-全程加成'!$C$3)*系数!$B$9+BS74*23)*(1+'模拟-全程加成'!$F$4+'模拟-全程加成'!$F$5+BJ74*10%+BM74*20%+BP74*4%+CG74*30%)+$F$7*系数!$B$12</f>
        <v>20583.127400000001</v>
      </c>
      <c r="H74" s="45">
        <f ca="1">'模拟-全程加成'!$H$3+'模拟-全程加成'!$H$4+'模拟-全程加成'!$H$5+('模拟-全程加成'!$G$4+'模拟-全程加成'!$G$5+('模拟-全程加成'!$C$6-'模拟-全程加成'!$C$3)*系数!$B$13)/系数!$B$3+LOOKUP(D74,'模拟-单技能数据'!$A$2:$A$19,'模拟-单技能数据'!$K$2:$K$19)+BG74*10%+IF(BV74&gt;0,378,0)</f>
        <v>0.56185145527300218</v>
      </c>
      <c r="I74" s="45">
        <f ca="1">'模拟-全程加成'!$J$3+'模拟-全程加成'!$J$4+'模拟-全程加成'!$J$5+('模拟-全程加成'!$I$4+'模拟-全程加成'!$I$5)/系数!$B$4+LOOKUP(D74,'模拟-单技能数据'!$A$2:$A$19,'模拟-单技能数据'!$L$2:$L$19)+BG74*10%</f>
        <v>2.2624828854998791</v>
      </c>
      <c r="J74" s="45">
        <f ca="1">(('模拟-全程加成'!$K$3+'模拟-全程加成'!$K$4+'模拟-全程加成'!$K$5+('模拟-全程加成'!$C$6-'模拟-全程加成'!$C$3)*系数!$B$10+IF(BV74&gt;0,882,0)+IF(BY74&gt;0,1831,0))*(1+'模拟-全程加成'!$L$4+'模拟-全程加成'!$L$5+CC74*20%))/系数!$B$5</f>
        <v>0.69723220422048726</v>
      </c>
      <c r="K74" s="119">
        <f ca="1">LOOKUP(D74,'模拟-单技能数据'!$A$2:$A$19,'模拟-单技能数据'!$J$2:$J$19)+IF(CM74,60%,0)+IF(DB73-DB74&gt;0,30%,0)+IF(OR(AND(OR(C74="赤日轮1",C74="赤日轮2",C74="赤日轮3"),CR74),AND(OR(C74="幽月轮1",C74="幽月轮2",C74="幽月轮3"),CS74)),35%,0)+CJ74</f>
        <v>0.24</v>
      </c>
      <c r="L74" s="119">
        <f ca="1">IF(AND(C74="烈日斩",模拟模式!$X$11=1),10%,0)+IF(AND(C74="驱夜断愁",AB74=1),30%,0)</f>
        <v>0.1</v>
      </c>
      <c r="M74" s="45">
        <f t="shared" ca="1" si="15"/>
        <v>0.56185145527300218</v>
      </c>
      <c r="N74" s="45">
        <f t="shared" ca="1" si="16"/>
        <v>0.38424854472699788</v>
      </c>
      <c r="O74" s="46">
        <f t="shared" ca="1" si="17"/>
        <v>0.68987074493293465</v>
      </c>
      <c r="P74" s="46" t="str">
        <f t="shared" ca="1" si="18"/>
        <v>命</v>
      </c>
      <c r="Q74" s="45">
        <f t="shared" ca="1" si="19"/>
        <v>1</v>
      </c>
      <c r="R74" s="117">
        <f ca="1">模拟模式!$E$20*(1-IF(模拟模式!$J$19="有",0.15,0))*(1-IF(模拟模式!$K$19="有",0.3,0)-IF(CQ74,0.5,0))</f>
        <v>843.02999999999975</v>
      </c>
      <c r="S74" s="45">
        <f ca="1">R74/(R74+(185*模拟模式!$E$22-16800)*4.08224)</f>
        <v>8.389626085980037E-2</v>
      </c>
      <c r="T74" s="45" t="str">
        <f ca="1">LOOKUP(D74,'模拟-单技能数据'!$A$2:$A$19,'模拟-单技能数据'!$H$2:$H$19)</f>
        <v>阳</v>
      </c>
      <c r="U74" s="119">
        <f t="shared" ca="1" si="20"/>
        <v>0.2</v>
      </c>
      <c r="V74" s="47">
        <f ca="1">(1+L74)*(LOOKUP(D74,'模拟-单技能数据'!$A$2:$A$19,'模拟-单技能数据'!$D$2:$D$19)+G74*LOOKUP(D74,'模拟-单技能数据'!$A$2:$A$19,'模拟-单技能数据'!$F$2:$F$19))*(1+J74)*(1+K74)*(1-S74)*(1+U74)*Q74*LOOKUP(D74,'模拟-单技能数据'!$A$2:$A$19,'模拟-单技能数据'!$I$2:$I$20)</f>
        <v>46789.769184608012</v>
      </c>
      <c r="W74" s="47">
        <f ca="1">LOOKUP(D74,'模拟-单技能数据'!$A$2:$A$19,'模拟-单技能数据'!$G$2:$G$19)*$I$10</f>
        <v>361.51064354704795</v>
      </c>
      <c r="X74" s="47">
        <f t="shared" ca="1" si="21"/>
        <v>0</v>
      </c>
      <c r="Y74" s="47">
        <f t="shared" ca="1" si="22"/>
        <v>47151.279828155064</v>
      </c>
      <c r="Z74" s="49">
        <f t="shared" ca="1" si="23"/>
        <v>4745828.8846902624</v>
      </c>
      <c r="AA74" s="97">
        <f t="shared" ca="1" si="24"/>
        <v>109458.0841766768</v>
      </c>
      <c r="AB74" s="115">
        <f ca="1">IF(OR(C74="赤日轮1",C74="赤日轮2",C74="赤日轮3"),IF(RAND()&lt;模拟模式!$Y$17,1,0),IF(OR(C74="幽月轮1",C74="幽月轮2",C74="幽月轮3"),IF(RAND()&lt;模拟模式!$Y$18,1,0),IF(C74="烈日斩",IF(RAND()&lt;模拟模式!$Y$19,1,0),IF(C74="银月斩",IF(RAND()&lt;模拟模式!$Y$20,1,0),IF(C74="驱夜断愁",IF(RAND()&lt;模拟模式!$Y$21,1,0),IF(C74="净世破魔击·日",IF(RAND()&lt;模拟模式!$Y$22,1,0),IF(C74="净世破魔击·月",IF(RAND()&lt;模拟模式!$Y$23,1,0),0)))))))</f>
        <v>1</v>
      </c>
      <c r="AC74" s="115" t="b">
        <f t="shared" ca="1" si="56"/>
        <v>0</v>
      </c>
      <c r="AD74" s="115" t="b">
        <f t="shared" ca="1" si="52"/>
        <v>0</v>
      </c>
      <c r="AE74" s="115">
        <f t="shared" ca="1" si="53"/>
        <v>5</v>
      </c>
      <c r="AF74" s="47">
        <f ca="1">IF(AC74,('模拟-单技能数据'!$D$20+G74*'模拟-单技能数据'!$F$20)*(1+J74)*(1+'模拟-单技能数据'!$J$20)*(1+U74),0)</f>
        <v>0</v>
      </c>
      <c r="AG74" s="61">
        <f t="shared" ca="1" si="25"/>
        <v>0.64185145527300214</v>
      </c>
      <c r="AH74" s="61">
        <f t="shared" ca="1" si="26"/>
        <v>2.2624828854998791</v>
      </c>
      <c r="AI74" s="62">
        <f t="shared" ca="1" si="27"/>
        <v>0.30152035440535874</v>
      </c>
      <c r="AJ74" s="47">
        <f ca="1">IF(AD74,IF(AI74&lt;$F$10,0,IF(AI74&lt;$F$10+$F$11,0.25,IF(AI74&lt;$F$10+$F$11+AG74,AH74,1)))*IF(AF74&gt;0,AF74,IF(AF73&gt;0,AF73,IF(AF72&gt;0,AF72,IF(AF71&gt;0,AF71,IF(AF70&gt;0,AF70,IF(AF69&gt;0,AF69,IF(AF68&gt;0,AF68,IF(AF67&gt;0,AF67,IF(AF66&gt;0,AF66,IF(AF64&gt;0,AF64,IF(AF63&gt;0,AF63,IF(AF62&gt;0,AF62,0)))))))))))),0)*(1-$S74)*'模拟-单技能数据'!$I$20</f>
        <v>0</v>
      </c>
      <c r="AK74" s="115" t="b">
        <f t="shared" ca="1" si="57"/>
        <v>0</v>
      </c>
      <c r="AL74" s="115" t="b">
        <f t="shared" ca="1" si="54"/>
        <v>0</v>
      </c>
      <c r="AM74" s="115">
        <f t="shared" ca="1" si="55"/>
        <v>4</v>
      </c>
      <c r="AN74" s="47">
        <f ca="1">IF(AK74,('模拟-单技能数据'!$D$21+G74*'模拟-单技能数据'!$F$21)*(1+J74)*(1+'模拟-单技能数据'!$J$21)*(1+U74),0)</f>
        <v>0</v>
      </c>
      <c r="AO74" s="61">
        <f ca="1">IF(AN74&gt;0,M74-'模拟-单技能数据'!$K$10,AO73)</f>
        <v>0.42185145527300216</v>
      </c>
      <c r="AP74" s="61">
        <f ca="1">IF(AN74&gt;0,I74-'模拟-单技能数据'!$L$10,AP73)</f>
        <v>2.162482885499879</v>
      </c>
      <c r="AQ74" s="63">
        <f t="shared" ca="1" si="28"/>
        <v>0.31734646491669882</v>
      </c>
      <c r="AR74" s="64">
        <f ca="1">IF(AL74,IF(AQ74&lt;$F$10,0,IF(AQ74&lt;$F$10+$F$11,0.25,IF(AQ74&lt;$F$10+$F$11+AO74,AP74,1)))*IF(AN74&gt;0,AN74,IF(AN73&gt;0,AN73,IF(AN72&gt;0,AN72,IF(AN71&gt;0,AN71,IF(AN70&gt;0,AN70,IF(AN69&gt;0,AN69,IF(AN68&gt;0,AN68,IF(AN67&gt;0,AN67,IF(AN66&gt;0,AN66,IF(AN64&gt;0,AN64,IF(AN63&gt;0,AN63,IF(AN62&gt;0,AN62,0)))))))))))),0)*(1-$S74)*'模拟-单技能数据'!$I$21</f>
        <v>0</v>
      </c>
      <c r="AS74" s="61">
        <f ca="1">IF(OR(C74="净世破魔击·日",C74="净世破魔击·月"),M74-'模拟-单技能数据'!$K$10,0)</f>
        <v>0</v>
      </c>
      <c r="AT74" s="61">
        <f ca="1">IF(OR(C74="净世破魔击·日",C74="净世破魔击·月"),I74-'模拟-单技能数据'!$L$10,0)</f>
        <v>0</v>
      </c>
      <c r="AU74" s="62">
        <f t="shared" ca="1" si="29"/>
        <v>0.52528231278446891</v>
      </c>
      <c r="AV74" s="64">
        <f ca="1">IF(AS74&gt;0,('模拟-单技能数据'!$D$22+G74*'模拟-单技能数据'!$F$22)*(1+J74)*(1-S74)*IF(AU74&lt;$F$10,0,IF(AU74&lt;$F$10+$F$11,0.25,IF(AU74&lt;$F$10+$F$11+AS74,AT74,1)))*(1+U74),0)*'模拟-单技能数据'!$I$22</f>
        <v>0</v>
      </c>
      <c r="AW74" s="108">
        <f t="shared" ca="1" si="30"/>
        <v>11.697500000000005</v>
      </c>
      <c r="AX74" s="108" t="b">
        <f ca="1">AND(模拟模式!$P$10="有",AW73=0,RAND()&lt;IF(C74="净世破魔击·月",0.1*8/3,IF(C74="净世破魔击·日",0.1*4/3,0.1*2/3)))</f>
        <v>0</v>
      </c>
      <c r="AY74" s="47">
        <f ca="1">IF(AX74,(18+G74*0.722)*(1+J74)*(1-S74)*(1+$I$4)*IF(P74="会",'模拟-全程加成'!$J$3+'模拟-全程加成'!$J$4+'模拟-全程加成'!$J$5+('模拟-全程加成'!$I$4+'模拟-全程加成'!$I$5)/系数!$B$4+BG74*10%,IF(P74="命",1,IF(P74="识",0.25,0))),0)</f>
        <v>0</v>
      </c>
      <c r="AZ74" s="108">
        <f t="shared" si="31"/>
        <v>17.232500000000002</v>
      </c>
      <c r="BA74" s="108" t="b">
        <f>AND(模拟模式!$Q$10="有",AZ73=0)</f>
        <v>0</v>
      </c>
      <c r="BB74" s="140">
        <f>IF(BA74,(0+G74*0.287)*(1+J74)*(1-S74)*(1+$I$4)*IF(P74="会",'模拟-全程加成'!$J$3+'模拟-全程加成'!$J$4+'模拟-全程加成'!$J$5+('模拟-全程加成'!$I$4+'模拟-全程加成'!$I$5)/系数!$B$4+BG74*10%,IF(P74="命",1,IF(P74="识",0.25,0))),0)</f>
        <v>0</v>
      </c>
      <c r="BC74" s="115" t="b">
        <f ca="1">AND(模拟模式!$R$7="伏明众生",E74=60,F74=20,DA74&lt;5,CZ73&lt;$F$4)</f>
        <v>0</v>
      </c>
      <c r="BD74" s="115">
        <f t="shared" ca="1" si="58"/>
        <v>0</v>
      </c>
      <c r="BE74" s="115" t="b">
        <f t="shared" ca="1" si="59"/>
        <v>0</v>
      </c>
      <c r="BF74" s="47">
        <f ca="1">IF(BC74,4*('模拟-单技能数据'!$D$24+G74*'模拟-单技能数据'!$F$24)*(1+J74)*(1+'模拟-单技能数据'!$J$24)*(1-S74)*(1+$I$3)*(('模拟-全程加成'!$J$3+'模拟-全程加成'!$J$4+'模拟-全程加成'!$J$5+('模拟-全程加成'!$I$4+'模拟-全程加成'!$I$5)/系数!$B$4+BG74*10%)*('模拟-全程加成'!$J$3+'模拟-全程加成'!$J$4+'模拟-全程加成'!$J$5+('模拟-全程加成'!$I$4+'模拟-全程加成'!$I$5)/系数!$B$4+BG74*10%)+(1-('模拟-全程加成'!$J$3+'模拟-全程加成'!$J$4+'模拟-全程加成'!$J$5+('模拟-全程加成'!$I$4+'模拟-全程加成'!$I$5)/系数!$B$4+BG74*10%)-$F$10-$F$11)+F60*0.25),0)*'模拟-单技能数据'!$I$24</f>
        <v>0</v>
      </c>
      <c r="BG74" s="115" t="b">
        <f ca="1">OR(AND(OR(C74="烈日斩",C74="银月斩"),模拟模式!$I$7="净身明礼"),AND(C74="净世破魔击·日",模拟模式!$J$7="洞若观火"),AND(C75="净世破魔击·月",模拟模式!$J$7="洞若观火"),AB74=1)</f>
        <v>1</v>
      </c>
      <c r="BH74" s="115" t="b">
        <f t="shared" ca="1" si="32"/>
        <v>0</v>
      </c>
      <c r="BI74" s="115">
        <f t="shared" ca="1" si="60"/>
        <v>0</v>
      </c>
      <c r="BJ74" s="115" t="b">
        <f t="shared" ca="1" si="33"/>
        <v>0</v>
      </c>
      <c r="BK74" s="115" t="b">
        <f ca="1">AND(C74="驱夜断愁",模拟模式!$P$7="天地诛戮")</f>
        <v>0</v>
      </c>
      <c r="BL74" s="57">
        <f t="shared" ca="1" si="61"/>
        <v>19.077500000000001</v>
      </c>
      <c r="BM74" s="115" t="b">
        <f t="shared" ca="1" si="34"/>
        <v>1</v>
      </c>
      <c r="BN74" s="115" t="b">
        <f ca="1">AND(OR(C74="赤日轮1",C74="赤日轮2",C74="赤日轮3",C74="幽月轮1",C74="幽月轮2",C74="幽月轮3"),AB74=1,模拟模式!$L$7="明光恒照")</f>
        <v>0</v>
      </c>
      <c r="BO74" s="117">
        <f t="shared" ca="1" si="62"/>
        <v>27.232500000000002</v>
      </c>
      <c r="BP74" s="115">
        <f t="shared" ca="1" si="35"/>
        <v>6</v>
      </c>
      <c r="BQ74" s="115" t="b">
        <f>模拟模式!$K$10="2600·水"</f>
        <v>0</v>
      </c>
      <c r="BR74" s="117">
        <f t="shared" si="36"/>
        <v>0</v>
      </c>
      <c r="BS74" s="115">
        <f t="shared" si="37"/>
        <v>0</v>
      </c>
      <c r="BT74" s="115">
        <f t="shared" ca="1" si="38"/>
        <v>0</v>
      </c>
      <c r="BU74" s="115" t="b">
        <f ca="1">AND(模拟模式!$K$10="2300·雷",BT73=0,RAND()&lt;IF(C74="净世破魔击·月",5*0.05*2/3,IF(C74="净世破魔击·日",3*0.05*2/3,0.05*2*2/3)))</f>
        <v>0</v>
      </c>
      <c r="BV74" s="115">
        <f t="shared" ca="1" si="39"/>
        <v>0</v>
      </c>
      <c r="BW74" s="115">
        <f t="shared" ca="1" si="40"/>
        <v>142.17749999999944</v>
      </c>
      <c r="BX74" s="164" t="b">
        <f t="shared" ca="1" si="41"/>
        <v>0</v>
      </c>
      <c r="BY74" s="115">
        <f t="shared" ca="1" si="42"/>
        <v>0</v>
      </c>
      <c r="BZ74" s="115">
        <f>IF(OR(模拟模式!$P$16="10人团",模拟模式!$P$16="25人团"),IF(B74/30&gt;CA73,1,0),0)</f>
        <v>0</v>
      </c>
      <c r="CA74" s="115">
        <f t="shared" si="8"/>
        <v>0</v>
      </c>
      <c r="CB74" s="115">
        <f ca="1">IF(BZ74=1,IF(模拟模式!$P$16="10人团",15,0)+IF(模拟模式!$P$16="25人团",IF(RAND()&lt;0.6,15,0)),MAX(0,CB73-$F$4))</f>
        <v>0</v>
      </c>
      <c r="CC74" s="115" t="b">
        <f t="shared" ca="1" si="43"/>
        <v>0</v>
      </c>
      <c r="CD74" s="115">
        <f>IF(模拟模式!$Q$16="1个",IF(B74/40&gt;CE73,1,0),0)</f>
        <v>0</v>
      </c>
      <c r="CE74" s="115">
        <f t="shared" si="44"/>
        <v>0</v>
      </c>
      <c r="CF74" s="115">
        <f>IF(OR(CD74=1,模拟模式!$Q$16="2个"),20,MAX(0,CF73-$F$4))</f>
        <v>0</v>
      </c>
      <c r="CG74" s="115" t="b">
        <f t="shared" si="45"/>
        <v>0</v>
      </c>
      <c r="CH74" s="115">
        <f t="shared" ca="1" si="46"/>
        <v>21.697500000000005</v>
      </c>
      <c r="CI74" s="115" t="b">
        <f t="shared" ca="1" si="47"/>
        <v>0</v>
      </c>
      <c r="CJ74" s="119">
        <f t="shared" ca="1" si="48"/>
        <v>0</v>
      </c>
      <c r="CK74" s="115">
        <f t="shared" ca="1" si="49"/>
        <v>0</v>
      </c>
      <c r="CL74" s="115" t="b">
        <f ca="1">AND(模拟模式!$S$7="驱夷逐法",OR(AND(C74="净世破魔击·月",E73&gt;59),AND(C74="净世破魔击·日",F73&gt;59)))</f>
        <v>0</v>
      </c>
      <c r="CM74" s="115" t="b">
        <f ca="1">OR(CL74,AND(C74="净世破魔击·日",CL73,RAND()&lt;模拟模式!$U$23))</f>
        <v>0</v>
      </c>
      <c r="CN74" s="115" t="b">
        <f ca="1">IF(模拟模式!$M$7="辉耀红尘",AND(C74="净世破魔击·月",CL74,CV74=0,E73&lt;80),AND(C74="净世破魔击·月",CL74,E73&lt;100))</f>
        <v>0</v>
      </c>
      <c r="CO74" s="115" t="b">
        <f t="shared" ca="1" si="9"/>
        <v>0</v>
      </c>
      <c r="CP74" s="115" t="b">
        <f ca="1">AND(模拟模式!$O$7="用晦而明",OR(C74="净世破魔击·日",C74="净世破魔击·月",C74="驱夜断愁"),AB74)</f>
        <v>0</v>
      </c>
      <c r="CQ74" s="115" t="b">
        <f ca="1">OR(CP74,AND(CP73,RAND()&lt;模拟模式!$U$23))</f>
        <v>1</v>
      </c>
      <c r="CR74" s="115" t="b">
        <f ca="1">AND(模拟模式!$S$7="日月齐光",OR(C74="幽月轮1",C74="幽月轮2",C74="幽月轮3",CR73),NOT(OR(C74="赤日轮1",C74="赤日轮2",C74="赤日轮3")))</f>
        <v>0</v>
      </c>
      <c r="CS74" s="115" t="b">
        <f ca="1">AND(模拟模式!$S$7="日月齐光",OR(C74="赤日轮1",C74="赤日轮2",C74="赤日轮3",CS73),NOT(OR(C74="幽月轮1",C74="幽月轮2",C74="幽月轮3")))</f>
        <v>0</v>
      </c>
      <c r="CT74" s="115">
        <f t="shared" ca="1" si="50"/>
        <v>0</v>
      </c>
      <c r="CU74" s="115" t="b">
        <f ca="1">AND(模拟模式!$K$10="阴阳往极",CT73=0,RAND()&lt;IF(C74="净世破魔击·月",0.0275*7/3,IF(C74="净世破魔击·日",0.0275*3/3,0.0275*2/3)))</f>
        <v>0</v>
      </c>
      <c r="CV74" s="115">
        <f t="shared" ca="1" si="51"/>
        <v>0</v>
      </c>
      <c r="CW74" s="115">
        <f t="shared" ca="1" si="63"/>
        <v>6</v>
      </c>
      <c r="CX74" s="115">
        <f t="shared" ca="1" si="64"/>
        <v>4.1549999999999994</v>
      </c>
      <c r="CY74" s="115">
        <f ca="1">MAX(IF($C74="驱夜断愁",IF(模拟模式!$R$7="万念俱寂",6,45),CY73-$F$4),0)</f>
        <v>5.0774999999999997</v>
      </c>
      <c r="CZ74" s="115">
        <f t="shared" ca="1" si="12"/>
        <v>0</v>
      </c>
      <c r="DA74" s="115">
        <f ca="1">IF(模拟模式!$N$7="日月同辉",IF(DB73=2,0,MIN(6,IF(AND(OR(C74="赤日轮1",C74="赤日轮2",C74="赤日轮3",C74="幽月轮1",C74="幽月轮2",C74="幽月轮3"),AB74=1),DA73+1,DA73))),0)</f>
        <v>0</v>
      </c>
      <c r="DB74" s="115">
        <f t="shared" ca="1" si="13"/>
        <v>2</v>
      </c>
      <c r="DD74" s="115"/>
      <c r="DE74" s="115"/>
      <c r="DF74" s="115"/>
      <c r="DG74" s="115"/>
      <c r="DH74" s="115"/>
      <c r="DI74" s="115"/>
      <c r="DJ74" s="115"/>
      <c r="DK74" s="115"/>
      <c r="DL74" s="115"/>
      <c r="DM74" s="115"/>
    </row>
    <row r="75" spans="2:117" x14ac:dyDescent="0.2">
      <c r="B75" s="117">
        <f t="shared" si="65"/>
        <v>44.27999999999998</v>
      </c>
      <c r="C75" s="167" t="str">
        <f t="shared" ca="1" si="0"/>
        <v>幽月轮1</v>
      </c>
      <c r="D75" s="115">
        <f ca="1">IF(C75="赤日轮1",1,IF(C75="赤日轮2",2,IF(C75="赤日轮3",3,IF(C75="幽月轮1",4,IF(C75="幽月轮2",5,IF(C75="幽月轮3",6,IF(C75="烈日斩",7,IF(C75="银月斩",8,IF(C75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75="净世破魔击·月",17,IF(C75="驱夜断愁",18,0)))))))))))</f>
        <v>4</v>
      </c>
      <c r="E75" s="115">
        <f ca="1">IF(AND(CU75,OR(C75="幽月轮1",C75="幽月轮2",C75="幽月轮3",C75="银月斩",C75="驱夜断愁",C75="净世破魔击·月")),100,MIN(IF(OR(CN75,BE75),0,IF(OR($C75="赤日轮1",$C75="赤日轮2",$C75="赤日轮3"),E74+20+IF(模拟模式!$I$7="日月凌天",4,0)+IF(CR74,20,0),IF($C75="烈日斩",E74+40,IF($C75="驱夜断愁",IF(模拟模式!$R$7="万念俱寂",E74+20,E74+60),IF($C75="净世破魔击·月",IF(OR(DB74&gt;0,CV74&gt;0),100,IF(模拟模式!$M$7="辉耀红尘",E74+20,E74)),IF($C75="净世破魔击·日",E74-100,E74)))))),100))</f>
        <v>80</v>
      </c>
      <c r="F75" s="115">
        <f ca="1">IF(AND(CU75,OR(C75="赤日轮1",C75="赤日轮2",C75="赤日轮3",C75="烈日斩",C75="净世破魔击·日")),100,MIN(IF(CO75,0,IF(OR($C75="幽月轮1",$C75="幽月轮2",$C75="幽月轮3"),F74+20+IF(模拟模式!$I$7="日月凌天",4,0)+IF(CS74,20,0),IF($C75="银月斩",F74+40+IF(模拟模式!$X$12=1,5,0),IF($C75="驱夜断愁",IF(模拟模式!$R$7="万念俱寂",F74+20,F74+60),IF($C75="净世破魔击·月",IF(模拟模式!$M$7="辉耀红尘",F74-80,F74-100),IF(AND(C75="净世破魔击·日",OR(DB74&gt;0,CV74&gt;0)),100,F74)))))),100))</f>
        <v>100</v>
      </c>
      <c r="G75" s="117">
        <f ca="1">('模拟-全程加成'!$E$3+'模拟-全程加成'!$E$4+'模拟-全程加成'!$E$5+('模拟-全程加成'!$C$6-'模拟-全程加成'!$C$3)*系数!$B$9+BS75*23)*(1+'模拟-全程加成'!$F$4+'模拟-全程加成'!$F$5+BJ75*10%+BM75*20%+BP75*4%+CG75*30%)+$F$7*系数!$B$12</f>
        <v>20583.127400000001</v>
      </c>
      <c r="H75" s="45">
        <f ca="1">'模拟-全程加成'!$H$3+'模拟-全程加成'!$H$4+'模拟-全程加成'!$H$5+('模拟-全程加成'!$G$4+'模拟-全程加成'!$G$5+('模拟-全程加成'!$C$6-'模拟-全程加成'!$C$3)*系数!$B$13)/系数!$B$3+LOOKUP(D75,'模拟-单技能数据'!$A$2:$A$19,'模拟-单技能数据'!$K$2:$K$19)+BG75*10%+IF(BV75&gt;0,378,0)</f>
        <v>0.51185145527300213</v>
      </c>
      <c r="I75" s="45">
        <f ca="1">'模拟-全程加成'!$J$3+'模拟-全程加成'!$J$4+'模拟-全程加成'!$J$5+('模拟-全程加成'!$I$4+'模拟-全程加成'!$I$5)/系数!$B$4+LOOKUP(D75,'模拟-单技能数据'!$A$2:$A$19,'模拟-单技能数据'!$L$2:$L$19)+BG75*10%</f>
        <v>2.162482885499879</v>
      </c>
      <c r="J75" s="45">
        <f ca="1">(('模拟-全程加成'!$K$3+'模拟-全程加成'!$K$4+'模拟-全程加成'!$K$5+('模拟-全程加成'!$C$6-'模拟-全程加成'!$C$3)*系数!$B$10+IF(BV75&gt;0,882,0)+IF(BY75&gt;0,1831,0))*(1+'模拟-全程加成'!$L$4+'模拟-全程加成'!$L$5+CC75*20%))/系数!$B$5</f>
        <v>0.69723220422048726</v>
      </c>
      <c r="K75" s="119">
        <f ca="1">LOOKUP(D75,'模拟-单技能数据'!$A$2:$A$19,'模拟-单技能数据'!$J$2:$J$19)+IF(CM75,60%,0)+IF(DB74-DB75&gt;0,30%,0)+IF(OR(AND(OR(C75="赤日轮1",C75="赤日轮2",C75="赤日轮3"),CR75),AND(OR(C75="幽月轮1",C75="幽月轮2",C75="幽月轮3"),CS75)),35%,0)+CJ75</f>
        <v>7.0000000000000007E-2</v>
      </c>
      <c r="L75" s="119">
        <f ca="1">IF(AND(C75="烈日斩",模拟模式!$X$11=1),10%,0)+IF(AND(C75="驱夜断愁",AB75=1),30%,0)</f>
        <v>0</v>
      </c>
      <c r="M75" s="45">
        <f t="shared" ca="1" si="15"/>
        <v>0.51185145527300213</v>
      </c>
      <c r="N75" s="45">
        <f t="shared" ca="1" si="16"/>
        <v>0.43424854472699792</v>
      </c>
      <c r="O75" s="46">
        <f t="shared" ca="1" si="17"/>
        <v>0.32410643375270742</v>
      </c>
      <c r="P75" s="46" t="str">
        <f t="shared" ca="1" si="18"/>
        <v>会</v>
      </c>
      <c r="Q75" s="45">
        <f t="shared" ca="1" si="19"/>
        <v>2.162482885499879</v>
      </c>
      <c r="R75" s="117">
        <f ca="1">模拟模式!$E$20*(1-IF(模拟模式!$J$19="有",0.15,0))*(1-IF(模拟模式!$K$19="有",0.3,0)-IF(CQ75,0.5,0))</f>
        <v>2950.6049999999996</v>
      </c>
      <c r="S75" s="45">
        <f ca="1">R75/(R75+(185*模拟模式!$E$22-16800)*4.08224)</f>
        <v>0.24272716014590323</v>
      </c>
      <c r="T75" s="45" t="str">
        <f ca="1">LOOKUP(D75,'模拟-单技能数据'!$A$2:$A$19,'模拟-单技能数据'!$H$2:$H$19)</f>
        <v>阴</v>
      </c>
      <c r="U75" s="119">
        <f t="shared" ca="1" si="20"/>
        <v>0.08</v>
      </c>
      <c r="V75" s="47">
        <f ca="1">(1+L75)*(LOOKUP(D75,'模拟-单技能数据'!$A$2:$A$19,'模拟-单技能数据'!$D$2:$D$19)+G75*LOOKUP(D75,'模拟-单技能数据'!$A$2:$A$19,'模拟-单技能数据'!$F$2:$F$19))*(1+J75)*(1+K75)*(1-S75)*(1+U75)*Q75*LOOKUP(D75,'模拟-单技能数据'!$A$2:$A$19,'模拟-单技能数据'!$I$2:$I$20)</f>
        <v>35088.919370823241</v>
      </c>
      <c r="W75" s="47">
        <f ca="1">LOOKUP(D75,'模拟-单技能数据'!$A$2:$A$19,'模拟-单技能数据'!$G$2:$G$19)*$I$10</f>
        <v>361.51064354704795</v>
      </c>
      <c r="X75" s="47">
        <f t="shared" ca="1" si="21"/>
        <v>17544.710041214701</v>
      </c>
      <c r="Y75" s="47">
        <f t="shared" ca="1" si="22"/>
        <v>52995.140055584983</v>
      </c>
      <c r="Z75" s="49">
        <f t="shared" ca="1" si="23"/>
        <v>4798824.0247458471</v>
      </c>
      <c r="AA75" s="97">
        <f t="shared" ca="1" si="24"/>
        <v>108374.52630410681</v>
      </c>
      <c r="AB75" s="115">
        <f ca="1">IF(OR(C75="赤日轮1",C75="赤日轮2",C75="赤日轮3"),IF(RAND()&lt;模拟模式!$Y$17,1,0),IF(OR(C75="幽月轮1",C75="幽月轮2",C75="幽月轮3"),IF(RAND()&lt;模拟模式!$Y$18,1,0),IF(C75="烈日斩",IF(RAND()&lt;模拟模式!$Y$19,1,0),IF(C75="银月斩",IF(RAND()&lt;模拟模式!$Y$20,1,0),IF(C75="驱夜断愁",IF(RAND()&lt;模拟模式!$Y$21,1,0),IF(C75="净世破魔击·日",IF(RAND()&lt;模拟模式!$Y$22,1,0),IF(C75="净世破魔击·月",IF(RAND()&lt;模拟模式!$Y$23,1,0),0)))))))</f>
        <v>1</v>
      </c>
      <c r="AC75" s="115" t="b">
        <f t="shared" ca="1" si="56"/>
        <v>0</v>
      </c>
      <c r="AD75" s="115" t="b">
        <f t="shared" ca="1" si="52"/>
        <v>1</v>
      </c>
      <c r="AE75" s="115">
        <f t="shared" ca="1" si="53"/>
        <v>4</v>
      </c>
      <c r="AF75" s="47">
        <f ca="1">IF(AC75,('模拟-单技能数据'!$D$20+G75*'模拟-单技能数据'!$F$20)*(1+J75)*(1+'模拟-单技能数据'!$J$20)*(1+U75),0)</f>
        <v>0</v>
      </c>
      <c r="AG75" s="61">
        <f t="shared" ca="1" si="25"/>
        <v>0.64185145527300214</v>
      </c>
      <c r="AH75" s="61">
        <f t="shared" ca="1" si="26"/>
        <v>2.2624828854998791</v>
      </c>
      <c r="AI75" s="62">
        <f t="shared" ca="1" si="27"/>
        <v>0.51260165101808808</v>
      </c>
      <c r="AJ75" s="47">
        <f ca="1">IF(AD75,IF(AI75&lt;$F$10,0,IF(AI75&lt;$F$10+$F$11,0.25,IF(AI75&lt;$F$10+$F$11+AG75,AH75,1)))*IF(AF75&gt;0,AF75,IF(AF74&gt;0,AF74,IF(AF73&gt;0,AF73,IF(AF72&gt;0,AF72,IF(AF71&gt;0,AF71,IF(AF70&gt;0,AF70,IF(AF69&gt;0,AF69,IF(AF68&gt;0,AF68,IF(AF67&gt;0,AF67,IF(AF65&gt;0,AF65,IF(AF64&gt;0,AF64,IF(AF63&gt;0,AF63,0)))))))))))),0)*(1-$S75)*'模拟-单技能数据'!$I$20</f>
        <v>7949.3543492067038</v>
      </c>
      <c r="AK75" s="115" t="b">
        <f t="shared" ca="1" si="57"/>
        <v>0</v>
      </c>
      <c r="AL75" s="115" t="b">
        <f t="shared" ca="1" si="54"/>
        <v>1</v>
      </c>
      <c r="AM75" s="115">
        <f t="shared" ca="1" si="55"/>
        <v>3</v>
      </c>
      <c r="AN75" s="47">
        <f ca="1">IF(AK75,('模拟-单技能数据'!$D$21+G75*'模拟-单技能数据'!$F$21)*(1+J75)*(1+'模拟-单技能数据'!$J$21)*(1+U75),0)</f>
        <v>0</v>
      </c>
      <c r="AO75" s="61">
        <f ca="1">IF(AN75&gt;0,M75-'模拟-单技能数据'!$K$10,AO74)</f>
        <v>0.42185145527300216</v>
      </c>
      <c r="AP75" s="61">
        <f ca="1">IF(AN75&gt;0,I75-'模拟-单技能数据'!$L$10,AP74)</f>
        <v>2.162482885499879</v>
      </c>
      <c r="AQ75" s="63">
        <f t="shared" ca="1" si="28"/>
        <v>0.67506078434580274</v>
      </c>
      <c r="AR75" s="64">
        <f ca="1">IF(AL75,IF(AQ75&lt;$F$10,0,IF(AQ75&lt;$F$10+$F$11,0.25,IF(AQ75&lt;$F$10+$F$11+AO75,AP75,1)))*IF(AN75&gt;0,AN75,IF(AN74&gt;0,AN74,IF(AN73&gt;0,AN73,IF(AN72&gt;0,AN72,IF(AN71&gt;0,AN71,IF(AN70&gt;0,AN70,IF(AN69&gt;0,AN69,IF(AN68&gt;0,AN68,IF(AN67&gt;0,AN67,IF(AN65&gt;0,AN65,IF(AN64&gt;0,AN64,IF(AN63&gt;0,AN63,0)))))))))))),0)*(1-$S75)*'模拟-单技能数据'!$I$21</f>
        <v>9595.3556920079973</v>
      </c>
      <c r="AS75" s="61">
        <f ca="1">IF(OR(C75="净世破魔击·日",C75="净世破魔击·月"),M75-'模拟-单技能数据'!$K$10,0)</f>
        <v>0</v>
      </c>
      <c r="AT75" s="61">
        <f ca="1">IF(OR(C75="净世破魔击·日",C75="净世破魔击·月"),I75-'模拟-单技能数据'!$L$10,0)</f>
        <v>0</v>
      </c>
      <c r="AU75" s="62">
        <f t="shared" ca="1" si="29"/>
        <v>4.5406844548418257E-2</v>
      </c>
      <c r="AV75" s="64">
        <f ca="1">IF(AS75&gt;0,('模拟-单技能数据'!$D$22+G75*'模拟-单技能数据'!$F$22)*(1+J75)*(1-S75)*IF(AU75&lt;$F$10,0,IF(AU75&lt;$F$10+$F$11,0.25,IF(AU75&lt;$F$10+$F$11+AS75,AT75,1)))*(1+U75),0)*'模拟-单技能数据'!$I$22</f>
        <v>0</v>
      </c>
      <c r="AW75" s="108">
        <f t="shared" ca="1" si="30"/>
        <v>10.775000000000006</v>
      </c>
      <c r="AX75" s="108" t="b">
        <f ca="1">AND(模拟模式!$P$10="有",AW74=0,RAND()&lt;IF(C75="净世破魔击·月",0.1*8/3,IF(C75="净世破魔击·日",0.1*4/3,0.1*2/3)))</f>
        <v>0</v>
      </c>
      <c r="AY75" s="47">
        <f ca="1">IF(AX75,(18+G75*0.722)*(1+J75)*(1-S75)*(1+$I$4)*IF(P75="会",'模拟-全程加成'!$J$3+'模拟-全程加成'!$J$4+'模拟-全程加成'!$J$5+('模拟-全程加成'!$I$4+'模拟-全程加成'!$I$5)/系数!$B$4+BG75*10%,IF(P75="命",1,IF(P75="识",0.25,0))),0)</f>
        <v>0</v>
      </c>
      <c r="AZ75" s="108">
        <f t="shared" si="31"/>
        <v>16.310000000000002</v>
      </c>
      <c r="BA75" s="108" t="b">
        <f>AND(模拟模式!$Q$10="有",AZ74=0)</f>
        <v>0</v>
      </c>
      <c r="BB75" s="140">
        <f>IF(BA75,(0+G75*0.287)*(1+J75)*(1-S75)*(1+$I$4)*IF(P75="会",'模拟-全程加成'!$J$3+'模拟-全程加成'!$J$4+'模拟-全程加成'!$J$5+('模拟-全程加成'!$I$4+'模拟-全程加成'!$I$5)/系数!$B$4+BG75*10%,IF(P75="命",1,IF(P75="识",0.25,0))),0)</f>
        <v>0</v>
      </c>
      <c r="BC75" s="115" t="b">
        <f ca="1">AND(模拟模式!$R$7="伏明众生",E75=60,F75=20,DA75&lt;5,CZ74&lt;$F$4)</f>
        <v>0</v>
      </c>
      <c r="BD75" s="115">
        <f t="shared" ca="1" si="58"/>
        <v>0</v>
      </c>
      <c r="BE75" s="115" t="b">
        <f t="shared" ca="1" si="59"/>
        <v>0</v>
      </c>
      <c r="BF75" s="47">
        <f ca="1">IF(BC75,4*('模拟-单技能数据'!$D$24+G75*'模拟-单技能数据'!$F$24)*(1+J75)*(1+'模拟-单技能数据'!$J$24)*(1-S75)*(1+$I$3)*(('模拟-全程加成'!$J$3+'模拟-全程加成'!$J$4+'模拟-全程加成'!$J$5+('模拟-全程加成'!$I$4+'模拟-全程加成'!$I$5)/系数!$B$4+BG75*10%)*('模拟-全程加成'!$J$3+'模拟-全程加成'!$J$4+'模拟-全程加成'!$J$5+('模拟-全程加成'!$I$4+'模拟-全程加成'!$I$5)/系数!$B$4+BG75*10%)+(1-('模拟-全程加成'!$J$3+'模拟-全程加成'!$J$4+'模拟-全程加成'!$J$5+('模拟-全程加成'!$I$4+'模拟-全程加成'!$I$5)/系数!$B$4+BG75*10%)-$F$10-$F$11)+F61*0.25),0)*'模拟-单技能数据'!$I$24</f>
        <v>0</v>
      </c>
      <c r="BG75" s="115" t="b">
        <f ca="1">OR(AND(OR(C75="烈日斩",C75="银月斩"),模拟模式!$I$7="净身明礼"),AND(C75="净世破魔击·日",模拟模式!$J$7="洞若观火"),AND(C76="净世破魔击·月",模拟模式!$J$7="洞若观火"),AB75=1)</f>
        <v>1</v>
      </c>
      <c r="BH75" s="115" t="b">
        <f t="shared" ca="1" si="32"/>
        <v>0</v>
      </c>
      <c r="BI75" s="115">
        <f t="shared" ca="1" si="60"/>
        <v>0</v>
      </c>
      <c r="BJ75" s="115" t="b">
        <f t="shared" ca="1" si="33"/>
        <v>0</v>
      </c>
      <c r="BK75" s="115" t="b">
        <f ca="1">AND(C75="驱夜断愁",模拟模式!$P$7="天地诛戮")</f>
        <v>0</v>
      </c>
      <c r="BL75" s="57">
        <f t="shared" ca="1" si="61"/>
        <v>18.155000000000001</v>
      </c>
      <c r="BM75" s="115" t="b">
        <f t="shared" ca="1" si="34"/>
        <v>1</v>
      </c>
      <c r="BN75" s="115" t="b">
        <f ca="1">AND(OR(C75="赤日轮1",C75="赤日轮2",C75="赤日轮3",C75="幽月轮1",C75="幽月轮2",C75="幽月轮3"),AB75=1,模拟模式!$L$7="明光恒照")</f>
        <v>1</v>
      </c>
      <c r="BO75" s="117">
        <f t="shared" ca="1" si="62"/>
        <v>30</v>
      </c>
      <c r="BP75" s="115">
        <f t="shared" ca="1" si="35"/>
        <v>6</v>
      </c>
      <c r="BQ75" s="115" t="b">
        <f>模拟模式!$K$10="2600·水"</f>
        <v>0</v>
      </c>
      <c r="BR75" s="117">
        <f t="shared" si="36"/>
        <v>0</v>
      </c>
      <c r="BS75" s="115">
        <f t="shared" si="37"/>
        <v>0</v>
      </c>
      <c r="BT75" s="115">
        <f t="shared" ca="1" si="38"/>
        <v>0</v>
      </c>
      <c r="BU75" s="115" t="b">
        <f ca="1">AND(模拟模式!$K$10="2300·雷",BT74=0,RAND()&lt;IF(C75="净世破魔击·月",5*0.05*2/3,IF(C75="净世破魔击·日",3*0.05*2/3,0.05*2*2/3)))</f>
        <v>0</v>
      </c>
      <c r="BV75" s="115">
        <f t="shared" ca="1" si="39"/>
        <v>0</v>
      </c>
      <c r="BW75" s="115">
        <f t="shared" ca="1" si="40"/>
        <v>141.25499999999943</v>
      </c>
      <c r="BX75" s="164" t="b">
        <f t="shared" ca="1" si="41"/>
        <v>0</v>
      </c>
      <c r="BY75" s="115">
        <f t="shared" ca="1" si="42"/>
        <v>0</v>
      </c>
      <c r="BZ75" s="115">
        <f>IF(OR(模拟模式!$P$16="10人团",模拟模式!$P$16="25人团"),IF(B75/30&gt;CA74,1,0),0)</f>
        <v>0</v>
      </c>
      <c r="CA75" s="115">
        <f t="shared" si="8"/>
        <v>0</v>
      </c>
      <c r="CB75" s="115">
        <f ca="1">IF(BZ75=1,IF(模拟模式!$P$16="10人团",15,0)+IF(模拟模式!$P$16="25人团",IF(RAND()&lt;0.6,15,0)),MAX(0,CB74-$F$4))</f>
        <v>0</v>
      </c>
      <c r="CC75" s="115" t="b">
        <f t="shared" ca="1" si="43"/>
        <v>0</v>
      </c>
      <c r="CD75" s="115">
        <f>IF(模拟模式!$Q$16="1个",IF(B75/40&gt;CE74,1,0),0)</f>
        <v>0</v>
      </c>
      <c r="CE75" s="115">
        <f t="shared" si="44"/>
        <v>0</v>
      </c>
      <c r="CF75" s="115">
        <f>IF(OR(CD75=1,模拟模式!$Q$16="2个"),20,MAX(0,CF74-$F$4))</f>
        <v>0</v>
      </c>
      <c r="CG75" s="115" t="b">
        <f t="shared" si="45"/>
        <v>0</v>
      </c>
      <c r="CH75" s="115">
        <f t="shared" ca="1" si="46"/>
        <v>20.775000000000006</v>
      </c>
      <c r="CI75" s="115" t="b">
        <f t="shared" ca="1" si="47"/>
        <v>0</v>
      </c>
      <c r="CJ75" s="119">
        <f t="shared" ca="1" si="48"/>
        <v>0</v>
      </c>
      <c r="CK75" s="115">
        <f t="shared" ca="1" si="49"/>
        <v>0</v>
      </c>
      <c r="CL75" s="115" t="b">
        <f ca="1">AND(模拟模式!$S$7="驱夷逐法",OR(AND(C75="净世破魔击·月",E74&gt;59),AND(C75="净世破魔击·日",F74&gt;59)))</f>
        <v>0</v>
      </c>
      <c r="CM75" s="115" t="b">
        <f ca="1">OR(CL75,AND(C75="净世破魔击·日",CL74,RAND()&lt;模拟模式!$U$23))</f>
        <v>0</v>
      </c>
      <c r="CN75" s="115" t="b">
        <f ca="1">IF(模拟模式!$M$7="辉耀红尘",AND(C75="净世破魔击·月",CL75,CV75=0,E74&lt;80),AND(C75="净世破魔击·月",CL75,E74&lt;100))</f>
        <v>0</v>
      </c>
      <c r="CO75" s="115" t="b">
        <f t="shared" ca="1" si="9"/>
        <v>0</v>
      </c>
      <c r="CP75" s="115" t="b">
        <f ca="1">AND(模拟模式!$O$7="用晦而明",OR(C75="净世破魔击·日",C75="净世破魔击·月",C75="驱夜断愁"),AB75)</f>
        <v>0</v>
      </c>
      <c r="CQ75" s="115" t="b">
        <f ca="1">OR(CP75,AND(CP74,RAND()&lt;模拟模式!$U$23))</f>
        <v>0</v>
      </c>
      <c r="CR75" s="115" t="b">
        <f ca="1">AND(模拟模式!$S$7="日月齐光",OR(C75="幽月轮1",C75="幽月轮2",C75="幽月轮3",CR74),NOT(OR(C75="赤日轮1",C75="赤日轮2",C75="赤日轮3")))</f>
        <v>0</v>
      </c>
      <c r="CS75" s="115" t="b">
        <f ca="1">AND(模拟模式!$S$7="日月齐光",OR(C75="赤日轮1",C75="赤日轮2",C75="赤日轮3",CS74),NOT(OR(C75="幽月轮1",C75="幽月轮2",C75="幽月轮3")))</f>
        <v>0</v>
      </c>
      <c r="CT75" s="115">
        <f t="shared" ca="1" si="50"/>
        <v>0</v>
      </c>
      <c r="CU75" s="115" t="b">
        <f ca="1">AND(模拟模式!$K$10="阴阳往极",CT74=0,RAND()&lt;IF(C75="净世破魔击·月",0.0275*7/3,IF(C75="净世破魔击·日",0.0275*3/3,0.0275*2/3)))</f>
        <v>0</v>
      </c>
      <c r="CV75" s="115">
        <f t="shared" ca="1" si="51"/>
        <v>0</v>
      </c>
      <c r="CW75" s="115">
        <f t="shared" ca="1" si="63"/>
        <v>5.0774999999999997</v>
      </c>
      <c r="CX75" s="115">
        <f t="shared" ca="1" si="64"/>
        <v>3.2324999999999995</v>
      </c>
      <c r="CY75" s="115">
        <f ca="1">MAX(IF($C75="驱夜断愁",IF(模拟模式!$R$7="万念俱寂",6,45),CY74-$F$4),0)</f>
        <v>4.1549999999999994</v>
      </c>
      <c r="CZ75" s="115">
        <f t="shared" ca="1" si="12"/>
        <v>0</v>
      </c>
      <c r="DA75" s="115">
        <f ca="1">IF(模拟模式!$N$7="日月同辉",IF(DB74=2,0,MIN(6,IF(AND(OR(C75="赤日轮1",C75="赤日轮2",C75="赤日轮3",C75="幽月轮1",C75="幽月轮2",C75="幽月轮3"),AB75=1),DA74+1,DA74))),0)</f>
        <v>0</v>
      </c>
      <c r="DB75" s="115">
        <f t="shared" ca="1" si="13"/>
        <v>2</v>
      </c>
      <c r="DD75" s="115"/>
      <c r="DE75" s="115"/>
      <c r="DF75" s="115"/>
      <c r="DG75" s="115"/>
      <c r="DH75" s="115"/>
      <c r="DI75" s="115"/>
      <c r="DJ75" s="115"/>
      <c r="DK75" s="115"/>
      <c r="DL75" s="115"/>
      <c r="DM75" s="115"/>
    </row>
    <row r="76" spans="2:117" x14ac:dyDescent="0.2">
      <c r="B76" s="117">
        <f t="shared" si="65"/>
        <v>45.202499999999979</v>
      </c>
      <c r="C76" s="167" t="str">
        <f t="shared" ca="1" si="0"/>
        <v>净世破魔击·月</v>
      </c>
      <c r="D76" s="115">
        <f ca="1">IF(C76="赤日轮1",1,IF(C76="赤日轮2",2,IF(C76="赤日轮3",3,IF(C76="幽月轮1",4,IF(C76="幽月轮2",5,IF(C76="幽月轮3",6,IF(C76="烈日斩",7,IF(C76="银月斩",8,IF(C76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76="净世破魔击·月",17,IF(C76="驱夜断愁",18,0)))))))))))</f>
        <v>17</v>
      </c>
      <c r="E76" s="115">
        <f ca="1">IF(AND(CU76,OR(C76="幽月轮1",C76="幽月轮2",C76="幽月轮3",C76="银月斩",C76="驱夜断愁",C76="净世破魔击·月")),100,MIN(IF(OR(CN76,BE76),0,IF(OR($C76="赤日轮1",$C76="赤日轮2",$C76="赤日轮3"),E75+20+IF(模拟模式!$I$7="日月凌天",4,0)+IF(CR75,20,0),IF($C76="烈日斩",E75+40,IF($C76="驱夜断愁",IF(模拟模式!$R$7="万念俱寂",E75+20,E75+60),IF($C76="净世破魔击·月",IF(OR(DB75&gt;0,CV75&gt;0),100,IF(模拟模式!$M$7="辉耀红尘",E75+20,E75)),IF($C76="净世破魔击·日",E75-100,E75)))))),100))</f>
        <v>100</v>
      </c>
      <c r="F76" s="115">
        <f ca="1">IF(AND(CU76,OR(C76="赤日轮1",C76="赤日轮2",C76="赤日轮3",C76="烈日斩",C76="净世破魔击·日")),100,MIN(IF(CO76,0,IF(OR($C76="幽月轮1",$C76="幽月轮2",$C76="幽月轮3"),F75+20+IF(模拟模式!$I$7="日月凌天",4,0)+IF(CS75,20,0),IF($C76="银月斩",F75+40+IF(模拟模式!$X$12=1,5,0),IF($C76="驱夜断愁",IF(模拟模式!$R$7="万念俱寂",F75+20,F75+60),IF($C76="净世破魔击·月",IF(模拟模式!$M$7="辉耀红尘",F75-80,F75-100),IF(AND(C76="净世破魔击·日",OR(DB75&gt;0,CV75&gt;0)),100,F75)))))),100))</f>
        <v>20</v>
      </c>
      <c r="G76" s="117">
        <f ca="1">('模拟-全程加成'!$E$3+'模拟-全程加成'!$E$4+'模拟-全程加成'!$E$5+('模拟-全程加成'!$C$6-'模拟-全程加成'!$C$3)*系数!$B$9+BS76*23)*(1+'模拟-全程加成'!$F$4+'模拟-全程加成'!$F$5+BJ76*10%+BM76*20%+BP76*4%+CG76*30%)+$F$7*系数!$B$12</f>
        <v>20583.127400000001</v>
      </c>
      <c r="H76" s="45">
        <f ca="1">'模拟-全程加成'!$H$3+'模拟-全程加成'!$H$4+'模拟-全程加成'!$H$5+('模拟-全程加成'!$G$4+'模拟-全程加成'!$G$5+('模拟-全程加成'!$C$6-'模拟-全程加成'!$C$3)*系数!$B$13)/系数!$B$3+LOOKUP(D76,'模拟-单技能数据'!$A$2:$A$19,'模拟-单技能数据'!$K$2:$K$19)+BG76*10%+IF(BV76&gt;0,378,0)</f>
        <v>0.54185145527300216</v>
      </c>
      <c r="I76" s="45">
        <f ca="1">'模拟-全程加成'!$J$3+'模拟-全程加成'!$J$4+'模拟-全程加成'!$J$5+('模拟-全程加成'!$I$4+'模拟-全程加成'!$I$5)/系数!$B$4+LOOKUP(D76,'模拟-单技能数据'!$A$2:$A$19,'模拟-单技能数据'!$L$2:$L$19)+BG76*10%</f>
        <v>2.162482885499879</v>
      </c>
      <c r="J76" s="45">
        <f ca="1">(('模拟-全程加成'!$K$3+'模拟-全程加成'!$K$4+'模拟-全程加成'!$K$5+('模拟-全程加成'!$C$6-'模拟-全程加成'!$C$3)*系数!$B$10+IF(BV76&gt;0,882,0)+IF(BY76&gt;0,1831,0))*(1+'模拟-全程加成'!$L$4+'模拟-全程加成'!$L$5+CC76*20%))/系数!$B$5</f>
        <v>0.69723220422048726</v>
      </c>
      <c r="K76" s="119">
        <f ca="1">LOOKUP(D76,'模拟-单技能数据'!$A$2:$A$19,'模拟-单技能数据'!$J$2:$J$19)+IF(CM76,60%,0)+IF(DB75-DB76&gt;0,30%,0)+IF(OR(AND(OR(C76="赤日轮1",C76="赤日轮2",C76="赤日轮3"),CR76),AND(OR(C76="幽月轮1",C76="幽月轮2",C76="幽月轮3"),CS76)),35%,0)+CJ76</f>
        <v>1.1000000000000001</v>
      </c>
      <c r="L76" s="119">
        <f ca="1">IF(AND(C76="烈日斩",模拟模式!$X$11=1),10%,0)+IF(AND(C76="驱夜断愁",AB76=1),30%,0)</f>
        <v>0</v>
      </c>
      <c r="M76" s="45">
        <f t="shared" ca="1" si="15"/>
        <v>0.54185145527300216</v>
      </c>
      <c r="N76" s="45">
        <f t="shared" ca="1" si="16"/>
        <v>0.40424854472699789</v>
      </c>
      <c r="O76" s="46">
        <f t="shared" ca="1" si="17"/>
        <v>0.56311209153229225</v>
      </c>
      <c r="P76" s="46" t="str">
        <f t="shared" ca="1" si="18"/>
        <v>会</v>
      </c>
      <c r="Q76" s="45">
        <f t="shared" ca="1" si="19"/>
        <v>2.162482885499879</v>
      </c>
      <c r="R76" s="117">
        <f ca="1">模拟模式!$E$20*(1-IF(模拟模式!$J$19="有",0.15,0))*(1-IF(模拟模式!$K$19="有",0.3,0)-IF(CQ76,0.5,0))</f>
        <v>843.02999999999975</v>
      </c>
      <c r="S76" s="45">
        <f ca="1">R76/(R76+(185*模拟模式!$E$22-16800)*4.08224)</f>
        <v>8.389626085980037E-2</v>
      </c>
      <c r="T76" s="45" t="str">
        <f ca="1">LOOKUP(D76,'模拟-单技能数据'!$A$2:$A$19,'模拟-单技能数据'!$H$2:$H$19)</f>
        <v>阴</v>
      </c>
      <c r="U76" s="119">
        <f t="shared" ca="1" si="20"/>
        <v>0.08</v>
      </c>
      <c r="V76" s="47">
        <f ca="1">(1+L76)*(LOOKUP(D76,'模拟-单技能数据'!$A$2:$A$19,'模拟-单技能数据'!$D$2:$D$19)+G76*LOOKUP(D76,'模拟-单技能数据'!$A$2:$A$19,'模拟-单技能数据'!$F$2:$F$19))*(1+J76)*(1+K76)*(1-S76)*(1+U76)*Q76*LOOKUP(D76,'模拟-单技能数据'!$A$2:$A$19,'模拟-单技能数据'!$I$2:$I$20)</f>
        <v>204013.08685584151</v>
      </c>
      <c r="W76" s="47">
        <f ca="1">LOOKUP(D76,'模拟-单技能数据'!$A$2:$A$19,'模拟-单技能数据'!$G$2:$G$19)*$I$10</f>
        <v>361.51064354704795</v>
      </c>
      <c r="X76" s="47">
        <f t="shared" ca="1" si="21"/>
        <v>16520.1836685288</v>
      </c>
      <c r="Y76" s="47">
        <f t="shared" ca="1" si="22"/>
        <v>220894.78116791736</v>
      </c>
      <c r="Z76" s="49">
        <f t="shared" ca="1" si="23"/>
        <v>5019718.8059137641</v>
      </c>
      <c r="AA76" s="97">
        <f t="shared" ca="1" si="24"/>
        <v>111049.58367156168</v>
      </c>
      <c r="AB76" s="115">
        <f ca="1">IF(OR(C76="赤日轮1",C76="赤日轮2",C76="赤日轮3"),IF(RAND()&lt;模拟模式!$Y$17,1,0),IF(OR(C76="幽月轮1",C76="幽月轮2",C76="幽月轮3"),IF(RAND()&lt;模拟模式!$Y$18,1,0),IF(C76="烈日斩",IF(RAND()&lt;模拟模式!$Y$19,1,0),IF(C76="银月斩",IF(RAND()&lt;模拟模式!$Y$20,1,0),IF(C76="驱夜断愁",IF(RAND()&lt;模拟模式!$Y$21,1,0),IF(C76="净世破魔击·日",IF(RAND()&lt;模拟模式!$Y$22,1,0),IF(C76="净世破魔击·月",IF(RAND()&lt;模拟模式!$Y$23,1,0),0)))))))</f>
        <v>1</v>
      </c>
      <c r="AC76" s="115" t="b">
        <f t="shared" ca="1" si="56"/>
        <v>0</v>
      </c>
      <c r="AD76" s="115" t="b">
        <f t="shared" ca="1" si="52"/>
        <v>0</v>
      </c>
      <c r="AE76" s="115">
        <f t="shared" ca="1" si="53"/>
        <v>4</v>
      </c>
      <c r="AF76" s="47">
        <f ca="1">IF(AC76,('模拟-单技能数据'!$D$20+G76*'模拟-单技能数据'!$F$20)*(1+J76)*(1+'模拟-单技能数据'!$J$20)*(1+U76),0)</f>
        <v>0</v>
      </c>
      <c r="AG76" s="61">
        <f t="shared" ca="1" si="25"/>
        <v>0.64185145527300214</v>
      </c>
      <c r="AH76" s="61">
        <f t="shared" ca="1" si="26"/>
        <v>2.2624828854998791</v>
      </c>
      <c r="AI76" s="62">
        <f t="shared" ca="1" si="27"/>
        <v>0.86924845744381918</v>
      </c>
      <c r="AJ76" s="47">
        <f ca="1">IF(AD76,IF(AI76&lt;$F$10,0,IF(AI76&lt;$F$10+$F$11,0.25,IF(AI76&lt;$F$10+$F$11+AG76,AH76,1)))*IF(AF76&gt;0,AF76,IF(AF75&gt;0,AF75,IF(AF74&gt;0,AF74,IF(AF73&gt;0,AF73,IF(AF72&gt;0,AF72,IF(AF71&gt;0,AF71,IF(AF70&gt;0,AF70,IF(AF69&gt;0,AF69,IF(AF68&gt;0,AF68,IF(AF66&gt;0,AF66,IF(AF65&gt;0,AF65,IF(AF64&gt;0,AF64,0)))))))))))),0)*(1-$S76)*'模拟-单技能数据'!$I$20</f>
        <v>0</v>
      </c>
      <c r="AK76" s="115" t="b">
        <f t="shared" ca="1" si="57"/>
        <v>0</v>
      </c>
      <c r="AL76" s="115" t="b">
        <f t="shared" ca="1" si="54"/>
        <v>0</v>
      </c>
      <c r="AM76" s="115">
        <f t="shared" ca="1" si="55"/>
        <v>3</v>
      </c>
      <c r="AN76" s="47">
        <f ca="1">IF(AK76,('模拟-单技能数据'!$D$21+G76*'模拟-单技能数据'!$F$21)*(1+J76)*(1+'模拟-单技能数据'!$J$21)*(1+U76),0)</f>
        <v>0</v>
      </c>
      <c r="AO76" s="61">
        <f ca="1">IF(AN76&gt;0,M76-'模拟-单技能数据'!$K$10,AO75)</f>
        <v>0.42185145527300216</v>
      </c>
      <c r="AP76" s="61">
        <f ca="1">IF(AN76&gt;0,I76-'模拟-单技能数据'!$L$10,AP75)</f>
        <v>2.162482885499879</v>
      </c>
      <c r="AQ76" s="63">
        <f t="shared" ca="1" si="28"/>
        <v>0.26734087879544077</v>
      </c>
      <c r="AR76" s="64">
        <f ca="1">IF(AL76,IF(AQ76&lt;$F$10,0,IF(AQ76&lt;$F$10+$F$11,0.25,IF(AQ76&lt;$F$10+$F$11+AO76,AP76,1)))*IF(AN76&gt;0,AN76,IF(AN75&gt;0,AN75,IF(AN74&gt;0,AN74,IF(AN73&gt;0,AN73,IF(AN72&gt;0,AN72,IF(AN71&gt;0,AN71,IF(AN70&gt;0,AN70,IF(AN69&gt;0,AN69,IF(AN68&gt;0,AN68,IF(AN66&gt;0,AN66,IF(AN65&gt;0,AN65,IF(AN64&gt;0,AN64,0)))))))))))),0)*(1-$S76)*'模拟-单技能数据'!$I$21</f>
        <v>0</v>
      </c>
      <c r="AS76" s="61">
        <f ca="1">IF(OR(C76="净世破魔击·日",C76="净世破魔击·月"),M76-'模拟-单技能数据'!$K$10,0)</f>
        <v>0.42185145527300216</v>
      </c>
      <c r="AT76" s="61">
        <f ca="1">IF(OR(C76="净世破魔击·日",C76="净世破魔击·月"),I76-'模拟-单技能数据'!$L$10,0)</f>
        <v>2.162482885499879</v>
      </c>
      <c r="AU76" s="62">
        <f t="shared" ca="1" si="29"/>
        <v>0.43010020715160957</v>
      </c>
      <c r="AV76" s="64">
        <f ca="1">IF(AS76&gt;0,('模拟-单技能数据'!$D$22+G76*'模拟-单技能数据'!$F$22)*(1+J76)*(1-S76)*IF(AU76&lt;$F$10,0,IF(AU76&lt;$F$10+$F$11,0.25,IF(AU76&lt;$F$10+$F$11+AS76,AT76,1)))*(1+U76),0)*'模拟-单技能数据'!$I$22</f>
        <v>16520.1836685288</v>
      </c>
      <c r="AW76" s="108">
        <f t="shared" ca="1" si="30"/>
        <v>9.8525000000000063</v>
      </c>
      <c r="AX76" s="108" t="b">
        <f ca="1">AND(模拟模式!$P$10="有",AW75=0,RAND()&lt;IF(C76="净世破魔击·月",0.1*8/3,IF(C76="净世破魔击·日",0.1*4/3,0.1*2/3)))</f>
        <v>0</v>
      </c>
      <c r="AY76" s="47">
        <f ca="1">IF(AX76,(18+G76*0.722)*(1+J76)*(1-S76)*(1+$I$4)*IF(P76="会",'模拟-全程加成'!$J$3+'模拟-全程加成'!$J$4+'模拟-全程加成'!$J$5+('模拟-全程加成'!$I$4+'模拟-全程加成'!$I$5)/系数!$B$4+BG76*10%,IF(P76="命",1,IF(P76="识",0.25,0))),0)</f>
        <v>0</v>
      </c>
      <c r="AZ76" s="108">
        <f t="shared" si="31"/>
        <v>15.387500000000003</v>
      </c>
      <c r="BA76" s="108" t="b">
        <f>AND(模拟模式!$Q$10="有",AZ75=0)</f>
        <v>0</v>
      </c>
      <c r="BB76" s="140">
        <f>IF(BA76,(0+G76*0.287)*(1+J76)*(1-S76)*(1+$I$4)*IF(P76="会",'模拟-全程加成'!$J$3+'模拟-全程加成'!$J$4+'模拟-全程加成'!$J$5+('模拟-全程加成'!$I$4+'模拟-全程加成'!$I$5)/系数!$B$4+BG76*10%,IF(P76="命",1,IF(P76="识",0.25,0))),0)</f>
        <v>0</v>
      </c>
      <c r="BC76" s="115" t="b">
        <f ca="1">AND(模拟模式!$R$7="伏明众生",E76=60,F76=20,DA76&lt;5,CZ75&lt;$F$4)</f>
        <v>0</v>
      </c>
      <c r="BD76" s="115">
        <f t="shared" ca="1" si="58"/>
        <v>0</v>
      </c>
      <c r="BE76" s="115" t="b">
        <f t="shared" ca="1" si="59"/>
        <v>0</v>
      </c>
      <c r="BF76" s="47">
        <f ca="1">IF(BC76,4*('模拟-单技能数据'!$D$24+G76*'模拟-单技能数据'!$F$24)*(1+J76)*(1+'模拟-单技能数据'!$J$24)*(1-S76)*(1+$I$3)*(('模拟-全程加成'!$J$3+'模拟-全程加成'!$J$4+'模拟-全程加成'!$J$5+('模拟-全程加成'!$I$4+'模拟-全程加成'!$I$5)/系数!$B$4+BG76*10%)*('模拟-全程加成'!$J$3+'模拟-全程加成'!$J$4+'模拟-全程加成'!$J$5+('模拟-全程加成'!$I$4+'模拟-全程加成'!$I$5)/系数!$B$4+BG76*10%)+(1-('模拟-全程加成'!$J$3+'模拟-全程加成'!$J$4+'模拟-全程加成'!$J$5+('模拟-全程加成'!$I$4+'模拟-全程加成'!$I$5)/系数!$B$4+BG76*10%)-$F$10-$F$11)+F62*0.25),0)*'模拟-单技能数据'!$I$24</f>
        <v>0</v>
      </c>
      <c r="BG76" s="115" t="b">
        <f ca="1">OR(AND(OR(C76="烈日斩",C76="银月斩"),模拟模式!$I$7="净身明礼"),AND(C76="净世破魔击·日",模拟模式!$J$7="洞若观火"),AND(C77="净世破魔击·月",模拟模式!$J$7="洞若观火"),AB76=1)</f>
        <v>1</v>
      </c>
      <c r="BH76" s="115" t="b">
        <f t="shared" ca="1" si="32"/>
        <v>0</v>
      </c>
      <c r="BI76" s="115">
        <f t="shared" ca="1" si="60"/>
        <v>0</v>
      </c>
      <c r="BJ76" s="115" t="b">
        <f t="shared" ca="1" si="33"/>
        <v>0</v>
      </c>
      <c r="BK76" s="115" t="b">
        <f ca="1">AND(C76="驱夜断愁",模拟模式!$P$7="天地诛戮")</f>
        <v>0</v>
      </c>
      <c r="BL76" s="57">
        <f t="shared" ca="1" si="61"/>
        <v>17.232500000000002</v>
      </c>
      <c r="BM76" s="115" t="b">
        <f t="shared" ca="1" si="34"/>
        <v>1</v>
      </c>
      <c r="BN76" s="115" t="b">
        <f ca="1">AND(OR(C76="赤日轮1",C76="赤日轮2",C76="赤日轮3",C76="幽月轮1",C76="幽月轮2",C76="幽月轮3"),AB76=1,模拟模式!$L$7="明光恒照")</f>
        <v>0</v>
      </c>
      <c r="BO76" s="117">
        <f t="shared" ca="1" si="62"/>
        <v>29.077500000000001</v>
      </c>
      <c r="BP76" s="115">
        <f t="shared" ca="1" si="35"/>
        <v>6</v>
      </c>
      <c r="BQ76" s="115" t="b">
        <f>模拟模式!$K$10="2600·水"</f>
        <v>0</v>
      </c>
      <c r="BR76" s="117">
        <f t="shared" si="36"/>
        <v>0</v>
      </c>
      <c r="BS76" s="115">
        <f t="shared" si="37"/>
        <v>0</v>
      </c>
      <c r="BT76" s="115">
        <f t="shared" ca="1" si="38"/>
        <v>0</v>
      </c>
      <c r="BU76" s="115" t="b">
        <f ca="1">AND(模拟模式!$K$10="2300·雷",BT75=0,RAND()&lt;IF(C76="净世破魔击·月",5*0.05*2/3,IF(C76="净世破魔击·日",3*0.05*2/3,0.05*2*2/3)))</f>
        <v>0</v>
      </c>
      <c r="BV76" s="115">
        <f t="shared" ca="1" si="39"/>
        <v>0</v>
      </c>
      <c r="BW76" s="115">
        <f t="shared" ca="1" si="40"/>
        <v>140.33249999999941</v>
      </c>
      <c r="BX76" s="164" t="b">
        <f t="shared" ca="1" si="41"/>
        <v>0</v>
      </c>
      <c r="BY76" s="115">
        <f t="shared" ca="1" si="42"/>
        <v>0</v>
      </c>
      <c r="BZ76" s="115">
        <f>IF(OR(模拟模式!$P$16="10人团",模拟模式!$P$16="25人团"),IF(B76/30&gt;CA75,1,0),0)</f>
        <v>0</v>
      </c>
      <c r="CA76" s="115">
        <f t="shared" si="8"/>
        <v>0</v>
      </c>
      <c r="CB76" s="115">
        <f ca="1">IF(BZ76=1,IF(模拟模式!$P$16="10人团",15,0)+IF(模拟模式!$P$16="25人团",IF(RAND()&lt;0.6,15,0)),MAX(0,CB75-$F$4))</f>
        <v>0</v>
      </c>
      <c r="CC76" s="115" t="b">
        <f t="shared" ca="1" si="43"/>
        <v>0</v>
      </c>
      <c r="CD76" s="115">
        <f>IF(模拟模式!$Q$16="1个",IF(B76/40&gt;CE75,1,0),0)</f>
        <v>0</v>
      </c>
      <c r="CE76" s="115">
        <f t="shared" si="44"/>
        <v>0</v>
      </c>
      <c r="CF76" s="115">
        <f>IF(OR(CD76=1,模拟模式!$Q$16="2个"),20,MAX(0,CF75-$F$4))</f>
        <v>0</v>
      </c>
      <c r="CG76" s="115" t="b">
        <f t="shared" si="45"/>
        <v>0</v>
      </c>
      <c r="CH76" s="115">
        <f t="shared" ca="1" si="46"/>
        <v>19.852500000000006</v>
      </c>
      <c r="CI76" s="115" t="b">
        <f t="shared" ca="1" si="47"/>
        <v>0</v>
      </c>
      <c r="CJ76" s="119">
        <f t="shared" ca="1" si="48"/>
        <v>0</v>
      </c>
      <c r="CK76" s="115">
        <f t="shared" ca="1" si="49"/>
        <v>0</v>
      </c>
      <c r="CL76" s="115" t="b">
        <f ca="1">AND(模拟模式!$S$7="驱夷逐法",OR(AND(C76="净世破魔击·月",E75&gt;59),AND(C76="净世破魔击·日",F75&gt;59)))</f>
        <v>1</v>
      </c>
      <c r="CM76" s="115" t="b">
        <f ca="1">OR(CL76,AND(C76="净世破魔击·日",CL75,RAND()&lt;模拟模式!$U$23))</f>
        <v>1</v>
      </c>
      <c r="CN76" s="115" t="b">
        <f ca="1">IF(模拟模式!$M$7="辉耀红尘",AND(C76="净世破魔击·月",CL76,CV76=0,E75&lt;80),AND(C76="净世破魔击·月",CL76,E75&lt;100))</f>
        <v>0</v>
      </c>
      <c r="CO76" s="115" t="b">
        <f t="shared" ca="1" si="9"/>
        <v>0</v>
      </c>
      <c r="CP76" s="115" t="b">
        <f ca="1">AND(模拟模式!$O$7="用晦而明",OR(C76="净世破魔击·日",C76="净世破魔击·月",C76="驱夜断愁"),AB76)</f>
        <v>1</v>
      </c>
      <c r="CQ76" s="115" t="b">
        <f ca="1">OR(CP76,AND(CP75,RAND()&lt;模拟模式!$U$23))</f>
        <v>1</v>
      </c>
      <c r="CR76" s="115" t="b">
        <f ca="1">AND(模拟模式!$S$7="日月齐光",OR(C76="幽月轮1",C76="幽月轮2",C76="幽月轮3",CR75),NOT(OR(C76="赤日轮1",C76="赤日轮2",C76="赤日轮3")))</f>
        <v>0</v>
      </c>
      <c r="CS76" s="115" t="b">
        <f ca="1">AND(模拟模式!$S$7="日月齐光",OR(C76="赤日轮1",C76="赤日轮2",C76="赤日轮3",CS75),NOT(OR(C76="幽月轮1",C76="幽月轮2",C76="幽月轮3")))</f>
        <v>0</v>
      </c>
      <c r="CT76" s="115">
        <f t="shared" ca="1" si="50"/>
        <v>0</v>
      </c>
      <c r="CU76" s="115" t="b">
        <f ca="1">AND(模拟模式!$K$10="阴阳往极",CT75=0,RAND()&lt;IF(C76="净世破魔击·月",0.0275*7/3,IF(C76="净世破魔击·日",0.0275*3/3,0.0275*2/3)))</f>
        <v>0</v>
      </c>
      <c r="CV76" s="115">
        <f t="shared" ca="1" si="51"/>
        <v>0</v>
      </c>
      <c r="CW76" s="115">
        <f t="shared" ca="1" si="63"/>
        <v>4.1549999999999994</v>
      </c>
      <c r="CX76" s="115">
        <f t="shared" ca="1" si="64"/>
        <v>2.3099999999999996</v>
      </c>
      <c r="CY76" s="115">
        <f ca="1">MAX(IF($C76="驱夜断愁",IF(模拟模式!$R$7="万念俱寂",6,45),CY75-$F$4),0)</f>
        <v>3.2324999999999995</v>
      </c>
      <c r="CZ76" s="115">
        <f t="shared" ca="1" si="12"/>
        <v>0</v>
      </c>
      <c r="DA76" s="115">
        <f ca="1">IF(模拟模式!$N$7="日月同辉",IF(DB75=2,0,MIN(6,IF(AND(OR(C76="赤日轮1",C76="赤日轮2",C76="赤日轮3",C76="幽月轮1",C76="幽月轮2",C76="幽月轮3"),AB76=1),DA75+1,DA75))),0)</f>
        <v>0</v>
      </c>
      <c r="DB76" s="115">
        <f t="shared" ca="1" si="13"/>
        <v>1</v>
      </c>
      <c r="DD76" s="115"/>
      <c r="DE76" s="115"/>
      <c r="DF76" s="115"/>
      <c r="DG76" s="115"/>
      <c r="DH76" s="115"/>
      <c r="DI76" s="115"/>
      <c r="DJ76" s="115"/>
      <c r="DK76" s="115"/>
      <c r="DL76" s="115"/>
      <c r="DM76" s="115"/>
    </row>
    <row r="77" spans="2:117" x14ac:dyDescent="0.2">
      <c r="B77" s="117">
        <f t="shared" si="65"/>
        <v>46.124999999999979</v>
      </c>
      <c r="C77" s="167" t="str">
        <f t="shared" ca="1" si="0"/>
        <v>净世破魔击·日</v>
      </c>
      <c r="D77" s="115">
        <f ca="1">IF(C77="赤日轮1",1,IF(C77="赤日轮2",2,IF(C77="赤日轮3",3,IF(C77="幽月轮1",4,IF(C77="幽月轮2",5,IF(C77="幽月轮3",6,IF(C77="烈日斩",7,IF(C77="银月斩",8,IF(C77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77="净世破魔击·月",17,IF(C77="驱夜断愁",18,0)))))))))))</f>
        <v>9</v>
      </c>
      <c r="E77" s="115">
        <f ca="1">IF(AND(CU77,OR(C77="幽月轮1",C77="幽月轮2",C77="幽月轮3",C77="银月斩",C77="驱夜断愁",C77="净世破魔击·月")),100,MIN(IF(OR(CN77,BE77),0,IF(OR($C77="赤日轮1",$C77="赤日轮2",$C77="赤日轮3"),E76+20+IF(模拟模式!$I$7="日月凌天",4,0)+IF(CR76,20,0),IF($C77="烈日斩",E76+40,IF($C77="驱夜断愁",IF(模拟模式!$R$7="万念俱寂",E76+20,E76+60),IF($C77="净世破魔击·月",IF(OR(DB76&gt;0,CV76&gt;0),100,IF(模拟模式!$M$7="辉耀红尘",E76+20,E76)),IF($C77="净世破魔击·日",E76-100,E76)))))),100))</f>
        <v>0</v>
      </c>
      <c r="F77" s="115">
        <f ca="1">IF(AND(CU77,OR(C77="赤日轮1",C77="赤日轮2",C77="赤日轮3",C77="烈日斩",C77="净世破魔击·日")),100,MIN(IF(CO77,0,IF(OR($C77="幽月轮1",$C77="幽月轮2",$C77="幽月轮3"),F76+20+IF(模拟模式!$I$7="日月凌天",4,0)+IF(CS76,20,0),IF($C77="银月斩",F76+40+IF(模拟模式!$X$12=1,5,0),IF($C77="驱夜断愁",IF(模拟模式!$R$7="万念俱寂",F76+20,F76+60),IF($C77="净世破魔击·月",IF(模拟模式!$M$7="辉耀红尘",F76-80,F76-100),IF(AND(C77="净世破魔击·日",OR(DB76&gt;0,CV76&gt;0)),100,F76)))))),100))</f>
        <v>100</v>
      </c>
      <c r="G77" s="117">
        <f ca="1">('模拟-全程加成'!$E$3+'模拟-全程加成'!$E$4+'模拟-全程加成'!$E$5+('模拟-全程加成'!$C$6-'模拟-全程加成'!$C$3)*系数!$B$9+BS77*23)*(1+'模拟-全程加成'!$F$4+'模拟-全程加成'!$F$5+BJ77*10%+BM77*20%+BP77*4%+CG77*30%)+$F$7*系数!$B$12</f>
        <v>20583.127400000001</v>
      </c>
      <c r="H77" s="45">
        <f ca="1">'模拟-全程加成'!$H$3+'模拟-全程加成'!$H$4+'模拟-全程加成'!$H$5+('模拟-全程加成'!$G$4+'模拟-全程加成'!$G$5+('模拟-全程加成'!$C$6-'模拟-全程加成'!$C$3)*系数!$B$13)/系数!$B$3+LOOKUP(D77,'模拟-单技能数据'!$A$2:$A$19,'模拟-单技能数据'!$K$2:$K$19)+BG77*10%+IF(BV77&gt;0,378,0)</f>
        <v>0.54185145527300216</v>
      </c>
      <c r="I77" s="45">
        <f ca="1">'模拟-全程加成'!$J$3+'模拟-全程加成'!$J$4+'模拟-全程加成'!$J$5+('模拟-全程加成'!$I$4+'模拟-全程加成'!$I$5)/系数!$B$4+LOOKUP(D77,'模拟-单技能数据'!$A$2:$A$19,'模拟-单技能数据'!$L$2:$L$19)+BG77*10%</f>
        <v>2.162482885499879</v>
      </c>
      <c r="J77" s="45">
        <f ca="1">(('模拟-全程加成'!$K$3+'模拟-全程加成'!$K$4+'模拟-全程加成'!$K$5+('模拟-全程加成'!$C$6-'模拟-全程加成'!$C$3)*系数!$B$10+IF(BV77&gt;0,882,0)+IF(BY77&gt;0,1831,0))*(1+'模拟-全程加成'!$L$4+'模拟-全程加成'!$L$5+CC77*20%))/系数!$B$5</f>
        <v>0.69723220422048726</v>
      </c>
      <c r="K77" s="119">
        <f ca="1">LOOKUP(D77,'模拟-单技能数据'!$A$2:$A$19,'模拟-单技能数据'!$J$2:$J$19)+IF(CM77,60%,0)+IF(DB76-DB77&gt;0,30%,0)+IF(OR(AND(OR(C77="赤日轮1",C77="赤日轮2",C77="赤日轮3"),CR77),AND(OR(C77="幽月轮1",C77="幽月轮2",C77="幽月轮3"),CS77)),35%,0)+CJ77</f>
        <v>1.1000000000000001</v>
      </c>
      <c r="L77" s="119">
        <f ca="1">IF(AND(C77="烈日斩",模拟模式!$X$11=1),10%,0)+IF(AND(C77="驱夜断愁",AB77=1),30%,0)</f>
        <v>0</v>
      </c>
      <c r="M77" s="45">
        <f t="shared" ca="1" si="15"/>
        <v>0.54185145527300216</v>
      </c>
      <c r="N77" s="45">
        <f t="shared" ca="1" si="16"/>
        <v>0.40424854472699789</v>
      </c>
      <c r="O77" s="46">
        <f t="shared" ca="1" si="17"/>
        <v>0.98570823724276357</v>
      </c>
      <c r="P77" s="46" t="str">
        <f t="shared" ca="1" si="18"/>
        <v>命</v>
      </c>
      <c r="Q77" s="45">
        <f t="shared" ca="1" si="19"/>
        <v>1</v>
      </c>
      <c r="R77" s="117">
        <f ca="1">模拟模式!$E$20*(1-IF(模拟模式!$J$19="有",0.15,0))*(1-IF(模拟模式!$K$19="有",0.3,0)-IF(CQ77,0.5,0))</f>
        <v>843.02999999999975</v>
      </c>
      <c r="S77" s="45">
        <f ca="1">R77/(R77+(185*模拟模式!$E$22-16800)*4.08224)</f>
        <v>8.389626085980037E-2</v>
      </c>
      <c r="T77" s="45" t="str">
        <f ca="1">LOOKUP(D77,'模拟-单技能数据'!$A$2:$A$19,'模拟-单技能数据'!$H$2:$H$19)</f>
        <v>阳</v>
      </c>
      <c r="U77" s="119">
        <f t="shared" ca="1" si="20"/>
        <v>0.2</v>
      </c>
      <c r="V77" s="47">
        <f ca="1">(1+L77)*(LOOKUP(D77,'模拟-单技能数据'!$A$2:$A$19,'模拟-单技能数据'!$D$2:$D$19)+G77*LOOKUP(D77,'模拟-单技能数据'!$A$2:$A$19,'模拟-单技能数据'!$F$2:$F$19))*(1+J77)*(1+K77)*(1-S77)*(1+U77)*Q77*LOOKUP(D77,'模拟-单技能数据'!$A$2:$A$19,'模拟-单技能数据'!$I$2:$I$20)</f>
        <v>105697.2298988978</v>
      </c>
      <c r="W77" s="47">
        <f ca="1">LOOKUP(D77,'模拟-单技能数据'!$A$2:$A$19,'模拟-单技能数据'!$G$2:$G$19)*$I$10</f>
        <v>723.0212870940959</v>
      </c>
      <c r="X77" s="47">
        <f t="shared" ca="1" si="21"/>
        <v>30415.807444482602</v>
      </c>
      <c r="Y77" s="47">
        <f t="shared" ca="1" si="22"/>
        <v>136836.05863047449</v>
      </c>
      <c r="Z77" s="49">
        <f t="shared" ca="1" si="23"/>
        <v>5156554.8645442389</v>
      </c>
      <c r="AA77" s="97">
        <f t="shared" ca="1" si="24"/>
        <v>111795.22741559331</v>
      </c>
      <c r="AB77" s="115">
        <f ca="1">IF(OR(C77="赤日轮1",C77="赤日轮2",C77="赤日轮3"),IF(RAND()&lt;模拟模式!$Y$17,1,0),IF(OR(C77="幽月轮1",C77="幽月轮2",C77="幽月轮3"),IF(RAND()&lt;模拟模式!$Y$18,1,0),IF(C77="烈日斩",IF(RAND()&lt;模拟模式!$Y$19,1,0),IF(C77="银月斩",IF(RAND()&lt;模拟模式!$Y$20,1,0),IF(C77="驱夜断愁",IF(RAND()&lt;模拟模式!$Y$21,1,0),IF(C77="净世破魔击·日",IF(RAND()&lt;模拟模式!$Y$22,1,0),IF(C77="净世破魔击·月",IF(RAND()&lt;模拟模式!$Y$23,1,0),0)))))))</f>
        <v>1</v>
      </c>
      <c r="AC77" s="115" t="b">
        <f t="shared" ca="1" si="56"/>
        <v>0</v>
      </c>
      <c r="AD77" s="115" t="b">
        <f t="shared" ca="1" si="52"/>
        <v>1</v>
      </c>
      <c r="AE77" s="115">
        <f t="shared" ca="1" si="53"/>
        <v>3</v>
      </c>
      <c r="AF77" s="47">
        <f ca="1">IF(AC77,('模拟-单技能数据'!$D$20+G77*'模拟-单技能数据'!$F$20)*(1+J77)*(1+'模拟-单技能数据'!$J$20)*(1+U77),0)</f>
        <v>0</v>
      </c>
      <c r="AG77" s="61">
        <f t="shared" ca="1" si="25"/>
        <v>0.64185145527300214</v>
      </c>
      <c r="AH77" s="61">
        <f t="shared" ca="1" si="26"/>
        <v>2.2624828854998791</v>
      </c>
      <c r="AI77" s="62">
        <f t="shared" ca="1" si="27"/>
        <v>0.92901698440110603</v>
      </c>
      <c r="AJ77" s="47">
        <f ca="1">IF(AD77,IF(AI77&lt;$F$10,0,IF(AI77&lt;$F$10+$F$11,0.25,IF(AI77&lt;$F$10+$F$11+AG77,AH77,1)))*IF(AF77&gt;0,AF77,IF(AF76&gt;0,AF76,IF(AF75&gt;0,AF75,IF(AF74&gt;0,AF74,IF(AF73&gt;0,AF73,IF(AF72&gt;0,AF72,IF(AF71&gt;0,AF71,IF(AF70&gt;0,AF70,IF(AF69&gt;0,AF69,IF(AF67&gt;0,AF67,IF(AF66&gt;0,AF66,IF(AF65&gt;0,AF65,0)))))))))))),0)*(1-$S77)*'模拟-单技能数据'!$I$20</f>
        <v>4250.4883357170938</v>
      </c>
      <c r="AK77" s="115" t="b">
        <f t="shared" ca="1" si="57"/>
        <v>1</v>
      </c>
      <c r="AL77" s="115" t="b">
        <f t="shared" ca="1" si="54"/>
        <v>1</v>
      </c>
      <c r="AM77" s="115">
        <f t="shared" ca="1" si="55"/>
        <v>5</v>
      </c>
      <c r="AN77" s="47">
        <f ca="1">IF(AK77,('模拟-单技能数据'!$D$21+G77*'模拟-单技能数据'!$F$21)*(1+J77)*(1+'模拟-单技能数据'!$J$21)*(1+U77),0)</f>
        <v>12136.56601728573</v>
      </c>
      <c r="AO77" s="61">
        <f ca="1">IF(AN77&gt;0,M77-'模拟-单技能数据'!$K$10,AO76)</f>
        <v>0.42185145527300216</v>
      </c>
      <c r="AP77" s="61">
        <f ca="1">IF(AN77&gt;0,I77-'模拟-单技能数据'!$L$10,AP76)</f>
        <v>2.162482885499879</v>
      </c>
      <c r="AQ77" s="63">
        <f t="shared" ca="1" si="28"/>
        <v>0.21754875747374702</v>
      </c>
      <c r="AR77" s="64">
        <f ca="1">IF(AL77,IF(AQ77&lt;$F$10,0,IF(AQ77&lt;$F$10+$F$11,0.25,IF(AQ77&lt;$F$10+$F$11+AO77,AP77,1)))*IF(AN77&gt;0,AN77,IF(AN76&gt;0,AN76,IF(AN75&gt;0,AN75,IF(AN74&gt;0,AN74,IF(AN73&gt;0,AN73,IF(AN72&gt;0,AN72,IF(AN71&gt;0,AN71,IF(AN70&gt;0,AN70,IF(AN69&gt;0,AN69,IF(AN67&gt;0,AN67,IF(AN66&gt;0,AN66,IF(AN65&gt;0,AN65,0)))))))))))),0)*(1-$S77)*'模拟-单技能数据'!$I$21</f>
        <v>24043.249177625272</v>
      </c>
      <c r="AS77" s="61">
        <f ca="1">IF(OR(C77="净世破魔击·日",C77="净世破魔击·月"),M77-'模拟-单技能数据'!$K$10,0)</f>
        <v>0.42185145527300216</v>
      </c>
      <c r="AT77" s="61">
        <f ca="1">IF(OR(C77="净世破魔击·日",C77="净世破魔击·月"),I77-'模拟-单技能数据'!$L$10,0)</f>
        <v>2.162482885499879</v>
      </c>
      <c r="AU77" s="62">
        <f t="shared" ca="1" si="29"/>
        <v>2.2350173842564547E-2</v>
      </c>
      <c r="AV77" s="64">
        <f ca="1">IF(AS77&gt;0,('模拟-单技能数据'!$D$22+G77*'模拟-单技能数据'!$F$22)*(1+J77)*(1-S77)*IF(AU77&lt;$F$10,0,IF(AU77&lt;$F$10+$F$11,0.25,IF(AU77&lt;$F$10+$F$11+AS77,AT77,1)))*(1+U77),0)*'模拟-单技能数据'!$I$22</f>
        <v>2122.0699311402354</v>
      </c>
      <c r="AW77" s="108">
        <f t="shared" ca="1" si="30"/>
        <v>8.9300000000000068</v>
      </c>
      <c r="AX77" s="108" t="b">
        <f ca="1">AND(模拟模式!$P$10="有",AW76=0,RAND()&lt;IF(C77="净世破魔击·月",0.1*8/3,IF(C77="净世破魔击·日",0.1*4/3,0.1*2/3)))</f>
        <v>0</v>
      </c>
      <c r="AY77" s="47">
        <f ca="1">IF(AX77,(18+G77*0.722)*(1+J77)*(1-S77)*(1+$I$4)*IF(P77="会",'模拟-全程加成'!$J$3+'模拟-全程加成'!$J$4+'模拟-全程加成'!$J$5+('模拟-全程加成'!$I$4+'模拟-全程加成'!$I$5)/系数!$B$4+BG77*10%,IF(P77="命",1,IF(P77="识",0.25,0))),0)</f>
        <v>0</v>
      </c>
      <c r="AZ77" s="108">
        <f t="shared" si="31"/>
        <v>14.465000000000003</v>
      </c>
      <c r="BA77" s="108" t="b">
        <f>AND(模拟模式!$Q$10="有",AZ76=0)</f>
        <v>0</v>
      </c>
      <c r="BB77" s="140">
        <f>IF(BA77,(0+G77*0.287)*(1+J77)*(1-S77)*(1+$I$4)*IF(P77="会",'模拟-全程加成'!$J$3+'模拟-全程加成'!$J$4+'模拟-全程加成'!$J$5+('模拟-全程加成'!$I$4+'模拟-全程加成'!$I$5)/系数!$B$4+BG77*10%,IF(P77="命",1,IF(P77="识",0.25,0))),0)</f>
        <v>0</v>
      </c>
      <c r="BC77" s="115" t="b">
        <f ca="1">AND(模拟模式!$R$7="伏明众生",E77=60,F77=20,DA77&lt;5,CZ76&lt;$F$4)</f>
        <v>0</v>
      </c>
      <c r="BD77" s="115">
        <f t="shared" ca="1" si="58"/>
        <v>0</v>
      </c>
      <c r="BE77" s="115" t="b">
        <f t="shared" ca="1" si="59"/>
        <v>0</v>
      </c>
      <c r="BF77" s="47">
        <f ca="1">IF(BC77,4*('模拟-单技能数据'!$D$24+G77*'模拟-单技能数据'!$F$24)*(1+J77)*(1+'模拟-单技能数据'!$J$24)*(1-S77)*(1+$I$3)*(('模拟-全程加成'!$J$3+'模拟-全程加成'!$J$4+'模拟-全程加成'!$J$5+('模拟-全程加成'!$I$4+'模拟-全程加成'!$I$5)/系数!$B$4+BG77*10%)*('模拟-全程加成'!$J$3+'模拟-全程加成'!$J$4+'模拟-全程加成'!$J$5+('模拟-全程加成'!$I$4+'模拟-全程加成'!$I$5)/系数!$B$4+BG77*10%)+(1-('模拟-全程加成'!$J$3+'模拟-全程加成'!$J$4+'模拟-全程加成'!$J$5+('模拟-全程加成'!$I$4+'模拟-全程加成'!$I$5)/系数!$B$4+BG77*10%)-$F$10-$F$11)+F63*0.25),0)*'模拟-单技能数据'!$I$24</f>
        <v>0</v>
      </c>
      <c r="BG77" s="115" t="b">
        <f ca="1">OR(AND(OR(C77="烈日斩",C77="银月斩"),模拟模式!$I$7="净身明礼"),AND(C77="净世破魔击·日",模拟模式!$J$7="洞若观火"),AND(C78="净世破魔击·月",模拟模式!$J$7="洞若观火"),AB77=1)</f>
        <v>1</v>
      </c>
      <c r="BH77" s="115" t="b">
        <f t="shared" ca="1" si="32"/>
        <v>0</v>
      </c>
      <c r="BI77" s="115">
        <f t="shared" ca="1" si="60"/>
        <v>0</v>
      </c>
      <c r="BJ77" s="115" t="b">
        <f t="shared" ca="1" si="33"/>
        <v>0</v>
      </c>
      <c r="BK77" s="115" t="b">
        <f ca="1">AND(C77="驱夜断愁",模拟模式!$P$7="天地诛戮")</f>
        <v>0</v>
      </c>
      <c r="BL77" s="57">
        <f t="shared" ca="1" si="61"/>
        <v>16.310000000000002</v>
      </c>
      <c r="BM77" s="115" t="b">
        <f t="shared" ca="1" si="34"/>
        <v>1</v>
      </c>
      <c r="BN77" s="115" t="b">
        <f ca="1">AND(OR(C77="赤日轮1",C77="赤日轮2",C77="赤日轮3",C77="幽月轮1",C77="幽月轮2",C77="幽月轮3"),AB77=1,模拟模式!$L$7="明光恒照")</f>
        <v>0</v>
      </c>
      <c r="BO77" s="117">
        <f t="shared" ca="1" si="62"/>
        <v>28.155000000000001</v>
      </c>
      <c r="BP77" s="115">
        <f t="shared" ca="1" si="35"/>
        <v>6</v>
      </c>
      <c r="BQ77" s="115" t="b">
        <f>模拟模式!$K$10="2600·水"</f>
        <v>0</v>
      </c>
      <c r="BR77" s="117">
        <f t="shared" si="36"/>
        <v>0</v>
      </c>
      <c r="BS77" s="115">
        <f t="shared" si="37"/>
        <v>0</v>
      </c>
      <c r="BT77" s="115">
        <f t="shared" ca="1" si="38"/>
        <v>0</v>
      </c>
      <c r="BU77" s="115" t="b">
        <f ca="1">AND(模拟模式!$K$10="2300·雷",BT76=0,RAND()&lt;IF(C77="净世破魔击·月",5*0.05*2/3,IF(C77="净世破魔击·日",3*0.05*2/3,0.05*2*2/3)))</f>
        <v>0</v>
      </c>
      <c r="BV77" s="115">
        <f t="shared" ca="1" si="39"/>
        <v>0</v>
      </c>
      <c r="BW77" s="115">
        <f t="shared" ca="1" si="40"/>
        <v>139.4099999999994</v>
      </c>
      <c r="BX77" s="164" t="b">
        <f t="shared" ca="1" si="41"/>
        <v>0</v>
      </c>
      <c r="BY77" s="115">
        <f t="shared" ca="1" si="42"/>
        <v>0</v>
      </c>
      <c r="BZ77" s="115">
        <f>IF(OR(模拟模式!$P$16="10人团",模拟模式!$P$16="25人团"),IF(B77/30&gt;CA76,1,0),0)</f>
        <v>0</v>
      </c>
      <c r="CA77" s="115">
        <f t="shared" si="8"/>
        <v>0</v>
      </c>
      <c r="CB77" s="115">
        <f ca="1">IF(BZ77=1,IF(模拟模式!$P$16="10人团",15,0)+IF(模拟模式!$P$16="25人团",IF(RAND()&lt;0.6,15,0)),MAX(0,CB76-$F$4))</f>
        <v>0</v>
      </c>
      <c r="CC77" s="115" t="b">
        <f t="shared" ca="1" si="43"/>
        <v>0</v>
      </c>
      <c r="CD77" s="115">
        <f>IF(模拟模式!$Q$16="1个",IF(B77/40&gt;CE76,1,0),0)</f>
        <v>0</v>
      </c>
      <c r="CE77" s="115">
        <f t="shared" si="44"/>
        <v>0</v>
      </c>
      <c r="CF77" s="115">
        <f>IF(OR(CD77=1,模拟模式!$Q$16="2个"),20,MAX(0,CF76-$F$4))</f>
        <v>0</v>
      </c>
      <c r="CG77" s="115" t="b">
        <f t="shared" si="45"/>
        <v>0</v>
      </c>
      <c r="CH77" s="115">
        <f t="shared" ca="1" si="46"/>
        <v>18.930000000000007</v>
      </c>
      <c r="CI77" s="115" t="b">
        <f t="shared" ca="1" si="47"/>
        <v>0</v>
      </c>
      <c r="CJ77" s="119">
        <f t="shared" ca="1" si="48"/>
        <v>0</v>
      </c>
      <c r="CK77" s="115">
        <f t="shared" ca="1" si="49"/>
        <v>0</v>
      </c>
      <c r="CL77" s="115" t="b">
        <f ca="1">AND(模拟模式!$S$7="驱夷逐法",OR(AND(C77="净世破魔击·月",E76&gt;59),AND(C77="净世破魔击·日",F76&gt;59)))</f>
        <v>0</v>
      </c>
      <c r="CM77" s="115" t="b">
        <f ca="1">OR(CL77,AND(C77="净世破魔击·日",CL76,RAND()&lt;模拟模式!$U$23))</f>
        <v>1</v>
      </c>
      <c r="CN77" s="115" t="b">
        <f ca="1">IF(模拟模式!$M$7="辉耀红尘",AND(C77="净世破魔击·月",CL77,CV77=0,E76&lt;80),AND(C77="净世破魔击·月",CL77,E76&lt;100))</f>
        <v>0</v>
      </c>
      <c r="CO77" s="115" t="b">
        <f t="shared" ca="1" si="9"/>
        <v>0</v>
      </c>
      <c r="CP77" s="115" t="b">
        <f ca="1">AND(模拟模式!$O$7="用晦而明",OR(C77="净世破魔击·日",C77="净世破魔击·月",C77="驱夜断愁"),AB77)</f>
        <v>1</v>
      </c>
      <c r="CQ77" s="115" t="b">
        <f ca="1">OR(CP77,AND(CP76,RAND()&lt;模拟模式!$U$23))</f>
        <v>1</v>
      </c>
      <c r="CR77" s="115" t="b">
        <f ca="1">AND(模拟模式!$S$7="日月齐光",OR(C77="幽月轮1",C77="幽月轮2",C77="幽月轮3",CR76),NOT(OR(C77="赤日轮1",C77="赤日轮2",C77="赤日轮3")))</f>
        <v>0</v>
      </c>
      <c r="CS77" s="115" t="b">
        <f ca="1">AND(模拟模式!$S$7="日月齐光",OR(C77="赤日轮1",C77="赤日轮2",C77="赤日轮3",CS76),NOT(OR(C77="幽月轮1",C77="幽月轮2",C77="幽月轮3")))</f>
        <v>0</v>
      </c>
      <c r="CT77" s="115">
        <f t="shared" ca="1" si="50"/>
        <v>0</v>
      </c>
      <c r="CU77" s="115" t="b">
        <f ca="1">AND(模拟模式!$K$10="阴阳往极",CT76=0,RAND()&lt;IF(C77="净世破魔击·月",0.0275*7/3,IF(C77="净世破魔击·日",0.0275*3/3,0.0275*2/3)))</f>
        <v>0</v>
      </c>
      <c r="CV77" s="115">
        <f t="shared" ca="1" si="51"/>
        <v>0</v>
      </c>
      <c r="CW77" s="115">
        <f t="shared" ca="1" si="63"/>
        <v>3.2324999999999995</v>
      </c>
      <c r="CX77" s="115">
        <f t="shared" ca="1" si="64"/>
        <v>1.3874999999999997</v>
      </c>
      <c r="CY77" s="115">
        <f ca="1">MAX(IF($C77="驱夜断愁",IF(模拟模式!$R$7="万念俱寂",6,45),CY76-$F$4),0)</f>
        <v>2.3099999999999996</v>
      </c>
      <c r="CZ77" s="115">
        <f t="shared" ca="1" si="12"/>
        <v>0</v>
      </c>
      <c r="DA77" s="115">
        <f ca="1">IF(模拟模式!$N$7="日月同辉",IF(DB76=2,0,MIN(6,IF(AND(OR(C77="赤日轮1",C77="赤日轮2",C77="赤日轮3",C77="幽月轮1",C77="幽月轮2",C77="幽月轮3"),AB77=1),DA76+1,DA76))),0)</f>
        <v>0</v>
      </c>
      <c r="DB77" s="115">
        <f t="shared" ca="1" si="13"/>
        <v>0</v>
      </c>
      <c r="DD77" s="115"/>
      <c r="DE77" s="115"/>
      <c r="DF77" s="115"/>
      <c r="DG77" s="115"/>
      <c r="DH77" s="115"/>
      <c r="DI77" s="115"/>
      <c r="DJ77" s="115"/>
      <c r="DK77" s="115"/>
      <c r="DL77" s="115"/>
      <c r="DM77" s="115"/>
    </row>
    <row r="78" spans="2:117" x14ac:dyDescent="0.2">
      <c r="B78" s="117">
        <f t="shared" si="65"/>
        <v>47.047499999999978</v>
      </c>
      <c r="C78" s="167" t="str">
        <f t="shared" ca="1" si="0"/>
        <v>净世破魔击·月</v>
      </c>
      <c r="D78" s="115">
        <f ca="1">IF(C78="赤日轮1",1,IF(C78="赤日轮2",2,IF(C78="赤日轮3",3,IF(C78="幽月轮1",4,IF(C78="幽月轮2",5,IF(C78="幽月轮3",6,IF(C78="烈日斩",7,IF(C78="银月斩",8,IF(C78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78="净世破魔击·月",17,IF(C78="驱夜断愁",18,0)))))))))))</f>
        <v>17</v>
      </c>
      <c r="E78" s="115">
        <f ca="1">IF(AND(CU78,OR(C78="幽月轮1",C78="幽月轮2",C78="幽月轮3",C78="银月斩",C78="驱夜断愁",C78="净世破魔击·月")),100,MIN(IF(OR(CN78,BE78),0,IF(OR($C78="赤日轮1",$C78="赤日轮2",$C78="赤日轮3"),E77+20+IF(模拟模式!$I$7="日月凌天",4,0)+IF(CR77,20,0),IF($C78="烈日斩",E77+40,IF($C78="驱夜断愁",IF(模拟模式!$R$7="万念俱寂",E77+20,E77+60),IF($C78="净世破魔击·月",IF(OR(DB77&gt;0,CV77&gt;0),100,IF(模拟模式!$M$7="辉耀红尘",E77+20,E77)),IF($C78="净世破魔击·日",E77-100,E77)))))),100))</f>
        <v>20</v>
      </c>
      <c r="F78" s="115">
        <f ca="1">IF(AND(CU78,OR(C78="赤日轮1",C78="赤日轮2",C78="赤日轮3",C78="烈日斩",C78="净世破魔击·日")),100,MIN(IF(CO78,0,IF(OR($C78="幽月轮1",$C78="幽月轮2",$C78="幽月轮3"),F77+20+IF(模拟模式!$I$7="日月凌天",4,0)+IF(CS77,20,0),IF($C78="银月斩",F77+40+IF(模拟模式!$X$12=1,5,0),IF($C78="驱夜断愁",IF(模拟模式!$R$7="万念俱寂",F77+20,F77+60),IF($C78="净世破魔击·月",IF(模拟模式!$M$7="辉耀红尘",F77-80,F77-100),IF(AND(C78="净世破魔击·日",OR(DB77&gt;0,CV77&gt;0)),100,F77)))))),100))</f>
        <v>20</v>
      </c>
      <c r="G78" s="117">
        <f ca="1">('模拟-全程加成'!$E$3+'模拟-全程加成'!$E$4+'模拟-全程加成'!$E$5+('模拟-全程加成'!$C$6-'模拟-全程加成'!$C$3)*系数!$B$9+BS78*23)*(1+'模拟-全程加成'!$F$4+'模拟-全程加成'!$F$5+BJ78*10%+BM78*20%+BP78*4%+CG78*30%)+$F$7*系数!$B$12</f>
        <v>20583.127400000001</v>
      </c>
      <c r="H78" s="45">
        <f ca="1">'模拟-全程加成'!$H$3+'模拟-全程加成'!$H$4+'模拟-全程加成'!$H$5+('模拟-全程加成'!$G$4+'模拟-全程加成'!$G$5+('模拟-全程加成'!$C$6-'模拟-全程加成'!$C$3)*系数!$B$13)/系数!$B$3+LOOKUP(D78,'模拟-单技能数据'!$A$2:$A$19,'模拟-单技能数据'!$K$2:$K$19)+BG78*10%+IF(BV78&gt;0,378,0)</f>
        <v>0.54185145527300216</v>
      </c>
      <c r="I78" s="45">
        <f ca="1">'模拟-全程加成'!$J$3+'模拟-全程加成'!$J$4+'模拟-全程加成'!$J$5+('模拟-全程加成'!$I$4+'模拟-全程加成'!$I$5)/系数!$B$4+LOOKUP(D78,'模拟-单技能数据'!$A$2:$A$19,'模拟-单技能数据'!$L$2:$L$19)+BG78*10%</f>
        <v>2.162482885499879</v>
      </c>
      <c r="J78" s="45">
        <f ca="1">(('模拟-全程加成'!$K$3+'模拟-全程加成'!$K$4+'模拟-全程加成'!$K$5+('模拟-全程加成'!$C$6-'模拟-全程加成'!$C$3)*系数!$B$10+IF(BV78&gt;0,882,0)+IF(BY78&gt;0,1831,0))*(1+'模拟-全程加成'!$L$4+'模拟-全程加成'!$L$5+CC78*20%))/系数!$B$5</f>
        <v>0.69723220422048726</v>
      </c>
      <c r="K78" s="119">
        <f ca="1">LOOKUP(D78,'模拟-单技能数据'!$A$2:$A$19,'模拟-单技能数据'!$J$2:$J$19)+IF(CM78,60%,0)+IF(DB77-DB78&gt;0,30%,0)+IF(OR(AND(OR(C78="赤日轮1",C78="赤日轮2",C78="赤日轮3"),CR78),AND(OR(C78="幽月轮1",C78="幽月轮2",C78="幽月轮3"),CS78)),35%,0)+CJ78</f>
        <v>0.2</v>
      </c>
      <c r="L78" s="119">
        <f ca="1">IF(AND(C78="烈日斩",模拟模式!$X$11=1),10%,0)+IF(AND(C78="驱夜断愁",AB78=1),30%,0)</f>
        <v>0</v>
      </c>
      <c r="M78" s="45">
        <f t="shared" ca="1" si="15"/>
        <v>0.54185145527300216</v>
      </c>
      <c r="N78" s="45">
        <f t="shared" ca="1" si="16"/>
        <v>0.40424854472699789</v>
      </c>
      <c r="O78" s="46">
        <f t="shared" ca="1" si="17"/>
        <v>0.64023706761192811</v>
      </c>
      <c r="P78" s="46" t="str">
        <f t="shared" ca="1" si="18"/>
        <v>命</v>
      </c>
      <c r="Q78" s="45">
        <f t="shared" ca="1" si="19"/>
        <v>1</v>
      </c>
      <c r="R78" s="117">
        <f ca="1">模拟模式!$E$20*(1-IF(模拟模式!$J$19="有",0.15,0))*(1-IF(模拟模式!$K$19="有",0.3,0)-IF(CQ78,0.5,0))</f>
        <v>843.02999999999975</v>
      </c>
      <c r="S78" s="45">
        <f ca="1">R78/(R78+(185*模拟模式!$E$22-16800)*4.08224)</f>
        <v>8.389626085980037E-2</v>
      </c>
      <c r="T78" s="45" t="str">
        <f ca="1">LOOKUP(D78,'模拟-单技能数据'!$A$2:$A$19,'模拟-单技能数据'!$H$2:$H$19)</f>
        <v>阴</v>
      </c>
      <c r="U78" s="119">
        <f t="shared" ca="1" si="20"/>
        <v>0.08</v>
      </c>
      <c r="V78" s="47">
        <f ca="1">(1+L78)*(LOOKUP(D78,'模拟-单技能数据'!$A$2:$A$19,'模拟-单技能数据'!$D$2:$D$19)+G78*LOOKUP(D78,'模拟-单技能数据'!$A$2:$A$19,'模拟-单技能数据'!$F$2:$F$19))*(1+J78)*(1+K78)*(1-S78)*(1+U78)*Q78*LOOKUP(D78,'模拟-单技能数据'!$A$2:$A$19,'模拟-单技能数据'!$I$2:$I$20)</f>
        <v>53909.747705502974</v>
      </c>
      <c r="W78" s="47">
        <f ca="1">LOOKUP(D78,'模拟-单技能数据'!$A$2:$A$19,'模拟-单技能数据'!$G$2:$G$19)*$I$10</f>
        <v>361.51064354704795</v>
      </c>
      <c r="X78" s="47">
        <f t="shared" ca="1" si="21"/>
        <v>7639.4517521048492</v>
      </c>
      <c r="Y78" s="47">
        <f t="shared" ca="1" si="22"/>
        <v>61910.710101154873</v>
      </c>
      <c r="Z78" s="49">
        <f t="shared" ca="1" si="23"/>
        <v>5218465.5746453935</v>
      </c>
      <c r="AA78" s="97">
        <f t="shared" ca="1" si="24"/>
        <v>110919.08336564952</v>
      </c>
      <c r="AB78" s="115">
        <f ca="1">IF(OR(C78="赤日轮1",C78="赤日轮2",C78="赤日轮3"),IF(RAND()&lt;模拟模式!$Y$17,1,0),IF(OR(C78="幽月轮1",C78="幽月轮2",C78="幽月轮3"),IF(RAND()&lt;模拟模式!$Y$18,1,0),IF(C78="烈日斩",IF(RAND()&lt;模拟模式!$Y$19,1,0),IF(C78="银月斩",IF(RAND()&lt;模拟模式!$Y$20,1,0),IF(C78="驱夜断愁",IF(RAND()&lt;模拟模式!$Y$21,1,0),IF(C78="净世破魔击·日",IF(RAND()&lt;模拟模式!$Y$22,1,0),IF(C78="净世破魔击·月",IF(RAND()&lt;模拟模式!$Y$23,1,0),0)))))))</f>
        <v>1</v>
      </c>
      <c r="AC78" s="115" t="b">
        <f t="shared" ca="1" si="56"/>
        <v>0</v>
      </c>
      <c r="AD78" s="115" t="b">
        <f t="shared" ca="1" si="52"/>
        <v>0</v>
      </c>
      <c r="AE78" s="115">
        <f t="shared" ca="1" si="53"/>
        <v>3</v>
      </c>
      <c r="AF78" s="47">
        <f ca="1">IF(AC78,('模拟-单技能数据'!$D$20+G78*'模拟-单技能数据'!$F$20)*(1+J78)*(1+'模拟-单技能数据'!$J$20)*(1+U78),0)</f>
        <v>0</v>
      </c>
      <c r="AG78" s="61">
        <f t="shared" ca="1" si="25"/>
        <v>0.64185145527300214</v>
      </c>
      <c r="AH78" s="61">
        <f t="shared" ca="1" si="26"/>
        <v>2.2624828854998791</v>
      </c>
      <c r="AI78" s="62">
        <f t="shared" ca="1" si="27"/>
        <v>0.1316071120250879</v>
      </c>
      <c r="AJ78" s="47">
        <f ca="1">IF(AD78,IF(AI78&lt;$F$10,0,IF(AI78&lt;$F$10+$F$11,0.25,IF(AI78&lt;$F$10+$F$11+AG78,AH78,1)))*IF(AF78&gt;0,AF78,IF(AF77&gt;0,AF77,IF(AF76&gt;0,AF76,IF(AF75&gt;0,AF75,IF(AF74&gt;0,AF74,IF(AF73&gt;0,AF73,IF(AF72&gt;0,AF72,IF(AF71&gt;0,AF71,IF(AF70&gt;0,AF70,IF(AF68&gt;0,AF68,IF(AF67&gt;0,AF67,IF(AF66&gt;0,AF66,0)))))))))))),0)*(1-$S78)*'模拟-单技能数据'!$I$20</f>
        <v>0</v>
      </c>
      <c r="AK78" s="115" t="b">
        <f t="shared" ca="1" si="57"/>
        <v>0</v>
      </c>
      <c r="AL78" s="115" t="b">
        <f t="shared" ca="1" si="54"/>
        <v>0</v>
      </c>
      <c r="AM78" s="115">
        <f t="shared" ca="1" si="55"/>
        <v>5</v>
      </c>
      <c r="AN78" s="47">
        <f ca="1">IF(AK78,('模拟-单技能数据'!$D$21+G78*'模拟-单技能数据'!$F$21)*(1+J78)*(1+'模拟-单技能数据'!$J$21)*(1+U78),0)</f>
        <v>0</v>
      </c>
      <c r="AO78" s="61">
        <f ca="1">IF(AN78&gt;0,M78-'模拟-单技能数据'!$K$10,AO77)</f>
        <v>0.42185145527300216</v>
      </c>
      <c r="AP78" s="61">
        <f ca="1">IF(AN78&gt;0,I78-'模拟-单技能数据'!$L$10,AP77)</f>
        <v>2.162482885499879</v>
      </c>
      <c r="AQ78" s="63">
        <f t="shared" ca="1" si="28"/>
        <v>0.27466580517900274</v>
      </c>
      <c r="AR78" s="64">
        <f ca="1">IF(AL78,IF(AQ78&lt;$F$10,0,IF(AQ78&lt;$F$10+$F$11,0.25,IF(AQ78&lt;$F$10+$F$11+AO78,AP78,1)))*IF(AN78&gt;0,AN78,IF(AN77&gt;0,AN77,IF(AN76&gt;0,AN76,IF(AN75&gt;0,AN75,IF(AN74&gt;0,AN74,IF(AN73&gt;0,AN73,IF(AN72&gt;0,AN72,IF(AN71&gt;0,AN71,IF(AN70&gt;0,AN70,IF(AN68&gt;0,AN68,IF(AN67&gt;0,AN67,IF(AN66&gt;0,AN66,0)))))))))))),0)*(1-$S78)*'模拟-单技能数据'!$I$21</f>
        <v>0</v>
      </c>
      <c r="AS78" s="61">
        <f ca="1">IF(OR(C78="净世破魔击·日",C78="净世破魔击·月"),M78-'模拟-单技能数据'!$K$10,0)</f>
        <v>0.42185145527300216</v>
      </c>
      <c r="AT78" s="61">
        <f ca="1">IF(OR(C78="净世破魔击·日",C78="净世破魔击·月"),I78-'模拟-单技能数据'!$L$10,0)</f>
        <v>2.162482885499879</v>
      </c>
      <c r="AU78" s="62">
        <f t="shared" ca="1" si="29"/>
        <v>0.92836443825739068</v>
      </c>
      <c r="AV78" s="64">
        <f ca="1">IF(AS78&gt;0,('模拟-单技能数据'!$D$22+G78*'模拟-单技能数据'!$F$22)*(1+J78)*(1-S78)*IF(AU78&lt;$F$10,0,IF(AU78&lt;$F$10+$F$11,0.25,IF(AU78&lt;$F$10+$F$11+AS78,AT78,1)))*(1+U78),0)*'模拟-单技能数据'!$I$22</f>
        <v>7639.4517521048492</v>
      </c>
      <c r="AW78" s="108">
        <f t="shared" ca="1" si="30"/>
        <v>8.0075000000000074</v>
      </c>
      <c r="AX78" s="108" t="b">
        <f ca="1">AND(模拟模式!$P$10="有",AW77=0,RAND()&lt;IF(C78="净世破魔击·月",0.1*8/3,IF(C78="净世破魔击·日",0.1*4/3,0.1*2/3)))</f>
        <v>0</v>
      </c>
      <c r="AY78" s="47">
        <f ca="1">IF(AX78,(18+G78*0.722)*(1+J78)*(1-S78)*(1+$I$4)*IF(P78="会",'模拟-全程加成'!$J$3+'模拟-全程加成'!$J$4+'模拟-全程加成'!$J$5+('模拟-全程加成'!$I$4+'模拟-全程加成'!$I$5)/系数!$B$4+BG78*10%,IF(P78="命",1,IF(P78="识",0.25,0))),0)</f>
        <v>0</v>
      </c>
      <c r="AZ78" s="108">
        <f t="shared" si="31"/>
        <v>13.542500000000004</v>
      </c>
      <c r="BA78" s="108" t="b">
        <f>AND(模拟模式!$Q$10="有",AZ77=0)</f>
        <v>0</v>
      </c>
      <c r="BB78" s="140">
        <f>IF(BA78,(0+G78*0.287)*(1+J78)*(1-S78)*(1+$I$4)*IF(P78="会",'模拟-全程加成'!$J$3+'模拟-全程加成'!$J$4+'模拟-全程加成'!$J$5+('模拟-全程加成'!$I$4+'模拟-全程加成'!$I$5)/系数!$B$4+BG78*10%,IF(P78="命",1,IF(P78="识",0.25,0))),0)</f>
        <v>0</v>
      </c>
      <c r="BC78" s="115" t="b">
        <f ca="1">AND(模拟模式!$R$7="伏明众生",E78=60,F78=20,DA78&lt;5,CZ77&lt;$F$4)</f>
        <v>0</v>
      </c>
      <c r="BD78" s="115">
        <f t="shared" ca="1" si="58"/>
        <v>0</v>
      </c>
      <c r="BE78" s="115" t="b">
        <f t="shared" ca="1" si="59"/>
        <v>0</v>
      </c>
      <c r="BF78" s="47">
        <f ca="1">IF(BC78,4*('模拟-单技能数据'!$D$24+G78*'模拟-单技能数据'!$F$24)*(1+J78)*(1+'模拟-单技能数据'!$J$24)*(1-S78)*(1+$I$3)*(('模拟-全程加成'!$J$3+'模拟-全程加成'!$J$4+'模拟-全程加成'!$J$5+('模拟-全程加成'!$I$4+'模拟-全程加成'!$I$5)/系数!$B$4+BG78*10%)*('模拟-全程加成'!$J$3+'模拟-全程加成'!$J$4+'模拟-全程加成'!$J$5+('模拟-全程加成'!$I$4+'模拟-全程加成'!$I$5)/系数!$B$4+BG78*10%)+(1-('模拟-全程加成'!$J$3+'模拟-全程加成'!$J$4+'模拟-全程加成'!$J$5+('模拟-全程加成'!$I$4+'模拟-全程加成'!$I$5)/系数!$B$4+BG78*10%)-$F$10-$F$11)+F64*0.25),0)*'模拟-单技能数据'!$I$24</f>
        <v>0</v>
      </c>
      <c r="BG78" s="115" t="b">
        <f ca="1">OR(AND(OR(C78="烈日斩",C78="银月斩"),模拟模式!$I$7="净身明礼"),AND(C78="净世破魔击·日",模拟模式!$J$7="洞若观火"),AND(C79="净世破魔击·月",模拟模式!$J$7="洞若观火"),AB78=1)</f>
        <v>1</v>
      </c>
      <c r="BH78" s="115" t="b">
        <f t="shared" ca="1" si="32"/>
        <v>0</v>
      </c>
      <c r="BI78" s="115">
        <f t="shared" ca="1" si="60"/>
        <v>0</v>
      </c>
      <c r="BJ78" s="115" t="b">
        <f t="shared" ca="1" si="33"/>
        <v>0</v>
      </c>
      <c r="BK78" s="115" t="b">
        <f ca="1">AND(C78="驱夜断愁",模拟模式!$P$7="天地诛戮")</f>
        <v>0</v>
      </c>
      <c r="BL78" s="57">
        <f t="shared" ca="1" si="61"/>
        <v>15.387500000000003</v>
      </c>
      <c r="BM78" s="115" t="b">
        <f t="shared" ca="1" si="34"/>
        <v>1</v>
      </c>
      <c r="BN78" s="115" t="b">
        <f ca="1">AND(OR(C78="赤日轮1",C78="赤日轮2",C78="赤日轮3",C78="幽月轮1",C78="幽月轮2",C78="幽月轮3"),AB78=1,模拟模式!$L$7="明光恒照")</f>
        <v>0</v>
      </c>
      <c r="BO78" s="117">
        <f t="shared" ca="1" si="62"/>
        <v>27.232500000000002</v>
      </c>
      <c r="BP78" s="115">
        <f t="shared" ca="1" si="35"/>
        <v>6</v>
      </c>
      <c r="BQ78" s="115" t="b">
        <f>模拟模式!$K$10="2600·水"</f>
        <v>0</v>
      </c>
      <c r="BR78" s="117">
        <f t="shared" si="36"/>
        <v>0</v>
      </c>
      <c r="BS78" s="115">
        <f t="shared" si="37"/>
        <v>0</v>
      </c>
      <c r="BT78" s="115">
        <f t="shared" ca="1" si="38"/>
        <v>0</v>
      </c>
      <c r="BU78" s="115" t="b">
        <f ca="1">AND(模拟模式!$K$10="2300·雷",BT77=0,RAND()&lt;IF(C78="净世破魔击·月",5*0.05*2/3,IF(C78="净世破魔击·日",3*0.05*2/3,0.05*2*2/3)))</f>
        <v>0</v>
      </c>
      <c r="BV78" s="115">
        <f t="shared" ca="1" si="39"/>
        <v>0</v>
      </c>
      <c r="BW78" s="115">
        <f t="shared" ca="1" si="40"/>
        <v>138.48749999999939</v>
      </c>
      <c r="BX78" s="164" t="b">
        <f t="shared" ca="1" si="41"/>
        <v>0</v>
      </c>
      <c r="BY78" s="115">
        <f t="shared" ca="1" si="42"/>
        <v>0</v>
      </c>
      <c r="BZ78" s="115">
        <f>IF(OR(模拟模式!$P$16="10人团",模拟模式!$P$16="25人团"),IF(B78/30&gt;CA77,1,0),0)</f>
        <v>0</v>
      </c>
      <c r="CA78" s="115">
        <f t="shared" si="8"/>
        <v>0</v>
      </c>
      <c r="CB78" s="115">
        <f ca="1">IF(BZ78=1,IF(模拟模式!$P$16="10人团",15,0)+IF(模拟模式!$P$16="25人团",IF(RAND()&lt;0.6,15,0)),MAX(0,CB77-$F$4))</f>
        <v>0</v>
      </c>
      <c r="CC78" s="115" t="b">
        <f t="shared" ca="1" si="43"/>
        <v>0</v>
      </c>
      <c r="CD78" s="115">
        <f>IF(模拟模式!$Q$16="1个",IF(B78/40&gt;CE77,1,0),0)</f>
        <v>0</v>
      </c>
      <c r="CE78" s="115">
        <f t="shared" si="44"/>
        <v>0</v>
      </c>
      <c r="CF78" s="115">
        <f>IF(OR(CD78=1,模拟模式!$Q$16="2个"),20,MAX(0,CF77-$F$4))</f>
        <v>0</v>
      </c>
      <c r="CG78" s="115" t="b">
        <f t="shared" si="45"/>
        <v>0</v>
      </c>
      <c r="CH78" s="115">
        <f t="shared" ca="1" si="46"/>
        <v>18.007500000000007</v>
      </c>
      <c r="CI78" s="115" t="b">
        <f t="shared" ca="1" si="47"/>
        <v>0</v>
      </c>
      <c r="CJ78" s="119">
        <f t="shared" ca="1" si="48"/>
        <v>0</v>
      </c>
      <c r="CK78" s="115">
        <f t="shared" ca="1" si="49"/>
        <v>0</v>
      </c>
      <c r="CL78" s="115" t="b">
        <f ca="1">AND(模拟模式!$S$7="驱夷逐法",OR(AND(C78="净世破魔击·月",E77&gt;59),AND(C78="净世破魔击·日",F77&gt;59)))</f>
        <v>0</v>
      </c>
      <c r="CM78" s="115" t="b">
        <f ca="1">OR(CL78,AND(C78="净世破魔击·日",CL77,RAND()&lt;模拟模式!$U$23))</f>
        <v>0</v>
      </c>
      <c r="CN78" s="115" t="b">
        <f ca="1">IF(模拟模式!$M$7="辉耀红尘",AND(C78="净世破魔击·月",CL78,CV78=0,E77&lt;80),AND(C78="净世破魔击·月",CL78,E77&lt;100))</f>
        <v>0</v>
      </c>
      <c r="CO78" s="115" t="b">
        <f t="shared" ca="1" si="9"/>
        <v>0</v>
      </c>
      <c r="CP78" s="115" t="b">
        <f ca="1">AND(模拟模式!$O$7="用晦而明",OR(C78="净世破魔击·日",C78="净世破魔击·月",C78="驱夜断愁"),AB78)</f>
        <v>1</v>
      </c>
      <c r="CQ78" s="115" t="b">
        <f ca="1">OR(CP78,AND(CP77,RAND()&lt;模拟模式!$U$23))</f>
        <v>1</v>
      </c>
      <c r="CR78" s="115" t="b">
        <f ca="1">AND(模拟模式!$S$7="日月齐光",OR(C78="幽月轮1",C78="幽月轮2",C78="幽月轮3",CR77),NOT(OR(C78="赤日轮1",C78="赤日轮2",C78="赤日轮3")))</f>
        <v>0</v>
      </c>
      <c r="CS78" s="115" t="b">
        <f ca="1">AND(模拟模式!$S$7="日月齐光",OR(C78="赤日轮1",C78="赤日轮2",C78="赤日轮3",CS77),NOT(OR(C78="幽月轮1",C78="幽月轮2",C78="幽月轮3")))</f>
        <v>0</v>
      </c>
      <c r="CT78" s="115">
        <f t="shared" ca="1" si="50"/>
        <v>0</v>
      </c>
      <c r="CU78" s="115" t="b">
        <f ca="1">AND(模拟模式!$K$10="阴阳往极",CT77=0,RAND()&lt;IF(C78="净世破魔击·月",0.0275*7/3,IF(C78="净世破魔击·日",0.0275*3/3,0.0275*2/3)))</f>
        <v>0</v>
      </c>
      <c r="CV78" s="115">
        <f t="shared" ca="1" si="51"/>
        <v>0</v>
      </c>
      <c r="CW78" s="115">
        <f t="shared" ca="1" si="63"/>
        <v>2.3099999999999996</v>
      </c>
      <c r="CX78" s="115">
        <f t="shared" ca="1" si="64"/>
        <v>0.46499999999999975</v>
      </c>
      <c r="CY78" s="115">
        <f ca="1">MAX(IF($C78="驱夜断愁",IF(模拟模式!$R$7="万念俱寂",6,45),CY77-$F$4),0)</f>
        <v>1.3874999999999997</v>
      </c>
      <c r="CZ78" s="115">
        <f t="shared" ca="1" si="12"/>
        <v>0</v>
      </c>
      <c r="DA78" s="115">
        <f ca="1">IF(模拟模式!$N$7="日月同辉",IF(DB77=2,0,MIN(6,IF(AND(OR(C78="赤日轮1",C78="赤日轮2",C78="赤日轮3",C78="幽月轮1",C78="幽月轮2",C78="幽月轮3"),AB78=1),DA77+1,DA77))),0)</f>
        <v>0</v>
      </c>
      <c r="DB78" s="115">
        <f t="shared" ca="1" si="13"/>
        <v>0</v>
      </c>
      <c r="DD78" s="115"/>
      <c r="DE78" s="115"/>
      <c r="DF78" s="115"/>
      <c r="DG78" s="115"/>
      <c r="DH78" s="115"/>
      <c r="DI78" s="115"/>
      <c r="DJ78" s="115"/>
      <c r="DK78" s="115"/>
      <c r="DL78" s="115"/>
      <c r="DM78" s="115"/>
    </row>
    <row r="79" spans="2:117" x14ac:dyDescent="0.2">
      <c r="B79" s="117">
        <f t="shared" si="65"/>
        <v>47.969999999999978</v>
      </c>
      <c r="C79" s="167" t="str">
        <f t="shared" ca="1" si="0"/>
        <v>银月斩</v>
      </c>
      <c r="D79" s="115">
        <f ca="1">IF(C79="赤日轮1",1,IF(C79="赤日轮2",2,IF(C79="赤日轮3",3,IF(C79="幽月轮1",4,IF(C79="幽月轮2",5,IF(C79="幽月轮3",6,IF(C79="烈日斩",7,IF(C79="银月斩",8,IF(C79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79="净世破魔击·月",17,IF(C79="驱夜断愁",18,0)))))))))))</f>
        <v>8</v>
      </c>
      <c r="E79" s="115">
        <f ca="1">IF(AND(CU79,OR(C79="幽月轮1",C79="幽月轮2",C79="幽月轮3",C79="银月斩",C79="驱夜断愁",C79="净世破魔击·月")),100,MIN(IF(OR(CN79,BE79),0,IF(OR($C79="赤日轮1",$C79="赤日轮2",$C79="赤日轮3"),E78+20+IF(模拟模式!$I$7="日月凌天",4,0)+IF(CR78,20,0),IF($C79="烈日斩",E78+40,IF($C79="驱夜断愁",IF(模拟模式!$R$7="万念俱寂",E78+20,E78+60),IF($C79="净世破魔击·月",IF(OR(DB78&gt;0,CV78&gt;0),100,IF(模拟模式!$M$7="辉耀红尘",E78+20,E78)),IF($C79="净世破魔击·日",E78-100,E78)))))),100))</f>
        <v>20</v>
      </c>
      <c r="F79" s="115">
        <f ca="1">IF(AND(CU79,OR(C79="赤日轮1",C79="赤日轮2",C79="赤日轮3",C79="烈日斩",C79="净世破魔击·日")),100,MIN(IF(CO79,0,IF(OR($C79="幽月轮1",$C79="幽月轮2",$C79="幽月轮3"),F78+20+IF(模拟模式!$I$7="日月凌天",4,0)+IF(CS78,20,0),IF($C79="银月斩",F78+40+IF(模拟模式!$X$12=1,5,0),IF($C79="驱夜断愁",IF(模拟模式!$R$7="万念俱寂",F78+20,F78+60),IF($C79="净世破魔击·月",IF(模拟模式!$M$7="辉耀红尘",F78-80,F78-100),IF(AND(C79="净世破魔击·日",OR(DB78&gt;0,CV78&gt;0)),100,F78)))))),100))</f>
        <v>65</v>
      </c>
      <c r="G79" s="117">
        <f ca="1">('模拟-全程加成'!$E$3+'模拟-全程加成'!$E$4+'模拟-全程加成'!$E$5+('模拟-全程加成'!$C$6-'模拟-全程加成'!$C$3)*系数!$B$9+BS79*23)*(1+'模拟-全程加成'!$F$4+'模拟-全程加成'!$F$5+BJ79*10%+BM79*20%+BP79*4%+CG79*30%)+$F$7*系数!$B$12</f>
        <v>21493.829400000002</v>
      </c>
      <c r="H79" s="45">
        <f ca="1">'模拟-全程加成'!$H$3+'模拟-全程加成'!$H$4+'模拟-全程加成'!$H$5+('模拟-全程加成'!$G$4+'模拟-全程加成'!$G$5+('模拟-全程加成'!$C$6-'模拟-全程加成'!$C$3)*系数!$B$13)/系数!$B$3+LOOKUP(D79,'模拟-单技能数据'!$A$2:$A$19,'模拟-单技能数据'!$K$2:$K$19)+BG79*10%+IF(BV79&gt;0,378,0)</f>
        <v>0.64185145527300214</v>
      </c>
      <c r="I79" s="45">
        <f ca="1">'模拟-全程加成'!$J$3+'模拟-全程加成'!$J$4+'模拟-全程加成'!$J$5+('模拟-全程加成'!$I$4+'模拟-全程加成'!$I$5)/系数!$B$4+LOOKUP(D79,'模拟-单技能数据'!$A$2:$A$19,'模拟-单技能数据'!$L$2:$L$19)+BG79*10%</f>
        <v>2.2624828854998791</v>
      </c>
      <c r="J79" s="45">
        <f ca="1">(('模拟-全程加成'!$K$3+'模拟-全程加成'!$K$4+'模拟-全程加成'!$K$5+('模拟-全程加成'!$C$6-'模拟-全程加成'!$C$3)*系数!$B$10+IF(BV79&gt;0,882,0)+IF(BY79&gt;0,1831,0))*(1+'模拟-全程加成'!$L$4+'模拟-全程加成'!$L$5+CC79*20%))/系数!$B$5</f>
        <v>0.69723220422048726</v>
      </c>
      <c r="K79" s="119">
        <f ca="1">LOOKUP(D79,'模拟-单技能数据'!$A$2:$A$19,'模拟-单技能数据'!$J$2:$J$19)+IF(CM79,60%,0)+IF(DB78-DB79&gt;0,30%,0)+IF(OR(AND(OR(C79="赤日轮1",C79="赤日轮2",C79="赤日轮3"),CR79),AND(OR(C79="幽月轮1",C79="幽月轮2",C79="幽月轮3"),CS79)),35%,0)+CJ79</f>
        <v>0.15</v>
      </c>
      <c r="L79" s="119">
        <f ca="1">IF(AND(C79="烈日斩",模拟模式!$X$11=1),10%,0)+IF(AND(C79="驱夜断愁",AB79=1),30%,0)</f>
        <v>0</v>
      </c>
      <c r="M79" s="45">
        <f t="shared" ca="1" si="15"/>
        <v>0.64185145527300214</v>
      </c>
      <c r="N79" s="45">
        <f t="shared" ca="1" si="16"/>
        <v>0.30424854472699792</v>
      </c>
      <c r="O79" s="46">
        <f t="shared" ca="1" si="17"/>
        <v>0.71326110565695544</v>
      </c>
      <c r="P79" s="46" t="str">
        <f t="shared" ca="1" si="18"/>
        <v>命</v>
      </c>
      <c r="Q79" s="45">
        <f t="shared" ca="1" si="19"/>
        <v>1</v>
      </c>
      <c r="R79" s="117">
        <f ca="1">模拟模式!$E$20*(1-IF(模拟模式!$J$19="有",0.15,0))*(1-IF(模拟模式!$K$19="有",0.3,0)-IF(CQ79,0.5,0))</f>
        <v>843.02999999999975</v>
      </c>
      <c r="S79" s="45">
        <f ca="1">R79/(R79+(185*模拟模式!$E$22-16800)*4.08224)</f>
        <v>8.389626085980037E-2</v>
      </c>
      <c r="T79" s="45" t="str">
        <f ca="1">LOOKUP(D79,'模拟-单技能数据'!$A$2:$A$19,'模拟-单技能数据'!$H$2:$H$19)</f>
        <v>阴</v>
      </c>
      <c r="U79" s="119">
        <f t="shared" ca="1" si="20"/>
        <v>0.08</v>
      </c>
      <c r="V79" s="47">
        <f ca="1">(1+L79)*(LOOKUP(D79,'模拟-单技能数据'!$A$2:$A$19,'模拟-单技能数据'!$D$2:$D$19)+G79*LOOKUP(D79,'模拟-单技能数据'!$A$2:$A$19,'模拟-单技能数据'!$F$2:$F$19))*(1+J79)*(1+K79)*(1-S79)*(1+U79)*Q79*LOOKUP(D79,'模拟-单技能数据'!$A$2:$A$19,'模拟-单技能数据'!$I$2:$I$20)</f>
        <v>22035.73563947</v>
      </c>
      <c r="W79" s="47">
        <f ca="1">LOOKUP(D79,'模拟-单技能数据'!$A$2:$A$19,'模拟-单技能数据'!$G$2:$G$19)*$I$10</f>
        <v>361.51064354704795</v>
      </c>
      <c r="X79" s="47">
        <f t="shared" ca="1" si="21"/>
        <v>15368.841844474431</v>
      </c>
      <c r="Y79" s="47">
        <f t="shared" ca="1" si="22"/>
        <v>37766.088127491479</v>
      </c>
      <c r="Z79" s="49">
        <f t="shared" ca="1" si="23"/>
        <v>5256231.6627728846</v>
      </c>
      <c r="AA79" s="97">
        <f t="shared" ca="1" si="24"/>
        <v>109573.30962628491</v>
      </c>
      <c r="AB79" s="115">
        <f ca="1">IF(OR(C79="赤日轮1",C79="赤日轮2",C79="赤日轮3"),IF(RAND()&lt;模拟模式!$Y$17,1,0),IF(OR(C79="幽月轮1",C79="幽月轮2",C79="幽月轮3"),IF(RAND()&lt;模拟模式!$Y$18,1,0),IF(C79="烈日斩",IF(RAND()&lt;模拟模式!$Y$19,1,0),IF(C79="银月斩",IF(RAND()&lt;模拟模式!$Y$20,1,0),IF(C79="驱夜断愁",IF(RAND()&lt;模拟模式!$Y$21,1,0),IF(C79="净世破魔击·日",IF(RAND()&lt;模拟模式!$Y$22,1,0),IF(C79="净世破魔击·月",IF(RAND()&lt;模拟模式!$Y$23,1,0),0)))))))</f>
        <v>1</v>
      </c>
      <c r="AC79" s="115" t="b">
        <f t="shared" ca="1" si="56"/>
        <v>1</v>
      </c>
      <c r="AD79" s="115" t="b">
        <f t="shared" ca="1" si="52"/>
        <v>1</v>
      </c>
      <c r="AE79" s="115">
        <f t="shared" ca="1" si="53"/>
        <v>5</v>
      </c>
      <c r="AF79" s="47">
        <f ca="1">IF(AC79,('模拟-单技能数据'!$D$20+G79*'模拟-单技能数据'!$F$20)*(1+J79)*(1+'模拟-单技能数据'!$J$20)*(1+U79),0)</f>
        <v>4639.7456468263617</v>
      </c>
      <c r="AG79" s="61">
        <f t="shared" ca="1" si="25"/>
        <v>0.64185145527300214</v>
      </c>
      <c r="AH79" s="61">
        <f t="shared" ca="1" si="26"/>
        <v>2.2624828854998791</v>
      </c>
      <c r="AI79" s="62">
        <f t="shared" ca="1" si="27"/>
        <v>0.84697327165956304</v>
      </c>
      <c r="AJ79" s="47">
        <f ca="1">IF(AD79,IF(AI79&lt;$F$10,0,IF(AI79&lt;$F$10+$F$11,0.25,IF(AI79&lt;$F$10+$F$11+AG79,AH79,1)))*IF(AF79&gt;0,AF79,IF(AF78&gt;0,AF78,IF(AF77&gt;0,AF77,IF(AF76&gt;0,AF76,IF(AF75&gt;0,AF75,IF(AF74&gt;0,AF74,IF(AF73&gt;0,AF73,IF(AF72&gt;0,AF72,IF(AF71&gt;0,AF71,IF(AF69&gt;0,AF69,IF(AF68&gt;0,AF68,IF(AF67&gt;0,AF67,0)))))))))))),0)*(1-$S79)*'模拟-单技能数据'!$I$20</f>
        <v>4250.4883357170938</v>
      </c>
      <c r="AK79" s="115" t="b">
        <f t="shared" ca="1" si="57"/>
        <v>0</v>
      </c>
      <c r="AL79" s="115" t="b">
        <f t="shared" ca="1" si="54"/>
        <v>1</v>
      </c>
      <c r="AM79" s="115">
        <f t="shared" ca="1" si="55"/>
        <v>4</v>
      </c>
      <c r="AN79" s="47">
        <f ca="1">IF(AK79,('模拟-单技能数据'!$D$21+G79*'模拟-单技能数据'!$F$21)*(1+J79)*(1+'模拟-单技能数据'!$J$21)*(1+U79),0)</f>
        <v>0</v>
      </c>
      <c r="AO79" s="61">
        <f ca="1">IF(AN79&gt;0,M79-'模拟-单技能数据'!$K$10,AO78)</f>
        <v>0.42185145527300216</v>
      </c>
      <c r="AP79" s="61">
        <f ca="1">IF(AN79&gt;0,I79-'模拟-单技能数据'!$L$10,AP78)</f>
        <v>2.162482885499879</v>
      </c>
      <c r="AQ79" s="63">
        <f t="shared" ca="1" si="28"/>
        <v>0.69703437599525098</v>
      </c>
      <c r="AR79" s="64">
        <f ca="1">IF(AL79,IF(AQ79&lt;$F$10,0,IF(AQ79&lt;$F$10+$F$11,0.25,IF(AQ79&lt;$F$10+$F$11+AO79,AP79,1)))*IF(AN79&gt;0,AN79,IF(AN78&gt;0,AN78,IF(AN77&gt;0,AN77,IF(AN76&gt;0,AN76,IF(AN75&gt;0,AN75,IF(AN74&gt;0,AN74,IF(AN73&gt;0,AN73,IF(AN72&gt;0,AN72,IF(AN71&gt;0,AN71,IF(AN69&gt;0,AN69,IF(AN68&gt;0,AN68,IF(AN67&gt;0,AN67,0)))))))))))),0)*(1-$S79)*'模拟-单技能数据'!$I$21</f>
        <v>11118.353508757338</v>
      </c>
      <c r="AS79" s="61">
        <f ca="1">IF(OR(C79="净世破魔击·日",C79="净世破魔击·月"),M79-'模拟-单技能数据'!$K$10,0)</f>
        <v>0</v>
      </c>
      <c r="AT79" s="61">
        <f ca="1">IF(OR(C79="净世破魔击·日",C79="净世破魔击·月"),I79-'模拟-单技能数据'!$L$10,0)</f>
        <v>0</v>
      </c>
      <c r="AU79" s="62">
        <f t="shared" ca="1" si="29"/>
        <v>0.69859674098091828</v>
      </c>
      <c r="AV79" s="64">
        <f ca="1">IF(AS79&gt;0,('模拟-单技能数据'!$D$22+G79*'模拟-单技能数据'!$F$22)*(1+J79)*(1-S79)*IF(AU79&lt;$F$10,0,IF(AU79&lt;$F$10+$F$11,0.25,IF(AU79&lt;$F$10+$F$11+AS79,AT79,1)))*(1+U79),0)*'模拟-单技能数据'!$I$22</f>
        <v>0</v>
      </c>
      <c r="AW79" s="108">
        <f t="shared" ca="1" si="30"/>
        <v>7.0850000000000071</v>
      </c>
      <c r="AX79" s="108" t="b">
        <f ca="1">AND(模拟模式!$P$10="有",AW78=0,RAND()&lt;IF(C79="净世破魔击·月",0.1*8/3,IF(C79="净世破魔击·日",0.1*4/3,0.1*2/3)))</f>
        <v>0</v>
      </c>
      <c r="AY79" s="47">
        <f ca="1">IF(AX79,(18+G79*0.722)*(1+J79)*(1-S79)*(1+$I$4)*IF(P79="会",'模拟-全程加成'!$J$3+'模拟-全程加成'!$J$4+'模拟-全程加成'!$J$5+('模拟-全程加成'!$I$4+'模拟-全程加成'!$I$5)/系数!$B$4+BG79*10%,IF(P79="命",1,IF(P79="识",0.25,0))),0)</f>
        <v>0</v>
      </c>
      <c r="AZ79" s="108">
        <f t="shared" si="31"/>
        <v>12.620000000000005</v>
      </c>
      <c r="BA79" s="108" t="b">
        <f>AND(模拟模式!$Q$10="有",AZ78=0)</f>
        <v>0</v>
      </c>
      <c r="BB79" s="140">
        <f>IF(BA79,(0+G79*0.287)*(1+J79)*(1-S79)*(1+$I$4)*IF(P79="会",'模拟-全程加成'!$J$3+'模拟-全程加成'!$J$4+'模拟-全程加成'!$J$5+('模拟-全程加成'!$I$4+'模拟-全程加成'!$I$5)/系数!$B$4+BG79*10%,IF(P79="命",1,IF(P79="识",0.25,0))),0)</f>
        <v>0</v>
      </c>
      <c r="BC79" s="115" t="b">
        <f ca="1">AND(模拟模式!$R$7="伏明众生",E79=60,F79=20,DA79&lt;5,CZ78&lt;$F$4)</f>
        <v>0</v>
      </c>
      <c r="BD79" s="115">
        <f t="shared" ca="1" si="58"/>
        <v>0</v>
      </c>
      <c r="BE79" s="115" t="b">
        <f t="shared" ca="1" si="59"/>
        <v>0</v>
      </c>
      <c r="BF79" s="47">
        <f ca="1">IF(BC79,4*('模拟-单技能数据'!$D$24+G79*'模拟-单技能数据'!$F$24)*(1+J79)*(1+'模拟-单技能数据'!$J$24)*(1-S79)*(1+$I$3)*(('模拟-全程加成'!$J$3+'模拟-全程加成'!$J$4+'模拟-全程加成'!$J$5+('模拟-全程加成'!$I$4+'模拟-全程加成'!$I$5)/系数!$B$4+BG79*10%)*('模拟-全程加成'!$J$3+'模拟-全程加成'!$J$4+'模拟-全程加成'!$J$5+('模拟-全程加成'!$I$4+'模拟-全程加成'!$I$5)/系数!$B$4+BG79*10%)+(1-('模拟-全程加成'!$J$3+'模拟-全程加成'!$J$4+'模拟-全程加成'!$J$5+('模拟-全程加成'!$I$4+'模拟-全程加成'!$I$5)/系数!$B$4+BG79*10%)-$F$10-$F$11)+F65*0.25),0)*'模拟-单技能数据'!$I$24</f>
        <v>0</v>
      </c>
      <c r="BG79" s="115" t="b">
        <f ca="1">OR(AND(OR(C79="烈日斩",C79="银月斩"),模拟模式!$I$7="净身明礼"),AND(C79="净世破魔击·日",模拟模式!$J$7="洞若观火"),AND(C80="净世破魔击·月",模拟模式!$J$7="洞若观火"),AB79=1)</f>
        <v>1</v>
      </c>
      <c r="BH79" s="115" t="b">
        <f t="shared" ca="1" si="32"/>
        <v>1</v>
      </c>
      <c r="BI79" s="115">
        <f t="shared" ca="1" si="60"/>
        <v>6</v>
      </c>
      <c r="BJ79" s="115" t="b">
        <f t="shared" ca="1" si="33"/>
        <v>1</v>
      </c>
      <c r="BK79" s="115" t="b">
        <f ca="1">AND(C79="驱夜断愁",模拟模式!$P$7="天地诛戮")</f>
        <v>0</v>
      </c>
      <c r="BL79" s="57">
        <f t="shared" ca="1" si="61"/>
        <v>14.465000000000003</v>
      </c>
      <c r="BM79" s="115" t="b">
        <f t="shared" ca="1" si="34"/>
        <v>1</v>
      </c>
      <c r="BN79" s="115" t="b">
        <f ca="1">AND(OR(C79="赤日轮1",C79="赤日轮2",C79="赤日轮3",C79="幽月轮1",C79="幽月轮2",C79="幽月轮3"),AB79=1,模拟模式!$L$7="明光恒照")</f>
        <v>0</v>
      </c>
      <c r="BO79" s="117">
        <f t="shared" ca="1" si="62"/>
        <v>26.310000000000002</v>
      </c>
      <c r="BP79" s="115">
        <f t="shared" ca="1" si="35"/>
        <v>6</v>
      </c>
      <c r="BQ79" s="115" t="b">
        <f>模拟模式!$K$10="2600·水"</f>
        <v>0</v>
      </c>
      <c r="BR79" s="117">
        <f t="shared" si="36"/>
        <v>0</v>
      </c>
      <c r="BS79" s="115">
        <f t="shared" si="37"/>
        <v>0</v>
      </c>
      <c r="BT79" s="115">
        <f t="shared" ca="1" si="38"/>
        <v>0</v>
      </c>
      <c r="BU79" s="115" t="b">
        <f ca="1">AND(模拟模式!$K$10="2300·雷",BT78=0,RAND()&lt;IF(C79="净世破魔击·月",5*0.05*2/3,IF(C79="净世破魔击·日",3*0.05*2/3,0.05*2*2/3)))</f>
        <v>0</v>
      </c>
      <c r="BV79" s="115">
        <f t="shared" ca="1" si="39"/>
        <v>0</v>
      </c>
      <c r="BW79" s="115">
        <f t="shared" ca="1" si="40"/>
        <v>137.56499999999937</v>
      </c>
      <c r="BX79" s="164" t="b">
        <f t="shared" ca="1" si="41"/>
        <v>0</v>
      </c>
      <c r="BY79" s="115">
        <f t="shared" ca="1" si="42"/>
        <v>0</v>
      </c>
      <c r="BZ79" s="115">
        <f>IF(OR(模拟模式!$P$16="10人团",模拟模式!$P$16="25人团"),IF(B79/30&gt;CA78,1,0),0)</f>
        <v>0</v>
      </c>
      <c r="CA79" s="115">
        <f t="shared" si="8"/>
        <v>0</v>
      </c>
      <c r="CB79" s="115">
        <f ca="1">IF(BZ79=1,IF(模拟模式!$P$16="10人团",15,0)+IF(模拟模式!$P$16="25人团",IF(RAND()&lt;0.6,15,0)),MAX(0,CB78-$F$4))</f>
        <v>0</v>
      </c>
      <c r="CC79" s="115" t="b">
        <f t="shared" ca="1" si="43"/>
        <v>0</v>
      </c>
      <c r="CD79" s="115">
        <f>IF(模拟模式!$Q$16="1个",IF(B79/40&gt;CE78,1,0),0)</f>
        <v>0</v>
      </c>
      <c r="CE79" s="115">
        <f t="shared" si="44"/>
        <v>0</v>
      </c>
      <c r="CF79" s="115">
        <f>IF(OR(CD79=1,模拟模式!$Q$16="2个"),20,MAX(0,CF78-$F$4))</f>
        <v>0</v>
      </c>
      <c r="CG79" s="115" t="b">
        <f t="shared" si="45"/>
        <v>0</v>
      </c>
      <c r="CH79" s="115">
        <f t="shared" ca="1" si="46"/>
        <v>17.085000000000008</v>
      </c>
      <c r="CI79" s="115" t="b">
        <f t="shared" ca="1" si="47"/>
        <v>0</v>
      </c>
      <c r="CJ79" s="119">
        <f t="shared" ca="1" si="48"/>
        <v>0</v>
      </c>
      <c r="CK79" s="115">
        <f t="shared" ca="1" si="49"/>
        <v>0</v>
      </c>
      <c r="CL79" s="115" t="b">
        <f ca="1">AND(模拟模式!$S$7="驱夷逐法",OR(AND(C79="净世破魔击·月",E78&gt;59),AND(C79="净世破魔击·日",F78&gt;59)))</f>
        <v>0</v>
      </c>
      <c r="CM79" s="115" t="b">
        <f ca="1">OR(CL79,AND(C79="净世破魔击·日",CL78,RAND()&lt;模拟模式!$U$23))</f>
        <v>0</v>
      </c>
      <c r="CN79" s="115" t="b">
        <f ca="1">IF(模拟模式!$M$7="辉耀红尘",AND(C79="净世破魔击·月",CL79,CV79=0,E78&lt;80),AND(C79="净世破魔击·月",CL79,E78&lt;100))</f>
        <v>0</v>
      </c>
      <c r="CO79" s="115" t="b">
        <f t="shared" ca="1" si="9"/>
        <v>0</v>
      </c>
      <c r="CP79" s="115" t="b">
        <f ca="1">AND(模拟模式!$O$7="用晦而明",OR(C79="净世破魔击·日",C79="净世破魔击·月",C79="驱夜断愁"),AB79)</f>
        <v>0</v>
      </c>
      <c r="CQ79" s="115" t="b">
        <f ca="1">OR(CP79,AND(CP78,RAND()&lt;模拟模式!$U$23))</f>
        <v>1</v>
      </c>
      <c r="CR79" s="115" t="b">
        <f ca="1">AND(模拟模式!$S$7="日月齐光",OR(C79="幽月轮1",C79="幽月轮2",C79="幽月轮3",CR78),NOT(OR(C79="赤日轮1",C79="赤日轮2",C79="赤日轮3")))</f>
        <v>0</v>
      </c>
      <c r="CS79" s="115" t="b">
        <f ca="1">AND(模拟模式!$S$7="日月齐光",OR(C79="赤日轮1",C79="赤日轮2",C79="赤日轮3",CS78),NOT(OR(C79="幽月轮1",C79="幽月轮2",C79="幽月轮3")))</f>
        <v>0</v>
      </c>
      <c r="CT79" s="115">
        <f t="shared" ca="1" si="50"/>
        <v>0</v>
      </c>
      <c r="CU79" s="115" t="b">
        <f ca="1">AND(模拟模式!$K$10="阴阳往极",CT78=0,RAND()&lt;IF(C79="净世破魔击·月",0.0275*7/3,IF(C79="净世破魔击·日",0.0275*3/3,0.0275*2/3)))</f>
        <v>0</v>
      </c>
      <c r="CV79" s="115">
        <f t="shared" ca="1" si="51"/>
        <v>0</v>
      </c>
      <c r="CW79" s="115">
        <f t="shared" ca="1" si="63"/>
        <v>1.3874999999999997</v>
      </c>
      <c r="CX79" s="115">
        <f t="shared" ca="1" si="64"/>
        <v>6</v>
      </c>
      <c r="CY79" s="115">
        <f ca="1">MAX(IF($C79="驱夜断愁",IF(模拟模式!$R$7="万念俱寂",6,45),CY78-$F$4),0)</f>
        <v>0.46499999999999975</v>
      </c>
      <c r="CZ79" s="115">
        <f t="shared" ca="1" si="12"/>
        <v>0</v>
      </c>
      <c r="DA79" s="115">
        <f ca="1">IF(模拟模式!$N$7="日月同辉",IF(DB78=2,0,MIN(6,IF(AND(OR(C79="赤日轮1",C79="赤日轮2",C79="赤日轮3",C79="幽月轮1",C79="幽月轮2",C79="幽月轮3"),AB79=1),DA78+1,DA78))),0)</f>
        <v>0</v>
      </c>
      <c r="DB79" s="115">
        <f t="shared" ca="1" si="13"/>
        <v>0</v>
      </c>
      <c r="DD79" s="115"/>
      <c r="DE79" s="115"/>
      <c r="DF79" s="115"/>
      <c r="DG79" s="115"/>
      <c r="DH79" s="115"/>
      <c r="DI79" s="115"/>
      <c r="DJ79" s="115"/>
      <c r="DK79" s="115"/>
      <c r="DL79" s="115"/>
      <c r="DM79" s="115"/>
    </row>
    <row r="80" spans="2:117" x14ac:dyDescent="0.2">
      <c r="B80" s="117">
        <f t="shared" si="65"/>
        <v>48.892499999999977</v>
      </c>
      <c r="C80" s="167" t="str">
        <f t="shared" ca="1" si="0"/>
        <v>驱夜断愁</v>
      </c>
      <c r="D80" s="115">
        <f ca="1">IF(C80="赤日轮1",1,IF(C80="赤日轮2",2,IF(C80="赤日轮3",3,IF(C80="幽月轮1",4,IF(C80="幽月轮2",5,IF(C80="幽月轮3",6,IF(C80="烈日斩",7,IF(C80="银月斩",8,IF(C80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80="净世破魔击·月",17,IF(C80="驱夜断愁",18,0)))))))))))</f>
        <v>18</v>
      </c>
      <c r="E80" s="115">
        <f ca="1">IF(AND(CU80,OR(C80="幽月轮1",C80="幽月轮2",C80="幽月轮3",C80="银月斩",C80="驱夜断愁",C80="净世破魔击·月")),100,MIN(IF(OR(CN80,BE80),0,IF(OR($C80="赤日轮1",$C80="赤日轮2",$C80="赤日轮3"),E79+20+IF(模拟模式!$I$7="日月凌天",4,0)+IF(CR79,20,0),IF($C80="烈日斩",E79+40,IF($C80="驱夜断愁",IF(模拟模式!$R$7="万念俱寂",E79+20,E79+60),IF($C80="净世破魔击·月",IF(OR(DB79&gt;0,CV79&gt;0),100,IF(模拟模式!$M$7="辉耀红尘",E79+20,E79)),IF($C80="净世破魔击·日",E79-100,E79)))))),100))</f>
        <v>40</v>
      </c>
      <c r="F80" s="115">
        <f ca="1">IF(AND(CU80,OR(C80="赤日轮1",C80="赤日轮2",C80="赤日轮3",C80="烈日斩",C80="净世破魔击·日")),100,MIN(IF(CO80,0,IF(OR($C80="幽月轮1",$C80="幽月轮2",$C80="幽月轮3"),F79+20+IF(模拟模式!$I$7="日月凌天",4,0)+IF(CS79,20,0),IF($C80="银月斩",F79+40+IF(模拟模式!$X$12=1,5,0),IF($C80="驱夜断愁",IF(模拟模式!$R$7="万念俱寂",F79+20,F79+60),IF($C80="净世破魔击·月",IF(模拟模式!$M$7="辉耀红尘",F79-80,F79-100),IF(AND(C80="净世破魔击·日",OR(DB79&gt;0,CV79&gt;0)),100,F79)))))),100))</f>
        <v>85</v>
      </c>
      <c r="G80" s="117">
        <f ca="1">('模拟-全程加成'!$E$3+'模拟-全程加成'!$E$4+'模拟-全程加成'!$E$5+('模拟-全程加成'!$C$6-'模拟-全程加成'!$C$3)*系数!$B$9+BS80*23)*(1+'模拟-全程加成'!$F$4+'模拟-全程加成'!$F$5+BJ80*10%+BM80*20%+BP80*4%+CG80*30%)+$F$7*系数!$B$12</f>
        <v>21493.829400000002</v>
      </c>
      <c r="H80" s="45">
        <f ca="1">'模拟-全程加成'!$H$3+'模拟-全程加成'!$H$4+'模拟-全程加成'!$H$5+('模拟-全程加成'!$G$4+'模拟-全程加成'!$G$5+('模拟-全程加成'!$C$6-'模拟-全程加成'!$C$3)*系数!$B$13)/系数!$B$3+LOOKUP(D80,'模拟-单技能数据'!$A$2:$A$19,'模拟-单技能数据'!$K$2:$K$19)+BG80*10%+IF(BV80&gt;0,378,0)</f>
        <v>0.51185145527300213</v>
      </c>
      <c r="I80" s="45">
        <f ca="1">'模拟-全程加成'!$J$3+'模拟-全程加成'!$J$4+'模拟-全程加成'!$J$5+('模拟-全程加成'!$I$4+'模拟-全程加成'!$I$5)/系数!$B$4+LOOKUP(D80,'模拟-单技能数据'!$A$2:$A$19,'模拟-单技能数据'!$L$2:$L$19)+BG80*10%</f>
        <v>2.162482885499879</v>
      </c>
      <c r="J80" s="45">
        <f ca="1">(('模拟-全程加成'!$K$3+'模拟-全程加成'!$K$4+'模拟-全程加成'!$K$5+('模拟-全程加成'!$C$6-'模拟-全程加成'!$C$3)*系数!$B$10+IF(BV80&gt;0,882,0)+IF(BY80&gt;0,1831,0))*(1+'模拟-全程加成'!$L$4+'模拟-全程加成'!$L$5+CC80*20%))/系数!$B$5</f>
        <v>0.69723220422048726</v>
      </c>
      <c r="K80" s="119">
        <f ca="1">LOOKUP(D80,'模拟-单技能数据'!$A$2:$A$19,'模拟-单技能数据'!$J$2:$J$19)+IF(CM80,60%,0)+IF(DB79-DB80&gt;0,30%,0)+IF(OR(AND(OR(C80="赤日轮1",C80="赤日轮2",C80="赤日轮3"),CR80),AND(OR(C80="幽月轮1",C80="幽月轮2",C80="幽月轮3"),CS80)),35%,0)+CJ80</f>
        <v>0.14000000000000001</v>
      </c>
      <c r="L80" s="119">
        <f ca="1">IF(AND(C80="烈日斩",模拟模式!$X$11=1),10%,0)+IF(AND(C80="驱夜断愁",AB80=1),30%,0)</f>
        <v>0.3</v>
      </c>
      <c r="M80" s="45">
        <f t="shared" ca="1" si="15"/>
        <v>0.51185145527300213</v>
      </c>
      <c r="N80" s="45">
        <f t="shared" ca="1" si="16"/>
        <v>0.43424854472699792</v>
      </c>
      <c r="O80" s="46">
        <f t="shared" ca="1" si="17"/>
        <v>3.9195690816207551E-2</v>
      </c>
      <c r="P80" s="46" t="str">
        <f t="shared" ca="1" si="18"/>
        <v>识</v>
      </c>
      <c r="Q80" s="45">
        <f t="shared" ca="1" si="19"/>
        <v>0.25</v>
      </c>
      <c r="R80" s="117">
        <f ca="1">模拟模式!$E$20*(1-IF(模拟模式!$J$19="有",0.15,0))*(1-IF(模拟模式!$K$19="有",0.3,0)-IF(CQ80,0.5,0))</f>
        <v>843.02999999999975</v>
      </c>
      <c r="S80" s="45">
        <f ca="1">R80/(R80+(185*模拟模式!$E$22-16800)*4.08224)</f>
        <v>8.389626085980037E-2</v>
      </c>
      <c r="T80" s="45" t="str">
        <f ca="1">LOOKUP(D80,'模拟-单技能数据'!$A$2:$A$19,'模拟-单技能数据'!$H$2:$H$19)</f>
        <v>阴</v>
      </c>
      <c r="U80" s="119">
        <f t="shared" ca="1" si="20"/>
        <v>0.08</v>
      </c>
      <c r="V80" s="47">
        <f ca="1">(1+L80)*(LOOKUP(D80,'模拟-单技能数据'!$A$2:$A$19,'模拟-单技能数据'!$D$2:$D$19)+G80*LOOKUP(D80,'模拟-单技能数据'!$A$2:$A$19,'模拟-单技能数据'!$F$2:$F$19))*(1+J80)*(1+K80)*(1-S80)*(1+U80)*Q80*LOOKUP(D80,'模拟-单技能数据'!$A$2:$A$19,'模拟-单技能数据'!$I$2:$I$20)</f>
        <v>15385.018372398006</v>
      </c>
      <c r="W80" s="47">
        <f ca="1">LOOKUP(D80,'模拟-单技能数据'!$A$2:$A$19,'模拟-单技能数据'!$G$2:$G$19)*$I$10</f>
        <v>723.0212870940959</v>
      </c>
      <c r="X80" s="47">
        <f t="shared" ca="1" si="21"/>
        <v>0</v>
      </c>
      <c r="Y80" s="47">
        <f t="shared" ca="1" si="22"/>
        <v>16108.039659492102</v>
      </c>
      <c r="Z80" s="49">
        <f t="shared" ca="1" si="23"/>
        <v>5272339.7024323763</v>
      </c>
      <c r="AA80" s="97">
        <f t="shared" ca="1" si="24"/>
        <v>107835.34698435095</v>
      </c>
      <c r="AB80" s="115">
        <f ca="1">IF(OR(C80="赤日轮1",C80="赤日轮2",C80="赤日轮3"),IF(RAND()&lt;模拟模式!$Y$17,1,0),IF(OR(C80="幽月轮1",C80="幽月轮2",C80="幽月轮3"),IF(RAND()&lt;模拟模式!$Y$18,1,0),IF(C80="烈日斩",IF(RAND()&lt;模拟模式!$Y$19,1,0),IF(C80="银月斩",IF(RAND()&lt;模拟模式!$Y$20,1,0),IF(C80="驱夜断愁",IF(RAND()&lt;模拟模式!$Y$21,1,0),IF(C80="净世破魔击·日",IF(RAND()&lt;模拟模式!$Y$22,1,0),IF(C80="净世破魔击·月",IF(RAND()&lt;模拟模式!$Y$23,1,0),0)))))))</f>
        <v>1</v>
      </c>
      <c r="AC80" s="115" t="b">
        <f t="shared" ca="1" si="56"/>
        <v>0</v>
      </c>
      <c r="AD80" s="115" t="b">
        <f t="shared" ca="1" si="52"/>
        <v>0</v>
      </c>
      <c r="AE80" s="115">
        <f t="shared" ca="1" si="53"/>
        <v>5</v>
      </c>
      <c r="AF80" s="47">
        <f ca="1">IF(AC80,('模拟-单技能数据'!$D$20+G80*'模拟-单技能数据'!$F$20)*(1+J80)*(1+'模拟-单技能数据'!$J$20)*(1+U80),0)</f>
        <v>0</v>
      </c>
      <c r="AG80" s="61">
        <f t="shared" ca="1" si="25"/>
        <v>0.64185145527300214</v>
      </c>
      <c r="AH80" s="61">
        <f t="shared" ca="1" si="26"/>
        <v>2.2624828854998791</v>
      </c>
      <c r="AI80" s="62">
        <f t="shared" ca="1" si="27"/>
        <v>0.78935797837443966</v>
      </c>
      <c r="AJ80" s="47">
        <f ca="1">IF(AD80,IF(AI80&lt;$F$10,0,IF(AI80&lt;$F$10+$F$11,0.25,IF(AI80&lt;$F$10+$F$11+AG80,AH80,1)))*IF(AF80&gt;0,AF80,IF(AF79&gt;0,AF79,IF(AF78&gt;0,AF78,IF(AF77&gt;0,AF77,IF(AF76&gt;0,AF76,IF(AF75&gt;0,AF75,IF(AF74&gt;0,AF74,IF(AF73&gt;0,AF73,IF(AF72&gt;0,AF72,IF(AF70&gt;0,AF70,IF(AF69&gt;0,AF69,IF(AF68&gt;0,AF68,0)))))))))))),0)*(1-$S80)*'模拟-单技能数据'!$I$20</f>
        <v>0</v>
      </c>
      <c r="AK80" s="115" t="b">
        <f t="shared" ca="1" si="57"/>
        <v>0</v>
      </c>
      <c r="AL80" s="115" t="b">
        <f t="shared" ca="1" si="54"/>
        <v>0</v>
      </c>
      <c r="AM80" s="115">
        <f t="shared" ca="1" si="55"/>
        <v>4</v>
      </c>
      <c r="AN80" s="47">
        <f ca="1">IF(AK80,('模拟-单技能数据'!$D$21+G80*'模拟-单技能数据'!$F$21)*(1+J80)*(1+'模拟-单技能数据'!$J$21)*(1+U80),0)</f>
        <v>0</v>
      </c>
      <c r="AO80" s="61">
        <f ca="1">IF(AN80&gt;0,M80-'模拟-单技能数据'!$K$10,AO79)</f>
        <v>0.42185145527300216</v>
      </c>
      <c r="AP80" s="61">
        <f ca="1">IF(AN80&gt;0,I80-'模拟-单技能数据'!$L$10,AP79)</f>
        <v>2.162482885499879</v>
      </c>
      <c r="AQ80" s="63">
        <f t="shared" ca="1" si="28"/>
        <v>0.16847915090793042</v>
      </c>
      <c r="AR80" s="64">
        <f ca="1">IF(AL80,IF(AQ80&lt;$F$10,0,IF(AQ80&lt;$F$10+$F$11,0.25,IF(AQ80&lt;$F$10+$F$11+AO80,AP80,1)))*IF(AN80&gt;0,AN80,IF(AN79&gt;0,AN79,IF(AN78&gt;0,AN78,IF(AN77&gt;0,AN77,IF(AN76&gt;0,AN76,IF(AN75&gt;0,AN75,IF(AN74&gt;0,AN74,IF(AN73&gt;0,AN73,IF(AN72&gt;0,AN72,IF(AN70&gt;0,AN70,IF(AN69&gt;0,AN69,IF(AN68&gt;0,AN68,0)))))))))))),0)*(1-$S80)*'模拟-单技能数据'!$I$21</f>
        <v>0</v>
      </c>
      <c r="AS80" s="61">
        <f ca="1">IF(OR(C80="净世破魔击·日",C80="净世破魔击·月"),M80-'模拟-单技能数据'!$K$10,0)</f>
        <v>0</v>
      </c>
      <c r="AT80" s="61">
        <f ca="1">IF(OR(C80="净世破魔击·日",C80="净世破魔击·月"),I80-'模拟-单技能数据'!$L$10,0)</f>
        <v>0</v>
      </c>
      <c r="AU80" s="62">
        <f t="shared" ca="1" si="29"/>
        <v>0.94709242533729554</v>
      </c>
      <c r="AV80" s="64">
        <f ca="1">IF(AS80&gt;0,('模拟-单技能数据'!$D$22+G80*'模拟-单技能数据'!$F$22)*(1+J80)*(1-S80)*IF(AU80&lt;$F$10,0,IF(AU80&lt;$F$10+$F$11,0.25,IF(AU80&lt;$F$10+$F$11+AS80,AT80,1)))*(1+U80),0)*'模拟-单技能数据'!$I$22</f>
        <v>0</v>
      </c>
      <c r="AW80" s="108">
        <f t="shared" ca="1" si="30"/>
        <v>6.1625000000000068</v>
      </c>
      <c r="AX80" s="108" t="b">
        <f ca="1">AND(模拟模式!$P$10="有",AW79=0,RAND()&lt;IF(C80="净世破魔击·月",0.1*8/3,IF(C80="净世破魔击·日",0.1*4/3,0.1*2/3)))</f>
        <v>0</v>
      </c>
      <c r="AY80" s="47">
        <f ca="1">IF(AX80,(18+G80*0.722)*(1+J80)*(1-S80)*(1+$I$4)*IF(P80="会",'模拟-全程加成'!$J$3+'模拟-全程加成'!$J$4+'模拟-全程加成'!$J$5+('模拟-全程加成'!$I$4+'模拟-全程加成'!$I$5)/系数!$B$4+BG80*10%,IF(P80="命",1,IF(P80="识",0.25,0))),0)</f>
        <v>0</v>
      </c>
      <c r="AZ80" s="108">
        <f t="shared" si="31"/>
        <v>11.697500000000005</v>
      </c>
      <c r="BA80" s="108" t="b">
        <f>AND(模拟模式!$Q$10="有",AZ79=0)</f>
        <v>0</v>
      </c>
      <c r="BB80" s="140">
        <f>IF(BA80,(0+G80*0.287)*(1+J80)*(1-S80)*(1+$I$4)*IF(P80="会",'模拟-全程加成'!$J$3+'模拟-全程加成'!$J$4+'模拟-全程加成'!$J$5+('模拟-全程加成'!$I$4+'模拟-全程加成'!$I$5)/系数!$B$4+BG80*10%,IF(P80="命",1,IF(P80="识",0.25,0))),0)</f>
        <v>0</v>
      </c>
      <c r="BC80" s="115" t="b">
        <f ca="1">AND(模拟模式!$R$7="伏明众生",E80=60,F80=20,DA80&lt;5,CZ79&lt;$F$4)</f>
        <v>0</v>
      </c>
      <c r="BD80" s="115">
        <f t="shared" ca="1" si="58"/>
        <v>0</v>
      </c>
      <c r="BE80" s="115" t="b">
        <f t="shared" ca="1" si="59"/>
        <v>0</v>
      </c>
      <c r="BF80" s="47">
        <f ca="1">IF(BC80,4*('模拟-单技能数据'!$D$24+G80*'模拟-单技能数据'!$F$24)*(1+J80)*(1+'模拟-单技能数据'!$J$24)*(1-S80)*(1+$I$3)*(('模拟-全程加成'!$J$3+'模拟-全程加成'!$J$4+'模拟-全程加成'!$J$5+('模拟-全程加成'!$I$4+'模拟-全程加成'!$I$5)/系数!$B$4+BG80*10%)*('模拟-全程加成'!$J$3+'模拟-全程加成'!$J$4+'模拟-全程加成'!$J$5+('模拟-全程加成'!$I$4+'模拟-全程加成'!$I$5)/系数!$B$4+BG80*10%)+(1-('模拟-全程加成'!$J$3+'模拟-全程加成'!$J$4+'模拟-全程加成'!$J$5+('模拟-全程加成'!$I$4+'模拟-全程加成'!$I$5)/系数!$B$4+BG80*10%)-$F$10-$F$11)+F66*0.25),0)*'模拟-单技能数据'!$I$24</f>
        <v>0</v>
      </c>
      <c r="BG80" s="115" t="b">
        <f ca="1">OR(AND(OR(C80="烈日斩",C80="银月斩"),模拟模式!$I$7="净身明礼"),AND(C80="净世破魔击·日",模拟模式!$J$7="洞若观火"),AND(C81="净世破魔击·月",模拟模式!$J$7="洞若观火"),AB80=1)</f>
        <v>1</v>
      </c>
      <c r="BH80" s="115" t="b">
        <f t="shared" ca="1" si="32"/>
        <v>0</v>
      </c>
      <c r="BI80" s="115">
        <f t="shared" ca="1" si="60"/>
        <v>5.0774999999999997</v>
      </c>
      <c r="BJ80" s="115" t="b">
        <f t="shared" ca="1" si="33"/>
        <v>1</v>
      </c>
      <c r="BK80" s="115" t="b">
        <f ca="1">AND(C80="驱夜断愁",模拟模式!$P$7="天地诛戮")</f>
        <v>1</v>
      </c>
      <c r="BL80" s="57">
        <f t="shared" ca="1" si="61"/>
        <v>20</v>
      </c>
      <c r="BM80" s="115" t="b">
        <f t="shared" ca="1" si="34"/>
        <v>1</v>
      </c>
      <c r="BN80" s="115" t="b">
        <f ca="1">AND(OR(C80="赤日轮1",C80="赤日轮2",C80="赤日轮3",C80="幽月轮1",C80="幽月轮2",C80="幽月轮3"),AB80=1,模拟模式!$L$7="明光恒照")</f>
        <v>0</v>
      </c>
      <c r="BO80" s="117">
        <f t="shared" ca="1" si="62"/>
        <v>25.387500000000003</v>
      </c>
      <c r="BP80" s="115">
        <f t="shared" ca="1" si="35"/>
        <v>6</v>
      </c>
      <c r="BQ80" s="115" t="b">
        <f>模拟模式!$K$10="2600·水"</f>
        <v>0</v>
      </c>
      <c r="BR80" s="117">
        <f t="shared" si="36"/>
        <v>0</v>
      </c>
      <c r="BS80" s="115">
        <f t="shared" si="37"/>
        <v>0</v>
      </c>
      <c r="BT80" s="115">
        <f t="shared" ca="1" si="38"/>
        <v>0</v>
      </c>
      <c r="BU80" s="115" t="b">
        <f ca="1">AND(模拟模式!$K$10="2300·雷",BT79=0,RAND()&lt;IF(C80="净世破魔击·月",5*0.05*2/3,IF(C80="净世破魔击·日",3*0.05*2/3,0.05*2*2/3)))</f>
        <v>0</v>
      </c>
      <c r="BV80" s="115">
        <f t="shared" ca="1" si="39"/>
        <v>0</v>
      </c>
      <c r="BW80" s="115">
        <f t="shared" ca="1" si="40"/>
        <v>136.64249999999936</v>
      </c>
      <c r="BX80" s="164" t="b">
        <f t="shared" ca="1" si="41"/>
        <v>0</v>
      </c>
      <c r="BY80" s="115">
        <f t="shared" ca="1" si="42"/>
        <v>0</v>
      </c>
      <c r="BZ80" s="115">
        <f>IF(OR(模拟模式!$P$16="10人团",模拟模式!$P$16="25人团"),IF(B80/30&gt;CA79,1,0),0)</f>
        <v>0</v>
      </c>
      <c r="CA80" s="115">
        <f t="shared" si="8"/>
        <v>0</v>
      </c>
      <c r="CB80" s="115">
        <f ca="1">IF(BZ80=1,IF(模拟模式!$P$16="10人团",15,0)+IF(模拟模式!$P$16="25人团",IF(RAND()&lt;0.6,15,0)),MAX(0,CB79-$F$4))</f>
        <v>0</v>
      </c>
      <c r="CC80" s="115" t="b">
        <f t="shared" ca="1" si="43"/>
        <v>0</v>
      </c>
      <c r="CD80" s="115">
        <f>IF(模拟模式!$Q$16="1个",IF(B80/40&gt;CE79,1,0),0)</f>
        <v>0</v>
      </c>
      <c r="CE80" s="115">
        <f t="shared" si="44"/>
        <v>0</v>
      </c>
      <c r="CF80" s="115">
        <f>IF(OR(CD80=1,模拟模式!$Q$16="2个"),20,MAX(0,CF79-$F$4))</f>
        <v>0</v>
      </c>
      <c r="CG80" s="115" t="b">
        <f t="shared" si="45"/>
        <v>0</v>
      </c>
      <c r="CH80" s="115">
        <f t="shared" ca="1" si="46"/>
        <v>16.162500000000009</v>
      </c>
      <c r="CI80" s="115" t="b">
        <f t="shared" ca="1" si="47"/>
        <v>0</v>
      </c>
      <c r="CJ80" s="119">
        <f t="shared" ca="1" si="48"/>
        <v>0</v>
      </c>
      <c r="CK80" s="115">
        <f t="shared" ca="1" si="49"/>
        <v>0</v>
      </c>
      <c r="CL80" s="115" t="b">
        <f ca="1">AND(模拟模式!$S$7="驱夷逐法",OR(AND(C80="净世破魔击·月",E79&gt;59),AND(C80="净世破魔击·日",F79&gt;59)))</f>
        <v>0</v>
      </c>
      <c r="CM80" s="115" t="b">
        <f ca="1">OR(CL80,AND(C80="净世破魔击·日",CL79,RAND()&lt;模拟模式!$U$23))</f>
        <v>0</v>
      </c>
      <c r="CN80" s="115" t="b">
        <f ca="1">IF(模拟模式!$M$7="辉耀红尘",AND(C80="净世破魔击·月",CL80,CV80=0,E79&lt;80),AND(C80="净世破魔击·月",CL80,E79&lt;100))</f>
        <v>0</v>
      </c>
      <c r="CO80" s="115" t="b">
        <f t="shared" ca="1" si="9"/>
        <v>0</v>
      </c>
      <c r="CP80" s="115" t="b">
        <f ca="1">AND(模拟模式!$O$7="用晦而明",OR(C80="净世破魔击·日",C80="净世破魔击·月",C80="驱夜断愁"),AB80)</f>
        <v>1</v>
      </c>
      <c r="CQ80" s="115" t="b">
        <f ca="1">OR(CP80,AND(CP79,RAND()&lt;模拟模式!$U$23))</f>
        <v>1</v>
      </c>
      <c r="CR80" s="115" t="b">
        <f ca="1">AND(模拟模式!$S$7="日月齐光",OR(C80="幽月轮1",C80="幽月轮2",C80="幽月轮3",CR79),NOT(OR(C80="赤日轮1",C80="赤日轮2",C80="赤日轮3")))</f>
        <v>0</v>
      </c>
      <c r="CS80" s="115" t="b">
        <f ca="1">AND(模拟模式!$S$7="日月齐光",OR(C80="赤日轮1",C80="赤日轮2",C80="赤日轮3",CS79),NOT(OR(C80="幽月轮1",C80="幽月轮2",C80="幽月轮3")))</f>
        <v>0</v>
      </c>
      <c r="CT80" s="115">
        <f t="shared" ca="1" si="50"/>
        <v>0</v>
      </c>
      <c r="CU80" s="115" t="b">
        <f ca="1">AND(模拟模式!$K$10="阴阳往极",CT79=0,RAND()&lt;IF(C80="净世破魔击·月",0.0275*7/3,IF(C80="净世破魔击·日",0.0275*3/3,0.0275*2/3)))</f>
        <v>0</v>
      </c>
      <c r="CV80" s="115">
        <f t="shared" ca="1" si="51"/>
        <v>0</v>
      </c>
      <c r="CW80" s="115">
        <f t="shared" ca="1" si="63"/>
        <v>0.46499999999999975</v>
      </c>
      <c r="CX80" s="115">
        <f t="shared" ca="1" si="64"/>
        <v>5.0774999999999997</v>
      </c>
      <c r="CY80" s="115">
        <f ca="1">MAX(IF($C80="驱夜断愁",IF(模拟模式!$R$7="万念俱寂",6,45),CY79-$F$4),0)</f>
        <v>6</v>
      </c>
      <c r="CZ80" s="115">
        <f t="shared" ca="1" si="12"/>
        <v>0</v>
      </c>
      <c r="DA80" s="115">
        <f ca="1">IF(模拟模式!$N$7="日月同辉",IF(DB79=2,0,MIN(6,IF(AND(OR(C80="赤日轮1",C80="赤日轮2",C80="赤日轮3",C80="幽月轮1",C80="幽月轮2",C80="幽月轮3"),AB80=1),DA79+1,DA79))),0)</f>
        <v>0</v>
      </c>
      <c r="DB80" s="115">
        <f t="shared" ca="1" si="13"/>
        <v>0</v>
      </c>
      <c r="DD80" s="115"/>
      <c r="DE80" s="115"/>
      <c r="DF80" s="115"/>
      <c r="DG80" s="115"/>
      <c r="DH80" s="115"/>
      <c r="DI80" s="115"/>
      <c r="DJ80" s="115"/>
      <c r="DK80" s="115"/>
      <c r="DL80" s="115"/>
      <c r="DM80" s="115"/>
    </row>
    <row r="81" spans="2:117" x14ac:dyDescent="0.2">
      <c r="B81" s="117">
        <f t="shared" si="65"/>
        <v>49.814999999999976</v>
      </c>
      <c r="C81" s="167" t="str">
        <f t="shared" ca="1" si="0"/>
        <v>烈日斩</v>
      </c>
      <c r="D81" s="115">
        <f ca="1">IF(C81="赤日轮1",1,IF(C81="赤日轮2",2,IF(C81="赤日轮3",3,IF(C81="幽月轮1",4,IF(C81="幽月轮2",5,IF(C81="幽月轮3",6,IF(C81="烈日斩",7,IF(C81="银月斩",8,IF(C81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81="净世破魔击·月",17,IF(C81="驱夜断愁",18,0)))))))))))</f>
        <v>7</v>
      </c>
      <c r="E81" s="115">
        <f ca="1">IF(AND(CU81,OR(C81="幽月轮1",C81="幽月轮2",C81="幽月轮3",C81="银月斩",C81="驱夜断愁",C81="净世破魔击·月")),100,MIN(IF(OR(CN81,BE81),0,IF(OR($C81="赤日轮1",$C81="赤日轮2",$C81="赤日轮3"),E80+20+IF(模拟模式!$I$7="日月凌天",4,0)+IF(CR80,20,0),IF($C81="烈日斩",E80+40,IF($C81="驱夜断愁",IF(模拟模式!$R$7="万念俱寂",E80+20,E80+60),IF($C81="净世破魔击·月",IF(OR(DB80&gt;0,CV80&gt;0),100,IF(模拟模式!$M$7="辉耀红尘",E80+20,E80)),IF($C81="净世破魔击·日",E80-100,E80)))))),100))</f>
        <v>80</v>
      </c>
      <c r="F81" s="115">
        <f ca="1">IF(AND(CU81,OR(C81="赤日轮1",C81="赤日轮2",C81="赤日轮3",C81="烈日斩",C81="净世破魔击·日")),100,MIN(IF(CO81,0,IF(OR($C81="幽月轮1",$C81="幽月轮2",$C81="幽月轮3"),F80+20+IF(模拟模式!$I$7="日月凌天",4,0)+IF(CS80,20,0),IF($C81="银月斩",F80+40+IF(模拟模式!$X$12=1,5,0),IF($C81="驱夜断愁",IF(模拟模式!$R$7="万念俱寂",F80+20,F80+60),IF($C81="净世破魔击·月",IF(模拟模式!$M$7="辉耀红尘",F80-80,F80-100),IF(AND(C81="净世破魔击·日",OR(DB80&gt;0,CV80&gt;0)),100,F80)))))),100))</f>
        <v>85</v>
      </c>
      <c r="G81" s="117">
        <f ca="1">('模拟-全程加成'!$E$3+'模拟-全程加成'!$E$4+'模拟-全程加成'!$E$5+('模拟-全程加成'!$C$6-'模拟-全程加成'!$C$3)*系数!$B$9+BS81*23)*(1+'模拟-全程加成'!$F$4+'模拟-全程加成'!$F$5+BJ81*10%+BM81*20%+BP81*4%+CG81*30%)+$F$7*系数!$B$12</f>
        <v>21493.829400000002</v>
      </c>
      <c r="H81" s="45">
        <f ca="1">'模拟-全程加成'!$H$3+'模拟-全程加成'!$H$4+'模拟-全程加成'!$H$5+('模拟-全程加成'!$G$4+'模拟-全程加成'!$G$5+('模拟-全程加成'!$C$6-'模拟-全程加成'!$C$3)*系数!$B$13)/系数!$B$3+LOOKUP(D81,'模拟-单技能数据'!$A$2:$A$19,'模拟-单技能数据'!$K$2:$K$19)+BG81*10%+IF(BV81&gt;0,378,0)</f>
        <v>0.56185145527300218</v>
      </c>
      <c r="I81" s="45">
        <f ca="1">'模拟-全程加成'!$J$3+'模拟-全程加成'!$J$4+'模拟-全程加成'!$J$5+('模拟-全程加成'!$I$4+'模拟-全程加成'!$I$5)/系数!$B$4+LOOKUP(D81,'模拟-单技能数据'!$A$2:$A$19,'模拟-单技能数据'!$L$2:$L$19)+BG81*10%</f>
        <v>2.2624828854998791</v>
      </c>
      <c r="J81" s="45">
        <f ca="1">(('模拟-全程加成'!$K$3+'模拟-全程加成'!$K$4+'模拟-全程加成'!$K$5+('模拟-全程加成'!$C$6-'模拟-全程加成'!$C$3)*系数!$B$10+IF(BV81&gt;0,882,0)+IF(BY81&gt;0,1831,0))*(1+'模拟-全程加成'!$L$4+'模拟-全程加成'!$L$5+CC81*20%))/系数!$B$5</f>
        <v>0.69723220422048726</v>
      </c>
      <c r="K81" s="119">
        <f ca="1">LOOKUP(D81,'模拟-单技能数据'!$A$2:$A$19,'模拟-单技能数据'!$J$2:$J$19)+IF(CM81,60%,0)+IF(DB80-DB81&gt;0,30%,0)+IF(OR(AND(OR(C81="赤日轮1",C81="赤日轮2",C81="赤日轮3"),CR81),AND(OR(C81="幽月轮1",C81="幽月轮2",C81="幽月轮3"),CS81)),35%,0)+CJ81</f>
        <v>0.24</v>
      </c>
      <c r="L81" s="119">
        <f ca="1">IF(AND(C81="烈日斩",模拟模式!$X$11=1),10%,0)+IF(AND(C81="驱夜断愁",AB81=1),30%,0)</f>
        <v>0.1</v>
      </c>
      <c r="M81" s="45">
        <f t="shared" ca="1" si="15"/>
        <v>0.56185145527300218</v>
      </c>
      <c r="N81" s="45">
        <f t="shared" ca="1" si="16"/>
        <v>0.38424854472699788</v>
      </c>
      <c r="O81" s="46">
        <f t="shared" ca="1" si="17"/>
        <v>0.31641246859739447</v>
      </c>
      <c r="P81" s="46" t="str">
        <f t="shared" ca="1" si="18"/>
        <v>会</v>
      </c>
      <c r="Q81" s="45">
        <f t="shared" ca="1" si="19"/>
        <v>2.2624828854998791</v>
      </c>
      <c r="R81" s="117">
        <f ca="1">模拟模式!$E$20*(1-IF(模拟模式!$J$19="有",0.15,0))*(1-IF(模拟模式!$K$19="有",0.3,0)-IF(CQ81,0.5,0))</f>
        <v>843.02999999999975</v>
      </c>
      <c r="S81" s="45">
        <f ca="1">R81/(R81+(185*模拟模式!$E$22-16800)*4.08224)</f>
        <v>8.389626085980037E-2</v>
      </c>
      <c r="T81" s="45" t="str">
        <f ca="1">LOOKUP(D81,'模拟-单技能数据'!$A$2:$A$19,'模拟-单技能数据'!$H$2:$H$19)</f>
        <v>阳</v>
      </c>
      <c r="U81" s="119">
        <f t="shared" ca="1" si="20"/>
        <v>0.2</v>
      </c>
      <c r="V81" s="47">
        <f ca="1">(1+L81)*(LOOKUP(D81,'模拟-单技能数据'!$A$2:$A$19,'模拟-单技能数据'!$D$2:$D$19)+G81*LOOKUP(D81,'模拟-单技能数据'!$A$2:$A$19,'模拟-单技能数据'!$F$2:$F$19))*(1+J81)*(1+K81)*(1-S81)*(1+U81)*Q81*LOOKUP(D81,'模拟-单技能数据'!$A$2:$A$19,'模拟-单技能数据'!$I$2:$I$20)</f>
        <v>110503.35617153208</v>
      </c>
      <c r="W81" s="47">
        <f ca="1">LOOKUP(D81,'模拟-单技能数据'!$A$2:$A$19,'模拟-单技能数据'!$G$2:$G$19)*$I$10</f>
        <v>361.51064354704795</v>
      </c>
      <c r="X81" s="47">
        <f t="shared" ca="1" si="21"/>
        <v>15368.841844474431</v>
      </c>
      <c r="Y81" s="47">
        <f t="shared" ca="1" si="22"/>
        <v>126233.70865955357</v>
      </c>
      <c r="Z81" s="49">
        <f t="shared" ca="1" si="23"/>
        <v>5398573.4110919302</v>
      </c>
      <c r="AA81" s="97">
        <f t="shared" ca="1" si="24"/>
        <v>108372.44627304893</v>
      </c>
      <c r="AB81" s="115">
        <f ca="1">IF(OR(C81="赤日轮1",C81="赤日轮2",C81="赤日轮3"),IF(RAND()&lt;模拟模式!$Y$17,1,0),IF(OR(C81="幽月轮1",C81="幽月轮2",C81="幽月轮3"),IF(RAND()&lt;模拟模式!$Y$18,1,0),IF(C81="烈日斩",IF(RAND()&lt;模拟模式!$Y$19,1,0),IF(C81="银月斩",IF(RAND()&lt;模拟模式!$Y$20,1,0),IF(C81="驱夜断愁",IF(RAND()&lt;模拟模式!$Y$21,1,0),IF(C81="净世破魔击·日",IF(RAND()&lt;模拟模式!$Y$22,1,0),IF(C81="净世破魔击·月",IF(RAND()&lt;模拟模式!$Y$23,1,0),0)))))))</f>
        <v>1</v>
      </c>
      <c r="AC81" s="115" t="b">
        <f t="shared" ca="1" si="56"/>
        <v>0</v>
      </c>
      <c r="AD81" s="115" t="b">
        <f t="shared" ca="1" si="52"/>
        <v>1</v>
      </c>
      <c r="AE81" s="115">
        <f t="shared" ca="1" si="53"/>
        <v>4</v>
      </c>
      <c r="AF81" s="47">
        <f ca="1">IF(AC81,('模拟-单技能数据'!$D$20+G81*'模拟-单技能数据'!$F$20)*(1+J81)*(1+'模拟-单技能数据'!$J$20)*(1+U81),0)</f>
        <v>0</v>
      </c>
      <c r="AG81" s="61">
        <f t="shared" ca="1" si="25"/>
        <v>0.64185145527300214</v>
      </c>
      <c r="AH81" s="61">
        <f t="shared" ca="1" si="26"/>
        <v>2.2624828854998791</v>
      </c>
      <c r="AI81" s="62">
        <f t="shared" ca="1" si="27"/>
        <v>0.76016503707329319</v>
      </c>
      <c r="AJ81" s="47">
        <f ca="1">IF(AD81,IF(AI81&lt;$F$10,0,IF(AI81&lt;$F$10+$F$11,0.25,IF(AI81&lt;$F$10+$F$11+AG81,AH81,1)))*IF(AF81&gt;0,AF81,IF(AF80&gt;0,AF80,IF(AF79&gt;0,AF79,IF(AF78&gt;0,AF78,IF(AF77&gt;0,AF77,IF(AF76&gt;0,AF76,IF(AF75&gt;0,AF75,IF(AF74&gt;0,AF74,IF(AF73&gt;0,AF73,IF(AF71&gt;0,AF71,IF(AF70&gt;0,AF70,IF(AF69&gt;0,AF69,0)))))))))))),0)*(1-$S81)*'模拟-单技能数据'!$I$20</f>
        <v>4250.4883357170938</v>
      </c>
      <c r="AK81" s="115" t="b">
        <f t="shared" ca="1" si="57"/>
        <v>0</v>
      </c>
      <c r="AL81" s="115" t="b">
        <f t="shared" ca="1" si="54"/>
        <v>1</v>
      </c>
      <c r="AM81" s="115">
        <f t="shared" ca="1" si="55"/>
        <v>3</v>
      </c>
      <c r="AN81" s="47">
        <f ca="1">IF(AK81,('模拟-单技能数据'!$D$21+G81*'模拟-单技能数据'!$F$21)*(1+J81)*(1+'模拟-单技能数据'!$J$21)*(1+U81),0)</f>
        <v>0</v>
      </c>
      <c r="AO81" s="61">
        <f ca="1">IF(AN81&gt;0,M81-'模拟-单技能数据'!$K$10,AO80)</f>
        <v>0.42185145527300216</v>
      </c>
      <c r="AP81" s="61">
        <f ca="1">IF(AN81&gt;0,I81-'模拟-单技能数据'!$L$10,AP80)</f>
        <v>2.162482885499879</v>
      </c>
      <c r="AQ81" s="63">
        <f t="shared" ca="1" si="28"/>
        <v>0.63107926146286231</v>
      </c>
      <c r="AR81" s="64">
        <f ca="1">IF(AL81,IF(AQ81&lt;$F$10,0,IF(AQ81&lt;$F$10+$F$11,0.25,IF(AQ81&lt;$F$10+$F$11+AO81,AP81,1)))*IF(AN81&gt;0,AN81,IF(AN80&gt;0,AN80,IF(AN79&gt;0,AN79,IF(AN78&gt;0,AN78,IF(AN77&gt;0,AN77,IF(AN76&gt;0,AN76,IF(AN75&gt;0,AN75,IF(AN74&gt;0,AN74,IF(AN73&gt;0,AN73,IF(AN71&gt;0,AN71,IF(AN70&gt;0,AN70,IF(AN69&gt;0,AN69,0)))))))))))),0)*(1-$S81)*'模拟-单技能数据'!$I$21</f>
        <v>11118.353508757338</v>
      </c>
      <c r="AS81" s="61">
        <f ca="1">IF(OR(C81="净世破魔击·日",C81="净世破魔击·月"),M81-'模拟-单技能数据'!$K$10,0)</f>
        <v>0</v>
      </c>
      <c r="AT81" s="61">
        <f ca="1">IF(OR(C81="净世破魔击·日",C81="净世破魔击·月"),I81-'模拟-单技能数据'!$L$10,0)</f>
        <v>0</v>
      </c>
      <c r="AU81" s="62">
        <f t="shared" ca="1" si="29"/>
        <v>0.79282980608056386</v>
      </c>
      <c r="AV81" s="64">
        <f ca="1">IF(AS81&gt;0,('模拟-单技能数据'!$D$22+G81*'模拟-单技能数据'!$F$22)*(1+J81)*(1-S81)*IF(AU81&lt;$F$10,0,IF(AU81&lt;$F$10+$F$11,0.25,IF(AU81&lt;$F$10+$F$11+AS81,AT81,1)))*(1+U81),0)*'模拟-单技能数据'!$I$22</f>
        <v>0</v>
      </c>
      <c r="AW81" s="108">
        <f t="shared" ca="1" si="30"/>
        <v>5.2400000000000064</v>
      </c>
      <c r="AX81" s="108" t="b">
        <f ca="1">AND(模拟模式!$P$10="有",AW80=0,RAND()&lt;IF(C81="净世破魔击·月",0.1*8/3,IF(C81="净世破魔击·日",0.1*4/3,0.1*2/3)))</f>
        <v>0</v>
      </c>
      <c r="AY81" s="47">
        <f ca="1">IF(AX81,(18+G81*0.722)*(1+J81)*(1-S81)*(1+$I$4)*IF(P81="会",'模拟-全程加成'!$J$3+'模拟-全程加成'!$J$4+'模拟-全程加成'!$J$5+('模拟-全程加成'!$I$4+'模拟-全程加成'!$I$5)/系数!$B$4+BG81*10%,IF(P81="命",1,IF(P81="识",0.25,0))),0)</f>
        <v>0</v>
      </c>
      <c r="AZ81" s="108">
        <f t="shared" si="31"/>
        <v>10.775000000000006</v>
      </c>
      <c r="BA81" s="108" t="b">
        <f>AND(模拟模式!$Q$10="有",AZ80=0)</f>
        <v>0</v>
      </c>
      <c r="BB81" s="140">
        <f>IF(BA81,(0+G81*0.287)*(1+J81)*(1-S81)*(1+$I$4)*IF(P81="会",'模拟-全程加成'!$J$3+'模拟-全程加成'!$J$4+'模拟-全程加成'!$J$5+('模拟-全程加成'!$I$4+'模拟-全程加成'!$I$5)/系数!$B$4+BG81*10%,IF(P81="命",1,IF(P81="识",0.25,0))),0)</f>
        <v>0</v>
      </c>
      <c r="BC81" s="115" t="b">
        <f ca="1">AND(模拟模式!$R$7="伏明众生",E81=60,F81=20,DA81&lt;5,CZ80&lt;$F$4)</f>
        <v>0</v>
      </c>
      <c r="BD81" s="115">
        <f t="shared" ca="1" si="58"/>
        <v>0</v>
      </c>
      <c r="BE81" s="115" t="b">
        <f t="shared" ca="1" si="59"/>
        <v>0</v>
      </c>
      <c r="BF81" s="47">
        <f ca="1">IF(BC81,4*('模拟-单技能数据'!$D$24+G81*'模拟-单技能数据'!$F$24)*(1+J81)*(1+'模拟-单技能数据'!$J$24)*(1-S81)*(1+$I$3)*(('模拟-全程加成'!$J$3+'模拟-全程加成'!$J$4+'模拟-全程加成'!$J$5+('模拟-全程加成'!$I$4+'模拟-全程加成'!$I$5)/系数!$B$4+BG81*10%)*('模拟-全程加成'!$J$3+'模拟-全程加成'!$J$4+'模拟-全程加成'!$J$5+('模拟-全程加成'!$I$4+'模拟-全程加成'!$I$5)/系数!$B$4+BG81*10%)+(1-('模拟-全程加成'!$J$3+'模拟-全程加成'!$J$4+'模拟-全程加成'!$J$5+('模拟-全程加成'!$I$4+'模拟-全程加成'!$I$5)/系数!$B$4+BG81*10%)-$F$10-$F$11)+F67*0.25),0)*'模拟-单技能数据'!$I$24</f>
        <v>0</v>
      </c>
      <c r="BG81" s="115" t="b">
        <f ca="1">OR(AND(OR(C81="烈日斩",C81="银月斩"),模拟模式!$I$7="净身明礼"),AND(C81="净世破魔击·日",模拟模式!$J$7="洞若观火"),AND(C82="净世破魔击·月",模拟模式!$J$7="洞若观火"),AB81=1)</f>
        <v>1</v>
      </c>
      <c r="BH81" s="115" t="b">
        <f t="shared" ca="1" si="32"/>
        <v>0</v>
      </c>
      <c r="BI81" s="115">
        <f t="shared" ca="1" si="60"/>
        <v>4.1549999999999994</v>
      </c>
      <c r="BJ81" s="115" t="b">
        <f t="shared" ca="1" si="33"/>
        <v>1</v>
      </c>
      <c r="BK81" s="115" t="b">
        <f ca="1">AND(C81="驱夜断愁",模拟模式!$P$7="天地诛戮")</f>
        <v>0</v>
      </c>
      <c r="BL81" s="57">
        <f t="shared" ca="1" si="61"/>
        <v>19.077500000000001</v>
      </c>
      <c r="BM81" s="115" t="b">
        <f t="shared" ca="1" si="34"/>
        <v>1</v>
      </c>
      <c r="BN81" s="115" t="b">
        <f ca="1">AND(OR(C81="赤日轮1",C81="赤日轮2",C81="赤日轮3",C81="幽月轮1",C81="幽月轮2",C81="幽月轮3"),AB81=1,模拟模式!$L$7="明光恒照")</f>
        <v>0</v>
      </c>
      <c r="BO81" s="117">
        <f t="shared" ca="1" si="62"/>
        <v>24.465000000000003</v>
      </c>
      <c r="BP81" s="115">
        <f t="shared" ca="1" si="35"/>
        <v>6</v>
      </c>
      <c r="BQ81" s="115" t="b">
        <f>模拟模式!$K$10="2600·水"</f>
        <v>0</v>
      </c>
      <c r="BR81" s="117">
        <f t="shared" si="36"/>
        <v>0</v>
      </c>
      <c r="BS81" s="115">
        <f t="shared" si="37"/>
        <v>0</v>
      </c>
      <c r="BT81" s="115">
        <f t="shared" ca="1" si="38"/>
        <v>0</v>
      </c>
      <c r="BU81" s="115" t="b">
        <f ca="1">AND(模拟模式!$K$10="2300·雷",BT80=0,RAND()&lt;IF(C81="净世破魔击·月",5*0.05*2/3,IF(C81="净世破魔击·日",3*0.05*2/3,0.05*2*2/3)))</f>
        <v>0</v>
      </c>
      <c r="BV81" s="115">
        <f t="shared" ca="1" si="39"/>
        <v>0</v>
      </c>
      <c r="BW81" s="115">
        <f t="shared" ca="1" si="40"/>
        <v>135.71999999999935</v>
      </c>
      <c r="BX81" s="164" t="b">
        <f t="shared" ca="1" si="41"/>
        <v>0</v>
      </c>
      <c r="BY81" s="115">
        <f t="shared" ca="1" si="42"/>
        <v>0</v>
      </c>
      <c r="BZ81" s="115">
        <f>IF(OR(模拟模式!$P$16="10人团",模拟模式!$P$16="25人团"),IF(B81/30&gt;CA80,1,0),0)</f>
        <v>0</v>
      </c>
      <c r="CA81" s="115">
        <f t="shared" si="8"/>
        <v>0</v>
      </c>
      <c r="CB81" s="115">
        <f ca="1">IF(BZ81=1,IF(模拟模式!$P$16="10人团",15,0)+IF(模拟模式!$P$16="25人团",IF(RAND()&lt;0.6,15,0)),MAX(0,CB80-$F$4))</f>
        <v>0</v>
      </c>
      <c r="CC81" s="115" t="b">
        <f t="shared" ca="1" si="43"/>
        <v>0</v>
      </c>
      <c r="CD81" s="115">
        <f>IF(模拟模式!$Q$16="1个",IF(B81/40&gt;CE80,1,0),0)</f>
        <v>0</v>
      </c>
      <c r="CE81" s="115">
        <f t="shared" si="44"/>
        <v>0</v>
      </c>
      <c r="CF81" s="115">
        <f>IF(OR(CD81=1,模拟模式!$Q$16="2个"),20,MAX(0,CF80-$F$4))</f>
        <v>0</v>
      </c>
      <c r="CG81" s="115" t="b">
        <f t="shared" si="45"/>
        <v>0</v>
      </c>
      <c r="CH81" s="115">
        <f t="shared" ca="1" si="46"/>
        <v>15.240000000000009</v>
      </c>
      <c r="CI81" s="115" t="b">
        <f t="shared" ca="1" si="47"/>
        <v>0</v>
      </c>
      <c r="CJ81" s="119">
        <f t="shared" ca="1" si="48"/>
        <v>0</v>
      </c>
      <c r="CK81" s="115">
        <f t="shared" ca="1" si="49"/>
        <v>0</v>
      </c>
      <c r="CL81" s="115" t="b">
        <f ca="1">AND(模拟模式!$S$7="驱夷逐法",OR(AND(C81="净世破魔击·月",E80&gt;59),AND(C81="净世破魔击·日",F80&gt;59)))</f>
        <v>0</v>
      </c>
      <c r="CM81" s="115" t="b">
        <f ca="1">OR(CL81,AND(C81="净世破魔击·日",CL80,RAND()&lt;模拟模式!$U$23))</f>
        <v>0</v>
      </c>
      <c r="CN81" s="115" t="b">
        <f ca="1">IF(模拟模式!$M$7="辉耀红尘",AND(C81="净世破魔击·月",CL81,CV81=0,E80&lt;80),AND(C81="净世破魔击·月",CL81,E80&lt;100))</f>
        <v>0</v>
      </c>
      <c r="CO81" s="115" t="b">
        <f t="shared" ca="1" si="9"/>
        <v>0</v>
      </c>
      <c r="CP81" s="115" t="b">
        <f ca="1">AND(模拟模式!$O$7="用晦而明",OR(C81="净世破魔击·日",C81="净世破魔击·月",C81="驱夜断愁"),AB81)</f>
        <v>0</v>
      </c>
      <c r="CQ81" s="115" t="b">
        <f ca="1">OR(CP81,AND(CP80,RAND()&lt;模拟模式!$U$23))</f>
        <v>1</v>
      </c>
      <c r="CR81" s="115" t="b">
        <f ca="1">AND(模拟模式!$S$7="日月齐光",OR(C81="幽月轮1",C81="幽月轮2",C81="幽月轮3",CR80),NOT(OR(C81="赤日轮1",C81="赤日轮2",C81="赤日轮3")))</f>
        <v>0</v>
      </c>
      <c r="CS81" s="115" t="b">
        <f ca="1">AND(模拟模式!$S$7="日月齐光",OR(C81="赤日轮1",C81="赤日轮2",C81="赤日轮3",CS80),NOT(OR(C81="幽月轮1",C81="幽月轮2",C81="幽月轮3")))</f>
        <v>0</v>
      </c>
      <c r="CT81" s="115">
        <f t="shared" ca="1" si="50"/>
        <v>0</v>
      </c>
      <c r="CU81" s="115" t="b">
        <f ca="1">AND(模拟模式!$K$10="阴阳往极",CT80=0,RAND()&lt;IF(C81="净世破魔击·月",0.0275*7/3,IF(C81="净世破魔击·日",0.0275*3/3,0.0275*2/3)))</f>
        <v>0</v>
      </c>
      <c r="CV81" s="115">
        <f t="shared" ca="1" si="51"/>
        <v>0</v>
      </c>
      <c r="CW81" s="115">
        <f t="shared" ca="1" si="63"/>
        <v>6</v>
      </c>
      <c r="CX81" s="115">
        <f t="shared" ca="1" si="64"/>
        <v>4.1549999999999994</v>
      </c>
      <c r="CY81" s="115">
        <f ca="1">MAX(IF($C81="驱夜断愁",IF(模拟模式!$R$7="万念俱寂",6,45),CY80-$F$4),0)</f>
        <v>5.0774999999999997</v>
      </c>
      <c r="CZ81" s="115">
        <f t="shared" ca="1" si="12"/>
        <v>0</v>
      </c>
      <c r="DA81" s="115">
        <f ca="1">IF(模拟模式!$N$7="日月同辉",IF(DB80=2,0,MIN(6,IF(AND(OR(C81="赤日轮1",C81="赤日轮2",C81="赤日轮3",C81="幽月轮1",C81="幽月轮2",C81="幽月轮3"),AB81=1),DA80+1,DA80))),0)</f>
        <v>0</v>
      </c>
      <c r="DB81" s="115">
        <f t="shared" ca="1" si="13"/>
        <v>0</v>
      </c>
      <c r="DD81" s="115"/>
      <c r="DE81" s="115"/>
      <c r="DF81" s="115"/>
      <c r="DG81" s="115"/>
      <c r="DH81" s="115"/>
      <c r="DI81" s="115"/>
      <c r="DJ81" s="115"/>
      <c r="DK81" s="115"/>
      <c r="DL81" s="115"/>
      <c r="DM81" s="115"/>
    </row>
    <row r="82" spans="2:117" x14ac:dyDescent="0.2">
      <c r="B82" s="117">
        <f t="shared" si="65"/>
        <v>50.737499999999976</v>
      </c>
      <c r="C82" s="167" t="str">
        <f t="shared" ca="1" si="0"/>
        <v>幽月轮1</v>
      </c>
      <c r="D82" s="115">
        <f ca="1">IF(C82="赤日轮1",1,IF(C82="赤日轮2",2,IF(C82="赤日轮3",3,IF(C82="幽月轮1",4,IF(C82="幽月轮2",5,IF(C82="幽月轮3",6,IF(C82="烈日斩",7,IF(C82="银月斩",8,IF(C82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82="净世破魔击·月",17,IF(C82="驱夜断愁",18,0)))))))))))</f>
        <v>4</v>
      </c>
      <c r="E82" s="115">
        <f ca="1">IF(AND(CU82,OR(C82="幽月轮1",C82="幽月轮2",C82="幽月轮3",C82="银月斩",C82="驱夜断愁",C82="净世破魔击·月")),100,MIN(IF(OR(CN82,BE82),0,IF(OR($C82="赤日轮1",$C82="赤日轮2",$C82="赤日轮3"),E81+20+IF(模拟模式!$I$7="日月凌天",4,0)+IF(CR81,20,0),IF($C82="烈日斩",E81+40,IF($C82="驱夜断愁",IF(模拟模式!$R$7="万念俱寂",E81+20,E81+60),IF($C82="净世破魔击·月",IF(OR(DB81&gt;0,CV81&gt;0),100,IF(模拟模式!$M$7="辉耀红尘",E81+20,E81)),IF($C82="净世破魔击·日",E81-100,E81)))))),100))</f>
        <v>80</v>
      </c>
      <c r="F82" s="115">
        <f ca="1">IF(AND(CU82,OR(C82="赤日轮1",C82="赤日轮2",C82="赤日轮3",C82="烈日斩",C82="净世破魔击·日")),100,MIN(IF(CO82,0,IF(OR($C82="幽月轮1",$C82="幽月轮2",$C82="幽月轮3"),F81+20+IF(模拟模式!$I$7="日月凌天",4,0)+IF(CS81,20,0),IF($C82="银月斩",F81+40+IF(模拟模式!$X$12=1,5,0),IF($C82="驱夜断愁",IF(模拟模式!$R$7="万念俱寂",F81+20,F81+60),IF($C82="净世破魔击·月",IF(模拟模式!$M$7="辉耀红尘",F81-80,F81-100),IF(AND(C82="净世破魔击·日",OR(DB81&gt;0,CV81&gt;0)),100,F81)))))),100))</f>
        <v>100</v>
      </c>
      <c r="G82" s="117">
        <f ca="1">('模拟-全程加成'!$E$3+'模拟-全程加成'!$E$4+'模拟-全程加成'!$E$5+('模拟-全程加成'!$C$6-'模拟-全程加成'!$C$3)*系数!$B$9+BS82*23)*(1+'模拟-全程加成'!$F$4+'模拟-全程加成'!$F$5+BJ82*10%+BM82*20%+BP82*4%+CG82*30%)+$F$7*系数!$B$12</f>
        <v>21493.829400000002</v>
      </c>
      <c r="H82" s="45">
        <f ca="1">'模拟-全程加成'!$H$3+'模拟-全程加成'!$H$4+'模拟-全程加成'!$H$5+('模拟-全程加成'!$G$4+'模拟-全程加成'!$G$5+('模拟-全程加成'!$C$6-'模拟-全程加成'!$C$3)*系数!$B$13)/系数!$B$3+LOOKUP(D82,'模拟-单技能数据'!$A$2:$A$19,'模拟-单技能数据'!$K$2:$K$19)+BG82*10%+IF(BV82&gt;0,378,0)</f>
        <v>0.51185145527300213</v>
      </c>
      <c r="I82" s="45">
        <f ca="1">'模拟-全程加成'!$J$3+'模拟-全程加成'!$J$4+'模拟-全程加成'!$J$5+('模拟-全程加成'!$I$4+'模拟-全程加成'!$I$5)/系数!$B$4+LOOKUP(D82,'模拟-单技能数据'!$A$2:$A$19,'模拟-单技能数据'!$L$2:$L$19)+BG82*10%</f>
        <v>2.162482885499879</v>
      </c>
      <c r="J82" s="45">
        <f ca="1">(('模拟-全程加成'!$K$3+'模拟-全程加成'!$K$4+'模拟-全程加成'!$K$5+('模拟-全程加成'!$C$6-'模拟-全程加成'!$C$3)*系数!$B$10+IF(BV82&gt;0,882,0)+IF(BY82&gt;0,1831,0))*(1+'模拟-全程加成'!$L$4+'模拟-全程加成'!$L$5+CC82*20%))/系数!$B$5</f>
        <v>0.69723220422048726</v>
      </c>
      <c r="K82" s="119">
        <f ca="1">LOOKUP(D82,'模拟-单技能数据'!$A$2:$A$19,'模拟-单技能数据'!$J$2:$J$19)+IF(CM82,60%,0)+IF(DB81-DB82&gt;0,30%,0)+IF(OR(AND(OR(C82="赤日轮1",C82="赤日轮2",C82="赤日轮3"),CR82),AND(OR(C82="幽月轮1",C82="幽月轮2",C82="幽月轮3"),CS82)),35%,0)+CJ82</f>
        <v>7.0000000000000007E-2</v>
      </c>
      <c r="L82" s="119">
        <f ca="1">IF(AND(C82="烈日斩",模拟模式!$X$11=1),10%,0)+IF(AND(C82="驱夜断愁",AB82=1),30%,0)</f>
        <v>0</v>
      </c>
      <c r="M82" s="45">
        <f t="shared" ca="1" si="15"/>
        <v>0.51185145527300213</v>
      </c>
      <c r="N82" s="45">
        <f t="shared" ca="1" si="16"/>
        <v>0.43424854472699792</v>
      </c>
      <c r="O82" s="46">
        <f t="shared" ca="1" si="17"/>
        <v>0.69356198605449382</v>
      </c>
      <c r="P82" s="46" t="str">
        <f t="shared" ca="1" si="18"/>
        <v>命</v>
      </c>
      <c r="Q82" s="45">
        <f t="shared" ca="1" si="19"/>
        <v>1</v>
      </c>
      <c r="R82" s="117">
        <f ca="1">模拟模式!$E$20*(1-IF(模拟模式!$J$19="有",0.15,0))*(1-IF(模拟模式!$K$19="有",0.3,0)-IF(CQ82,0.5,0))</f>
        <v>2950.6049999999996</v>
      </c>
      <c r="S82" s="45">
        <f ca="1">R82/(R82+(185*模拟模式!$E$22-16800)*4.08224)</f>
        <v>0.24272716014590323</v>
      </c>
      <c r="T82" s="45" t="str">
        <f ca="1">LOOKUP(D82,'模拟-单技能数据'!$A$2:$A$19,'模拟-单技能数据'!$H$2:$H$19)</f>
        <v>阴</v>
      </c>
      <c r="U82" s="119">
        <f t="shared" ca="1" si="20"/>
        <v>0.08</v>
      </c>
      <c r="V82" s="47">
        <f ca="1">(1+L82)*(LOOKUP(D82,'模拟-单技能数据'!$A$2:$A$19,'模拟-单技能数据'!$D$2:$D$19)+G82*LOOKUP(D82,'模拟-单技能数据'!$A$2:$A$19,'模拟-单技能数据'!$F$2:$F$19))*(1+J82)*(1+K82)*(1-S82)*(1+U82)*Q82*LOOKUP(D82,'模拟-单技能数据'!$A$2:$A$19,'模拟-单技能数据'!$I$2:$I$20)</f>
        <v>16939.18703301924</v>
      </c>
      <c r="W82" s="47">
        <f ca="1">LOOKUP(D82,'模拟-单技能数据'!$A$2:$A$19,'模拟-单技能数据'!$G$2:$G$19)*$I$10</f>
        <v>361.51064354704795</v>
      </c>
      <c r="X82" s="47">
        <f t="shared" ca="1" si="21"/>
        <v>0</v>
      </c>
      <c r="Y82" s="47">
        <f t="shared" ca="1" si="22"/>
        <v>17300.697676566288</v>
      </c>
      <c r="Z82" s="49">
        <f t="shared" ca="1" si="23"/>
        <v>5415874.1087684967</v>
      </c>
      <c r="AA82" s="97">
        <f t="shared" ca="1" si="24"/>
        <v>106743.02259213598</v>
      </c>
      <c r="AB82" s="115">
        <f ca="1">IF(OR(C82="赤日轮1",C82="赤日轮2",C82="赤日轮3"),IF(RAND()&lt;模拟模式!$Y$17,1,0),IF(OR(C82="幽月轮1",C82="幽月轮2",C82="幽月轮3"),IF(RAND()&lt;模拟模式!$Y$18,1,0),IF(C82="烈日斩",IF(RAND()&lt;模拟模式!$Y$19,1,0),IF(C82="银月斩",IF(RAND()&lt;模拟模式!$Y$20,1,0),IF(C82="驱夜断愁",IF(RAND()&lt;模拟模式!$Y$21,1,0),IF(C82="净世破魔击·日",IF(RAND()&lt;模拟模式!$Y$22,1,0),IF(C82="净世破魔击·月",IF(RAND()&lt;模拟模式!$Y$23,1,0),0)))))))</f>
        <v>1</v>
      </c>
      <c r="AC82" s="115" t="b">
        <f t="shared" ca="1" si="56"/>
        <v>0</v>
      </c>
      <c r="AD82" s="115" t="b">
        <f t="shared" ca="1" si="52"/>
        <v>0</v>
      </c>
      <c r="AE82" s="115">
        <f t="shared" ca="1" si="53"/>
        <v>4</v>
      </c>
      <c r="AF82" s="47">
        <f ca="1">IF(AC82,('模拟-单技能数据'!$D$20+G82*'模拟-单技能数据'!$F$20)*(1+J82)*(1+'模拟-单技能数据'!$J$20)*(1+U82),0)</f>
        <v>0</v>
      </c>
      <c r="AG82" s="61">
        <f t="shared" ca="1" si="25"/>
        <v>0.64185145527300214</v>
      </c>
      <c r="AH82" s="61">
        <f t="shared" ca="1" si="26"/>
        <v>2.2624828854998791</v>
      </c>
      <c r="AI82" s="62">
        <f t="shared" ca="1" si="27"/>
        <v>0.11371199891050032</v>
      </c>
      <c r="AJ82" s="47">
        <f ca="1">IF(AD82,IF(AI82&lt;$F$10,0,IF(AI82&lt;$F$10+$F$11,0.25,IF(AI82&lt;$F$10+$F$11+AG82,AH82,1)))*IF(AF82&gt;0,AF82,IF(AF81&gt;0,AF81,IF(AF80&gt;0,AF80,IF(AF79&gt;0,AF79,IF(AF78&gt;0,AF78,IF(AF77&gt;0,AF77,IF(AF76&gt;0,AF76,IF(AF75&gt;0,AF75,IF(AF74&gt;0,AF74,IF(AF72&gt;0,AF72,IF(AF71&gt;0,AF71,IF(AF70&gt;0,AF70,0)))))))))))),0)*(1-$S82)*'模拟-单技能数据'!$I$20</f>
        <v>0</v>
      </c>
      <c r="AK82" s="115" t="b">
        <f t="shared" ca="1" si="57"/>
        <v>0</v>
      </c>
      <c r="AL82" s="115" t="b">
        <f t="shared" ca="1" si="54"/>
        <v>0</v>
      </c>
      <c r="AM82" s="115">
        <f t="shared" ca="1" si="55"/>
        <v>3</v>
      </c>
      <c r="AN82" s="47">
        <f ca="1">IF(AK82,('模拟-单技能数据'!$D$21+G82*'模拟-单技能数据'!$F$21)*(1+J82)*(1+'模拟-单技能数据'!$J$21)*(1+U82),0)</f>
        <v>0</v>
      </c>
      <c r="AO82" s="61">
        <f ca="1">IF(AN82&gt;0,M82-'模拟-单技能数据'!$K$10,AO81)</f>
        <v>0.42185145527300216</v>
      </c>
      <c r="AP82" s="61">
        <f ca="1">IF(AN82&gt;0,I82-'模拟-单技能数据'!$L$10,AP81)</f>
        <v>2.162482885499879</v>
      </c>
      <c r="AQ82" s="63">
        <f t="shared" ca="1" si="28"/>
        <v>0.40077610907359507</v>
      </c>
      <c r="AR82" s="64">
        <f ca="1">IF(AL82,IF(AQ82&lt;$F$10,0,IF(AQ82&lt;$F$10+$F$11,0.25,IF(AQ82&lt;$F$10+$F$11+AO82,AP82,1)))*IF(AN82&gt;0,AN82,IF(AN81&gt;0,AN81,IF(AN80&gt;0,AN80,IF(AN79&gt;0,AN79,IF(AN78&gt;0,AN78,IF(AN77&gt;0,AN77,IF(AN76&gt;0,AN76,IF(AN75&gt;0,AN75,IF(AN74&gt;0,AN74,IF(AN72&gt;0,AN72,IF(AN71&gt;0,AN71,IF(AN70&gt;0,AN70,0)))))))))))),0)*(1-$S82)*'模拟-单技能数据'!$I$21</f>
        <v>0</v>
      </c>
      <c r="AS82" s="61">
        <f ca="1">IF(OR(C82="净世破魔击·日",C82="净世破魔击·月"),M82-'模拟-单技能数据'!$K$10,0)</f>
        <v>0</v>
      </c>
      <c r="AT82" s="61">
        <f ca="1">IF(OR(C82="净世破魔击·日",C82="净世破魔击·月"),I82-'模拟-单技能数据'!$L$10,0)</f>
        <v>0</v>
      </c>
      <c r="AU82" s="62">
        <f t="shared" ca="1" si="29"/>
        <v>0.77684054853922024</v>
      </c>
      <c r="AV82" s="64">
        <f ca="1">IF(AS82&gt;0,('模拟-单技能数据'!$D$22+G82*'模拟-单技能数据'!$F$22)*(1+J82)*(1-S82)*IF(AU82&lt;$F$10,0,IF(AU82&lt;$F$10+$F$11,0.25,IF(AU82&lt;$F$10+$F$11+AS82,AT82,1)))*(1+U82),0)*'模拟-单技能数据'!$I$22</f>
        <v>0</v>
      </c>
      <c r="AW82" s="108">
        <f t="shared" ca="1" si="30"/>
        <v>4.3175000000000061</v>
      </c>
      <c r="AX82" s="108" t="b">
        <f ca="1">AND(模拟模式!$P$10="有",AW81=0,RAND()&lt;IF(C82="净世破魔击·月",0.1*8/3,IF(C82="净世破魔击·日",0.1*4/3,0.1*2/3)))</f>
        <v>0</v>
      </c>
      <c r="AY82" s="47">
        <f ca="1">IF(AX82,(18+G82*0.722)*(1+J82)*(1-S82)*(1+$I$4)*IF(P82="会",'模拟-全程加成'!$J$3+'模拟-全程加成'!$J$4+'模拟-全程加成'!$J$5+('模拟-全程加成'!$I$4+'模拟-全程加成'!$I$5)/系数!$B$4+BG82*10%,IF(P82="命",1,IF(P82="识",0.25,0))),0)</f>
        <v>0</v>
      </c>
      <c r="AZ82" s="108">
        <f t="shared" si="31"/>
        <v>9.8525000000000063</v>
      </c>
      <c r="BA82" s="108" t="b">
        <f>AND(模拟模式!$Q$10="有",AZ81=0)</f>
        <v>0</v>
      </c>
      <c r="BB82" s="140">
        <f>IF(BA82,(0+G82*0.287)*(1+J82)*(1-S82)*(1+$I$4)*IF(P82="会",'模拟-全程加成'!$J$3+'模拟-全程加成'!$J$4+'模拟-全程加成'!$J$5+('模拟-全程加成'!$I$4+'模拟-全程加成'!$I$5)/系数!$B$4+BG82*10%,IF(P82="命",1,IF(P82="识",0.25,0))),0)</f>
        <v>0</v>
      </c>
      <c r="BC82" s="115" t="b">
        <f ca="1">AND(模拟模式!$R$7="伏明众生",E82=60,F82=20,DA82&lt;5,CZ81&lt;$F$4)</f>
        <v>0</v>
      </c>
      <c r="BD82" s="115">
        <f t="shared" ca="1" si="58"/>
        <v>0</v>
      </c>
      <c r="BE82" s="115" t="b">
        <f t="shared" ca="1" si="59"/>
        <v>0</v>
      </c>
      <c r="BF82" s="47">
        <f ca="1">IF(BC82,4*('模拟-单技能数据'!$D$24+G82*'模拟-单技能数据'!$F$24)*(1+J82)*(1+'模拟-单技能数据'!$J$24)*(1-S82)*(1+$I$3)*(('模拟-全程加成'!$J$3+'模拟-全程加成'!$J$4+'模拟-全程加成'!$J$5+('模拟-全程加成'!$I$4+'模拟-全程加成'!$I$5)/系数!$B$4+BG82*10%)*('模拟-全程加成'!$J$3+'模拟-全程加成'!$J$4+'模拟-全程加成'!$J$5+('模拟-全程加成'!$I$4+'模拟-全程加成'!$I$5)/系数!$B$4+BG82*10%)+(1-('模拟-全程加成'!$J$3+'模拟-全程加成'!$J$4+'模拟-全程加成'!$J$5+('模拟-全程加成'!$I$4+'模拟-全程加成'!$I$5)/系数!$B$4+BG82*10%)-$F$10-$F$11)+F68*0.25),0)*'模拟-单技能数据'!$I$24</f>
        <v>0</v>
      </c>
      <c r="BG82" s="115" t="b">
        <f ca="1">OR(AND(OR(C82="烈日斩",C82="银月斩"),模拟模式!$I$7="净身明礼"),AND(C82="净世破魔击·日",模拟模式!$J$7="洞若观火"),AND(C83="净世破魔击·月",模拟模式!$J$7="洞若观火"),AB82=1)</f>
        <v>1</v>
      </c>
      <c r="BH82" s="115" t="b">
        <f t="shared" ca="1" si="32"/>
        <v>0</v>
      </c>
      <c r="BI82" s="115">
        <f t="shared" ca="1" si="60"/>
        <v>3.2324999999999995</v>
      </c>
      <c r="BJ82" s="115" t="b">
        <f t="shared" ca="1" si="33"/>
        <v>1</v>
      </c>
      <c r="BK82" s="115" t="b">
        <f ca="1">AND(C82="驱夜断愁",模拟模式!$P$7="天地诛戮")</f>
        <v>0</v>
      </c>
      <c r="BL82" s="57">
        <f t="shared" ca="1" si="61"/>
        <v>18.155000000000001</v>
      </c>
      <c r="BM82" s="115" t="b">
        <f t="shared" ca="1" si="34"/>
        <v>1</v>
      </c>
      <c r="BN82" s="115" t="b">
        <f ca="1">AND(OR(C82="赤日轮1",C82="赤日轮2",C82="赤日轮3",C82="幽月轮1",C82="幽月轮2",C82="幽月轮3"),AB82=1,模拟模式!$L$7="明光恒照")</f>
        <v>1</v>
      </c>
      <c r="BO82" s="117">
        <f t="shared" ca="1" si="62"/>
        <v>30</v>
      </c>
      <c r="BP82" s="115">
        <f t="shared" ca="1" si="35"/>
        <v>6</v>
      </c>
      <c r="BQ82" s="115" t="b">
        <f>模拟模式!$K$10="2600·水"</f>
        <v>0</v>
      </c>
      <c r="BR82" s="117">
        <f t="shared" si="36"/>
        <v>0</v>
      </c>
      <c r="BS82" s="115">
        <f t="shared" si="37"/>
        <v>0</v>
      </c>
      <c r="BT82" s="115">
        <f t="shared" ca="1" si="38"/>
        <v>0</v>
      </c>
      <c r="BU82" s="115" t="b">
        <f ca="1">AND(模拟模式!$K$10="2300·雷",BT81=0,RAND()&lt;IF(C82="净世破魔击·月",5*0.05*2/3,IF(C82="净世破魔击·日",3*0.05*2/3,0.05*2*2/3)))</f>
        <v>0</v>
      </c>
      <c r="BV82" s="115">
        <f t="shared" ca="1" si="39"/>
        <v>0</v>
      </c>
      <c r="BW82" s="115">
        <f t="shared" ca="1" si="40"/>
        <v>134.79749999999933</v>
      </c>
      <c r="BX82" s="164" t="b">
        <f t="shared" ca="1" si="41"/>
        <v>0</v>
      </c>
      <c r="BY82" s="115">
        <f t="shared" ca="1" si="42"/>
        <v>0</v>
      </c>
      <c r="BZ82" s="115">
        <f>IF(OR(模拟模式!$P$16="10人团",模拟模式!$P$16="25人团"),IF(B82/30&gt;CA81,1,0),0)</f>
        <v>0</v>
      </c>
      <c r="CA82" s="115">
        <f t="shared" si="8"/>
        <v>0</v>
      </c>
      <c r="CB82" s="115">
        <f ca="1">IF(BZ82=1,IF(模拟模式!$P$16="10人团",15,0)+IF(模拟模式!$P$16="25人团",IF(RAND()&lt;0.6,15,0)),MAX(0,CB81-$F$4))</f>
        <v>0</v>
      </c>
      <c r="CC82" s="115" t="b">
        <f t="shared" ca="1" si="43"/>
        <v>0</v>
      </c>
      <c r="CD82" s="115">
        <f>IF(模拟模式!$Q$16="1个",IF(B82/40&gt;CE81,1,0),0)</f>
        <v>0</v>
      </c>
      <c r="CE82" s="115">
        <f t="shared" si="44"/>
        <v>0</v>
      </c>
      <c r="CF82" s="115">
        <f>IF(OR(CD82=1,模拟模式!$Q$16="2个"),20,MAX(0,CF81-$F$4))</f>
        <v>0</v>
      </c>
      <c r="CG82" s="115" t="b">
        <f t="shared" si="45"/>
        <v>0</v>
      </c>
      <c r="CH82" s="115">
        <f t="shared" ca="1" si="46"/>
        <v>14.31750000000001</v>
      </c>
      <c r="CI82" s="115" t="b">
        <f t="shared" ca="1" si="47"/>
        <v>0</v>
      </c>
      <c r="CJ82" s="119">
        <f t="shared" ca="1" si="48"/>
        <v>0</v>
      </c>
      <c r="CK82" s="115">
        <f t="shared" ca="1" si="49"/>
        <v>0</v>
      </c>
      <c r="CL82" s="115" t="b">
        <f ca="1">AND(模拟模式!$S$7="驱夷逐法",OR(AND(C82="净世破魔击·月",E81&gt;59),AND(C82="净世破魔击·日",F81&gt;59)))</f>
        <v>0</v>
      </c>
      <c r="CM82" s="115" t="b">
        <f ca="1">OR(CL82,AND(C82="净世破魔击·日",CL81,RAND()&lt;模拟模式!$U$23))</f>
        <v>0</v>
      </c>
      <c r="CN82" s="115" t="b">
        <f ca="1">IF(模拟模式!$M$7="辉耀红尘",AND(C82="净世破魔击·月",CL82,CV82=0,E81&lt;80),AND(C82="净世破魔击·月",CL82,E81&lt;100))</f>
        <v>0</v>
      </c>
      <c r="CO82" s="115" t="b">
        <f t="shared" ca="1" si="9"/>
        <v>0</v>
      </c>
      <c r="CP82" s="115" t="b">
        <f ca="1">AND(模拟模式!$O$7="用晦而明",OR(C82="净世破魔击·日",C82="净世破魔击·月",C82="驱夜断愁"),AB82)</f>
        <v>0</v>
      </c>
      <c r="CQ82" s="115" t="b">
        <f ca="1">OR(CP82,AND(CP81,RAND()&lt;模拟模式!$U$23))</f>
        <v>0</v>
      </c>
      <c r="CR82" s="115" t="b">
        <f ca="1">AND(模拟模式!$S$7="日月齐光",OR(C82="幽月轮1",C82="幽月轮2",C82="幽月轮3",CR81),NOT(OR(C82="赤日轮1",C82="赤日轮2",C82="赤日轮3")))</f>
        <v>0</v>
      </c>
      <c r="CS82" s="115" t="b">
        <f ca="1">AND(模拟模式!$S$7="日月齐光",OR(C82="赤日轮1",C82="赤日轮2",C82="赤日轮3",CS81),NOT(OR(C82="幽月轮1",C82="幽月轮2",C82="幽月轮3")))</f>
        <v>0</v>
      </c>
      <c r="CT82" s="115">
        <f t="shared" ca="1" si="50"/>
        <v>0</v>
      </c>
      <c r="CU82" s="115" t="b">
        <f ca="1">AND(模拟模式!$K$10="阴阳往极",CT81=0,RAND()&lt;IF(C82="净世破魔击·月",0.0275*7/3,IF(C82="净世破魔击·日",0.0275*3/3,0.0275*2/3)))</f>
        <v>0</v>
      </c>
      <c r="CV82" s="115">
        <f t="shared" ca="1" si="51"/>
        <v>0</v>
      </c>
      <c r="CW82" s="115">
        <f t="shared" ca="1" si="63"/>
        <v>5.0774999999999997</v>
      </c>
      <c r="CX82" s="115">
        <f t="shared" ca="1" si="64"/>
        <v>3.2324999999999995</v>
      </c>
      <c r="CY82" s="115">
        <f ca="1">MAX(IF($C82="驱夜断愁",IF(模拟模式!$R$7="万念俱寂",6,45),CY81-$F$4),0)</f>
        <v>4.1549999999999994</v>
      </c>
      <c r="CZ82" s="115">
        <f t="shared" ca="1" si="12"/>
        <v>0</v>
      </c>
      <c r="DA82" s="115">
        <f ca="1">IF(模拟模式!$N$7="日月同辉",IF(DB81=2,0,MIN(6,IF(AND(OR(C82="赤日轮1",C82="赤日轮2",C82="赤日轮3",C82="幽月轮1",C82="幽月轮2",C82="幽月轮3"),AB82=1),DA81+1,DA81))),0)</f>
        <v>1</v>
      </c>
      <c r="DB82" s="115">
        <f t="shared" ca="1" si="13"/>
        <v>0</v>
      </c>
      <c r="DD82" s="115"/>
      <c r="DE82" s="115"/>
      <c r="DF82" s="115"/>
      <c r="DG82" s="115"/>
      <c r="DH82" s="115"/>
      <c r="DI82" s="115"/>
      <c r="DJ82" s="115"/>
      <c r="DK82" s="115"/>
      <c r="DL82" s="115"/>
      <c r="DM82" s="115"/>
    </row>
    <row r="83" spans="2:117" x14ac:dyDescent="0.2">
      <c r="B83" s="117">
        <f t="shared" si="65"/>
        <v>51.659999999999975</v>
      </c>
      <c r="C83" s="167" t="str">
        <f t="shared" ca="1" si="0"/>
        <v>净世破魔击·月</v>
      </c>
      <c r="D83" s="115">
        <f ca="1">IF(C83="赤日轮1",1,IF(C83="赤日轮2",2,IF(C83="赤日轮3",3,IF(C83="幽月轮1",4,IF(C83="幽月轮2",5,IF(C83="幽月轮3",6,IF(C83="烈日斩",7,IF(C83="银月斩",8,IF(C83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83="净世破魔击·月",17,IF(C83="驱夜断愁",18,0)))))))))))</f>
        <v>17</v>
      </c>
      <c r="E83" s="115">
        <f ca="1">IF(AND(CU83,OR(C83="幽月轮1",C83="幽月轮2",C83="幽月轮3",C83="银月斩",C83="驱夜断愁",C83="净世破魔击·月")),100,MIN(IF(OR(CN83,BE83),0,IF(OR($C83="赤日轮1",$C83="赤日轮2",$C83="赤日轮3"),E82+20+IF(模拟模式!$I$7="日月凌天",4,0)+IF(CR82,20,0),IF($C83="烈日斩",E82+40,IF($C83="驱夜断愁",IF(模拟模式!$R$7="万念俱寂",E82+20,E82+60),IF($C83="净世破魔击·月",IF(OR(DB82&gt;0,CV82&gt;0),100,IF(模拟模式!$M$7="辉耀红尘",E82+20,E82)),IF($C83="净世破魔击·日",E82-100,E82)))))),100))</f>
        <v>100</v>
      </c>
      <c r="F83" s="115">
        <f ca="1">IF(AND(CU83,OR(C83="赤日轮1",C83="赤日轮2",C83="赤日轮3",C83="烈日斩",C83="净世破魔击·日")),100,MIN(IF(CO83,0,IF(OR($C83="幽月轮1",$C83="幽月轮2",$C83="幽月轮3"),F82+20+IF(模拟模式!$I$7="日月凌天",4,0)+IF(CS82,20,0),IF($C83="银月斩",F82+40+IF(模拟模式!$X$12=1,5,0),IF($C83="驱夜断愁",IF(模拟模式!$R$7="万念俱寂",F82+20,F82+60),IF($C83="净世破魔击·月",IF(模拟模式!$M$7="辉耀红尘",F82-80,F82-100),IF(AND(C83="净世破魔击·日",OR(DB82&gt;0,CV82&gt;0)),100,F82)))))),100))</f>
        <v>20</v>
      </c>
      <c r="G83" s="117">
        <f ca="1">('模拟-全程加成'!$E$3+'模拟-全程加成'!$E$4+'模拟-全程加成'!$E$5+('模拟-全程加成'!$C$6-'模拟-全程加成'!$C$3)*系数!$B$9+BS83*23)*(1+'模拟-全程加成'!$F$4+'模拟-全程加成'!$F$5+BJ83*10%+BM83*20%+BP83*4%+CG83*30%)+$F$7*系数!$B$12</f>
        <v>21493.829400000002</v>
      </c>
      <c r="H83" s="45">
        <f ca="1">'模拟-全程加成'!$H$3+'模拟-全程加成'!$H$4+'模拟-全程加成'!$H$5+('模拟-全程加成'!$G$4+'模拟-全程加成'!$G$5+('模拟-全程加成'!$C$6-'模拟-全程加成'!$C$3)*系数!$B$13)/系数!$B$3+LOOKUP(D83,'模拟-单技能数据'!$A$2:$A$19,'模拟-单技能数据'!$K$2:$K$19)+BG83*10%+IF(BV83&gt;0,378,0)</f>
        <v>0.54185145527300216</v>
      </c>
      <c r="I83" s="45">
        <f ca="1">'模拟-全程加成'!$J$3+'模拟-全程加成'!$J$4+'模拟-全程加成'!$J$5+('模拟-全程加成'!$I$4+'模拟-全程加成'!$I$5)/系数!$B$4+LOOKUP(D83,'模拟-单技能数据'!$A$2:$A$19,'模拟-单技能数据'!$L$2:$L$19)+BG83*10%</f>
        <v>2.162482885499879</v>
      </c>
      <c r="J83" s="45">
        <f ca="1">(('模拟-全程加成'!$K$3+'模拟-全程加成'!$K$4+'模拟-全程加成'!$K$5+('模拟-全程加成'!$C$6-'模拟-全程加成'!$C$3)*系数!$B$10+IF(BV83&gt;0,882,0)+IF(BY83&gt;0,1831,0))*(1+'模拟-全程加成'!$L$4+'模拟-全程加成'!$L$5+CC83*20%))/系数!$B$5</f>
        <v>0.69723220422048726</v>
      </c>
      <c r="K83" s="119">
        <f ca="1">LOOKUP(D83,'模拟-单技能数据'!$A$2:$A$19,'模拟-单技能数据'!$J$2:$J$19)+IF(CM83,60%,0)+IF(DB82-DB83&gt;0,30%,0)+IF(OR(AND(OR(C83="赤日轮1",C83="赤日轮2",C83="赤日轮3"),CR83),AND(OR(C83="幽月轮1",C83="幽月轮2",C83="幽月轮3"),CS83)),35%,0)+CJ83</f>
        <v>0.8</v>
      </c>
      <c r="L83" s="119">
        <f ca="1">IF(AND(C83="烈日斩",模拟模式!$X$11=1),10%,0)+IF(AND(C83="驱夜断愁",AB83=1),30%,0)</f>
        <v>0</v>
      </c>
      <c r="M83" s="45">
        <f t="shared" ca="1" si="15"/>
        <v>0.54185145527300216</v>
      </c>
      <c r="N83" s="45">
        <f t="shared" ca="1" si="16"/>
        <v>0.40424854472699789</v>
      </c>
      <c r="O83" s="46">
        <f t="shared" ca="1" si="17"/>
        <v>0.50534157795925905</v>
      </c>
      <c r="P83" s="46" t="str">
        <f t="shared" ca="1" si="18"/>
        <v>会</v>
      </c>
      <c r="Q83" s="45">
        <f t="shared" ca="1" si="19"/>
        <v>2.162482885499879</v>
      </c>
      <c r="R83" s="117">
        <f ca="1">模拟模式!$E$20*(1-IF(模拟模式!$J$19="有",0.15,0))*(1-IF(模拟模式!$K$19="有",0.3,0)-IF(CQ83,0.5,0))</f>
        <v>843.02999999999975</v>
      </c>
      <c r="S83" s="45">
        <f ca="1">R83/(R83+(185*模拟模式!$E$22-16800)*4.08224)</f>
        <v>8.389626085980037E-2</v>
      </c>
      <c r="T83" s="45" t="str">
        <f ca="1">LOOKUP(D83,'模拟-单技能数据'!$A$2:$A$19,'模拟-单技能数据'!$H$2:$H$19)</f>
        <v>阴</v>
      </c>
      <c r="U83" s="119">
        <f t="shared" ca="1" si="20"/>
        <v>0.08</v>
      </c>
      <c r="V83" s="47">
        <f ca="1">(1+L83)*(LOOKUP(D83,'模拟-单技能数据'!$A$2:$A$19,'模拟-单技能数据'!$D$2:$D$19)+G83*LOOKUP(D83,'模拟-单技能数据'!$A$2:$A$19,'模拟-单技能数据'!$F$2:$F$19))*(1+J83)*(1+K83)*(1-S83)*(1+U83)*Q83*LOOKUP(D83,'模拟-单技能数据'!$A$2:$A$19,'模拟-单技能数据'!$I$2:$I$20)</f>
        <v>182541.2211190153</v>
      </c>
      <c r="W83" s="47">
        <f ca="1">LOOKUP(D83,'模拟-单技能数据'!$A$2:$A$19,'模拟-单技能数据'!$G$2:$G$19)*$I$10</f>
        <v>361.51064354704795</v>
      </c>
      <c r="X83" s="47">
        <f t="shared" ca="1" si="21"/>
        <v>50865.075888447842</v>
      </c>
      <c r="Y83" s="47">
        <f t="shared" ca="1" si="22"/>
        <v>233767.8076510102</v>
      </c>
      <c r="Z83" s="49">
        <f t="shared" ca="1" si="23"/>
        <v>5649641.916419507</v>
      </c>
      <c r="AA83" s="97">
        <f t="shared" ca="1" si="24"/>
        <v>109362.01928802767</v>
      </c>
      <c r="AB83" s="115">
        <f ca="1">IF(OR(C83="赤日轮1",C83="赤日轮2",C83="赤日轮3"),IF(RAND()&lt;模拟模式!$Y$17,1,0),IF(OR(C83="幽月轮1",C83="幽月轮2",C83="幽月轮3"),IF(RAND()&lt;模拟模式!$Y$18,1,0),IF(C83="烈日斩",IF(RAND()&lt;模拟模式!$Y$19,1,0),IF(C83="银月斩",IF(RAND()&lt;模拟模式!$Y$20,1,0),IF(C83="驱夜断愁",IF(RAND()&lt;模拟模式!$Y$21,1,0),IF(C83="净世破魔击·日",IF(RAND()&lt;模拟模式!$Y$22,1,0),IF(C83="净世破魔击·月",IF(RAND()&lt;模拟模式!$Y$23,1,0),0)))))))</f>
        <v>1</v>
      </c>
      <c r="AC83" s="115" t="b">
        <f t="shared" ca="1" si="56"/>
        <v>0</v>
      </c>
      <c r="AD83" s="115" t="b">
        <f t="shared" ca="1" si="52"/>
        <v>1</v>
      </c>
      <c r="AE83" s="115">
        <f t="shared" ca="1" si="53"/>
        <v>3</v>
      </c>
      <c r="AF83" s="47">
        <f ca="1">IF(AC83,('模拟-单技能数据'!$D$20+G83*'模拟-单技能数据'!$F$20)*(1+J83)*(1+'模拟-单技能数据'!$J$20)*(1+U83),0)</f>
        <v>0</v>
      </c>
      <c r="AG83" s="61">
        <f t="shared" ca="1" si="25"/>
        <v>0.64185145527300214</v>
      </c>
      <c r="AH83" s="61">
        <f t="shared" ca="1" si="26"/>
        <v>2.2624828854998791</v>
      </c>
      <c r="AI83" s="62">
        <f t="shared" ca="1" si="27"/>
        <v>0.116936721922691</v>
      </c>
      <c r="AJ83" s="47">
        <f ca="1">IF(AD83,IF(AI83&lt;$F$10,0,IF(AI83&lt;$F$10+$F$11,0.25,IF(AI83&lt;$F$10+$F$11+AG83,AH83,1)))*IF(AF83&gt;0,AF83,IF(AF82&gt;0,AF82,IF(AF81&gt;0,AF81,IF(AF80&gt;0,AF80,IF(AF79&gt;0,AF79,IF(AF78&gt;0,AF78,IF(AF77&gt;0,AF77,IF(AF76&gt;0,AF76,IF(AF75&gt;0,AF75,IF(AF73&gt;0,AF73,IF(AF72&gt;0,AF72,IF(AF71&gt;0,AF71,0)))))))))))),0)*(1-$S83)*'模拟-单技能数据'!$I$20</f>
        <v>9616.6571145767884</v>
      </c>
      <c r="AK83" s="115" t="b">
        <f t="shared" ca="1" si="57"/>
        <v>0</v>
      </c>
      <c r="AL83" s="115" t="b">
        <f t="shared" ca="1" si="54"/>
        <v>1</v>
      </c>
      <c r="AM83" s="115">
        <f t="shared" ca="1" si="55"/>
        <v>2</v>
      </c>
      <c r="AN83" s="47">
        <f ca="1">IF(AK83,('模拟-单技能数据'!$D$21+G83*'模拟-单技能数据'!$F$21)*(1+J83)*(1+'模拟-单技能数据'!$J$21)*(1+U83),0)</f>
        <v>0</v>
      </c>
      <c r="AO83" s="61">
        <f ca="1">IF(AN83&gt;0,M83-'模拟-单技能数据'!$K$10,AO82)</f>
        <v>0.42185145527300216</v>
      </c>
      <c r="AP83" s="61">
        <f ca="1">IF(AN83&gt;0,I83-'模拟-单技能数据'!$L$10,AP82)</f>
        <v>2.162482885499879</v>
      </c>
      <c r="AQ83" s="63">
        <f t="shared" ca="1" si="28"/>
        <v>9.0759458253343528E-2</v>
      </c>
      <c r="AR83" s="64">
        <f ca="1">IF(AL83,IF(AQ83&lt;$F$10,0,IF(AQ83&lt;$F$10+$F$11,0.25,IF(AQ83&lt;$F$10+$F$11+AO83,AP83,1)))*IF(AN83&gt;0,AN83,IF(AN82&gt;0,AN82,IF(AN81&gt;0,AN81,IF(AN80&gt;0,AN80,IF(AN79&gt;0,AN79,IF(AN78&gt;0,AN78,IF(AN77&gt;0,AN77,IF(AN76&gt;0,AN76,IF(AN75&gt;0,AN75,IF(AN73&gt;0,AN73,IF(AN72&gt;0,AN72,IF(AN71&gt;0,AN71,0)))))))))))),0)*(1-$S83)*'模拟-单技能数据'!$I$21</f>
        <v>24043.249177625272</v>
      </c>
      <c r="AS83" s="61">
        <f ca="1">IF(OR(C83="净世破魔击·日",C83="净世破魔击·月"),M83-'模拟-单技能数据'!$K$10,0)</f>
        <v>0.42185145527300216</v>
      </c>
      <c r="AT83" s="61">
        <f ca="1">IF(OR(C83="净世破魔击·日",C83="净世破魔击·月"),I83-'模拟-单技能数据'!$L$10,0)</f>
        <v>2.162482885499879</v>
      </c>
      <c r="AU83" s="62">
        <f t="shared" ca="1" si="29"/>
        <v>0.24032573210783847</v>
      </c>
      <c r="AV83" s="64">
        <f ca="1">IF(AS83&gt;0,('模拟-单技能数据'!$D$22+G83*'模拟-单技能数据'!$F$22)*(1+J83)*(1-S83)*IF(AU83&lt;$F$10,0,IF(AU83&lt;$F$10+$F$11,0.25,IF(AU83&lt;$F$10+$F$11+AS83,AT83,1)))*(1+U83),0)*'模拟-单技能数据'!$I$22</f>
        <v>17205.169596245785</v>
      </c>
      <c r="AW83" s="108">
        <f t="shared" ca="1" si="30"/>
        <v>3.3950000000000062</v>
      </c>
      <c r="AX83" s="108" t="b">
        <f ca="1">AND(模拟模式!$P$10="有",AW82=0,RAND()&lt;IF(C83="净世破魔击·月",0.1*8/3,IF(C83="净世破魔击·日",0.1*4/3,0.1*2/3)))</f>
        <v>0</v>
      </c>
      <c r="AY83" s="47">
        <f ca="1">IF(AX83,(18+G83*0.722)*(1+J83)*(1-S83)*(1+$I$4)*IF(P83="会",'模拟-全程加成'!$J$3+'模拟-全程加成'!$J$4+'模拟-全程加成'!$J$5+('模拟-全程加成'!$I$4+'模拟-全程加成'!$I$5)/系数!$B$4+BG83*10%,IF(P83="命",1,IF(P83="识",0.25,0))),0)</f>
        <v>0</v>
      </c>
      <c r="AZ83" s="108">
        <f t="shared" si="31"/>
        <v>8.9300000000000068</v>
      </c>
      <c r="BA83" s="108" t="b">
        <f>AND(模拟模式!$Q$10="有",AZ82=0)</f>
        <v>0</v>
      </c>
      <c r="BB83" s="140">
        <f>IF(BA83,(0+G83*0.287)*(1+J83)*(1-S83)*(1+$I$4)*IF(P83="会",'模拟-全程加成'!$J$3+'模拟-全程加成'!$J$4+'模拟-全程加成'!$J$5+('模拟-全程加成'!$I$4+'模拟-全程加成'!$I$5)/系数!$B$4+BG83*10%,IF(P83="命",1,IF(P83="识",0.25,0))),0)</f>
        <v>0</v>
      </c>
      <c r="BC83" s="115" t="b">
        <f ca="1">AND(模拟模式!$R$7="伏明众生",E83=60,F83=20,DA83&lt;5,CZ82&lt;$F$4)</f>
        <v>0</v>
      </c>
      <c r="BD83" s="115">
        <f t="shared" ca="1" si="58"/>
        <v>0</v>
      </c>
      <c r="BE83" s="115" t="b">
        <f t="shared" ca="1" si="59"/>
        <v>0</v>
      </c>
      <c r="BF83" s="47">
        <f ca="1">IF(BC83,4*('模拟-单技能数据'!$D$24+G83*'模拟-单技能数据'!$F$24)*(1+J83)*(1+'模拟-单技能数据'!$J$24)*(1-S83)*(1+$I$3)*(('模拟-全程加成'!$J$3+'模拟-全程加成'!$J$4+'模拟-全程加成'!$J$5+('模拟-全程加成'!$I$4+'模拟-全程加成'!$I$5)/系数!$B$4+BG83*10%)*('模拟-全程加成'!$J$3+'模拟-全程加成'!$J$4+'模拟-全程加成'!$J$5+('模拟-全程加成'!$I$4+'模拟-全程加成'!$I$5)/系数!$B$4+BG83*10%)+(1-('模拟-全程加成'!$J$3+'模拟-全程加成'!$J$4+'模拟-全程加成'!$J$5+('模拟-全程加成'!$I$4+'模拟-全程加成'!$I$5)/系数!$B$4+BG83*10%)-$F$10-$F$11)+F69*0.25),0)*'模拟-单技能数据'!$I$24</f>
        <v>0</v>
      </c>
      <c r="BG83" s="115" t="b">
        <f ca="1">OR(AND(OR(C83="烈日斩",C83="银月斩"),模拟模式!$I$7="净身明礼"),AND(C83="净世破魔击·日",模拟模式!$J$7="洞若观火"),AND(C84="净世破魔击·月",模拟模式!$J$7="洞若观火"),AB83=1)</f>
        <v>1</v>
      </c>
      <c r="BH83" s="115" t="b">
        <f t="shared" ca="1" si="32"/>
        <v>0</v>
      </c>
      <c r="BI83" s="115">
        <f t="shared" ca="1" si="60"/>
        <v>2.3099999999999996</v>
      </c>
      <c r="BJ83" s="115" t="b">
        <f t="shared" ca="1" si="33"/>
        <v>1</v>
      </c>
      <c r="BK83" s="115" t="b">
        <f ca="1">AND(C83="驱夜断愁",模拟模式!$P$7="天地诛戮")</f>
        <v>0</v>
      </c>
      <c r="BL83" s="57">
        <f t="shared" ca="1" si="61"/>
        <v>17.232500000000002</v>
      </c>
      <c r="BM83" s="115" t="b">
        <f t="shared" ca="1" si="34"/>
        <v>1</v>
      </c>
      <c r="BN83" s="115" t="b">
        <f ca="1">AND(OR(C83="赤日轮1",C83="赤日轮2",C83="赤日轮3",C83="幽月轮1",C83="幽月轮2",C83="幽月轮3"),AB83=1,模拟模式!$L$7="明光恒照")</f>
        <v>0</v>
      </c>
      <c r="BO83" s="117">
        <f t="shared" ca="1" si="62"/>
        <v>29.077500000000001</v>
      </c>
      <c r="BP83" s="115">
        <f t="shared" ca="1" si="35"/>
        <v>6</v>
      </c>
      <c r="BQ83" s="115" t="b">
        <f>模拟模式!$K$10="2600·水"</f>
        <v>0</v>
      </c>
      <c r="BR83" s="117">
        <f t="shared" si="36"/>
        <v>0</v>
      </c>
      <c r="BS83" s="115">
        <f t="shared" si="37"/>
        <v>0</v>
      </c>
      <c r="BT83" s="115">
        <f t="shared" ca="1" si="38"/>
        <v>0</v>
      </c>
      <c r="BU83" s="115" t="b">
        <f ca="1">AND(模拟模式!$K$10="2300·雷",BT82=0,RAND()&lt;IF(C83="净世破魔击·月",5*0.05*2/3,IF(C83="净世破魔击·日",3*0.05*2/3,0.05*2*2/3)))</f>
        <v>0</v>
      </c>
      <c r="BV83" s="115">
        <f t="shared" ca="1" si="39"/>
        <v>0</v>
      </c>
      <c r="BW83" s="115">
        <f t="shared" ca="1" si="40"/>
        <v>133.87499999999932</v>
      </c>
      <c r="BX83" s="164" t="b">
        <f t="shared" ca="1" si="41"/>
        <v>0</v>
      </c>
      <c r="BY83" s="115">
        <f t="shared" ca="1" si="42"/>
        <v>0</v>
      </c>
      <c r="BZ83" s="115">
        <f>IF(OR(模拟模式!$P$16="10人团",模拟模式!$P$16="25人团"),IF(B83/30&gt;CA82,1,0),0)</f>
        <v>0</v>
      </c>
      <c r="CA83" s="115">
        <f t="shared" si="8"/>
        <v>0</v>
      </c>
      <c r="CB83" s="115">
        <f ca="1">IF(BZ83=1,IF(模拟模式!$P$16="10人团",15,0)+IF(模拟模式!$P$16="25人团",IF(RAND()&lt;0.6,15,0)),MAX(0,CB82-$F$4))</f>
        <v>0</v>
      </c>
      <c r="CC83" s="115" t="b">
        <f t="shared" ca="1" si="43"/>
        <v>0</v>
      </c>
      <c r="CD83" s="115">
        <f>IF(模拟模式!$Q$16="1个",IF(B83/40&gt;CE82,1,0),0)</f>
        <v>0</v>
      </c>
      <c r="CE83" s="115">
        <f t="shared" si="44"/>
        <v>0</v>
      </c>
      <c r="CF83" s="115">
        <f>IF(OR(CD83=1,模拟模式!$Q$16="2个"),20,MAX(0,CF82-$F$4))</f>
        <v>0</v>
      </c>
      <c r="CG83" s="115" t="b">
        <f t="shared" si="45"/>
        <v>0</v>
      </c>
      <c r="CH83" s="115">
        <f t="shared" ca="1" si="46"/>
        <v>13.39500000000001</v>
      </c>
      <c r="CI83" s="115" t="b">
        <f t="shared" ca="1" si="47"/>
        <v>0</v>
      </c>
      <c r="CJ83" s="119">
        <f t="shared" ca="1" si="48"/>
        <v>0</v>
      </c>
      <c r="CK83" s="115">
        <f t="shared" ca="1" si="49"/>
        <v>0</v>
      </c>
      <c r="CL83" s="115" t="b">
        <f ca="1">AND(模拟模式!$S$7="驱夷逐法",OR(AND(C83="净世破魔击·月",E82&gt;59),AND(C83="净世破魔击·日",F82&gt;59)))</f>
        <v>1</v>
      </c>
      <c r="CM83" s="115" t="b">
        <f ca="1">OR(CL83,AND(C83="净世破魔击·日",CL82,RAND()&lt;模拟模式!$U$23))</f>
        <v>1</v>
      </c>
      <c r="CN83" s="115" t="b">
        <f ca="1">IF(模拟模式!$M$7="辉耀红尘",AND(C83="净世破魔击·月",CL83,CV83=0,E82&lt;80),AND(C83="净世破魔击·月",CL83,E82&lt;100))</f>
        <v>0</v>
      </c>
      <c r="CO83" s="115" t="b">
        <f t="shared" ca="1" si="9"/>
        <v>0</v>
      </c>
      <c r="CP83" s="115" t="b">
        <f ca="1">AND(模拟模式!$O$7="用晦而明",OR(C83="净世破魔击·日",C83="净世破魔击·月",C83="驱夜断愁"),AB83)</f>
        <v>1</v>
      </c>
      <c r="CQ83" s="115" t="b">
        <f ca="1">OR(CP83,AND(CP82,RAND()&lt;模拟模式!$U$23))</f>
        <v>1</v>
      </c>
      <c r="CR83" s="115" t="b">
        <f ca="1">AND(模拟模式!$S$7="日月齐光",OR(C83="幽月轮1",C83="幽月轮2",C83="幽月轮3",CR82),NOT(OR(C83="赤日轮1",C83="赤日轮2",C83="赤日轮3")))</f>
        <v>0</v>
      </c>
      <c r="CS83" s="115" t="b">
        <f ca="1">AND(模拟模式!$S$7="日月齐光",OR(C83="赤日轮1",C83="赤日轮2",C83="赤日轮3",CS82),NOT(OR(C83="幽月轮1",C83="幽月轮2",C83="幽月轮3")))</f>
        <v>0</v>
      </c>
      <c r="CT83" s="115">
        <f t="shared" ca="1" si="50"/>
        <v>0</v>
      </c>
      <c r="CU83" s="115" t="b">
        <f ca="1">AND(模拟模式!$K$10="阴阳往极",CT82=0,RAND()&lt;IF(C83="净世破魔击·月",0.0275*7/3,IF(C83="净世破魔击·日",0.0275*3/3,0.0275*2/3)))</f>
        <v>0</v>
      </c>
      <c r="CV83" s="115">
        <f t="shared" ca="1" si="51"/>
        <v>0</v>
      </c>
      <c r="CW83" s="115">
        <f t="shared" ca="1" si="63"/>
        <v>4.1549999999999994</v>
      </c>
      <c r="CX83" s="115">
        <f t="shared" ca="1" si="64"/>
        <v>2.3099999999999996</v>
      </c>
      <c r="CY83" s="115">
        <f ca="1">MAX(IF($C83="驱夜断愁",IF(模拟模式!$R$7="万念俱寂",6,45),CY82-$F$4),0)</f>
        <v>3.2324999999999995</v>
      </c>
      <c r="CZ83" s="115">
        <f t="shared" ca="1" si="12"/>
        <v>0</v>
      </c>
      <c r="DA83" s="115">
        <f ca="1">IF(模拟模式!$N$7="日月同辉",IF(DB82=2,0,MIN(6,IF(AND(OR(C83="赤日轮1",C83="赤日轮2",C83="赤日轮3",C83="幽月轮1",C83="幽月轮2",C83="幽月轮3"),AB83=1),DA82+1,DA82))),0)</f>
        <v>1</v>
      </c>
      <c r="DB83" s="115">
        <f t="shared" ca="1" si="13"/>
        <v>0</v>
      </c>
      <c r="DD83" s="115"/>
      <c r="DE83" s="115"/>
      <c r="DF83" s="115"/>
      <c r="DG83" s="115"/>
      <c r="DH83" s="115"/>
      <c r="DI83" s="115"/>
      <c r="DJ83" s="115"/>
      <c r="DK83" s="115"/>
      <c r="DL83" s="115"/>
      <c r="DM83" s="115"/>
    </row>
    <row r="84" spans="2:117" x14ac:dyDescent="0.2">
      <c r="B84" s="117">
        <f t="shared" si="65"/>
        <v>52.582499999999975</v>
      </c>
      <c r="C84" s="167" t="str">
        <f t="shared" ca="1" si="0"/>
        <v>净世破魔击·日</v>
      </c>
      <c r="D84" s="115">
        <f ca="1">IF(C84="赤日轮1",1,IF(C84="赤日轮2",2,IF(C84="赤日轮3",3,IF(C84="幽月轮1",4,IF(C84="幽月轮2",5,IF(C84="幽月轮3",6,IF(C84="烈日斩",7,IF(C84="银月斩",8,IF(C84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84="净世破魔击·月",17,IF(C84="驱夜断愁",18,0)))))))))))</f>
        <v>9</v>
      </c>
      <c r="E84" s="115">
        <f ca="1">IF(AND(CU84,OR(C84="幽月轮1",C84="幽月轮2",C84="幽月轮3",C84="银月斩",C84="驱夜断愁",C84="净世破魔击·月")),100,MIN(IF(OR(CN84,BE84),0,IF(OR($C84="赤日轮1",$C84="赤日轮2",$C84="赤日轮3"),E83+20+IF(模拟模式!$I$7="日月凌天",4,0)+IF(CR83,20,0),IF($C84="烈日斩",E83+40,IF($C84="驱夜断愁",IF(模拟模式!$R$7="万念俱寂",E83+20,E83+60),IF($C84="净世破魔击·月",IF(OR(DB83&gt;0,CV83&gt;0),100,IF(模拟模式!$M$7="辉耀红尘",E83+20,E83)),IF($C84="净世破魔击·日",E83-100,E83)))))),100))</f>
        <v>0</v>
      </c>
      <c r="F84" s="115">
        <f ca="1">IF(AND(CU84,OR(C84="赤日轮1",C84="赤日轮2",C84="赤日轮3",C84="烈日斩",C84="净世破魔击·日")),100,MIN(IF(CO84,0,IF(OR($C84="幽月轮1",$C84="幽月轮2",$C84="幽月轮3"),F83+20+IF(模拟模式!$I$7="日月凌天",4,0)+IF(CS83,20,0),IF($C84="银月斩",F83+40+IF(模拟模式!$X$12=1,5,0),IF($C84="驱夜断愁",IF(模拟模式!$R$7="万念俱寂",F83+20,F83+60),IF($C84="净世破魔击·月",IF(模拟模式!$M$7="辉耀红尘",F83-80,F83-100),IF(AND(C84="净世破魔击·日",OR(DB83&gt;0,CV83&gt;0)),100,F83)))))),100))</f>
        <v>20</v>
      </c>
      <c r="G84" s="117">
        <f ca="1">('模拟-全程加成'!$E$3+'模拟-全程加成'!$E$4+'模拟-全程加成'!$E$5+('模拟-全程加成'!$C$6-'模拟-全程加成'!$C$3)*系数!$B$9+BS84*23)*(1+'模拟-全程加成'!$F$4+'模拟-全程加成'!$F$5+BJ84*10%+BM84*20%+BP84*4%+CG84*30%)+$F$7*系数!$B$12</f>
        <v>21493.829400000002</v>
      </c>
      <c r="H84" s="45">
        <f ca="1">'模拟-全程加成'!$H$3+'模拟-全程加成'!$H$4+'模拟-全程加成'!$H$5+('模拟-全程加成'!$G$4+'模拟-全程加成'!$G$5+('模拟-全程加成'!$C$6-'模拟-全程加成'!$C$3)*系数!$B$13)/系数!$B$3+LOOKUP(D84,'模拟-单技能数据'!$A$2:$A$19,'模拟-单技能数据'!$K$2:$K$19)+BG84*10%+IF(BV84&gt;0,378,0)</f>
        <v>0.54185145527300216</v>
      </c>
      <c r="I84" s="45">
        <f ca="1">'模拟-全程加成'!$J$3+'模拟-全程加成'!$J$4+'模拟-全程加成'!$J$5+('模拟-全程加成'!$I$4+'模拟-全程加成'!$I$5)/系数!$B$4+LOOKUP(D84,'模拟-单技能数据'!$A$2:$A$19,'模拟-单技能数据'!$L$2:$L$19)+BG84*10%</f>
        <v>2.162482885499879</v>
      </c>
      <c r="J84" s="45">
        <f ca="1">(('模拟-全程加成'!$K$3+'模拟-全程加成'!$K$4+'模拟-全程加成'!$K$5+('模拟-全程加成'!$C$6-'模拟-全程加成'!$C$3)*系数!$B$10+IF(BV84&gt;0,882,0)+IF(BY84&gt;0,1831,0))*(1+'模拟-全程加成'!$L$4+'模拟-全程加成'!$L$5+CC84*20%))/系数!$B$5</f>
        <v>0.69723220422048726</v>
      </c>
      <c r="K84" s="119">
        <f ca="1">LOOKUP(D84,'模拟-单技能数据'!$A$2:$A$19,'模拟-单技能数据'!$J$2:$J$19)+IF(CM84,60%,0)+IF(DB83-DB84&gt;0,30%,0)+IF(OR(AND(OR(C84="赤日轮1",C84="赤日轮2",C84="赤日轮3"),CR84),AND(OR(C84="幽月轮1",C84="幽月轮2",C84="幽月轮3"),CS84)),35%,0)+CJ84</f>
        <v>0.8</v>
      </c>
      <c r="L84" s="119">
        <f ca="1">IF(AND(C84="烈日斩",模拟模式!$X$11=1),10%,0)+IF(AND(C84="驱夜断愁",AB84=1),30%,0)</f>
        <v>0</v>
      </c>
      <c r="M84" s="45">
        <f t="shared" ca="1" si="15"/>
        <v>0.54185145527300216</v>
      </c>
      <c r="N84" s="45">
        <f t="shared" ca="1" si="16"/>
        <v>0.40424854472699789</v>
      </c>
      <c r="O84" s="46">
        <f t="shared" ca="1" si="17"/>
        <v>0.46413782680308091</v>
      </c>
      <c r="P84" s="46" t="str">
        <f t="shared" ca="1" si="18"/>
        <v>会</v>
      </c>
      <c r="Q84" s="45">
        <f t="shared" ca="1" si="19"/>
        <v>2.162482885499879</v>
      </c>
      <c r="R84" s="117">
        <f ca="1">模拟模式!$E$20*(1-IF(模拟模式!$J$19="有",0.15,0))*(1-IF(模拟模式!$K$19="有",0.3,0)-IF(CQ84,0.5,0))</f>
        <v>843.02999999999975</v>
      </c>
      <c r="S84" s="45">
        <f ca="1">R84/(R84+(185*模拟模式!$E$22-16800)*4.08224)</f>
        <v>8.389626085980037E-2</v>
      </c>
      <c r="T84" s="45" t="str">
        <f ca="1">LOOKUP(D84,'模拟-单技能数据'!$A$2:$A$19,'模拟-单技能数据'!$H$2:$H$19)</f>
        <v>阳</v>
      </c>
      <c r="U84" s="119">
        <f t="shared" ca="1" si="20"/>
        <v>0.2</v>
      </c>
      <c r="V84" s="47">
        <f ca="1">(1+L84)*(LOOKUP(D84,'模拟-单技能数据'!$A$2:$A$19,'模拟-单技能数据'!$D$2:$D$19)+G84*LOOKUP(D84,'模拟-单技能数据'!$A$2:$A$19,'模拟-单技能数据'!$F$2:$F$19))*(1+J84)*(1+K84)*(1-S84)*(1+U84)*Q84*LOOKUP(D84,'模拟-单技能数据'!$A$2:$A$19,'模拟-单技能数据'!$I$2:$I$20)</f>
        <v>204517.60843249681</v>
      </c>
      <c r="W84" s="47">
        <f ca="1">LOOKUP(D84,'模拟-单技能数据'!$A$2:$A$19,'模拟-单技能数据'!$G$2:$G$19)*$I$10</f>
        <v>723.0212870940959</v>
      </c>
      <c r="X84" s="47">
        <f t="shared" ca="1" si="21"/>
        <v>8840.2341748571616</v>
      </c>
      <c r="Y84" s="47">
        <f t="shared" ca="1" si="22"/>
        <v>214080.86389444806</v>
      </c>
      <c r="Z84" s="49">
        <f t="shared" ca="1" si="23"/>
        <v>5863722.7803139547</v>
      </c>
      <c r="AA84" s="97">
        <f t="shared" ca="1" si="24"/>
        <v>111514.72030264742</v>
      </c>
      <c r="AB84" s="115">
        <f ca="1">IF(OR(C84="赤日轮1",C84="赤日轮2",C84="赤日轮3"),IF(RAND()&lt;模拟模式!$Y$17,1,0),IF(OR(C84="幽月轮1",C84="幽月轮2",C84="幽月轮3"),IF(RAND()&lt;模拟模式!$Y$18,1,0),IF(C84="烈日斩",IF(RAND()&lt;模拟模式!$Y$19,1,0),IF(C84="银月斩",IF(RAND()&lt;模拟模式!$Y$20,1,0),IF(C84="驱夜断愁",IF(RAND()&lt;模拟模式!$Y$21,1,0),IF(C84="净世破魔击·日",IF(RAND()&lt;模拟模式!$Y$22,1,0),IF(C84="净世破魔击·月",IF(RAND()&lt;模拟模式!$Y$23,1,0),0)))))))</f>
        <v>1</v>
      </c>
      <c r="AC84" s="115" t="b">
        <f t="shared" ca="1" si="56"/>
        <v>0</v>
      </c>
      <c r="AD84" s="115" t="b">
        <f t="shared" ca="1" si="52"/>
        <v>0</v>
      </c>
      <c r="AE84" s="115">
        <f t="shared" ca="1" si="53"/>
        <v>3</v>
      </c>
      <c r="AF84" s="47">
        <f ca="1">IF(AC84,('模拟-单技能数据'!$D$20+G84*'模拟-单技能数据'!$F$20)*(1+J84)*(1+'模拟-单技能数据'!$J$20)*(1+U84),0)</f>
        <v>0</v>
      </c>
      <c r="AG84" s="61">
        <f t="shared" ca="1" si="25"/>
        <v>0.64185145527300214</v>
      </c>
      <c r="AH84" s="61">
        <f t="shared" ca="1" si="26"/>
        <v>2.2624828854998791</v>
      </c>
      <c r="AI84" s="62">
        <f t="shared" ca="1" si="27"/>
        <v>0.88430074243875278</v>
      </c>
      <c r="AJ84" s="47">
        <f ca="1">IF(AD84,IF(AI84&lt;$F$10,0,IF(AI84&lt;$F$10+$F$11,0.25,IF(AI84&lt;$F$10+$F$11+AG84,AH84,1)))*IF(AF84&gt;0,AF84,IF(AF83&gt;0,AF83,IF(AF82&gt;0,AF82,IF(AF81&gt;0,AF81,IF(AF80&gt;0,AF80,IF(AF79&gt;0,AF79,IF(AF78&gt;0,AF78,IF(AF77&gt;0,AF77,IF(AF76&gt;0,AF76,IF(AF74&gt;0,AF74,IF(AF73&gt;0,AF73,IF(AF72&gt;0,AF72,0)))))))))))),0)*(1-$S84)*'模拟-单技能数据'!$I$20</f>
        <v>0</v>
      </c>
      <c r="AK84" s="115" t="b">
        <f t="shared" ca="1" si="57"/>
        <v>1</v>
      </c>
      <c r="AL84" s="115" t="b">
        <f t="shared" ca="1" si="54"/>
        <v>0</v>
      </c>
      <c r="AM84" s="115">
        <f t="shared" ca="1" si="55"/>
        <v>6</v>
      </c>
      <c r="AN84" s="47">
        <f ca="1">IF(AK84,('模拟-单技能数据'!$D$21+G84*'模拟-单技能数据'!$F$21)*(1+J84)*(1+'模拟-单技能数据'!$J$21)*(1+U84),0)</f>
        <v>12670.936004857545</v>
      </c>
      <c r="AO84" s="61">
        <f ca="1">IF(AN84&gt;0,M84-'模拟-单技能数据'!$K$10,AO83)</f>
        <v>0.42185145527300216</v>
      </c>
      <c r="AP84" s="61">
        <f ca="1">IF(AN84&gt;0,I84-'模拟-单技能数据'!$L$10,AP83)</f>
        <v>2.162482885499879</v>
      </c>
      <c r="AQ84" s="63">
        <f t="shared" ca="1" si="28"/>
        <v>0.81168855772557558</v>
      </c>
      <c r="AR84" s="64">
        <f ca="1">IF(AL84,IF(AQ84&lt;$F$10,0,IF(AQ84&lt;$F$10+$F$11,0.25,IF(AQ84&lt;$F$10+$F$11+AO84,AP84,1)))*IF(AN84&gt;0,AN84,IF(AN83&gt;0,AN83,IF(AN82&gt;0,AN82,IF(AN81&gt;0,AN81,IF(AN80&gt;0,AN80,IF(AN79&gt;0,AN79,IF(AN78&gt;0,AN78,IF(AN77&gt;0,AN77,IF(AN76&gt;0,AN76,IF(AN74&gt;0,AN74,IF(AN73&gt;0,AN73,IF(AN72&gt;0,AN72,0)))))))))))),0)*(1-$S84)*'模拟-单技能数据'!$I$21</f>
        <v>0</v>
      </c>
      <c r="AS84" s="61">
        <f ca="1">IF(OR(C84="净世破魔击·日",C84="净世破魔击·月"),M84-'模拟-单技能数据'!$K$10,0)</f>
        <v>0.42185145527300216</v>
      </c>
      <c r="AT84" s="61">
        <f ca="1">IF(OR(C84="净世破魔击·日",C84="净世破魔击·月"),I84-'模拟-单技能数据'!$L$10,0)</f>
        <v>2.162482885499879</v>
      </c>
      <c r="AU84" s="62">
        <f t="shared" ca="1" si="29"/>
        <v>0.99277594048106921</v>
      </c>
      <c r="AV84" s="64">
        <f ca="1">IF(AS84&gt;0,('模拟-单技能数据'!$D$22+G84*'模拟-单技能数据'!$F$22)*(1+J84)*(1-S84)*IF(AU84&lt;$F$10,0,IF(AU84&lt;$F$10+$F$11,0.25,IF(AU84&lt;$F$10+$F$11+AS84,AT84,1)))*(1+U84),0)*'模拟-单技能数据'!$I$22</f>
        <v>8840.2341748571616</v>
      </c>
      <c r="AW84" s="108">
        <f t="shared" ca="1" si="30"/>
        <v>2.4725000000000064</v>
      </c>
      <c r="AX84" s="108" t="b">
        <f ca="1">AND(模拟模式!$P$10="有",AW83=0,RAND()&lt;IF(C84="净世破魔击·月",0.1*8/3,IF(C84="净世破魔击·日",0.1*4/3,0.1*2/3)))</f>
        <v>0</v>
      </c>
      <c r="AY84" s="47">
        <f ca="1">IF(AX84,(18+G84*0.722)*(1+J84)*(1-S84)*(1+$I$4)*IF(P84="会",'模拟-全程加成'!$J$3+'模拟-全程加成'!$J$4+'模拟-全程加成'!$J$5+('模拟-全程加成'!$I$4+'模拟-全程加成'!$I$5)/系数!$B$4+BG84*10%,IF(P84="命",1,IF(P84="识",0.25,0))),0)</f>
        <v>0</v>
      </c>
      <c r="AZ84" s="108">
        <f t="shared" si="31"/>
        <v>8.0075000000000074</v>
      </c>
      <c r="BA84" s="108" t="b">
        <f>AND(模拟模式!$Q$10="有",AZ83=0)</f>
        <v>0</v>
      </c>
      <c r="BB84" s="140">
        <f>IF(BA84,(0+G84*0.287)*(1+J84)*(1-S84)*(1+$I$4)*IF(P84="会",'模拟-全程加成'!$J$3+'模拟-全程加成'!$J$4+'模拟-全程加成'!$J$5+('模拟-全程加成'!$I$4+'模拟-全程加成'!$I$5)/系数!$B$4+BG84*10%,IF(P84="命",1,IF(P84="识",0.25,0))),0)</f>
        <v>0</v>
      </c>
      <c r="BC84" s="115" t="b">
        <f ca="1">AND(模拟模式!$R$7="伏明众生",E84=60,F84=20,DA84&lt;5,CZ83&lt;$F$4)</f>
        <v>0</v>
      </c>
      <c r="BD84" s="115">
        <f t="shared" ca="1" si="58"/>
        <v>0</v>
      </c>
      <c r="BE84" s="115" t="b">
        <f t="shared" ca="1" si="59"/>
        <v>0</v>
      </c>
      <c r="BF84" s="47">
        <f ca="1">IF(BC84,4*('模拟-单技能数据'!$D$24+G84*'模拟-单技能数据'!$F$24)*(1+J84)*(1+'模拟-单技能数据'!$J$24)*(1-S84)*(1+$I$3)*(('模拟-全程加成'!$J$3+'模拟-全程加成'!$J$4+'模拟-全程加成'!$J$5+('模拟-全程加成'!$I$4+'模拟-全程加成'!$I$5)/系数!$B$4+BG84*10%)*('模拟-全程加成'!$J$3+'模拟-全程加成'!$J$4+'模拟-全程加成'!$J$5+('模拟-全程加成'!$I$4+'模拟-全程加成'!$I$5)/系数!$B$4+BG84*10%)+(1-('模拟-全程加成'!$J$3+'模拟-全程加成'!$J$4+'模拟-全程加成'!$J$5+('模拟-全程加成'!$I$4+'模拟-全程加成'!$I$5)/系数!$B$4+BG84*10%)-$F$10-$F$11)+F70*0.25),0)*'模拟-单技能数据'!$I$24</f>
        <v>0</v>
      </c>
      <c r="BG84" s="115" t="b">
        <f ca="1">OR(AND(OR(C84="烈日斩",C84="银月斩"),模拟模式!$I$7="净身明礼"),AND(C84="净世破魔击·日",模拟模式!$J$7="洞若观火"),AND(C85="净世破魔击·月",模拟模式!$J$7="洞若观火"),AB84=1)</f>
        <v>1</v>
      </c>
      <c r="BH84" s="115" t="b">
        <f t="shared" ca="1" si="32"/>
        <v>1</v>
      </c>
      <c r="BI84" s="115">
        <f t="shared" ca="1" si="60"/>
        <v>6</v>
      </c>
      <c r="BJ84" s="115" t="b">
        <f t="shared" ca="1" si="33"/>
        <v>1</v>
      </c>
      <c r="BK84" s="115" t="b">
        <f ca="1">AND(C84="驱夜断愁",模拟模式!$P$7="天地诛戮")</f>
        <v>0</v>
      </c>
      <c r="BL84" s="57">
        <f t="shared" ca="1" si="61"/>
        <v>16.310000000000002</v>
      </c>
      <c r="BM84" s="115" t="b">
        <f t="shared" ca="1" si="34"/>
        <v>1</v>
      </c>
      <c r="BN84" s="115" t="b">
        <f ca="1">AND(OR(C84="赤日轮1",C84="赤日轮2",C84="赤日轮3",C84="幽月轮1",C84="幽月轮2",C84="幽月轮3"),AB84=1,模拟模式!$L$7="明光恒照")</f>
        <v>0</v>
      </c>
      <c r="BO84" s="117">
        <f t="shared" ca="1" si="62"/>
        <v>28.155000000000001</v>
      </c>
      <c r="BP84" s="115">
        <f t="shared" ca="1" si="35"/>
        <v>6</v>
      </c>
      <c r="BQ84" s="115" t="b">
        <f>模拟模式!$K$10="2600·水"</f>
        <v>0</v>
      </c>
      <c r="BR84" s="117">
        <f t="shared" si="36"/>
        <v>0</v>
      </c>
      <c r="BS84" s="115">
        <f t="shared" si="37"/>
        <v>0</v>
      </c>
      <c r="BT84" s="115">
        <f t="shared" ca="1" si="38"/>
        <v>0</v>
      </c>
      <c r="BU84" s="115" t="b">
        <f ca="1">AND(模拟模式!$K$10="2300·雷",BT83=0,RAND()&lt;IF(C84="净世破魔击·月",5*0.05*2/3,IF(C84="净世破魔击·日",3*0.05*2/3,0.05*2*2/3)))</f>
        <v>0</v>
      </c>
      <c r="BV84" s="115">
        <f t="shared" ca="1" si="39"/>
        <v>0</v>
      </c>
      <c r="BW84" s="115">
        <f t="shared" ca="1" si="40"/>
        <v>132.9524999999993</v>
      </c>
      <c r="BX84" s="164" t="b">
        <f t="shared" ca="1" si="41"/>
        <v>0</v>
      </c>
      <c r="BY84" s="115">
        <f t="shared" ca="1" si="42"/>
        <v>0</v>
      </c>
      <c r="BZ84" s="115">
        <f>IF(OR(模拟模式!$P$16="10人团",模拟模式!$P$16="25人团"),IF(B84/30&gt;CA83,1,0),0)</f>
        <v>0</v>
      </c>
      <c r="CA84" s="115">
        <f t="shared" si="8"/>
        <v>0</v>
      </c>
      <c r="CB84" s="115">
        <f ca="1">IF(BZ84=1,IF(模拟模式!$P$16="10人团",15,0)+IF(模拟模式!$P$16="25人团",IF(RAND()&lt;0.6,15,0)),MAX(0,CB83-$F$4))</f>
        <v>0</v>
      </c>
      <c r="CC84" s="115" t="b">
        <f t="shared" ca="1" si="43"/>
        <v>0</v>
      </c>
      <c r="CD84" s="115">
        <f>IF(模拟模式!$Q$16="1个",IF(B84/40&gt;CE83,1,0),0)</f>
        <v>0</v>
      </c>
      <c r="CE84" s="115">
        <f t="shared" si="44"/>
        <v>0</v>
      </c>
      <c r="CF84" s="115">
        <f>IF(OR(CD84=1,模拟模式!$Q$16="2个"),20,MAX(0,CF83-$F$4))</f>
        <v>0</v>
      </c>
      <c r="CG84" s="115" t="b">
        <f t="shared" si="45"/>
        <v>0</v>
      </c>
      <c r="CH84" s="115">
        <f t="shared" ca="1" si="46"/>
        <v>12.472500000000011</v>
      </c>
      <c r="CI84" s="115" t="b">
        <f t="shared" ca="1" si="47"/>
        <v>0</v>
      </c>
      <c r="CJ84" s="119">
        <f t="shared" ca="1" si="48"/>
        <v>0</v>
      </c>
      <c r="CK84" s="115">
        <f t="shared" ca="1" si="49"/>
        <v>0</v>
      </c>
      <c r="CL84" s="115" t="b">
        <f ca="1">AND(模拟模式!$S$7="驱夷逐法",OR(AND(C84="净世破魔击·月",E83&gt;59),AND(C84="净世破魔击·日",F83&gt;59)))</f>
        <v>0</v>
      </c>
      <c r="CM84" s="115" t="b">
        <f ca="1">OR(CL84,AND(C84="净世破魔击·日",CL83,RAND()&lt;模拟模式!$U$23))</f>
        <v>1</v>
      </c>
      <c r="CN84" s="115" t="b">
        <f ca="1">IF(模拟模式!$M$7="辉耀红尘",AND(C84="净世破魔击·月",CL84,CV84=0,E83&lt;80),AND(C84="净世破魔击·月",CL84,E83&lt;100))</f>
        <v>0</v>
      </c>
      <c r="CO84" s="115" t="b">
        <f t="shared" ca="1" si="9"/>
        <v>0</v>
      </c>
      <c r="CP84" s="115" t="b">
        <f ca="1">AND(模拟模式!$O$7="用晦而明",OR(C84="净世破魔击·日",C84="净世破魔击·月",C84="驱夜断愁"),AB84)</f>
        <v>1</v>
      </c>
      <c r="CQ84" s="115" t="b">
        <f ca="1">OR(CP84,AND(CP83,RAND()&lt;模拟模式!$U$23))</f>
        <v>1</v>
      </c>
      <c r="CR84" s="115" t="b">
        <f ca="1">AND(模拟模式!$S$7="日月齐光",OR(C84="幽月轮1",C84="幽月轮2",C84="幽月轮3",CR83),NOT(OR(C84="赤日轮1",C84="赤日轮2",C84="赤日轮3")))</f>
        <v>0</v>
      </c>
      <c r="CS84" s="115" t="b">
        <f ca="1">AND(模拟模式!$S$7="日月齐光",OR(C84="赤日轮1",C84="赤日轮2",C84="赤日轮3",CS83),NOT(OR(C84="幽月轮1",C84="幽月轮2",C84="幽月轮3")))</f>
        <v>0</v>
      </c>
      <c r="CT84" s="115">
        <f t="shared" ca="1" si="50"/>
        <v>0</v>
      </c>
      <c r="CU84" s="115" t="b">
        <f ca="1">AND(模拟模式!$K$10="阴阳往极",CT83=0,RAND()&lt;IF(C84="净世破魔击·月",0.0275*7/3,IF(C84="净世破魔击·日",0.0275*3/3,0.0275*2/3)))</f>
        <v>0</v>
      </c>
      <c r="CV84" s="115">
        <f t="shared" ca="1" si="51"/>
        <v>0</v>
      </c>
      <c r="CW84" s="115">
        <f t="shared" ca="1" si="63"/>
        <v>3.2324999999999995</v>
      </c>
      <c r="CX84" s="115">
        <f t="shared" ca="1" si="64"/>
        <v>1.3874999999999997</v>
      </c>
      <c r="CY84" s="115">
        <f ca="1">MAX(IF($C84="驱夜断愁",IF(模拟模式!$R$7="万念俱寂",6,45),CY83-$F$4),0)</f>
        <v>2.3099999999999996</v>
      </c>
      <c r="CZ84" s="115">
        <f t="shared" ca="1" si="12"/>
        <v>0</v>
      </c>
      <c r="DA84" s="115">
        <f ca="1">IF(模拟模式!$N$7="日月同辉",IF(DB83=2,0,MIN(6,IF(AND(OR(C84="赤日轮1",C84="赤日轮2",C84="赤日轮3",C84="幽月轮1",C84="幽月轮2",C84="幽月轮3"),AB84=1),DA83+1,DA83))),0)</f>
        <v>1</v>
      </c>
      <c r="DB84" s="115">
        <f t="shared" ca="1" si="13"/>
        <v>0</v>
      </c>
      <c r="DD84" s="115"/>
      <c r="DE84" s="115"/>
      <c r="DF84" s="115"/>
      <c r="DG84" s="115"/>
      <c r="DH84" s="115"/>
      <c r="DI84" s="115"/>
      <c r="DJ84" s="115"/>
      <c r="DK84" s="115"/>
      <c r="DL84" s="115"/>
      <c r="DM84" s="115"/>
    </row>
    <row r="85" spans="2:117" x14ac:dyDescent="0.2">
      <c r="B85" s="117">
        <f t="shared" si="65"/>
        <v>53.504999999999974</v>
      </c>
      <c r="C85" s="167" t="str">
        <f t="shared" ca="1" si="0"/>
        <v>赤日轮1</v>
      </c>
      <c r="D85" s="115">
        <f ca="1">IF(C85="赤日轮1",1,IF(C85="赤日轮2",2,IF(C85="赤日轮3",3,IF(C85="幽月轮1",4,IF(C85="幽月轮2",5,IF(C85="幽月轮3",6,IF(C85="烈日斩",7,IF(C85="银月斩",8,IF(C85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85="净世破魔击·月",17,IF(C85="驱夜断愁",18,0)))))))))))</f>
        <v>1</v>
      </c>
      <c r="E85" s="115">
        <f ca="1">IF(AND(CU85,OR(C85="幽月轮1",C85="幽月轮2",C85="幽月轮3",C85="银月斩",C85="驱夜断愁",C85="净世破魔击·月")),100,MIN(IF(OR(CN85,BE85),0,IF(OR($C85="赤日轮1",$C85="赤日轮2",$C85="赤日轮3"),E84+20+IF(模拟模式!$I$7="日月凌天",4,0)+IF(CR84,20,0),IF($C85="烈日斩",E84+40,IF($C85="驱夜断愁",IF(模拟模式!$R$7="万念俱寂",E84+20,E84+60),IF($C85="净世破魔击·月",IF(OR(DB84&gt;0,CV84&gt;0),100,IF(模拟模式!$M$7="辉耀红尘",E84+20,E84)),IF($C85="净世破魔击·日",E84-100,E84)))))),100))</f>
        <v>20</v>
      </c>
      <c r="F85" s="115">
        <f ca="1">IF(AND(CU85,OR(C85="赤日轮1",C85="赤日轮2",C85="赤日轮3",C85="烈日斩",C85="净世破魔击·日")),100,MIN(IF(CO85,0,IF(OR($C85="幽月轮1",$C85="幽月轮2",$C85="幽月轮3"),F84+20+IF(模拟模式!$I$7="日月凌天",4,0)+IF(CS84,20,0),IF($C85="银月斩",F84+40+IF(模拟模式!$X$12=1,5,0),IF($C85="驱夜断愁",IF(模拟模式!$R$7="万念俱寂",F84+20,F84+60),IF($C85="净世破魔击·月",IF(模拟模式!$M$7="辉耀红尘",F84-80,F84-100),IF(AND(C85="净世破魔击·日",OR(DB84&gt;0,CV84&gt;0)),100,F84)))))),100))</f>
        <v>20</v>
      </c>
      <c r="G85" s="117">
        <f ca="1">('模拟-全程加成'!$E$3+'模拟-全程加成'!$E$4+'模拟-全程加成'!$E$5+('模拟-全程加成'!$C$6-'模拟-全程加成'!$C$3)*系数!$B$9+BS85*23)*(1+'模拟-全程加成'!$F$4+'模拟-全程加成'!$F$5+BJ85*10%+BM85*20%+BP85*4%+CG85*30%)+$F$7*系数!$B$12</f>
        <v>21493.829400000002</v>
      </c>
      <c r="H85" s="45">
        <f ca="1">'模拟-全程加成'!$H$3+'模拟-全程加成'!$H$4+'模拟-全程加成'!$H$5+('模拟-全程加成'!$G$4+'模拟-全程加成'!$G$5+('模拟-全程加成'!$C$6-'模拟-全程加成'!$C$3)*系数!$B$13)/系数!$B$3+LOOKUP(D85,'模拟-单技能数据'!$A$2:$A$19,'模拟-单技能数据'!$K$2:$K$19)+BG85*10%+IF(BV85&gt;0,378,0)</f>
        <v>0.4618514552730022</v>
      </c>
      <c r="I85" s="45">
        <f ca="1">'模拟-全程加成'!$J$3+'模拟-全程加成'!$J$4+'模拟-全程加成'!$J$5+('模拟-全程加成'!$I$4+'模拟-全程加成'!$I$5)/系数!$B$4+LOOKUP(D85,'模拟-单技能数据'!$A$2:$A$19,'模拟-单技能数据'!$L$2:$L$19)+BG85*10%</f>
        <v>2.162482885499879</v>
      </c>
      <c r="J85" s="45">
        <f ca="1">(('模拟-全程加成'!$K$3+'模拟-全程加成'!$K$4+'模拟-全程加成'!$K$5+('模拟-全程加成'!$C$6-'模拟-全程加成'!$C$3)*系数!$B$10+IF(BV85&gt;0,882,0)+IF(BY85&gt;0,1831,0))*(1+'模拟-全程加成'!$L$4+'模拟-全程加成'!$L$5+CC85*20%))/系数!$B$5</f>
        <v>0.69723220422048726</v>
      </c>
      <c r="K85" s="119">
        <f ca="1">LOOKUP(D85,'模拟-单技能数据'!$A$2:$A$19,'模拟-单技能数据'!$J$2:$J$19)+IF(CM85,60%,0)+IF(DB84-DB85&gt;0,30%,0)+IF(OR(AND(OR(C85="赤日轮1",C85="赤日轮2",C85="赤日轮3"),CR85),AND(OR(C85="幽月轮1",C85="幽月轮2",C85="幽月轮3"),CS85)),35%,0)+CJ85</f>
        <v>0.12</v>
      </c>
      <c r="L85" s="119">
        <f ca="1">IF(AND(C85="烈日斩",模拟模式!$X$11=1),10%,0)+IF(AND(C85="驱夜断愁",AB85=1),30%,0)</f>
        <v>0</v>
      </c>
      <c r="M85" s="45">
        <f t="shared" ca="1" si="15"/>
        <v>0.4618514552730022</v>
      </c>
      <c r="N85" s="45">
        <f t="shared" ca="1" si="16"/>
        <v>0.48424854472699785</v>
      </c>
      <c r="O85" s="46">
        <f t="shared" ca="1" si="17"/>
        <v>0.26580721496858273</v>
      </c>
      <c r="P85" s="46" t="str">
        <f t="shared" ca="1" si="18"/>
        <v>会</v>
      </c>
      <c r="Q85" s="45">
        <f t="shared" ca="1" si="19"/>
        <v>2.162482885499879</v>
      </c>
      <c r="R85" s="117">
        <f ca="1">模拟模式!$E$20*(1-IF(模拟模式!$J$19="有",0.15,0))*(1-IF(模拟模式!$K$19="有",0.3,0)-IF(CQ85,0.5,0))</f>
        <v>843.02999999999975</v>
      </c>
      <c r="S85" s="45">
        <f ca="1">R85/(R85+(185*模拟模式!$E$22-16800)*4.08224)</f>
        <v>8.389626085980037E-2</v>
      </c>
      <c r="T85" s="45" t="str">
        <f ca="1">LOOKUP(D85,'模拟-单技能数据'!$A$2:$A$19,'模拟-单技能数据'!$H$2:$H$19)</f>
        <v>阳</v>
      </c>
      <c r="U85" s="119">
        <f t="shared" ca="1" si="20"/>
        <v>0.2</v>
      </c>
      <c r="V85" s="47">
        <f ca="1">(1+L85)*(LOOKUP(D85,'模拟-单技能数据'!$A$2:$A$19,'模拟-单技能数据'!$D$2:$D$19)+G85*LOOKUP(D85,'模拟-单技能数据'!$A$2:$A$19,'模拟-单技能数据'!$F$2:$F$19))*(1+J85)*(1+K85)*(1-S85)*(1+U85)*Q85*LOOKUP(D85,'模拟-单技能数据'!$A$2:$A$19,'模拟-单技能数据'!$I$2:$I$20)</f>
        <v>56864.156113360666</v>
      </c>
      <c r="W85" s="47">
        <f ca="1">LOOKUP(D85,'模拟-单技能数据'!$A$2:$A$19,'模拟-单技能数据'!$G$2:$G$19)*$I$10</f>
        <v>361.51064354704795</v>
      </c>
      <c r="X85" s="47">
        <f t="shared" ca="1" si="21"/>
        <v>21224.54896703297</v>
      </c>
      <c r="Y85" s="47">
        <f t="shared" ca="1" si="22"/>
        <v>78450.215723940681</v>
      </c>
      <c r="Z85" s="49">
        <f t="shared" ca="1" si="23"/>
        <v>5942172.9960378958</v>
      </c>
      <c r="AA85" s="97">
        <f t="shared" ca="1" si="24"/>
        <v>111058.27485352581</v>
      </c>
      <c r="AB85" s="115">
        <f ca="1">IF(OR(C85="赤日轮1",C85="赤日轮2",C85="赤日轮3"),IF(RAND()&lt;模拟模式!$Y$17,1,0),IF(OR(C85="幽月轮1",C85="幽月轮2",C85="幽月轮3"),IF(RAND()&lt;模拟模式!$Y$18,1,0),IF(C85="烈日斩",IF(RAND()&lt;模拟模式!$Y$19,1,0),IF(C85="银月斩",IF(RAND()&lt;模拟模式!$Y$20,1,0),IF(C85="驱夜断愁",IF(RAND()&lt;模拟模式!$Y$21,1,0),IF(C85="净世破魔击·日",IF(RAND()&lt;模拟模式!$Y$22,1,0),IF(C85="净世破魔击·月",IF(RAND()&lt;模拟模式!$Y$23,1,0),0)))))))</f>
        <v>1</v>
      </c>
      <c r="AC85" s="115" t="b">
        <f t="shared" ca="1" si="56"/>
        <v>0</v>
      </c>
      <c r="AD85" s="115" t="b">
        <f t="shared" ca="1" si="52"/>
        <v>1</v>
      </c>
      <c r="AE85" s="115">
        <f t="shared" ca="1" si="53"/>
        <v>2</v>
      </c>
      <c r="AF85" s="47">
        <f ca="1">IF(AC85,('模拟-单技能数据'!$D$20+G85*'模拟-单技能数据'!$F$20)*(1+J85)*(1+'模拟-单技能数据'!$J$20)*(1+U85),0)</f>
        <v>0</v>
      </c>
      <c r="AG85" s="61">
        <f t="shared" ca="1" si="25"/>
        <v>0.64185145527300214</v>
      </c>
      <c r="AH85" s="61">
        <f t="shared" ca="1" si="26"/>
        <v>2.2624828854998791</v>
      </c>
      <c r="AI85" s="62">
        <f t="shared" ca="1" si="27"/>
        <v>0.32437594897371769</v>
      </c>
      <c r="AJ85" s="47">
        <f ca="1">IF(AD85,IF(AI85&lt;$F$10,0,IF(AI85&lt;$F$10+$F$11,0.25,IF(AI85&lt;$F$10+$F$11+AG85,AH85,1)))*IF(AF85&gt;0,AF85,IF(AF84&gt;0,AF84,IF(AF83&gt;0,AF83,IF(AF82&gt;0,AF82,IF(AF81&gt;0,AF81,IF(AF80&gt;0,AF80,IF(AF79&gt;0,AF79,IF(AF78&gt;0,AF78,IF(AF77&gt;0,AF77,IF(AF75&gt;0,AF75,IF(AF74&gt;0,AF74,IF(AF73&gt;0,AF73,0)))))))))))),0)*(1-$S85)*'模拟-单技能数据'!$I$20</f>
        <v>9616.6571145767884</v>
      </c>
      <c r="AK85" s="115" t="b">
        <f t="shared" ca="1" si="57"/>
        <v>0</v>
      </c>
      <c r="AL85" s="115" t="b">
        <f t="shared" ca="1" si="54"/>
        <v>1</v>
      </c>
      <c r="AM85" s="115">
        <f t="shared" ca="1" si="55"/>
        <v>5</v>
      </c>
      <c r="AN85" s="47">
        <f ca="1">IF(AK85,('模拟-单技能数据'!$D$21+G85*'模拟-单技能数据'!$F$21)*(1+J85)*(1+'模拟-单技能数据'!$J$21)*(1+U85),0)</f>
        <v>0</v>
      </c>
      <c r="AO85" s="61">
        <f ca="1">IF(AN85&gt;0,M85-'模拟-单技能数据'!$K$10,AO84)</f>
        <v>0.42185145527300216</v>
      </c>
      <c r="AP85" s="61">
        <f ca="1">IF(AN85&gt;0,I85-'模拟-单技能数据'!$L$10,AP84)</f>
        <v>2.162482885499879</v>
      </c>
      <c r="AQ85" s="63">
        <f t="shared" ca="1" si="28"/>
        <v>0.76717387936908077</v>
      </c>
      <c r="AR85" s="64">
        <f ca="1">IF(AL85,IF(AQ85&lt;$F$10,0,IF(AQ85&lt;$F$10+$F$11,0.25,IF(AQ85&lt;$F$10+$F$11+AO85,AP85,1)))*IF(AN85&gt;0,AN85,IF(AN84&gt;0,AN84,IF(AN83&gt;0,AN83,IF(AN82&gt;0,AN82,IF(AN81&gt;0,AN81,IF(AN80&gt;0,AN80,IF(AN79&gt;0,AN79,IF(AN78&gt;0,AN78,IF(AN77&gt;0,AN77,IF(AN75&gt;0,AN75,IF(AN74&gt;0,AN74,IF(AN73&gt;0,AN73,0)))))))))))),0)*(1-$S85)*'模拟-单技能数据'!$I$21</f>
        <v>11607.89185245618</v>
      </c>
      <c r="AS85" s="61">
        <f ca="1">IF(OR(C85="净世破魔击·日",C85="净世破魔击·月"),M85-'模拟-单技能数据'!$K$10,0)</f>
        <v>0</v>
      </c>
      <c r="AT85" s="61">
        <f ca="1">IF(OR(C85="净世破魔击·日",C85="净世破魔击·月"),I85-'模拟-单技能数据'!$L$10,0)</f>
        <v>0</v>
      </c>
      <c r="AU85" s="62">
        <f t="shared" ca="1" si="29"/>
        <v>0.56295785852039382</v>
      </c>
      <c r="AV85" s="64">
        <f ca="1">IF(AS85&gt;0,('模拟-单技能数据'!$D$22+G85*'模拟-单技能数据'!$F$22)*(1+J85)*(1-S85)*IF(AU85&lt;$F$10,0,IF(AU85&lt;$F$10+$F$11,0.25,IF(AU85&lt;$F$10+$F$11+AS85,AT85,1)))*(1+U85),0)*'模拟-单技能数据'!$I$22</f>
        <v>0</v>
      </c>
      <c r="AW85" s="108">
        <f t="shared" ca="1" si="30"/>
        <v>1.5500000000000065</v>
      </c>
      <c r="AX85" s="108" t="b">
        <f ca="1">AND(模拟模式!$P$10="有",AW84=0,RAND()&lt;IF(C85="净世破魔击·月",0.1*8/3,IF(C85="净世破魔击·日",0.1*4/3,0.1*2/3)))</f>
        <v>0</v>
      </c>
      <c r="AY85" s="47">
        <f ca="1">IF(AX85,(18+G85*0.722)*(1+J85)*(1-S85)*(1+$I$4)*IF(P85="会",'模拟-全程加成'!$J$3+'模拟-全程加成'!$J$4+'模拟-全程加成'!$J$5+('模拟-全程加成'!$I$4+'模拟-全程加成'!$I$5)/系数!$B$4+BG85*10%,IF(P85="命",1,IF(P85="识",0.25,0))),0)</f>
        <v>0</v>
      </c>
      <c r="AZ85" s="108">
        <f t="shared" si="31"/>
        <v>7.0850000000000071</v>
      </c>
      <c r="BA85" s="108" t="b">
        <f>AND(模拟模式!$Q$10="有",AZ84=0)</f>
        <v>0</v>
      </c>
      <c r="BB85" s="140">
        <f>IF(BA85,(0+G85*0.287)*(1+J85)*(1-S85)*(1+$I$4)*IF(P85="会",'模拟-全程加成'!$J$3+'模拟-全程加成'!$J$4+'模拟-全程加成'!$J$5+('模拟-全程加成'!$I$4+'模拟-全程加成'!$I$5)/系数!$B$4+BG85*10%,IF(P85="命",1,IF(P85="识",0.25,0))),0)</f>
        <v>0</v>
      </c>
      <c r="BC85" s="115" t="b">
        <f ca="1">AND(模拟模式!$R$7="伏明众生",E85=60,F85=20,DA85&lt;5,CZ84&lt;$F$4)</f>
        <v>0</v>
      </c>
      <c r="BD85" s="115">
        <f t="shared" ca="1" si="58"/>
        <v>0</v>
      </c>
      <c r="BE85" s="115" t="b">
        <f t="shared" ca="1" si="59"/>
        <v>0</v>
      </c>
      <c r="BF85" s="47">
        <f ca="1">IF(BC85,4*('模拟-单技能数据'!$D$24+G85*'模拟-单技能数据'!$F$24)*(1+J85)*(1+'模拟-单技能数据'!$J$24)*(1-S85)*(1+$I$3)*(('模拟-全程加成'!$J$3+'模拟-全程加成'!$J$4+'模拟-全程加成'!$J$5+('模拟-全程加成'!$I$4+'模拟-全程加成'!$I$5)/系数!$B$4+BG85*10%)*('模拟-全程加成'!$J$3+'模拟-全程加成'!$J$4+'模拟-全程加成'!$J$5+('模拟-全程加成'!$I$4+'模拟-全程加成'!$I$5)/系数!$B$4+BG85*10%)+(1-('模拟-全程加成'!$J$3+'模拟-全程加成'!$J$4+'模拟-全程加成'!$J$5+('模拟-全程加成'!$I$4+'模拟-全程加成'!$I$5)/系数!$B$4+BG85*10%)-$F$10-$F$11)+F71*0.25),0)*'模拟-单技能数据'!$I$24</f>
        <v>0</v>
      </c>
      <c r="BG85" s="115" t="b">
        <f ca="1">OR(AND(OR(C85="烈日斩",C85="银月斩"),模拟模式!$I$7="净身明礼"),AND(C85="净世破魔击·日",模拟模式!$J$7="洞若观火"),AND(C86="净世破魔击·月",模拟模式!$J$7="洞若观火"),AB85=1)</f>
        <v>1</v>
      </c>
      <c r="BH85" s="115" t="b">
        <f t="shared" ca="1" si="32"/>
        <v>0</v>
      </c>
      <c r="BI85" s="115">
        <f t="shared" ca="1" si="60"/>
        <v>5.0774999999999997</v>
      </c>
      <c r="BJ85" s="115" t="b">
        <f t="shared" ca="1" si="33"/>
        <v>1</v>
      </c>
      <c r="BK85" s="115" t="b">
        <f ca="1">AND(C85="驱夜断愁",模拟模式!$P$7="天地诛戮")</f>
        <v>0</v>
      </c>
      <c r="BL85" s="57">
        <f t="shared" ca="1" si="61"/>
        <v>15.387500000000003</v>
      </c>
      <c r="BM85" s="115" t="b">
        <f t="shared" ca="1" si="34"/>
        <v>1</v>
      </c>
      <c r="BN85" s="115" t="b">
        <f ca="1">AND(OR(C85="赤日轮1",C85="赤日轮2",C85="赤日轮3",C85="幽月轮1",C85="幽月轮2",C85="幽月轮3"),AB85=1,模拟模式!$L$7="明光恒照")</f>
        <v>1</v>
      </c>
      <c r="BO85" s="117">
        <f t="shared" ca="1" si="62"/>
        <v>30</v>
      </c>
      <c r="BP85" s="115">
        <f t="shared" ca="1" si="35"/>
        <v>6</v>
      </c>
      <c r="BQ85" s="115" t="b">
        <f>模拟模式!$K$10="2600·水"</f>
        <v>0</v>
      </c>
      <c r="BR85" s="117">
        <f t="shared" si="36"/>
        <v>0</v>
      </c>
      <c r="BS85" s="115">
        <f t="shared" si="37"/>
        <v>0</v>
      </c>
      <c r="BT85" s="115">
        <f t="shared" ca="1" si="38"/>
        <v>0</v>
      </c>
      <c r="BU85" s="115" t="b">
        <f ca="1">AND(模拟模式!$K$10="2300·雷",BT84=0,RAND()&lt;IF(C85="净世破魔击·月",5*0.05*2/3,IF(C85="净世破魔击·日",3*0.05*2/3,0.05*2*2/3)))</f>
        <v>0</v>
      </c>
      <c r="BV85" s="115">
        <f t="shared" ca="1" si="39"/>
        <v>0</v>
      </c>
      <c r="BW85" s="115">
        <f t="shared" ca="1" si="40"/>
        <v>132.02999999999929</v>
      </c>
      <c r="BX85" s="164" t="b">
        <f t="shared" ca="1" si="41"/>
        <v>0</v>
      </c>
      <c r="BY85" s="115">
        <f t="shared" ca="1" si="42"/>
        <v>0</v>
      </c>
      <c r="BZ85" s="115">
        <f>IF(OR(模拟模式!$P$16="10人团",模拟模式!$P$16="25人团"),IF(B85/30&gt;CA84,1,0),0)</f>
        <v>0</v>
      </c>
      <c r="CA85" s="115">
        <f t="shared" si="8"/>
        <v>0</v>
      </c>
      <c r="CB85" s="115">
        <f ca="1">IF(BZ85=1,IF(模拟模式!$P$16="10人团",15,0)+IF(模拟模式!$P$16="25人团",IF(RAND()&lt;0.6,15,0)),MAX(0,CB84-$F$4))</f>
        <v>0</v>
      </c>
      <c r="CC85" s="115" t="b">
        <f t="shared" ca="1" si="43"/>
        <v>0</v>
      </c>
      <c r="CD85" s="115">
        <f>IF(模拟模式!$Q$16="1个",IF(B85/40&gt;CE84,1,0),0)</f>
        <v>0</v>
      </c>
      <c r="CE85" s="115">
        <f t="shared" si="44"/>
        <v>0</v>
      </c>
      <c r="CF85" s="115">
        <f>IF(OR(CD85=1,模拟模式!$Q$16="2个"),20,MAX(0,CF84-$F$4))</f>
        <v>0</v>
      </c>
      <c r="CG85" s="115" t="b">
        <f t="shared" si="45"/>
        <v>0</v>
      </c>
      <c r="CH85" s="115">
        <f t="shared" ca="1" si="46"/>
        <v>11.550000000000011</v>
      </c>
      <c r="CI85" s="115" t="b">
        <f t="shared" ca="1" si="47"/>
        <v>0</v>
      </c>
      <c r="CJ85" s="119">
        <f t="shared" ca="1" si="48"/>
        <v>0</v>
      </c>
      <c r="CK85" s="115">
        <f t="shared" ca="1" si="49"/>
        <v>0</v>
      </c>
      <c r="CL85" s="115" t="b">
        <f ca="1">AND(模拟模式!$S$7="驱夷逐法",OR(AND(C85="净世破魔击·月",E84&gt;59),AND(C85="净世破魔击·日",F84&gt;59)))</f>
        <v>0</v>
      </c>
      <c r="CM85" s="115" t="b">
        <f ca="1">OR(CL85,AND(C85="净世破魔击·日",CL84,RAND()&lt;模拟模式!$U$23))</f>
        <v>0</v>
      </c>
      <c r="CN85" s="115" t="b">
        <f ca="1">IF(模拟模式!$M$7="辉耀红尘",AND(C85="净世破魔击·月",CL85,CV85=0,E84&lt;80),AND(C85="净世破魔击·月",CL85,E84&lt;100))</f>
        <v>0</v>
      </c>
      <c r="CO85" s="115" t="b">
        <f t="shared" ca="1" si="9"/>
        <v>0</v>
      </c>
      <c r="CP85" s="115" t="b">
        <f ca="1">AND(模拟模式!$O$7="用晦而明",OR(C85="净世破魔击·日",C85="净世破魔击·月",C85="驱夜断愁"),AB85)</f>
        <v>0</v>
      </c>
      <c r="CQ85" s="115" t="b">
        <f ca="1">OR(CP85,AND(CP84,RAND()&lt;模拟模式!$U$23))</f>
        <v>1</v>
      </c>
      <c r="CR85" s="115" t="b">
        <f ca="1">AND(模拟模式!$S$7="日月齐光",OR(C85="幽月轮1",C85="幽月轮2",C85="幽月轮3",CR84),NOT(OR(C85="赤日轮1",C85="赤日轮2",C85="赤日轮3")))</f>
        <v>0</v>
      </c>
      <c r="CS85" s="115" t="b">
        <f ca="1">AND(模拟模式!$S$7="日月齐光",OR(C85="赤日轮1",C85="赤日轮2",C85="赤日轮3",CS84),NOT(OR(C85="幽月轮1",C85="幽月轮2",C85="幽月轮3")))</f>
        <v>0</v>
      </c>
      <c r="CT85" s="115">
        <f t="shared" ca="1" si="50"/>
        <v>0</v>
      </c>
      <c r="CU85" s="115" t="b">
        <f ca="1">AND(模拟模式!$K$10="阴阳往极",CT84=0,RAND()&lt;IF(C85="净世破魔击·月",0.0275*7/3,IF(C85="净世破魔击·日",0.0275*3/3,0.0275*2/3)))</f>
        <v>0</v>
      </c>
      <c r="CV85" s="115">
        <f t="shared" ca="1" si="51"/>
        <v>0</v>
      </c>
      <c r="CW85" s="115">
        <f t="shared" ca="1" si="63"/>
        <v>2.3099999999999996</v>
      </c>
      <c r="CX85" s="115">
        <f t="shared" ca="1" si="64"/>
        <v>0.46499999999999975</v>
      </c>
      <c r="CY85" s="115">
        <f ca="1">MAX(IF($C85="驱夜断愁",IF(模拟模式!$R$7="万念俱寂",6,45),CY84-$F$4),0)</f>
        <v>1.3874999999999997</v>
      </c>
      <c r="CZ85" s="115">
        <f t="shared" ca="1" si="12"/>
        <v>0</v>
      </c>
      <c r="DA85" s="115">
        <f ca="1">IF(模拟模式!$N$7="日月同辉",IF(DB84=2,0,MIN(6,IF(AND(OR(C85="赤日轮1",C85="赤日轮2",C85="赤日轮3",C85="幽月轮1",C85="幽月轮2",C85="幽月轮3"),AB85=1),DA84+1,DA84))),0)</f>
        <v>2</v>
      </c>
      <c r="DB85" s="115">
        <f t="shared" ca="1" si="13"/>
        <v>0</v>
      </c>
      <c r="DD85" s="115"/>
      <c r="DE85" s="115"/>
      <c r="DF85" s="115"/>
      <c r="DG85" s="115"/>
      <c r="DH85" s="115"/>
      <c r="DI85" s="115"/>
      <c r="DJ85" s="115"/>
      <c r="DK85" s="115"/>
      <c r="DL85" s="115"/>
      <c r="DM85" s="115"/>
    </row>
    <row r="86" spans="2:117" x14ac:dyDescent="0.2">
      <c r="B86" s="117">
        <f t="shared" si="65"/>
        <v>54.427499999999974</v>
      </c>
      <c r="C86" s="167" t="str">
        <f t="shared" ca="1" si="0"/>
        <v>银月斩</v>
      </c>
      <c r="D86" s="115">
        <f ca="1">IF(C86="赤日轮1",1,IF(C86="赤日轮2",2,IF(C86="赤日轮3",3,IF(C86="幽月轮1",4,IF(C86="幽月轮2",5,IF(C86="幽月轮3",6,IF(C86="烈日斩",7,IF(C86="银月斩",8,IF(C86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86="净世破魔击·月",17,IF(C86="驱夜断愁",18,0)))))))))))</f>
        <v>8</v>
      </c>
      <c r="E86" s="115">
        <f ca="1">IF(AND(CU86,OR(C86="幽月轮1",C86="幽月轮2",C86="幽月轮3",C86="银月斩",C86="驱夜断愁",C86="净世破魔击·月")),100,MIN(IF(OR(CN86,BE86),0,IF(OR($C86="赤日轮1",$C86="赤日轮2",$C86="赤日轮3"),E85+20+IF(模拟模式!$I$7="日月凌天",4,0)+IF(CR85,20,0),IF($C86="烈日斩",E85+40,IF($C86="驱夜断愁",IF(模拟模式!$R$7="万念俱寂",E85+20,E85+60),IF($C86="净世破魔击·月",IF(OR(DB85&gt;0,CV85&gt;0),100,IF(模拟模式!$M$7="辉耀红尘",E85+20,E85)),IF($C86="净世破魔击·日",E85-100,E85)))))),100))</f>
        <v>20</v>
      </c>
      <c r="F86" s="115">
        <f ca="1">IF(AND(CU86,OR(C86="赤日轮1",C86="赤日轮2",C86="赤日轮3",C86="烈日斩",C86="净世破魔击·日")),100,MIN(IF(CO86,0,IF(OR($C86="幽月轮1",$C86="幽月轮2",$C86="幽月轮3"),F85+20+IF(模拟模式!$I$7="日月凌天",4,0)+IF(CS85,20,0),IF($C86="银月斩",F85+40+IF(模拟模式!$X$12=1,5,0),IF($C86="驱夜断愁",IF(模拟模式!$R$7="万念俱寂",F85+20,F85+60),IF($C86="净世破魔击·月",IF(模拟模式!$M$7="辉耀红尘",F85-80,F85-100),IF(AND(C86="净世破魔击·日",OR(DB85&gt;0,CV85&gt;0)),100,F85)))))),100))</f>
        <v>65</v>
      </c>
      <c r="G86" s="117">
        <f ca="1">('模拟-全程加成'!$E$3+'模拟-全程加成'!$E$4+'模拟-全程加成'!$E$5+('模拟-全程加成'!$C$6-'模拟-全程加成'!$C$3)*系数!$B$9+BS86*23)*(1+'模拟-全程加成'!$F$4+'模拟-全程加成'!$F$5+BJ86*10%+BM86*20%+BP86*4%+CG86*30%)+$F$7*系数!$B$12</f>
        <v>21493.829400000002</v>
      </c>
      <c r="H86" s="45">
        <f ca="1">'模拟-全程加成'!$H$3+'模拟-全程加成'!$H$4+'模拟-全程加成'!$H$5+('模拟-全程加成'!$G$4+'模拟-全程加成'!$G$5+('模拟-全程加成'!$C$6-'模拟-全程加成'!$C$3)*系数!$B$13)/系数!$B$3+LOOKUP(D86,'模拟-单技能数据'!$A$2:$A$19,'模拟-单技能数据'!$K$2:$K$19)+BG86*10%+IF(BV86&gt;0,378,0)</f>
        <v>0.64185145527300214</v>
      </c>
      <c r="I86" s="45">
        <f ca="1">'模拟-全程加成'!$J$3+'模拟-全程加成'!$J$4+'模拟-全程加成'!$J$5+('模拟-全程加成'!$I$4+'模拟-全程加成'!$I$5)/系数!$B$4+LOOKUP(D86,'模拟-单技能数据'!$A$2:$A$19,'模拟-单技能数据'!$L$2:$L$19)+BG86*10%</f>
        <v>2.2624828854998791</v>
      </c>
      <c r="J86" s="45">
        <f ca="1">(('模拟-全程加成'!$K$3+'模拟-全程加成'!$K$4+'模拟-全程加成'!$K$5+('模拟-全程加成'!$C$6-'模拟-全程加成'!$C$3)*系数!$B$10+IF(BV86&gt;0,882,0)+IF(BY86&gt;0,1831,0))*(1+'模拟-全程加成'!$L$4+'模拟-全程加成'!$L$5+CC86*20%))/系数!$B$5</f>
        <v>0.69723220422048726</v>
      </c>
      <c r="K86" s="119">
        <f ca="1">LOOKUP(D86,'模拟-单技能数据'!$A$2:$A$19,'模拟-单技能数据'!$J$2:$J$19)+IF(CM86,60%,0)+IF(DB85-DB86&gt;0,30%,0)+IF(OR(AND(OR(C86="赤日轮1",C86="赤日轮2",C86="赤日轮3"),CR86),AND(OR(C86="幽月轮1",C86="幽月轮2",C86="幽月轮3"),CS86)),35%,0)+CJ86</f>
        <v>0.15</v>
      </c>
      <c r="L86" s="119">
        <f ca="1">IF(AND(C86="烈日斩",模拟模式!$X$11=1),10%,0)+IF(AND(C86="驱夜断愁",AB86=1),30%,0)</f>
        <v>0</v>
      </c>
      <c r="M86" s="45">
        <f t="shared" ca="1" si="15"/>
        <v>0.64185145527300214</v>
      </c>
      <c r="N86" s="45">
        <f t="shared" ca="1" si="16"/>
        <v>0.30424854472699792</v>
      </c>
      <c r="O86" s="46">
        <f t="shared" ca="1" si="17"/>
        <v>0.89198669993942414</v>
      </c>
      <c r="P86" s="46" t="str">
        <f t="shared" ca="1" si="18"/>
        <v>命</v>
      </c>
      <c r="Q86" s="45">
        <f t="shared" ca="1" si="19"/>
        <v>1</v>
      </c>
      <c r="R86" s="117">
        <f ca="1">模拟模式!$E$20*(1-IF(模拟模式!$J$19="有",0.15,0))*(1-IF(模拟模式!$K$19="有",0.3,0)-IF(CQ86,0.5,0))</f>
        <v>2950.6049999999996</v>
      </c>
      <c r="S86" s="45">
        <f ca="1">R86/(R86+(185*模拟模式!$E$22-16800)*4.08224)</f>
        <v>0.24272716014590323</v>
      </c>
      <c r="T86" s="45" t="str">
        <f ca="1">LOOKUP(D86,'模拟-单技能数据'!$A$2:$A$19,'模拟-单技能数据'!$H$2:$H$19)</f>
        <v>阴</v>
      </c>
      <c r="U86" s="119">
        <f t="shared" ca="1" si="20"/>
        <v>0.08</v>
      </c>
      <c r="V86" s="47">
        <f ca="1">(1+L86)*(LOOKUP(D86,'模拟-单技能数据'!$A$2:$A$19,'模拟-单技能数据'!$D$2:$D$19)+G86*LOOKUP(D86,'模拟-单技能数据'!$A$2:$A$19,'模拟-单技能数据'!$F$2:$F$19))*(1+J86)*(1+K86)*(1-S86)*(1+U86)*Q86*LOOKUP(D86,'模拟-单技能数据'!$A$2:$A$19,'模拟-单技能数据'!$I$2:$I$20)</f>
        <v>18215.255972688272</v>
      </c>
      <c r="W86" s="47">
        <f ca="1">LOOKUP(D86,'模拟-单技能数据'!$A$2:$A$19,'模拟-单技能数据'!$G$2:$G$19)*$I$10</f>
        <v>361.51064354704795</v>
      </c>
      <c r="X86" s="47">
        <f t="shared" ca="1" si="21"/>
        <v>0</v>
      </c>
      <c r="Y86" s="47">
        <f t="shared" ca="1" si="22"/>
        <v>18576.76661623532</v>
      </c>
      <c r="Z86" s="49">
        <f t="shared" ca="1" si="23"/>
        <v>5960749.7626541313</v>
      </c>
      <c r="AA86" s="97">
        <f t="shared" ca="1" si="24"/>
        <v>109517.24335407899</v>
      </c>
      <c r="AB86" s="115">
        <f ca="1">IF(OR(C86="赤日轮1",C86="赤日轮2",C86="赤日轮3"),IF(RAND()&lt;模拟模式!$Y$17,1,0),IF(OR(C86="幽月轮1",C86="幽月轮2",C86="幽月轮3"),IF(RAND()&lt;模拟模式!$Y$18,1,0),IF(C86="烈日斩",IF(RAND()&lt;模拟模式!$Y$19,1,0),IF(C86="银月斩",IF(RAND()&lt;模拟模式!$Y$20,1,0),IF(C86="驱夜断愁",IF(RAND()&lt;模拟模式!$Y$21,1,0),IF(C86="净世破魔击·日",IF(RAND()&lt;模拟模式!$Y$22,1,0),IF(C86="净世破魔击·月",IF(RAND()&lt;模拟模式!$Y$23,1,0),0)))))))</f>
        <v>1</v>
      </c>
      <c r="AC86" s="115" t="b">
        <f t="shared" ca="1" si="56"/>
        <v>1</v>
      </c>
      <c r="AD86" s="115" t="b">
        <f t="shared" ca="1" si="52"/>
        <v>0</v>
      </c>
      <c r="AE86" s="115">
        <f t="shared" ca="1" si="53"/>
        <v>6</v>
      </c>
      <c r="AF86" s="47">
        <f ca="1">IF(AC86,('模拟-单技能数据'!$D$20+G86*'模拟-单技能数据'!$F$20)*(1+J86)*(1+'模拟-单技能数据'!$J$20)*(1+U86),0)</f>
        <v>4639.7456468263617</v>
      </c>
      <c r="AG86" s="61">
        <f t="shared" ca="1" si="25"/>
        <v>0.64185145527300214</v>
      </c>
      <c r="AH86" s="61">
        <f t="shared" ca="1" si="26"/>
        <v>2.2624828854998791</v>
      </c>
      <c r="AI86" s="62">
        <f t="shared" ca="1" si="27"/>
        <v>0.7577716260256</v>
      </c>
      <c r="AJ86" s="47">
        <f ca="1">IF(AD86,IF(AI86&lt;$F$10,0,IF(AI86&lt;$F$10+$F$11,0.25,IF(AI86&lt;$F$10+$F$11+AG86,AH86,1)))*IF(AF86&gt;0,AF86,IF(AF85&gt;0,AF85,IF(AF84&gt;0,AF84,IF(AF83&gt;0,AF83,IF(AF82&gt;0,AF82,IF(AF81&gt;0,AF81,IF(AF80&gt;0,AF80,IF(AF79&gt;0,AF79,IF(AF78&gt;0,AF78,IF(AF76&gt;0,AF76,IF(AF75&gt;0,AF75,IF(AF74&gt;0,AF74,0)))))))))))),0)*(1-$S86)*'模拟-单技能数据'!$I$20</f>
        <v>0</v>
      </c>
      <c r="AK86" s="115" t="b">
        <f t="shared" ca="1" si="57"/>
        <v>0</v>
      </c>
      <c r="AL86" s="115" t="b">
        <f t="shared" ca="1" si="54"/>
        <v>0</v>
      </c>
      <c r="AM86" s="115">
        <f t="shared" ca="1" si="55"/>
        <v>5</v>
      </c>
      <c r="AN86" s="47">
        <f ca="1">IF(AK86,('模拟-单技能数据'!$D$21+G86*'模拟-单技能数据'!$F$21)*(1+J86)*(1+'模拟-单技能数据'!$J$21)*(1+U86),0)</f>
        <v>0</v>
      </c>
      <c r="AO86" s="61">
        <f ca="1">IF(AN86&gt;0,M86-'模拟-单技能数据'!$K$10,AO85)</f>
        <v>0.42185145527300216</v>
      </c>
      <c r="AP86" s="61">
        <f ca="1">IF(AN86&gt;0,I86-'模拟-单技能数据'!$L$10,AP85)</f>
        <v>2.162482885499879</v>
      </c>
      <c r="AQ86" s="63">
        <f t="shared" ca="1" si="28"/>
        <v>0.55683885385674603</v>
      </c>
      <c r="AR86" s="64">
        <f ca="1">IF(AL86,IF(AQ86&lt;$F$10,0,IF(AQ86&lt;$F$10+$F$11,0.25,IF(AQ86&lt;$F$10+$F$11+AO86,AP86,1)))*IF(AN86&gt;0,AN86,IF(AN85&gt;0,AN85,IF(AN84&gt;0,AN84,IF(AN83&gt;0,AN83,IF(AN82&gt;0,AN82,IF(AN81&gt;0,AN81,IF(AN80&gt;0,AN80,IF(AN79&gt;0,AN79,IF(AN78&gt;0,AN78,IF(AN76&gt;0,AN76,IF(AN75&gt;0,AN75,IF(AN74&gt;0,AN74,0)))))))))))),0)*(1-$S86)*'模拟-单技能数据'!$I$21</f>
        <v>0</v>
      </c>
      <c r="AS86" s="61">
        <f ca="1">IF(OR(C86="净世破魔击·日",C86="净世破魔击·月"),M86-'模拟-单技能数据'!$K$10,0)</f>
        <v>0</v>
      </c>
      <c r="AT86" s="61">
        <f ca="1">IF(OR(C86="净世破魔击·日",C86="净世破魔击·月"),I86-'模拟-单技能数据'!$L$10,0)</f>
        <v>0</v>
      </c>
      <c r="AU86" s="62">
        <f t="shared" ca="1" si="29"/>
        <v>0.1330238252489031</v>
      </c>
      <c r="AV86" s="64">
        <f ca="1">IF(AS86&gt;0,('模拟-单技能数据'!$D$22+G86*'模拟-单技能数据'!$F$22)*(1+J86)*(1-S86)*IF(AU86&lt;$F$10,0,IF(AU86&lt;$F$10+$F$11,0.25,IF(AU86&lt;$F$10+$F$11+AS86,AT86,1)))*(1+U86),0)*'模拟-单技能数据'!$I$22</f>
        <v>0</v>
      </c>
      <c r="AW86" s="108">
        <f t="shared" ca="1" si="30"/>
        <v>0.6275000000000065</v>
      </c>
      <c r="AX86" s="108" t="b">
        <f ca="1">AND(模拟模式!$P$10="有",AW85=0,RAND()&lt;IF(C86="净世破魔击·月",0.1*8/3,IF(C86="净世破魔击·日",0.1*4/3,0.1*2/3)))</f>
        <v>0</v>
      </c>
      <c r="AY86" s="47">
        <f ca="1">IF(AX86,(18+G86*0.722)*(1+J86)*(1-S86)*(1+$I$4)*IF(P86="会",'模拟-全程加成'!$J$3+'模拟-全程加成'!$J$4+'模拟-全程加成'!$J$5+('模拟-全程加成'!$I$4+'模拟-全程加成'!$I$5)/系数!$B$4+BG86*10%,IF(P86="命",1,IF(P86="识",0.25,0))),0)</f>
        <v>0</v>
      </c>
      <c r="AZ86" s="108">
        <f t="shared" si="31"/>
        <v>6.1625000000000068</v>
      </c>
      <c r="BA86" s="108" t="b">
        <f>AND(模拟模式!$Q$10="有",AZ85=0)</f>
        <v>0</v>
      </c>
      <c r="BB86" s="140">
        <f>IF(BA86,(0+G86*0.287)*(1+J86)*(1-S86)*(1+$I$4)*IF(P86="会",'模拟-全程加成'!$J$3+'模拟-全程加成'!$J$4+'模拟-全程加成'!$J$5+('模拟-全程加成'!$I$4+'模拟-全程加成'!$I$5)/系数!$B$4+BG86*10%,IF(P86="命",1,IF(P86="识",0.25,0))),0)</f>
        <v>0</v>
      </c>
      <c r="BC86" s="115" t="b">
        <f ca="1">AND(模拟模式!$R$7="伏明众生",E86=60,F86=20,DA86&lt;5,CZ85&lt;$F$4)</f>
        <v>0</v>
      </c>
      <c r="BD86" s="115">
        <f t="shared" ca="1" si="58"/>
        <v>0</v>
      </c>
      <c r="BE86" s="115" t="b">
        <f t="shared" ca="1" si="59"/>
        <v>0</v>
      </c>
      <c r="BF86" s="47">
        <f ca="1">IF(BC86,4*('模拟-单技能数据'!$D$24+G86*'模拟-单技能数据'!$F$24)*(1+J86)*(1+'模拟-单技能数据'!$J$24)*(1-S86)*(1+$I$3)*(('模拟-全程加成'!$J$3+'模拟-全程加成'!$J$4+'模拟-全程加成'!$J$5+('模拟-全程加成'!$I$4+'模拟-全程加成'!$I$5)/系数!$B$4+BG86*10%)*('模拟-全程加成'!$J$3+'模拟-全程加成'!$J$4+'模拟-全程加成'!$J$5+('模拟-全程加成'!$I$4+'模拟-全程加成'!$I$5)/系数!$B$4+BG86*10%)+(1-('模拟-全程加成'!$J$3+'模拟-全程加成'!$J$4+'模拟-全程加成'!$J$5+('模拟-全程加成'!$I$4+'模拟-全程加成'!$I$5)/系数!$B$4+BG86*10%)-$F$10-$F$11)+F72*0.25),0)*'模拟-单技能数据'!$I$24</f>
        <v>0</v>
      </c>
      <c r="BG86" s="115" t="b">
        <f ca="1">OR(AND(OR(C86="烈日斩",C86="银月斩"),模拟模式!$I$7="净身明礼"),AND(C86="净世破魔击·日",模拟模式!$J$7="洞若观火"),AND(C87="净世破魔击·月",模拟模式!$J$7="洞若观火"),AB86=1)</f>
        <v>1</v>
      </c>
      <c r="BH86" s="115" t="b">
        <f t="shared" ca="1" si="32"/>
        <v>0</v>
      </c>
      <c r="BI86" s="115">
        <f t="shared" ca="1" si="60"/>
        <v>4.1549999999999994</v>
      </c>
      <c r="BJ86" s="115" t="b">
        <f t="shared" ca="1" si="33"/>
        <v>1</v>
      </c>
      <c r="BK86" s="115" t="b">
        <f ca="1">AND(C86="驱夜断愁",模拟模式!$P$7="天地诛戮")</f>
        <v>0</v>
      </c>
      <c r="BL86" s="57">
        <f t="shared" ca="1" si="61"/>
        <v>14.465000000000003</v>
      </c>
      <c r="BM86" s="115" t="b">
        <f t="shared" ca="1" si="34"/>
        <v>1</v>
      </c>
      <c r="BN86" s="115" t="b">
        <f ca="1">AND(OR(C86="赤日轮1",C86="赤日轮2",C86="赤日轮3",C86="幽月轮1",C86="幽月轮2",C86="幽月轮3"),AB86=1,模拟模式!$L$7="明光恒照")</f>
        <v>0</v>
      </c>
      <c r="BO86" s="117">
        <f t="shared" ca="1" si="62"/>
        <v>29.077500000000001</v>
      </c>
      <c r="BP86" s="115">
        <f t="shared" ca="1" si="35"/>
        <v>6</v>
      </c>
      <c r="BQ86" s="115" t="b">
        <f>模拟模式!$K$10="2600·水"</f>
        <v>0</v>
      </c>
      <c r="BR86" s="117">
        <f t="shared" si="36"/>
        <v>0</v>
      </c>
      <c r="BS86" s="115">
        <f t="shared" si="37"/>
        <v>0</v>
      </c>
      <c r="BT86" s="115">
        <f t="shared" ca="1" si="38"/>
        <v>0</v>
      </c>
      <c r="BU86" s="115" t="b">
        <f ca="1">AND(模拟模式!$K$10="2300·雷",BT85=0,RAND()&lt;IF(C86="净世破魔击·月",5*0.05*2/3,IF(C86="净世破魔击·日",3*0.05*2/3,0.05*2*2/3)))</f>
        <v>0</v>
      </c>
      <c r="BV86" s="115">
        <f t="shared" ca="1" si="39"/>
        <v>0</v>
      </c>
      <c r="BW86" s="115">
        <f t="shared" ca="1" si="40"/>
        <v>131.10749999999928</v>
      </c>
      <c r="BX86" s="164" t="b">
        <f t="shared" ca="1" si="41"/>
        <v>0</v>
      </c>
      <c r="BY86" s="115">
        <f t="shared" ca="1" si="42"/>
        <v>0</v>
      </c>
      <c r="BZ86" s="115">
        <f>IF(OR(模拟模式!$P$16="10人团",模拟模式!$P$16="25人团"),IF(B86/30&gt;CA85,1,0),0)</f>
        <v>0</v>
      </c>
      <c r="CA86" s="115">
        <f t="shared" si="8"/>
        <v>0</v>
      </c>
      <c r="CB86" s="115">
        <f ca="1">IF(BZ86=1,IF(模拟模式!$P$16="10人团",15,0)+IF(模拟模式!$P$16="25人团",IF(RAND()&lt;0.6,15,0)),MAX(0,CB85-$F$4))</f>
        <v>0</v>
      </c>
      <c r="CC86" s="115" t="b">
        <f t="shared" ca="1" si="43"/>
        <v>0</v>
      </c>
      <c r="CD86" s="115">
        <f>IF(模拟模式!$Q$16="1个",IF(B86/40&gt;CE85,1,0),0)</f>
        <v>0</v>
      </c>
      <c r="CE86" s="115">
        <f t="shared" si="44"/>
        <v>0</v>
      </c>
      <c r="CF86" s="115">
        <f>IF(OR(CD86=1,模拟模式!$Q$16="2个"),20,MAX(0,CF85-$F$4))</f>
        <v>0</v>
      </c>
      <c r="CG86" s="115" t="b">
        <f t="shared" si="45"/>
        <v>0</v>
      </c>
      <c r="CH86" s="115">
        <f t="shared" ca="1" si="46"/>
        <v>10.627500000000012</v>
      </c>
      <c r="CI86" s="115" t="b">
        <f t="shared" ca="1" si="47"/>
        <v>0</v>
      </c>
      <c r="CJ86" s="119">
        <f t="shared" ca="1" si="48"/>
        <v>0</v>
      </c>
      <c r="CK86" s="115">
        <f t="shared" ca="1" si="49"/>
        <v>0</v>
      </c>
      <c r="CL86" s="115" t="b">
        <f ca="1">AND(模拟模式!$S$7="驱夷逐法",OR(AND(C86="净世破魔击·月",E85&gt;59),AND(C86="净世破魔击·日",F85&gt;59)))</f>
        <v>0</v>
      </c>
      <c r="CM86" s="115" t="b">
        <f ca="1">OR(CL86,AND(C86="净世破魔击·日",CL85,RAND()&lt;模拟模式!$U$23))</f>
        <v>0</v>
      </c>
      <c r="CN86" s="115" t="b">
        <f ca="1">IF(模拟模式!$M$7="辉耀红尘",AND(C86="净世破魔击·月",CL86,CV86=0,E85&lt;80),AND(C86="净世破魔击·月",CL86,E85&lt;100))</f>
        <v>0</v>
      </c>
      <c r="CO86" s="115" t="b">
        <f t="shared" ca="1" si="9"/>
        <v>0</v>
      </c>
      <c r="CP86" s="115" t="b">
        <f ca="1">AND(模拟模式!$O$7="用晦而明",OR(C86="净世破魔击·日",C86="净世破魔击·月",C86="驱夜断愁"),AB86)</f>
        <v>0</v>
      </c>
      <c r="CQ86" s="115" t="b">
        <f ca="1">OR(CP86,AND(CP85,RAND()&lt;模拟模式!$U$23))</f>
        <v>0</v>
      </c>
      <c r="CR86" s="115" t="b">
        <f ca="1">AND(模拟模式!$S$7="日月齐光",OR(C86="幽月轮1",C86="幽月轮2",C86="幽月轮3",CR85),NOT(OR(C86="赤日轮1",C86="赤日轮2",C86="赤日轮3")))</f>
        <v>0</v>
      </c>
      <c r="CS86" s="115" t="b">
        <f ca="1">AND(模拟模式!$S$7="日月齐光",OR(C86="赤日轮1",C86="赤日轮2",C86="赤日轮3",CS85),NOT(OR(C86="幽月轮1",C86="幽月轮2",C86="幽月轮3")))</f>
        <v>0</v>
      </c>
      <c r="CT86" s="115">
        <f t="shared" ca="1" si="50"/>
        <v>0</v>
      </c>
      <c r="CU86" s="115" t="b">
        <f ca="1">AND(模拟模式!$K$10="阴阳往极",CT85=0,RAND()&lt;IF(C86="净世破魔击·月",0.0275*7/3,IF(C86="净世破魔击·日",0.0275*3/3,0.0275*2/3)))</f>
        <v>0</v>
      </c>
      <c r="CV86" s="115">
        <f t="shared" ca="1" si="51"/>
        <v>0</v>
      </c>
      <c r="CW86" s="115">
        <f t="shared" ca="1" si="63"/>
        <v>1.3874999999999997</v>
      </c>
      <c r="CX86" s="115">
        <f t="shared" ca="1" si="64"/>
        <v>6</v>
      </c>
      <c r="CY86" s="115">
        <f ca="1">MAX(IF($C86="驱夜断愁",IF(模拟模式!$R$7="万念俱寂",6,45),CY85-$F$4),0)</f>
        <v>0.46499999999999975</v>
      </c>
      <c r="CZ86" s="115">
        <f t="shared" ca="1" si="12"/>
        <v>0</v>
      </c>
      <c r="DA86" s="115">
        <f ca="1">IF(模拟模式!$N$7="日月同辉",IF(DB85=2,0,MIN(6,IF(AND(OR(C86="赤日轮1",C86="赤日轮2",C86="赤日轮3",C86="幽月轮1",C86="幽月轮2",C86="幽月轮3"),AB86=1),DA85+1,DA85))),0)</f>
        <v>2</v>
      </c>
      <c r="DB86" s="115">
        <f t="shared" ca="1" si="13"/>
        <v>0</v>
      </c>
      <c r="DD86" s="115"/>
      <c r="DE86" s="115"/>
      <c r="DF86" s="115"/>
      <c r="DG86" s="115"/>
      <c r="DH86" s="115"/>
      <c r="DI86" s="115"/>
      <c r="DJ86" s="115"/>
      <c r="DK86" s="115"/>
      <c r="DL86" s="115"/>
      <c r="DM86" s="115"/>
    </row>
    <row r="87" spans="2:117" x14ac:dyDescent="0.2">
      <c r="B87" s="117">
        <f t="shared" si="65"/>
        <v>55.349999999999973</v>
      </c>
      <c r="C87" s="167" t="str">
        <f t="shared" ca="1" si="0"/>
        <v>驱夜断愁</v>
      </c>
      <c r="D87" s="115">
        <f ca="1">IF(C87="赤日轮1",1,IF(C87="赤日轮2",2,IF(C87="赤日轮3",3,IF(C87="幽月轮1",4,IF(C87="幽月轮2",5,IF(C87="幽月轮3",6,IF(C87="烈日斩",7,IF(C87="银月斩",8,IF(C87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87="净世破魔击·月",17,IF(C87="驱夜断愁",18,0)))))))))))</f>
        <v>18</v>
      </c>
      <c r="E87" s="115">
        <f ca="1">IF(AND(CU87,OR(C87="幽月轮1",C87="幽月轮2",C87="幽月轮3",C87="银月斩",C87="驱夜断愁",C87="净世破魔击·月")),100,MIN(IF(OR(CN87,BE87),0,IF(OR($C87="赤日轮1",$C87="赤日轮2",$C87="赤日轮3"),E86+20+IF(模拟模式!$I$7="日月凌天",4,0)+IF(CR86,20,0),IF($C87="烈日斩",E86+40,IF($C87="驱夜断愁",IF(模拟模式!$R$7="万念俱寂",E86+20,E86+60),IF($C87="净世破魔击·月",IF(OR(DB86&gt;0,CV86&gt;0),100,IF(模拟模式!$M$7="辉耀红尘",E86+20,E86)),IF($C87="净世破魔击·日",E86-100,E86)))))),100))</f>
        <v>40</v>
      </c>
      <c r="F87" s="115">
        <f ca="1">IF(AND(CU87,OR(C87="赤日轮1",C87="赤日轮2",C87="赤日轮3",C87="烈日斩",C87="净世破魔击·日")),100,MIN(IF(CO87,0,IF(OR($C87="幽月轮1",$C87="幽月轮2",$C87="幽月轮3"),F86+20+IF(模拟模式!$I$7="日月凌天",4,0)+IF(CS86,20,0),IF($C87="银月斩",F86+40+IF(模拟模式!$X$12=1,5,0),IF($C87="驱夜断愁",IF(模拟模式!$R$7="万念俱寂",F86+20,F86+60),IF($C87="净世破魔击·月",IF(模拟模式!$M$7="辉耀红尘",F86-80,F86-100),IF(AND(C87="净世破魔击·日",OR(DB86&gt;0,CV86&gt;0)),100,F86)))))),100))</f>
        <v>85</v>
      </c>
      <c r="G87" s="117">
        <f ca="1">('模拟-全程加成'!$E$3+'模拟-全程加成'!$E$4+'模拟-全程加成'!$E$5+('模拟-全程加成'!$C$6-'模拟-全程加成'!$C$3)*系数!$B$9+BS87*23)*(1+'模拟-全程加成'!$F$4+'模拟-全程加成'!$F$5+BJ87*10%+BM87*20%+BP87*4%+CG87*30%)+$F$7*系数!$B$12</f>
        <v>21493.829400000002</v>
      </c>
      <c r="H87" s="45">
        <f ca="1">'模拟-全程加成'!$H$3+'模拟-全程加成'!$H$4+'模拟-全程加成'!$H$5+('模拟-全程加成'!$G$4+'模拟-全程加成'!$G$5+('模拟-全程加成'!$C$6-'模拟-全程加成'!$C$3)*系数!$B$13)/系数!$B$3+LOOKUP(D87,'模拟-单技能数据'!$A$2:$A$19,'模拟-单技能数据'!$K$2:$K$19)+BG87*10%+IF(BV87&gt;0,378,0)</f>
        <v>0.51185145527300213</v>
      </c>
      <c r="I87" s="45">
        <f ca="1">'模拟-全程加成'!$J$3+'模拟-全程加成'!$J$4+'模拟-全程加成'!$J$5+('模拟-全程加成'!$I$4+'模拟-全程加成'!$I$5)/系数!$B$4+LOOKUP(D87,'模拟-单技能数据'!$A$2:$A$19,'模拟-单技能数据'!$L$2:$L$19)+BG87*10%</f>
        <v>2.162482885499879</v>
      </c>
      <c r="J87" s="45">
        <f ca="1">(('模拟-全程加成'!$K$3+'模拟-全程加成'!$K$4+'模拟-全程加成'!$K$5+('模拟-全程加成'!$C$6-'模拟-全程加成'!$C$3)*系数!$B$10+IF(BV87&gt;0,882,0)+IF(BY87&gt;0,1831,0))*(1+'模拟-全程加成'!$L$4+'模拟-全程加成'!$L$5+CC87*20%))/系数!$B$5</f>
        <v>0.69723220422048726</v>
      </c>
      <c r="K87" s="119">
        <f ca="1">LOOKUP(D87,'模拟-单技能数据'!$A$2:$A$19,'模拟-单技能数据'!$J$2:$J$19)+IF(CM87,60%,0)+IF(DB86-DB87&gt;0,30%,0)+IF(OR(AND(OR(C87="赤日轮1",C87="赤日轮2",C87="赤日轮3"),CR87),AND(OR(C87="幽月轮1",C87="幽月轮2",C87="幽月轮3"),CS87)),35%,0)+CJ87</f>
        <v>0.14000000000000001</v>
      </c>
      <c r="L87" s="119">
        <f ca="1">IF(AND(C87="烈日斩",模拟模式!$X$11=1),10%,0)+IF(AND(C87="驱夜断愁",AB87=1),30%,0)</f>
        <v>0.3</v>
      </c>
      <c r="M87" s="45">
        <f t="shared" ca="1" si="15"/>
        <v>0.51185145527300213</v>
      </c>
      <c r="N87" s="45">
        <f t="shared" ca="1" si="16"/>
        <v>0.43424854472699792</v>
      </c>
      <c r="O87" s="46">
        <f t="shared" ca="1" si="17"/>
        <v>0.17582460672658762</v>
      </c>
      <c r="P87" s="46" t="str">
        <f t="shared" ca="1" si="18"/>
        <v>会</v>
      </c>
      <c r="Q87" s="45">
        <f t="shared" ca="1" si="19"/>
        <v>2.162482885499879</v>
      </c>
      <c r="R87" s="117">
        <f ca="1">模拟模式!$E$20*(1-IF(模拟模式!$J$19="有",0.15,0))*(1-IF(模拟模式!$K$19="有",0.3,0)-IF(CQ87,0.5,0))</f>
        <v>843.02999999999975</v>
      </c>
      <c r="S87" s="45">
        <f ca="1">R87/(R87+(185*模拟模式!$E$22-16800)*4.08224)</f>
        <v>8.389626085980037E-2</v>
      </c>
      <c r="T87" s="45" t="str">
        <f ca="1">LOOKUP(D87,'模拟-单技能数据'!$A$2:$A$19,'模拟-单技能数据'!$H$2:$H$19)</f>
        <v>阴</v>
      </c>
      <c r="U87" s="119">
        <f t="shared" ca="1" si="20"/>
        <v>0.08</v>
      </c>
      <c r="V87" s="47">
        <f ca="1">(1+L87)*(LOOKUP(D87,'模拟-单技能数据'!$A$2:$A$19,'模拟-单技能数据'!$D$2:$D$19)+G87*LOOKUP(D87,'模拟-单技能数据'!$A$2:$A$19,'模拟-单技能数据'!$F$2:$F$19))*(1+J87)*(1+K87)*(1-S87)*(1+U87)*Q87*LOOKUP(D87,'模拟-单技能数据'!$A$2:$A$19,'模拟-单技能数据'!$I$2:$I$20)</f>
        <v>133079.35569364758</v>
      </c>
      <c r="W87" s="47">
        <f ca="1">LOOKUP(D87,'模拟-单技能数据'!$A$2:$A$19,'模拟-单技能数据'!$G$2:$G$19)*$I$10</f>
        <v>723.0212870940959</v>
      </c>
      <c r="X87" s="47">
        <f t="shared" ca="1" si="21"/>
        <v>21224.54896703297</v>
      </c>
      <c r="Y87" s="47">
        <f t="shared" ca="1" si="22"/>
        <v>155026.92594777467</v>
      </c>
      <c r="Z87" s="49">
        <f t="shared" ca="1" si="23"/>
        <v>6115776.6886019055</v>
      </c>
      <c r="AA87" s="97">
        <f t="shared" ca="1" si="24"/>
        <v>110492.80376877883</v>
      </c>
      <c r="AB87" s="115">
        <f ca="1">IF(OR(C87="赤日轮1",C87="赤日轮2",C87="赤日轮3"),IF(RAND()&lt;模拟模式!$Y$17,1,0),IF(OR(C87="幽月轮1",C87="幽月轮2",C87="幽月轮3"),IF(RAND()&lt;模拟模式!$Y$18,1,0),IF(C87="烈日斩",IF(RAND()&lt;模拟模式!$Y$19,1,0),IF(C87="银月斩",IF(RAND()&lt;模拟模式!$Y$20,1,0),IF(C87="驱夜断愁",IF(RAND()&lt;模拟模式!$Y$21,1,0),IF(C87="净世破魔击·日",IF(RAND()&lt;模拟模式!$Y$22,1,0),IF(C87="净世破魔击·月",IF(RAND()&lt;模拟模式!$Y$23,1,0),0)))))))</f>
        <v>1</v>
      </c>
      <c r="AC87" s="115" t="b">
        <f t="shared" ca="1" si="56"/>
        <v>0</v>
      </c>
      <c r="AD87" s="115" t="b">
        <f t="shared" ca="1" si="52"/>
        <v>1</v>
      </c>
      <c r="AE87" s="115">
        <f t="shared" ca="1" si="53"/>
        <v>5</v>
      </c>
      <c r="AF87" s="47">
        <f ca="1">IF(AC87,('模拟-单技能数据'!$D$20+G87*'模拟-单技能数据'!$F$20)*(1+J87)*(1+'模拟-单技能数据'!$J$20)*(1+U87),0)</f>
        <v>0</v>
      </c>
      <c r="AG87" s="61">
        <f t="shared" ca="1" si="25"/>
        <v>0.64185145527300214</v>
      </c>
      <c r="AH87" s="61">
        <f t="shared" ca="1" si="26"/>
        <v>2.2624828854998791</v>
      </c>
      <c r="AI87" s="62">
        <f t="shared" ca="1" si="27"/>
        <v>0.28155385058334648</v>
      </c>
      <c r="AJ87" s="47">
        <f ca="1">IF(AD87,IF(AI87&lt;$F$10,0,IF(AI87&lt;$F$10+$F$11,0.25,IF(AI87&lt;$F$10+$F$11+AG87,AH87,1)))*IF(AF87&gt;0,AF87,IF(AF86&gt;0,AF86,IF(AF85&gt;0,AF85,IF(AF84&gt;0,AF84,IF(AF83&gt;0,AF83,IF(AF82&gt;0,AF82,IF(AF81&gt;0,AF81,IF(AF80&gt;0,AF80,IF(AF79&gt;0,AF79,IF(AF77&gt;0,AF77,IF(AF76&gt;0,AF76,IF(AF75&gt;0,AF75,0)))))))))))),0)*(1-$S87)*'模拟-单技能数据'!$I$20</f>
        <v>9616.6571145767884</v>
      </c>
      <c r="AK87" s="115" t="b">
        <f t="shared" ca="1" si="57"/>
        <v>0</v>
      </c>
      <c r="AL87" s="115" t="b">
        <f t="shared" ca="1" si="54"/>
        <v>1</v>
      </c>
      <c r="AM87" s="115">
        <f t="shared" ca="1" si="55"/>
        <v>4</v>
      </c>
      <c r="AN87" s="47">
        <f ca="1">IF(AK87,('模拟-单技能数据'!$D$21+G87*'模拟-单技能数据'!$F$21)*(1+J87)*(1+'模拟-单技能数据'!$J$21)*(1+U87),0)</f>
        <v>0</v>
      </c>
      <c r="AO87" s="61">
        <f ca="1">IF(AN87&gt;0,M87-'模拟-单技能数据'!$K$10,AO86)</f>
        <v>0.42185145527300216</v>
      </c>
      <c r="AP87" s="61">
        <f ca="1">IF(AN87&gt;0,I87-'模拟-单技能数据'!$L$10,AP86)</f>
        <v>2.162482885499879</v>
      </c>
      <c r="AQ87" s="63">
        <f t="shared" ca="1" si="28"/>
        <v>0.71555929234983762</v>
      </c>
      <c r="AR87" s="64">
        <f ca="1">IF(AL87,IF(AQ87&lt;$F$10,0,IF(AQ87&lt;$F$10+$F$11,0.25,IF(AQ87&lt;$F$10+$F$11+AO87,AP87,1)))*IF(AN87&gt;0,AN87,IF(AN86&gt;0,AN86,IF(AN85&gt;0,AN85,IF(AN84&gt;0,AN84,IF(AN83&gt;0,AN83,IF(AN82&gt;0,AN82,IF(AN81&gt;0,AN81,IF(AN80&gt;0,AN80,IF(AN79&gt;0,AN79,IF(AN77&gt;0,AN77,IF(AN76&gt;0,AN76,IF(AN75&gt;0,AN75,0)))))))))))),0)*(1-$S87)*'模拟-单技能数据'!$I$21</f>
        <v>11607.89185245618</v>
      </c>
      <c r="AS87" s="61">
        <f ca="1">IF(OR(C87="净世破魔击·日",C87="净世破魔击·月"),M87-'模拟-单技能数据'!$K$10,0)</f>
        <v>0</v>
      </c>
      <c r="AT87" s="61">
        <f ca="1">IF(OR(C87="净世破魔击·日",C87="净世破魔击·月"),I87-'模拟-单技能数据'!$L$10,0)</f>
        <v>0</v>
      </c>
      <c r="AU87" s="62">
        <f t="shared" ca="1" si="29"/>
        <v>0.51819601617652056</v>
      </c>
      <c r="AV87" s="64">
        <f ca="1">IF(AS87&gt;0,('模拟-单技能数据'!$D$22+G87*'模拟-单技能数据'!$F$22)*(1+J87)*(1-S87)*IF(AU87&lt;$F$10,0,IF(AU87&lt;$F$10+$F$11,0.25,IF(AU87&lt;$F$10+$F$11+AS87,AT87,1)))*(1+U87),0)*'模拟-单技能数据'!$I$22</f>
        <v>0</v>
      </c>
      <c r="AW87" s="108">
        <f t="shared" ca="1" si="30"/>
        <v>0</v>
      </c>
      <c r="AX87" s="108" t="b">
        <f ca="1">AND(模拟模式!$P$10="有",AW86=0,RAND()&lt;IF(C87="净世破魔击·月",0.1*8/3,IF(C87="净世破魔击·日",0.1*4/3,0.1*2/3)))</f>
        <v>0</v>
      </c>
      <c r="AY87" s="47">
        <f ca="1">IF(AX87,(18+G87*0.722)*(1+J87)*(1-S87)*(1+$I$4)*IF(P87="会",'模拟-全程加成'!$J$3+'模拟-全程加成'!$J$4+'模拟-全程加成'!$J$5+('模拟-全程加成'!$I$4+'模拟-全程加成'!$I$5)/系数!$B$4+BG87*10%,IF(P87="命",1,IF(P87="识",0.25,0))),0)</f>
        <v>0</v>
      </c>
      <c r="AZ87" s="108">
        <f t="shared" si="31"/>
        <v>5.2400000000000064</v>
      </c>
      <c r="BA87" s="108" t="b">
        <f>AND(模拟模式!$Q$10="有",AZ86=0)</f>
        <v>0</v>
      </c>
      <c r="BB87" s="140">
        <f>IF(BA87,(0+G87*0.287)*(1+J87)*(1-S87)*(1+$I$4)*IF(P87="会",'模拟-全程加成'!$J$3+'模拟-全程加成'!$J$4+'模拟-全程加成'!$J$5+('模拟-全程加成'!$I$4+'模拟-全程加成'!$I$5)/系数!$B$4+BG87*10%,IF(P87="命",1,IF(P87="识",0.25,0))),0)</f>
        <v>0</v>
      </c>
      <c r="BC87" s="115" t="b">
        <f ca="1">AND(模拟模式!$R$7="伏明众生",E87=60,F87=20,DA87&lt;5,CZ86&lt;$F$4)</f>
        <v>0</v>
      </c>
      <c r="BD87" s="115">
        <f t="shared" ca="1" si="58"/>
        <v>0</v>
      </c>
      <c r="BE87" s="115" t="b">
        <f t="shared" ca="1" si="59"/>
        <v>0</v>
      </c>
      <c r="BF87" s="47">
        <f ca="1">IF(BC87,4*('模拟-单技能数据'!$D$24+G87*'模拟-单技能数据'!$F$24)*(1+J87)*(1+'模拟-单技能数据'!$J$24)*(1-S87)*(1+$I$3)*(('模拟-全程加成'!$J$3+'模拟-全程加成'!$J$4+'模拟-全程加成'!$J$5+('模拟-全程加成'!$I$4+'模拟-全程加成'!$I$5)/系数!$B$4+BG87*10%)*('模拟-全程加成'!$J$3+'模拟-全程加成'!$J$4+'模拟-全程加成'!$J$5+('模拟-全程加成'!$I$4+'模拟-全程加成'!$I$5)/系数!$B$4+BG87*10%)+(1-('模拟-全程加成'!$J$3+'模拟-全程加成'!$J$4+'模拟-全程加成'!$J$5+('模拟-全程加成'!$I$4+'模拟-全程加成'!$I$5)/系数!$B$4+BG87*10%)-$F$10-$F$11)+F73*0.25),0)*'模拟-单技能数据'!$I$24</f>
        <v>0</v>
      </c>
      <c r="BG87" s="115" t="b">
        <f ca="1">OR(AND(OR(C87="烈日斩",C87="银月斩"),模拟模式!$I$7="净身明礼"),AND(C87="净世破魔击·日",模拟模式!$J$7="洞若观火"),AND(C88="净世破魔击·月",模拟模式!$J$7="洞若观火"),AB87=1)</f>
        <v>1</v>
      </c>
      <c r="BH87" s="115" t="b">
        <f t="shared" ca="1" si="32"/>
        <v>0</v>
      </c>
      <c r="BI87" s="115">
        <f t="shared" ca="1" si="60"/>
        <v>3.2324999999999995</v>
      </c>
      <c r="BJ87" s="115" t="b">
        <f t="shared" ca="1" si="33"/>
        <v>1</v>
      </c>
      <c r="BK87" s="115" t="b">
        <f ca="1">AND(C87="驱夜断愁",模拟模式!$P$7="天地诛戮")</f>
        <v>1</v>
      </c>
      <c r="BL87" s="57">
        <f t="shared" ca="1" si="61"/>
        <v>20</v>
      </c>
      <c r="BM87" s="115" t="b">
        <f t="shared" ca="1" si="34"/>
        <v>1</v>
      </c>
      <c r="BN87" s="115" t="b">
        <f ca="1">AND(OR(C87="赤日轮1",C87="赤日轮2",C87="赤日轮3",C87="幽月轮1",C87="幽月轮2",C87="幽月轮3"),AB87=1,模拟模式!$L$7="明光恒照")</f>
        <v>0</v>
      </c>
      <c r="BO87" s="117">
        <f t="shared" ca="1" si="62"/>
        <v>28.155000000000001</v>
      </c>
      <c r="BP87" s="115">
        <f t="shared" ca="1" si="35"/>
        <v>6</v>
      </c>
      <c r="BQ87" s="115" t="b">
        <f>模拟模式!$K$10="2600·水"</f>
        <v>0</v>
      </c>
      <c r="BR87" s="117">
        <f t="shared" si="36"/>
        <v>0</v>
      </c>
      <c r="BS87" s="115">
        <f t="shared" si="37"/>
        <v>0</v>
      </c>
      <c r="BT87" s="115">
        <f t="shared" ca="1" si="38"/>
        <v>0</v>
      </c>
      <c r="BU87" s="115" t="b">
        <f ca="1">AND(模拟模式!$K$10="2300·雷",BT86=0,RAND()&lt;IF(C87="净世破魔击·月",5*0.05*2/3,IF(C87="净世破魔击·日",3*0.05*2/3,0.05*2*2/3)))</f>
        <v>0</v>
      </c>
      <c r="BV87" s="115">
        <f t="shared" ca="1" si="39"/>
        <v>0</v>
      </c>
      <c r="BW87" s="115">
        <f t="shared" ca="1" si="40"/>
        <v>130.18499999999926</v>
      </c>
      <c r="BX87" s="164" t="b">
        <f t="shared" ca="1" si="41"/>
        <v>0</v>
      </c>
      <c r="BY87" s="115">
        <f t="shared" ca="1" si="42"/>
        <v>0</v>
      </c>
      <c r="BZ87" s="115">
        <f>IF(OR(模拟模式!$P$16="10人团",模拟模式!$P$16="25人团"),IF(B87/30&gt;CA86,1,0),0)</f>
        <v>0</v>
      </c>
      <c r="CA87" s="115">
        <f t="shared" si="8"/>
        <v>0</v>
      </c>
      <c r="CB87" s="115">
        <f ca="1">IF(BZ87=1,IF(模拟模式!$P$16="10人团",15,0)+IF(模拟模式!$P$16="25人团",IF(RAND()&lt;0.6,15,0)),MAX(0,CB86-$F$4))</f>
        <v>0</v>
      </c>
      <c r="CC87" s="115" t="b">
        <f t="shared" ca="1" si="43"/>
        <v>0</v>
      </c>
      <c r="CD87" s="115">
        <f>IF(模拟模式!$Q$16="1个",IF(B87/40&gt;CE86,1,0),0)</f>
        <v>0</v>
      </c>
      <c r="CE87" s="115">
        <f t="shared" si="44"/>
        <v>0</v>
      </c>
      <c r="CF87" s="115">
        <f>IF(OR(CD87=1,模拟模式!$Q$16="2个"),20,MAX(0,CF86-$F$4))</f>
        <v>0</v>
      </c>
      <c r="CG87" s="115" t="b">
        <f t="shared" si="45"/>
        <v>0</v>
      </c>
      <c r="CH87" s="115">
        <f t="shared" ca="1" si="46"/>
        <v>9.7050000000000125</v>
      </c>
      <c r="CI87" s="115" t="b">
        <f t="shared" ca="1" si="47"/>
        <v>0</v>
      </c>
      <c r="CJ87" s="119">
        <f t="shared" ca="1" si="48"/>
        <v>0</v>
      </c>
      <c r="CK87" s="115">
        <f t="shared" ca="1" si="49"/>
        <v>0</v>
      </c>
      <c r="CL87" s="115" t="b">
        <f ca="1">AND(模拟模式!$S$7="驱夷逐法",OR(AND(C87="净世破魔击·月",E86&gt;59),AND(C87="净世破魔击·日",F86&gt;59)))</f>
        <v>0</v>
      </c>
      <c r="CM87" s="115" t="b">
        <f ca="1">OR(CL87,AND(C87="净世破魔击·日",CL86,RAND()&lt;模拟模式!$U$23))</f>
        <v>0</v>
      </c>
      <c r="CN87" s="115" t="b">
        <f ca="1">IF(模拟模式!$M$7="辉耀红尘",AND(C87="净世破魔击·月",CL87,CV87=0,E86&lt;80),AND(C87="净世破魔击·月",CL87,E86&lt;100))</f>
        <v>0</v>
      </c>
      <c r="CO87" s="115" t="b">
        <f t="shared" ca="1" si="9"/>
        <v>0</v>
      </c>
      <c r="CP87" s="115" t="b">
        <f ca="1">AND(模拟模式!$O$7="用晦而明",OR(C87="净世破魔击·日",C87="净世破魔击·月",C87="驱夜断愁"),AB87)</f>
        <v>1</v>
      </c>
      <c r="CQ87" s="115" t="b">
        <f ca="1">OR(CP87,AND(CP86,RAND()&lt;模拟模式!$U$23))</f>
        <v>1</v>
      </c>
      <c r="CR87" s="115" t="b">
        <f ca="1">AND(模拟模式!$S$7="日月齐光",OR(C87="幽月轮1",C87="幽月轮2",C87="幽月轮3",CR86),NOT(OR(C87="赤日轮1",C87="赤日轮2",C87="赤日轮3")))</f>
        <v>0</v>
      </c>
      <c r="CS87" s="115" t="b">
        <f ca="1">AND(模拟模式!$S$7="日月齐光",OR(C87="赤日轮1",C87="赤日轮2",C87="赤日轮3",CS86),NOT(OR(C87="幽月轮1",C87="幽月轮2",C87="幽月轮3")))</f>
        <v>0</v>
      </c>
      <c r="CT87" s="115">
        <f t="shared" ca="1" si="50"/>
        <v>0</v>
      </c>
      <c r="CU87" s="115" t="b">
        <f ca="1">AND(模拟模式!$K$10="阴阳往极",CT86=0,RAND()&lt;IF(C87="净世破魔击·月",0.0275*7/3,IF(C87="净世破魔击·日",0.0275*3/3,0.0275*2/3)))</f>
        <v>0</v>
      </c>
      <c r="CV87" s="115">
        <f t="shared" ca="1" si="51"/>
        <v>0</v>
      </c>
      <c r="CW87" s="115">
        <f t="shared" ca="1" si="63"/>
        <v>0.46499999999999975</v>
      </c>
      <c r="CX87" s="115">
        <f t="shared" ca="1" si="64"/>
        <v>5.0774999999999997</v>
      </c>
      <c r="CY87" s="115">
        <f ca="1">MAX(IF($C87="驱夜断愁",IF(模拟模式!$R$7="万念俱寂",6,45),CY86-$F$4),0)</f>
        <v>6</v>
      </c>
      <c r="CZ87" s="115">
        <f t="shared" ca="1" si="12"/>
        <v>0</v>
      </c>
      <c r="DA87" s="115">
        <f ca="1">IF(模拟模式!$N$7="日月同辉",IF(DB86=2,0,MIN(6,IF(AND(OR(C87="赤日轮1",C87="赤日轮2",C87="赤日轮3",C87="幽月轮1",C87="幽月轮2",C87="幽月轮3"),AB87=1),DA86+1,DA86))),0)</f>
        <v>2</v>
      </c>
      <c r="DB87" s="115">
        <f t="shared" ca="1" si="13"/>
        <v>0</v>
      </c>
      <c r="DD87" s="115"/>
      <c r="DE87" s="115"/>
      <c r="DF87" s="115"/>
      <c r="DG87" s="115"/>
      <c r="DH87" s="115"/>
      <c r="DI87" s="115"/>
      <c r="DJ87" s="115"/>
      <c r="DK87" s="115"/>
      <c r="DL87" s="115"/>
      <c r="DM87" s="115"/>
    </row>
    <row r="88" spans="2:117" x14ac:dyDescent="0.2">
      <c r="B88" s="117">
        <f t="shared" si="65"/>
        <v>56.272499999999972</v>
      </c>
      <c r="C88" s="167" t="str">
        <f t="shared" ca="1" si="0"/>
        <v>烈日斩</v>
      </c>
      <c r="D88" s="115">
        <f ca="1">IF(C88="赤日轮1",1,IF(C88="赤日轮2",2,IF(C88="赤日轮3",3,IF(C88="幽月轮1",4,IF(C88="幽月轮2",5,IF(C88="幽月轮3",6,IF(C88="烈日斩",7,IF(C88="银月斩",8,IF(C88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88="净世破魔击·月",17,IF(C88="驱夜断愁",18,0)))))))))))</f>
        <v>7</v>
      </c>
      <c r="E88" s="115">
        <f ca="1">IF(AND(CU88,OR(C88="幽月轮1",C88="幽月轮2",C88="幽月轮3",C88="银月斩",C88="驱夜断愁",C88="净世破魔击·月")),100,MIN(IF(OR(CN88,BE88),0,IF(OR($C88="赤日轮1",$C88="赤日轮2",$C88="赤日轮3"),E87+20+IF(模拟模式!$I$7="日月凌天",4,0)+IF(CR87,20,0),IF($C88="烈日斩",E87+40,IF($C88="驱夜断愁",IF(模拟模式!$R$7="万念俱寂",E87+20,E87+60),IF($C88="净世破魔击·月",IF(OR(DB87&gt;0,CV87&gt;0),100,IF(模拟模式!$M$7="辉耀红尘",E87+20,E87)),IF($C88="净世破魔击·日",E87-100,E87)))))),100))</f>
        <v>80</v>
      </c>
      <c r="F88" s="115">
        <f ca="1">IF(AND(CU88,OR(C88="赤日轮1",C88="赤日轮2",C88="赤日轮3",C88="烈日斩",C88="净世破魔击·日")),100,MIN(IF(CO88,0,IF(OR($C88="幽月轮1",$C88="幽月轮2",$C88="幽月轮3"),F87+20+IF(模拟模式!$I$7="日月凌天",4,0)+IF(CS87,20,0),IF($C88="银月斩",F87+40+IF(模拟模式!$X$12=1,5,0),IF($C88="驱夜断愁",IF(模拟模式!$R$7="万念俱寂",F87+20,F87+60),IF($C88="净世破魔击·月",IF(模拟模式!$M$7="辉耀红尘",F87-80,F87-100),IF(AND(C88="净世破魔击·日",OR(DB87&gt;0,CV87&gt;0)),100,F87)))))),100))</f>
        <v>85</v>
      </c>
      <c r="G88" s="117">
        <f ca="1">('模拟-全程加成'!$E$3+'模拟-全程加成'!$E$4+'模拟-全程加成'!$E$5+('模拟-全程加成'!$C$6-'模拟-全程加成'!$C$3)*系数!$B$9+BS88*23)*(1+'模拟-全程加成'!$F$4+'模拟-全程加成'!$F$5+BJ88*10%+BM88*20%+BP88*4%+CG88*30%)+$F$7*系数!$B$12</f>
        <v>21493.829400000002</v>
      </c>
      <c r="H88" s="45">
        <f ca="1">'模拟-全程加成'!$H$3+'模拟-全程加成'!$H$4+'模拟-全程加成'!$H$5+('模拟-全程加成'!$G$4+'模拟-全程加成'!$G$5+('模拟-全程加成'!$C$6-'模拟-全程加成'!$C$3)*系数!$B$13)/系数!$B$3+LOOKUP(D88,'模拟-单技能数据'!$A$2:$A$19,'模拟-单技能数据'!$K$2:$K$19)+BG88*10%+IF(BV88&gt;0,378,0)</f>
        <v>0.56185145527300218</v>
      </c>
      <c r="I88" s="45">
        <f ca="1">'模拟-全程加成'!$J$3+'模拟-全程加成'!$J$4+'模拟-全程加成'!$J$5+('模拟-全程加成'!$I$4+'模拟-全程加成'!$I$5)/系数!$B$4+LOOKUP(D88,'模拟-单技能数据'!$A$2:$A$19,'模拟-单技能数据'!$L$2:$L$19)+BG88*10%</f>
        <v>2.2624828854998791</v>
      </c>
      <c r="J88" s="45">
        <f ca="1">(('模拟-全程加成'!$K$3+'模拟-全程加成'!$K$4+'模拟-全程加成'!$K$5+('模拟-全程加成'!$C$6-'模拟-全程加成'!$C$3)*系数!$B$10+IF(BV88&gt;0,882,0)+IF(BY88&gt;0,1831,0))*(1+'模拟-全程加成'!$L$4+'模拟-全程加成'!$L$5+CC88*20%))/系数!$B$5</f>
        <v>0.69723220422048726</v>
      </c>
      <c r="K88" s="119">
        <f ca="1">LOOKUP(D88,'模拟-单技能数据'!$A$2:$A$19,'模拟-单技能数据'!$J$2:$J$19)+IF(CM88,60%,0)+IF(DB87-DB88&gt;0,30%,0)+IF(OR(AND(OR(C88="赤日轮1",C88="赤日轮2",C88="赤日轮3"),CR88),AND(OR(C88="幽月轮1",C88="幽月轮2",C88="幽月轮3"),CS88)),35%,0)+CJ88</f>
        <v>0.24</v>
      </c>
      <c r="L88" s="119">
        <f ca="1">IF(AND(C88="烈日斩",模拟模式!$X$11=1),10%,0)+IF(AND(C88="驱夜断愁",AB88=1),30%,0)</f>
        <v>0.1</v>
      </c>
      <c r="M88" s="45">
        <f t="shared" ca="1" si="15"/>
        <v>0.56185145527300218</v>
      </c>
      <c r="N88" s="45">
        <f t="shared" ca="1" si="16"/>
        <v>0.38424854472699788</v>
      </c>
      <c r="O88" s="46">
        <f t="shared" ca="1" si="17"/>
        <v>0.61177701831075559</v>
      </c>
      <c r="P88" s="46" t="str">
        <f t="shared" ca="1" si="18"/>
        <v>会</v>
      </c>
      <c r="Q88" s="45">
        <f t="shared" ca="1" si="19"/>
        <v>2.2624828854998791</v>
      </c>
      <c r="R88" s="117">
        <f ca="1">模拟模式!$E$20*(1-IF(模拟模式!$J$19="有",0.15,0))*(1-IF(模拟模式!$K$19="有",0.3,0)-IF(CQ88,0.5,0))</f>
        <v>843.02999999999975</v>
      </c>
      <c r="S88" s="45">
        <f ca="1">R88/(R88+(185*模拟模式!$E$22-16800)*4.08224)</f>
        <v>8.389626085980037E-2</v>
      </c>
      <c r="T88" s="45" t="str">
        <f ca="1">LOOKUP(D88,'模拟-单技能数据'!$A$2:$A$19,'模拟-单技能数据'!$H$2:$H$19)</f>
        <v>阳</v>
      </c>
      <c r="U88" s="119">
        <f t="shared" ca="1" si="20"/>
        <v>0.2</v>
      </c>
      <c r="V88" s="47">
        <f ca="1">(1+L88)*(LOOKUP(D88,'模拟-单技能数据'!$A$2:$A$19,'模拟-单技能数据'!$D$2:$D$19)+G88*LOOKUP(D88,'模拟-单技能数据'!$A$2:$A$19,'模拟-单技能数据'!$F$2:$F$19))*(1+J88)*(1+K88)*(1-S88)*(1+U88)*Q88*LOOKUP(D88,'模拟-单技能数据'!$A$2:$A$19,'模拟-单技能数据'!$I$2:$I$20)</f>
        <v>110503.35617153208</v>
      </c>
      <c r="W88" s="47">
        <f ca="1">LOOKUP(D88,'模拟-单技能数据'!$A$2:$A$19,'模拟-单技能数据'!$G$2:$G$19)*$I$10</f>
        <v>361.51064354704795</v>
      </c>
      <c r="X88" s="47">
        <f t="shared" ca="1" si="21"/>
        <v>0</v>
      </c>
      <c r="Y88" s="47">
        <f t="shared" ca="1" si="22"/>
        <v>110864.86681507913</v>
      </c>
      <c r="Z88" s="49">
        <f t="shared" ca="1" si="23"/>
        <v>6226641.5554169845</v>
      </c>
      <c r="AA88" s="97">
        <f t="shared" ca="1" si="24"/>
        <v>110651.58923838442</v>
      </c>
      <c r="AB88" s="115">
        <f ca="1">IF(OR(C88="赤日轮1",C88="赤日轮2",C88="赤日轮3"),IF(RAND()&lt;模拟模式!$Y$17,1,0),IF(OR(C88="幽月轮1",C88="幽月轮2",C88="幽月轮3"),IF(RAND()&lt;模拟模式!$Y$18,1,0),IF(C88="烈日斩",IF(RAND()&lt;模拟模式!$Y$19,1,0),IF(C88="银月斩",IF(RAND()&lt;模拟模式!$Y$20,1,0),IF(C88="驱夜断愁",IF(RAND()&lt;模拟模式!$Y$21,1,0),IF(C88="净世破魔击·日",IF(RAND()&lt;模拟模式!$Y$22,1,0),IF(C88="净世破魔击·月",IF(RAND()&lt;模拟模式!$Y$23,1,0),0)))))))</f>
        <v>1</v>
      </c>
      <c r="AC88" s="115" t="b">
        <f t="shared" ca="1" si="56"/>
        <v>0</v>
      </c>
      <c r="AD88" s="115" t="b">
        <f t="shared" ca="1" si="52"/>
        <v>0</v>
      </c>
      <c r="AE88" s="115">
        <f t="shared" ca="1" si="53"/>
        <v>5</v>
      </c>
      <c r="AF88" s="47">
        <f ca="1">IF(AC88,('模拟-单技能数据'!$D$20+G88*'模拟-单技能数据'!$F$20)*(1+J88)*(1+'模拟-单技能数据'!$J$20)*(1+U88),0)</f>
        <v>0</v>
      </c>
      <c r="AG88" s="61">
        <f t="shared" ca="1" si="25"/>
        <v>0.64185145527300214</v>
      </c>
      <c r="AH88" s="61">
        <f t="shared" ca="1" si="26"/>
        <v>2.2624828854998791</v>
      </c>
      <c r="AI88" s="62">
        <f t="shared" ca="1" si="27"/>
        <v>0.44906440646270973</v>
      </c>
      <c r="AJ88" s="47">
        <f ca="1">IF(AD88,IF(AI88&lt;$F$10,0,IF(AI88&lt;$F$10+$F$11,0.25,IF(AI88&lt;$F$10+$F$11+AG88,AH88,1)))*IF(AF88&gt;0,AF88,IF(AF87&gt;0,AF87,IF(AF86&gt;0,AF86,IF(AF85&gt;0,AF85,IF(AF84&gt;0,AF84,IF(AF83&gt;0,AF83,IF(AF82&gt;0,AF82,IF(AF81&gt;0,AF81,IF(AF80&gt;0,AF80,IF(AF78&gt;0,AF78,IF(AF77&gt;0,AF77,IF(AF76&gt;0,AF76,0)))))))))))),0)*(1-$S88)*'模拟-单技能数据'!$I$20</f>
        <v>0</v>
      </c>
      <c r="AK88" s="115" t="b">
        <f t="shared" ca="1" si="57"/>
        <v>0</v>
      </c>
      <c r="AL88" s="115" t="b">
        <f t="shared" ca="1" si="54"/>
        <v>0</v>
      </c>
      <c r="AM88" s="115">
        <f t="shared" ca="1" si="55"/>
        <v>4</v>
      </c>
      <c r="AN88" s="47">
        <f ca="1">IF(AK88,('模拟-单技能数据'!$D$21+G88*'模拟-单技能数据'!$F$21)*(1+J88)*(1+'模拟-单技能数据'!$J$21)*(1+U88),0)</f>
        <v>0</v>
      </c>
      <c r="AO88" s="61">
        <f ca="1">IF(AN88&gt;0,M88-'模拟-单技能数据'!$K$10,AO87)</f>
        <v>0.42185145527300216</v>
      </c>
      <c r="AP88" s="61">
        <f ca="1">IF(AN88&gt;0,I88-'模拟-单技能数据'!$L$10,AP87)</f>
        <v>2.162482885499879</v>
      </c>
      <c r="AQ88" s="63">
        <f t="shared" ca="1" si="28"/>
        <v>0.16038597762961793</v>
      </c>
      <c r="AR88" s="64">
        <f ca="1">IF(AL88,IF(AQ88&lt;$F$10,0,IF(AQ88&lt;$F$10+$F$11,0.25,IF(AQ88&lt;$F$10+$F$11+AO88,AP88,1)))*IF(AN88&gt;0,AN88,IF(AN87&gt;0,AN87,IF(AN86&gt;0,AN86,IF(AN85&gt;0,AN85,IF(AN84&gt;0,AN84,IF(AN83&gt;0,AN83,IF(AN82&gt;0,AN82,IF(AN81&gt;0,AN81,IF(AN80&gt;0,AN80,IF(AN78&gt;0,AN78,IF(AN77&gt;0,AN77,IF(AN76&gt;0,AN76,0)))))))))))),0)*(1-$S88)*'模拟-单技能数据'!$I$21</f>
        <v>0</v>
      </c>
      <c r="AS88" s="61">
        <f ca="1">IF(OR(C88="净世破魔击·日",C88="净世破魔击·月"),M88-'模拟-单技能数据'!$K$10,0)</f>
        <v>0</v>
      </c>
      <c r="AT88" s="61">
        <f ca="1">IF(OR(C88="净世破魔击·日",C88="净世破魔击·月"),I88-'模拟-单技能数据'!$L$10,0)</f>
        <v>0</v>
      </c>
      <c r="AU88" s="62">
        <f t="shared" ca="1" si="29"/>
        <v>0.88583364871275061</v>
      </c>
      <c r="AV88" s="64">
        <f ca="1">IF(AS88&gt;0,('模拟-单技能数据'!$D$22+G88*'模拟-单技能数据'!$F$22)*(1+J88)*(1-S88)*IF(AU88&lt;$F$10,0,IF(AU88&lt;$F$10+$F$11,0.25,IF(AU88&lt;$F$10+$F$11+AS88,AT88,1)))*(1+U88),0)*'模拟-单技能数据'!$I$22</f>
        <v>0</v>
      </c>
      <c r="AW88" s="108">
        <f t="shared" ca="1" si="30"/>
        <v>0</v>
      </c>
      <c r="AX88" s="108" t="b">
        <f ca="1">AND(模拟模式!$P$10="有",AW87=0,RAND()&lt;IF(C88="净世破魔击·月",0.1*8/3,IF(C88="净世破魔击·日",0.1*4/3,0.1*2/3)))</f>
        <v>0</v>
      </c>
      <c r="AY88" s="47">
        <f ca="1">IF(AX88,(18+G88*0.722)*(1+J88)*(1-S88)*(1+$I$4)*IF(P88="会",'模拟-全程加成'!$J$3+'模拟-全程加成'!$J$4+'模拟-全程加成'!$J$5+('模拟-全程加成'!$I$4+'模拟-全程加成'!$I$5)/系数!$B$4+BG88*10%,IF(P88="命",1,IF(P88="识",0.25,0))),0)</f>
        <v>0</v>
      </c>
      <c r="AZ88" s="108">
        <f t="shared" si="31"/>
        <v>4.3175000000000061</v>
      </c>
      <c r="BA88" s="108" t="b">
        <f>AND(模拟模式!$Q$10="有",AZ87=0)</f>
        <v>0</v>
      </c>
      <c r="BB88" s="140">
        <f>IF(BA88,(0+G88*0.287)*(1+J88)*(1-S88)*(1+$I$4)*IF(P88="会",'模拟-全程加成'!$J$3+'模拟-全程加成'!$J$4+'模拟-全程加成'!$J$5+('模拟-全程加成'!$I$4+'模拟-全程加成'!$I$5)/系数!$B$4+BG88*10%,IF(P88="命",1,IF(P88="识",0.25,0))),0)</f>
        <v>0</v>
      </c>
      <c r="BC88" s="115" t="b">
        <f ca="1">AND(模拟模式!$R$7="伏明众生",E88=60,F88=20,DA88&lt;5,CZ87&lt;$F$4)</f>
        <v>0</v>
      </c>
      <c r="BD88" s="115">
        <f t="shared" ca="1" si="58"/>
        <v>0</v>
      </c>
      <c r="BE88" s="115" t="b">
        <f t="shared" ca="1" si="59"/>
        <v>0</v>
      </c>
      <c r="BF88" s="47">
        <f ca="1">IF(BC88,4*('模拟-单技能数据'!$D$24+G88*'模拟-单技能数据'!$F$24)*(1+J88)*(1+'模拟-单技能数据'!$J$24)*(1-S88)*(1+$I$3)*(('模拟-全程加成'!$J$3+'模拟-全程加成'!$J$4+'模拟-全程加成'!$J$5+('模拟-全程加成'!$I$4+'模拟-全程加成'!$I$5)/系数!$B$4+BG88*10%)*('模拟-全程加成'!$J$3+'模拟-全程加成'!$J$4+'模拟-全程加成'!$J$5+('模拟-全程加成'!$I$4+'模拟-全程加成'!$I$5)/系数!$B$4+BG88*10%)+(1-('模拟-全程加成'!$J$3+'模拟-全程加成'!$J$4+'模拟-全程加成'!$J$5+('模拟-全程加成'!$I$4+'模拟-全程加成'!$I$5)/系数!$B$4+BG88*10%)-$F$10-$F$11)+F74*0.25),0)*'模拟-单技能数据'!$I$24</f>
        <v>0</v>
      </c>
      <c r="BG88" s="115" t="b">
        <f ca="1">OR(AND(OR(C88="烈日斩",C88="银月斩"),模拟模式!$I$7="净身明礼"),AND(C88="净世破魔击·日",模拟模式!$J$7="洞若观火"),AND(C89="净世破魔击·月",模拟模式!$J$7="洞若观火"),AB88=1)</f>
        <v>1</v>
      </c>
      <c r="BH88" s="115" t="b">
        <f t="shared" ca="1" si="32"/>
        <v>0</v>
      </c>
      <c r="BI88" s="115">
        <f t="shared" ca="1" si="60"/>
        <v>2.3099999999999996</v>
      </c>
      <c r="BJ88" s="115" t="b">
        <f t="shared" ca="1" si="33"/>
        <v>1</v>
      </c>
      <c r="BK88" s="115" t="b">
        <f ca="1">AND(C88="驱夜断愁",模拟模式!$P$7="天地诛戮")</f>
        <v>0</v>
      </c>
      <c r="BL88" s="57">
        <f t="shared" ca="1" si="61"/>
        <v>19.077500000000001</v>
      </c>
      <c r="BM88" s="115" t="b">
        <f t="shared" ca="1" si="34"/>
        <v>1</v>
      </c>
      <c r="BN88" s="115" t="b">
        <f ca="1">AND(OR(C88="赤日轮1",C88="赤日轮2",C88="赤日轮3",C88="幽月轮1",C88="幽月轮2",C88="幽月轮3"),AB88=1,模拟模式!$L$7="明光恒照")</f>
        <v>0</v>
      </c>
      <c r="BO88" s="117">
        <f t="shared" ca="1" si="62"/>
        <v>27.232500000000002</v>
      </c>
      <c r="BP88" s="115">
        <f t="shared" ca="1" si="35"/>
        <v>6</v>
      </c>
      <c r="BQ88" s="115" t="b">
        <f>模拟模式!$K$10="2600·水"</f>
        <v>0</v>
      </c>
      <c r="BR88" s="117">
        <f t="shared" si="36"/>
        <v>0</v>
      </c>
      <c r="BS88" s="115">
        <f t="shared" si="37"/>
        <v>0</v>
      </c>
      <c r="BT88" s="115">
        <f t="shared" ca="1" si="38"/>
        <v>0</v>
      </c>
      <c r="BU88" s="115" t="b">
        <f ca="1">AND(模拟模式!$K$10="2300·雷",BT87=0,RAND()&lt;IF(C88="净世破魔击·月",5*0.05*2/3,IF(C88="净世破魔击·日",3*0.05*2/3,0.05*2*2/3)))</f>
        <v>0</v>
      </c>
      <c r="BV88" s="115">
        <f t="shared" ca="1" si="39"/>
        <v>0</v>
      </c>
      <c r="BW88" s="115">
        <f t="shared" ca="1" si="40"/>
        <v>129.26249999999925</v>
      </c>
      <c r="BX88" s="164" t="b">
        <f t="shared" ca="1" si="41"/>
        <v>0</v>
      </c>
      <c r="BY88" s="115">
        <f t="shared" ca="1" si="42"/>
        <v>0</v>
      </c>
      <c r="BZ88" s="115">
        <f>IF(OR(模拟模式!$P$16="10人团",模拟模式!$P$16="25人团"),IF(B88/30&gt;CA87,1,0),0)</f>
        <v>0</v>
      </c>
      <c r="CA88" s="115">
        <f t="shared" si="8"/>
        <v>0</v>
      </c>
      <c r="CB88" s="115">
        <f ca="1">IF(BZ88=1,IF(模拟模式!$P$16="10人团",15,0)+IF(模拟模式!$P$16="25人团",IF(RAND()&lt;0.6,15,0)),MAX(0,CB87-$F$4))</f>
        <v>0</v>
      </c>
      <c r="CC88" s="115" t="b">
        <f t="shared" ca="1" si="43"/>
        <v>0</v>
      </c>
      <c r="CD88" s="115">
        <f>IF(模拟模式!$Q$16="1个",IF(B88/40&gt;CE87,1,0),0)</f>
        <v>0</v>
      </c>
      <c r="CE88" s="115">
        <f t="shared" si="44"/>
        <v>0</v>
      </c>
      <c r="CF88" s="115">
        <f>IF(OR(CD88=1,模拟模式!$Q$16="2个"),20,MAX(0,CF87-$F$4))</f>
        <v>0</v>
      </c>
      <c r="CG88" s="115" t="b">
        <f t="shared" si="45"/>
        <v>0</v>
      </c>
      <c r="CH88" s="115">
        <f t="shared" ca="1" si="46"/>
        <v>8.7825000000000131</v>
      </c>
      <c r="CI88" s="115" t="b">
        <f t="shared" ca="1" si="47"/>
        <v>0</v>
      </c>
      <c r="CJ88" s="119">
        <f t="shared" ca="1" si="48"/>
        <v>0</v>
      </c>
      <c r="CK88" s="115">
        <f t="shared" ca="1" si="49"/>
        <v>0</v>
      </c>
      <c r="CL88" s="115" t="b">
        <f ca="1">AND(模拟模式!$S$7="驱夷逐法",OR(AND(C88="净世破魔击·月",E87&gt;59),AND(C88="净世破魔击·日",F87&gt;59)))</f>
        <v>0</v>
      </c>
      <c r="CM88" s="115" t="b">
        <f ca="1">OR(CL88,AND(C88="净世破魔击·日",CL87,RAND()&lt;模拟模式!$U$23))</f>
        <v>0</v>
      </c>
      <c r="CN88" s="115" t="b">
        <f ca="1">IF(模拟模式!$M$7="辉耀红尘",AND(C88="净世破魔击·月",CL88,CV88=0,E87&lt;80),AND(C88="净世破魔击·月",CL88,E87&lt;100))</f>
        <v>0</v>
      </c>
      <c r="CO88" s="115" t="b">
        <f t="shared" ca="1" si="9"/>
        <v>0</v>
      </c>
      <c r="CP88" s="115" t="b">
        <f ca="1">AND(模拟模式!$O$7="用晦而明",OR(C88="净世破魔击·日",C88="净世破魔击·月",C88="驱夜断愁"),AB88)</f>
        <v>0</v>
      </c>
      <c r="CQ88" s="115" t="b">
        <f ca="1">OR(CP88,AND(CP87,RAND()&lt;模拟模式!$U$23))</f>
        <v>1</v>
      </c>
      <c r="CR88" s="115" t="b">
        <f ca="1">AND(模拟模式!$S$7="日月齐光",OR(C88="幽月轮1",C88="幽月轮2",C88="幽月轮3",CR87),NOT(OR(C88="赤日轮1",C88="赤日轮2",C88="赤日轮3")))</f>
        <v>0</v>
      </c>
      <c r="CS88" s="115" t="b">
        <f ca="1">AND(模拟模式!$S$7="日月齐光",OR(C88="赤日轮1",C88="赤日轮2",C88="赤日轮3",CS87),NOT(OR(C88="幽月轮1",C88="幽月轮2",C88="幽月轮3")))</f>
        <v>0</v>
      </c>
      <c r="CT88" s="115">
        <f t="shared" ca="1" si="50"/>
        <v>0</v>
      </c>
      <c r="CU88" s="115" t="b">
        <f ca="1">AND(模拟模式!$K$10="阴阳往极",CT87=0,RAND()&lt;IF(C88="净世破魔击·月",0.0275*7/3,IF(C88="净世破魔击·日",0.0275*3/3,0.0275*2/3)))</f>
        <v>0</v>
      </c>
      <c r="CV88" s="115">
        <f t="shared" ca="1" si="51"/>
        <v>0</v>
      </c>
      <c r="CW88" s="115">
        <f t="shared" ca="1" si="63"/>
        <v>6</v>
      </c>
      <c r="CX88" s="115">
        <f t="shared" ca="1" si="64"/>
        <v>4.1549999999999994</v>
      </c>
      <c r="CY88" s="115">
        <f ca="1">MAX(IF($C88="驱夜断愁",IF(模拟模式!$R$7="万念俱寂",6,45),CY87-$F$4),0)</f>
        <v>5.0774999999999997</v>
      </c>
      <c r="CZ88" s="115">
        <f t="shared" ca="1" si="12"/>
        <v>0</v>
      </c>
      <c r="DA88" s="115">
        <f ca="1">IF(模拟模式!$N$7="日月同辉",IF(DB87=2,0,MIN(6,IF(AND(OR(C88="赤日轮1",C88="赤日轮2",C88="赤日轮3",C88="幽月轮1",C88="幽月轮2",C88="幽月轮3"),AB88=1),DA87+1,DA87))),0)</f>
        <v>2</v>
      </c>
      <c r="DB88" s="115">
        <f t="shared" ca="1" si="13"/>
        <v>0</v>
      </c>
      <c r="DD88" s="115"/>
      <c r="DE88" s="115"/>
      <c r="DF88" s="115"/>
      <c r="DG88" s="115"/>
      <c r="DH88" s="115"/>
      <c r="DI88" s="115"/>
      <c r="DJ88" s="115"/>
      <c r="DK88" s="115"/>
      <c r="DL88" s="115"/>
      <c r="DM88" s="115"/>
    </row>
    <row r="89" spans="2:117" x14ac:dyDescent="0.2">
      <c r="B89" s="117">
        <f t="shared" si="65"/>
        <v>57.194999999999972</v>
      </c>
      <c r="C89" s="167" t="str">
        <f t="shared" ca="1" si="0"/>
        <v>幽月轮1</v>
      </c>
      <c r="D89" s="115">
        <f ca="1">IF(C89="赤日轮1",1,IF(C89="赤日轮2",2,IF(C89="赤日轮3",3,IF(C89="幽月轮1",4,IF(C89="幽月轮2",5,IF(C89="幽月轮3",6,IF(C89="烈日斩",7,IF(C89="银月斩",8,IF(C89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89="净世破魔击·月",17,IF(C89="驱夜断愁",18,0)))))))))))</f>
        <v>4</v>
      </c>
      <c r="E89" s="115">
        <f ca="1">IF(AND(CU89,OR(C89="幽月轮1",C89="幽月轮2",C89="幽月轮3",C89="银月斩",C89="驱夜断愁",C89="净世破魔击·月")),100,MIN(IF(OR(CN89,BE89),0,IF(OR($C89="赤日轮1",$C89="赤日轮2",$C89="赤日轮3"),E88+20+IF(模拟模式!$I$7="日月凌天",4,0)+IF(CR88,20,0),IF($C89="烈日斩",E88+40,IF($C89="驱夜断愁",IF(模拟模式!$R$7="万念俱寂",E88+20,E88+60),IF($C89="净世破魔击·月",IF(OR(DB88&gt;0,CV88&gt;0),100,IF(模拟模式!$M$7="辉耀红尘",E88+20,E88)),IF($C89="净世破魔击·日",E88-100,E88)))))),100))</f>
        <v>80</v>
      </c>
      <c r="F89" s="115">
        <f ca="1">IF(AND(CU89,OR(C89="赤日轮1",C89="赤日轮2",C89="赤日轮3",C89="烈日斩",C89="净世破魔击·日")),100,MIN(IF(CO89,0,IF(OR($C89="幽月轮1",$C89="幽月轮2",$C89="幽月轮3"),F88+20+IF(模拟模式!$I$7="日月凌天",4,0)+IF(CS88,20,0),IF($C89="银月斩",F88+40+IF(模拟模式!$X$12=1,5,0),IF($C89="驱夜断愁",IF(模拟模式!$R$7="万念俱寂",F88+20,F88+60),IF($C89="净世破魔击·月",IF(模拟模式!$M$7="辉耀红尘",F88-80,F88-100),IF(AND(C89="净世破魔击·日",OR(DB88&gt;0,CV88&gt;0)),100,F88)))))),100))</f>
        <v>100</v>
      </c>
      <c r="G89" s="117">
        <f ca="1">('模拟-全程加成'!$E$3+'模拟-全程加成'!$E$4+'模拟-全程加成'!$E$5+('模拟-全程加成'!$C$6-'模拟-全程加成'!$C$3)*系数!$B$9+BS89*23)*(1+'模拟-全程加成'!$F$4+'模拟-全程加成'!$F$5+BJ89*10%+BM89*20%+BP89*4%+CG89*30%)+$F$7*系数!$B$12</f>
        <v>21493.829400000002</v>
      </c>
      <c r="H89" s="45">
        <f ca="1">'模拟-全程加成'!$H$3+'模拟-全程加成'!$H$4+'模拟-全程加成'!$H$5+('模拟-全程加成'!$G$4+'模拟-全程加成'!$G$5+('模拟-全程加成'!$C$6-'模拟-全程加成'!$C$3)*系数!$B$13)/系数!$B$3+LOOKUP(D89,'模拟-单技能数据'!$A$2:$A$19,'模拟-单技能数据'!$K$2:$K$19)+BG89*10%+IF(BV89&gt;0,378,0)</f>
        <v>0.51185145527300213</v>
      </c>
      <c r="I89" s="45">
        <f ca="1">'模拟-全程加成'!$J$3+'模拟-全程加成'!$J$4+'模拟-全程加成'!$J$5+('模拟-全程加成'!$I$4+'模拟-全程加成'!$I$5)/系数!$B$4+LOOKUP(D89,'模拟-单技能数据'!$A$2:$A$19,'模拟-单技能数据'!$L$2:$L$19)+BG89*10%</f>
        <v>2.162482885499879</v>
      </c>
      <c r="J89" s="45">
        <f ca="1">(('模拟-全程加成'!$K$3+'模拟-全程加成'!$K$4+'模拟-全程加成'!$K$5+('模拟-全程加成'!$C$6-'模拟-全程加成'!$C$3)*系数!$B$10+IF(BV89&gt;0,882,0)+IF(BY89&gt;0,1831,0))*(1+'模拟-全程加成'!$L$4+'模拟-全程加成'!$L$5+CC89*20%))/系数!$B$5</f>
        <v>0.69723220422048726</v>
      </c>
      <c r="K89" s="119">
        <f ca="1">LOOKUP(D89,'模拟-单技能数据'!$A$2:$A$19,'模拟-单技能数据'!$J$2:$J$19)+IF(CM89,60%,0)+IF(DB88-DB89&gt;0,30%,0)+IF(OR(AND(OR(C89="赤日轮1",C89="赤日轮2",C89="赤日轮3"),CR89),AND(OR(C89="幽月轮1",C89="幽月轮2",C89="幽月轮3"),CS89)),35%,0)+CJ89</f>
        <v>7.0000000000000007E-2</v>
      </c>
      <c r="L89" s="119">
        <f ca="1">IF(AND(C89="烈日斩",模拟模式!$X$11=1),10%,0)+IF(AND(C89="驱夜断愁",AB89=1),30%,0)</f>
        <v>0</v>
      </c>
      <c r="M89" s="45">
        <f t="shared" ca="1" si="15"/>
        <v>0.51185145527300213</v>
      </c>
      <c r="N89" s="45">
        <f t="shared" ca="1" si="16"/>
        <v>0.43424854472699792</v>
      </c>
      <c r="O89" s="46">
        <f t="shared" ca="1" si="17"/>
        <v>0.15317443223359095</v>
      </c>
      <c r="P89" s="46" t="str">
        <f t="shared" ca="1" si="18"/>
        <v>会</v>
      </c>
      <c r="Q89" s="45">
        <f t="shared" ca="1" si="19"/>
        <v>2.162482885499879</v>
      </c>
      <c r="R89" s="117">
        <f ca="1">模拟模式!$E$20*(1-IF(模拟模式!$J$19="有",0.15,0))*(1-IF(模拟模式!$K$19="有",0.3,0)-IF(CQ89,0.5,0))</f>
        <v>2950.6049999999996</v>
      </c>
      <c r="S89" s="45">
        <f ca="1">R89/(R89+(185*模拟模式!$E$22-16800)*4.08224)</f>
        <v>0.24272716014590323</v>
      </c>
      <c r="T89" s="45" t="str">
        <f ca="1">LOOKUP(D89,'模拟-单技能数据'!$A$2:$A$19,'模拟-单技能数据'!$H$2:$H$19)</f>
        <v>阴</v>
      </c>
      <c r="U89" s="119">
        <f t="shared" ca="1" si="20"/>
        <v>0.08</v>
      </c>
      <c r="V89" s="47">
        <f ca="1">(1+L89)*(LOOKUP(D89,'模拟-单技能数据'!$A$2:$A$19,'模拟-单技能数据'!$D$2:$D$19)+G89*LOOKUP(D89,'模拟-单技能数据'!$A$2:$A$19,'模拟-单技能数据'!$F$2:$F$19))*(1+J89)*(1+K89)*(1-S89)*(1+U89)*Q89*LOOKUP(D89,'模拟-单技能数据'!$A$2:$A$19,'模拟-单技能数据'!$I$2:$I$20)</f>
        <v>36630.702053185581</v>
      </c>
      <c r="W89" s="47">
        <f ca="1">LOOKUP(D89,'模拟-单技能数据'!$A$2:$A$19,'模拟-单技能数据'!$G$2:$G$19)*$I$10</f>
        <v>361.51064354704795</v>
      </c>
      <c r="X89" s="47">
        <f t="shared" ca="1" si="21"/>
        <v>24263.345826424022</v>
      </c>
      <c r="Y89" s="47">
        <f t="shared" ca="1" si="22"/>
        <v>61255.558523156651</v>
      </c>
      <c r="Z89" s="49">
        <f t="shared" ca="1" si="23"/>
        <v>6287897.1139401412</v>
      </c>
      <c r="AA89" s="97">
        <f t="shared" ca="1" si="24"/>
        <v>109937.88117737816</v>
      </c>
      <c r="AB89" s="115">
        <f ca="1">IF(OR(C89="赤日轮1",C89="赤日轮2",C89="赤日轮3"),IF(RAND()&lt;模拟模式!$Y$17,1,0),IF(OR(C89="幽月轮1",C89="幽月轮2",C89="幽月轮3"),IF(RAND()&lt;模拟模式!$Y$18,1,0),IF(C89="烈日斩",IF(RAND()&lt;模拟模式!$Y$19,1,0),IF(C89="银月斩",IF(RAND()&lt;模拟模式!$Y$20,1,0),IF(C89="驱夜断愁",IF(RAND()&lt;模拟模式!$Y$21,1,0),IF(C89="净世破魔击·日",IF(RAND()&lt;模拟模式!$Y$22,1,0),IF(C89="净世破魔击·月",IF(RAND()&lt;模拟模式!$Y$23,1,0),0)))))))</f>
        <v>1</v>
      </c>
      <c r="AC89" s="115" t="b">
        <f t="shared" ca="1" si="56"/>
        <v>0</v>
      </c>
      <c r="AD89" s="115" t="b">
        <f t="shared" ca="1" si="52"/>
        <v>1</v>
      </c>
      <c r="AE89" s="115">
        <f t="shared" ca="1" si="53"/>
        <v>4</v>
      </c>
      <c r="AF89" s="47">
        <f ca="1">IF(AC89,('模拟-单技能数据'!$D$20+G89*'模拟-单技能数据'!$F$20)*(1+J89)*(1+'模拟-单技能数据'!$J$20)*(1+U89),0)</f>
        <v>0</v>
      </c>
      <c r="AG89" s="61">
        <f t="shared" ca="1" si="25"/>
        <v>0.64185145527300214</v>
      </c>
      <c r="AH89" s="61">
        <f t="shared" ca="1" si="26"/>
        <v>2.2624828854998791</v>
      </c>
      <c r="AI89" s="62">
        <f t="shared" ca="1" si="27"/>
        <v>0.96427339135156853</v>
      </c>
      <c r="AJ89" s="47">
        <f ca="1">IF(AD89,IF(AI89&lt;$F$10,0,IF(AI89&lt;$F$10+$F$11,0.25,IF(AI89&lt;$F$10+$F$11+AG89,AH89,1)))*IF(AF89&gt;0,AF89,IF(AF88&gt;0,AF88,IF(AF87&gt;0,AF87,IF(AF86&gt;0,AF86,IF(AF85&gt;0,AF85,IF(AF84&gt;0,AF84,IF(AF83&gt;0,AF83,IF(AF82&gt;0,AF82,IF(AF81&gt;0,AF81,IF(AF79&gt;0,AF79,IF(AF78&gt;0,AF78,IF(AF77&gt;0,AF77,0)))))))))))),0)*(1-$S89)*'模拟-单技能数据'!$I$20</f>
        <v>3513.5533621728819</v>
      </c>
      <c r="AK89" s="115" t="b">
        <f t="shared" ca="1" si="57"/>
        <v>0</v>
      </c>
      <c r="AL89" s="115" t="b">
        <f t="shared" ca="1" si="54"/>
        <v>1</v>
      </c>
      <c r="AM89" s="115">
        <f t="shared" ca="1" si="55"/>
        <v>3</v>
      </c>
      <c r="AN89" s="47">
        <f ca="1">IF(AK89,('模拟-单技能数据'!$D$21+G89*'模拟-单技能数据'!$F$21)*(1+J89)*(1+'模拟-单技能数据'!$J$21)*(1+U89),0)</f>
        <v>0</v>
      </c>
      <c r="AO89" s="61">
        <f ca="1">IF(AN89&gt;0,M89-'模拟-单技能数据'!$K$10,AO88)</f>
        <v>0.42185145527300216</v>
      </c>
      <c r="AP89" s="61">
        <f ca="1">IF(AN89&gt;0,I89-'模拟-单技能数据'!$L$10,AP88)</f>
        <v>2.162482885499879</v>
      </c>
      <c r="AQ89" s="63">
        <f t="shared" ca="1" si="28"/>
        <v>0.27452948444384373</v>
      </c>
      <c r="AR89" s="64">
        <f ca="1">IF(AL89,IF(AQ89&lt;$F$10,0,IF(AQ89&lt;$F$10+$F$11,0.25,IF(AQ89&lt;$F$10+$F$11+AO89,AP89,1)))*IF(AN89&gt;0,AN89,IF(AN88&gt;0,AN88,IF(AN87&gt;0,AN87,IF(AN86&gt;0,AN86,IF(AN85&gt;0,AN85,IF(AN84&gt;0,AN84,IF(AN83&gt;0,AN83,IF(AN82&gt;0,AN82,IF(AN81&gt;0,AN81,IF(AN79&gt;0,AN79,IF(AN78&gt;0,AN78,IF(AN77&gt;0,AN77,0)))))))))))),0)*(1-$S89)*'模拟-单技能数据'!$I$21</f>
        <v>20749.792464251139</v>
      </c>
      <c r="AS89" s="61">
        <f ca="1">IF(OR(C89="净世破魔击·日",C89="净世破魔击·月"),M89-'模拟-单技能数据'!$K$10,0)</f>
        <v>0</v>
      </c>
      <c r="AT89" s="61">
        <f ca="1">IF(OR(C89="净世破魔击·日",C89="净世破魔击·月"),I89-'模拟-单技能数据'!$L$10,0)</f>
        <v>0</v>
      </c>
      <c r="AU89" s="62">
        <f t="shared" ca="1" si="29"/>
        <v>0.87898288277956194</v>
      </c>
      <c r="AV89" s="64">
        <f ca="1">IF(AS89&gt;0,('模拟-单技能数据'!$D$22+G89*'模拟-单技能数据'!$F$22)*(1+J89)*(1-S89)*IF(AU89&lt;$F$10,0,IF(AU89&lt;$F$10+$F$11,0.25,IF(AU89&lt;$F$10+$F$11+AS89,AT89,1)))*(1+U89),0)*'模拟-单技能数据'!$I$22</f>
        <v>0</v>
      </c>
      <c r="AW89" s="108">
        <f t="shared" ca="1" si="30"/>
        <v>0</v>
      </c>
      <c r="AX89" s="108" t="b">
        <f ca="1">AND(模拟模式!$P$10="有",AW88=0,RAND()&lt;IF(C89="净世破魔击·月",0.1*8/3,IF(C89="净世破魔击·日",0.1*4/3,0.1*2/3)))</f>
        <v>0</v>
      </c>
      <c r="AY89" s="47">
        <f ca="1">IF(AX89,(18+G89*0.722)*(1+J89)*(1-S89)*(1+$I$4)*IF(P89="会",'模拟-全程加成'!$J$3+'模拟-全程加成'!$J$4+'模拟-全程加成'!$J$5+('模拟-全程加成'!$I$4+'模拟-全程加成'!$I$5)/系数!$B$4+BG89*10%,IF(P89="命",1,IF(P89="识",0.25,0))),0)</f>
        <v>0</v>
      </c>
      <c r="AZ89" s="108">
        <f t="shared" si="31"/>
        <v>3.3950000000000062</v>
      </c>
      <c r="BA89" s="108" t="b">
        <f>AND(模拟模式!$Q$10="有",AZ88=0)</f>
        <v>0</v>
      </c>
      <c r="BB89" s="140">
        <f>IF(BA89,(0+G89*0.287)*(1+J89)*(1-S89)*(1+$I$4)*IF(P89="会",'模拟-全程加成'!$J$3+'模拟-全程加成'!$J$4+'模拟-全程加成'!$J$5+('模拟-全程加成'!$I$4+'模拟-全程加成'!$I$5)/系数!$B$4+BG89*10%,IF(P89="命",1,IF(P89="识",0.25,0))),0)</f>
        <v>0</v>
      </c>
      <c r="BC89" s="115" t="b">
        <f ca="1">AND(模拟模式!$R$7="伏明众生",E89=60,F89=20,DA89&lt;5,CZ88&lt;$F$4)</f>
        <v>0</v>
      </c>
      <c r="BD89" s="115">
        <f t="shared" ca="1" si="58"/>
        <v>0</v>
      </c>
      <c r="BE89" s="115" t="b">
        <f t="shared" ca="1" si="59"/>
        <v>0</v>
      </c>
      <c r="BF89" s="47">
        <f ca="1">IF(BC89,4*('模拟-单技能数据'!$D$24+G89*'模拟-单技能数据'!$F$24)*(1+J89)*(1+'模拟-单技能数据'!$J$24)*(1-S89)*(1+$I$3)*(('模拟-全程加成'!$J$3+'模拟-全程加成'!$J$4+'模拟-全程加成'!$J$5+('模拟-全程加成'!$I$4+'模拟-全程加成'!$I$5)/系数!$B$4+BG89*10%)*('模拟-全程加成'!$J$3+'模拟-全程加成'!$J$4+'模拟-全程加成'!$J$5+('模拟-全程加成'!$I$4+'模拟-全程加成'!$I$5)/系数!$B$4+BG89*10%)+(1-('模拟-全程加成'!$J$3+'模拟-全程加成'!$J$4+'模拟-全程加成'!$J$5+('模拟-全程加成'!$I$4+'模拟-全程加成'!$I$5)/系数!$B$4+BG89*10%)-$F$10-$F$11)+F75*0.25),0)*'模拟-单技能数据'!$I$24</f>
        <v>0</v>
      </c>
      <c r="BG89" s="115" t="b">
        <f ca="1">OR(AND(OR(C89="烈日斩",C89="银月斩"),模拟模式!$I$7="净身明礼"),AND(C89="净世破魔击·日",模拟模式!$J$7="洞若观火"),AND(C90="净世破魔击·月",模拟模式!$J$7="洞若观火"),AB89=1)</f>
        <v>1</v>
      </c>
      <c r="BH89" s="115" t="b">
        <f t="shared" ca="1" si="32"/>
        <v>0</v>
      </c>
      <c r="BI89" s="115">
        <f t="shared" ca="1" si="60"/>
        <v>1.3874999999999997</v>
      </c>
      <c r="BJ89" s="115" t="b">
        <f t="shared" ca="1" si="33"/>
        <v>1</v>
      </c>
      <c r="BK89" s="115" t="b">
        <f ca="1">AND(C89="驱夜断愁",模拟模式!$P$7="天地诛戮")</f>
        <v>0</v>
      </c>
      <c r="BL89" s="57">
        <f t="shared" ca="1" si="61"/>
        <v>18.155000000000001</v>
      </c>
      <c r="BM89" s="115" t="b">
        <f t="shared" ca="1" si="34"/>
        <v>1</v>
      </c>
      <c r="BN89" s="115" t="b">
        <f ca="1">AND(OR(C89="赤日轮1",C89="赤日轮2",C89="赤日轮3",C89="幽月轮1",C89="幽月轮2",C89="幽月轮3"),AB89=1,模拟模式!$L$7="明光恒照")</f>
        <v>1</v>
      </c>
      <c r="BO89" s="117">
        <f t="shared" ca="1" si="62"/>
        <v>30</v>
      </c>
      <c r="BP89" s="115">
        <f t="shared" ca="1" si="35"/>
        <v>6</v>
      </c>
      <c r="BQ89" s="115" t="b">
        <f>模拟模式!$K$10="2600·水"</f>
        <v>0</v>
      </c>
      <c r="BR89" s="117">
        <f t="shared" si="36"/>
        <v>0</v>
      </c>
      <c r="BS89" s="115">
        <f t="shared" si="37"/>
        <v>0</v>
      </c>
      <c r="BT89" s="115">
        <f t="shared" ca="1" si="38"/>
        <v>0</v>
      </c>
      <c r="BU89" s="115" t="b">
        <f ca="1">AND(模拟模式!$K$10="2300·雷",BT88=0,RAND()&lt;IF(C89="净世破魔击·月",5*0.05*2/3,IF(C89="净世破魔击·日",3*0.05*2/3,0.05*2*2/3)))</f>
        <v>0</v>
      </c>
      <c r="BV89" s="115">
        <f t="shared" ca="1" si="39"/>
        <v>0</v>
      </c>
      <c r="BW89" s="115">
        <f t="shared" ca="1" si="40"/>
        <v>128.33999999999924</v>
      </c>
      <c r="BX89" s="164" t="b">
        <f t="shared" ca="1" si="41"/>
        <v>0</v>
      </c>
      <c r="BY89" s="115">
        <f t="shared" ca="1" si="42"/>
        <v>0</v>
      </c>
      <c r="BZ89" s="115">
        <f>IF(OR(模拟模式!$P$16="10人团",模拟模式!$P$16="25人团"),IF(B89/30&gt;CA88,1,0),0)</f>
        <v>0</v>
      </c>
      <c r="CA89" s="115">
        <f t="shared" si="8"/>
        <v>0</v>
      </c>
      <c r="CB89" s="115">
        <f ca="1">IF(BZ89=1,IF(模拟模式!$P$16="10人团",15,0)+IF(模拟模式!$P$16="25人团",IF(RAND()&lt;0.6,15,0)),MAX(0,CB88-$F$4))</f>
        <v>0</v>
      </c>
      <c r="CC89" s="115" t="b">
        <f t="shared" ca="1" si="43"/>
        <v>0</v>
      </c>
      <c r="CD89" s="115">
        <f>IF(模拟模式!$Q$16="1个",IF(B89/40&gt;CE88,1,0),0)</f>
        <v>0</v>
      </c>
      <c r="CE89" s="115">
        <f t="shared" si="44"/>
        <v>0</v>
      </c>
      <c r="CF89" s="115">
        <f>IF(OR(CD89=1,模拟模式!$Q$16="2个"),20,MAX(0,CF88-$F$4))</f>
        <v>0</v>
      </c>
      <c r="CG89" s="115" t="b">
        <f t="shared" si="45"/>
        <v>0</v>
      </c>
      <c r="CH89" s="115">
        <f t="shared" ca="1" si="46"/>
        <v>7.8600000000000128</v>
      </c>
      <c r="CI89" s="115" t="b">
        <f t="shared" ca="1" si="47"/>
        <v>0</v>
      </c>
      <c r="CJ89" s="119">
        <f t="shared" ca="1" si="48"/>
        <v>0</v>
      </c>
      <c r="CK89" s="115">
        <f t="shared" ca="1" si="49"/>
        <v>0</v>
      </c>
      <c r="CL89" s="115" t="b">
        <f ca="1">AND(模拟模式!$S$7="驱夷逐法",OR(AND(C89="净世破魔击·月",E88&gt;59),AND(C89="净世破魔击·日",F88&gt;59)))</f>
        <v>0</v>
      </c>
      <c r="CM89" s="115" t="b">
        <f ca="1">OR(CL89,AND(C89="净世破魔击·日",CL88,RAND()&lt;模拟模式!$U$23))</f>
        <v>0</v>
      </c>
      <c r="CN89" s="115" t="b">
        <f ca="1">IF(模拟模式!$M$7="辉耀红尘",AND(C89="净世破魔击·月",CL89,CV89=0,E88&lt;80),AND(C89="净世破魔击·月",CL89,E88&lt;100))</f>
        <v>0</v>
      </c>
      <c r="CO89" s="115" t="b">
        <f t="shared" ca="1" si="9"/>
        <v>0</v>
      </c>
      <c r="CP89" s="115" t="b">
        <f ca="1">AND(模拟模式!$O$7="用晦而明",OR(C89="净世破魔击·日",C89="净世破魔击·月",C89="驱夜断愁"),AB89)</f>
        <v>0</v>
      </c>
      <c r="CQ89" s="115" t="b">
        <f ca="1">OR(CP89,AND(CP88,RAND()&lt;模拟模式!$U$23))</f>
        <v>0</v>
      </c>
      <c r="CR89" s="115" t="b">
        <f ca="1">AND(模拟模式!$S$7="日月齐光",OR(C89="幽月轮1",C89="幽月轮2",C89="幽月轮3",CR88),NOT(OR(C89="赤日轮1",C89="赤日轮2",C89="赤日轮3")))</f>
        <v>0</v>
      </c>
      <c r="CS89" s="115" t="b">
        <f ca="1">AND(模拟模式!$S$7="日月齐光",OR(C89="赤日轮1",C89="赤日轮2",C89="赤日轮3",CS88),NOT(OR(C89="幽月轮1",C89="幽月轮2",C89="幽月轮3")))</f>
        <v>0</v>
      </c>
      <c r="CT89" s="115">
        <f t="shared" ca="1" si="50"/>
        <v>0</v>
      </c>
      <c r="CU89" s="115" t="b">
        <f ca="1">AND(模拟模式!$K$10="阴阳往极",CT88=0,RAND()&lt;IF(C89="净世破魔击·月",0.0275*7/3,IF(C89="净世破魔击·日",0.0275*3/3,0.0275*2/3)))</f>
        <v>0</v>
      </c>
      <c r="CV89" s="115">
        <f t="shared" ca="1" si="51"/>
        <v>0</v>
      </c>
      <c r="CW89" s="115">
        <f t="shared" ca="1" si="63"/>
        <v>5.0774999999999997</v>
      </c>
      <c r="CX89" s="115">
        <f t="shared" ca="1" si="64"/>
        <v>3.2324999999999995</v>
      </c>
      <c r="CY89" s="115">
        <f ca="1">MAX(IF($C89="驱夜断愁",IF(模拟模式!$R$7="万念俱寂",6,45),CY88-$F$4),0)</f>
        <v>4.1549999999999994</v>
      </c>
      <c r="CZ89" s="115">
        <f t="shared" ca="1" si="12"/>
        <v>0</v>
      </c>
      <c r="DA89" s="115">
        <f ca="1">IF(模拟模式!$N$7="日月同辉",IF(DB88=2,0,MIN(6,IF(AND(OR(C89="赤日轮1",C89="赤日轮2",C89="赤日轮3",C89="幽月轮1",C89="幽月轮2",C89="幽月轮3"),AB89=1),DA88+1,DA88))),0)</f>
        <v>3</v>
      </c>
      <c r="DB89" s="115">
        <f t="shared" ca="1" si="13"/>
        <v>0</v>
      </c>
      <c r="DD89" s="115"/>
      <c r="DE89" s="115"/>
      <c r="DF89" s="115"/>
      <c r="DG89" s="115"/>
      <c r="DH89" s="115"/>
      <c r="DI89" s="115"/>
      <c r="DJ89" s="115"/>
      <c r="DK89" s="115"/>
      <c r="DL89" s="115"/>
      <c r="DM89" s="115"/>
    </row>
    <row r="90" spans="2:117" x14ac:dyDescent="0.2">
      <c r="B90" s="117">
        <f t="shared" si="65"/>
        <v>58.117499999999971</v>
      </c>
      <c r="C90" s="167" t="str">
        <f t="shared" ca="1" si="0"/>
        <v>净世破魔击·月</v>
      </c>
      <c r="D90" s="115">
        <f ca="1">IF(C90="赤日轮1",1,IF(C90="赤日轮2",2,IF(C90="赤日轮3",3,IF(C90="幽月轮1",4,IF(C90="幽月轮2",5,IF(C90="幽月轮3",6,IF(C90="烈日斩",7,IF(C90="银月斩",8,IF(C90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90="净世破魔击·月",17,IF(C90="驱夜断愁",18,0)))))))))))</f>
        <v>17</v>
      </c>
      <c r="E90" s="115">
        <f ca="1">IF(AND(CU90,OR(C90="幽月轮1",C90="幽月轮2",C90="幽月轮3",C90="银月斩",C90="驱夜断愁",C90="净世破魔击·月")),100,MIN(IF(OR(CN90,BE90),0,IF(OR($C90="赤日轮1",$C90="赤日轮2",$C90="赤日轮3"),E89+20+IF(模拟模式!$I$7="日月凌天",4,0)+IF(CR89,20,0),IF($C90="烈日斩",E89+40,IF($C90="驱夜断愁",IF(模拟模式!$R$7="万念俱寂",E89+20,E89+60),IF($C90="净世破魔击·月",IF(OR(DB89&gt;0,CV89&gt;0),100,IF(模拟模式!$M$7="辉耀红尘",E89+20,E89)),IF($C90="净世破魔击·日",E89-100,E89)))))),100))</f>
        <v>100</v>
      </c>
      <c r="F90" s="115">
        <f ca="1">IF(AND(CU90,OR(C90="赤日轮1",C90="赤日轮2",C90="赤日轮3",C90="烈日斩",C90="净世破魔击·日")),100,MIN(IF(CO90,0,IF(OR($C90="幽月轮1",$C90="幽月轮2",$C90="幽月轮3"),F89+20+IF(模拟模式!$I$7="日月凌天",4,0)+IF(CS89,20,0),IF($C90="银月斩",F89+40+IF(模拟模式!$X$12=1,5,0),IF($C90="驱夜断愁",IF(模拟模式!$R$7="万念俱寂",F89+20,F89+60),IF($C90="净世破魔击·月",IF(模拟模式!$M$7="辉耀红尘",F89-80,F89-100),IF(AND(C90="净世破魔击·日",OR(DB89&gt;0,CV89&gt;0)),100,F89)))))),100))</f>
        <v>20</v>
      </c>
      <c r="G90" s="117">
        <f ca="1">('模拟-全程加成'!$E$3+'模拟-全程加成'!$E$4+'模拟-全程加成'!$E$5+('模拟-全程加成'!$C$6-'模拟-全程加成'!$C$3)*系数!$B$9+BS90*23)*(1+'模拟-全程加成'!$F$4+'模拟-全程加成'!$F$5+BJ90*10%+BM90*20%+BP90*4%+CG90*30%)+$F$7*系数!$B$12</f>
        <v>21493.829400000002</v>
      </c>
      <c r="H90" s="45">
        <f ca="1">'模拟-全程加成'!$H$3+'模拟-全程加成'!$H$4+'模拟-全程加成'!$H$5+('模拟-全程加成'!$G$4+'模拟-全程加成'!$G$5+('模拟-全程加成'!$C$6-'模拟-全程加成'!$C$3)*系数!$B$13)/系数!$B$3+LOOKUP(D90,'模拟-单技能数据'!$A$2:$A$19,'模拟-单技能数据'!$K$2:$K$19)+BG90*10%+IF(BV90&gt;0,378,0)</f>
        <v>0.54185145527300216</v>
      </c>
      <c r="I90" s="45">
        <f ca="1">'模拟-全程加成'!$J$3+'模拟-全程加成'!$J$4+'模拟-全程加成'!$J$5+('模拟-全程加成'!$I$4+'模拟-全程加成'!$I$5)/系数!$B$4+LOOKUP(D90,'模拟-单技能数据'!$A$2:$A$19,'模拟-单技能数据'!$L$2:$L$19)+BG90*10%</f>
        <v>2.162482885499879</v>
      </c>
      <c r="J90" s="45">
        <f ca="1">(('模拟-全程加成'!$K$3+'模拟-全程加成'!$K$4+'模拟-全程加成'!$K$5+('模拟-全程加成'!$C$6-'模拟-全程加成'!$C$3)*系数!$B$10+IF(BV90&gt;0,882,0)+IF(BY90&gt;0,1831,0))*(1+'模拟-全程加成'!$L$4+'模拟-全程加成'!$L$5+CC90*20%))/系数!$B$5</f>
        <v>0.69723220422048726</v>
      </c>
      <c r="K90" s="119">
        <f ca="1">LOOKUP(D90,'模拟-单技能数据'!$A$2:$A$19,'模拟-单技能数据'!$J$2:$J$19)+IF(CM90,60%,0)+IF(DB89-DB90&gt;0,30%,0)+IF(OR(AND(OR(C90="赤日轮1",C90="赤日轮2",C90="赤日轮3"),CR90),AND(OR(C90="幽月轮1",C90="幽月轮2",C90="幽月轮3"),CS90)),35%,0)+CJ90</f>
        <v>0.8</v>
      </c>
      <c r="L90" s="119">
        <f ca="1">IF(AND(C90="烈日斩",模拟模式!$X$11=1),10%,0)+IF(AND(C90="驱夜断愁",AB90=1),30%,0)</f>
        <v>0</v>
      </c>
      <c r="M90" s="45">
        <f t="shared" ca="1" si="15"/>
        <v>0.54185145527300216</v>
      </c>
      <c r="N90" s="45">
        <f t="shared" ca="1" si="16"/>
        <v>0.40424854472699789</v>
      </c>
      <c r="O90" s="46">
        <f t="shared" ca="1" si="17"/>
        <v>0.71861515886077176</v>
      </c>
      <c r="P90" s="46" t="str">
        <f t="shared" ca="1" si="18"/>
        <v>命</v>
      </c>
      <c r="Q90" s="45">
        <f t="shared" ca="1" si="19"/>
        <v>1</v>
      </c>
      <c r="R90" s="117">
        <f ca="1">模拟模式!$E$20*(1-IF(模拟模式!$J$19="有",0.15,0))*(1-IF(模拟模式!$K$19="有",0.3,0)-IF(CQ90,0.5,0))</f>
        <v>843.02999999999975</v>
      </c>
      <c r="S90" s="45">
        <f ca="1">R90/(R90+(185*模拟模式!$E$22-16800)*4.08224)</f>
        <v>8.389626085980037E-2</v>
      </c>
      <c r="T90" s="45" t="str">
        <f ca="1">LOOKUP(D90,'模拟-单技能数据'!$A$2:$A$19,'模拟-单技能数据'!$H$2:$H$19)</f>
        <v>阴</v>
      </c>
      <c r="U90" s="119">
        <f t="shared" ca="1" si="20"/>
        <v>0.08</v>
      </c>
      <c r="V90" s="47">
        <f ca="1">(1+L90)*(LOOKUP(D90,'模拟-单技能数据'!$A$2:$A$19,'模拟-单技能数据'!$D$2:$D$19)+G90*LOOKUP(D90,'模拟-单技能数据'!$A$2:$A$19,'模拟-单技能数据'!$F$2:$F$19))*(1+J90)*(1+K90)*(1-S90)*(1+U90)*Q90*LOOKUP(D90,'模拟-单技能数据'!$A$2:$A$19,'模拟-单技能数据'!$I$2:$I$20)</f>
        <v>84412.793434348554</v>
      </c>
      <c r="W90" s="47">
        <f ca="1">LOOKUP(D90,'模拟-单技能数据'!$A$2:$A$19,'模拟-单技能数据'!$G$2:$G$19)*$I$10</f>
        <v>361.51064354704795</v>
      </c>
      <c r="X90" s="47">
        <f t="shared" ca="1" si="21"/>
        <v>34045.612319164538</v>
      </c>
      <c r="Y90" s="47">
        <f t="shared" ca="1" si="22"/>
        <v>118819.91639706015</v>
      </c>
      <c r="Z90" s="49">
        <f t="shared" ca="1" si="23"/>
        <v>6406717.0303372014</v>
      </c>
      <c r="AA90" s="97">
        <f t="shared" ca="1" si="24"/>
        <v>110237.31286337513</v>
      </c>
      <c r="AB90" s="115">
        <f ca="1">IF(OR(C90="赤日轮1",C90="赤日轮2",C90="赤日轮3"),IF(RAND()&lt;模拟模式!$Y$17,1,0),IF(OR(C90="幽月轮1",C90="幽月轮2",C90="幽月轮3"),IF(RAND()&lt;模拟模式!$Y$18,1,0),IF(C90="烈日斩",IF(RAND()&lt;模拟模式!$Y$19,1,0),IF(C90="银月斩",IF(RAND()&lt;模拟模式!$Y$20,1,0),IF(C90="驱夜断愁",IF(RAND()&lt;模拟模式!$Y$21,1,0),IF(C90="净世破魔击·日",IF(RAND()&lt;模拟模式!$Y$22,1,0),IF(C90="净世破魔击·月",IF(RAND()&lt;模拟模式!$Y$23,1,0),0)))))))</f>
        <v>1</v>
      </c>
      <c r="AC90" s="115" t="b">
        <f t="shared" ca="1" si="56"/>
        <v>0</v>
      </c>
      <c r="AD90" s="115" t="b">
        <f t="shared" ca="1" si="52"/>
        <v>0</v>
      </c>
      <c r="AE90" s="115">
        <f t="shared" ca="1" si="53"/>
        <v>4</v>
      </c>
      <c r="AF90" s="47">
        <f ca="1">IF(AC90,('模拟-单技能数据'!$D$20+G90*'模拟-单技能数据'!$F$20)*(1+J90)*(1+'模拟-单技能数据'!$J$20)*(1+U90),0)</f>
        <v>0</v>
      </c>
      <c r="AG90" s="61">
        <f t="shared" ca="1" si="25"/>
        <v>0.64185145527300214</v>
      </c>
      <c r="AH90" s="61">
        <f t="shared" ca="1" si="26"/>
        <v>2.2624828854998791</v>
      </c>
      <c r="AI90" s="62">
        <f t="shared" ca="1" si="27"/>
        <v>0.66478362817556602</v>
      </c>
      <c r="AJ90" s="47">
        <f ca="1">IF(AD90,IF(AI90&lt;$F$10,0,IF(AI90&lt;$F$10+$F$11,0.25,IF(AI90&lt;$F$10+$F$11+AG90,AH90,1)))*IF(AF90&gt;0,AF90,IF(AF89&gt;0,AF89,IF(AF88&gt;0,AF88,IF(AF87&gt;0,AF87,IF(AF86&gt;0,AF86,IF(AF85&gt;0,AF85,IF(AF84&gt;0,AF84,IF(AF83&gt;0,AF83,IF(AF82&gt;0,AF82,IF(AF80&gt;0,AF80,IF(AF79&gt;0,AF79,IF(AF78&gt;0,AF78,0)))))))))))),0)*(1-$S90)*'模拟-单技能数据'!$I$20</f>
        <v>0</v>
      </c>
      <c r="AK90" s="115" t="b">
        <f t="shared" ca="1" si="57"/>
        <v>0</v>
      </c>
      <c r="AL90" s="115" t="b">
        <f t="shared" ca="1" si="54"/>
        <v>0</v>
      </c>
      <c r="AM90" s="115">
        <f t="shared" ca="1" si="55"/>
        <v>3</v>
      </c>
      <c r="AN90" s="47">
        <f ca="1">IF(AK90,('模拟-单技能数据'!$D$21+G90*'模拟-单技能数据'!$F$21)*(1+J90)*(1+'模拟-单技能数据'!$J$21)*(1+U90),0)</f>
        <v>0</v>
      </c>
      <c r="AO90" s="61">
        <f ca="1">IF(AN90&gt;0,M90-'模拟-单技能数据'!$K$10,AO89)</f>
        <v>0.42185145527300216</v>
      </c>
      <c r="AP90" s="61">
        <f ca="1">IF(AN90&gt;0,I90-'模拟-单技能数据'!$L$10,AP89)</f>
        <v>2.162482885499879</v>
      </c>
      <c r="AQ90" s="63">
        <f t="shared" ca="1" si="28"/>
        <v>0.91553435269449968</v>
      </c>
      <c r="AR90" s="64">
        <f ca="1">IF(AL90,IF(AQ90&lt;$F$10,0,IF(AQ90&lt;$F$10+$F$11,0.25,IF(AQ90&lt;$F$10+$F$11+AO90,AP90,1)))*IF(AN90&gt;0,AN90,IF(AN89&gt;0,AN89,IF(AN88&gt;0,AN88,IF(AN87&gt;0,AN87,IF(AN86&gt;0,AN86,IF(AN85&gt;0,AN85,IF(AN84&gt;0,AN84,IF(AN83&gt;0,AN83,IF(AN82&gt;0,AN82,IF(AN80&gt;0,AN80,IF(AN79&gt;0,AN79,IF(AN78&gt;0,AN78,0)))))))))))),0)*(1-$S90)*'模拟-单技能数据'!$I$21</f>
        <v>0</v>
      </c>
      <c r="AS90" s="61">
        <f ca="1">IF(OR(C90="净世破魔击·日",C90="净世破魔击·月"),M90-'模拟-单技能数据'!$K$10,0)</f>
        <v>0.42185145527300216</v>
      </c>
      <c r="AT90" s="61">
        <f ca="1">IF(OR(C90="净世破魔击·日",C90="净世破魔击·月"),I90-'模拟-单技能数据'!$L$10,0)</f>
        <v>2.162482885499879</v>
      </c>
      <c r="AU90" s="62">
        <f t="shared" ca="1" si="29"/>
        <v>0.55336213814836088</v>
      </c>
      <c r="AV90" s="64">
        <f ca="1">IF(AS90&gt;0,('模拟-单技能数据'!$D$22+G90*'模拟-单技能数据'!$F$22)*(1+J90)*(1-S90)*IF(AU90&lt;$F$10,0,IF(AU90&lt;$F$10+$F$11,0.25,IF(AU90&lt;$F$10+$F$11+AS90,AT90,1)))*(1+U90),0)*'模拟-单技能数据'!$I$22</f>
        <v>7956.2107573714466</v>
      </c>
      <c r="AW90" s="108">
        <f t="shared" ca="1" si="30"/>
        <v>19.077500000000001</v>
      </c>
      <c r="AX90" s="108" t="b">
        <f ca="1">AND(模拟模式!$P$10="有",AW89=0,RAND()&lt;IF(C90="净世破魔击·月",0.1*8/3,IF(C90="净世破魔击·日",0.1*4/3,0.1*2/3)))</f>
        <v>1</v>
      </c>
      <c r="AY90" s="47">
        <f ca="1">IF(AX90,(18+G90*0.722)*(1+J90)*(1-S90)*(1+$I$4)*IF(P90="会",'模拟-全程加成'!$J$3+'模拟-全程加成'!$J$4+'模拟-全程加成'!$J$5+('模拟-全程加成'!$I$4+'模拟-全程加成'!$I$5)/系数!$B$4+BG90*10%,IF(P90="命",1,IF(P90="识",0.25,0))),0)</f>
        <v>26089.401561793093</v>
      </c>
      <c r="AZ90" s="108">
        <f t="shared" si="31"/>
        <v>2.4725000000000064</v>
      </c>
      <c r="BA90" s="108" t="b">
        <f>AND(模拟模式!$Q$10="有",AZ89=0)</f>
        <v>0</v>
      </c>
      <c r="BB90" s="140">
        <f>IF(BA90,(0+G90*0.287)*(1+J90)*(1-S90)*(1+$I$4)*IF(P90="会",'模拟-全程加成'!$J$3+'模拟-全程加成'!$J$4+'模拟-全程加成'!$J$5+('模拟-全程加成'!$I$4+'模拟-全程加成'!$I$5)/系数!$B$4+BG90*10%,IF(P90="命",1,IF(P90="识",0.25,0))),0)</f>
        <v>0</v>
      </c>
      <c r="BC90" s="115" t="b">
        <f ca="1">AND(模拟模式!$R$7="伏明众生",E90=60,F90=20,DA90&lt;5,CZ89&lt;$F$4)</f>
        <v>0</v>
      </c>
      <c r="BD90" s="115">
        <f t="shared" ca="1" si="58"/>
        <v>0</v>
      </c>
      <c r="BE90" s="115" t="b">
        <f t="shared" ca="1" si="59"/>
        <v>0</v>
      </c>
      <c r="BF90" s="47">
        <f ca="1">IF(BC90,4*('模拟-单技能数据'!$D$24+G90*'模拟-单技能数据'!$F$24)*(1+J90)*(1+'模拟-单技能数据'!$J$24)*(1-S90)*(1+$I$3)*(('模拟-全程加成'!$J$3+'模拟-全程加成'!$J$4+'模拟-全程加成'!$J$5+('模拟-全程加成'!$I$4+'模拟-全程加成'!$I$5)/系数!$B$4+BG90*10%)*('模拟-全程加成'!$J$3+'模拟-全程加成'!$J$4+'模拟-全程加成'!$J$5+('模拟-全程加成'!$I$4+'模拟-全程加成'!$I$5)/系数!$B$4+BG90*10%)+(1-('模拟-全程加成'!$J$3+'模拟-全程加成'!$J$4+'模拟-全程加成'!$J$5+('模拟-全程加成'!$I$4+'模拟-全程加成'!$I$5)/系数!$B$4+BG90*10%)-$F$10-$F$11)+F76*0.25),0)*'模拟-单技能数据'!$I$24</f>
        <v>0</v>
      </c>
      <c r="BG90" s="115" t="b">
        <f ca="1">OR(AND(OR(C90="烈日斩",C90="银月斩"),模拟模式!$I$7="净身明礼"),AND(C90="净世破魔击·日",模拟模式!$J$7="洞若观火"),AND(C91="净世破魔击·月",模拟模式!$J$7="洞若观火"),AB90=1)</f>
        <v>1</v>
      </c>
      <c r="BH90" s="115" t="b">
        <f t="shared" ca="1" si="32"/>
        <v>1</v>
      </c>
      <c r="BI90" s="115">
        <f t="shared" ca="1" si="60"/>
        <v>6</v>
      </c>
      <c r="BJ90" s="115" t="b">
        <f t="shared" ca="1" si="33"/>
        <v>1</v>
      </c>
      <c r="BK90" s="115" t="b">
        <f ca="1">AND(C90="驱夜断愁",模拟模式!$P$7="天地诛戮")</f>
        <v>0</v>
      </c>
      <c r="BL90" s="57">
        <f t="shared" ca="1" si="61"/>
        <v>17.232500000000002</v>
      </c>
      <c r="BM90" s="115" t="b">
        <f t="shared" ca="1" si="34"/>
        <v>1</v>
      </c>
      <c r="BN90" s="115" t="b">
        <f ca="1">AND(OR(C90="赤日轮1",C90="赤日轮2",C90="赤日轮3",C90="幽月轮1",C90="幽月轮2",C90="幽月轮3"),AB90=1,模拟模式!$L$7="明光恒照")</f>
        <v>0</v>
      </c>
      <c r="BO90" s="117">
        <f t="shared" ca="1" si="62"/>
        <v>29.077500000000001</v>
      </c>
      <c r="BP90" s="115">
        <f t="shared" ca="1" si="35"/>
        <v>6</v>
      </c>
      <c r="BQ90" s="115" t="b">
        <f>模拟模式!$K$10="2600·水"</f>
        <v>0</v>
      </c>
      <c r="BR90" s="117">
        <f t="shared" si="36"/>
        <v>0</v>
      </c>
      <c r="BS90" s="115">
        <f t="shared" si="37"/>
        <v>0</v>
      </c>
      <c r="BT90" s="115">
        <f t="shared" ca="1" si="38"/>
        <v>0</v>
      </c>
      <c r="BU90" s="115" t="b">
        <f ca="1">AND(模拟模式!$K$10="2300·雷",BT89=0,RAND()&lt;IF(C90="净世破魔击·月",5*0.05*2/3,IF(C90="净世破魔击·日",3*0.05*2/3,0.05*2*2/3)))</f>
        <v>0</v>
      </c>
      <c r="BV90" s="115">
        <f t="shared" ca="1" si="39"/>
        <v>0</v>
      </c>
      <c r="BW90" s="115">
        <f t="shared" ca="1" si="40"/>
        <v>127.41749999999924</v>
      </c>
      <c r="BX90" s="164" t="b">
        <f t="shared" ca="1" si="41"/>
        <v>0</v>
      </c>
      <c r="BY90" s="115">
        <f t="shared" ca="1" si="42"/>
        <v>0</v>
      </c>
      <c r="BZ90" s="115">
        <f>IF(OR(模拟模式!$P$16="10人团",模拟模式!$P$16="25人团"),IF(B90/30&gt;CA89,1,0),0)</f>
        <v>0</v>
      </c>
      <c r="CA90" s="115">
        <f t="shared" si="8"/>
        <v>0</v>
      </c>
      <c r="CB90" s="115">
        <f ca="1">IF(BZ90=1,IF(模拟模式!$P$16="10人团",15,0)+IF(模拟模式!$P$16="25人团",IF(RAND()&lt;0.6,15,0)),MAX(0,CB89-$F$4))</f>
        <v>0</v>
      </c>
      <c r="CC90" s="115" t="b">
        <f t="shared" ca="1" si="43"/>
        <v>0</v>
      </c>
      <c r="CD90" s="115">
        <f>IF(模拟模式!$Q$16="1个",IF(B90/40&gt;CE89,1,0),0)</f>
        <v>0</v>
      </c>
      <c r="CE90" s="115">
        <f t="shared" si="44"/>
        <v>0</v>
      </c>
      <c r="CF90" s="115">
        <f>IF(OR(CD90=1,模拟模式!$Q$16="2个"),20,MAX(0,CF89-$F$4))</f>
        <v>0</v>
      </c>
      <c r="CG90" s="115" t="b">
        <f t="shared" si="45"/>
        <v>0</v>
      </c>
      <c r="CH90" s="115">
        <f t="shared" ca="1" si="46"/>
        <v>6.9375000000000124</v>
      </c>
      <c r="CI90" s="115" t="b">
        <f t="shared" ca="1" si="47"/>
        <v>0</v>
      </c>
      <c r="CJ90" s="119">
        <f t="shared" ca="1" si="48"/>
        <v>0</v>
      </c>
      <c r="CK90" s="115">
        <f t="shared" ca="1" si="49"/>
        <v>0</v>
      </c>
      <c r="CL90" s="115" t="b">
        <f ca="1">AND(模拟模式!$S$7="驱夷逐法",OR(AND(C90="净世破魔击·月",E89&gt;59),AND(C90="净世破魔击·日",F89&gt;59)))</f>
        <v>1</v>
      </c>
      <c r="CM90" s="115" t="b">
        <f ca="1">OR(CL90,AND(C90="净世破魔击·日",CL89,RAND()&lt;模拟模式!$U$23))</f>
        <v>1</v>
      </c>
      <c r="CN90" s="115" t="b">
        <f ca="1">IF(模拟模式!$M$7="辉耀红尘",AND(C90="净世破魔击·月",CL90,CV90=0,E89&lt;80),AND(C90="净世破魔击·月",CL90,E89&lt;100))</f>
        <v>0</v>
      </c>
      <c r="CO90" s="115" t="b">
        <f t="shared" ca="1" si="9"/>
        <v>0</v>
      </c>
      <c r="CP90" s="115" t="b">
        <f ca="1">AND(模拟模式!$O$7="用晦而明",OR(C90="净世破魔击·日",C90="净世破魔击·月",C90="驱夜断愁"),AB90)</f>
        <v>1</v>
      </c>
      <c r="CQ90" s="115" t="b">
        <f ca="1">OR(CP90,AND(CP89,RAND()&lt;模拟模式!$U$23))</f>
        <v>1</v>
      </c>
      <c r="CR90" s="115" t="b">
        <f ca="1">AND(模拟模式!$S$7="日月齐光",OR(C90="幽月轮1",C90="幽月轮2",C90="幽月轮3",CR89),NOT(OR(C90="赤日轮1",C90="赤日轮2",C90="赤日轮3")))</f>
        <v>0</v>
      </c>
      <c r="CS90" s="115" t="b">
        <f ca="1">AND(模拟模式!$S$7="日月齐光",OR(C90="赤日轮1",C90="赤日轮2",C90="赤日轮3",CS89),NOT(OR(C90="幽月轮1",C90="幽月轮2",C90="幽月轮3")))</f>
        <v>0</v>
      </c>
      <c r="CT90" s="115">
        <f t="shared" ca="1" si="50"/>
        <v>0</v>
      </c>
      <c r="CU90" s="115" t="b">
        <f ca="1">AND(模拟模式!$K$10="阴阳往极",CT89=0,RAND()&lt;IF(C90="净世破魔击·月",0.0275*7/3,IF(C90="净世破魔击·日",0.0275*3/3,0.0275*2/3)))</f>
        <v>0</v>
      </c>
      <c r="CV90" s="115">
        <f t="shared" ca="1" si="51"/>
        <v>0</v>
      </c>
      <c r="CW90" s="115">
        <f t="shared" ca="1" si="63"/>
        <v>4.1549999999999994</v>
      </c>
      <c r="CX90" s="115">
        <f t="shared" ca="1" si="64"/>
        <v>2.3099999999999996</v>
      </c>
      <c r="CY90" s="115">
        <f ca="1">MAX(IF($C90="驱夜断愁",IF(模拟模式!$R$7="万念俱寂",6,45),CY89-$F$4),0)</f>
        <v>3.2324999999999995</v>
      </c>
      <c r="CZ90" s="115">
        <f t="shared" ca="1" si="12"/>
        <v>0</v>
      </c>
      <c r="DA90" s="115">
        <f ca="1">IF(模拟模式!$N$7="日月同辉",IF(DB89=2,0,MIN(6,IF(AND(OR(C90="赤日轮1",C90="赤日轮2",C90="赤日轮3",C90="幽月轮1",C90="幽月轮2",C90="幽月轮3"),AB90=1),DA89+1,DA89))),0)</f>
        <v>3</v>
      </c>
      <c r="DB90" s="115">
        <f t="shared" ca="1" si="13"/>
        <v>0</v>
      </c>
      <c r="DD90" s="115"/>
      <c r="DE90" s="115"/>
      <c r="DF90" s="115"/>
      <c r="DG90" s="115"/>
      <c r="DH90" s="115"/>
      <c r="DI90" s="115"/>
      <c r="DJ90" s="115"/>
      <c r="DK90" s="115"/>
      <c r="DL90" s="115"/>
      <c r="DM90" s="115"/>
    </row>
    <row r="91" spans="2:117" x14ac:dyDescent="0.2">
      <c r="B91" s="117">
        <f t="shared" si="65"/>
        <v>59.039999999999971</v>
      </c>
      <c r="C91" s="167" t="str">
        <f t="shared" ca="1" si="0"/>
        <v>净世破魔击·日</v>
      </c>
      <c r="D91" s="115">
        <f ca="1">IF(C91="赤日轮1",1,IF(C91="赤日轮2",2,IF(C91="赤日轮3",3,IF(C91="幽月轮1",4,IF(C91="幽月轮2",5,IF(C91="幽月轮3",6,IF(C91="烈日斩",7,IF(C91="银月斩",8,IF(C91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91="净世破魔击·月",17,IF(C91="驱夜断愁",18,0)))))))))))</f>
        <v>9</v>
      </c>
      <c r="E91" s="115">
        <f ca="1">IF(AND(CU91,OR(C91="幽月轮1",C91="幽月轮2",C91="幽月轮3",C91="银月斩",C91="驱夜断愁",C91="净世破魔击·月")),100,MIN(IF(OR(CN91,BE91),0,IF(OR($C91="赤日轮1",$C91="赤日轮2",$C91="赤日轮3"),E90+20+IF(模拟模式!$I$7="日月凌天",4,0)+IF(CR90,20,0),IF($C91="烈日斩",E90+40,IF($C91="驱夜断愁",IF(模拟模式!$R$7="万念俱寂",E90+20,E90+60),IF($C91="净世破魔击·月",IF(OR(DB90&gt;0,CV90&gt;0),100,IF(模拟模式!$M$7="辉耀红尘",E90+20,E90)),IF($C91="净世破魔击·日",E90-100,E90)))))),100))</f>
        <v>0</v>
      </c>
      <c r="F91" s="115">
        <f ca="1">IF(AND(CU91,OR(C91="赤日轮1",C91="赤日轮2",C91="赤日轮3",C91="烈日斩",C91="净世破魔击·日")),100,MIN(IF(CO91,0,IF(OR($C91="幽月轮1",$C91="幽月轮2",$C91="幽月轮3"),F90+20+IF(模拟模式!$I$7="日月凌天",4,0)+IF(CS90,20,0),IF($C91="银月斩",F90+40+IF(模拟模式!$X$12=1,5,0),IF($C91="驱夜断愁",IF(模拟模式!$R$7="万念俱寂",F90+20,F90+60),IF($C91="净世破魔击·月",IF(模拟模式!$M$7="辉耀红尘",F90-80,F90-100),IF(AND(C91="净世破魔击·日",OR(DB90&gt;0,CV90&gt;0)),100,F90)))))),100))</f>
        <v>20</v>
      </c>
      <c r="G91" s="117">
        <f ca="1">('模拟-全程加成'!$E$3+'模拟-全程加成'!$E$4+'模拟-全程加成'!$E$5+('模拟-全程加成'!$C$6-'模拟-全程加成'!$C$3)*系数!$B$9+BS91*23)*(1+'模拟-全程加成'!$F$4+'模拟-全程加成'!$F$5+BJ91*10%+BM91*20%+BP91*4%+CG91*30%)+$F$7*系数!$B$12</f>
        <v>21493.829400000002</v>
      </c>
      <c r="H91" s="45">
        <f ca="1">'模拟-全程加成'!$H$3+'模拟-全程加成'!$H$4+'模拟-全程加成'!$H$5+('模拟-全程加成'!$G$4+'模拟-全程加成'!$G$5+('模拟-全程加成'!$C$6-'模拟-全程加成'!$C$3)*系数!$B$13)/系数!$B$3+LOOKUP(D91,'模拟-单技能数据'!$A$2:$A$19,'模拟-单技能数据'!$K$2:$K$19)+BG91*10%+IF(BV91&gt;0,378,0)</f>
        <v>0.54185145527300216</v>
      </c>
      <c r="I91" s="45">
        <f ca="1">'模拟-全程加成'!$J$3+'模拟-全程加成'!$J$4+'模拟-全程加成'!$J$5+('模拟-全程加成'!$I$4+'模拟-全程加成'!$I$5)/系数!$B$4+LOOKUP(D91,'模拟-单技能数据'!$A$2:$A$19,'模拟-单技能数据'!$L$2:$L$19)+BG91*10%</f>
        <v>2.162482885499879</v>
      </c>
      <c r="J91" s="45">
        <f ca="1">(('模拟-全程加成'!$K$3+'模拟-全程加成'!$K$4+'模拟-全程加成'!$K$5+('模拟-全程加成'!$C$6-'模拟-全程加成'!$C$3)*系数!$B$10+IF(BV91&gt;0,882,0)+IF(BY91&gt;0,1831,0))*(1+'模拟-全程加成'!$L$4+'模拟-全程加成'!$L$5+CC91*20%))/系数!$B$5</f>
        <v>0.69723220422048726</v>
      </c>
      <c r="K91" s="119">
        <f ca="1">LOOKUP(D91,'模拟-单技能数据'!$A$2:$A$19,'模拟-单技能数据'!$J$2:$J$19)+IF(CM91,60%,0)+IF(DB90-DB91&gt;0,30%,0)+IF(OR(AND(OR(C91="赤日轮1",C91="赤日轮2",C91="赤日轮3"),CR91),AND(OR(C91="幽月轮1",C91="幽月轮2",C91="幽月轮3"),CS91)),35%,0)+CJ91</f>
        <v>0.8</v>
      </c>
      <c r="L91" s="119">
        <f ca="1">IF(AND(C91="烈日斩",模拟模式!$X$11=1),10%,0)+IF(AND(C91="驱夜断愁",AB91=1),30%,0)</f>
        <v>0</v>
      </c>
      <c r="M91" s="45">
        <f t="shared" ca="1" si="15"/>
        <v>0.54185145527300216</v>
      </c>
      <c r="N91" s="45">
        <f t="shared" ca="1" si="16"/>
        <v>0.40424854472699789</v>
      </c>
      <c r="O91" s="46">
        <f t="shared" ca="1" si="17"/>
        <v>0.52640198233847946</v>
      </c>
      <c r="P91" s="46" t="str">
        <f t="shared" ca="1" si="18"/>
        <v>会</v>
      </c>
      <c r="Q91" s="45">
        <f t="shared" ca="1" si="19"/>
        <v>2.162482885499879</v>
      </c>
      <c r="R91" s="117">
        <f ca="1">模拟模式!$E$20*(1-IF(模拟模式!$J$19="有",0.15,0))*(1-IF(模拟模式!$K$19="有",0.3,0)-IF(CQ91,0.5,0))</f>
        <v>843.02999999999975</v>
      </c>
      <c r="S91" s="45">
        <f ca="1">R91/(R91+(185*模拟模式!$E$22-16800)*4.08224)</f>
        <v>8.389626085980037E-2</v>
      </c>
      <c r="T91" s="45" t="str">
        <f ca="1">LOOKUP(D91,'模拟-单技能数据'!$A$2:$A$19,'模拟-单技能数据'!$H$2:$H$19)</f>
        <v>阳</v>
      </c>
      <c r="U91" s="119">
        <f t="shared" ca="1" si="20"/>
        <v>0.2</v>
      </c>
      <c r="V91" s="47">
        <f ca="1">(1+L91)*(LOOKUP(D91,'模拟-单技能数据'!$A$2:$A$19,'模拟-单技能数据'!$D$2:$D$19)+G91*LOOKUP(D91,'模拟-单技能数据'!$A$2:$A$19,'模拟-单技能数据'!$F$2:$F$19))*(1+J91)*(1+K91)*(1-S91)*(1+U91)*Q91*LOOKUP(D91,'模拟-单技能数据'!$A$2:$A$19,'模拟-单技能数据'!$I$2:$I$20)</f>
        <v>204517.60843249681</v>
      </c>
      <c r="W91" s="47">
        <f ca="1">LOOKUP(D91,'模拟-单技能数据'!$A$2:$A$19,'模拟-单技能数据'!$G$2:$G$19)*$I$10</f>
        <v>723.0212870940959</v>
      </c>
      <c r="X91" s="47">
        <f t="shared" ca="1" si="21"/>
        <v>34975.235295113031</v>
      </c>
      <c r="Y91" s="47">
        <f t="shared" ca="1" si="22"/>
        <v>240215.86501470394</v>
      </c>
      <c r="Z91" s="49">
        <f t="shared" ca="1" si="23"/>
        <v>6646932.8953519054</v>
      </c>
      <c r="AA91" s="97">
        <f t="shared" ca="1" si="24"/>
        <v>112583.55175054046</v>
      </c>
      <c r="AB91" s="115">
        <f ca="1">IF(OR(C91="赤日轮1",C91="赤日轮2",C91="赤日轮3"),IF(RAND()&lt;模拟模式!$Y$17,1,0),IF(OR(C91="幽月轮1",C91="幽月轮2",C91="幽月轮3"),IF(RAND()&lt;模拟模式!$Y$18,1,0),IF(C91="烈日斩",IF(RAND()&lt;模拟模式!$Y$19,1,0),IF(C91="银月斩",IF(RAND()&lt;模拟模式!$Y$20,1,0),IF(C91="驱夜断愁",IF(RAND()&lt;模拟模式!$Y$21,1,0),IF(C91="净世破魔击·日",IF(RAND()&lt;模拟模式!$Y$22,1,0),IF(C91="净世破魔击·月",IF(RAND()&lt;模拟模式!$Y$23,1,0),0)))))))</f>
        <v>1</v>
      </c>
      <c r="AC91" s="115" t="b">
        <f t="shared" ca="1" si="56"/>
        <v>0</v>
      </c>
      <c r="AD91" s="115" t="b">
        <f t="shared" ca="1" si="52"/>
        <v>1</v>
      </c>
      <c r="AE91" s="115">
        <f t="shared" ca="1" si="53"/>
        <v>3</v>
      </c>
      <c r="AF91" s="47">
        <f ca="1">IF(AC91,('模拟-单技能数据'!$D$20+G91*'模拟-单技能数据'!$F$20)*(1+J91)*(1+'模拟-单技能数据'!$J$20)*(1+U91),0)</f>
        <v>0</v>
      </c>
      <c r="AG91" s="61">
        <f t="shared" ca="1" si="25"/>
        <v>0.64185145527300214</v>
      </c>
      <c r="AH91" s="61">
        <f t="shared" ca="1" si="26"/>
        <v>2.2624828854998791</v>
      </c>
      <c r="AI91" s="62">
        <f t="shared" ca="1" si="27"/>
        <v>0.81064838011441143</v>
      </c>
      <c r="AJ91" s="47">
        <f ca="1">IF(AD91,IF(AI91&lt;$F$10,0,IF(AI91&lt;$F$10+$F$11,0.25,IF(AI91&lt;$F$10+$F$11+AG91,AH91,1)))*IF(AF91&gt;0,AF91,IF(AF90&gt;0,AF90,IF(AF89&gt;0,AF89,IF(AF88&gt;0,AF88,IF(AF87&gt;0,AF87,IF(AF86&gt;0,AF86,IF(AF85&gt;0,AF85,IF(AF84&gt;0,AF84,IF(AF83&gt;0,AF83,IF(AF81&gt;0,AF81,IF(AF80&gt;0,AF80,IF(AF79&gt;0,AF79,0)))))))))))),0)*(1-$S91)*'模拟-单技能数据'!$I$20</f>
        <v>4250.4883357170938</v>
      </c>
      <c r="AK91" s="115" t="b">
        <f t="shared" ca="1" si="57"/>
        <v>1</v>
      </c>
      <c r="AL91" s="115" t="b">
        <f t="shared" ca="1" si="54"/>
        <v>1</v>
      </c>
      <c r="AM91" s="115">
        <f t="shared" ca="1" si="55"/>
        <v>5</v>
      </c>
      <c r="AN91" s="47">
        <f ca="1">IF(AK91,('模拟-单技能数据'!$D$21+G91*'模拟-单技能数据'!$F$21)*(1+J91)*(1+'模拟-单技能数据'!$J$21)*(1+U91),0)</f>
        <v>12670.936004857545</v>
      </c>
      <c r="AO91" s="61">
        <f ca="1">IF(AN91&gt;0,M91-'模拟-单技能数据'!$K$10,AO90)</f>
        <v>0.42185145527300216</v>
      </c>
      <c r="AP91" s="61">
        <f ca="1">IF(AN91&gt;0,I91-'模拟-单技能数据'!$L$10,AP90)</f>
        <v>2.162482885499879</v>
      </c>
      <c r="AQ91" s="63">
        <f t="shared" ca="1" si="28"/>
        <v>0.65973008129984412</v>
      </c>
      <c r="AR91" s="64">
        <f ca="1">IF(AL91,IF(AQ91&lt;$F$10,0,IF(AQ91&lt;$F$10+$F$11,0.25,IF(AQ91&lt;$F$10+$F$11+AO91,AP91,1)))*IF(AN91&gt;0,AN91,IF(AN90&gt;0,AN90,IF(AN89&gt;0,AN89,IF(AN88&gt;0,AN88,IF(AN87&gt;0,AN87,IF(AN86&gt;0,AN86,IF(AN85&gt;0,AN85,IF(AN84&gt;0,AN84,IF(AN83&gt;0,AN83,IF(AN81&gt;0,AN81,IF(AN80&gt;0,AN80,IF(AN79&gt;0,AN79,0)))))))))))),0)*(1-$S91)*'模拟-单技能数据'!$I$21</f>
        <v>11607.89185245618</v>
      </c>
      <c r="AS91" s="61">
        <f ca="1">IF(OR(C91="净世破魔击·日",C91="净世破魔击·月"),M91-'模拟-单技能数据'!$K$10,0)</f>
        <v>0.42185145527300216</v>
      </c>
      <c r="AT91" s="61">
        <f ca="1">IF(OR(C91="净世破魔击·日",C91="净世破魔击·月"),I91-'模拟-单技能数据'!$L$10,0)</f>
        <v>2.162482885499879</v>
      </c>
      <c r="AU91" s="62">
        <f t="shared" ca="1" si="29"/>
        <v>0.39557720127899965</v>
      </c>
      <c r="AV91" s="64">
        <f ca="1">IF(AS91&gt;0,('模拟-单技能数据'!$D$22+G91*'模拟-单技能数据'!$F$22)*(1+J91)*(1-S91)*IF(AU91&lt;$F$10,0,IF(AU91&lt;$F$10+$F$11,0.25,IF(AU91&lt;$F$10+$F$11+AS91,AT91,1)))*(1+U91),0)*'模拟-单技能数据'!$I$22</f>
        <v>19116.855106939758</v>
      </c>
      <c r="AW91" s="108">
        <f t="shared" ca="1" si="30"/>
        <v>18.155000000000001</v>
      </c>
      <c r="AX91" s="108" t="b">
        <f ca="1">AND(模拟模式!$P$10="有",AW90=0,RAND()&lt;IF(C91="净世破魔击·月",0.1*8/3,IF(C91="净世破魔击·日",0.1*4/3,0.1*2/3)))</f>
        <v>0</v>
      </c>
      <c r="AY91" s="47">
        <f ca="1">IF(AX91,(18+G91*0.722)*(1+J91)*(1-S91)*(1+$I$4)*IF(P91="会",'模拟-全程加成'!$J$3+'模拟-全程加成'!$J$4+'模拟-全程加成'!$J$5+('模拟-全程加成'!$I$4+'模拟-全程加成'!$I$5)/系数!$B$4+BG91*10%,IF(P91="命",1,IF(P91="识",0.25,0))),0)</f>
        <v>0</v>
      </c>
      <c r="AZ91" s="108">
        <f t="shared" si="31"/>
        <v>1.5500000000000065</v>
      </c>
      <c r="BA91" s="108" t="b">
        <f>AND(模拟模式!$Q$10="有",AZ90=0)</f>
        <v>0</v>
      </c>
      <c r="BB91" s="140">
        <f>IF(BA91,(0+G91*0.287)*(1+J91)*(1-S91)*(1+$I$4)*IF(P91="会",'模拟-全程加成'!$J$3+'模拟-全程加成'!$J$4+'模拟-全程加成'!$J$5+('模拟-全程加成'!$I$4+'模拟-全程加成'!$I$5)/系数!$B$4+BG91*10%,IF(P91="命",1,IF(P91="识",0.25,0))),0)</f>
        <v>0</v>
      </c>
      <c r="BC91" s="115" t="b">
        <f ca="1">AND(模拟模式!$R$7="伏明众生",E91=60,F91=20,DA91&lt;5,CZ90&lt;$F$4)</f>
        <v>0</v>
      </c>
      <c r="BD91" s="115">
        <f t="shared" ca="1" si="58"/>
        <v>0</v>
      </c>
      <c r="BE91" s="115" t="b">
        <f t="shared" ca="1" si="59"/>
        <v>0</v>
      </c>
      <c r="BF91" s="47">
        <f ca="1">IF(BC91,4*('模拟-单技能数据'!$D$24+G91*'模拟-单技能数据'!$F$24)*(1+J91)*(1+'模拟-单技能数据'!$J$24)*(1-S91)*(1+$I$3)*(('模拟-全程加成'!$J$3+'模拟-全程加成'!$J$4+'模拟-全程加成'!$J$5+('模拟-全程加成'!$I$4+'模拟-全程加成'!$I$5)/系数!$B$4+BG91*10%)*('模拟-全程加成'!$J$3+'模拟-全程加成'!$J$4+'模拟-全程加成'!$J$5+('模拟-全程加成'!$I$4+'模拟-全程加成'!$I$5)/系数!$B$4+BG91*10%)+(1-('模拟-全程加成'!$J$3+'模拟-全程加成'!$J$4+'模拟-全程加成'!$J$5+('模拟-全程加成'!$I$4+'模拟-全程加成'!$I$5)/系数!$B$4+BG91*10%)-$F$10-$F$11)+F77*0.25),0)*'模拟-单技能数据'!$I$24</f>
        <v>0</v>
      </c>
      <c r="BG91" s="115" t="b">
        <f ca="1">OR(AND(OR(C91="烈日斩",C91="银月斩"),模拟模式!$I$7="净身明礼"),AND(C91="净世破魔击·日",模拟模式!$J$7="洞若观火"),AND(C92="净世破魔击·月",模拟模式!$J$7="洞若观火"),AB91=1)</f>
        <v>1</v>
      </c>
      <c r="BH91" s="115" t="b">
        <f t="shared" ca="1" si="32"/>
        <v>0</v>
      </c>
      <c r="BI91" s="115">
        <f t="shared" ca="1" si="60"/>
        <v>5.0774999999999997</v>
      </c>
      <c r="BJ91" s="115" t="b">
        <f t="shared" ca="1" si="33"/>
        <v>1</v>
      </c>
      <c r="BK91" s="115" t="b">
        <f ca="1">AND(C91="驱夜断愁",模拟模式!$P$7="天地诛戮")</f>
        <v>0</v>
      </c>
      <c r="BL91" s="57">
        <f t="shared" ca="1" si="61"/>
        <v>16.310000000000002</v>
      </c>
      <c r="BM91" s="115" t="b">
        <f t="shared" ca="1" si="34"/>
        <v>1</v>
      </c>
      <c r="BN91" s="115" t="b">
        <f ca="1">AND(OR(C91="赤日轮1",C91="赤日轮2",C91="赤日轮3",C91="幽月轮1",C91="幽月轮2",C91="幽月轮3"),AB91=1,模拟模式!$L$7="明光恒照")</f>
        <v>0</v>
      </c>
      <c r="BO91" s="117">
        <f t="shared" ca="1" si="62"/>
        <v>28.155000000000001</v>
      </c>
      <c r="BP91" s="115">
        <f t="shared" ca="1" si="35"/>
        <v>6</v>
      </c>
      <c r="BQ91" s="115" t="b">
        <f>模拟模式!$K$10="2600·水"</f>
        <v>0</v>
      </c>
      <c r="BR91" s="117">
        <f t="shared" si="36"/>
        <v>0</v>
      </c>
      <c r="BS91" s="115">
        <f t="shared" si="37"/>
        <v>0</v>
      </c>
      <c r="BT91" s="115">
        <f t="shared" ca="1" si="38"/>
        <v>0</v>
      </c>
      <c r="BU91" s="115" t="b">
        <f ca="1">AND(模拟模式!$K$10="2300·雷",BT90=0,RAND()&lt;IF(C91="净世破魔击·月",5*0.05*2/3,IF(C91="净世破魔击·日",3*0.05*2/3,0.05*2*2/3)))</f>
        <v>0</v>
      </c>
      <c r="BV91" s="115">
        <f t="shared" ca="1" si="39"/>
        <v>0</v>
      </c>
      <c r="BW91" s="115">
        <f t="shared" ca="1" si="40"/>
        <v>126.49499999999924</v>
      </c>
      <c r="BX91" s="164" t="b">
        <f t="shared" ca="1" si="41"/>
        <v>0</v>
      </c>
      <c r="BY91" s="115">
        <f t="shared" ca="1" si="42"/>
        <v>0</v>
      </c>
      <c r="BZ91" s="115">
        <f>IF(OR(模拟模式!$P$16="10人团",模拟模式!$P$16="25人团"),IF(B91/30&gt;CA90,1,0),0)</f>
        <v>0</v>
      </c>
      <c r="CA91" s="115">
        <f t="shared" si="8"/>
        <v>0</v>
      </c>
      <c r="CB91" s="115">
        <f ca="1">IF(BZ91=1,IF(模拟模式!$P$16="10人团",15,0)+IF(模拟模式!$P$16="25人团",IF(RAND()&lt;0.6,15,0)),MAX(0,CB90-$F$4))</f>
        <v>0</v>
      </c>
      <c r="CC91" s="115" t="b">
        <f t="shared" ca="1" si="43"/>
        <v>0</v>
      </c>
      <c r="CD91" s="115">
        <f>IF(模拟模式!$Q$16="1个",IF(B91/40&gt;CE90,1,0),0)</f>
        <v>0</v>
      </c>
      <c r="CE91" s="115">
        <f t="shared" si="44"/>
        <v>0</v>
      </c>
      <c r="CF91" s="115">
        <f>IF(OR(CD91=1,模拟模式!$Q$16="2个"),20,MAX(0,CF90-$F$4))</f>
        <v>0</v>
      </c>
      <c r="CG91" s="115" t="b">
        <f t="shared" si="45"/>
        <v>0</v>
      </c>
      <c r="CH91" s="115">
        <f t="shared" ca="1" si="46"/>
        <v>6.0150000000000121</v>
      </c>
      <c r="CI91" s="115" t="b">
        <f t="shared" ca="1" si="47"/>
        <v>0</v>
      </c>
      <c r="CJ91" s="119">
        <f t="shared" ca="1" si="48"/>
        <v>0</v>
      </c>
      <c r="CK91" s="115">
        <f t="shared" ca="1" si="49"/>
        <v>0</v>
      </c>
      <c r="CL91" s="115" t="b">
        <f ca="1">AND(模拟模式!$S$7="驱夷逐法",OR(AND(C91="净世破魔击·月",E90&gt;59),AND(C91="净世破魔击·日",F90&gt;59)))</f>
        <v>0</v>
      </c>
      <c r="CM91" s="115" t="b">
        <f ca="1">OR(CL91,AND(C91="净世破魔击·日",CL90,RAND()&lt;模拟模式!$U$23))</f>
        <v>1</v>
      </c>
      <c r="CN91" s="115" t="b">
        <f ca="1">IF(模拟模式!$M$7="辉耀红尘",AND(C91="净世破魔击·月",CL91,CV91=0,E90&lt;80),AND(C91="净世破魔击·月",CL91,E90&lt;100))</f>
        <v>0</v>
      </c>
      <c r="CO91" s="115" t="b">
        <f t="shared" ca="1" si="9"/>
        <v>0</v>
      </c>
      <c r="CP91" s="115" t="b">
        <f ca="1">AND(模拟模式!$O$7="用晦而明",OR(C91="净世破魔击·日",C91="净世破魔击·月",C91="驱夜断愁"),AB91)</f>
        <v>1</v>
      </c>
      <c r="CQ91" s="115" t="b">
        <f ca="1">OR(CP91,AND(CP90,RAND()&lt;模拟模式!$U$23))</f>
        <v>1</v>
      </c>
      <c r="CR91" s="115" t="b">
        <f ca="1">AND(模拟模式!$S$7="日月齐光",OR(C91="幽月轮1",C91="幽月轮2",C91="幽月轮3",CR90),NOT(OR(C91="赤日轮1",C91="赤日轮2",C91="赤日轮3")))</f>
        <v>0</v>
      </c>
      <c r="CS91" s="115" t="b">
        <f ca="1">AND(模拟模式!$S$7="日月齐光",OR(C91="赤日轮1",C91="赤日轮2",C91="赤日轮3",CS90),NOT(OR(C91="幽月轮1",C91="幽月轮2",C91="幽月轮3")))</f>
        <v>0</v>
      </c>
      <c r="CT91" s="115">
        <f t="shared" ca="1" si="50"/>
        <v>0</v>
      </c>
      <c r="CU91" s="115" t="b">
        <f ca="1">AND(模拟模式!$K$10="阴阳往极",CT90=0,RAND()&lt;IF(C91="净世破魔击·月",0.0275*7/3,IF(C91="净世破魔击·日",0.0275*3/3,0.0275*2/3)))</f>
        <v>0</v>
      </c>
      <c r="CV91" s="115">
        <f t="shared" ca="1" si="51"/>
        <v>0</v>
      </c>
      <c r="CW91" s="115">
        <f t="shared" ca="1" si="63"/>
        <v>3.2324999999999995</v>
      </c>
      <c r="CX91" s="115">
        <f t="shared" ca="1" si="64"/>
        <v>1.3874999999999997</v>
      </c>
      <c r="CY91" s="115">
        <f ca="1">MAX(IF($C91="驱夜断愁",IF(模拟模式!$R$7="万念俱寂",6,45),CY90-$F$4),0)</f>
        <v>2.3099999999999996</v>
      </c>
      <c r="CZ91" s="115">
        <f t="shared" ca="1" si="12"/>
        <v>0</v>
      </c>
      <c r="DA91" s="115">
        <f ca="1">IF(模拟模式!$N$7="日月同辉",IF(DB90=2,0,MIN(6,IF(AND(OR(C91="赤日轮1",C91="赤日轮2",C91="赤日轮3",C91="幽月轮1",C91="幽月轮2",C91="幽月轮3"),AB91=1),DA90+1,DA90))),0)</f>
        <v>3</v>
      </c>
      <c r="DB91" s="115">
        <f t="shared" ca="1" si="13"/>
        <v>0</v>
      </c>
      <c r="DD91" s="115"/>
      <c r="DE91" s="115"/>
      <c r="DF91" s="115"/>
      <c r="DG91" s="115"/>
      <c r="DH91" s="115"/>
      <c r="DI91" s="115"/>
      <c r="DJ91" s="115"/>
      <c r="DK91" s="115"/>
      <c r="DL91" s="115"/>
      <c r="DM91" s="115"/>
    </row>
    <row r="92" spans="2:117" x14ac:dyDescent="0.2">
      <c r="B92" s="117">
        <f t="shared" si="65"/>
        <v>59.96249999999997</v>
      </c>
      <c r="C92" s="167" t="str">
        <f t="shared" ref="C92:C155" ca="1" si="66">IF(F91=100,"净世破魔击·月",IF(E91=100,"净世破魔击·日",IF(E91&lt;20,IF(C91="赤日轮1","赤日轮2",IF(C91="赤日轮2","赤日轮3","赤日轮1")),IF(AND(E91&gt;19,F91&lt;44,CX91&lt;$F$4),"银月斩",IF(AND(E91&lt;40,CY91&lt;$F$4),"驱夜断愁",IF(AND(E91&lt;60,CW91&lt;$F$4),"烈日斩",IF(C91="幽月轮1","幽月轮2",IF(C91="幽月轮2","幽月轮3","幽月轮1"))))))))</f>
        <v>赤日轮1</v>
      </c>
      <c r="D92" s="115">
        <f ca="1">IF(C92="赤日轮1",1,IF(C92="赤日轮2",2,IF(C92="赤日轮3",3,IF(C92="幽月轮1",4,IF(C92="幽月轮2",5,IF(C92="幽月轮3",6,IF(C92="烈日斩",7,IF(C92="银月斩",8,IF(C92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92="净世破魔击·月",17,IF(C92="驱夜断愁",18,0)))))))))))</f>
        <v>1</v>
      </c>
      <c r="E92" s="115">
        <f ca="1">IF(AND(CU92,OR(C92="幽月轮1",C92="幽月轮2",C92="幽月轮3",C92="银月斩",C92="驱夜断愁",C92="净世破魔击·月")),100,MIN(IF(OR(CN92,BE92),0,IF(OR($C92="赤日轮1",$C92="赤日轮2",$C92="赤日轮3"),E91+20+IF(模拟模式!$I$7="日月凌天",4,0)+IF(CR91,20,0),IF($C92="烈日斩",E91+40,IF($C92="驱夜断愁",IF(模拟模式!$R$7="万念俱寂",E91+20,E91+60),IF($C92="净世破魔击·月",IF(OR(DB91&gt;0,CV91&gt;0),100,IF(模拟模式!$M$7="辉耀红尘",E91+20,E91)),IF($C92="净世破魔击·日",E91-100,E91)))))),100))</f>
        <v>20</v>
      </c>
      <c r="F92" s="115">
        <f ca="1">IF(AND(CU92,OR(C92="赤日轮1",C92="赤日轮2",C92="赤日轮3",C92="烈日斩",C92="净世破魔击·日")),100,MIN(IF(CO92,0,IF(OR($C92="幽月轮1",$C92="幽月轮2",$C92="幽月轮3"),F91+20+IF(模拟模式!$I$7="日月凌天",4,0)+IF(CS91,20,0),IF($C92="银月斩",F91+40+IF(模拟模式!$X$12=1,5,0),IF($C92="驱夜断愁",IF(模拟模式!$R$7="万念俱寂",F91+20,F91+60),IF($C92="净世破魔击·月",IF(模拟模式!$M$7="辉耀红尘",F91-80,F91-100),IF(AND(C92="净世破魔击·日",OR(DB91&gt;0,CV91&gt;0)),100,F91)))))),100))</f>
        <v>100</v>
      </c>
      <c r="G92" s="117">
        <f ca="1">('模拟-全程加成'!$E$3+'模拟-全程加成'!$E$4+'模拟-全程加成'!$E$5+('模拟-全程加成'!$C$6-'模拟-全程加成'!$C$3)*系数!$B$9+BS92*23)*(1+'模拟-全程加成'!$F$4+'模拟-全程加成'!$F$5+BJ92*10%+BM92*20%+BP92*4%+CG92*30%)+$F$7*系数!$B$12</f>
        <v>21493.829400000002</v>
      </c>
      <c r="H92" s="45">
        <f ca="1">'模拟-全程加成'!$H$3+'模拟-全程加成'!$H$4+'模拟-全程加成'!$H$5+('模拟-全程加成'!$G$4+'模拟-全程加成'!$G$5+('模拟-全程加成'!$C$6-'模拟-全程加成'!$C$3)*系数!$B$13)/系数!$B$3+LOOKUP(D92,'模拟-单技能数据'!$A$2:$A$19,'模拟-单技能数据'!$K$2:$K$19)+BG92*10%+IF(BV92&gt;0,378,0)</f>
        <v>0.4618514552730022</v>
      </c>
      <c r="I92" s="45">
        <f ca="1">'模拟-全程加成'!$J$3+'模拟-全程加成'!$J$4+'模拟-全程加成'!$J$5+('模拟-全程加成'!$I$4+'模拟-全程加成'!$I$5)/系数!$B$4+LOOKUP(D92,'模拟-单技能数据'!$A$2:$A$19,'模拟-单技能数据'!$L$2:$L$19)+BG92*10%</f>
        <v>2.162482885499879</v>
      </c>
      <c r="J92" s="45">
        <f ca="1">(('模拟-全程加成'!$K$3+'模拟-全程加成'!$K$4+'模拟-全程加成'!$K$5+('模拟-全程加成'!$C$6-'模拟-全程加成'!$C$3)*系数!$B$10+IF(BV92&gt;0,882,0)+IF(BY92&gt;0,1831,0))*(1+'模拟-全程加成'!$L$4+'模拟-全程加成'!$L$5+CC92*20%))/系数!$B$5</f>
        <v>0.69723220422048726</v>
      </c>
      <c r="K92" s="119">
        <f ca="1">LOOKUP(D92,'模拟-单技能数据'!$A$2:$A$19,'模拟-单技能数据'!$J$2:$J$19)+IF(CM92,60%,0)+IF(DB91-DB92&gt;0,30%,0)+IF(OR(AND(OR(C92="赤日轮1",C92="赤日轮2",C92="赤日轮3"),CR92),AND(OR(C92="幽月轮1",C92="幽月轮2",C92="幽月轮3"),CS92)),35%,0)+CJ92</f>
        <v>0.12</v>
      </c>
      <c r="L92" s="119">
        <f ca="1">IF(AND(C92="烈日斩",模拟模式!$X$11=1),10%,0)+IF(AND(C92="驱夜断愁",AB92=1),30%,0)</f>
        <v>0</v>
      </c>
      <c r="M92" s="45">
        <f t="shared" ca="1" si="15"/>
        <v>0.4618514552730022</v>
      </c>
      <c r="N92" s="45">
        <f t="shared" ca="1" si="16"/>
        <v>0.48424854472699785</v>
      </c>
      <c r="O92" s="46">
        <f t="shared" ca="1" si="17"/>
        <v>0.1708307065550192</v>
      </c>
      <c r="P92" s="46" t="str">
        <f t="shared" ca="1" si="18"/>
        <v>会</v>
      </c>
      <c r="Q92" s="45">
        <f t="shared" ca="1" si="19"/>
        <v>2.162482885499879</v>
      </c>
      <c r="R92" s="117">
        <f ca="1">模拟模式!$E$20*(1-IF(模拟模式!$J$19="有",0.15,0))*(1-IF(模拟模式!$K$19="有",0.3,0)-IF(CQ92,0.5,0))</f>
        <v>843.02999999999975</v>
      </c>
      <c r="S92" s="45">
        <f ca="1">R92/(R92+(185*模拟模式!$E$22-16800)*4.08224)</f>
        <v>8.389626085980037E-2</v>
      </c>
      <c r="T92" s="45" t="str">
        <f ca="1">LOOKUP(D92,'模拟-单技能数据'!$A$2:$A$19,'模拟-单技能数据'!$H$2:$H$19)</f>
        <v>阳</v>
      </c>
      <c r="U92" s="119">
        <f t="shared" ca="1" si="20"/>
        <v>0.2</v>
      </c>
      <c r="V92" s="47">
        <f ca="1">(1+L92)*(LOOKUP(D92,'模拟-单技能数据'!$A$2:$A$19,'模拟-单技能数据'!$D$2:$D$19)+G92*LOOKUP(D92,'模拟-单技能数据'!$A$2:$A$19,'模拟-单技能数据'!$F$2:$F$19))*(1+J92)*(1+K92)*(1-S92)*(1+U92)*Q92*LOOKUP(D92,'模拟-单技能数据'!$A$2:$A$19,'模拟-单技能数据'!$I$2:$I$20)</f>
        <v>56864.156113360666</v>
      </c>
      <c r="W92" s="47">
        <f ca="1">LOOKUP(D92,'模拟-单技能数据'!$A$2:$A$19,'模拟-单技能数据'!$G$2:$G$19)*$I$10</f>
        <v>361.51064354704795</v>
      </c>
      <c r="X92" s="47">
        <f t="shared" ca="1" si="21"/>
        <v>0</v>
      </c>
      <c r="Y92" s="47">
        <f t="shared" ca="1" si="22"/>
        <v>57225.666756907711</v>
      </c>
      <c r="Z92" s="49">
        <f t="shared" ca="1" si="23"/>
        <v>6704158.5621088129</v>
      </c>
      <c r="AA92" s="97">
        <f t="shared" ca="1" si="24"/>
        <v>111805.85469433089</v>
      </c>
      <c r="AB92" s="115">
        <f ca="1">IF(OR(C92="赤日轮1",C92="赤日轮2",C92="赤日轮3"),IF(RAND()&lt;模拟模式!$Y$17,1,0),IF(OR(C92="幽月轮1",C92="幽月轮2",C92="幽月轮3"),IF(RAND()&lt;模拟模式!$Y$18,1,0),IF(C92="烈日斩",IF(RAND()&lt;模拟模式!$Y$19,1,0),IF(C92="银月斩",IF(RAND()&lt;模拟模式!$Y$20,1,0),IF(C92="驱夜断愁",IF(RAND()&lt;模拟模式!$Y$21,1,0),IF(C92="净世破魔击·日",IF(RAND()&lt;模拟模式!$Y$22,1,0),IF(C92="净世破魔击·月",IF(RAND()&lt;模拟模式!$Y$23,1,0),0)))))))</f>
        <v>1</v>
      </c>
      <c r="AC92" s="115" t="b">
        <f t="shared" ref="AC92:AC129" ca="1" si="67">C92="银月斩"</f>
        <v>0</v>
      </c>
      <c r="AD92" s="115" t="b">
        <f t="shared" ca="1" si="52"/>
        <v>0</v>
      </c>
      <c r="AE92" s="115">
        <f t="shared" ca="1" si="53"/>
        <v>3</v>
      </c>
      <c r="AF92" s="47">
        <f ca="1">IF(AC92,('模拟-单技能数据'!$D$20+G92*'模拟-单技能数据'!$F$20)*(1+J92)*(1+'模拟-单技能数据'!$J$20)*(1+U92),0)</f>
        <v>0</v>
      </c>
      <c r="AG92" s="61">
        <f t="shared" ca="1" si="25"/>
        <v>0.64185145527300214</v>
      </c>
      <c r="AH92" s="61">
        <f t="shared" ca="1" si="26"/>
        <v>2.2624828854998791</v>
      </c>
      <c r="AI92" s="62">
        <f t="shared" ca="1" si="27"/>
        <v>0.85782793743934238</v>
      </c>
      <c r="AJ92" s="47">
        <f ca="1">IF(AD92,IF(AI92&lt;$F$10,0,IF(AI92&lt;$F$10+$F$11,0.25,IF(AI92&lt;$F$10+$F$11+AG92,AH92,1)))*IF(AF92&gt;0,AF92,IF(AF91&gt;0,AF91,IF(AF90&gt;0,AF90,IF(AF89&gt;0,AF89,IF(AF88&gt;0,AF88,IF(AF87&gt;0,AF87,IF(AF86&gt;0,AF86,IF(AF85&gt;0,AF85,IF(AF84&gt;0,AF84,IF(AF82&gt;0,AF82,IF(AF81&gt;0,AF81,IF(AF80&gt;0,AF80,0)))))))))))),0)*(1-$S92)*'模拟-单技能数据'!$I$20</f>
        <v>0</v>
      </c>
      <c r="AK92" s="115" t="b">
        <f t="shared" ref="AK92:AK129" ca="1" si="68">C92="净世破魔击·日"</f>
        <v>0</v>
      </c>
      <c r="AL92" s="115" t="b">
        <f t="shared" ca="1" si="54"/>
        <v>0</v>
      </c>
      <c r="AM92" s="115">
        <f t="shared" ca="1" si="55"/>
        <v>5</v>
      </c>
      <c r="AN92" s="47">
        <f ca="1">IF(AK92,('模拟-单技能数据'!$D$21+G92*'模拟-单技能数据'!$F$21)*(1+J92)*(1+'模拟-单技能数据'!$J$21)*(1+U92),0)</f>
        <v>0</v>
      </c>
      <c r="AO92" s="61">
        <f ca="1">IF(AN92&gt;0,M92-'模拟-单技能数据'!$K$10,AO91)</f>
        <v>0.42185145527300216</v>
      </c>
      <c r="AP92" s="61">
        <f ca="1">IF(AN92&gt;0,I92-'模拟-单技能数据'!$L$10,AP91)</f>
        <v>2.162482885499879</v>
      </c>
      <c r="AQ92" s="63">
        <f t="shared" ca="1" si="28"/>
        <v>0.78476068638284524</v>
      </c>
      <c r="AR92" s="64">
        <f ca="1">IF(AL92,IF(AQ92&lt;$F$10,0,IF(AQ92&lt;$F$10+$F$11,0.25,IF(AQ92&lt;$F$10+$F$11+AO92,AP92,1)))*IF(AN92&gt;0,AN92,IF(AN91&gt;0,AN91,IF(AN90&gt;0,AN90,IF(AN89&gt;0,AN89,IF(AN88&gt;0,AN88,IF(AN87&gt;0,AN87,IF(AN86&gt;0,AN86,IF(AN85&gt;0,AN85,IF(AN84&gt;0,AN84,IF(AN82&gt;0,AN82,IF(AN81&gt;0,AN81,IF(AN80&gt;0,AN80,0)))))))))))),0)*(1-$S92)*'模拟-单技能数据'!$I$21</f>
        <v>0</v>
      </c>
      <c r="AS92" s="61">
        <f ca="1">IF(OR(C92="净世破魔击·日",C92="净世破魔击·月"),M92-'模拟-单技能数据'!$K$10,0)</f>
        <v>0</v>
      </c>
      <c r="AT92" s="61">
        <f ca="1">IF(OR(C92="净世破魔击·日",C92="净世破魔击·月"),I92-'模拟-单技能数据'!$L$10,0)</f>
        <v>0</v>
      </c>
      <c r="AU92" s="62">
        <f t="shared" ca="1" si="29"/>
        <v>0.58874741290907961</v>
      </c>
      <c r="AV92" s="64">
        <f ca="1">IF(AS92&gt;0,('模拟-单技能数据'!$D$22+G92*'模拟-单技能数据'!$F$22)*(1+J92)*(1-S92)*IF(AU92&lt;$F$10,0,IF(AU92&lt;$F$10+$F$11,0.25,IF(AU92&lt;$F$10+$F$11+AS92,AT92,1)))*(1+U92),0)*'模拟-单技能数据'!$I$22</f>
        <v>0</v>
      </c>
      <c r="AW92" s="108">
        <f t="shared" ca="1" si="30"/>
        <v>17.232500000000002</v>
      </c>
      <c r="AX92" s="108" t="b">
        <f ca="1">AND(模拟模式!$P$10="有",AW91=0,RAND()&lt;IF(C92="净世破魔击·月",0.1*8/3,IF(C92="净世破魔击·日",0.1*4/3,0.1*2/3)))</f>
        <v>0</v>
      </c>
      <c r="AY92" s="47">
        <f ca="1">IF(AX92,(18+G92*0.722)*(1+J92)*(1-S92)*(1+$I$4)*IF(P92="会",'模拟-全程加成'!$J$3+'模拟-全程加成'!$J$4+'模拟-全程加成'!$J$5+('模拟-全程加成'!$I$4+'模拟-全程加成'!$I$5)/系数!$B$4+BG92*10%,IF(P92="命",1,IF(P92="识",0.25,0))),0)</f>
        <v>0</v>
      </c>
      <c r="AZ92" s="108">
        <f t="shared" si="31"/>
        <v>0.6275000000000065</v>
      </c>
      <c r="BA92" s="108" t="b">
        <f>AND(模拟模式!$Q$10="有",AZ91=0)</f>
        <v>0</v>
      </c>
      <c r="BB92" s="140">
        <f>IF(BA92,(0+G92*0.287)*(1+J92)*(1-S92)*(1+$I$4)*IF(P92="会",'模拟-全程加成'!$J$3+'模拟-全程加成'!$J$4+'模拟-全程加成'!$J$5+('模拟-全程加成'!$I$4+'模拟-全程加成'!$I$5)/系数!$B$4+BG92*10%,IF(P92="命",1,IF(P92="识",0.25,0))),0)</f>
        <v>0</v>
      </c>
      <c r="BC92" s="115" t="b">
        <f ca="1">AND(模拟模式!$R$7="伏明众生",E92=60,F92=20,DA92&lt;5,CZ91&lt;$F$4)</f>
        <v>0</v>
      </c>
      <c r="BD92" s="115">
        <f t="shared" ref="BD92:BD129" ca="1" si="69">IF(BC92,6-$F$4,MAX(0,BD91-$F$4))</f>
        <v>0</v>
      </c>
      <c r="BE92" s="115" t="b">
        <f t="shared" ref="BE92:BE129" ca="1" si="70">AND(BD91&gt;0,BD91-$F$4&lt;0)</f>
        <v>0</v>
      </c>
      <c r="BF92" s="47">
        <f ca="1">IF(BC92,4*('模拟-单技能数据'!$D$24+G92*'模拟-单技能数据'!$F$24)*(1+J92)*(1+'模拟-单技能数据'!$J$24)*(1-S92)*(1+$I$3)*(('模拟-全程加成'!$J$3+'模拟-全程加成'!$J$4+'模拟-全程加成'!$J$5+('模拟-全程加成'!$I$4+'模拟-全程加成'!$I$5)/系数!$B$4+BG92*10%)*('模拟-全程加成'!$J$3+'模拟-全程加成'!$J$4+'模拟-全程加成'!$J$5+('模拟-全程加成'!$I$4+'模拟-全程加成'!$I$5)/系数!$B$4+BG92*10%)+(1-('模拟-全程加成'!$J$3+'模拟-全程加成'!$J$4+'模拟-全程加成'!$J$5+('模拟-全程加成'!$I$4+'模拟-全程加成'!$I$5)/系数!$B$4+BG92*10%)-$F$10-$F$11)+F78*0.25),0)*'模拟-单技能数据'!$I$24</f>
        <v>0</v>
      </c>
      <c r="BG92" s="115" t="b">
        <f ca="1">OR(AND(OR(C92="烈日斩",C92="银月斩"),模拟模式!$I$7="净身明礼"),AND(C92="净世破魔击·日",模拟模式!$J$7="洞若观火"),AND(C93="净世破魔击·月",模拟模式!$J$7="洞若观火"),AB92=1)</f>
        <v>1</v>
      </c>
      <c r="BH92" s="115" t="b">
        <f t="shared" ca="1" si="32"/>
        <v>0</v>
      </c>
      <c r="BI92" s="115">
        <f t="shared" ref="BI92:BI129" ca="1" si="71">IF(BH92,6,MAX(0,BI91-$F$4))</f>
        <v>4.1549999999999994</v>
      </c>
      <c r="BJ92" s="115" t="b">
        <f t="shared" ca="1" si="33"/>
        <v>1</v>
      </c>
      <c r="BK92" s="115" t="b">
        <f ca="1">AND(C92="驱夜断愁",模拟模式!$P$7="天地诛戮")</f>
        <v>0</v>
      </c>
      <c r="BL92" s="57">
        <f t="shared" ref="BL92:BL129" ca="1" si="72">IF(BK92,20,MAX(0,BL91-$F$4))</f>
        <v>15.387500000000003</v>
      </c>
      <c r="BM92" s="115" t="b">
        <f t="shared" ca="1" si="34"/>
        <v>1</v>
      </c>
      <c r="BN92" s="115" t="b">
        <f ca="1">AND(OR(C92="赤日轮1",C92="赤日轮2",C92="赤日轮3",C92="幽月轮1",C92="幽月轮2",C92="幽月轮3"),AB92=1,模拟模式!$L$7="明光恒照")</f>
        <v>1</v>
      </c>
      <c r="BO92" s="117">
        <f t="shared" ref="BO92:BO129" ca="1" si="73">IF(BN92,30,MAX(0,BO91-$F$4))</f>
        <v>30</v>
      </c>
      <c r="BP92" s="115">
        <f t="shared" ca="1" si="35"/>
        <v>6</v>
      </c>
      <c r="BQ92" s="115" t="b">
        <f>模拟模式!$K$10="2600·水"</f>
        <v>0</v>
      </c>
      <c r="BR92" s="117">
        <f t="shared" si="36"/>
        <v>0</v>
      </c>
      <c r="BS92" s="115">
        <f t="shared" si="37"/>
        <v>0</v>
      </c>
      <c r="BT92" s="115">
        <f t="shared" ca="1" si="38"/>
        <v>0</v>
      </c>
      <c r="BU92" s="115" t="b">
        <f ca="1">AND(模拟模式!$K$10="2300·雷",BT91=0,RAND()&lt;IF(C92="净世破魔击·月",5*0.05*2/3,IF(C92="净世破魔击·日",3*0.05*2/3,0.05*2*2/3)))</f>
        <v>0</v>
      </c>
      <c r="BV92" s="115">
        <f t="shared" ca="1" si="39"/>
        <v>0</v>
      </c>
      <c r="BW92" s="115">
        <f t="shared" ca="1" si="40"/>
        <v>125.57249999999924</v>
      </c>
      <c r="BX92" s="164" t="b">
        <f t="shared" ca="1" si="41"/>
        <v>0</v>
      </c>
      <c r="BY92" s="115">
        <f t="shared" ca="1" si="42"/>
        <v>0</v>
      </c>
      <c r="BZ92" s="115">
        <f>IF(OR(模拟模式!$P$16="10人团",模拟模式!$P$16="25人团"),IF(B92/30&gt;CA91,1,0),0)</f>
        <v>0</v>
      </c>
      <c r="CA92" s="115">
        <f t="shared" ref="CA92:CA155" si="74">CA91+BZ92</f>
        <v>0</v>
      </c>
      <c r="CB92" s="115">
        <f ca="1">IF(BZ92=1,IF(模拟模式!$P$16="10人团",15,0)+IF(模拟模式!$P$16="25人团",IF(RAND()&lt;0.6,15,0)),MAX(0,CB91-$F$4))</f>
        <v>0</v>
      </c>
      <c r="CC92" s="115" t="b">
        <f t="shared" ca="1" si="43"/>
        <v>0</v>
      </c>
      <c r="CD92" s="115">
        <f>IF(模拟模式!$Q$16="1个",IF(B92/40&gt;CE91,1,0),0)</f>
        <v>0</v>
      </c>
      <c r="CE92" s="115">
        <f t="shared" si="44"/>
        <v>0</v>
      </c>
      <c r="CF92" s="115">
        <f>IF(OR(CD92=1,模拟模式!$Q$16="2个"),20,MAX(0,CF91-$F$4))</f>
        <v>0</v>
      </c>
      <c r="CG92" s="115" t="b">
        <f t="shared" si="45"/>
        <v>0</v>
      </c>
      <c r="CH92" s="115">
        <f t="shared" ca="1" si="46"/>
        <v>5.0925000000000118</v>
      </c>
      <c r="CI92" s="115" t="b">
        <f t="shared" ca="1" si="47"/>
        <v>0</v>
      </c>
      <c r="CJ92" s="119">
        <f t="shared" ca="1" si="48"/>
        <v>0</v>
      </c>
      <c r="CK92" s="115">
        <f t="shared" ca="1" si="49"/>
        <v>0</v>
      </c>
      <c r="CL92" s="115" t="b">
        <f ca="1">AND(模拟模式!$S$7="驱夷逐法",OR(AND(C92="净世破魔击·月",E91&gt;59),AND(C92="净世破魔击·日",F91&gt;59)))</f>
        <v>0</v>
      </c>
      <c r="CM92" s="115" t="b">
        <f ca="1">OR(CL92,AND(C92="净世破魔击·日",CL91,RAND()&lt;模拟模式!$U$23))</f>
        <v>0</v>
      </c>
      <c r="CN92" s="115" t="b">
        <f ca="1">IF(模拟模式!$M$7="辉耀红尘",AND(C92="净世破魔击·月",CL92,CV92=0,E91&lt;80),AND(C92="净世破魔击·月",CL92,E91&lt;100))</f>
        <v>0</v>
      </c>
      <c r="CO92" s="115" t="b">
        <f t="shared" ref="CO92:CO155" ca="1" si="75">AND(C92="净世破魔击·日",CL92,CV92=0)</f>
        <v>0</v>
      </c>
      <c r="CP92" s="115" t="b">
        <f ca="1">AND(模拟模式!$O$7="用晦而明",OR(C92="净世破魔击·日",C92="净世破魔击·月",C92="驱夜断愁"),AB92)</f>
        <v>0</v>
      </c>
      <c r="CQ92" s="115" t="b">
        <f ca="1">OR(CP92,AND(CP91,RAND()&lt;模拟模式!$U$23))</f>
        <v>1</v>
      </c>
      <c r="CR92" s="115" t="b">
        <f ca="1">AND(模拟模式!$S$7="日月齐光",OR(C92="幽月轮1",C92="幽月轮2",C92="幽月轮3",CR91),NOT(OR(C92="赤日轮1",C92="赤日轮2",C92="赤日轮3")))</f>
        <v>0</v>
      </c>
      <c r="CS92" s="115" t="b">
        <f ca="1">AND(模拟模式!$S$7="日月齐光",OR(C92="赤日轮1",C92="赤日轮2",C92="赤日轮3",CS91),NOT(OR(C92="幽月轮1",C92="幽月轮2",C92="幽月轮3")))</f>
        <v>0</v>
      </c>
      <c r="CT92" s="115">
        <f t="shared" ca="1" si="50"/>
        <v>30</v>
      </c>
      <c r="CU92" s="115" t="b">
        <f ca="1">AND(模拟模式!$K$10="阴阳往极",CT91=0,RAND()&lt;IF(C92="净世破魔击·月",0.0275*7/3,IF(C92="净世破魔击·日",0.0275*3/3,0.0275*2/3)))</f>
        <v>1</v>
      </c>
      <c r="CV92" s="115">
        <f t="shared" ca="1" si="51"/>
        <v>4.0774999999999997</v>
      </c>
      <c r="CW92" s="115">
        <f t="shared" ref="CW92:CW155" ca="1" si="76">MAX(IF($C92="烈日斩",6,CW91-$F$4),0)</f>
        <v>2.3099999999999996</v>
      </c>
      <c r="CX92" s="115">
        <f t="shared" ref="CX92:CX155" ca="1" si="77">MAX(IF($C92="银月斩",6,CX91-$F$4),0)</f>
        <v>0.46499999999999975</v>
      </c>
      <c r="CY92" s="115">
        <f ca="1">MAX(IF($C92="驱夜断愁",IF(模拟模式!$R$7="万念俱寂",6,45),CY91-$F$4),0)</f>
        <v>1.3874999999999997</v>
      </c>
      <c r="CZ92" s="115">
        <f t="shared" ref="CZ92:CZ155" ca="1" si="78">IF(BC92,25,MAX(0,CZ91-$F$4))</f>
        <v>0</v>
      </c>
      <c r="DA92" s="115">
        <f ca="1">IF(模拟模式!$N$7="日月同辉",IF(DB91=2,0,MIN(6,IF(AND(OR(C92="赤日轮1",C92="赤日轮2",C92="赤日轮3",C92="幽月轮1",C92="幽月轮2",C92="幽月轮3"),AB92=1),DA91+1,DA91))),0)</f>
        <v>4</v>
      </c>
      <c r="DB92" s="115">
        <f t="shared" ref="DB92:DB155" ca="1" si="79">MAX(0,IF(DA92=6,2,IF(OR(C92="净世破魔击·月",C92="净世破魔击·日"),DB91-1,DB91)))</f>
        <v>0</v>
      </c>
      <c r="DD92" s="115"/>
      <c r="DE92" s="115"/>
      <c r="DF92" s="115"/>
      <c r="DG92" s="115"/>
      <c r="DH92" s="115"/>
      <c r="DI92" s="115"/>
      <c r="DJ92" s="115"/>
      <c r="DK92" s="115"/>
      <c r="DL92" s="115"/>
      <c r="DM92" s="115"/>
    </row>
    <row r="93" spans="2:117" x14ac:dyDescent="0.2">
      <c r="B93" s="117">
        <f t="shared" ref="B93:B156" si="80">B92+$F$4</f>
        <v>60.88499999999997</v>
      </c>
      <c r="C93" s="167" t="str">
        <f t="shared" ca="1" si="66"/>
        <v>净世破魔击·月</v>
      </c>
      <c r="D93" s="115">
        <f ca="1">IF(C93="赤日轮1",1,IF(C93="赤日轮2",2,IF(C93="赤日轮3",3,IF(C93="幽月轮1",4,IF(C93="幽月轮2",5,IF(C93="幽月轮3",6,IF(C93="烈日斩",7,IF(C93="银月斩",8,IF(C93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93="净世破魔击·月",17,IF(C93="驱夜断愁",18,0)))))))))))</f>
        <v>17</v>
      </c>
      <c r="E93" s="115">
        <f ca="1">IF(AND(CU93,OR(C93="幽月轮1",C93="幽月轮2",C93="幽月轮3",C93="银月斩",C93="驱夜断愁",C93="净世破魔击·月")),100,MIN(IF(OR(CN93,BE93),0,IF(OR($C93="赤日轮1",$C93="赤日轮2",$C93="赤日轮3"),E92+20+IF(模拟模式!$I$7="日月凌天",4,0)+IF(CR92,20,0),IF($C93="烈日斩",E92+40,IF($C93="驱夜断愁",IF(模拟模式!$R$7="万念俱寂",E92+20,E92+60),IF($C93="净世破魔击·月",IF(OR(DB92&gt;0,CV92&gt;0),100,IF(模拟模式!$M$7="辉耀红尘",E92+20,E92)),IF($C93="净世破魔击·日",E92-100,E92)))))),100))</f>
        <v>100</v>
      </c>
      <c r="F93" s="115">
        <f ca="1">IF(AND(CU93,OR(C93="赤日轮1",C93="赤日轮2",C93="赤日轮3",C93="烈日斩",C93="净世破魔击·日")),100,MIN(IF(CO93,0,IF(OR($C93="幽月轮1",$C93="幽月轮2",$C93="幽月轮3"),F92+20+IF(模拟模式!$I$7="日月凌天",4,0)+IF(CS92,20,0),IF($C93="银月斩",F92+40+IF(模拟模式!$X$12=1,5,0),IF($C93="驱夜断愁",IF(模拟模式!$R$7="万念俱寂",F92+20,F92+60),IF($C93="净世破魔击·月",IF(模拟模式!$M$7="辉耀红尘",F92-80,F92-100),IF(AND(C93="净世破魔击·日",OR(DB92&gt;0,CV92&gt;0)),100,F92)))))),100))</f>
        <v>20</v>
      </c>
      <c r="G93" s="117">
        <f ca="1">('模拟-全程加成'!$E$3+'模拟-全程加成'!$E$4+'模拟-全程加成'!$E$5+('模拟-全程加成'!$C$6-'模拟-全程加成'!$C$3)*系数!$B$9+BS93*23)*(1+'模拟-全程加成'!$F$4+'模拟-全程加成'!$F$5+BJ93*10%+BM93*20%+BP93*4%+CG93*30%)+$F$7*系数!$B$12</f>
        <v>21493.829400000002</v>
      </c>
      <c r="H93" s="45">
        <f ca="1">'模拟-全程加成'!$H$3+'模拟-全程加成'!$H$4+'模拟-全程加成'!$H$5+('模拟-全程加成'!$G$4+'模拟-全程加成'!$G$5+('模拟-全程加成'!$C$6-'模拟-全程加成'!$C$3)*系数!$B$13)/系数!$B$3+LOOKUP(D93,'模拟-单技能数据'!$A$2:$A$19,'模拟-单技能数据'!$K$2:$K$19)+BG93*10%+IF(BV93&gt;0,378,0)</f>
        <v>0.54185145527300216</v>
      </c>
      <c r="I93" s="45">
        <f ca="1">'模拟-全程加成'!$J$3+'模拟-全程加成'!$J$4+'模拟-全程加成'!$J$5+('模拟-全程加成'!$I$4+'模拟-全程加成'!$I$5)/系数!$B$4+LOOKUP(D93,'模拟-单技能数据'!$A$2:$A$19,'模拟-单技能数据'!$L$2:$L$19)+BG93*10%</f>
        <v>2.162482885499879</v>
      </c>
      <c r="J93" s="45">
        <f ca="1">(('模拟-全程加成'!$K$3+'模拟-全程加成'!$K$4+'模拟-全程加成'!$K$5+('模拟-全程加成'!$C$6-'模拟-全程加成'!$C$3)*系数!$B$10+IF(BV93&gt;0,882,0)+IF(BY93&gt;0,1831,0))*(1+'模拟-全程加成'!$L$4+'模拟-全程加成'!$L$5+CC93*20%))/系数!$B$5</f>
        <v>0.69723220422048726</v>
      </c>
      <c r="K93" s="119">
        <f ca="1">LOOKUP(D93,'模拟-单技能数据'!$A$2:$A$19,'模拟-单技能数据'!$J$2:$J$19)+IF(CM93,60%,0)+IF(DB92-DB93&gt;0,30%,0)+IF(OR(AND(OR(C93="赤日轮1",C93="赤日轮2",C93="赤日轮3"),CR93),AND(OR(C93="幽月轮1",C93="幽月轮2",C93="幽月轮3"),CS93)),35%,0)+CJ93</f>
        <v>0.2</v>
      </c>
      <c r="L93" s="119">
        <f ca="1">IF(AND(C93="烈日斩",模拟模式!$X$11=1),10%,0)+IF(AND(C93="驱夜断愁",AB93=1),30%,0)</f>
        <v>0</v>
      </c>
      <c r="M93" s="45">
        <f t="shared" ref="M93:M130" ca="1" si="81">MIN(H93,1-$F$10-$F$11)</f>
        <v>0.54185145527300216</v>
      </c>
      <c r="N93" s="45">
        <f t="shared" ref="N93:N130" ca="1" si="82">1-$F$10-$F$11-M93</f>
        <v>0.40424854472699789</v>
      </c>
      <c r="O93" s="46">
        <f t="shared" ref="O93:O156" ca="1" si="83">RAND()</f>
        <v>0.28666835277696168</v>
      </c>
      <c r="P93" s="46" t="str">
        <f t="shared" ref="P93:P156" ca="1" si="84">IF(O93&lt;$F$10,"偏",IF(O93&lt;$F$10+$F$11,"识",IF(O93&lt;$F$10+$F$11+H93,"会","命")))</f>
        <v>会</v>
      </c>
      <c r="Q93" s="45">
        <f t="shared" ref="Q93:Q156" ca="1" si="85">IF(P93="会",I93,IF(P93="命",1,IF(P93="识",0.25,0)))</f>
        <v>2.162482885499879</v>
      </c>
      <c r="R93" s="117">
        <f ca="1">模拟模式!$E$20*(1-IF(模拟模式!$J$19="有",0.15,0))*(1-IF(模拟模式!$K$19="有",0.3,0)-IF(CQ93,0.5,0))</f>
        <v>843.02999999999975</v>
      </c>
      <c r="S93" s="45">
        <f ca="1">R93/(R93+(185*模拟模式!$E$22-16800)*4.08224)</f>
        <v>8.389626085980037E-2</v>
      </c>
      <c r="T93" s="45" t="str">
        <f ca="1">LOOKUP(D93,'模拟-单技能数据'!$A$2:$A$19,'模拟-单技能数据'!$H$2:$H$19)</f>
        <v>阴</v>
      </c>
      <c r="U93" s="119">
        <f t="shared" ref="U93:U130" ca="1" si="86">IF(T93="阳",$I$3,IF(T93="阴",$I$4,0))</f>
        <v>0.08</v>
      </c>
      <c r="V93" s="47">
        <f ca="1">(1+L93)*(LOOKUP(D93,'模拟-单技能数据'!$A$2:$A$19,'模拟-单技能数据'!$D$2:$D$19)+G93*LOOKUP(D93,'模拟-单技能数据'!$A$2:$A$19,'模拟-单技能数据'!$F$2:$F$19))*(1+J93)*(1+K93)*(1-S93)*(1+U93)*Q93*LOOKUP(D93,'模拟-单技能数据'!$A$2:$A$19,'模拟-单技能数据'!$I$2:$I$20)</f>
        <v>121694.14741267689</v>
      </c>
      <c r="W93" s="47">
        <f ca="1">LOOKUP(D93,'模拟-单技能数据'!$A$2:$A$19,'模拟-单技能数据'!$G$2:$G$19)*$I$10</f>
        <v>361.51064354704795</v>
      </c>
      <c r="X93" s="47">
        <f t="shared" ref="X93:X156" ca="1" si="87">AJ93+AR93+AV93+BF93+AY93+BB93</f>
        <v>29180.759724404415</v>
      </c>
      <c r="Y93" s="47">
        <f t="shared" ref="Y93:Y130" ca="1" si="88">V93+W93+X93</f>
        <v>151236.41778062837</v>
      </c>
      <c r="Z93" s="49">
        <f t="shared" ref="Z93:Z130" ca="1" si="89">Z92+Y93</f>
        <v>6855394.9798894413</v>
      </c>
      <c r="AA93" s="97">
        <f t="shared" ref="AA93:AA130" ca="1" si="90">Z93/B93</f>
        <v>112595.79502158897</v>
      </c>
      <c r="AB93" s="115">
        <f ca="1">IF(OR(C93="赤日轮1",C93="赤日轮2",C93="赤日轮3"),IF(RAND()&lt;模拟模式!$Y$17,1,0),IF(OR(C93="幽月轮1",C93="幽月轮2",C93="幽月轮3"),IF(RAND()&lt;模拟模式!$Y$18,1,0),IF(C93="烈日斩",IF(RAND()&lt;模拟模式!$Y$19,1,0),IF(C93="银月斩",IF(RAND()&lt;模拟模式!$Y$20,1,0),IF(C93="驱夜断愁",IF(RAND()&lt;模拟模式!$Y$21,1,0),IF(C93="净世破魔击·日",IF(RAND()&lt;模拟模式!$Y$22,1,0),IF(C93="净世破魔击·月",IF(RAND()&lt;模拟模式!$Y$23,1,0),0)))))))</f>
        <v>1</v>
      </c>
      <c r="AC93" s="115" t="b">
        <f t="shared" ca="1" si="67"/>
        <v>0</v>
      </c>
      <c r="AD93" s="115" t="b">
        <f t="shared" ca="1" si="52"/>
        <v>1</v>
      </c>
      <c r="AE93" s="115">
        <f t="shared" ca="1" si="53"/>
        <v>2</v>
      </c>
      <c r="AF93" s="47">
        <f ca="1">IF(AC93,('模拟-单技能数据'!$D$20+G93*'模拟-单技能数据'!$F$20)*(1+J93)*(1+'模拟-单技能数据'!$J$20)*(1+U93),0)</f>
        <v>0</v>
      </c>
      <c r="AG93" s="61">
        <f t="shared" ref="AG93:AG130" ca="1" si="91">IF(AF93&gt;0,M93,AG92)</f>
        <v>0.64185145527300214</v>
      </c>
      <c r="AH93" s="61">
        <f t="shared" ref="AH93:AH130" ca="1" si="92">IF(AF93&gt;0,I93,AH92)</f>
        <v>2.2624828854998791</v>
      </c>
      <c r="AI93" s="62">
        <f t="shared" ref="AI93:AI156" ca="1" si="93">RAND()</f>
        <v>0.63633142512515084</v>
      </c>
      <c r="AJ93" s="47">
        <f ca="1">IF(AD93,IF(AI93&lt;$F$10,0,IF(AI93&lt;$F$10+$F$11,0.25,IF(AI93&lt;$F$10+$F$11+AG93,AH93,1)))*IF(AF93&gt;0,AF93,IF(AF92&gt;0,AF92,IF(AF91&gt;0,AF91,IF(AF90&gt;0,AF90,IF(AF89&gt;0,AF89,IF(AF88&gt;0,AF88,IF(AF87&gt;0,AF87,IF(AF86&gt;0,AF86,IF(AF85&gt;0,AF85,IF(AF83&gt;0,AF83,IF(AF82&gt;0,AF82,IF(AF81&gt;0,AF81,0)))))))))))),0)*(1-$S93)*'模拟-单技能数据'!$I$20</f>
        <v>9616.6571145767884</v>
      </c>
      <c r="AK93" s="115" t="b">
        <f t="shared" ca="1" si="68"/>
        <v>0</v>
      </c>
      <c r="AL93" s="115" t="b">
        <f t="shared" ca="1" si="54"/>
        <v>1</v>
      </c>
      <c r="AM93" s="115">
        <f t="shared" ca="1" si="55"/>
        <v>4</v>
      </c>
      <c r="AN93" s="47">
        <f ca="1">IF(AK93,('模拟-单技能数据'!$D$21+G93*'模拟-单技能数据'!$F$21)*(1+J93)*(1+'模拟-单技能数据'!$J$21)*(1+U93),0)</f>
        <v>0</v>
      </c>
      <c r="AO93" s="61">
        <f ca="1">IF(AN93&gt;0,M93-'模拟-单技能数据'!$K$10,AO92)</f>
        <v>0.42185145527300216</v>
      </c>
      <c r="AP93" s="61">
        <f ca="1">IF(AN93&gt;0,I93-'模拟-单技能数据'!$L$10,AP92)</f>
        <v>2.162482885499879</v>
      </c>
      <c r="AQ93" s="63">
        <f t="shared" ref="AQ93:AQ156" ca="1" si="94">RAND()</f>
        <v>0.61277587341709283</v>
      </c>
      <c r="AR93" s="64">
        <f ca="1">IF(AL93,IF(AQ93&lt;$F$10,0,IF(AQ93&lt;$F$10+$F$11,0.25,IF(AQ93&lt;$F$10+$F$11+AO93,AP93,1)))*IF(AN93&gt;0,AN93,IF(AN92&gt;0,AN92,IF(AN91&gt;0,AN91,IF(AN90&gt;0,AN90,IF(AN89&gt;0,AN89,IF(AN88&gt;0,AN88,IF(AN87&gt;0,AN87,IF(AN86&gt;0,AN86,IF(AN85&gt;0,AN85,IF(AN83&gt;0,AN83,IF(AN82&gt;0,AN82,IF(AN81&gt;0,AN81,0)))))))))))),0)*(1-$S93)*'模拟-单技能数据'!$I$21</f>
        <v>11607.89185245618</v>
      </c>
      <c r="AS93" s="61">
        <f ca="1">IF(OR(C93="净世破魔击·日",C93="净世破魔击·月"),M93-'模拟-单技能数据'!$K$10,0)</f>
        <v>0.42185145527300216</v>
      </c>
      <c r="AT93" s="61">
        <f ca="1">IF(OR(C93="净世破魔击·日",C93="净世破魔击·月"),I93-'模拟-单技能数据'!$L$10,0)</f>
        <v>2.162482885499879</v>
      </c>
      <c r="AU93" s="62">
        <f t="shared" ref="AU93:AU156" ca="1" si="95">RAND()</f>
        <v>0.86683913646955191</v>
      </c>
      <c r="AV93" s="64">
        <f ca="1">IF(AS93&gt;0,('模拟-单技能数据'!$D$22+G93*'模拟-单技能数据'!$F$22)*(1+J93)*(1-S93)*IF(AU93&lt;$F$10,0,IF(AU93&lt;$F$10+$F$11,0.25,IF(AU93&lt;$F$10+$F$11+AS93,AT93,1)))*(1+U93),0)*'模拟-单技能数据'!$I$22</f>
        <v>7956.2107573714466</v>
      </c>
      <c r="AW93" s="108">
        <f t="shared" ref="AW93:AW156" ca="1" si="96">IF(AX93,20-$F$4,MAX(AW92-$F$4,0))</f>
        <v>16.310000000000002</v>
      </c>
      <c r="AX93" s="108" t="b">
        <f ca="1">AND(模拟模式!$P$10="有",AW92=0,RAND()&lt;IF(C93="净世破魔击·月",0.1*8/3,IF(C93="净世破魔击·日",0.1*4/3,0.1*2/3)))</f>
        <v>0</v>
      </c>
      <c r="AY93" s="47">
        <f ca="1">IF(AX93,(18+G93*0.722)*(1+J93)*(1-S93)*(1+$I$4)*IF(P93="会",'模拟-全程加成'!$J$3+'模拟-全程加成'!$J$4+'模拟-全程加成'!$J$5+('模拟-全程加成'!$I$4+'模拟-全程加成'!$I$5)/系数!$B$4+BG93*10%,IF(P93="命",1,IF(P93="识",0.25,0))),0)</f>
        <v>0</v>
      </c>
      <c r="AZ93" s="108">
        <f t="shared" ref="AZ93:AZ156" si="97">IF(BA93,20-$F$4,MAX(AZ92-$F$4,0))</f>
        <v>0</v>
      </c>
      <c r="BA93" s="108" t="b">
        <f>AND(模拟模式!$Q$10="有",AZ92=0)</f>
        <v>0</v>
      </c>
      <c r="BB93" s="140">
        <f>IF(BA93,(0+G93*0.287)*(1+J93)*(1-S93)*(1+$I$4)*IF(P93="会",'模拟-全程加成'!$J$3+'模拟-全程加成'!$J$4+'模拟-全程加成'!$J$5+('模拟-全程加成'!$I$4+'模拟-全程加成'!$I$5)/系数!$B$4+BG93*10%,IF(P93="命",1,IF(P93="识",0.25,0))),0)</f>
        <v>0</v>
      </c>
      <c r="BC93" s="115" t="b">
        <f ca="1">AND(模拟模式!$R$7="伏明众生",E93=60,F93=20,DA93&lt;5,CZ92&lt;$F$4)</f>
        <v>0</v>
      </c>
      <c r="BD93" s="115">
        <f t="shared" ca="1" si="69"/>
        <v>0</v>
      </c>
      <c r="BE93" s="115" t="b">
        <f t="shared" ca="1" si="70"/>
        <v>0</v>
      </c>
      <c r="BF93" s="47">
        <f ca="1">IF(BC93,4*('模拟-单技能数据'!$D$24+G93*'模拟-单技能数据'!$F$24)*(1+J93)*(1+'模拟-单技能数据'!$J$24)*(1-S93)*(1+$I$3)*(('模拟-全程加成'!$J$3+'模拟-全程加成'!$J$4+'模拟-全程加成'!$J$5+('模拟-全程加成'!$I$4+'模拟-全程加成'!$I$5)/系数!$B$4+BG93*10%)*('模拟-全程加成'!$J$3+'模拟-全程加成'!$J$4+'模拟-全程加成'!$J$5+('模拟-全程加成'!$I$4+'模拟-全程加成'!$I$5)/系数!$B$4+BG93*10%)+(1-('模拟-全程加成'!$J$3+'模拟-全程加成'!$J$4+'模拟-全程加成'!$J$5+('模拟-全程加成'!$I$4+'模拟-全程加成'!$I$5)/系数!$B$4+BG93*10%)-$F$10-$F$11)+F79*0.25),0)*'模拟-单技能数据'!$I$24</f>
        <v>0</v>
      </c>
      <c r="BG93" s="115" t="b">
        <f ca="1">OR(AND(OR(C93="烈日斩",C93="银月斩"),模拟模式!$I$7="净身明礼"),AND(C93="净世破魔击·日",模拟模式!$J$7="洞若观火"),AND(C94="净世破魔击·月",模拟模式!$J$7="洞若观火"),AB93=1)</f>
        <v>1</v>
      </c>
      <c r="BH93" s="115" t="b">
        <f t="shared" ref="BH93:BH156" ca="1" si="98">RAND()&lt;IF(C93="净世破魔击·月",4*$I$7,IF(C93="净世破魔击·日",2*$I$7,$I$7))</f>
        <v>1</v>
      </c>
      <c r="BI93" s="115">
        <f t="shared" ca="1" si="71"/>
        <v>6</v>
      </c>
      <c r="BJ93" s="115" t="b">
        <f t="shared" ref="BJ93:BJ130" ca="1" si="99">BI93&gt;0</f>
        <v>1</v>
      </c>
      <c r="BK93" s="115" t="b">
        <f ca="1">AND(C93="驱夜断愁",模拟模式!$P$7="天地诛戮")</f>
        <v>0</v>
      </c>
      <c r="BL93" s="57">
        <f t="shared" ca="1" si="72"/>
        <v>14.465000000000003</v>
      </c>
      <c r="BM93" s="115" t="b">
        <f t="shared" ref="BM93:BM130" ca="1" si="100">BL93&gt;0</f>
        <v>1</v>
      </c>
      <c r="BN93" s="115" t="b">
        <f ca="1">AND(OR(C93="赤日轮1",C93="赤日轮2",C93="赤日轮3",C93="幽月轮1",C93="幽月轮2",C93="幽月轮3"),AB93=1,模拟模式!$L$7="明光恒照")</f>
        <v>0</v>
      </c>
      <c r="BO93" s="117">
        <f t="shared" ca="1" si="73"/>
        <v>29.077500000000001</v>
      </c>
      <c r="BP93" s="115">
        <f t="shared" ref="BP93:BP156" ca="1" si="101">IF(BO93&gt;0,MIN(6,IF(BN93,BP92+1,BP92)),0)</f>
        <v>6</v>
      </c>
      <c r="BQ93" s="115" t="b">
        <f>模拟模式!$K$10="2600·水"</f>
        <v>0</v>
      </c>
      <c r="BR93" s="117">
        <f t="shared" ref="BR93:BR156" si="102">IF(BQ93,6,MAX(0,BR92-$F$4))</f>
        <v>0</v>
      </c>
      <c r="BS93" s="115">
        <f t="shared" ref="BS93:BS156" si="103">IF(BR93&gt;0,MIN(10,IF(BQ93,BS92+IF(C93="净世破魔击·月",4,IF(C93="净世破魔击·日",2,1)),BS92)),0)</f>
        <v>0</v>
      </c>
      <c r="BT93" s="115">
        <f t="shared" ref="BT93:BT156" ca="1" si="104">IF(BU93,60-$F$4,MAX(0,BT92-$F$4))</f>
        <v>0</v>
      </c>
      <c r="BU93" s="115" t="b">
        <f ca="1">AND(模拟模式!$K$10="2300·雷",BT92=0,RAND()&lt;IF(C93="净世破魔击·月",5*0.05*2/3,IF(C93="净世破魔击·日",3*0.05*2/3,0.05*2*2/3)))</f>
        <v>0</v>
      </c>
      <c r="BV93" s="115">
        <f t="shared" ref="BV93:BV156" ca="1" si="105">IF(BU93,15-$F$4,MAX(0,BV92-$F$4))</f>
        <v>0</v>
      </c>
      <c r="BW93" s="115">
        <f t="shared" ref="BW93:BW156" ca="1" si="106">IF(BX93,180-$F$4,MAX(0,BW92-$F$4))</f>
        <v>124.64999999999924</v>
      </c>
      <c r="BX93" s="164" t="b">
        <f t="shared" ref="BX93:BX156" ca="1" si="107">AND(BW92=0,OR(AND(E92=80,F92=100),CU93))</f>
        <v>0</v>
      </c>
      <c r="BY93" s="115">
        <f t="shared" ref="BY93:BY156" ca="1" si="108">IF(BX93,15-$F$4,MAX(0,BY92-$F$4))</f>
        <v>0</v>
      </c>
      <c r="BZ93" s="115">
        <f>IF(OR(模拟模式!$P$16="10人团",模拟模式!$P$16="25人团"),IF(B93/30&gt;CA92,1,0),0)</f>
        <v>0</v>
      </c>
      <c r="CA93" s="115">
        <f t="shared" si="74"/>
        <v>0</v>
      </c>
      <c r="CB93" s="115">
        <f ca="1">IF(BZ93=1,IF(模拟模式!$P$16="10人团",15,0)+IF(模拟模式!$P$16="25人团",IF(RAND()&lt;0.6,15,0)),MAX(0,CB92-$F$4))</f>
        <v>0</v>
      </c>
      <c r="CC93" s="115" t="b">
        <f t="shared" ref="CC93:CC130" ca="1" si="109">CB93&gt;0</f>
        <v>0</v>
      </c>
      <c r="CD93" s="115">
        <f>IF(模拟模式!$Q$16="1个",IF(B93/40&gt;CE92,1,0),0)</f>
        <v>0</v>
      </c>
      <c r="CE93" s="115">
        <f t="shared" ref="CE93:CE130" si="110">CE92+CD93</f>
        <v>0</v>
      </c>
      <c r="CF93" s="115">
        <f>IF(OR(CD93=1,模拟模式!$Q$16="2个"),20,MAX(0,CF92-$F$4))</f>
        <v>0</v>
      </c>
      <c r="CG93" s="115" t="b">
        <f t="shared" ref="CG93:CG130" si="111">CF93&gt;0</f>
        <v>0</v>
      </c>
      <c r="CH93" s="115">
        <f t="shared" ref="CH93:CH156" ca="1" si="112">IF(CI93,30-$F$4,MAX(0,CH92-$F$4))</f>
        <v>4.1700000000000115</v>
      </c>
      <c r="CI93" s="115" t="b">
        <f t="shared" ref="CI93:CI156" ca="1" si="113">AND(CH92=0,RAND()&lt;IF(C93="净世破魔击·月",4*0.2*2/3,IF(C93="净世破魔击·日",2*0.2*2/3,0.2*2/3)))</f>
        <v>0</v>
      </c>
      <c r="CJ93" s="119">
        <f t="shared" ref="CJ93:CJ156" ca="1" si="114">IF(CI93,IF(RAND()&lt;0.7,0.05,0.01),IF(CK93&gt;0,CJ92,0))</f>
        <v>0</v>
      </c>
      <c r="CK93" s="115">
        <f t="shared" ref="CK93:CK156" ca="1" si="115">IF(CI93,8-$F$4,MAX(0,CK92-$F$4))</f>
        <v>0</v>
      </c>
      <c r="CL93" s="115" t="b">
        <f ca="1">AND(模拟模式!$S$7="驱夷逐法",OR(AND(C93="净世破魔击·月",E92&gt;59),AND(C93="净世破魔击·日",F92&gt;59)))</f>
        <v>0</v>
      </c>
      <c r="CM93" s="115" t="b">
        <f ca="1">OR(CL93,AND(C93="净世破魔击·日",CL92,RAND()&lt;模拟模式!$U$23))</f>
        <v>0</v>
      </c>
      <c r="CN93" s="115" t="b">
        <f ca="1">IF(模拟模式!$M$7="辉耀红尘",AND(C93="净世破魔击·月",CL93,CV93=0,E92&lt;80),AND(C93="净世破魔击·月",CL93,E92&lt;100))</f>
        <v>0</v>
      </c>
      <c r="CO93" s="115" t="b">
        <f t="shared" ca="1" si="75"/>
        <v>0</v>
      </c>
      <c r="CP93" s="115" t="b">
        <f ca="1">AND(模拟模式!$O$7="用晦而明",OR(C93="净世破魔击·日",C93="净世破魔击·月",C93="驱夜断愁"),AB93)</f>
        <v>1</v>
      </c>
      <c r="CQ93" s="115" t="b">
        <f ca="1">OR(CP93,AND(CP92,RAND()&lt;模拟模式!$U$23))</f>
        <v>1</v>
      </c>
      <c r="CR93" s="115" t="b">
        <f ca="1">AND(模拟模式!$S$7="日月齐光",OR(C93="幽月轮1",C93="幽月轮2",C93="幽月轮3",CR92),NOT(OR(C93="赤日轮1",C93="赤日轮2",C93="赤日轮3")))</f>
        <v>0</v>
      </c>
      <c r="CS93" s="115" t="b">
        <f ca="1">AND(模拟模式!$S$7="日月齐光",OR(C93="赤日轮1",C93="赤日轮2",C93="赤日轮3",CS92),NOT(OR(C93="幽月轮1",C93="幽月轮2",C93="幽月轮3")))</f>
        <v>0</v>
      </c>
      <c r="CT93" s="115">
        <f t="shared" ref="CT93:CT156" ca="1" si="116">IF(CU93,30,MAX(CT92-$F$4,0))</f>
        <v>29.077500000000001</v>
      </c>
      <c r="CU93" s="115" t="b">
        <f ca="1">AND(模拟模式!$K$10="阴阳往极",CT92=0,RAND()&lt;IF(C93="净世破魔击·月",0.0275*7/3,IF(C93="净世破魔击·日",0.0275*3/3,0.0275*2/3)))</f>
        <v>0</v>
      </c>
      <c r="CV93" s="115">
        <f t="shared" ref="CV93:CV156" ca="1" si="117">IF(CU93,5-$F$4,MAX(CV92-$F$4,0))</f>
        <v>3.1549999999999998</v>
      </c>
      <c r="CW93" s="115">
        <f t="shared" ca="1" si="76"/>
        <v>1.3874999999999997</v>
      </c>
      <c r="CX93" s="115">
        <f t="shared" ca="1" si="77"/>
        <v>0</v>
      </c>
      <c r="CY93" s="115">
        <f ca="1">MAX(IF($C93="驱夜断愁",IF(模拟模式!$R$7="万念俱寂",6,45),CY92-$F$4),0)</f>
        <v>0.46499999999999975</v>
      </c>
      <c r="CZ93" s="115">
        <f t="shared" ca="1" si="78"/>
        <v>0</v>
      </c>
      <c r="DA93" s="115">
        <f ca="1">IF(模拟模式!$N$7="日月同辉",IF(DB92=2,0,MIN(6,IF(AND(OR(C93="赤日轮1",C93="赤日轮2",C93="赤日轮3",C93="幽月轮1",C93="幽月轮2",C93="幽月轮3"),AB93=1),DA92+1,DA92))),0)</f>
        <v>4</v>
      </c>
      <c r="DB93" s="115">
        <f t="shared" ca="1" si="79"/>
        <v>0</v>
      </c>
      <c r="DD93" s="115"/>
      <c r="DE93" s="115"/>
      <c r="DF93" s="115"/>
      <c r="DG93" s="115"/>
      <c r="DH93" s="115"/>
      <c r="DI93" s="115"/>
      <c r="DJ93" s="115"/>
      <c r="DK93" s="115"/>
      <c r="DL93" s="115"/>
      <c r="DM93" s="115"/>
    </row>
    <row r="94" spans="2:117" x14ac:dyDescent="0.2">
      <c r="B94" s="117">
        <f t="shared" si="80"/>
        <v>61.807499999999969</v>
      </c>
      <c r="C94" s="167" t="str">
        <f t="shared" ca="1" si="66"/>
        <v>净世破魔击·日</v>
      </c>
      <c r="D94" s="115">
        <f ca="1">IF(C94="赤日轮1",1,IF(C94="赤日轮2",2,IF(C94="赤日轮3",3,IF(C94="幽月轮1",4,IF(C94="幽月轮2",5,IF(C94="幽月轮3",6,IF(C94="烈日斩",7,IF(C94="银月斩",8,IF(C94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94="净世破魔击·月",17,IF(C94="驱夜断愁",18,0)))))))))))</f>
        <v>9</v>
      </c>
      <c r="E94" s="115">
        <f ca="1">IF(AND(CU94,OR(C94="幽月轮1",C94="幽月轮2",C94="幽月轮3",C94="银月斩",C94="驱夜断愁",C94="净世破魔击·月")),100,MIN(IF(OR(CN94,BE94),0,IF(OR($C94="赤日轮1",$C94="赤日轮2",$C94="赤日轮3"),E93+20+IF(模拟模式!$I$7="日月凌天",4,0)+IF(CR93,20,0),IF($C94="烈日斩",E93+40,IF($C94="驱夜断愁",IF(模拟模式!$R$7="万念俱寂",E93+20,E93+60),IF($C94="净世破魔击·月",IF(OR(DB93&gt;0,CV93&gt;0),100,IF(模拟模式!$M$7="辉耀红尘",E93+20,E93)),IF($C94="净世破魔击·日",E93-100,E93)))))),100))</f>
        <v>0</v>
      </c>
      <c r="F94" s="115">
        <f ca="1">IF(AND(CU94,OR(C94="赤日轮1",C94="赤日轮2",C94="赤日轮3",C94="烈日斩",C94="净世破魔击·日")),100,MIN(IF(CO94,0,IF(OR($C94="幽月轮1",$C94="幽月轮2",$C94="幽月轮3"),F93+20+IF(模拟模式!$I$7="日月凌天",4,0)+IF(CS93,20,0),IF($C94="银月斩",F93+40+IF(模拟模式!$X$12=1,5,0),IF($C94="驱夜断愁",IF(模拟模式!$R$7="万念俱寂",F93+20,F93+60),IF($C94="净世破魔击·月",IF(模拟模式!$M$7="辉耀红尘",F93-80,F93-100),IF(AND(C94="净世破魔击·日",OR(DB93&gt;0,CV93&gt;0)),100,F93)))))),100))</f>
        <v>100</v>
      </c>
      <c r="G94" s="117">
        <f ca="1">('模拟-全程加成'!$E$3+'模拟-全程加成'!$E$4+'模拟-全程加成'!$E$5+('模拟-全程加成'!$C$6-'模拟-全程加成'!$C$3)*系数!$B$9+BS94*23)*(1+'模拟-全程加成'!$F$4+'模拟-全程加成'!$F$5+BJ94*10%+BM94*20%+BP94*4%+CG94*30%)+$F$7*系数!$B$12</f>
        <v>21493.829400000002</v>
      </c>
      <c r="H94" s="45">
        <f ca="1">'模拟-全程加成'!$H$3+'模拟-全程加成'!$H$4+'模拟-全程加成'!$H$5+('模拟-全程加成'!$G$4+'模拟-全程加成'!$G$5+('模拟-全程加成'!$C$6-'模拟-全程加成'!$C$3)*系数!$B$13)/系数!$B$3+LOOKUP(D94,'模拟-单技能数据'!$A$2:$A$19,'模拟-单技能数据'!$K$2:$K$19)+BG94*10%+IF(BV94&gt;0,378,0)</f>
        <v>0.54185145527300216</v>
      </c>
      <c r="I94" s="45">
        <f ca="1">'模拟-全程加成'!$J$3+'模拟-全程加成'!$J$4+'模拟-全程加成'!$J$5+('模拟-全程加成'!$I$4+'模拟-全程加成'!$I$5)/系数!$B$4+LOOKUP(D94,'模拟-单技能数据'!$A$2:$A$19,'模拟-单技能数据'!$L$2:$L$19)+BG94*10%</f>
        <v>2.162482885499879</v>
      </c>
      <c r="J94" s="45">
        <f ca="1">(('模拟-全程加成'!$K$3+'模拟-全程加成'!$K$4+'模拟-全程加成'!$K$5+('模拟-全程加成'!$C$6-'模拟-全程加成'!$C$3)*系数!$B$10+IF(BV94&gt;0,882,0)+IF(BY94&gt;0,1831,0))*(1+'模拟-全程加成'!$L$4+'模拟-全程加成'!$L$5+CC94*20%))/系数!$B$5</f>
        <v>0.69723220422048726</v>
      </c>
      <c r="K94" s="119">
        <f ca="1">LOOKUP(D94,'模拟-单技能数据'!$A$2:$A$19,'模拟-单技能数据'!$J$2:$J$19)+IF(CM94,60%,0)+IF(DB93-DB94&gt;0,30%,0)+IF(OR(AND(OR(C94="赤日轮1",C94="赤日轮2",C94="赤日轮3"),CR94),AND(OR(C94="幽月轮1",C94="幽月轮2",C94="幽月轮3"),CS94)),35%,0)+CJ94</f>
        <v>0.2</v>
      </c>
      <c r="L94" s="119">
        <f ca="1">IF(AND(C94="烈日斩",模拟模式!$X$11=1),10%,0)+IF(AND(C94="驱夜断愁",AB94=1),30%,0)</f>
        <v>0</v>
      </c>
      <c r="M94" s="45">
        <f t="shared" ca="1" si="81"/>
        <v>0.54185145527300216</v>
      </c>
      <c r="N94" s="45">
        <f t="shared" ca="1" si="82"/>
        <v>0.40424854472699789</v>
      </c>
      <c r="O94" s="46">
        <f t="shared" ca="1" si="83"/>
        <v>0.89872175874618054</v>
      </c>
      <c r="P94" s="46" t="str">
        <f t="shared" ca="1" si="84"/>
        <v>命</v>
      </c>
      <c r="Q94" s="45">
        <f t="shared" ca="1" si="85"/>
        <v>1</v>
      </c>
      <c r="R94" s="117">
        <f ca="1">模拟模式!$E$20*(1-IF(模拟模式!$J$19="有",0.15,0))*(1-IF(模拟模式!$K$19="有",0.3,0)-IF(CQ94,0.5,0))</f>
        <v>843.02999999999975</v>
      </c>
      <c r="S94" s="45">
        <f ca="1">R94/(R94+(185*模拟模式!$E$22-16800)*4.08224)</f>
        <v>8.389626085980037E-2</v>
      </c>
      <c r="T94" s="45" t="str">
        <f ca="1">LOOKUP(D94,'模拟-单技能数据'!$A$2:$A$19,'模拟-单技能数据'!$H$2:$H$19)</f>
        <v>阳</v>
      </c>
      <c r="U94" s="119">
        <f t="shared" ca="1" si="86"/>
        <v>0.2</v>
      </c>
      <c r="V94" s="47">
        <f ca="1">(1+L94)*(LOOKUP(D94,'模拟-单技能数据'!$A$2:$A$19,'模拟-单技能数据'!$D$2:$D$19)+G94*LOOKUP(D94,'模拟-单技能数据'!$A$2:$A$19,'模拟-单技能数据'!$F$2:$F$19))*(1+J94)*(1+K94)*(1-S94)*(1+U94)*Q94*LOOKUP(D94,'模拟-单技能数据'!$A$2:$A$19,'模拟-单技能数据'!$I$2:$I$20)</f>
        <v>63050.243404268018</v>
      </c>
      <c r="W94" s="47">
        <f ca="1">LOOKUP(D94,'模拟-单技能数据'!$A$2:$A$19,'模拟-单技能数据'!$G$2:$G$19)*$I$10</f>
        <v>723.0212870940959</v>
      </c>
      <c r="X94" s="47">
        <f t="shared" ca="1" si="87"/>
        <v>19198.936884319592</v>
      </c>
      <c r="Y94" s="47">
        <f t="shared" ca="1" si="88"/>
        <v>82972.201575681713</v>
      </c>
      <c r="Z94" s="49">
        <f t="shared" ca="1" si="89"/>
        <v>6938367.1814651228</v>
      </c>
      <c r="AA94" s="97">
        <f t="shared" ca="1" si="90"/>
        <v>112257.69010985926</v>
      </c>
      <c r="AB94" s="115">
        <f ca="1">IF(OR(C94="赤日轮1",C94="赤日轮2",C94="赤日轮3"),IF(RAND()&lt;模拟模式!$Y$17,1,0),IF(OR(C94="幽月轮1",C94="幽月轮2",C94="幽月轮3"),IF(RAND()&lt;模拟模式!$Y$18,1,0),IF(C94="烈日斩",IF(RAND()&lt;模拟模式!$Y$19,1,0),IF(C94="银月斩",IF(RAND()&lt;模拟模式!$Y$20,1,0),IF(C94="驱夜断愁",IF(RAND()&lt;模拟模式!$Y$21,1,0),IF(C94="净世破魔击·日",IF(RAND()&lt;模拟模式!$Y$22,1,0),IF(C94="净世破魔击·月",IF(RAND()&lt;模拟模式!$Y$23,1,0),0)))))))</f>
        <v>1</v>
      </c>
      <c r="AC94" s="115" t="b">
        <f t="shared" ca="1" si="67"/>
        <v>0</v>
      </c>
      <c r="AD94" s="115" t="b">
        <f t="shared" ref="AD94:AD131" ca="1" si="118">IF(AD93+AD92=1,IF(AE93&gt;0,NOT(AD93),FALSE),AC94)</f>
        <v>0</v>
      </c>
      <c r="AE94" s="115">
        <f t="shared" ref="AE94:AE131" ca="1" si="119">IF(AC94,IF(AD92+AD93=0,6,6-AD94),AE93-AD94)</f>
        <v>2</v>
      </c>
      <c r="AF94" s="47">
        <f ca="1">IF(AC94,('模拟-单技能数据'!$D$20+G94*'模拟-单技能数据'!$F$20)*(1+J94)*(1+'模拟-单技能数据'!$J$20)*(1+U94),0)</f>
        <v>0</v>
      </c>
      <c r="AG94" s="61">
        <f t="shared" ca="1" si="91"/>
        <v>0.64185145527300214</v>
      </c>
      <c r="AH94" s="61">
        <f t="shared" ca="1" si="92"/>
        <v>2.2624828854998791</v>
      </c>
      <c r="AI94" s="62">
        <f t="shared" ca="1" si="93"/>
        <v>0.82522840007470477</v>
      </c>
      <c r="AJ94" s="47">
        <f ca="1">IF(AD94,IF(AI94&lt;$F$10,0,IF(AI94&lt;$F$10+$F$11,0.25,IF(AI94&lt;$F$10+$F$11+AG94,AH94,1)))*IF(AF94&gt;0,AF94,IF(AF93&gt;0,AF93,IF(AF92&gt;0,AF92,IF(AF91&gt;0,AF91,IF(AF90&gt;0,AF90,IF(AF89&gt;0,AF89,IF(AF88&gt;0,AF88,IF(AF87&gt;0,AF87,IF(AF86&gt;0,AF86,IF(AF84&gt;0,AF84,IF(AF83&gt;0,AF83,IF(AF82&gt;0,AF82,0)))))))))))),0)*(1-$S94)*'模拟-单技能数据'!$I$20</f>
        <v>0</v>
      </c>
      <c r="AK94" s="115" t="b">
        <f t="shared" ca="1" si="68"/>
        <v>1</v>
      </c>
      <c r="AL94" s="115" t="b">
        <f t="shared" ref="AL94:AL131" ca="1" si="120">IF(AL93+AL92=1,IF(AM93&gt;0,NOT(AL93),FALSE),AK94)</f>
        <v>0</v>
      </c>
      <c r="AM94" s="115">
        <f t="shared" ref="AM94:AM131" ca="1" si="121">IF(AK94,IF(AL92+AL93=0,6,6-AL94),AM93-AL94)</f>
        <v>6</v>
      </c>
      <c r="AN94" s="47">
        <f ca="1">IF(AK94,('模拟-单技能数据'!$D$21+G94*'模拟-单技能数据'!$F$21)*(1+J94)*(1+'模拟-单技能数据'!$J$21)*(1+U94),0)</f>
        <v>12670.936004857545</v>
      </c>
      <c r="AO94" s="61">
        <f ca="1">IF(AN94&gt;0,M94-'模拟-单技能数据'!$K$10,AO93)</f>
        <v>0.42185145527300216</v>
      </c>
      <c r="AP94" s="61">
        <f ca="1">IF(AN94&gt;0,I94-'模拟-单技能数据'!$L$10,AP93)</f>
        <v>2.162482885499879</v>
      </c>
      <c r="AQ94" s="63">
        <f t="shared" ca="1" si="94"/>
        <v>0.90553780258610028</v>
      </c>
      <c r="AR94" s="64">
        <f ca="1">IF(AL94,IF(AQ94&lt;$F$10,0,IF(AQ94&lt;$F$10+$F$11,0.25,IF(AQ94&lt;$F$10+$F$11+AO94,AP94,1)))*IF(AN94&gt;0,AN94,IF(AN93&gt;0,AN93,IF(AN92&gt;0,AN92,IF(AN91&gt;0,AN91,IF(AN90&gt;0,AN90,IF(AN89&gt;0,AN89,IF(AN88&gt;0,AN88,IF(AN87&gt;0,AN87,IF(AN86&gt;0,AN86,IF(AN84&gt;0,AN84,IF(AN83&gt;0,AN83,IF(AN82&gt;0,AN82,0)))))))))))),0)*(1-$S94)*'模拟-单技能数据'!$I$21</f>
        <v>0</v>
      </c>
      <c r="AS94" s="61">
        <f ca="1">IF(OR(C94="净世破魔击·日",C94="净世破魔击·月"),M94-'模拟-单技能数据'!$K$10,0)</f>
        <v>0.42185145527300216</v>
      </c>
      <c r="AT94" s="61">
        <f ca="1">IF(OR(C94="净世破魔击·日",C94="净世破魔击·月"),I94-'模拟-单技能数据'!$L$10,0)</f>
        <v>2.162482885499879</v>
      </c>
      <c r="AU94" s="62">
        <f t="shared" ca="1" si="95"/>
        <v>0.94892089790401601</v>
      </c>
      <c r="AV94" s="64">
        <f ca="1">IF(AS94&gt;0,('模拟-单技能数据'!$D$22+G94*'模拟-单技能数据'!$F$22)*(1+J94)*(1-S94)*IF(AU94&lt;$F$10,0,IF(AU94&lt;$F$10+$F$11,0.25,IF(AU94&lt;$F$10+$F$11+AS94,AT94,1)))*(1+U94),0)*'模拟-单技能数据'!$I$22</f>
        <v>8840.2341748571616</v>
      </c>
      <c r="AW94" s="108">
        <f t="shared" ca="1" si="96"/>
        <v>15.387500000000003</v>
      </c>
      <c r="AX94" s="108" t="b">
        <f ca="1">AND(模拟模式!$P$10="有",AW93=0,RAND()&lt;IF(C94="净世破魔击·月",0.1*8/3,IF(C94="净世破魔击·日",0.1*4/3,0.1*2/3)))</f>
        <v>0</v>
      </c>
      <c r="AY94" s="47">
        <f ca="1">IF(AX94,(18+G94*0.722)*(1+J94)*(1-S94)*(1+$I$4)*IF(P94="会",'模拟-全程加成'!$J$3+'模拟-全程加成'!$J$4+'模拟-全程加成'!$J$5+('模拟-全程加成'!$I$4+'模拟-全程加成'!$I$5)/系数!$B$4+BG94*10%,IF(P94="命",1,IF(P94="识",0.25,0))),0)</f>
        <v>0</v>
      </c>
      <c r="AZ94" s="108">
        <f t="shared" si="97"/>
        <v>19.077500000000001</v>
      </c>
      <c r="BA94" s="108" t="b">
        <f>AND(模拟模式!$Q$10="有",AZ93=0)</f>
        <v>1</v>
      </c>
      <c r="BB94" s="140">
        <f ca="1">IF(BA94,(0+G94*0.287)*(1+J94)*(1-S94)*(1+$I$4)*IF(P94="会",'模拟-全程加成'!$J$3+'模拟-全程加成'!$J$4+'模拟-全程加成'!$J$5+('模拟-全程加成'!$I$4+'模拟-全程加成'!$I$5)/系数!$B$4+BG94*10%,IF(P94="命",1,IF(P94="识",0.25,0))),0)</f>
        <v>10358.702709462432</v>
      </c>
      <c r="BC94" s="115" t="b">
        <f ca="1">AND(模拟模式!$R$7="伏明众生",E94=60,F94=20,DA94&lt;5,CZ93&lt;$F$4)</f>
        <v>0</v>
      </c>
      <c r="BD94" s="115">
        <f t="shared" ca="1" si="69"/>
        <v>0</v>
      </c>
      <c r="BE94" s="115" t="b">
        <f t="shared" ca="1" si="70"/>
        <v>0</v>
      </c>
      <c r="BF94" s="47">
        <f ca="1">IF(BC94,4*('模拟-单技能数据'!$D$24+G94*'模拟-单技能数据'!$F$24)*(1+J94)*(1+'模拟-单技能数据'!$J$24)*(1-S94)*(1+$I$3)*(('模拟-全程加成'!$J$3+'模拟-全程加成'!$J$4+'模拟-全程加成'!$J$5+('模拟-全程加成'!$I$4+'模拟-全程加成'!$I$5)/系数!$B$4+BG94*10%)*('模拟-全程加成'!$J$3+'模拟-全程加成'!$J$4+'模拟-全程加成'!$J$5+('模拟-全程加成'!$I$4+'模拟-全程加成'!$I$5)/系数!$B$4+BG94*10%)+(1-('模拟-全程加成'!$J$3+'模拟-全程加成'!$J$4+'模拟-全程加成'!$J$5+('模拟-全程加成'!$I$4+'模拟-全程加成'!$I$5)/系数!$B$4+BG94*10%)-$F$10-$F$11)+F80*0.25),0)*'模拟-单技能数据'!$I$24</f>
        <v>0</v>
      </c>
      <c r="BG94" s="115" t="b">
        <f ca="1">OR(AND(OR(C94="烈日斩",C94="银月斩"),模拟模式!$I$7="净身明礼"),AND(C94="净世破魔击·日",模拟模式!$J$7="洞若观火"),AND(C95="净世破魔击·月",模拟模式!$J$7="洞若观火"),AB94=1)</f>
        <v>1</v>
      </c>
      <c r="BH94" s="115" t="b">
        <f t="shared" ca="1" si="98"/>
        <v>0</v>
      </c>
      <c r="BI94" s="115">
        <f t="shared" ca="1" si="71"/>
        <v>5.0774999999999997</v>
      </c>
      <c r="BJ94" s="115" t="b">
        <f t="shared" ca="1" si="99"/>
        <v>1</v>
      </c>
      <c r="BK94" s="115" t="b">
        <f ca="1">AND(C94="驱夜断愁",模拟模式!$P$7="天地诛戮")</f>
        <v>0</v>
      </c>
      <c r="BL94" s="57">
        <f t="shared" ca="1" si="72"/>
        <v>13.542500000000004</v>
      </c>
      <c r="BM94" s="115" t="b">
        <f t="shared" ca="1" si="100"/>
        <v>1</v>
      </c>
      <c r="BN94" s="115" t="b">
        <f ca="1">AND(OR(C94="赤日轮1",C94="赤日轮2",C94="赤日轮3",C94="幽月轮1",C94="幽月轮2",C94="幽月轮3"),AB94=1,模拟模式!$L$7="明光恒照")</f>
        <v>0</v>
      </c>
      <c r="BO94" s="117">
        <f t="shared" ca="1" si="73"/>
        <v>28.155000000000001</v>
      </c>
      <c r="BP94" s="115">
        <f t="shared" ca="1" si="101"/>
        <v>6</v>
      </c>
      <c r="BQ94" s="115" t="b">
        <f>模拟模式!$K$10="2600·水"</f>
        <v>0</v>
      </c>
      <c r="BR94" s="117">
        <f t="shared" si="102"/>
        <v>0</v>
      </c>
      <c r="BS94" s="115">
        <f t="shared" si="103"/>
        <v>0</v>
      </c>
      <c r="BT94" s="115">
        <f t="shared" ca="1" si="104"/>
        <v>0</v>
      </c>
      <c r="BU94" s="115" t="b">
        <f ca="1">AND(模拟模式!$K$10="2300·雷",BT93=0,RAND()&lt;IF(C94="净世破魔击·月",5*0.05*2/3,IF(C94="净世破魔击·日",3*0.05*2/3,0.05*2*2/3)))</f>
        <v>0</v>
      </c>
      <c r="BV94" s="115">
        <f t="shared" ca="1" si="105"/>
        <v>0</v>
      </c>
      <c r="BW94" s="115">
        <f t="shared" ca="1" si="106"/>
        <v>123.72749999999924</v>
      </c>
      <c r="BX94" s="164" t="b">
        <f t="shared" ca="1" si="107"/>
        <v>0</v>
      </c>
      <c r="BY94" s="115">
        <f t="shared" ca="1" si="108"/>
        <v>0</v>
      </c>
      <c r="BZ94" s="115">
        <f>IF(OR(模拟模式!$P$16="10人团",模拟模式!$P$16="25人团"),IF(B94/30&gt;CA93,1,0),0)</f>
        <v>0</v>
      </c>
      <c r="CA94" s="115">
        <f t="shared" si="74"/>
        <v>0</v>
      </c>
      <c r="CB94" s="115">
        <f ca="1">IF(BZ94=1,IF(模拟模式!$P$16="10人团",15,0)+IF(模拟模式!$P$16="25人团",IF(RAND()&lt;0.6,15,0)),MAX(0,CB93-$F$4))</f>
        <v>0</v>
      </c>
      <c r="CC94" s="115" t="b">
        <f t="shared" ca="1" si="109"/>
        <v>0</v>
      </c>
      <c r="CD94" s="115">
        <f>IF(模拟模式!$Q$16="1个",IF(B94/40&gt;CE93,1,0),0)</f>
        <v>0</v>
      </c>
      <c r="CE94" s="115">
        <f t="shared" si="110"/>
        <v>0</v>
      </c>
      <c r="CF94" s="115">
        <f>IF(OR(CD94=1,模拟模式!$Q$16="2个"),20,MAX(0,CF93-$F$4))</f>
        <v>0</v>
      </c>
      <c r="CG94" s="115" t="b">
        <f t="shared" si="111"/>
        <v>0</v>
      </c>
      <c r="CH94" s="115">
        <f t="shared" ca="1" si="112"/>
        <v>3.2475000000000116</v>
      </c>
      <c r="CI94" s="115" t="b">
        <f t="shared" ca="1" si="113"/>
        <v>0</v>
      </c>
      <c r="CJ94" s="119">
        <f t="shared" ca="1" si="114"/>
        <v>0</v>
      </c>
      <c r="CK94" s="115">
        <f t="shared" ca="1" si="115"/>
        <v>0</v>
      </c>
      <c r="CL94" s="115" t="b">
        <f ca="1">AND(模拟模式!$S$7="驱夷逐法",OR(AND(C94="净世破魔击·月",E93&gt;59),AND(C94="净世破魔击·日",F93&gt;59)))</f>
        <v>0</v>
      </c>
      <c r="CM94" s="115" t="b">
        <f ca="1">OR(CL94,AND(C94="净世破魔击·日",CL93,RAND()&lt;模拟模式!$U$23))</f>
        <v>0</v>
      </c>
      <c r="CN94" s="115" t="b">
        <f ca="1">IF(模拟模式!$M$7="辉耀红尘",AND(C94="净世破魔击·月",CL94,CV94=0,E93&lt;80),AND(C94="净世破魔击·月",CL94,E93&lt;100))</f>
        <v>0</v>
      </c>
      <c r="CO94" s="115" t="b">
        <f t="shared" ca="1" si="75"/>
        <v>0</v>
      </c>
      <c r="CP94" s="115" t="b">
        <f ca="1">AND(模拟模式!$O$7="用晦而明",OR(C94="净世破魔击·日",C94="净世破魔击·月",C94="驱夜断愁"),AB94)</f>
        <v>1</v>
      </c>
      <c r="CQ94" s="115" t="b">
        <f ca="1">OR(CP94,AND(CP93,RAND()&lt;模拟模式!$U$23))</f>
        <v>1</v>
      </c>
      <c r="CR94" s="115" t="b">
        <f ca="1">AND(模拟模式!$S$7="日月齐光",OR(C94="幽月轮1",C94="幽月轮2",C94="幽月轮3",CR93),NOT(OR(C94="赤日轮1",C94="赤日轮2",C94="赤日轮3")))</f>
        <v>0</v>
      </c>
      <c r="CS94" s="115" t="b">
        <f ca="1">AND(模拟模式!$S$7="日月齐光",OR(C94="赤日轮1",C94="赤日轮2",C94="赤日轮3",CS93),NOT(OR(C94="幽月轮1",C94="幽月轮2",C94="幽月轮3")))</f>
        <v>0</v>
      </c>
      <c r="CT94" s="115">
        <f t="shared" ca="1" si="116"/>
        <v>28.155000000000001</v>
      </c>
      <c r="CU94" s="115" t="b">
        <f ca="1">AND(模拟模式!$K$10="阴阳往极",CT93=0,RAND()&lt;IF(C94="净世破魔击·月",0.0275*7/3,IF(C94="净世破魔击·日",0.0275*3/3,0.0275*2/3)))</f>
        <v>0</v>
      </c>
      <c r="CV94" s="115">
        <f t="shared" ca="1" si="117"/>
        <v>2.2324999999999999</v>
      </c>
      <c r="CW94" s="115">
        <f t="shared" ca="1" si="76"/>
        <v>0.46499999999999975</v>
      </c>
      <c r="CX94" s="115">
        <f t="shared" ca="1" si="77"/>
        <v>0</v>
      </c>
      <c r="CY94" s="115">
        <f ca="1">MAX(IF($C94="驱夜断愁",IF(模拟模式!$R$7="万念俱寂",6,45),CY93-$F$4),0)</f>
        <v>0</v>
      </c>
      <c r="CZ94" s="115">
        <f t="shared" ca="1" si="78"/>
        <v>0</v>
      </c>
      <c r="DA94" s="115">
        <f ca="1">IF(模拟模式!$N$7="日月同辉",IF(DB93=2,0,MIN(6,IF(AND(OR(C94="赤日轮1",C94="赤日轮2",C94="赤日轮3",C94="幽月轮1",C94="幽月轮2",C94="幽月轮3"),AB94=1),DA93+1,DA93))),0)</f>
        <v>4</v>
      </c>
      <c r="DB94" s="115">
        <f t="shared" ca="1" si="79"/>
        <v>0</v>
      </c>
      <c r="DD94" s="115"/>
      <c r="DE94" s="115"/>
      <c r="DF94" s="115"/>
      <c r="DG94" s="115"/>
      <c r="DH94" s="115"/>
      <c r="DI94" s="115"/>
      <c r="DJ94" s="115"/>
      <c r="DK94" s="115"/>
      <c r="DL94" s="115"/>
      <c r="DM94" s="115"/>
    </row>
    <row r="95" spans="2:117" x14ac:dyDescent="0.2">
      <c r="B95" s="117">
        <f t="shared" si="80"/>
        <v>62.729999999999968</v>
      </c>
      <c r="C95" s="167" t="str">
        <f t="shared" ca="1" si="66"/>
        <v>净世破魔击·月</v>
      </c>
      <c r="D95" s="115">
        <f ca="1">IF(C95="赤日轮1",1,IF(C95="赤日轮2",2,IF(C95="赤日轮3",3,IF(C95="幽月轮1",4,IF(C95="幽月轮2",5,IF(C95="幽月轮3",6,IF(C95="烈日斩",7,IF(C95="银月斩",8,IF(C95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95="净世破魔击·月",17,IF(C95="驱夜断愁",18,0)))))))))))</f>
        <v>17</v>
      </c>
      <c r="E95" s="115">
        <f ca="1">IF(AND(CU95,OR(C95="幽月轮1",C95="幽月轮2",C95="幽月轮3",C95="银月斩",C95="驱夜断愁",C95="净世破魔击·月")),100,MIN(IF(OR(CN95,BE95),0,IF(OR($C95="赤日轮1",$C95="赤日轮2",$C95="赤日轮3"),E94+20+IF(模拟模式!$I$7="日月凌天",4,0)+IF(CR94,20,0),IF($C95="烈日斩",E94+40,IF($C95="驱夜断愁",IF(模拟模式!$R$7="万念俱寂",E94+20,E94+60),IF($C95="净世破魔击·月",IF(OR(DB94&gt;0,CV94&gt;0),100,IF(模拟模式!$M$7="辉耀红尘",E94+20,E94)),IF($C95="净世破魔击·日",E94-100,E94)))))),100))</f>
        <v>100</v>
      </c>
      <c r="F95" s="115">
        <f ca="1">IF(AND(CU95,OR(C95="赤日轮1",C95="赤日轮2",C95="赤日轮3",C95="烈日斩",C95="净世破魔击·日")),100,MIN(IF(CO95,0,IF(OR($C95="幽月轮1",$C95="幽月轮2",$C95="幽月轮3"),F94+20+IF(模拟模式!$I$7="日月凌天",4,0)+IF(CS94,20,0),IF($C95="银月斩",F94+40+IF(模拟模式!$X$12=1,5,0),IF($C95="驱夜断愁",IF(模拟模式!$R$7="万念俱寂",F94+20,F94+60),IF($C95="净世破魔击·月",IF(模拟模式!$M$7="辉耀红尘",F94-80,F94-100),IF(AND(C95="净世破魔击·日",OR(DB94&gt;0,CV94&gt;0)),100,F94)))))),100))</f>
        <v>20</v>
      </c>
      <c r="G95" s="117">
        <f ca="1">('模拟-全程加成'!$E$3+'模拟-全程加成'!$E$4+'模拟-全程加成'!$E$5+('模拟-全程加成'!$C$6-'模拟-全程加成'!$C$3)*系数!$B$9+BS95*23)*(1+'模拟-全程加成'!$F$4+'模拟-全程加成'!$F$5+BJ95*10%+BM95*20%+BP95*4%+CG95*30%)+$F$7*系数!$B$12</f>
        <v>21493.829400000002</v>
      </c>
      <c r="H95" s="45">
        <f ca="1">'模拟-全程加成'!$H$3+'模拟-全程加成'!$H$4+'模拟-全程加成'!$H$5+('模拟-全程加成'!$G$4+'模拟-全程加成'!$G$5+('模拟-全程加成'!$C$6-'模拟-全程加成'!$C$3)*系数!$B$13)/系数!$B$3+LOOKUP(D95,'模拟-单技能数据'!$A$2:$A$19,'模拟-单技能数据'!$K$2:$K$19)+BG95*10%+IF(BV95&gt;0,378,0)</f>
        <v>0.54185145527300216</v>
      </c>
      <c r="I95" s="45">
        <f ca="1">'模拟-全程加成'!$J$3+'模拟-全程加成'!$J$4+'模拟-全程加成'!$J$5+('模拟-全程加成'!$I$4+'模拟-全程加成'!$I$5)/系数!$B$4+LOOKUP(D95,'模拟-单技能数据'!$A$2:$A$19,'模拟-单技能数据'!$L$2:$L$19)+BG95*10%</f>
        <v>2.162482885499879</v>
      </c>
      <c r="J95" s="45">
        <f ca="1">(('模拟-全程加成'!$K$3+'模拟-全程加成'!$K$4+'模拟-全程加成'!$K$5+('模拟-全程加成'!$C$6-'模拟-全程加成'!$C$3)*系数!$B$10+IF(BV95&gt;0,882,0)+IF(BY95&gt;0,1831,0))*(1+'模拟-全程加成'!$L$4+'模拟-全程加成'!$L$5+CC95*20%))/系数!$B$5</f>
        <v>0.69723220422048726</v>
      </c>
      <c r="K95" s="119">
        <f ca="1">LOOKUP(D95,'模拟-单技能数据'!$A$2:$A$19,'模拟-单技能数据'!$J$2:$J$19)+IF(CM95,60%,0)+IF(DB94-DB95&gt;0,30%,0)+IF(OR(AND(OR(C95="赤日轮1",C95="赤日轮2",C95="赤日轮3"),CR95),AND(OR(C95="幽月轮1",C95="幽月轮2",C95="幽月轮3"),CS95)),35%,0)+CJ95</f>
        <v>0.2</v>
      </c>
      <c r="L95" s="119">
        <f ca="1">IF(AND(C95="烈日斩",模拟模式!$X$11=1),10%,0)+IF(AND(C95="驱夜断愁",AB95=1),30%,0)</f>
        <v>0</v>
      </c>
      <c r="M95" s="45">
        <f t="shared" ca="1" si="81"/>
        <v>0.54185145527300216</v>
      </c>
      <c r="N95" s="45">
        <f t="shared" ca="1" si="82"/>
        <v>0.40424854472699789</v>
      </c>
      <c r="O95" s="46">
        <f t="shared" ca="1" si="83"/>
        <v>0.8412454976449889</v>
      </c>
      <c r="P95" s="46" t="str">
        <f t="shared" ca="1" si="84"/>
        <v>命</v>
      </c>
      <c r="Q95" s="45">
        <f t="shared" ca="1" si="85"/>
        <v>1</v>
      </c>
      <c r="R95" s="117">
        <f ca="1">模拟模式!$E$20*(1-IF(模拟模式!$J$19="有",0.15,0))*(1-IF(模拟模式!$K$19="有",0.3,0)-IF(CQ95,0.5,0))</f>
        <v>843.02999999999975</v>
      </c>
      <c r="S95" s="45">
        <f ca="1">R95/(R95+(185*模拟模式!$E$22-16800)*4.08224)</f>
        <v>8.389626085980037E-2</v>
      </c>
      <c r="T95" s="45" t="str">
        <f ca="1">LOOKUP(D95,'模拟-单技能数据'!$A$2:$A$19,'模拟-单技能数据'!$H$2:$H$19)</f>
        <v>阴</v>
      </c>
      <c r="U95" s="119">
        <f t="shared" ca="1" si="86"/>
        <v>0.08</v>
      </c>
      <c r="V95" s="47">
        <f ca="1">(1+L95)*(LOOKUP(D95,'模拟-单技能数据'!$A$2:$A$19,'模拟-单技能数据'!$D$2:$D$19)+G95*LOOKUP(D95,'模拟-单技能数据'!$A$2:$A$19,'模拟-单技能数据'!$F$2:$F$19))*(1+J95)*(1+K95)*(1-S95)*(1+U95)*Q95*LOOKUP(D95,'模拟-单技能数据'!$A$2:$A$19,'模拟-单技能数据'!$I$2:$I$20)</f>
        <v>56275.195622899046</v>
      </c>
      <c r="W95" s="47">
        <f ca="1">LOOKUP(D95,'模拟-单技能数据'!$A$2:$A$19,'模拟-单技能数据'!$G$2:$G$19)*$I$10</f>
        <v>361.51064354704795</v>
      </c>
      <c r="X95" s="47">
        <f t="shared" ca="1" si="87"/>
        <v>28813.061448701963</v>
      </c>
      <c r="Y95" s="47">
        <f t="shared" ca="1" si="88"/>
        <v>85449.76771514806</v>
      </c>
      <c r="Z95" s="49">
        <f t="shared" ca="1" si="89"/>
        <v>7023816.9491802705</v>
      </c>
      <c r="AA95" s="97">
        <f t="shared" ca="1" si="90"/>
        <v>111969.02517424317</v>
      </c>
      <c r="AB95" s="115">
        <f ca="1">IF(OR(C95="赤日轮1",C95="赤日轮2",C95="赤日轮3"),IF(RAND()&lt;模拟模式!$Y$17,1,0),IF(OR(C95="幽月轮1",C95="幽月轮2",C95="幽月轮3"),IF(RAND()&lt;模拟模式!$Y$18,1,0),IF(C95="烈日斩",IF(RAND()&lt;模拟模式!$Y$19,1,0),IF(C95="银月斩",IF(RAND()&lt;模拟模式!$Y$20,1,0),IF(C95="驱夜断愁",IF(RAND()&lt;模拟模式!$Y$21,1,0),IF(C95="净世破魔击·日",IF(RAND()&lt;模拟模式!$Y$22,1,0),IF(C95="净世破魔击·月",IF(RAND()&lt;模拟模式!$Y$23,1,0),0)))))))</f>
        <v>1</v>
      </c>
      <c r="AC95" s="115" t="b">
        <f t="shared" ca="1" si="67"/>
        <v>0</v>
      </c>
      <c r="AD95" s="115" t="b">
        <f t="shared" ca="1" si="118"/>
        <v>1</v>
      </c>
      <c r="AE95" s="115">
        <f t="shared" ca="1" si="119"/>
        <v>1</v>
      </c>
      <c r="AF95" s="47">
        <f ca="1">IF(AC95,('模拟-单技能数据'!$D$20+G95*'模拟-单技能数据'!$F$20)*(1+J95)*(1+'模拟-单技能数据'!$J$20)*(1+U95),0)</f>
        <v>0</v>
      </c>
      <c r="AG95" s="61">
        <f t="shared" ca="1" si="91"/>
        <v>0.64185145527300214</v>
      </c>
      <c r="AH95" s="61">
        <f t="shared" ca="1" si="92"/>
        <v>2.2624828854998791</v>
      </c>
      <c r="AI95" s="62">
        <f t="shared" ca="1" si="93"/>
        <v>0.86884184097560346</v>
      </c>
      <c r="AJ95" s="47">
        <f ca="1">IF(AD95,IF(AI95&lt;$F$10,0,IF(AI95&lt;$F$10+$F$11,0.25,IF(AI95&lt;$F$10+$F$11+AG95,AH95,1)))*IF(AF95&gt;0,AF95,IF(AF94&gt;0,AF94,IF(AF93&gt;0,AF93,IF(AF92&gt;0,AF92,IF(AF91&gt;0,AF91,IF(AF90&gt;0,AF90,IF(AF89&gt;0,AF89,IF(AF88&gt;0,AF88,IF(AF87&gt;0,AF87,IF(AF85&gt;0,AF85,IF(AF84&gt;0,AF84,IF(AF83&gt;0,AF83,0)))))))))))),0)*(1-$S95)*'模拟-单技能数据'!$I$20</f>
        <v>0</v>
      </c>
      <c r="AK95" s="115" t="b">
        <f t="shared" ca="1" si="68"/>
        <v>0</v>
      </c>
      <c r="AL95" s="115" t="b">
        <f t="shared" ca="1" si="120"/>
        <v>1</v>
      </c>
      <c r="AM95" s="115">
        <f t="shared" ca="1" si="121"/>
        <v>5</v>
      </c>
      <c r="AN95" s="47">
        <f ca="1">IF(AK95,('模拟-单技能数据'!$D$21+G95*'模拟-单技能数据'!$F$21)*(1+J95)*(1+'模拟-单技能数据'!$J$21)*(1+U95),0)</f>
        <v>0</v>
      </c>
      <c r="AO95" s="61">
        <f ca="1">IF(AN95&gt;0,M95-'模拟-单技能数据'!$K$10,AO94)</f>
        <v>0.42185145527300216</v>
      </c>
      <c r="AP95" s="61">
        <f ca="1">IF(AN95&gt;0,I95-'模拟-单技能数据'!$L$10,AP94)</f>
        <v>2.162482885499879</v>
      </c>
      <c r="AQ95" s="63">
        <f t="shared" ca="1" si="94"/>
        <v>0.90301906557729184</v>
      </c>
      <c r="AR95" s="64">
        <f ca="1">IF(AL95,IF(AQ95&lt;$F$10,0,IF(AQ95&lt;$F$10+$F$11,0.25,IF(AQ95&lt;$F$10+$F$11+AO95,AP95,1)))*IF(AN95&gt;0,AN95,IF(AN94&gt;0,AN94,IF(AN93&gt;0,AN93,IF(AN92&gt;0,AN92,IF(AN91&gt;0,AN91,IF(AN90&gt;0,AN90,IF(AN89&gt;0,AN89,IF(AN88&gt;0,AN88,IF(AN87&gt;0,AN87,IF(AN85&gt;0,AN85,IF(AN84&gt;0,AN84,IF(AN83&gt;0,AN83,0)))))))))))),0)*(1-$S95)*'模拟-单技能数据'!$I$21</f>
        <v>11607.89185245618</v>
      </c>
      <c r="AS95" s="61">
        <f ca="1">IF(OR(C95="净世破魔击·日",C95="净世破魔击·月"),M95-'模拟-单技能数据'!$K$10,0)</f>
        <v>0.42185145527300216</v>
      </c>
      <c r="AT95" s="61">
        <f ca="1">IF(OR(C95="净世破魔击·日",C95="净世破魔击·月"),I95-'模拟-单技能数据'!$L$10,0)</f>
        <v>2.162482885499879</v>
      </c>
      <c r="AU95" s="62">
        <f t="shared" ca="1" si="95"/>
        <v>8.5476973033355996E-2</v>
      </c>
      <c r="AV95" s="64">
        <f ca="1">IF(AS95&gt;0,('模拟-单技能数据'!$D$22+G95*'模拟-单技能数据'!$F$22)*(1+J95)*(1-S95)*IF(AU95&lt;$F$10,0,IF(AU95&lt;$F$10+$F$11,0.25,IF(AU95&lt;$F$10+$F$11+AS95,AT95,1)))*(1+U95),0)*'模拟-单技能数据'!$I$22</f>
        <v>17205.169596245785</v>
      </c>
      <c r="AW95" s="108">
        <f t="shared" ca="1" si="96"/>
        <v>14.465000000000003</v>
      </c>
      <c r="AX95" s="108" t="b">
        <f ca="1">AND(模拟模式!$P$10="有",AW94=0,RAND()&lt;IF(C95="净世破魔击·月",0.1*8/3,IF(C95="净世破魔击·日",0.1*4/3,0.1*2/3)))</f>
        <v>0</v>
      </c>
      <c r="AY95" s="47">
        <f ca="1">IF(AX95,(18+G95*0.722)*(1+J95)*(1-S95)*(1+$I$4)*IF(P95="会",'模拟-全程加成'!$J$3+'模拟-全程加成'!$J$4+'模拟-全程加成'!$J$5+('模拟-全程加成'!$I$4+'模拟-全程加成'!$I$5)/系数!$B$4+BG95*10%,IF(P95="命",1,IF(P95="识",0.25,0))),0)</f>
        <v>0</v>
      </c>
      <c r="AZ95" s="108">
        <f t="shared" si="97"/>
        <v>18.155000000000001</v>
      </c>
      <c r="BA95" s="108" t="b">
        <f>AND(模拟模式!$Q$10="有",AZ94=0)</f>
        <v>0</v>
      </c>
      <c r="BB95" s="140">
        <f>IF(BA95,(0+G95*0.287)*(1+J95)*(1-S95)*(1+$I$4)*IF(P95="会",'模拟-全程加成'!$J$3+'模拟-全程加成'!$J$4+'模拟-全程加成'!$J$5+('模拟-全程加成'!$I$4+'模拟-全程加成'!$I$5)/系数!$B$4+BG95*10%,IF(P95="命",1,IF(P95="识",0.25,0))),0)</f>
        <v>0</v>
      </c>
      <c r="BC95" s="115" t="b">
        <f ca="1">AND(模拟模式!$R$7="伏明众生",E95=60,F95=20,DA95&lt;5,CZ94&lt;$F$4)</f>
        <v>0</v>
      </c>
      <c r="BD95" s="115">
        <f t="shared" ca="1" si="69"/>
        <v>0</v>
      </c>
      <c r="BE95" s="115" t="b">
        <f t="shared" ca="1" si="70"/>
        <v>0</v>
      </c>
      <c r="BF95" s="47">
        <f ca="1">IF(BC95,4*('模拟-单技能数据'!$D$24+G95*'模拟-单技能数据'!$F$24)*(1+J95)*(1+'模拟-单技能数据'!$J$24)*(1-S95)*(1+$I$3)*(('模拟-全程加成'!$J$3+'模拟-全程加成'!$J$4+'模拟-全程加成'!$J$5+('模拟-全程加成'!$I$4+'模拟-全程加成'!$I$5)/系数!$B$4+BG95*10%)*('模拟-全程加成'!$J$3+'模拟-全程加成'!$J$4+'模拟-全程加成'!$J$5+('模拟-全程加成'!$I$4+'模拟-全程加成'!$I$5)/系数!$B$4+BG95*10%)+(1-('模拟-全程加成'!$J$3+'模拟-全程加成'!$J$4+'模拟-全程加成'!$J$5+('模拟-全程加成'!$I$4+'模拟-全程加成'!$I$5)/系数!$B$4+BG95*10%)-$F$10-$F$11)+F81*0.25),0)*'模拟-单技能数据'!$I$24</f>
        <v>0</v>
      </c>
      <c r="BG95" s="115" t="b">
        <f ca="1">OR(AND(OR(C95="烈日斩",C95="银月斩"),模拟模式!$I$7="净身明礼"),AND(C95="净世破魔击·日",模拟模式!$J$7="洞若观火"),AND(C96="净世破魔击·月",模拟模式!$J$7="洞若观火"),AB95=1)</f>
        <v>1</v>
      </c>
      <c r="BH95" s="115" t="b">
        <f t="shared" ca="1" si="98"/>
        <v>0</v>
      </c>
      <c r="BI95" s="115">
        <f t="shared" ca="1" si="71"/>
        <v>4.1549999999999994</v>
      </c>
      <c r="BJ95" s="115" t="b">
        <f t="shared" ca="1" si="99"/>
        <v>1</v>
      </c>
      <c r="BK95" s="115" t="b">
        <f ca="1">AND(C95="驱夜断愁",模拟模式!$P$7="天地诛戮")</f>
        <v>0</v>
      </c>
      <c r="BL95" s="57">
        <f t="shared" ca="1" si="72"/>
        <v>12.620000000000005</v>
      </c>
      <c r="BM95" s="115" t="b">
        <f t="shared" ca="1" si="100"/>
        <v>1</v>
      </c>
      <c r="BN95" s="115" t="b">
        <f ca="1">AND(OR(C95="赤日轮1",C95="赤日轮2",C95="赤日轮3",C95="幽月轮1",C95="幽月轮2",C95="幽月轮3"),AB95=1,模拟模式!$L$7="明光恒照")</f>
        <v>0</v>
      </c>
      <c r="BO95" s="117">
        <f t="shared" ca="1" si="73"/>
        <v>27.232500000000002</v>
      </c>
      <c r="BP95" s="115">
        <f t="shared" ca="1" si="101"/>
        <v>6</v>
      </c>
      <c r="BQ95" s="115" t="b">
        <f>模拟模式!$K$10="2600·水"</f>
        <v>0</v>
      </c>
      <c r="BR95" s="117">
        <f t="shared" si="102"/>
        <v>0</v>
      </c>
      <c r="BS95" s="115">
        <f t="shared" si="103"/>
        <v>0</v>
      </c>
      <c r="BT95" s="115">
        <f t="shared" ca="1" si="104"/>
        <v>0</v>
      </c>
      <c r="BU95" s="115" t="b">
        <f ca="1">AND(模拟模式!$K$10="2300·雷",BT94=0,RAND()&lt;IF(C95="净世破魔击·月",5*0.05*2/3,IF(C95="净世破魔击·日",3*0.05*2/3,0.05*2*2/3)))</f>
        <v>0</v>
      </c>
      <c r="BV95" s="115">
        <f t="shared" ca="1" si="105"/>
        <v>0</v>
      </c>
      <c r="BW95" s="115">
        <f t="shared" ca="1" si="106"/>
        <v>122.80499999999924</v>
      </c>
      <c r="BX95" s="164" t="b">
        <f t="shared" ca="1" si="107"/>
        <v>0</v>
      </c>
      <c r="BY95" s="115">
        <f t="shared" ca="1" si="108"/>
        <v>0</v>
      </c>
      <c r="BZ95" s="115">
        <f>IF(OR(模拟模式!$P$16="10人团",模拟模式!$P$16="25人团"),IF(B95/30&gt;CA94,1,0),0)</f>
        <v>0</v>
      </c>
      <c r="CA95" s="115">
        <f t="shared" si="74"/>
        <v>0</v>
      </c>
      <c r="CB95" s="115">
        <f ca="1">IF(BZ95=1,IF(模拟模式!$P$16="10人团",15,0)+IF(模拟模式!$P$16="25人团",IF(RAND()&lt;0.6,15,0)),MAX(0,CB94-$F$4))</f>
        <v>0</v>
      </c>
      <c r="CC95" s="115" t="b">
        <f t="shared" ca="1" si="109"/>
        <v>0</v>
      </c>
      <c r="CD95" s="115">
        <f>IF(模拟模式!$Q$16="1个",IF(B95/40&gt;CE94,1,0),0)</f>
        <v>0</v>
      </c>
      <c r="CE95" s="115">
        <f t="shared" si="110"/>
        <v>0</v>
      </c>
      <c r="CF95" s="115">
        <f>IF(OR(CD95=1,模拟模式!$Q$16="2个"),20,MAX(0,CF94-$F$4))</f>
        <v>0</v>
      </c>
      <c r="CG95" s="115" t="b">
        <f t="shared" si="111"/>
        <v>0</v>
      </c>
      <c r="CH95" s="115">
        <f t="shared" ca="1" si="112"/>
        <v>2.3250000000000117</v>
      </c>
      <c r="CI95" s="115" t="b">
        <f t="shared" ca="1" si="113"/>
        <v>0</v>
      </c>
      <c r="CJ95" s="119">
        <f t="shared" ca="1" si="114"/>
        <v>0</v>
      </c>
      <c r="CK95" s="115">
        <f t="shared" ca="1" si="115"/>
        <v>0</v>
      </c>
      <c r="CL95" s="115" t="b">
        <f ca="1">AND(模拟模式!$S$7="驱夷逐法",OR(AND(C95="净世破魔击·月",E94&gt;59),AND(C95="净世破魔击·日",F94&gt;59)))</f>
        <v>0</v>
      </c>
      <c r="CM95" s="115" t="b">
        <f ca="1">OR(CL95,AND(C95="净世破魔击·日",CL94,RAND()&lt;模拟模式!$U$23))</f>
        <v>0</v>
      </c>
      <c r="CN95" s="115" t="b">
        <f ca="1">IF(模拟模式!$M$7="辉耀红尘",AND(C95="净世破魔击·月",CL95,CV95=0,E94&lt;80),AND(C95="净世破魔击·月",CL95,E94&lt;100))</f>
        <v>0</v>
      </c>
      <c r="CO95" s="115" t="b">
        <f t="shared" ca="1" si="75"/>
        <v>0</v>
      </c>
      <c r="CP95" s="115" t="b">
        <f ca="1">AND(模拟模式!$O$7="用晦而明",OR(C95="净世破魔击·日",C95="净世破魔击·月",C95="驱夜断愁"),AB95)</f>
        <v>1</v>
      </c>
      <c r="CQ95" s="115" t="b">
        <f ca="1">OR(CP95,AND(CP94,RAND()&lt;模拟模式!$U$23))</f>
        <v>1</v>
      </c>
      <c r="CR95" s="115" t="b">
        <f ca="1">AND(模拟模式!$S$7="日月齐光",OR(C95="幽月轮1",C95="幽月轮2",C95="幽月轮3",CR94),NOT(OR(C95="赤日轮1",C95="赤日轮2",C95="赤日轮3")))</f>
        <v>0</v>
      </c>
      <c r="CS95" s="115" t="b">
        <f ca="1">AND(模拟模式!$S$7="日月齐光",OR(C95="赤日轮1",C95="赤日轮2",C95="赤日轮3",CS94),NOT(OR(C95="幽月轮1",C95="幽月轮2",C95="幽月轮3")))</f>
        <v>0</v>
      </c>
      <c r="CT95" s="115">
        <f t="shared" ca="1" si="116"/>
        <v>27.232500000000002</v>
      </c>
      <c r="CU95" s="115" t="b">
        <f ca="1">AND(模拟模式!$K$10="阴阳往极",CT94=0,RAND()&lt;IF(C95="净世破魔击·月",0.0275*7/3,IF(C95="净世破魔击·日",0.0275*3/3,0.0275*2/3)))</f>
        <v>0</v>
      </c>
      <c r="CV95" s="115">
        <f t="shared" ca="1" si="117"/>
        <v>1.31</v>
      </c>
      <c r="CW95" s="115">
        <f t="shared" ca="1" si="76"/>
        <v>0</v>
      </c>
      <c r="CX95" s="115">
        <f t="shared" ca="1" si="77"/>
        <v>0</v>
      </c>
      <c r="CY95" s="115">
        <f ca="1">MAX(IF($C95="驱夜断愁",IF(模拟模式!$R$7="万念俱寂",6,45),CY94-$F$4),0)</f>
        <v>0</v>
      </c>
      <c r="CZ95" s="115">
        <f t="shared" ca="1" si="78"/>
        <v>0</v>
      </c>
      <c r="DA95" s="115">
        <f ca="1">IF(模拟模式!$N$7="日月同辉",IF(DB94=2,0,MIN(6,IF(AND(OR(C95="赤日轮1",C95="赤日轮2",C95="赤日轮3",C95="幽月轮1",C95="幽月轮2",C95="幽月轮3"),AB95=1),DA94+1,DA94))),0)</f>
        <v>4</v>
      </c>
      <c r="DB95" s="115">
        <f t="shared" ca="1" si="79"/>
        <v>0</v>
      </c>
      <c r="DD95" s="115"/>
      <c r="DE95" s="115"/>
      <c r="DF95" s="115"/>
      <c r="DG95" s="115"/>
      <c r="DH95" s="115"/>
      <c r="DI95" s="115"/>
      <c r="DJ95" s="115"/>
      <c r="DK95" s="115"/>
      <c r="DL95" s="115"/>
      <c r="DM95" s="115"/>
    </row>
    <row r="96" spans="2:117" x14ac:dyDescent="0.2">
      <c r="B96" s="117">
        <f t="shared" si="80"/>
        <v>63.652499999999968</v>
      </c>
      <c r="C96" s="167" t="str">
        <f t="shared" ca="1" si="66"/>
        <v>净世破魔击·日</v>
      </c>
      <c r="D96" s="115">
        <f ca="1">IF(C96="赤日轮1",1,IF(C96="赤日轮2",2,IF(C96="赤日轮3",3,IF(C96="幽月轮1",4,IF(C96="幽月轮2",5,IF(C96="幽月轮3",6,IF(C96="烈日斩",7,IF(C96="银月斩",8,IF(C96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96="净世破魔击·月",17,IF(C96="驱夜断愁",18,0)))))))))))</f>
        <v>9</v>
      </c>
      <c r="E96" s="115">
        <f ca="1">IF(AND(CU96,OR(C96="幽月轮1",C96="幽月轮2",C96="幽月轮3",C96="银月斩",C96="驱夜断愁",C96="净世破魔击·月")),100,MIN(IF(OR(CN96,BE96),0,IF(OR($C96="赤日轮1",$C96="赤日轮2",$C96="赤日轮3"),E95+20+IF(模拟模式!$I$7="日月凌天",4,0)+IF(CR95,20,0),IF($C96="烈日斩",E95+40,IF($C96="驱夜断愁",IF(模拟模式!$R$7="万念俱寂",E95+20,E95+60),IF($C96="净世破魔击·月",IF(OR(DB95&gt;0,CV95&gt;0),100,IF(模拟模式!$M$7="辉耀红尘",E95+20,E95)),IF($C96="净世破魔击·日",E95-100,E95)))))),100))</f>
        <v>0</v>
      </c>
      <c r="F96" s="115">
        <f ca="1">IF(AND(CU96,OR(C96="赤日轮1",C96="赤日轮2",C96="赤日轮3",C96="烈日斩",C96="净世破魔击·日")),100,MIN(IF(CO96,0,IF(OR($C96="幽月轮1",$C96="幽月轮2",$C96="幽月轮3"),F95+20+IF(模拟模式!$I$7="日月凌天",4,0)+IF(CS95,20,0),IF($C96="银月斩",F95+40+IF(模拟模式!$X$12=1,5,0),IF($C96="驱夜断愁",IF(模拟模式!$R$7="万念俱寂",F95+20,F95+60),IF($C96="净世破魔击·月",IF(模拟模式!$M$7="辉耀红尘",F95-80,F95-100),IF(AND(C96="净世破魔击·日",OR(DB95&gt;0,CV95&gt;0)),100,F95)))))),100))</f>
        <v>100</v>
      </c>
      <c r="G96" s="117">
        <f ca="1">('模拟-全程加成'!$E$3+'模拟-全程加成'!$E$4+'模拟-全程加成'!$E$5+('模拟-全程加成'!$C$6-'模拟-全程加成'!$C$3)*系数!$B$9+BS96*23)*(1+'模拟-全程加成'!$F$4+'模拟-全程加成'!$F$5+BJ96*10%+BM96*20%+BP96*4%+CG96*30%)+$F$7*系数!$B$12</f>
        <v>21493.829400000002</v>
      </c>
      <c r="H96" s="45">
        <f ca="1">'模拟-全程加成'!$H$3+'模拟-全程加成'!$H$4+'模拟-全程加成'!$H$5+('模拟-全程加成'!$G$4+'模拟-全程加成'!$G$5+('模拟-全程加成'!$C$6-'模拟-全程加成'!$C$3)*系数!$B$13)/系数!$B$3+LOOKUP(D96,'模拟-单技能数据'!$A$2:$A$19,'模拟-单技能数据'!$K$2:$K$19)+BG96*10%+IF(BV96&gt;0,378,0)</f>
        <v>0.54185145527300216</v>
      </c>
      <c r="I96" s="45">
        <f ca="1">'模拟-全程加成'!$J$3+'模拟-全程加成'!$J$4+'模拟-全程加成'!$J$5+('模拟-全程加成'!$I$4+'模拟-全程加成'!$I$5)/系数!$B$4+LOOKUP(D96,'模拟-单技能数据'!$A$2:$A$19,'模拟-单技能数据'!$L$2:$L$19)+BG96*10%</f>
        <v>2.162482885499879</v>
      </c>
      <c r="J96" s="45">
        <f ca="1">(('模拟-全程加成'!$K$3+'模拟-全程加成'!$K$4+'模拟-全程加成'!$K$5+('模拟-全程加成'!$C$6-'模拟-全程加成'!$C$3)*系数!$B$10+IF(BV96&gt;0,882,0)+IF(BY96&gt;0,1831,0))*(1+'模拟-全程加成'!$L$4+'模拟-全程加成'!$L$5+CC96*20%))/系数!$B$5</f>
        <v>0.69723220422048726</v>
      </c>
      <c r="K96" s="119">
        <f ca="1">LOOKUP(D96,'模拟-单技能数据'!$A$2:$A$19,'模拟-单技能数据'!$J$2:$J$19)+IF(CM96,60%,0)+IF(DB95-DB96&gt;0,30%,0)+IF(OR(AND(OR(C96="赤日轮1",C96="赤日轮2",C96="赤日轮3"),CR96),AND(OR(C96="幽月轮1",C96="幽月轮2",C96="幽月轮3"),CS96)),35%,0)+CJ96</f>
        <v>0.2</v>
      </c>
      <c r="L96" s="119">
        <f ca="1">IF(AND(C96="烈日斩",模拟模式!$X$11=1),10%,0)+IF(AND(C96="驱夜断愁",AB96=1),30%,0)</f>
        <v>0</v>
      </c>
      <c r="M96" s="45">
        <f t="shared" ca="1" si="81"/>
        <v>0.54185145527300216</v>
      </c>
      <c r="N96" s="45">
        <f t="shared" ca="1" si="82"/>
        <v>0.40424854472699789</v>
      </c>
      <c r="O96" s="46">
        <f t="shared" ca="1" si="83"/>
        <v>8.9614162863604019E-2</v>
      </c>
      <c r="P96" s="46" t="str">
        <f t="shared" ca="1" si="84"/>
        <v>会</v>
      </c>
      <c r="Q96" s="45">
        <f t="shared" ca="1" si="85"/>
        <v>2.162482885499879</v>
      </c>
      <c r="R96" s="117">
        <f ca="1">模拟模式!$E$20*(1-IF(模拟模式!$J$19="有",0.15,0))*(1-IF(模拟模式!$K$19="有",0.3,0)-IF(CQ96,0.5,0))</f>
        <v>843.02999999999975</v>
      </c>
      <c r="S96" s="45">
        <f ca="1">R96/(R96+(185*模拟模式!$E$22-16800)*4.08224)</f>
        <v>8.389626085980037E-2</v>
      </c>
      <c r="T96" s="45" t="str">
        <f ca="1">LOOKUP(D96,'模拟-单技能数据'!$A$2:$A$19,'模拟-单技能数据'!$H$2:$H$19)</f>
        <v>阳</v>
      </c>
      <c r="U96" s="119">
        <f t="shared" ca="1" si="86"/>
        <v>0.2</v>
      </c>
      <c r="V96" s="47">
        <f ca="1">(1+L96)*(LOOKUP(D96,'模拟-单技能数据'!$A$2:$A$19,'模拟-单技能数据'!$D$2:$D$19)+G96*LOOKUP(D96,'模拟-单技能数据'!$A$2:$A$19,'模拟-单技能数据'!$F$2:$F$19))*(1+J96)*(1+K96)*(1-S96)*(1+U96)*Q96*LOOKUP(D96,'模拟-单技能数据'!$A$2:$A$19,'模拟-单技能数据'!$I$2:$I$20)</f>
        <v>136345.07228833123</v>
      </c>
      <c r="W96" s="47">
        <f ca="1">LOOKUP(D96,'模拟-单技能数据'!$A$2:$A$19,'模拟-单技能数据'!$G$2:$G$19)*$I$10</f>
        <v>723.0212870940959</v>
      </c>
      <c r="X96" s="47">
        <f t="shared" ca="1" si="87"/>
        <v>8840.2341748571616</v>
      </c>
      <c r="Y96" s="47">
        <f t="shared" ca="1" si="88"/>
        <v>145908.32775028248</v>
      </c>
      <c r="Z96" s="49">
        <f t="shared" ca="1" si="89"/>
        <v>7169725.2769305529</v>
      </c>
      <c r="AA96" s="97">
        <f t="shared" ca="1" si="90"/>
        <v>112638.54957669466</v>
      </c>
      <c r="AB96" s="115">
        <f ca="1">IF(OR(C96="赤日轮1",C96="赤日轮2",C96="赤日轮3"),IF(RAND()&lt;模拟模式!$Y$17,1,0),IF(OR(C96="幽月轮1",C96="幽月轮2",C96="幽月轮3"),IF(RAND()&lt;模拟模式!$Y$18,1,0),IF(C96="烈日斩",IF(RAND()&lt;模拟模式!$Y$19,1,0),IF(C96="银月斩",IF(RAND()&lt;模拟模式!$Y$20,1,0),IF(C96="驱夜断愁",IF(RAND()&lt;模拟模式!$Y$21,1,0),IF(C96="净世破魔击·日",IF(RAND()&lt;模拟模式!$Y$22,1,0),IF(C96="净世破魔击·月",IF(RAND()&lt;模拟模式!$Y$23,1,0),0)))))))</f>
        <v>1</v>
      </c>
      <c r="AC96" s="115" t="b">
        <f t="shared" ca="1" si="67"/>
        <v>0</v>
      </c>
      <c r="AD96" s="115" t="b">
        <f t="shared" ca="1" si="118"/>
        <v>0</v>
      </c>
      <c r="AE96" s="115">
        <f t="shared" ca="1" si="119"/>
        <v>1</v>
      </c>
      <c r="AF96" s="47">
        <f ca="1">IF(AC96,('模拟-单技能数据'!$D$20+G96*'模拟-单技能数据'!$F$20)*(1+J96)*(1+'模拟-单技能数据'!$J$20)*(1+U96),0)</f>
        <v>0</v>
      </c>
      <c r="AG96" s="61">
        <f t="shared" ca="1" si="91"/>
        <v>0.64185145527300214</v>
      </c>
      <c r="AH96" s="61">
        <f t="shared" ca="1" si="92"/>
        <v>2.2624828854998791</v>
      </c>
      <c r="AI96" s="62">
        <f t="shared" ca="1" si="93"/>
        <v>0.36297666811249152</v>
      </c>
      <c r="AJ96" s="47">
        <f ca="1">IF(AD96,IF(AI96&lt;$F$10,0,IF(AI96&lt;$F$10+$F$11,0.25,IF(AI96&lt;$F$10+$F$11+AG96,AH96,1)))*IF(AF96&gt;0,AF96,IF(AF95&gt;0,AF95,IF(AF94&gt;0,AF94,IF(AF93&gt;0,AF93,IF(AF92&gt;0,AF92,IF(AF91&gt;0,AF91,IF(AF90&gt;0,AF90,IF(AF89&gt;0,AF89,IF(AF88&gt;0,AF88,IF(AF86&gt;0,AF86,IF(AF85&gt;0,AF85,IF(AF84&gt;0,AF84,0)))))))))))),0)*(1-$S96)*'模拟-单技能数据'!$I$20</f>
        <v>0</v>
      </c>
      <c r="AK96" s="115" t="b">
        <f t="shared" ca="1" si="68"/>
        <v>1</v>
      </c>
      <c r="AL96" s="115" t="b">
        <f t="shared" ca="1" si="120"/>
        <v>0</v>
      </c>
      <c r="AM96" s="115">
        <f t="shared" ca="1" si="121"/>
        <v>6</v>
      </c>
      <c r="AN96" s="47">
        <f ca="1">IF(AK96,('模拟-单技能数据'!$D$21+G96*'模拟-单技能数据'!$F$21)*(1+J96)*(1+'模拟-单技能数据'!$J$21)*(1+U96),0)</f>
        <v>12670.936004857545</v>
      </c>
      <c r="AO96" s="61">
        <f ca="1">IF(AN96&gt;0,M96-'模拟-单技能数据'!$K$10,AO95)</f>
        <v>0.42185145527300216</v>
      </c>
      <c r="AP96" s="61">
        <f ca="1">IF(AN96&gt;0,I96-'模拟-单技能数据'!$L$10,AP95)</f>
        <v>2.162482885499879</v>
      </c>
      <c r="AQ96" s="63">
        <f t="shared" ca="1" si="94"/>
        <v>0.85212484757630158</v>
      </c>
      <c r="AR96" s="64">
        <f ca="1">IF(AL96,IF(AQ96&lt;$F$10,0,IF(AQ96&lt;$F$10+$F$11,0.25,IF(AQ96&lt;$F$10+$F$11+AO96,AP96,1)))*IF(AN96&gt;0,AN96,IF(AN95&gt;0,AN95,IF(AN94&gt;0,AN94,IF(AN93&gt;0,AN93,IF(AN92&gt;0,AN92,IF(AN91&gt;0,AN91,IF(AN90&gt;0,AN90,IF(AN89&gt;0,AN89,IF(AN88&gt;0,AN88,IF(AN86&gt;0,AN86,IF(AN85&gt;0,AN85,IF(AN84&gt;0,AN84,0)))))))))))),0)*(1-$S96)*'模拟-单技能数据'!$I$21</f>
        <v>0</v>
      </c>
      <c r="AS96" s="61">
        <f ca="1">IF(OR(C96="净世破魔击·日",C96="净世破魔击·月"),M96-'模拟-单技能数据'!$K$10,0)</f>
        <v>0.42185145527300216</v>
      </c>
      <c r="AT96" s="61">
        <f ca="1">IF(OR(C96="净世破魔击·日",C96="净世破魔击·月"),I96-'模拟-单技能数据'!$L$10,0)</f>
        <v>2.162482885499879</v>
      </c>
      <c r="AU96" s="62">
        <f t="shared" ca="1" si="95"/>
        <v>0.59436099557680588</v>
      </c>
      <c r="AV96" s="64">
        <f ca="1">IF(AS96&gt;0,('模拟-单技能数据'!$D$22+G96*'模拟-单技能数据'!$F$22)*(1+J96)*(1-S96)*IF(AU96&lt;$F$10,0,IF(AU96&lt;$F$10+$F$11,0.25,IF(AU96&lt;$F$10+$F$11+AS96,AT96,1)))*(1+U96),0)*'模拟-单技能数据'!$I$22</f>
        <v>8840.2341748571616</v>
      </c>
      <c r="AW96" s="108">
        <f t="shared" ca="1" si="96"/>
        <v>13.542500000000004</v>
      </c>
      <c r="AX96" s="108" t="b">
        <f ca="1">AND(模拟模式!$P$10="有",AW95=0,RAND()&lt;IF(C96="净世破魔击·月",0.1*8/3,IF(C96="净世破魔击·日",0.1*4/3,0.1*2/3)))</f>
        <v>0</v>
      </c>
      <c r="AY96" s="47">
        <f ca="1">IF(AX96,(18+G96*0.722)*(1+J96)*(1-S96)*(1+$I$4)*IF(P96="会",'模拟-全程加成'!$J$3+'模拟-全程加成'!$J$4+'模拟-全程加成'!$J$5+('模拟-全程加成'!$I$4+'模拟-全程加成'!$I$5)/系数!$B$4+BG96*10%,IF(P96="命",1,IF(P96="识",0.25,0))),0)</f>
        <v>0</v>
      </c>
      <c r="AZ96" s="108">
        <f t="shared" si="97"/>
        <v>17.232500000000002</v>
      </c>
      <c r="BA96" s="108" t="b">
        <f>AND(模拟模式!$Q$10="有",AZ95=0)</f>
        <v>0</v>
      </c>
      <c r="BB96" s="140">
        <f>IF(BA96,(0+G96*0.287)*(1+J96)*(1-S96)*(1+$I$4)*IF(P96="会",'模拟-全程加成'!$J$3+'模拟-全程加成'!$J$4+'模拟-全程加成'!$J$5+('模拟-全程加成'!$I$4+'模拟-全程加成'!$I$5)/系数!$B$4+BG96*10%,IF(P96="命",1,IF(P96="识",0.25,0))),0)</f>
        <v>0</v>
      </c>
      <c r="BC96" s="115" t="b">
        <f ca="1">AND(模拟模式!$R$7="伏明众生",E96=60,F96=20,DA96&lt;5,CZ95&lt;$F$4)</f>
        <v>0</v>
      </c>
      <c r="BD96" s="115">
        <f t="shared" ca="1" si="69"/>
        <v>0</v>
      </c>
      <c r="BE96" s="115" t="b">
        <f t="shared" ca="1" si="70"/>
        <v>0</v>
      </c>
      <c r="BF96" s="47">
        <f ca="1">IF(BC96,4*('模拟-单技能数据'!$D$24+G96*'模拟-单技能数据'!$F$24)*(1+J96)*(1+'模拟-单技能数据'!$J$24)*(1-S96)*(1+$I$3)*(('模拟-全程加成'!$J$3+'模拟-全程加成'!$J$4+'模拟-全程加成'!$J$5+('模拟-全程加成'!$I$4+'模拟-全程加成'!$I$5)/系数!$B$4+BG96*10%)*('模拟-全程加成'!$J$3+'模拟-全程加成'!$J$4+'模拟-全程加成'!$J$5+('模拟-全程加成'!$I$4+'模拟-全程加成'!$I$5)/系数!$B$4+BG96*10%)+(1-('模拟-全程加成'!$J$3+'模拟-全程加成'!$J$4+'模拟-全程加成'!$J$5+('模拟-全程加成'!$I$4+'模拟-全程加成'!$I$5)/系数!$B$4+BG96*10%)-$F$10-$F$11)+F82*0.25),0)*'模拟-单技能数据'!$I$24</f>
        <v>0</v>
      </c>
      <c r="BG96" s="115" t="b">
        <f ca="1">OR(AND(OR(C96="烈日斩",C96="银月斩"),模拟模式!$I$7="净身明礼"),AND(C96="净世破魔击·日",模拟模式!$J$7="洞若观火"),AND(C97="净世破魔击·月",模拟模式!$J$7="洞若观火"),AB96=1)</f>
        <v>1</v>
      </c>
      <c r="BH96" s="115" t="b">
        <f t="shared" ca="1" si="98"/>
        <v>0</v>
      </c>
      <c r="BI96" s="115">
        <f t="shared" ca="1" si="71"/>
        <v>3.2324999999999995</v>
      </c>
      <c r="BJ96" s="115" t="b">
        <f t="shared" ca="1" si="99"/>
        <v>1</v>
      </c>
      <c r="BK96" s="115" t="b">
        <f ca="1">AND(C96="驱夜断愁",模拟模式!$P$7="天地诛戮")</f>
        <v>0</v>
      </c>
      <c r="BL96" s="57">
        <f t="shared" ca="1" si="72"/>
        <v>11.697500000000005</v>
      </c>
      <c r="BM96" s="115" t="b">
        <f t="shared" ca="1" si="100"/>
        <v>1</v>
      </c>
      <c r="BN96" s="115" t="b">
        <f ca="1">AND(OR(C96="赤日轮1",C96="赤日轮2",C96="赤日轮3",C96="幽月轮1",C96="幽月轮2",C96="幽月轮3"),AB96=1,模拟模式!$L$7="明光恒照")</f>
        <v>0</v>
      </c>
      <c r="BO96" s="117">
        <f t="shared" ca="1" si="73"/>
        <v>26.310000000000002</v>
      </c>
      <c r="BP96" s="115">
        <f t="shared" ca="1" si="101"/>
        <v>6</v>
      </c>
      <c r="BQ96" s="115" t="b">
        <f>模拟模式!$K$10="2600·水"</f>
        <v>0</v>
      </c>
      <c r="BR96" s="117">
        <f t="shared" si="102"/>
        <v>0</v>
      </c>
      <c r="BS96" s="115">
        <f t="shared" si="103"/>
        <v>0</v>
      </c>
      <c r="BT96" s="115">
        <f t="shared" ca="1" si="104"/>
        <v>0</v>
      </c>
      <c r="BU96" s="115" t="b">
        <f ca="1">AND(模拟模式!$K$10="2300·雷",BT95=0,RAND()&lt;IF(C96="净世破魔击·月",5*0.05*2/3,IF(C96="净世破魔击·日",3*0.05*2/3,0.05*2*2/3)))</f>
        <v>0</v>
      </c>
      <c r="BV96" s="115">
        <f t="shared" ca="1" si="105"/>
        <v>0</v>
      </c>
      <c r="BW96" s="115">
        <f t="shared" ca="1" si="106"/>
        <v>121.88249999999924</v>
      </c>
      <c r="BX96" s="164" t="b">
        <f t="shared" ca="1" si="107"/>
        <v>0</v>
      </c>
      <c r="BY96" s="115">
        <f t="shared" ca="1" si="108"/>
        <v>0</v>
      </c>
      <c r="BZ96" s="115">
        <f>IF(OR(模拟模式!$P$16="10人团",模拟模式!$P$16="25人团"),IF(B96/30&gt;CA95,1,0),0)</f>
        <v>0</v>
      </c>
      <c r="CA96" s="115">
        <f t="shared" si="74"/>
        <v>0</v>
      </c>
      <c r="CB96" s="115">
        <f ca="1">IF(BZ96=1,IF(模拟模式!$P$16="10人团",15,0)+IF(模拟模式!$P$16="25人团",IF(RAND()&lt;0.6,15,0)),MAX(0,CB95-$F$4))</f>
        <v>0</v>
      </c>
      <c r="CC96" s="115" t="b">
        <f t="shared" ca="1" si="109"/>
        <v>0</v>
      </c>
      <c r="CD96" s="115">
        <f>IF(模拟模式!$Q$16="1个",IF(B96/40&gt;CE95,1,0),0)</f>
        <v>0</v>
      </c>
      <c r="CE96" s="115">
        <f t="shared" si="110"/>
        <v>0</v>
      </c>
      <c r="CF96" s="115">
        <f>IF(OR(CD96=1,模拟模式!$Q$16="2个"),20,MAX(0,CF95-$F$4))</f>
        <v>0</v>
      </c>
      <c r="CG96" s="115" t="b">
        <f t="shared" si="111"/>
        <v>0</v>
      </c>
      <c r="CH96" s="115">
        <f t="shared" ca="1" si="112"/>
        <v>1.4025000000000118</v>
      </c>
      <c r="CI96" s="115" t="b">
        <f t="shared" ca="1" si="113"/>
        <v>0</v>
      </c>
      <c r="CJ96" s="119">
        <f t="shared" ca="1" si="114"/>
        <v>0</v>
      </c>
      <c r="CK96" s="115">
        <f t="shared" ca="1" si="115"/>
        <v>0</v>
      </c>
      <c r="CL96" s="115" t="b">
        <f ca="1">AND(模拟模式!$S$7="驱夷逐法",OR(AND(C96="净世破魔击·月",E95&gt;59),AND(C96="净世破魔击·日",F95&gt;59)))</f>
        <v>0</v>
      </c>
      <c r="CM96" s="115" t="b">
        <f ca="1">OR(CL96,AND(C96="净世破魔击·日",CL95,RAND()&lt;模拟模式!$U$23))</f>
        <v>0</v>
      </c>
      <c r="CN96" s="115" t="b">
        <f ca="1">IF(模拟模式!$M$7="辉耀红尘",AND(C96="净世破魔击·月",CL96,CV96=0,E95&lt;80),AND(C96="净世破魔击·月",CL96,E95&lt;100))</f>
        <v>0</v>
      </c>
      <c r="CO96" s="115" t="b">
        <f t="shared" ca="1" si="75"/>
        <v>0</v>
      </c>
      <c r="CP96" s="115" t="b">
        <f ca="1">AND(模拟模式!$O$7="用晦而明",OR(C96="净世破魔击·日",C96="净世破魔击·月",C96="驱夜断愁"),AB96)</f>
        <v>1</v>
      </c>
      <c r="CQ96" s="115" t="b">
        <f ca="1">OR(CP96,AND(CP95,RAND()&lt;模拟模式!$U$23))</f>
        <v>1</v>
      </c>
      <c r="CR96" s="115" t="b">
        <f ca="1">AND(模拟模式!$S$7="日月齐光",OR(C96="幽月轮1",C96="幽月轮2",C96="幽月轮3",CR95),NOT(OR(C96="赤日轮1",C96="赤日轮2",C96="赤日轮3")))</f>
        <v>0</v>
      </c>
      <c r="CS96" s="115" t="b">
        <f ca="1">AND(模拟模式!$S$7="日月齐光",OR(C96="赤日轮1",C96="赤日轮2",C96="赤日轮3",CS95),NOT(OR(C96="幽月轮1",C96="幽月轮2",C96="幽月轮3")))</f>
        <v>0</v>
      </c>
      <c r="CT96" s="115">
        <f t="shared" ca="1" si="116"/>
        <v>26.310000000000002</v>
      </c>
      <c r="CU96" s="115" t="b">
        <f ca="1">AND(模拟模式!$K$10="阴阳往极",CT95=0,RAND()&lt;IF(C96="净世破魔击·月",0.0275*7/3,IF(C96="净世破魔击·日",0.0275*3/3,0.0275*2/3)))</f>
        <v>0</v>
      </c>
      <c r="CV96" s="115">
        <f t="shared" ca="1" si="117"/>
        <v>0.38750000000000007</v>
      </c>
      <c r="CW96" s="115">
        <f t="shared" ca="1" si="76"/>
        <v>0</v>
      </c>
      <c r="CX96" s="115">
        <f t="shared" ca="1" si="77"/>
        <v>0</v>
      </c>
      <c r="CY96" s="115">
        <f ca="1">MAX(IF($C96="驱夜断愁",IF(模拟模式!$R$7="万念俱寂",6,45),CY95-$F$4),0)</f>
        <v>0</v>
      </c>
      <c r="CZ96" s="115">
        <f t="shared" ca="1" si="78"/>
        <v>0</v>
      </c>
      <c r="DA96" s="115">
        <f ca="1">IF(模拟模式!$N$7="日月同辉",IF(DB95=2,0,MIN(6,IF(AND(OR(C96="赤日轮1",C96="赤日轮2",C96="赤日轮3",C96="幽月轮1",C96="幽月轮2",C96="幽月轮3"),AB96=1),DA95+1,DA95))),0)</f>
        <v>4</v>
      </c>
      <c r="DB96" s="115">
        <f t="shared" ca="1" si="79"/>
        <v>0</v>
      </c>
      <c r="DD96" s="115"/>
      <c r="DE96" s="115"/>
      <c r="DF96" s="115"/>
      <c r="DG96" s="115"/>
      <c r="DH96" s="115"/>
      <c r="DI96" s="115"/>
      <c r="DJ96" s="115"/>
      <c r="DK96" s="115"/>
      <c r="DL96" s="115"/>
      <c r="DM96" s="115"/>
    </row>
    <row r="97" spans="2:117" x14ac:dyDescent="0.2">
      <c r="B97" s="117">
        <f t="shared" si="80"/>
        <v>64.574999999999974</v>
      </c>
      <c r="C97" s="167" t="str">
        <f t="shared" ca="1" si="66"/>
        <v>净世破魔击·月</v>
      </c>
      <c r="D97" s="115">
        <f ca="1">IF(C97="赤日轮1",1,IF(C97="赤日轮2",2,IF(C97="赤日轮3",3,IF(C97="幽月轮1",4,IF(C97="幽月轮2",5,IF(C97="幽月轮3",6,IF(C97="烈日斩",7,IF(C97="银月斩",8,IF(C97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97="净世破魔击·月",17,IF(C97="驱夜断愁",18,0)))))))))))</f>
        <v>17</v>
      </c>
      <c r="E97" s="115">
        <f ca="1">IF(AND(CU97,OR(C97="幽月轮1",C97="幽月轮2",C97="幽月轮3",C97="银月斩",C97="驱夜断愁",C97="净世破魔击·月")),100,MIN(IF(OR(CN97,BE97),0,IF(OR($C97="赤日轮1",$C97="赤日轮2",$C97="赤日轮3"),E96+20+IF(模拟模式!$I$7="日月凌天",4,0)+IF(CR96,20,0),IF($C97="烈日斩",E96+40,IF($C97="驱夜断愁",IF(模拟模式!$R$7="万念俱寂",E96+20,E96+60),IF($C97="净世破魔击·月",IF(OR(DB96&gt;0,CV96&gt;0),100,IF(模拟模式!$M$7="辉耀红尘",E96+20,E96)),IF($C97="净世破魔击·日",E96-100,E96)))))),100))</f>
        <v>100</v>
      </c>
      <c r="F97" s="115">
        <f ca="1">IF(AND(CU97,OR(C97="赤日轮1",C97="赤日轮2",C97="赤日轮3",C97="烈日斩",C97="净世破魔击·日")),100,MIN(IF(CO97,0,IF(OR($C97="幽月轮1",$C97="幽月轮2",$C97="幽月轮3"),F96+20+IF(模拟模式!$I$7="日月凌天",4,0)+IF(CS96,20,0),IF($C97="银月斩",F96+40+IF(模拟模式!$X$12=1,5,0),IF($C97="驱夜断愁",IF(模拟模式!$R$7="万念俱寂",F96+20,F96+60),IF($C97="净世破魔击·月",IF(模拟模式!$M$7="辉耀红尘",F96-80,F96-100),IF(AND(C97="净世破魔击·日",OR(DB96&gt;0,CV96&gt;0)),100,F96)))))),100))</f>
        <v>20</v>
      </c>
      <c r="G97" s="117">
        <f ca="1">('模拟-全程加成'!$E$3+'模拟-全程加成'!$E$4+'模拟-全程加成'!$E$5+('模拟-全程加成'!$C$6-'模拟-全程加成'!$C$3)*系数!$B$9+BS97*23)*(1+'模拟-全程加成'!$F$4+'模拟-全程加成'!$F$5+BJ97*10%+BM97*20%+BP97*4%+CG97*30%)+$F$7*系数!$B$12</f>
        <v>21493.829400000002</v>
      </c>
      <c r="H97" s="45">
        <f ca="1">'模拟-全程加成'!$H$3+'模拟-全程加成'!$H$4+'模拟-全程加成'!$H$5+('模拟-全程加成'!$G$4+'模拟-全程加成'!$G$5+('模拟-全程加成'!$C$6-'模拟-全程加成'!$C$3)*系数!$B$13)/系数!$B$3+LOOKUP(D97,'模拟-单技能数据'!$A$2:$A$19,'模拟-单技能数据'!$K$2:$K$19)+BG97*10%+IF(BV97&gt;0,378,0)</f>
        <v>0.54185145527300216</v>
      </c>
      <c r="I97" s="45">
        <f ca="1">'模拟-全程加成'!$J$3+'模拟-全程加成'!$J$4+'模拟-全程加成'!$J$5+('模拟-全程加成'!$I$4+'模拟-全程加成'!$I$5)/系数!$B$4+LOOKUP(D97,'模拟-单技能数据'!$A$2:$A$19,'模拟-单技能数据'!$L$2:$L$19)+BG97*10%</f>
        <v>2.162482885499879</v>
      </c>
      <c r="J97" s="45">
        <f ca="1">(('模拟-全程加成'!$K$3+'模拟-全程加成'!$K$4+'模拟-全程加成'!$K$5+('模拟-全程加成'!$C$6-'模拟-全程加成'!$C$3)*系数!$B$10+IF(BV97&gt;0,882,0)+IF(BY97&gt;0,1831,0))*(1+'模拟-全程加成'!$L$4+'模拟-全程加成'!$L$5+CC97*20%))/系数!$B$5</f>
        <v>0.69723220422048726</v>
      </c>
      <c r="K97" s="119">
        <f ca="1">LOOKUP(D97,'模拟-单技能数据'!$A$2:$A$19,'模拟-单技能数据'!$J$2:$J$19)+IF(CM97,60%,0)+IF(DB96-DB97&gt;0,30%,0)+IF(OR(AND(OR(C97="赤日轮1",C97="赤日轮2",C97="赤日轮3"),CR97),AND(OR(C97="幽月轮1",C97="幽月轮2",C97="幽月轮3"),CS97)),35%,0)+CJ97</f>
        <v>0.2</v>
      </c>
      <c r="L97" s="119">
        <f ca="1">IF(AND(C97="烈日斩",模拟模式!$X$11=1),10%,0)+IF(AND(C97="驱夜断愁",AB97=1),30%,0)</f>
        <v>0</v>
      </c>
      <c r="M97" s="45">
        <f t="shared" ca="1" si="81"/>
        <v>0.54185145527300216</v>
      </c>
      <c r="N97" s="45">
        <f t="shared" ca="1" si="82"/>
        <v>0.40424854472699789</v>
      </c>
      <c r="O97" s="46">
        <f t="shared" ca="1" si="83"/>
        <v>0.94782239309289074</v>
      </c>
      <c r="P97" s="46" t="str">
        <f t="shared" ca="1" si="84"/>
        <v>命</v>
      </c>
      <c r="Q97" s="45">
        <f t="shared" ca="1" si="85"/>
        <v>1</v>
      </c>
      <c r="R97" s="117">
        <f ca="1">模拟模式!$E$20*(1-IF(模拟模式!$J$19="有",0.15,0))*(1-IF(模拟模式!$K$19="有",0.3,0)-IF(CQ97,0.5,0))</f>
        <v>843.02999999999975</v>
      </c>
      <c r="S97" s="45">
        <f ca="1">R97/(R97+(185*模拟模式!$E$22-16800)*4.08224)</f>
        <v>8.389626085980037E-2</v>
      </c>
      <c r="T97" s="45" t="str">
        <f ca="1">LOOKUP(D97,'模拟-单技能数据'!$A$2:$A$19,'模拟-单技能数据'!$H$2:$H$19)</f>
        <v>阴</v>
      </c>
      <c r="U97" s="119">
        <f t="shared" ca="1" si="86"/>
        <v>0.08</v>
      </c>
      <c r="V97" s="47">
        <f ca="1">(1+L97)*(LOOKUP(D97,'模拟-单技能数据'!$A$2:$A$19,'模拟-单技能数据'!$D$2:$D$19)+G97*LOOKUP(D97,'模拟-单技能数据'!$A$2:$A$19,'模拟-单技能数据'!$F$2:$F$19))*(1+J97)*(1+K97)*(1-S97)*(1+U97)*Q97*LOOKUP(D97,'模拟-单技能数据'!$A$2:$A$19,'模拟-单技能数据'!$I$2:$I$20)</f>
        <v>56275.195622899046</v>
      </c>
      <c r="W97" s="47">
        <f ca="1">LOOKUP(D97,'模拟-单技能数据'!$A$2:$A$19,'模拟-单技能数据'!$G$2:$G$19)*$I$10</f>
        <v>361.51064354704795</v>
      </c>
      <c r="X97" s="47">
        <f t="shared" ca="1" si="87"/>
        <v>20626.7246937569</v>
      </c>
      <c r="Y97" s="47">
        <f t="shared" ca="1" si="88"/>
        <v>77263.430960202997</v>
      </c>
      <c r="Z97" s="49">
        <f t="shared" ca="1" si="89"/>
        <v>7246988.7078907555</v>
      </c>
      <c r="AA97" s="97">
        <f t="shared" ca="1" si="90"/>
        <v>112225.91882138225</v>
      </c>
      <c r="AB97" s="115">
        <f ca="1">IF(OR(C97="赤日轮1",C97="赤日轮2",C97="赤日轮3"),IF(RAND()&lt;模拟模式!$Y$17,1,0),IF(OR(C97="幽月轮1",C97="幽月轮2",C97="幽月轮3"),IF(RAND()&lt;模拟模式!$Y$18,1,0),IF(C97="烈日斩",IF(RAND()&lt;模拟模式!$Y$19,1,0),IF(C97="银月斩",IF(RAND()&lt;模拟模式!$Y$20,1,0),IF(C97="驱夜断愁",IF(RAND()&lt;模拟模式!$Y$21,1,0),IF(C97="净世破魔击·日",IF(RAND()&lt;模拟模式!$Y$22,1,0),IF(C97="净世破魔击·月",IF(RAND()&lt;模拟模式!$Y$23,1,0),0)))))))</f>
        <v>1</v>
      </c>
      <c r="AC97" s="115" t="b">
        <f t="shared" ca="1" si="67"/>
        <v>0</v>
      </c>
      <c r="AD97" s="115" t="b">
        <f t="shared" ca="1" si="118"/>
        <v>1</v>
      </c>
      <c r="AE97" s="115">
        <f t="shared" ca="1" si="119"/>
        <v>0</v>
      </c>
      <c r="AF97" s="47">
        <f ca="1">IF(AC97,('模拟-单技能数据'!$D$20+G97*'模拟-单技能数据'!$F$20)*(1+J97)*(1+'模拟-单技能数据'!$J$20)*(1+U97),0)</f>
        <v>0</v>
      </c>
      <c r="AG97" s="61">
        <f t="shared" ca="1" si="91"/>
        <v>0.64185145527300214</v>
      </c>
      <c r="AH97" s="61">
        <f t="shared" ca="1" si="92"/>
        <v>2.2624828854998791</v>
      </c>
      <c r="AI97" s="62">
        <f t="shared" ca="1" si="93"/>
        <v>3.1586651801746246E-2</v>
      </c>
      <c r="AJ97" s="47">
        <f ca="1">IF(AD97,IF(AI97&lt;$F$10,0,IF(AI97&lt;$F$10+$F$11,0.25,IF(AI97&lt;$F$10+$F$11+AG97,AH97,1)))*IF(AF97&gt;0,AF97,IF(AF96&gt;0,AF96,IF(AF95&gt;0,AF95,IF(AF94&gt;0,AF94,IF(AF93&gt;0,AF93,IF(AF92&gt;0,AF92,IF(AF91&gt;0,AF91,IF(AF90&gt;0,AF90,IF(AF89&gt;0,AF89,IF(AF87&gt;0,AF87,IF(AF86&gt;0,AF86,IF(AF85&gt;0,AF85,0)))))))))))),0)*(1-$S97)*'模拟-单技能数据'!$I$20</f>
        <v>1062.6220839292735</v>
      </c>
      <c r="AK97" s="115" t="b">
        <f t="shared" ca="1" si="68"/>
        <v>0</v>
      </c>
      <c r="AL97" s="115" t="b">
        <f t="shared" ca="1" si="120"/>
        <v>1</v>
      </c>
      <c r="AM97" s="115">
        <f t="shared" ca="1" si="121"/>
        <v>5</v>
      </c>
      <c r="AN97" s="47">
        <f ca="1">IF(AK97,('模拟-单技能数据'!$D$21+G97*'模拟-单技能数据'!$F$21)*(1+J97)*(1+'模拟-单技能数据'!$J$21)*(1+U97),0)</f>
        <v>0</v>
      </c>
      <c r="AO97" s="61">
        <f ca="1">IF(AN97&gt;0,M97-'模拟-单技能数据'!$K$10,AO96)</f>
        <v>0.42185145527300216</v>
      </c>
      <c r="AP97" s="61">
        <f ca="1">IF(AN97&gt;0,I97-'模拟-单技能数据'!$L$10,AP96)</f>
        <v>2.162482885499879</v>
      </c>
      <c r="AQ97" s="63">
        <f t="shared" ca="1" si="94"/>
        <v>0.59387810872652413</v>
      </c>
      <c r="AR97" s="64">
        <f ca="1">IF(AL97,IF(AQ97&lt;$F$10,0,IF(AQ97&lt;$F$10+$F$11,0.25,IF(AQ97&lt;$F$10+$F$11+AO97,AP97,1)))*IF(AN97&gt;0,AN97,IF(AN96&gt;0,AN96,IF(AN95&gt;0,AN95,IF(AN94&gt;0,AN94,IF(AN93&gt;0,AN93,IF(AN92&gt;0,AN92,IF(AN91&gt;0,AN91,IF(AN90&gt;0,AN90,IF(AN89&gt;0,AN89,IF(AN87&gt;0,AN87,IF(AN86&gt;0,AN86,IF(AN85&gt;0,AN85,0)))))))))))),0)*(1-$S97)*'模拟-单技能数据'!$I$21</f>
        <v>11607.89185245618</v>
      </c>
      <c r="AS97" s="61">
        <f ca="1">IF(OR(C97="净世破魔击·日",C97="净世破魔击·月"),M97-'模拟-单技能数据'!$K$10,0)</f>
        <v>0.42185145527300216</v>
      </c>
      <c r="AT97" s="61">
        <f ca="1">IF(OR(C97="净世破魔击·日",C97="净世破魔击·月"),I97-'模拟-单技能数据'!$L$10,0)</f>
        <v>2.162482885499879</v>
      </c>
      <c r="AU97" s="62">
        <f t="shared" ca="1" si="95"/>
        <v>0.81837967769033071</v>
      </c>
      <c r="AV97" s="64">
        <f ca="1">IF(AS97&gt;0,('模拟-单技能数据'!$D$22+G97*'模拟-单技能数据'!$F$22)*(1+J97)*(1-S97)*IF(AU97&lt;$F$10,0,IF(AU97&lt;$F$10+$F$11,0.25,IF(AU97&lt;$F$10+$F$11+AS97,AT97,1)))*(1+U97),0)*'模拟-单技能数据'!$I$22</f>
        <v>7956.2107573714466</v>
      </c>
      <c r="AW97" s="108">
        <f t="shared" ca="1" si="96"/>
        <v>12.620000000000005</v>
      </c>
      <c r="AX97" s="108" t="b">
        <f ca="1">AND(模拟模式!$P$10="有",AW96=0,RAND()&lt;IF(C97="净世破魔击·月",0.1*8/3,IF(C97="净世破魔击·日",0.1*4/3,0.1*2/3)))</f>
        <v>0</v>
      </c>
      <c r="AY97" s="47">
        <f ca="1">IF(AX97,(18+G97*0.722)*(1+J97)*(1-S97)*(1+$I$4)*IF(P97="会",'模拟-全程加成'!$J$3+'模拟-全程加成'!$J$4+'模拟-全程加成'!$J$5+('模拟-全程加成'!$I$4+'模拟-全程加成'!$I$5)/系数!$B$4+BG97*10%,IF(P97="命",1,IF(P97="识",0.25,0))),0)</f>
        <v>0</v>
      </c>
      <c r="AZ97" s="108">
        <f t="shared" si="97"/>
        <v>16.310000000000002</v>
      </c>
      <c r="BA97" s="108" t="b">
        <f>AND(模拟模式!$Q$10="有",AZ96=0)</f>
        <v>0</v>
      </c>
      <c r="BB97" s="140">
        <f>IF(BA97,(0+G97*0.287)*(1+J97)*(1-S97)*(1+$I$4)*IF(P97="会",'模拟-全程加成'!$J$3+'模拟-全程加成'!$J$4+'模拟-全程加成'!$J$5+('模拟-全程加成'!$I$4+'模拟-全程加成'!$I$5)/系数!$B$4+BG97*10%,IF(P97="命",1,IF(P97="识",0.25,0))),0)</f>
        <v>0</v>
      </c>
      <c r="BC97" s="115" t="b">
        <f ca="1">AND(模拟模式!$R$7="伏明众生",E97=60,F97=20,DA97&lt;5,CZ96&lt;$F$4)</f>
        <v>0</v>
      </c>
      <c r="BD97" s="115">
        <f t="shared" ca="1" si="69"/>
        <v>0</v>
      </c>
      <c r="BE97" s="115" t="b">
        <f t="shared" ca="1" si="70"/>
        <v>0</v>
      </c>
      <c r="BF97" s="47">
        <f ca="1">IF(BC97,4*('模拟-单技能数据'!$D$24+G97*'模拟-单技能数据'!$F$24)*(1+J97)*(1+'模拟-单技能数据'!$J$24)*(1-S97)*(1+$I$3)*(('模拟-全程加成'!$J$3+'模拟-全程加成'!$J$4+'模拟-全程加成'!$J$5+('模拟-全程加成'!$I$4+'模拟-全程加成'!$I$5)/系数!$B$4+BG97*10%)*('模拟-全程加成'!$J$3+'模拟-全程加成'!$J$4+'模拟-全程加成'!$J$5+('模拟-全程加成'!$I$4+'模拟-全程加成'!$I$5)/系数!$B$4+BG97*10%)+(1-('模拟-全程加成'!$J$3+'模拟-全程加成'!$J$4+'模拟-全程加成'!$J$5+('模拟-全程加成'!$I$4+'模拟-全程加成'!$I$5)/系数!$B$4+BG97*10%)-$F$10-$F$11)+F83*0.25),0)*'模拟-单技能数据'!$I$24</f>
        <v>0</v>
      </c>
      <c r="BG97" s="115" t="b">
        <f ca="1">OR(AND(OR(C97="烈日斩",C97="银月斩"),模拟模式!$I$7="净身明礼"),AND(C97="净世破魔击·日",模拟模式!$J$7="洞若观火"),AND(C98="净世破魔击·月",模拟模式!$J$7="洞若观火"),AB97=1)</f>
        <v>1</v>
      </c>
      <c r="BH97" s="115" t="b">
        <f t="shared" ca="1" si="98"/>
        <v>0</v>
      </c>
      <c r="BI97" s="115">
        <f t="shared" ca="1" si="71"/>
        <v>2.3099999999999996</v>
      </c>
      <c r="BJ97" s="115" t="b">
        <f t="shared" ca="1" si="99"/>
        <v>1</v>
      </c>
      <c r="BK97" s="115" t="b">
        <f ca="1">AND(C97="驱夜断愁",模拟模式!$P$7="天地诛戮")</f>
        <v>0</v>
      </c>
      <c r="BL97" s="57">
        <f t="shared" ca="1" si="72"/>
        <v>10.775000000000006</v>
      </c>
      <c r="BM97" s="115" t="b">
        <f t="shared" ca="1" si="100"/>
        <v>1</v>
      </c>
      <c r="BN97" s="115" t="b">
        <f ca="1">AND(OR(C97="赤日轮1",C97="赤日轮2",C97="赤日轮3",C97="幽月轮1",C97="幽月轮2",C97="幽月轮3"),AB97=1,模拟模式!$L$7="明光恒照")</f>
        <v>0</v>
      </c>
      <c r="BO97" s="117">
        <f t="shared" ca="1" si="73"/>
        <v>25.387500000000003</v>
      </c>
      <c r="BP97" s="115">
        <f t="shared" ca="1" si="101"/>
        <v>6</v>
      </c>
      <c r="BQ97" s="115" t="b">
        <f>模拟模式!$K$10="2600·水"</f>
        <v>0</v>
      </c>
      <c r="BR97" s="117">
        <f t="shared" si="102"/>
        <v>0</v>
      </c>
      <c r="BS97" s="115">
        <f t="shared" si="103"/>
        <v>0</v>
      </c>
      <c r="BT97" s="115">
        <f t="shared" ca="1" si="104"/>
        <v>0</v>
      </c>
      <c r="BU97" s="115" t="b">
        <f ca="1">AND(模拟模式!$K$10="2300·雷",BT96=0,RAND()&lt;IF(C97="净世破魔击·月",5*0.05*2/3,IF(C97="净世破魔击·日",3*0.05*2/3,0.05*2*2/3)))</f>
        <v>0</v>
      </c>
      <c r="BV97" s="115">
        <f t="shared" ca="1" si="105"/>
        <v>0</v>
      </c>
      <c r="BW97" s="115">
        <f t="shared" ca="1" si="106"/>
        <v>120.95999999999924</v>
      </c>
      <c r="BX97" s="164" t="b">
        <f t="shared" ca="1" si="107"/>
        <v>0</v>
      </c>
      <c r="BY97" s="115">
        <f t="shared" ca="1" si="108"/>
        <v>0</v>
      </c>
      <c r="BZ97" s="115">
        <f>IF(OR(模拟模式!$P$16="10人团",模拟模式!$P$16="25人团"),IF(B97/30&gt;CA96,1,0),0)</f>
        <v>0</v>
      </c>
      <c r="CA97" s="115">
        <f t="shared" si="74"/>
        <v>0</v>
      </c>
      <c r="CB97" s="115">
        <f ca="1">IF(BZ97=1,IF(模拟模式!$P$16="10人团",15,0)+IF(模拟模式!$P$16="25人团",IF(RAND()&lt;0.6,15,0)),MAX(0,CB96-$F$4))</f>
        <v>0</v>
      </c>
      <c r="CC97" s="115" t="b">
        <f t="shared" ca="1" si="109"/>
        <v>0</v>
      </c>
      <c r="CD97" s="115">
        <f>IF(模拟模式!$Q$16="1个",IF(B97/40&gt;CE96,1,0),0)</f>
        <v>0</v>
      </c>
      <c r="CE97" s="115">
        <f t="shared" si="110"/>
        <v>0</v>
      </c>
      <c r="CF97" s="115">
        <f>IF(OR(CD97=1,模拟模式!$Q$16="2个"),20,MAX(0,CF96-$F$4))</f>
        <v>0</v>
      </c>
      <c r="CG97" s="115" t="b">
        <f t="shared" si="111"/>
        <v>0</v>
      </c>
      <c r="CH97" s="115">
        <f t="shared" ca="1" si="112"/>
        <v>0.48000000000001186</v>
      </c>
      <c r="CI97" s="115" t="b">
        <f t="shared" ca="1" si="113"/>
        <v>0</v>
      </c>
      <c r="CJ97" s="119">
        <f t="shared" ca="1" si="114"/>
        <v>0</v>
      </c>
      <c r="CK97" s="115">
        <f t="shared" ca="1" si="115"/>
        <v>0</v>
      </c>
      <c r="CL97" s="115" t="b">
        <f ca="1">AND(模拟模式!$S$7="驱夷逐法",OR(AND(C97="净世破魔击·月",E96&gt;59),AND(C97="净世破魔击·日",F96&gt;59)))</f>
        <v>0</v>
      </c>
      <c r="CM97" s="115" t="b">
        <f ca="1">OR(CL97,AND(C97="净世破魔击·日",CL96,RAND()&lt;模拟模式!$U$23))</f>
        <v>0</v>
      </c>
      <c r="CN97" s="115" t="b">
        <f ca="1">IF(模拟模式!$M$7="辉耀红尘",AND(C97="净世破魔击·月",CL97,CV97=0,E96&lt;80),AND(C97="净世破魔击·月",CL97,E96&lt;100))</f>
        <v>0</v>
      </c>
      <c r="CO97" s="115" t="b">
        <f t="shared" ca="1" si="75"/>
        <v>0</v>
      </c>
      <c r="CP97" s="115" t="b">
        <f ca="1">AND(模拟模式!$O$7="用晦而明",OR(C97="净世破魔击·日",C97="净世破魔击·月",C97="驱夜断愁"),AB97)</f>
        <v>1</v>
      </c>
      <c r="CQ97" s="115" t="b">
        <f ca="1">OR(CP97,AND(CP96,RAND()&lt;模拟模式!$U$23))</f>
        <v>1</v>
      </c>
      <c r="CR97" s="115" t="b">
        <f ca="1">AND(模拟模式!$S$7="日月齐光",OR(C97="幽月轮1",C97="幽月轮2",C97="幽月轮3",CR96),NOT(OR(C97="赤日轮1",C97="赤日轮2",C97="赤日轮3")))</f>
        <v>0</v>
      </c>
      <c r="CS97" s="115" t="b">
        <f ca="1">AND(模拟模式!$S$7="日月齐光",OR(C97="赤日轮1",C97="赤日轮2",C97="赤日轮3",CS96),NOT(OR(C97="幽月轮1",C97="幽月轮2",C97="幽月轮3")))</f>
        <v>0</v>
      </c>
      <c r="CT97" s="115">
        <f t="shared" ca="1" si="116"/>
        <v>25.387500000000003</v>
      </c>
      <c r="CU97" s="115" t="b">
        <f ca="1">AND(模拟模式!$K$10="阴阳往极",CT96=0,RAND()&lt;IF(C97="净世破魔击·月",0.0275*7/3,IF(C97="净世破魔击·日",0.0275*3/3,0.0275*2/3)))</f>
        <v>0</v>
      </c>
      <c r="CV97" s="115">
        <f t="shared" ca="1" si="117"/>
        <v>0</v>
      </c>
      <c r="CW97" s="115">
        <f t="shared" ca="1" si="76"/>
        <v>0</v>
      </c>
      <c r="CX97" s="115">
        <f t="shared" ca="1" si="77"/>
        <v>0</v>
      </c>
      <c r="CY97" s="115">
        <f ca="1">MAX(IF($C97="驱夜断愁",IF(模拟模式!$R$7="万念俱寂",6,45),CY96-$F$4),0)</f>
        <v>0</v>
      </c>
      <c r="CZ97" s="115">
        <f t="shared" ca="1" si="78"/>
        <v>0</v>
      </c>
      <c r="DA97" s="115">
        <f ca="1">IF(模拟模式!$N$7="日月同辉",IF(DB96=2,0,MIN(6,IF(AND(OR(C97="赤日轮1",C97="赤日轮2",C97="赤日轮3",C97="幽月轮1",C97="幽月轮2",C97="幽月轮3"),AB97=1),DA96+1,DA96))),0)</f>
        <v>4</v>
      </c>
      <c r="DB97" s="115">
        <f t="shared" ca="1" si="79"/>
        <v>0</v>
      </c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</row>
    <row r="98" spans="2:117" x14ac:dyDescent="0.2">
      <c r="B98" s="117">
        <f t="shared" si="80"/>
        <v>65.497499999999974</v>
      </c>
      <c r="C98" s="167" t="str">
        <f t="shared" ca="1" si="66"/>
        <v>净世破魔击·日</v>
      </c>
      <c r="D98" s="115">
        <f ca="1">IF(C98="赤日轮1",1,IF(C98="赤日轮2",2,IF(C98="赤日轮3",3,IF(C98="幽月轮1",4,IF(C98="幽月轮2",5,IF(C98="幽月轮3",6,IF(C98="烈日斩",7,IF(C98="银月斩",8,IF(C98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98="净世破魔击·月",17,IF(C98="驱夜断愁",18,0)))))))))))</f>
        <v>9</v>
      </c>
      <c r="E98" s="115">
        <f ca="1">IF(AND(CU98,OR(C98="幽月轮1",C98="幽月轮2",C98="幽月轮3",C98="银月斩",C98="驱夜断愁",C98="净世破魔击·月")),100,MIN(IF(OR(CN98,BE98),0,IF(OR($C98="赤日轮1",$C98="赤日轮2",$C98="赤日轮3"),E97+20+IF(模拟模式!$I$7="日月凌天",4,0)+IF(CR97,20,0),IF($C98="烈日斩",E97+40,IF($C98="驱夜断愁",IF(模拟模式!$R$7="万念俱寂",E97+20,E97+60),IF($C98="净世破魔击·月",IF(OR(DB97&gt;0,CV97&gt;0),100,IF(模拟模式!$M$7="辉耀红尘",E97+20,E97)),IF($C98="净世破魔击·日",E97-100,E97)))))),100))</f>
        <v>0</v>
      </c>
      <c r="F98" s="115">
        <f ca="1">IF(AND(CU98,OR(C98="赤日轮1",C98="赤日轮2",C98="赤日轮3",C98="烈日斩",C98="净世破魔击·日")),100,MIN(IF(CO98,0,IF(OR($C98="幽月轮1",$C98="幽月轮2",$C98="幽月轮3"),F97+20+IF(模拟模式!$I$7="日月凌天",4,0)+IF(CS97,20,0),IF($C98="银月斩",F97+40+IF(模拟模式!$X$12=1,5,0),IF($C98="驱夜断愁",IF(模拟模式!$R$7="万念俱寂",F97+20,F97+60),IF($C98="净世破魔击·月",IF(模拟模式!$M$7="辉耀红尘",F97-80,F97-100),IF(AND(C98="净世破魔击·日",OR(DB97&gt;0,CV97&gt;0)),100,F97)))))),100))</f>
        <v>20</v>
      </c>
      <c r="G98" s="117">
        <f ca="1">('模拟-全程加成'!$E$3+'模拟-全程加成'!$E$4+'模拟-全程加成'!$E$5+('模拟-全程加成'!$C$6-'模拟-全程加成'!$C$3)*系数!$B$9+BS98*23)*(1+'模拟-全程加成'!$F$4+'模拟-全程加成'!$F$5+BJ98*10%+BM98*20%+BP98*4%+CG98*30%)+$F$7*系数!$B$12</f>
        <v>21493.829400000002</v>
      </c>
      <c r="H98" s="45">
        <f ca="1">'模拟-全程加成'!$H$3+'模拟-全程加成'!$H$4+'模拟-全程加成'!$H$5+('模拟-全程加成'!$G$4+'模拟-全程加成'!$G$5+('模拟-全程加成'!$C$6-'模拟-全程加成'!$C$3)*系数!$B$13)/系数!$B$3+LOOKUP(D98,'模拟-单技能数据'!$A$2:$A$19,'模拟-单技能数据'!$K$2:$K$19)+BG98*10%+IF(BV98&gt;0,378,0)</f>
        <v>0.54185145527300216</v>
      </c>
      <c r="I98" s="45">
        <f ca="1">'模拟-全程加成'!$J$3+'模拟-全程加成'!$J$4+'模拟-全程加成'!$J$5+('模拟-全程加成'!$I$4+'模拟-全程加成'!$I$5)/系数!$B$4+LOOKUP(D98,'模拟-单技能数据'!$A$2:$A$19,'模拟-单技能数据'!$L$2:$L$19)+BG98*10%</f>
        <v>2.162482885499879</v>
      </c>
      <c r="J98" s="45">
        <f ca="1">(('模拟-全程加成'!$K$3+'模拟-全程加成'!$K$4+'模拟-全程加成'!$K$5+('模拟-全程加成'!$C$6-'模拟-全程加成'!$C$3)*系数!$B$10+IF(BV98&gt;0,882,0)+IF(BY98&gt;0,1831,0))*(1+'模拟-全程加成'!$L$4+'模拟-全程加成'!$L$5+CC98*20%))/系数!$B$5</f>
        <v>0.69723220422048726</v>
      </c>
      <c r="K98" s="119">
        <f ca="1">LOOKUP(D98,'模拟-单技能数据'!$A$2:$A$19,'模拟-单技能数据'!$J$2:$J$19)+IF(CM98,60%,0)+IF(DB97-DB98&gt;0,30%,0)+IF(OR(AND(OR(C98="赤日轮1",C98="赤日轮2",C98="赤日轮3"),CR98),AND(OR(C98="幽月轮1",C98="幽月轮2",C98="幽月轮3"),CS98)),35%,0)+CJ98</f>
        <v>0.2</v>
      </c>
      <c r="L98" s="119">
        <f ca="1">IF(AND(C98="烈日斩",模拟模式!$X$11=1),10%,0)+IF(AND(C98="驱夜断愁",AB98=1),30%,0)</f>
        <v>0</v>
      </c>
      <c r="M98" s="45">
        <f t="shared" ca="1" si="81"/>
        <v>0.54185145527300216</v>
      </c>
      <c r="N98" s="45">
        <f t="shared" ca="1" si="82"/>
        <v>0.40424854472699789</v>
      </c>
      <c r="O98" s="46">
        <f t="shared" ca="1" si="83"/>
        <v>4.8116668476491653E-2</v>
      </c>
      <c r="P98" s="46" t="str">
        <f t="shared" ca="1" si="84"/>
        <v>识</v>
      </c>
      <c r="Q98" s="45">
        <f t="shared" ca="1" si="85"/>
        <v>0.25</v>
      </c>
      <c r="R98" s="117">
        <f ca="1">模拟模式!$E$20*(1-IF(模拟模式!$J$19="有",0.15,0))*(1-IF(模拟模式!$K$19="有",0.3,0)-IF(CQ98,0.5,0))</f>
        <v>843.02999999999975</v>
      </c>
      <c r="S98" s="45">
        <f ca="1">R98/(R98+(185*模拟模式!$E$22-16800)*4.08224)</f>
        <v>8.389626085980037E-2</v>
      </c>
      <c r="T98" s="45" t="str">
        <f ca="1">LOOKUP(D98,'模拟-单技能数据'!$A$2:$A$19,'模拟-单技能数据'!$H$2:$H$19)</f>
        <v>阳</v>
      </c>
      <c r="U98" s="119">
        <f t="shared" ca="1" si="86"/>
        <v>0.2</v>
      </c>
      <c r="V98" s="47">
        <f ca="1">(1+L98)*(LOOKUP(D98,'模拟-单技能数据'!$A$2:$A$19,'模拟-单技能数据'!$D$2:$D$19)+G98*LOOKUP(D98,'模拟-单技能数据'!$A$2:$A$19,'模拟-单技能数据'!$F$2:$F$19))*(1+J98)*(1+K98)*(1-S98)*(1+U98)*Q98*LOOKUP(D98,'模拟-单技能数据'!$A$2:$A$19,'模拟-单技能数据'!$I$2:$I$20)</f>
        <v>15762.560851067004</v>
      </c>
      <c r="W98" s="47">
        <f ca="1">LOOKUP(D98,'模拟-单技能数据'!$A$2:$A$19,'模拟-单技能数据'!$G$2:$G$19)*$I$10</f>
        <v>723.0212870940959</v>
      </c>
      <c r="X98" s="47">
        <f t="shared" ca="1" si="87"/>
        <v>8840.2341748571616</v>
      </c>
      <c r="Y98" s="47">
        <f t="shared" ca="1" si="88"/>
        <v>25325.816313018266</v>
      </c>
      <c r="Z98" s="49">
        <f t="shared" ca="1" si="89"/>
        <v>7272314.5242037736</v>
      </c>
      <c r="AA98" s="97">
        <f t="shared" ca="1" si="90"/>
        <v>111031.94051992483</v>
      </c>
      <c r="AB98" s="115">
        <f ca="1">IF(OR(C98="赤日轮1",C98="赤日轮2",C98="赤日轮3"),IF(RAND()&lt;模拟模式!$Y$17,1,0),IF(OR(C98="幽月轮1",C98="幽月轮2",C98="幽月轮3"),IF(RAND()&lt;模拟模式!$Y$18,1,0),IF(C98="烈日斩",IF(RAND()&lt;模拟模式!$Y$19,1,0),IF(C98="银月斩",IF(RAND()&lt;模拟模式!$Y$20,1,0),IF(C98="驱夜断愁",IF(RAND()&lt;模拟模式!$Y$21,1,0),IF(C98="净世破魔击·日",IF(RAND()&lt;模拟模式!$Y$22,1,0),IF(C98="净世破魔击·月",IF(RAND()&lt;模拟模式!$Y$23,1,0),0)))))))</f>
        <v>1</v>
      </c>
      <c r="AC98" s="115" t="b">
        <f t="shared" ca="1" si="67"/>
        <v>0</v>
      </c>
      <c r="AD98" s="115" t="b">
        <f t="shared" ca="1" si="118"/>
        <v>0</v>
      </c>
      <c r="AE98" s="115">
        <f t="shared" ca="1" si="119"/>
        <v>0</v>
      </c>
      <c r="AF98" s="47">
        <f ca="1">IF(AC98,('模拟-单技能数据'!$D$20+G98*'模拟-单技能数据'!$F$20)*(1+J98)*(1+'模拟-单技能数据'!$J$20)*(1+U98),0)</f>
        <v>0</v>
      </c>
      <c r="AG98" s="61">
        <f t="shared" ca="1" si="91"/>
        <v>0.64185145527300214</v>
      </c>
      <c r="AH98" s="61">
        <f t="shared" ca="1" si="92"/>
        <v>2.2624828854998791</v>
      </c>
      <c r="AI98" s="62">
        <f t="shared" ca="1" si="93"/>
        <v>0.99102822117102296</v>
      </c>
      <c r="AJ98" s="47">
        <f ca="1">IF(AD98,IF(AI98&lt;$F$10,0,IF(AI98&lt;$F$10+$F$11,0.25,IF(AI98&lt;$F$10+$F$11+AG98,AH98,1)))*IF(AF98&gt;0,AF98,IF(AF97&gt;0,AF97,IF(AF96&gt;0,AF96,IF(AF95&gt;0,AF95,IF(AF94&gt;0,AF94,IF(AF93&gt;0,AF93,IF(AF92&gt;0,AF92,IF(AF91&gt;0,AF91,IF(AF90&gt;0,AF90,IF(AF88&gt;0,AF88,IF(AF87&gt;0,AF87,IF(AF86&gt;0,AF86,0)))))))))))),0)*(1-$S98)*'模拟-单技能数据'!$I$20</f>
        <v>0</v>
      </c>
      <c r="AK98" s="115" t="b">
        <f t="shared" ca="1" si="68"/>
        <v>1</v>
      </c>
      <c r="AL98" s="115" t="b">
        <f t="shared" ca="1" si="120"/>
        <v>0</v>
      </c>
      <c r="AM98" s="115">
        <f t="shared" ca="1" si="121"/>
        <v>6</v>
      </c>
      <c r="AN98" s="47">
        <f ca="1">IF(AK98,('模拟-单技能数据'!$D$21+G98*'模拟-单技能数据'!$F$21)*(1+J98)*(1+'模拟-单技能数据'!$J$21)*(1+U98),0)</f>
        <v>12670.936004857545</v>
      </c>
      <c r="AO98" s="61">
        <f ca="1">IF(AN98&gt;0,M98-'模拟-单技能数据'!$K$10,AO97)</f>
        <v>0.42185145527300216</v>
      </c>
      <c r="AP98" s="61">
        <f ca="1">IF(AN98&gt;0,I98-'模拟-单技能数据'!$L$10,AP97)</f>
        <v>2.162482885499879</v>
      </c>
      <c r="AQ98" s="63">
        <f t="shared" ca="1" si="94"/>
        <v>0.34281010005808932</v>
      </c>
      <c r="AR98" s="64">
        <f ca="1">IF(AL98,IF(AQ98&lt;$F$10,0,IF(AQ98&lt;$F$10+$F$11,0.25,IF(AQ98&lt;$F$10+$F$11+AO98,AP98,1)))*IF(AN98&gt;0,AN98,IF(AN97&gt;0,AN97,IF(AN96&gt;0,AN96,IF(AN95&gt;0,AN95,IF(AN94&gt;0,AN94,IF(AN93&gt;0,AN93,IF(AN92&gt;0,AN92,IF(AN91&gt;0,AN91,IF(AN90&gt;0,AN90,IF(AN88&gt;0,AN88,IF(AN87&gt;0,AN87,IF(AN86&gt;0,AN86,0)))))))))))),0)*(1-$S98)*'模拟-单技能数据'!$I$21</f>
        <v>0</v>
      </c>
      <c r="AS98" s="61">
        <f ca="1">IF(OR(C98="净世破魔击·日",C98="净世破魔击·月"),M98-'模拟-单技能数据'!$K$10,0)</f>
        <v>0.42185145527300216</v>
      </c>
      <c r="AT98" s="61">
        <f ca="1">IF(OR(C98="净世破魔击·日",C98="净世破魔击·月"),I98-'模拟-单技能数据'!$L$10,0)</f>
        <v>2.162482885499879</v>
      </c>
      <c r="AU98" s="62">
        <f t="shared" ca="1" si="95"/>
        <v>0.82220001780757923</v>
      </c>
      <c r="AV98" s="64">
        <f ca="1">IF(AS98&gt;0,('模拟-单技能数据'!$D$22+G98*'模拟-单技能数据'!$F$22)*(1+J98)*(1-S98)*IF(AU98&lt;$F$10,0,IF(AU98&lt;$F$10+$F$11,0.25,IF(AU98&lt;$F$10+$F$11+AS98,AT98,1)))*(1+U98),0)*'模拟-单技能数据'!$I$22</f>
        <v>8840.2341748571616</v>
      </c>
      <c r="AW98" s="108">
        <f t="shared" ca="1" si="96"/>
        <v>11.697500000000005</v>
      </c>
      <c r="AX98" s="108" t="b">
        <f ca="1">AND(模拟模式!$P$10="有",AW97=0,RAND()&lt;IF(C98="净世破魔击·月",0.1*8/3,IF(C98="净世破魔击·日",0.1*4/3,0.1*2/3)))</f>
        <v>0</v>
      </c>
      <c r="AY98" s="47">
        <f ca="1">IF(AX98,(18+G98*0.722)*(1+J98)*(1-S98)*(1+$I$4)*IF(P98="会",'模拟-全程加成'!$J$3+'模拟-全程加成'!$J$4+'模拟-全程加成'!$J$5+('模拟-全程加成'!$I$4+'模拟-全程加成'!$I$5)/系数!$B$4+BG98*10%,IF(P98="命",1,IF(P98="识",0.25,0))),0)</f>
        <v>0</v>
      </c>
      <c r="AZ98" s="108">
        <f t="shared" si="97"/>
        <v>15.387500000000003</v>
      </c>
      <c r="BA98" s="108" t="b">
        <f>AND(模拟模式!$Q$10="有",AZ97=0)</f>
        <v>0</v>
      </c>
      <c r="BB98" s="140">
        <f>IF(BA98,(0+G98*0.287)*(1+J98)*(1-S98)*(1+$I$4)*IF(P98="会",'模拟-全程加成'!$J$3+'模拟-全程加成'!$J$4+'模拟-全程加成'!$J$5+('模拟-全程加成'!$I$4+'模拟-全程加成'!$I$5)/系数!$B$4+BG98*10%,IF(P98="命",1,IF(P98="识",0.25,0))),0)</f>
        <v>0</v>
      </c>
      <c r="BC98" s="115" t="b">
        <f ca="1">AND(模拟模式!$R$7="伏明众生",E98=60,F98=20,DA98&lt;5,CZ97&lt;$F$4)</f>
        <v>0</v>
      </c>
      <c r="BD98" s="115">
        <f t="shared" ca="1" si="69"/>
        <v>0</v>
      </c>
      <c r="BE98" s="115" t="b">
        <f t="shared" ca="1" si="70"/>
        <v>0</v>
      </c>
      <c r="BF98" s="47">
        <f ca="1">IF(BC98,4*('模拟-单技能数据'!$D$24+G98*'模拟-单技能数据'!$F$24)*(1+J98)*(1+'模拟-单技能数据'!$J$24)*(1-S98)*(1+$I$3)*(('模拟-全程加成'!$J$3+'模拟-全程加成'!$J$4+'模拟-全程加成'!$J$5+('模拟-全程加成'!$I$4+'模拟-全程加成'!$I$5)/系数!$B$4+BG98*10%)*('模拟-全程加成'!$J$3+'模拟-全程加成'!$J$4+'模拟-全程加成'!$J$5+('模拟-全程加成'!$I$4+'模拟-全程加成'!$I$5)/系数!$B$4+BG98*10%)+(1-('模拟-全程加成'!$J$3+'模拟-全程加成'!$J$4+'模拟-全程加成'!$J$5+('模拟-全程加成'!$I$4+'模拟-全程加成'!$I$5)/系数!$B$4+BG98*10%)-$F$10-$F$11)+F84*0.25),0)*'模拟-单技能数据'!$I$24</f>
        <v>0</v>
      </c>
      <c r="BG98" s="115" t="b">
        <f ca="1">OR(AND(OR(C98="烈日斩",C98="银月斩"),模拟模式!$I$7="净身明礼"),AND(C98="净世破魔击·日",模拟模式!$J$7="洞若观火"),AND(C99="净世破魔击·月",模拟模式!$J$7="洞若观火"),AB98=1)</f>
        <v>1</v>
      </c>
      <c r="BH98" s="115" t="b">
        <f t="shared" ca="1" si="98"/>
        <v>0</v>
      </c>
      <c r="BI98" s="115">
        <f t="shared" ca="1" si="71"/>
        <v>1.3874999999999997</v>
      </c>
      <c r="BJ98" s="115" t="b">
        <f t="shared" ca="1" si="99"/>
        <v>1</v>
      </c>
      <c r="BK98" s="115" t="b">
        <f ca="1">AND(C98="驱夜断愁",模拟模式!$P$7="天地诛戮")</f>
        <v>0</v>
      </c>
      <c r="BL98" s="57">
        <f t="shared" ca="1" si="72"/>
        <v>9.8525000000000063</v>
      </c>
      <c r="BM98" s="115" t="b">
        <f t="shared" ca="1" si="100"/>
        <v>1</v>
      </c>
      <c r="BN98" s="115" t="b">
        <f ca="1">AND(OR(C98="赤日轮1",C98="赤日轮2",C98="赤日轮3",C98="幽月轮1",C98="幽月轮2",C98="幽月轮3"),AB98=1,模拟模式!$L$7="明光恒照")</f>
        <v>0</v>
      </c>
      <c r="BO98" s="117">
        <f t="shared" ca="1" si="73"/>
        <v>24.465000000000003</v>
      </c>
      <c r="BP98" s="115">
        <f t="shared" ca="1" si="101"/>
        <v>6</v>
      </c>
      <c r="BQ98" s="115" t="b">
        <f>模拟模式!$K$10="2600·水"</f>
        <v>0</v>
      </c>
      <c r="BR98" s="117">
        <f t="shared" si="102"/>
        <v>0</v>
      </c>
      <c r="BS98" s="115">
        <f t="shared" si="103"/>
        <v>0</v>
      </c>
      <c r="BT98" s="115">
        <f t="shared" ca="1" si="104"/>
        <v>0</v>
      </c>
      <c r="BU98" s="115" t="b">
        <f ca="1">AND(模拟模式!$K$10="2300·雷",BT97=0,RAND()&lt;IF(C98="净世破魔击·月",5*0.05*2/3,IF(C98="净世破魔击·日",3*0.05*2/3,0.05*2*2/3)))</f>
        <v>0</v>
      </c>
      <c r="BV98" s="115">
        <f t="shared" ca="1" si="105"/>
        <v>0</v>
      </c>
      <c r="BW98" s="115">
        <f t="shared" ca="1" si="106"/>
        <v>120.03749999999924</v>
      </c>
      <c r="BX98" s="164" t="b">
        <f t="shared" ca="1" si="107"/>
        <v>0</v>
      </c>
      <c r="BY98" s="115">
        <f t="shared" ca="1" si="108"/>
        <v>0</v>
      </c>
      <c r="BZ98" s="115">
        <f>IF(OR(模拟模式!$P$16="10人团",模拟模式!$P$16="25人团"),IF(B98/30&gt;CA97,1,0),0)</f>
        <v>0</v>
      </c>
      <c r="CA98" s="115">
        <f t="shared" si="74"/>
        <v>0</v>
      </c>
      <c r="CB98" s="115">
        <f ca="1">IF(BZ98=1,IF(模拟模式!$P$16="10人团",15,0)+IF(模拟模式!$P$16="25人团",IF(RAND()&lt;0.6,15,0)),MAX(0,CB97-$F$4))</f>
        <v>0</v>
      </c>
      <c r="CC98" s="115" t="b">
        <f t="shared" ca="1" si="109"/>
        <v>0</v>
      </c>
      <c r="CD98" s="115">
        <f>IF(模拟模式!$Q$16="1个",IF(B98/40&gt;CE97,1,0),0)</f>
        <v>0</v>
      </c>
      <c r="CE98" s="115">
        <f t="shared" si="110"/>
        <v>0</v>
      </c>
      <c r="CF98" s="115">
        <f>IF(OR(CD98=1,模拟模式!$Q$16="2个"),20,MAX(0,CF97-$F$4))</f>
        <v>0</v>
      </c>
      <c r="CG98" s="115" t="b">
        <f t="shared" si="111"/>
        <v>0</v>
      </c>
      <c r="CH98" s="115">
        <f t="shared" ca="1" si="112"/>
        <v>0</v>
      </c>
      <c r="CI98" s="115" t="b">
        <f t="shared" ca="1" si="113"/>
        <v>0</v>
      </c>
      <c r="CJ98" s="119">
        <f t="shared" ca="1" si="114"/>
        <v>0</v>
      </c>
      <c r="CK98" s="115">
        <f t="shared" ca="1" si="115"/>
        <v>0</v>
      </c>
      <c r="CL98" s="115" t="b">
        <f ca="1">AND(模拟模式!$S$7="驱夷逐法",OR(AND(C98="净世破魔击·月",E97&gt;59),AND(C98="净世破魔击·日",F97&gt;59)))</f>
        <v>0</v>
      </c>
      <c r="CM98" s="115" t="b">
        <f ca="1">OR(CL98,AND(C98="净世破魔击·日",CL97,RAND()&lt;模拟模式!$U$23))</f>
        <v>0</v>
      </c>
      <c r="CN98" s="115" t="b">
        <f ca="1">IF(模拟模式!$M$7="辉耀红尘",AND(C98="净世破魔击·月",CL98,CV98=0,E97&lt;80),AND(C98="净世破魔击·月",CL98,E97&lt;100))</f>
        <v>0</v>
      </c>
      <c r="CO98" s="115" t="b">
        <f t="shared" ca="1" si="75"/>
        <v>0</v>
      </c>
      <c r="CP98" s="115" t="b">
        <f ca="1">AND(模拟模式!$O$7="用晦而明",OR(C98="净世破魔击·日",C98="净世破魔击·月",C98="驱夜断愁"),AB98)</f>
        <v>1</v>
      </c>
      <c r="CQ98" s="115" t="b">
        <f ca="1">OR(CP98,AND(CP97,RAND()&lt;模拟模式!$U$23))</f>
        <v>1</v>
      </c>
      <c r="CR98" s="115" t="b">
        <f ca="1">AND(模拟模式!$S$7="日月齐光",OR(C98="幽月轮1",C98="幽月轮2",C98="幽月轮3",CR97),NOT(OR(C98="赤日轮1",C98="赤日轮2",C98="赤日轮3")))</f>
        <v>0</v>
      </c>
      <c r="CS98" s="115" t="b">
        <f ca="1">AND(模拟模式!$S$7="日月齐光",OR(C98="赤日轮1",C98="赤日轮2",C98="赤日轮3",CS97),NOT(OR(C98="幽月轮1",C98="幽月轮2",C98="幽月轮3")))</f>
        <v>0</v>
      </c>
      <c r="CT98" s="115">
        <f t="shared" ca="1" si="116"/>
        <v>24.465000000000003</v>
      </c>
      <c r="CU98" s="115" t="b">
        <f ca="1">AND(模拟模式!$K$10="阴阳往极",CT97=0,RAND()&lt;IF(C98="净世破魔击·月",0.0275*7/3,IF(C98="净世破魔击·日",0.0275*3/3,0.0275*2/3)))</f>
        <v>0</v>
      </c>
      <c r="CV98" s="115">
        <f t="shared" ca="1" si="117"/>
        <v>0</v>
      </c>
      <c r="CW98" s="115">
        <f t="shared" ca="1" si="76"/>
        <v>0</v>
      </c>
      <c r="CX98" s="115">
        <f t="shared" ca="1" si="77"/>
        <v>0</v>
      </c>
      <c r="CY98" s="115">
        <f ca="1">MAX(IF($C98="驱夜断愁",IF(模拟模式!$R$7="万念俱寂",6,45),CY97-$F$4),0)</f>
        <v>0</v>
      </c>
      <c r="CZ98" s="115">
        <f t="shared" ca="1" si="78"/>
        <v>0</v>
      </c>
      <c r="DA98" s="115">
        <f ca="1">IF(模拟模式!$N$7="日月同辉",IF(DB97=2,0,MIN(6,IF(AND(OR(C98="赤日轮1",C98="赤日轮2",C98="赤日轮3",C98="幽月轮1",C98="幽月轮2",C98="幽月轮3"),AB98=1),DA97+1,DA97))),0)</f>
        <v>4</v>
      </c>
      <c r="DB98" s="115">
        <f t="shared" ca="1" si="79"/>
        <v>0</v>
      </c>
      <c r="DD98" s="115"/>
      <c r="DE98" s="115"/>
      <c r="DF98" s="115"/>
      <c r="DG98" s="115"/>
      <c r="DH98" s="115"/>
      <c r="DI98" s="115"/>
      <c r="DJ98" s="115"/>
      <c r="DK98" s="115"/>
      <c r="DL98" s="115"/>
      <c r="DM98" s="115"/>
    </row>
    <row r="99" spans="2:117" x14ac:dyDescent="0.2">
      <c r="B99" s="117">
        <f t="shared" si="80"/>
        <v>66.419999999999973</v>
      </c>
      <c r="C99" s="167" t="str">
        <f t="shared" ca="1" si="66"/>
        <v>赤日轮1</v>
      </c>
      <c r="D99" s="115">
        <f ca="1">IF(C99="赤日轮1",1,IF(C99="赤日轮2",2,IF(C99="赤日轮3",3,IF(C99="幽月轮1",4,IF(C99="幽月轮2",5,IF(C99="幽月轮3",6,IF(C99="烈日斩",7,IF(C99="银月斩",8,IF(C99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99="净世破魔击·月",17,IF(C99="驱夜断愁",18,0)))))))))))</f>
        <v>1</v>
      </c>
      <c r="E99" s="115">
        <f ca="1">IF(AND(CU99,OR(C99="幽月轮1",C99="幽月轮2",C99="幽月轮3",C99="银月斩",C99="驱夜断愁",C99="净世破魔击·月")),100,MIN(IF(OR(CN99,BE99),0,IF(OR($C99="赤日轮1",$C99="赤日轮2",$C99="赤日轮3"),E98+20+IF(模拟模式!$I$7="日月凌天",4,0)+IF(CR98,20,0),IF($C99="烈日斩",E98+40,IF($C99="驱夜断愁",IF(模拟模式!$R$7="万念俱寂",E98+20,E98+60),IF($C99="净世破魔击·月",IF(OR(DB98&gt;0,CV98&gt;0),100,IF(模拟模式!$M$7="辉耀红尘",E98+20,E98)),IF($C99="净世破魔击·日",E98-100,E98)))))),100))</f>
        <v>20</v>
      </c>
      <c r="F99" s="115">
        <f ca="1">IF(AND(CU99,OR(C99="赤日轮1",C99="赤日轮2",C99="赤日轮3",C99="烈日斩",C99="净世破魔击·日")),100,MIN(IF(CO99,0,IF(OR($C99="幽月轮1",$C99="幽月轮2",$C99="幽月轮3"),F98+20+IF(模拟模式!$I$7="日月凌天",4,0)+IF(CS98,20,0),IF($C99="银月斩",F98+40+IF(模拟模式!$X$12=1,5,0),IF($C99="驱夜断愁",IF(模拟模式!$R$7="万念俱寂",F98+20,F98+60),IF($C99="净世破魔击·月",IF(模拟模式!$M$7="辉耀红尘",F98-80,F98-100),IF(AND(C99="净世破魔击·日",OR(DB98&gt;0,CV98&gt;0)),100,F98)))))),100))</f>
        <v>20</v>
      </c>
      <c r="G99" s="117">
        <f ca="1">('模拟-全程加成'!$E$3+'模拟-全程加成'!$E$4+'模拟-全程加成'!$E$5+('模拟-全程加成'!$C$6-'模拟-全程加成'!$C$3)*系数!$B$9+BS99*23)*(1+'模拟-全程加成'!$F$4+'模拟-全程加成'!$F$5+BJ99*10%+BM99*20%+BP99*4%+CG99*30%)+$F$7*系数!$B$12</f>
        <v>21493.829400000002</v>
      </c>
      <c r="H99" s="45">
        <f ca="1">'模拟-全程加成'!$H$3+'模拟-全程加成'!$H$4+'模拟-全程加成'!$H$5+('模拟-全程加成'!$G$4+'模拟-全程加成'!$G$5+('模拟-全程加成'!$C$6-'模拟-全程加成'!$C$3)*系数!$B$13)/系数!$B$3+LOOKUP(D99,'模拟-单技能数据'!$A$2:$A$19,'模拟-单技能数据'!$K$2:$K$19)+BG99*10%+IF(BV99&gt;0,378,0)</f>
        <v>0.4618514552730022</v>
      </c>
      <c r="I99" s="45">
        <f ca="1">'模拟-全程加成'!$J$3+'模拟-全程加成'!$J$4+'模拟-全程加成'!$J$5+('模拟-全程加成'!$I$4+'模拟-全程加成'!$I$5)/系数!$B$4+LOOKUP(D99,'模拟-单技能数据'!$A$2:$A$19,'模拟-单技能数据'!$L$2:$L$19)+BG99*10%</f>
        <v>2.162482885499879</v>
      </c>
      <c r="J99" s="45">
        <f ca="1">(('模拟-全程加成'!$K$3+'模拟-全程加成'!$K$4+'模拟-全程加成'!$K$5+('模拟-全程加成'!$C$6-'模拟-全程加成'!$C$3)*系数!$B$10+IF(BV99&gt;0,882,0)+IF(BY99&gt;0,1831,0))*(1+'模拟-全程加成'!$L$4+'模拟-全程加成'!$L$5+CC99*20%))/系数!$B$5</f>
        <v>0.69723220422048726</v>
      </c>
      <c r="K99" s="119">
        <f ca="1">LOOKUP(D99,'模拟-单技能数据'!$A$2:$A$19,'模拟-单技能数据'!$J$2:$J$19)+IF(CM99,60%,0)+IF(DB98-DB99&gt;0,30%,0)+IF(OR(AND(OR(C99="赤日轮1",C99="赤日轮2",C99="赤日轮3"),CR99),AND(OR(C99="幽月轮1",C99="幽月轮2",C99="幽月轮3"),CS99)),35%,0)+CJ99</f>
        <v>0.12</v>
      </c>
      <c r="L99" s="119">
        <f ca="1">IF(AND(C99="烈日斩",模拟模式!$X$11=1),10%,0)+IF(AND(C99="驱夜断愁",AB99=1),30%,0)</f>
        <v>0</v>
      </c>
      <c r="M99" s="45">
        <f t="shared" ca="1" si="81"/>
        <v>0.4618514552730022</v>
      </c>
      <c r="N99" s="45">
        <f t="shared" ca="1" si="82"/>
        <v>0.48424854472699785</v>
      </c>
      <c r="O99" s="46">
        <f t="shared" ca="1" si="83"/>
        <v>0.96046082307001934</v>
      </c>
      <c r="P99" s="46" t="str">
        <f t="shared" ca="1" si="84"/>
        <v>命</v>
      </c>
      <c r="Q99" s="45">
        <f t="shared" ca="1" si="85"/>
        <v>1</v>
      </c>
      <c r="R99" s="117">
        <f ca="1">模拟模式!$E$20*(1-IF(模拟模式!$J$19="有",0.15,0))*(1-IF(模拟模式!$K$19="有",0.3,0)-IF(CQ99,0.5,0))</f>
        <v>843.02999999999975</v>
      </c>
      <c r="S99" s="45">
        <f ca="1">R99/(R99+(185*模拟模式!$E$22-16800)*4.08224)</f>
        <v>8.389626085980037E-2</v>
      </c>
      <c r="T99" s="45" t="str">
        <f ca="1">LOOKUP(D99,'模拟-单技能数据'!$A$2:$A$19,'模拟-单技能数据'!$H$2:$H$19)</f>
        <v>阳</v>
      </c>
      <c r="U99" s="119">
        <f t="shared" ca="1" si="86"/>
        <v>0.2</v>
      </c>
      <c r="V99" s="47">
        <f ca="1">(1+L99)*(LOOKUP(D99,'模拟-单技能数据'!$A$2:$A$19,'模拟-单技能数据'!$D$2:$D$19)+G99*LOOKUP(D99,'模拟-单技能数据'!$A$2:$A$19,'模拟-单技能数据'!$F$2:$F$19))*(1+J99)*(1+K99)*(1-S99)*(1+U99)*Q99*LOOKUP(D99,'模拟-单技能数据'!$A$2:$A$19,'模拟-单技能数据'!$I$2:$I$20)</f>
        <v>26295.771631143321</v>
      </c>
      <c r="W99" s="47">
        <f ca="1">LOOKUP(D99,'模拟-单技能数据'!$A$2:$A$19,'模拟-单技能数据'!$G$2:$G$19)*$I$10</f>
        <v>361.51064354704795</v>
      </c>
      <c r="X99" s="47">
        <f t="shared" ca="1" si="87"/>
        <v>11607.89185245618</v>
      </c>
      <c r="Y99" s="47">
        <f t="shared" ca="1" si="88"/>
        <v>38265.174127146551</v>
      </c>
      <c r="Z99" s="49">
        <f t="shared" ca="1" si="89"/>
        <v>7310579.6983309202</v>
      </c>
      <c r="AA99" s="97">
        <f t="shared" ca="1" si="90"/>
        <v>110065.9394509323</v>
      </c>
      <c r="AB99" s="115">
        <f ca="1">IF(OR(C99="赤日轮1",C99="赤日轮2",C99="赤日轮3"),IF(RAND()&lt;模拟模式!$Y$17,1,0),IF(OR(C99="幽月轮1",C99="幽月轮2",C99="幽月轮3"),IF(RAND()&lt;模拟模式!$Y$18,1,0),IF(C99="烈日斩",IF(RAND()&lt;模拟模式!$Y$19,1,0),IF(C99="银月斩",IF(RAND()&lt;模拟模式!$Y$20,1,0),IF(C99="驱夜断愁",IF(RAND()&lt;模拟模式!$Y$21,1,0),IF(C99="净世破魔击·日",IF(RAND()&lt;模拟模式!$Y$22,1,0),IF(C99="净世破魔击·月",IF(RAND()&lt;模拟模式!$Y$23,1,0),0)))))))</f>
        <v>1</v>
      </c>
      <c r="AC99" s="115" t="b">
        <f t="shared" ca="1" si="67"/>
        <v>0</v>
      </c>
      <c r="AD99" s="115" t="b">
        <f t="shared" ca="1" si="118"/>
        <v>0</v>
      </c>
      <c r="AE99" s="115">
        <f t="shared" ca="1" si="119"/>
        <v>0</v>
      </c>
      <c r="AF99" s="47">
        <f ca="1">IF(AC99,('模拟-单技能数据'!$D$20+G99*'模拟-单技能数据'!$F$20)*(1+J99)*(1+'模拟-单技能数据'!$J$20)*(1+U99),0)</f>
        <v>0</v>
      </c>
      <c r="AG99" s="61">
        <f t="shared" ca="1" si="91"/>
        <v>0.64185145527300214</v>
      </c>
      <c r="AH99" s="61">
        <f t="shared" ca="1" si="92"/>
        <v>2.2624828854998791</v>
      </c>
      <c r="AI99" s="62">
        <f t="shared" ca="1" si="93"/>
        <v>0.93907638043820807</v>
      </c>
      <c r="AJ99" s="47">
        <f ca="1">IF(AD99,IF(AI99&lt;$F$10,0,IF(AI99&lt;$F$10+$F$11,0.25,IF(AI99&lt;$F$10+$F$11+AG99,AH99,1)))*IF(AF99&gt;0,AF99,IF(AF98&gt;0,AF98,IF(AF97&gt;0,AF97,IF(AF96&gt;0,AF96,IF(AF95&gt;0,AF95,IF(AF94&gt;0,AF94,IF(AF93&gt;0,AF93,IF(AF92&gt;0,AF92,IF(AF91&gt;0,AF91,IF(AF89&gt;0,AF89,IF(AF88&gt;0,AF88,IF(AF87&gt;0,AF87,0)))))))))))),0)*(1-$S99)*'模拟-单技能数据'!$I$20</f>
        <v>0</v>
      </c>
      <c r="AK99" s="115" t="b">
        <f t="shared" ca="1" si="68"/>
        <v>0</v>
      </c>
      <c r="AL99" s="115" t="b">
        <f t="shared" ca="1" si="120"/>
        <v>1</v>
      </c>
      <c r="AM99" s="115">
        <f t="shared" ca="1" si="121"/>
        <v>5</v>
      </c>
      <c r="AN99" s="47">
        <f ca="1">IF(AK99,('模拟-单技能数据'!$D$21+G99*'模拟-单技能数据'!$F$21)*(1+J99)*(1+'模拟-单技能数据'!$J$21)*(1+U99),0)</f>
        <v>0</v>
      </c>
      <c r="AO99" s="61">
        <f ca="1">IF(AN99&gt;0,M99-'模拟-单技能数据'!$K$10,AO98)</f>
        <v>0.42185145527300216</v>
      </c>
      <c r="AP99" s="61">
        <f ca="1">IF(AN99&gt;0,I99-'模拟-单技能数据'!$L$10,AP98)</f>
        <v>2.162482885499879</v>
      </c>
      <c r="AQ99" s="63">
        <f t="shared" ca="1" si="94"/>
        <v>0.71765846835115343</v>
      </c>
      <c r="AR99" s="64">
        <f ca="1">IF(AL99,IF(AQ99&lt;$F$10,0,IF(AQ99&lt;$F$10+$F$11,0.25,IF(AQ99&lt;$F$10+$F$11+AO99,AP99,1)))*IF(AN99&gt;0,AN99,IF(AN98&gt;0,AN98,IF(AN97&gt;0,AN97,IF(AN96&gt;0,AN96,IF(AN95&gt;0,AN95,IF(AN94&gt;0,AN94,IF(AN93&gt;0,AN93,IF(AN92&gt;0,AN92,IF(AN91&gt;0,AN91,IF(AN89&gt;0,AN89,IF(AN88&gt;0,AN88,IF(AN87&gt;0,AN87,0)))))))))))),0)*(1-$S99)*'模拟-单技能数据'!$I$21</f>
        <v>11607.89185245618</v>
      </c>
      <c r="AS99" s="61">
        <f ca="1">IF(OR(C99="净世破魔击·日",C99="净世破魔击·月"),M99-'模拟-单技能数据'!$K$10,0)</f>
        <v>0</v>
      </c>
      <c r="AT99" s="61">
        <f ca="1">IF(OR(C99="净世破魔击·日",C99="净世破魔击·月"),I99-'模拟-单技能数据'!$L$10,0)</f>
        <v>0</v>
      </c>
      <c r="AU99" s="62">
        <f t="shared" ca="1" si="95"/>
        <v>0.53681204492494461</v>
      </c>
      <c r="AV99" s="64">
        <f ca="1">IF(AS99&gt;0,('模拟-单技能数据'!$D$22+G99*'模拟-单技能数据'!$F$22)*(1+J99)*(1-S99)*IF(AU99&lt;$F$10,0,IF(AU99&lt;$F$10+$F$11,0.25,IF(AU99&lt;$F$10+$F$11+AS99,AT99,1)))*(1+U99),0)*'模拟-单技能数据'!$I$22</f>
        <v>0</v>
      </c>
      <c r="AW99" s="108">
        <f t="shared" ca="1" si="96"/>
        <v>10.775000000000006</v>
      </c>
      <c r="AX99" s="108" t="b">
        <f ca="1">AND(模拟模式!$P$10="有",AW98=0,RAND()&lt;IF(C99="净世破魔击·月",0.1*8/3,IF(C99="净世破魔击·日",0.1*4/3,0.1*2/3)))</f>
        <v>0</v>
      </c>
      <c r="AY99" s="47">
        <f ca="1">IF(AX99,(18+G99*0.722)*(1+J99)*(1-S99)*(1+$I$4)*IF(P99="会",'模拟-全程加成'!$J$3+'模拟-全程加成'!$J$4+'模拟-全程加成'!$J$5+('模拟-全程加成'!$I$4+'模拟-全程加成'!$I$5)/系数!$B$4+BG99*10%,IF(P99="命",1,IF(P99="识",0.25,0))),0)</f>
        <v>0</v>
      </c>
      <c r="AZ99" s="108">
        <f t="shared" si="97"/>
        <v>14.465000000000003</v>
      </c>
      <c r="BA99" s="108" t="b">
        <f>AND(模拟模式!$Q$10="有",AZ98=0)</f>
        <v>0</v>
      </c>
      <c r="BB99" s="140">
        <f>IF(BA99,(0+G99*0.287)*(1+J99)*(1-S99)*(1+$I$4)*IF(P99="会",'模拟-全程加成'!$J$3+'模拟-全程加成'!$J$4+'模拟-全程加成'!$J$5+('模拟-全程加成'!$I$4+'模拟-全程加成'!$I$5)/系数!$B$4+BG99*10%,IF(P99="命",1,IF(P99="识",0.25,0))),0)</f>
        <v>0</v>
      </c>
      <c r="BC99" s="115" t="b">
        <f ca="1">AND(模拟模式!$R$7="伏明众生",E99=60,F99=20,DA99&lt;5,CZ98&lt;$F$4)</f>
        <v>0</v>
      </c>
      <c r="BD99" s="115">
        <f t="shared" ca="1" si="69"/>
        <v>0</v>
      </c>
      <c r="BE99" s="115" t="b">
        <f t="shared" ca="1" si="70"/>
        <v>0</v>
      </c>
      <c r="BF99" s="47">
        <f ca="1">IF(BC99,4*('模拟-单技能数据'!$D$24+G99*'模拟-单技能数据'!$F$24)*(1+J99)*(1+'模拟-单技能数据'!$J$24)*(1-S99)*(1+$I$3)*(('模拟-全程加成'!$J$3+'模拟-全程加成'!$J$4+'模拟-全程加成'!$J$5+('模拟-全程加成'!$I$4+'模拟-全程加成'!$I$5)/系数!$B$4+BG99*10%)*('模拟-全程加成'!$J$3+'模拟-全程加成'!$J$4+'模拟-全程加成'!$J$5+('模拟-全程加成'!$I$4+'模拟-全程加成'!$I$5)/系数!$B$4+BG99*10%)+(1-('模拟-全程加成'!$J$3+'模拟-全程加成'!$J$4+'模拟-全程加成'!$J$5+('模拟-全程加成'!$I$4+'模拟-全程加成'!$I$5)/系数!$B$4+BG99*10%)-$F$10-$F$11)+F85*0.25),0)*'模拟-单技能数据'!$I$24</f>
        <v>0</v>
      </c>
      <c r="BG99" s="115" t="b">
        <f ca="1">OR(AND(OR(C99="烈日斩",C99="银月斩"),模拟模式!$I$7="净身明礼"),AND(C99="净世破魔击·日",模拟模式!$J$7="洞若观火"),AND(C100="净世破魔击·月",模拟模式!$J$7="洞若观火"),AB99=1)</f>
        <v>1</v>
      </c>
      <c r="BH99" s="115" t="b">
        <f t="shared" ca="1" si="98"/>
        <v>0</v>
      </c>
      <c r="BI99" s="115">
        <f t="shared" ca="1" si="71"/>
        <v>0.46499999999999975</v>
      </c>
      <c r="BJ99" s="115" t="b">
        <f t="shared" ca="1" si="99"/>
        <v>1</v>
      </c>
      <c r="BK99" s="115" t="b">
        <f ca="1">AND(C99="驱夜断愁",模拟模式!$P$7="天地诛戮")</f>
        <v>0</v>
      </c>
      <c r="BL99" s="57">
        <f t="shared" ca="1" si="72"/>
        <v>8.9300000000000068</v>
      </c>
      <c r="BM99" s="115" t="b">
        <f t="shared" ca="1" si="100"/>
        <v>1</v>
      </c>
      <c r="BN99" s="115" t="b">
        <f ca="1">AND(OR(C99="赤日轮1",C99="赤日轮2",C99="赤日轮3",C99="幽月轮1",C99="幽月轮2",C99="幽月轮3"),AB99=1,模拟模式!$L$7="明光恒照")</f>
        <v>1</v>
      </c>
      <c r="BO99" s="117">
        <f t="shared" ca="1" si="73"/>
        <v>30</v>
      </c>
      <c r="BP99" s="115">
        <f t="shared" ca="1" si="101"/>
        <v>6</v>
      </c>
      <c r="BQ99" s="115" t="b">
        <f>模拟模式!$K$10="2600·水"</f>
        <v>0</v>
      </c>
      <c r="BR99" s="117">
        <f t="shared" si="102"/>
        <v>0</v>
      </c>
      <c r="BS99" s="115">
        <f t="shared" si="103"/>
        <v>0</v>
      </c>
      <c r="BT99" s="115">
        <f t="shared" ca="1" si="104"/>
        <v>0</v>
      </c>
      <c r="BU99" s="115" t="b">
        <f ca="1">AND(模拟模式!$K$10="2300·雷",BT98=0,RAND()&lt;IF(C99="净世破魔击·月",5*0.05*2/3,IF(C99="净世破魔击·日",3*0.05*2/3,0.05*2*2/3)))</f>
        <v>0</v>
      </c>
      <c r="BV99" s="115">
        <f t="shared" ca="1" si="105"/>
        <v>0</v>
      </c>
      <c r="BW99" s="115">
        <f t="shared" ca="1" si="106"/>
        <v>119.11499999999924</v>
      </c>
      <c r="BX99" s="164" t="b">
        <f t="shared" ca="1" si="107"/>
        <v>0</v>
      </c>
      <c r="BY99" s="115">
        <f t="shared" ca="1" si="108"/>
        <v>0</v>
      </c>
      <c r="BZ99" s="115">
        <f>IF(OR(模拟模式!$P$16="10人团",模拟模式!$P$16="25人团"),IF(B99/30&gt;CA98,1,0),0)</f>
        <v>0</v>
      </c>
      <c r="CA99" s="115">
        <f t="shared" si="74"/>
        <v>0</v>
      </c>
      <c r="CB99" s="115">
        <f ca="1">IF(BZ99=1,IF(模拟模式!$P$16="10人团",15,0)+IF(模拟模式!$P$16="25人团",IF(RAND()&lt;0.6,15,0)),MAX(0,CB98-$F$4))</f>
        <v>0</v>
      </c>
      <c r="CC99" s="115" t="b">
        <f t="shared" ca="1" si="109"/>
        <v>0</v>
      </c>
      <c r="CD99" s="115">
        <f>IF(模拟模式!$Q$16="1个",IF(B99/40&gt;CE98,1,0),0)</f>
        <v>0</v>
      </c>
      <c r="CE99" s="115">
        <f t="shared" si="110"/>
        <v>0</v>
      </c>
      <c r="CF99" s="115">
        <f>IF(OR(CD99=1,模拟模式!$Q$16="2个"),20,MAX(0,CF98-$F$4))</f>
        <v>0</v>
      </c>
      <c r="CG99" s="115" t="b">
        <f t="shared" si="111"/>
        <v>0</v>
      </c>
      <c r="CH99" s="115">
        <f t="shared" ca="1" si="112"/>
        <v>0</v>
      </c>
      <c r="CI99" s="115" t="b">
        <f t="shared" ca="1" si="113"/>
        <v>0</v>
      </c>
      <c r="CJ99" s="119">
        <f t="shared" ca="1" si="114"/>
        <v>0</v>
      </c>
      <c r="CK99" s="115">
        <f t="shared" ca="1" si="115"/>
        <v>0</v>
      </c>
      <c r="CL99" s="115" t="b">
        <f ca="1">AND(模拟模式!$S$7="驱夷逐法",OR(AND(C99="净世破魔击·月",E98&gt;59),AND(C99="净世破魔击·日",F98&gt;59)))</f>
        <v>0</v>
      </c>
      <c r="CM99" s="115" t="b">
        <f ca="1">OR(CL99,AND(C99="净世破魔击·日",CL98,RAND()&lt;模拟模式!$U$23))</f>
        <v>0</v>
      </c>
      <c r="CN99" s="115" t="b">
        <f ca="1">IF(模拟模式!$M$7="辉耀红尘",AND(C99="净世破魔击·月",CL99,CV99=0,E98&lt;80),AND(C99="净世破魔击·月",CL99,E98&lt;100))</f>
        <v>0</v>
      </c>
      <c r="CO99" s="115" t="b">
        <f t="shared" ca="1" si="75"/>
        <v>0</v>
      </c>
      <c r="CP99" s="115" t="b">
        <f ca="1">AND(模拟模式!$O$7="用晦而明",OR(C99="净世破魔击·日",C99="净世破魔击·月",C99="驱夜断愁"),AB99)</f>
        <v>0</v>
      </c>
      <c r="CQ99" s="115" t="b">
        <f ca="1">OR(CP99,AND(CP98,RAND()&lt;模拟模式!$U$23))</f>
        <v>1</v>
      </c>
      <c r="CR99" s="115" t="b">
        <f ca="1">AND(模拟模式!$S$7="日月齐光",OR(C99="幽月轮1",C99="幽月轮2",C99="幽月轮3",CR98),NOT(OR(C99="赤日轮1",C99="赤日轮2",C99="赤日轮3")))</f>
        <v>0</v>
      </c>
      <c r="CS99" s="115" t="b">
        <f ca="1">AND(模拟模式!$S$7="日月齐光",OR(C99="赤日轮1",C99="赤日轮2",C99="赤日轮3",CS98),NOT(OR(C99="幽月轮1",C99="幽月轮2",C99="幽月轮3")))</f>
        <v>0</v>
      </c>
      <c r="CT99" s="115">
        <f t="shared" ca="1" si="116"/>
        <v>23.542500000000004</v>
      </c>
      <c r="CU99" s="115" t="b">
        <f ca="1">AND(模拟模式!$K$10="阴阳往极",CT98=0,RAND()&lt;IF(C99="净世破魔击·月",0.0275*7/3,IF(C99="净世破魔击·日",0.0275*3/3,0.0275*2/3)))</f>
        <v>0</v>
      </c>
      <c r="CV99" s="115">
        <f t="shared" ca="1" si="117"/>
        <v>0</v>
      </c>
      <c r="CW99" s="115">
        <f t="shared" ca="1" si="76"/>
        <v>0</v>
      </c>
      <c r="CX99" s="115">
        <f t="shared" ca="1" si="77"/>
        <v>0</v>
      </c>
      <c r="CY99" s="115">
        <f ca="1">MAX(IF($C99="驱夜断愁",IF(模拟模式!$R$7="万念俱寂",6,45),CY98-$F$4),0)</f>
        <v>0</v>
      </c>
      <c r="CZ99" s="115">
        <f t="shared" ca="1" si="78"/>
        <v>0</v>
      </c>
      <c r="DA99" s="115">
        <f ca="1">IF(模拟模式!$N$7="日月同辉",IF(DB98=2,0,MIN(6,IF(AND(OR(C99="赤日轮1",C99="赤日轮2",C99="赤日轮3",C99="幽月轮1",C99="幽月轮2",C99="幽月轮3"),AB99=1),DA98+1,DA98))),0)</f>
        <v>5</v>
      </c>
      <c r="DB99" s="115">
        <f t="shared" ca="1" si="79"/>
        <v>0</v>
      </c>
      <c r="DD99" s="115"/>
      <c r="DE99" s="115"/>
      <c r="DF99" s="115"/>
      <c r="DG99" s="115"/>
      <c r="DH99" s="115"/>
      <c r="DI99" s="115"/>
      <c r="DJ99" s="115"/>
      <c r="DK99" s="115"/>
      <c r="DL99" s="115"/>
      <c r="DM99" s="115"/>
    </row>
    <row r="100" spans="2:117" x14ac:dyDescent="0.2">
      <c r="B100" s="117">
        <f t="shared" si="80"/>
        <v>67.342499999999973</v>
      </c>
      <c r="C100" s="167" t="str">
        <f t="shared" ca="1" si="66"/>
        <v>银月斩</v>
      </c>
      <c r="D100" s="115">
        <f ca="1">IF(C100="赤日轮1",1,IF(C100="赤日轮2",2,IF(C100="赤日轮3",3,IF(C100="幽月轮1",4,IF(C100="幽月轮2",5,IF(C100="幽月轮3",6,IF(C100="烈日斩",7,IF(C100="银月斩",8,IF(C100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100="净世破魔击·月",17,IF(C100="驱夜断愁",18,0)))))))))))</f>
        <v>8</v>
      </c>
      <c r="E100" s="115">
        <f ca="1">IF(AND(CU100,OR(C100="幽月轮1",C100="幽月轮2",C100="幽月轮3",C100="银月斩",C100="驱夜断愁",C100="净世破魔击·月")),100,MIN(IF(OR(CN100,BE100),0,IF(OR($C100="赤日轮1",$C100="赤日轮2",$C100="赤日轮3"),E99+20+IF(模拟模式!$I$7="日月凌天",4,0)+IF(CR99,20,0),IF($C100="烈日斩",E99+40,IF($C100="驱夜断愁",IF(模拟模式!$R$7="万念俱寂",E99+20,E99+60),IF($C100="净世破魔击·月",IF(OR(DB99&gt;0,CV99&gt;0),100,IF(模拟模式!$M$7="辉耀红尘",E99+20,E99)),IF($C100="净世破魔击·日",E99-100,E99)))))),100))</f>
        <v>20</v>
      </c>
      <c r="F100" s="115">
        <f ca="1">IF(AND(CU100,OR(C100="赤日轮1",C100="赤日轮2",C100="赤日轮3",C100="烈日斩",C100="净世破魔击·日")),100,MIN(IF(CO100,0,IF(OR($C100="幽月轮1",$C100="幽月轮2",$C100="幽月轮3"),F99+20+IF(模拟模式!$I$7="日月凌天",4,0)+IF(CS99,20,0),IF($C100="银月斩",F99+40+IF(模拟模式!$X$12=1,5,0),IF($C100="驱夜断愁",IF(模拟模式!$R$7="万念俱寂",F99+20,F99+60),IF($C100="净世破魔击·月",IF(模拟模式!$M$7="辉耀红尘",F99-80,F99-100),IF(AND(C100="净世破魔击·日",OR(DB99&gt;0,CV99&gt;0)),100,F99)))))),100))</f>
        <v>65</v>
      </c>
      <c r="G100" s="117">
        <f ca="1">('模拟-全程加成'!$E$3+'模拟-全程加成'!$E$4+'模拟-全程加成'!$E$5+('模拟-全程加成'!$C$6-'模拟-全程加成'!$C$3)*系数!$B$9+BS100*23)*(1+'模拟-全程加成'!$F$4+'模拟-全程加成'!$F$5+BJ100*10%+BM100*20%+BP100*4%+CG100*30%)+$F$7*系数!$B$12</f>
        <v>21493.829400000002</v>
      </c>
      <c r="H100" s="45">
        <f ca="1">'模拟-全程加成'!$H$3+'模拟-全程加成'!$H$4+'模拟-全程加成'!$H$5+('模拟-全程加成'!$G$4+'模拟-全程加成'!$G$5+('模拟-全程加成'!$C$6-'模拟-全程加成'!$C$3)*系数!$B$13)/系数!$B$3+LOOKUP(D100,'模拟-单技能数据'!$A$2:$A$19,'模拟-单技能数据'!$K$2:$K$19)+BG100*10%+IF(BV100&gt;0,378,0)</f>
        <v>0.64185145527300214</v>
      </c>
      <c r="I100" s="45">
        <f ca="1">'模拟-全程加成'!$J$3+'模拟-全程加成'!$J$4+'模拟-全程加成'!$J$5+('模拟-全程加成'!$I$4+'模拟-全程加成'!$I$5)/系数!$B$4+LOOKUP(D100,'模拟-单技能数据'!$A$2:$A$19,'模拟-单技能数据'!$L$2:$L$19)+BG100*10%</f>
        <v>2.2624828854998791</v>
      </c>
      <c r="J100" s="45">
        <f ca="1">(('模拟-全程加成'!$K$3+'模拟-全程加成'!$K$4+'模拟-全程加成'!$K$5+('模拟-全程加成'!$C$6-'模拟-全程加成'!$C$3)*系数!$B$10+IF(BV100&gt;0,882,0)+IF(BY100&gt;0,1831,0))*(1+'模拟-全程加成'!$L$4+'模拟-全程加成'!$L$5+CC100*20%))/系数!$B$5</f>
        <v>0.69723220422048726</v>
      </c>
      <c r="K100" s="119">
        <f ca="1">LOOKUP(D100,'模拟-单技能数据'!$A$2:$A$19,'模拟-单技能数据'!$J$2:$J$19)+IF(CM100,60%,0)+IF(DB99-DB100&gt;0,30%,0)+IF(OR(AND(OR(C100="赤日轮1",C100="赤日轮2",C100="赤日轮3"),CR100),AND(OR(C100="幽月轮1",C100="幽月轮2",C100="幽月轮3"),CS100)),35%,0)+CJ100</f>
        <v>0.15</v>
      </c>
      <c r="L100" s="119">
        <f ca="1">IF(AND(C100="烈日斩",模拟模式!$X$11=1),10%,0)+IF(AND(C100="驱夜断愁",AB100=1),30%,0)</f>
        <v>0</v>
      </c>
      <c r="M100" s="45">
        <f t="shared" ca="1" si="81"/>
        <v>0.64185145527300214</v>
      </c>
      <c r="N100" s="45">
        <f t="shared" ca="1" si="82"/>
        <v>0.30424854472699792</v>
      </c>
      <c r="O100" s="46">
        <f t="shared" ca="1" si="83"/>
        <v>0.25586931973935145</v>
      </c>
      <c r="P100" s="46" t="str">
        <f t="shared" ca="1" si="84"/>
        <v>会</v>
      </c>
      <c r="Q100" s="45">
        <f t="shared" ca="1" si="85"/>
        <v>2.2624828854998791</v>
      </c>
      <c r="R100" s="117">
        <f ca="1">模拟模式!$E$20*(1-IF(模拟模式!$J$19="有",0.15,0))*(1-IF(模拟模式!$K$19="有",0.3,0)-IF(CQ100,0.5,0))</f>
        <v>2950.6049999999996</v>
      </c>
      <c r="S100" s="45">
        <f ca="1">R100/(R100+(185*模拟模式!$E$22-16800)*4.08224)</f>
        <v>0.24272716014590323</v>
      </c>
      <c r="T100" s="45" t="str">
        <f ca="1">LOOKUP(D100,'模拟-单技能数据'!$A$2:$A$19,'模拟-单技能数据'!$H$2:$H$19)</f>
        <v>阴</v>
      </c>
      <c r="U100" s="119">
        <f t="shared" ca="1" si="86"/>
        <v>0.08</v>
      </c>
      <c r="V100" s="47">
        <f ca="1">(1+L100)*(LOOKUP(D100,'模拟-单技能数据'!$A$2:$A$19,'模拟-单技能数据'!$D$2:$D$19)+G100*LOOKUP(D100,'模拟-单技能数据'!$A$2:$A$19,'模拟-单技能数据'!$F$2:$F$19))*(1+J100)*(1+K100)*(1-S100)*(1+U100)*Q100*LOOKUP(D100,'模拟-单技能数据'!$A$2:$A$19,'模拟-单技能数据'!$I$2:$I$20)</f>
        <v>41211.704893206668</v>
      </c>
      <c r="W100" s="47">
        <f ca="1">LOOKUP(D100,'模拟-单技能数据'!$A$2:$A$19,'模拟-单技能数据'!$G$2:$G$19)*$I$10</f>
        <v>361.51064354704795</v>
      </c>
      <c r="X100" s="47">
        <f t="shared" ca="1" si="87"/>
        <v>7949.3543492067038</v>
      </c>
      <c r="Y100" s="47">
        <f t="shared" ca="1" si="88"/>
        <v>49522.569885960424</v>
      </c>
      <c r="Z100" s="49">
        <f t="shared" ca="1" si="89"/>
        <v>7360102.268216881</v>
      </c>
      <c r="AA100" s="97">
        <f t="shared" ca="1" si="90"/>
        <v>109293.57045278812</v>
      </c>
      <c r="AB100" s="115">
        <f ca="1">IF(OR(C100="赤日轮1",C100="赤日轮2",C100="赤日轮3"),IF(RAND()&lt;模拟模式!$Y$17,1,0),IF(OR(C100="幽月轮1",C100="幽月轮2",C100="幽月轮3"),IF(RAND()&lt;模拟模式!$Y$18,1,0),IF(C100="烈日斩",IF(RAND()&lt;模拟模式!$Y$19,1,0),IF(C100="银月斩",IF(RAND()&lt;模拟模式!$Y$20,1,0),IF(C100="驱夜断愁",IF(RAND()&lt;模拟模式!$Y$21,1,0),IF(C100="净世破魔击·日",IF(RAND()&lt;模拟模式!$Y$22,1,0),IF(C100="净世破魔击·月",IF(RAND()&lt;模拟模式!$Y$23,1,0),0)))))))</f>
        <v>1</v>
      </c>
      <c r="AC100" s="115" t="b">
        <f t="shared" ca="1" si="67"/>
        <v>1</v>
      </c>
      <c r="AD100" s="115" t="b">
        <f t="shared" ca="1" si="118"/>
        <v>1</v>
      </c>
      <c r="AE100" s="115">
        <f t="shared" ca="1" si="119"/>
        <v>6</v>
      </c>
      <c r="AF100" s="47">
        <f ca="1">IF(AC100,('模拟-单技能数据'!$D$20+G100*'模拟-单技能数据'!$F$20)*(1+J100)*(1+'模拟-单技能数据'!$J$20)*(1+U100),0)</f>
        <v>4639.7456468263617</v>
      </c>
      <c r="AG100" s="61">
        <f t="shared" ca="1" si="91"/>
        <v>0.64185145527300214</v>
      </c>
      <c r="AH100" s="61">
        <f t="shared" ca="1" si="92"/>
        <v>2.2624828854998791</v>
      </c>
      <c r="AI100" s="62">
        <f t="shared" ca="1" si="93"/>
        <v>0.62656842262961898</v>
      </c>
      <c r="AJ100" s="47">
        <f ca="1">IF(AD100,IF(AI100&lt;$F$10,0,IF(AI100&lt;$F$10+$F$11,0.25,IF(AI100&lt;$F$10+$F$11+AG100,AH100,1)))*IF(AF100&gt;0,AF100,IF(AF99&gt;0,AF99,IF(AF98&gt;0,AF98,IF(AF97&gt;0,AF97,IF(AF96&gt;0,AF96,IF(AF95&gt;0,AF95,IF(AF94&gt;0,AF94,IF(AF93&gt;0,AF93,IF(AF92&gt;0,AF92,IF(AF90&gt;0,AF90,IF(AF89&gt;0,AF89,IF(AF88&gt;0,AF88,0)))))))))))),0)*(1-$S100)*'模拟-单技能数据'!$I$20</f>
        <v>7949.3543492067038</v>
      </c>
      <c r="AK100" s="115" t="b">
        <f t="shared" ca="1" si="68"/>
        <v>0</v>
      </c>
      <c r="AL100" s="115" t="b">
        <f t="shared" ca="1" si="120"/>
        <v>0</v>
      </c>
      <c r="AM100" s="115">
        <f t="shared" ca="1" si="121"/>
        <v>5</v>
      </c>
      <c r="AN100" s="47">
        <f ca="1">IF(AK100,('模拟-单技能数据'!$D$21+G100*'模拟-单技能数据'!$F$21)*(1+J100)*(1+'模拟-单技能数据'!$J$21)*(1+U100),0)</f>
        <v>0</v>
      </c>
      <c r="AO100" s="61">
        <f ca="1">IF(AN100&gt;0,M100-'模拟-单技能数据'!$K$10,AO99)</f>
        <v>0.42185145527300216</v>
      </c>
      <c r="AP100" s="61">
        <f ca="1">IF(AN100&gt;0,I100-'模拟-单技能数据'!$L$10,AP99)</f>
        <v>2.162482885499879</v>
      </c>
      <c r="AQ100" s="63">
        <f t="shared" ca="1" si="94"/>
        <v>2.9707893886697034E-2</v>
      </c>
      <c r="AR100" s="64">
        <f ca="1">IF(AL100,IF(AQ100&lt;$F$10,0,IF(AQ100&lt;$F$10+$F$11,0.25,IF(AQ100&lt;$F$10+$F$11+AO100,AP100,1)))*IF(AN100&gt;0,AN100,IF(AN99&gt;0,AN99,IF(AN98&gt;0,AN98,IF(AN97&gt;0,AN97,IF(AN96&gt;0,AN96,IF(AN95&gt;0,AN95,IF(AN94&gt;0,AN94,IF(AN93&gt;0,AN93,IF(AN92&gt;0,AN92,IF(AN90&gt;0,AN90,IF(AN89&gt;0,AN89,IF(AN88&gt;0,AN88,0)))))))))))),0)*(1-$S100)*'模拟-单技能数据'!$I$21</f>
        <v>0</v>
      </c>
      <c r="AS100" s="61">
        <f ca="1">IF(OR(C100="净世破魔击·日",C100="净世破魔击·月"),M100-'模拟-单技能数据'!$K$10,0)</f>
        <v>0</v>
      </c>
      <c r="AT100" s="61">
        <f ca="1">IF(OR(C100="净世破魔击·日",C100="净世破魔击·月"),I100-'模拟-单技能数据'!$L$10,0)</f>
        <v>0</v>
      </c>
      <c r="AU100" s="62">
        <f t="shared" ca="1" si="95"/>
        <v>0.50657607256060588</v>
      </c>
      <c r="AV100" s="64">
        <f ca="1">IF(AS100&gt;0,('模拟-单技能数据'!$D$22+G100*'模拟-单技能数据'!$F$22)*(1+J100)*(1-S100)*IF(AU100&lt;$F$10,0,IF(AU100&lt;$F$10+$F$11,0.25,IF(AU100&lt;$F$10+$F$11+AS100,AT100,1)))*(1+U100),0)*'模拟-单技能数据'!$I$22</f>
        <v>0</v>
      </c>
      <c r="AW100" s="108">
        <f t="shared" ca="1" si="96"/>
        <v>9.8525000000000063</v>
      </c>
      <c r="AX100" s="108" t="b">
        <f ca="1">AND(模拟模式!$P$10="有",AW99=0,RAND()&lt;IF(C100="净世破魔击·月",0.1*8/3,IF(C100="净世破魔击·日",0.1*4/3,0.1*2/3)))</f>
        <v>0</v>
      </c>
      <c r="AY100" s="47">
        <f ca="1">IF(AX100,(18+G100*0.722)*(1+J100)*(1-S100)*(1+$I$4)*IF(P100="会",'模拟-全程加成'!$J$3+'模拟-全程加成'!$J$4+'模拟-全程加成'!$J$5+('模拟-全程加成'!$I$4+'模拟-全程加成'!$I$5)/系数!$B$4+BG100*10%,IF(P100="命",1,IF(P100="识",0.25,0))),0)</f>
        <v>0</v>
      </c>
      <c r="AZ100" s="108">
        <f t="shared" si="97"/>
        <v>13.542500000000004</v>
      </c>
      <c r="BA100" s="108" t="b">
        <f>AND(模拟模式!$Q$10="有",AZ99=0)</f>
        <v>0</v>
      </c>
      <c r="BB100" s="140">
        <f>IF(BA100,(0+G100*0.287)*(1+J100)*(1-S100)*(1+$I$4)*IF(P100="会",'模拟-全程加成'!$J$3+'模拟-全程加成'!$J$4+'模拟-全程加成'!$J$5+('模拟-全程加成'!$I$4+'模拟-全程加成'!$I$5)/系数!$B$4+BG100*10%,IF(P100="命",1,IF(P100="识",0.25,0))),0)</f>
        <v>0</v>
      </c>
      <c r="BC100" s="115" t="b">
        <f ca="1">AND(模拟模式!$R$7="伏明众生",E100=60,F100=20,DA100&lt;5,CZ99&lt;$F$4)</f>
        <v>0</v>
      </c>
      <c r="BD100" s="115">
        <f t="shared" ca="1" si="69"/>
        <v>0</v>
      </c>
      <c r="BE100" s="115" t="b">
        <f t="shared" ca="1" si="70"/>
        <v>0</v>
      </c>
      <c r="BF100" s="47">
        <f ca="1">IF(BC100,4*('模拟-单技能数据'!$D$24+G100*'模拟-单技能数据'!$F$24)*(1+J100)*(1+'模拟-单技能数据'!$J$24)*(1-S100)*(1+$I$3)*(('模拟-全程加成'!$J$3+'模拟-全程加成'!$J$4+'模拟-全程加成'!$J$5+('模拟-全程加成'!$I$4+'模拟-全程加成'!$I$5)/系数!$B$4+BG100*10%)*('模拟-全程加成'!$J$3+'模拟-全程加成'!$J$4+'模拟-全程加成'!$J$5+('模拟-全程加成'!$I$4+'模拟-全程加成'!$I$5)/系数!$B$4+BG100*10%)+(1-('模拟-全程加成'!$J$3+'模拟-全程加成'!$J$4+'模拟-全程加成'!$J$5+('模拟-全程加成'!$I$4+'模拟-全程加成'!$I$5)/系数!$B$4+BG100*10%)-$F$10-$F$11)+F86*0.25),0)*'模拟-单技能数据'!$I$24</f>
        <v>0</v>
      </c>
      <c r="BG100" s="115" t="b">
        <f ca="1">OR(AND(OR(C100="烈日斩",C100="银月斩"),模拟模式!$I$7="净身明礼"),AND(C100="净世破魔击·日",模拟模式!$J$7="洞若观火"),AND(C101="净世破魔击·月",模拟模式!$J$7="洞若观火"),AB100=1)</f>
        <v>1</v>
      </c>
      <c r="BH100" s="115" t="b">
        <f t="shared" ca="1" si="98"/>
        <v>1</v>
      </c>
      <c r="BI100" s="115">
        <f t="shared" ca="1" si="71"/>
        <v>6</v>
      </c>
      <c r="BJ100" s="115" t="b">
        <f t="shared" ca="1" si="99"/>
        <v>1</v>
      </c>
      <c r="BK100" s="115" t="b">
        <f ca="1">AND(C100="驱夜断愁",模拟模式!$P$7="天地诛戮")</f>
        <v>0</v>
      </c>
      <c r="BL100" s="57">
        <f t="shared" ca="1" si="72"/>
        <v>8.0075000000000074</v>
      </c>
      <c r="BM100" s="115" t="b">
        <f t="shared" ca="1" si="100"/>
        <v>1</v>
      </c>
      <c r="BN100" s="115" t="b">
        <f ca="1">AND(OR(C100="赤日轮1",C100="赤日轮2",C100="赤日轮3",C100="幽月轮1",C100="幽月轮2",C100="幽月轮3"),AB100=1,模拟模式!$L$7="明光恒照")</f>
        <v>0</v>
      </c>
      <c r="BO100" s="117">
        <f t="shared" ca="1" si="73"/>
        <v>29.077500000000001</v>
      </c>
      <c r="BP100" s="115">
        <f t="shared" ca="1" si="101"/>
        <v>6</v>
      </c>
      <c r="BQ100" s="115" t="b">
        <f>模拟模式!$K$10="2600·水"</f>
        <v>0</v>
      </c>
      <c r="BR100" s="117">
        <f t="shared" si="102"/>
        <v>0</v>
      </c>
      <c r="BS100" s="115">
        <f t="shared" si="103"/>
        <v>0</v>
      </c>
      <c r="BT100" s="115">
        <f t="shared" ca="1" si="104"/>
        <v>0</v>
      </c>
      <c r="BU100" s="115" t="b">
        <f ca="1">AND(模拟模式!$K$10="2300·雷",BT99=0,RAND()&lt;IF(C100="净世破魔击·月",5*0.05*2/3,IF(C100="净世破魔击·日",3*0.05*2/3,0.05*2*2/3)))</f>
        <v>0</v>
      </c>
      <c r="BV100" s="115">
        <f t="shared" ca="1" si="105"/>
        <v>0</v>
      </c>
      <c r="BW100" s="115">
        <f t="shared" ca="1" si="106"/>
        <v>118.19249999999924</v>
      </c>
      <c r="BX100" s="164" t="b">
        <f t="shared" ca="1" si="107"/>
        <v>0</v>
      </c>
      <c r="BY100" s="115">
        <f t="shared" ca="1" si="108"/>
        <v>0</v>
      </c>
      <c r="BZ100" s="115">
        <f>IF(OR(模拟模式!$P$16="10人团",模拟模式!$P$16="25人团"),IF(B100/30&gt;CA99,1,0),0)</f>
        <v>0</v>
      </c>
      <c r="CA100" s="115">
        <f t="shared" si="74"/>
        <v>0</v>
      </c>
      <c r="CB100" s="115">
        <f ca="1">IF(BZ100=1,IF(模拟模式!$P$16="10人团",15,0)+IF(模拟模式!$P$16="25人团",IF(RAND()&lt;0.6,15,0)),MAX(0,CB99-$F$4))</f>
        <v>0</v>
      </c>
      <c r="CC100" s="115" t="b">
        <f t="shared" ca="1" si="109"/>
        <v>0</v>
      </c>
      <c r="CD100" s="115">
        <f>IF(模拟模式!$Q$16="1个",IF(B100/40&gt;CE99,1,0),0)</f>
        <v>0</v>
      </c>
      <c r="CE100" s="115">
        <f t="shared" si="110"/>
        <v>0</v>
      </c>
      <c r="CF100" s="115">
        <f>IF(OR(CD100=1,模拟模式!$Q$16="2个"),20,MAX(0,CF99-$F$4))</f>
        <v>0</v>
      </c>
      <c r="CG100" s="115" t="b">
        <f t="shared" si="111"/>
        <v>0</v>
      </c>
      <c r="CH100" s="115">
        <f t="shared" ca="1" si="112"/>
        <v>0</v>
      </c>
      <c r="CI100" s="115" t="b">
        <f t="shared" ca="1" si="113"/>
        <v>0</v>
      </c>
      <c r="CJ100" s="119">
        <f t="shared" ca="1" si="114"/>
        <v>0</v>
      </c>
      <c r="CK100" s="115">
        <f t="shared" ca="1" si="115"/>
        <v>0</v>
      </c>
      <c r="CL100" s="115" t="b">
        <f ca="1">AND(模拟模式!$S$7="驱夷逐法",OR(AND(C100="净世破魔击·月",E99&gt;59),AND(C100="净世破魔击·日",F99&gt;59)))</f>
        <v>0</v>
      </c>
      <c r="CM100" s="115" t="b">
        <f ca="1">OR(CL100,AND(C100="净世破魔击·日",CL99,RAND()&lt;模拟模式!$U$23))</f>
        <v>0</v>
      </c>
      <c r="CN100" s="115" t="b">
        <f ca="1">IF(模拟模式!$M$7="辉耀红尘",AND(C100="净世破魔击·月",CL100,CV100=0,E99&lt;80),AND(C100="净世破魔击·月",CL100,E99&lt;100))</f>
        <v>0</v>
      </c>
      <c r="CO100" s="115" t="b">
        <f t="shared" ca="1" si="75"/>
        <v>0</v>
      </c>
      <c r="CP100" s="115" t="b">
        <f ca="1">AND(模拟模式!$O$7="用晦而明",OR(C100="净世破魔击·日",C100="净世破魔击·月",C100="驱夜断愁"),AB100)</f>
        <v>0</v>
      </c>
      <c r="CQ100" s="115" t="b">
        <f ca="1">OR(CP100,AND(CP99,RAND()&lt;模拟模式!$U$23))</f>
        <v>0</v>
      </c>
      <c r="CR100" s="115" t="b">
        <f ca="1">AND(模拟模式!$S$7="日月齐光",OR(C100="幽月轮1",C100="幽月轮2",C100="幽月轮3",CR99),NOT(OR(C100="赤日轮1",C100="赤日轮2",C100="赤日轮3")))</f>
        <v>0</v>
      </c>
      <c r="CS100" s="115" t="b">
        <f ca="1">AND(模拟模式!$S$7="日月齐光",OR(C100="赤日轮1",C100="赤日轮2",C100="赤日轮3",CS99),NOT(OR(C100="幽月轮1",C100="幽月轮2",C100="幽月轮3")))</f>
        <v>0</v>
      </c>
      <c r="CT100" s="115">
        <f t="shared" ca="1" si="116"/>
        <v>22.620000000000005</v>
      </c>
      <c r="CU100" s="115" t="b">
        <f ca="1">AND(模拟模式!$K$10="阴阳往极",CT99=0,RAND()&lt;IF(C100="净世破魔击·月",0.0275*7/3,IF(C100="净世破魔击·日",0.0275*3/3,0.0275*2/3)))</f>
        <v>0</v>
      </c>
      <c r="CV100" s="115">
        <f t="shared" ca="1" si="117"/>
        <v>0</v>
      </c>
      <c r="CW100" s="115">
        <f t="shared" ca="1" si="76"/>
        <v>0</v>
      </c>
      <c r="CX100" s="115">
        <f t="shared" ca="1" si="77"/>
        <v>6</v>
      </c>
      <c r="CY100" s="115">
        <f ca="1">MAX(IF($C100="驱夜断愁",IF(模拟模式!$R$7="万念俱寂",6,45),CY99-$F$4),0)</f>
        <v>0</v>
      </c>
      <c r="CZ100" s="115">
        <f t="shared" ca="1" si="78"/>
        <v>0</v>
      </c>
      <c r="DA100" s="115">
        <f ca="1">IF(模拟模式!$N$7="日月同辉",IF(DB99=2,0,MIN(6,IF(AND(OR(C100="赤日轮1",C100="赤日轮2",C100="赤日轮3",C100="幽月轮1",C100="幽月轮2",C100="幽月轮3"),AB100=1),DA99+1,DA99))),0)</f>
        <v>5</v>
      </c>
      <c r="DB100" s="115">
        <f t="shared" ca="1" si="79"/>
        <v>0</v>
      </c>
      <c r="DD100" s="115"/>
      <c r="DE100" s="115"/>
      <c r="DF100" s="115"/>
      <c r="DG100" s="115"/>
      <c r="DH100" s="115"/>
      <c r="DI100" s="115"/>
      <c r="DJ100" s="115"/>
      <c r="DK100" s="115"/>
      <c r="DL100" s="115"/>
      <c r="DM100" s="115"/>
    </row>
    <row r="101" spans="2:117" x14ac:dyDescent="0.2">
      <c r="B101" s="117">
        <f t="shared" si="80"/>
        <v>68.264999999999972</v>
      </c>
      <c r="C101" s="167" t="str">
        <f t="shared" ca="1" si="66"/>
        <v>驱夜断愁</v>
      </c>
      <c r="D101" s="115">
        <f ca="1">IF(C101="赤日轮1",1,IF(C101="赤日轮2",2,IF(C101="赤日轮3",3,IF(C101="幽月轮1",4,IF(C101="幽月轮2",5,IF(C101="幽月轮3",6,IF(C101="烈日斩",7,IF(C101="银月斩",8,IF(C101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101="净世破魔击·月",17,IF(C101="驱夜断愁",18,0)))))))))))</f>
        <v>18</v>
      </c>
      <c r="E101" s="115">
        <f ca="1">IF(AND(CU101,OR(C101="幽月轮1",C101="幽月轮2",C101="幽月轮3",C101="银月斩",C101="驱夜断愁",C101="净世破魔击·月")),100,MIN(IF(OR(CN101,BE101),0,IF(OR($C101="赤日轮1",$C101="赤日轮2",$C101="赤日轮3"),E100+20+IF(模拟模式!$I$7="日月凌天",4,0)+IF(CR100,20,0),IF($C101="烈日斩",E100+40,IF($C101="驱夜断愁",IF(模拟模式!$R$7="万念俱寂",E100+20,E100+60),IF($C101="净世破魔击·月",IF(OR(DB100&gt;0,CV100&gt;0),100,IF(模拟模式!$M$7="辉耀红尘",E100+20,E100)),IF($C101="净世破魔击·日",E100-100,E100)))))),100))</f>
        <v>40</v>
      </c>
      <c r="F101" s="115">
        <f ca="1">IF(AND(CU101,OR(C101="赤日轮1",C101="赤日轮2",C101="赤日轮3",C101="烈日斩",C101="净世破魔击·日")),100,MIN(IF(CO101,0,IF(OR($C101="幽月轮1",$C101="幽月轮2",$C101="幽月轮3"),F100+20+IF(模拟模式!$I$7="日月凌天",4,0)+IF(CS100,20,0),IF($C101="银月斩",F100+40+IF(模拟模式!$X$12=1,5,0),IF($C101="驱夜断愁",IF(模拟模式!$R$7="万念俱寂",F100+20,F100+60),IF($C101="净世破魔击·月",IF(模拟模式!$M$7="辉耀红尘",F100-80,F100-100),IF(AND(C101="净世破魔击·日",OR(DB100&gt;0,CV100&gt;0)),100,F100)))))),100))</f>
        <v>85</v>
      </c>
      <c r="G101" s="117">
        <f ca="1">('模拟-全程加成'!$E$3+'模拟-全程加成'!$E$4+'模拟-全程加成'!$E$5+('模拟-全程加成'!$C$6-'模拟-全程加成'!$C$3)*系数!$B$9+BS101*23)*(1+'模拟-全程加成'!$F$4+'模拟-全程加成'!$F$5+BJ101*10%+BM101*20%+BP101*4%+CG101*30%)+$F$7*系数!$B$12</f>
        <v>21493.829400000002</v>
      </c>
      <c r="H101" s="45">
        <f ca="1">'模拟-全程加成'!$H$3+'模拟-全程加成'!$H$4+'模拟-全程加成'!$H$5+('模拟-全程加成'!$G$4+'模拟-全程加成'!$G$5+('模拟-全程加成'!$C$6-'模拟-全程加成'!$C$3)*系数!$B$13)/系数!$B$3+LOOKUP(D101,'模拟-单技能数据'!$A$2:$A$19,'模拟-单技能数据'!$K$2:$K$19)+BG101*10%+IF(BV101&gt;0,378,0)</f>
        <v>0.51185145527300213</v>
      </c>
      <c r="I101" s="45">
        <f ca="1">'模拟-全程加成'!$J$3+'模拟-全程加成'!$J$4+'模拟-全程加成'!$J$5+('模拟-全程加成'!$I$4+'模拟-全程加成'!$I$5)/系数!$B$4+LOOKUP(D101,'模拟-单技能数据'!$A$2:$A$19,'模拟-单技能数据'!$L$2:$L$19)+BG101*10%</f>
        <v>2.162482885499879</v>
      </c>
      <c r="J101" s="45">
        <f ca="1">(('模拟-全程加成'!$K$3+'模拟-全程加成'!$K$4+'模拟-全程加成'!$K$5+('模拟-全程加成'!$C$6-'模拟-全程加成'!$C$3)*系数!$B$10+IF(BV101&gt;0,882,0)+IF(BY101&gt;0,1831,0))*(1+'模拟-全程加成'!$L$4+'模拟-全程加成'!$L$5+CC101*20%))/系数!$B$5</f>
        <v>0.69723220422048726</v>
      </c>
      <c r="K101" s="119">
        <f ca="1">LOOKUP(D101,'模拟-单技能数据'!$A$2:$A$19,'模拟-单技能数据'!$J$2:$J$19)+IF(CM101,60%,0)+IF(DB100-DB101&gt;0,30%,0)+IF(OR(AND(OR(C101="赤日轮1",C101="赤日轮2",C101="赤日轮3"),CR101),AND(OR(C101="幽月轮1",C101="幽月轮2",C101="幽月轮3"),CS101)),35%,0)+CJ101</f>
        <v>0.14000000000000001</v>
      </c>
      <c r="L101" s="119">
        <f ca="1">IF(AND(C101="烈日斩",模拟模式!$X$11=1),10%,0)+IF(AND(C101="驱夜断愁",AB101=1),30%,0)</f>
        <v>0.3</v>
      </c>
      <c r="M101" s="45">
        <f t="shared" ca="1" si="81"/>
        <v>0.51185145527300213</v>
      </c>
      <c r="N101" s="45">
        <f t="shared" ca="1" si="82"/>
        <v>0.43424854472699792</v>
      </c>
      <c r="O101" s="46">
        <f t="shared" ca="1" si="83"/>
        <v>2.7203227371297212E-2</v>
      </c>
      <c r="P101" s="46" t="str">
        <f t="shared" ca="1" si="84"/>
        <v>识</v>
      </c>
      <c r="Q101" s="45">
        <f t="shared" ca="1" si="85"/>
        <v>0.25</v>
      </c>
      <c r="R101" s="117">
        <f ca="1">模拟模式!$E$20*(1-IF(模拟模式!$J$19="有",0.15,0))*(1-IF(模拟模式!$K$19="有",0.3,0)-IF(CQ101,0.5,0))</f>
        <v>843.02999999999975</v>
      </c>
      <c r="S101" s="45">
        <f ca="1">R101/(R101+(185*模拟模式!$E$22-16800)*4.08224)</f>
        <v>8.389626085980037E-2</v>
      </c>
      <c r="T101" s="45" t="str">
        <f ca="1">LOOKUP(D101,'模拟-单技能数据'!$A$2:$A$19,'模拟-单技能数据'!$H$2:$H$19)</f>
        <v>阴</v>
      </c>
      <c r="U101" s="119">
        <f t="shared" ca="1" si="86"/>
        <v>0.08</v>
      </c>
      <c r="V101" s="47">
        <f ca="1">(1+L101)*(LOOKUP(D101,'模拟-单技能数据'!$A$2:$A$19,'模拟-单技能数据'!$D$2:$D$19)+G101*LOOKUP(D101,'模拟-单技能数据'!$A$2:$A$19,'模拟-单技能数据'!$F$2:$F$19))*(1+J101)*(1+K101)*(1-S101)*(1+U101)*Q101*LOOKUP(D101,'模拟-单技能数据'!$A$2:$A$19,'模拟-单技能数据'!$I$2:$I$20)</f>
        <v>15385.018372398006</v>
      </c>
      <c r="W101" s="47">
        <f ca="1">LOOKUP(D101,'模拟-单技能数据'!$A$2:$A$19,'模拟-单技能数据'!$G$2:$G$19)*$I$10</f>
        <v>723.0212870940959</v>
      </c>
      <c r="X101" s="47">
        <f t="shared" ca="1" si="87"/>
        <v>11607.89185245618</v>
      </c>
      <c r="Y101" s="47">
        <f t="shared" ca="1" si="88"/>
        <v>27715.931511948282</v>
      </c>
      <c r="Z101" s="49">
        <f t="shared" ca="1" si="89"/>
        <v>7387818.1997288289</v>
      </c>
      <c r="AA101" s="97">
        <f t="shared" ca="1" si="90"/>
        <v>108222.63531427279</v>
      </c>
      <c r="AB101" s="115">
        <f ca="1">IF(OR(C101="赤日轮1",C101="赤日轮2",C101="赤日轮3"),IF(RAND()&lt;模拟模式!$Y$17,1,0),IF(OR(C101="幽月轮1",C101="幽月轮2",C101="幽月轮3"),IF(RAND()&lt;模拟模式!$Y$18,1,0),IF(C101="烈日斩",IF(RAND()&lt;模拟模式!$Y$19,1,0),IF(C101="银月斩",IF(RAND()&lt;模拟模式!$Y$20,1,0),IF(C101="驱夜断愁",IF(RAND()&lt;模拟模式!$Y$21,1,0),IF(C101="净世破魔击·日",IF(RAND()&lt;模拟模式!$Y$22,1,0),IF(C101="净世破魔击·月",IF(RAND()&lt;模拟模式!$Y$23,1,0),0)))))))</f>
        <v>1</v>
      </c>
      <c r="AC101" s="115" t="b">
        <f t="shared" ca="1" si="67"/>
        <v>0</v>
      </c>
      <c r="AD101" s="115" t="b">
        <f t="shared" ca="1" si="118"/>
        <v>0</v>
      </c>
      <c r="AE101" s="115">
        <f t="shared" ca="1" si="119"/>
        <v>6</v>
      </c>
      <c r="AF101" s="47">
        <f ca="1">IF(AC101,('模拟-单技能数据'!$D$20+G101*'模拟-单技能数据'!$F$20)*(1+J101)*(1+'模拟-单技能数据'!$J$20)*(1+U101),0)</f>
        <v>0</v>
      </c>
      <c r="AG101" s="61">
        <f t="shared" ca="1" si="91"/>
        <v>0.64185145527300214</v>
      </c>
      <c r="AH101" s="61">
        <f t="shared" ca="1" si="92"/>
        <v>2.2624828854998791</v>
      </c>
      <c r="AI101" s="62">
        <f t="shared" ca="1" si="93"/>
        <v>0.50013873581335555</v>
      </c>
      <c r="AJ101" s="47">
        <f ca="1">IF(AD101,IF(AI101&lt;$F$10,0,IF(AI101&lt;$F$10+$F$11,0.25,IF(AI101&lt;$F$10+$F$11+AG101,AH101,1)))*IF(AF101&gt;0,AF101,IF(AF100&gt;0,AF100,IF(AF99&gt;0,AF99,IF(AF98&gt;0,AF98,IF(AF97&gt;0,AF97,IF(AF96&gt;0,AF96,IF(AF95&gt;0,AF95,IF(AF94&gt;0,AF94,IF(AF93&gt;0,AF93,IF(AF91&gt;0,AF91,IF(AF90&gt;0,AF90,IF(AF89&gt;0,AF89,0)))))))))))),0)*(1-$S101)*'模拟-单技能数据'!$I$20</f>
        <v>0</v>
      </c>
      <c r="AK101" s="115" t="b">
        <f t="shared" ca="1" si="68"/>
        <v>0</v>
      </c>
      <c r="AL101" s="115" t="b">
        <f t="shared" ca="1" si="120"/>
        <v>1</v>
      </c>
      <c r="AM101" s="115">
        <f t="shared" ca="1" si="121"/>
        <v>4</v>
      </c>
      <c r="AN101" s="47">
        <f ca="1">IF(AK101,('模拟-单技能数据'!$D$21+G101*'模拟-单技能数据'!$F$21)*(1+J101)*(1+'模拟-单技能数据'!$J$21)*(1+U101),0)</f>
        <v>0</v>
      </c>
      <c r="AO101" s="61">
        <f ca="1">IF(AN101&gt;0,M101-'模拟-单技能数据'!$K$10,AO100)</f>
        <v>0.42185145527300216</v>
      </c>
      <c r="AP101" s="61">
        <f ca="1">IF(AN101&gt;0,I101-'模拟-单技能数据'!$L$10,AP100)</f>
        <v>2.162482885499879</v>
      </c>
      <c r="AQ101" s="63">
        <f t="shared" ca="1" si="94"/>
        <v>0.87543604936783581</v>
      </c>
      <c r="AR101" s="64">
        <f ca="1">IF(AL101,IF(AQ101&lt;$F$10,0,IF(AQ101&lt;$F$10+$F$11,0.25,IF(AQ101&lt;$F$10+$F$11+AO101,AP101,1)))*IF(AN101&gt;0,AN101,IF(AN100&gt;0,AN100,IF(AN99&gt;0,AN99,IF(AN98&gt;0,AN98,IF(AN97&gt;0,AN97,IF(AN96&gt;0,AN96,IF(AN95&gt;0,AN95,IF(AN94&gt;0,AN94,IF(AN93&gt;0,AN93,IF(AN91&gt;0,AN91,IF(AN90&gt;0,AN90,IF(AN89&gt;0,AN89,0)))))))))))),0)*(1-$S101)*'模拟-单技能数据'!$I$21</f>
        <v>11607.89185245618</v>
      </c>
      <c r="AS101" s="61">
        <f ca="1">IF(OR(C101="净世破魔击·日",C101="净世破魔击·月"),M101-'模拟-单技能数据'!$K$10,0)</f>
        <v>0</v>
      </c>
      <c r="AT101" s="61">
        <f ca="1">IF(OR(C101="净世破魔击·日",C101="净世破魔击·月"),I101-'模拟-单技能数据'!$L$10,0)</f>
        <v>0</v>
      </c>
      <c r="AU101" s="62">
        <f t="shared" ca="1" si="95"/>
        <v>0.32695204107267473</v>
      </c>
      <c r="AV101" s="64">
        <f ca="1">IF(AS101&gt;0,('模拟-单技能数据'!$D$22+G101*'模拟-单技能数据'!$F$22)*(1+J101)*(1-S101)*IF(AU101&lt;$F$10,0,IF(AU101&lt;$F$10+$F$11,0.25,IF(AU101&lt;$F$10+$F$11+AS101,AT101,1)))*(1+U101),0)*'模拟-单技能数据'!$I$22</f>
        <v>0</v>
      </c>
      <c r="AW101" s="108">
        <f t="shared" ca="1" si="96"/>
        <v>8.9300000000000068</v>
      </c>
      <c r="AX101" s="108" t="b">
        <f ca="1">AND(模拟模式!$P$10="有",AW100=0,RAND()&lt;IF(C101="净世破魔击·月",0.1*8/3,IF(C101="净世破魔击·日",0.1*4/3,0.1*2/3)))</f>
        <v>0</v>
      </c>
      <c r="AY101" s="47">
        <f ca="1">IF(AX101,(18+G101*0.722)*(1+J101)*(1-S101)*(1+$I$4)*IF(P101="会",'模拟-全程加成'!$J$3+'模拟-全程加成'!$J$4+'模拟-全程加成'!$J$5+('模拟-全程加成'!$I$4+'模拟-全程加成'!$I$5)/系数!$B$4+BG101*10%,IF(P101="命",1,IF(P101="识",0.25,0))),0)</f>
        <v>0</v>
      </c>
      <c r="AZ101" s="108">
        <f t="shared" si="97"/>
        <v>12.620000000000005</v>
      </c>
      <c r="BA101" s="108" t="b">
        <f>AND(模拟模式!$Q$10="有",AZ100=0)</f>
        <v>0</v>
      </c>
      <c r="BB101" s="140">
        <f>IF(BA101,(0+G101*0.287)*(1+J101)*(1-S101)*(1+$I$4)*IF(P101="会",'模拟-全程加成'!$J$3+'模拟-全程加成'!$J$4+'模拟-全程加成'!$J$5+('模拟-全程加成'!$I$4+'模拟-全程加成'!$I$5)/系数!$B$4+BG101*10%,IF(P101="命",1,IF(P101="识",0.25,0))),0)</f>
        <v>0</v>
      </c>
      <c r="BC101" s="115" t="b">
        <f ca="1">AND(模拟模式!$R$7="伏明众生",E101=60,F101=20,DA101&lt;5,CZ100&lt;$F$4)</f>
        <v>0</v>
      </c>
      <c r="BD101" s="115">
        <f t="shared" ca="1" si="69"/>
        <v>0</v>
      </c>
      <c r="BE101" s="115" t="b">
        <f t="shared" ca="1" si="70"/>
        <v>0</v>
      </c>
      <c r="BF101" s="47">
        <f ca="1">IF(BC101,4*('模拟-单技能数据'!$D$24+G101*'模拟-单技能数据'!$F$24)*(1+J101)*(1+'模拟-单技能数据'!$J$24)*(1-S101)*(1+$I$3)*(('模拟-全程加成'!$J$3+'模拟-全程加成'!$J$4+'模拟-全程加成'!$J$5+('模拟-全程加成'!$I$4+'模拟-全程加成'!$I$5)/系数!$B$4+BG101*10%)*('模拟-全程加成'!$J$3+'模拟-全程加成'!$J$4+'模拟-全程加成'!$J$5+('模拟-全程加成'!$I$4+'模拟-全程加成'!$I$5)/系数!$B$4+BG101*10%)+(1-('模拟-全程加成'!$J$3+'模拟-全程加成'!$J$4+'模拟-全程加成'!$J$5+('模拟-全程加成'!$I$4+'模拟-全程加成'!$I$5)/系数!$B$4+BG101*10%)-$F$10-$F$11)+F87*0.25),0)*'模拟-单技能数据'!$I$24</f>
        <v>0</v>
      </c>
      <c r="BG101" s="115" t="b">
        <f ca="1">OR(AND(OR(C101="烈日斩",C101="银月斩"),模拟模式!$I$7="净身明礼"),AND(C101="净世破魔击·日",模拟模式!$J$7="洞若观火"),AND(C102="净世破魔击·月",模拟模式!$J$7="洞若观火"),AB101=1)</f>
        <v>1</v>
      </c>
      <c r="BH101" s="115" t="b">
        <f t="shared" ca="1" si="98"/>
        <v>0</v>
      </c>
      <c r="BI101" s="115">
        <f t="shared" ca="1" si="71"/>
        <v>5.0774999999999997</v>
      </c>
      <c r="BJ101" s="115" t="b">
        <f t="shared" ca="1" si="99"/>
        <v>1</v>
      </c>
      <c r="BK101" s="115" t="b">
        <f ca="1">AND(C101="驱夜断愁",模拟模式!$P$7="天地诛戮")</f>
        <v>1</v>
      </c>
      <c r="BL101" s="57">
        <f t="shared" ca="1" si="72"/>
        <v>20</v>
      </c>
      <c r="BM101" s="115" t="b">
        <f t="shared" ca="1" si="100"/>
        <v>1</v>
      </c>
      <c r="BN101" s="115" t="b">
        <f ca="1">AND(OR(C101="赤日轮1",C101="赤日轮2",C101="赤日轮3",C101="幽月轮1",C101="幽月轮2",C101="幽月轮3"),AB101=1,模拟模式!$L$7="明光恒照")</f>
        <v>0</v>
      </c>
      <c r="BO101" s="117">
        <f t="shared" ca="1" si="73"/>
        <v>28.155000000000001</v>
      </c>
      <c r="BP101" s="115">
        <f t="shared" ca="1" si="101"/>
        <v>6</v>
      </c>
      <c r="BQ101" s="115" t="b">
        <f>模拟模式!$K$10="2600·水"</f>
        <v>0</v>
      </c>
      <c r="BR101" s="117">
        <f t="shared" si="102"/>
        <v>0</v>
      </c>
      <c r="BS101" s="115">
        <f t="shared" si="103"/>
        <v>0</v>
      </c>
      <c r="BT101" s="115">
        <f t="shared" ca="1" si="104"/>
        <v>0</v>
      </c>
      <c r="BU101" s="115" t="b">
        <f ca="1">AND(模拟模式!$K$10="2300·雷",BT100=0,RAND()&lt;IF(C101="净世破魔击·月",5*0.05*2/3,IF(C101="净世破魔击·日",3*0.05*2/3,0.05*2*2/3)))</f>
        <v>0</v>
      </c>
      <c r="BV101" s="115">
        <f t="shared" ca="1" si="105"/>
        <v>0</v>
      </c>
      <c r="BW101" s="115">
        <f t="shared" ca="1" si="106"/>
        <v>117.26999999999924</v>
      </c>
      <c r="BX101" s="164" t="b">
        <f t="shared" ca="1" si="107"/>
        <v>0</v>
      </c>
      <c r="BY101" s="115">
        <f t="shared" ca="1" si="108"/>
        <v>0</v>
      </c>
      <c r="BZ101" s="115">
        <f>IF(OR(模拟模式!$P$16="10人团",模拟模式!$P$16="25人团"),IF(B101/30&gt;CA100,1,0),0)</f>
        <v>0</v>
      </c>
      <c r="CA101" s="115">
        <f t="shared" si="74"/>
        <v>0</v>
      </c>
      <c r="CB101" s="115">
        <f ca="1">IF(BZ101=1,IF(模拟模式!$P$16="10人团",15,0)+IF(模拟模式!$P$16="25人团",IF(RAND()&lt;0.6,15,0)),MAX(0,CB100-$F$4))</f>
        <v>0</v>
      </c>
      <c r="CC101" s="115" t="b">
        <f t="shared" ca="1" si="109"/>
        <v>0</v>
      </c>
      <c r="CD101" s="115">
        <f>IF(模拟模式!$Q$16="1个",IF(B101/40&gt;CE100,1,0),0)</f>
        <v>0</v>
      </c>
      <c r="CE101" s="115">
        <f t="shared" si="110"/>
        <v>0</v>
      </c>
      <c r="CF101" s="115">
        <f>IF(OR(CD101=1,模拟模式!$Q$16="2个"),20,MAX(0,CF100-$F$4))</f>
        <v>0</v>
      </c>
      <c r="CG101" s="115" t="b">
        <f t="shared" si="111"/>
        <v>0</v>
      </c>
      <c r="CH101" s="115">
        <f t="shared" ca="1" si="112"/>
        <v>0</v>
      </c>
      <c r="CI101" s="115" t="b">
        <f t="shared" ca="1" si="113"/>
        <v>0</v>
      </c>
      <c r="CJ101" s="119">
        <f t="shared" ca="1" si="114"/>
        <v>0</v>
      </c>
      <c r="CK101" s="115">
        <f t="shared" ca="1" si="115"/>
        <v>0</v>
      </c>
      <c r="CL101" s="115" t="b">
        <f ca="1">AND(模拟模式!$S$7="驱夷逐法",OR(AND(C101="净世破魔击·月",E100&gt;59),AND(C101="净世破魔击·日",F100&gt;59)))</f>
        <v>0</v>
      </c>
      <c r="CM101" s="115" t="b">
        <f ca="1">OR(CL101,AND(C101="净世破魔击·日",CL100,RAND()&lt;模拟模式!$U$23))</f>
        <v>0</v>
      </c>
      <c r="CN101" s="115" t="b">
        <f ca="1">IF(模拟模式!$M$7="辉耀红尘",AND(C101="净世破魔击·月",CL101,CV101=0,E100&lt;80),AND(C101="净世破魔击·月",CL101,E100&lt;100))</f>
        <v>0</v>
      </c>
      <c r="CO101" s="115" t="b">
        <f t="shared" ca="1" si="75"/>
        <v>0</v>
      </c>
      <c r="CP101" s="115" t="b">
        <f ca="1">AND(模拟模式!$O$7="用晦而明",OR(C101="净世破魔击·日",C101="净世破魔击·月",C101="驱夜断愁"),AB101)</f>
        <v>1</v>
      </c>
      <c r="CQ101" s="115" t="b">
        <f ca="1">OR(CP101,AND(CP100,RAND()&lt;模拟模式!$U$23))</f>
        <v>1</v>
      </c>
      <c r="CR101" s="115" t="b">
        <f ca="1">AND(模拟模式!$S$7="日月齐光",OR(C101="幽月轮1",C101="幽月轮2",C101="幽月轮3",CR100),NOT(OR(C101="赤日轮1",C101="赤日轮2",C101="赤日轮3")))</f>
        <v>0</v>
      </c>
      <c r="CS101" s="115" t="b">
        <f ca="1">AND(模拟模式!$S$7="日月齐光",OR(C101="赤日轮1",C101="赤日轮2",C101="赤日轮3",CS100),NOT(OR(C101="幽月轮1",C101="幽月轮2",C101="幽月轮3")))</f>
        <v>0</v>
      </c>
      <c r="CT101" s="115">
        <f t="shared" ca="1" si="116"/>
        <v>21.697500000000005</v>
      </c>
      <c r="CU101" s="115" t="b">
        <f ca="1">AND(模拟模式!$K$10="阴阳往极",CT100=0,RAND()&lt;IF(C101="净世破魔击·月",0.0275*7/3,IF(C101="净世破魔击·日",0.0275*3/3,0.0275*2/3)))</f>
        <v>0</v>
      </c>
      <c r="CV101" s="115">
        <f t="shared" ca="1" si="117"/>
        <v>0</v>
      </c>
      <c r="CW101" s="115">
        <f t="shared" ca="1" si="76"/>
        <v>0</v>
      </c>
      <c r="CX101" s="115">
        <f t="shared" ca="1" si="77"/>
        <v>5.0774999999999997</v>
      </c>
      <c r="CY101" s="115">
        <f ca="1">MAX(IF($C101="驱夜断愁",IF(模拟模式!$R$7="万念俱寂",6,45),CY100-$F$4),0)</f>
        <v>6</v>
      </c>
      <c r="CZ101" s="115">
        <f t="shared" ca="1" si="78"/>
        <v>0</v>
      </c>
      <c r="DA101" s="115">
        <f ca="1">IF(模拟模式!$N$7="日月同辉",IF(DB100=2,0,MIN(6,IF(AND(OR(C101="赤日轮1",C101="赤日轮2",C101="赤日轮3",C101="幽月轮1",C101="幽月轮2",C101="幽月轮3"),AB101=1),DA100+1,DA100))),0)</f>
        <v>5</v>
      </c>
      <c r="DB101" s="115">
        <f t="shared" ca="1" si="79"/>
        <v>0</v>
      </c>
      <c r="DD101" s="115"/>
      <c r="DE101" s="115"/>
      <c r="DF101" s="115"/>
      <c r="DG101" s="115"/>
      <c r="DH101" s="115"/>
      <c r="DI101" s="115"/>
      <c r="DJ101" s="115"/>
      <c r="DK101" s="115"/>
      <c r="DL101" s="115"/>
      <c r="DM101" s="115"/>
    </row>
    <row r="102" spans="2:117" x14ac:dyDescent="0.2">
      <c r="B102" s="117">
        <f t="shared" si="80"/>
        <v>69.187499999999972</v>
      </c>
      <c r="C102" s="167" t="str">
        <f t="shared" ca="1" si="66"/>
        <v>烈日斩</v>
      </c>
      <c r="D102" s="115">
        <f ca="1">IF(C102="赤日轮1",1,IF(C102="赤日轮2",2,IF(C102="赤日轮3",3,IF(C102="幽月轮1",4,IF(C102="幽月轮2",5,IF(C102="幽月轮3",6,IF(C102="烈日斩",7,IF(C102="银月斩",8,IF(C102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102="净世破魔击·月",17,IF(C102="驱夜断愁",18,0)))))))))))</f>
        <v>7</v>
      </c>
      <c r="E102" s="115">
        <f ca="1">IF(AND(CU102,OR(C102="幽月轮1",C102="幽月轮2",C102="幽月轮3",C102="银月斩",C102="驱夜断愁",C102="净世破魔击·月")),100,MIN(IF(OR(CN102,BE102),0,IF(OR($C102="赤日轮1",$C102="赤日轮2",$C102="赤日轮3"),E101+20+IF(模拟模式!$I$7="日月凌天",4,0)+IF(CR101,20,0),IF($C102="烈日斩",E101+40,IF($C102="驱夜断愁",IF(模拟模式!$R$7="万念俱寂",E101+20,E101+60),IF($C102="净世破魔击·月",IF(OR(DB101&gt;0,CV101&gt;0),100,IF(模拟模式!$M$7="辉耀红尘",E101+20,E101)),IF($C102="净世破魔击·日",E101-100,E101)))))),100))</f>
        <v>80</v>
      </c>
      <c r="F102" s="115">
        <f ca="1">IF(AND(CU102,OR(C102="赤日轮1",C102="赤日轮2",C102="赤日轮3",C102="烈日斩",C102="净世破魔击·日")),100,MIN(IF(CO102,0,IF(OR($C102="幽月轮1",$C102="幽月轮2",$C102="幽月轮3"),F101+20+IF(模拟模式!$I$7="日月凌天",4,0)+IF(CS101,20,0),IF($C102="银月斩",F101+40+IF(模拟模式!$X$12=1,5,0),IF($C102="驱夜断愁",IF(模拟模式!$R$7="万念俱寂",F101+20,F101+60),IF($C102="净世破魔击·月",IF(模拟模式!$M$7="辉耀红尘",F101-80,F101-100),IF(AND(C102="净世破魔击·日",OR(DB101&gt;0,CV101&gt;0)),100,F101)))))),100))</f>
        <v>85</v>
      </c>
      <c r="G102" s="117">
        <f ca="1">('模拟-全程加成'!$E$3+'模拟-全程加成'!$E$4+'模拟-全程加成'!$E$5+('模拟-全程加成'!$C$6-'模拟-全程加成'!$C$3)*系数!$B$9+BS102*23)*(1+'模拟-全程加成'!$F$4+'模拟-全程加成'!$F$5+BJ102*10%+BM102*20%+BP102*4%+CG102*30%)+$F$7*系数!$B$12</f>
        <v>21493.829400000002</v>
      </c>
      <c r="H102" s="45">
        <f ca="1">'模拟-全程加成'!$H$3+'模拟-全程加成'!$H$4+'模拟-全程加成'!$H$5+('模拟-全程加成'!$G$4+'模拟-全程加成'!$G$5+('模拟-全程加成'!$C$6-'模拟-全程加成'!$C$3)*系数!$B$13)/系数!$B$3+LOOKUP(D102,'模拟-单技能数据'!$A$2:$A$19,'模拟-单技能数据'!$K$2:$K$19)+BG102*10%+IF(BV102&gt;0,378,0)</f>
        <v>0.56185145527300218</v>
      </c>
      <c r="I102" s="45">
        <f ca="1">'模拟-全程加成'!$J$3+'模拟-全程加成'!$J$4+'模拟-全程加成'!$J$5+('模拟-全程加成'!$I$4+'模拟-全程加成'!$I$5)/系数!$B$4+LOOKUP(D102,'模拟-单技能数据'!$A$2:$A$19,'模拟-单技能数据'!$L$2:$L$19)+BG102*10%</f>
        <v>2.2624828854998791</v>
      </c>
      <c r="J102" s="45">
        <f ca="1">(('模拟-全程加成'!$K$3+'模拟-全程加成'!$K$4+'模拟-全程加成'!$K$5+('模拟-全程加成'!$C$6-'模拟-全程加成'!$C$3)*系数!$B$10+IF(BV102&gt;0,882,0)+IF(BY102&gt;0,1831,0))*(1+'模拟-全程加成'!$L$4+'模拟-全程加成'!$L$5+CC102*20%))/系数!$B$5</f>
        <v>0.69723220422048726</v>
      </c>
      <c r="K102" s="119">
        <f ca="1">LOOKUP(D102,'模拟-单技能数据'!$A$2:$A$19,'模拟-单技能数据'!$J$2:$J$19)+IF(CM102,60%,0)+IF(DB101-DB102&gt;0,30%,0)+IF(OR(AND(OR(C102="赤日轮1",C102="赤日轮2",C102="赤日轮3"),CR102),AND(OR(C102="幽月轮1",C102="幽月轮2",C102="幽月轮3"),CS102)),35%,0)+CJ102</f>
        <v>0.24</v>
      </c>
      <c r="L102" s="119">
        <f ca="1">IF(AND(C102="烈日斩",模拟模式!$X$11=1),10%,0)+IF(AND(C102="驱夜断愁",AB102=1),30%,0)</f>
        <v>0.1</v>
      </c>
      <c r="M102" s="45">
        <f t="shared" ca="1" si="81"/>
        <v>0.56185145527300218</v>
      </c>
      <c r="N102" s="45">
        <f t="shared" ca="1" si="82"/>
        <v>0.38424854472699788</v>
      </c>
      <c r="O102" s="46">
        <f t="shared" ca="1" si="83"/>
        <v>0.42000626575344635</v>
      </c>
      <c r="P102" s="46" t="str">
        <f t="shared" ca="1" si="84"/>
        <v>会</v>
      </c>
      <c r="Q102" s="45">
        <f t="shared" ca="1" si="85"/>
        <v>2.2624828854998791</v>
      </c>
      <c r="R102" s="117">
        <f ca="1">模拟模式!$E$20*(1-IF(模拟模式!$J$19="有",0.15,0))*(1-IF(模拟模式!$K$19="有",0.3,0)-IF(CQ102,0.5,0))</f>
        <v>843.02999999999975</v>
      </c>
      <c r="S102" s="45">
        <f ca="1">R102/(R102+(185*模拟模式!$E$22-16800)*4.08224)</f>
        <v>8.389626085980037E-2</v>
      </c>
      <c r="T102" s="45" t="str">
        <f ca="1">LOOKUP(D102,'模拟-单技能数据'!$A$2:$A$19,'模拟-单技能数据'!$H$2:$H$19)</f>
        <v>阳</v>
      </c>
      <c r="U102" s="119">
        <f t="shared" ca="1" si="86"/>
        <v>0.2</v>
      </c>
      <c r="V102" s="47">
        <f ca="1">(1+L102)*(LOOKUP(D102,'模拟-单技能数据'!$A$2:$A$19,'模拟-单技能数据'!$D$2:$D$19)+G102*LOOKUP(D102,'模拟-单技能数据'!$A$2:$A$19,'模拟-单技能数据'!$F$2:$F$19))*(1+J102)*(1+K102)*(1-S102)*(1+U102)*Q102*LOOKUP(D102,'模拟-单技能数据'!$A$2:$A$19,'模拟-单技能数据'!$I$2:$I$20)</f>
        <v>110503.35617153208</v>
      </c>
      <c r="W102" s="47">
        <f ca="1">LOOKUP(D102,'模拟-单技能数据'!$A$2:$A$19,'模拟-单技能数据'!$G$2:$G$19)*$I$10</f>
        <v>361.51064354704795</v>
      </c>
      <c r="X102" s="47">
        <f t="shared" ca="1" si="87"/>
        <v>4250.4883357170938</v>
      </c>
      <c r="Y102" s="47">
        <f t="shared" ca="1" si="88"/>
        <v>115115.35515079623</v>
      </c>
      <c r="Z102" s="49">
        <f t="shared" ca="1" si="89"/>
        <v>7502933.5548796253</v>
      </c>
      <c r="AA102" s="97">
        <f t="shared" ca="1" si="90"/>
        <v>108443.48408136771</v>
      </c>
      <c r="AB102" s="115">
        <f ca="1">IF(OR(C102="赤日轮1",C102="赤日轮2",C102="赤日轮3"),IF(RAND()&lt;模拟模式!$Y$17,1,0),IF(OR(C102="幽月轮1",C102="幽月轮2",C102="幽月轮3"),IF(RAND()&lt;模拟模式!$Y$18,1,0),IF(C102="烈日斩",IF(RAND()&lt;模拟模式!$Y$19,1,0),IF(C102="银月斩",IF(RAND()&lt;模拟模式!$Y$20,1,0),IF(C102="驱夜断愁",IF(RAND()&lt;模拟模式!$Y$21,1,0),IF(C102="净世破魔击·日",IF(RAND()&lt;模拟模式!$Y$22,1,0),IF(C102="净世破魔击·月",IF(RAND()&lt;模拟模式!$Y$23,1,0),0)))))))</f>
        <v>1</v>
      </c>
      <c r="AC102" s="115" t="b">
        <f t="shared" ca="1" si="67"/>
        <v>0</v>
      </c>
      <c r="AD102" s="115" t="b">
        <f t="shared" ca="1" si="118"/>
        <v>1</v>
      </c>
      <c r="AE102" s="115">
        <f t="shared" ca="1" si="119"/>
        <v>5</v>
      </c>
      <c r="AF102" s="47">
        <f ca="1">IF(AC102,('模拟-单技能数据'!$D$20+G102*'模拟-单技能数据'!$F$20)*(1+J102)*(1+'模拟-单技能数据'!$J$20)*(1+U102),0)</f>
        <v>0</v>
      </c>
      <c r="AG102" s="61">
        <f t="shared" ca="1" si="91"/>
        <v>0.64185145527300214</v>
      </c>
      <c r="AH102" s="61">
        <f t="shared" ca="1" si="92"/>
        <v>2.2624828854998791</v>
      </c>
      <c r="AI102" s="62">
        <f t="shared" ca="1" si="93"/>
        <v>0.9144532024979668</v>
      </c>
      <c r="AJ102" s="47">
        <f ca="1">IF(AD102,IF(AI102&lt;$F$10,0,IF(AI102&lt;$F$10+$F$11,0.25,IF(AI102&lt;$F$10+$F$11+AG102,AH102,1)))*IF(AF102&gt;0,AF102,IF(AF101&gt;0,AF101,IF(AF100&gt;0,AF100,IF(AF99&gt;0,AF99,IF(AF98&gt;0,AF98,IF(AF97&gt;0,AF97,IF(AF96&gt;0,AF96,IF(AF95&gt;0,AF95,IF(AF94&gt;0,AF94,IF(AF92&gt;0,AF92,IF(AF91&gt;0,AF91,IF(AF90&gt;0,AF90,0)))))))))))),0)*(1-$S102)*'模拟-单技能数据'!$I$20</f>
        <v>4250.4883357170938</v>
      </c>
      <c r="AK102" s="115" t="b">
        <f t="shared" ca="1" si="68"/>
        <v>0</v>
      </c>
      <c r="AL102" s="115" t="b">
        <f t="shared" ca="1" si="120"/>
        <v>0</v>
      </c>
      <c r="AM102" s="115">
        <f t="shared" ca="1" si="121"/>
        <v>4</v>
      </c>
      <c r="AN102" s="47">
        <f ca="1">IF(AK102,('模拟-单技能数据'!$D$21+G102*'模拟-单技能数据'!$F$21)*(1+J102)*(1+'模拟-单技能数据'!$J$21)*(1+U102),0)</f>
        <v>0</v>
      </c>
      <c r="AO102" s="61">
        <f ca="1">IF(AN102&gt;0,M102-'模拟-单技能数据'!$K$10,AO101)</f>
        <v>0.42185145527300216</v>
      </c>
      <c r="AP102" s="61">
        <f ca="1">IF(AN102&gt;0,I102-'模拟-单技能数据'!$L$10,AP101)</f>
        <v>2.162482885499879</v>
      </c>
      <c r="AQ102" s="63">
        <f t="shared" ca="1" si="94"/>
        <v>7.2713059668226832E-3</v>
      </c>
      <c r="AR102" s="64">
        <f ca="1">IF(AL102,IF(AQ102&lt;$F$10,0,IF(AQ102&lt;$F$10+$F$11,0.25,IF(AQ102&lt;$F$10+$F$11+AO102,AP102,1)))*IF(AN102&gt;0,AN102,IF(AN101&gt;0,AN101,IF(AN100&gt;0,AN100,IF(AN99&gt;0,AN99,IF(AN98&gt;0,AN98,IF(AN97&gt;0,AN97,IF(AN96&gt;0,AN96,IF(AN95&gt;0,AN95,IF(AN94&gt;0,AN94,IF(AN92&gt;0,AN92,IF(AN91&gt;0,AN91,IF(AN90&gt;0,AN90,0)))))))))))),0)*(1-$S102)*'模拟-单技能数据'!$I$21</f>
        <v>0</v>
      </c>
      <c r="AS102" s="61">
        <f ca="1">IF(OR(C102="净世破魔击·日",C102="净世破魔击·月"),M102-'模拟-单技能数据'!$K$10,0)</f>
        <v>0</v>
      </c>
      <c r="AT102" s="61">
        <f ca="1">IF(OR(C102="净世破魔击·日",C102="净世破魔击·月"),I102-'模拟-单技能数据'!$L$10,0)</f>
        <v>0</v>
      </c>
      <c r="AU102" s="62">
        <f t="shared" ca="1" si="95"/>
        <v>0.92503704631758255</v>
      </c>
      <c r="AV102" s="64">
        <f ca="1">IF(AS102&gt;0,('模拟-单技能数据'!$D$22+G102*'模拟-单技能数据'!$F$22)*(1+J102)*(1-S102)*IF(AU102&lt;$F$10,0,IF(AU102&lt;$F$10+$F$11,0.25,IF(AU102&lt;$F$10+$F$11+AS102,AT102,1)))*(1+U102),0)*'模拟-单技能数据'!$I$22</f>
        <v>0</v>
      </c>
      <c r="AW102" s="108">
        <f t="shared" ca="1" si="96"/>
        <v>8.0075000000000074</v>
      </c>
      <c r="AX102" s="108" t="b">
        <f ca="1">AND(模拟模式!$P$10="有",AW101=0,RAND()&lt;IF(C102="净世破魔击·月",0.1*8/3,IF(C102="净世破魔击·日",0.1*4/3,0.1*2/3)))</f>
        <v>0</v>
      </c>
      <c r="AY102" s="47">
        <f ca="1">IF(AX102,(18+G102*0.722)*(1+J102)*(1-S102)*(1+$I$4)*IF(P102="会",'模拟-全程加成'!$J$3+'模拟-全程加成'!$J$4+'模拟-全程加成'!$J$5+('模拟-全程加成'!$I$4+'模拟-全程加成'!$I$5)/系数!$B$4+BG102*10%,IF(P102="命",1,IF(P102="识",0.25,0))),0)</f>
        <v>0</v>
      </c>
      <c r="AZ102" s="108">
        <f t="shared" si="97"/>
        <v>11.697500000000005</v>
      </c>
      <c r="BA102" s="108" t="b">
        <f>AND(模拟模式!$Q$10="有",AZ101=0)</f>
        <v>0</v>
      </c>
      <c r="BB102" s="140">
        <f>IF(BA102,(0+G102*0.287)*(1+J102)*(1-S102)*(1+$I$4)*IF(P102="会",'模拟-全程加成'!$J$3+'模拟-全程加成'!$J$4+'模拟-全程加成'!$J$5+('模拟-全程加成'!$I$4+'模拟-全程加成'!$I$5)/系数!$B$4+BG102*10%,IF(P102="命",1,IF(P102="识",0.25,0))),0)</f>
        <v>0</v>
      </c>
      <c r="BC102" s="115" t="b">
        <f ca="1">AND(模拟模式!$R$7="伏明众生",E102=60,F102=20,DA102&lt;5,CZ101&lt;$F$4)</f>
        <v>0</v>
      </c>
      <c r="BD102" s="115">
        <f t="shared" ca="1" si="69"/>
        <v>0</v>
      </c>
      <c r="BE102" s="115" t="b">
        <f t="shared" ca="1" si="70"/>
        <v>0</v>
      </c>
      <c r="BF102" s="47">
        <f ca="1">IF(BC102,4*('模拟-单技能数据'!$D$24+G102*'模拟-单技能数据'!$F$24)*(1+J102)*(1+'模拟-单技能数据'!$J$24)*(1-S102)*(1+$I$3)*(('模拟-全程加成'!$J$3+'模拟-全程加成'!$J$4+'模拟-全程加成'!$J$5+('模拟-全程加成'!$I$4+'模拟-全程加成'!$I$5)/系数!$B$4+BG102*10%)*('模拟-全程加成'!$J$3+'模拟-全程加成'!$J$4+'模拟-全程加成'!$J$5+('模拟-全程加成'!$I$4+'模拟-全程加成'!$I$5)/系数!$B$4+BG102*10%)+(1-('模拟-全程加成'!$J$3+'模拟-全程加成'!$J$4+'模拟-全程加成'!$J$5+('模拟-全程加成'!$I$4+'模拟-全程加成'!$I$5)/系数!$B$4+BG102*10%)-$F$10-$F$11)+F88*0.25),0)*'模拟-单技能数据'!$I$24</f>
        <v>0</v>
      </c>
      <c r="BG102" s="115" t="b">
        <f ca="1">OR(AND(OR(C102="烈日斩",C102="银月斩"),模拟模式!$I$7="净身明礼"),AND(C102="净世破魔击·日",模拟模式!$J$7="洞若观火"),AND(C103="净世破魔击·月",模拟模式!$J$7="洞若观火"),AB102=1)</f>
        <v>1</v>
      </c>
      <c r="BH102" s="115" t="b">
        <f t="shared" ca="1" si="98"/>
        <v>0</v>
      </c>
      <c r="BI102" s="115">
        <f t="shared" ca="1" si="71"/>
        <v>4.1549999999999994</v>
      </c>
      <c r="BJ102" s="115" t="b">
        <f t="shared" ca="1" si="99"/>
        <v>1</v>
      </c>
      <c r="BK102" s="115" t="b">
        <f ca="1">AND(C102="驱夜断愁",模拟模式!$P$7="天地诛戮")</f>
        <v>0</v>
      </c>
      <c r="BL102" s="57">
        <f t="shared" ca="1" si="72"/>
        <v>19.077500000000001</v>
      </c>
      <c r="BM102" s="115" t="b">
        <f t="shared" ca="1" si="100"/>
        <v>1</v>
      </c>
      <c r="BN102" s="115" t="b">
        <f ca="1">AND(OR(C102="赤日轮1",C102="赤日轮2",C102="赤日轮3",C102="幽月轮1",C102="幽月轮2",C102="幽月轮3"),AB102=1,模拟模式!$L$7="明光恒照")</f>
        <v>0</v>
      </c>
      <c r="BO102" s="117">
        <f t="shared" ca="1" si="73"/>
        <v>27.232500000000002</v>
      </c>
      <c r="BP102" s="115">
        <f t="shared" ca="1" si="101"/>
        <v>6</v>
      </c>
      <c r="BQ102" s="115" t="b">
        <f>模拟模式!$K$10="2600·水"</f>
        <v>0</v>
      </c>
      <c r="BR102" s="117">
        <f t="shared" si="102"/>
        <v>0</v>
      </c>
      <c r="BS102" s="115">
        <f t="shared" si="103"/>
        <v>0</v>
      </c>
      <c r="BT102" s="115">
        <f t="shared" ca="1" si="104"/>
        <v>0</v>
      </c>
      <c r="BU102" s="115" t="b">
        <f ca="1">AND(模拟模式!$K$10="2300·雷",BT101=0,RAND()&lt;IF(C102="净世破魔击·月",5*0.05*2/3,IF(C102="净世破魔击·日",3*0.05*2/3,0.05*2*2/3)))</f>
        <v>0</v>
      </c>
      <c r="BV102" s="115">
        <f t="shared" ca="1" si="105"/>
        <v>0</v>
      </c>
      <c r="BW102" s="115">
        <f t="shared" ca="1" si="106"/>
        <v>116.34749999999924</v>
      </c>
      <c r="BX102" s="164" t="b">
        <f t="shared" ca="1" si="107"/>
        <v>0</v>
      </c>
      <c r="BY102" s="115">
        <f t="shared" ca="1" si="108"/>
        <v>0</v>
      </c>
      <c r="BZ102" s="115">
        <f>IF(OR(模拟模式!$P$16="10人团",模拟模式!$P$16="25人团"),IF(B102/30&gt;CA101,1,0),0)</f>
        <v>0</v>
      </c>
      <c r="CA102" s="115">
        <f t="shared" si="74"/>
        <v>0</v>
      </c>
      <c r="CB102" s="115">
        <f ca="1">IF(BZ102=1,IF(模拟模式!$P$16="10人团",15,0)+IF(模拟模式!$P$16="25人团",IF(RAND()&lt;0.6,15,0)),MAX(0,CB101-$F$4))</f>
        <v>0</v>
      </c>
      <c r="CC102" s="115" t="b">
        <f t="shared" ca="1" si="109"/>
        <v>0</v>
      </c>
      <c r="CD102" s="115">
        <f>IF(模拟模式!$Q$16="1个",IF(B102/40&gt;CE101,1,0),0)</f>
        <v>0</v>
      </c>
      <c r="CE102" s="115">
        <f t="shared" si="110"/>
        <v>0</v>
      </c>
      <c r="CF102" s="115">
        <f>IF(OR(CD102=1,模拟模式!$Q$16="2个"),20,MAX(0,CF101-$F$4))</f>
        <v>0</v>
      </c>
      <c r="CG102" s="115" t="b">
        <f t="shared" si="111"/>
        <v>0</v>
      </c>
      <c r="CH102" s="115">
        <f t="shared" ca="1" si="112"/>
        <v>0</v>
      </c>
      <c r="CI102" s="115" t="b">
        <f t="shared" ca="1" si="113"/>
        <v>0</v>
      </c>
      <c r="CJ102" s="119">
        <f t="shared" ca="1" si="114"/>
        <v>0</v>
      </c>
      <c r="CK102" s="115">
        <f t="shared" ca="1" si="115"/>
        <v>0</v>
      </c>
      <c r="CL102" s="115" t="b">
        <f ca="1">AND(模拟模式!$S$7="驱夷逐法",OR(AND(C102="净世破魔击·月",E101&gt;59),AND(C102="净世破魔击·日",F101&gt;59)))</f>
        <v>0</v>
      </c>
      <c r="CM102" s="115" t="b">
        <f ca="1">OR(CL102,AND(C102="净世破魔击·日",CL101,RAND()&lt;模拟模式!$U$23))</f>
        <v>0</v>
      </c>
      <c r="CN102" s="115" t="b">
        <f ca="1">IF(模拟模式!$M$7="辉耀红尘",AND(C102="净世破魔击·月",CL102,CV102=0,E101&lt;80),AND(C102="净世破魔击·月",CL102,E101&lt;100))</f>
        <v>0</v>
      </c>
      <c r="CO102" s="115" t="b">
        <f t="shared" ca="1" si="75"/>
        <v>0</v>
      </c>
      <c r="CP102" s="115" t="b">
        <f ca="1">AND(模拟模式!$O$7="用晦而明",OR(C102="净世破魔击·日",C102="净世破魔击·月",C102="驱夜断愁"),AB102)</f>
        <v>0</v>
      </c>
      <c r="CQ102" s="115" t="b">
        <f ca="1">OR(CP102,AND(CP101,RAND()&lt;模拟模式!$U$23))</f>
        <v>1</v>
      </c>
      <c r="CR102" s="115" t="b">
        <f ca="1">AND(模拟模式!$S$7="日月齐光",OR(C102="幽月轮1",C102="幽月轮2",C102="幽月轮3",CR101),NOT(OR(C102="赤日轮1",C102="赤日轮2",C102="赤日轮3")))</f>
        <v>0</v>
      </c>
      <c r="CS102" s="115" t="b">
        <f ca="1">AND(模拟模式!$S$7="日月齐光",OR(C102="赤日轮1",C102="赤日轮2",C102="赤日轮3",CS101),NOT(OR(C102="幽月轮1",C102="幽月轮2",C102="幽月轮3")))</f>
        <v>0</v>
      </c>
      <c r="CT102" s="115">
        <f t="shared" ca="1" si="116"/>
        <v>20.775000000000006</v>
      </c>
      <c r="CU102" s="115" t="b">
        <f ca="1">AND(模拟模式!$K$10="阴阳往极",CT101=0,RAND()&lt;IF(C102="净世破魔击·月",0.0275*7/3,IF(C102="净世破魔击·日",0.0275*3/3,0.0275*2/3)))</f>
        <v>0</v>
      </c>
      <c r="CV102" s="115">
        <f t="shared" ca="1" si="117"/>
        <v>0</v>
      </c>
      <c r="CW102" s="115">
        <f t="shared" ca="1" si="76"/>
        <v>6</v>
      </c>
      <c r="CX102" s="115">
        <f t="shared" ca="1" si="77"/>
        <v>4.1549999999999994</v>
      </c>
      <c r="CY102" s="115">
        <f ca="1">MAX(IF($C102="驱夜断愁",IF(模拟模式!$R$7="万念俱寂",6,45),CY101-$F$4),0)</f>
        <v>5.0774999999999997</v>
      </c>
      <c r="CZ102" s="115">
        <f t="shared" ca="1" si="78"/>
        <v>0</v>
      </c>
      <c r="DA102" s="115">
        <f ca="1">IF(模拟模式!$N$7="日月同辉",IF(DB101=2,0,MIN(6,IF(AND(OR(C102="赤日轮1",C102="赤日轮2",C102="赤日轮3",C102="幽月轮1",C102="幽月轮2",C102="幽月轮3"),AB102=1),DA101+1,DA101))),0)</f>
        <v>5</v>
      </c>
      <c r="DB102" s="115">
        <f t="shared" ca="1" si="79"/>
        <v>0</v>
      </c>
      <c r="DD102" s="115"/>
      <c r="DE102" s="115"/>
      <c r="DF102" s="115"/>
      <c r="DG102" s="115"/>
      <c r="DH102" s="115"/>
      <c r="DI102" s="115"/>
      <c r="DJ102" s="115"/>
      <c r="DK102" s="115"/>
      <c r="DL102" s="115"/>
      <c r="DM102" s="115"/>
    </row>
    <row r="103" spans="2:117" x14ac:dyDescent="0.2">
      <c r="B103" s="117">
        <f t="shared" si="80"/>
        <v>70.109999999999971</v>
      </c>
      <c r="C103" s="167" t="str">
        <f t="shared" ca="1" si="66"/>
        <v>幽月轮1</v>
      </c>
      <c r="D103" s="115">
        <f ca="1">IF(C103="赤日轮1",1,IF(C103="赤日轮2",2,IF(C103="赤日轮3",3,IF(C103="幽月轮1",4,IF(C103="幽月轮2",5,IF(C103="幽月轮3",6,IF(C103="烈日斩",7,IF(C103="银月斩",8,IF(C103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103="净世破魔击·月",17,IF(C103="驱夜断愁",18,0)))))))))))</f>
        <v>4</v>
      </c>
      <c r="E103" s="115">
        <f ca="1">IF(AND(CU103,OR(C103="幽月轮1",C103="幽月轮2",C103="幽月轮3",C103="银月斩",C103="驱夜断愁",C103="净世破魔击·月")),100,MIN(IF(OR(CN103,BE103),0,IF(OR($C103="赤日轮1",$C103="赤日轮2",$C103="赤日轮3"),E102+20+IF(模拟模式!$I$7="日月凌天",4,0)+IF(CR102,20,0),IF($C103="烈日斩",E102+40,IF($C103="驱夜断愁",IF(模拟模式!$R$7="万念俱寂",E102+20,E102+60),IF($C103="净世破魔击·月",IF(OR(DB102&gt;0,CV102&gt;0),100,IF(模拟模式!$M$7="辉耀红尘",E102+20,E102)),IF($C103="净世破魔击·日",E102-100,E102)))))),100))</f>
        <v>80</v>
      </c>
      <c r="F103" s="115">
        <f ca="1">IF(AND(CU103,OR(C103="赤日轮1",C103="赤日轮2",C103="赤日轮3",C103="烈日斩",C103="净世破魔击·日")),100,MIN(IF(CO103,0,IF(OR($C103="幽月轮1",$C103="幽月轮2",$C103="幽月轮3"),F102+20+IF(模拟模式!$I$7="日月凌天",4,0)+IF(CS102,20,0),IF($C103="银月斩",F102+40+IF(模拟模式!$X$12=1,5,0),IF($C103="驱夜断愁",IF(模拟模式!$R$7="万念俱寂",F102+20,F102+60),IF($C103="净世破魔击·月",IF(模拟模式!$M$7="辉耀红尘",F102-80,F102-100),IF(AND(C103="净世破魔击·日",OR(DB102&gt;0,CV102&gt;0)),100,F102)))))),100))</f>
        <v>100</v>
      </c>
      <c r="G103" s="117">
        <f ca="1">('模拟-全程加成'!$E$3+'模拟-全程加成'!$E$4+'模拟-全程加成'!$E$5+('模拟-全程加成'!$C$6-'模拟-全程加成'!$C$3)*系数!$B$9+BS103*23)*(1+'模拟-全程加成'!$F$4+'模拟-全程加成'!$F$5+BJ103*10%+BM103*20%+BP103*4%+CG103*30%)+$F$7*系数!$B$12</f>
        <v>21493.829400000002</v>
      </c>
      <c r="H103" s="45">
        <f ca="1">'模拟-全程加成'!$H$3+'模拟-全程加成'!$H$4+'模拟-全程加成'!$H$5+('模拟-全程加成'!$G$4+'模拟-全程加成'!$G$5+('模拟-全程加成'!$C$6-'模拟-全程加成'!$C$3)*系数!$B$13)/系数!$B$3+LOOKUP(D103,'模拟-单技能数据'!$A$2:$A$19,'模拟-单技能数据'!$K$2:$K$19)+BG103*10%+IF(BV103&gt;0,378,0)</f>
        <v>0.51185145527300213</v>
      </c>
      <c r="I103" s="45">
        <f ca="1">'模拟-全程加成'!$J$3+'模拟-全程加成'!$J$4+'模拟-全程加成'!$J$5+('模拟-全程加成'!$I$4+'模拟-全程加成'!$I$5)/系数!$B$4+LOOKUP(D103,'模拟-单技能数据'!$A$2:$A$19,'模拟-单技能数据'!$L$2:$L$19)+BG103*10%</f>
        <v>2.162482885499879</v>
      </c>
      <c r="J103" s="45">
        <f ca="1">(('模拟-全程加成'!$K$3+'模拟-全程加成'!$K$4+'模拟-全程加成'!$K$5+('模拟-全程加成'!$C$6-'模拟-全程加成'!$C$3)*系数!$B$10+IF(BV103&gt;0,882,0)+IF(BY103&gt;0,1831,0))*(1+'模拟-全程加成'!$L$4+'模拟-全程加成'!$L$5+CC103*20%))/系数!$B$5</f>
        <v>0.69723220422048726</v>
      </c>
      <c r="K103" s="119">
        <f ca="1">LOOKUP(D103,'模拟-单技能数据'!$A$2:$A$19,'模拟-单技能数据'!$J$2:$J$19)+IF(CM103,60%,0)+IF(DB102-DB103&gt;0,30%,0)+IF(OR(AND(OR(C103="赤日轮1",C103="赤日轮2",C103="赤日轮3"),CR103),AND(OR(C103="幽月轮1",C103="幽月轮2",C103="幽月轮3"),CS103)),35%,0)+CJ103</f>
        <v>0.12000000000000001</v>
      </c>
      <c r="L103" s="119">
        <f ca="1">IF(AND(C103="烈日斩",模拟模式!$X$11=1),10%,0)+IF(AND(C103="驱夜断愁",AB103=1),30%,0)</f>
        <v>0</v>
      </c>
      <c r="M103" s="45">
        <f t="shared" ca="1" si="81"/>
        <v>0.51185145527300213</v>
      </c>
      <c r="N103" s="45">
        <f t="shared" ca="1" si="82"/>
        <v>0.43424854472699792</v>
      </c>
      <c r="O103" s="46">
        <f t="shared" ca="1" si="83"/>
        <v>0.43620537298489392</v>
      </c>
      <c r="P103" s="46" t="str">
        <f t="shared" ca="1" si="84"/>
        <v>会</v>
      </c>
      <c r="Q103" s="45">
        <f t="shared" ca="1" si="85"/>
        <v>2.162482885499879</v>
      </c>
      <c r="R103" s="117">
        <f ca="1">模拟模式!$E$20*(1-IF(模拟模式!$J$19="有",0.15,0))*(1-IF(模拟模式!$K$19="有",0.3,0)-IF(CQ103,0.5,0))</f>
        <v>2950.6049999999996</v>
      </c>
      <c r="S103" s="45">
        <f ca="1">R103/(R103+(185*模拟模式!$E$22-16800)*4.08224)</f>
        <v>0.24272716014590323</v>
      </c>
      <c r="T103" s="45" t="str">
        <f ca="1">LOOKUP(D103,'模拟-单技能数据'!$A$2:$A$19,'模拟-单技能数据'!$H$2:$H$19)</f>
        <v>阴</v>
      </c>
      <c r="U103" s="119">
        <f t="shared" ca="1" si="86"/>
        <v>0.08</v>
      </c>
      <c r="V103" s="47">
        <f ca="1">(1+L103)*(LOOKUP(D103,'模拟-单技能数据'!$A$2:$A$19,'模拟-单技能数据'!$D$2:$D$19)+G103*LOOKUP(D103,'模拟-单技能数据'!$A$2:$A$19,'模拟-单技能数据'!$F$2:$F$19))*(1+J103)*(1+K103)*(1-S103)*(1+U103)*Q103*LOOKUP(D103,'模拟-单技能数据'!$A$2:$A$19,'模拟-单技能数据'!$I$2:$I$20)</f>
        <v>38342.417102399864</v>
      </c>
      <c r="W103" s="47">
        <f ca="1">LOOKUP(D103,'模拟-单技能数据'!$A$2:$A$19,'模拟-单技能数据'!$G$2:$G$19)*$I$10</f>
        <v>361.51064354704795</v>
      </c>
      <c r="X103" s="47">
        <f t="shared" ca="1" si="87"/>
        <v>20749.792464251139</v>
      </c>
      <c r="Y103" s="47">
        <f t="shared" ca="1" si="88"/>
        <v>59453.720210198051</v>
      </c>
      <c r="Z103" s="49">
        <f t="shared" ca="1" si="89"/>
        <v>7562387.2750898236</v>
      </c>
      <c r="AA103" s="97">
        <f t="shared" ca="1" si="90"/>
        <v>107864.60241177902</v>
      </c>
      <c r="AB103" s="115">
        <f ca="1">IF(OR(C103="赤日轮1",C103="赤日轮2",C103="赤日轮3"),IF(RAND()&lt;模拟模式!$Y$17,1,0),IF(OR(C103="幽月轮1",C103="幽月轮2",C103="幽月轮3"),IF(RAND()&lt;模拟模式!$Y$18,1,0),IF(C103="烈日斩",IF(RAND()&lt;模拟模式!$Y$19,1,0),IF(C103="银月斩",IF(RAND()&lt;模拟模式!$Y$20,1,0),IF(C103="驱夜断愁",IF(RAND()&lt;模拟模式!$Y$21,1,0),IF(C103="净世破魔击·日",IF(RAND()&lt;模拟模式!$Y$22,1,0),IF(C103="净世破魔击·月",IF(RAND()&lt;模拟模式!$Y$23,1,0),0)))))))</f>
        <v>1</v>
      </c>
      <c r="AC103" s="115" t="b">
        <f t="shared" ca="1" si="67"/>
        <v>0</v>
      </c>
      <c r="AD103" s="115" t="b">
        <f t="shared" ca="1" si="118"/>
        <v>0</v>
      </c>
      <c r="AE103" s="115">
        <f t="shared" ca="1" si="119"/>
        <v>5</v>
      </c>
      <c r="AF103" s="47">
        <f ca="1">IF(AC103,('模拟-单技能数据'!$D$20+G103*'模拟-单技能数据'!$F$20)*(1+J103)*(1+'模拟-单技能数据'!$J$20)*(1+U103),0)</f>
        <v>0</v>
      </c>
      <c r="AG103" s="61">
        <f t="shared" ca="1" si="91"/>
        <v>0.64185145527300214</v>
      </c>
      <c r="AH103" s="61">
        <f t="shared" ca="1" si="92"/>
        <v>2.2624828854998791</v>
      </c>
      <c r="AI103" s="62">
        <f t="shared" ca="1" si="93"/>
        <v>0.36398022832886834</v>
      </c>
      <c r="AJ103" s="47">
        <f ca="1">IF(AD103,IF(AI103&lt;$F$10,0,IF(AI103&lt;$F$10+$F$11,0.25,IF(AI103&lt;$F$10+$F$11+AG103,AH103,1)))*IF(AF103&gt;0,AF103,IF(AF102&gt;0,AF102,IF(AF101&gt;0,AF101,IF(AF100&gt;0,AF100,IF(AF99&gt;0,AF99,IF(AF98&gt;0,AF98,IF(AF97&gt;0,AF97,IF(AF96&gt;0,AF96,IF(AF95&gt;0,AF95,IF(AF93&gt;0,AF93,IF(AF92&gt;0,AF92,IF(AF91&gt;0,AF91,0)))))))))))),0)*(1-$S103)*'模拟-单技能数据'!$I$20</f>
        <v>0</v>
      </c>
      <c r="AK103" s="115" t="b">
        <f t="shared" ca="1" si="68"/>
        <v>0</v>
      </c>
      <c r="AL103" s="115" t="b">
        <f t="shared" ca="1" si="120"/>
        <v>1</v>
      </c>
      <c r="AM103" s="115">
        <f t="shared" ca="1" si="121"/>
        <v>3</v>
      </c>
      <c r="AN103" s="47">
        <f ca="1">IF(AK103,('模拟-单技能数据'!$D$21+G103*'模拟-单技能数据'!$F$21)*(1+J103)*(1+'模拟-单技能数据'!$J$21)*(1+U103),0)</f>
        <v>0</v>
      </c>
      <c r="AO103" s="61">
        <f ca="1">IF(AN103&gt;0,M103-'模拟-单技能数据'!$K$10,AO102)</f>
        <v>0.42185145527300216</v>
      </c>
      <c r="AP103" s="61">
        <f ca="1">IF(AN103&gt;0,I103-'模拟-单技能数据'!$L$10,AP102)</f>
        <v>2.162482885499879</v>
      </c>
      <c r="AQ103" s="63">
        <f t="shared" ca="1" si="94"/>
        <v>0.24736398149471239</v>
      </c>
      <c r="AR103" s="64">
        <f ca="1">IF(AL103,IF(AQ103&lt;$F$10,0,IF(AQ103&lt;$F$10+$F$11,0.25,IF(AQ103&lt;$F$10+$F$11+AO103,AP103,1)))*IF(AN103&gt;0,AN103,IF(AN102&gt;0,AN102,IF(AN101&gt;0,AN101,IF(AN100&gt;0,AN100,IF(AN99&gt;0,AN99,IF(AN98&gt;0,AN98,IF(AN97&gt;0,AN97,IF(AN96&gt;0,AN96,IF(AN95&gt;0,AN95,IF(AN93&gt;0,AN93,IF(AN92&gt;0,AN92,IF(AN91&gt;0,AN91,0)))))))))))),0)*(1-$S103)*'模拟-单技能数据'!$I$21</f>
        <v>20749.792464251139</v>
      </c>
      <c r="AS103" s="61">
        <f ca="1">IF(OR(C103="净世破魔击·日",C103="净世破魔击·月"),M103-'模拟-单技能数据'!$K$10,0)</f>
        <v>0</v>
      </c>
      <c r="AT103" s="61">
        <f ca="1">IF(OR(C103="净世破魔击·日",C103="净世破魔击·月"),I103-'模拟-单技能数据'!$L$10,0)</f>
        <v>0</v>
      </c>
      <c r="AU103" s="62">
        <f t="shared" ca="1" si="95"/>
        <v>0.59958028596585777</v>
      </c>
      <c r="AV103" s="64">
        <f ca="1">IF(AS103&gt;0,('模拟-单技能数据'!$D$22+G103*'模拟-单技能数据'!$F$22)*(1+J103)*(1-S103)*IF(AU103&lt;$F$10,0,IF(AU103&lt;$F$10+$F$11,0.25,IF(AU103&lt;$F$10+$F$11+AS103,AT103,1)))*(1+U103),0)*'模拟-单技能数据'!$I$22</f>
        <v>0</v>
      </c>
      <c r="AW103" s="108">
        <f t="shared" ca="1" si="96"/>
        <v>7.0850000000000071</v>
      </c>
      <c r="AX103" s="108" t="b">
        <f ca="1">AND(模拟模式!$P$10="有",AW102=0,RAND()&lt;IF(C103="净世破魔击·月",0.1*8/3,IF(C103="净世破魔击·日",0.1*4/3,0.1*2/3)))</f>
        <v>0</v>
      </c>
      <c r="AY103" s="47">
        <f ca="1">IF(AX103,(18+G103*0.722)*(1+J103)*(1-S103)*(1+$I$4)*IF(P103="会",'模拟-全程加成'!$J$3+'模拟-全程加成'!$J$4+'模拟-全程加成'!$J$5+('模拟-全程加成'!$I$4+'模拟-全程加成'!$I$5)/系数!$B$4+BG103*10%,IF(P103="命",1,IF(P103="识",0.25,0))),0)</f>
        <v>0</v>
      </c>
      <c r="AZ103" s="108">
        <f t="shared" si="97"/>
        <v>10.775000000000006</v>
      </c>
      <c r="BA103" s="108" t="b">
        <f>AND(模拟模式!$Q$10="有",AZ102=0)</f>
        <v>0</v>
      </c>
      <c r="BB103" s="140">
        <f>IF(BA103,(0+G103*0.287)*(1+J103)*(1-S103)*(1+$I$4)*IF(P103="会",'模拟-全程加成'!$J$3+'模拟-全程加成'!$J$4+'模拟-全程加成'!$J$5+('模拟-全程加成'!$I$4+'模拟-全程加成'!$I$5)/系数!$B$4+BG103*10%,IF(P103="命",1,IF(P103="识",0.25,0))),0)</f>
        <v>0</v>
      </c>
      <c r="BC103" s="115" t="b">
        <f ca="1">AND(模拟模式!$R$7="伏明众生",E103=60,F103=20,DA103&lt;5,CZ102&lt;$F$4)</f>
        <v>0</v>
      </c>
      <c r="BD103" s="115">
        <f t="shared" ca="1" si="69"/>
        <v>0</v>
      </c>
      <c r="BE103" s="115" t="b">
        <f t="shared" ca="1" si="70"/>
        <v>0</v>
      </c>
      <c r="BF103" s="47">
        <f ca="1">IF(BC103,4*('模拟-单技能数据'!$D$24+G103*'模拟-单技能数据'!$F$24)*(1+J103)*(1+'模拟-单技能数据'!$J$24)*(1-S103)*(1+$I$3)*(('模拟-全程加成'!$J$3+'模拟-全程加成'!$J$4+'模拟-全程加成'!$J$5+('模拟-全程加成'!$I$4+'模拟-全程加成'!$I$5)/系数!$B$4+BG103*10%)*('模拟-全程加成'!$J$3+'模拟-全程加成'!$J$4+'模拟-全程加成'!$J$5+('模拟-全程加成'!$I$4+'模拟-全程加成'!$I$5)/系数!$B$4+BG103*10%)+(1-('模拟-全程加成'!$J$3+'模拟-全程加成'!$J$4+'模拟-全程加成'!$J$5+('模拟-全程加成'!$I$4+'模拟-全程加成'!$I$5)/系数!$B$4+BG103*10%)-$F$10-$F$11)+F89*0.25),0)*'模拟-单技能数据'!$I$24</f>
        <v>0</v>
      </c>
      <c r="BG103" s="115" t="b">
        <f ca="1">OR(AND(OR(C103="烈日斩",C103="银月斩"),模拟模式!$I$7="净身明礼"),AND(C103="净世破魔击·日",模拟模式!$J$7="洞若观火"),AND(C104="净世破魔击·月",模拟模式!$J$7="洞若观火"),AB103=1)</f>
        <v>1</v>
      </c>
      <c r="BH103" s="115" t="b">
        <f t="shared" ca="1" si="98"/>
        <v>0</v>
      </c>
      <c r="BI103" s="115">
        <f t="shared" ca="1" si="71"/>
        <v>3.2324999999999995</v>
      </c>
      <c r="BJ103" s="115" t="b">
        <f t="shared" ca="1" si="99"/>
        <v>1</v>
      </c>
      <c r="BK103" s="115" t="b">
        <f ca="1">AND(C103="驱夜断愁",模拟模式!$P$7="天地诛戮")</f>
        <v>0</v>
      </c>
      <c r="BL103" s="57">
        <f t="shared" ca="1" si="72"/>
        <v>18.155000000000001</v>
      </c>
      <c r="BM103" s="115" t="b">
        <f t="shared" ca="1" si="100"/>
        <v>1</v>
      </c>
      <c r="BN103" s="115" t="b">
        <f ca="1">AND(OR(C103="赤日轮1",C103="赤日轮2",C103="赤日轮3",C103="幽月轮1",C103="幽月轮2",C103="幽月轮3"),AB103=1,模拟模式!$L$7="明光恒照")</f>
        <v>1</v>
      </c>
      <c r="BO103" s="117">
        <f t="shared" ca="1" si="73"/>
        <v>30</v>
      </c>
      <c r="BP103" s="115">
        <f t="shared" ca="1" si="101"/>
        <v>6</v>
      </c>
      <c r="BQ103" s="115" t="b">
        <f>模拟模式!$K$10="2600·水"</f>
        <v>0</v>
      </c>
      <c r="BR103" s="117">
        <f t="shared" si="102"/>
        <v>0</v>
      </c>
      <c r="BS103" s="115">
        <f t="shared" si="103"/>
        <v>0</v>
      </c>
      <c r="BT103" s="115">
        <f t="shared" ca="1" si="104"/>
        <v>0</v>
      </c>
      <c r="BU103" s="115" t="b">
        <f ca="1">AND(模拟模式!$K$10="2300·雷",BT102=0,RAND()&lt;IF(C103="净世破魔击·月",5*0.05*2/3,IF(C103="净世破魔击·日",3*0.05*2/3,0.05*2*2/3)))</f>
        <v>0</v>
      </c>
      <c r="BV103" s="115">
        <f t="shared" ca="1" si="105"/>
        <v>0</v>
      </c>
      <c r="BW103" s="115">
        <f t="shared" ca="1" si="106"/>
        <v>115.42499999999924</v>
      </c>
      <c r="BX103" s="164" t="b">
        <f t="shared" ca="1" si="107"/>
        <v>0</v>
      </c>
      <c r="BY103" s="115">
        <f t="shared" ca="1" si="108"/>
        <v>0</v>
      </c>
      <c r="BZ103" s="115">
        <f>IF(OR(模拟模式!$P$16="10人团",模拟模式!$P$16="25人团"),IF(B103/30&gt;CA102,1,0),0)</f>
        <v>0</v>
      </c>
      <c r="CA103" s="115">
        <f t="shared" si="74"/>
        <v>0</v>
      </c>
      <c r="CB103" s="115">
        <f ca="1">IF(BZ103=1,IF(模拟模式!$P$16="10人团",15,0)+IF(模拟模式!$P$16="25人团",IF(RAND()&lt;0.6,15,0)),MAX(0,CB102-$F$4))</f>
        <v>0</v>
      </c>
      <c r="CC103" s="115" t="b">
        <f t="shared" ca="1" si="109"/>
        <v>0</v>
      </c>
      <c r="CD103" s="115">
        <f>IF(模拟模式!$Q$16="1个",IF(B103/40&gt;CE102,1,0),0)</f>
        <v>0</v>
      </c>
      <c r="CE103" s="115">
        <f t="shared" si="110"/>
        <v>0</v>
      </c>
      <c r="CF103" s="115">
        <f>IF(OR(CD103=1,模拟模式!$Q$16="2个"),20,MAX(0,CF102-$F$4))</f>
        <v>0</v>
      </c>
      <c r="CG103" s="115" t="b">
        <f t="shared" si="111"/>
        <v>0</v>
      </c>
      <c r="CH103" s="115">
        <f t="shared" ca="1" si="112"/>
        <v>29.077500000000001</v>
      </c>
      <c r="CI103" s="115" t="b">
        <f t="shared" ca="1" si="113"/>
        <v>1</v>
      </c>
      <c r="CJ103" s="119">
        <f t="shared" ca="1" si="114"/>
        <v>0.05</v>
      </c>
      <c r="CK103" s="115">
        <f t="shared" ca="1" si="115"/>
        <v>7.0774999999999997</v>
      </c>
      <c r="CL103" s="115" t="b">
        <f ca="1">AND(模拟模式!$S$7="驱夷逐法",OR(AND(C103="净世破魔击·月",E102&gt;59),AND(C103="净世破魔击·日",F102&gt;59)))</f>
        <v>0</v>
      </c>
      <c r="CM103" s="115" t="b">
        <f ca="1">OR(CL103,AND(C103="净世破魔击·日",CL102,RAND()&lt;模拟模式!$U$23))</f>
        <v>0</v>
      </c>
      <c r="CN103" s="115" t="b">
        <f ca="1">IF(模拟模式!$M$7="辉耀红尘",AND(C103="净世破魔击·月",CL103,CV103=0,E102&lt;80),AND(C103="净世破魔击·月",CL103,E102&lt;100))</f>
        <v>0</v>
      </c>
      <c r="CO103" s="115" t="b">
        <f t="shared" ca="1" si="75"/>
        <v>0</v>
      </c>
      <c r="CP103" s="115" t="b">
        <f ca="1">AND(模拟模式!$O$7="用晦而明",OR(C103="净世破魔击·日",C103="净世破魔击·月",C103="驱夜断愁"),AB103)</f>
        <v>0</v>
      </c>
      <c r="CQ103" s="115" t="b">
        <f ca="1">OR(CP103,AND(CP102,RAND()&lt;模拟模式!$U$23))</f>
        <v>0</v>
      </c>
      <c r="CR103" s="115" t="b">
        <f ca="1">AND(模拟模式!$S$7="日月齐光",OR(C103="幽月轮1",C103="幽月轮2",C103="幽月轮3",CR102),NOT(OR(C103="赤日轮1",C103="赤日轮2",C103="赤日轮3")))</f>
        <v>0</v>
      </c>
      <c r="CS103" s="115" t="b">
        <f ca="1">AND(模拟模式!$S$7="日月齐光",OR(C103="赤日轮1",C103="赤日轮2",C103="赤日轮3",CS102),NOT(OR(C103="幽月轮1",C103="幽月轮2",C103="幽月轮3")))</f>
        <v>0</v>
      </c>
      <c r="CT103" s="115">
        <f t="shared" ca="1" si="116"/>
        <v>19.852500000000006</v>
      </c>
      <c r="CU103" s="115" t="b">
        <f ca="1">AND(模拟模式!$K$10="阴阳往极",CT102=0,RAND()&lt;IF(C103="净世破魔击·月",0.0275*7/3,IF(C103="净世破魔击·日",0.0275*3/3,0.0275*2/3)))</f>
        <v>0</v>
      </c>
      <c r="CV103" s="115">
        <f t="shared" ca="1" si="117"/>
        <v>0</v>
      </c>
      <c r="CW103" s="115">
        <f t="shared" ca="1" si="76"/>
        <v>5.0774999999999997</v>
      </c>
      <c r="CX103" s="115">
        <f t="shared" ca="1" si="77"/>
        <v>3.2324999999999995</v>
      </c>
      <c r="CY103" s="115">
        <f ca="1">MAX(IF($C103="驱夜断愁",IF(模拟模式!$R$7="万念俱寂",6,45),CY102-$F$4),0)</f>
        <v>4.1549999999999994</v>
      </c>
      <c r="CZ103" s="115">
        <f t="shared" ca="1" si="78"/>
        <v>0</v>
      </c>
      <c r="DA103" s="115">
        <f ca="1">IF(模拟模式!$N$7="日月同辉",IF(DB102=2,0,MIN(6,IF(AND(OR(C103="赤日轮1",C103="赤日轮2",C103="赤日轮3",C103="幽月轮1",C103="幽月轮2",C103="幽月轮3"),AB103=1),DA102+1,DA102))),0)</f>
        <v>6</v>
      </c>
      <c r="DB103" s="115">
        <f t="shared" ca="1" si="79"/>
        <v>2</v>
      </c>
      <c r="DD103" s="115"/>
      <c r="DE103" s="115"/>
      <c r="DF103" s="115"/>
      <c r="DG103" s="115"/>
      <c r="DH103" s="115"/>
      <c r="DI103" s="115"/>
      <c r="DJ103" s="115"/>
      <c r="DK103" s="115"/>
      <c r="DL103" s="115"/>
      <c r="DM103" s="115"/>
    </row>
    <row r="104" spans="2:117" x14ac:dyDescent="0.2">
      <c r="B104" s="117">
        <f t="shared" si="80"/>
        <v>71.03249999999997</v>
      </c>
      <c r="C104" s="167" t="str">
        <f t="shared" ca="1" si="66"/>
        <v>净世破魔击·月</v>
      </c>
      <c r="D104" s="115">
        <f ca="1">IF(C104="赤日轮1",1,IF(C104="赤日轮2",2,IF(C104="赤日轮3",3,IF(C104="幽月轮1",4,IF(C104="幽月轮2",5,IF(C104="幽月轮3",6,IF(C104="烈日斩",7,IF(C104="银月斩",8,IF(C104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104="净世破魔击·月",17,IF(C104="驱夜断愁",18,0)))))))))))</f>
        <v>17</v>
      </c>
      <c r="E104" s="115">
        <f ca="1">IF(AND(CU104,OR(C104="幽月轮1",C104="幽月轮2",C104="幽月轮3",C104="银月斩",C104="驱夜断愁",C104="净世破魔击·月")),100,MIN(IF(OR(CN104,BE104),0,IF(OR($C104="赤日轮1",$C104="赤日轮2",$C104="赤日轮3"),E103+20+IF(模拟模式!$I$7="日月凌天",4,0)+IF(CR103,20,0),IF($C104="烈日斩",E103+40,IF($C104="驱夜断愁",IF(模拟模式!$R$7="万念俱寂",E103+20,E103+60),IF($C104="净世破魔击·月",IF(OR(DB103&gt;0,CV103&gt;0),100,IF(模拟模式!$M$7="辉耀红尘",E103+20,E103)),IF($C104="净世破魔击·日",E103-100,E103)))))),100))</f>
        <v>100</v>
      </c>
      <c r="F104" s="115">
        <f ca="1">IF(AND(CU104,OR(C104="赤日轮1",C104="赤日轮2",C104="赤日轮3",C104="烈日斩",C104="净世破魔击·日")),100,MIN(IF(CO104,0,IF(OR($C104="幽月轮1",$C104="幽月轮2",$C104="幽月轮3"),F103+20+IF(模拟模式!$I$7="日月凌天",4,0)+IF(CS103,20,0),IF($C104="银月斩",F103+40+IF(模拟模式!$X$12=1,5,0),IF($C104="驱夜断愁",IF(模拟模式!$R$7="万念俱寂",F103+20,F103+60),IF($C104="净世破魔击·月",IF(模拟模式!$M$7="辉耀红尘",F103-80,F103-100),IF(AND(C104="净世破魔击·日",OR(DB103&gt;0,CV103&gt;0)),100,F103)))))),100))</f>
        <v>20</v>
      </c>
      <c r="G104" s="117">
        <f ca="1">('模拟-全程加成'!$E$3+'模拟-全程加成'!$E$4+'模拟-全程加成'!$E$5+('模拟-全程加成'!$C$6-'模拟-全程加成'!$C$3)*系数!$B$9+BS104*23)*(1+'模拟-全程加成'!$F$4+'模拟-全程加成'!$F$5+BJ104*10%+BM104*20%+BP104*4%+CG104*30%)+$F$7*系数!$B$12</f>
        <v>21493.829400000002</v>
      </c>
      <c r="H104" s="45">
        <f ca="1">'模拟-全程加成'!$H$3+'模拟-全程加成'!$H$4+'模拟-全程加成'!$H$5+('模拟-全程加成'!$G$4+'模拟-全程加成'!$G$5+('模拟-全程加成'!$C$6-'模拟-全程加成'!$C$3)*系数!$B$13)/系数!$B$3+LOOKUP(D104,'模拟-单技能数据'!$A$2:$A$19,'模拟-单技能数据'!$K$2:$K$19)+BG104*10%+IF(BV104&gt;0,378,0)</f>
        <v>0.54185145527300216</v>
      </c>
      <c r="I104" s="45">
        <f ca="1">'模拟-全程加成'!$J$3+'模拟-全程加成'!$J$4+'模拟-全程加成'!$J$5+('模拟-全程加成'!$I$4+'模拟-全程加成'!$I$5)/系数!$B$4+LOOKUP(D104,'模拟-单技能数据'!$A$2:$A$19,'模拟-单技能数据'!$L$2:$L$19)+BG104*10%</f>
        <v>2.162482885499879</v>
      </c>
      <c r="J104" s="45">
        <f ca="1">(('模拟-全程加成'!$K$3+'模拟-全程加成'!$K$4+'模拟-全程加成'!$K$5+('模拟-全程加成'!$C$6-'模拟-全程加成'!$C$3)*系数!$B$10+IF(BV104&gt;0,882,0)+IF(BY104&gt;0,1831,0))*(1+'模拟-全程加成'!$L$4+'模拟-全程加成'!$L$5+CC104*20%))/系数!$B$5</f>
        <v>0.69723220422048726</v>
      </c>
      <c r="K104" s="119">
        <f ca="1">LOOKUP(D104,'模拟-单技能数据'!$A$2:$A$19,'模拟-单技能数据'!$J$2:$J$19)+IF(CM104,60%,0)+IF(DB103-DB104&gt;0,30%,0)+IF(OR(AND(OR(C104="赤日轮1",C104="赤日轮2",C104="赤日轮3"),CR104),AND(OR(C104="幽月轮1",C104="幽月轮2",C104="幽月轮3"),CS104)),35%,0)+CJ104</f>
        <v>1.1500000000000001</v>
      </c>
      <c r="L104" s="119">
        <f ca="1">IF(AND(C104="烈日斩",模拟模式!$X$11=1),10%,0)+IF(AND(C104="驱夜断愁",AB104=1),30%,0)</f>
        <v>0</v>
      </c>
      <c r="M104" s="45">
        <f t="shared" ca="1" si="81"/>
        <v>0.54185145527300216</v>
      </c>
      <c r="N104" s="45">
        <f t="shared" ca="1" si="82"/>
        <v>0.40424854472699789</v>
      </c>
      <c r="O104" s="46">
        <f t="shared" ca="1" si="83"/>
        <v>5.6191807465509336E-2</v>
      </c>
      <c r="P104" s="46" t="str">
        <f t="shared" ca="1" si="84"/>
        <v>会</v>
      </c>
      <c r="Q104" s="45">
        <f t="shared" ca="1" si="85"/>
        <v>2.162482885499879</v>
      </c>
      <c r="R104" s="117">
        <f ca="1">模拟模式!$E$20*(1-IF(模拟模式!$J$19="有",0.15,0))*(1-IF(模拟模式!$K$19="有",0.3,0)-IF(CQ104,0.5,0))</f>
        <v>843.02999999999975</v>
      </c>
      <c r="S104" s="45">
        <f ca="1">R104/(R104+(185*模拟模式!$E$22-16800)*4.08224)</f>
        <v>8.389626085980037E-2</v>
      </c>
      <c r="T104" s="45" t="str">
        <f ca="1">LOOKUP(D104,'模拟-单技能数据'!$A$2:$A$19,'模拟-单技能数据'!$H$2:$H$19)</f>
        <v>阴</v>
      </c>
      <c r="U104" s="119">
        <f t="shared" ca="1" si="86"/>
        <v>0.08</v>
      </c>
      <c r="V104" s="47">
        <f ca="1">(1+L104)*(LOOKUP(D104,'模拟-单技能数据'!$A$2:$A$19,'模拟-单技能数据'!$D$2:$D$19)+G104*LOOKUP(D104,'模拟-单技能数据'!$A$2:$A$19,'模拟-单技能数据'!$F$2:$F$19))*(1+J104)*(1+K104)*(1-S104)*(1+U104)*Q104*LOOKUP(D104,'模拟-单技能数据'!$A$2:$A$19,'模拟-单技能数据'!$I$2:$I$20)</f>
        <v>218035.34744771273</v>
      </c>
      <c r="W104" s="47">
        <f ca="1">LOOKUP(D104,'模拟-单技能数据'!$A$2:$A$19,'模拟-单技能数据'!$G$2:$G$19)*$I$10</f>
        <v>361.51064354704795</v>
      </c>
      <c r="X104" s="47">
        <f t="shared" ca="1" si="87"/>
        <v>17572.867871948234</v>
      </c>
      <c r="Y104" s="47">
        <f t="shared" ca="1" si="88"/>
        <v>235969.72596320801</v>
      </c>
      <c r="Z104" s="49">
        <f t="shared" ca="1" si="89"/>
        <v>7798357.0010530315</v>
      </c>
      <c r="AA104" s="97">
        <f t="shared" ca="1" si="90"/>
        <v>109785.76005424326</v>
      </c>
      <c r="AB104" s="115">
        <f ca="1">IF(OR(C104="赤日轮1",C104="赤日轮2",C104="赤日轮3"),IF(RAND()&lt;模拟模式!$Y$17,1,0),IF(OR(C104="幽月轮1",C104="幽月轮2",C104="幽月轮3"),IF(RAND()&lt;模拟模式!$Y$18,1,0),IF(C104="烈日斩",IF(RAND()&lt;模拟模式!$Y$19,1,0),IF(C104="银月斩",IF(RAND()&lt;模拟模式!$Y$20,1,0),IF(C104="驱夜断愁",IF(RAND()&lt;模拟模式!$Y$21,1,0),IF(C104="净世破魔击·日",IF(RAND()&lt;模拟模式!$Y$22,1,0),IF(C104="净世破魔击·月",IF(RAND()&lt;模拟模式!$Y$23,1,0),0)))))))</f>
        <v>1</v>
      </c>
      <c r="AC104" s="115" t="b">
        <f t="shared" ca="1" si="67"/>
        <v>0</v>
      </c>
      <c r="AD104" s="115" t="b">
        <f t="shared" ca="1" si="118"/>
        <v>1</v>
      </c>
      <c r="AE104" s="115">
        <f t="shared" ca="1" si="119"/>
        <v>4</v>
      </c>
      <c r="AF104" s="47">
        <f ca="1">IF(AC104,('模拟-单技能数据'!$D$20+G104*'模拟-单技能数据'!$F$20)*(1+J104)*(1+'模拟-单技能数据'!$J$20)*(1+U104),0)</f>
        <v>0</v>
      </c>
      <c r="AG104" s="61">
        <f t="shared" ca="1" si="91"/>
        <v>0.64185145527300214</v>
      </c>
      <c r="AH104" s="61">
        <f t="shared" ca="1" si="92"/>
        <v>2.2624828854998791</v>
      </c>
      <c r="AI104" s="62">
        <f t="shared" ca="1" si="93"/>
        <v>0.57729584091126429</v>
      </c>
      <c r="AJ104" s="47">
        <f ca="1">IF(AD104,IF(AI104&lt;$F$10,0,IF(AI104&lt;$F$10+$F$11,0.25,IF(AI104&lt;$F$10+$F$11+AG104,AH104,1)))*IF(AF104&gt;0,AF104,IF(AF103&gt;0,AF103,IF(AF102&gt;0,AF102,IF(AF101&gt;0,AF101,IF(AF100&gt;0,AF100,IF(AF99&gt;0,AF99,IF(AF98&gt;0,AF98,IF(AF97&gt;0,AF97,IF(AF96&gt;0,AF96,IF(AF94&gt;0,AF94,IF(AF93&gt;0,AF93,IF(AF92&gt;0,AF92,0)))))))))))),0)*(1-$S104)*'模拟-单技能数据'!$I$20</f>
        <v>9616.6571145767884</v>
      </c>
      <c r="AK104" s="115" t="b">
        <f t="shared" ca="1" si="68"/>
        <v>0</v>
      </c>
      <c r="AL104" s="115" t="b">
        <f t="shared" ca="1" si="120"/>
        <v>0</v>
      </c>
      <c r="AM104" s="115">
        <f t="shared" ca="1" si="121"/>
        <v>3</v>
      </c>
      <c r="AN104" s="47">
        <f ca="1">IF(AK104,('模拟-单技能数据'!$D$21+G104*'模拟-单技能数据'!$F$21)*(1+J104)*(1+'模拟-单技能数据'!$J$21)*(1+U104),0)</f>
        <v>0</v>
      </c>
      <c r="AO104" s="61">
        <f ca="1">IF(AN104&gt;0,M104-'模拟-单技能数据'!$K$10,AO103)</f>
        <v>0.42185145527300216</v>
      </c>
      <c r="AP104" s="61">
        <f ca="1">IF(AN104&gt;0,I104-'模拟-单技能数据'!$L$10,AP103)</f>
        <v>2.162482885499879</v>
      </c>
      <c r="AQ104" s="63">
        <f t="shared" ca="1" si="94"/>
        <v>0.7895614938736949</v>
      </c>
      <c r="AR104" s="64">
        <f ca="1">IF(AL104,IF(AQ104&lt;$F$10,0,IF(AQ104&lt;$F$10+$F$11,0.25,IF(AQ104&lt;$F$10+$F$11+AO104,AP104,1)))*IF(AN104&gt;0,AN104,IF(AN103&gt;0,AN103,IF(AN102&gt;0,AN102,IF(AN101&gt;0,AN101,IF(AN100&gt;0,AN100,IF(AN99&gt;0,AN99,IF(AN98&gt;0,AN98,IF(AN97&gt;0,AN97,IF(AN96&gt;0,AN96,IF(AN94&gt;0,AN94,IF(AN93&gt;0,AN93,IF(AN92&gt;0,AN92,0)))))))))))),0)*(1-$S104)*'模拟-单技能数据'!$I$21</f>
        <v>0</v>
      </c>
      <c r="AS104" s="61">
        <f ca="1">IF(OR(C104="净世破魔击·日",C104="净世破魔击·月"),M104-'模拟-单技能数据'!$K$10,0)</f>
        <v>0.42185145527300216</v>
      </c>
      <c r="AT104" s="61">
        <f ca="1">IF(OR(C104="净世破魔击·日",C104="净世破魔击·月"),I104-'模拟-单技能数据'!$L$10,0)</f>
        <v>2.162482885499879</v>
      </c>
      <c r="AU104" s="62">
        <f t="shared" ca="1" si="95"/>
        <v>0.78439130641267896</v>
      </c>
      <c r="AV104" s="64">
        <f ca="1">IF(AS104&gt;0,('模拟-单技能数据'!$D$22+G104*'模拟-单技能数据'!$F$22)*(1+J104)*(1-S104)*IF(AU104&lt;$F$10,0,IF(AU104&lt;$F$10+$F$11,0.25,IF(AU104&lt;$F$10+$F$11+AS104,AT104,1)))*(1+U104),0)*'模拟-单技能数据'!$I$22</f>
        <v>7956.2107573714466</v>
      </c>
      <c r="AW104" s="108">
        <f t="shared" ca="1" si="96"/>
        <v>6.1625000000000068</v>
      </c>
      <c r="AX104" s="108" t="b">
        <f ca="1">AND(模拟模式!$P$10="有",AW103=0,RAND()&lt;IF(C104="净世破魔击·月",0.1*8/3,IF(C104="净世破魔击·日",0.1*4/3,0.1*2/3)))</f>
        <v>0</v>
      </c>
      <c r="AY104" s="47">
        <f ca="1">IF(AX104,(18+G104*0.722)*(1+J104)*(1-S104)*(1+$I$4)*IF(P104="会",'模拟-全程加成'!$J$3+'模拟-全程加成'!$J$4+'模拟-全程加成'!$J$5+('模拟-全程加成'!$I$4+'模拟-全程加成'!$I$5)/系数!$B$4+BG104*10%,IF(P104="命",1,IF(P104="识",0.25,0))),0)</f>
        <v>0</v>
      </c>
      <c r="AZ104" s="108">
        <f t="shared" si="97"/>
        <v>9.8525000000000063</v>
      </c>
      <c r="BA104" s="108" t="b">
        <f>AND(模拟模式!$Q$10="有",AZ103=0)</f>
        <v>0</v>
      </c>
      <c r="BB104" s="140">
        <f>IF(BA104,(0+G104*0.287)*(1+J104)*(1-S104)*(1+$I$4)*IF(P104="会",'模拟-全程加成'!$J$3+'模拟-全程加成'!$J$4+'模拟-全程加成'!$J$5+('模拟-全程加成'!$I$4+'模拟-全程加成'!$I$5)/系数!$B$4+BG104*10%,IF(P104="命",1,IF(P104="识",0.25,0))),0)</f>
        <v>0</v>
      </c>
      <c r="BC104" s="115" t="b">
        <f ca="1">AND(模拟模式!$R$7="伏明众生",E104=60,F104=20,DA104&lt;5,CZ103&lt;$F$4)</f>
        <v>0</v>
      </c>
      <c r="BD104" s="115">
        <f t="shared" ca="1" si="69"/>
        <v>0</v>
      </c>
      <c r="BE104" s="115" t="b">
        <f t="shared" ca="1" si="70"/>
        <v>0</v>
      </c>
      <c r="BF104" s="47">
        <f ca="1">IF(BC104,4*('模拟-单技能数据'!$D$24+G104*'模拟-单技能数据'!$F$24)*(1+J104)*(1+'模拟-单技能数据'!$J$24)*(1-S104)*(1+$I$3)*(('模拟-全程加成'!$J$3+'模拟-全程加成'!$J$4+'模拟-全程加成'!$J$5+('模拟-全程加成'!$I$4+'模拟-全程加成'!$I$5)/系数!$B$4+BG104*10%)*('模拟-全程加成'!$J$3+'模拟-全程加成'!$J$4+'模拟-全程加成'!$J$5+('模拟-全程加成'!$I$4+'模拟-全程加成'!$I$5)/系数!$B$4+BG104*10%)+(1-('模拟-全程加成'!$J$3+'模拟-全程加成'!$J$4+'模拟-全程加成'!$J$5+('模拟-全程加成'!$I$4+'模拟-全程加成'!$I$5)/系数!$B$4+BG104*10%)-$F$10-$F$11)+F90*0.25),0)*'模拟-单技能数据'!$I$24</f>
        <v>0</v>
      </c>
      <c r="BG104" s="115" t="b">
        <f ca="1">OR(AND(OR(C104="烈日斩",C104="银月斩"),模拟模式!$I$7="净身明礼"),AND(C104="净世破魔击·日",模拟模式!$J$7="洞若观火"),AND(C105="净世破魔击·月",模拟模式!$J$7="洞若观火"),AB104=1)</f>
        <v>1</v>
      </c>
      <c r="BH104" s="115" t="b">
        <f t="shared" ca="1" si="98"/>
        <v>0</v>
      </c>
      <c r="BI104" s="115">
        <f t="shared" ca="1" si="71"/>
        <v>2.3099999999999996</v>
      </c>
      <c r="BJ104" s="115" t="b">
        <f t="shared" ca="1" si="99"/>
        <v>1</v>
      </c>
      <c r="BK104" s="115" t="b">
        <f ca="1">AND(C104="驱夜断愁",模拟模式!$P$7="天地诛戮")</f>
        <v>0</v>
      </c>
      <c r="BL104" s="57">
        <f t="shared" ca="1" si="72"/>
        <v>17.232500000000002</v>
      </c>
      <c r="BM104" s="115" t="b">
        <f t="shared" ca="1" si="100"/>
        <v>1</v>
      </c>
      <c r="BN104" s="115" t="b">
        <f ca="1">AND(OR(C104="赤日轮1",C104="赤日轮2",C104="赤日轮3",C104="幽月轮1",C104="幽月轮2",C104="幽月轮3"),AB104=1,模拟模式!$L$7="明光恒照")</f>
        <v>0</v>
      </c>
      <c r="BO104" s="117">
        <f t="shared" ca="1" si="73"/>
        <v>29.077500000000001</v>
      </c>
      <c r="BP104" s="115">
        <f t="shared" ca="1" si="101"/>
        <v>6</v>
      </c>
      <c r="BQ104" s="115" t="b">
        <f>模拟模式!$K$10="2600·水"</f>
        <v>0</v>
      </c>
      <c r="BR104" s="117">
        <f t="shared" si="102"/>
        <v>0</v>
      </c>
      <c r="BS104" s="115">
        <f t="shared" si="103"/>
        <v>0</v>
      </c>
      <c r="BT104" s="115">
        <f t="shared" ca="1" si="104"/>
        <v>0</v>
      </c>
      <c r="BU104" s="115" t="b">
        <f ca="1">AND(模拟模式!$K$10="2300·雷",BT103=0,RAND()&lt;IF(C104="净世破魔击·月",5*0.05*2/3,IF(C104="净世破魔击·日",3*0.05*2/3,0.05*2*2/3)))</f>
        <v>0</v>
      </c>
      <c r="BV104" s="115">
        <f t="shared" ca="1" si="105"/>
        <v>0</v>
      </c>
      <c r="BW104" s="115">
        <f t="shared" ca="1" si="106"/>
        <v>114.50249999999924</v>
      </c>
      <c r="BX104" s="164" t="b">
        <f t="shared" ca="1" si="107"/>
        <v>0</v>
      </c>
      <c r="BY104" s="115">
        <f t="shared" ca="1" si="108"/>
        <v>0</v>
      </c>
      <c r="BZ104" s="115">
        <f>IF(OR(模拟模式!$P$16="10人团",模拟模式!$P$16="25人团"),IF(B104/30&gt;CA103,1,0),0)</f>
        <v>0</v>
      </c>
      <c r="CA104" s="115">
        <f t="shared" si="74"/>
        <v>0</v>
      </c>
      <c r="CB104" s="115">
        <f ca="1">IF(BZ104=1,IF(模拟模式!$P$16="10人团",15,0)+IF(模拟模式!$P$16="25人团",IF(RAND()&lt;0.6,15,0)),MAX(0,CB103-$F$4))</f>
        <v>0</v>
      </c>
      <c r="CC104" s="115" t="b">
        <f t="shared" ca="1" si="109"/>
        <v>0</v>
      </c>
      <c r="CD104" s="115">
        <f>IF(模拟模式!$Q$16="1个",IF(B104/40&gt;CE103,1,0),0)</f>
        <v>0</v>
      </c>
      <c r="CE104" s="115">
        <f t="shared" si="110"/>
        <v>0</v>
      </c>
      <c r="CF104" s="115">
        <f>IF(OR(CD104=1,模拟模式!$Q$16="2个"),20,MAX(0,CF103-$F$4))</f>
        <v>0</v>
      </c>
      <c r="CG104" s="115" t="b">
        <f t="shared" si="111"/>
        <v>0</v>
      </c>
      <c r="CH104" s="115">
        <f t="shared" ca="1" si="112"/>
        <v>28.155000000000001</v>
      </c>
      <c r="CI104" s="115" t="b">
        <f t="shared" ca="1" si="113"/>
        <v>0</v>
      </c>
      <c r="CJ104" s="119">
        <f t="shared" ca="1" si="114"/>
        <v>0.05</v>
      </c>
      <c r="CK104" s="115">
        <f t="shared" ca="1" si="115"/>
        <v>6.1549999999999994</v>
      </c>
      <c r="CL104" s="115" t="b">
        <f ca="1">AND(模拟模式!$S$7="驱夷逐法",OR(AND(C104="净世破魔击·月",E103&gt;59),AND(C104="净世破魔击·日",F103&gt;59)))</f>
        <v>1</v>
      </c>
      <c r="CM104" s="115" t="b">
        <f ca="1">OR(CL104,AND(C104="净世破魔击·日",CL103,RAND()&lt;模拟模式!$U$23))</f>
        <v>1</v>
      </c>
      <c r="CN104" s="115" t="b">
        <f ca="1">IF(模拟模式!$M$7="辉耀红尘",AND(C104="净世破魔击·月",CL104,CV104=0,E103&lt;80),AND(C104="净世破魔击·月",CL104,E103&lt;100))</f>
        <v>0</v>
      </c>
      <c r="CO104" s="115" t="b">
        <f t="shared" ca="1" si="75"/>
        <v>0</v>
      </c>
      <c r="CP104" s="115" t="b">
        <f ca="1">AND(模拟模式!$O$7="用晦而明",OR(C104="净世破魔击·日",C104="净世破魔击·月",C104="驱夜断愁"),AB104)</f>
        <v>1</v>
      </c>
      <c r="CQ104" s="115" t="b">
        <f ca="1">OR(CP104,AND(CP103,RAND()&lt;模拟模式!$U$23))</f>
        <v>1</v>
      </c>
      <c r="CR104" s="115" t="b">
        <f ca="1">AND(模拟模式!$S$7="日月齐光",OR(C104="幽月轮1",C104="幽月轮2",C104="幽月轮3",CR103),NOT(OR(C104="赤日轮1",C104="赤日轮2",C104="赤日轮3")))</f>
        <v>0</v>
      </c>
      <c r="CS104" s="115" t="b">
        <f ca="1">AND(模拟模式!$S$7="日月齐光",OR(C104="赤日轮1",C104="赤日轮2",C104="赤日轮3",CS103),NOT(OR(C104="幽月轮1",C104="幽月轮2",C104="幽月轮3")))</f>
        <v>0</v>
      </c>
      <c r="CT104" s="115">
        <f t="shared" ca="1" si="116"/>
        <v>18.930000000000007</v>
      </c>
      <c r="CU104" s="115" t="b">
        <f ca="1">AND(模拟模式!$K$10="阴阳往极",CT103=0,RAND()&lt;IF(C104="净世破魔击·月",0.0275*7/3,IF(C104="净世破魔击·日",0.0275*3/3,0.0275*2/3)))</f>
        <v>0</v>
      </c>
      <c r="CV104" s="115">
        <f t="shared" ca="1" si="117"/>
        <v>0</v>
      </c>
      <c r="CW104" s="115">
        <f t="shared" ca="1" si="76"/>
        <v>4.1549999999999994</v>
      </c>
      <c r="CX104" s="115">
        <f t="shared" ca="1" si="77"/>
        <v>2.3099999999999996</v>
      </c>
      <c r="CY104" s="115">
        <f ca="1">MAX(IF($C104="驱夜断愁",IF(模拟模式!$R$7="万念俱寂",6,45),CY103-$F$4),0)</f>
        <v>3.2324999999999995</v>
      </c>
      <c r="CZ104" s="115">
        <f t="shared" ca="1" si="78"/>
        <v>0</v>
      </c>
      <c r="DA104" s="115">
        <f ca="1">IF(模拟模式!$N$7="日月同辉",IF(DB103=2,0,MIN(6,IF(AND(OR(C104="赤日轮1",C104="赤日轮2",C104="赤日轮3",C104="幽月轮1",C104="幽月轮2",C104="幽月轮3"),AB104=1),DA103+1,DA103))),0)</f>
        <v>0</v>
      </c>
      <c r="DB104" s="115">
        <f t="shared" ca="1" si="79"/>
        <v>1</v>
      </c>
      <c r="DD104" s="115"/>
      <c r="DE104" s="115"/>
      <c r="DF104" s="115"/>
      <c r="DG104" s="115"/>
      <c r="DH104" s="115"/>
      <c r="DI104" s="115"/>
      <c r="DJ104" s="115"/>
      <c r="DK104" s="115"/>
      <c r="DL104" s="115"/>
      <c r="DM104" s="115"/>
    </row>
    <row r="105" spans="2:117" x14ac:dyDescent="0.2">
      <c r="B105" s="117">
        <f t="shared" si="80"/>
        <v>71.95499999999997</v>
      </c>
      <c r="C105" s="167" t="str">
        <f t="shared" ca="1" si="66"/>
        <v>净世破魔击·日</v>
      </c>
      <c r="D105" s="115">
        <f ca="1">IF(C105="赤日轮1",1,IF(C105="赤日轮2",2,IF(C105="赤日轮3",3,IF(C105="幽月轮1",4,IF(C105="幽月轮2",5,IF(C105="幽月轮3",6,IF(C105="烈日斩",7,IF(C105="银月斩",8,IF(C105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105="净世破魔击·月",17,IF(C105="驱夜断愁",18,0)))))))))))</f>
        <v>9</v>
      </c>
      <c r="E105" s="115">
        <f ca="1">IF(AND(CU105,OR(C105="幽月轮1",C105="幽月轮2",C105="幽月轮3",C105="银月斩",C105="驱夜断愁",C105="净世破魔击·月")),100,MIN(IF(OR(CN105,BE105),0,IF(OR($C105="赤日轮1",$C105="赤日轮2",$C105="赤日轮3"),E104+20+IF(模拟模式!$I$7="日月凌天",4,0)+IF(CR104,20,0),IF($C105="烈日斩",E104+40,IF($C105="驱夜断愁",IF(模拟模式!$R$7="万念俱寂",E104+20,E104+60),IF($C105="净世破魔击·月",IF(OR(DB104&gt;0,CV104&gt;0),100,IF(模拟模式!$M$7="辉耀红尘",E104+20,E104)),IF($C105="净世破魔击·日",E104-100,E104)))))),100))</f>
        <v>0</v>
      </c>
      <c r="F105" s="115">
        <f ca="1">IF(AND(CU105,OR(C105="赤日轮1",C105="赤日轮2",C105="赤日轮3",C105="烈日斩",C105="净世破魔击·日")),100,MIN(IF(CO105,0,IF(OR($C105="幽月轮1",$C105="幽月轮2",$C105="幽月轮3"),F104+20+IF(模拟模式!$I$7="日月凌天",4,0)+IF(CS104,20,0),IF($C105="银月斩",F104+40+IF(模拟模式!$X$12=1,5,0),IF($C105="驱夜断愁",IF(模拟模式!$R$7="万念俱寂",F104+20,F104+60),IF($C105="净世破魔击·月",IF(模拟模式!$M$7="辉耀红尘",F104-80,F104-100),IF(AND(C105="净世破魔击·日",OR(DB104&gt;0,CV104&gt;0)),100,F104)))))),100))</f>
        <v>100</v>
      </c>
      <c r="G105" s="117">
        <f ca="1">('模拟-全程加成'!$E$3+'模拟-全程加成'!$E$4+'模拟-全程加成'!$E$5+('模拟-全程加成'!$C$6-'模拟-全程加成'!$C$3)*系数!$B$9+BS105*23)*(1+'模拟-全程加成'!$F$4+'模拟-全程加成'!$F$5+BJ105*10%+BM105*20%+BP105*4%+CG105*30%)+$F$7*系数!$B$12</f>
        <v>21493.829400000002</v>
      </c>
      <c r="H105" s="45">
        <f ca="1">'模拟-全程加成'!$H$3+'模拟-全程加成'!$H$4+'模拟-全程加成'!$H$5+('模拟-全程加成'!$G$4+'模拟-全程加成'!$G$5+('模拟-全程加成'!$C$6-'模拟-全程加成'!$C$3)*系数!$B$13)/系数!$B$3+LOOKUP(D105,'模拟-单技能数据'!$A$2:$A$19,'模拟-单技能数据'!$K$2:$K$19)+BG105*10%+IF(BV105&gt;0,378,0)</f>
        <v>0.54185145527300216</v>
      </c>
      <c r="I105" s="45">
        <f ca="1">'模拟-全程加成'!$J$3+'模拟-全程加成'!$J$4+'模拟-全程加成'!$J$5+('模拟-全程加成'!$I$4+'模拟-全程加成'!$I$5)/系数!$B$4+LOOKUP(D105,'模拟-单技能数据'!$A$2:$A$19,'模拟-单技能数据'!$L$2:$L$19)+BG105*10%</f>
        <v>2.162482885499879</v>
      </c>
      <c r="J105" s="45">
        <f ca="1">(('模拟-全程加成'!$K$3+'模拟-全程加成'!$K$4+'模拟-全程加成'!$K$5+('模拟-全程加成'!$C$6-'模拟-全程加成'!$C$3)*系数!$B$10+IF(BV105&gt;0,882,0)+IF(BY105&gt;0,1831,0))*(1+'模拟-全程加成'!$L$4+'模拟-全程加成'!$L$5+CC105*20%))/系数!$B$5</f>
        <v>0.69723220422048726</v>
      </c>
      <c r="K105" s="119">
        <f ca="1">LOOKUP(D105,'模拟-单技能数据'!$A$2:$A$19,'模拟-单技能数据'!$J$2:$J$19)+IF(CM105,60%,0)+IF(DB104-DB105&gt;0,30%,0)+IF(OR(AND(OR(C105="赤日轮1",C105="赤日轮2",C105="赤日轮3"),CR105),AND(OR(C105="幽月轮1",C105="幽月轮2",C105="幽月轮3"),CS105)),35%,0)+CJ105</f>
        <v>1.1500000000000001</v>
      </c>
      <c r="L105" s="119">
        <f ca="1">IF(AND(C105="烈日斩",模拟模式!$X$11=1),10%,0)+IF(AND(C105="驱夜断愁",AB105=1),30%,0)</f>
        <v>0</v>
      </c>
      <c r="M105" s="45">
        <f t="shared" ca="1" si="81"/>
        <v>0.54185145527300216</v>
      </c>
      <c r="N105" s="45">
        <f t="shared" ca="1" si="82"/>
        <v>0.40424854472699789</v>
      </c>
      <c r="O105" s="46">
        <f t="shared" ca="1" si="83"/>
        <v>0.98449459840830122</v>
      </c>
      <c r="P105" s="46" t="str">
        <f t="shared" ca="1" si="84"/>
        <v>命</v>
      </c>
      <c r="Q105" s="45">
        <f t="shared" ca="1" si="85"/>
        <v>1</v>
      </c>
      <c r="R105" s="117">
        <f ca="1">模拟模式!$E$20*(1-IF(模拟模式!$J$19="有",0.15,0))*(1-IF(模拟模式!$K$19="有",0.3,0)-IF(CQ105,0.5,0))</f>
        <v>843.02999999999975</v>
      </c>
      <c r="S105" s="45">
        <f ca="1">R105/(R105+(185*模拟模式!$E$22-16800)*4.08224)</f>
        <v>8.389626085980037E-2</v>
      </c>
      <c r="T105" s="45" t="str">
        <f ca="1">LOOKUP(D105,'模拟-单技能数据'!$A$2:$A$19,'模拟-单技能数据'!$H$2:$H$19)</f>
        <v>阳</v>
      </c>
      <c r="U105" s="119">
        <f t="shared" ca="1" si="86"/>
        <v>0.2</v>
      </c>
      <c r="V105" s="47">
        <f ca="1">(1+L105)*(LOOKUP(D105,'模拟-单技能数据'!$A$2:$A$19,'模拟-单技能数据'!$D$2:$D$19)+G105*LOOKUP(D105,'模拟-单技能数据'!$A$2:$A$19,'模拟-单技能数据'!$F$2:$F$19))*(1+J105)*(1+K105)*(1-S105)*(1+U105)*Q105*LOOKUP(D105,'模拟-单技能数据'!$A$2:$A$19,'模拟-单技能数据'!$I$2:$I$20)</f>
        <v>112965.01943264688</v>
      </c>
      <c r="W105" s="47">
        <f ca="1">LOOKUP(D105,'模拟-单技能数据'!$A$2:$A$19,'模拟-单技能数据'!$G$2:$G$19)*$I$10</f>
        <v>723.0212870940959</v>
      </c>
      <c r="X105" s="47">
        <f t="shared" ca="1" si="87"/>
        <v>44218.722574609732</v>
      </c>
      <c r="Y105" s="47">
        <f t="shared" ca="1" si="88"/>
        <v>157906.76329435071</v>
      </c>
      <c r="Z105" s="49">
        <f t="shared" ca="1" si="89"/>
        <v>7956263.7643473819</v>
      </c>
      <c r="AA105" s="97">
        <f t="shared" ca="1" si="90"/>
        <v>110572.77137582358</v>
      </c>
      <c r="AB105" s="115">
        <f ca="1">IF(OR(C105="赤日轮1",C105="赤日轮2",C105="赤日轮3"),IF(RAND()&lt;模拟模式!$Y$17,1,0),IF(OR(C105="幽月轮1",C105="幽月轮2",C105="幽月轮3"),IF(RAND()&lt;模拟模式!$Y$18,1,0),IF(C105="烈日斩",IF(RAND()&lt;模拟模式!$Y$19,1,0),IF(C105="银月斩",IF(RAND()&lt;模拟模式!$Y$20,1,0),IF(C105="驱夜断愁",IF(RAND()&lt;模拟模式!$Y$21,1,0),IF(C105="净世破魔击·日",IF(RAND()&lt;模拟模式!$Y$22,1,0),IF(C105="净世破魔击·月",IF(RAND()&lt;模拟模式!$Y$23,1,0),0)))))))</f>
        <v>1</v>
      </c>
      <c r="AC105" s="115" t="b">
        <f t="shared" ca="1" si="67"/>
        <v>0</v>
      </c>
      <c r="AD105" s="115" t="b">
        <f t="shared" ca="1" si="118"/>
        <v>0</v>
      </c>
      <c r="AE105" s="115">
        <f t="shared" ca="1" si="119"/>
        <v>4</v>
      </c>
      <c r="AF105" s="47">
        <f ca="1">IF(AC105,('模拟-单技能数据'!$D$20+G105*'模拟-单技能数据'!$F$20)*(1+J105)*(1+'模拟-单技能数据'!$J$20)*(1+U105),0)</f>
        <v>0</v>
      </c>
      <c r="AG105" s="61">
        <f t="shared" ca="1" si="91"/>
        <v>0.64185145527300214</v>
      </c>
      <c r="AH105" s="61">
        <f t="shared" ca="1" si="92"/>
        <v>2.2624828854998791</v>
      </c>
      <c r="AI105" s="62">
        <f t="shared" ca="1" si="93"/>
        <v>0.56388649143014846</v>
      </c>
      <c r="AJ105" s="47">
        <f ca="1">IF(AD105,IF(AI105&lt;$F$10,0,IF(AI105&lt;$F$10+$F$11,0.25,IF(AI105&lt;$F$10+$F$11+AG105,AH105,1)))*IF(AF105&gt;0,AF105,IF(AF104&gt;0,AF104,IF(AF103&gt;0,AF103,IF(AF102&gt;0,AF102,IF(AF101&gt;0,AF101,IF(AF100&gt;0,AF100,IF(AF99&gt;0,AF99,IF(AF98&gt;0,AF98,IF(AF97&gt;0,AF97,IF(AF95&gt;0,AF95,IF(AF94&gt;0,AF94,IF(AF93&gt;0,AF93,0)))))))))))),0)*(1-$S105)*'模拟-单技能数据'!$I$20</f>
        <v>0</v>
      </c>
      <c r="AK105" s="115" t="b">
        <f t="shared" ca="1" si="68"/>
        <v>1</v>
      </c>
      <c r="AL105" s="115" t="b">
        <f t="shared" ca="1" si="120"/>
        <v>1</v>
      </c>
      <c r="AM105" s="115">
        <f t="shared" ca="1" si="121"/>
        <v>5</v>
      </c>
      <c r="AN105" s="47">
        <f ca="1">IF(AK105,('模拟-单技能数据'!$D$21+G105*'模拟-单技能数据'!$F$21)*(1+J105)*(1+'模拟-单技能数据'!$J$21)*(1+U105),0)</f>
        <v>12670.936004857545</v>
      </c>
      <c r="AO105" s="61">
        <f ca="1">IF(AN105&gt;0,M105-'模拟-单技能数据'!$K$10,AO104)</f>
        <v>0.42185145527300216</v>
      </c>
      <c r="AP105" s="61">
        <f ca="1">IF(AN105&gt;0,I105-'模拟-单技能数据'!$L$10,AP104)</f>
        <v>2.162482885499879</v>
      </c>
      <c r="AQ105" s="63">
        <f t="shared" ca="1" si="94"/>
        <v>0.45891105053313508</v>
      </c>
      <c r="AR105" s="64">
        <f ca="1">IF(AL105,IF(AQ105&lt;$F$10,0,IF(AQ105&lt;$F$10+$F$11,0.25,IF(AQ105&lt;$F$10+$F$11+AO105,AP105,1)))*IF(AN105&gt;0,AN105,IF(AN104&gt;0,AN104,IF(AN103&gt;0,AN103,IF(AN102&gt;0,AN102,IF(AN101&gt;0,AN101,IF(AN100&gt;0,AN100,IF(AN99&gt;0,AN99,IF(AN98&gt;0,AN98,IF(AN97&gt;0,AN97,IF(AN95&gt;0,AN95,IF(AN94&gt;0,AN94,IF(AN93&gt;0,AN93,0)))))))))))),0)*(1-$S105)*'模拟-单技能数据'!$I$21</f>
        <v>25101.867467669974</v>
      </c>
      <c r="AS105" s="61">
        <f ca="1">IF(OR(C105="净世破魔击·日",C105="净世破魔击·月"),M105-'模拟-单技能数据'!$K$10,0)</f>
        <v>0.42185145527300216</v>
      </c>
      <c r="AT105" s="61">
        <f ca="1">IF(OR(C105="净世破魔击·日",C105="净世破魔击·月"),I105-'模拟-单技能数据'!$L$10,0)</f>
        <v>2.162482885499879</v>
      </c>
      <c r="AU105" s="62">
        <f t="shared" ca="1" si="95"/>
        <v>0.46529085639498313</v>
      </c>
      <c r="AV105" s="64">
        <f ca="1">IF(AS105&gt;0,('模拟-单技能数据'!$D$22+G105*'模拟-单技能数据'!$F$22)*(1+J105)*(1-S105)*IF(AU105&lt;$F$10,0,IF(AU105&lt;$F$10+$F$11,0.25,IF(AU105&lt;$F$10+$F$11+AS105,AT105,1)))*(1+U105),0)*'模拟-单技能数据'!$I$22</f>
        <v>19116.855106939758</v>
      </c>
      <c r="AW105" s="108">
        <f t="shared" ca="1" si="96"/>
        <v>5.2400000000000064</v>
      </c>
      <c r="AX105" s="108" t="b">
        <f ca="1">AND(模拟模式!$P$10="有",AW104=0,RAND()&lt;IF(C105="净世破魔击·月",0.1*8/3,IF(C105="净世破魔击·日",0.1*4/3,0.1*2/3)))</f>
        <v>0</v>
      </c>
      <c r="AY105" s="47">
        <f ca="1">IF(AX105,(18+G105*0.722)*(1+J105)*(1-S105)*(1+$I$4)*IF(P105="会",'模拟-全程加成'!$J$3+'模拟-全程加成'!$J$4+'模拟-全程加成'!$J$5+('模拟-全程加成'!$I$4+'模拟-全程加成'!$I$5)/系数!$B$4+BG105*10%,IF(P105="命",1,IF(P105="识",0.25,0))),0)</f>
        <v>0</v>
      </c>
      <c r="AZ105" s="108">
        <f t="shared" si="97"/>
        <v>8.9300000000000068</v>
      </c>
      <c r="BA105" s="108" t="b">
        <f>AND(模拟模式!$Q$10="有",AZ104=0)</f>
        <v>0</v>
      </c>
      <c r="BB105" s="140">
        <f>IF(BA105,(0+G105*0.287)*(1+J105)*(1-S105)*(1+$I$4)*IF(P105="会",'模拟-全程加成'!$J$3+'模拟-全程加成'!$J$4+'模拟-全程加成'!$J$5+('模拟-全程加成'!$I$4+'模拟-全程加成'!$I$5)/系数!$B$4+BG105*10%,IF(P105="命",1,IF(P105="识",0.25,0))),0)</f>
        <v>0</v>
      </c>
      <c r="BC105" s="115" t="b">
        <f ca="1">AND(模拟模式!$R$7="伏明众生",E105=60,F105=20,DA105&lt;5,CZ104&lt;$F$4)</f>
        <v>0</v>
      </c>
      <c r="BD105" s="115">
        <f t="shared" ca="1" si="69"/>
        <v>0</v>
      </c>
      <c r="BE105" s="115" t="b">
        <f t="shared" ca="1" si="70"/>
        <v>0</v>
      </c>
      <c r="BF105" s="47">
        <f ca="1">IF(BC105,4*('模拟-单技能数据'!$D$24+G105*'模拟-单技能数据'!$F$24)*(1+J105)*(1+'模拟-单技能数据'!$J$24)*(1-S105)*(1+$I$3)*(('模拟-全程加成'!$J$3+'模拟-全程加成'!$J$4+'模拟-全程加成'!$J$5+('模拟-全程加成'!$I$4+'模拟-全程加成'!$I$5)/系数!$B$4+BG105*10%)*('模拟-全程加成'!$J$3+'模拟-全程加成'!$J$4+'模拟-全程加成'!$J$5+('模拟-全程加成'!$I$4+'模拟-全程加成'!$I$5)/系数!$B$4+BG105*10%)+(1-('模拟-全程加成'!$J$3+'模拟-全程加成'!$J$4+'模拟-全程加成'!$J$5+('模拟-全程加成'!$I$4+'模拟-全程加成'!$I$5)/系数!$B$4+BG105*10%)-$F$10-$F$11)+F91*0.25),0)*'模拟-单技能数据'!$I$24</f>
        <v>0</v>
      </c>
      <c r="BG105" s="115" t="b">
        <f ca="1">OR(AND(OR(C105="烈日斩",C105="银月斩"),模拟模式!$I$7="净身明礼"),AND(C105="净世破魔击·日",模拟模式!$J$7="洞若观火"),AND(C106="净世破魔击·月",模拟模式!$J$7="洞若观火"),AB105=1)</f>
        <v>1</v>
      </c>
      <c r="BH105" s="115" t="b">
        <f t="shared" ca="1" si="98"/>
        <v>0</v>
      </c>
      <c r="BI105" s="115">
        <f t="shared" ca="1" si="71"/>
        <v>1.3874999999999997</v>
      </c>
      <c r="BJ105" s="115" t="b">
        <f t="shared" ca="1" si="99"/>
        <v>1</v>
      </c>
      <c r="BK105" s="115" t="b">
        <f ca="1">AND(C105="驱夜断愁",模拟模式!$P$7="天地诛戮")</f>
        <v>0</v>
      </c>
      <c r="BL105" s="57">
        <f t="shared" ca="1" si="72"/>
        <v>16.310000000000002</v>
      </c>
      <c r="BM105" s="115" t="b">
        <f t="shared" ca="1" si="100"/>
        <v>1</v>
      </c>
      <c r="BN105" s="115" t="b">
        <f ca="1">AND(OR(C105="赤日轮1",C105="赤日轮2",C105="赤日轮3",C105="幽月轮1",C105="幽月轮2",C105="幽月轮3"),AB105=1,模拟模式!$L$7="明光恒照")</f>
        <v>0</v>
      </c>
      <c r="BO105" s="117">
        <f t="shared" ca="1" si="73"/>
        <v>28.155000000000001</v>
      </c>
      <c r="BP105" s="115">
        <f t="shared" ca="1" si="101"/>
        <v>6</v>
      </c>
      <c r="BQ105" s="115" t="b">
        <f>模拟模式!$K$10="2600·水"</f>
        <v>0</v>
      </c>
      <c r="BR105" s="117">
        <f t="shared" si="102"/>
        <v>0</v>
      </c>
      <c r="BS105" s="115">
        <f t="shared" si="103"/>
        <v>0</v>
      </c>
      <c r="BT105" s="115">
        <f t="shared" ca="1" si="104"/>
        <v>0</v>
      </c>
      <c r="BU105" s="115" t="b">
        <f ca="1">AND(模拟模式!$K$10="2300·雷",BT104=0,RAND()&lt;IF(C105="净世破魔击·月",5*0.05*2/3,IF(C105="净世破魔击·日",3*0.05*2/3,0.05*2*2/3)))</f>
        <v>0</v>
      </c>
      <c r="BV105" s="115">
        <f t="shared" ca="1" si="105"/>
        <v>0</v>
      </c>
      <c r="BW105" s="115">
        <f t="shared" ca="1" si="106"/>
        <v>113.57999999999925</v>
      </c>
      <c r="BX105" s="164" t="b">
        <f t="shared" ca="1" si="107"/>
        <v>0</v>
      </c>
      <c r="BY105" s="115">
        <f t="shared" ca="1" si="108"/>
        <v>0</v>
      </c>
      <c r="BZ105" s="115">
        <f>IF(OR(模拟模式!$P$16="10人团",模拟模式!$P$16="25人团"),IF(B105/30&gt;CA104,1,0),0)</f>
        <v>0</v>
      </c>
      <c r="CA105" s="115">
        <f t="shared" si="74"/>
        <v>0</v>
      </c>
      <c r="CB105" s="115">
        <f ca="1">IF(BZ105=1,IF(模拟模式!$P$16="10人团",15,0)+IF(模拟模式!$P$16="25人团",IF(RAND()&lt;0.6,15,0)),MAX(0,CB104-$F$4))</f>
        <v>0</v>
      </c>
      <c r="CC105" s="115" t="b">
        <f t="shared" ca="1" si="109"/>
        <v>0</v>
      </c>
      <c r="CD105" s="115">
        <f>IF(模拟模式!$Q$16="1个",IF(B105/40&gt;CE104,1,0),0)</f>
        <v>0</v>
      </c>
      <c r="CE105" s="115">
        <f t="shared" si="110"/>
        <v>0</v>
      </c>
      <c r="CF105" s="115">
        <f>IF(OR(CD105=1,模拟模式!$Q$16="2个"),20,MAX(0,CF104-$F$4))</f>
        <v>0</v>
      </c>
      <c r="CG105" s="115" t="b">
        <f t="shared" si="111"/>
        <v>0</v>
      </c>
      <c r="CH105" s="115">
        <f t="shared" ca="1" si="112"/>
        <v>27.232500000000002</v>
      </c>
      <c r="CI105" s="115" t="b">
        <f t="shared" ca="1" si="113"/>
        <v>0</v>
      </c>
      <c r="CJ105" s="119">
        <f t="shared" ca="1" si="114"/>
        <v>0.05</v>
      </c>
      <c r="CK105" s="115">
        <f t="shared" ca="1" si="115"/>
        <v>5.232499999999999</v>
      </c>
      <c r="CL105" s="115" t="b">
        <f ca="1">AND(模拟模式!$S$7="驱夷逐法",OR(AND(C105="净世破魔击·月",E104&gt;59),AND(C105="净世破魔击·日",F104&gt;59)))</f>
        <v>0</v>
      </c>
      <c r="CM105" s="115" t="b">
        <f ca="1">OR(CL105,AND(C105="净世破魔击·日",CL104,RAND()&lt;模拟模式!$U$23))</f>
        <v>1</v>
      </c>
      <c r="CN105" s="115" t="b">
        <f ca="1">IF(模拟模式!$M$7="辉耀红尘",AND(C105="净世破魔击·月",CL105,CV105=0,E104&lt;80),AND(C105="净世破魔击·月",CL105,E104&lt;100))</f>
        <v>0</v>
      </c>
      <c r="CO105" s="115" t="b">
        <f t="shared" ca="1" si="75"/>
        <v>0</v>
      </c>
      <c r="CP105" s="115" t="b">
        <f ca="1">AND(模拟模式!$O$7="用晦而明",OR(C105="净世破魔击·日",C105="净世破魔击·月",C105="驱夜断愁"),AB105)</f>
        <v>1</v>
      </c>
      <c r="CQ105" s="115" t="b">
        <f ca="1">OR(CP105,AND(CP104,RAND()&lt;模拟模式!$U$23))</f>
        <v>1</v>
      </c>
      <c r="CR105" s="115" t="b">
        <f ca="1">AND(模拟模式!$S$7="日月齐光",OR(C105="幽月轮1",C105="幽月轮2",C105="幽月轮3",CR104),NOT(OR(C105="赤日轮1",C105="赤日轮2",C105="赤日轮3")))</f>
        <v>0</v>
      </c>
      <c r="CS105" s="115" t="b">
        <f ca="1">AND(模拟模式!$S$7="日月齐光",OR(C105="赤日轮1",C105="赤日轮2",C105="赤日轮3",CS104),NOT(OR(C105="幽月轮1",C105="幽月轮2",C105="幽月轮3")))</f>
        <v>0</v>
      </c>
      <c r="CT105" s="115">
        <f t="shared" ca="1" si="116"/>
        <v>18.007500000000007</v>
      </c>
      <c r="CU105" s="115" t="b">
        <f ca="1">AND(模拟模式!$K$10="阴阳往极",CT104=0,RAND()&lt;IF(C105="净世破魔击·月",0.0275*7/3,IF(C105="净世破魔击·日",0.0275*3/3,0.0275*2/3)))</f>
        <v>0</v>
      </c>
      <c r="CV105" s="115">
        <f t="shared" ca="1" si="117"/>
        <v>0</v>
      </c>
      <c r="CW105" s="115">
        <f t="shared" ca="1" si="76"/>
        <v>3.2324999999999995</v>
      </c>
      <c r="CX105" s="115">
        <f t="shared" ca="1" si="77"/>
        <v>1.3874999999999997</v>
      </c>
      <c r="CY105" s="115">
        <f ca="1">MAX(IF($C105="驱夜断愁",IF(模拟模式!$R$7="万念俱寂",6,45),CY104-$F$4),0)</f>
        <v>2.3099999999999996</v>
      </c>
      <c r="CZ105" s="115">
        <f t="shared" ca="1" si="78"/>
        <v>0</v>
      </c>
      <c r="DA105" s="115">
        <f ca="1">IF(模拟模式!$N$7="日月同辉",IF(DB104=2,0,MIN(6,IF(AND(OR(C105="赤日轮1",C105="赤日轮2",C105="赤日轮3",C105="幽月轮1",C105="幽月轮2",C105="幽月轮3"),AB105=1),DA104+1,DA104))),0)</f>
        <v>0</v>
      </c>
      <c r="DB105" s="115">
        <f t="shared" ca="1" si="79"/>
        <v>0</v>
      </c>
      <c r="DD105" s="115"/>
      <c r="DE105" s="115"/>
      <c r="DF105" s="115"/>
      <c r="DG105" s="115"/>
      <c r="DH105" s="115"/>
      <c r="DI105" s="115"/>
      <c r="DJ105" s="115"/>
      <c r="DK105" s="115"/>
      <c r="DL105" s="115"/>
      <c r="DM105" s="115"/>
    </row>
    <row r="106" spans="2:117" x14ac:dyDescent="0.2">
      <c r="B106" s="117">
        <f t="shared" si="80"/>
        <v>72.877499999999969</v>
      </c>
      <c r="C106" s="167" t="str">
        <f t="shared" ca="1" si="66"/>
        <v>净世破魔击·月</v>
      </c>
      <c r="D106" s="115">
        <f ca="1">IF(C106="赤日轮1",1,IF(C106="赤日轮2",2,IF(C106="赤日轮3",3,IF(C106="幽月轮1",4,IF(C106="幽月轮2",5,IF(C106="幽月轮3",6,IF(C106="烈日斩",7,IF(C106="银月斩",8,IF(C106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106="净世破魔击·月",17,IF(C106="驱夜断愁",18,0)))))))))))</f>
        <v>17</v>
      </c>
      <c r="E106" s="115">
        <f ca="1">IF(AND(CU106,OR(C106="幽月轮1",C106="幽月轮2",C106="幽月轮3",C106="银月斩",C106="驱夜断愁",C106="净世破魔击·月")),100,MIN(IF(OR(CN106,BE106),0,IF(OR($C106="赤日轮1",$C106="赤日轮2",$C106="赤日轮3"),E105+20+IF(模拟模式!$I$7="日月凌天",4,0)+IF(CR105,20,0),IF($C106="烈日斩",E105+40,IF($C106="驱夜断愁",IF(模拟模式!$R$7="万念俱寂",E105+20,E105+60),IF($C106="净世破魔击·月",IF(OR(DB105&gt;0,CV105&gt;0),100,IF(模拟模式!$M$7="辉耀红尘",E105+20,E105)),IF($C106="净世破魔击·日",E105-100,E105)))))),100))</f>
        <v>20</v>
      </c>
      <c r="F106" s="115">
        <f ca="1">IF(AND(CU106,OR(C106="赤日轮1",C106="赤日轮2",C106="赤日轮3",C106="烈日斩",C106="净世破魔击·日")),100,MIN(IF(CO106,0,IF(OR($C106="幽月轮1",$C106="幽月轮2",$C106="幽月轮3"),F105+20+IF(模拟模式!$I$7="日月凌天",4,0)+IF(CS105,20,0),IF($C106="银月斩",F105+40+IF(模拟模式!$X$12=1,5,0),IF($C106="驱夜断愁",IF(模拟模式!$R$7="万念俱寂",F105+20,F105+60),IF($C106="净世破魔击·月",IF(模拟模式!$M$7="辉耀红尘",F105-80,F105-100),IF(AND(C106="净世破魔击·日",OR(DB105&gt;0,CV105&gt;0)),100,F105)))))),100))</f>
        <v>20</v>
      </c>
      <c r="G106" s="117">
        <f ca="1">('模拟-全程加成'!$E$3+'模拟-全程加成'!$E$4+'模拟-全程加成'!$E$5+('模拟-全程加成'!$C$6-'模拟-全程加成'!$C$3)*系数!$B$9+BS106*23)*(1+'模拟-全程加成'!$F$4+'模拟-全程加成'!$F$5+BJ106*10%+BM106*20%+BP106*4%+CG106*30%)+$F$7*系数!$B$12</f>
        <v>21493.829400000002</v>
      </c>
      <c r="H106" s="45">
        <f ca="1">'模拟-全程加成'!$H$3+'模拟-全程加成'!$H$4+'模拟-全程加成'!$H$5+('模拟-全程加成'!$G$4+'模拟-全程加成'!$G$5+('模拟-全程加成'!$C$6-'模拟-全程加成'!$C$3)*系数!$B$13)/系数!$B$3+LOOKUP(D106,'模拟-单技能数据'!$A$2:$A$19,'模拟-单技能数据'!$K$2:$K$19)+BG106*10%+IF(BV106&gt;0,378,0)</f>
        <v>0.54185145527300216</v>
      </c>
      <c r="I106" s="45">
        <f ca="1">'模拟-全程加成'!$J$3+'模拟-全程加成'!$J$4+'模拟-全程加成'!$J$5+('模拟-全程加成'!$I$4+'模拟-全程加成'!$I$5)/系数!$B$4+LOOKUP(D106,'模拟-单技能数据'!$A$2:$A$19,'模拟-单技能数据'!$L$2:$L$19)+BG106*10%</f>
        <v>2.162482885499879</v>
      </c>
      <c r="J106" s="45">
        <f ca="1">(('模拟-全程加成'!$K$3+'模拟-全程加成'!$K$4+'模拟-全程加成'!$K$5+('模拟-全程加成'!$C$6-'模拟-全程加成'!$C$3)*系数!$B$10+IF(BV106&gt;0,882,0)+IF(BY106&gt;0,1831,0))*(1+'模拟-全程加成'!$L$4+'模拟-全程加成'!$L$5+CC106*20%))/系数!$B$5</f>
        <v>0.69723220422048726</v>
      </c>
      <c r="K106" s="119">
        <f ca="1">LOOKUP(D106,'模拟-单技能数据'!$A$2:$A$19,'模拟-单技能数据'!$J$2:$J$19)+IF(CM106,60%,0)+IF(DB105-DB106&gt;0,30%,0)+IF(OR(AND(OR(C106="赤日轮1",C106="赤日轮2",C106="赤日轮3"),CR106),AND(OR(C106="幽月轮1",C106="幽月轮2",C106="幽月轮3"),CS106)),35%,0)+CJ106</f>
        <v>0.25</v>
      </c>
      <c r="L106" s="119">
        <f ca="1">IF(AND(C106="烈日斩",模拟模式!$X$11=1),10%,0)+IF(AND(C106="驱夜断愁",AB106=1),30%,0)</f>
        <v>0</v>
      </c>
      <c r="M106" s="45">
        <f t="shared" ca="1" si="81"/>
        <v>0.54185145527300216</v>
      </c>
      <c r="N106" s="45">
        <f t="shared" ca="1" si="82"/>
        <v>0.40424854472699789</v>
      </c>
      <c r="O106" s="46">
        <f t="shared" ca="1" si="83"/>
        <v>0.7856466338999839</v>
      </c>
      <c r="P106" s="46" t="str">
        <f t="shared" ca="1" si="84"/>
        <v>命</v>
      </c>
      <c r="Q106" s="45">
        <f t="shared" ca="1" si="85"/>
        <v>1</v>
      </c>
      <c r="R106" s="117">
        <f ca="1">模拟模式!$E$20*(1-IF(模拟模式!$J$19="有",0.15,0))*(1-IF(模拟模式!$K$19="有",0.3,0)-IF(CQ106,0.5,0))</f>
        <v>843.02999999999975</v>
      </c>
      <c r="S106" s="45">
        <f ca="1">R106/(R106+(185*模拟模式!$E$22-16800)*4.08224)</f>
        <v>8.389626085980037E-2</v>
      </c>
      <c r="T106" s="45" t="str">
        <f ca="1">LOOKUP(D106,'模拟-单技能数据'!$A$2:$A$19,'模拟-单技能数据'!$H$2:$H$19)</f>
        <v>阴</v>
      </c>
      <c r="U106" s="119">
        <f t="shared" ca="1" si="86"/>
        <v>0.08</v>
      </c>
      <c r="V106" s="47">
        <f ca="1">(1+L106)*(LOOKUP(D106,'模拟-单技能数据'!$A$2:$A$19,'模拟-单技能数据'!$D$2:$D$19)+G106*LOOKUP(D106,'模拟-单技能数据'!$A$2:$A$19,'模拟-单技能数据'!$F$2:$F$19))*(1+J106)*(1+K106)*(1-S106)*(1+U106)*Q106*LOOKUP(D106,'模拟-单技能数据'!$A$2:$A$19,'模拟-单技能数据'!$I$2:$I$20)</f>
        <v>58619.995440519822</v>
      </c>
      <c r="W106" s="47">
        <f ca="1">LOOKUP(D106,'模拟-单技能数据'!$A$2:$A$19,'模拟-单技能数据'!$G$2:$G$19)*$I$10</f>
        <v>361.51064354704795</v>
      </c>
      <c r="X106" s="47">
        <f t="shared" ca="1" si="87"/>
        <v>26821.826710822574</v>
      </c>
      <c r="Y106" s="47">
        <f t="shared" ca="1" si="88"/>
        <v>85803.332794889444</v>
      </c>
      <c r="Z106" s="49">
        <f t="shared" ca="1" si="89"/>
        <v>8042067.0971422717</v>
      </c>
      <c r="AA106" s="97">
        <f t="shared" ca="1" si="90"/>
        <v>110350.47987571302</v>
      </c>
      <c r="AB106" s="115">
        <f ca="1">IF(OR(C106="赤日轮1",C106="赤日轮2",C106="赤日轮3"),IF(RAND()&lt;模拟模式!$Y$17,1,0),IF(OR(C106="幽月轮1",C106="幽月轮2",C106="幽月轮3"),IF(RAND()&lt;模拟模式!$Y$18,1,0),IF(C106="烈日斩",IF(RAND()&lt;模拟模式!$Y$19,1,0),IF(C106="银月斩",IF(RAND()&lt;模拟模式!$Y$20,1,0),IF(C106="驱夜断愁",IF(RAND()&lt;模拟模式!$Y$21,1,0),IF(C106="净世破魔击·日",IF(RAND()&lt;模拟模式!$Y$22,1,0),IF(C106="净世破魔击·月",IF(RAND()&lt;模拟模式!$Y$23,1,0),0)))))))</f>
        <v>1</v>
      </c>
      <c r="AC106" s="115" t="b">
        <f t="shared" ca="1" si="67"/>
        <v>0</v>
      </c>
      <c r="AD106" s="115" t="b">
        <f t="shared" ca="1" si="118"/>
        <v>1</v>
      </c>
      <c r="AE106" s="115">
        <f t="shared" ca="1" si="119"/>
        <v>3</v>
      </c>
      <c r="AF106" s="47">
        <f ca="1">IF(AC106,('模拟-单技能数据'!$D$20+G106*'模拟-单技能数据'!$F$20)*(1+J106)*(1+'模拟-单技能数据'!$J$20)*(1+U106),0)</f>
        <v>0</v>
      </c>
      <c r="AG106" s="61">
        <f t="shared" ca="1" si="91"/>
        <v>0.64185145527300214</v>
      </c>
      <c r="AH106" s="61">
        <f t="shared" ca="1" si="92"/>
        <v>2.2624828854998791</v>
      </c>
      <c r="AI106" s="62">
        <f t="shared" ca="1" si="93"/>
        <v>0.33509379533067873</v>
      </c>
      <c r="AJ106" s="47">
        <f ca="1">IF(AD106,IF(AI106&lt;$F$10,0,IF(AI106&lt;$F$10+$F$11,0.25,IF(AI106&lt;$F$10+$F$11+AG106,AH106,1)))*IF(AF106&gt;0,AF106,IF(AF105&gt;0,AF105,IF(AF104&gt;0,AF104,IF(AF103&gt;0,AF103,IF(AF102&gt;0,AF102,IF(AF101&gt;0,AF101,IF(AF100&gt;0,AF100,IF(AF99&gt;0,AF99,IF(AF98&gt;0,AF98,IF(AF96&gt;0,AF96,IF(AF95&gt;0,AF95,IF(AF94&gt;0,AF94,0)))))))))))),0)*(1-$S106)*'模拟-单技能数据'!$I$20</f>
        <v>9616.6571145767884</v>
      </c>
      <c r="AK106" s="115" t="b">
        <f t="shared" ca="1" si="68"/>
        <v>0</v>
      </c>
      <c r="AL106" s="115" t="b">
        <f t="shared" ca="1" si="120"/>
        <v>0</v>
      </c>
      <c r="AM106" s="115">
        <f t="shared" ca="1" si="121"/>
        <v>5</v>
      </c>
      <c r="AN106" s="47">
        <f ca="1">IF(AK106,('模拟-单技能数据'!$D$21+G106*'模拟-单技能数据'!$F$21)*(1+J106)*(1+'模拟-单技能数据'!$J$21)*(1+U106),0)</f>
        <v>0</v>
      </c>
      <c r="AO106" s="61">
        <f ca="1">IF(AN106&gt;0,M106-'模拟-单技能数据'!$K$10,AO105)</f>
        <v>0.42185145527300216</v>
      </c>
      <c r="AP106" s="61">
        <f ca="1">IF(AN106&gt;0,I106-'模拟-单技能数据'!$L$10,AP105)</f>
        <v>2.162482885499879</v>
      </c>
      <c r="AQ106" s="63">
        <f t="shared" ca="1" si="94"/>
        <v>0.26080886234970846</v>
      </c>
      <c r="AR106" s="64">
        <f ca="1">IF(AL106,IF(AQ106&lt;$F$10,0,IF(AQ106&lt;$F$10+$F$11,0.25,IF(AQ106&lt;$F$10+$F$11+AO106,AP106,1)))*IF(AN106&gt;0,AN106,IF(AN105&gt;0,AN105,IF(AN104&gt;0,AN104,IF(AN103&gt;0,AN103,IF(AN102&gt;0,AN102,IF(AN101&gt;0,AN101,IF(AN100&gt;0,AN100,IF(AN99&gt;0,AN99,IF(AN98&gt;0,AN98,IF(AN96&gt;0,AN96,IF(AN95&gt;0,AN95,IF(AN94&gt;0,AN94,0)))))))))))),0)*(1-$S106)*'模拟-单技能数据'!$I$21</f>
        <v>0</v>
      </c>
      <c r="AS106" s="61">
        <f ca="1">IF(OR(C106="净世破魔击·日",C106="净世破魔击·月"),M106-'模拟-单技能数据'!$K$10,0)</f>
        <v>0.42185145527300216</v>
      </c>
      <c r="AT106" s="61">
        <f ca="1">IF(OR(C106="净世破魔击·日",C106="净世破魔击·月"),I106-'模拟-单技能数据'!$L$10,0)</f>
        <v>2.162482885499879</v>
      </c>
      <c r="AU106" s="62">
        <f t="shared" ca="1" si="95"/>
        <v>0.31987318870656878</v>
      </c>
      <c r="AV106" s="64">
        <f ca="1">IF(AS106&gt;0,('模拟-单技能数据'!$D$22+G106*'模拟-单技能数据'!$F$22)*(1+J106)*(1-S106)*IF(AU106&lt;$F$10,0,IF(AU106&lt;$F$10+$F$11,0.25,IF(AU106&lt;$F$10+$F$11+AS106,AT106,1)))*(1+U106),0)*'模拟-单技能数据'!$I$22</f>
        <v>17205.169596245785</v>
      </c>
      <c r="AW106" s="108">
        <f t="shared" ca="1" si="96"/>
        <v>4.3175000000000061</v>
      </c>
      <c r="AX106" s="108" t="b">
        <f ca="1">AND(模拟模式!$P$10="有",AW105=0,RAND()&lt;IF(C106="净世破魔击·月",0.1*8/3,IF(C106="净世破魔击·日",0.1*4/3,0.1*2/3)))</f>
        <v>0</v>
      </c>
      <c r="AY106" s="47">
        <f ca="1">IF(AX106,(18+G106*0.722)*(1+J106)*(1-S106)*(1+$I$4)*IF(P106="会",'模拟-全程加成'!$J$3+'模拟-全程加成'!$J$4+'模拟-全程加成'!$J$5+('模拟-全程加成'!$I$4+'模拟-全程加成'!$I$5)/系数!$B$4+BG106*10%,IF(P106="命",1,IF(P106="识",0.25,0))),0)</f>
        <v>0</v>
      </c>
      <c r="AZ106" s="108">
        <f t="shared" si="97"/>
        <v>8.0075000000000074</v>
      </c>
      <c r="BA106" s="108" t="b">
        <f>AND(模拟模式!$Q$10="有",AZ105=0)</f>
        <v>0</v>
      </c>
      <c r="BB106" s="140">
        <f>IF(BA106,(0+G106*0.287)*(1+J106)*(1-S106)*(1+$I$4)*IF(P106="会",'模拟-全程加成'!$J$3+'模拟-全程加成'!$J$4+'模拟-全程加成'!$J$5+('模拟-全程加成'!$I$4+'模拟-全程加成'!$I$5)/系数!$B$4+BG106*10%,IF(P106="命",1,IF(P106="识",0.25,0))),0)</f>
        <v>0</v>
      </c>
      <c r="BC106" s="115" t="b">
        <f ca="1">AND(模拟模式!$R$7="伏明众生",E106=60,F106=20,DA106&lt;5,CZ105&lt;$F$4)</f>
        <v>0</v>
      </c>
      <c r="BD106" s="115">
        <f t="shared" ca="1" si="69"/>
        <v>0</v>
      </c>
      <c r="BE106" s="115" t="b">
        <f t="shared" ca="1" si="70"/>
        <v>0</v>
      </c>
      <c r="BF106" s="47">
        <f ca="1">IF(BC106,4*('模拟-单技能数据'!$D$24+G106*'模拟-单技能数据'!$F$24)*(1+J106)*(1+'模拟-单技能数据'!$J$24)*(1-S106)*(1+$I$3)*(('模拟-全程加成'!$J$3+'模拟-全程加成'!$J$4+'模拟-全程加成'!$J$5+('模拟-全程加成'!$I$4+'模拟-全程加成'!$I$5)/系数!$B$4+BG106*10%)*('模拟-全程加成'!$J$3+'模拟-全程加成'!$J$4+'模拟-全程加成'!$J$5+('模拟-全程加成'!$I$4+'模拟-全程加成'!$I$5)/系数!$B$4+BG106*10%)+(1-('模拟-全程加成'!$J$3+'模拟-全程加成'!$J$4+'模拟-全程加成'!$J$5+('模拟-全程加成'!$I$4+'模拟-全程加成'!$I$5)/系数!$B$4+BG106*10%)-$F$10-$F$11)+F92*0.25),0)*'模拟-单技能数据'!$I$24</f>
        <v>0</v>
      </c>
      <c r="BG106" s="115" t="b">
        <f ca="1">OR(AND(OR(C106="烈日斩",C106="银月斩"),模拟模式!$I$7="净身明礼"),AND(C106="净世破魔击·日",模拟模式!$J$7="洞若观火"),AND(C107="净世破魔击·月",模拟模式!$J$7="洞若观火"),AB106=1)</f>
        <v>1</v>
      </c>
      <c r="BH106" s="115" t="b">
        <f t="shared" ca="1" si="98"/>
        <v>0</v>
      </c>
      <c r="BI106" s="115">
        <f t="shared" ca="1" si="71"/>
        <v>0.46499999999999975</v>
      </c>
      <c r="BJ106" s="115" t="b">
        <f t="shared" ca="1" si="99"/>
        <v>1</v>
      </c>
      <c r="BK106" s="115" t="b">
        <f ca="1">AND(C106="驱夜断愁",模拟模式!$P$7="天地诛戮")</f>
        <v>0</v>
      </c>
      <c r="BL106" s="57">
        <f t="shared" ca="1" si="72"/>
        <v>15.387500000000003</v>
      </c>
      <c r="BM106" s="115" t="b">
        <f t="shared" ca="1" si="100"/>
        <v>1</v>
      </c>
      <c r="BN106" s="115" t="b">
        <f ca="1">AND(OR(C106="赤日轮1",C106="赤日轮2",C106="赤日轮3",C106="幽月轮1",C106="幽月轮2",C106="幽月轮3"),AB106=1,模拟模式!$L$7="明光恒照")</f>
        <v>0</v>
      </c>
      <c r="BO106" s="117">
        <f t="shared" ca="1" si="73"/>
        <v>27.232500000000002</v>
      </c>
      <c r="BP106" s="115">
        <f t="shared" ca="1" si="101"/>
        <v>6</v>
      </c>
      <c r="BQ106" s="115" t="b">
        <f>模拟模式!$K$10="2600·水"</f>
        <v>0</v>
      </c>
      <c r="BR106" s="117">
        <f t="shared" si="102"/>
        <v>0</v>
      </c>
      <c r="BS106" s="115">
        <f t="shared" si="103"/>
        <v>0</v>
      </c>
      <c r="BT106" s="115">
        <f t="shared" ca="1" si="104"/>
        <v>0</v>
      </c>
      <c r="BU106" s="115" t="b">
        <f ca="1">AND(模拟模式!$K$10="2300·雷",BT105=0,RAND()&lt;IF(C106="净世破魔击·月",5*0.05*2/3,IF(C106="净世破魔击·日",3*0.05*2/3,0.05*2*2/3)))</f>
        <v>0</v>
      </c>
      <c r="BV106" s="115">
        <f t="shared" ca="1" si="105"/>
        <v>0</v>
      </c>
      <c r="BW106" s="115">
        <f t="shared" ca="1" si="106"/>
        <v>112.65749999999925</v>
      </c>
      <c r="BX106" s="164" t="b">
        <f t="shared" ca="1" si="107"/>
        <v>0</v>
      </c>
      <c r="BY106" s="115">
        <f t="shared" ca="1" si="108"/>
        <v>0</v>
      </c>
      <c r="BZ106" s="115">
        <f>IF(OR(模拟模式!$P$16="10人团",模拟模式!$P$16="25人团"),IF(B106/30&gt;CA105,1,0),0)</f>
        <v>0</v>
      </c>
      <c r="CA106" s="115">
        <f t="shared" si="74"/>
        <v>0</v>
      </c>
      <c r="CB106" s="115">
        <f ca="1">IF(BZ106=1,IF(模拟模式!$P$16="10人团",15,0)+IF(模拟模式!$P$16="25人团",IF(RAND()&lt;0.6,15,0)),MAX(0,CB105-$F$4))</f>
        <v>0</v>
      </c>
      <c r="CC106" s="115" t="b">
        <f t="shared" ca="1" si="109"/>
        <v>0</v>
      </c>
      <c r="CD106" s="115">
        <f>IF(模拟模式!$Q$16="1个",IF(B106/40&gt;CE105,1,0),0)</f>
        <v>0</v>
      </c>
      <c r="CE106" s="115">
        <f t="shared" si="110"/>
        <v>0</v>
      </c>
      <c r="CF106" s="115">
        <f>IF(OR(CD106=1,模拟模式!$Q$16="2个"),20,MAX(0,CF105-$F$4))</f>
        <v>0</v>
      </c>
      <c r="CG106" s="115" t="b">
        <f t="shared" si="111"/>
        <v>0</v>
      </c>
      <c r="CH106" s="115">
        <f t="shared" ca="1" si="112"/>
        <v>26.310000000000002</v>
      </c>
      <c r="CI106" s="115" t="b">
        <f t="shared" ca="1" si="113"/>
        <v>0</v>
      </c>
      <c r="CJ106" s="119">
        <f t="shared" ca="1" si="114"/>
        <v>0.05</v>
      </c>
      <c r="CK106" s="115">
        <f t="shared" ca="1" si="115"/>
        <v>4.3099999999999987</v>
      </c>
      <c r="CL106" s="115" t="b">
        <f ca="1">AND(模拟模式!$S$7="驱夷逐法",OR(AND(C106="净世破魔击·月",E105&gt;59),AND(C106="净世破魔击·日",F105&gt;59)))</f>
        <v>0</v>
      </c>
      <c r="CM106" s="115" t="b">
        <f ca="1">OR(CL106,AND(C106="净世破魔击·日",CL105,RAND()&lt;模拟模式!$U$23))</f>
        <v>0</v>
      </c>
      <c r="CN106" s="115" t="b">
        <f ca="1">IF(模拟模式!$M$7="辉耀红尘",AND(C106="净世破魔击·月",CL106,CV106=0,E105&lt;80),AND(C106="净世破魔击·月",CL106,E105&lt;100))</f>
        <v>0</v>
      </c>
      <c r="CO106" s="115" t="b">
        <f t="shared" ca="1" si="75"/>
        <v>0</v>
      </c>
      <c r="CP106" s="115" t="b">
        <f ca="1">AND(模拟模式!$O$7="用晦而明",OR(C106="净世破魔击·日",C106="净世破魔击·月",C106="驱夜断愁"),AB106)</f>
        <v>1</v>
      </c>
      <c r="CQ106" s="115" t="b">
        <f ca="1">OR(CP106,AND(CP105,RAND()&lt;模拟模式!$U$23))</f>
        <v>1</v>
      </c>
      <c r="CR106" s="115" t="b">
        <f ca="1">AND(模拟模式!$S$7="日月齐光",OR(C106="幽月轮1",C106="幽月轮2",C106="幽月轮3",CR105),NOT(OR(C106="赤日轮1",C106="赤日轮2",C106="赤日轮3")))</f>
        <v>0</v>
      </c>
      <c r="CS106" s="115" t="b">
        <f ca="1">AND(模拟模式!$S$7="日月齐光",OR(C106="赤日轮1",C106="赤日轮2",C106="赤日轮3",CS105),NOT(OR(C106="幽月轮1",C106="幽月轮2",C106="幽月轮3")))</f>
        <v>0</v>
      </c>
      <c r="CT106" s="115">
        <f t="shared" ca="1" si="116"/>
        <v>17.085000000000008</v>
      </c>
      <c r="CU106" s="115" t="b">
        <f ca="1">AND(模拟模式!$K$10="阴阳往极",CT105=0,RAND()&lt;IF(C106="净世破魔击·月",0.0275*7/3,IF(C106="净世破魔击·日",0.0275*3/3,0.0275*2/3)))</f>
        <v>0</v>
      </c>
      <c r="CV106" s="115">
        <f t="shared" ca="1" si="117"/>
        <v>0</v>
      </c>
      <c r="CW106" s="115">
        <f t="shared" ca="1" si="76"/>
        <v>2.3099999999999996</v>
      </c>
      <c r="CX106" s="115">
        <f t="shared" ca="1" si="77"/>
        <v>0.46499999999999975</v>
      </c>
      <c r="CY106" s="115">
        <f ca="1">MAX(IF($C106="驱夜断愁",IF(模拟模式!$R$7="万念俱寂",6,45),CY105-$F$4),0)</f>
        <v>1.3874999999999997</v>
      </c>
      <c r="CZ106" s="115">
        <f t="shared" ca="1" si="78"/>
        <v>0</v>
      </c>
      <c r="DA106" s="115">
        <f ca="1">IF(模拟模式!$N$7="日月同辉",IF(DB105=2,0,MIN(6,IF(AND(OR(C106="赤日轮1",C106="赤日轮2",C106="赤日轮3",C106="幽月轮1",C106="幽月轮2",C106="幽月轮3"),AB106=1),DA105+1,DA105))),0)</f>
        <v>0</v>
      </c>
      <c r="DB106" s="115">
        <f t="shared" ca="1" si="79"/>
        <v>0</v>
      </c>
      <c r="DD106" s="115"/>
      <c r="DE106" s="115"/>
      <c r="DF106" s="115"/>
      <c r="DG106" s="115"/>
      <c r="DH106" s="115"/>
      <c r="DI106" s="115"/>
      <c r="DJ106" s="115"/>
      <c r="DK106" s="115"/>
      <c r="DL106" s="115"/>
      <c r="DM106" s="115"/>
    </row>
    <row r="107" spans="2:117" x14ac:dyDescent="0.2">
      <c r="B107" s="117">
        <f t="shared" si="80"/>
        <v>73.799999999999969</v>
      </c>
      <c r="C107" s="167" t="str">
        <f t="shared" ca="1" si="66"/>
        <v>银月斩</v>
      </c>
      <c r="D107" s="115">
        <f ca="1">IF(C107="赤日轮1",1,IF(C107="赤日轮2",2,IF(C107="赤日轮3",3,IF(C107="幽月轮1",4,IF(C107="幽月轮2",5,IF(C107="幽月轮3",6,IF(C107="烈日斩",7,IF(C107="银月斩",8,IF(C107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107="净世破魔击·月",17,IF(C107="驱夜断愁",18,0)))))))))))</f>
        <v>8</v>
      </c>
      <c r="E107" s="115">
        <f ca="1">IF(AND(CU107,OR(C107="幽月轮1",C107="幽月轮2",C107="幽月轮3",C107="银月斩",C107="驱夜断愁",C107="净世破魔击·月")),100,MIN(IF(OR(CN107,BE107),0,IF(OR($C107="赤日轮1",$C107="赤日轮2",$C107="赤日轮3"),E106+20+IF(模拟模式!$I$7="日月凌天",4,0)+IF(CR106,20,0),IF($C107="烈日斩",E106+40,IF($C107="驱夜断愁",IF(模拟模式!$R$7="万念俱寂",E106+20,E106+60),IF($C107="净世破魔击·月",IF(OR(DB106&gt;0,CV106&gt;0),100,IF(模拟模式!$M$7="辉耀红尘",E106+20,E106)),IF($C107="净世破魔击·日",E106-100,E106)))))),100))</f>
        <v>20</v>
      </c>
      <c r="F107" s="115">
        <f ca="1">IF(AND(CU107,OR(C107="赤日轮1",C107="赤日轮2",C107="赤日轮3",C107="烈日斩",C107="净世破魔击·日")),100,MIN(IF(CO107,0,IF(OR($C107="幽月轮1",$C107="幽月轮2",$C107="幽月轮3"),F106+20+IF(模拟模式!$I$7="日月凌天",4,0)+IF(CS106,20,0),IF($C107="银月斩",F106+40+IF(模拟模式!$X$12=1,5,0),IF($C107="驱夜断愁",IF(模拟模式!$R$7="万念俱寂",F106+20,F106+60),IF($C107="净世破魔击·月",IF(模拟模式!$M$7="辉耀红尘",F106-80,F106-100),IF(AND(C107="净世破魔击·日",OR(DB106&gt;0,CV106&gt;0)),100,F106)))))),100))</f>
        <v>65</v>
      </c>
      <c r="G107" s="117">
        <f ca="1">('模拟-全程加成'!$E$3+'模拟-全程加成'!$E$4+'模拟-全程加成'!$E$5+('模拟-全程加成'!$C$6-'模拟-全程加成'!$C$3)*系数!$B$9+BS107*23)*(1+'模拟-全程加成'!$F$4+'模拟-全程加成'!$F$5+BJ107*10%+BM107*20%+BP107*4%+CG107*30%)+$F$7*系数!$B$12</f>
        <v>20583.127400000001</v>
      </c>
      <c r="H107" s="45">
        <f ca="1">'模拟-全程加成'!$H$3+'模拟-全程加成'!$H$4+'模拟-全程加成'!$H$5+('模拟-全程加成'!$G$4+'模拟-全程加成'!$G$5+('模拟-全程加成'!$C$6-'模拟-全程加成'!$C$3)*系数!$B$13)/系数!$B$3+LOOKUP(D107,'模拟-单技能数据'!$A$2:$A$19,'模拟-单技能数据'!$K$2:$K$19)+BG107*10%+IF(BV107&gt;0,378,0)</f>
        <v>0.64185145527300214</v>
      </c>
      <c r="I107" s="45">
        <f ca="1">'模拟-全程加成'!$J$3+'模拟-全程加成'!$J$4+'模拟-全程加成'!$J$5+('模拟-全程加成'!$I$4+'模拟-全程加成'!$I$5)/系数!$B$4+LOOKUP(D107,'模拟-单技能数据'!$A$2:$A$19,'模拟-单技能数据'!$L$2:$L$19)+BG107*10%</f>
        <v>2.2624828854998791</v>
      </c>
      <c r="J107" s="45">
        <f ca="1">(('模拟-全程加成'!$K$3+'模拟-全程加成'!$K$4+'模拟-全程加成'!$K$5+('模拟-全程加成'!$C$6-'模拟-全程加成'!$C$3)*系数!$B$10+IF(BV107&gt;0,882,0)+IF(BY107&gt;0,1831,0))*(1+'模拟-全程加成'!$L$4+'模拟-全程加成'!$L$5+CC107*20%))/系数!$B$5</f>
        <v>0.69723220422048726</v>
      </c>
      <c r="K107" s="119">
        <f ca="1">LOOKUP(D107,'模拟-单技能数据'!$A$2:$A$19,'模拟-单技能数据'!$J$2:$J$19)+IF(CM107,60%,0)+IF(DB106-DB107&gt;0,30%,0)+IF(OR(AND(OR(C107="赤日轮1",C107="赤日轮2",C107="赤日轮3"),CR107),AND(OR(C107="幽月轮1",C107="幽月轮2",C107="幽月轮3"),CS107)),35%,0)+CJ107</f>
        <v>0.2</v>
      </c>
      <c r="L107" s="119">
        <f ca="1">IF(AND(C107="烈日斩",模拟模式!$X$11=1),10%,0)+IF(AND(C107="驱夜断愁",AB107=1),30%,0)</f>
        <v>0</v>
      </c>
      <c r="M107" s="45">
        <f t="shared" ca="1" si="81"/>
        <v>0.64185145527300214</v>
      </c>
      <c r="N107" s="45">
        <f t="shared" ca="1" si="82"/>
        <v>0.30424854472699792</v>
      </c>
      <c r="O107" s="46">
        <f t="shared" ca="1" si="83"/>
        <v>0.71133713357178396</v>
      </c>
      <c r="P107" s="46" t="str">
        <f t="shared" ca="1" si="84"/>
        <v>命</v>
      </c>
      <c r="Q107" s="45">
        <f t="shared" ca="1" si="85"/>
        <v>1</v>
      </c>
      <c r="R107" s="117">
        <f ca="1">模拟模式!$E$20*(1-IF(模拟模式!$J$19="有",0.15,0))*(1-IF(模拟模式!$K$19="有",0.3,0)-IF(CQ107,0.5,0))</f>
        <v>843.02999999999975</v>
      </c>
      <c r="S107" s="45">
        <f ca="1">R107/(R107+(185*模拟模式!$E$22-16800)*4.08224)</f>
        <v>8.389626085980037E-2</v>
      </c>
      <c r="T107" s="45" t="str">
        <f ca="1">LOOKUP(D107,'模拟-单技能数据'!$A$2:$A$19,'模拟-单技能数据'!$H$2:$H$19)</f>
        <v>阴</v>
      </c>
      <c r="U107" s="119">
        <f t="shared" ca="1" si="86"/>
        <v>0.08</v>
      </c>
      <c r="V107" s="47">
        <f ca="1">(1+L107)*(LOOKUP(D107,'模拟-单技能数据'!$A$2:$A$19,'模拟-单技能数据'!$D$2:$D$19)+G107*LOOKUP(D107,'模拟-单技能数据'!$A$2:$A$19,'模拟-单技能数据'!$F$2:$F$19))*(1+J107)*(1+K107)*(1-S107)*(1+U107)*Q107*LOOKUP(D107,'模拟-单技能数据'!$A$2:$A$19,'模拟-单技能数据'!$I$2:$I$20)</f>
        <v>22028.348372345288</v>
      </c>
      <c r="W107" s="47">
        <f ca="1">LOOKUP(D107,'模拟-单技能数据'!$A$2:$A$19,'模拟-单技能数据'!$G$2:$G$19)*$I$10</f>
        <v>361.51064354704795</v>
      </c>
      <c r="X107" s="47">
        <f t="shared" ca="1" si="87"/>
        <v>25101.867467669974</v>
      </c>
      <c r="Y107" s="47">
        <f t="shared" ca="1" si="88"/>
        <v>47491.726483562306</v>
      </c>
      <c r="Z107" s="49">
        <f t="shared" ca="1" si="89"/>
        <v>8089558.8236258337</v>
      </c>
      <c r="AA107" s="97">
        <f t="shared" ca="1" si="90"/>
        <v>109614.61820631215</v>
      </c>
      <c r="AB107" s="115">
        <f ca="1">IF(OR(C107="赤日轮1",C107="赤日轮2",C107="赤日轮3"),IF(RAND()&lt;模拟模式!$Y$17,1,0),IF(OR(C107="幽月轮1",C107="幽月轮2",C107="幽月轮3"),IF(RAND()&lt;模拟模式!$Y$18,1,0),IF(C107="烈日斩",IF(RAND()&lt;模拟模式!$Y$19,1,0),IF(C107="银月斩",IF(RAND()&lt;模拟模式!$Y$20,1,0),IF(C107="驱夜断愁",IF(RAND()&lt;模拟模式!$Y$21,1,0),IF(C107="净世破魔击·日",IF(RAND()&lt;模拟模式!$Y$22,1,0),IF(C107="净世破魔击·月",IF(RAND()&lt;模拟模式!$Y$23,1,0),0)))))))</f>
        <v>1</v>
      </c>
      <c r="AC107" s="115" t="b">
        <f t="shared" ca="1" si="67"/>
        <v>1</v>
      </c>
      <c r="AD107" s="115" t="b">
        <f t="shared" ca="1" si="118"/>
        <v>0</v>
      </c>
      <c r="AE107" s="115">
        <f t="shared" ca="1" si="119"/>
        <v>6</v>
      </c>
      <c r="AF107" s="47">
        <f ca="1">IF(AC107,('模拟-单技能数据'!$D$20+G107*'模拟-单技能数据'!$F$20)*(1+J107)*(1+'模拟-单技能数据'!$J$20)*(1+U107),0)</f>
        <v>4447.8565560098323</v>
      </c>
      <c r="AG107" s="61">
        <f t="shared" ca="1" si="91"/>
        <v>0.64185145527300214</v>
      </c>
      <c r="AH107" s="61">
        <f t="shared" ca="1" si="92"/>
        <v>2.2624828854998791</v>
      </c>
      <c r="AI107" s="62">
        <f t="shared" ca="1" si="93"/>
        <v>0.25758573734144341</v>
      </c>
      <c r="AJ107" s="47">
        <f ca="1">IF(AD107,IF(AI107&lt;$F$10,0,IF(AI107&lt;$F$10+$F$11,0.25,IF(AI107&lt;$F$10+$F$11+AG107,AH107,1)))*IF(AF107&gt;0,AF107,IF(AF106&gt;0,AF106,IF(AF105&gt;0,AF105,IF(AF104&gt;0,AF104,IF(AF103&gt;0,AF103,IF(AF102&gt;0,AF102,IF(AF101&gt;0,AF101,IF(AF100&gt;0,AF100,IF(AF99&gt;0,AF99,IF(AF97&gt;0,AF97,IF(AF96&gt;0,AF96,IF(AF95&gt;0,AF95,0)))))))))))),0)*(1-$S107)*'模拟-单技能数据'!$I$20</f>
        <v>0</v>
      </c>
      <c r="AK107" s="115" t="b">
        <f t="shared" ca="1" si="68"/>
        <v>0</v>
      </c>
      <c r="AL107" s="115" t="b">
        <f t="shared" ca="1" si="120"/>
        <v>1</v>
      </c>
      <c r="AM107" s="115">
        <f t="shared" ca="1" si="121"/>
        <v>4</v>
      </c>
      <c r="AN107" s="47">
        <f ca="1">IF(AK107,('模拟-单技能数据'!$D$21+G107*'模拟-单技能数据'!$F$21)*(1+J107)*(1+'模拟-单技能数据'!$J$21)*(1+U107),0)</f>
        <v>0</v>
      </c>
      <c r="AO107" s="61">
        <f ca="1">IF(AN107&gt;0,M107-'模拟-单技能数据'!$K$10,AO106)</f>
        <v>0.42185145527300216</v>
      </c>
      <c r="AP107" s="61">
        <f ca="1">IF(AN107&gt;0,I107-'模拟-单技能数据'!$L$10,AP106)</f>
        <v>2.162482885499879</v>
      </c>
      <c r="AQ107" s="63">
        <f t="shared" ca="1" si="94"/>
        <v>7.9712461254014988E-2</v>
      </c>
      <c r="AR107" s="64">
        <f ca="1">IF(AL107,IF(AQ107&lt;$F$10,0,IF(AQ107&lt;$F$10+$F$11,0.25,IF(AQ107&lt;$F$10+$F$11+AO107,AP107,1)))*IF(AN107&gt;0,AN107,IF(AN106&gt;0,AN106,IF(AN105&gt;0,AN105,IF(AN104&gt;0,AN104,IF(AN103&gt;0,AN103,IF(AN102&gt;0,AN102,IF(AN101&gt;0,AN101,IF(AN100&gt;0,AN100,IF(AN99&gt;0,AN99,IF(AN97&gt;0,AN97,IF(AN96&gt;0,AN96,IF(AN95&gt;0,AN95,0)))))))))))),0)*(1-$S107)*'模拟-单技能数据'!$I$21</f>
        <v>25101.867467669974</v>
      </c>
      <c r="AS107" s="61">
        <f ca="1">IF(OR(C107="净世破魔击·日",C107="净世破魔击·月"),M107-'模拟-单技能数据'!$K$10,0)</f>
        <v>0</v>
      </c>
      <c r="AT107" s="61">
        <f ca="1">IF(OR(C107="净世破魔击·日",C107="净世破魔击·月"),I107-'模拟-单技能数据'!$L$10,0)</f>
        <v>0</v>
      </c>
      <c r="AU107" s="62">
        <f t="shared" ca="1" si="95"/>
        <v>0.6930563703296343</v>
      </c>
      <c r="AV107" s="64">
        <f ca="1">IF(AS107&gt;0,('模拟-单技能数据'!$D$22+G107*'模拟-单技能数据'!$F$22)*(1+J107)*(1-S107)*IF(AU107&lt;$F$10,0,IF(AU107&lt;$F$10+$F$11,0.25,IF(AU107&lt;$F$10+$F$11+AS107,AT107,1)))*(1+U107),0)*'模拟-单技能数据'!$I$22</f>
        <v>0</v>
      </c>
      <c r="AW107" s="108">
        <f t="shared" ca="1" si="96"/>
        <v>3.3950000000000062</v>
      </c>
      <c r="AX107" s="108" t="b">
        <f ca="1">AND(模拟模式!$P$10="有",AW106=0,RAND()&lt;IF(C107="净世破魔击·月",0.1*8/3,IF(C107="净世破魔击·日",0.1*4/3,0.1*2/3)))</f>
        <v>0</v>
      </c>
      <c r="AY107" s="47">
        <f ca="1">IF(AX107,(18+G107*0.722)*(1+J107)*(1-S107)*(1+$I$4)*IF(P107="会",'模拟-全程加成'!$J$3+'模拟-全程加成'!$J$4+'模拟-全程加成'!$J$5+('模拟-全程加成'!$I$4+'模拟-全程加成'!$I$5)/系数!$B$4+BG107*10%,IF(P107="命",1,IF(P107="识",0.25,0))),0)</f>
        <v>0</v>
      </c>
      <c r="AZ107" s="108">
        <f t="shared" si="97"/>
        <v>7.0850000000000071</v>
      </c>
      <c r="BA107" s="108" t="b">
        <f>AND(模拟模式!$Q$10="有",AZ106=0)</f>
        <v>0</v>
      </c>
      <c r="BB107" s="140">
        <f>IF(BA107,(0+G107*0.287)*(1+J107)*(1-S107)*(1+$I$4)*IF(P107="会",'模拟-全程加成'!$J$3+'模拟-全程加成'!$J$4+'模拟-全程加成'!$J$5+('模拟-全程加成'!$I$4+'模拟-全程加成'!$I$5)/系数!$B$4+BG107*10%,IF(P107="命",1,IF(P107="识",0.25,0))),0)</f>
        <v>0</v>
      </c>
      <c r="BC107" s="115" t="b">
        <f ca="1">AND(模拟模式!$R$7="伏明众生",E107=60,F107=20,DA107&lt;5,CZ106&lt;$F$4)</f>
        <v>0</v>
      </c>
      <c r="BD107" s="115">
        <f t="shared" ca="1" si="69"/>
        <v>0</v>
      </c>
      <c r="BE107" s="115" t="b">
        <f t="shared" ca="1" si="70"/>
        <v>0</v>
      </c>
      <c r="BF107" s="47">
        <f ca="1">IF(BC107,4*('模拟-单技能数据'!$D$24+G107*'模拟-单技能数据'!$F$24)*(1+J107)*(1+'模拟-单技能数据'!$J$24)*(1-S107)*(1+$I$3)*(('模拟-全程加成'!$J$3+'模拟-全程加成'!$J$4+'模拟-全程加成'!$J$5+('模拟-全程加成'!$I$4+'模拟-全程加成'!$I$5)/系数!$B$4+BG107*10%)*('模拟-全程加成'!$J$3+'模拟-全程加成'!$J$4+'模拟-全程加成'!$J$5+('模拟-全程加成'!$I$4+'模拟-全程加成'!$I$5)/系数!$B$4+BG107*10%)+(1-('模拟-全程加成'!$J$3+'模拟-全程加成'!$J$4+'模拟-全程加成'!$J$5+('模拟-全程加成'!$I$4+'模拟-全程加成'!$I$5)/系数!$B$4+BG107*10%)-$F$10-$F$11)+F93*0.25),0)*'模拟-单技能数据'!$I$24</f>
        <v>0</v>
      </c>
      <c r="BG107" s="115" t="b">
        <f ca="1">OR(AND(OR(C107="烈日斩",C107="银月斩"),模拟模式!$I$7="净身明礼"),AND(C107="净世破魔击·日",模拟模式!$J$7="洞若观火"),AND(C108="净世破魔击·月",模拟模式!$J$7="洞若观火"),AB107=1)</f>
        <v>1</v>
      </c>
      <c r="BH107" s="115" t="b">
        <f t="shared" ca="1" si="98"/>
        <v>0</v>
      </c>
      <c r="BI107" s="115">
        <f t="shared" ca="1" si="71"/>
        <v>0</v>
      </c>
      <c r="BJ107" s="115" t="b">
        <f t="shared" ca="1" si="99"/>
        <v>0</v>
      </c>
      <c r="BK107" s="115" t="b">
        <f ca="1">AND(C107="驱夜断愁",模拟模式!$P$7="天地诛戮")</f>
        <v>0</v>
      </c>
      <c r="BL107" s="57">
        <f t="shared" ca="1" si="72"/>
        <v>14.465000000000003</v>
      </c>
      <c r="BM107" s="115" t="b">
        <f t="shared" ca="1" si="100"/>
        <v>1</v>
      </c>
      <c r="BN107" s="115" t="b">
        <f ca="1">AND(OR(C107="赤日轮1",C107="赤日轮2",C107="赤日轮3",C107="幽月轮1",C107="幽月轮2",C107="幽月轮3"),AB107=1,模拟模式!$L$7="明光恒照")</f>
        <v>0</v>
      </c>
      <c r="BO107" s="117">
        <f t="shared" ca="1" si="73"/>
        <v>26.310000000000002</v>
      </c>
      <c r="BP107" s="115">
        <f t="shared" ca="1" si="101"/>
        <v>6</v>
      </c>
      <c r="BQ107" s="115" t="b">
        <f>模拟模式!$K$10="2600·水"</f>
        <v>0</v>
      </c>
      <c r="BR107" s="117">
        <f t="shared" si="102"/>
        <v>0</v>
      </c>
      <c r="BS107" s="115">
        <f t="shared" si="103"/>
        <v>0</v>
      </c>
      <c r="BT107" s="115">
        <f t="shared" ca="1" si="104"/>
        <v>0</v>
      </c>
      <c r="BU107" s="115" t="b">
        <f ca="1">AND(模拟模式!$K$10="2300·雷",BT106=0,RAND()&lt;IF(C107="净世破魔击·月",5*0.05*2/3,IF(C107="净世破魔击·日",3*0.05*2/3,0.05*2*2/3)))</f>
        <v>0</v>
      </c>
      <c r="BV107" s="115">
        <f t="shared" ca="1" si="105"/>
        <v>0</v>
      </c>
      <c r="BW107" s="115">
        <f t="shared" ca="1" si="106"/>
        <v>111.73499999999925</v>
      </c>
      <c r="BX107" s="164" t="b">
        <f t="shared" ca="1" si="107"/>
        <v>0</v>
      </c>
      <c r="BY107" s="115">
        <f t="shared" ca="1" si="108"/>
        <v>0</v>
      </c>
      <c r="BZ107" s="115">
        <f>IF(OR(模拟模式!$P$16="10人团",模拟模式!$P$16="25人团"),IF(B107/30&gt;CA106,1,0),0)</f>
        <v>0</v>
      </c>
      <c r="CA107" s="115">
        <f t="shared" si="74"/>
        <v>0</v>
      </c>
      <c r="CB107" s="115">
        <f ca="1">IF(BZ107=1,IF(模拟模式!$P$16="10人团",15,0)+IF(模拟模式!$P$16="25人团",IF(RAND()&lt;0.6,15,0)),MAX(0,CB106-$F$4))</f>
        <v>0</v>
      </c>
      <c r="CC107" s="115" t="b">
        <f t="shared" ca="1" si="109"/>
        <v>0</v>
      </c>
      <c r="CD107" s="115">
        <f>IF(模拟模式!$Q$16="1个",IF(B107/40&gt;CE106,1,0),0)</f>
        <v>0</v>
      </c>
      <c r="CE107" s="115">
        <f t="shared" si="110"/>
        <v>0</v>
      </c>
      <c r="CF107" s="115">
        <f>IF(OR(CD107=1,模拟模式!$Q$16="2个"),20,MAX(0,CF106-$F$4))</f>
        <v>0</v>
      </c>
      <c r="CG107" s="115" t="b">
        <f t="shared" si="111"/>
        <v>0</v>
      </c>
      <c r="CH107" s="115">
        <f t="shared" ca="1" si="112"/>
        <v>25.387500000000003</v>
      </c>
      <c r="CI107" s="115" t="b">
        <f t="shared" ca="1" si="113"/>
        <v>0</v>
      </c>
      <c r="CJ107" s="119">
        <f t="shared" ca="1" si="114"/>
        <v>0.05</v>
      </c>
      <c r="CK107" s="115">
        <f t="shared" ca="1" si="115"/>
        <v>3.3874999999999988</v>
      </c>
      <c r="CL107" s="115" t="b">
        <f ca="1">AND(模拟模式!$S$7="驱夷逐法",OR(AND(C107="净世破魔击·月",E106&gt;59),AND(C107="净世破魔击·日",F106&gt;59)))</f>
        <v>0</v>
      </c>
      <c r="CM107" s="115" t="b">
        <f ca="1">OR(CL107,AND(C107="净世破魔击·日",CL106,RAND()&lt;模拟模式!$U$23))</f>
        <v>0</v>
      </c>
      <c r="CN107" s="115" t="b">
        <f ca="1">IF(模拟模式!$M$7="辉耀红尘",AND(C107="净世破魔击·月",CL107,CV107=0,E106&lt;80),AND(C107="净世破魔击·月",CL107,E106&lt;100))</f>
        <v>0</v>
      </c>
      <c r="CO107" s="115" t="b">
        <f t="shared" ca="1" si="75"/>
        <v>0</v>
      </c>
      <c r="CP107" s="115" t="b">
        <f ca="1">AND(模拟模式!$O$7="用晦而明",OR(C107="净世破魔击·日",C107="净世破魔击·月",C107="驱夜断愁"),AB107)</f>
        <v>0</v>
      </c>
      <c r="CQ107" s="115" t="b">
        <f ca="1">OR(CP107,AND(CP106,RAND()&lt;模拟模式!$U$23))</f>
        <v>1</v>
      </c>
      <c r="CR107" s="115" t="b">
        <f ca="1">AND(模拟模式!$S$7="日月齐光",OR(C107="幽月轮1",C107="幽月轮2",C107="幽月轮3",CR106),NOT(OR(C107="赤日轮1",C107="赤日轮2",C107="赤日轮3")))</f>
        <v>0</v>
      </c>
      <c r="CS107" s="115" t="b">
        <f ca="1">AND(模拟模式!$S$7="日月齐光",OR(C107="赤日轮1",C107="赤日轮2",C107="赤日轮3",CS106),NOT(OR(C107="幽月轮1",C107="幽月轮2",C107="幽月轮3")))</f>
        <v>0</v>
      </c>
      <c r="CT107" s="115">
        <f t="shared" ca="1" si="116"/>
        <v>16.162500000000009</v>
      </c>
      <c r="CU107" s="115" t="b">
        <f ca="1">AND(模拟模式!$K$10="阴阳往极",CT106=0,RAND()&lt;IF(C107="净世破魔击·月",0.0275*7/3,IF(C107="净世破魔击·日",0.0275*3/3,0.0275*2/3)))</f>
        <v>0</v>
      </c>
      <c r="CV107" s="115">
        <f t="shared" ca="1" si="117"/>
        <v>0</v>
      </c>
      <c r="CW107" s="115">
        <f t="shared" ca="1" si="76"/>
        <v>1.3874999999999997</v>
      </c>
      <c r="CX107" s="115">
        <f t="shared" ca="1" si="77"/>
        <v>6</v>
      </c>
      <c r="CY107" s="115">
        <f ca="1">MAX(IF($C107="驱夜断愁",IF(模拟模式!$R$7="万念俱寂",6,45),CY106-$F$4),0)</f>
        <v>0.46499999999999975</v>
      </c>
      <c r="CZ107" s="115">
        <f t="shared" ca="1" si="78"/>
        <v>0</v>
      </c>
      <c r="DA107" s="115">
        <f ca="1">IF(模拟模式!$N$7="日月同辉",IF(DB106=2,0,MIN(6,IF(AND(OR(C107="赤日轮1",C107="赤日轮2",C107="赤日轮3",C107="幽月轮1",C107="幽月轮2",C107="幽月轮3"),AB107=1),DA106+1,DA106))),0)</f>
        <v>0</v>
      </c>
      <c r="DB107" s="115">
        <f t="shared" ca="1" si="79"/>
        <v>0</v>
      </c>
      <c r="DD107" s="115"/>
      <c r="DE107" s="115"/>
      <c r="DF107" s="115"/>
      <c r="DG107" s="115"/>
      <c r="DH107" s="115"/>
      <c r="DI107" s="115"/>
      <c r="DJ107" s="115"/>
      <c r="DK107" s="115"/>
      <c r="DL107" s="115"/>
      <c r="DM107" s="115"/>
    </row>
    <row r="108" spans="2:117" x14ac:dyDescent="0.2">
      <c r="B108" s="117">
        <f t="shared" si="80"/>
        <v>74.722499999999968</v>
      </c>
      <c r="C108" s="167" t="str">
        <f t="shared" ca="1" si="66"/>
        <v>驱夜断愁</v>
      </c>
      <c r="D108" s="115">
        <f ca="1">IF(C108="赤日轮1",1,IF(C108="赤日轮2",2,IF(C108="赤日轮3",3,IF(C108="幽月轮1",4,IF(C108="幽月轮2",5,IF(C108="幽月轮3",6,IF(C108="烈日斩",7,IF(C108="银月斩",8,IF(C108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108="净世破魔击·月",17,IF(C108="驱夜断愁",18,0)))))))))))</f>
        <v>18</v>
      </c>
      <c r="E108" s="115">
        <f ca="1">IF(AND(CU108,OR(C108="幽月轮1",C108="幽月轮2",C108="幽月轮3",C108="银月斩",C108="驱夜断愁",C108="净世破魔击·月")),100,MIN(IF(OR(CN108,BE108),0,IF(OR($C108="赤日轮1",$C108="赤日轮2",$C108="赤日轮3"),E107+20+IF(模拟模式!$I$7="日月凌天",4,0)+IF(CR107,20,0),IF($C108="烈日斩",E107+40,IF($C108="驱夜断愁",IF(模拟模式!$R$7="万念俱寂",E107+20,E107+60),IF($C108="净世破魔击·月",IF(OR(DB107&gt;0,CV107&gt;0),100,IF(模拟模式!$M$7="辉耀红尘",E107+20,E107)),IF($C108="净世破魔击·日",E107-100,E107)))))),100))</f>
        <v>40</v>
      </c>
      <c r="F108" s="115">
        <f ca="1">IF(AND(CU108,OR(C108="赤日轮1",C108="赤日轮2",C108="赤日轮3",C108="烈日斩",C108="净世破魔击·日")),100,MIN(IF(CO108,0,IF(OR($C108="幽月轮1",$C108="幽月轮2",$C108="幽月轮3"),F107+20+IF(模拟模式!$I$7="日月凌天",4,0)+IF(CS107,20,0),IF($C108="银月斩",F107+40+IF(模拟模式!$X$12=1,5,0),IF($C108="驱夜断愁",IF(模拟模式!$R$7="万念俱寂",F107+20,F107+60),IF($C108="净世破魔击·月",IF(模拟模式!$M$7="辉耀红尘",F107-80,F107-100),IF(AND(C108="净世破魔击·日",OR(DB107&gt;0,CV107&gt;0)),100,F107)))))),100))</f>
        <v>85</v>
      </c>
      <c r="G108" s="117">
        <f ca="1">('模拟-全程加成'!$E$3+'模拟-全程加成'!$E$4+'模拟-全程加成'!$E$5+('模拟-全程加成'!$C$6-'模拟-全程加成'!$C$3)*系数!$B$9+BS108*23)*(1+'模拟-全程加成'!$F$4+'模拟-全程加成'!$F$5+BJ108*10%+BM108*20%+BP108*4%+CG108*30%)+$F$7*系数!$B$12</f>
        <v>20583.127400000001</v>
      </c>
      <c r="H108" s="45">
        <f ca="1">'模拟-全程加成'!$H$3+'模拟-全程加成'!$H$4+'模拟-全程加成'!$H$5+('模拟-全程加成'!$G$4+'模拟-全程加成'!$G$5+('模拟-全程加成'!$C$6-'模拟-全程加成'!$C$3)*系数!$B$13)/系数!$B$3+LOOKUP(D108,'模拟-单技能数据'!$A$2:$A$19,'模拟-单技能数据'!$K$2:$K$19)+BG108*10%+IF(BV108&gt;0,378,0)</f>
        <v>0.51185145527300213</v>
      </c>
      <c r="I108" s="45">
        <f ca="1">'模拟-全程加成'!$J$3+'模拟-全程加成'!$J$4+'模拟-全程加成'!$J$5+('模拟-全程加成'!$I$4+'模拟-全程加成'!$I$5)/系数!$B$4+LOOKUP(D108,'模拟-单技能数据'!$A$2:$A$19,'模拟-单技能数据'!$L$2:$L$19)+BG108*10%</f>
        <v>2.162482885499879</v>
      </c>
      <c r="J108" s="45">
        <f ca="1">(('模拟-全程加成'!$K$3+'模拟-全程加成'!$K$4+'模拟-全程加成'!$K$5+('模拟-全程加成'!$C$6-'模拟-全程加成'!$C$3)*系数!$B$10+IF(BV108&gt;0,882,0)+IF(BY108&gt;0,1831,0))*(1+'模拟-全程加成'!$L$4+'模拟-全程加成'!$L$5+CC108*20%))/系数!$B$5</f>
        <v>0.69723220422048726</v>
      </c>
      <c r="K108" s="119">
        <f ca="1">LOOKUP(D108,'模拟-单技能数据'!$A$2:$A$19,'模拟-单技能数据'!$J$2:$J$19)+IF(CM108,60%,0)+IF(DB107-DB108&gt;0,30%,0)+IF(OR(AND(OR(C108="赤日轮1",C108="赤日轮2",C108="赤日轮3"),CR108),AND(OR(C108="幽月轮1",C108="幽月轮2",C108="幽月轮3"),CS108)),35%,0)+CJ108</f>
        <v>0.19</v>
      </c>
      <c r="L108" s="119">
        <f ca="1">IF(AND(C108="烈日斩",模拟模式!$X$11=1),10%,0)+IF(AND(C108="驱夜断愁",AB108=1),30%,0)</f>
        <v>0.3</v>
      </c>
      <c r="M108" s="45">
        <f t="shared" ca="1" si="81"/>
        <v>0.51185145527300213</v>
      </c>
      <c r="N108" s="45">
        <f t="shared" ca="1" si="82"/>
        <v>0.43424854472699792</v>
      </c>
      <c r="O108" s="46">
        <f t="shared" ca="1" si="83"/>
        <v>0.32591317418873555</v>
      </c>
      <c r="P108" s="46" t="str">
        <f t="shared" ca="1" si="84"/>
        <v>会</v>
      </c>
      <c r="Q108" s="45">
        <f t="shared" ca="1" si="85"/>
        <v>2.162482885499879</v>
      </c>
      <c r="R108" s="117">
        <f ca="1">模拟模式!$E$20*(1-IF(模拟模式!$J$19="有",0.15,0))*(1-IF(模拟模式!$K$19="有",0.3,0)-IF(CQ108,0.5,0))</f>
        <v>843.02999999999975</v>
      </c>
      <c r="S108" s="45">
        <f ca="1">R108/(R108+(185*模拟模式!$E$22-16800)*4.08224)</f>
        <v>8.389626085980037E-2</v>
      </c>
      <c r="T108" s="45" t="str">
        <f ca="1">LOOKUP(D108,'模拟-单技能数据'!$A$2:$A$19,'模拟-单技能数据'!$H$2:$H$19)</f>
        <v>阴</v>
      </c>
      <c r="U108" s="119">
        <f t="shared" ca="1" si="86"/>
        <v>0.08</v>
      </c>
      <c r="V108" s="47">
        <f ca="1">(1+L108)*(LOOKUP(D108,'模拟-单技能数据'!$A$2:$A$19,'模拟-单技能数据'!$D$2:$D$19)+G108*LOOKUP(D108,'模拟-单技能数据'!$A$2:$A$19,'模拟-单技能数据'!$F$2:$F$19))*(1+J108)*(1+K108)*(1-S108)*(1+U108)*Q108*LOOKUP(D108,'模拟-单技能数据'!$A$2:$A$19,'模拟-单技能数据'!$I$2:$I$20)</f>
        <v>133053.91991757337</v>
      </c>
      <c r="W108" s="47">
        <f ca="1">LOOKUP(D108,'模拟-单技能数据'!$A$2:$A$19,'模拟-单技能数据'!$G$2:$G$19)*$I$10</f>
        <v>723.0212870940959</v>
      </c>
      <c r="X108" s="47">
        <f t="shared" ca="1" si="87"/>
        <v>9218.9345386263849</v>
      </c>
      <c r="Y108" s="47">
        <f t="shared" ca="1" si="88"/>
        <v>142995.87574329384</v>
      </c>
      <c r="Z108" s="49">
        <f t="shared" ca="1" si="89"/>
        <v>8232554.6993691279</v>
      </c>
      <c r="AA108" s="97">
        <f t="shared" ca="1" si="90"/>
        <v>110175.04365310491</v>
      </c>
      <c r="AB108" s="115">
        <f ca="1">IF(OR(C108="赤日轮1",C108="赤日轮2",C108="赤日轮3"),IF(RAND()&lt;模拟模式!$Y$17,1,0),IF(OR(C108="幽月轮1",C108="幽月轮2",C108="幽月轮3"),IF(RAND()&lt;模拟模式!$Y$18,1,0),IF(C108="烈日斩",IF(RAND()&lt;模拟模式!$Y$19,1,0),IF(C108="银月斩",IF(RAND()&lt;模拟模式!$Y$20,1,0),IF(C108="驱夜断愁",IF(RAND()&lt;模拟模式!$Y$21,1,0),IF(C108="净世破魔击·日",IF(RAND()&lt;模拟模式!$Y$22,1,0),IF(C108="净世破魔击·月",IF(RAND()&lt;模拟模式!$Y$23,1,0),0)))))))</f>
        <v>1</v>
      </c>
      <c r="AC108" s="115" t="b">
        <f t="shared" ca="1" si="67"/>
        <v>0</v>
      </c>
      <c r="AD108" s="115" t="b">
        <f t="shared" ca="1" si="118"/>
        <v>1</v>
      </c>
      <c r="AE108" s="115">
        <f t="shared" ca="1" si="119"/>
        <v>5</v>
      </c>
      <c r="AF108" s="47">
        <f ca="1">IF(AC108,('模拟-单技能数据'!$D$20+G108*'模拟-单技能数据'!$F$20)*(1+J108)*(1+'模拟-单技能数据'!$J$20)*(1+U108),0)</f>
        <v>0</v>
      </c>
      <c r="AG108" s="61">
        <f t="shared" ca="1" si="91"/>
        <v>0.64185145527300214</v>
      </c>
      <c r="AH108" s="61">
        <f t="shared" ca="1" si="92"/>
        <v>2.2624828854998791</v>
      </c>
      <c r="AI108" s="62">
        <f t="shared" ca="1" si="93"/>
        <v>0.44166936391353384</v>
      </c>
      <c r="AJ108" s="47">
        <f ca="1">IF(AD108,IF(AI108&lt;$F$10,0,IF(AI108&lt;$F$10+$F$11,0.25,IF(AI108&lt;$F$10+$F$11+AG108,AH108,1)))*IF(AF108&gt;0,AF108,IF(AF107&gt;0,AF107,IF(AF106&gt;0,AF106,IF(AF105&gt;0,AF105,IF(AF104&gt;0,AF104,IF(AF103&gt;0,AF103,IF(AF102&gt;0,AF102,IF(AF101&gt;0,AF101,IF(AF100&gt;0,AF100,IF(AF98&gt;0,AF98,IF(AF97&gt;0,AF97,IF(AF96&gt;0,AF96,0)))))))))))),0)*(1-$S108)*'模拟-单技能数据'!$I$20</f>
        <v>9218.9345386263849</v>
      </c>
      <c r="AK108" s="115" t="b">
        <f t="shared" ca="1" si="68"/>
        <v>0</v>
      </c>
      <c r="AL108" s="115" t="b">
        <f t="shared" ca="1" si="120"/>
        <v>0</v>
      </c>
      <c r="AM108" s="115">
        <f t="shared" ca="1" si="121"/>
        <v>4</v>
      </c>
      <c r="AN108" s="47">
        <f ca="1">IF(AK108,('模拟-单技能数据'!$D$21+G108*'模拟-单技能数据'!$F$21)*(1+J108)*(1+'模拟-单技能数据'!$J$21)*(1+U108),0)</f>
        <v>0</v>
      </c>
      <c r="AO108" s="61">
        <f ca="1">IF(AN108&gt;0,M108-'模拟-单技能数据'!$K$10,AO107)</f>
        <v>0.42185145527300216</v>
      </c>
      <c r="AP108" s="61">
        <f ca="1">IF(AN108&gt;0,I108-'模拟-单技能数据'!$L$10,AP107)</f>
        <v>2.162482885499879</v>
      </c>
      <c r="AQ108" s="63">
        <f t="shared" ca="1" si="94"/>
        <v>0.92372310511795541</v>
      </c>
      <c r="AR108" s="64">
        <f ca="1">IF(AL108,IF(AQ108&lt;$F$10,0,IF(AQ108&lt;$F$10+$F$11,0.25,IF(AQ108&lt;$F$10+$F$11+AO108,AP108,1)))*IF(AN108&gt;0,AN108,IF(AN107&gt;0,AN107,IF(AN106&gt;0,AN106,IF(AN105&gt;0,AN105,IF(AN104&gt;0,AN104,IF(AN103&gt;0,AN103,IF(AN102&gt;0,AN102,IF(AN101&gt;0,AN101,IF(AN100&gt;0,AN100,IF(AN98&gt;0,AN98,IF(AN97&gt;0,AN97,IF(AN96&gt;0,AN96,0)))))))))))),0)*(1-$S108)*'模拟-单技能数据'!$I$21</f>
        <v>0</v>
      </c>
      <c r="AS108" s="61">
        <f ca="1">IF(OR(C108="净世破魔击·日",C108="净世破魔击·月"),M108-'模拟-单技能数据'!$K$10,0)</f>
        <v>0</v>
      </c>
      <c r="AT108" s="61">
        <f ca="1">IF(OR(C108="净世破魔击·日",C108="净世破魔击·月"),I108-'模拟-单技能数据'!$L$10,0)</f>
        <v>0</v>
      </c>
      <c r="AU108" s="62">
        <f t="shared" ca="1" si="95"/>
        <v>0.7757124215762059</v>
      </c>
      <c r="AV108" s="64">
        <f ca="1">IF(AS108&gt;0,('模拟-单技能数据'!$D$22+G108*'模拟-单技能数据'!$F$22)*(1+J108)*(1-S108)*IF(AU108&lt;$F$10,0,IF(AU108&lt;$F$10+$F$11,0.25,IF(AU108&lt;$F$10+$F$11+AS108,AT108,1)))*(1+U108),0)*'模拟-单技能数据'!$I$22</f>
        <v>0</v>
      </c>
      <c r="AW108" s="108">
        <f t="shared" ca="1" si="96"/>
        <v>2.4725000000000064</v>
      </c>
      <c r="AX108" s="108" t="b">
        <f ca="1">AND(模拟模式!$P$10="有",AW107=0,RAND()&lt;IF(C108="净世破魔击·月",0.1*8/3,IF(C108="净世破魔击·日",0.1*4/3,0.1*2/3)))</f>
        <v>0</v>
      </c>
      <c r="AY108" s="47">
        <f ca="1">IF(AX108,(18+G108*0.722)*(1+J108)*(1-S108)*(1+$I$4)*IF(P108="会",'模拟-全程加成'!$J$3+'模拟-全程加成'!$J$4+'模拟-全程加成'!$J$5+('模拟-全程加成'!$I$4+'模拟-全程加成'!$I$5)/系数!$B$4+BG108*10%,IF(P108="命",1,IF(P108="识",0.25,0))),0)</f>
        <v>0</v>
      </c>
      <c r="AZ108" s="108">
        <f t="shared" si="97"/>
        <v>6.1625000000000068</v>
      </c>
      <c r="BA108" s="108" t="b">
        <f>AND(模拟模式!$Q$10="有",AZ107=0)</f>
        <v>0</v>
      </c>
      <c r="BB108" s="140">
        <f>IF(BA108,(0+G108*0.287)*(1+J108)*(1-S108)*(1+$I$4)*IF(P108="会",'模拟-全程加成'!$J$3+'模拟-全程加成'!$J$4+'模拟-全程加成'!$J$5+('模拟-全程加成'!$I$4+'模拟-全程加成'!$I$5)/系数!$B$4+BG108*10%,IF(P108="命",1,IF(P108="识",0.25,0))),0)</f>
        <v>0</v>
      </c>
      <c r="BC108" s="115" t="b">
        <f ca="1">AND(模拟模式!$R$7="伏明众生",E108=60,F108=20,DA108&lt;5,CZ107&lt;$F$4)</f>
        <v>0</v>
      </c>
      <c r="BD108" s="115">
        <f t="shared" ca="1" si="69"/>
        <v>0</v>
      </c>
      <c r="BE108" s="115" t="b">
        <f t="shared" ca="1" si="70"/>
        <v>0</v>
      </c>
      <c r="BF108" s="47">
        <f ca="1">IF(BC108,4*('模拟-单技能数据'!$D$24+G108*'模拟-单技能数据'!$F$24)*(1+J108)*(1+'模拟-单技能数据'!$J$24)*(1-S108)*(1+$I$3)*(('模拟-全程加成'!$J$3+'模拟-全程加成'!$J$4+'模拟-全程加成'!$J$5+('模拟-全程加成'!$I$4+'模拟-全程加成'!$I$5)/系数!$B$4+BG108*10%)*('模拟-全程加成'!$J$3+'模拟-全程加成'!$J$4+'模拟-全程加成'!$J$5+('模拟-全程加成'!$I$4+'模拟-全程加成'!$I$5)/系数!$B$4+BG108*10%)+(1-('模拟-全程加成'!$J$3+'模拟-全程加成'!$J$4+'模拟-全程加成'!$J$5+('模拟-全程加成'!$I$4+'模拟-全程加成'!$I$5)/系数!$B$4+BG108*10%)-$F$10-$F$11)+F94*0.25),0)*'模拟-单技能数据'!$I$24</f>
        <v>0</v>
      </c>
      <c r="BG108" s="115" t="b">
        <f ca="1">OR(AND(OR(C108="烈日斩",C108="银月斩"),模拟模式!$I$7="净身明礼"),AND(C108="净世破魔击·日",模拟模式!$J$7="洞若观火"),AND(C109="净世破魔击·月",模拟模式!$J$7="洞若观火"),AB108=1)</f>
        <v>1</v>
      </c>
      <c r="BH108" s="115" t="b">
        <f t="shared" ca="1" si="98"/>
        <v>0</v>
      </c>
      <c r="BI108" s="115">
        <f t="shared" ca="1" si="71"/>
        <v>0</v>
      </c>
      <c r="BJ108" s="115" t="b">
        <f t="shared" ca="1" si="99"/>
        <v>0</v>
      </c>
      <c r="BK108" s="115" t="b">
        <f ca="1">AND(C108="驱夜断愁",模拟模式!$P$7="天地诛戮")</f>
        <v>1</v>
      </c>
      <c r="BL108" s="57">
        <f t="shared" ca="1" si="72"/>
        <v>20</v>
      </c>
      <c r="BM108" s="115" t="b">
        <f t="shared" ca="1" si="100"/>
        <v>1</v>
      </c>
      <c r="BN108" s="115" t="b">
        <f ca="1">AND(OR(C108="赤日轮1",C108="赤日轮2",C108="赤日轮3",C108="幽月轮1",C108="幽月轮2",C108="幽月轮3"),AB108=1,模拟模式!$L$7="明光恒照")</f>
        <v>0</v>
      </c>
      <c r="BO108" s="117">
        <f t="shared" ca="1" si="73"/>
        <v>25.387500000000003</v>
      </c>
      <c r="BP108" s="115">
        <f t="shared" ca="1" si="101"/>
        <v>6</v>
      </c>
      <c r="BQ108" s="115" t="b">
        <f>模拟模式!$K$10="2600·水"</f>
        <v>0</v>
      </c>
      <c r="BR108" s="117">
        <f t="shared" si="102"/>
        <v>0</v>
      </c>
      <c r="BS108" s="115">
        <f t="shared" si="103"/>
        <v>0</v>
      </c>
      <c r="BT108" s="115">
        <f t="shared" ca="1" si="104"/>
        <v>0</v>
      </c>
      <c r="BU108" s="115" t="b">
        <f ca="1">AND(模拟模式!$K$10="2300·雷",BT107=0,RAND()&lt;IF(C108="净世破魔击·月",5*0.05*2/3,IF(C108="净世破魔击·日",3*0.05*2/3,0.05*2*2/3)))</f>
        <v>0</v>
      </c>
      <c r="BV108" s="115">
        <f t="shared" ca="1" si="105"/>
        <v>0</v>
      </c>
      <c r="BW108" s="115">
        <f t="shared" ca="1" si="106"/>
        <v>110.81249999999925</v>
      </c>
      <c r="BX108" s="164" t="b">
        <f t="shared" ca="1" si="107"/>
        <v>0</v>
      </c>
      <c r="BY108" s="115">
        <f t="shared" ca="1" si="108"/>
        <v>0</v>
      </c>
      <c r="BZ108" s="115">
        <f>IF(OR(模拟模式!$P$16="10人团",模拟模式!$P$16="25人团"),IF(B108/30&gt;CA107,1,0),0)</f>
        <v>0</v>
      </c>
      <c r="CA108" s="115">
        <f t="shared" si="74"/>
        <v>0</v>
      </c>
      <c r="CB108" s="115">
        <f ca="1">IF(BZ108=1,IF(模拟模式!$P$16="10人团",15,0)+IF(模拟模式!$P$16="25人团",IF(RAND()&lt;0.6,15,0)),MAX(0,CB107-$F$4))</f>
        <v>0</v>
      </c>
      <c r="CC108" s="115" t="b">
        <f t="shared" ca="1" si="109"/>
        <v>0</v>
      </c>
      <c r="CD108" s="115">
        <f>IF(模拟模式!$Q$16="1个",IF(B108/40&gt;CE107,1,0),0)</f>
        <v>0</v>
      </c>
      <c r="CE108" s="115">
        <f t="shared" si="110"/>
        <v>0</v>
      </c>
      <c r="CF108" s="115">
        <f>IF(OR(CD108=1,模拟模式!$Q$16="2个"),20,MAX(0,CF107-$F$4))</f>
        <v>0</v>
      </c>
      <c r="CG108" s="115" t="b">
        <f t="shared" si="111"/>
        <v>0</v>
      </c>
      <c r="CH108" s="115">
        <f t="shared" ca="1" si="112"/>
        <v>24.465000000000003</v>
      </c>
      <c r="CI108" s="115" t="b">
        <f t="shared" ca="1" si="113"/>
        <v>0</v>
      </c>
      <c r="CJ108" s="119">
        <f t="shared" ca="1" si="114"/>
        <v>0.05</v>
      </c>
      <c r="CK108" s="115">
        <f t="shared" ca="1" si="115"/>
        <v>2.464999999999999</v>
      </c>
      <c r="CL108" s="115" t="b">
        <f ca="1">AND(模拟模式!$S$7="驱夷逐法",OR(AND(C108="净世破魔击·月",E107&gt;59),AND(C108="净世破魔击·日",F107&gt;59)))</f>
        <v>0</v>
      </c>
      <c r="CM108" s="115" t="b">
        <f ca="1">OR(CL108,AND(C108="净世破魔击·日",CL107,RAND()&lt;模拟模式!$U$23))</f>
        <v>0</v>
      </c>
      <c r="CN108" s="115" t="b">
        <f ca="1">IF(模拟模式!$M$7="辉耀红尘",AND(C108="净世破魔击·月",CL108,CV108=0,E107&lt;80),AND(C108="净世破魔击·月",CL108,E107&lt;100))</f>
        <v>0</v>
      </c>
      <c r="CO108" s="115" t="b">
        <f t="shared" ca="1" si="75"/>
        <v>0</v>
      </c>
      <c r="CP108" s="115" t="b">
        <f ca="1">AND(模拟模式!$O$7="用晦而明",OR(C108="净世破魔击·日",C108="净世破魔击·月",C108="驱夜断愁"),AB108)</f>
        <v>1</v>
      </c>
      <c r="CQ108" s="115" t="b">
        <f ca="1">OR(CP108,AND(CP107,RAND()&lt;模拟模式!$U$23))</f>
        <v>1</v>
      </c>
      <c r="CR108" s="115" t="b">
        <f ca="1">AND(模拟模式!$S$7="日月齐光",OR(C108="幽月轮1",C108="幽月轮2",C108="幽月轮3",CR107),NOT(OR(C108="赤日轮1",C108="赤日轮2",C108="赤日轮3")))</f>
        <v>0</v>
      </c>
      <c r="CS108" s="115" t="b">
        <f ca="1">AND(模拟模式!$S$7="日月齐光",OR(C108="赤日轮1",C108="赤日轮2",C108="赤日轮3",CS107),NOT(OR(C108="幽月轮1",C108="幽月轮2",C108="幽月轮3")))</f>
        <v>0</v>
      </c>
      <c r="CT108" s="115">
        <f t="shared" ca="1" si="116"/>
        <v>15.240000000000009</v>
      </c>
      <c r="CU108" s="115" t="b">
        <f ca="1">AND(模拟模式!$K$10="阴阳往极",CT107=0,RAND()&lt;IF(C108="净世破魔击·月",0.0275*7/3,IF(C108="净世破魔击·日",0.0275*3/3,0.0275*2/3)))</f>
        <v>0</v>
      </c>
      <c r="CV108" s="115">
        <f t="shared" ca="1" si="117"/>
        <v>0</v>
      </c>
      <c r="CW108" s="115">
        <f t="shared" ca="1" si="76"/>
        <v>0.46499999999999975</v>
      </c>
      <c r="CX108" s="115">
        <f t="shared" ca="1" si="77"/>
        <v>5.0774999999999997</v>
      </c>
      <c r="CY108" s="115">
        <f ca="1">MAX(IF($C108="驱夜断愁",IF(模拟模式!$R$7="万念俱寂",6,45),CY107-$F$4),0)</f>
        <v>6</v>
      </c>
      <c r="CZ108" s="115">
        <f t="shared" ca="1" si="78"/>
        <v>0</v>
      </c>
      <c r="DA108" s="115">
        <f ca="1">IF(模拟模式!$N$7="日月同辉",IF(DB107=2,0,MIN(6,IF(AND(OR(C108="赤日轮1",C108="赤日轮2",C108="赤日轮3",C108="幽月轮1",C108="幽月轮2",C108="幽月轮3"),AB108=1),DA107+1,DA107))),0)</f>
        <v>0</v>
      </c>
      <c r="DB108" s="115">
        <f t="shared" ca="1" si="79"/>
        <v>0</v>
      </c>
      <c r="DD108" s="115"/>
      <c r="DE108" s="115"/>
      <c r="DF108" s="115"/>
      <c r="DG108" s="115"/>
      <c r="DH108" s="115"/>
      <c r="DI108" s="115"/>
      <c r="DJ108" s="115"/>
      <c r="DK108" s="115"/>
      <c r="DL108" s="115"/>
      <c r="DM108" s="115"/>
    </row>
    <row r="109" spans="2:117" x14ac:dyDescent="0.2">
      <c r="B109" s="117">
        <f t="shared" si="80"/>
        <v>75.644999999999968</v>
      </c>
      <c r="C109" s="167" t="str">
        <f t="shared" ca="1" si="66"/>
        <v>烈日斩</v>
      </c>
      <c r="D109" s="115">
        <f ca="1">IF(C109="赤日轮1",1,IF(C109="赤日轮2",2,IF(C109="赤日轮3",3,IF(C109="幽月轮1",4,IF(C109="幽月轮2",5,IF(C109="幽月轮3",6,IF(C109="烈日斩",7,IF(C109="银月斩",8,IF(C109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109="净世破魔击·月",17,IF(C109="驱夜断愁",18,0)))))))))))</f>
        <v>7</v>
      </c>
      <c r="E109" s="115">
        <f ca="1">IF(AND(CU109,OR(C109="幽月轮1",C109="幽月轮2",C109="幽月轮3",C109="银月斩",C109="驱夜断愁",C109="净世破魔击·月")),100,MIN(IF(OR(CN109,BE109),0,IF(OR($C109="赤日轮1",$C109="赤日轮2",$C109="赤日轮3"),E108+20+IF(模拟模式!$I$7="日月凌天",4,0)+IF(CR108,20,0),IF($C109="烈日斩",E108+40,IF($C109="驱夜断愁",IF(模拟模式!$R$7="万念俱寂",E108+20,E108+60),IF($C109="净世破魔击·月",IF(OR(DB108&gt;0,CV108&gt;0),100,IF(模拟模式!$M$7="辉耀红尘",E108+20,E108)),IF($C109="净世破魔击·日",E108-100,E108)))))),100))</f>
        <v>80</v>
      </c>
      <c r="F109" s="115">
        <f ca="1">IF(AND(CU109,OR(C109="赤日轮1",C109="赤日轮2",C109="赤日轮3",C109="烈日斩",C109="净世破魔击·日")),100,MIN(IF(CO109,0,IF(OR($C109="幽月轮1",$C109="幽月轮2",$C109="幽月轮3"),F108+20+IF(模拟模式!$I$7="日月凌天",4,0)+IF(CS108,20,0),IF($C109="银月斩",F108+40+IF(模拟模式!$X$12=1,5,0),IF($C109="驱夜断愁",IF(模拟模式!$R$7="万念俱寂",F108+20,F108+60),IF($C109="净世破魔击·月",IF(模拟模式!$M$7="辉耀红尘",F108-80,F108-100),IF(AND(C109="净世破魔击·日",OR(DB108&gt;0,CV108&gt;0)),100,F108)))))),100))</f>
        <v>85</v>
      </c>
      <c r="G109" s="117">
        <f ca="1">('模拟-全程加成'!$E$3+'模拟-全程加成'!$E$4+'模拟-全程加成'!$E$5+('模拟-全程加成'!$C$6-'模拟-全程加成'!$C$3)*系数!$B$9+BS109*23)*(1+'模拟-全程加成'!$F$4+'模拟-全程加成'!$F$5+BJ109*10%+BM109*20%+BP109*4%+CG109*30%)+$F$7*系数!$B$12</f>
        <v>20583.127400000001</v>
      </c>
      <c r="H109" s="45">
        <f ca="1">'模拟-全程加成'!$H$3+'模拟-全程加成'!$H$4+'模拟-全程加成'!$H$5+('模拟-全程加成'!$G$4+'模拟-全程加成'!$G$5+('模拟-全程加成'!$C$6-'模拟-全程加成'!$C$3)*系数!$B$13)/系数!$B$3+LOOKUP(D109,'模拟-单技能数据'!$A$2:$A$19,'模拟-单技能数据'!$K$2:$K$19)+BG109*10%+IF(BV109&gt;0,378,0)</f>
        <v>0.56185145527300218</v>
      </c>
      <c r="I109" s="45">
        <f ca="1">'模拟-全程加成'!$J$3+'模拟-全程加成'!$J$4+'模拟-全程加成'!$J$5+('模拟-全程加成'!$I$4+'模拟-全程加成'!$I$5)/系数!$B$4+LOOKUP(D109,'模拟-单技能数据'!$A$2:$A$19,'模拟-单技能数据'!$L$2:$L$19)+BG109*10%</f>
        <v>2.2624828854998791</v>
      </c>
      <c r="J109" s="45">
        <f ca="1">(('模拟-全程加成'!$K$3+'模拟-全程加成'!$K$4+'模拟-全程加成'!$K$5+('模拟-全程加成'!$C$6-'模拟-全程加成'!$C$3)*系数!$B$10+IF(BV109&gt;0,882,0)+IF(BY109&gt;0,1831,0))*(1+'模拟-全程加成'!$L$4+'模拟-全程加成'!$L$5+CC109*20%))/系数!$B$5</f>
        <v>0.69723220422048726</v>
      </c>
      <c r="K109" s="119">
        <f ca="1">LOOKUP(D109,'模拟-单技能数据'!$A$2:$A$19,'模拟-单技能数据'!$J$2:$J$19)+IF(CM109,60%,0)+IF(DB108-DB109&gt;0,30%,0)+IF(OR(AND(OR(C109="赤日轮1",C109="赤日轮2",C109="赤日轮3"),CR109),AND(OR(C109="幽月轮1",C109="幽月轮2",C109="幽月轮3"),CS109)),35%,0)+CJ109</f>
        <v>0.28999999999999998</v>
      </c>
      <c r="L109" s="119">
        <f ca="1">IF(AND(C109="烈日斩",模拟模式!$X$11=1),10%,0)+IF(AND(C109="驱夜断愁",AB109=1),30%,0)</f>
        <v>0.1</v>
      </c>
      <c r="M109" s="45">
        <f t="shared" ca="1" si="81"/>
        <v>0.56185145527300218</v>
      </c>
      <c r="N109" s="45">
        <f t="shared" ca="1" si="82"/>
        <v>0.38424854472699788</v>
      </c>
      <c r="O109" s="46">
        <f t="shared" ca="1" si="83"/>
        <v>0.16057671870140644</v>
      </c>
      <c r="P109" s="46" t="str">
        <f t="shared" ca="1" si="84"/>
        <v>会</v>
      </c>
      <c r="Q109" s="45">
        <f t="shared" ca="1" si="85"/>
        <v>2.2624828854998791</v>
      </c>
      <c r="R109" s="117">
        <f ca="1">模拟模式!$E$20*(1-IF(模拟模式!$J$19="有",0.15,0))*(1-IF(模拟模式!$K$19="有",0.3,0)-IF(CQ109,0.5,0))</f>
        <v>843.02999999999975</v>
      </c>
      <c r="S109" s="45">
        <f ca="1">R109/(R109+(185*模拟模式!$E$22-16800)*4.08224)</f>
        <v>8.389626085980037E-2</v>
      </c>
      <c r="T109" s="45" t="str">
        <f ca="1">LOOKUP(D109,'模拟-单技能数据'!$A$2:$A$19,'模拟-单技能数据'!$H$2:$H$19)</f>
        <v>阳</v>
      </c>
      <c r="U109" s="119">
        <f t="shared" ca="1" si="86"/>
        <v>0.2</v>
      </c>
      <c r="V109" s="47">
        <f ca="1">(1+L109)*(LOOKUP(D109,'模拟-单技能数据'!$A$2:$A$19,'模拟-单技能数据'!$D$2:$D$19)+G109*LOOKUP(D109,'模拟-单技能数据'!$A$2:$A$19,'模拟-单技能数据'!$F$2:$F$19))*(1+J109)*(1+K109)*(1-S109)*(1+U109)*Q109*LOOKUP(D109,'模拟-单技能数据'!$A$2:$A$19,'模拟-单技能数据'!$I$2:$I$20)</f>
        <v>110129.64280298242</v>
      </c>
      <c r="W109" s="47">
        <f ca="1">LOOKUP(D109,'模拟-单技能数据'!$A$2:$A$19,'模拟-单技能数据'!$G$2:$G$19)*$I$10</f>
        <v>361.51064354704795</v>
      </c>
      <c r="X109" s="47">
        <f t="shared" ca="1" si="87"/>
        <v>25101.867467669974</v>
      </c>
      <c r="Y109" s="47">
        <f t="shared" ca="1" si="88"/>
        <v>135593.02091419944</v>
      </c>
      <c r="Z109" s="49">
        <f t="shared" ca="1" si="89"/>
        <v>8368147.7202833276</v>
      </c>
      <c r="AA109" s="97">
        <f t="shared" ca="1" si="90"/>
        <v>110623.93707823823</v>
      </c>
      <c r="AB109" s="115">
        <f ca="1">IF(OR(C109="赤日轮1",C109="赤日轮2",C109="赤日轮3"),IF(RAND()&lt;模拟模式!$Y$17,1,0),IF(OR(C109="幽月轮1",C109="幽月轮2",C109="幽月轮3"),IF(RAND()&lt;模拟模式!$Y$18,1,0),IF(C109="烈日斩",IF(RAND()&lt;模拟模式!$Y$19,1,0),IF(C109="银月斩",IF(RAND()&lt;模拟模式!$Y$20,1,0),IF(C109="驱夜断愁",IF(RAND()&lt;模拟模式!$Y$21,1,0),IF(C109="净世破魔击·日",IF(RAND()&lt;模拟模式!$Y$22,1,0),IF(C109="净世破魔击·月",IF(RAND()&lt;模拟模式!$Y$23,1,0),0)))))))</f>
        <v>1</v>
      </c>
      <c r="AC109" s="115" t="b">
        <f t="shared" ca="1" si="67"/>
        <v>0</v>
      </c>
      <c r="AD109" s="115" t="b">
        <f t="shared" ca="1" si="118"/>
        <v>0</v>
      </c>
      <c r="AE109" s="115">
        <f t="shared" ca="1" si="119"/>
        <v>5</v>
      </c>
      <c r="AF109" s="47">
        <f ca="1">IF(AC109,('模拟-单技能数据'!$D$20+G109*'模拟-单技能数据'!$F$20)*(1+J109)*(1+'模拟-单技能数据'!$J$20)*(1+U109),0)</f>
        <v>0</v>
      </c>
      <c r="AG109" s="61">
        <f t="shared" ca="1" si="91"/>
        <v>0.64185145527300214</v>
      </c>
      <c r="AH109" s="61">
        <f t="shared" ca="1" si="92"/>
        <v>2.2624828854998791</v>
      </c>
      <c r="AI109" s="62">
        <f t="shared" ca="1" si="93"/>
        <v>0.53343449967786594</v>
      </c>
      <c r="AJ109" s="47">
        <f ca="1">IF(AD109,IF(AI109&lt;$F$10,0,IF(AI109&lt;$F$10+$F$11,0.25,IF(AI109&lt;$F$10+$F$11+AG109,AH109,1)))*IF(AF109&gt;0,AF109,IF(AF108&gt;0,AF108,IF(AF107&gt;0,AF107,IF(AF106&gt;0,AF106,IF(AF105&gt;0,AF105,IF(AF104&gt;0,AF104,IF(AF103&gt;0,AF103,IF(AF102&gt;0,AF102,IF(AF101&gt;0,AF101,IF(AF99&gt;0,AF99,IF(AF98&gt;0,AF98,IF(AF97&gt;0,AF97,0)))))))))))),0)*(1-$S109)*'模拟-单技能数据'!$I$20</f>
        <v>0</v>
      </c>
      <c r="AK109" s="115" t="b">
        <f t="shared" ca="1" si="68"/>
        <v>0</v>
      </c>
      <c r="AL109" s="115" t="b">
        <f t="shared" ca="1" si="120"/>
        <v>1</v>
      </c>
      <c r="AM109" s="115">
        <f t="shared" ca="1" si="121"/>
        <v>3</v>
      </c>
      <c r="AN109" s="47">
        <f ca="1">IF(AK109,('模拟-单技能数据'!$D$21+G109*'模拟-单技能数据'!$F$21)*(1+J109)*(1+'模拟-单技能数据'!$J$21)*(1+U109),0)</f>
        <v>0</v>
      </c>
      <c r="AO109" s="61">
        <f ca="1">IF(AN109&gt;0,M109-'模拟-单技能数据'!$K$10,AO108)</f>
        <v>0.42185145527300216</v>
      </c>
      <c r="AP109" s="61">
        <f ca="1">IF(AN109&gt;0,I109-'模拟-单技能数据'!$L$10,AP108)</f>
        <v>2.162482885499879</v>
      </c>
      <c r="AQ109" s="63">
        <f t="shared" ca="1" si="94"/>
        <v>0.29948519676865637</v>
      </c>
      <c r="AR109" s="64">
        <f ca="1">IF(AL109,IF(AQ109&lt;$F$10,0,IF(AQ109&lt;$F$10+$F$11,0.25,IF(AQ109&lt;$F$10+$F$11+AO109,AP109,1)))*IF(AN109&gt;0,AN109,IF(AN108&gt;0,AN108,IF(AN107&gt;0,AN107,IF(AN106&gt;0,AN106,IF(AN105&gt;0,AN105,IF(AN104&gt;0,AN104,IF(AN103&gt;0,AN103,IF(AN102&gt;0,AN102,IF(AN101&gt;0,AN101,IF(AN99&gt;0,AN99,IF(AN98&gt;0,AN98,IF(AN97&gt;0,AN97,0)))))))))))),0)*(1-$S109)*'模拟-单技能数据'!$I$21</f>
        <v>25101.867467669974</v>
      </c>
      <c r="AS109" s="61">
        <f ca="1">IF(OR(C109="净世破魔击·日",C109="净世破魔击·月"),M109-'模拟-单技能数据'!$K$10,0)</f>
        <v>0</v>
      </c>
      <c r="AT109" s="61">
        <f ca="1">IF(OR(C109="净世破魔击·日",C109="净世破魔击·月"),I109-'模拟-单技能数据'!$L$10,0)</f>
        <v>0</v>
      </c>
      <c r="AU109" s="62">
        <f t="shared" ca="1" si="95"/>
        <v>0.28490042045051589</v>
      </c>
      <c r="AV109" s="64">
        <f ca="1">IF(AS109&gt;0,('模拟-单技能数据'!$D$22+G109*'模拟-单技能数据'!$F$22)*(1+J109)*(1-S109)*IF(AU109&lt;$F$10,0,IF(AU109&lt;$F$10+$F$11,0.25,IF(AU109&lt;$F$10+$F$11+AS109,AT109,1)))*(1+U109),0)*'模拟-单技能数据'!$I$22</f>
        <v>0</v>
      </c>
      <c r="AW109" s="108">
        <f t="shared" ca="1" si="96"/>
        <v>1.5500000000000065</v>
      </c>
      <c r="AX109" s="108" t="b">
        <f ca="1">AND(模拟模式!$P$10="有",AW108=0,RAND()&lt;IF(C109="净世破魔击·月",0.1*8/3,IF(C109="净世破魔击·日",0.1*4/3,0.1*2/3)))</f>
        <v>0</v>
      </c>
      <c r="AY109" s="47">
        <f ca="1">IF(AX109,(18+G109*0.722)*(1+J109)*(1-S109)*(1+$I$4)*IF(P109="会",'模拟-全程加成'!$J$3+'模拟-全程加成'!$J$4+'模拟-全程加成'!$J$5+('模拟-全程加成'!$I$4+'模拟-全程加成'!$I$5)/系数!$B$4+BG109*10%,IF(P109="命",1,IF(P109="识",0.25,0))),0)</f>
        <v>0</v>
      </c>
      <c r="AZ109" s="108">
        <f t="shared" si="97"/>
        <v>5.2400000000000064</v>
      </c>
      <c r="BA109" s="108" t="b">
        <f>AND(模拟模式!$Q$10="有",AZ108=0)</f>
        <v>0</v>
      </c>
      <c r="BB109" s="140">
        <f>IF(BA109,(0+G109*0.287)*(1+J109)*(1-S109)*(1+$I$4)*IF(P109="会",'模拟-全程加成'!$J$3+'模拟-全程加成'!$J$4+'模拟-全程加成'!$J$5+('模拟-全程加成'!$I$4+'模拟-全程加成'!$I$5)/系数!$B$4+BG109*10%,IF(P109="命",1,IF(P109="识",0.25,0))),0)</f>
        <v>0</v>
      </c>
      <c r="BC109" s="115" t="b">
        <f ca="1">AND(模拟模式!$R$7="伏明众生",E109=60,F109=20,DA109&lt;5,CZ108&lt;$F$4)</f>
        <v>0</v>
      </c>
      <c r="BD109" s="115">
        <f t="shared" ca="1" si="69"/>
        <v>0</v>
      </c>
      <c r="BE109" s="115" t="b">
        <f t="shared" ca="1" si="70"/>
        <v>0</v>
      </c>
      <c r="BF109" s="47">
        <f ca="1">IF(BC109,4*('模拟-单技能数据'!$D$24+G109*'模拟-单技能数据'!$F$24)*(1+J109)*(1+'模拟-单技能数据'!$J$24)*(1-S109)*(1+$I$3)*(('模拟-全程加成'!$J$3+'模拟-全程加成'!$J$4+'模拟-全程加成'!$J$5+('模拟-全程加成'!$I$4+'模拟-全程加成'!$I$5)/系数!$B$4+BG109*10%)*('模拟-全程加成'!$J$3+'模拟-全程加成'!$J$4+'模拟-全程加成'!$J$5+('模拟-全程加成'!$I$4+'模拟-全程加成'!$I$5)/系数!$B$4+BG109*10%)+(1-('模拟-全程加成'!$J$3+'模拟-全程加成'!$J$4+'模拟-全程加成'!$J$5+('模拟-全程加成'!$I$4+'模拟-全程加成'!$I$5)/系数!$B$4+BG109*10%)-$F$10-$F$11)+F95*0.25),0)*'模拟-单技能数据'!$I$24</f>
        <v>0</v>
      </c>
      <c r="BG109" s="115" t="b">
        <f ca="1">OR(AND(OR(C109="烈日斩",C109="银月斩"),模拟模式!$I$7="净身明礼"),AND(C109="净世破魔击·日",模拟模式!$J$7="洞若观火"),AND(C110="净世破魔击·月",模拟模式!$J$7="洞若观火"),AB109=1)</f>
        <v>1</v>
      </c>
      <c r="BH109" s="115" t="b">
        <f t="shared" ca="1" si="98"/>
        <v>0</v>
      </c>
      <c r="BI109" s="115">
        <f t="shared" ca="1" si="71"/>
        <v>0</v>
      </c>
      <c r="BJ109" s="115" t="b">
        <f t="shared" ca="1" si="99"/>
        <v>0</v>
      </c>
      <c r="BK109" s="115" t="b">
        <f ca="1">AND(C109="驱夜断愁",模拟模式!$P$7="天地诛戮")</f>
        <v>0</v>
      </c>
      <c r="BL109" s="57">
        <f t="shared" ca="1" si="72"/>
        <v>19.077500000000001</v>
      </c>
      <c r="BM109" s="115" t="b">
        <f t="shared" ca="1" si="100"/>
        <v>1</v>
      </c>
      <c r="BN109" s="115" t="b">
        <f ca="1">AND(OR(C109="赤日轮1",C109="赤日轮2",C109="赤日轮3",C109="幽月轮1",C109="幽月轮2",C109="幽月轮3"),AB109=1,模拟模式!$L$7="明光恒照")</f>
        <v>0</v>
      </c>
      <c r="BO109" s="117">
        <f t="shared" ca="1" si="73"/>
        <v>24.465000000000003</v>
      </c>
      <c r="BP109" s="115">
        <f t="shared" ca="1" si="101"/>
        <v>6</v>
      </c>
      <c r="BQ109" s="115" t="b">
        <f>模拟模式!$K$10="2600·水"</f>
        <v>0</v>
      </c>
      <c r="BR109" s="117">
        <f t="shared" si="102"/>
        <v>0</v>
      </c>
      <c r="BS109" s="115">
        <f t="shared" si="103"/>
        <v>0</v>
      </c>
      <c r="BT109" s="115">
        <f t="shared" ca="1" si="104"/>
        <v>0</v>
      </c>
      <c r="BU109" s="115" t="b">
        <f ca="1">AND(模拟模式!$K$10="2300·雷",BT108=0,RAND()&lt;IF(C109="净世破魔击·月",5*0.05*2/3,IF(C109="净世破魔击·日",3*0.05*2/3,0.05*2*2/3)))</f>
        <v>0</v>
      </c>
      <c r="BV109" s="115">
        <f t="shared" ca="1" si="105"/>
        <v>0</v>
      </c>
      <c r="BW109" s="115">
        <f t="shared" ca="1" si="106"/>
        <v>109.88999999999925</v>
      </c>
      <c r="BX109" s="164" t="b">
        <f t="shared" ca="1" si="107"/>
        <v>0</v>
      </c>
      <c r="BY109" s="115">
        <f t="shared" ca="1" si="108"/>
        <v>0</v>
      </c>
      <c r="BZ109" s="115">
        <f>IF(OR(模拟模式!$P$16="10人团",模拟模式!$P$16="25人团"),IF(B109/30&gt;CA108,1,0),0)</f>
        <v>0</v>
      </c>
      <c r="CA109" s="115">
        <f t="shared" si="74"/>
        <v>0</v>
      </c>
      <c r="CB109" s="115">
        <f ca="1">IF(BZ109=1,IF(模拟模式!$P$16="10人团",15,0)+IF(模拟模式!$P$16="25人团",IF(RAND()&lt;0.6,15,0)),MAX(0,CB108-$F$4))</f>
        <v>0</v>
      </c>
      <c r="CC109" s="115" t="b">
        <f t="shared" ca="1" si="109"/>
        <v>0</v>
      </c>
      <c r="CD109" s="115">
        <f>IF(模拟模式!$Q$16="1个",IF(B109/40&gt;CE108,1,0),0)</f>
        <v>0</v>
      </c>
      <c r="CE109" s="115">
        <f t="shared" si="110"/>
        <v>0</v>
      </c>
      <c r="CF109" s="115">
        <f>IF(OR(CD109=1,模拟模式!$Q$16="2个"),20,MAX(0,CF108-$F$4))</f>
        <v>0</v>
      </c>
      <c r="CG109" s="115" t="b">
        <f t="shared" si="111"/>
        <v>0</v>
      </c>
      <c r="CH109" s="115">
        <f t="shared" ca="1" si="112"/>
        <v>23.542500000000004</v>
      </c>
      <c r="CI109" s="115" t="b">
        <f t="shared" ca="1" si="113"/>
        <v>0</v>
      </c>
      <c r="CJ109" s="119">
        <f t="shared" ca="1" si="114"/>
        <v>0.05</v>
      </c>
      <c r="CK109" s="115">
        <f t="shared" ca="1" si="115"/>
        <v>1.5424999999999991</v>
      </c>
      <c r="CL109" s="115" t="b">
        <f ca="1">AND(模拟模式!$S$7="驱夷逐法",OR(AND(C109="净世破魔击·月",E108&gt;59),AND(C109="净世破魔击·日",F108&gt;59)))</f>
        <v>0</v>
      </c>
      <c r="CM109" s="115" t="b">
        <f ca="1">OR(CL109,AND(C109="净世破魔击·日",CL108,RAND()&lt;模拟模式!$U$23))</f>
        <v>0</v>
      </c>
      <c r="CN109" s="115" t="b">
        <f ca="1">IF(模拟模式!$M$7="辉耀红尘",AND(C109="净世破魔击·月",CL109,CV109=0,E108&lt;80),AND(C109="净世破魔击·月",CL109,E108&lt;100))</f>
        <v>0</v>
      </c>
      <c r="CO109" s="115" t="b">
        <f t="shared" ca="1" si="75"/>
        <v>0</v>
      </c>
      <c r="CP109" s="115" t="b">
        <f ca="1">AND(模拟模式!$O$7="用晦而明",OR(C109="净世破魔击·日",C109="净世破魔击·月",C109="驱夜断愁"),AB109)</f>
        <v>0</v>
      </c>
      <c r="CQ109" s="115" t="b">
        <f ca="1">OR(CP109,AND(CP108,RAND()&lt;模拟模式!$U$23))</f>
        <v>1</v>
      </c>
      <c r="CR109" s="115" t="b">
        <f ca="1">AND(模拟模式!$S$7="日月齐光",OR(C109="幽月轮1",C109="幽月轮2",C109="幽月轮3",CR108),NOT(OR(C109="赤日轮1",C109="赤日轮2",C109="赤日轮3")))</f>
        <v>0</v>
      </c>
      <c r="CS109" s="115" t="b">
        <f ca="1">AND(模拟模式!$S$7="日月齐光",OR(C109="赤日轮1",C109="赤日轮2",C109="赤日轮3",CS108),NOT(OR(C109="幽月轮1",C109="幽月轮2",C109="幽月轮3")))</f>
        <v>0</v>
      </c>
      <c r="CT109" s="115">
        <f t="shared" ca="1" si="116"/>
        <v>14.31750000000001</v>
      </c>
      <c r="CU109" s="115" t="b">
        <f ca="1">AND(模拟模式!$K$10="阴阳往极",CT108=0,RAND()&lt;IF(C109="净世破魔击·月",0.0275*7/3,IF(C109="净世破魔击·日",0.0275*3/3,0.0275*2/3)))</f>
        <v>0</v>
      </c>
      <c r="CV109" s="115">
        <f t="shared" ca="1" si="117"/>
        <v>0</v>
      </c>
      <c r="CW109" s="115">
        <f t="shared" ca="1" si="76"/>
        <v>6</v>
      </c>
      <c r="CX109" s="115">
        <f t="shared" ca="1" si="77"/>
        <v>4.1549999999999994</v>
      </c>
      <c r="CY109" s="115">
        <f ca="1">MAX(IF($C109="驱夜断愁",IF(模拟模式!$R$7="万念俱寂",6,45),CY108-$F$4),0)</f>
        <v>5.0774999999999997</v>
      </c>
      <c r="CZ109" s="115">
        <f t="shared" ca="1" si="78"/>
        <v>0</v>
      </c>
      <c r="DA109" s="115">
        <f ca="1">IF(模拟模式!$N$7="日月同辉",IF(DB108=2,0,MIN(6,IF(AND(OR(C109="赤日轮1",C109="赤日轮2",C109="赤日轮3",C109="幽月轮1",C109="幽月轮2",C109="幽月轮3"),AB109=1),DA108+1,DA108))),0)</f>
        <v>0</v>
      </c>
      <c r="DB109" s="115">
        <f t="shared" ca="1" si="79"/>
        <v>0</v>
      </c>
      <c r="DD109" s="115"/>
      <c r="DE109" s="115"/>
      <c r="DF109" s="115"/>
      <c r="DG109" s="115"/>
      <c r="DH109" s="115"/>
      <c r="DI109" s="115"/>
      <c r="DJ109" s="115"/>
      <c r="DK109" s="115"/>
      <c r="DL109" s="115"/>
      <c r="DM109" s="115"/>
    </row>
    <row r="110" spans="2:117" x14ac:dyDescent="0.2">
      <c r="B110" s="117">
        <f t="shared" si="80"/>
        <v>76.567499999999967</v>
      </c>
      <c r="C110" s="167" t="str">
        <f t="shared" ca="1" si="66"/>
        <v>幽月轮1</v>
      </c>
      <c r="D110" s="115">
        <f ca="1">IF(C110="赤日轮1",1,IF(C110="赤日轮2",2,IF(C110="赤日轮3",3,IF(C110="幽月轮1",4,IF(C110="幽月轮2",5,IF(C110="幽月轮3",6,IF(C110="烈日斩",7,IF(C110="银月斩",8,IF(C110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110="净世破魔击·月",17,IF(C110="驱夜断愁",18,0)))))))))))</f>
        <v>4</v>
      </c>
      <c r="E110" s="115">
        <f ca="1">IF(AND(CU110,OR(C110="幽月轮1",C110="幽月轮2",C110="幽月轮3",C110="银月斩",C110="驱夜断愁",C110="净世破魔击·月")),100,MIN(IF(OR(CN110,BE110),0,IF(OR($C110="赤日轮1",$C110="赤日轮2",$C110="赤日轮3"),E109+20+IF(模拟模式!$I$7="日月凌天",4,0)+IF(CR109,20,0),IF($C110="烈日斩",E109+40,IF($C110="驱夜断愁",IF(模拟模式!$R$7="万念俱寂",E109+20,E109+60),IF($C110="净世破魔击·月",IF(OR(DB109&gt;0,CV109&gt;0),100,IF(模拟模式!$M$7="辉耀红尘",E109+20,E109)),IF($C110="净世破魔击·日",E109-100,E109)))))),100))</f>
        <v>80</v>
      </c>
      <c r="F110" s="115">
        <f ca="1">IF(AND(CU110,OR(C110="赤日轮1",C110="赤日轮2",C110="赤日轮3",C110="烈日斩",C110="净世破魔击·日")),100,MIN(IF(CO110,0,IF(OR($C110="幽月轮1",$C110="幽月轮2",$C110="幽月轮3"),F109+20+IF(模拟模式!$I$7="日月凌天",4,0)+IF(CS109,20,0),IF($C110="银月斩",F109+40+IF(模拟模式!$X$12=1,5,0),IF($C110="驱夜断愁",IF(模拟模式!$R$7="万念俱寂",F109+20,F109+60),IF($C110="净世破魔击·月",IF(模拟模式!$M$7="辉耀红尘",F109-80,F109-100),IF(AND(C110="净世破魔击·日",OR(DB109&gt;0,CV109&gt;0)),100,F109)))))),100))</f>
        <v>100</v>
      </c>
      <c r="G110" s="117">
        <f ca="1">('模拟-全程加成'!$E$3+'模拟-全程加成'!$E$4+'模拟-全程加成'!$E$5+('模拟-全程加成'!$C$6-'模拟-全程加成'!$C$3)*系数!$B$9+BS110*23)*(1+'模拟-全程加成'!$F$4+'模拟-全程加成'!$F$5+BJ110*10%+BM110*20%+BP110*4%+CG110*30%)+$F$7*系数!$B$12</f>
        <v>20583.127400000001</v>
      </c>
      <c r="H110" s="45">
        <f ca="1">'模拟-全程加成'!$H$3+'模拟-全程加成'!$H$4+'模拟-全程加成'!$H$5+('模拟-全程加成'!$G$4+'模拟-全程加成'!$G$5+('模拟-全程加成'!$C$6-'模拟-全程加成'!$C$3)*系数!$B$13)/系数!$B$3+LOOKUP(D110,'模拟-单技能数据'!$A$2:$A$19,'模拟-单技能数据'!$K$2:$K$19)+BG110*10%+IF(BV110&gt;0,378,0)</f>
        <v>0.51185145527300213</v>
      </c>
      <c r="I110" s="45">
        <f ca="1">'模拟-全程加成'!$J$3+'模拟-全程加成'!$J$4+'模拟-全程加成'!$J$5+('模拟-全程加成'!$I$4+'模拟-全程加成'!$I$5)/系数!$B$4+LOOKUP(D110,'模拟-单技能数据'!$A$2:$A$19,'模拟-单技能数据'!$L$2:$L$19)+BG110*10%</f>
        <v>2.162482885499879</v>
      </c>
      <c r="J110" s="45">
        <f ca="1">(('模拟-全程加成'!$K$3+'模拟-全程加成'!$K$4+'模拟-全程加成'!$K$5+('模拟-全程加成'!$C$6-'模拟-全程加成'!$C$3)*系数!$B$10+IF(BV110&gt;0,882,0)+IF(BY110&gt;0,1831,0))*(1+'模拟-全程加成'!$L$4+'模拟-全程加成'!$L$5+CC110*20%))/系数!$B$5</f>
        <v>0.69723220422048726</v>
      </c>
      <c r="K110" s="119">
        <f ca="1">LOOKUP(D110,'模拟-单技能数据'!$A$2:$A$19,'模拟-单技能数据'!$J$2:$J$19)+IF(CM110,60%,0)+IF(DB109-DB110&gt;0,30%,0)+IF(OR(AND(OR(C110="赤日轮1",C110="赤日轮2",C110="赤日轮3"),CR110),AND(OR(C110="幽月轮1",C110="幽月轮2",C110="幽月轮3"),CS110)),35%,0)+CJ110</f>
        <v>0.12000000000000001</v>
      </c>
      <c r="L110" s="119">
        <f ca="1">IF(AND(C110="烈日斩",模拟模式!$X$11=1),10%,0)+IF(AND(C110="驱夜断愁",AB110=1),30%,0)</f>
        <v>0</v>
      </c>
      <c r="M110" s="45">
        <f t="shared" ca="1" si="81"/>
        <v>0.51185145527300213</v>
      </c>
      <c r="N110" s="45">
        <f t="shared" ca="1" si="82"/>
        <v>0.43424854472699792</v>
      </c>
      <c r="O110" s="46">
        <f t="shared" ca="1" si="83"/>
        <v>0.80483463447665438</v>
      </c>
      <c r="P110" s="46" t="str">
        <f t="shared" ca="1" si="84"/>
        <v>命</v>
      </c>
      <c r="Q110" s="45">
        <f t="shared" ca="1" si="85"/>
        <v>1</v>
      </c>
      <c r="R110" s="117">
        <f ca="1">模拟模式!$E$20*(1-IF(模拟模式!$J$19="有",0.15,0))*(1-IF(模拟模式!$K$19="有",0.3,0)-IF(CQ110,0.5,0))</f>
        <v>2950.6049999999996</v>
      </c>
      <c r="S110" s="45">
        <f ca="1">R110/(R110+(185*模拟模式!$E$22-16800)*4.08224)</f>
        <v>0.24272716014590323</v>
      </c>
      <c r="T110" s="45" t="str">
        <f ca="1">LOOKUP(D110,'模拟-单技能数据'!$A$2:$A$19,'模拟-单技能数据'!$H$2:$H$19)</f>
        <v>阴</v>
      </c>
      <c r="U110" s="119">
        <f t="shared" ca="1" si="86"/>
        <v>0.08</v>
      </c>
      <c r="V110" s="47">
        <f ca="1">(1+L110)*(LOOKUP(D110,'模拟-单技能数据'!$A$2:$A$19,'模拟-单技能数据'!$D$2:$D$19)+G110*LOOKUP(D110,'模拟-单技能数据'!$A$2:$A$19,'模拟-单技能数据'!$F$2:$F$19))*(1+J110)*(1+K110)*(1-S110)*(1+U110)*Q110*LOOKUP(D110,'模拟-单技能数据'!$A$2:$A$19,'模拟-单技能数据'!$I$2:$I$20)</f>
        <v>16984.452800333162</v>
      </c>
      <c r="W110" s="47">
        <f ca="1">LOOKUP(D110,'模拟-单技能数据'!$A$2:$A$19,'模拟-单技能数据'!$G$2:$G$19)*$I$10</f>
        <v>361.51064354704795</v>
      </c>
      <c r="X110" s="47">
        <f t="shared" ca="1" si="87"/>
        <v>7620.5875385322679</v>
      </c>
      <c r="Y110" s="47">
        <f t="shared" ca="1" si="88"/>
        <v>24966.550982412478</v>
      </c>
      <c r="Z110" s="49">
        <f t="shared" ca="1" si="89"/>
        <v>8393114.2712657396</v>
      </c>
      <c r="AA110" s="97">
        <f t="shared" ca="1" si="90"/>
        <v>109617.19099181432</v>
      </c>
      <c r="AB110" s="115">
        <f ca="1">IF(OR(C110="赤日轮1",C110="赤日轮2",C110="赤日轮3"),IF(RAND()&lt;模拟模式!$Y$17,1,0),IF(OR(C110="幽月轮1",C110="幽月轮2",C110="幽月轮3"),IF(RAND()&lt;模拟模式!$Y$18,1,0),IF(C110="烈日斩",IF(RAND()&lt;模拟模式!$Y$19,1,0),IF(C110="银月斩",IF(RAND()&lt;模拟模式!$Y$20,1,0),IF(C110="驱夜断愁",IF(RAND()&lt;模拟模式!$Y$21,1,0),IF(C110="净世破魔击·日",IF(RAND()&lt;模拟模式!$Y$22,1,0),IF(C110="净世破魔击·月",IF(RAND()&lt;模拟模式!$Y$23,1,0),0)))))))</f>
        <v>1</v>
      </c>
      <c r="AC110" s="115" t="b">
        <f t="shared" ca="1" si="67"/>
        <v>0</v>
      </c>
      <c r="AD110" s="115" t="b">
        <f t="shared" ca="1" si="118"/>
        <v>1</v>
      </c>
      <c r="AE110" s="115">
        <f t="shared" ca="1" si="119"/>
        <v>4</v>
      </c>
      <c r="AF110" s="47">
        <f ca="1">IF(AC110,('模拟-单技能数据'!$D$20+G110*'模拟-单技能数据'!$F$20)*(1+J110)*(1+'模拟-单技能数据'!$J$20)*(1+U110),0)</f>
        <v>0</v>
      </c>
      <c r="AG110" s="61">
        <f t="shared" ca="1" si="91"/>
        <v>0.64185145527300214</v>
      </c>
      <c r="AH110" s="61">
        <f t="shared" ca="1" si="92"/>
        <v>2.2624828854998791</v>
      </c>
      <c r="AI110" s="62">
        <f t="shared" ca="1" si="93"/>
        <v>0.48360907972204037</v>
      </c>
      <c r="AJ110" s="47">
        <f ca="1">IF(AD110,IF(AI110&lt;$F$10,0,IF(AI110&lt;$F$10+$F$11,0.25,IF(AI110&lt;$F$10+$F$11+AG110,AH110,1)))*IF(AF110&gt;0,AF110,IF(AF109&gt;0,AF109,IF(AF108&gt;0,AF108,IF(AF107&gt;0,AF107,IF(AF106&gt;0,AF106,IF(AF105&gt;0,AF105,IF(AF104&gt;0,AF104,IF(AF103&gt;0,AF103,IF(AF102&gt;0,AF102,IF(AF100&gt;0,AF100,IF(AF99&gt;0,AF99,IF(AF98&gt;0,AF98,0)))))))))))),0)*(1-$S110)*'模拟-单技能数据'!$I$20</f>
        <v>7620.5875385322679</v>
      </c>
      <c r="AK110" s="115" t="b">
        <f t="shared" ca="1" si="68"/>
        <v>0</v>
      </c>
      <c r="AL110" s="115" t="b">
        <f t="shared" ca="1" si="120"/>
        <v>0</v>
      </c>
      <c r="AM110" s="115">
        <f t="shared" ca="1" si="121"/>
        <v>3</v>
      </c>
      <c r="AN110" s="47">
        <f ca="1">IF(AK110,('模拟-单技能数据'!$D$21+G110*'模拟-单技能数据'!$F$21)*(1+J110)*(1+'模拟-单技能数据'!$J$21)*(1+U110),0)</f>
        <v>0</v>
      </c>
      <c r="AO110" s="61">
        <f ca="1">IF(AN110&gt;0,M110-'模拟-单技能数据'!$K$10,AO109)</f>
        <v>0.42185145527300216</v>
      </c>
      <c r="AP110" s="61">
        <f ca="1">IF(AN110&gt;0,I110-'模拟-单技能数据'!$L$10,AP109)</f>
        <v>2.162482885499879</v>
      </c>
      <c r="AQ110" s="63">
        <f t="shared" ca="1" si="94"/>
        <v>3.2480224587544404E-3</v>
      </c>
      <c r="AR110" s="64">
        <f ca="1">IF(AL110,IF(AQ110&lt;$F$10,0,IF(AQ110&lt;$F$10+$F$11,0.25,IF(AQ110&lt;$F$10+$F$11+AO110,AP110,1)))*IF(AN110&gt;0,AN110,IF(AN109&gt;0,AN109,IF(AN108&gt;0,AN108,IF(AN107&gt;0,AN107,IF(AN106&gt;0,AN106,IF(AN105&gt;0,AN105,IF(AN104&gt;0,AN104,IF(AN103&gt;0,AN103,IF(AN102&gt;0,AN102,IF(AN100&gt;0,AN100,IF(AN99&gt;0,AN99,IF(AN98&gt;0,AN98,0)))))))))))),0)*(1-$S110)*'模拟-单技能数据'!$I$21</f>
        <v>0</v>
      </c>
      <c r="AS110" s="61">
        <f ca="1">IF(OR(C110="净世破魔击·日",C110="净世破魔击·月"),M110-'模拟-单技能数据'!$K$10,0)</f>
        <v>0</v>
      </c>
      <c r="AT110" s="61">
        <f ca="1">IF(OR(C110="净世破魔击·日",C110="净世破魔击·月"),I110-'模拟-单技能数据'!$L$10,0)</f>
        <v>0</v>
      </c>
      <c r="AU110" s="62">
        <f t="shared" ca="1" si="95"/>
        <v>0.43377815967982203</v>
      </c>
      <c r="AV110" s="64">
        <f ca="1">IF(AS110&gt;0,('模拟-单技能数据'!$D$22+G110*'模拟-单技能数据'!$F$22)*(1+J110)*(1-S110)*IF(AU110&lt;$F$10,0,IF(AU110&lt;$F$10+$F$11,0.25,IF(AU110&lt;$F$10+$F$11+AS110,AT110,1)))*(1+U110),0)*'模拟-单技能数据'!$I$22</f>
        <v>0</v>
      </c>
      <c r="AW110" s="108">
        <f t="shared" ca="1" si="96"/>
        <v>0.6275000000000065</v>
      </c>
      <c r="AX110" s="108" t="b">
        <f ca="1">AND(模拟模式!$P$10="有",AW109=0,RAND()&lt;IF(C110="净世破魔击·月",0.1*8/3,IF(C110="净世破魔击·日",0.1*4/3,0.1*2/3)))</f>
        <v>0</v>
      </c>
      <c r="AY110" s="47">
        <f ca="1">IF(AX110,(18+G110*0.722)*(1+J110)*(1-S110)*(1+$I$4)*IF(P110="会",'模拟-全程加成'!$J$3+'模拟-全程加成'!$J$4+'模拟-全程加成'!$J$5+('模拟-全程加成'!$I$4+'模拟-全程加成'!$I$5)/系数!$B$4+BG110*10%,IF(P110="命",1,IF(P110="识",0.25,0))),0)</f>
        <v>0</v>
      </c>
      <c r="AZ110" s="108">
        <f t="shared" si="97"/>
        <v>4.3175000000000061</v>
      </c>
      <c r="BA110" s="108" t="b">
        <f>AND(模拟模式!$Q$10="有",AZ109=0)</f>
        <v>0</v>
      </c>
      <c r="BB110" s="140">
        <f>IF(BA110,(0+G110*0.287)*(1+J110)*(1-S110)*(1+$I$4)*IF(P110="会",'模拟-全程加成'!$J$3+'模拟-全程加成'!$J$4+'模拟-全程加成'!$J$5+('模拟-全程加成'!$I$4+'模拟-全程加成'!$I$5)/系数!$B$4+BG110*10%,IF(P110="命",1,IF(P110="识",0.25,0))),0)</f>
        <v>0</v>
      </c>
      <c r="BC110" s="115" t="b">
        <f ca="1">AND(模拟模式!$R$7="伏明众生",E110=60,F110=20,DA110&lt;5,CZ109&lt;$F$4)</f>
        <v>0</v>
      </c>
      <c r="BD110" s="115">
        <f t="shared" ca="1" si="69"/>
        <v>0</v>
      </c>
      <c r="BE110" s="115" t="b">
        <f t="shared" ca="1" si="70"/>
        <v>0</v>
      </c>
      <c r="BF110" s="47">
        <f ca="1">IF(BC110,4*('模拟-单技能数据'!$D$24+G110*'模拟-单技能数据'!$F$24)*(1+J110)*(1+'模拟-单技能数据'!$J$24)*(1-S110)*(1+$I$3)*(('模拟-全程加成'!$J$3+'模拟-全程加成'!$J$4+'模拟-全程加成'!$J$5+('模拟-全程加成'!$I$4+'模拟-全程加成'!$I$5)/系数!$B$4+BG110*10%)*('模拟-全程加成'!$J$3+'模拟-全程加成'!$J$4+'模拟-全程加成'!$J$5+('模拟-全程加成'!$I$4+'模拟-全程加成'!$I$5)/系数!$B$4+BG110*10%)+(1-('模拟-全程加成'!$J$3+'模拟-全程加成'!$J$4+'模拟-全程加成'!$J$5+('模拟-全程加成'!$I$4+'模拟-全程加成'!$I$5)/系数!$B$4+BG110*10%)-$F$10-$F$11)+F96*0.25),0)*'模拟-单技能数据'!$I$24</f>
        <v>0</v>
      </c>
      <c r="BG110" s="115" t="b">
        <f ca="1">OR(AND(OR(C110="烈日斩",C110="银月斩"),模拟模式!$I$7="净身明礼"),AND(C110="净世破魔击·日",模拟模式!$J$7="洞若观火"),AND(C111="净世破魔击·月",模拟模式!$J$7="洞若观火"),AB110=1)</f>
        <v>1</v>
      </c>
      <c r="BH110" s="115" t="b">
        <f t="shared" ca="1" si="98"/>
        <v>0</v>
      </c>
      <c r="BI110" s="115">
        <f t="shared" ca="1" si="71"/>
        <v>0</v>
      </c>
      <c r="BJ110" s="115" t="b">
        <f t="shared" ca="1" si="99"/>
        <v>0</v>
      </c>
      <c r="BK110" s="115" t="b">
        <f ca="1">AND(C110="驱夜断愁",模拟模式!$P$7="天地诛戮")</f>
        <v>0</v>
      </c>
      <c r="BL110" s="57">
        <f t="shared" ca="1" si="72"/>
        <v>18.155000000000001</v>
      </c>
      <c r="BM110" s="115" t="b">
        <f t="shared" ca="1" si="100"/>
        <v>1</v>
      </c>
      <c r="BN110" s="115" t="b">
        <f ca="1">AND(OR(C110="赤日轮1",C110="赤日轮2",C110="赤日轮3",C110="幽月轮1",C110="幽月轮2",C110="幽月轮3"),AB110=1,模拟模式!$L$7="明光恒照")</f>
        <v>1</v>
      </c>
      <c r="BO110" s="117">
        <f t="shared" ca="1" si="73"/>
        <v>30</v>
      </c>
      <c r="BP110" s="115">
        <f t="shared" ca="1" si="101"/>
        <v>6</v>
      </c>
      <c r="BQ110" s="115" t="b">
        <f>模拟模式!$K$10="2600·水"</f>
        <v>0</v>
      </c>
      <c r="BR110" s="117">
        <f t="shared" si="102"/>
        <v>0</v>
      </c>
      <c r="BS110" s="115">
        <f t="shared" si="103"/>
        <v>0</v>
      </c>
      <c r="BT110" s="115">
        <f t="shared" ca="1" si="104"/>
        <v>0</v>
      </c>
      <c r="BU110" s="115" t="b">
        <f ca="1">AND(模拟模式!$K$10="2300·雷",BT109=0,RAND()&lt;IF(C110="净世破魔击·月",5*0.05*2/3,IF(C110="净世破魔击·日",3*0.05*2/3,0.05*2*2/3)))</f>
        <v>0</v>
      </c>
      <c r="BV110" s="115">
        <f t="shared" ca="1" si="105"/>
        <v>0</v>
      </c>
      <c r="BW110" s="115">
        <f t="shared" ca="1" si="106"/>
        <v>108.96749999999925</v>
      </c>
      <c r="BX110" s="164" t="b">
        <f t="shared" ca="1" si="107"/>
        <v>0</v>
      </c>
      <c r="BY110" s="115">
        <f t="shared" ca="1" si="108"/>
        <v>0</v>
      </c>
      <c r="BZ110" s="115">
        <f>IF(OR(模拟模式!$P$16="10人团",模拟模式!$P$16="25人团"),IF(B110/30&gt;CA109,1,0),0)</f>
        <v>0</v>
      </c>
      <c r="CA110" s="115">
        <f t="shared" si="74"/>
        <v>0</v>
      </c>
      <c r="CB110" s="115">
        <f ca="1">IF(BZ110=1,IF(模拟模式!$P$16="10人团",15,0)+IF(模拟模式!$P$16="25人团",IF(RAND()&lt;0.6,15,0)),MAX(0,CB109-$F$4))</f>
        <v>0</v>
      </c>
      <c r="CC110" s="115" t="b">
        <f t="shared" ca="1" si="109"/>
        <v>0</v>
      </c>
      <c r="CD110" s="115">
        <f>IF(模拟模式!$Q$16="1个",IF(B110/40&gt;CE109,1,0),0)</f>
        <v>0</v>
      </c>
      <c r="CE110" s="115">
        <f t="shared" si="110"/>
        <v>0</v>
      </c>
      <c r="CF110" s="115">
        <f>IF(OR(CD110=1,模拟模式!$Q$16="2个"),20,MAX(0,CF109-$F$4))</f>
        <v>0</v>
      </c>
      <c r="CG110" s="115" t="b">
        <f t="shared" si="111"/>
        <v>0</v>
      </c>
      <c r="CH110" s="115">
        <f t="shared" ca="1" si="112"/>
        <v>22.620000000000005</v>
      </c>
      <c r="CI110" s="115" t="b">
        <f t="shared" ca="1" si="113"/>
        <v>0</v>
      </c>
      <c r="CJ110" s="119">
        <f t="shared" ca="1" si="114"/>
        <v>0.05</v>
      </c>
      <c r="CK110" s="115">
        <f t="shared" ca="1" si="115"/>
        <v>0.61999999999999911</v>
      </c>
      <c r="CL110" s="115" t="b">
        <f ca="1">AND(模拟模式!$S$7="驱夷逐法",OR(AND(C110="净世破魔击·月",E109&gt;59),AND(C110="净世破魔击·日",F109&gt;59)))</f>
        <v>0</v>
      </c>
      <c r="CM110" s="115" t="b">
        <f ca="1">OR(CL110,AND(C110="净世破魔击·日",CL109,RAND()&lt;模拟模式!$U$23))</f>
        <v>0</v>
      </c>
      <c r="CN110" s="115" t="b">
        <f ca="1">IF(模拟模式!$M$7="辉耀红尘",AND(C110="净世破魔击·月",CL110,CV110=0,E109&lt;80),AND(C110="净世破魔击·月",CL110,E109&lt;100))</f>
        <v>0</v>
      </c>
      <c r="CO110" s="115" t="b">
        <f t="shared" ca="1" si="75"/>
        <v>0</v>
      </c>
      <c r="CP110" s="115" t="b">
        <f ca="1">AND(模拟模式!$O$7="用晦而明",OR(C110="净世破魔击·日",C110="净世破魔击·月",C110="驱夜断愁"),AB110)</f>
        <v>0</v>
      </c>
      <c r="CQ110" s="115" t="b">
        <f ca="1">OR(CP110,AND(CP109,RAND()&lt;模拟模式!$U$23))</f>
        <v>0</v>
      </c>
      <c r="CR110" s="115" t="b">
        <f ca="1">AND(模拟模式!$S$7="日月齐光",OR(C110="幽月轮1",C110="幽月轮2",C110="幽月轮3",CR109),NOT(OR(C110="赤日轮1",C110="赤日轮2",C110="赤日轮3")))</f>
        <v>0</v>
      </c>
      <c r="CS110" s="115" t="b">
        <f ca="1">AND(模拟模式!$S$7="日月齐光",OR(C110="赤日轮1",C110="赤日轮2",C110="赤日轮3",CS109),NOT(OR(C110="幽月轮1",C110="幽月轮2",C110="幽月轮3")))</f>
        <v>0</v>
      </c>
      <c r="CT110" s="115">
        <f t="shared" ca="1" si="116"/>
        <v>13.39500000000001</v>
      </c>
      <c r="CU110" s="115" t="b">
        <f ca="1">AND(模拟模式!$K$10="阴阳往极",CT109=0,RAND()&lt;IF(C110="净世破魔击·月",0.0275*7/3,IF(C110="净世破魔击·日",0.0275*3/3,0.0275*2/3)))</f>
        <v>0</v>
      </c>
      <c r="CV110" s="115">
        <f t="shared" ca="1" si="117"/>
        <v>0</v>
      </c>
      <c r="CW110" s="115">
        <f t="shared" ca="1" si="76"/>
        <v>5.0774999999999997</v>
      </c>
      <c r="CX110" s="115">
        <f t="shared" ca="1" si="77"/>
        <v>3.2324999999999995</v>
      </c>
      <c r="CY110" s="115">
        <f ca="1">MAX(IF($C110="驱夜断愁",IF(模拟模式!$R$7="万念俱寂",6,45),CY109-$F$4),0)</f>
        <v>4.1549999999999994</v>
      </c>
      <c r="CZ110" s="115">
        <f t="shared" ca="1" si="78"/>
        <v>0</v>
      </c>
      <c r="DA110" s="115">
        <f ca="1">IF(模拟模式!$N$7="日月同辉",IF(DB109=2,0,MIN(6,IF(AND(OR(C110="赤日轮1",C110="赤日轮2",C110="赤日轮3",C110="幽月轮1",C110="幽月轮2",C110="幽月轮3"),AB110=1),DA109+1,DA109))),0)</f>
        <v>1</v>
      </c>
      <c r="DB110" s="115">
        <f t="shared" ca="1" si="79"/>
        <v>0</v>
      </c>
      <c r="DD110" s="115"/>
      <c r="DE110" s="115"/>
      <c r="DF110" s="115"/>
      <c r="DG110" s="115"/>
      <c r="DH110" s="115"/>
      <c r="DI110" s="115"/>
      <c r="DJ110" s="115"/>
      <c r="DK110" s="115"/>
      <c r="DL110" s="115"/>
      <c r="DM110" s="115"/>
    </row>
    <row r="111" spans="2:117" x14ac:dyDescent="0.2">
      <c r="B111" s="117">
        <f t="shared" si="80"/>
        <v>77.489999999999966</v>
      </c>
      <c r="C111" s="167" t="str">
        <f t="shared" ca="1" si="66"/>
        <v>净世破魔击·月</v>
      </c>
      <c r="D111" s="115">
        <f ca="1">IF(C111="赤日轮1",1,IF(C111="赤日轮2",2,IF(C111="赤日轮3",3,IF(C111="幽月轮1",4,IF(C111="幽月轮2",5,IF(C111="幽月轮3",6,IF(C111="烈日斩",7,IF(C111="银月斩",8,IF(C111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111="净世破魔击·月",17,IF(C111="驱夜断愁",18,0)))))))))))</f>
        <v>17</v>
      </c>
      <c r="E111" s="115">
        <f ca="1">IF(AND(CU111,OR(C111="幽月轮1",C111="幽月轮2",C111="幽月轮3",C111="银月斩",C111="驱夜断愁",C111="净世破魔击·月")),100,MIN(IF(OR(CN111,BE111),0,IF(OR($C111="赤日轮1",$C111="赤日轮2",$C111="赤日轮3"),E110+20+IF(模拟模式!$I$7="日月凌天",4,0)+IF(CR110,20,0),IF($C111="烈日斩",E110+40,IF($C111="驱夜断愁",IF(模拟模式!$R$7="万念俱寂",E110+20,E110+60),IF($C111="净世破魔击·月",IF(OR(DB110&gt;0,CV110&gt;0),100,IF(模拟模式!$M$7="辉耀红尘",E110+20,E110)),IF($C111="净世破魔击·日",E110-100,E110)))))),100))</f>
        <v>100</v>
      </c>
      <c r="F111" s="115">
        <f ca="1">IF(AND(CU111,OR(C111="赤日轮1",C111="赤日轮2",C111="赤日轮3",C111="烈日斩",C111="净世破魔击·日")),100,MIN(IF(CO111,0,IF(OR($C111="幽月轮1",$C111="幽月轮2",$C111="幽月轮3"),F110+20+IF(模拟模式!$I$7="日月凌天",4,0)+IF(CS110,20,0),IF($C111="银月斩",F110+40+IF(模拟模式!$X$12=1,5,0),IF($C111="驱夜断愁",IF(模拟模式!$R$7="万念俱寂",F110+20,F110+60),IF($C111="净世破魔击·月",IF(模拟模式!$M$7="辉耀红尘",F110-80,F110-100),IF(AND(C111="净世破魔击·日",OR(DB110&gt;0,CV110&gt;0)),100,F110)))))),100))</f>
        <v>20</v>
      </c>
      <c r="G111" s="117">
        <f ca="1">('模拟-全程加成'!$E$3+'模拟-全程加成'!$E$4+'模拟-全程加成'!$E$5+('模拟-全程加成'!$C$6-'模拟-全程加成'!$C$3)*系数!$B$9+BS111*23)*(1+'模拟-全程加成'!$F$4+'模拟-全程加成'!$F$5+BJ111*10%+BM111*20%+BP111*4%+CG111*30%)+$F$7*系数!$B$12</f>
        <v>20583.127400000001</v>
      </c>
      <c r="H111" s="45">
        <f ca="1">'模拟-全程加成'!$H$3+'模拟-全程加成'!$H$4+'模拟-全程加成'!$H$5+('模拟-全程加成'!$G$4+'模拟-全程加成'!$G$5+('模拟-全程加成'!$C$6-'模拟-全程加成'!$C$3)*系数!$B$13)/系数!$B$3+LOOKUP(D111,'模拟-单技能数据'!$A$2:$A$19,'模拟-单技能数据'!$K$2:$K$19)+BG111*10%+IF(BV111&gt;0,378,0)</f>
        <v>0.54185145527300216</v>
      </c>
      <c r="I111" s="45">
        <f ca="1">'模拟-全程加成'!$J$3+'模拟-全程加成'!$J$4+'模拟-全程加成'!$J$5+('模拟-全程加成'!$I$4+'模拟-全程加成'!$I$5)/系数!$B$4+LOOKUP(D111,'模拟-单技能数据'!$A$2:$A$19,'模拟-单技能数据'!$L$2:$L$19)+BG111*10%</f>
        <v>2.162482885499879</v>
      </c>
      <c r="J111" s="45">
        <f ca="1">(('模拟-全程加成'!$K$3+'模拟-全程加成'!$K$4+'模拟-全程加成'!$K$5+('模拟-全程加成'!$C$6-'模拟-全程加成'!$C$3)*系数!$B$10+IF(BV111&gt;0,882,0)+IF(BY111&gt;0,1831,0))*(1+'模拟-全程加成'!$L$4+'模拟-全程加成'!$L$5+CC111*20%))/系数!$B$5</f>
        <v>0.69723220422048726</v>
      </c>
      <c r="K111" s="119">
        <f ca="1">LOOKUP(D111,'模拟-单技能数据'!$A$2:$A$19,'模拟-单技能数据'!$J$2:$J$19)+IF(CM111,60%,0)+IF(DB110-DB111&gt;0,30%,0)+IF(OR(AND(OR(C111="赤日轮1",C111="赤日轮2",C111="赤日轮3"),CR111),AND(OR(C111="幽月轮1",C111="幽月轮2",C111="幽月轮3"),CS111)),35%,0)+CJ111</f>
        <v>0.8</v>
      </c>
      <c r="L111" s="119">
        <f ca="1">IF(AND(C111="烈日斩",模拟模式!$X$11=1),10%,0)+IF(AND(C111="驱夜断愁",AB111=1),30%,0)</f>
        <v>0</v>
      </c>
      <c r="M111" s="45">
        <f t="shared" ca="1" si="81"/>
        <v>0.54185145527300216</v>
      </c>
      <c r="N111" s="45">
        <f t="shared" ca="1" si="82"/>
        <v>0.40424854472699789</v>
      </c>
      <c r="O111" s="46">
        <f t="shared" ca="1" si="83"/>
        <v>0.1773832590597415</v>
      </c>
      <c r="P111" s="46" t="str">
        <f t="shared" ca="1" si="84"/>
        <v>会</v>
      </c>
      <c r="Q111" s="45">
        <f t="shared" ca="1" si="85"/>
        <v>2.162482885499879</v>
      </c>
      <c r="R111" s="117">
        <f ca="1">模拟模式!$E$20*(1-IF(模拟模式!$J$19="有",0.15,0))*(1-IF(模拟模式!$K$19="有",0.3,0)-IF(CQ111,0.5,0))</f>
        <v>843.02999999999975</v>
      </c>
      <c r="S111" s="45">
        <f ca="1">R111/(R111+(185*模拟模式!$E$22-16800)*4.08224)</f>
        <v>8.389626085980037E-2</v>
      </c>
      <c r="T111" s="45" t="str">
        <f ca="1">LOOKUP(D111,'模拟-单技能数据'!$A$2:$A$19,'模拟-单技能数据'!$H$2:$H$19)</f>
        <v>阴</v>
      </c>
      <c r="U111" s="119">
        <f t="shared" ca="1" si="86"/>
        <v>0.08</v>
      </c>
      <c r="V111" s="47">
        <f ca="1">(1+L111)*(LOOKUP(D111,'模拟-单技能数据'!$A$2:$A$19,'模拟-单技能数据'!$D$2:$D$19)+G111*LOOKUP(D111,'模拟-单技能数据'!$A$2:$A$19,'模拟-单技能数据'!$F$2:$F$19))*(1+J111)*(1+K111)*(1-S111)*(1+U111)*Q111*LOOKUP(D111,'模拟-单技能数据'!$A$2:$A$19,'模拟-单技能数据'!$I$2:$I$20)</f>
        <v>174868.36016214982</v>
      </c>
      <c r="W111" s="47">
        <f ca="1">LOOKUP(D111,'模拟-单技能数据'!$A$2:$A$19,'模拟-单技能数据'!$G$2:$G$19)*$I$10</f>
        <v>361.51064354704795</v>
      </c>
      <c r="X111" s="47">
        <f t="shared" ca="1" si="87"/>
        <v>32741.319219774821</v>
      </c>
      <c r="Y111" s="47">
        <f t="shared" ca="1" si="88"/>
        <v>207971.1900254717</v>
      </c>
      <c r="Z111" s="49">
        <f t="shared" ca="1" si="89"/>
        <v>8601085.4612912107</v>
      </c>
      <c r="AA111" s="97">
        <f t="shared" ca="1" si="90"/>
        <v>110996.06996117195</v>
      </c>
      <c r="AB111" s="115">
        <f ca="1">IF(OR(C111="赤日轮1",C111="赤日轮2",C111="赤日轮3"),IF(RAND()&lt;模拟模式!$Y$17,1,0),IF(OR(C111="幽月轮1",C111="幽月轮2",C111="幽月轮3"),IF(RAND()&lt;模拟模式!$Y$18,1,0),IF(C111="烈日斩",IF(RAND()&lt;模拟模式!$Y$19,1,0),IF(C111="银月斩",IF(RAND()&lt;模拟模式!$Y$20,1,0),IF(C111="驱夜断愁",IF(RAND()&lt;模拟模式!$Y$21,1,0),IF(C111="净世破魔击·日",IF(RAND()&lt;模拟模式!$Y$22,1,0),IF(C111="净世破魔击·月",IF(RAND()&lt;模拟模式!$Y$23,1,0),0)))))))</f>
        <v>1</v>
      </c>
      <c r="AC111" s="115" t="b">
        <f t="shared" ca="1" si="67"/>
        <v>0</v>
      </c>
      <c r="AD111" s="115" t="b">
        <f t="shared" ca="1" si="118"/>
        <v>0</v>
      </c>
      <c r="AE111" s="115">
        <f t="shared" ca="1" si="119"/>
        <v>4</v>
      </c>
      <c r="AF111" s="47">
        <f ca="1">IF(AC111,('模拟-单技能数据'!$D$20+G111*'模拟-单技能数据'!$F$20)*(1+J111)*(1+'模拟-单技能数据'!$J$20)*(1+U111),0)</f>
        <v>0</v>
      </c>
      <c r="AG111" s="61">
        <f t="shared" ca="1" si="91"/>
        <v>0.64185145527300214</v>
      </c>
      <c r="AH111" s="61">
        <f t="shared" ca="1" si="92"/>
        <v>2.2624828854998791</v>
      </c>
      <c r="AI111" s="62">
        <f t="shared" ca="1" si="93"/>
        <v>3.916447612278473E-2</v>
      </c>
      <c r="AJ111" s="47">
        <f ca="1">IF(AD111,IF(AI111&lt;$F$10,0,IF(AI111&lt;$F$10+$F$11,0.25,IF(AI111&lt;$F$10+$F$11+AG111,AH111,1)))*IF(AF111&gt;0,AF111,IF(AF110&gt;0,AF110,IF(AF109&gt;0,AF109,IF(AF108&gt;0,AF108,IF(AF107&gt;0,AF107,IF(AF106&gt;0,AF106,IF(AF105&gt;0,AF105,IF(AF104&gt;0,AF104,IF(AF103&gt;0,AF103,IF(AF101&gt;0,AF101,IF(AF100&gt;0,AF100,IF(AF99&gt;0,AF99,0)))))))))))),0)*(1-$S111)*'模拟-单技能数据'!$I$20</f>
        <v>0</v>
      </c>
      <c r="AK111" s="115" t="b">
        <f t="shared" ca="1" si="68"/>
        <v>0</v>
      </c>
      <c r="AL111" s="115" t="b">
        <f t="shared" ca="1" si="120"/>
        <v>1</v>
      </c>
      <c r="AM111" s="115">
        <f t="shared" ca="1" si="121"/>
        <v>2</v>
      </c>
      <c r="AN111" s="47">
        <f ca="1">IF(AK111,('模拟-单技能数据'!$D$21+G111*'模拟-单技能数据'!$F$21)*(1+J111)*(1+'模拟-单技能数据'!$J$21)*(1+U111),0)</f>
        <v>0</v>
      </c>
      <c r="AO111" s="61">
        <f ca="1">IF(AN111&gt;0,M111-'模拟-单技能数据'!$K$10,AO110)</f>
        <v>0.42185145527300216</v>
      </c>
      <c r="AP111" s="61">
        <f ca="1">IF(AN111&gt;0,I111-'模拟-单技能数据'!$L$10,AP110)</f>
        <v>2.162482885499879</v>
      </c>
      <c r="AQ111" s="63">
        <f t="shared" ca="1" si="94"/>
        <v>0.30522981098274993</v>
      </c>
      <c r="AR111" s="64">
        <f ca="1">IF(AL111,IF(AQ111&lt;$F$10,0,IF(AQ111&lt;$F$10+$F$11,0.25,IF(AQ111&lt;$F$10+$F$11+AO111,AP111,1)))*IF(AN111&gt;0,AN111,IF(AN110&gt;0,AN110,IF(AN109&gt;0,AN109,IF(AN108&gt;0,AN108,IF(AN107&gt;0,AN107,IF(AN106&gt;0,AN106,IF(AN105&gt;0,AN105,IF(AN104&gt;0,AN104,IF(AN103&gt;0,AN103,IF(AN101&gt;0,AN101,IF(AN100&gt;0,AN100,IF(AN99&gt;0,AN99,0)))))))))))),0)*(1-$S111)*'模拟-单技能数据'!$I$21</f>
        <v>25101.867467669974</v>
      </c>
      <c r="AS111" s="61">
        <f ca="1">IF(OR(C111="净世破魔击·日",C111="净世破魔击·月"),M111-'模拟-单技能数据'!$K$10,0)</f>
        <v>0.42185145527300216</v>
      </c>
      <c r="AT111" s="61">
        <f ca="1">IF(OR(C111="净世破魔击·日",C111="净世破魔击·月"),I111-'模拟-单技能数据'!$L$10,0)</f>
        <v>2.162482885499879</v>
      </c>
      <c r="AU111" s="62">
        <f t="shared" ca="1" si="95"/>
        <v>0.48946600384923888</v>
      </c>
      <c r="AV111" s="64">
        <f ca="1">IF(AS111&gt;0,('模拟-单技能数据'!$D$22+G111*'模拟-单技能数据'!$F$22)*(1+J111)*(1-S111)*IF(AU111&lt;$F$10,0,IF(AU111&lt;$F$10+$F$11,0.25,IF(AU111&lt;$F$10+$F$11+AS111,AT111,1)))*(1+U111),0)*'模拟-单技能数据'!$I$22</f>
        <v>7639.4517521048492</v>
      </c>
      <c r="AW111" s="108">
        <f t="shared" ca="1" si="96"/>
        <v>0</v>
      </c>
      <c r="AX111" s="108" t="b">
        <f ca="1">AND(模拟模式!$P$10="有",AW110=0,RAND()&lt;IF(C111="净世破魔击·月",0.1*8/3,IF(C111="净世破魔击·日",0.1*4/3,0.1*2/3)))</f>
        <v>0</v>
      </c>
      <c r="AY111" s="47">
        <f ca="1">IF(AX111,(18+G111*0.722)*(1+J111)*(1-S111)*(1+$I$4)*IF(P111="会",'模拟-全程加成'!$J$3+'模拟-全程加成'!$J$4+'模拟-全程加成'!$J$5+('模拟-全程加成'!$I$4+'模拟-全程加成'!$I$5)/系数!$B$4+BG111*10%,IF(P111="命",1,IF(P111="识",0.25,0))),0)</f>
        <v>0</v>
      </c>
      <c r="AZ111" s="108">
        <f t="shared" si="97"/>
        <v>3.3950000000000062</v>
      </c>
      <c r="BA111" s="108" t="b">
        <f>AND(模拟模式!$Q$10="有",AZ110=0)</f>
        <v>0</v>
      </c>
      <c r="BB111" s="140">
        <f>IF(BA111,(0+G111*0.287)*(1+J111)*(1-S111)*(1+$I$4)*IF(P111="会",'模拟-全程加成'!$J$3+'模拟-全程加成'!$J$4+'模拟-全程加成'!$J$5+('模拟-全程加成'!$I$4+'模拟-全程加成'!$I$5)/系数!$B$4+BG111*10%,IF(P111="命",1,IF(P111="识",0.25,0))),0)</f>
        <v>0</v>
      </c>
      <c r="BC111" s="115" t="b">
        <f ca="1">AND(模拟模式!$R$7="伏明众生",E111=60,F111=20,DA111&lt;5,CZ110&lt;$F$4)</f>
        <v>0</v>
      </c>
      <c r="BD111" s="115">
        <f t="shared" ca="1" si="69"/>
        <v>0</v>
      </c>
      <c r="BE111" s="115" t="b">
        <f t="shared" ca="1" si="70"/>
        <v>0</v>
      </c>
      <c r="BF111" s="47">
        <f ca="1">IF(BC111,4*('模拟-单技能数据'!$D$24+G111*'模拟-单技能数据'!$F$24)*(1+J111)*(1+'模拟-单技能数据'!$J$24)*(1-S111)*(1+$I$3)*(('模拟-全程加成'!$J$3+'模拟-全程加成'!$J$4+'模拟-全程加成'!$J$5+('模拟-全程加成'!$I$4+'模拟-全程加成'!$I$5)/系数!$B$4+BG111*10%)*('模拟-全程加成'!$J$3+'模拟-全程加成'!$J$4+'模拟-全程加成'!$J$5+('模拟-全程加成'!$I$4+'模拟-全程加成'!$I$5)/系数!$B$4+BG111*10%)+(1-('模拟-全程加成'!$J$3+'模拟-全程加成'!$J$4+'模拟-全程加成'!$J$5+('模拟-全程加成'!$I$4+'模拟-全程加成'!$I$5)/系数!$B$4+BG111*10%)-$F$10-$F$11)+F97*0.25),0)*'模拟-单技能数据'!$I$24</f>
        <v>0</v>
      </c>
      <c r="BG111" s="115" t="b">
        <f ca="1">OR(AND(OR(C111="烈日斩",C111="银月斩"),模拟模式!$I$7="净身明礼"),AND(C111="净世破魔击·日",模拟模式!$J$7="洞若观火"),AND(C112="净世破魔击·月",模拟模式!$J$7="洞若观火"),AB111=1)</f>
        <v>1</v>
      </c>
      <c r="BH111" s="115" t="b">
        <f t="shared" ca="1" si="98"/>
        <v>0</v>
      </c>
      <c r="BI111" s="115">
        <f t="shared" ca="1" si="71"/>
        <v>0</v>
      </c>
      <c r="BJ111" s="115" t="b">
        <f t="shared" ca="1" si="99"/>
        <v>0</v>
      </c>
      <c r="BK111" s="115" t="b">
        <f ca="1">AND(C111="驱夜断愁",模拟模式!$P$7="天地诛戮")</f>
        <v>0</v>
      </c>
      <c r="BL111" s="57">
        <f t="shared" ca="1" si="72"/>
        <v>17.232500000000002</v>
      </c>
      <c r="BM111" s="115" t="b">
        <f t="shared" ca="1" si="100"/>
        <v>1</v>
      </c>
      <c r="BN111" s="115" t="b">
        <f ca="1">AND(OR(C111="赤日轮1",C111="赤日轮2",C111="赤日轮3",C111="幽月轮1",C111="幽月轮2",C111="幽月轮3"),AB111=1,模拟模式!$L$7="明光恒照")</f>
        <v>0</v>
      </c>
      <c r="BO111" s="117">
        <f t="shared" ca="1" si="73"/>
        <v>29.077500000000001</v>
      </c>
      <c r="BP111" s="115">
        <f t="shared" ca="1" si="101"/>
        <v>6</v>
      </c>
      <c r="BQ111" s="115" t="b">
        <f>模拟模式!$K$10="2600·水"</f>
        <v>0</v>
      </c>
      <c r="BR111" s="117">
        <f t="shared" si="102"/>
        <v>0</v>
      </c>
      <c r="BS111" s="115">
        <f t="shared" si="103"/>
        <v>0</v>
      </c>
      <c r="BT111" s="115">
        <f t="shared" ca="1" si="104"/>
        <v>0</v>
      </c>
      <c r="BU111" s="115" t="b">
        <f ca="1">AND(模拟模式!$K$10="2300·雷",BT110=0,RAND()&lt;IF(C111="净世破魔击·月",5*0.05*2/3,IF(C111="净世破魔击·日",3*0.05*2/3,0.05*2*2/3)))</f>
        <v>0</v>
      </c>
      <c r="BV111" s="115">
        <f t="shared" ca="1" si="105"/>
        <v>0</v>
      </c>
      <c r="BW111" s="115">
        <f t="shared" ca="1" si="106"/>
        <v>108.04499999999925</v>
      </c>
      <c r="BX111" s="164" t="b">
        <f t="shared" ca="1" si="107"/>
        <v>0</v>
      </c>
      <c r="BY111" s="115">
        <f t="shared" ca="1" si="108"/>
        <v>0</v>
      </c>
      <c r="BZ111" s="115">
        <f>IF(OR(模拟模式!$P$16="10人团",模拟模式!$P$16="25人团"),IF(B111/30&gt;CA110,1,0),0)</f>
        <v>0</v>
      </c>
      <c r="CA111" s="115">
        <f t="shared" si="74"/>
        <v>0</v>
      </c>
      <c r="CB111" s="115">
        <f ca="1">IF(BZ111=1,IF(模拟模式!$P$16="10人团",15,0)+IF(模拟模式!$P$16="25人团",IF(RAND()&lt;0.6,15,0)),MAX(0,CB110-$F$4))</f>
        <v>0</v>
      </c>
      <c r="CC111" s="115" t="b">
        <f t="shared" ca="1" si="109"/>
        <v>0</v>
      </c>
      <c r="CD111" s="115">
        <f>IF(模拟模式!$Q$16="1个",IF(B111/40&gt;CE110,1,0),0)</f>
        <v>0</v>
      </c>
      <c r="CE111" s="115">
        <f t="shared" si="110"/>
        <v>0</v>
      </c>
      <c r="CF111" s="115">
        <f>IF(OR(CD111=1,模拟模式!$Q$16="2个"),20,MAX(0,CF110-$F$4))</f>
        <v>0</v>
      </c>
      <c r="CG111" s="115" t="b">
        <f t="shared" si="111"/>
        <v>0</v>
      </c>
      <c r="CH111" s="115">
        <f t="shared" ca="1" si="112"/>
        <v>21.697500000000005</v>
      </c>
      <c r="CI111" s="115" t="b">
        <f t="shared" ca="1" si="113"/>
        <v>0</v>
      </c>
      <c r="CJ111" s="119">
        <f t="shared" ca="1" si="114"/>
        <v>0</v>
      </c>
      <c r="CK111" s="115">
        <f t="shared" ca="1" si="115"/>
        <v>0</v>
      </c>
      <c r="CL111" s="115" t="b">
        <f ca="1">AND(模拟模式!$S$7="驱夷逐法",OR(AND(C111="净世破魔击·月",E110&gt;59),AND(C111="净世破魔击·日",F110&gt;59)))</f>
        <v>1</v>
      </c>
      <c r="CM111" s="115" t="b">
        <f ca="1">OR(CL111,AND(C111="净世破魔击·日",CL110,RAND()&lt;模拟模式!$U$23))</f>
        <v>1</v>
      </c>
      <c r="CN111" s="115" t="b">
        <f ca="1">IF(模拟模式!$M$7="辉耀红尘",AND(C111="净世破魔击·月",CL111,CV111=0,E110&lt;80),AND(C111="净世破魔击·月",CL111,E110&lt;100))</f>
        <v>0</v>
      </c>
      <c r="CO111" s="115" t="b">
        <f t="shared" ca="1" si="75"/>
        <v>0</v>
      </c>
      <c r="CP111" s="115" t="b">
        <f ca="1">AND(模拟模式!$O$7="用晦而明",OR(C111="净世破魔击·日",C111="净世破魔击·月",C111="驱夜断愁"),AB111)</f>
        <v>1</v>
      </c>
      <c r="CQ111" s="115" t="b">
        <f ca="1">OR(CP111,AND(CP110,RAND()&lt;模拟模式!$U$23))</f>
        <v>1</v>
      </c>
      <c r="CR111" s="115" t="b">
        <f ca="1">AND(模拟模式!$S$7="日月齐光",OR(C111="幽月轮1",C111="幽月轮2",C111="幽月轮3",CR110),NOT(OR(C111="赤日轮1",C111="赤日轮2",C111="赤日轮3")))</f>
        <v>0</v>
      </c>
      <c r="CS111" s="115" t="b">
        <f ca="1">AND(模拟模式!$S$7="日月齐光",OR(C111="赤日轮1",C111="赤日轮2",C111="赤日轮3",CS110),NOT(OR(C111="幽月轮1",C111="幽月轮2",C111="幽月轮3")))</f>
        <v>0</v>
      </c>
      <c r="CT111" s="115">
        <f t="shared" ca="1" si="116"/>
        <v>12.472500000000011</v>
      </c>
      <c r="CU111" s="115" t="b">
        <f ca="1">AND(模拟模式!$K$10="阴阳往极",CT110=0,RAND()&lt;IF(C111="净世破魔击·月",0.0275*7/3,IF(C111="净世破魔击·日",0.0275*3/3,0.0275*2/3)))</f>
        <v>0</v>
      </c>
      <c r="CV111" s="115">
        <f t="shared" ca="1" si="117"/>
        <v>0</v>
      </c>
      <c r="CW111" s="115">
        <f t="shared" ca="1" si="76"/>
        <v>4.1549999999999994</v>
      </c>
      <c r="CX111" s="115">
        <f t="shared" ca="1" si="77"/>
        <v>2.3099999999999996</v>
      </c>
      <c r="CY111" s="115">
        <f ca="1">MAX(IF($C111="驱夜断愁",IF(模拟模式!$R$7="万念俱寂",6,45),CY110-$F$4),0)</f>
        <v>3.2324999999999995</v>
      </c>
      <c r="CZ111" s="115">
        <f t="shared" ca="1" si="78"/>
        <v>0</v>
      </c>
      <c r="DA111" s="115">
        <f ca="1">IF(模拟模式!$N$7="日月同辉",IF(DB110=2,0,MIN(6,IF(AND(OR(C111="赤日轮1",C111="赤日轮2",C111="赤日轮3",C111="幽月轮1",C111="幽月轮2",C111="幽月轮3"),AB111=1),DA110+1,DA110))),0)</f>
        <v>1</v>
      </c>
      <c r="DB111" s="115">
        <f t="shared" ca="1" si="79"/>
        <v>0</v>
      </c>
      <c r="DD111" s="115"/>
      <c r="DE111" s="115"/>
      <c r="DF111" s="115"/>
      <c r="DG111" s="115"/>
      <c r="DH111" s="115"/>
      <c r="DI111" s="115"/>
      <c r="DJ111" s="115"/>
      <c r="DK111" s="115"/>
      <c r="DL111" s="115"/>
      <c r="DM111" s="115"/>
    </row>
    <row r="112" spans="2:117" x14ac:dyDescent="0.2">
      <c r="B112" s="117">
        <f t="shared" si="80"/>
        <v>78.412499999999966</v>
      </c>
      <c r="C112" s="167" t="str">
        <f t="shared" ca="1" si="66"/>
        <v>净世破魔击·日</v>
      </c>
      <c r="D112" s="115">
        <f ca="1">IF(C112="赤日轮1",1,IF(C112="赤日轮2",2,IF(C112="赤日轮3",3,IF(C112="幽月轮1",4,IF(C112="幽月轮2",5,IF(C112="幽月轮3",6,IF(C112="烈日斩",7,IF(C112="银月斩",8,IF(C112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112="净世破魔击·月",17,IF(C112="驱夜断愁",18,0)))))))))))</f>
        <v>9</v>
      </c>
      <c r="E112" s="115">
        <f ca="1">IF(AND(CU112,OR(C112="幽月轮1",C112="幽月轮2",C112="幽月轮3",C112="银月斩",C112="驱夜断愁",C112="净世破魔击·月")),100,MIN(IF(OR(CN112,BE112),0,IF(OR($C112="赤日轮1",$C112="赤日轮2",$C112="赤日轮3"),E111+20+IF(模拟模式!$I$7="日月凌天",4,0)+IF(CR111,20,0),IF($C112="烈日斩",E111+40,IF($C112="驱夜断愁",IF(模拟模式!$R$7="万念俱寂",E111+20,E111+60),IF($C112="净世破魔击·月",IF(OR(DB111&gt;0,CV111&gt;0),100,IF(模拟模式!$M$7="辉耀红尘",E111+20,E111)),IF($C112="净世破魔击·日",E111-100,E111)))))),100))</f>
        <v>0</v>
      </c>
      <c r="F112" s="115">
        <f ca="1">IF(AND(CU112,OR(C112="赤日轮1",C112="赤日轮2",C112="赤日轮3",C112="烈日斩",C112="净世破魔击·日")),100,MIN(IF(CO112,0,IF(OR($C112="幽月轮1",$C112="幽月轮2",$C112="幽月轮3"),F111+20+IF(模拟模式!$I$7="日月凌天",4,0)+IF(CS111,20,0),IF($C112="银月斩",F111+40+IF(模拟模式!$X$12=1,5,0),IF($C112="驱夜断愁",IF(模拟模式!$R$7="万念俱寂",F111+20,F111+60),IF($C112="净世破魔击·月",IF(模拟模式!$M$7="辉耀红尘",F111-80,F111-100),IF(AND(C112="净世破魔击·日",OR(DB111&gt;0,CV111&gt;0)),100,F111)))))),100))</f>
        <v>20</v>
      </c>
      <c r="G112" s="117">
        <f ca="1">('模拟-全程加成'!$E$3+'模拟-全程加成'!$E$4+'模拟-全程加成'!$E$5+('模拟-全程加成'!$C$6-'模拟-全程加成'!$C$3)*系数!$B$9+BS112*23)*(1+'模拟-全程加成'!$F$4+'模拟-全程加成'!$F$5+BJ112*10%+BM112*20%+BP112*4%+CG112*30%)+$F$7*系数!$B$12</f>
        <v>21493.829400000002</v>
      </c>
      <c r="H112" s="45">
        <f ca="1">'模拟-全程加成'!$H$3+'模拟-全程加成'!$H$4+'模拟-全程加成'!$H$5+('模拟-全程加成'!$G$4+'模拟-全程加成'!$G$5+('模拟-全程加成'!$C$6-'模拟-全程加成'!$C$3)*系数!$B$13)/系数!$B$3+LOOKUP(D112,'模拟-单技能数据'!$A$2:$A$19,'模拟-单技能数据'!$K$2:$K$19)+BG112*10%+IF(BV112&gt;0,378,0)</f>
        <v>0.54185145527300216</v>
      </c>
      <c r="I112" s="45">
        <f ca="1">'模拟-全程加成'!$J$3+'模拟-全程加成'!$J$4+'模拟-全程加成'!$J$5+('模拟-全程加成'!$I$4+'模拟-全程加成'!$I$5)/系数!$B$4+LOOKUP(D112,'模拟-单技能数据'!$A$2:$A$19,'模拟-单技能数据'!$L$2:$L$19)+BG112*10%</f>
        <v>2.162482885499879</v>
      </c>
      <c r="J112" s="45">
        <f ca="1">(('模拟-全程加成'!$K$3+'模拟-全程加成'!$K$4+'模拟-全程加成'!$K$5+('模拟-全程加成'!$C$6-'模拟-全程加成'!$C$3)*系数!$B$10+IF(BV112&gt;0,882,0)+IF(BY112&gt;0,1831,0))*(1+'模拟-全程加成'!$L$4+'模拟-全程加成'!$L$5+CC112*20%))/系数!$B$5</f>
        <v>0.69723220422048726</v>
      </c>
      <c r="K112" s="119">
        <f ca="1">LOOKUP(D112,'模拟-单技能数据'!$A$2:$A$19,'模拟-单技能数据'!$J$2:$J$19)+IF(CM112,60%,0)+IF(DB111-DB112&gt;0,30%,0)+IF(OR(AND(OR(C112="赤日轮1",C112="赤日轮2",C112="赤日轮3"),CR112),AND(OR(C112="幽月轮1",C112="幽月轮2",C112="幽月轮3"),CS112)),35%,0)+CJ112</f>
        <v>0.8</v>
      </c>
      <c r="L112" s="119">
        <f ca="1">IF(AND(C112="烈日斩",模拟模式!$X$11=1),10%,0)+IF(AND(C112="驱夜断愁",AB112=1),30%,0)</f>
        <v>0</v>
      </c>
      <c r="M112" s="45">
        <f t="shared" ca="1" si="81"/>
        <v>0.54185145527300216</v>
      </c>
      <c r="N112" s="45">
        <f t="shared" ca="1" si="82"/>
        <v>0.40424854472699789</v>
      </c>
      <c r="O112" s="46">
        <f t="shared" ca="1" si="83"/>
        <v>0.6792688257388052</v>
      </c>
      <c r="P112" s="46" t="str">
        <f t="shared" ca="1" si="84"/>
        <v>命</v>
      </c>
      <c r="Q112" s="45">
        <f t="shared" ca="1" si="85"/>
        <v>1</v>
      </c>
      <c r="R112" s="117">
        <f ca="1">模拟模式!$E$20*(1-IF(模拟模式!$J$19="有",0.15,0))*(1-IF(模拟模式!$K$19="有",0.3,0)-IF(CQ112,0.5,0))</f>
        <v>843.02999999999975</v>
      </c>
      <c r="S112" s="45">
        <f ca="1">R112/(R112+(185*模拟模式!$E$22-16800)*4.08224)</f>
        <v>8.389626085980037E-2</v>
      </c>
      <c r="T112" s="45" t="str">
        <f ca="1">LOOKUP(D112,'模拟-单技能数据'!$A$2:$A$19,'模拟-单技能数据'!$H$2:$H$19)</f>
        <v>阳</v>
      </c>
      <c r="U112" s="119">
        <f t="shared" ca="1" si="86"/>
        <v>0.2</v>
      </c>
      <c r="V112" s="47">
        <f ca="1">(1+L112)*(LOOKUP(D112,'模拟-单技能数据'!$A$2:$A$19,'模拟-单技能数据'!$D$2:$D$19)+G112*LOOKUP(D112,'模拟-单技能数据'!$A$2:$A$19,'模拟-单技能数据'!$F$2:$F$19))*(1+J112)*(1+K112)*(1-S112)*(1+U112)*Q112*LOOKUP(D112,'模拟-单技能数据'!$A$2:$A$19,'模拟-单技能数据'!$I$2:$I$20)</f>
        <v>94575.365106402023</v>
      </c>
      <c r="W112" s="47">
        <f ca="1">LOOKUP(D112,'模拟-单技能数据'!$A$2:$A$19,'模拟-单技能数据'!$G$2:$G$19)*$I$10</f>
        <v>723.0212870940959</v>
      </c>
      <c r="X112" s="47">
        <f t="shared" ca="1" si="87"/>
        <v>18059.168713483545</v>
      </c>
      <c r="Y112" s="47">
        <f t="shared" ca="1" si="88"/>
        <v>113357.55510697968</v>
      </c>
      <c r="Z112" s="49">
        <f t="shared" ca="1" si="89"/>
        <v>8714443.0163981896</v>
      </c>
      <c r="AA112" s="97">
        <f t="shared" ca="1" si="90"/>
        <v>111135.8905327364</v>
      </c>
      <c r="AB112" s="115">
        <f ca="1">IF(OR(C112="赤日轮1",C112="赤日轮2",C112="赤日轮3"),IF(RAND()&lt;模拟模式!$Y$17,1,0),IF(OR(C112="幽月轮1",C112="幽月轮2",C112="幽月轮3"),IF(RAND()&lt;模拟模式!$Y$18,1,0),IF(C112="烈日斩",IF(RAND()&lt;模拟模式!$Y$19,1,0),IF(C112="银月斩",IF(RAND()&lt;模拟模式!$Y$20,1,0),IF(C112="驱夜断愁",IF(RAND()&lt;模拟模式!$Y$21,1,0),IF(C112="净世破魔击·日",IF(RAND()&lt;模拟模式!$Y$22,1,0),IF(C112="净世破魔击·月",IF(RAND()&lt;模拟模式!$Y$23,1,0),0)))))))</f>
        <v>1</v>
      </c>
      <c r="AC112" s="115" t="b">
        <f t="shared" ca="1" si="67"/>
        <v>0</v>
      </c>
      <c r="AD112" s="115" t="b">
        <f t="shared" ca="1" si="118"/>
        <v>1</v>
      </c>
      <c r="AE112" s="115">
        <f t="shared" ca="1" si="119"/>
        <v>3</v>
      </c>
      <c r="AF112" s="47">
        <f ca="1">IF(AC112,('模拟-单技能数据'!$D$20+G112*'模拟-单技能数据'!$F$20)*(1+J112)*(1+'模拟-单技能数据'!$J$20)*(1+U112),0)</f>
        <v>0</v>
      </c>
      <c r="AG112" s="61">
        <f t="shared" ca="1" si="91"/>
        <v>0.64185145527300214</v>
      </c>
      <c r="AH112" s="61">
        <f t="shared" ca="1" si="92"/>
        <v>2.2624828854998791</v>
      </c>
      <c r="AI112" s="62">
        <f t="shared" ca="1" si="93"/>
        <v>0.24929069273545135</v>
      </c>
      <c r="AJ112" s="47">
        <f ca="1">IF(AD112,IF(AI112&lt;$F$10,0,IF(AI112&lt;$F$10+$F$11,0.25,IF(AI112&lt;$F$10+$F$11+AG112,AH112,1)))*IF(AF112&gt;0,AF112,IF(AF111&gt;0,AF111,IF(AF110&gt;0,AF110,IF(AF109&gt;0,AF109,IF(AF108&gt;0,AF108,IF(AF107&gt;0,AF107,IF(AF106&gt;0,AF106,IF(AF105&gt;0,AF105,IF(AF104&gt;0,AF104,IF(AF102&gt;0,AF102,IF(AF101&gt;0,AF101,IF(AF100&gt;0,AF100,0)))))))))))),0)*(1-$S112)*'模拟-单技能数据'!$I$20</f>
        <v>9218.9345386263849</v>
      </c>
      <c r="AK112" s="115" t="b">
        <f t="shared" ca="1" si="68"/>
        <v>1</v>
      </c>
      <c r="AL112" s="115" t="b">
        <f t="shared" ca="1" si="120"/>
        <v>0</v>
      </c>
      <c r="AM112" s="115">
        <f t="shared" ca="1" si="121"/>
        <v>6</v>
      </c>
      <c r="AN112" s="47">
        <f ca="1">IF(AK112,('模拟-单技能数据'!$D$21+G112*'模拟-单技能数据'!$F$21)*(1+J112)*(1+'模拟-单技能数据'!$J$21)*(1+U112),0)</f>
        <v>12670.936004857545</v>
      </c>
      <c r="AO112" s="61">
        <f ca="1">IF(AN112&gt;0,M112-'模拟-单技能数据'!$K$10,AO111)</f>
        <v>0.42185145527300216</v>
      </c>
      <c r="AP112" s="61">
        <f ca="1">IF(AN112&gt;0,I112-'模拟-单技能数据'!$L$10,AP111)</f>
        <v>2.162482885499879</v>
      </c>
      <c r="AQ112" s="63">
        <f t="shared" ca="1" si="94"/>
        <v>0.51708847836178062</v>
      </c>
      <c r="AR112" s="64">
        <f ca="1">IF(AL112,IF(AQ112&lt;$F$10,0,IF(AQ112&lt;$F$10+$F$11,0.25,IF(AQ112&lt;$F$10+$F$11+AO112,AP112,1)))*IF(AN112&gt;0,AN112,IF(AN111&gt;0,AN111,IF(AN110&gt;0,AN110,IF(AN109&gt;0,AN109,IF(AN108&gt;0,AN108,IF(AN107&gt;0,AN107,IF(AN106&gt;0,AN106,IF(AN105&gt;0,AN105,IF(AN104&gt;0,AN104,IF(AN102&gt;0,AN102,IF(AN101&gt;0,AN101,IF(AN100&gt;0,AN100,0)))))))))))),0)*(1-$S112)*'模拟-单技能数据'!$I$21</f>
        <v>0</v>
      </c>
      <c r="AS112" s="61">
        <f ca="1">IF(OR(C112="净世破魔击·日",C112="净世破魔击·月"),M112-'模拟-单技能数据'!$K$10,0)</f>
        <v>0.42185145527300216</v>
      </c>
      <c r="AT112" s="61">
        <f ca="1">IF(OR(C112="净世破魔击·日",C112="净世破魔击·月"),I112-'模拟-单技能数据'!$L$10,0)</f>
        <v>2.162482885499879</v>
      </c>
      <c r="AU112" s="62">
        <f t="shared" ca="1" si="95"/>
        <v>0.76369272515067343</v>
      </c>
      <c r="AV112" s="64">
        <f ca="1">IF(AS112&gt;0,('模拟-单技能数据'!$D$22+G112*'模拟-单技能数据'!$F$22)*(1+J112)*(1-S112)*IF(AU112&lt;$F$10,0,IF(AU112&lt;$F$10+$F$11,0.25,IF(AU112&lt;$F$10+$F$11+AS112,AT112,1)))*(1+U112),0)*'模拟-单技能数据'!$I$22</f>
        <v>8840.2341748571616</v>
      </c>
      <c r="AW112" s="108">
        <f t="shared" ca="1" si="96"/>
        <v>0</v>
      </c>
      <c r="AX112" s="108" t="b">
        <f ca="1">AND(模拟模式!$P$10="有",AW111=0,RAND()&lt;IF(C112="净世破魔击·月",0.1*8/3,IF(C112="净世破魔击·日",0.1*4/3,0.1*2/3)))</f>
        <v>0</v>
      </c>
      <c r="AY112" s="47">
        <f ca="1">IF(AX112,(18+G112*0.722)*(1+J112)*(1-S112)*(1+$I$4)*IF(P112="会",'模拟-全程加成'!$J$3+'模拟-全程加成'!$J$4+'模拟-全程加成'!$J$5+('模拟-全程加成'!$I$4+'模拟-全程加成'!$I$5)/系数!$B$4+BG112*10%,IF(P112="命",1,IF(P112="识",0.25,0))),0)</f>
        <v>0</v>
      </c>
      <c r="AZ112" s="108">
        <f t="shared" si="97"/>
        <v>2.4725000000000064</v>
      </c>
      <c r="BA112" s="108" t="b">
        <f>AND(模拟模式!$Q$10="有",AZ111=0)</f>
        <v>0</v>
      </c>
      <c r="BB112" s="140">
        <f>IF(BA112,(0+G112*0.287)*(1+J112)*(1-S112)*(1+$I$4)*IF(P112="会",'模拟-全程加成'!$J$3+'模拟-全程加成'!$J$4+'模拟-全程加成'!$J$5+('模拟-全程加成'!$I$4+'模拟-全程加成'!$I$5)/系数!$B$4+BG112*10%,IF(P112="命",1,IF(P112="识",0.25,0))),0)</f>
        <v>0</v>
      </c>
      <c r="BC112" s="115" t="b">
        <f ca="1">AND(模拟模式!$R$7="伏明众生",E112=60,F112=20,DA112&lt;5,CZ111&lt;$F$4)</f>
        <v>0</v>
      </c>
      <c r="BD112" s="115">
        <f t="shared" ca="1" si="69"/>
        <v>0</v>
      </c>
      <c r="BE112" s="115" t="b">
        <f t="shared" ca="1" si="70"/>
        <v>0</v>
      </c>
      <c r="BF112" s="47">
        <f ca="1">IF(BC112,4*('模拟-单技能数据'!$D$24+G112*'模拟-单技能数据'!$F$24)*(1+J112)*(1+'模拟-单技能数据'!$J$24)*(1-S112)*(1+$I$3)*(('模拟-全程加成'!$J$3+'模拟-全程加成'!$J$4+'模拟-全程加成'!$J$5+('模拟-全程加成'!$I$4+'模拟-全程加成'!$I$5)/系数!$B$4+BG112*10%)*('模拟-全程加成'!$J$3+'模拟-全程加成'!$J$4+'模拟-全程加成'!$J$5+('模拟-全程加成'!$I$4+'模拟-全程加成'!$I$5)/系数!$B$4+BG112*10%)+(1-('模拟-全程加成'!$J$3+'模拟-全程加成'!$J$4+'模拟-全程加成'!$J$5+('模拟-全程加成'!$I$4+'模拟-全程加成'!$I$5)/系数!$B$4+BG112*10%)-$F$10-$F$11)+F98*0.25),0)*'模拟-单技能数据'!$I$24</f>
        <v>0</v>
      </c>
      <c r="BG112" s="115" t="b">
        <f ca="1">OR(AND(OR(C112="烈日斩",C112="银月斩"),模拟模式!$I$7="净身明礼"),AND(C112="净世破魔击·日",模拟模式!$J$7="洞若观火"),AND(C113="净世破魔击·月",模拟模式!$J$7="洞若观火"),AB112=1)</f>
        <v>1</v>
      </c>
      <c r="BH112" s="115" t="b">
        <f t="shared" ca="1" si="98"/>
        <v>1</v>
      </c>
      <c r="BI112" s="115">
        <f t="shared" ca="1" si="71"/>
        <v>6</v>
      </c>
      <c r="BJ112" s="115" t="b">
        <f t="shared" ca="1" si="99"/>
        <v>1</v>
      </c>
      <c r="BK112" s="115" t="b">
        <f ca="1">AND(C112="驱夜断愁",模拟模式!$P$7="天地诛戮")</f>
        <v>0</v>
      </c>
      <c r="BL112" s="57">
        <f t="shared" ca="1" si="72"/>
        <v>16.310000000000002</v>
      </c>
      <c r="BM112" s="115" t="b">
        <f t="shared" ca="1" si="100"/>
        <v>1</v>
      </c>
      <c r="BN112" s="115" t="b">
        <f ca="1">AND(OR(C112="赤日轮1",C112="赤日轮2",C112="赤日轮3",C112="幽月轮1",C112="幽月轮2",C112="幽月轮3"),AB112=1,模拟模式!$L$7="明光恒照")</f>
        <v>0</v>
      </c>
      <c r="BO112" s="117">
        <f t="shared" ca="1" si="73"/>
        <v>28.155000000000001</v>
      </c>
      <c r="BP112" s="115">
        <f t="shared" ca="1" si="101"/>
        <v>6</v>
      </c>
      <c r="BQ112" s="115" t="b">
        <f>模拟模式!$K$10="2600·水"</f>
        <v>0</v>
      </c>
      <c r="BR112" s="117">
        <f t="shared" si="102"/>
        <v>0</v>
      </c>
      <c r="BS112" s="115">
        <f t="shared" si="103"/>
        <v>0</v>
      </c>
      <c r="BT112" s="115">
        <f t="shared" ca="1" si="104"/>
        <v>0</v>
      </c>
      <c r="BU112" s="115" t="b">
        <f ca="1">AND(模拟模式!$K$10="2300·雷",BT111=0,RAND()&lt;IF(C112="净世破魔击·月",5*0.05*2/3,IF(C112="净世破魔击·日",3*0.05*2/3,0.05*2*2/3)))</f>
        <v>0</v>
      </c>
      <c r="BV112" s="115">
        <f t="shared" ca="1" si="105"/>
        <v>0</v>
      </c>
      <c r="BW112" s="115">
        <f t="shared" ca="1" si="106"/>
        <v>107.12249999999925</v>
      </c>
      <c r="BX112" s="164" t="b">
        <f t="shared" ca="1" si="107"/>
        <v>0</v>
      </c>
      <c r="BY112" s="115">
        <f t="shared" ca="1" si="108"/>
        <v>0</v>
      </c>
      <c r="BZ112" s="115">
        <f>IF(OR(模拟模式!$P$16="10人团",模拟模式!$P$16="25人团"),IF(B112/30&gt;CA111,1,0),0)</f>
        <v>0</v>
      </c>
      <c r="CA112" s="115">
        <f t="shared" si="74"/>
        <v>0</v>
      </c>
      <c r="CB112" s="115">
        <f ca="1">IF(BZ112=1,IF(模拟模式!$P$16="10人团",15,0)+IF(模拟模式!$P$16="25人团",IF(RAND()&lt;0.6,15,0)),MAX(0,CB111-$F$4))</f>
        <v>0</v>
      </c>
      <c r="CC112" s="115" t="b">
        <f t="shared" ca="1" si="109"/>
        <v>0</v>
      </c>
      <c r="CD112" s="115">
        <f>IF(模拟模式!$Q$16="1个",IF(B112/40&gt;CE111,1,0),0)</f>
        <v>0</v>
      </c>
      <c r="CE112" s="115">
        <f t="shared" si="110"/>
        <v>0</v>
      </c>
      <c r="CF112" s="115">
        <f>IF(OR(CD112=1,模拟模式!$Q$16="2个"),20,MAX(0,CF111-$F$4))</f>
        <v>0</v>
      </c>
      <c r="CG112" s="115" t="b">
        <f t="shared" si="111"/>
        <v>0</v>
      </c>
      <c r="CH112" s="115">
        <f t="shared" ca="1" si="112"/>
        <v>20.775000000000006</v>
      </c>
      <c r="CI112" s="115" t="b">
        <f t="shared" ca="1" si="113"/>
        <v>0</v>
      </c>
      <c r="CJ112" s="119">
        <f t="shared" ca="1" si="114"/>
        <v>0</v>
      </c>
      <c r="CK112" s="115">
        <f t="shared" ca="1" si="115"/>
        <v>0</v>
      </c>
      <c r="CL112" s="115" t="b">
        <f ca="1">AND(模拟模式!$S$7="驱夷逐法",OR(AND(C112="净世破魔击·月",E111&gt;59),AND(C112="净世破魔击·日",F111&gt;59)))</f>
        <v>0</v>
      </c>
      <c r="CM112" s="115" t="b">
        <f ca="1">OR(CL112,AND(C112="净世破魔击·日",CL111,RAND()&lt;模拟模式!$U$23))</f>
        <v>1</v>
      </c>
      <c r="CN112" s="115" t="b">
        <f ca="1">IF(模拟模式!$M$7="辉耀红尘",AND(C112="净世破魔击·月",CL112,CV112=0,E111&lt;80),AND(C112="净世破魔击·月",CL112,E111&lt;100))</f>
        <v>0</v>
      </c>
      <c r="CO112" s="115" t="b">
        <f t="shared" ca="1" si="75"/>
        <v>0</v>
      </c>
      <c r="CP112" s="115" t="b">
        <f ca="1">AND(模拟模式!$O$7="用晦而明",OR(C112="净世破魔击·日",C112="净世破魔击·月",C112="驱夜断愁"),AB112)</f>
        <v>1</v>
      </c>
      <c r="CQ112" s="115" t="b">
        <f ca="1">OR(CP112,AND(CP111,RAND()&lt;模拟模式!$U$23))</f>
        <v>1</v>
      </c>
      <c r="CR112" s="115" t="b">
        <f ca="1">AND(模拟模式!$S$7="日月齐光",OR(C112="幽月轮1",C112="幽月轮2",C112="幽月轮3",CR111),NOT(OR(C112="赤日轮1",C112="赤日轮2",C112="赤日轮3")))</f>
        <v>0</v>
      </c>
      <c r="CS112" s="115" t="b">
        <f ca="1">AND(模拟模式!$S$7="日月齐光",OR(C112="赤日轮1",C112="赤日轮2",C112="赤日轮3",CS111),NOT(OR(C112="幽月轮1",C112="幽月轮2",C112="幽月轮3")))</f>
        <v>0</v>
      </c>
      <c r="CT112" s="115">
        <f t="shared" ca="1" si="116"/>
        <v>11.550000000000011</v>
      </c>
      <c r="CU112" s="115" t="b">
        <f ca="1">AND(模拟模式!$K$10="阴阳往极",CT111=0,RAND()&lt;IF(C112="净世破魔击·月",0.0275*7/3,IF(C112="净世破魔击·日",0.0275*3/3,0.0275*2/3)))</f>
        <v>0</v>
      </c>
      <c r="CV112" s="115">
        <f t="shared" ca="1" si="117"/>
        <v>0</v>
      </c>
      <c r="CW112" s="115">
        <f t="shared" ca="1" si="76"/>
        <v>3.2324999999999995</v>
      </c>
      <c r="CX112" s="115">
        <f t="shared" ca="1" si="77"/>
        <v>1.3874999999999997</v>
      </c>
      <c r="CY112" s="115">
        <f ca="1">MAX(IF($C112="驱夜断愁",IF(模拟模式!$R$7="万念俱寂",6,45),CY111-$F$4),0)</f>
        <v>2.3099999999999996</v>
      </c>
      <c r="CZ112" s="115">
        <f t="shared" ca="1" si="78"/>
        <v>0</v>
      </c>
      <c r="DA112" s="115">
        <f ca="1">IF(模拟模式!$N$7="日月同辉",IF(DB111=2,0,MIN(6,IF(AND(OR(C112="赤日轮1",C112="赤日轮2",C112="赤日轮3",C112="幽月轮1",C112="幽月轮2",C112="幽月轮3"),AB112=1),DA111+1,DA111))),0)</f>
        <v>1</v>
      </c>
      <c r="DB112" s="115">
        <f t="shared" ca="1" si="79"/>
        <v>0</v>
      </c>
      <c r="DD112" s="115"/>
      <c r="DE112" s="115"/>
      <c r="DF112" s="115"/>
      <c r="DG112" s="115"/>
      <c r="DH112" s="115"/>
      <c r="DI112" s="115"/>
      <c r="DJ112" s="115"/>
      <c r="DK112" s="115"/>
      <c r="DL112" s="115"/>
      <c r="DM112" s="115"/>
    </row>
    <row r="113" spans="2:117" x14ac:dyDescent="0.2">
      <c r="B113" s="117">
        <f t="shared" si="80"/>
        <v>79.334999999999965</v>
      </c>
      <c r="C113" s="167" t="str">
        <f t="shared" ca="1" si="66"/>
        <v>赤日轮1</v>
      </c>
      <c r="D113" s="115">
        <f ca="1">IF(C113="赤日轮1",1,IF(C113="赤日轮2",2,IF(C113="赤日轮3",3,IF(C113="幽月轮1",4,IF(C113="幽月轮2",5,IF(C113="幽月轮3",6,IF(C113="烈日斩",7,IF(C113="银月斩",8,IF(C113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113="净世破魔击·月",17,IF(C113="驱夜断愁",18,0)))))))))))</f>
        <v>1</v>
      </c>
      <c r="E113" s="115">
        <f ca="1">IF(AND(CU113,OR(C113="幽月轮1",C113="幽月轮2",C113="幽月轮3",C113="银月斩",C113="驱夜断愁",C113="净世破魔击·月")),100,MIN(IF(OR(CN113,BE113),0,IF(OR($C113="赤日轮1",$C113="赤日轮2",$C113="赤日轮3"),E112+20+IF(模拟模式!$I$7="日月凌天",4,0)+IF(CR112,20,0),IF($C113="烈日斩",E112+40,IF($C113="驱夜断愁",IF(模拟模式!$R$7="万念俱寂",E112+20,E112+60),IF($C113="净世破魔击·月",IF(OR(DB112&gt;0,CV112&gt;0),100,IF(模拟模式!$M$7="辉耀红尘",E112+20,E112)),IF($C113="净世破魔击·日",E112-100,E112)))))),100))</f>
        <v>20</v>
      </c>
      <c r="F113" s="115">
        <f ca="1">IF(AND(CU113,OR(C113="赤日轮1",C113="赤日轮2",C113="赤日轮3",C113="烈日斩",C113="净世破魔击·日")),100,MIN(IF(CO113,0,IF(OR($C113="幽月轮1",$C113="幽月轮2",$C113="幽月轮3"),F112+20+IF(模拟模式!$I$7="日月凌天",4,0)+IF(CS112,20,0),IF($C113="银月斩",F112+40+IF(模拟模式!$X$12=1,5,0),IF($C113="驱夜断愁",IF(模拟模式!$R$7="万念俱寂",F112+20,F112+60),IF($C113="净世破魔击·月",IF(模拟模式!$M$7="辉耀红尘",F112-80,F112-100),IF(AND(C113="净世破魔击·日",OR(DB112&gt;0,CV112&gt;0)),100,F112)))))),100))</f>
        <v>20</v>
      </c>
      <c r="G113" s="117">
        <f ca="1">('模拟-全程加成'!$E$3+'模拟-全程加成'!$E$4+'模拟-全程加成'!$E$5+('模拟-全程加成'!$C$6-'模拟-全程加成'!$C$3)*系数!$B$9+BS113*23)*(1+'模拟-全程加成'!$F$4+'模拟-全程加成'!$F$5+BJ113*10%+BM113*20%+BP113*4%+CG113*30%)+$F$7*系数!$B$12</f>
        <v>21493.829400000002</v>
      </c>
      <c r="H113" s="45">
        <f ca="1">'模拟-全程加成'!$H$3+'模拟-全程加成'!$H$4+'模拟-全程加成'!$H$5+('模拟-全程加成'!$G$4+'模拟-全程加成'!$G$5+('模拟-全程加成'!$C$6-'模拟-全程加成'!$C$3)*系数!$B$13)/系数!$B$3+LOOKUP(D113,'模拟-单技能数据'!$A$2:$A$19,'模拟-单技能数据'!$K$2:$K$19)+BG113*10%+IF(BV113&gt;0,378,0)</f>
        <v>0.4618514552730022</v>
      </c>
      <c r="I113" s="45">
        <f ca="1">'模拟-全程加成'!$J$3+'模拟-全程加成'!$J$4+'模拟-全程加成'!$J$5+('模拟-全程加成'!$I$4+'模拟-全程加成'!$I$5)/系数!$B$4+LOOKUP(D113,'模拟-单技能数据'!$A$2:$A$19,'模拟-单技能数据'!$L$2:$L$19)+BG113*10%</f>
        <v>2.162482885499879</v>
      </c>
      <c r="J113" s="45">
        <f ca="1">(('模拟-全程加成'!$K$3+'模拟-全程加成'!$K$4+'模拟-全程加成'!$K$5+('模拟-全程加成'!$C$6-'模拟-全程加成'!$C$3)*系数!$B$10+IF(BV113&gt;0,882,0)+IF(BY113&gt;0,1831,0))*(1+'模拟-全程加成'!$L$4+'模拟-全程加成'!$L$5+CC113*20%))/系数!$B$5</f>
        <v>0.69723220422048726</v>
      </c>
      <c r="K113" s="119">
        <f ca="1">LOOKUP(D113,'模拟-单技能数据'!$A$2:$A$19,'模拟-单技能数据'!$J$2:$J$19)+IF(CM113,60%,0)+IF(DB112-DB113&gt;0,30%,0)+IF(OR(AND(OR(C113="赤日轮1",C113="赤日轮2",C113="赤日轮3"),CR113),AND(OR(C113="幽月轮1",C113="幽月轮2",C113="幽月轮3"),CS113)),35%,0)+CJ113</f>
        <v>0.12</v>
      </c>
      <c r="L113" s="119">
        <f ca="1">IF(AND(C113="烈日斩",模拟模式!$X$11=1),10%,0)+IF(AND(C113="驱夜断愁",AB113=1),30%,0)</f>
        <v>0</v>
      </c>
      <c r="M113" s="45">
        <f t="shared" ca="1" si="81"/>
        <v>0.4618514552730022</v>
      </c>
      <c r="N113" s="45">
        <f t="shared" ca="1" si="82"/>
        <v>0.48424854472699785</v>
      </c>
      <c r="O113" s="46">
        <f t="shared" ca="1" si="83"/>
        <v>0.68309937214869265</v>
      </c>
      <c r="P113" s="46" t="str">
        <f t="shared" ca="1" si="84"/>
        <v>命</v>
      </c>
      <c r="Q113" s="45">
        <f t="shared" ca="1" si="85"/>
        <v>1</v>
      </c>
      <c r="R113" s="117">
        <f ca="1">模拟模式!$E$20*(1-IF(模拟模式!$J$19="有",0.15,0))*(1-IF(模拟模式!$K$19="有",0.3,0)-IF(CQ113,0.5,0))</f>
        <v>843.02999999999975</v>
      </c>
      <c r="S113" s="45">
        <f ca="1">R113/(R113+(185*模拟模式!$E$22-16800)*4.08224)</f>
        <v>8.389626085980037E-2</v>
      </c>
      <c r="T113" s="45" t="str">
        <f ca="1">LOOKUP(D113,'模拟-单技能数据'!$A$2:$A$19,'模拟-单技能数据'!$H$2:$H$19)</f>
        <v>阳</v>
      </c>
      <c r="U113" s="119">
        <f t="shared" ca="1" si="86"/>
        <v>0.2</v>
      </c>
      <c r="V113" s="47">
        <f ca="1">(1+L113)*(LOOKUP(D113,'模拟-单技能数据'!$A$2:$A$19,'模拟-单技能数据'!$D$2:$D$19)+G113*LOOKUP(D113,'模拟-单技能数据'!$A$2:$A$19,'模拟-单技能数据'!$F$2:$F$19))*(1+J113)*(1+K113)*(1-S113)*(1+U113)*Q113*LOOKUP(D113,'模拟-单技能数据'!$A$2:$A$19,'模拟-单技能数据'!$I$2:$I$20)</f>
        <v>26295.771631143321</v>
      </c>
      <c r="W113" s="47">
        <f ca="1">LOOKUP(D113,'模拟-单技能数据'!$A$2:$A$19,'模拟-单技能数据'!$G$2:$G$19)*$I$10</f>
        <v>361.51064354704795</v>
      </c>
      <c r="X113" s="47">
        <f t="shared" ca="1" si="87"/>
        <v>11607.89185245618</v>
      </c>
      <c r="Y113" s="47">
        <f t="shared" ca="1" si="88"/>
        <v>38265.174127146551</v>
      </c>
      <c r="Z113" s="49">
        <f t="shared" ca="1" si="89"/>
        <v>8752708.1905253362</v>
      </c>
      <c r="AA113" s="97">
        <f t="shared" ca="1" si="90"/>
        <v>110325.9367306402</v>
      </c>
      <c r="AB113" s="115">
        <f ca="1">IF(OR(C113="赤日轮1",C113="赤日轮2",C113="赤日轮3"),IF(RAND()&lt;模拟模式!$Y$17,1,0),IF(OR(C113="幽月轮1",C113="幽月轮2",C113="幽月轮3"),IF(RAND()&lt;模拟模式!$Y$18,1,0),IF(C113="烈日斩",IF(RAND()&lt;模拟模式!$Y$19,1,0),IF(C113="银月斩",IF(RAND()&lt;模拟模式!$Y$20,1,0),IF(C113="驱夜断愁",IF(RAND()&lt;模拟模式!$Y$21,1,0),IF(C113="净世破魔击·日",IF(RAND()&lt;模拟模式!$Y$22,1,0),IF(C113="净世破魔击·月",IF(RAND()&lt;模拟模式!$Y$23,1,0),0)))))))</f>
        <v>1</v>
      </c>
      <c r="AC113" s="115" t="b">
        <f t="shared" ca="1" si="67"/>
        <v>0</v>
      </c>
      <c r="AD113" s="115" t="b">
        <f t="shared" ca="1" si="118"/>
        <v>0</v>
      </c>
      <c r="AE113" s="115">
        <f t="shared" ca="1" si="119"/>
        <v>3</v>
      </c>
      <c r="AF113" s="47">
        <f ca="1">IF(AC113,('模拟-单技能数据'!$D$20+G113*'模拟-单技能数据'!$F$20)*(1+J113)*(1+'模拟-单技能数据'!$J$20)*(1+U113),0)</f>
        <v>0</v>
      </c>
      <c r="AG113" s="61">
        <f t="shared" ca="1" si="91"/>
        <v>0.64185145527300214</v>
      </c>
      <c r="AH113" s="61">
        <f t="shared" ca="1" si="92"/>
        <v>2.2624828854998791</v>
      </c>
      <c r="AI113" s="62">
        <f t="shared" ca="1" si="93"/>
        <v>0.14205147134259755</v>
      </c>
      <c r="AJ113" s="47">
        <f ca="1">IF(AD113,IF(AI113&lt;$F$10,0,IF(AI113&lt;$F$10+$F$11,0.25,IF(AI113&lt;$F$10+$F$11+AG113,AH113,1)))*IF(AF113&gt;0,AF113,IF(AF112&gt;0,AF112,IF(AF111&gt;0,AF111,IF(AF110&gt;0,AF110,IF(AF109&gt;0,AF109,IF(AF108&gt;0,AF108,IF(AF107&gt;0,AF107,IF(AF106&gt;0,AF106,IF(AF105&gt;0,AF105,IF(AF103&gt;0,AF103,IF(AF102&gt;0,AF102,IF(AF101&gt;0,AF101,0)))))))))))),0)*(1-$S113)*'模拟-单技能数据'!$I$20</f>
        <v>0</v>
      </c>
      <c r="AK113" s="115" t="b">
        <f t="shared" ca="1" si="68"/>
        <v>0</v>
      </c>
      <c r="AL113" s="115" t="b">
        <f t="shared" ca="1" si="120"/>
        <v>1</v>
      </c>
      <c r="AM113" s="115">
        <f t="shared" ca="1" si="121"/>
        <v>5</v>
      </c>
      <c r="AN113" s="47">
        <f ca="1">IF(AK113,('模拟-单技能数据'!$D$21+G113*'模拟-单技能数据'!$F$21)*(1+J113)*(1+'模拟-单技能数据'!$J$21)*(1+U113),0)</f>
        <v>0</v>
      </c>
      <c r="AO113" s="61">
        <f ca="1">IF(AN113&gt;0,M113-'模拟-单技能数据'!$K$10,AO112)</f>
        <v>0.42185145527300216</v>
      </c>
      <c r="AP113" s="61">
        <f ca="1">IF(AN113&gt;0,I113-'模拟-单技能数据'!$L$10,AP112)</f>
        <v>2.162482885499879</v>
      </c>
      <c r="AQ113" s="63">
        <f t="shared" ca="1" si="94"/>
        <v>0.65869266823073869</v>
      </c>
      <c r="AR113" s="64">
        <f ca="1">IF(AL113,IF(AQ113&lt;$F$10,0,IF(AQ113&lt;$F$10+$F$11,0.25,IF(AQ113&lt;$F$10+$F$11+AO113,AP113,1)))*IF(AN113&gt;0,AN113,IF(AN112&gt;0,AN112,IF(AN111&gt;0,AN111,IF(AN110&gt;0,AN110,IF(AN109&gt;0,AN109,IF(AN108&gt;0,AN108,IF(AN107&gt;0,AN107,IF(AN106&gt;0,AN106,IF(AN105&gt;0,AN105,IF(AN103&gt;0,AN103,IF(AN102&gt;0,AN102,IF(AN101&gt;0,AN101,0)))))))))))),0)*(1-$S113)*'模拟-单技能数据'!$I$21</f>
        <v>11607.89185245618</v>
      </c>
      <c r="AS113" s="61">
        <f ca="1">IF(OR(C113="净世破魔击·日",C113="净世破魔击·月"),M113-'模拟-单技能数据'!$K$10,0)</f>
        <v>0</v>
      </c>
      <c r="AT113" s="61">
        <f ca="1">IF(OR(C113="净世破魔击·日",C113="净世破魔击·月"),I113-'模拟-单技能数据'!$L$10,0)</f>
        <v>0</v>
      </c>
      <c r="AU113" s="62">
        <f t="shared" ca="1" si="95"/>
        <v>0.93684900191454656</v>
      </c>
      <c r="AV113" s="64">
        <f ca="1">IF(AS113&gt;0,('模拟-单技能数据'!$D$22+G113*'模拟-单技能数据'!$F$22)*(1+J113)*(1-S113)*IF(AU113&lt;$F$10,0,IF(AU113&lt;$F$10+$F$11,0.25,IF(AU113&lt;$F$10+$F$11+AS113,AT113,1)))*(1+U113),0)*'模拟-单技能数据'!$I$22</f>
        <v>0</v>
      </c>
      <c r="AW113" s="108">
        <f t="shared" ca="1" si="96"/>
        <v>0</v>
      </c>
      <c r="AX113" s="108" t="b">
        <f ca="1">AND(模拟模式!$P$10="有",AW112=0,RAND()&lt;IF(C113="净世破魔击·月",0.1*8/3,IF(C113="净世破魔击·日",0.1*4/3,0.1*2/3)))</f>
        <v>0</v>
      </c>
      <c r="AY113" s="47">
        <f ca="1">IF(AX113,(18+G113*0.722)*(1+J113)*(1-S113)*(1+$I$4)*IF(P113="会",'模拟-全程加成'!$J$3+'模拟-全程加成'!$J$4+'模拟-全程加成'!$J$5+('模拟-全程加成'!$I$4+'模拟-全程加成'!$I$5)/系数!$B$4+BG113*10%,IF(P113="命",1,IF(P113="识",0.25,0))),0)</f>
        <v>0</v>
      </c>
      <c r="AZ113" s="108">
        <f t="shared" si="97"/>
        <v>1.5500000000000065</v>
      </c>
      <c r="BA113" s="108" t="b">
        <f>AND(模拟模式!$Q$10="有",AZ112=0)</f>
        <v>0</v>
      </c>
      <c r="BB113" s="140">
        <f>IF(BA113,(0+G113*0.287)*(1+J113)*(1-S113)*(1+$I$4)*IF(P113="会",'模拟-全程加成'!$J$3+'模拟-全程加成'!$J$4+'模拟-全程加成'!$J$5+('模拟-全程加成'!$I$4+'模拟-全程加成'!$I$5)/系数!$B$4+BG113*10%,IF(P113="命",1,IF(P113="识",0.25,0))),0)</f>
        <v>0</v>
      </c>
      <c r="BC113" s="115" t="b">
        <f ca="1">AND(模拟模式!$R$7="伏明众生",E113=60,F113=20,DA113&lt;5,CZ112&lt;$F$4)</f>
        <v>0</v>
      </c>
      <c r="BD113" s="115">
        <f t="shared" ca="1" si="69"/>
        <v>0</v>
      </c>
      <c r="BE113" s="115" t="b">
        <f t="shared" ca="1" si="70"/>
        <v>0</v>
      </c>
      <c r="BF113" s="47">
        <f ca="1">IF(BC113,4*('模拟-单技能数据'!$D$24+G113*'模拟-单技能数据'!$F$24)*(1+J113)*(1+'模拟-单技能数据'!$J$24)*(1-S113)*(1+$I$3)*(('模拟-全程加成'!$J$3+'模拟-全程加成'!$J$4+'模拟-全程加成'!$J$5+('模拟-全程加成'!$I$4+'模拟-全程加成'!$I$5)/系数!$B$4+BG113*10%)*('模拟-全程加成'!$J$3+'模拟-全程加成'!$J$4+'模拟-全程加成'!$J$5+('模拟-全程加成'!$I$4+'模拟-全程加成'!$I$5)/系数!$B$4+BG113*10%)+(1-('模拟-全程加成'!$J$3+'模拟-全程加成'!$J$4+'模拟-全程加成'!$J$5+('模拟-全程加成'!$I$4+'模拟-全程加成'!$I$5)/系数!$B$4+BG113*10%)-$F$10-$F$11)+F99*0.25),0)*'模拟-单技能数据'!$I$24</f>
        <v>0</v>
      </c>
      <c r="BG113" s="115" t="b">
        <f ca="1">OR(AND(OR(C113="烈日斩",C113="银月斩"),模拟模式!$I$7="净身明礼"),AND(C113="净世破魔击·日",模拟模式!$J$7="洞若观火"),AND(C114="净世破魔击·月",模拟模式!$J$7="洞若观火"),AB113=1)</f>
        <v>1</v>
      </c>
      <c r="BH113" s="115" t="b">
        <f t="shared" ca="1" si="98"/>
        <v>1</v>
      </c>
      <c r="BI113" s="115">
        <f t="shared" ca="1" si="71"/>
        <v>6</v>
      </c>
      <c r="BJ113" s="115" t="b">
        <f t="shared" ca="1" si="99"/>
        <v>1</v>
      </c>
      <c r="BK113" s="115" t="b">
        <f ca="1">AND(C113="驱夜断愁",模拟模式!$P$7="天地诛戮")</f>
        <v>0</v>
      </c>
      <c r="BL113" s="57">
        <f t="shared" ca="1" si="72"/>
        <v>15.387500000000003</v>
      </c>
      <c r="BM113" s="115" t="b">
        <f t="shared" ca="1" si="100"/>
        <v>1</v>
      </c>
      <c r="BN113" s="115" t="b">
        <f ca="1">AND(OR(C113="赤日轮1",C113="赤日轮2",C113="赤日轮3",C113="幽月轮1",C113="幽月轮2",C113="幽月轮3"),AB113=1,模拟模式!$L$7="明光恒照")</f>
        <v>1</v>
      </c>
      <c r="BO113" s="117">
        <f t="shared" ca="1" si="73"/>
        <v>30</v>
      </c>
      <c r="BP113" s="115">
        <f t="shared" ca="1" si="101"/>
        <v>6</v>
      </c>
      <c r="BQ113" s="115" t="b">
        <f>模拟模式!$K$10="2600·水"</f>
        <v>0</v>
      </c>
      <c r="BR113" s="117">
        <f t="shared" si="102"/>
        <v>0</v>
      </c>
      <c r="BS113" s="115">
        <f t="shared" si="103"/>
        <v>0</v>
      </c>
      <c r="BT113" s="115">
        <f t="shared" ca="1" si="104"/>
        <v>0</v>
      </c>
      <c r="BU113" s="115" t="b">
        <f ca="1">AND(模拟模式!$K$10="2300·雷",BT112=0,RAND()&lt;IF(C113="净世破魔击·月",5*0.05*2/3,IF(C113="净世破魔击·日",3*0.05*2/3,0.05*2*2/3)))</f>
        <v>0</v>
      </c>
      <c r="BV113" s="115">
        <f t="shared" ca="1" si="105"/>
        <v>0</v>
      </c>
      <c r="BW113" s="115">
        <f t="shared" ca="1" si="106"/>
        <v>106.19999999999925</v>
      </c>
      <c r="BX113" s="164" t="b">
        <f t="shared" ca="1" si="107"/>
        <v>0</v>
      </c>
      <c r="BY113" s="115">
        <f t="shared" ca="1" si="108"/>
        <v>0</v>
      </c>
      <c r="BZ113" s="115">
        <f>IF(OR(模拟模式!$P$16="10人团",模拟模式!$P$16="25人团"),IF(B113/30&gt;CA112,1,0),0)</f>
        <v>0</v>
      </c>
      <c r="CA113" s="115">
        <f t="shared" si="74"/>
        <v>0</v>
      </c>
      <c r="CB113" s="115">
        <f ca="1">IF(BZ113=1,IF(模拟模式!$P$16="10人团",15,0)+IF(模拟模式!$P$16="25人团",IF(RAND()&lt;0.6,15,0)),MAX(0,CB112-$F$4))</f>
        <v>0</v>
      </c>
      <c r="CC113" s="115" t="b">
        <f t="shared" ca="1" si="109"/>
        <v>0</v>
      </c>
      <c r="CD113" s="115">
        <f>IF(模拟模式!$Q$16="1个",IF(B113/40&gt;CE112,1,0),0)</f>
        <v>0</v>
      </c>
      <c r="CE113" s="115">
        <f t="shared" si="110"/>
        <v>0</v>
      </c>
      <c r="CF113" s="115">
        <f>IF(OR(CD113=1,模拟模式!$Q$16="2个"),20,MAX(0,CF112-$F$4))</f>
        <v>0</v>
      </c>
      <c r="CG113" s="115" t="b">
        <f t="shared" si="111"/>
        <v>0</v>
      </c>
      <c r="CH113" s="115">
        <f t="shared" ca="1" si="112"/>
        <v>19.852500000000006</v>
      </c>
      <c r="CI113" s="115" t="b">
        <f t="shared" ca="1" si="113"/>
        <v>0</v>
      </c>
      <c r="CJ113" s="119">
        <f t="shared" ca="1" si="114"/>
        <v>0</v>
      </c>
      <c r="CK113" s="115">
        <f t="shared" ca="1" si="115"/>
        <v>0</v>
      </c>
      <c r="CL113" s="115" t="b">
        <f ca="1">AND(模拟模式!$S$7="驱夷逐法",OR(AND(C113="净世破魔击·月",E112&gt;59),AND(C113="净世破魔击·日",F112&gt;59)))</f>
        <v>0</v>
      </c>
      <c r="CM113" s="115" t="b">
        <f ca="1">OR(CL113,AND(C113="净世破魔击·日",CL112,RAND()&lt;模拟模式!$U$23))</f>
        <v>0</v>
      </c>
      <c r="CN113" s="115" t="b">
        <f ca="1">IF(模拟模式!$M$7="辉耀红尘",AND(C113="净世破魔击·月",CL113,CV113=0,E112&lt;80),AND(C113="净世破魔击·月",CL113,E112&lt;100))</f>
        <v>0</v>
      </c>
      <c r="CO113" s="115" t="b">
        <f t="shared" ca="1" si="75"/>
        <v>0</v>
      </c>
      <c r="CP113" s="115" t="b">
        <f ca="1">AND(模拟模式!$O$7="用晦而明",OR(C113="净世破魔击·日",C113="净世破魔击·月",C113="驱夜断愁"),AB113)</f>
        <v>0</v>
      </c>
      <c r="CQ113" s="115" t="b">
        <f ca="1">OR(CP113,AND(CP112,RAND()&lt;模拟模式!$U$23))</f>
        <v>1</v>
      </c>
      <c r="CR113" s="115" t="b">
        <f ca="1">AND(模拟模式!$S$7="日月齐光",OR(C113="幽月轮1",C113="幽月轮2",C113="幽月轮3",CR112),NOT(OR(C113="赤日轮1",C113="赤日轮2",C113="赤日轮3")))</f>
        <v>0</v>
      </c>
      <c r="CS113" s="115" t="b">
        <f ca="1">AND(模拟模式!$S$7="日月齐光",OR(C113="赤日轮1",C113="赤日轮2",C113="赤日轮3",CS112),NOT(OR(C113="幽月轮1",C113="幽月轮2",C113="幽月轮3")))</f>
        <v>0</v>
      </c>
      <c r="CT113" s="115">
        <f t="shared" ca="1" si="116"/>
        <v>10.627500000000012</v>
      </c>
      <c r="CU113" s="115" t="b">
        <f ca="1">AND(模拟模式!$K$10="阴阳往极",CT112=0,RAND()&lt;IF(C113="净世破魔击·月",0.0275*7/3,IF(C113="净世破魔击·日",0.0275*3/3,0.0275*2/3)))</f>
        <v>0</v>
      </c>
      <c r="CV113" s="115">
        <f t="shared" ca="1" si="117"/>
        <v>0</v>
      </c>
      <c r="CW113" s="115">
        <f t="shared" ca="1" si="76"/>
        <v>2.3099999999999996</v>
      </c>
      <c r="CX113" s="115">
        <f t="shared" ca="1" si="77"/>
        <v>0.46499999999999975</v>
      </c>
      <c r="CY113" s="115">
        <f ca="1">MAX(IF($C113="驱夜断愁",IF(模拟模式!$R$7="万念俱寂",6,45),CY112-$F$4),0)</f>
        <v>1.3874999999999997</v>
      </c>
      <c r="CZ113" s="115">
        <f t="shared" ca="1" si="78"/>
        <v>0</v>
      </c>
      <c r="DA113" s="115">
        <f ca="1">IF(模拟模式!$N$7="日月同辉",IF(DB112=2,0,MIN(6,IF(AND(OR(C113="赤日轮1",C113="赤日轮2",C113="赤日轮3",C113="幽月轮1",C113="幽月轮2",C113="幽月轮3"),AB113=1),DA112+1,DA112))),0)</f>
        <v>2</v>
      </c>
      <c r="DB113" s="115">
        <f t="shared" ca="1" si="79"/>
        <v>0</v>
      </c>
      <c r="DD113" s="115"/>
      <c r="DE113" s="115"/>
      <c r="DF113" s="115"/>
      <c r="DG113" s="115"/>
      <c r="DH113" s="115"/>
      <c r="DI113" s="115"/>
      <c r="DJ113" s="115"/>
      <c r="DK113" s="115"/>
      <c r="DL113" s="115"/>
      <c r="DM113" s="115"/>
    </row>
    <row r="114" spans="2:117" x14ac:dyDescent="0.2">
      <c r="B114" s="117">
        <f t="shared" si="80"/>
        <v>80.257499999999965</v>
      </c>
      <c r="C114" s="167" t="str">
        <f t="shared" ca="1" si="66"/>
        <v>银月斩</v>
      </c>
      <c r="D114" s="115">
        <f ca="1">IF(C114="赤日轮1",1,IF(C114="赤日轮2",2,IF(C114="赤日轮3",3,IF(C114="幽月轮1",4,IF(C114="幽月轮2",5,IF(C114="幽月轮3",6,IF(C114="烈日斩",7,IF(C114="银月斩",8,IF(C114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114="净世破魔击·月",17,IF(C114="驱夜断愁",18,0)))))))))))</f>
        <v>8</v>
      </c>
      <c r="E114" s="115">
        <f ca="1">IF(AND(CU114,OR(C114="幽月轮1",C114="幽月轮2",C114="幽月轮3",C114="银月斩",C114="驱夜断愁",C114="净世破魔击·月")),100,MIN(IF(OR(CN114,BE114),0,IF(OR($C114="赤日轮1",$C114="赤日轮2",$C114="赤日轮3"),E113+20+IF(模拟模式!$I$7="日月凌天",4,0)+IF(CR113,20,0),IF($C114="烈日斩",E113+40,IF($C114="驱夜断愁",IF(模拟模式!$R$7="万念俱寂",E113+20,E113+60),IF($C114="净世破魔击·月",IF(OR(DB113&gt;0,CV113&gt;0),100,IF(模拟模式!$M$7="辉耀红尘",E113+20,E113)),IF($C114="净世破魔击·日",E113-100,E113)))))),100))</f>
        <v>20</v>
      </c>
      <c r="F114" s="115">
        <f ca="1">IF(AND(CU114,OR(C114="赤日轮1",C114="赤日轮2",C114="赤日轮3",C114="烈日斩",C114="净世破魔击·日")),100,MIN(IF(CO114,0,IF(OR($C114="幽月轮1",$C114="幽月轮2",$C114="幽月轮3"),F113+20+IF(模拟模式!$I$7="日月凌天",4,0)+IF(CS113,20,0),IF($C114="银月斩",F113+40+IF(模拟模式!$X$12=1,5,0),IF($C114="驱夜断愁",IF(模拟模式!$R$7="万念俱寂",F113+20,F113+60),IF($C114="净世破魔击·月",IF(模拟模式!$M$7="辉耀红尘",F113-80,F113-100),IF(AND(C114="净世破魔击·日",OR(DB113&gt;0,CV113&gt;0)),100,F113)))))),100))</f>
        <v>65</v>
      </c>
      <c r="G114" s="117">
        <f ca="1">('模拟-全程加成'!$E$3+'模拟-全程加成'!$E$4+'模拟-全程加成'!$E$5+('模拟-全程加成'!$C$6-'模拟-全程加成'!$C$3)*系数!$B$9+BS114*23)*(1+'模拟-全程加成'!$F$4+'模拟-全程加成'!$F$5+BJ114*10%+BM114*20%+BP114*4%+CG114*30%)+$F$7*系数!$B$12</f>
        <v>21493.829400000002</v>
      </c>
      <c r="H114" s="45">
        <f ca="1">'模拟-全程加成'!$H$3+'模拟-全程加成'!$H$4+'模拟-全程加成'!$H$5+('模拟-全程加成'!$G$4+'模拟-全程加成'!$G$5+('模拟-全程加成'!$C$6-'模拟-全程加成'!$C$3)*系数!$B$13)/系数!$B$3+LOOKUP(D114,'模拟-单技能数据'!$A$2:$A$19,'模拟-单技能数据'!$K$2:$K$19)+BG114*10%+IF(BV114&gt;0,378,0)</f>
        <v>0.64185145527300214</v>
      </c>
      <c r="I114" s="45">
        <f ca="1">'模拟-全程加成'!$J$3+'模拟-全程加成'!$J$4+'模拟-全程加成'!$J$5+('模拟-全程加成'!$I$4+'模拟-全程加成'!$I$5)/系数!$B$4+LOOKUP(D114,'模拟-单技能数据'!$A$2:$A$19,'模拟-单技能数据'!$L$2:$L$19)+BG114*10%</f>
        <v>2.2624828854998791</v>
      </c>
      <c r="J114" s="45">
        <f ca="1">(('模拟-全程加成'!$K$3+'模拟-全程加成'!$K$4+'模拟-全程加成'!$K$5+('模拟-全程加成'!$C$6-'模拟-全程加成'!$C$3)*系数!$B$10+IF(BV114&gt;0,882,0)+IF(BY114&gt;0,1831,0))*(1+'模拟-全程加成'!$L$4+'模拟-全程加成'!$L$5+CC114*20%))/系数!$B$5</f>
        <v>0.69723220422048726</v>
      </c>
      <c r="K114" s="119">
        <f ca="1">LOOKUP(D114,'模拟-单技能数据'!$A$2:$A$19,'模拟-单技能数据'!$J$2:$J$19)+IF(CM114,60%,0)+IF(DB113-DB114&gt;0,30%,0)+IF(OR(AND(OR(C114="赤日轮1",C114="赤日轮2",C114="赤日轮3"),CR114),AND(OR(C114="幽月轮1",C114="幽月轮2",C114="幽月轮3"),CS114)),35%,0)+CJ114</f>
        <v>0.15</v>
      </c>
      <c r="L114" s="119">
        <f ca="1">IF(AND(C114="烈日斩",模拟模式!$X$11=1),10%,0)+IF(AND(C114="驱夜断愁",AB114=1),30%,0)</f>
        <v>0</v>
      </c>
      <c r="M114" s="45">
        <f t="shared" ca="1" si="81"/>
        <v>0.64185145527300214</v>
      </c>
      <c r="N114" s="45">
        <f t="shared" ca="1" si="82"/>
        <v>0.30424854472699792</v>
      </c>
      <c r="O114" s="46">
        <f t="shared" ca="1" si="83"/>
        <v>7.7260326260407797E-2</v>
      </c>
      <c r="P114" s="46" t="str">
        <f t="shared" ca="1" si="84"/>
        <v>会</v>
      </c>
      <c r="Q114" s="45">
        <f t="shared" ca="1" si="85"/>
        <v>2.2624828854998791</v>
      </c>
      <c r="R114" s="117">
        <f ca="1">模拟模式!$E$20*(1-IF(模拟模式!$J$19="有",0.15,0))*(1-IF(模拟模式!$K$19="有",0.3,0)-IF(CQ114,0.5,0))</f>
        <v>2950.6049999999996</v>
      </c>
      <c r="S114" s="45">
        <f ca="1">R114/(R114+(185*模拟模式!$E$22-16800)*4.08224)</f>
        <v>0.24272716014590323</v>
      </c>
      <c r="T114" s="45" t="str">
        <f ca="1">LOOKUP(D114,'模拟-单技能数据'!$A$2:$A$19,'模拟-单技能数据'!$H$2:$H$19)</f>
        <v>阴</v>
      </c>
      <c r="U114" s="119">
        <f t="shared" ca="1" si="86"/>
        <v>0.08</v>
      </c>
      <c r="V114" s="47">
        <f ca="1">(1+L114)*(LOOKUP(D114,'模拟-单技能数据'!$A$2:$A$19,'模拟-单技能数据'!$D$2:$D$19)+G114*LOOKUP(D114,'模拟-单技能数据'!$A$2:$A$19,'模拟-单技能数据'!$F$2:$F$19))*(1+J114)*(1+K114)*(1-S114)*(1+U114)*Q114*LOOKUP(D114,'模拟-单技能数据'!$A$2:$A$19,'模拟-单技能数据'!$I$2:$I$20)</f>
        <v>41211.704893206668</v>
      </c>
      <c r="W114" s="47">
        <f ca="1">LOOKUP(D114,'模拟-单技能数据'!$A$2:$A$19,'模拟-单技能数据'!$G$2:$G$19)*$I$10</f>
        <v>361.51064354704795</v>
      </c>
      <c r="X114" s="47">
        <f t="shared" ca="1" si="87"/>
        <v>7949.3543492067038</v>
      </c>
      <c r="Y114" s="47">
        <f t="shared" ca="1" si="88"/>
        <v>49522.569885960424</v>
      </c>
      <c r="Z114" s="49">
        <f t="shared" ca="1" si="89"/>
        <v>8802230.760411296</v>
      </c>
      <c r="AA114" s="97">
        <f t="shared" ca="1" si="90"/>
        <v>109674.86852208579</v>
      </c>
      <c r="AB114" s="115">
        <f ca="1">IF(OR(C114="赤日轮1",C114="赤日轮2",C114="赤日轮3"),IF(RAND()&lt;模拟模式!$Y$17,1,0),IF(OR(C114="幽月轮1",C114="幽月轮2",C114="幽月轮3"),IF(RAND()&lt;模拟模式!$Y$18,1,0),IF(C114="烈日斩",IF(RAND()&lt;模拟模式!$Y$19,1,0),IF(C114="银月斩",IF(RAND()&lt;模拟模式!$Y$20,1,0),IF(C114="驱夜断愁",IF(RAND()&lt;模拟模式!$Y$21,1,0),IF(C114="净世破魔击·日",IF(RAND()&lt;模拟模式!$Y$22,1,0),IF(C114="净世破魔击·月",IF(RAND()&lt;模拟模式!$Y$23,1,0),0)))))))</f>
        <v>1</v>
      </c>
      <c r="AC114" s="115" t="b">
        <f t="shared" ca="1" si="67"/>
        <v>1</v>
      </c>
      <c r="AD114" s="115" t="b">
        <f t="shared" ca="1" si="118"/>
        <v>1</v>
      </c>
      <c r="AE114" s="115">
        <f t="shared" ca="1" si="119"/>
        <v>5</v>
      </c>
      <c r="AF114" s="47">
        <f ca="1">IF(AC114,('模拟-单技能数据'!$D$20+G114*'模拟-单技能数据'!$F$20)*(1+J114)*(1+'模拟-单技能数据'!$J$20)*(1+U114),0)</f>
        <v>4639.7456468263617</v>
      </c>
      <c r="AG114" s="61">
        <f t="shared" ca="1" si="91"/>
        <v>0.64185145527300214</v>
      </c>
      <c r="AH114" s="61">
        <f t="shared" ca="1" si="92"/>
        <v>2.2624828854998791</v>
      </c>
      <c r="AI114" s="62">
        <f t="shared" ca="1" si="93"/>
        <v>0.57637804936416481</v>
      </c>
      <c r="AJ114" s="47">
        <f ca="1">IF(AD114,IF(AI114&lt;$F$10,0,IF(AI114&lt;$F$10+$F$11,0.25,IF(AI114&lt;$F$10+$F$11+AG114,AH114,1)))*IF(AF114&gt;0,AF114,IF(AF113&gt;0,AF113,IF(AF112&gt;0,AF112,IF(AF111&gt;0,AF111,IF(AF110&gt;0,AF110,IF(AF109&gt;0,AF109,IF(AF108&gt;0,AF108,IF(AF107&gt;0,AF107,IF(AF106&gt;0,AF106,IF(AF104&gt;0,AF104,IF(AF103&gt;0,AF103,IF(AF102&gt;0,AF102,0)))))))))))),0)*(1-$S114)*'模拟-单技能数据'!$I$20</f>
        <v>7949.3543492067038</v>
      </c>
      <c r="AK114" s="115" t="b">
        <f t="shared" ca="1" si="68"/>
        <v>0</v>
      </c>
      <c r="AL114" s="115" t="b">
        <f t="shared" ca="1" si="120"/>
        <v>0</v>
      </c>
      <c r="AM114" s="115">
        <f t="shared" ca="1" si="121"/>
        <v>5</v>
      </c>
      <c r="AN114" s="47">
        <f ca="1">IF(AK114,('模拟-单技能数据'!$D$21+G114*'模拟-单技能数据'!$F$21)*(1+J114)*(1+'模拟-单技能数据'!$J$21)*(1+U114),0)</f>
        <v>0</v>
      </c>
      <c r="AO114" s="61">
        <f ca="1">IF(AN114&gt;0,M114-'模拟-单技能数据'!$K$10,AO113)</f>
        <v>0.42185145527300216</v>
      </c>
      <c r="AP114" s="61">
        <f ca="1">IF(AN114&gt;0,I114-'模拟-单技能数据'!$L$10,AP113)</f>
        <v>2.162482885499879</v>
      </c>
      <c r="AQ114" s="63">
        <f t="shared" ca="1" si="94"/>
        <v>0.42197899471222389</v>
      </c>
      <c r="AR114" s="64">
        <f ca="1">IF(AL114,IF(AQ114&lt;$F$10,0,IF(AQ114&lt;$F$10+$F$11,0.25,IF(AQ114&lt;$F$10+$F$11+AO114,AP114,1)))*IF(AN114&gt;0,AN114,IF(AN113&gt;0,AN113,IF(AN112&gt;0,AN112,IF(AN111&gt;0,AN111,IF(AN110&gt;0,AN110,IF(AN109&gt;0,AN109,IF(AN108&gt;0,AN108,IF(AN107&gt;0,AN107,IF(AN106&gt;0,AN106,IF(AN104&gt;0,AN104,IF(AN103&gt;0,AN103,IF(AN102&gt;0,AN102,0)))))))))))),0)*(1-$S114)*'模拟-单技能数据'!$I$21</f>
        <v>0</v>
      </c>
      <c r="AS114" s="61">
        <f ca="1">IF(OR(C114="净世破魔击·日",C114="净世破魔击·月"),M114-'模拟-单技能数据'!$K$10,0)</f>
        <v>0</v>
      </c>
      <c r="AT114" s="61">
        <f ca="1">IF(OR(C114="净世破魔击·日",C114="净世破魔击·月"),I114-'模拟-单技能数据'!$L$10,0)</f>
        <v>0</v>
      </c>
      <c r="AU114" s="62">
        <f t="shared" ca="1" si="95"/>
        <v>0.40903206066889808</v>
      </c>
      <c r="AV114" s="64">
        <f ca="1">IF(AS114&gt;0,('模拟-单技能数据'!$D$22+G114*'模拟-单技能数据'!$F$22)*(1+J114)*(1-S114)*IF(AU114&lt;$F$10,0,IF(AU114&lt;$F$10+$F$11,0.25,IF(AU114&lt;$F$10+$F$11+AS114,AT114,1)))*(1+U114),0)*'模拟-单技能数据'!$I$22</f>
        <v>0</v>
      </c>
      <c r="AW114" s="108">
        <f t="shared" ca="1" si="96"/>
        <v>0</v>
      </c>
      <c r="AX114" s="108" t="b">
        <f ca="1">AND(模拟模式!$P$10="有",AW113=0,RAND()&lt;IF(C114="净世破魔击·月",0.1*8/3,IF(C114="净世破魔击·日",0.1*4/3,0.1*2/3)))</f>
        <v>0</v>
      </c>
      <c r="AY114" s="47">
        <f ca="1">IF(AX114,(18+G114*0.722)*(1+J114)*(1-S114)*(1+$I$4)*IF(P114="会",'模拟-全程加成'!$J$3+'模拟-全程加成'!$J$4+'模拟-全程加成'!$J$5+('模拟-全程加成'!$I$4+'模拟-全程加成'!$I$5)/系数!$B$4+BG114*10%,IF(P114="命",1,IF(P114="识",0.25,0))),0)</f>
        <v>0</v>
      </c>
      <c r="AZ114" s="108">
        <f t="shared" si="97"/>
        <v>0.6275000000000065</v>
      </c>
      <c r="BA114" s="108" t="b">
        <f>AND(模拟模式!$Q$10="有",AZ113=0)</f>
        <v>0</v>
      </c>
      <c r="BB114" s="140">
        <f>IF(BA114,(0+G114*0.287)*(1+J114)*(1-S114)*(1+$I$4)*IF(P114="会",'模拟-全程加成'!$J$3+'模拟-全程加成'!$J$4+'模拟-全程加成'!$J$5+('模拟-全程加成'!$I$4+'模拟-全程加成'!$I$5)/系数!$B$4+BG114*10%,IF(P114="命",1,IF(P114="识",0.25,0))),0)</f>
        <v>0</v>
      </c>
      <c r="BC114" s="115" t="b">
        <f ca="1">AND(模拟模式!$R$7="伏明众生",E114=60,F114=20,DA114&lt;5,CZ113&lt;$F$4)</f>
        <v>0</v>
      </c>
      <c r="BD114" s="115">
        <f t="shared" ca="1" si="69"/>
        <v>0</v>
      </c>
      <c r="BE114" s="115" t="b">
        <f t="shared" ca="1" si="70"/>
        <v>0</v>
      </c>
      <c r="BF114" s="47">
        <f ca="1">IF(BC114,4*('模拟-单技能数据'!$D$24+G114*'模拟-单技能数据'!$F$24)*(1+J114)*(1+'模拟-单技能数据'!$J$24)*(1-S114)*(1+$I$3)*(('模拟-全程加成'!$J$3+'模拟-全程加成'!$J$4+'模拟-全程加成'!$J$5+('模拟-全程加成'!$I$4+'模拟-全程加成'!$I$5)/系数!$B$4+BG114*10%)*('模拟-全程加成'!$J$3+'模拟-全程加成'!$J$4+'模拟-全程加成'!$J$5+('模拟-全程加成'!$I$4+'模拟-全程加成'!$I$5)/系数!$B$4+BG114*10%)+(1-('模拟-全程加成'!$J$3+'模拟-全程加成'!$J$4+'模拟-全程加成'!$J$5+('模拟-全程加成'!$I$4+'模拟-全程加成'!$I$5)/系数!$B$4+BG114*10%)-$F$10-$F$11)+F100*0.25),0)*'模拟-单技能数据'!$I$24</f>
        <v>0</v>
      </c>
      <c r="BG114" s="115" t="b">
        <f ca="1">OR(AND(OR(C114="烈日斩",C114="银月斩"),模拟模式!$I$7="净身明礼"),AND(C114="净世破魔击·日",模拟模式!$J$7="洞若观火"),AND(C115="净世破魔击·月",模拟模式!$J$7="洞若观火"),AB114=1)</f>
        <v>1</v>
      </c>
      <c r="BH114" s="115" t="b">
        <f t="shared" ca="1" si="98"/>
        <v>0</v>
      </c>
      <c r="BI114" s="115">
        <f t="shared" ca="1" si="71"/>
        <v>5.0774999999999997</v>
      </c>
      <c r="BJ114" s="115" t="b">
        <f t="shared" ca="1" si="99"/>
        <v>1</v>
      </c>
      <c r="BK114" s="115" t="b">
        <f ca="1">AND(C114="驱夜断愁",模拟模式!$P$7="天地诛戮")</f>
        <v>0</v>
      </c>
      <c r="BL114" s="57">
        <f t="shared" ca="1" si="72"/>
        <v>14.465000000000003</v>
      </c>
      <c r="BM114" s="115" t="b">
        <f t="shared" ca="1" si="100"/>
        <v>1</v>
      </c>
      <c r="BN114" s="115" t="b">
        <f ca="1">AND(OR(C114="赤日轮1",C114="赤日轮2",C114="赤日轮3",C114="幽月轮1",C114="幽月轮2",C114="幽月轮3"),AB114=1,模拟模式!$L$7="明光恒照")</f>
        <v>0</v>
      </c>
      <c r="BO114" s="117">
        <f t="shared" ca="1" si="73"/>
        <v>29.077500000000001</v>
      </c>
      <c r="BP114" s="115">
        <f t="shared" ca="1" si="101"/>
        <v>6</v>
      </c>
      <c r="BQ114" s="115" t="b">
        <f>模拟模式!$K$10="2600·水"</f>
        <v>0</v>
      </c>
      <c r="BR114" s="117">
        <f t="shared" si="102"/>
        <v>0</v>
      </c>
      <c r="BS114" s="115">
        <f t="shared" si="103"/>
        <v>0</v>
      </c>
      <c r="BT114" s="115">
        <f t="shared" ca="1" si="104"/>
        <v>0</v>
      </c>
      <c r="BU114" s="115" t="b">
        <f ca="1">AND(模拟模式!$K$10="2300·雷",BT113=0,RAND()&lt;IF(C114="净世破魔击·月",5*0.05*2/3,IF(C114="净世破魔击·日",3*0.05*2/3,0.05*2*2/3)))</f>
        <v>0</v>
      </c>
      <c r="BV114" s="115">
        <f t="shared" ca="1" si="105"/>
        <v>0</v>
      </c>
      <c r="BW114" s="115">
        <f t="shared" ca="1" si="106"/>
        <v>105.27749999999925</v>
      </c>
      <c r="BX114" s="164" t="b">
        <f t="shared" ca="1" si="107"/>
        <v>0</v>
      </c>
      <c r="BY114" s="115">
        <f t="shared" ca="1" si="108"/>
        <v>0</v>
      </c>
      <c r="BZ114" s="115">
        <f>IF(OR(模拟模式!$P$16="10人团",模拟模式!$P$16="25人团"),IF(B114/30&gt;CA113,1,0),0)</f>
        <v>0</v>
      </c>
      <c r="CA114" s="115">
        <f t="shared" si="74"/>
        <v>0</v>
      </c>
      <c r="CB114" s="115">
        <f ca="1">IF(BZ114=1,IF(模拟模式!$P$16="10人团",15,0)+IF(模拟模式!$P$16="25人团",IF(RAND()&lt;0.6,15,0)),MAX(0,CB113-$F$4))</f>
        <v>0</v>
      </c>
      <c r="CC114" s="115" t="b">
        <f t="shared" ca="1" si="109"/>
        <v>0</v>
      </c>
      <c r="CD114" s="115">
        <f>IF(模拟模式!$Q$16="1个",IF(B114/40&gt;CE113,1,0),0)</f>
        <v>0</v>
      </c>
      <c r="CE114" s="115">
        <f t="shared" si="110"/>
        <v>0</v>
      </c>
      <c r="CF114" s="115">
        <f>IF(OR(CD114=1,模拟模式!$Q$16="2个"),20,MAX(0,CF113-$F$4))</f>
        <v>0</v>
      </c>
      <c r="CG114" s="115" t="b">
        <f t="shared" si="111"/>
        <v>0</v>
      </c>
      <c r="CH114" s="115">
        <f t="shared" ca="1" si="112"/>
        <v>18.930000000000007</v>
      </c>
      <c r="CI114" s="115" t="b">
        <f t="shared" ca="1" si="113"/>
        <v>0</v>
      </c>
      <c r="CJ114" s="119">
        <f t="shared" ca="1" si="114"/>
        <v>0</v>
      </c>
      <c r="CK114" s="115">
        <f t="shared" ca="1" si="115"/>
        <v>0</v>
      </c>
      <c r="CL114" s="115" t="b">
        <f ca="1">AND(模拟模式!$S$7="驱夷逐法",OR(AND(C114="净世破魔击·月",E113&gt;59),AND(C114="净世破魔击·日",F113&gt;59)))</f>
        <v>0</v>
      </c>
      <c r="CM114" s="115" t="b">
        <f ca="1">OR(CL114,AND(C114="净世破魔击·日",CL113,RAND()&lt;模拟模式!$U$23))</f>
        <v>0</v>
      </c>
      <c r="CN114" s="115" t="b">
        <f ca="1">IF(模拟模式!$M$7="辉耀红尘",AND(C114="净世破魔击·月",CL114,CV114=0,E113&lt;80),AND(C114="净世破魔击·月",CL114,E113&lt;100))</f>
        <v>0</v>
      </c>
      <c r="CO114" s="115" t="b">
        <f t="shared" ca="1" si="75"/>
        <v>0</v>
      </c>
      <c r="CP114" s="115" t="b">
        <f ca="1">AND(模拟模式!$O$7="用晦而明",OR(C114="净世破魔击·日",C114="净世破魔击·月",C114="驱夜断愁"),AB114)</f>
        <v>0</v>
      </c>
      <c r="CQ114" s="115" t="b">
        <f ca="1">OR(CP114,AND(CP113,RAND()&lt;模拟模式!$U$23))</f>
        <v>0</v>
      </c>
      <c r="CR114" s="115" t="b">
        <f ca="1">AND(模拟模式!$S$7="日月齐光",OR(C114="幽月轮1",C114="幽月轮2",C114="幽月轮3",CR113),NOT(OR(C114="赤日轮1",C114="赤日轮2",C114="赤日轮3")))</f>
        <v>0</v>
      </c>
      <c r="CS114" s="115" t="b">
        <f ca="1">AND(模拟模式!$S$7="日月齐光",OR(C114="赤日轮1",C114="赤日轮2",C114="赤日轮3",CS113),NOT(OR(C114="幽月轮1",C114="幽月轮2",C114="幽月轮3")))</f>
        <v>0</v>
      </c>
      <c r="CT114" s="115">
        <f t="shared" ca="1" si="116"/>
        <v>9.7050000000000125</v>
      </c>
      <c r="CU114" s="115" t="b">
        <f ca="1">AND(模拟模式!$K$10="阴阳往极",CT113=0,RAND()&lt;IF(C114="净世破魔击·月",0.0275*7/3,IF(C114="净世破魔击·日",0.0275*3/3,0.0275*2/3)))</f>
        <v>0</v>
      </c>
      <c r="CV114" s="115">
        <f t="shared" ca="1" si="117"/>
        <v>0</v>
      </c>
      <c r="CW114" s="115">
        <f t="shared" ca="1" si="76"/>
        <v>1.3874999999999997</v>
      </c>
      <c r="CX114" s="115">
        <f t="shared" ca="1" si="77"/>
        <v>6</v>
      </c>
      <c r="CY114" s="115">
        <f ca="1">MAX(IF($C114="驱夜断愁",IF(模拟模式!$R$7="万念俱寂",6,45),CY113-$F$4),0)</f>
        <v>0.46499999999999975</v>
      </c>
      <c r="CZ114" s="115">
        <f t="shared" ca="1" si="78"/>
        <v>0</v>
      </c>
      <c r="DA114" s="115">
        <f ca="1">IF(模拟模式!$N$7="日月同辉",IF(DB113=2,0,MIN(6,IF(AND(OR(C114="赤日轮1",C114="赤日轮2",C114="赤日轮3",C114="幽月轮1",C114="幽月轮2",C114="幽月轮3"),AB114=1),DA113+1,DA113))),0)</f>
        <v>2</v>
      </c>
      <c r="DB114" s="115">
        <f t="shared" ca="1" si="79"/>
        <v>0</v>
      </c>
      <c r="DD114" s="115"/>
      <c r="DE114" s="115"/>
      <c r="DF114" s="115"/>
      <c r="DG114" s="115"/>
      <c r="DH114" s="115"/>
      <c r="DI114" s="115"/>
      <c r="DJ114" s="115"/>
      <c r="DK114" s="115"/>
      <c r="DL114" s="115"/>
      <c r="DM114" s="115"/>
    </row>
    <row r="115" spans="2:117" x14ac:dyDescent="0.2">
      <c r="B115" s="117">
        <f t="shared" si="80"/>
        <v>81.179999999999964</v>
      </c>
      <c r="C115" s="167" t="str">
        <f t="shared" ca="1" si="66"/>
        <v>驱夜断愁</v>
      </c>
      <c r="D115" s="115">
        <f ca="1">IF(C115="赤日轮1",1,IF(C115="赤日轮2",2,IF(C115="赤日轮3",3,IF(C115="幽月轮1",4,IF(C115="幽月轮2",5,IF(C115="幽月轮3",6,IF(C115="烈日斩",7,IF(C115="银月斩",8,IF(C115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115="净世破魔击·月",17,IF(C115="驱夜断愁",18,0)))))))))))</f>
        <v>18</v>
      </c>
      <c r="E115" s="115">
        <f ca="1">IF(AND(CU115,OR(C115="幽月轮1",C115="幽月轮2",C115="幽月轮3",C115="银月斩",C115="驱夜断愁",C115="净世破魔击·月")),100,MIN(IF(OR(CN115,BE115),0,IF(OR($C115="赤日轮1",$C115="赤日轮2",$C115="赤日轮3"),E114+20+IF(模拟模式!$I$7="日月凌天",4,0)+IF(CR114,20,0),IF($C115="烈日斩",E114+40,IF($C115="驱夜断愁",IF(模拟模式!$R$7="万念俱寂",E114+20,E114+60),IF($C115="净世破魔击·月",IF(OR(DB114&gt;0,CV114&gt;0),100,IF(模拟模式!$M$7="辉耀红尘",E114+20,E114)),IF($C115="净世破魔击·日",E114-100,E114)))))),100))</f>
        <v>40</v>
      </c>
      <c r="F115" s="115">
        <f ca="1">IF(AND(CU115,OR(C115="赤日轮1",C115="赤日轮2",C115="赤日轮3",C115="烈日斩",C115="净世破魔击·日")),100,MIN(IF(CO115,0,IF(OR($C115="幽月轮1",$C115="幽月轮2",$C115="幽月轮3"),F114+20+IF(模拟模式!$I$7="日月凌天",4,0)+IF(CS114,20,0),IF($C115="银月斩",F114+40+IF(模拟模式!$X$12=1,5,0),IF($C115="驱夜断愁",IF(模拟模式!$R$7="万念俱寂",F114+20,F114+60),IF($C115="净世破魔击·月",IF(模拟模式!$M$7="辉耀红尘",F114-80,F114-100),IF(AND(C115="净世破魔击·日",OR(DB114&gt;0,CV114&gt;0)),100,F114)))))),100))</f>
        <v>85</v>
      </c>
      <c r="G115" s="117">
        <f ca="1">('模拟-全程加成'!$E$3+'模拟-全程加成'!$E$4+'模拟-全程加成'!$E$5+('模拟-全程加成'!$C$6-'模拟-全程加成'!$C$3)*系数!$B$9+BS115*23)*(1+'模拟-全程加成'!$F$4+'模拟-全程加成'!$F$5+BJ115*10%+BM115*20%+BP115*4%+CG115*30%)+$F$7*系数!$B$12</f>
        <v>21493.829400000002</v>
      </c>
      <c r="H115" s="45">
        <f ca="1">'模拟-全程加成'!$H$3+'模拟-全程加成'!$H$4+'模拟-全程加成'!$H$5+('模拟-全程加成'!$G$4+'模拟-全程加成'!$G$5+('模拟-全程加成'!$C$6-'模拟-全程加成'!$C$3)*系数!$B$13)/系数!$B$3+LOOKUP(D115,'模拟-单技能数据'!$A$2:$A$19,'模拟-单技能数据'!$K$2:$K$19)+BG115*10%+IF(BV115&gt;0,378,0)</f>
        <v>0.51185145527300213</v>
      </c>
      <c r="I115" s="45">
        <f ca="1">'模拟-全程加成'!$J$3+'模拟-全程加成'!$J$4+'模拟-全程加成'!$J$5+('模拟-全程加成'!$I$4+'模拟-全程加成'!$I$5)/系数!$B$4+LOOKUP(D115,'模拟-单技能数据'!$A$2:$A$19,'模拟-单技能数据'!$L$2:$L$19)+BG115*10%</f>
        <v>2.162482885499879</v>
      </c>
      <c r="J115" s="45">
        <f ca="1">(('模拟-全程加成'!$K$3+'模拟-全程加成'!$K$4+'模拟-全程加成'!$K$5+('模拟-全程加成'!$C$6-'模拟-全程加成'!$C$3)*系数!$B$10+IF(BV115&gt;0,882,0)+IF(BY115&gt;0,1831,0))*(1+'模拟-全程加成'!$L$4+'模拟-全程加成'!$L$5+CC115*20%))/系数!$B$5</f>
        <v>0.69723220422048726</v>
      </c>
      <c r="K115" s="119">
        <f ca="1">LOOKUP(D115,'模拟-单技能数据'!$A$2:$A$19,'模拟-单技能数据'!$J$2:$J$19)+IF(CM115,60%,0)+IF(DB114-DB115&gt;0,30%,0)+IF(OR(AND(OR(C115="赤日轮1",C115="赤日轮2",C115="赤日轮3"),CR115),AND(OR(C115="幽月轮1",C115="幽月轮2",C115="幽月轮3"),CS115)),35%,0)+CJ115</f>
        <v>0.14000000000000001</v>
      </c>
      <c r="L115" s="119">
        <f ca="1">IF(AND(C115="烈日斩",模拟模式!$X$11=1),10%,0)+IF(AND(C115="驱夜断愁",AB115=1),30%,0)</f>
        <v>0.3</v>
      </c>
      <c r="M115" s="45">
        <f t="shared" ca="1" si="81"/>
        <v>0.51185145527300213</v>
      </c>
      <c r="N115" s="45">
        <f t="shared" ca="1" si="82"/>
        <v>0.43424854472699792</v>
      </c>
      <c r="O115" s="46">
        <f t="shared" ca="1" si="83"/>
        <v>0.8415580740627403</v>
      </c>
      <c r="P115" s="46" t="str">
        <f t="shared" ca="1" si="84"/>
        <v>命</v>
      </c>
      <c r="Q115" s="45">
        <f t="shared" ca="1" si="85"/>
        <v>1</v>
      </c>
      <c r="R115" s="117">
        <f ca="1">模拟模式!$E$20*(1-IF(模拟模式!$J$19="有",0.15,0))*(1-IF(模拟模式!$K$19="有",0.3,0)-IF(CQ115,0.5,0))</f>
        <v>843.02999999999975</v>
      </c>
      <c r="S115" s="45">
        <f ca="1">R115/(R115+(185*模拟模式!$E$22-16800)*4.08224)</f>
        <v>8.389626085980037E-2</v>
      </c>
      <c r="T115" s="45" t="str">
        <f ca="1">LOOKUP(D115,'模拟-单技能数据'!$A$2:$A$19,'模拟-单技能数据'!$H$2:$H$19)</f>
        <v>阴</v>
      </c>
      <c r="U115" s="119">
        <f t="shared" ca="1" si="86"/>
        <v>0.08</v>
      </c>
      <c r="V115" s="47">
        <f ca="1">(1+L115)*(LOOKUP(D115,'模拟-单技能数据'!$A$2:$A$19,'模拟-单技能数据'!$D$2:$D$19)+G115*LOOKUP(D115,'模拟-单技能数据'!$A$2:$A$19,'模拟-单技能数据'!$F$2:$F$19))*(1+J115)*(1+K115)*(1-S115)*(1+U115)*Q115*LOOKUP(D115,'模拟-单技能数据'!$A$2:$A$19,'模拟-单技能数据'!$I$2:$I$20)</f>
        <v>61540.073489592025</v>
      </c>
      <c r="W115" s="47">
        <f ca="1">LOOKUP(D115,'模拟-单技能数据'!$A$2:$A$19,'模拟-单技能数据'!$G$2:$G$19)*$I$10</f>
        <v>723.0212870940959</v>
      </c>
      <c r="X115" s="47">
        <f t="shared" ca="1" si="87"/>
        <v>11607.89185245618</v>
      </c>
      <c r="Y115" s="47">
        <f t="shared" ca="1" si="88"/>
        <v>73870.986629142295</v>
      </c>
      <c r="Z115" s="49">
        <f t="shared" ca="1" si="89"/>
        <v>8876101.7470404375</v>
      </c>
      <c r="AA115" s="97">
        <f t="shared" ca="1" si="90"/>
        <v>109338.52854201086</v>
      </c>
      <c r="AB115" s="115">
        <f ca="1">IF(OR(C115="赤日轮1",C115="赤日轮2",C115="赤日轮3"),IF(RAND()&lt;模拟模式!$Y$17,1,0),IF(OR(C115="幽月轮1",C115="幽月轮2",C115="幽月轮3"),IF(RAND()&lt;模拟模式!$Y$18,1,0),IF(C115="烈日斩",IF(RAND()&lt;模拟模式!$Y$19,1,0),IF(C115="银月斩",IF(RAND()&lt;模拟模式!$Y$20,1,0),IF(C115="驱夜断愁",IF(RAND()&lt;模拟模式!$Y$21,1,0),IF(C115="净世破魔击·日",IF(RAND()&lt;模拟模式!$Y$22,1,0),IF(C115="净世破魔击·月",IF(RAND()&lt;模拟模式!$Y$23,1,0),0)))))))</f>
        <v>1</v>
      </c>
      <c r="AC115" s="115" t="b">
        <f t="shared" ca="1" si="67"/>
        <v>0</v>
      </c>
      <c r="AD115" s="115" t="b">
        <f t="shared" ca="1" si="118"/>
        <v>0</v>
      </c>
      <c r="AE115" s="115">
        <f t="shared" ca="1" si="119"/>
        <v>5</v>
      </c>
      <c r="AF115" s="47">
        <f ca="1">IF(AC115,('模拟-单技能数据'!$D$20+G115*'模拟-单技能数据'!$F$20)*(1+J115)*(1+'模拟-单技能数据'!$J$20)*(1+U115),0)</f>
        <v>0</v>
      </c>
      <c r="AG115" s="61">
        <f t="shared" ca="1" si="91"/>
        <v>0.64185145527300214</v>
      </c>
      <c r="AH115" s="61">
        <f t="shared" ca="1" si="92"/>
        <v>2.2624828854998791</v>
      </c>
      <c r="AI115" s="62">
        <f t="shared" ca="1" si="93"/>
        <v>4.7555797623568097E-2</v>
      </c>
      <c r="AJ115" s="47">
        <f ca="1">IF(AD115,IF(AI115&lt;$F$10,0,IF(AI115&lt;$F$10+$F$11,0.25,IF(AI115&lt;$F$10+$F$11+AG115,AH115,1)))*IF(AF115&gt;0,AF115,IF(AF114&gt;0,AF114,IF(AF113&gt;0,AF113,IF(AF112&gt;0,AF112,IF(AF111&gt;0,AF111,IF(AF110&gt;0,AF110,IF(AF109&gt;0,AF109,IF(AF108&gt;0,AF108,IF(AF107&gt;0,AF107,IF(AF105&gt;0,AF105,IF(AF104&gt;0,AF104,IF(AF103&gt;0,AF103,0)))))))))))),0)*(1-$S115)*'模拟-单技能数据'!$I$20</f>
        <v>0</v>
      </c>
      <c r="AK115" s="115" t="b">
        <f t="shared" ca="1" si="68"/>
        <v>0</v>
      </c>
      <c r="AL115" s="115" t="b">
        <f t="shared" ca="1" si="120"/>
        <v>1</v>
      </c>
      <c r="AM115" s="115">
        <f t="shared" ca="1" si="121"/>
        <v>4</v>
      </c>
      <c r="AN115" s="47">
        <f ca="1">IF(AK115,('模拟-单技能数据'!$D$21+G115*'模拟-单技能数据'!$F$21)*(1+J115)*(1+'模拟-单技能数据'!$J$21)*(1+U115),0)</f>
        <v>0</v>
      </c>
      <c r="AO115" s="61">
        <f ca="1">IF(AN115&gt;0,M115-'模拟-单技能数据'!$K$10,AO114)</f>
        <v>0.42185145527300216</v>
      </c>
      <c r="AP115" s="61">
        <f ca="1">IF(AN115&gt;0,I115-'模拟-单技能数据'!$L$10,AP114)</f>
        <v>2.162482885499879</v>
      </c>
      <c r="AQ115" s="63">
        <f t="shared" ca="1" si="94"/>
        <v>0.92092128008709206</v>
      </c>
      <c r="AR115" s="64">
        <f ca="1">IF(AL115,IF(AQ115&lt;$F$10,0,IF(AQ115&lt;$F$10+$F$11,0.25,IF(AQ115&lt;$F$10+$F$11+AO115,AP115,1)))*IF(AN115&gt;0,AN115,IF(AN114&gt;0,AN114,IF(AN113&gt;0,AN113,IF(AN112&gt;0,AN112,IF(AN111&gt;0,AN111,IF(AN110&gt;0,AN110,IF(AN109&gt;0,AN109,IF(AN108&gt;0,AN108,IF(AN107&gt;0,AN107,IF(AN105&gt;0,AN105,IF(AN104&gt;0,AN104,IF(AN103&gt;0,AN103,0)))))))))))),0)*(1-$S115)*'模拟-单技能数据'!$I$21</f>
        <v>11607.89185245618</v>
      </c>
      <c r="AS115" s="61">
        <f ca="1">IF(OR(C115="净世破魔击·日",C115="净世破魔击·月"),M115-'模拟-单技能数据'!$K$10,0)</f>
        <v>0</v>
      </c>
      <c r="AT115" s="61">
        <f ca="1">IF(OR(C115="净世破魔击·日",C115="净世破魔击·月"),I115-'模拟-单技能数据'!$L$10,0)</f>
        <v>0</v>
      </c>
      <c r="AU115" s="62">
        <f t="shared" ca="1" si="95"/>
        <v>0.4549567312948305</v>
      </c>
      <c r="AV115" s="64">
        <f ca="1">IF(AS115&gt;0,('模拟-单技能数据'!$D$22+G115*'模拟-单技能数据'!$F$22)*(1+J115)*(1-S115)*IF(AU115&lt;$F$10,0,IF(AU115&lt;$F$10+$F$11,0.25,IF(AU115&lt;$F$10+$F$11+AS115,AT115,1)))*(1+U115),0)*'模拟-单技能数据'!$I$22</f>
        <v>0</v>
      </c>
      <c r="AW115" s="108">
        <f t="shared" ca="1" si="96"/>
        <v>0</v>
      </c>
      <c r="AX115" s="108" t="b">
        <f ca="1">AND(模拟模式!$P$10="有",AW114=0,RAND()&lt;IF(C115="净世破魔击·月",0.1*8/3,IF(C115="净世破魔击·日",0.1*4/3,0.1*2/3)))</f>
        <v>0</v>
      </c>
      <c r="AY115" s="47">
        <f ca="1">IF(AX115,(18+G115*0.722)*(1+J115)*(1-S115)*(1+$I$4)*IF(P115="会",'模拟-全程加成'!$J$3+'模拟-全程加成'!$J$4+'模拟-全程加成'!$J$5+('模拟-全程加成'!$I$4+'模拟-全程加成'!$I$5)/系数!$B$4+BG115*10%,IF(P115="命",1,IF(P115="识",0.25,0))),0)</f>
        <v>0</v>
      </c>
      <c r="AZ115" s="108">
        <f t="shared" si="97"/>
        <v>0</v>
      </c>
      <c r="BA115" s="108" t="b">
        <f>AND(模拟模式!$Q$10="有",AZ114=0)</f>
        <v>0</v>
      </c>
      <c r="BB115" s="140">
        <f>IF(BA115,(0+G115*0.287)*(1+J115)*(1-S115)*(1+$I$4)*IF(P115="会",'模拟-全程加成'!$J$3+'模拟-全程加成'!$J$4+'模拟-全程加成'!$J$5+('模拟-全程加成'!$I$4+'模拟-全程加成'!$I$5)/系数!$B$4+BG115*10%,IF(P115="命",1,IF(P115="识",0.25,0))),0)</f>
        <v>0</v>
      </c>
      <c r="BC115" s="115" t="b">
        <f ca="1">AND(模拟模式!$R$7="伏明众生",E115=60,F115=20,DA115&lt;5,CZ114&lt;$F$4)</f>
        <v>0</v>
      </c>
      <c r="BD115" s="115">
        <f t="shared" ca="1" si="69"/>
        <v>0</v>
      </c>
      <c r="BE115" s="115" t="b">
        <f t="shared" ca="1" si="70"/>
        <v>0</v>
      </c>
      <c r="BF115" s="47">
        <f ca="1">IF(BC115,4*('模拟-单技能数据'!$D$24+G115*'模拟-单技能数据'!$F$24)*(1+J115)*(1+'模拟-单技能数据'!$J$24)*(1-S115)*(1+$I$3)*(('模拟-全程加成'!$J$3+'模拟-全程加成'!$J$4+'模拟-全程加成'!$J$5+('模拟-全程加成'!$I$4+'模拟-全程加成'!$I$5)/系数!$B$4+BG115*10%)*('模拟-全程加成'!$J$3+'模拟-全程加成'!$J$4+'模拟-全程加成'!$J$5+('模拟-全程加成'!$I$4+'模拟-全程加成'!$I$5)/系数!$B$4+BG115*10%)+(1-('模拟-全程加成'!$J$3+'模拟-全程加成'!$J$4+'模拟-全程加成'!$J$5+('模拟-全程加成'!$I$4+'模拟-全程加成'!$I$5)/系数!$B$4+BG115*10%)-$F$10-$F$11)+F101*0.25),0)*'模拟-单技能数据'!$I$24</f>
        <v>0</v>
      </c>
      <c r="BG115" s="115" t="b">
        <f ca="1">OR(AND(OR(C115="烈日斩",C115="银月斩"),模拟模式!$I$7="净身明礼"),AND(C115="净世破魔击·日",模拟模式!$J$7="洞若观火"),AND(C116="净世破魔击·月",模拟模式!$J$7="洞若观火"),AB115=1)</f>
        <v>1</v>
      </c>
      <c r="BH115" s="115" t="b">
        <f t="shared" ca="1" si="98"/>
        <v>0</v>
      </c>
      <c r="BI115" s="115">
        <f t="shared" ca="1" si="71"/>
        <v>4.1549999999999994</v>
      </c>
      <c r="BJ115" s="115" t="b">
        <f t="shared" ca="1" si="99"/>
        <v>1</v>
      </c>
      <c r="BK115" s="115" t="b">
        <f ca="1">AND(C115="驱夜断愁",模拟模式!$P$7="天地诛戮")</f>
        <v>1</v>
      </c>
      <c r="BL115" s="57">
        <f t="shared" ca="1" si="72"/>
        <v>20</v>
      </c>
      <c r="BM115" s="115" t="b">
        <f t="shared" ca="1" si="100"/>
        <v>1</v>
      </c>
      <c r="BN115" s="115" t="b">
        <f ca="1">AND(OR(C115="赤日轮1",C115="赤日轮2",C115="赤日轮3",C115="幽月轮1",C115="幽月轮2",C115="幽月轮3"),AB115=1,模拟模式!$L$7="明光恒照")</f>
        <v>0</v>
      </c>
      <c r="BO115" s="117">
        <f t="shared" ca="1" si="73"/>
        <v>28.155000000000001</v>
      </c>
      <c r="BP115" s="115">
        <f t="shared" ca="1" si="101"/>
        <v>6</v>
      </c>
      <c r="BQ115" s="115" t="b">
        <f>模拟模式!$K$10="2600·水"</f>
        <v>0</v>
      </c>
      <c r="BR115" s="117">
        <f t="shared" si="102"/>
        <v>0</v>
      </c>
      <c r="BS115" s="115">
        <f t="shared" si="103"/>
        <v>0</v>
      </c>
      <c r="BT115" s="115">
        <f t="shared" ca="1" si="104"/>
        <v>0</v>
      </c>
      <c r="BU115" s="115" t="b">
        <f ca="1">AND(模拟模式!$K$10="2300·雷",BT114=0,RAND()&lt;IF(C115="净世破魔击·月",5*0.05*2/3,IF(C115="净世破魔击·日",3*0.05*2/3,0.05*2*2/3)))</f>
        <v>0</v>
      </c>
      <c r="BV115" s="115">
        <f t="shared" ca="1" si="105"/>
        <v>0</v>
      </c>
      <c r="BW115" s="115">
        <f t="shared" ca="1" si="106"/>
        <v>104.35499999999925</v>
      </c>
      <c r="BX115" s="164" t="b">
        <f t="shared" ca="1" si="107"/>
        <v>0</v>
      </c>
      <c r="BY115" s="115">
        <f t="shared" ca="1" si="108"/>
        <v>0</v>
      </c>
      <c r="BZ115" s="115">
        <f>IF(OR(模拟模式!$P$16="10人团",模拟模式!$P$16="25人团"),IF(B115/30&gt;CA114,1,0),0)</f>
        <v>0</v>
      </c>
      <c r="CA115" s="115">
        <f t="shared" si="74"/>
        <v>0</v>
      </c>
      <c r="CB115" s="115">
        <f ca="1">IF(BZ115=1,IF(模拟模式!$P$16="10人团",15,0)+IF(模拟模式!$P$16="25人团",IF(RAND()&lt;0.6,15,0)),MAX(0,CB114-$F$4))</f>
        <v>0</v>
      </c>
      <c r="CC115" s="115" t="b">
        <f t="shared" ca="1" si="109"/>
        <v>0</v>
      </c>
      <c r="CD115" s="115">
        <f>IF(模拟模式!$Q$16="1个",IF(B115/40&gt;CE114,1,0),0)</f>
        <v>0</v>
      </c>
      <c r="CE115" s="115">
        <f t="shared" si="110"/>
        <v>0</v>
      </c>
      <c r="CF115" s="115">
        <f>IF(OR(CD115=1,模拟模式!$Q$16="2个"),20,MAX(0,CF114-$F$4))</f>
        <v>0</v>
      </c>
      <c r="CG115" s="115" t="b">
        <f t="shared" si="111"/>
        <v>0</v>
      </c>
      <c r="CH115" s="115">
        <f t="shared" ca="1" si="112"/>
        <v>18.007500000000007</v>
      </c>
      <c r="CI115" s="115" t="b">
        <f t="shared" ca="1" si="113"/>
        <v>0</v>
      </c>
      <c r="CJ115" s="119">
        <f t="shared" ca="1" si="114"/>
        <v>0</v>
      </c>
      <c r="CK115" s="115">
        <f t="shared" ca="1" si="115"/>
        <v>0</v>
      </c>
      <c r="CL115" s="115" t="b">
        <f ca="1">AND(模拟模式!$S$7="驱夷逐法",OR(AND(C115="净世破魔击·月",E114&gt;59),AND(C115="净世破魔击·日",F114&gt;59)))</f>
        <v>0</v>
      </c>
      <c r="CM115" s="115" t="b">
        <f ca="1">OR(CL115,AND(C115="净世破魔击·日",CL114,RAND()&lt;模拟模式!$U$23))</f>
        <v>0</v>
      </c>
      <c r="CN115" s="115" t="b">
        <f ca="1">IF(模拟模式!$M$7="辉耀红尘",AND(C115="净世破魔击·月",CL115,CV115=0,E114&lt;80),AND(C115="净世破魔击·月",CL115,E114&lt;100))</f>
        <v>0</v>
      </c>
      <c r="CO115" s="115" t="b">
        <f t="shared" ca="1" si="75"/>
        <v>0</v>
      </c>
      <c r="CP115" s="115" t="b">
        <f ca="1">AND(模拟模式!$O$7="用晦而明",OR(C115="净世破魔击·日",C115="净世破魔击·月",C115="驱夜断愁"),AB115)</f>
        <v>1</v>
      </c>
      <c r="CQ115" s="115" t="b">
        <f ca="1">OR(CP115,AND(CP114,RAND()&lt;模拟模式!$U$23))</f>
        <v>1</v>
      </c>
      <c r="CR115" s="115" t="b">
        <f ca="1">AND(模拟模式!$S$7="日月齐光",OR(C115="幽月轮1",C115="幽月轮2",C115="幽月轮3",CR114),NOT(OR(C115="赤日轮1",C115="赤日轮2",C115="赤日轮3")))</f>
        <v>0</v>
      </c>
      <c r="CS115" s="115" t="b">
        <f ca="1">AND(模拟模式!$S$7="日月齐光",OR(C115="赤日轮1",C115="赤日轮2",C115="赤日轮3",CS114),NOT(OR(C115="幽月轮1",C115="幽月轮2",C115="幽月轮3")))</f>
        <v>0</v>
      </c>
      <c r="CT115" s="115">
        <f t="shared" ca="1" si="116"/>
        <v>8.7825000000000131</v>
      </c>
      <c r="CU115" s="115" t="b">
        <f ca="1">AND(模拟模式!$K$10="阴阳往极",CT114=0,RAND()&lt;IF(C115="净世破魔击·月",0.0275*7/3,IF(C115="净世破魔击·日",0.0275*3/3,0.0275*2/3)))</f>
        <v>0</v>
      </c>
      <c r="CV115" s="115">
        <f t="shared" ca="1" si="117"/>
        <v>0</v>
      </c>
      <c r="CW115" s="115">
        <f t="shared" ca="1" si="76"/>
        <v>0.46499999999999975</v>
      </c>
      <c r="CX115" s="115">
        <f t="shared" ca="1" si="77"/>
        <v>5.0774999999999997</v>
      </c>
      <c r="CY115" s="115">
        <f ca="1">MAX(IF($C115="驱夜断愁",IF(模拟模式!$R$7="万念俱寂",6,45),CY114-$F$4),0)</f>
        <v>6</v>
      </c>
      <c r="CZ115" s="115">
        <f t="shared" ca="1" si="78"/>
        <v>0</v>
      </c>
      <c r="DA115" s="115">
        <f ca="1">IF(模拟模式!$N$7="日月同辉",IF(DB114=2,0,MIN(6,IF(AND(OR(C115="赤日轮1",C115="赤日轮2",C115="赤日轮3",C115="幽月轮1",C115="幽月轮2",C115="幽月轮3"),AB115=1),DA114+1,DA114))),0)</f>
        <v>2</v>
      </c>
      <c r="DB115" s="115">
        <f t="shared" ca="1" si="79"/>
        <v>0</v>
      </c>
      <c r="DD115" s="115"/>
      <c r="DE115" s="115"/>
      <c r="DF115" s="115"/>
      <c r="DG115" s="115"/>
      <c r="DH115" s="115"/>
      <c r="DI115" s="115"/>
      <c r="DJ115" s="115"/>
      <c r="DK115" s="115"/>
      <c r="DL115" s="115"/>
      <c r="DM115" s="115"/>
    </row>
    <row r="116" spans="2:117" x14ac:dyDescent="0.2">
      <c r="B116" s="117">
        <f t="shared" si="80"/>
        <v>82.102499999999964</v>
      </c>
      <c r="C116" s="167" t="str">
        <f t="shared" ca="1" si="66"/>
        <v>烈日斩</v>
      </c>
      <c r="D116" s="115">
        <f ca="1">IF(C116="赤日轮1",1,IF(C116="赤日轮2",2,IF(C116="赤日轮3",3,IF(C116="幽月轮1",4,IF(C116="幽月轮2",5,IF(C116="幽月轮3",6,IF(C116="烈日斩",7,IF(C116="银月斩",8,IF(C116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116="净世破魔击·月",17,IF(C116="驱夜断愁",18,0)))))))))))</f>
        <v>7</v>
      </c>
      <c r="E116" s="115">
        <f ca="1">IF(AND(CU116,OR(C116="幽月轮1",C116="幽月轮2",C116="幽月轮3",C116="银月斩",C116="驱夜断愁",C116="净世破魔击·月")),100,MIN(IF(OR(CN116,BE116),0,IF(OR($C116="赤日轮1",$C116="赤日轮2",$C116="赤日轮3"),E115+20+IF(模拟模式!$I$7="日月凌天",4,0)+IF(CR115,20,0),IF($C116="烈日斩",E115+40,IF($C116="驱夜断愁",IF(模拟模式!$R$7="万念俱寂",E115+20,E115+60),IF($C116="净世破魔击·月",IF(OR(DB115&gt;0,CV115&gt;0),100,IF(模拟模式!$M$7="辉耀红尘",E115+20,E115)),IF($C116="净世破魔击·日",E115-100,E115)))))),100))</f>
        <v>80</v>
      </c>
      <c r="F116" s="115">
        <f ca="1">IF(AND(CU116,OR(C116="赤日轮1",C116="赤日轮2",C116="赤日轮3",C116="烈日斩",C116="净世破魔击·日")),100,MIN(IF(CO116,0,IF(OR($C116="幽月轮1",$C116="幽月轮2",$C116="幽月轮3"),F115+20+IF(模拟模式!$I$7="日月凌天",4,0)+IF(CS115,20,0),IF($C116="银月斩",F115+40+IF(模拟模式!$X$12=1,5,0),IF($C116="驱夜断愁",IF(模拟模式!$R$7="万念俱寂",F115+20,F115+60),IF($C116="净世破魔击·月",IF(模拟模式!$M$7="辉耀红尘",F115-80,F115-100),IF(AND(C116="净世破魔击·日",OR(DB115&gt;0,CV115&gt;0)),100,F115)))))),100))</f>
        <v>85</v>
      </c>
      <c r="G116" s="117">
        <f ca="1">('模拟-全程加成'!$E$3+'模拟-全程加成'!$E$4+'模拟-全程加成'!$E$5+('模拟-全程加成'!$C$6-'模拟-全程加成'!$C$3)*系数!$B$9+BS116*23)*(1+'模拟-全程加成'!$F$4+'模拟-全程加成'!$F$5+BJ116*10%+BM116*20%+BP116*4%+CG116*30%)+$F$7*系数!$B$12</f>
        <v>21493.829400000002</v>
      </c>
      <c r="H116" s="45">
        <f ca="1">'模拟-全程加成'!$H$3+'模拟-全程加成'!$H$4+'模拟-全程加成'!$H$5+('模拟-全程加成'!$G$4+'模拟-全程加成'!$G$5+('模拟-全程加成'!$C$6-'模拟-全程加成'!$C$3)*系数!$B$13)/系数!$B$3+LOOKUP(D116,'模拟-单技能数据'!$A$2:$A$19,'模拟-单技能数据'!$K$2:$K$19)+BG116*10%+IF(BV116&gt;0,378,0)</f>
        <v>0.56185145527300218</v>
      </c>
      <c r="I116" s="45">
        <f ca="1">'模拟-全程加成'!$J$3+'模拟-全程加成'!$J$4+'模拟-全程加成'!$J$5+('模拟-全程加成'!$I$4+'模拟-全程加成'!$I$5)/系数!$B$4+LOOKUP(D116,'模拟-单技能数据'!$A$2:$A$19,'模拟-单技能数据'!$L$2:$L$19)+BG116*10%</f>
        <v>2.2624828854998791</v>
      </c>
      <c r="J116" s="45">
        <f ca="1">(('模拟-全程加成'!$K$3+'模拟-全程加成'!$K$4+'模拟-全程加成'!$K$5+('模拟-全程加成'!$C$6-'模拟-全程加成'!$C$3)*系数!$B$10+IF(BV116&gt;0,882,0)+IF(BY116&gt;0,1831,0))*(1+'模拟-全程加成'!$L$4+'模拟-全程加成'!$L$5+CC116*20%))/系数!$B$5</f>
        <v>0.69723220422048726</v>
      </c>
      <c r="K116" s="119">
        <f ca="1">LOOKUP(D116,'模拟-单技能数据'!$A$2:$A$19,'模拟-单技能数据'!$J$2:$J$19)+IF(CM116,60%,0)+IF(DB115-DB116&gt;0,30%,0)+IF(OR(AND(OR(C116="赤日轮1",C116="赤日轮2",C116="赤日轮3"),CR116),AND(OR(C116="幽月轮1",C116="幽月轮2",C116="幽月轮3"),CS116)),35%,0)+CJ116</f>
        <v>0.24</v>
      </c>
      <c r="L116" s="119">
        <f ca="1">IF(AND(C116="烈日斩",模拟模式!$X$11=1),10%,0)+IF(AND(C116="驱夜断愁",AB116=1),30%,0)</f>
        <v>0.1</v>
      </c>
      <c r="M116" s="45">
        <f t="shared" ca="1" si="81"/>
        <v>0.56185145527300218</v>
      </c>
      <c r="N116" s="45">
        <f t="shared" ca="1" si="82"/>
        <v>0.38424854472699788</v>
      </c>
      <c r="O116" s="46">
        <f t="shared" ca="1" si="83"/>
        <v>0.36166816029811155</v>
      </c>
      <c r="P116" s="46" t="str">
        <f t="shared" ca="1" si="84"/>
        <v>会</v>
      </c>
      <c r="Q116" s="45">
        <f t="shared" ca="1" si="85"/>
        <v>2.2624828854998791</v>
      </c>
      <c r="R116" s="117">
        <f ca="1">模拟模式!$E$20*(1-IF(模拟模式!$J$19="有",0.15,0))*(1-IF(模拟模式!$K$19="有",0.3,0)-IF(CQ116,0.5,0))</f>
        <v>843.02999999999975</v>
      </c>
      <c r="S116" s="45">
        <f ca="1">R116/(R116+(185*模拟模式!$E$22-16800)*4.08224)</f>
        <v>8.389626085980037E-2</v>
      </c>
      <c r="T116" s="45" t="str">
        <f ca="1">LOOKUP(D116,'模拟-单技能数据'!$A$2:$A$19,'模拟-单技能数据'!$H$2:$H$19)</f>
        <v>阳</v>
      </c>
      <c r="U116" s="119">
        <f t="shared" ca="1" si="86"/>
        <v>0.2</v>
      </c>
      <c r="V116" s="47">
        <f ca="1">(1+L116)*(LOOKUP(D116,'模拟-单技能数据'!$A$2:$A$19,'模拟-单技能数据'!$D$2:$D$19)+G116*LOOKUP(D116,'模拟-单技能数据'!$A$2:$A$19,'模拟-单技能数据'!$F$2:$F$19))*(1+J116)*(1+K116)*(1-S116)*(1+U116)*Q116*LOOKUP(D116,'模拟-单技能数据'!$A$2:$A$19,'模拟-单技能数据'!$I$2:$I$20)</f>
        <v>110503.35617153208</v>
      </c>
      <c r="W116" s="47">
        <f ca="1">LOOKUP(D116,'模拟-单技能数据'!$A$2:$A$19,'模拟-单技能数据'!$G$2:$G$19)*$I$10</f>
        <v>361.51064354704795</v>
      </c>
      <c r="X116" s="47">
        <f t="shared" ca="1" si="87"/>
        <v>26651.005660910829</v>
      </c>
      <c r="Y116" s="47">
        <f t="shared" ca="1" si="88"/>
        <v>137515.87247598998</v>
      </c>
      <c r="Z116" s="49">
        <f t="shared" ca="1" si="89"/>
        <v>9013617.6195164267</v>
      </c>
      <c r="AA116" s="97">
        <f t="shared" ca="1" si="90"/>
        <v>109784.93492301002</v>
      </c>
      <c r="AB116" s="115">
        <f ca="1">IF(OR(C116="赤日轮1",C116="赤日轮2",C116="赤日轮3"),IF(RAND()&lt;模拟模式!$Y$17,1,0),IF(OR(C116="幽月轮1",C116="幽月轮2",C116="幽月轮3"),IF(RAND()&lt;模拟模式!$Y$18,1,0),IF(C116="烈日斩",IF(RAND()&lt;模拟模式!$Y$19,1,0),IF(C116="银月斩",IF(RAND()&lt;模拟模式!$Y$20,1,0),IF(C116="驱夜断愁",IF(RAND()&lt;模拟模式!$Y$21,1,0),IF(C116="净世破魔击·日",IF(RAND()&lt;模拟模式!$Y$22,1,0),IF(C116="净世破魔击·月",IF(RAND()&lt;模拟模式!$Y$23,1,0),0)))))))</f>
        <v>1</v>
      </c>
      <c r="AC116" s="115" t="b">
        <f t="shared" ca="1" si="67"/>
        <v>0</v>
      </c>
      <c r="AD116" s="115" t="b">
        <f t="shared" ca="1" si="118"/>
        <v>1</v>
      </c>
      <c r="AE116" s="115">
        <f t="shared" ca="1" si="119"/>
        <v>4</v>
      </c>
      <c r="AF116" s="47">
        <f ca="1">IF(AC116,('模拟-单技能数据'!$D$20+G116*'模拟-单技能数据'!$F$20)*(1+J116)*(1+'模拟-单技能数据'!$J$20)*(1+U116),0)</f>
        <v>0</v>
      </c>
      <c r="AG116" s="61">
        <f t="shared" ca="1" si="91"/>
        <v>0.64185145527300214</v>
      </c>
      <c r="AH116" s="61">
        <f t="shared" ca="1" si="92"/>
        <v>2.2624828854998791</v>
      </c>
      <c r="AI116" s="62">
        <f t="shared" ca="1" si="93"/>
        <v>0.92868576998663577</v>
      </c>
      <c r="AJ116" s="47">
        <f ca="1">IF(AD116,IF(AI116&lt;$F$10,0,IF(AI116&lt;$F$10+$F$11,0.25,IF(AI116&lt;$F$10+$F$11+AG116,AH116,1)))*IF(AF116&gt;0,AF116,IF(AF115&gt;0,AF115,IF(AF114&gt;0,AF114,IF(AF113&gt;0,AF113,IF(AF112&gt;0,AF112,IF(AF111&gt;0,AF111,IF(AF110&gt;0,AF110,IF(AF109&gt;0,AF109,IF(AF108&gt;0,AF108,IF(AF106&gt;0,AF106,IF(AF105&gt;0,AF105,IF(AF104&gt;0,AF104,0)))))))))))),0)*(1-$S116)*'模拟-单技能数据'!$I$20</f>
        <v>4250.4883357170938</v>
      </c>
      <c r="AK116" s="115" t="b">
        <f t="shared" ca="1" si="68"/>
        <v>0</v>
      </c>
      <c r="AL116" s="115" t="b">
        <f t="shared" ca="1" si="120"/>
        <v>0</v>
      </c>
      <c r="AM116" s="115">
        <f t="shared" ca="1" si="121"/>
        <v>4</v>
      </c>
      <c r="AN116" s="47">
        <f ca="1">IF(AK116,('模拟-单技能数据'!$D$21+G116*'模拟-单技能数据'!$F$21)*(1+J116)*(1+'模拟-单技能数据'!$J$21)*(1+U116),0)</f>
        <v>0</v>
      </c>
      <c r="AO116" s="61">
        <f ca="1">IF(AN116&gt;0,M116-'模拟-单技能数据'!$K$10,AO115)</f>
        <v>0.42185145527300216</v>
      </c>
      <c r="AP116" s="61">
        <f ca="1">IF(AN116&gt;0,I116-'模拟-单技能数据'!$L$10,AP115)</f>
        <v>2.162482885499879</v>
      </c>
      <c r="AQ116" s="63">
        <f t="shared" ca="1" si="94"/>
        <v>1.7056483134328393E-2</v>
      </c>
      <c r="AR116" s="64">
        <f ca="1">IF(AL116,IF(AQ116&lt;$F$10,0,IF(AQ116&lt;$F$10+$F$11,0.25,IF(AQ116&lt;$F$10+$F$11+AO116,AP116,1)))*IF(AN116&gt;0,AN116,IF(AN115&gt;0,AN115,IF(AN114&gt;0,AN114,IF(AN113&gt;0,AN113,IF(AN112&gt;0,AN112,IF(AN111&gt;0,AN111,IF(AN110&gt;0,AN110,IF(AN109&gt;0,AN109,IF(AN108&gt;0,AN108,IF(AN106&gt;0,AN106,IF(AN105&gt;0,AN105,IF(AN104&gt;0,AN104,0)))))))))))),0)*(1-$S116)*'模拟-单技能数据'!$I$21</f>
        <v>0</v>
      </c>
      <c r="AS116" s="61">
        <f ca="1">IF(OR(C116="净世破魔击·日",C116="净世破魔击·月"),M116-'模拟-单技能数据'!$K$10,0)</f>
        <v>0</v>
      </c>
      <c r="AT116" s="61">
        <f ca="1">IF(OR(C116="净世破魔击·日",C116="净世破魔击·月"),I116-'模拟-单技能数据'!$L$10,0)</f>
        <v>0</v>
      </c>
      <c r="AU116" s="62">
        <f t="shared" ca="1" si="95"/>
        <v>0.35398698936456641</v>
      </c>
      <c r="AV116" s="64">
        <f ca="1">IF(AS116&gt;0,('模拟-单技能数据'!$D$22+G116*'模拟-单技能数据'!$F$22)*(1+J116)*(1-S116)*IF(AU116&lt;$F$10,0,IF(AU116&lt;$F$10+$F$11,0.25,IF(AU116&lt;$F$10+$F$11+AS116,AT116,1)))*(1+U116),0)*'模拟-单技能数据'!$I$22</f>
        <v>0</v>
      </c>
      <c r="AW116" s="108">
        <f t="shared" ca="1" si="96"/>
        <v>0</v>
      </c>
      <c r="AX116" s="108" t="b">
        <f ca="1">AND(模拟模式!$P$10="有",AW115=0,RAND()&lt;IF(C116="净世破魔击·月",0.1*8/3,IF(C116="净世破魔击·日",0.1*4/3,0.1*2/3)))</f>
        <v>0</v>
      </c>
      <c r="AY116" s="47">
        <f ca="1">IF(AX116,(18+G116*0.722)*(1+J116)*(1-S116)*(1+$I$4)*IF(P116="会",'模拟-全程加成'!$J$3+'模拟-全程加成'!$J$4+'模拟-全程加成'!$J$5+('模拟-全程加成'!$I$4+'模拟-全程加成'!$I$5)/系数!$B$4+BG116*10%,IF(P116="命",1,IF(P116="识",0.25,0))),0)</f>
        <v>0</v>
      </c>
      <c r="AZ116" s="108">
        <f t="shared" si="97"/>
        <v>19.077500000000001</v>
      </c>
      <c r="BA116" s="108" t="b">
        <f>AND(模拟模式!$Q$10="有",AZ115=0)</f>
        <v>1</v>
      </c>
      <c r="BB116" s="140">
        <f ca="1">IF(BA116,(0+G116*0.287)*(1+J116)*(1-S116)*(1+$I$4)*IF(P116="会",'模拟-全程加成'!$J$3+'模拟-全程加成'!$J$4+'模拟-全程加成'!$J$5+('模拟-全程加成'!$I$4+'模拟-全程加成'!$I$5)/系数!$B$4+BG116*10%,IF(P116="命",1,IF(P116="识",0.25,0))),0)</f>
        <v>22400.517325193734</v>
      </c>
      <c r="BC116" s="115" t="b">
        <f ca="1">AND(模拟模式!$R$7="伏明众生",E116=60,F116=20,DA116&lt;5,CZ115&lt;$F$4)</f>
        <v>0</v>
      </c>
      <c r="BD116" s="115">
        <f t="shared" ca="1" si="69"/>
        <v>0</v>
      </c>
      <c r="BE116" s="115" t="b">
        <f t="shared" ca="1" si="70"/>
        <v>0</v>
      </c>
      <c r="BF116" s="47">
        <f ca="1">IF(BC116,4*('模拟-单技能数据'!$D$24+G116*'模拟-单技能数据'!$F$24)*(1+J116)*(1+'模拟-单技能数据'!$J$24)*(1-S116)*(1+$I$3)*(('模拟-全程加成'!$J$3+'模拟-全程加成'!$J$4+'模拟-全程加成'!$J$5+('模拟-全程加成'!$I$4+'模拟-全程加成'!$I$5)/系数!$B$4+BG116*10%)*('模拟-全程加成'!$J$3+'模拟-全程加成'!$J$4+'模拟-全程加成'!$J$5+('模拟-全程加成'!$I$4+'模拟-全程加成'!$I$5)/系数!$B$4+BG116*10%)+(1-('模拟-全程加成'!$J$3+'模拟-全程加成'!$J$4+'模拟-全程加成'!$J$5+('模拟-全程加成'!$I$4+'模拟-全程加成'!$I$5)/系数!$B$4+BG116*10%)-$F$10-$F$11)+F102*0.25),0)*'模拟-单技能数据'!$I$24</f>
        <v>0</v>
      </c>
      <c r="BG116" s="115" t="b">
        <f ca="1">OR(AND(OR(C116="烈日斩",C116="银月斩"),模拟模式!$I$7="净身明礼"),AND(C116="净世破魔击·日",模拟模式!$J$7="洞若观火"),AND(C117="净世破魔击·月",模拟模式!$J$7="洞若观火"),AB116=1)</f>
        <v>1</v>
      </c>
      <c r="BH116" s="115" t="b">
        <f t="shared" ca="1" si="98"/>
        <v>0</v>
      </c>
      <c r="BI116" s="115">
        <f t="shared" ca="1" si="71"/>
        <v>3.2324999999999995</v>
      </c>
      <c r="BJ116" s="115" t="b">
        <f t="shared" ca="1" si="99"/>
        <v>1</v>
      </c>
      <c r="BK116" s="115" t="b">
        <f ca="1">AND(C116="驱夜断愁",模拟模式!$P$7="天地诛戮")</f>
        <v>0</v>
      </c>
      <c r="BL116" s="57">
        <f t="shared" ca="1" si="72"/>
        <v>19.077500000000001</v>
      </c>
      <c r="BM116" s="115" t="b">
        <f t="shared" ca="1" si="100"/>
        <v>1</v>
      </c>
      <c r="BN116" s="115" t="b">
        <f ca="1">AND(OR(C116="赤日轮1",C116="赤日轮2",C116="赤日轮3",C116="幽月轮1",C116="幽月轮2",C116="幽月轮3"),AB116=1,模拟模式!$L$7="明光恒照")</f>
        <v>0</v>
      </c>
      <c r="BO116" s="117">
        <f t="shared" ca="1" si="73"/>
        <v>27.232500000000002</v>
      </c>
      <c r="BP116" s="115">
        <f t="shared" ca="1" si="101"/>
        <v>6</v>
      </c>
      <c r="BQ116" s="115" t="b">
        <f>模拟模式!$K$10="2600·水"</f>
        <v>0</v>
      </c>
      <c r="BR116" s="117">
        <f t="shared" si="102"/>
        <v>0</v>
      </c>
      <c r="BS116" s="115">
        <f t="shared" si="103"/>
        <v>0</v>
      </c>
      <c r="BT116" s="115">
        <f t="shared" ca="1" si="104"/>
        <v>0</v>
      </c>
      <c r="BU116" s="115" t="b">
        <f ca="1">AND(模拟模式!$K$10="2300·雷",BT115=0,RAND()&lt;IF(C116="净世破魔击·月",5*0.05*2/3,IF(C116="净世破魔击·日",3*0.05*2/3,0.05*2*2/3)))</f>
        <v>0</v>
      </c>
      <c r="BV116" s="115">
        <f t="shared" ca="1" si="105"/>
        <v>0</v>
      </c>
      <c r="BW116" s="115">
        <f t="shared" ca="1" si="106"/>
        <v>103.43249999999925</v>
      </c>
      <c r="BX116" s="164" t="b">
        <f t="shared" ca="1" si="107"/>
        <v>0</v>
      </c>
      <c r="BY116" s="115">
        <f t="shared" ca="1" si="108"/>
        <v>0</v>
      </c>
      <c r="BZ116" s="115">
        <f>IF(OR(模拟模式!$P$16="10人团",模拟模式!$P$16="25人团"),IF(B116/30&gt;CA115,1,0),0)</f>
        <v>0</v>
      </c>
      <c r="CA116" s="115">
        <f t="shared" si="74"/>
        <v>0</v>
      </c>
      <c r="CB116" s="115">
        <f ca="1">IF(BZ116=1,IF(模拟模式!$P$16="10人团",15,0)+IF(模拟模式!$P$16="25人团",IF(RAND()&lt;0.6,15,0)),MAX(0,CB115-$F$4))</f>
        <v>0</v>
      </c>
      <c r="CC116" s="115" t="b">
        <f t="shared" ca="1" si="109"/>
        <v>0</v>
      </c>
      <c r="CD116" s="115">
        <f>IF(模拟模式!$Q$16="1个",IF(B116/40&gt;CE115,1,0),0)</f>
        <v>0</v>
      </c>
      <c r="CE116" s="115">
        <f t="shared" si="110"/>
        <v>0</v>
      </c>
      <c r="CF116" s="115">
        <f>IF(OR(CD116=1,模拟模式!$Q$16="2个"),20,MAX(0,CF115-$F$4))</f>
        <v>0</v>
      </c>
      <c r="CG116" s="115" t="b">
        <f t="shared" si="111"/>
        <v>0</v>
      </c>
      <c r="CH116" s="115">
        <f t="shared" ca="1" si="112"/>
        <v>17.085000000000008</v>
      </c>
      <c r="CI116" s="115" t="b">
        <f t="shared" ca="1" si="113"/>
        <v>0</v>
      </c>
      <c r="CJ116" s="119">
        <f t="shared" ca="1" si="114"/>
        <v>0</v>
      </c>
      <c r="CK116" s="115">
        <f t="shared" ca="1" si="115"/>
        <v>0</v>
      </c>
      <c r="CL116" s="115" t="b">
        <f ca="1">AND(模拟模式!$S$7="驱夷逐法",OR(AND(C116="净世破魔击·月",E115&gt;59),AND(C116="净世破魔击·日",F115&gt;59)))</f>
        <v>0</v>
      </c>
      <c r="CM116" s="115" t="b">
        <f ca="1">OR(CL116,AND(C116="净世破魔击·日",CL115,RAND()&lt;模拟模式!$U$23))</f>
        <v>0</v>
      </c>
      <c r="CN116" s="115" t="b">
        <f ca="1">IF(模拟模式!$M$7="辉耀红尘",AND(C116="净世破魔击·月",CL116,CV116=0,E115&lt;80),AND(C116="净世破魔击·月",CL116,E115&lt;100))</f>
        <v>0</v>
      </c>
      <c r="CO116" s="115" t="b">
        <f t="shared" ca="1" si="75"/>
        <v>0</v>
      </c>
      <c r="CP116" s="115" t="b">
        <f ca="1">AND(模拟模式!$O$7="用晦而明",OR(C116="净世破魔击·日",C116="净世破魔击·月",C116="驱夜断愁"),AB116)</f>
        <v>0</v>
      </c>
      <c r="CQ116" s="115" t="b">
        <f ca="1">OR(CP116,AND(CP115,RAND()&lt;模拟模式!$U$23))</f>
        <v>1</v>
      </c>
      <c r="CR116" s="115" t="b">
        <f ca="1">AND(模拟模式!$S$7="日月齐光",OR(C116="幽月轮1",C116="幽月轮2",C116="幽月轮3",CR115),NOT(OR(C116="赤日轮1",C116="赤日轮2",C116="赤日轮3")))</f>
        <v>0</v>
      </c>
      <c r="CS116" s="115" t="b">
        <f ca="1">AND(模拟模式!$S$7="日月齐光",OR(C116="赤日轮1",C116="赤日轮2",C116="赤日轮3",CS115),NOT(OR(C116="幽月轮1",C116="幽月轮2",C116="幽月轮3")))</f>
        <v>0</v>
      </c>
      <c r="CT116" s="115">
        <f t="shared" ca="1" si="116"/>
        <v>7.8600000000000128</v>
      </c>
      <c r="CU116" s="115" t="b">
        <f ca="1">AND(模拟模式!$K$10="阴阳往极",CT115=0,RAND()&lt;IF(C116="净世破魔击·月",0.0275*7/3,IF(C116="净世破魔击·日",0.0275*3/3,0.0275*2/3)))</f>
        <v>0</v>
      </c>
      <c r="CV116" s="115">
        <f t="shared" ca="1" si="117"/>
        <v>0</v>
      </c>
      <c r="CW116" s="115">
        <f t="shared" ca="1" si="76"/>
        <v>6</v>
      </c>
      <c r="CX116" s="115">
        <f t="shared" ca="1" si="77"/>
        <v>4.1549999999999994</v>
      </c>
      <c r="CY116" s="115">
        <f ca="1">MAX(IF($C116="驱夜断愁",IF(模拟模式!$R$7="万念俱寂",6,45),CY115-$F$4),0)</f>
        <v>5.0774999999999997</v>
      </c>
      <c r="CZ116" s="115">
        <f t="shared" ca="1" si="78"/>
        <v>0</v>
      </c>
      <c r="DA116" s="115">
        <f ca="1">IF(模拟模式!$N$7="日月同辉",IF(DB115=2,0,MIN(6,IF(AND(OR(C116="赤日轮1",C116="赤日轮2",C116="赤日轮3",C116="幽月轮1",C116="幽月轮2",C116="幽月轮3"),AB116=1),DA115+1,DA115))),0)</f>
        <v>2</v>
      </c>
      <c r="DB116" s="115">
        <f t="shared" ca="1" si="79"/>
        <v>0</v>
      </c>
      <c r="DD116" s="115"/>
      <c r="DE116" s="115"/>
      <c r="DF116" s="115"/>
      <c r="DG116" s="115"/>
      <c r="DH116" s="115"/>
      <c r="DI116" s="115"/>
      <c r="DJ116" s="115"/>
      <c r="DK116" s="115"/>
      <c r="DL116" s="115"/>
      <c r="DM116" s="115"/>
    </row>
    <row r="117" spans="2:117" x14ac:dyDescent="0.2">
      <c r="B117" s="117">
        <f t="shared" si="80"/>
        <v>83.024999999999963</v>
      </c>
      <c r="C117" s="167" t="str">
        <f t="shared" ca="1" si="66"/>
        <v>幽月轮1</v>
      </c>
      <c r="D117" s="115">
        <f ca="1">IF(C117="赤日轮1",1,IF(C117="赤日轮2",2,IF(C117="赤日轮3",3,IF(C117="幽月轮1",4,IF(C117="幽月轮2",5,IF(C117="幽月轮3",6,IF(C117="烈日斩",7,IF(C117="银月斩",8,IF(C117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117="净世破魔击·月",17,IF(C117="驱夜断愁",18,0)))))))))))</f>
        <v>4</v>
      </c>
      <c r="E117" s="115">
        <f ca="1">IF(AND(CU117,OR(C117="幽月轮1",C117="幽月轮2",C117="幽月轮3",C117="银月斩",C117="驱夜断愁",C117="净世破魔击·月")),100,MIN(IF(OR(CN117,BE117),0,IF(OR($C117="赤日轮1",$C117="赤日轮2",$C117="赤日轮3"),E116+20+IF(模拟模式!$I$7="日月凌天",4,0)+IF(CR116,20,0),IF($C117="烈日斩",E116+40,IF($C117="驱夜断愁",IF(模拟模式!$R$7="万念俱寂",E116+20,E116+60),IF($C117="净世破魔击·月",IF(OR(DB116&gt;0,CV116&gt;0),100,IF(模拟模式!$M$7="辉耀红尘",E116+20,E116)),IF($C117="净世破魔击·日",E116-100,E116)))))),100))</f>
        <v>80</v>
      </c>
      <c r="F117" s="115">
        <f ca="1">IF(AND(CU117,OR(C117="赤日轮1",C117="赤日轮2",C117="赤日轮3",C117="烈日斩",C117="净世破魔击·日")),100,MIN(IF(CO117,0,IF(OR($C117="幽月轮1",$C117="幽月轮2",$C117="幽月轮3"),F116+20+IF(模拟模式!$I$7="日月凌天",4,0)+IF(CS116,20,0),IF($C117="银月斩",F116+40+IF(模拟模式!$X$12=1,5,0),IF($C117="驱夜断愁",IF(模拟模式!$R$7="万念俱寂",F116+20,F116+60),IF($C117="净世破魔击·月",IF(模拟模式!$M$7="辉耀红尘",F116-80,F116-100),IF(AND(C117="净世破魔击·日",OR(DB116&gt;0,CV116&gt;0)),100,F116)))))),100))</f>
        <v>100</v>
      </c>
      <c r="G117" s="117">
        <f ca="1">('模拟-全程加成'!$E$3+'模拟-全程加成'!$E$4+'模拟-全程加成'!$E$5+('模拟-全程加成'!$C$6-'模拟-全程加成'!$C$3)*系数!$B$9+BS117*23)*(1+'模拟-全程加成'!$F$4+'模拟-全程加成'!$F$5+BJ117*10%+BM117*20%+BP117*4%+CG117*30%)+$F$7*系数!$B$12</f>
        <v>21493.829400000002</v>
      </c>
      <c r="H117" s="45">
        <f ca="1">'模拟-全程加成'!$H$3+'模拟-全程加成'!$H$4+'模拟-全程加成'!$H$5+('模拟-全程加成'!$G$4+'模拟-全程加成'!$G$5+('模拟-全程加成'!$C$6-'模拟-全程加成'!$C$3)*系数!$B$13)/系数!$B$3+LOOKUP(D117,'模拟-单技能数据'!$A$2:$A$19,'模拟-单技能数据'!$K$2:$K$19)+BG117*10%+IF(BV117&gt;0,378,0)</f>
        <v>0.51185145527300213</v>
      </c>
      <c r="I117" s="45">
        <f ca="1">'模拟-全程加成'!$J$3+'模拟-全程加成'!$J$4+'模拟-全程加成'!$J$5+('模拟-全程加成'!$I$4+'模拟-全程加成'!$I$5)/系数!$B$4+LOOKUP(D117,'模拟-单技能数据'!$A$2:$A$19,'模拟-单技能数据'!$L$2:$L$19)+BG117*10%</f>
        <v>2.162482885499879</v>
      </c>
      <c r="J117" s="45">
        <f ca="1">(('模拟-全程加成'!$K$3+'模拟-全程加成'!$K$4+'模拟-全程加成'!$K$5+('模拟-全程加成'!$C$6-'模拟-全程加成'!$C$3)*系数!$B$10+IF(BV117&gt;0,882,0)+IF(BY117&gt;0,1831,0))*(1+'模拟-全程加成'!$L$4+'模拟-全程加成'!$L$5+CC117*20%))/系数!$B$5</f>
        <v>0.69723220422048726</v>
      </c>
      <c r="K117" s="119">
        <f ca="1">LOOKUP(D117,'模拟-单技能数据'!$A$2:$A$19,'模拟-单技能数据'!$J$2:$J$19)+IF(CM117,60%,0)+IF(DB116-DB117&gt;0,30%,0)+IF(OR(AND(OR(C117="赤日轮1",C117="赤日轮2",C117="赤日轮3"),CR117),AND(OR(C117="幽月轮1",C117="幽月轮2",C117="幽月轮3"),CS117)),35%,0)+CJ117</f>
        <v>7.0000000000000007E-2</v>
      </c>
      <c r="L117" s="119">
        <f ca="1">IF(AND(C117="烈日斩",模拟模式!$X$11=1),10%,0)+IF(AND(C117="驱夜断愁",AB117=1),30%,0)</f>
        <v>0</v>
      </c>
      <c r="M117" s="45">
        <f t="shared" ca="1" si="81"/>
        <v>0.51185145527300213</v>
      </c>
      <c r="N117" s="45">
        <f t="shared" ca="1" si="82"/>
        <v>0.43424854472699792</v>
      </c>
      <c r="O117" s="46">
        <f t="shared" ca="1" si="83"/>
        <v>0.22066164484873463</v>
      </c>
      <c r="P117" s="46" t="str">
        <f t="shared" ca="1" si="84"/>
        <v>会</v>
      </c>
      <c r="Q117" s="45">
        <f t="shared" ca="1" si="85"/>
        <v>2.162482885499879</v>
      </c>
      <c r="R117" s="117">
        <f ca="1">模拟模式!$E$20*(1-IF(模拟模式!$J$19="有",0.15,0))*(1-IF(模拟模式!$K$19="有",0.3,0)-IF(CQ117,0.5,0))</f>
        <v>2950.6049999999996</v>
      </c>
      <c r="S117" s="45">
        <f ca="1">R117/(R117+(185*模拟模式!$E$22-16800)*4.08224)</f>
        <v>0.24272716014590323</v>
      </c>
      <c r="T117" s="45" t="str">
        <f ca="1">LOOKUP(D117,'模拟-单技能数据'!$A$2:$A$19,'模拟-单技能数据'!$H$2:$H$19)</f>
        <v>阴</v>
      </c>
      <c r="U117" s="119">
        <f t="shared" ca="1" si="86"/>
        <v>0.08</v>
      </c>
      <c r="V117" s="47">
        <f ca="1">(1+L117)*(LOOKUP(D117,'模拟-单技能数据'!$A$2:$A$19,'模拟-单技能数据'!$D$2:$D$19)+G117*LOOKUP(D117,'模拟-单技能数据'!$A$2:$A$19,'模拟-单技能数据'!$F$2:$F$19))*(1+J117)*(1+K117)*(1-S117)*(1+U117)*Q117*LOOKUP(D117,'模拟-单技能数据'!$A$2:$A$19,'模拟-单技能数据'!$I$2:$I$20)</f>
        <v>36630.702053185581</v>
      </c>
      <c r="W117" s="47">
        <f ca="1">LOOKUP(D117,'模拟-单技能数据'!$A$2:$A$19,'模拟-单技能数据'!$G$2:$G$19)*$I$10</f>
        <v>361.51064354704795</v>
      </c>
      <c r="X117" s="47">
        <f t="shared" ca="1" si="87"/>
        <v>9595.3556920079973</v>
      </c>
      <c r="Y117" s="47">
        <f t="shared" ca="1" si="88"/>
        <v>46587.568388740634</v>
      </c>
      <c r="Z117" s="49">
        <f t="shared" ca="1" si="89"/>
        <v>9060205.1879051682</v>
      </c>
      <c r="AA117" s="97">
        <f t="shared" ca="1" si="90"/>
        <v>109126.22930328421</v>
      </c>
      <c r="AB117" s="115">
        <f ca="1">IF(OR(C117="赤日轮1",C117="赤日轮2",C117="赤日轮3"),IF(RAND()&lt;模拟模式!$Y$17,1,0),IF(OR(C117="幽月轮1",C117="幽月轮2",C117="幽月轮3"),IF(RAND()&lt;模拟模式!$Y$18,1,0),IF(C117="烈日斩",IF(RAND()&lt;模拟模式!$Y$19,1,0),IF(C117="银月斩",IF(RAND()&lt;模拟模式!$Y$20,1,0),IF(C117="驱夜断愁",IF(RAND()&lt;模拟模式!$Y$21,1,0),IF(C117="净世破魔击·日",IF(RAND()&lt;模拟模式!$Y$22,1,0),IF(C117="净世破魔击·月",IF(RAND()&lt;模拟模式!$Y$23,1,0),0)))))))</f>
        <v>1</v>
      </c>
      <c r="AC117" s="115" t="b">
        <f t="shared" ca="1" si="67"/>
        <v>0</v>
      </c>
      <c r="AD117" s="115" t="b">
        <f t="shared" ca="1" si="118"/>
        <v>0</v>
      </c>
      <c r="AE117" s="115">
        <f t="shared" ca="1" si="119"/>
        <v>4</v>
      </c>
      <c r="AF117" s="47">
        <f ca="1">IF(AC117,('模拟-单技能数据'!$D$20+G117*'模拟-单技能数据'!$F$20)*(1+J117)*(1+'模拟-单技能数据'!$J$20)*(1+U117),0)</f>
        <v>0</v>
      </c>
      <c r="AG117" s="61">
        <f t="shared" ca="1" si="91"/>
        <v>0.64185145527300214</v>
      </c>
      <c r="AH117" s="61">
        <f t="shared" ca="1" si="92"/>
        <v>2.2624828854998791</v>
      </c>
      <c r="AI117" s="62">
        <f t="shared" ca="1" si="93"/>
        <v>0.31782352207050812</v>
      </c>
      <c r="AJ117" s="47">
        <f ca="1">IF(AD117,IF(AI117&lt;$F$10,0,IF(AI117&lt;$F$10+$F$11,0.25,IF(AI117&lt;$F$10+$F$11+AG117,AH117,1)))*IF(AF117&gt;0,AF117,IF(AF116&gt;0,AF116,IF(AF115&gt;0,AF115,IF(AF114&gt;0,AF114,IF(AF113&gt;0,AF113,IF(AF112&gt;0,AF112,IF(AF111&gt;0,AF111,IF(AF110&gt;0,AF110,IF(AF109&gt;0,AF109,IF(AF107&gt;0,AF107,IF(AF106&gt;0,AF106,IF(AF105&gt;0,AF105,0)))))))))))),0)*(1-$S117)*'模拟-单技能数据'!$I$20</f>
        <v>0</v>
      </c>
      <c r="AK117" s="115" t="b">
        <f t="shared" ca="1" si="68"/>
        <v>0</v>
      </c>
      <c r="AL117" s="115" t="b">
        <f t="shared" ca="1" si="120"/>
        <v>1</v>
      </c>
      <c r="AM117" s="115">
        <f t="shared" ca="1" si="121"/>
        <v>3</v>
      </c>
      <c r="AN117" s="47">
        <f ca="1">IF(AK117,('模拟-单技能数据'!$D$21+G117*'模拟-单技能数据'!$F$21)*(1+J117)*(1+'模拟-单技能数据'!$J$21)*(1+U117),0)</f>
        <v>0</v>
      </c>
      <c r="AO117" s="61">
        <f ca="1">IF(AN117&gt;0,M117-'模拟-单技能数据'!$K$10,AO116)</f>
        <v>0.42185145527300216</v>
      </c>
      <c r="AP117" s="61">
        <f ca="1">IF(AN117&gt;0,I117-'模拟-单技能数据'!$L$10,AP116)</f>
        <v>2.162482885499879</v>
      </c>
      <c r="AQ117" s="63">
        <f t="shared" ca="1" si="94"/>
        <v>0.8194931031022461</v>
      </c>
      <c r="AR117" s="64">
        <f ca="1">IF(AL117,IF(AQ117&lt;$F$10,0,IF(AQ117&lt;$F$10+$F$11,0.25,IF(AQ117&lt;$F$10+$F$11+AO117,AP117,1)))*IF(AN117&gt;0,AN117,IF(AN116&gt;0,AN116,IF(AN115&gt;0,AN115,IF(AN114&gt;0,AN114,IF(AN113&gt;0,AN113,IF(AN112&gt;0,AN112,IF(AN111&gt;0,AN111,IF(AN110&gt;0,AN110,IF(AN109&gt;0,AN109,IF(AN107&gt;0,AN107,IF(AN106&gt;0,AN106,IF(AN105&gt;0,AN105,0)))))))))))),0)*(1-$S117)*'模拟-单技能数据'!$I$21</f>
        <v>9595.3556920079973</v>
      </c>
      <c r="AS117" s="61">
        <f ca="1">IF(OR(C117="净世破魔击·日",C117="净世破魔击·月"),M117-'模拟-单技能数据'!$K$10,0)</f>
        <v>0</v>
      </c>
      <c r="AT117" s="61">
        <f ca="1">IF(OR(C117="净世破魔击·日",C117="净世破魔击·月"),I117-'模拟-单技能数据'!$L$10,0)</f>
        <v>0</v>
      </c>
      <c r="AU117" s="62">
        <f t="shared" ca="1" si="95"/>
        <v>0.79578530282498328</v>
      </c>
      <c r="AV117" s="64">
        <f ca="1">IF(AS117&gt;0,('模拟-单技能数据'!$D$22+G117*'模拟-单技能数据'!$F$22)*(1+J117)*(1-S117)*IF(AU117&lt;$F$10,0,IF(AU117&lt;$F$10+$F$11,0.25,IF(AU117&lt;$F$10+$F$11+AS117,AT117,1)))*(1+U117),0)*'模拟-单技能数据'!$I$22</f>
        <v>0</v>
      </c>
      <c r="AW117" s="108">
        <f t="shared" ca="1" si="96"/>
        <v>0</v>
      </c>
      <c r="AX117" s="108" t="b">
        <f ca="1">AND(模拟模式!$P$10="有",AW116=0,RAND()&lt;IF(C117="净世破魔击·月",0.1*8/3,IF(C117="净世破魔击·日",0.1*4/3,0.1*2/3)))</f>
        <v>0</v>
      </c>
      <c r="AY117" s="47">
        <f ca="1">IF(AX117,(18+G117*0.722)*(1+J117)*(1-S117)*(1+$I$4)*IF(P117="会",'模拟-全程加成'!$J$3+'模拟-全程加成'!$J$4+'模拟-全程加成'!$J$5+('模拟-全程加成'!$I$4+'模拟-全程加成'!$I$5)/系数!$B$4+BG117*10%,IF(P117="命",1,IF(P117="识",0.25,0))),0)</f>
        <v>0</v>
      </c>
      <c r="AZ117" s="108">
        <f t="shared" si="97"/>
        <v>18.155000000000001</v>
      </c>
      <c r="BA117" s="108" t="b">
        <f>AND(模拟模式!$Q$10="有",AZ116=0)</f>
        <v>0</v>
      </c>
      <c r="BB117" s="140">
        <f>IF(BA117,(0+G117*0.287)*(1+J117)*(1-S117)*(1+$I$4)*IF(P117="会",'模拟-全程加成'!$J$3+'模拟-全程加成'!$J$4+'模拟-全程加成'!$J$5+('模拟-全程加成'!$I$4+'模拟-全程加成'!$I$5)/系数!$B$4+BG117*10%,IF(P117="命",1,IF(P117="识",0.25,0))),0)</f>
        <v>0</v>
      </c>
      <c r="BC117" s="115" t="b">
        <f ca="1">AND(模拟模式!$R$7="伏明众生",E117=60,F117=20,DA117&lt;5,CZ116&lt;$F$4)</f>
        <v>0</v>
      </c>
      <c r="BD117" s="115">
        <f t="shared" ca="1" si="69"/>
        <v>0</v>
      </c>
      <c r="BE117" s="115" t="b">
        <f t="shared" ca="1" si="70"/>
        <v>0</v>
      </c>
      <c r="BF117" s="47">
        <f ca="1">IF(BC117,4*('模拟-单技能数据'!$D$24+G117*'模拟-单技能数据'!$F$24)*(1+J117)*(1+'模拟-单技能数据'!$J$24)*(1-S117)*(1+$I$3)*(('模拟-全程加成'!$J$3+'模拟-全程加成'!$J$4+'模拟-全程加成'!$J$5+('模拟-全程加成'!$I$4+'模拟-全程加成'!$I$5)/系数!$B$4+BG117*10%)*('模拟-全程加成'!$J$3+'模拟-全程加成'!$J$4+'模拟-全程加成'!$J$5+('模拟-全程加成'!$I$4+'模拟-全程加成'!$I$5)/系数!$B$4+BG117*10%)+(1-('模拟-全程加成'!$J$3+'模拟-全程加成'!$J$4+'模拟-全程加成'!$J$5+('模拟-全程加成'!$I$4+'模拟-全程加成'!$I$5)/系数!$B$4+BG117*10%)-$F$10-$F$11)+F103*0.25),0)*'模拟-单技能数据'!$I$24</f>
        <v>0</v>
      </c>
      <c r="BG117" s="115" t="b">
        <f ca="1">OR(AND(OR(C117="烈日斩",C117="银月斩"),模拟模式!$I$7="净身明礼"),AND(C117="净世破魔击·日",模拟模式!$J$7="洞若观火"),AND(C118="净世破魔击·月",模拟模式!$J$7="洞若观火"),AB117=1)</f>
        <v>1</v>
      </c>
      <c r="BH117" s="115" t="b">
        <f t="shared" ca="1" si="98"/>
        <v>0</v>
      </c>
      <c r="BI117" s="115">
        <f t="shared" ca="1" si="71"/>
        <v>2.3099999999999996</v>
      </c>
      <c r="BJ117" s="115" t="b">
        <f t="shared" ca="1" si="99"/>
        <v>1</v>
      </c>
      <c r="BK117" s="115" t="b">
        <f ca="1">AND(C117="驱夜断愁",模拟模式!$P$7="天地诛戮")</f>
        <v>0</v>
      </c>
      <c r="BL117" s="57">
        <f t="shared" ca="1" si="72"/>
        <v>18.155000000000001</v>
      </c>
      <c r="BM117" s="115" t="b">
        <f t="shared" ca="1" si="100"/>
        <v>1</v>
      </c>
      <c r="BN117" s="115" t="b">
        <f ca="1">AND(OR(C117="赤日轮1",C117="赤日轮2",C117="赤日轮3",C117="幽月轮1",C117="幽月轮2",C117="幽月轮3"),AB117=1,模拟模式!$L$7="明光恒照")</f>
        <v>1</v>
      </c>
      <c r="BO117" s="117">
        <f t="shared" ca="1" si="73"/>
        <v>30</v>
      </c>
      <c r="BP117" s="115">
        <f t="shared" ca="1" si="101"/>
        <v>6</v>
      </c>
      <c r="BQ117" s="115" t="b">
        <f>模拟模式!$K$10="2600·水"</f>
        <v>0</v>
      </c>
      <c r="BR117" s="117">
        <f t="shared" si="102"/>
        <v>0</v>
      </c>
      <c r="BS117" s="115">
        <f t="shared" si="103"/>
        <v>0</v>
      </c>
      <c r="BT117" s="115">
        <f t="shared" ca="1" si="104"/>
        <v>0</v>
      </c>
      <c r="BU117" s="115" t="b">
        <f ca="1">AND(模拟模式!$K$10="2300·雷",BT116=0,RAND()&lt;IF(C117="净世破魔击·月",5*0.05*2/3,IF(C117="净世破魔击·日",3*0.05*2/3,0.05*2*2/3)))</f>
        <v>0</v>
      </c>
      <c r="BV117" s="115">
        <f t="shared" ca="1" si="105"/>
        <v>0</v>
      </c>
      <c r="BW117" s="115">
        <f t="shared" ca="1" si="106"/>
        <v>102.50999999999925</v>
      </c>
      <c r="BX117" s="164" t="b">
        <f t="shared" ca="1" si="107"/>
        <v>0</v>
      </c>
      <c r="BY117" s="115">
        <f t="shared" ca="1" si="108"/>
        <v>0</v>
      </c>
      <c r="BZ117" s="115">
        <f>IF(OR(模拟模式!$P$16="10人团",模拟模式!$P$16="25人团"),IF(B117/30&gt;CA116,1,0),0)</f>
        <v>0</v>
      </c>
      <c r="CA117" s="115">
        <f t="shared" si="74"/>
        <v>0</v>
      </c>
      <c r="CB117" s="115">
        <f ca="1">IF(BZ117=1,IF(模拟模式!$P$16="10人团",15,0)+IF(模拟模式!$P$16="25人团",IF(RAND()&lt;0.6,15,0)),MAX(0,CB116-$F$4))</f>
        <v>0</v>
      </c>
      <c r="CC117" s="115" t="b">
        <f t="shared" ca="1" si="109"/>
        <v>0</v>
      </c>
      <c r="CD117" s="115">
        <f>IF(模拟模式!$Q$16="1个",IF(B117/40&gt;CE116,1,0),0)</f>
        <v>0</v>
      </c>
      <c r="CE117" s="115">
        <f t="shared" si="110"/>
        <v>0</v>
      </c>
      <c r="CF117" s="115">
        <f>IF(OR(CD117=1,模拟模式!$Q$16="2个"),20,MAX(0,CF116-$F$4))</f>
        <v>0</v>
      </c>
      <c r="CG117" s="115" t="b">
        <f t="shared" si="111"/>
        <v>0</v>
      </c>
      <c r="CH117" s="115">
        <f t="shared" ca="1" si="112"/>
        <v>16.162500000000009</v>
      </c>
      <c r="CI117" s="115" t="b">
        <f t="shared" ca="1" si="113"/>
        <v>0</v>
      </c>
      <c r="CJ117" s="119">
        <f t="shared" ca="1" si="114"/>
        <v>0</v>
      </c>
      <c r="CK117" s="115">
        <f t="shared" ca="1" si="115"/>
        <v>0</v>
      </c>
      <c r="CL117" s="115" t="b">
        <f ca="1">AND(模拟模式!$S$7="驱夷逐法",OR(AND(C117="净世破魔击·月",E116&gt;59),AND(C117="净世破魔击·日",F116&gt;59)))</f>
        <v>0</v>
      </c>
      <c r="CM117" s="115" t="b">
        <f ca="1">OR(CL117,AND(C117="净世破魔击·日",CL116,RAND()&lt;模拟模式!$U$23))</f>
        <v>0</v>
      </c>
      <c r="CN117" s="115" t="b">
        <f ca="1">IF(模拟模式!$M$7="辉耀红尘",AND(C117="净世破魔击·月",CL117,CV117=0,E116&lt;80),AND(C117="净世破魔击·月",CL117,E116&lt;100))</f>
        <v>0</v>
      </c>
      <c r="CO117" s="115" t="b">
        <f t="shared" ca="1" si="75"/>
        <v>0</v>
      </c>
      <c r="CP117" s="115" t="b">
        <f ca="1">AND(模拟模式!$O$7="用晦而明",OR(C117="净世破魔击·日",C117="净世破魔击·月",C117="驱夜断愁"),AB117)</f>
        <v>0</v>
      </c>
      <c r="CQ117" s="115" t="b">
        <f ca="1">OR(CP117,AND(CP116,RAND()&lt;模拟模式!$U$23))</f>
        <v>0</v>
      </c>
      <c r="CR117" s="115" t="b">
        <f ca="1">AND(模拟模式!$S$7="日月齐光",OR(C117="幽月轮1",C117="幽月轮2",C117="幽月轮3",CR116),NOT(OR(C117="赤日轮1",C117="赤日轮2",C117="赤日轮3")))</f>
        <v>0</v>
      </c>
      <c r="CS117" s="115" t="b">
        <f ca="1">AND(模拟模式!$S$7="日月齐光",OR(C117="赤日轮1",C117="赤日轮2",C117="赤日轮3",CS116),NOT(OR(C117="幽月轮1",C117="幽月轮2",C117="幽月轮3")))</f>
        <v>0</v>
      </c>
      <c r="CT117" s="115">
        <f t="shared" ca="1" si="116"/>
        <v>6.9375000000000124</v>
      </c>
      <c r="CU117" s="115" t="b">
        <f ca="1">AND(模拟模式!$K$10="阴阳往极",CT116=0,RAND()&lt;IF(C117="净世破魔击·月",0.0275*7/3,IF(C117="净世破魔击·日",0.0275*3/3,0.0275*2/3)))</f>
        <v>0</v>
      </c>
      <c r="CV117" s="115">
        <f t="shared" ca="1" si="117"/>
        <v>0</v>
      </c>
      <c r="CW117" s="115">
        <f t="shared" ca="1" si="76"/>
        <v>5.0774999999999997</v>
      </c>
      <c r="CX117" s="115">
        <f t="shared" ca="1" si="77"/>
        <v>3.2324999999999995</v>
      </c>
      <c r="CY117" s="115">
        <f ca="1">MAX(IF($C117="驱夜断愁",IF(模拟模式!$R$7="万念俱寂",6,45),CY116-$F$4),0)</f>
        <v>4.1549999999999994</v>
      </c>
      <c r="CZ117" s="115">
        <f t="shared" ca="1" si="78"/>
        <v>0</v>
      </c>
      <c r="DA117" s="115">
        <f ca="1">IF(模拟模式!$N$7="日月同辉",IF(DB116=2,0,MIN(6,IF(AND(OR(C117="赤日轮1",C117="赤日轮2",C117="赤日轮3",C117="幽月轮1",C117="幽月轮2",C117="幽月轮3"),AB117=1),DA116+1,DA116))),0)</f>
        <v>3</v>
      </c>
      <c r="DB117" s="115">
        <f t="shared" ca="1" si="79"/>
        <v>0</v>
      </c>
      <c r="DD117" s="115"/>
      <c r="DE117" s="115"/>
      <c r="DF117" s="115"/>
      <c r="DG117" s="115"/>
      <c r="DH117" s="115"/>
      <c r="DI117" s="115"/>
      <c r="DJ117" s="115"/>
      <c r="DK117" s="115"/>
      <c r="DL117" s="115"/>
      <c r="DM117" s="115"/>
    </row>
    <row r="118" spans="2:117" x14ac:dyDescent="0.2">
      <c r="B118" s="117">
        <f t="shared" si="80"/>
        <v>83.947499999999962</v>
      </c>
      <c r="C118" s="167" t="str">
        <f t="shared" ca="1" si="66"/>
        <v>净世破魔击·月</v>
      </c>
      <c r="D118" s="115">
        <f ca="1">IF(C118="赤日轮1",1,IF(C118="赤日轮2",2,IF(C118="赤日轮3",3,IF(C118="幽月轮1",4,IF(C118="幽月轮2",5,IF(C118="幽月轮3",6,IF(C118="烈日斩",7,IF(C118="银月斩",8,IF(C118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118="净世破魔击·月",17,IF(C118="驱夜断愁",18,0)))))))))))</f>
        <v>17</v>
      </c>
      <c r="E118" s="115">
        <f ca="1">IF(AND(CU118,OR(C118="幽月轮1",C118="幽月轮2",C118="幽月轮3",C118="银月斩",C118="驱夜断愁",C118="净世破魔击·月")),100,MIN(IF(OR(CN118,BE118),0,IF(OR($C118="赤日轮1",$C118="赤日轮2",$C118="赤日轮3"),E117+20+IF(模拟模式!$I$7="日月凌天",4,0)+IF(CR117,20,0),IF($C118="烈日斩",E117+40,IF($C118="驱夜断愁",IF(模拟模式!$R$7="万念俱寂",E117+20,E117+60),IF($C118="净世破魔击·月",IF(OR(DB117&gt;0,CV117&gt;0),100,IF(模拟模式!$M$7="辉耀红尘",E117+20,E117)),IF($C118="净世破魔击·日",E117-100,E117)))))),100))</f>
        <v>100</v>
      </c>
      <c r="F118" s="115">
        <f ca="1">IF(AND(CU118,OR(C118="赤日轮1",C118="赤日轮2",C118="赤日轮3",C118="烈日斩",C118="净世破魔击·日")),100,MIN(IF(CO118,0,IF(OR($C118="幽月轮1",$C118="幽月轮2",$C118="幽月轮3"),F117+20+IF(模拟模式!$I$7="日月凌天",4,0)+IF(CS117,20,0),IF($C118="银月斩",F117+40+IF(模拟模式!$X$12=1,5,0),IF($C118="驱夜断愁",IF(模拟模式!$R$7="万念俱寂",F117+20,F117+60),IF($C118="净世破魔击·月",IF(模拟模式!$M$7="辉耀红尘",F117-80,F117-100),IF(AND(C118="净世破魔击·日",OR(DB117&gt;0,CV117&gt;0)),100,F117)))))),100))</f>
        <v>20</v>
      </c>
      <c r="G118" s="117">
        <f ca="1">('模拟-全程加成'!$E$3+'模拟-全程加成'!$E$4+'模拟-全程加成'!$E$5+('模拟-全程加成'!$C$6-'模拟-全程加成'!$C$3)*系数!$B$9+BS118*23)*(1+'模拟-全程加成'!$F$4+'模拟-全程加成'!$F$5+BJ118*10%+BM118*20%+BP118*4%+CG118*30%)+$F$7*系数!$B$12</f>
        <v>21493.829400000002</v>
      </c>
      <c r="H118" s="45">
        <f ca="1">'模拟-全程加成'!$H$3+'模拟-全程加成'!$H$4+'模拟-全程加成'!$H$5+('模拟-全程加成'!$G$4+'模拟-全程加成'!$G$5+('模拟-全程加成'!$C$6-'模拟-全程加成'!$C$3)*系数!$B$13)/系数!$B$3+LOOKUP(D118,'模拟-单技能数据'!$A$2:$A$19,'模拟-单技能数据'!$K$2:$K$19)+BG118*10%+IF(BV118&gt;0,378,0)</f>
        <v>0.54185145527300216</v>
      </c>
      <c r="I118" s="45">
        <f ca="1">'模拟-全程加成'!$J$3+'模拟-全程加成'!$J$4+'模拟-全程加成'!$J$5+('模拟-全程加成'!$I$4+'模拟-全程加成'!$I$5)/系数!$B$4+LOOKUP(D118,'模拟-单技能数据'!$A$2:$A$19,'模拟-单技能数据'!$L$2:$L$19)+BG118*10%</f>
        <v>2.162482885499879</v>
      </c>
      <c r="J118" s="45">
        <f ca="1">(('模拟-全程加成'!$K$3+'模拟-全程加成'!$K$4+'模拟-全程加成'!$K$5+('模拟-全程加成'!$C$6-'模拟-全程加成'!$C$3)*系数!$B$10+IF(BV118&gt;0,882,0)+IF(BY118&gt;0,1831,0))*(1+'模拟-全程加成'!$L$4+'模拟-全程加成'!$L$5+CC118*20%))/系数!$B$5</f>
        <v>0.69723220422048726</v>
      </c>
      <c r="K118" s="119">
        <f ca="1">LOOKUP(D118,'模拟-单技能数据'!$A$2:$A$19,'模拟-单技能数据'!$J$2:$J$19)+IF(CM118,60%,0)+IF(DB117-DB118&gt;0,30%,0)+IF(OR(AND(OR(C118="赤日轮1",C118="赤日轮2",C118="赤日轮3"),CR118),AND(OR(C118="幽月轮1",C118="幽月轮2",C118="幽月轮3"),CS118)),35%,0)+CJ118</f>
        <v>0.8</v>
      </c>
      <c r="L118" s="119">
        <f ca="1">IF(AND(C118="烈日斩",模拟模式!$X$11=1),10%,0)+IF(AND(C118="驱夜断愁",AB118=1),30%,0)</f>
        <v>0</v>
      </c>
      <c r="M118" s="45">
        <f t="shared" ca="1" si="81"/>
        <v>0.54185145527300216</v>
      </c>
      <c r="N118" s="45">
        <f t="shared" ca="1" si="82"/>
        <v>0.40424854472699789</v>
      </c>
      <c r="O118" s="46">
        <f t="shared" ca="1" si="83"/>
        <v>0.59222601639223404</v>
      </c>
      <c r="P118" s="46" t="str">
        <f t="shared" ca="1" si="84"/>
        <v>会</v>
      </c>
      <c r="Q118" s="45">
        <f t="shared" ca="1" si="85"/>
        <v>2.162482885499879</v>
      </c>
      <c r="R118" s="117">
        <f ca="1">模拟模式!$E$20*(1-IF(模拟模式!$J$19="有",0.15,0))*(1-IF(模拟模式!$K$19="有",0.3,0)-IF(CQ118,0.5,0))</f>
        <v>843.02999999999975</v>
      </c>
      <c r="S118" s="45">
        <f ca="1">R118/(R118+(185*模拟模式!$E$22-16800)*4.08224)</f>
        <v>8.389626085980037E-2</v>
      </c>
      <c r="T118" s="45" t="str">
        <f ca="1">LOOKUP(D118,'模拟-单技能数据'!$A$2:$A$19,'模拟-单技能数据'!$H$2:$H$19)</f>
        <v>阴</v>
      </c>
      <c r="U118" s="119">
        <f t="shared" ca="1" si="86"/>
        <v>0.08</v>
      </c>
      <c r="V118" s="47">
        <f ca="1">(1+L118)*(LOOKUP(D118,'模拟-单技能数据'!$A$2:$A$19,'模拟-单技能数据'!$D$2:$D$19)+G118*LOOKUP(D118,'模拟-单技能数据'!$A$2:$A$19,'模拟-单技能数据'!$F$2:$F$19))*(1+J118)*(1+K118)*(1-S118)*(1+U118)*Q118*LOOKUP(D118,'模拟-单技能数据'!$A$2:$A$19,'模拟-单技能数据'!$I$2:$I$20)</f>
        <v>182541.2211190153</v>
      </c>
      <c r="W118" s="47">
        <f ca="1">LOOKUP(D118,'模拟-单技能数据'!$A$2:$A$19,'模拟-单技能数据'!$G$2:$G$19)*$I$10</f>
        <v>361.51064354704795</v>
      </c>
      <c r="X118" s="47">
        <f t="shared" ca="1" si="87"/>
        <v>83239.711081133952</v>
      </c>
      <c r="Y118" s="47">
        <f t="shared" ca="1" si="88"/>
        <v>266142.44284369634</v>
      </c>
      <c r="Z118" s="49">
        <f t="shared" ca="1" si="89"/>
        <v>9326347.6307488643</v>
      </c>
      <c r="AA118" s="97">
        <f t="shared" ca="1" si="90"/>
        <v>111097.38385001183</v>
      </c>
      <c r="AB118" s="115">
        <f ca="1">IF(OR(C118="赤日轮1",C118="赤日轮2",C118="赤日轮3"),IF(RAND()&lt;模拟模式!$Y$17,1,0),IF(OR(C118="幽月轮1",C118="幽月轮2",C118="幽月轮3"),IF(RAND()&lt;模拟模式!$Y$18,1,0),IF(C118="烈日斩",IF(RAND()&lt;模拟模式!$Y$19,1,0),IF(C118="银月斩",IF(RAND()&lt;模拟模式!$Y$20,1,0),IF(C118="驱夜断愁",IF(RAND()&lt;模拟模式!$Y$21,1,0),IF(C118="净世破魔击·日",IF(RAND()&lt;模拟模式!$Y$22,1,0),IF(C118="净世破魔击·月",IF(RAND()&lt;模拟模式!$Y$23,1,0),0)))))))</f>
        <v>1</v>
      </c>
      <c r="AC118" s="115" t="b">
        <f t="shared" ca="1" si="67"/>
        <v>0</v>
      </c>
      <c r="AD118" s="115" t="b">
        <f t="shared" ca="1" si="118"/>
        <v>1</v>
      </c>
      <c r="AE118" s="115">
        <f t="shared" ca="1" si="119"/>
        <v>3</v>
      </c>
      <c r="AF118" s="47">
        <f ca="1">IF(AC118,('模拟-单技能数据'!$D$20+G118*'模拟-单技能数据'!$F$20)*(1+J118)*(1+'模拟-单技能数据'!$J$20)*(1+U118),0)</f>
        <v>0</v>
      </c>
      <c r="AG118" s="61">
        <f t="shared" ca="1" si="91"/>
        <v>0.64185145527300214</v>
      </c>
      <c r="AH118" s="61">
        <f t="shared" ca="1" si="92"/>
        <v>2.2624828854998791</v>
      </c>
      <c r="AI118" s="62">
        <f t="shared" ca="1" si="93"/>
        <v>0.15399797398251158</v>
      </c>
      <c r="AJ118" s="47">
        <f ca="1">IF(AD118,IF(AI118&lt;$F$10,0,IF(AI118&lt;$F$10+$F$11,0.25,IF(AI118&lt;$F$10+$F$11+AG118,AH118,1)))*IF(AF118&gt;0,AF118,IF(AF117&gt;0,AF117,IF(AF116&gt;0,AF116,IF(AF115&gt;0,AF115,IF(AF114&gt;0,AF114,IF(AF113&gt;0,AF113,IF(AF112&gt;0,AF112,IF(AF111&gt;0,AF111,IF(AF110&gt;0,AF110,IF(AF108&gt;0,AF108,IF(AF107&gt;0,AF107,IF(AF106&gt;0,AF106,0)))))))))))),0)*(1-$S118)*'模拟-单技能数据'!$I$20</f>
        <v>9616.6571145767884</v>
      </c>
      <c r="AK118" s="115" t="b">
        <f t="shared" ca="1" si="68"/>
        <v>0</v>
      </c>
      <c r="AL118" s="115" t="b">
        <f t="shared" ca="1" si="120"/>
        <v>0</v>
      </c>
      <c r="AM118" s="115">
        <f t="shared" ca="1" si="121"/>
        <v>3</v>
      </c>
      <c r="AN118" s="47">
        <f ca="1">IF(AK118,('模拟-单技能数据'!$D$21+G118*'模拟-单技能数据'!$F$21)*(1+J118)*(1+'模拟-单技能数据'!$J$21)*(1+U118),0)</f>
        <v>0</v>
      </c>
      <c r="AO118" s="61">
        <f ca="1">IF(AN118&gt;0,M118-'模拟-单技能数据'!$K$10,AO117)</f>
        <v>0.42185145527300216</v>
      </c>
      <c r="AP118" s="61">
        <f ca="1">IF(AN118&gt;0,I118-'模拟-单技能数据'!$L$10,AP117)</f>
        <v>2.162482885499879</v>
      </c>
      <c r="AQ118" s="63">
        <f t="shared" ca="1" si="94"/>
        <v>0.67686808201225468</v>
      </c>
      <c r="AR118" s="64">
        <f ca="1">IF(AL118,IF(AQ118&lt;$F$10,0,IF(AQ118&lt;$F$10+$F$11,0.25,IF(AQ118&lt;$F$10+$F$11+AO118,AP118,1)))*IF(AN118&gt;0,AN118,IF(AN117&gt;0,AN117,IF(AN116&gt;0,AN116,IF(AN115&gt;0,AN115,IF(AN114&gt;0,AN114,IF(AN113&gt;0,AN113,IF(AN112&gt;0,AN112,IF(AN111&gt;0,AN111,IF(AN110&gt;0,AN110,IF(AN108&gt;0,AN108,IF(AN107&gt;0,AN107,IF(AN106&gt;0,AN106,0)))))))))))),0)*(1-$S118)*'模拟-单技能数据'!$I$21</f>
        <v>0</v>
      </c>
      <c r="AS118" s="61">
        <f ca="1">IF(OR(C118="净世破魔击·日",C118="净世破魔击·月"),M118-'模拟-单技能数据'!$K$10,0)</f>
        <v>0.42185145527300216</v>
      </c>
      <c r="AT118" s="61">
        <f ca="1">IF(OR(C118="净世破魔击·日",C118="净世破魔击·月"),I118-'模拟-单技能数据'!$L$10,0)</f>
        <v>2.162482885499879</v>
      </c>
      <c r="AU118" s="62">
        <f t="shared" ca="1" si="95"/>
        <v>0.24765136307085167</v>
      </c>
      <c r="AV118" s="64">
        <f ca="1">IF(AS118&gt;0,('模拟-单技能数据'!$D$22+G118*'模拟-单技能数据'!$F$22)*(1+J118)*(1-S118)*IF(AU118&lt;$F$10,0,IF(AU118&lt;$F$10+$F$11,0.25,IF(AU118&lt;$F$10+$F$11+AS118,AT118,1)))*(1+U118),0)*'模拟-单技能数据'!$I$22</f>
        <v>17205.169596245785</v>
      </c>
      <c r="AW118" s="108">
        <f t="shared" ca="1" si="96"/>
        <v>19.077500000000001</v>
      </c>
      <c r="AX118" s="108" t="b">
        <f ca="1">AND(模拟模式!$P$10="有",AW117=0,RAND()&lt;IF(C118="净世破魔击·月",0.1*8/3,IF(C118="净世破魔击·日",0.1*4/3,0.1*2/3)))</f>
        <v>1</v>
      </c>
      <c r="AY118" s="47">
        <f ca="1">IF(AX118,(18+G118*0.722)*(1+J118)*(1-S118)*(1+$I$4)*IF(P118="会",'模拟-全程加成'!$J$3+'模拟-全程加成'!$J$4+'模拟-全程加成'!$J$5+('模拟-全程加成'!$I$4+'模拟-全程加成'!$I$5)/系数!$B$4+BG118*10%,IF(P118="命",1,IF(P118="识",0.25,0))),0)</f>
        <v>56417.884370311374</v>
      </c>
      <c r="AZ118" s="108">
        <f t="shared" si="97"/>
        <v>17.232500000000002</v>
      </c>
      <c r="BA118" s="108" t="b">
        <f>AND(模拟模式!$Q$10="有",AZ117=0)</f>
        <v>0</v>
      </c>
      <c r="BB118" s="140">
        <f>IF(BA118,(0+G118*0.287)*(1+J118)*(1-S118)*(1+$I$4)*IF(P118="会",'模拟-全程加成'!$J$3+'模拟-全程加成'!$J$4+'模拟-全程加成'!$J$5+('模拟-全程加成'!$I$4+'模拟-全程加成'!$I$5)/系数!$B$4+BG118*10%,IF(P118="命",1,IF(P118="识",0.25,0))),0)</f>
        <v>0</v>
      </c>
      <c r="BC118" s="115" t="b">
        <f ca="1">AND(模拟模式!$R$7="伏明众生",E118=60,F118=20,DA118&lt;5,CZ117&lt;$F$4)</f>
        <v>0</v>
      </c>
      <c r="BD118" s="115">
        <f t="shared" ca="1" si="69"/>
        <v>0</v>
      </c>
      <c r="BE118" s="115" t="b">
        <f t="shared" ca="1" si="70"/>
        <v>0</v>
      </c>
      <c r="BF118" s="47">
        <f ca="1">IF(BC118,4*('模拟-单技能数据'!$D$24+G118*'模拟-单技能数据'!$F$24)*(1+J118)*(1+'模拟-单技能数据'!$J$24)*(1-S118)*(1+$I$3)*(('模拟-全程加成'!$J$3+'模拟-全程加成'!$J$4+'模拟-全程加成'!$J$5+('模拟-全程加成'!$I$4+'模拟-全程加成'!$I$5)/系数!$B$4+BG118*10%)*('模拟-全程加成'!$J$3+'模拟-全程加成'!$J$4+'模拟-全程加成'!$J$5+('模拟-全程加成'!$I$4+'模拟-全程加成'!$I$5)/系数!$B$4+BG118*10%)+(1-('模拟-全程加成'!$J$3+'模拟-全程加成'!$J$4+'模拟-全程加成'!$J$5+('模拟-全程加成'!$I$4+'模拟-全程加成'!$I$5)/系数!$B$4+BG118*10%)-$F$10-$F$11)+F104*0.25),0)*'模拟-单技能数据'!$I$24</f>
        <v>0</v>
      </c>
      <c r="BG118" s="115" t="b">
        <f ca="1">OR(AND(OR(C118="烈日斩",C118="银月斩"),模拟模式!$I$7="净身明礼"),AND(C118="净世破魔击·日",模拟模式!$J$7="洞若观火"),AND(C119="净世破魔击·月",模拟模式!$J$7="洞若观火"),AB118=1)</f>
        <v>1</v>
      </c>
      <c r="BH118" s="115" t="b">
        <f t="shared" ca="1" si="98"/>
        <v>1</v>
      </c>
      <c r="BI118" s="115">
        <f t="shared" ca="1" si="71"/>
        <v>6</v>
      </c>
      <c r="BJ118" s="115" t="b">
        <f t="shared" ca="1" si="99"/>
        <v>1</v>
      </c>
      <c r="BK118" s="115" t="b">
        <f ca="1">AND(C118="驱夜断愁",模拟模式!$P$7="天地诛戮")</f>
        <v>0</v>
      </c>
      <c r="BL118" s="57">
        <f t="shared" ca="1" si="72"/>
        <v>17.232500000000002</v>
      </c>
      <c r="BM118" s="115" t="b">
        <f t="shared" ca="1" si="100"/>
        <v>1</v>
      </c>
      <c r="BN118" s="115" t="b">
        <f ca="1">AND(OR(C118="赤日轮1",C118="赤日轮2",C118="赤日轮3",C118="幽月轮1",C118="幽月轮2",C118="幽月轮3"),AB118=1,模拟模式!$L$7="明光恒照")</f>
        <v>0</v>
      </c>
      <c r="BO118" s="117">
        <f t="shared" ca="1" si="73"/>
        <v>29.077500000000001</v>
      </c>
      <c r="BP118" s="115">
        <f t="shared" ca="1" si="101"/>
        <v>6</v>
      </c>
      <c r="BQ118" s="115" t="b">
        <f>模拟模式!$K$10="2600·水"</f>
        <v>0</v>
      </c>
      <c r="BR118" s="117">
        <f t="shared" si="102"/>
        <v>0</v>
      </c>
      <c r="BS118" s="115">
        <f t="shared" si="103"/>
        <v>0</v>
      </c>
      <c r="BT118" s="115">
        <f t="shared" ca="1" si="104"/>
        <v>0</v>
      </c>
      <c r="BU118" s="115" t="b">
        <f ca="1">AND(模拟模式!$K$10="2300·雷",BT117=0,RAND()&lt;IF(C118="净世破魔击·月",5*0.05*2/3,IF(C118="净世破魔击·日",3*0.05*2/3,0.05*2*2/3)))</f>
        <v>0</v>
      </c>
      <c r="BV118" s="115">
        <f t="shared" ca="1" si="105"/>
        <v>0</v>
      </c>
      <c r="BW118" s="115">
        <f t="shared" ca="1" si="106"/>
        <v>101.58749999999925</v>
      </c>
      <c r="BX118" s="164" t="b">
        <f t="shared" ca="1" si="107"/>
        <v>0</v>
      </c>
      <c r="BY118" s="115">
        <f t="shared" ca="1" si="108"/>
        <v>0</v>
      </c>
      <c r="BZ118" s="115">
        <f>IF(OR(模拟模式!$P$16="10人团",模拟模式!$P$16="25人团"),IF(B118/30&gt;CA117,1,0),0)</f>
        <v>0</v>
      </c>
      <c r="CA118" s="115">
        <f t="shared" si="74"/>
        <v>0</v>
      </c>
      <c r="CB118" s="115">
        <f ca="1">IF(BZ118=1,IF(模拟模式!$P$16="10人团",15,0)+IF(模拟模式!$P$16="25人团",IF(RAND()&lt;0.6,15,0)),MAX(0,CB117-$F$4))</f>
        <v>0</v>
      </c>
      <c r="CC118" s="115" t="b">
        <f t="shared" ca="1" si="109"/>
        <v>0</v>
      </c>
      <c r="CD118" s="115">
        <f>IF(模拟模式!$Q$16="1个",IF(B118/40&gt;CE117,1,0),0)</f>
        <v>0</v>
      </c>
      <c r="CE118" s="115">
        <f t="shared" si="110"/>
        <v>0</v>
      </c>
      <c r="CF118" s="115">
        <f>IF(OR(CD118=1,模拟模式!$Q$16="2个"),20,MAX(0,CF117-$F$4))</f>
        <v>0</v>
      </c>
      <c r="CG118" s="115" t="b">
        <f t="shared" si="111"/>
        <v>0</v>
      </c>
      <c r="CH118" s="115">
        <f t="shared" ca="1" si="112"/>
        <v>15.240000000000009</v>
      </c>
      <c r="CI118" s="115" t="b">
        <f t="shared" ca="1" si="113"/>
        <v>0</v>
      </c>
      <c r="CJ118" s="119">
        <f t="shared" ca="1" si="114"/>
        <v>0</v>
      </c>
      <c r="CK118" s="115">
        <f t="shared" ca="1" si="115"/>
        <v>0</v>
      </c>
      <c r="CL118" s="115" t="b">
        <f ca="1">AND(模拟模式!$S$7="驱夷逐法",OR(AND(C118="净世破魔击·月",E117&gt;59),AND(C118="净世破魔击·日",F117&gt;59)))</f>
        <v>1</v>
      </c>
      <c r="CM118" s="115" t="b">
        <f ca="1">OR(CL118,AND(C118="净世破魔击·日",CL117,RAND()&lt;模拟模式!$U$23))</f>
        <v>1</v>
      </c>
      <c r="CN118" s="115" t="b">
        <f ca="1">IF(模拟模式!$M$7="辉耀红尘",AND(C118="净世破魔击·月",CL118,CV118=0,E117&lt;80),AND(C118="净世破魔击·月",CL118,E117&lt;100))</f>
        <v>0</v>
      </c>
      <c r="CO118" s="115" t="b">
        <f t="shared" ca="1" si="75"/>
        <v>0</v>
      </c>
      <c r="CP118" s="115" t="b">
        <f ca="1">AND(模拟模式!$O$7="用晦而明",OR(C118="净世破魔击·日",C118="净世破魔击·月",C118="驱夜断愁"),AB118)</f>
        <v>1</v>
      </c>
      <c r="CQ118" s="115" t="b">
        <f ca="1">OR(CP118,AND(CP117,RAND()&lt;模拟模式!$U$23))</f>
        <v>1</v>
      </c>
      <c r="CR118" s="115" t="b">
        <f ca="1">AND(模拟模式!$S$7="日月齐光",OR(C118="幽月轮1",C118="幽月轮2",C118="幽月轮3",CR117),NOT(OR(C118="赤日轮1",C118="赤日轮2",C118="赤日轮3")))</f>
        <v>0</v>
      </c>
      <c r="CS118" s="115" t="b">
        <f ca="1">AND(模拟模式!$S$7="日月齐光",OR(C118="赤日轮1",C118="赤日轮2",C118="赤日轮3",CS117),NOT(OR(C118="幽月轮1",C118="幽月轮2",C118="幽月轮3")))</f>
        <v>0</v>
      </c>
      <c r="CT118" s="115">
        <f t="shared" ca="1" si="116"/>
        <v>6.0150000000000121</v>
      </c>
      <c r="CU118" s="115" t="b">
        <f ca="1">AND(模拟模式!$K$10="阴阳往极",CT117=0,RAND()&lt;IF(C118="净世破魔击·月",0.0275*7/3,IF(C118="净世破魔击·日",0.0275*3/3,0.0275*2/3)))</f>
        <v>0</v>
      </c>
      <c r="CV118" s="115">
        <f t="shared" ca="1" si="117"/>
        <v>0</v>
      </c>
      <c r="CW118" s="115">
        <f t="shared" ca="1" si="76"/>
        <v>4.1549999999999994</v>
      </c>
      <c r="CX118" s="115">
        <f t="shared" ca="1" si="77"/>
        <v>2.3099999999999996</v>
      </c>
      <c r="CY118" s="115">
        <f ca="1">MAX(IF($C118="驱夜断愁",IF(模拟模式!$R$7="万念俱寂",6,45),CY117-$F$4),0)</f>
        <v>3.2324999999999995</v>
      </c>
      <c r="CZ118" s="115">
        <f t="shared" ca="1" si="78"/>
        <v>0</v>
      </c>
      <c r="DA118" s="115">
        <f ca="1">IF(模拟模式!$N$7="日月同辉",IF(DB117=2,0,MIN(6,IF(AND(OR(C118="赤日轮1",C118="赤日轮2",C118="赤日轮3",C118="幽月轮1",C118="幽月轮2",C118="幽月轮3"),AB118=1),DA117+1,DA117))),0)</f>
        <v>3</v>
      </c>
      <c r="DB118" s="115">
        <f t="shared" ca="1" si="79"/>
        <v>0</v>
      </c>
      <c r="DD118" s="115"/>
      <c r="DE118" s="115"/>
      <c r="DF118" s="115"/>
      <c r="DG118" s="115"/>
      <c r="DH118" s="115"/>
      <c r="DI118" s="115"/>
      <c r="DJ118" s="115"/>
      <c r="DK118" s="115"/>
      <c r="DL118" s="115"/>
      <c r="DM118" s="115"/>
    </row>
    <row r="119" spans="2:117" x14ac:dyDescent="0.2">
      <c r="B119" s="117">
        <f t="shared" si="80"/>
        <v>84.869999999999962</v>
      </c>
      <c r="C119" s="167" t="str">
        <f t="shared" ca="1" si="66"/>
        <v>净世破魔击·日</v>
      </c>
      <c r="D119" s="115">
        <f ca="1">IF(C119="赤日轮1",1,IF(C119="赤日轮2",2,IF(C119="赤日轮3",3,IF(C119="幽月轮1",4,IF(C119="幽月轮2",5,IF(C119="幽月轮3",6,IF(C119="烈日斩",7,IF(C119="银月斩",8,IF(C119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119="净世破魔击·月",17,IF(C119="驱夜断愁",18,0)))))))))))</f>
        <v>9</v>
      </c>
      <c r="E119" s="115">
        <f ca="1">IF(AND(CU119,OR(C119="幽月轮1",C119="幽月轮2",C119="幽月轮3",C119="银月斩",C119="驱夜断愁",C119="净世破魔击·月")),100,MIN(IF(OR(CN119,BE119),0,IF(OR($C119="赤日轮1",$C119="赤日轮2",$C119="赤日轮3"),E118+20+IF(模拟模式!$I$7="日月凌天",4,0)+IF(CR118,20,0),IF($C119="烈日斩",E118+40,IF($C119="驱夜断愁",IF(模拟模式!$R$7="万念俱寂",E118+20,E118+60),IF($C119="净世破魔击·月",IF(OR(DB118&gt;0,CV118&gt;0),100,IF(模拟模式!$M$7="辉耀红尘",E118+20,E118)),IF($C119="净世破魔击·日",E118-100,E118)))))),100))</f>
        <v>0</v>
      </c>
      <c r="F119" s="115">
        <f ca="1">IF(AND(CU119,OR(C119="赤日轮1",C119="赤日轮2",C119="赤日轮3",C119="烈日斩",C119="净世破魔击·日")),100,MIN(IF(CO119,0,IF(OR($C119="幽月轮1",$C119="幽月轮2",$C119="幽月轮3"),F118+20+IF(模拟模式!$I$7="日月凌天",4,0)+IF(CS118,20,0),IF($C119="银月斩",F118+40+IF(模拟模式!$X$12=1,5,0),IF($C119="驱夜断愁",IF(模拟模式!$R$7="万念俱寂",F118+20,F118+60),IF($C119="净世破魔击·月",IF(模拟模式!$M$7="辉耀红尘",F118-80,F118-100),IF(AND(C119="净世破魔击·日",OR(DB118&gt;0,CV118&gt;0)),100,F118)))))),100))</f>
        <v>20</v>
      </c>
      <c r="G119" s="117">
        <f ca="1">('模拟-全程加成'!$E$3+'模拟-全程加成'!$E$4+'模拟-全程加成'!$E$5+('模拟-全程加成'!$C$6-'模拟-全程加成'!$C$3)*系数!$B$9+BS119*23)*(1+'模拟-全程加成'!$F$4+'模拟-全程加成'!$F$5+BJ119*10%+BM119*20%+BP119*4%+CG119*30%)+$F$7*系数!$B$12</f>
        <v>21493.829400000002</v>
      </c>
      <c r="H119" s="45">
        <f ca="1">'模拟-全程加成'!$H$3+'模拟-全程加成'!$H$4+'模拟-全程加成'!$H$5+('模拟-全程加成'!$G$4+'模拟-全程加成'!$G$5+('模拟-全程加成'!$C$6-'模拟-全程加成'!$C$3)*系数!$B$13)/系数!$B$3+LOOKUP(D119,'模拟-单技能数据'!$A$2:$A$19,'模拟-单技能数据'!$K$2:$K$19)+BG119*10%+IF(BV119&gt;0,378,0)</f>
        <v>0.54185145527300216</v>
      </c>
      <c r="I119" s="45">
        <f ca="1">'模拟-全程加成'!$J$3+'模拟-全程加成'!$J$4+'模拟-全程加成'!$J$5+('模拟-全程加成'!$I$4+'模拟-全程加成'!$I$5)/系数!$B$4+LOOKUP(D119,'模拟-单技能数据'!$A$2:$A$19,'模拟-单技能数据'!$L$2:$L$19)+BG119*10%</f>
        <v>2.162482885499879</v>
      </c>
      <c r="J119" s="45">
        <f ca="1">(('模拟-全程加成'!$K$3+'模拟-全程加成'!$K$4+'模拟-全程加成'!$K$5+('模拟-全程加成'!$C$6-'模拟-全程加成'!$C$3)*系数!$B$10+IF(BV119&gt;0,882,0)+IF(BY119&gt;0,1831,0))*(1+'模拟-全程加成'!$L$4+'模拟-全程加成'!$L$5+CC119*20%))/系数!$B$5</f>
        <v>0.69723220422048726</v>
      </c>
      <c r="K119" s="119">
        <f ca="1">LOOKUP(D119,'模拟-单技能数据'!$A$2:$A$19,'模拟-单技能数据'!$J$2:$J$19)+IF(CM119,60%,0)+IF(DB118-DB119&gt;0,30%,0)+IF(OR(AND(OR(C119="赤日轮1",C119="赤日轮2",C119="赤日轮3"),CR119),AND(OR(C119="幽月轮1",C119="幽月轮2",C119="幽月轮3"),CS119)),35%,0)+CJ119</f>
        <v>0.8</v>
      </c>
      <c r="L119" s="119">
        <f ca="1">IF(AND(C119="烈日斩",模拟模式!$X$11=1),10%,0)+IF(AND(C119="驱夜断愁",AB119=1),30%,0)</f>
        <v>0</v>
      </c>
      <c r="M119" s="45">
        <f t="shared" ca="1" si="81"/>
        <v>0.54185145527300216</v>
      </c>
      <c r="N119" s="45">
        <f t="shared" ca="1" si="82"/>
        <v>0.40424854472699789</v>
      </c>
      <c r="O119" s="46">
        <f t="shared" ca="1" si="83"/>
        <v>0.24716272653742444</v>
      </c>
      <c r="P119" s="46" t="str">
        <f t="shared" ca="1" si="84"/>
        <v>会</v>
      </c>
      <c r="Q119" s="45">
        <f t="shared" ca="1" si="85"/>
        <v>2.162482885499879</v>
      </c>
      <c r="R119" s="117">
        <f ca="1">模拟模式!$E$20*(1-IF(模拟模式!$J$19="有",0.15,0))*(1-IF(模拟模式!$K$19="有",0.3,0)-IF(CQ119,0.5,0))</f>
        <v>843.02999999999975</v>
      </c>
      <c r="S119" s="45">
        <f ca="1">R119/(R119+(185*模拟模式!$E$22-16800)*4.08224)</f>
        <v>8.389626085980037E-2</v>
      </c>
      <c r="T119" s="45" t="str">
        <f ca="1">LOOKUP(D119,'模拟-单技能数据'!$A$2:$A$19,'模拟-单技能数据'!$H$2:$H$19)</f>
        <v>阳</v>
      </c>
      <c r="U119" s="119">
        <f t="shared" ca="1" si="86"/>
        <v>0.2</v>
      </c>
      <c r="V119" s="47">
        <f ca="1">(1+L119)*(LOOKUP(D119,'模拟-单技能数据'!$A$2:$A$19,'模拟-单技能数据'!$D$2:$D$19)+G119*LOOKUP(D119,'模拟-单技能数据'!$A$2:$A$19,'模拟-单技能数据'!$F$2:$F$19))*(1+J119)*(1+K119)*(1-S119)*(1+U119)*Q119*LOOKUP(D119,'模拟-单技能数据'!$A$2:$A$19,'模拟-单技能数据'!$I$2:$I$20)</f>
        <v>204517.60843249681</v>
      </c>
      <c r="W119" s="47">
        <f ca="1">LOOKUP(D119,'模拟-单技能数据'!$A$2:$A$19,'模拟-单技能数据'!$G$2:$G$19)*$I$10</f>
        <v>723.0212870940959</v>
      </c>
      <c r="X119" s="47">
        <f t="shared" ca="1" si="87"/>
        <v>30724.746959395939</v>
      </c>
      <c r="Y119" s="47">
        <f t="shared" ca="1" si="88"/>
        <v>235965.37667898685</v>
      </c>
      <c r="Z119" s="49">
        <f t="shared" ca="1" si="89"/>
        <v>9562313.0074278507</v>
      </c>
      <c r="AA119" s="97">
        <f t="shared" ca="1" si="90"/>
        <v>112670.11909305827</v>
      </c>
      <c r="AB119" s="115">
        <f ca="1">IF(OR(C119="赤日轮1",C119="赤日轮2",C119="赤日轮3"),IF(RAND()&lt;模拟模式!$Y$17,1,0),IF(OR(C119="幽月轮1",C119="幽月轮2",C119="幽月轮3"),IF(RAND()&lt;模拟模式!$Y$18,1,0),IF(C119="烈日斩",IF(RAND()&lt;模拟模式!$Y$19,1,0),IF(C119="银月斩",IF(RAND()&lt;模拟模式!$Y$20,1,0),IF(C119="驱夜断愁",IF(RAND()&lt;模拟模式!$Y$21,1,0),IF(C119="净世破魔击·日",IF(RAND()&lt;模拟模式!$Y$22,1,0),IF(C119="净世破魔击·月",IF(RAND()&lt;模拟模式!$Y$23,1,0),0)))))))</f>
        <v>1</v>
      </c>
      <c r="AC119" s="115" t="b">
        <f t="shared" ca="1" si="67"/>
        <v>0</v>
      </c>
      <c r="AD119" s="115" t="b">
        <f t="shared" ca="1" si="118"/>
        <v>0</v>
      </c>
      <c r="AE119" s="115">
        <f t="shared" ca="1" si="119"/>
        <v>3</v>
      </c>
      <c r="AF119" s="47">
        <f ca="1">IF(AC119,('模拟-单技能数据'!$D$20+G119*'模拟-单技能数据'!$F$20)*(1+J119)*(1+'模拟-单技能数据'!$J$20)*(1+U119),0)</f>
        <v>0</v>
      </c>
      <c r="AG119" s="61">
        <f t="shared" ca="1" si="91"/>
        <v>0.64185145527300214</v>
      </c>
      <c r="AH119" s="61">
        <f t="shared" ca="1" si="92"/>
        <v>2.2624828854998791</v>
      </c>
      <c r="AI119" s="62">
        <f t="shared" ca="1" si="93"/>
        <v>0.52466561395914035</v>
      </c>
      <c r="AJ119" s="47">
        <f ca="1">IF(AD119,IF(AI119&lt;$F$10,0,IF(AI119&lt;$F$10+$F$11,0.25,IF(AI119&lt;$F$10+$F$11+AG119,AH119,1)))*IF(AF119&gt;0,AF119,IF(AF118&gt;0,AF118,IF(AF117&gt;0,AF117,IF(AF116&gt;0,AF116,IF(AF115&gt;0,AF115,IF(AF114&gt;0,AF114,IF(AF113&gt;0,AF113,IF(AF112&gt;0,AF112,IF(AF111&gt;0,AF111,IF(AF109&gt;0,AF109,IF(AF108&gt;0,AF108,IF(AF107&gt;0,AF107,0)))))))))))),0)*(1-$S119)*'模拟-单技能数据'!$I$20</f>
        <v>0</v>
      </c>
      <c r="AK119" s="115" t="b">
        <f t="shared" ca="1" si="68"/>
        <v>1</v>
      </c>
      <c r="AL119" s="115" t="b">
        <f t="shared" ca="1" si="120"/>
        <v>1</v>
      </c>
      <c r="AM119" s="115">
        <f t="shared" ca="1" si="121"/>
        <v>5</v>
      </c>
      <c r="AN119" s="47">
        <f ca="1">IF(AK119,('模拟-单技能数据'!$D$21+G119*'模拟-单技能数据'!$F$21)*(1+J119)*(1+'模拟-单技能数据'!$J$21)*(1+U119),0)</f>
        <v>12670.936004857545</v>
      </c>
      <c r="AO119" s="61">
        <f ca="1">IF(AN119&gt;0,M119-'模拟-单技能数据'!$K$10,AO118)</f>
        <v>0.42185145527300216</v>
      </c>
      <c r="AP119" s="61">
        <f ca="1">IF(AN119&gt;0,I119-'模拟-单技能数据'!$L$10,AP118)</f>
        <v>2.162482885499879</v>
      </c>
      <c r="AQ119" s="63">
        <f t="shared" ca="1" si="94"/>
        <v>0.63507147316527823</v>
      </c>
      <c r="AR119" s="64">
        <f ca="1">IF(AL119,IF(AQ119&lt;$F$10,0,IF(AQ119&lt;$F$10+$F$11,0.25,IF(AQ119&lt;$F$10+$F$11+AO119,AP119,1)))*IF(AN119&gt;0,AN119,IF(AN118&gt;0,AN118,IF(AN117&gt;0,AN117,IF(AN116&gt;0,AN116,IF(AN115&gt;0,AN115,IF(AN114&gt;0,AN114,IF(AN113&gt;0,AN113,IF(AN112&gt;0,AN112,IF(AN111&gt;0,AN111,IF(AN109&gt;0,AN109,IF(AN108&gt;0,AN108,IF(AN107&gt;0,AN107,0)))))))))))),0)*(1-$S119)*'模拟-单技能数据'!$I$21</f>
        <v>11607.89185245618</v>
      </c>
      <c r="AS119" s="61">
        <f ca="1">IF(OR(C119="净世破魔击·日",C119="净世破魔击·月"),M119-'模拟-单技能数据'!$K$10,0)</f>
        <v>0.42185145527300216</v>
      </c>
      <c r="AT119" s="61">
        <f ca="1">IF(OR(C119="净世破魔击·日",C119="净世破魔击·月"),I119-'模拟-单技能数据'!$L$10,0)</f>
        <v>2.162482885499879</v>
      </c>
      <c r="AU119" s="62">
        <f t="shared" ca="1" si="95"/>
        <v>0.12012089417150995</v>
      </c>
      <c r="AV119" s="64">
        <f ca="1">IF(AS119&gt;0,('模拟-单技能数据'!$D$22+G119*'模拟-单技能数据'!$F$22)*(1+J119)*(1-S119)*IF(AU119&lt;$F$10,0,IF(AU119&lt;$F$10+$F$11,0.25,IF(AU119&lt;$F$10+$F$11+AS119,AT119,1)))*(1+U119),0)*'模拟-单技能数据'!$I$22</f>
        <v>19116.855106939758</v>
      </c>
      <c r="AW119" s="108">
        <f t="shared" ca="1" si="96"/>
        <v>18.155000000000001</v>
      </c>
      <c r="AX119" s="108" t="b">
        <f ca="1">AND(模拟模式!$P$10="有",AW118=0,RAND()&lt;IF(C119="净世破魔击·月",0.1*8/3,IF(C119="净世破魔击·日",0.1*4/3,0.1*2/3)))</f>
        <v>0</v>
      </c>
      <c r="AY119" s="47">
        <f ca="1">IF(AX119,(18+G119*0.722)*(1+J119)*(1-S119)*(1+$I$4)*IF(P119="会",'模拟-全程加成'!$J$3+'模拟-全程加成'!$J$4+'模拟-全程加成'!$J$5+('模拟-全程加成'!$I$4+'模拟-全程加成'!$I$5)/系数!$B$4+BG119*10%,IF(P119="命",1,IF(P119="识",0.25,0))),0)</f>
        <v>0</v>
      </c>
      <c r="AZ119" s="108">
        <f t="shared" si="97"/>
        <v>16.310000000000002</v>
      </c>
      <c r="BA119" s="108" t="b">
        <f>AND(模拟模式!$Q$10="有",AZ118=0)</f>
        <v>0</v>
      </c>
      <c r="BB119" s="140">
        <f>IF(BA119,(0+G119*0.287)*(1+J119)*(1-S119)*(1+$I$4)*IF(P119="会",'模拟-全程加成'!$J$3+'模拟-全程加成'!$J$4+'模拟-全程加成'!$J$5+('模拟-全程加成'!$I$4+'模拟-全程加成'!$I$5)/系数!$B$4+BG119*10%,IF(P119="命",1,IF(P119="识",0.25,0))),0)</f>
        <v>0</v>
      </c>
      <c r="BC119" s="115" t="b">
        <f ca="1">AND(模拟模式!$R$7="伏明众生",E119=60,F119=20,DA119&lt;5,CZ118&lt;$F$4)</f>
        <v>0</v>
      </c>
      <c r="BD119" s="115">
        <f t="shared" ca="1" si="69"/>
        <v>0</v>
      </c>
      <c r="BE119" s="115" t="b">
        <f t="shared" ca="1" si="70"/>
        <v>0</v>
      </c>
      <c r="BF119" s="47">
        <f ca="1">IF(BC119,4*('模拟-单技能数据'!$D$24+G119*'模拟-单技能数据'!$F$24)*(1+J119)*(1+'模拟-单技能数据'!$J$24)*(1-S119)*(1+$I$3)*(('模拟-全程加成'!$J$3+'模拟-全程加成'!$J$4+'模拟-全程加成'!$J$5+('模拟-全程加成'!$I$4+'模拟-全程加成'!$I$5)/系数!$B$4+BG119*10%)*('模拟-全程加成'!$J$3+'模拟-全程加成'!$J$4+'模拟-全程加成'!$J$5+('模拟-全程加成'!$I$4+'模拟-全程加成'!$I$5)/系数!$B$4+BG119*10%)+(1-('模拟-全程加成'!$J$3+'模拟-全程加成'!$J$4+'模拟-全程加成'!$J$5+('模拟-全程加成'!$I$4+'模拟-全程加成'!$I$5)/系数!$B$4+BG119*10%)-$F$10-$F$11)+F105*0.25),0)*'模拟-单技能数据'!$I$24</f>
        <v>0</v>
      </c>
      <c r="BG119" s="115" t="b">
        <f ca="1">OR(AND(OR(C119="烈日斩",C119="银月斩"),模拟模式!$I$7="净身明礼"),AND(C119="净世破魔击·日",模拟模式!$J$7="洞若观火"),AND(C120="净世破魔击·月",模拟模式!$J$7="洞若观火"),AB119=1)</f>
        <v>1</v>
      </c>
      <c r="BH119" s="115" t="b">
        <f t="shared" ca="1" si="98"/>
        <v>0</v>
      </c>
      <c r="BI119" s="115">
        <f t="shared" ca="1" si="71"/>
        <v>5.0774999999999997</v>
      </c>
      <c r="BJ119" s="115" t="b">
        <f t="shared" ca="1" si="99"/>
        <v>1</v>
      </c>
      <c r="BK119" s="115" t="b">
        <f ca="1">AND(C119="驱夜断愁",模拟模式!$P$7="天地诛戮")</f>
        <v>0</v>
      </c>
      <c r="BL119" s="57">
        <f t="shared" ca="1" si="72"/>
        <v>16.310000000000002</v>
      </c>
      <c r="BM119" s="115" t="b">
        <f t="shared" ca="1" si="100"/>
        <v>1</v>
      </c>
      <c r="BN119" s="115" t="b">
        <f ca="1">AND(OR(C119="赤日轮1",C119="赤日轮2",C119="赤日轮3",C119="幽月轮1",C119="幽月轮2",C119="幽月轮3"),AB119=1,模拟模式!$L$7="明光恒照")</f>
        <v>0</v>
      </c>
      <c r="BO119" s="117">
        <f t="shared" ca="1" si="73"/>
        <v>28.155000000000001</v>
      </c>
      <c r="BP119" s="115">
        <f t="shared" ca="1" si="101"/>
        <v>6</v>
      </c>
      <c r="BQ119" s="115" t="b">
        <f>模拟模式!$K$10="2600·水"</f>
        <v>0</v>
      </c>
      <c r="BR119" s="117">
        <f t="shared" si="102"/>
        <v>0</v>
      </c>
      <c r="BS119" s="115">
        <f t="shared" si="103"/>
        <v>0</v>
      </c>
      <c r="BT119" s="115">
        <f t="shared" ca="1" si="104"/>
        <v>0</v>
      </c>
      <c r="BU119" s="115" t="b">
        <f ca="1">AND(模拟模式!$K$10="2300·雷",BT118=0,RAND()&lt;IF(C119="净世破魔击·月",5*0.05*2/3,IF(C119="净世破魔击·日",3*0.05*2/3,0.05*2*2/3)))</f>
        <v>0</v>
      </c>
      <c r="BV119" s="115">
        <f t="shared" ca="1" si="105"/>
        <v>0</v>
      </c>
      <c r="BW119" s="115">
        <f t="shared" ca="1" si="106"/>
        <v>100.66499999999925</v>
      </c>
      <c r="BX119" s="164" t="b">
        <f t="shared" ca="1" si="107"/>
        <v>0</v>
      </c>
      <c r="BY119" s="115">
        <f t="shared" ca="1" si="108"/>
        <v>0</v>
      </c>
      <c r="BZ119" s="115">
        <f>IF(OR(模拟模式!$P$16="10人团",模拟模式!$P$16="25人团"),IF(B119/30&gt;CA118,1,0),0)</f>
        <v>0</v>
      </c>
      <c r="CA119" s="115">
        <f t="shared" si="74"/>
        <v>0</v>
      </c>
      <c r="CB119" s="115">
        <f ca="1">IF(BZ119=1,IF(模拟模式!$P$16="10人团",15,0)+IF(模拟模式!$P$16="25人团",IF(RAND()&lt;0.6,15,0)),MAX(0,CB118-$F$4))</f>
        <v>0</v>
      </c>
      <c r="CC119" s="115" t="b">
        <f t="shared" ca="1" si="109"/>
        <v>0</v>
      </c>
      <c r="CD119" s="115">
        <f>IF(模拟模式!$Q$16="1个",IF(B119/40&gt;CE118,1,0),0)</f>
        <v>0</v>
      </c>
      <c r="CE119" s="115">
        <f t="shared" si="110"/>
        <v>0</v>
      </c>
      <c r="CF119" s="115">
        <f>IF(OR(CD119=1,模拟模式!$Q$16="2个"),20,MAX(0,CF118-$F$4))</f>
        <v>0</v>
      </c>
      <c r="CG119" s="115" t="b">
        <f t="shared" si="111"/>
        <v>0</v>
      </c>
      <c r="CH119" s="115">
        <f t="shared" ca="1" si="112"/>
        <v>14.31750000000001</v>
      </c>
      <c r="CI119" s="115" t="b">
        <f t="shared" ca="1" si="113"/>
        <v>0</v>
      </c>
      <c r="CJ119" s="119">
        <f t="shared" ca="1" si="114"/>
        <v>0</v>
      </c>
      <c r="CK119" s="115">
        <f t="shared" ca="1" si="115"/>
        <v>0</v>
      </c>
      <c r="CL119" s="115" t="b">
        <f ca="1">AND(模拟模式!$S$7="驱夷逐法",OR(AND(C119="净世破魔击·月",E118&gt;59),AND(C119="净世破魔击·日",F118&gt;59)))</f>
        <v>0</v>
      </c>
      <c r="CM119" s="115" t="b">
        <f ca="1">OR(CL119,AND(C119="净世破魔击·日",CL118,RAND()&lt;模拟模式!$U$23))</f>
        <v>1</v>
      </c>
      <c r="CN119" s="115" t="b">
        <f ca="1">IF(模拟模式!$M$7="辉耀红尘",AND(C119="净世破魔击·月",CL119,CV119=0,E118&lt;80),AND(C119="净世破魔击·月",CL119,E118&lt;100))</f>
        <v>0</v>
      </c>
      <c r="CO119" s="115" t="b">
        <f t="shared" ca="1" si="75"/>
        <v>0</v>
      </c>
      <c r="CP119" s="115" t="b">
        <f ca="1">AND(模拟模式!$O$7="用晦而明",OR(C119="净世破魔击·日",C119="净世破魔击·月",C119="驱夜断愁"),AB119)</f>
        <v>1</v>
      </c>
      <c r="CQ119" s="115" t="b">
        <f ca="1">OR(CP119,AND(CP118,RAND()&lt;模拟模式!$U$23))</f>
        <v>1</v>
      </c>
      <c r="CR119" s="115" t="b">
        <f ca="1">AND(模拟模式!$S$7="日月齐光",OR(C119="幽月轮1",C119="幽月轮2",C119="幽月轮3",CR118),NOT(OR(C119="赤日轮1",C119="赤日轮2",C119="赤日轮3")))</f>
        <v>0</v>
      </c>
      <c r="CS119" s="115" t="b">
        <f ca="1">AND(模拟模式!$S$7="日月齐光",OR(C119="赤日轮1",C119="赤日轮2",C119="赤日轮3",CS118),NOT(OR(C119="幽月轮1",C119="幽月轮2",C119="幽月轮3")))</f>
        <v>0</v>
      </c>
      <c r="CT119" s="115">
        <f t="shared" ca="1" si="116"/>
        <v>5.0925000000000118</v>
      </c>
      <c r="CU119" s="115" t="b">
        <f ca="1">AND(模拟模式!$K$10="阴阳往极",CT118=0,RAND()&lt;IF(C119="净世破魔击·月",0.0275*7/3,IF(C119="净世破魔击·日",0.0275*3/3,0.0275*2/3)))</f>
        <v>0</v>
      </c>
      <c r="CV119" s="115">
        <f t="shared" ca="1" si="117"/>
        <v>0</v>
      </c>
      <c r="CW119" s="115">
        <f t="shared" ca="1" si="76"/>
        <v>3.2324999999999995</v>
      </c>
      <c r="CX119" s="115">
        <f t="shared" ca="1" si="77"/>
        <v>1.3874999999999997</v>
      </c>
      <c r="CY119" s="115">
        <f ca="1">MAX(IF($C119="驱夜断愁",IF(模拟模式!$R$7="万念俱寂",6,45),CY118-$F$4),0)</f>
        <v>2.3099999999999996</v>
      </c>
      <c r="CZ119" s="115">
        <f t="shared" ca="1" si="78"/>
        <v>0</v>
      </c>
      <c r="DA119" s="115">
        <f ca="1">IF(模拟模式!$N$7="日月同辉",IF(DB118=2,0,MIN(6,IF(AND(OR(C119="赤日轮1",C119="赤日轮2",C119="赤日轮3",C119="幽月轮1",C119="幽月轮2",C119="幽月轮3"),AB119=1),DA118+1,DA118))),0)</f>
        <v>3</v>
      </c>
      <c r="DB119" s="115">
        <f t="shared" ca="1" si="79"/>
        <v>0</v>
      </c>
      <c r="DD119" s="115"/>
      <c r="DE119" s="115"/>
      <c r="DF119" s="115"/>
      <c r="DG119" s="115"/>
      <c r="DH119" s="115"/>
      <c r="DI119" s="115"/>
      <c r="DJ119" s="115"/>
      <c r="DK119" s="115"/>
      <c r="DL119" s="115"/>
      <c r="DM119" s="115"/>
    </row>
    <row r="120" spans="2:117" x14ac:dyDescent="0.2">
      <c r="B120" s="117">
        <f t="shared" si="80"/>
        <v>85.792499999999961</v>
      </c>
      <c r="C120" s="167" t="str">
        <f t="shared" ca="1" si="66"/>
        <v>赤日轮1</v>
      </c>
      <c r="D120" s="115">
        <f ca="1">IF(C120="赤日轮1",1,IF(C120="赤日轮2",2,IF(C120="赤日轮3",3,IF(C120="幽月轮1",4,IF(C120="幽月轮2",5,IF(C120="幽月轮3",6,IF(C120="烈日斩",7,IF(C120="银月斩",8,IF(C120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120="净世破魔击·月",17,IF(C120="驱夜断愁",18,0)))))))))))</f>
        <v>1</v>
      </c>
      <c r="E120" s="115">
        <f ca="1">IF(AND(CU120,OR(C120="幽月轮1",C120="幽月轮2",C120="幽月轮3",C120="银月斩",C120="驱夜断愁",C120="净世破魔击·月")),100,MIN(IF(OR(CN120,BE120),0,IF(OR($C120="赤日轮1",$C120="赤日轮2",$C120="赤日轮3"),E119+20+IF(模拟模式!$I$7="日月凌天",4,0)+IF(CR119,20,0),IF($C120="烈日斩",E119+40,IF($C120="驱夜断愁",IF(模拟模式!$R$7="万念俱寂",E119+20,E119+60),IF($C120="净世破魔击·月",IF(OR(DB119&gt;0,CV119&gt;0),100,IF(模拟模式!$M$7="辉耀红尘",E119+20,E119)),IF($C120="净世破魔击·日",E119-100,E119)))))),100))</f>
        <v>20</v>
      </c>
      <c r="F120" s="115">
        <f ca="1">IF(AND(CU120,OR(C120="赤日轮1",C120="赤日轮2",C120="赤日轮3",C120="烈日斩",C120="净世破魔击·日")),100,MIN(IF(CO120,0,IF(OR($C120="幽月轮1",$C120="幽月轮2",$C120="幽月轮3"),F119+20+IF(模拟模式!$I$7="日月凌天",4,0)+IF(CS119,20,0),IF($C120="银月斩",F119+40+IF(模拟模式!$X$12=1,5,0),IF($C120="驱夜断愁",IF(模拟模式!$R$7="万念俱寂",F119+20,F119+60),IF($C120="净世破魔击·月",IF(模拟模式!$M$7="辉耀红尘",F119-80,F119-100),IF(AND(C120="净世破魔击·日",OR(DB119&gt;0,CV119&gt;0)),100,F119)))))),100))</f>
        <v>20</v>
      </c>
      <c r="G120" s="117">
        <f ca="1">('模拟-全程加成'!$E$3+'模拟-全程加成'!$E$4+'模拟-全程加成'!$E$5+('模拟-全程加成'!$C$6-'模拟-全程加成'!$C$3)*系数!$B$9+BS120*23)*(1+'模拟-全程加成'!$F$4+'模拟-全程加成'!$F$5+BJ120*10%+BM120*20%+BP120*4%+CG120*30%)+$F$7*系数!$B$12</f>
        <v>21493.829400000002</v>
      </c>
      <c r="H120" s="45">
        <f ca="1">'模拟-全程加成'!$H$3+'模拟-全程加成'!$H$4+'模拟-全程加成'!$H$5+('模拟-全程加成'!$G$4+'模拟-全程加成'!$G$5+('模拟-全程加成'!$C$6-'模拟-全程加成'!$C$3)*系数!$B$13)/系数!$B$3+LOOKUP(D120,'模拟-单技能数据'!$A$2:$A$19,'模拟-单技能数据'!$K$2:$K$19)+BG120*10%+IF(BV120&gt;0,378,0)</f>
        <v>0.4618514552730022</v>
      </c>
      <c r="I120" s="45">
        <f ca="1">'模拟-全程加成'!$J$3+'模拟-全程加成'!$J$4+'模拟-全程加成'!$J$5+('模拟-全程加成'!$I$4+'模拟-全程加成'!$I$5)/系数!$B$4+LOOKUP(D120,'模拟-单技能数据'!$A$2:$A$19,'模拟-单技能数据'!$L$2:$L$19)+BG120*10%</f>
        <v>2.162482885499879</v>
      </c>
      <c r="J120" s="45">
        <f ca="1">(('模拟-全程加成'!$K$3+'模拟-全程加成'!$K$4+'模拟-全程加成'!$K$5+('模拟-全程加成'!$C$6-'模拟-全程加成'!$C$3)*系数!$B$10+IF(BV120&gt;0,882,0)+IF(BY120&gt;0,1831,0))*(1+'模拟-全程加成'!$L$4+'模拟-全程加成'!$L$5+CC120*20%))/系数!$B$5</f>
        <v>0.69723220422048726</v>
      </c>
      <c r="K120" s="119">
        <f ca="1">LOOKUP(D120,'模拟-单技能数据'!$A$2:$A$19,'模拟-单技能数据'!$J$2:$J$19)+IF(CM120,60%,0)+IF(DB119-DB120&gt;0,30%,0)+IF(OR(AND(OR(C120="赤日轮1",C120="赤日轮2",C120="赤日轮3"),CR120),AND(OR(C120="幽月轮1",C120="幽月轮2",C120="幽月轮3"),CS120)),35%,0)+CJ120</f>
        <v>0.12</v>
      </c>
      <c r="L120" s="119">
        <f ca="1">IF(AND(C120="烈日斩",模拟模式!$X$11=1),10%,0)+IF(AND(C120="驱夜断愁",AB120=1),30%,0)</f>
        <v>0</v>
      </c>
      <c r="M120" s="45">
        <f t="shared" ca="1" si="81"/>
        <v>0.4618514552730022</v>
      </c>
      <c r="N120" s="45">
        <f t="shared" ca="1" si="82"/>
        <v>0.48424854472699785</v>
      </c>
      <c r="O120" s="46">
        <f t="shared" ca="1" si="83"/>
        <v>0.61932850858707356</v>
      </c>
      <c r="P120" s="46" t="str">
        <f t="shared" ca="1" si="84"/>
        <v>命</v>
      </c>
      <c r="Q120" s="45">
        <f t="shared" ca="1" si="85"/>
        <v>1</v>
      </c>
      <c r="R120" s="117">
        <f ca="1">模拟模式!$E$20*(1-IF(模拟模式!$J$19="有",0.15,0))*(1-IF(模拟模式!$K$19="有",0.3,0)-IF(CQ120,0.5,0))</f>
        <v>843.02999999999975</v>
      </c>
      <c r="S120" s="45">
        <f ca="1">R120/(R120+(185*模拟模式!$E$22-16800)*4.08224)</f>
        <v>8.389626085980037E-2</v>
      </c>
      <c r="T120" s="45" t="str">
        <f ca="1">LOOKUP(D120,'模拟-单技能数据'!$A$2:$A$19,'模拟-单技能数据'!$H$2:$H$19)</f>
        <v>阳</v>
      </c>
      <c r="U120" s="119">
        <f t="shared" ca="1" si="86"/>
        <v>0.2</v>
      </c>
      <c r="V120" s="47">
        <f ca="1">(1+L120)*(LOOKUP(D120,'模拟-单技能数据'!$A$2:$A$19,'模拟-单技能数据'!$D$2:$D$19)+G120*LOOKUP(D120,'模拟-单技能数据'!$A$2:$A$19,'模拟-单技能数据'!$F$2:$F$19))*(1+J120)*(1+K120)*(1-S120)*(1+U120)*Q120*LOOKUP(D120,'模拟-单技能数据'!$A$2:$A$19,'模拟-单技能数据'!$I$2:$I$20)</f>
        <v>26295.771631143321</v>
      </c>
      <c r="W120" s="47">
        <f ca="1">LOOKUP(D120,'模拟-单技能数据'!$A$2:$A$19,'模拟-单技能数据'!$G$2:$G$19)*$I$10</f>
        <v>361.51064354704795</v>
      </c>
      <c r="X120" s="47">
        <f t="shared" ca="1" si="87"/>
        <v>9616.6571145767884</v>
      </c>
      <c r="Y120" s="47">
        <f t="shared" ca="1" si="88"/>
        <v>36273.939389267158</v>
      </c>
      <c r="Z120" s="49">
        <f t="shared" ca="1" si="89"/>
        <v>9598586.9468171187</v>
      </c>
      <c r="AA120" s="97">
        <f t="shared" ca="1" si="90"/>
        <v>111881.42258142756</v>
      </c>
      <c r="AB120" s="115">
        <f ca="1">IF(OR(C120="赤日轮1",C120="赤日轮2",C120="赤日轮3"),IF(RAND()&lt;模拟模式!$Y$17,1,0),IF(OR(C120="幽月轮1",C120="幽月轮2",C120="幽月轮3"),IF(RAND()&lt;模拟模式!$Y$18,1,0),IF(C120="烈日斩",IF(RAND()&lt;模拟模式!$Y$19,1,0),IF(C120="银月斩",IF(RAND()&lt;模拟模式!$Y$20,1,0),IF(C120="驱夜断愁",IF(RAND()&lt;模拟模式!$Y$21,1,0),IF(C120="净世破魔击·日",IF(RAND()&lt;模拟模式!$Y$22,1,0),IF(C120="净世破魔击·月",IF(RAND()&lt;模拟模式!$Y$23,1,0),0)))))))</f>
        <v>1</v>
      </c>
      <c r="AC120" s="115" t="b">
        <f t="shared" ca="1" si="67"/>
        <v>0</v>
      </c>
      <c r="AD120" s="115" t="b">
        <f t="shared" ca="1" si="118"/>
        <v>1</v>
      </c>
      <c r="AE120" s="115">
        <f t="shared" ca="1" si="119"/>
        <v>2</v>
      </c>
      <c r="AF120" s="47">
        <f ca="1">IF(AC120,('模拟-单技能数据'!$D$20+G120*'模拟-单技能数据'!$F$20)*(1+J120)*(1+'模拟-单技能数据'!$J$20)*(1+U120),0)</f>
        <v>0</v>
      </c>
      <c r="AG120" s="61">
        <f t="shared" ca="1" si="91"/>
        <v>0.64185145527300214</v>
      </c>
      <c r="AH120" s="61">
        <f t="shared" ca="1" si="92"/>
        <v>2.2624828854998791</v>
      </c>
      <c r="AI120" s="62">
        <f t="shared" ca="1" si="93"/>
        <v>0.19927540531120724</v>
      </c>
      <c r="AJ120" s="47">
        <f ca="1">IF(AD120,IF(AI120&lt;$F$10,0,IF(AI120&lt;$F$10+$F$11,0.25,IF(AI120&lt;$F$10+$F$11+AG120,AH120,1)))*IF(AF120&gt;0,AF120,IF(AF119&gt;0,AF119,IF(AF118&gt;0,AF118,IF(AF117&gt;0,AF117,IF(AF116&gt;0,AF116,IF(AF115&gt;0,AF115,IF(AF114&gt;0,AF114,IF(AF113&gt;0,AF113,IF(AF112&gt;0,AF112,IF(AF110&gt;0,AF110,IF(AF109&gt;0,AF109,IF(AF108&gt;0,AF108,0)))))))))))),0)*(1-$S120)*'模拟-单技能数据'!$I$20</f>
        <v>9616.6571145767884</v>
      </c>
      <c r="AK120" s="115" t="b">
        <f t="shared" ca="1" si="68"/>
        <v>0</v>
      </c>
      <c r="AL120" s="115" t="b">
        <f t="shared" ca="1" si="120"/>
        <v>0</v>
      </c>
      <c r="AM120" s="115">
        <f t="shared" ca="1" si="121"/>
        <v>5</v>
      </c>
      <c r="AN120" s="47">
        <f ca="1">IF(AK120,('模拟-单技能数据'!$D$21+G120*'模拟-单技能数据'!$F$21)*(1+J120)*(1+'模拟-单技能数据'!$J$21)*(1+U120),0)</f>
        <v>0</v>
      </c>
      <c r="AO120" s="61">
        <f ca="1">IF(AN120&gt;0,M120-'模拟-单技能数据'!$K$10,AO119)</f>
        <v>0.42185145527300216</v>
      </c>
      <c r="AP120" s="61">
        <f ca="1">IF(AN120&gt;0,I120-'模拟-单技能数据'!$L$10,AP119)</f>
        <v>2.162482885499879</v>
      </c>
      <c r="AQ120" s="63">
        <f t="shared" ca="1" si="94"/>
        <v>0.24810735602871503</v>
      </c>
      <c r="AR120" s="64">
        <f ca="1">IF(AL120,IF(AQ120&lt;$F$10,0,IF(AQ120&lt;$F$10+$F$11,0.25,IF(AQ120&lt;$F$10+$F$11+AO120,AP120,1)))*IF(AN120&gt;0,AN120,IF(AN119&gt;0,AN119,IF(AN118&gt;0,AN118,IF(AN117&gt;0,AN117,IF(AN116&gt;0,AN116,IF(AN115&gt;0,AN115,IF(AN114&gt;0,AN114,IF(AN113&gt;0,AN113,IF(AN112&gt;0,AN112,IF(AN110&gt;0,AN110,IF(AN109&gt;0,AN109,IF(AN108&gt;0,AN108,0)))))))))))),0)*(1-$S120)*'模拟-单技能数据'!$I$21</f>
        <v>0</v>
      </c>
      <c r="AS120" s="61">
        <f ca="1">IF(OR(C120="净世破魔击·日",C120="净世破魔击·月"),M120-'模拟-单技能数据'!$K$10,0)</f>
        <v>0</v>
      </c>
      <c r="AT120" s="61">
        <f ca="1">IF(OR(C120="净世破魔击·日",C120="净世破魔击·月"),I120-'模拟-单技能数据'!$L$10,0)</f>
        <v>0</v>
      </c>
      <c r="AU120" s="62">
        <f t="shared" ca="1" si="95"/>
        <v>0.89277340160719987</v>
      </c>
      <c r="AV120" s="64">
        <f ca="1">IF(AS120&gt;0,('模拟-单技能数据'!$D$22+G120*'模拟-单技能数据'!$F$22)*(1+J120)*(1-S120)*IF(AU120&lt;$F$10,0,IF(AU120&lt;$F$10+$F$11,0.25,IF(AU120&lt;$F$10+$F$11+AS120,AT120,1)))*(1+U120),0)*'模拟-单技能数据'!$I$22</f>
        <v>0</v>
      </c>
      <c r="AW120" s="108">
        <f t="shared" ca="1" si="96"/>
        <v>17.232500000000002</v>
      </c>
      <c r="AX120" s="108" t="b">
        <f ca="1">AND(模拟模式!$P$10="有",AW119=0,RAND()&lt;IF(C120="净世破魔击·月",0.1*8/3,IF(C120="净世破魔击·日",0.1*4/3,0.1*2/3)))</f>
        <v>0</v>
      </c>
      <c r="AY120" s="47">
        <f ca="1">IF(AX120,(18+G120*0.722)*(1+J120)*(1-S120)*(1+$I$4)*IF(P120="会",'模拟-全程加成'!$J$3+'模拟-全程加成'!$J$4+'模拟-全程加成'!$J$5+('模拟-全程加成'!$I$4+'模拟-全程加成'!$I$5)/系数!$B$4+BG120*10%,IF(P120="命",1,IF(P120="识",0.25,0))),0)</f>
        <v>0</v>
      </c>
      <c r="AZ120" s="108">
        <f t="shared" si="97"/>
        <v>15.387500000000003</v>
      </c>
      <c r="BA120" s="108" t="b">
        <f>AND(模拟模式!$Q$10="有",AZ119=0)</f>
        <v>0</v>
      </c>
      <c r="BB120" s="140">
        <f>IF(BA120,(0+G120*0.287)*(1+J120)*(1-S120)*(1+$I$4)*IF(P120="会",'模拟-全程加成'!$J$3+'模拟-全程加成'!$J$4+'模拟-全程加成'!$J$5+('模拟-全程加成'!$I$4+'模拟-全程加成'!$I$5)/系数!$B$4+BG120*10%,IF(P120="命",1,IF(P120="识",0.25,0))),0)</f>
        <v>0</v>
      </c>
      <c r="BC120" s="115" t="b">
        <f ca="1">AND(模拟模式!$R$7="伏明众生",E120=60,F120=20,DA120&lt;5,CZ119&lt;$F$4)</f>
        <v>0</v>
      </c>
      <c r="BD120" s="115">
        <f t="shared" ca="1" si="69"/>
        <v>0</v>
      </c>
      <c r="BE120" s="115" t="b">
        <f t="shared" ca="1" si="70"/>
        <v>0</v>
      </c>
      <c r="BF120" s="47">
        <f ca="1">IF(BC120,4*('模拟-单技能数据'!$D$24+G120*'模拟-单技能数据'!$F$24)*(1+J120)*(1+'模拟-单技能数据'!$J$24)*(1-S120)*(1+$I$3)*(('模拟-全程加成'!$J$3+'模拟-全程加成'!$J$4+'模拟-全程加成'!$J$5+('模拟-全程加成'!$I$4+'模拟-全程加成'!$I$5)/系数!$B$4+BG120*10%)*('模拟-全程加成'!$J$3+'模拟-全程加成'!$J$4+'模拟-全程加成'!$J$5+('模拟-全程加成'!$I$4+'模拟-全程加成'!$I$5)/系数!$B$4+BG120*10%)+(1-('模拟-全程加成'!$J$3+'模拟-全程加成'!$J$4+'模拟-全程加成'!$J$5+('模拟-全程加成'!$I$4+'模拟-全程加成'!$I$5)/系数!$B$4+BG120*10%)-$F$10-$F$11)+F106*0.25),0)*'模拟-单技能数据'!$I$24</f>
        <v>0</v>
      </c>
      <c r="BG120" s="115" t="b">
        <f ca="1">OR(AND(OR(C120="烈日斩",C120="银月斩"),模拟模式!$I$7="净身明礼"),AND(C120="净世破魔击·日",模拟模式!$J$7="洞若观火"),AND(C121="净世破魔击·月",模拟模式!$J$7="洞若观火"),AB120=1)</f>
        <v>1</v>
      </c>
      <c r="BH120" s="115" t="b">
        <f t="shared" ca="1" si="98"/>
        <v>0</v>
      </c>
      <c r="BI120" s="115">
        <f t="shared" ca="1" si="71"/>
        <v>4.1549999999999994</v>
      </c>
      <c r="BJ120" s="115" t="b">
        <f t="shared" ca="1" si="99"/>
        <v>1</v>
      </c>
      <c r="BK120" s="115" t="b">
        <f ca="1">AND(C120="驱夜断愁",模拟模式!$P$7="天地诛戮")</f>
        <v>0</v>
      </c>
      <c r="BL120" s="57">
        <f t="shared" ca="1" si="72"/>
        <v>15.387500000000003</v>
      </c>
      <c r="BM120" s="115" t="b">
        <f t="shared" ca="1" si="100"/>
        <v>1</v>
      </c>
      <c r="BN120" s="115" t="b">
        <f ca="1">AND(OR(C120="赤日轮1",C120="赤日轮2",C120="赤日轮3",C120="幽月轮1",C120="幽月轮2",C120="幽月轮3"),AB120=1,模拟模式!$L$7="明光恒照")</f>
        <v>1</v>
      </c>
      <c r="BO120" s="117">
        <f t="shared" ca="1" si="73"/>
        <v>30</v>
      </c>
      <c r="BP120" s="115">
        <f t="shared" ca="1" si="101"/>
        <v>6</v>
      </c>
      <c r="BQ120" s="115" t="b">
        <f>模拟模式!$K$10="2600·水"</f>
        <v>0</v>
      </c>
      <c r="BR120" s="117">
        <f t="shared" si="102"/>
        <v>0</v>
      </c>
      <c r="BS120" s="115">
        <f t="shared" si="103"/>
        <v>0</v>
      </c>
      <c r="BT120" s="115">
        <f t="shared" ca="1" si="104"/>
        <v>0</v>
      </c>
      <c r="BU120" s="115" t="b">
        <f ca="1">AND(模拟模式!$K$10="2300·雷",BT119=0,RAND()&lt;IF(C120="净世破魔击·月",5*0.05*2/3,IF(C120="净世破魔击·日",3*0.05*2/3,0.05*2*2/3)))</f>
        <v>0</v>
      </c>
      <c r="BV120" s="115">
        <f t="shared" ca="1" si="105"/>
        <v>0</v>
      </c>
      <c r="BW120" s="115">
        <f t="shared" ca="1" si="106"/>
        <v>99.742499999999254</v>
      </c>
      <c r="BX120" s="164" t="b">
        <f t="shared" ca="1" si="107"/>
        <v>0</v>
      </c>
      <c r="BY120" s="115">
        <f t="shared" ca="1" si="108"/>
        <v>0</v>
      </c>
      <c r="BZ120" s="115">
        <f>IF(OR(模拟模式!$P$16="10人团",模拟模式!$P$16="25人团"),IF(B120/30&gt;CA119,1,0),0)</f>
        <v>0</v>
      </c>
      <c r="CA120" s="115">
        <f t="shared" si="74"/>
        <v>0</v>
      </c>
      <c r="CB120" s="115">
        <f ca="1">IF(BZ120=1,IF(模拟模式!$P$16="10人团",15,0)+IF(模拟模式!$P$16="25人团",IF(RAND()&lt;0.6,15,0)),MAX(0,CB119-$F$4))</f>
        <v>0</v>
      </c>
      <c r="CC120" s="115" t="b">
        <f t="shared" ca="1" si="109"/>
        <v>0</v>
      </c>
      <c r="CD120" s="115">
        <f>IF(模拟模式!$Q$16="1个",IF(B120/40&gt;CE119,1,0),0)</f>
        <v>0</v>
      </c>
      <c r="CE120" s="115">
        <f t="shared" si="110"/>
        <v>0</v>
      </c>
      <c r="CF120" s="115">
        <f>IF(OR(CD120=1,模拟模式!$Q$16="2个"),20,MAX(0,CF119-$F$4))</f>
        <v>0</v>
      </c>
      <c r="CG120" s="115" t="b">
        <f t="shared" si="111"/>
        <v>0</v>
      </c>
      <c r="CH120" s="115">
        <f t="shared" ca="1" si="112"/>
        <v>13.39500000000001</v>
      </c>
      <c r="CI120" s="115" t="b">
        <f t="shared" ca="1" si="113"/>
        <v>0</v>
      </c>
      <c r="CJ120" s="119">
        <f t="shared" ca="1" si="114"/>
        <v>0</v>
      </c>
      <c r="CK120" s="115">
        <f t="shared" ca="1" si="115"/>
        <v>0</v>
      </c>
      <c r="CL120" s="115" t="b">
        <f ca="1">AND(模拟模式!$S$7="驱夷逐法",OR(AND(C120="净世破魔击·月",E119&gt;59),AND(C120="净世破魔击·日",F119&gt;59)))</f>
        <v>0</v>
      </c>
      <c r="CM120" s="115" t="b">
        <f ca="1">OR(CL120,AND(C120="净世破魔击·日",CL119,RAND()&lt;模拟模式!$U$23))</f>
        <v>0</v>
      </c>
      <c r="CN120" s="115" t="b">
        <f ca="1">IF(模拟模式!$M$7="辉耀红尘",AND(C120="净世破魔击·月",CL120,CV120=0,E119&lt;80),AND(C120="净世破魔击·月",CL120,E119&lt;100))</f>
        <v>0</v>
      </c>
      <c r="CO120" s="115" t="b">
        <f t="shared" ca="1" si="75"/>
        <v>0</v>
      </c>
      <c r="CP120" s="115" t="b">
        <f ca="1">AND(模拟模式!$O$7="用晦而明",OR(C120="净世破魔击·日",C120="净世破魔击·月",C120="驱夜断愁"),AB120)</f>
        <v>0</v>
      </c>
      <c r="CQ120" s="115" t="b">
        <f ca="1">OR(CP120,AND(CP119,RAND()&lt;模拟模式!$U$23))</f>
        <v>1</v>
      </c>
      <c r="CR120" s="115" t="b">
        <f ca="1">AND(模拟模式!$S$7="日月齐光",OR(C120="幽月轮1",C120="幽月轮2",C120="幽月轮3",CR119),NOT(OR(C120="赤日轮1",C120="赤日轮2",C120="赤日轮3")))</f>
        <v>0</v>
      </c>
      <c r="CS120" s="115" t="b">
        <f ca="1">AND(模拟模式!$S$7="日月齐光",OR(C120="赤日轮1",C120="赤日轮2",C120="赤日轮3",CS119),NOT(OR(C120="幽月轮1",C120="幽月轮2",C120="幽月轮3")))</f>
        <v>0</v>
      </c>
      <c r="CT120" s="115">
        <f t="shared" ca="1" si="116"/>
        <v>4.1700000000000115</v>
      </c>
      <c r="CU120" s="115" t="b">
        <f ca="1">AND(模拟模式!$K$10="阴阳往极",CT119=0,RAND()&lt;IF(C120="净世破魔击·月",0.0275*7/3,IF(C120="净世破魔击·日",0.0275*3/3,0.0275*2/3)))</f>
        <v>0</v>
      </c>
      <c r="CV120" s="115">
        <f t="shared" ca="1" si="117"/>
        <v>0</v>
      </c>
      <c r="CW120" s="115">
        <f t="shared" ca="1" si="76"/>
        <v>2.3099999999999996</v>
      </c>
      <c r="CX120" s="115">
        <f t="shared" ca="1" si="77"/>
        <v>0.46499999999999975</v>
      </c>
      <c r="CY120" s="115">
        <f ca="1">MAX(IF($C120="驱夜断愁",IF(模拟模式!$R$7="万念俱寂",6,45),CY119-$F$4),0)</f>
        <v>1.3874999999999997</v>
      </c>
      <c r="CZ120" s="115">
        <f t="shared" ca="1" si="78"/>
        <v>0</v>
      </c>
      <c r="DA120" s="115">
        <f ca="1">IF(模拟模式!$N$7="日月同辉",IF(DB119=2,0,MIN(6,IF(AND(OR(C120="赤日轮1",C120="赤日轮2",C120="赤日轮3",C120="幽月轮1",C120="幽月轮2",C120="幽月轮3"),AB120=1),DA119+1,DA119))),0)</f>
        <v>4</v>
      </c>
      <c r="DB120" s="115">
        <f t="shared" ca="1" si="79"/>
        <v>0</v>
      </c>
      <c r="DD120" s="115"/>
      <c r="DE120" s="115"/>
      <c r="DF120" s="115"/>
      <c r="DG120" s="115"/>
      <c r="DH120" s="115"/>
      <c r="DI120" s="115"/>
      <c r="DJ120" s="115"/>
      <c r="DK120" s="115"/>
      <c r="DL120" s="115"/>
      <c r="DM120" s="115"/>
    </row>
    <row r="121" spans="2:117" x14ac:dyDescent="0.2">
      <c r="B121" s="117">
        <f t="shared" si="80"/>
        <v>86.714999999999961</v>
      </c>
      <c r="C121" s="167" t="str">
        <f t="shared" ca="1" si="66"/>
        <v>银月斩</v>
      </c>
      <c r="D121" s="115">
        <f ca="1">IF(C121="赤日轮1",1,IF(C121="赤日轮2",2,IF(C121="赤日轮3",3,IF(C121="幽月轮1",4,IF(C121="幽月轮2",5,IF(C121="幽月轮3",6,IF(C121="烈日斩",7,IF(C121="银月斩",8,IF(C121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121="净世破魔击·月",17,IF(C121="驱夜断愁",18,0)))))))))))</f>
        <v>8</v>
      </c>
      <c r="E121" s="115">
        <f ca="1">IF(AND(CU121,OR(C121="幽月轮1",C121="幽月轮2",C121="幽月轮3",C121="银月斩",C121="驱夜断愁",C121="净世破魔击·月")),100,MIN(IF(OR(CN121,BE121),0,IF(OR($C121="赤日轮1",$C121="赤日轮2",$C121="赤日轮3"),E120+20+IF(模拟模式!$I$7="日月凌天",4,0)+IF(CR120,20,0),IF($C121="烈日斩",E120+40,IF($C121="驱夜断愁",IF(模拟模式!$R$7="万念俱寂",E120+20,E120+60),IF($C121="净世破魔击·月",IF(OR(DB120&gt;0,CV120&gt;0),100,IF(模拟模式!$M$7="辉耀红尘",E120+20,E120)),IF($C121="净世破魔击·日",E120-100,E120)))))),100))</f>
        <v>20</v>
      </c>
      <c r="F121" s="115">
        <f ca="1">IF(AND(CU121,OR(C121="赤日轮1",C121="赤日轮2",C121="赤日轮3",C121="烈日斩",C121="净世破魔击·日")),100,MIN(IF(CO121,0,IF(OR($C121="幽月轮1",$C121="幽月轮2",$C121="幽月轮3"),F120+20+IF(模拟模式!$I$7="日月凌天",4,0)+IF(CS120,20,0),IF($C121="银月斩",F120+40+IF(模拟模式!$X$12=1,5,0),IF($C121="驱夜断愁",IF(模拟模式!$R$7="万念俱寂",F120+20,F120+60),IF($C121="净世破魔击·月",IF(模拟模式!$M$7="辉耀红尘",F120-80,F120-100),IF(AND(C121="净世破魔击·日",OR(DB120&gt;0,CV120&gt;0)),100,F120)))))),100))</f>
        <v>65</v>
      </c>
      <c r="G121" s="117">
        <f ca="1">('模拟-全程加成'!$E$3+'模拟-全程加成'!$E$4+'模拟-全程加成'!$E$5+('模拟-全程加成'!$C$6-'模拟-全程加成'!$C$3)*系数!$B$9+BS121*23)*(1+'模拟-全程加成'!$F$4+'模拟-全程加成'!$F$5+BJ121*10%+BM121*20%+BP121*4%+CG121*30%)+$F$7*系数!$B$12</f>
        <v>21493.829400000002</v>
      </c>
      <c r="H121" s="45">
        <f ca="1">'模拟-全程加成'!$H$3+'模拟-全程加成'!$H$4+'模拟-全程加成'!$H$5+('模拟-全程加成'!$G$4+'模拟-全程加成'!$G$5+('模拟-全程加成'!$C$6-'模拟-全程加成'!$C$3)*系数!$B$13)/系数!$B$3+LOOKUP(D121,'模拟-单技能数据'!$A$2:$A$19,'模拟-单技能数据'!$K$2:$K$19)+BG121*10%+IF(BV121&gt;0,378,0)</f>
        <v>0.64185145527300214</v>
      </c>
      <c r="I121" s="45">
        <f ca="1">'模拟-全程加成'!$J$3+'模拟-全程加成'!$J$4+'模拟-全程加成'!$J$5+('模拟-全程加成'!$I$4+'模拟-全程加成'!$I$5)/系数!$B$4+LOOKUP(D121,'模拟-单技能数据'!$A$2:$A$19,'模拟-单技能数据'!$L$2:$L$19)+BG121*10%</f>
        <v>2.2624828854998791</v>
      </c>
      <c r="J121" s="45">
        <f ca="1">(('模拟-全程加成'!$K$3+'模拟-全程加成'!$K$4+'模拟-全程加成'!$K$5+('模拟-全程加成'!$C$6-'模拟-全程加成'!$C$3)*系数!$B$10+IF(BV121&gt;0,882,0)+IF(BY121&gt;0,1831,0))*(1+'模拟-全程加成'!$L$4+'模拟-全程加成'!$L$5+CC121*20%))/系数!$B$5</f>
        <v>0.69723220422048726</v>
      </c>
      <c r="K121" s="119">
        <f ca="1">LOOKUP(D121,'模拟-单技能数据'!$A$2:$A$19,'模拟-单技能数据'!$J$2:$J$19)+IF(CM121,60%,0)+IF(DB120-DB121&gt;0,30%,0)+IF(OR(AND(OR(C121="赤日轮1",C121="赤日轮2",C121="赤日轮3"),CR121),AND(OR(C121="幽月轮1",C121="幽月轮2",C121="幽月轮3"),CS121)),35%,0)+CJ121</f>
        <v>0.15</v>
      </c>
      <c r="L121" s="119">
        <f ca="1">IF(AND(C121="烈日斩",模拟模式!$X$11=1),10%,0)+IF(AND(C121="驱夜断愁",AB121=1),30%,0)</f>
        <v>0</v>
      </c>
      <c r="M121" s="45">
        <f t="shared" ca="1" si="81"/>
        <v>0.64185145527300214</v>
      </c>
      <c r="N121" s="45">
        <f t="shared" ca="1" si="82"/>
        <v>0.30424854472699792</v>
      </c>
      <c r="O121" s="46">
        <f t="shared" ca="1" si="83"/>
        <v>0.2915341031915053</v>
      </c>
      <c r="P121" s="46" t="str">
        <f t="shared" ca="1" si="84"/>
        <v>会</v>
      </c>
      <c r="Q121" s="45">
        <f t="shared" ca="1" si="85"/>
        <v>2.2624828854998791</v>
      </c>
      <c r="R121" s="117">
        <f ca="1">模拟模式!$E$20*(1-IF(模拟模式!$J$19="有",0.15,0))*(1-IF(模拟模式!$K$19="有",0.3,0)-IF(CQ121,0.5,0))</f>
        <v>2950.6049999999996</v>
      </c>
      <c r="S121" s="45">
        <f ca="1">R121/(R121+(185*模拟模式!$E$22-16800)*4.08224)</f>
        <v>0.24272716014590323</v>
      </c>
      <c r="T121" s="45" t="str">
        <f ca="1">LOOKUP(D121,'模拟-单技能数据'!$A$2:$A$19,'模拟-单技能数据'!$H$2:$H$19)</f>
        <v>阴</v>
      </c>
      <c r="U121" s="119">
        <f t="shared" ca="1" si="86"/>
        <v>0.08</v>
      </c>
      <c r="V121" s="47">
        <f ca="1">(1+L121)*(LOOKUP(D121,'模拟-单技能数据'!$A$2:$A$19,'模拟-单技能数据'!$D$2:$D$19)+G121*LOOKUP(D121,'模拟-单技能数据'!$A$2:$A$19,'模拟-单技能数据'!$F$2:$F$19))*(1+J121)*(1+K121)*(1-S121)*(1+U121)*Q121*LOOKUP(D121,'模拟-单技能数据'!$A$2:$A$19,'模拟-单技能数据'!$I$2:$I$20)</f>
        <v>41211.704893206668</v>
      </c>
      <c r="W121" s="47">
        <f ca="1">LOOKUP(D121,'模拟-单技能数据'!$A$2:$A$19,'模拟-单技能数据'!$G$2:$G$19)*$I$10</f>
        <v>361.51064354704795</v>
      </c>
      <c r="X121" s="47">
        <f t="shared" ca="1" si="87"/>
        <v>9595.3556920079973</v>
      </c>
      <c r="Y121" s="47">
        <f t="shared" ca="1" si="88"/>
        <v>51168.571228761721</v>
      </c>
      <c r="Z121" s="49">
        <f t="shared" ca="1" si="89"/>
        <v>9649755.5180458799</v>
      </c>
      <c r="AA121" s="97">
        <f t="shared" ca="1" si="90"/>
        <v>111281.27219103828</v>
      </c>
      <c r="AB121" s="115">
        <f ca="1">IF(OR(C121="赤日轮1",C121="赤日轮2",C121="赤日轮3"),IF(RAND()&lt;模拟模式!$Y$17,1,0),IF(OR(C121="幽月轮1",C121="幽月轮2",C121="幽月轮3"),IF(RAND()&lt;模拟模式!$Y$18,1,0),IF(C121="烈日斩",IF(RAND()&lt;模拟模式!$Y$19,1,0),IF(C121="银月斩",IF(RAND()&lt;模拟模式!$Y$20,1,0),IF(C121="驱夜断愁",IF(RAND()&lt;模拟模式!$Y$21,1,0),IF(C121="净世破魔击·日",IF(RAND()&lt;模拟模式!$Y$22,1,0),IF(C121="净世破魔击·月",IF(RAND()&lt;模拟模式!$Y$23,1,0),0)))))))</f>
        <v>1</v>
      </c>
      <c r="AC121" s="115" t="b">
        <f t="shared" ca="1" si="67"/>
        <v>1</v>
      </c>
      <c r="AD121" s="115" t="b">
        <f t="shared" ca="1" si="118"/>
        <v>0</v>
      </c>
      <c r="AE121" s="115">
        <f t="shared" ca="1" si="119"/>
        <v>6</v>
      </c>
      <c r="AF121" s="47">
        <f ca="1">IF(AC121,('模拟-单技能数据'!$D$20+G121*'模拟-单技能数据'!$F$20)*(1+J121)*(1+'模拟-单技能数据'!$J$20)*(1+U121),0)</f>
        <v>4639.7456468263617</v>
      </c>
      <c r="AG121" s="61">
        <f t="shared" ca="1" si="91"/>
        <v>0.64185145527300214</v>
      </c>
      <c r="AH121" s="61">
        <f t="shared" ca="1" si="92"/>
        <v>2.2624828854998791</v>
      </c>
      <c r="AI121" s="62">
        <f t="shared" ca="1" si="93"/>
        <v>0.78892557571042443</v>
      </c>
      <c r="AJ121" s="47">
        <f ca="1">IF(AD121,IF(AI121&lt;$F$10,0,IF(AI121&lt;$F$10+$F$11,0.25,IF(AI121&lt;$F$10+$F$11+AG121,AH121,1)))*IF(AF121&gt;0,AF121,IF(AF120&gt;0,AF120,IF(AF119&gt;0,AF119,IF(AF118&gt;0,AF118,IF(AF117&gt;0,AF117,IF(AF116&gt;0,AF116,IF(AF115&gt;0,AF115,IF(AF114&gt;0,AF114,IF(AF113&gt;0,AF113,IF(AF111&gt;0,AF111,IF(AF110&gt;0,AF110,IF(AF109&gt;0,AF109,0)))))))))))),0)*(1-$S121)*'模拟-单技能数据'!$I$20</f>
        <v>0</v>
      </c>
      <c r="AK121" s="115" t="b">
        <f t="shared" ca="1" si="68"/>
        <v>0</v>
      </c>
      <c r="AL121" s="115" t="b">
        <f t="shared" ca="1" si="120"/>
        <v>1</v>
      </c>
      <c r="AM121" s="115">
        <f t="shared" ca="1" si="121"/>
        <v>4</v>
      </c>
      <c r="AN121" s="47">
        <f ca="1">IF(AK121,('模拟-单技能数据'!$D$21+G121*'模拟-单技能数据'!$F$21)*(1+J121)*(1+'模拟-单技能数据'!$J$21)*(1+U121),0)</f>
        <v>0</v>
      </c>
      <c r="AO121" s="61">
        <f ca="1">IF(AN121&gt;0,M121-'模拟-单技能数据'!$K$10,AO120)</f>
        <v>0.42185145527300216</v>
      </c>
      <c r="AP121" s="61">
        <f ca="1">IF(AN121&gt;0,I121-'模拟-单技能数据'!$L$10,AP120)</f>
        <v>2.162482885499879</v>
      </c>
      <c r="AQ121" s="63">
        <f t="shared" ca="1" si="94"/>
        <v>0.57210594384792546</v>
      </c>
      <c r="AR121" s="64">
        <f ca="1">IF(AL121,IF(AQ121&lt;$F$10,0,IF(AQ121&lt;$F$10+$F$11,0.25,IF(AQ121&lt;$F$10+$F$11+AO121,AP121,1)))*IF(AN121&gt;0,AN121,IF(AN120&gt;0,AN120,IF(AN119&gt;0,AN119,IF(AN118&gt;0,AN118,IF(AN117&gt;0,AN117,IF(AN116&gt;0,AN116,IF(AN115&gt;0,AN115,IF(AN114&gt;0,AN114,IF(AN113&gt;0,AN113,IF(AN111&gt;0,AN111,IF(AN110&gt;0,AN110,IF(AN109&gt;0,AN109,0)))))))))))),0)*(1-$S121)*'模拟-单技能数据'!$I$21</f>
        <v>9595.3556920079973</v>
      </c>
      <c r="AS121" s="61">
        <f ca="1">IF(OR(C121="净世破魔击·日",C121="净世破魔击·月"),M121-'模拟-单技能数据'!$K$10,0)</f>
        <v>0</v>
      </c>
      <c r="AT121" s="61">
        <f ca="1">IF(OR(C121="净世破魔击·日",C121="净世破魔击·月"),I121-'模拟-单技能数据'!$L$10,0)</f>
        <v>0</v>
      </c>
      <c r="AU121" s="62">
        <f t="shared" ca="1" si="95"/>
        <v>2.8466516322140589E-2</v>
      </c>
      <c r="AV121" s="64">
        <f ca="1">IF(AS121&gt;0,('模拟-单技能数据'!$D$22+G121*'模拟-单技能数据'!$F$22)*(1+J121)*(1-S121)*IF(AU121&lt;$F$10,0,IF(AU121&lt;$F$10+$F$11,0.25,IF(AU121&lt;$F$10+$F$11+AS121,AT121,1)))*(1+U121),0)*'模拟-单技能数据'!$I$22</f>
        <v>0</v>
      </c>
      <c r="AW121" s="108">
        <f t="shared" ca="1" si="96"/>
        <v>16.310000000000002</v>
      </c>
      <c r="AX121" s="108" t="b">
        <f ca="1">AND(模拟模式!$P$10="有",AW120=0,RAND()&lt;IF(C121="净世破魔击·月",0.1*8/3,IF(C121="净世破魔击·日",0.1*4/3,0.1*2/3)))</f>
        <v>0</v>
      </c>
      <c r="AY121" s="47">
        <f ca="1">IF(AX121,(18+G121*0.722)*(1+J121)*(1-S121)*(1+$I$4)*IF(P121="会",'模拟-全程加成'!$J$3+'模拟-全程加成'!$J$4+'模拟-全程加成'!$J$5+('模拟-全程加成'!$I$4+'模拟-全程加成'!$I$5)/系数!$B$4+BG121*10%,IF(P121="命",1,IF(P121="识",0.25,0))),0)</f>
        <v>0</v>
      </c>
      <c r="AZ121" s="108">
        <f t="shared" si="97"/>
        <v>14.465000000000003</v>
      </c>
      <c r="BA121" s="108" t="b">
        <f>AND(模拟模式!$Q$10="有",AZ120=0)</f>
        <v>0</v>
      </c>
      <c r="BB121" s="140">
        <f>IF(BA121,(0+G121*0.287)*(1+J121)*(1-S121)*(1+$I$4)*IF(P121="会",'模拟-全程加成'!$J$3+'模拟-全程加成'!$J$4+'模拟-全程加成'!$J$5+('模拟-全程加成'!$I$4+'模拟-全程加成'!$I$5)/系数!$B$4+BG121*10%,IF(P121="命",1,IF(P121="识",0.25,0))),0)</f>
        <v>0</v>
      </c>
      <c r="BC121" s="115" t="b">
        <f ca="1">AND(模拟模式!$R$7="伏明众生",E121=60,F121=20,DA121&lt;5,CZ120&lt;$F$4)</f>
        <v>0</v>
      </c>
      <c r="BD121" s="115">
        <f t="shared" ca="1" si="69"/>
        <v>0</v>
      </c>
      <c r="BE121" s="115" t="b">
        <f t="shared" ca="1" si="70"/>
        <v>0</v>
      </c>
      <c r="BF121" s="47">
        <f ca="1">IF(BC121,4*('模拟-单技能数据'!$D$24+G121*'模拟-单技能数据'!$F$24)*(1+J121)*(1+'模拟-单技能数据'!$J$24)*(1-S121)*(1+$I$3)*(('模拟-全程加成'!$J$3+'模拟-全程加成'!$J$4+'模拟-全程加成'!$J$5+('模拟-全程加成'!$I$4+'模拟-全程加成'!$I$5)/系数!$B$4+BG121*10%)*('模拟-全程加成'!$J$3+'模拟-全程加成'!$J$4+'模拟-全程加成'!$J$5+('模拟-全程加成'!$I$4+'模拟-全程加成'!$I$5)/系数!$B$4+BG121*10%)+(1-('模拟-全程加成'!$J$3+'模拟-全程加成'!$J$4+'模拟-全程加成'!$J$5+('模拟-全程加成'!$I$4+'模拟-全程加成'!$I$5)/系数!$B$4+BG121*10%)-$F$10-$F$11)+F107*0.25),0)*'模拟-单技能数据'!$I$24</f>
        <v>0</v>
      </c>
      <c r="BG121" s="115" t="b">
        <f ca="1">OR(AND(OR(C121="烈日斩",C121="银月斩"),模拟模式!$I$7="净身明礼"),AND(C121="净世破魔击·日",模拟模式!$J$7="洞若观火"),AND(C122="净世破魔击·月",模拟模式!$J$7="洞若观火"),AB121=1)</f>
        <v>1</v>
      </c>
      <c r="BH121" s="115" t="b">
        <f t="shared" ca="1" si="98"/>
        <v>0</v>
      </c>
      <c r="BI121" s="115">
        <f t="shared" ca="1" si="71"/>
        <v>3.2324999999999995</v>
      </c>
      <c r="BJ121" s="115" t="b">
        <f t="shared" ca="1" si="99"/>
        <v>1</v>
      </c>
      <c r="BK121" s="115" t="b">
        <f ca="1">AND(C121="驱夜断愁",模拟模式!$P$7="天地诛戮")</f>
        <v>0</v>
      </c>
      <c r="BL121" s="57">
        <f t="shared" ca="1" si="72"/>
        <v>14.465000000000003</v>
      </c>
      <c r="BM121" s="115" t="b">
        <f t="shared" ca="1" si="100"/>
        <v>1</v>
      </c>
      <c r="BN121" s="115" t="b">
        <f ca="1">AND(OR(C121="赤日轮1",C121="赤日轮2",C121="赤日轮3",C121="幽月轮1",C121="幽月轮2",C121="幽月轮3"),AB121=1,模拟模式!$L$7="明光恒照")</f>
        <v>0</v>
      </c>
      <c r="BO121" s="117">
        <f t="shared" ca="1" si="73"/>
        <v>29.077500000000001</v>
      </c>
      <c r="BP121" s="115">
        <f t="shared" ca="1" si="101"/>
        <v>6</v>
      </c>
      <c r="BQ121" s="115" t="b">
        <f>模拟模式!$K$10="2600·水"</f>
        <v>0</v>
      </c>
      <c r="BR121" s="117">
        <f t="shared" si="102"/>
        <v>0</v>
      </c>
      <c r="BS121" s="115">
        <f t="shared" si="103"/>
        <v>0</v>
      </c>
      <c r="BT121" s="115">
        <f t="shared" ca="1" si="104"/>
        <v>0</v>
      </c>
      <c r="BU121" s="115" t="b">
        <f ca="1">AND(模拟模式!$K$10="2300·雷",BT120=0,RAND()&lt;IF(C121="净世破魔击·月",5*0.05*2/3,IF(C121="净世破魔击·日",3*0.05*2/3,0.05*2*2/3)))</f>
        <v>0</v>
      </c>
      <c r="BV121" s="115">
        <f t="shared" ca="1" si="105"/>
        <v>0</v>
      </c>
      <c r="BW121" s="115">
        <f t="shared" ca="1" si="106"/>
        <v>98.819999999999254</v>
      </c>
      <c r="BX121" s="164" t="b">
        <f t="shared" ca="1" si="107"/>
        <v>0</v>
      </c>
      <c r="BY121" s="115">
        <f t="shared" ca="1" si="108"/>
        <v>0</v>
      </c>
      <c r="BZ121" s="115">
        <f>IF(OR(模拟模式!$P$16="10人团",模拟模式!$P$16="25人团"),IF(B121/30&gt;CA120,1,0),0)</f>
        <v>0</v>
      </c>
      <c r="CA121" s="115">
        <f t="shared" si="74"/>
        <v>0</v>
      </c>
      <c r="CB121" s="115">
        <f ca="1">IF(BZ121=1,IF(模拟模式!$P$16="10人团",15,0)+IF(模拟模式!$P$16="25人团",IF(RAND()&lt;0.6,15,0)),MAX(0,CB120-$F$4))</f>
        <v>0</v>
      </c>
      <c r="CC121" s="115" t="b">
        <f t="shared" ca="1" si="109"/>
        <v>0</v>
      </c>
      <c r="CD121" s="115">
        <f>IF(模拟模式!$Q$16="1个",IF(B121/40&gt;CE120,1,0),0)</f>
        <v>0</v>
      </c>
      <c r="CE121" s="115">
        <f t="shared" si="110"/>
        <v>0</v>
      </c>
      <c r="CF121" s="115">
        <f>IF(OR(CD121=1,模拟模式!$Q$16="2个"),20,MAX(0,CF120-$F$4))</f>
        <v>0</v>
      </c>
      <c r="CG121" s="115" t="b">
        <f t="shared" si="111"/>
        <v>0</v>
      </c>
      <c r="CH121" s="115">
        <f t="shared" ca="1" si="112"/>
        <v>12.472500000000011</v>
      </c>
      <c r="CI121" s="115" t="b">
        <f t="shared" ca="1" si="113"/>
        <v>0</v>
      </c>
      <c r="CJ121" s="119">
        <f t="shared" ca="1" si="114"/>
        <v>0</v>
      </c>
      <c r="CK121" s="115">
        <f t="shared" ca="1" si="115"/>
        <v>0</v>
      </c>
      <c r="CL121" s="115" t="b">
        <f ca="1">AND(模拟模式!$S$7="驱夷逐法",OR(AND(C121="净世破魔击·月",E120&gt;59),AND(C121="净世破魔击·日",F120&gt;59)))</f>
        <v>0</v>
      </c>
      <c r="CM121" s="115" t="b">
        <f ca="1">OR(CL121,AND(C121="净世破魔击·日",CL120,RAND()&lt;模拟模式!$U$23))</f>
        <v>0</v>
      </c>
      <c r="CN121" s="115" t="b">
        <f ca="1">IF(模拟模式!$M$7="辉耀红尘",AND(C121="净世破魔击·月",CL121,CV121=0,E120&lt;80),AND(C121="净世破魔击·月",CL121,E120&lt;100))</f>
        <v>0</v>
      </c>
      <c r="CO121" s="115" t="b">
        <f t="shared" ca="1" si="75"/>
        <v>0</v>
      </c>
      <c r="CP121" s="115" t="b">
        <f ca="1">AND(模拟模式!$O$7="用晦而明",OR(C121="净世破魔击·日",C121="净世破魔击·月",C121="驱夜断愁"),AB121)</f>
        <v>0</v>
      </c>
      <c r="CQ121" s="115" t="b">
        <f ca="1">OR(CP121,AND(CP120,RAND()&lt;模拟模式!$U$23))</f>
        <v>0</v>
      </c>
      <c r="CR121" s="115" t="b">
        <f ca="1">AND(模拟模式!$S$7="日月齐光",OR(C121="幽月轮1",C121="幽月轮2",C121="幽月轮3",CR120),NOT(OR(C121="赤日轮1",C121="赤日轮2",C121="赤日轮3")))</f>
        <v>0</v>
      </c>
      <c r="CS121" s="115" t="b">
        <f ca="1">AND(模拟模式!$S$7="日月齐光",OR(C121="赤日轮1",C121="赤日轮2",C121="赤日轮3",CS120),NOT(OR(C121="幽月轮1",C121="幽月轮2",C121="幽月轮3")))</f>
        <v>0</v>
      </c>
      <c r="CT121" s="115">
        <f t="shared" ca="1" si="116"/>
        <v>3.2475000000000116</v>
      </c>
      <c r="CU121" s="115" t="b">
        <f ca="1">AND(模拟模式!$K$10="阴阳往极",CT120=0,RAND()&lt;IF(C121="净世破魔击·月",0.0275*7/3,IF(C121="净世破魔击·日",0.0275*3/3,0.0275*2/3)))</f>
        <v>0</v>
      </c>
      <c r="CV121" s="115">
        <f t="shared" ca="1" si="117"/>
        <v>0</v>
      </c>
      <c r="CW121" s="115">
        <f t="shared" ca="1" si="76"/>
        <v>1.3874999999999997</v>
      </c>
      <c r="CX121" s="115">
        <f t="shared" ca="1" si="77"/>
        <v>6</v>
      </c>
      <c r="CY121" s="115">
        <f ca="1">MAX(IF($C121="驱夜断愁",IF(模拟模式!$R$7="万念俱寂",6,45),CY120-$F$4),0)</f>
        <v>0.46499999999999975</v>
      </c>
      <c r="CZ121" s="115">
        <f t="shared" ca="1" si="78"/>
        <v>0</v>
      </c>
      <c r="DA121" s="115">
        <f ca="1">IF(模拟模式!$N$7="日月同辉",IF(DB120=2,0,MIN(6,IF(AND(OR(C121="赤日轮1",C121="赤日轮2",C121="赤日轮3",C121="幽月轮1",C121="幽月轮2",C121="幽月轮3"),AB121=1),DA120+1,DA120))),0)</f>
        <v>4</v>
      </c>
      <c r="DB121" s="115">
        <f t="shared" ca="1" si="79"/>
        <v>0</v>
      </c>
      <c r="DD121" s="115"/>
      <c r="DE121" s="115"/>
      <c r="DF121" s="115"/>
      <c r="DG121" s="115"/>
      <c r="DH121" s="115"/>
      <c r="DI121" s="115"/>
      <c r="DJ121" s="115"/>
      <c r="DK121" s="115"/>
      <c r="DL121" s="115"/>
      <c r="DM121" s="115"/>
    </row>
    <row r="122" spans="2:117" x14ac:dyDescent="0.2">
      <c r="B122" s="117">
        <f t="shared" si="80"/>
        <v>87.63749999999996</v>
      </c>
      <c r="C122" s="167" t="str">
        <f t="shared" ca="1" si="66"/>
        <v>驱夜断愁</v>
      </c>
      <c r="D122" s="115">
        <f ca="1">IF(C122="赤日轮1",1,IF(C122="赤日轮2",2,IF(C122="赤日轮3",3,IF(C122="幽月轮1",4,IF(C122="幽月轮2",5,IF(C122="幽月轮3",6,IF(C122="烈日斩",7,IF(C122="银月斩",8,IF(C122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122="净世破魔击·月",17,IF(C122="驱夜断愁",18,0)))))))))))</f>
        <v>18</v>
      </c>
      <c r="E122" s="115">
        <f ca="1">IF(AND(CU122,OR(C122="幽月轮1",C122="幽月轮2",C122="幽月轮3",C122="银月斩",C122="驱夜断愁",C122="净世破魔击·月")),100,MIN(IF(OR(CN122,BE122),0,IF(OR($C122="赤日轮1",$C122="赤日轮2",$C122="赤日轮3"),E121+20+IF(模拟模式!$I$7="日月凌天",4,0)+IF(CR121,20,0),IF($C122="烈日斩",E121+40,IF($C122="驱夜断愁",IF(模拟模式!$R$7="万念俱寂",E121+20,E121+60),IF($C122="净世破魔击·月",IF(OR(DB121&gt;0,CV121&gt;0),100,IF(模拟模式!$M$7="辉耀红尘",E121+20,E121)),IF($C122="净世破魔击·日",E121-100,E121)))))),100))</f>
        <v>40</v>
      </c>
      <c r="F122" s="115">
        <f ca="1">IF(AND(CU122,OR(C122="赤日轮1",C122="赤日轮2",C122="赤日轮3",C122="烈日斩",C122="净世破魔击·日")),100,MIN(IF(CO122,0,IF(OR($C122="幽月轮1",$C122="幽月轮2",$C122="幽月轮3"),F121+20+IF(模拟模式!$I$7="日月凌天",4,0)+IF(CS121,20,0),IF($C122="银月斩",F121+40+IF(模拟模式!$X$12=1,5,0),IF($C122="驱夜断愁",IF(模拟模式!$R$7="万念俱寂",F121+20,F121+60),IF($C122="净世破魔击·月",IF(模拟模式!$M$7="辉耀红尘",F121-80,F121-100),IF(AND(C122="净世破魔击·日",OR(DB121&gt;0,CV121&gt;0)),100,F121)))))),100))</f>
        <v>85</v>
      </c>
      <c r="G122" s="117">
        <f ca="1">('模拟-全程加成'!$E$3+'模拟-全程加成'!$E$4+'模拟-全程加成'!$E$5+('模拟-全程加成'!$C$6-'模拟-全程加成'!$C$3)*系数!$B$9+BS122*23)*(1+'模拟-全程加成'!$F$4+'模拟-全程加成'!$F$5+BJ122*10%+BM122*20%+BP122*4%+CG122*30%)+$F$7*系数!$B$12</f>
        <v>21493.829400000002</v>
      </c>
      <c r="H122" s="45">
        <f ca="1">'模拟-全程加成'!$H$3+'模拟-全程加成'!$H$4+'模拟-全程加成'!$H$5+('模拟-全程加成'!$G$4+'模拟-全程加成'!$G$5+('模拟-全程加成'!$C$6-'模拟-全程加成'!$C$3)*系数!$B$13)/系数!$B$3+LOOKUP(D122,'模拟-单技能数据'!$A$2:$A$19,'模拟-单技能数据'!$K$2:$K$19)+BG122*10%+IF(BV122&gt;0,378,0)</f>
        <v>0.51185145527300213</v>
      </c>
      <c r="I122" s="45">
        <f ca="1">'模拟-全程加成'!$J$3+'模拟-全程加成'!$J$4+'模拟-全程加成'!$J$5+('模拟-全程加成'!$I$4+'模拟-全程加成'!$I$5)/系数!$B$4+LOOKUP(D122,'模拟-单技能数据'!$A$2:$A$19,'模拟-单技能数据'!$L$2:$L$19)+BG122*10%</f>
        <v>2.162482885499879</v>
      </c>
      <c r="J122" s="45">
        <f ca="1">(('模拟-全程加成'!$K$3+'模拟-全程加成'!$K$4+'模拟-全程加成'!$K$5+('模拟-全程加成'!$C$6-'模拟-全程加成'!$C$3)*系数!$B$10+IF(BV122&gt;0,882,0)+IF(BY122&gt;0,1831,0))*(1+'模拟-全程加成'!$L$4+'模拟-全程加成'!$L$5+CC122*20%))/系数!$B$5</f>
        <v>0.69723220422048726</v>
      </c>
      <c r="K122" s="119">
        <f ca="1">LOOKUP(D122,'模拟-单技能数据'!$A$2:$A$19,'模拟-单技能数据'!$J$2:$J$19)+IF(CM122,60%,0)+IF(DB121-DB122&gt;0,30%,0)+IF(OR(AND(OR(C122="赤日轮1",C122="赤日轮2",C122="赤日轮3"),CR122),AND(OR(C122="幽月轮1",C122="幽月轮2",C122="幽月轮3"),CS122)),35%,0)+CJ122</f>
        <v>0.14000000000000001</v>
      </c>
      <c r="L122" s="119">
        <f ca="1">IF(AND(C122="烈日斩",模拟模式!$X$11=1),10%,0)+IF(AND(C122="驱夜断愁",AB122=1),30%,0)</f>
        <v>0.3</v>
      </c>
      <c r="M122" s="45">
        <f t="shared" ca="1" si="81"/>
        <v>0.51185145527300213</v>
      </c>
      <c r="N122" s="45">
        <f t="shared" ca="1" si="82"/>
        <v>0.43424854472699792</v>
      </c>
      <c r="O122" s="46">
        <f t="shared" ca="1" si="83"/>
        <v>0.41778069182777489</v>
      </c>
      <c r="P122" s="46" t="str">
        <f t="shared" ca="1" si="84"/>
        <v>会</v>
      </c>
      <c r="Q122" s="45">
        <f t="shared" ca="1" si="85"/>
        <v>2.162482885499879</v>
      </c>
      <c r="R122" s="117">
        <f ca="1">模拟模式!$E$20*(1-IF(模拟模式!$J$19="有",0.15,0))*(1-IF(模拟模式!$K$19="有",0.3,0)-IF(CQ122,0.5,0))</f>
        <v>843.02999999999975</v>
      </c>
      <c r="S122" s="45">
        <f ca="1">R122/(R122+(185*模拟模式!$E$22-16800)*4.08224)</f>
        <v>8.389626085980037E-2</v>
      </c>
      <c r="T122" s="45" t="str">
        <f ca="1">LOOKUP(D122,'模拟-单技能数据'!$A$2:$A$19,'模拟-单技能数据'!$H$2:$H$19)</f>
        <v>阴</v>
      </c>
      <c r="U122" s="119">
        <f t="shared" ca="1" si="86"/>
        <v>0.08</v>
      </c>
      <c r="V122" s="47">
        <f ca="1">(1+L122)*(LOOKUP(D122,'模拟-单技能数据'!$A$2:$A$19,'模拟-单技能数据'!$D$2:$D$19)+G122*LOOKUP(D122,'模拟-单技能数据'!$A$2:$A$19,'模拟-单技能数据'!$F$2:$F$19))*(1+J122)*(1+K122)*(1-S122)*(1+U122)*Q122*LOOKUP(D122,'模拟-单技能数据'!$A$2:$A$19,'模拟-单技能数据'!$I$2:$I$20)</f>
        <v>133079.35569364758</v>
      </c>
      <c r="W122" s="47">
        <f ca="1">LOOKUP(D122,'模拟-单技能数据'!$A$2:$A$19,'模拟-单技能数据'!$G$2:$G$19)*$I$10</f>
        <v>723.0212870940959</v>
      </c>
      <c r="X122" s="47">
        <f t="shared" ca="1" si="87"/>
        <v>9616.6571145767884</v>
      </c>
      <c r="Y122" s="47">
        <f t="shared" ca="1" si="88"/>
        <v>143419.03409531846</v>
      </c>
      <c r="Z122" s="49">
        <f t="shared" ca="1" si="89"/>
        <v>9793174.5521411989</v>
      </c>
      <c r="AA122" s="97">
        <f t="shared" ca="1" si="90"/>
        <v>111746.39340626105</v>
      </c>
      <c r="AB122" s="115">
        <f ca="1">IF(OR(C122="赤日轮1",C122="赤日轮2",C122="赤日轮3"),IF(RAND()&lt;模拟模式!$Y$17,1,0),IF(OR(C122="幽月轮1",C122="幽月轮2",C122="幽月轮3"),IF(RAND()&lt;模拟模式!$Y$18,1,0),IF(C122="烈日斩",IF(RAND()&lt;模拟模式!$Y$19,1,0),IF(C122="银月斩",IF(RAND()&lt;模拟模式!$Y$20,1,0),IF(C122="驱夜断愁",IF(RAND()&lt;模拟模式!$Y$21,1,0),IF(C122="净世破魔击·日",IF(RAND()&lt;模拟模式!$Y$22,1,0),IF(C122="净世破魔击·月",IF(RAND()&lt;模拟模式!$Y$23,1,0),0)))))))</f>
        <v>1</v>
      </c>
      <c r="AC122" s="115" t="b">
        <f t="shared" ca="1" si="67"/>
        <v>0</v>
      </c>
      <c r="AD122" s="115" t="b">
        <f t="shared" ca="1" si="118"/>
        <v>1</v>
      </c>
      <c r="AE122" s="115">
        <f t="shared" ca="1" si="119"/>
        <v>5</v>
      </c>
      <c r="AF122" s="47">
        <f ca="1">IF(AC122,('模拟-单技能数据'!$D$20+G122*'模拟-单技能数据'!$F$20)*(1+J122)*(1+'模拟-单技能数据'!$J$20)*(1+U122),0)</f>
        <v>0</v>
      </c>
      <c r="AG122" s="61">
        <f t="shared" ca="1" si="91"/>
        <v>0.64185145527300214</v>
      </c>
      <c r="AH122" s="61">
        <f t="shared" ca="1" si="92"/>
        <v>2.2624828854998791</v>
      </c>
      <c r="AI122" s="62">
        <f t="shared" ca="1" si="93"/>
        <v>0.11403078375369036</v>
      </c>
      <c r="AJ122" s="47">
        <f ca="1">IF(AD122,IF(AI122&lt;$F$10,0,IF(AI122&lt;$F$10+$F$11,0.25,IF(AI122&lt;$F$10+$F$11+AG122,AH122,1)))*IF(AF122&gt;0,AF122,IF(AF121&gt;0,AF121,IF(AF120&gt;0,AF120,IF(AF119&gt;0,AF119,IF(AF118&gt;0,AF118,IF(AF117&gt;0,AF117,IF(AF116&gt;0,AF116,IF(AF115&gt;0,AF115,IF(AF114&gt;0,AF114,IF(AF112&gt;0,AF112,IF(AF111&gt;0,AF111,IF(AF110&gt;0,AF110,0)))))))))))),0)*(1-$S122)*'模拟-单技能数据'!$I$20</f>
        <v>9616.6571145767884</v>
      </c>
      <c r="AK122" s="115" t="b">
        <f t="shared" ca="1" si="68"/>
        <v>0</v>
      </c>
      <c r="AL122" s="115" t="b">
        <f t="shared" ca="1" si="120"/>
        <v>0</v>
      </c>
      <c r="AM122" s="115">
        <f t="shared" ca="1" si="121"/>
        <v>4</v>
      </c>
      <c r="AN122" s="47">
        <f ca="1">IF(AK122,('模拟-单技能数据'!$D$21+G122*'模拟-单技能数据'!$F$21)*(1+J122)*(1+'模拟-单技能数据'!$J$21)*(1+U122),0)</f>
        <v>0</v>
      </c>
      <c r="AO122" s="61">
        <f ca="1">IF(AN122&gt;0,M122-'模拟-单技能数据'!$K$10,AO121)</f>
        <v>0.42185145527300216</v>
      </c>
      <c r="AP122" s="61">
        <f ca="1">IF(AN122&gt;0,I122-'模拟-单技能数据'!$L$10,AP121)</f>
        <v>2.162482885499879</v>
      </c>
      <c r="AQ122" s="63">
        <f t="shared" ca="1" si="94"/>
        <v>0.44937304975632342</v>
      </c>
      <c r="AR122" s="64">
        <f ca="1">IF(AL122,IF(AQ122&lt;$F$10,0,IF(AQ122&lt;$F$10+$F$11,0.25,IF(AQ122&lt;$F$10+$F$11+AO122,AP122,1)))*IF(AN122&gt;0,AN122,IF(AN121&gt;0,AN121,IF(AN120&gt;0,AN120,IF(AN119&gt;0,AN119,IF(AN118&gt;0,AN118,IF(AN117&gt;0,AN117,IF(AN116&gt;0,AN116,IF(AN115&gt;0,AN115,IF(AN114&gt;0,AN114,IF(AN112&gt;0,AN112,IF(AN111&gt;0,AN111,IF(AN110&gt;0,AN110,0)))))))))))),0)*(1-$S122)*'模拟-单技能数据'!$I$21</f>
        <v>0</v>
      </c>
      <c r="AS122" s="61">
        <f ca="1">IF(OR(C122="净世破魔击·日",C122="净世破魔击·月"),M122-'模拟-单技能数据'!$K$10,0)</f>
        <v>0</v>
      </c>
      <c r="AT122" s="61">
        <f ca="1">IF(OR(C122="净世破魔击·日",C122="净世破魔击·月"),I122-'模拟-单技能数据'!$L$10,0)</f>
        <v>0</v>
      </c>
      <c r="AU122" s="62">
        <f t="shared" ca="1" si="95"/>
        <v>0.46903001979710801</v>
      </c>
      <c r="AV122" s="64">
        <f ca="1">IF(AS122&gt;0,('模拟-单技能数据'!$D$22+G122*'模拟-单技能数据'!$F$22)*(1+J122)*(1-S122)*IF(AU122&lt;$F$10,0,IF(AU122&lt;$F$10+$F$11,0.25,IF(AU122&lt;$F$10+$F$11+AS122,AT122,1)))*(1+U122),0)*'模拟-单技能数据'!$I$22</f>
        <v>0</v>
      </c>
      <c r="AW122" s="108">
        <f t="shared" ca="1" si="96"/>
        <v>15.387500000000003</v>
      </c>
      <c r="AX122" s="108" t="b">
        <f ca="1">AND(模拟模式!$P$10="有",AW121=0,RAND()&lt;IF(C122="净世破魔击·月",0.1*8/3,IF(C122="净世破魔击·日",0.1*4/3,0.1*2/3)))</f>
        <v>0</v>
      </c>
      <c r="AY122" s="47">
        <f ca="1">IF(AX122,(18+G122*0.722)*(1+J122)*(1-S122)*(1+$I$4)*IF(P122="会",'模拟-全程加成'!$J$3+'模拟-全程加成'!$J$4+'模拟-全程加成'!$J$5+('模拟-全程加成'!$I$4+'模拟-全程加成'!$I$5)/系数!$B$4+BG122*10%,IF(P122="命",1,IF(P122="识",0.25,0))),0)</f>
        <v>0</v>
      </c>
      <c r="AZ122" s="108">
        <f t="shared" si="97"/>
        <v>13.542500000000004</v>
      </c>
      <c r="BA122" s="108" t="b">
        <f>AND(模拟模式!$Q$10="有",AZ121=0)</f>
        <v>0</v>
      </c>
      <c r="BB122" s="140">
        <f>IF(BA122,(0+G122*0.287)*(1+J122)*(1-S122)*(1+$I$4)*IF(P122="会",'模拟-全程加成'!$J$3+'模拟-全程加成'!$J$4+'模拟-全程加成'!$J$5+('模拟-全程加成'!$I$4+'模拟-全程加成'!$I$5)/系数!$B$4+BG122*10%,IF(P122="命",1,IF(P122="识",0.25,0))),0)</f>
        <v>0</v>
      </c>
      <c r="BC122" s="115" t="b">
        <f ca="1">AND(模拟模式!$R$7="伏明众生",E122=60,F122=20,DA122&lt;5,CZ121&lt;$F$4)</f>
        <v>0</v>
      </c>
      <c r="BD122" s="115">
        <f t="shared" ca="1" si="69"/>
        <v>0</v>
      </c>
      <c r="BE122" s="115" t="b">
        <f t="shared" ca="1" si="70"/>
        <v>0</v>
      </c>
      <c r="BF122" s="47">
        <f ca="1">IF(BC122,4*('模拟-单技能数据'!$D$24+G122*'模拟-单技能数据'!$F$24)*(1+J122)*(1+'模拟-单技能数据'!$J$24)*(1-S122)*(1+$I$3)*(('模拟-全程加成'!$J$3+'模拟-全程加成'!$J$4+'模拟-全程加成'!$J$5+('模拟-全程加成'!$I$4+'模拟-全程加成'!$I$5)/系数!$B$4+BG122*10%)*('模拟-全程加成'!$J$3+'模拟-全程加成'!$J$4+'模拟-全程加成'!$J$5+('模拟-全程加成'!$I$4+'模拟-全程加成'!$I$5)/系数!$B$4+BG122*10%)+(1-('模拟-全程加成'!$J$3+'模拟-全程加成'!$J$4+'模拟-全程加成'!$J$5+('模拟-全程加成'!$I$4+'模拟-全程加成'!$I$5)/系数!$B$4+BG122*10%)-$F$10-$F$11)+F108*0.25),0)*'模拟-单技能数据'!$I$24</f>
        <v>0</v>
      </c>
      <c r="BG122" s="115" t="b">
        <f ca="1">OR(AND(OR(C122="烈日斩",C122="银月斩"),模拟模式!$I$7="净身明礼"),AND(C122="净世破魔击·日",模拟模式!$J$7="洞若观火"),AND(C123="净世破魔击·月",模拟模式!$J$7="洞若观火"),AB122=1)</f>
        <v>1</v>
      </c>
      <c r="BH122" s="115" t="b">
        <f t="shared" ca="1" si="98"/>
        <v>0</v>
      </c>
      <c r="BI122" s="115">
        <f t="shared" ca="1" si="71"/>
        <v>2.3099999999999996</v>
      </c>
      <c r="BJ122" s="115" t="b">
        <f t="shared" ca="1" si="99"/>
        <v>1</v>
      </c>
      <c r="BK122" s="115" t="b">
        <f ca="1">AND(C122="驱夜断愁",模拟模式!$P$7="天地诛戮")</f>
        <v>1</v>
      </c>
      <c r="BL122" s="57">
        <f t="shared" ca="1" si="72"/>
        <v>20</v>
      </c>
      <c r="BM122" s="115" t="b">
        <f t="shared" ca="1" si="100"/>
        <v>1</v>
      </c>
      <c r="BN122" s="115" t="b">
        <f ca="1">AND(OR(C122="赤日轮1",C122="赤日轮2",C122="赤日轮3",C122="幽月轮1",C122="幽月轮2",C122="幽月轮3"),AB122=1,模拟模式!$L$7="明光恒照")</f>
        <v>0</v>
      </c>
      <c r="BO122" s="117">
        <f t="shared" ca="1" si="73"/>
        <v>28.155000000000001</v>
      </c>
      <c r="BP122" s="115">
        <f t="shared" ca="1" si="101"/>
        <v>6</v>
      </c>
      <c r="BQ122" s="115" t="b">
        <f>模拟模式!$K$10="2600·水"</f>
        <v>0</v>
      </c>
      <c r="BR122" s="117">
        <f t="shared" si="102"/>
        <v>0</v>
      </c>
      <c r="BS122" s="115">
        <f t="shared" si="103"/>
        <v>0</v>
      </c>
      <c r="BT122" s="115">
        <f t="shared" ca="1" si="104"/>
        <v>0</v>
      </c>
      <c r="BU122" s="115" t="b">
        <f ca="1">AND(模拟模式!$K$10="2300·雷",BT121=0,RAND()&lt;IF(C122="净世破魔击·月",5*0.05*2/3,IF(C122="净世破魔击·日",3*0.05*2/3,0.05*2*2/3)))</f>
        <v>0</v>
      </c>
      <c r="BV122" s="115">
        <f t="shared" ca="1" si="105"/>
        <v>0</v>
      </c>
      <c r="BW122" s="115">
        <f t="shared" ca="1" si="106"/>
        <v>97.897499999999255</v>
      </c>
      <c r="BX122" s="164" t="b">
        <f t="shared" ca="1" si="107"/>
        <v>0</v>
      </c>
      <c r="BY122" s="115">
        <f t="shared" ca="1" si="108"/>
        <v>0</v>
      </c>
      <c r="BZ122" s="115">
        <f>IF(OR(模拟模式!$P$16="10人团",模拟模式!$P$16="25人团"),IF(B122/30&gt;CA121,1,0),0)</f>
        <v>0</v>
      </c>
      <c r="CA122" s="115">
        <f t="shared" si="74"/>
        <v>0</v>
      </c>
      <c r="CB122" s="115">
        <f ca="1">IF(BZ122=1,IF(模拟模式!$P$16="10人团",15,0)+IF(模拟模式!$P$16="25人团",IF(RAND()&lt;0.6,15,0)),MAX(0,CB121-$F$4))</f>
        <v>0</v>
      </c>
      <c r="CC122" s="115" t="b">
        <f t="shared" ca="1" si="109"/>
        <v>0</v>
      </c>
      <c r="CD122" s="115">
        <f>IF(模拟模式!$Q$16="1个",IF(B122/40&gt;CE121,1,0),0)</f>
        <v>0</v>
      </c>
      <c r="CE122" s="115">
        <f t="shared" si="110"/>
        <v>0</v>
      </c>
      <c r="CF122" s="115">
        <f>IF(OR(CD122=1,模拟模式!$Q$16="2个"),20,MAX(0,CF121-$F$4))</f>
        <v>0</v>
      </c>
      <c r="CG122" s="115" t="b">
        <f t="shared" si="111"/>
        <v>0</v>
      </c>
      <c r="CH122" s="115">
        <f t="shared" ca="1" si="112"/>
        <v>11.550000000000011</v>
      </c>
      <c r="CI122" s="115" t="b">
        <f t="shared" ca="1" si="113"/>
        <v>0</v>
      </c>
      <c r="CJ122" s="119">
        <f t="shared" ca="1" si="114"/>
        <v>0</v>
      </c>
      <c r="CK122" s="115">
        <f t="shared" ca="1" si="115"/>
        <v>0</v>
      </c>
      <c r="CL122" s="115" t="b">
        <f ca="1">AND(模拟模式!$S$7="驱夷逐法",OR(AND(C122="净世破魔击·月",E121&gt;59),AND(C122="净世破魔击·日",F121&gt;59)))</f>
        <v>0</v>
      </c>
      <c r="CM122" s="115" t="b">
        <f ca="1">OR(CL122,AND(C122="净世破魔击·日",CL121,RAND()&lt;模拟模式!$U$23))</f>
        <v>0</v>
      </c>
      <c r="CN122" s="115" t="b">
        <f ca="1">IF(模拟模式!$M$7="辉耀红尘",AND(C122="净世破魔击·月",CL122,CV122=0,E121&lt;80),AND(C122="净世破魔击·月",CL122,E121&lt;100))</f>
        <v>0</v>
      </c>
      <c r="CO122" s="115" t="b">
        <f t="shared" ca="1" si="75"/>
        <v>0</v>
      </c>
      <c r="CP122" s="115" t="b">
        <f ca="1">AND(模拟模式!$O$7="用晦而明",OR(C122="净世破魔击·日",C122="净世破魔击·月",C122="驱夜断愁"),AB122)</f>
        <v>1</v>
      </c>
      <c r="CQ122" s="115" t="b">
        <f ca="1">OR(CP122,AND(CP121,RAND()&lt;模拟模式!$U$23))</f>
        <v>1</v>
      </c>
      <c r="CR122" s="115" t="b">
        <f ca="1">AND(模拟模式!$S$7="日月齐光",OR(C122="幽月轮1",C122="幽月轮2",C122="幽月轮3",CR121),NOT(OR(C122="赤日轮1",C122="赤日轮2",C122="赤日轮3")))</f>
        <v>0</v>
      </c>
      <c r="CS122" s="115" t="b">
        <f ca="1">AND(模拟模式!$S$7="日月齐光",OR(C122="赤日轮1",C122="赤日轮2",C122="赤日轮3",CS121),NOT(OR(C122="幽月轮1",C122="幽月轮2",C122="幽月轮3")))</f>
        <v>0</v>
      </c>
      <c r="CT122" s="115">
        <f t="shared" ca="1" si="116"/>
        <v>2.3250000000000117</v>
      </c>
      <c r="CU122" s="115" t="b">
        <f ca="1">AND(模拟模式!$K$10="阴阳往极",CT121=0,RAND()&lt;IF(C122="净世破魔击·月",0.0275*7/3,IF(C122="净世破魔击·日",0.0275*3/3,0.0275*2/3)))</f>
        <v>0</v>
      </c>
      <c r="CV122" s="115">
        <f t="shared" ca="1" si="117"/>
        <v>0</v>
      </c>
      <c r="CW122" s="115">
        <f t="shared" ca="1" si="76"/>
        <v>0.46499999999999975</v>
      </c>
      <c r="CX122" s="115">
        <f t="shared" ca="1" si="77"/>
        <v>5.0774999999999997</v>
      </c>
      <c r="CY122" s="115">
        <f ca="1">MAX(IF($C122="驱夜断愁",IF(模拟模式!$R$7="万念俱寂",6,45),CY121-$F$4),0)</f>
        <v>6</v>
      </c>
      <c r="CZ122" s="115">
        <f t="shared" ca="1" si="78"/>
        <v>0</v>
      </c>
      <c r="DA122" s="115">
        <f ca="1">IF(模拟模式!$N$7="日月同辉",IF(DB121=2,0,MIN(6,IF(AND(OR(C122="赤日轮1",C122="赤日轮2",C122="赤日轮3",C122="幽月轮1",C122="幽月轮2",C122="幽月轮3"),AB122=1),DA121+1,DA121))),0)</f>
        <v>4</v>
      </c>
      <c r="DB122" s="115">
        <f t="shared" ca="1" si="79"/>
        <v>0</v>
      </c>
      <c r="DD122" s="115"/>
      <c r="DE122" s="115"/>
      <c r="DF122" s="115"/>
      <c r="DG122" s="115"/>
      <c r="DH122" s="115"/>
      <c r="DI122" s="115"/>
      <c r="DJ122" s="115"/>
      <c r="DK122" s="115"/>
      <c r="DL122" s="115"/>
      <c r="DM122" s="115"/>
    </row>
    <row r="123" spans="2:117" x14ac:dyDescent="0.2">
      <c r="B123" s="117">
        <f t="shared" si="80"/>
        <v>88.55999999999996</v>
      </c>
      <c r="C123" s="167" t="str">
        <f t="shared" ca="1" si="66"/>
        <v>烈日斩</v>
      </c>
      <c r="D123" s="115">
        <f ca="1">IF(C123="赤日轮1",1,IF(C123="赤日轮2",2,IF(C123="赤日轮3",3,IF(C123="幽月轮1",4,IF(C123="幽月轮2",5,IF(C123="幽月轮3",6,IF(C123="烈日斩",7,IF(C123="银月斩",8,IF(C123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123="净世破魔击·月",17,IF(C123="驱夜断愁",18,0)))))))))))</f>
        <v>7</v>
      </c>
      <c r="E123" s="115">
        <f ca="1">IF(AND(CU123,OR(C123="幽月轮1",C123="幽月轮2",C123="幽月轮3",C123="银月斩",C123="驱夜断愁",C123="净世破魔击·月")),100,MIN(IF(OR(CN123,BE123),0,IF(OR($C123="赤日轮1",$C123="赤日轮2",$C123="赤日轮3"),E122+20+IF(模拟模式!$I$7="日月凌天",4,0)+IF(CR122,20,0),IF($C123="烈日斩",E122+40,IF($C123="驱夜断愁",IF(模拟模式!$R$7="万念俱寂",E122+20,E122+60),IF($C123="净世破魔击·月",IF(OR(DB122&gt;0,CV122&gt;0),100,IF(模拟模式!$M$7="辉耀红尘",E122+20,E122)),IF($C123="净世破魔击·日",E122-100,E122)))))),100))</f>
        <v>80</v>
      </c>
      <c r="F123" s="115">
        <f ca="1">IF(AND(CU123,OR(C123="赤日轮1",C123="赤日轮2",C123="赤日轮3",C123="烈日斩",C123="净世破魔击·日")),100,MIN(IF(CO123,0,IF(OR($C123="幽月轮1",$C123="幽月轮2",$C123="幽月轮3"),F122+20+IF(模拟模式!$I$7="日月凌天",4,0)+IF(CS122,20,0),IF($C123="银月斩",F122+40+IF(模拟模式!$X$12=1,5,0),IF($C123="驱夜断愁",IF(模拟模式!$R$7="万念俱寂",F122+20,F122+60),IF($C123="净世破魔击·月",IF(模拟模式!$M$7="辉耀红尘",F122-80,F122-100),IF(AND(C123="净世破魔击·日",OR(DB122&gt;0,CV122&gt;0)),100,F122)))))),100))</f>
        <v>85</v>
      </c>
      <c r="G123" s="117">
        <f ca="1">('模拟-全程加成'!$E$3+'模拟-全程加成'!$E$4+'模拟-全程加成'!$E$5+('模拟-全程加成'!$C$6-'模拟-全程加成'!$C$3)*系数!$B$9+BS123*23)*(1+'模拟-全程加成'!$F$4+'模拟-全程加成'!$F$5+BJ123*10%+BM123*20%+BP123*4%+CG123*30%)+$F$7*系数!$B$12</f>
        <v>21493.829400000002</v>
      </c>
      <c r="H123" s="45">
        <f ca="1">'模拟-全程加成'!$H$3+'模拟-全程加成'!$H$4+'模拟-全程加成'!$H$5+('模拟-全程加成'!$G$4+'模拟-全程加成'!$G$5+('模拟-全程加成'!$C$6-'模拟-全程加成'!$C$3)*系数!$B$13)/系数!$B$3+LOOKUP(D123,'模拟-单技能数据'!$A$2:$A$19,'模拟-单技能数据'!$K$2:$K$19)+BG123*10%+IF(BV123&gt;0,378,0)</f>
        <v>0.56185145527300218</v>
      </c>
      <c r="I123" s="45">
        <f ca="1">'模拟-全程加成'!$J$3+'模拟-全程加成'!$J$4+'模拟-全程加成'!$J$5+('模拟-全程加成'!$I$4+'模拟-全程加成'!$I$5)/系数!$B$4+LOOKUP(D123,'模拟-单技能数据'!$A$2:$A$19,'模拟-单技能数据'!$L$2:$L$19)+BG123*10%</f>
        <v>2.2624828854998791</v>
      </c>
      <c r="J123" s="45">
        <f ca="1">(('模拟-全程加成'!$K$3+'模拟-全程加成'!$K$4+'模拟-全程加成'!$K$5+('模拟-全程加成'!$C$6-'模拟-全程加成'!$C$3)*系数!$B$10+IF(BV123&gt;0,882,0)+IF(BY123&gt;0,1831,0))*(1+'模拟-全程加成'!$L$4+'模拟-全程加成'!$L$5+CC123*20%))/系数!$B$5</f>
        <v>0.69723220422048726</v>
      </c>
      <c r="K123" s="119">
        <f ca="1">LOOKUP(D123,'模拟-单技能数据'!$A$2:$A$19,'模拟-单技能数据'!$J$2:$J$19)+IF(CM123,60%,0)+IF(DB122-DB123&gt;0,30%,0)+IF(OR(AND(OR(C123="赤日轮1",C123="赤日轮2",C123="赤日轮3"),CR123),AND(OR(C123="幽月轮1",C123="幽月轮2",C123="幽月轮3"),CS123)),35%,0)+CJ123</f>
        <v>0.24</v>
      </c>
      <c r="L123" s="119">
        <f ca="1">IF(AND(C123="烈日斩",模拟模式!$X$11=1),10%,0)+IF(AND(C123="驱夜断愁",AB123=1),30%,0)</f>
        <v>0.1</v>
      </c>
      <c r="M123" s="45">
        <f t="shared" ca="1" si="81"/>
        <v>0.56185145527300218</v>
      </c>
      <c r="N123" s="45">
        <f t="shared" ca="1" si="82"/>
        <v>0.38424854472699788</v>
      </c>
      <c r="O123" s="46">
        <f t="shared" ca="1" si="83"/>
        <v>0.21413378519317372</v>
      </c>
      <c r="P123" s="46" t="str">
        <f t="shared" ca="1" si="84"/>
        <v>会</v>
      </c>
      <c r="Q123" s="45">
        <f t="shared" ca="1" si="85"/>
        <v>2.2624828854998791</v>
      </c>
      <c r="R123" s="117">
        <f ca="1">模拟模式!$E$20*(1-IF(模拟模式!$J$19="有",0.15,0))*(1-IF(模拟模式!$K$19="有",0.3,0)-IF(CQ123,0.5,0))</f>
        <v>843.02999999999975</v>
      </c>
      <c r="S123" s="45">
        <f ca="1">R123/(R123+(185*模拟模式!$E$22-16800)*4.08224)</f>
        <v>8.389626085980037E-2</v>
      </c>
      <c r="T123" s="45" t="str">
        <f ca="1">LOOKUP(D123,'模拟-单技能数据'!$A$2:$A$19,'模拟-单技能数据'!$H$2:$H$19)</f>
        <v>阳</v>
      </c>
      <c r="U123" s="119">
        <f t="shared" ca="1" si="86"/>
        <v>0.2</v>
      </c>
      <c r="V123" s="47">
        <f ca="1">(1+L123)*(LOOKUP(D123,'模拟-单技能数据'!$A$2:$A$19,'模拟-单技能数据'!$D$2:$D$19)+G123*LOOKUP(D123,'模拟-单技能数据'!$A$2:$A$19,'模拟-单技能数据'!$F$2:$F$19))*(1+J123)*(1+K123)*(1-S123)*(1+U123)*Q123*LOOKUP(D123,'模拟-单技能数据'!$A$2:$A$19,'模拟-单技能数据'!$I$2:$I$20)</f>
        <v>110503.35617153208</v>
      </c>
      <c r="W123" s="47">
        <f ca="1">LOOKUP(D123,'模拟-单技能数据'!$A$2:$A$19,'模拟-单技能数据'!$G$2:$G$19)*$I$10</f>
        <v>361.51064354704795</v>
      </c>
      <c r="X123" s="47">
        <f t="shared" ca="1" si="87"/>
        <v>11607.89185245618</v>
      </c>
      <c r="Y123" s="47">
        <f t="shared" ca="1" si="88"/>
        <v>122472.75866753531</v>
      </c>
      <c r="Z123" s="49">
        <f t="shared" ca="1" si="89"/>
        <v>9915647.310808735</v>
      </c>
      <c r="AA123" s="97">
        <f t="shared" ca="1" si="90"/>
        <v>111965.30387092073</v>
      </c>
      <c r="AB123" s="115">
        <f ca="1">IF(OR(C123="赤日轮1",C123="赤日轮2",C123="赤日轮3"),IF(RAND()&lt;模拟模式!$Y$17,1,0),IF(OR(C123="幽月轮1",C123="幽月轮2",C123="幽月轮3"),IF(RAND()&lt;模拟模式!$Y$18,1,0),IF(C123="烈日斩",IF(RAND()&lt;模拟模式!$Y$19,1,0),IF(C123="银月斩",IF(RAND()&lt;模拟模式!$Y$20,1,0),IF(C123="驱夜断愁",IF(RAND()&lt;模拟模式!$Y$21,1,0),IF(C123="净世破魔击·日",IF(RAND()&lt;模拟模式!$Y$22,1,0),IF(C123="净世破魔击·月",IF(RAND()&lt;模拟模式!$Y$23,1,0),0)))))))</f>
        <v>1</v>
      </c>
      <c r="AC123" s="115" t="b">
        <f t="shared" ca="1" si="67"/>
        <v>0</v>
      </c>
      <c r="AD123" s="115" t="b">
        <f t="shared" ca="1" si="118"/>
        <v>0</v>
      </c>
      <c r="AE123" s="115">
        <f t="shared" ca="1" si="119"/>
        <v>5</v>
      </c>
      <c r="AF123" s="47">
        <f ca="1">IF(AC123,('模拟-单技能数据'!$D$20+G123*'模拟-单技能数据'!$F$20)*(1+J123)*(1+'模拟-单技能数据'!$J$20)*(1+U123),0)</f>
        <v>0</v>
      </c>
      <c r="AG123" s="61">
        <f t="shared" ca="1" si="91"/>
        <v>0.64185145527300214</v>
      </c>
      <c r="AH123" s="61">
        <f t="shared" ca="1" si="92"/>
        <v>2.2624828854998791</v>
      </c>
      <c r="AI123" s="62">
        <f t="shared" ca="1" si="93"/>
        <v>0.30459428660035315</v>
      </c>
      <c r="AJ123" s="47">
        <f ca="1">IF(AD123,IF(AI123&lt;$F$10,0,IF(AI123&lt;$F$10+$F$11,0.25,IF(AI123&lt;$F$10+$F$11+AG123,AH123,1)))*IF(AF123&gt;0,AF123,IF(AF122&gt;0,AF122,IF(AF121&gt;0,AF121,IF(AF120&gt;0,AF120,IF(AF119&gt;0,AF119,IF(AF118&gt;0,AF118,IF(AF117&gt;0,AF117,IF(AF116&gt;0,AF116,IF(AF115&gt;0,AF115,IF(AF113&gt;0,AF113,IF(AF112&gt;0,AF112,IF(AF111&gt;0,AF111,0)))))))))))),0)*(1-$S123)*'模拟-单技能数据'!$I$20</f>
        <v>0</v>
      </c>
      <c r="AK123" s="115" t="b">
        <f t="shared" ca="1" si="68"/>
        <v>0</v>
      </c>
      <c r="AL123" s="115" t="b">
        <f t="shared" ca="1" si="120"/>
        <v>1</v>
      </c>
      <c r="AM123" s="115">
        <f t="shared" ca="1" si="121"/>
        <v>3</v>
      </c>
      <c r="AN123" s="47">
        <f ca="1">IF(AK123,('模拟-单技能数据'!$D$21+G123*'模拟-单技能数据'!$F$21)*(1+J123)*(1+'模拟-单技能数据'!$J$21)*(1+U123),0)</f>
        <v>0</v>
      </c>
      <c r="AO123" s="61">
        <f ca="1">IF(AN123&gt;0,M123-'模拟-单技能数据'!$K$10,AO122)</f>
        <v>0.42185145527300216</v>
      </c>
      <c r="AP123" s="61">
        <f ca="1">IF(AN123&gt;0,I123-'模拟-单技能数据'!$L$10,AP122)</f>
        <v>2.162482885499879</v>
      </c>
      <c r="AQ123" s="63">
        <f t="shared" ca="1" si="94"/>
        <v>0.81902747861640923</v>
      </c>
      <c r="AR123" s="64">
        <f ca="1">IF(AL123,IF(AQ123&lt;$F$10,0,IF(AQ123&lt;$F$10+$F$11,0.25,IF(AQ123&lt;$F$10+$F$11+AO123,AP123,1)))*IF(AN123&gt;0,AN123,IF(AN122&gt;0,AN122,IF(AN121&gt;0,AN121,IF(AN120&gt;0,AN120,IF(AN119&gt;0,AN119,IF(AN118&gt;0,AN118,IF(AN117&gt;0,AN117,IF(AN116&gt;0,AN116,IF(AN115&gt;0,AN115,IF(AN113&gt;0,AN113,IF(AN112&gt;0,AN112,IF(AN111&gt;0,AN111,0)))))))))))),0)*(1-$S123)*'模拟-单技能数据'!$I$21</f>
        <v>11607.89185245618</v>
      </c>
      <c r="AS123" s="61">
        <f ca="1">IF(OR(C123="净世破魔击·日",C123="净世破魔击·月"),M123-'模拟-单技能数据'!$K$10,0)</f>
        <v>0</v>
      </c>
      <c r="AT123" s="61">
        <f ca="1">IF(OR(C123="净世破魔击·日",C123="净世破魔击·月"),I123-'模拟-单技能数据'!$L$10,0)</f>
        <v>0</v>
      </c>
      <c r="AU123" s="62">
        <f t="shared" ca="1" si="95"/>
        <v>0.23403548350416514</v>
      </c>
      <c r="AV123" s="64">
        <f ca="1">IF(AS123&gt;0,('模拟-单技能数据'!$D$22+G123*'模拟-单技能数据'!$F$22)*(1+J123)*(1-S123)*IF(AU123&lt;$F$10,0,IF(AU123&lt;$F$10+$F$11,0.25,IF(AU123&lt;$F$10+$F$11+AS123,AT123,1)))*(1+U123),0)*'模拟-单技能数据'!$I$22</f>
        <v>0</v>
      </c>
      <c r="AW123" s="108">
        <f t="shared" ca="1" si="96"/>
        <v>14.465000000000003</v>
      </c>
      <c r="AX123" s="108" t="b">
        <f ca="1">AND(模拟模式!$P$10="有",AW122=0,RAND()&lt;IF(C123="净世破魔击·月",0.1*8/3,IF(C123="净世破魔击·日",0.1*4/3,0.1*2/3)))</f>
        <v>0</v>
      </c>
      <c r="AY123" s="47">
        <f ca="1">IF(AX123,(18+G123*0.722)*(1+J123)*(1-S123)*(1+$I$4)*IF(P123="会",'模拟-全程加成'!$J$3+'模拟-全程加成'!$J$4+'模拟-全程加成'!$J$5+('模拟-全程加成'!$I$4+'模拟-全程加成'!$I$5)/系数!$B$4+BG123*10%,IF(P123="命",1,IF(P123="识",0.25,0))),0)</f>
        <v>0</v>
      </c>
      <c r="AZ123" s="108">
        <f t="shared" si="97"/>
        <v>12.620000000000005</v>
      </c>
      <c r="BA123" s="108" t="b">
        <f>AND(模拟模式!$Q$10="有",AZ122=0)</f>
        <v>0</v>
      </c>
      <c r="BB123" s="140">
        <f>IF(BA123,(0+G123*0.287)*(1+J123)*(1-S123)*(1+$I$4)*IF(P123="会",'模拟-全程加成'!$J$3+'模拟-全程加成'!$J$4+'模拟-全程加成'!$J$5+('模拟-全程加成'!$I$4+'模拟-全程加成'!$I$5)/系数!$B$4+BG123*10%,IF(P123="命",1,IF(P123="识",0.25,0))),0)</f>
        <v>0</v>
      </c>
      <c r="BC123" s="115" t="b">
        <f ca="1">AND(模拟模式!$R$7="伏明众生",E123=60,F123=20,DA123&lt;5,CZ122&lt;$F$4)</f>
        <v>0</v>
      </c>
      <c r="BD123" s="115">
        <f t="shared" ca="1" si="69"/>
        <v>0</v>
      </c>
      <c r="BE123" s="115" t="b">
        <f t="shared" ca="1" si="70"/>
        <v>0</v>
      </c>
      <c r="BF123" s="47">
        <f ca="1">IF(BC123,4*('模拟-单技能数据'!$D$24+G123*'模拟-单技能数据'!$F$24)*(1+J123)*(1+'模拟-单技能数据'!$J$24)*(1-S123)*(1+$I$3)*(('模拟-全程加成'!$J$3+'模拟-全程加成'!$J$4+'模拟-全程加成'!$J$5+('模拟-全程加成'!$I$4+'模拟-全程加成'!$I$5)/系数!$B$4+BG123*10%)*('模拟-全程加成'!$J$3+'模拟-全程加成'!$J$4+'模拟-全程加成'!$J$5+('模拟-全程加成'!$I$4+'模拟-全程加成'!$I$5)/系数!$B$4+BG123*10%)+(1-('模拟-全程加成'!$J$3+'模拟-全程加成'!$J$4+'模拟-全程加成'!$J$5+('模拟-全程加成'!$I$4+'模拟-全程加成'!$I$5)/系数!$B$4+BG123*10%)-$F$10-$F$11)+F109*0.25),0)*'模拟-单技能数据'!$I$24</f>
        <v>0</v>
      </c>
      <c r="BG123" s="115" t="b">
        <f ca="1">OR(AND(OR(C123="烈日斩",C123="银月斩"),模拟模式!$I$7="净身明礼"),AND(C123="净世破魔击·日",模拟模式!$J$7="洞若观火"),AND(C124="净世破魔击·月",模拟模式!$J$7="洞若观火"),AB123=1)</f>
        <v>1</v>
      </c>
      <c r="BH123" s="115" t="b">
        <f t="shared" ca="1" si="98"/>
        <v>0</v>
      </c>
      <c r="BI123" s="115">
        <f t="shared" ca="1" si="71"/>
        <v>1.3874999999999997</v>
      </c>
      <c r="BJ123" s="115" t="b">
        <f t="shared" ca="1" si="99"/>
        <v>1</v>
      </c>
      <c r="BK123" s="115" t="b">
        <f ca="1">AND(C123="驱夜断愁",模拟模式!$P$7="天地诛戮")</f>
        <v>0</v>
      </c>
      <c r="BL123" s="57">
        <f t="shared" ca="1" si="72"/>
        <v>19.077500000000001</v>
      </c>
      <c r="BM123" s="115" t="b">
        <f t="shared" ca="1" si="100"/>
        <v>1</v>
      </c>
      <c r="BN123" s="115" t="b">
        <f ca="1">AND(OR(C123="赤日轮1",C123="赤日轮2",C123="赤日轮3",C123="幽月轮1",C123="幽月轮2",C123="幽月轮3"),AB123=1,模拟模式!$L$7="明光恒照")</f>
        <v>0</v>
      </c>
      <c r="BO123" s="117">
        <f t="shared" ca="1" si="73"/>
        <v>27.232500000000002</v>
      </c>
      <c r="BP123" s="115">
        <f t="shared" ca="1" si="101"/>
        <v>6</v>
      </c>
      <c r="BQ123" s="115" t="b">
        <f>模拟模式!$K$10="2600·水"</f>
        <v>0</v>
      </c>
      <c r="BR123" s="117">
        <f t="shared" si="102"/>
        <v>0</v>
      </c>
      <c r="BS123" s="115">
        <f t="shared" si="103"/>
        <v>0</v>
      </c>
      <c r="BT123" s="115">
        <f t="shared" ca="1" si="104"/>
        <v>0</v>
      </c>
      <c r="BU123" s="115" t="b">
        <f ca="1">AND(模拟模式!$K$10="2300·雷",BT122=0,RAND()&lt;IF(C123="净世破魔击·月",5*0.05*2/3,IF(C123="净世破魔击·日",3*0.05*2/3,0.05*2*2/3)))</f>
        <v>0</v>
      </c>
      <c r="BV123" s="115">
        <f t="shared" ca="1" si="105"/>
        <v>0</v>
      </c>
      <c r="BW123" s="115">
        <f t="shared" ca="1" si="106"/>
        <v>96.974999999999255</v>
      </c>
      <c r="BX123" s="164" t="b">
        <f t="shared" ca="1" si="107"/>
        <v>0</v>
      </c>
      <c r="BY123" s="115">
        <f t="shared" ca="1" si="108"/>
        <v>0</v>
      </c>
      <c r="BZ123" s="115">
        <f>IF(OR(模拟模式!$P$16="10人团",模拟模式!$P$16="25人团"),IF(B123/30&gt;CA122,1,0),0)</f>
        <v>0</v>
      </c>
      <c r="CA123" s="115">
        <f t="shared" si="74"/>
        <v>0</v>
      </c>
      <c r="CB123" s="115">
        <f ca="1">IF(BZ123=1,IF(模拟模式!$P$16="10人团",15,0)+IF(模拟模式!$P$16="25人团",IF(RAND()&lt;0.6,15,0)),MAX(0,CB122-$F$4))</f>
        <v>0</v>
      </c>
      <c r="CC123" s="115" t="b">
        <f t="shared" ca="1" si="109"/>
        <v>0</v>
      </c>
      <c r="CD123" s="115">
        <f>IF(模拟模式!$Q$16="1个",IF(B123/40&gt;CE122,1,0),0)</f>
        <v>0</v>
      </c>
      <c r="CE123" s="115">
        <f t="shared" si="110"/>
        <v>0</v>
      </c>
      <c r="CF123" s="115">
        <f>IF(OR(CD123=1,模拟模式!$Q$16="2个"),20,MAX(0,CF122-$F$4))</f>
        <v>0</v>
      </c>
      <c r="CG123" s="115" t="b">
        <f t="shared" si="111"/>
        <v>0</v>
      </c>
      <c r="CH123" s="115">
        <f t="shared" ca="1" si="112"/>
        <v>10.627500000000012</v>
      </c>
      <c r="CI123" s="115" t="b">
        <f t="shared" ca="1" si="113"/>
        <v>0</v>
      </c>
      <c r="CJ123" s="119">
        <f t="shared" ca="1" si="114"/>
        <v>0</v>
      </c>
      <c r="CK123" s="115">
        <f t="shared" ca="1" si="115"/>
        <v>0</v>
      </c>
      <c r="CL123" s="115" t="b">
        <f ca="1">AND(模拟模式!$S$7="驱夷逐法",OR(AND(C123="净世破魔击·月",E122&gt;59),AND(C123="净世破魔击·日",F122&gt;59)))</f>
        <v>0</v>
      </c>
      <c r="CM123" s="115" t="b">
        <f ca="1">OR(CL123,AND(C123="净世破魔击·日",CL122,RAND()&lt;模拟模式!$U$23))</f>
        <v>0</v>
      </c>
      <c r="CN123" s="115" t="b">
        <f ca="1">IF(模拟模式!$M$7="辉耀红尘",AND(C123="净世破魔击·月",CL123,CV123=0,E122&lt;80),AND(C123="净世破魔击·月",CL123,E122&lt;100))</f>
        <v>0</v>
      </c>
      <c r="CO123" s="115" t="b">
        <f t="shared" ca="1" si="75"/>
        <v>0</v>
      </c>
      <c r="CP123" s="115" t="b">
        <f ca="1">AND(模拟模式!$O$7="用晦而明",OR(C123="净世破魔击·日",C123="净世破魔击·月",C123="驱夜断愁"),AB123)</f>
        <v>0</v>
      </c>
      <c r="CQ123" s="115" t="b">
        <f ca="1">OR(CP123,AND(CP122,RAND()&lt;模拟模式!$U$23))</f>
        <v>1</v>
      </c>
      <c r="CR123" s="115" t="b">
        <f ca="1">AND(模拟模式!$S$7="日月齐光",OR(C123="幽月轮1",C123="幽月轮2",C123="幽月轮3",CR122),NOT(OR(C123="赤日轮1",C123="赤日轮2",C123="赤日轮3")))</f>
        <v>0</v>
      </c>
      <c r="CS123" s="115" t="b">
        <f ca="1">AND(模拟模式!$S$7="日月齐光",OR(C123="赤日轮1",C123="赤日轮2",C123="赤日轮3",CS122),NOT(OR(C123="幽月轮1",C123="幽月轮2",C123="幽月轮3")))</f>
        <v>0</v>
      </c>
      <c r="CT123" s="115">
        <f t="shared" ca="1" si="116"/>
        <v>1.4025000000000118</v>
      </c>
      <c r="CU123" s="115" t="b">
        <f ca="1">AND(模拟模式!$K$10="阴阳往极",CT122=0,RAND()&lt;IF(C123="净世破魔击·月",0.0275*7/3,IF(C123="净世破魔击·日",0.0275*3/3,0.0275*2/3)))</f>
        <v>0</v>
      </c>
      <c r="CV123" s="115">
        <f t="shared" ca="1" si="117"/>
        <v>0</v>
      </c>
      <c r="CW123" s="115">
        <f t="shared" ca="1" si="76"/>
        <v>6</v>
      </c>
      <c r="CX123" s="115">
        <f t="shared" ca="1" si="77"/>
        <v>4.1549999999999994</v>
      </c>
      <c r="CY123" s="115">
        <f ca="1">MAX(IF($C123="驱夜断愁",IF(模拟模式!$R$7="万念俱寂",6,45),CY122-$F$4),0)</f>
        <v>5.0774999999999997</v>
      </c>
      <c r="CZ123" s="115">
        <f t="shared" ca="1" si="78"/>
        <v>0</v>
      </c>
      <c r="DA123" s="115">
        <f ca="1">IF(模拟模式!$N$7="日月同辉",IF(DB122=2,0,MIN(6,IF(AND(OR(C123="赤日轮1",C123="赤日轮2",C123="赤日轮3",C123="幽月轮1",C123="幽月轮2",C123="幽月轮3"),AB123=1),DA122+1,DA122))),0)</f>
        <v>4</v>
      </c>
      <c r="DB123" s="115">
        <f t="shared" ca="1" si="79"/>
        <v>0</v>
      </c>
      <c r="DF123" s="115"/>
      <c r="DG123" s="115"/>
      <c r="DH123" s="115"/>
      <c r="DI123" s="115"/>
      <c r="DJ123" s="115"/>
      <c r="DK123" s="115"/>
      <c r="DL123" s="115"/>
      <c r="DM123" s="115"/>
    </row>
    <row r="124" spans="2:117" x14ac:dyDescent="0.2">
      <c r="B124" s="117">
        <f t="shared" si="80"/>
        <v>89.482499999999959</v>
      </c>
      <c r="C124" s="167" t="str">
        <f t="shared" ca="1" si="66"/>
        <v>幽月轮1</v>
      </c>
      <c r="D124" s="115">
        <f ca="1">IF(C124="赤日轮1",1,IF(C124="赤日轮2",2,IF(C124="赤日轮3",3,IF(C124="幽月轮1",4,IF(C124="幽月轮2",5,IF(C124="幽月轮3",6,IF(C124="烈日斩",7,IF(C124="银月斩",8,IF(C124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124="净世破魔击·月",17,IF(C124="驱夜断愁",18,0)))))))))))</f>
        <v>4</v>
      </c>
      <c r="E124" s="115">
        <f ca="1">IF(AND(CU124,OR(C124="幽月轮1",C124="幽月轮2",C124="幽月轮3",C124="银月斩",C124="驱夜断愁",C124="净世破魔击·月")),100,MIN(IF(OR(CN124,BE124),0,IF(OR($C124="赤日轮1",$C124="赤日轮2",$C124="赤日轮3"),E123+20+IF(模拟模式!$I$7="日月凌天",4,0)+IF(CR123,20,0),IF($C124="烈日斩",E123+40,IF($C124="驱夜断愁",IF(模拟模式!$R$7="万念俱寂",E123+20,E123+60),IF($C124="净世破魔击·月",IF(OR(DB123&gt;0,CV123&gt;0),100,IF(模拟模式!$M$7="辉耀红尘",E123+20,E123)),IF($C124="净世破魔击·日",E123-100,E123)))))),100))</f>
        <v>80</v>
      </c>
      <c r="F124" s="115">
        <f ca="1">IF(AND(CU124,OR(C124="赤日轮1",C124="赤日轮2",C124="赤日轮3",C124="烈日斩",C124="净世破魔击·日")),100,MIN(IF(CO124,0,IF(OR($C124="幽月轮1",$C124="幽月轮2",$C124="幽月轮3"),F123+20+IF(模拟模式!$I$7="日月凌天",4,0)+IF(CS123,20,0),IF($C124="银月斩",F123+40+IF(模拟模式!$X$12=1,5,0),IF($C124="驱夜断愁",IF(模拟模式!$R$7="万念俱寂",F123+20,F123+60),IF($C124="净世破魔击·月",IF(模拟模式!$M$7="辉耀红尘",F123-80,F123-100),IF(AND(C124="净世破魔击·日",OR(DB123&gt;0,CV123&gt;0)),100,F123)))))),100))</f>
        <v>100</v>
      </c>
      <c r="G124" s="117">
        <f ca="1">('模拟-全程加成'!$E$3+'模拟-全程加成'!$E$4+'模拟-全程加成'!$E$5+('模拟-全程加成'!$C$6-'模拟-全程加成'!$C$3)*系数!$B$9+BS124*23)*(1+'模拟-全程加成'!$F$4+'模拟-全程加成'!$F$5+BJ124*10%+BM124*20%+BP124*4%+CG124*30%)+$F$7*系数!$B$12</f>
        <v>21493.829400000002</v>
      </c>
      <c r="H124" s="45">
        <f ca="1">'模拟-全程加成'!$H$3+'模拟-全程加成'!$H$4+'模拟-全程加成'!$H$5+('模拟-全程加成'!$G$4+'模拟-全程加成'!$G$5+('模拟-全程加成'!$C$6-'模拟-全程加成'!$C$3)*系数!$B$13)/系数!$B$3+LOOKUP(D124,'模拟-单技能数据'!$A$2:$A$19,'模拟-单技能数据'!$K$2:$K$19)+BG124*10%+IF(BV124&gt;0,378,0)</f>
        <v>0.51185145527300213</v>
      </c>
      <c r="I124" s="45">
        <f ca="1">'模拟-全程加成'!$J$3+'模拟-全程加成'!$J$4+'模拟-全程加成'!$J$5+('模拟-全程加成'!$I$4+'模拟-全程加成'!$I$5)/系数!$B$4+LOOKUP(D124,'模拟-单技能数据'!$A$2:$A$19,'模拟-单技能数据'!$L$2:$L$19)+BG124*10%</f>
        <v>2.162482885499879</v>
      </c>
      <c r="J124" s="45">
        <f ca="1">(('模拟-全程加成'!$K$3+'模拟-全程加成'!$K$4+'模拟-全程加成'!$K$5+('模拟-全程加成'!$C$6-'模拟-全程加成'!$C$3)*系数!$B$10+IF(BV124&gt;0,882,0)+IF(BY124&gt;0,1831,0))*(1+'模拟-全程加成'!$L$4+'模拟-全程加成'!$L$5+CC124*20%))/系数!$B$5</f>
        <v>0.69723220422048726</v>
      </c>
      <c r="K124" s="119">
        <f ca="1">LOOKUP(D124,'模拟-单技能数据'!$A$2:$A$19,'模拟-单技能数据'!$J$2:$J$19)+IF(CM124,60%,0)+IF(DB123-DB124&gt;0,30%,0)+IF(OR(AND(OR(C124="赤日轮1",C124="赤日轮2",C124="赤日轮3"),CR124),AND(OR(C124="幽月轮1",C124="幽月轮2",C124="幽月轮3"),CS124)),35%,0)+CJ124</f>
        <v>7.0000000000000007E-2</v>
      </c>
      <c r="L124" s="119">
        <f ca="1">IF(AND(C124="烈日斩",模拟模式!$X$11=1),10%,0)+IF(AND(C124="驱夜断愁",AB124=1),30%,0)</f>
        <v>0</v>
      </c>
      <c r="M124" s="45">
        <f t="shared" ca="1" si="81"/>
        <v>0.51185145527300213</v>
      </c>
      <c r="N124" s="45">
        <f t="shared" ca="1" si="82"/>
        <v>0.43424854472699792</v>
      </c>
      <c r="O124" s="46">
        <f t="shared" ca="1" si="83"/>
        <v>0.49039034517272817</v>
      </c>
      <c r="P124" s="46" t="str">
        <f t="shared" ca="1" si="84"/>
        <v>会</v>
      </c>
      <c r="Q124" s="45">
        <f t="shared" ca="1" si="85"/>
        <v>2.162482885499879</v>
      </c>
      <c r="R124" s="117">
        <f ca="1">模拟模式!$E$20*(1-IF(模拟模式!$J$19="有",0.15,0))*(1-IF(模拟模式!$K$19="有",0.3,0)-IF(CQ124,0.5,0))</f>
        <v>2950.6049999999996</v>
      </c>
      <c r="S124" s="45">
        <f ca="1">R124/(R124+(185*模拟模式!$E$22-16800)*4.08224)</f>
        <v>0.24272716014590323</v>
      </c>
      <c r="T124" s="45" t="str">
        <f ca="1">LOOKUP(D124,'模拟-单技能数据'!$A$2:$A$19,'模拟-单技能数据'!$H$2:$H$19)</f>
        <v>阴</v>
      </c>
      <c r="U124" s="119">
        <f t="shared" ca="1" si="86"/>
        <v>0.08</v>
      </c>
      <c r="V124" s="47">
        <f ca="1">(1+L124)*(LOOKUP(D124,'模拟-单技能数据'!$A$2:$A$19,'模拟-单技能数据'!$D$2:$D$19)+G124*LOOKUP(D124,'模拟-单技能数据'!$A$2:$A$19,'模拟-单技能数据'!$F$2:$F$19))*(1+J124)*(1+K124)*(1-S124)*(1+U124)*Q124*LOOKUP(D124,'模拟-单技能数据'!$A$2:$A$19,'模拟-单技能数据'!$I$2:$I$20)</f>
        <v>36630.702053185581</v>
      </c>
      <c r="W124" s="47">
        <f ca="1">LOOKUP(D124,'模拟-单技能数据'!$A$2:$A$19,'模拟-单技能数据'!$G$2:$G$19)*$I$10</f>
        <v>361.51064354704795</v>
      </c>
      <c r="X124" s="47">
        <f t="shared" ca="1" si="87"/>
        <v>7949.3543492067038</v>
      </c>
      <c r="Y124" s="47">
        <f t="shared" ca="1" si="88"/>
        <v>44941.567045939337</v>
      </c>
      <c r="Z124" s="49">
        <f t="shared" ca="1" si="89"/>
        <v>9960588.8778546751</v>
      </c>
      <c r="AA124" s="97">
        <f t="shared" ca="1" si="90"/>
        <v>111313.26100471801</v>
      </c>
      <c r="AB124" s="115">
        <f ca="1">IF(OR(C124="赤日轮1",C124="赤日轮2",C124="赤日轮3"),IF(RAND()&lt;模拟模式!$Y$17,1,0),IF(OR(C124="幽月轮1",C124="幽月轮2",C124="幽月轮3"),IF(RAND()&lt;模拟模式!$Y$18,1,0),IF(C124="烈日斩",IF(RAND()&lt;模拟模式!$Y$19,1,0),IF(C124="银月斩",IF(RAND()&lt;模拟模式!$Y$20,1,0),IF(C124="驱夜断愁",IF(RAND()&lt;模拟模式!$Y$21,1,0),IF(C124="净世破魔击·日",IF(RAND()&lt;模拟模式!$Y$22,1,0),IF(C124="净世破魔击·月",IF(RAND()&lt;模拟模式!$Y$23,1,0),0)))))))</f>
        <v>1</v>
      </c>
      <c r="AC124" s="115" t="b">
        <f t="shared" ca="1" si="67"/>
        <v>0</v>
      </c>
      <c r="AD124" s="115" t="b">
        <f t="shared" ca="1" si="118"/>
        <v>1</v>
      </c>
      <c r="AE124" s="115">
        <f t="shared" ca="1" si="119"/>
        <v>4</v>
      </c>
      <c r="AF124" s="47">
        <f ca="1">IF(AC124,('模拟-单技能数据'!$D$20+G124*'模拟-单技能数据'!$F$20)*(1+J124)*(1+'模拟-单技能数据'!$J$20)*(1+U124),0)</f>
        <v>0</v>
      </c>
      <c r="AG124" s="61">
        <f t="shared" ca="1" si="91"/>
        <v>0.64185145527300214</v>
      </c>
      <c r="AH124" s="61">
        <f t="shared" ca="1" si="92"/>
        <v>2.2624828854998791</v>
      </c>
      <c r="AI124" s="62">
        <f t="shared" ca="1" si="93"/>
        <v>0.4319779278569349</v>
      </c>
      <c r="AJ124" s="47">
        <f ca="1">IF(AD124,IF(AI124&lt;$F$10,0,IF(AI124&lt;$F$10+$F$11,0.25,IF(AI124&lt;$F$10+$F$11+AG124,AH124,1)))*IF(AF124&gt;0,AF124,IF(AF123&gt;0,AF123,IF(AF122&gt;0,AF122,IF(AF121&gt;0,AF121,IF(AF120&gt;0,AF120,IF(AF119&gt;0,AF119,IF(AF118&gt;0,AF118,IF(AF117&gt;0,AF117,IF(AF116&gt;0,AF116,IF(AF114&gt;0,AF114,IF(AF113&gt;0,AF113,IF(AF112&gt;0,AF112,0)))))))))))),0)*(1-$S124)*'模拟-单技能数据'!$I$20</f>
        <v>7949.3543492067038</v>
      </c>
      <c r="AK124" s="115" t="b">
        <f t="shared" ca="1" si="68"/>
        <v>0</v>
      </c>
      <c r="AL124" s="115" t="b">
        <f t="shared" ca="1" si="120"/>
        <v>0</v>
      </c>
      <c r="AM124" s="115">
        <f t="shared" ca="1" si="121"/>
        <v>3</v>
      </c>
      <c r="AN124" s="47">
        <f ca="1">IF(AK124,('模拟-单技能数据'!$D$21+G124*'模拟-单技能数据'!$F$21)*(1+J124)*(1+'模拟-单技能数据'!$J$21)*(1+U124),0)</f>
        <v>0</v>
      </c>
      <c r="AO124" s="61">
        <f ca="1">IF(AN124&gt;0,M124-'模拟-单技能数据'!$K$10,AO123)</f>
        <v>0.42185145527300216</v>
      </c>
      <c r="AP124" s="61">
        <f ca="1">IF(AN124&gt;0,I124-'模拟-单技能数据'!$L$10,AP123)</f>
        <v>2.162482885499879</v>
      </c>
      <c r="AQ124" s="63">
        <f t="shared" ca="1" si="94"/>
        <v>0.5094074800851851</v>
      </c>
      <c r="AR124" s="64">
        <f ca="1">IF(AL124,IF(AQ124&lt;$F$10,0,IF(AQ124&lt;$F$10+$F$11,0.25,IF(AQ124&lt;$F$10+$F$11+AO124,AP124,1)))*IF(AN124&gt;0,AN124,IF(AN123&gt;0,AN123,IF(AN122&gt;0,AN122,IF(AN121&gt;0,AN121,IF(AN120&gt;0,AN120,IF(AN119&gt;0,AN119,IF(AN118&gt;0,AN118,IF(AN117&gt;0,AN117,IF(AN116&gt;0,AN116,IF(AN114&gt;0,AN114,IF(AN113&gt;0,AN113,IF(AN112&gt;0,AN112,0)))))))))))),0)*(1-$S124)*'模拟-单技能数据'!$I$21</f>
        <v>0</v>
      </c>
      <c r="AS124" s="61">
        <f ca="1">IF(OR(C124="净世破魔击·日",C124="净世破魔击·月"),M124-'模拟-单技能数据'!$K$10,0)</f>
        <v>0</v>
      </c>
      <c r="AT124" s="61">
        <f ca="1">IF(OR(C124="净世破魔击·日",C124="净世破魔击·月"),I124-'模拟-单技能数据'!$L$10,0)</f>
        <v>0</v>
      </c>
      <c r="AU124" s="62">
        <f t="shared" ca="1" si="95"/>
        <v>0.34956540375005707</v>
      </c>
      <c r="AV124" s="64">
        <f ca="1">IF(AS124&gt;0,('模拟-单技能数据'!$D$22+G124*'模拟-单技能数据'!$F$22)*(1+J124)*(1-S124)*IF(AU124&lt;$F$10,0,IF(AU124&lt;$F$10+$F$11,0.25,IF(AU124&lt;$F$10+$F$11+AS124,AT124,1)))*(1+U124),0)*'模拟-单技能数据'!$I$22</f>
        <v>0</v>
      </c>
      <c r="AW124" s="108">
        <f t="shared" ca="1" si="96"/>
        <v>13.542500000000004</v>
      </c>
      <c r="AX124" s="108" t="b">
        <f ca="1">AND(模拟模式!$P$10="有",AW123=0,RAND()&lt;IF(C124="净世破魔击·月",0.1*8/3,IF(C124="净世破魔击·日",0.1*4/3,0.1*2/3)))</f>
        <v>0</v>
      </c>
      <c r="AY124" s="47">
        <f ca="1">IF(AX124,(18+G124*0.722)*(1+J124)*(1-S124)*(1+$I$4)*IF(P124="会",'模拟-全程加成'!$J$3+'模拟-全程加成'!$J$4+'模拟-全程加成'!$J$5+('模拟-全程加成'!$I$4+'模拟-全程加成'!$I$5)/系数!$B$4+BG124*10%,IF(P124="命",1,IF(P124="识",0.25,0))),0)</f>
        <v>0</v>
      </c>
      <c r="AZ124" s="108">
        <f t="shared" si="97"/>
        <v>11.697500000000005</v>
      </c>
      <c r="BA124" s="108" t="b">
        <f>AND(模拟模式!$Q$10="有",AZ123=0)</f>
        <v>0</v>
      </c>
      <c r="BB124" s="140">
        <f>IF(BA124,(0+G124*0.287)*(1+J124)*(1-S124)*(1+$I$4)*IF(P124="会",'模拟-全程加成'!$J$3+'模拟-全程加成'!$J$4+'模拟-全程加成'!$J$5+('模拟-全程加成'!$I$4+'模拟-全程加成'!$I$5)/系数!$B$4+BG124*10%,IF(P124="命",1,IF(P124="识",0.25,0))),0)</f>
        <v>0</v>
      </c>
      <c r="BC124" s="115" t="b">
        <f ca="1">AND(模拟模式!$R$7="伏明众生",E124=60,F124=20,DA124&lt;5,CZ123&lt;$F$4)</f>
        <v>0</v>
      </c>
      <c r="BD124" s="115">
        <f t="shared" ca="1" si="69"/>
        <v>0</v>
      </c>
      <c r="BE124" s="115" t="b">
        <f t="shared" ca="1" si="70"/>
        <v>0</v>
      </c>
      <c r="BF124" s="47">
        <f ca="1">IF(BC124,4*('模拟-单技能数据'!$D$24+G124*'模拟-单技能数据'!$F$24)*(1+J124)*(1+'模拟-单技能数据'!$J$24)*(1-S124)*(1+$I$3)*(('模拟-全程加成'!$J$3+'模拟-全程加成'!$J$4+'模拟-全程加成'!$J$5+('模拟-全程加成'!$I$4+'模拟-全程加成'!$I$5)/系数!$B$4+BG124*10%)*('模拟-全程加成'!$J$3+'模拟-全程加成'!$J$4+'模拟-全程加成'!$J$5+('模拟-全程加成'!$I$4+'模拟-全程加成'!$I$5)/系数!$B$4+BG124*10%)+(1-('模拟-全程加成'!$J$3+'模拟-全程加成'!$J$4+'模拟-全程加成'!$J$5+('模拟-全程加成'!$I$4+'模拟-全程加成'!$I$5)/系数!$B$4+BG124*10%)-$F$10-$F$11)+F110*0.25),0)*'模拟-单技能数据'!$I$24</f>
        <v>0</v>
      </c>
      <c r="BG124" s="115" t="b">
        <f ca="1">OR(AND(OR(C124="烈日斩",C124="银月斩"),模拟模式!$I$7="净身明礼"),AND(C124="净世破魔击·日",模拟模式!$J$7="洞若观火"),AND(C125="净世破魔击·月",模拟模式!$J$7="洞若观火"),AB124=1)</f>
        <v>1</v>
      </c>
      <c r="BH124" s="115" t="b">
        <f t="shared" ca="1" si="98"/>
        <v>0</v>
      </c>
      <c r="BI124" s="115">
        <f t="shared" ca="1" si="71"/>
        <v>0.46499999999999975</v>
      </c>
      <c r="BJ124" s="115" t="b">
        <f t="shared" ca="1" si="99"/>
        <v>1</v>
      </c>
      <c r="BK124" s="115" t="b">
        <f ca="1">AND(C124="驱夜断愁",模拟模式!$P$7="天地诛戮")</f>
        <v>0</v>
      </c>
      <c r="BL124" s="57">
        <f t="shared" ca="1" si="72"/>
        <v>18.155000000000001</v>
      </c>
      <c r="BM124" s="115" t="b">
        <f t="shared" ca="1" si="100"/>
        <v>1</v>
      </c>
      <c r="BN124" s="115" t="b">
        <f ca="1">AND(OR(C124="赤日轮1",C124="赤日轮2",C124="赤日轮3",C124="幽月轮1",C124="幽月轮2",C124="幽月轮3"),AB124=1,模拟模式!$L$7="明光恒照")</f>
        <v>1</v>
      </c>
      <c r="BO124" s="117">
        <f t="shared" ca="1" si="73"/>
        <v>30</v>
      </c>
      <c r="BP124" s="115">
        <f t="shared" ca="1" si="101"/>
        <v>6</v>
      </c>
      <c r="BQ124" s="115" t="b">
        <f>模拟模式!$K$10="2600·水"</f>
        <v>0</v>
      </c>
      <c r="BR124" s="117">
        <f t="shared" si="102"/>
        <v>0</v>
      </c>
      <c r="BS124" s="115">
        <f t="shared" si="103"/>
        <v>0</v>
      </c>
      <c r="BT124" s="115">
        <f t="shared" ca="1" si="104"/>
        <v>0</v>
      </c>
      <c r="BU124" s="115" t="b">
        <f ca="1">AND(模拟模式!$K$10="2300·雷",BT123=0,RAND()&lt;IF(C124="净世破魔击·月",5*0.05*2/3,IF(C124="净世破魔击·日",3*0.05*2/3,0.05*2*2/3)))</f>
        <v>0</v>
      </c>
      <c r="BV124" s="115">
        <f t="shared" ca="1" si="105"/>
        <v>0</v>
      </c>
      <c r="BW124" s="115">
        <f t="shared" ca="1" si="106"/>
        <v>96.052499999999256</v>
      </c>
      <c r="BX124" s="164" t="b">
        <f t="shared" ca="1" si="107"/>
        <v>0</v>
      </c>
      <c r="BY124" s="115">
        <f t="shared" ca="1" si="108"/>
        <v>0</v>
      </c>
      <c r="BZ124" s="115">
        <f>IF(OR(模拟模式!$P$16="10人团",模拟模式!$P$16="25人团"),IF(B124/30&gt;CA123,1,0),0)</f>
        <v>0</v>
      </c>
      <c r="CA124" s="115">
        <f t="shared" si="74"/>
        <v>0</v>
      </c>
      <c r="CB124" s="115">
        <f ca="1">IF(BZ124=1,IF(模拟模式!$P$16="10人团",15,0)+IF(模拟模式!$P$16="25人团",IF(RAND()&lt;0.6,15,0)),MAX(0,CB123-$F$4))</f>
        <v>0</v>
      </c>
      <c r="CC124" s="115" t="b">
        <f t="shared" ca="1" si="109"/>
        <v>0</v>
      </c>
      <c r="CD124" s="115">
        <f>IF(模拟模式!$Q$16="1个",IF(B124/40&gt;CE123,1,0),0)</f>
        <v>0</v>
      </c>
      <c r="CE124" s="115">
        <f t="shared" si="110"/>
        <v>0</v>
      </c>
      <c r="CF124" s="115">
        <f>IF(OR(CD124=1,模拟模式!$Q$16="2个"),20,MAX(0,CF123-$F$4))</f>
        <v>0</v>
      </c>
      <c r="CG124" s="115" t="b">
        <f t="shared" si="111"/>
        <v>0</v>
      </c>
      <c r="CH124" s="115">
        <f t="shared" ca="1" si="112"/>
        <v>9.7050000000000125</v>
      </c>
      <c r="CI124" s="115" t="b">
        <f t="shared" ca="1" si="113"/>
        <v>0</v>
      </c>
      <c r="CJ124" s="119">
        <f t="shared" ca="1" si="114"/>
        <v>0</v>
      </c>
      <c r="CK124" s="115">
        <f t="shared" ca="1" si="115"/>
        <v>0</v>
      </c>
      <c r="CL124" s="115" t="b">
        <f ca="1">AND(模拟模式!$S$7="驱夷逐法",OR(AND(C124="净世破魔击·月",E123&gt;59),AND(C124="净世破魔击·日",F123&gt;59)))</f>
        <v>0</v>
      </c>
      <c r="CM124" s="115" t="b">
        <f ca="1">OR(CL124,AND(C124="净世破魔击·日",CL123,RAND()&lt;模拟模式!$U$23))</f>
        <v>0</v>
      </c>
      <c r="CN124" s="115" t="b">
        <f ca="1">IF(模拟模式!$M$7="辉耀红尘",AND(C124="净世破魔击·月",CL124,CV124=0,E123&lt;80),AND(C124="净世破魔击·月",CL124,E123&lt;100))</f>
        <v>0</v>
      </c>
      <c r="CO124" s="115" t="b">
        <f t="shared" ca="1" si="75"/>
        <v>0</v>
      </c>
      <c r="CP124" s="115" t="b">
        <f ca="1">AND(模拟模式!$O$7="用晦而明",OR(C124="净世破魔击·日",C124="净世破魔击·月",C124="驱夜断愁"),AB124)</f>
        <v>0</v>
      </c>
      <c r="CQ124" s="115" t="b">
        <f ca="1">OR(CP124,AND(CP123,RAND()&lt;模拟模式!$U$23))</f>
        <v>0</v>
      </c>
      <c r="CR124" s="115" t="b">
        <f ca="1">AND(模拟模式!$S$7="日月齐光",OR(C124="幽月轮1",C124="幽月轮2",C124="幽月轮3",CR123),NOT(OR(C124="赤日轮1",C124="赤日轮2",C124="赤日轮3")))</f>
        <v>0</v>
      </c>
      <c r="CS124" s="115" t="b">
        <f ca="1">AND(模拟模式!$S$7="日月齐光",OR(C124="赤日轮1",C124="赤日轮2",C124="赤日轮3",CS123),NOT(OR(C124="幽月轮1",C124="幽月轮2",C124="幽月轮3")))</f>
        <v>0</v>
      </c>
      <c r="CT124" s="115">
        <f t="shared" ca="1" si="116"/>
        <v>0.48000000000001186</v>
      </c>
      <c r="CU124" s="115" t="b">
        <f ca="1">AND(模拟模式!$K$10="阴阳往极",CT123=0,RAND()&lt;IF(C124="净世破魔击·月",0.0275*7/3,IF(C124="净世破魔击·日",0.0275*3/3,0.0275*2/3)))</f>
        <v>0</v>
      </c>
      <c r="CV124" s="115">
        <f t="shared" ca="1" si="117"/>
        <v>0</v>
      </c>
      <c r="CW124" s="115">
        <f t="shared" ca="1" si="76"/>
        <v>5.0774999999999997</v>
      </c>
      <c r="CX124" s="115">
        <f t="shared" ca="1" si="77"/>
        <v>3.2324999999999995</v>
      </c>
      <c r="CY124" s="115">
        <f ca="1">MAX(IF($C124="驱夜断愁",IF(模拟模式!$R$7="万念俱寂",6,45),CY123-$F$4),0)</f>
        <v>4.1549999999999994</v>
      </c>
      <c r="CZ124" s="115">
        <f t="shared" ca="1" si="78"/>
        <v>0</v>
      </c>
      <c r="DA124" s="115">
        <f ca="1">IF(模拟模式!$N$7="日月同辉",IF(DB123=2,0,MIN(6,IF(AND(OR(C124="赤日轮1",C124="赤日轮2",C124="赤日轮3",C124="幽月轮1",C124="幽月轮2",C124="幽月轮3"),AB124=1),DA123+1,DA123))),0)</f>
        <v>5</v>
      </c>
      <c r="DB124" s="115">
        <f t="shared" ca="1" si="79"/>
        <v>0</v>
      </c>
      <c r="DF124" s="115"/>
      <c r="DG124" s="115"/>
      <c r="DH124" s="115"/>
      <c r="DI124" s="115"/>
      <c r="DJ124" s="115"/>
      <c r="DK124" s="115"/>
      <c r="DL124" s="115"/>
      <c r="DM124" s="115"/>
    </row>
    <row r="125" spans="2:117" x14ac:dyDescent="0.2">
      <c r="B125" s="117">
        <f t="shared" si="80"/>
        <v>90.404999999999959</v>
      </c>
      <c r="C125" s="167" t="str">
        <f t="shared" ca="1" si="66"/>
        <v>净世破魔击·月</v>
      </c>
      <c r="D125" s="115">
        <f ca="1">IF(C125="赤日轮1",1,IF(C125="赤日轮2",2,IF(C125="赤日轮3",3,IF(C125="幽月轮1",4,IF(C125="幽月轮2",5,IF(C125="幽月轮3",6,IF(C125="烈日斩",7,IF(C125="银月斩",8,IF(C125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125="净世破魔击·月",17,IF(C125="驱夜断愁",18,0)))))))))))</f>
        <v>17</v>
      </c>
      <c r="E125" s="115">
        <f ca="1">IF(AND(CU125,OR(C125="幽月轮1",C125="幽月轮2",C125="幽月轮3",C125="银月斩",C125="驱夜断愁",C125="净世破魔击·月")),100,MIN(IF(OR(CN125,BE125),0,IF(OR($C125="赤日轮1",$C125="赤日轮2",$C125="赤日轮3"),E124+20+IF(模拟模式!$I$7="日月凌天",4,0)+IF(CR124,20,0),IF($C125="烈日斩",E124+40,IF($C125="驱夜断愁",IF(模拟模式!$R$7="万念俱寂",E124+20,E124+60),IF($C125="净世破魔击·月",IF(OR(DB124&gt;0,CV124&gt;0),100,IF(模拟模式!$M$7="辉耀红尘",E124+20,E124)),IF($C125="净世破魔击·日",E124-100,E124)))))),100))</f>
        <v>100</v>
      </c>
      <c r="F125" s="115">
        <f ca="1">IF(AND(CU125,OR(C125="赤日轮1",C125="赤日轮2",C125="赤日轮3",C125="烈日斩",C125="净世破魔击·日")),100,MIN(IF(CO125,0,IF(OR($C125="幽月轮1",$C125="幽月轮2",$C125="幽月轮3"),F124+20+IF(模拟模式!$I$7="日月凌天",4,0)+IF(CS124,20,0),IF($C125="银月斩",F124+40+IF(模拟模式!$X$12=1,5,0),IF($C125="驱夜断愁",IF(模拟模式!$R$7="万念俱寂",F124+20,F124+60),IF($C125="净世破魔击·月",IF(模拟模式!$M$7="辉耀红尘",F124-80,F124-100),IF(AND(C125="净世破魔击·日",OR(DB124&gt;0,CV124&gt;0)),100,F124)))))),100))</f>
        <v>20</v>
      </c>
      <c r="G125" s="117">
        <f ca="1">('模拟-全程加成'!$E$3+'模拟-全程加成'!$E$4+'模拟-全程加成'!$E$5+('模拟-全程加成'!$C$6-'模拟-全程加成'!$C$3)*系数!$B$9+BS125*23)*(1+'模拟-全程加成'!$F$4+'模拟-全程加成'!$F$5+BJ125*10%+BM125*20%+BP125*4%+CG125*30%)+$F$7*系数!$B$12</f>
        <v>20583.127400000001</v>
      </c>
      <c r="H125" s="45">
        <f ca="1">'模拟-全程加成'!$H$3+'模拟-全程加成'!$H$4+'模拟-全程加成'!$H$5+('模拟-全程加成'!$G$4+'模拟-全程加成'!$G$5+('模拟-全程加成'!$C$6-'模拟-全程加成'!$C$3)*系数!$B$13)/系数!$B$3+LOOKUP(D125,'模拟-单技能数据'!$A$2:$A$19,'模拟-单技能数据'!$K$2:$K$19)+BG125*10%+IF(BV125&gt;0,378,0)</f>
        <v>0.54185145527300216</v>
      </c>
      <c r="I125" s="45">
        <f ca="1">'模拟-全程加成'!$J$3+'模拟-全程加成'!$J$4+'模拟-全程加成'!$J$5+('模拟-全程加成'!$I$4+'模拟-全程加成'!$I$5)/系数!$B$4+LOOKUP(D125,'模拟-单技能数据'!$A$2:$A$19,'模拟-单技能数据'!$L$2:$L$19)+BG125*10%</f>
        <v>2.162482885499879</v>
      </c>
      <c r="J125" s="45">
        <f ca="1">(('模拟-全程加成'!$K$3+'模拟-全程加成'!$K$4+'模拟-全程加成'!$K$5+('模拟-全程加成'!$C$6-'模拟-全程加成'!$C$3)*系数!$B$10+IF(BV125&gt;0,882,0)+IF(BY125&gt;0,1831,0))*(1+'模拟-全程加成'!$L$4+'模拟-全程加成'!$L$5+CC125*20%))/系数!$B$5</f>
        <v>0.69723220422048726</v>
      </c>
      <c r="K125" s="119">
        <f ca="1">LOOKUP(D125,'模拟-单技能数据'!$A$2:$A$19,'模拟-单技能数据'!$J$2:$J$19)+IF(CM125,60%,0)+IF(DB124-DB125&gt;0,30%,0)+IF(OR(AND(OR(C125="赤日轮1",C125="赤日轮2",C125="赤日轮3"),CR125),AND(OR(C125="幽月轮1",C125="幽月轮2",C125="幽月轮3"),CS125)),35%,0)+CJ125</f>
        <v>0.8</v>
      </c>
      <c r="L125" s="119">
        <f ca="1">IF(AND(C125="烈日斩",模拟模式!$X$11=1),10%,0)+IF(AND(C125="驱夜断愁",AB125=1),30%,0)</f>
        <v>0</v>
      </c>
      <c r="M125" s="45">
        <f t="shared" ca="1" si="81"/>
        <v>0.54185145527300216</v>
      </c>
      <c r="N125" s="45">
        <f t="shared" ca="1" si="82"/>
        <v>0.40424854472699789</v>
      </c>
      <c r="O125" s="46">
        <f t="shared" ca="1" si="83"/>
        <v>7.1880497439779534E-2</v>
      </c>
      <c r="P125" s="46" t="str">
        <f t="shared" ca="1" si="84"/>
        <v>会</v>
      </c>
      <c r="Q125" s="45">
        <f t="shared" ca="1" si="85"/>
        <v>2.162482885499879</v>
      </c>
      <c r="R125" s="117">
        <f ca="1">模拟模式!$E$20*(1-IF(模拟模式!$J$19="有",0.15,0))*(1-IF(模拟模式!$K$19="有",0.3,0)-IF(CQ125,0.5,0))</f>
        <v>843.02999999999975</v>
      </c>
      <c r="S125" s="45">
        <f ca="1">R125/(R125+(185*模拟模式!$E$22-16800)*4.08224)</f>
        <v>8.389626085980037E-2</v>
      </c>
      <c r="T125" s="45" t="str">
        <f ca="1">LOOKUP(D125,'模拟-单技能数据'!$A$2:$A$19,'模拟-单技能数据'!$H$2:$H$19)</f>
        <v>阴</v>
      </c>
      <c r="U125" s="119">
        <f t="shared" ca="1" si="86"/>
        <v>0.08</v>
      </c>
      <c r="V125" s="47">
        <f ca="1">(1+L125)*(LOOKUP(D125,'模拟-单技能数据'!$A$2:$A$19,'模拟-单技能数据'!$D$2:$D$19)+G125*LOOKUP(D125,'模拟-单技能数据'!$A$2:$A$19,'模拟-单技能数据'!$F$2:$F$19))*(1+J125)*(1+K125)*(1-S125)*(1+U125)*Q125*LOOKUP(D125,'模拟-单技能数据'!$A$2:$A$19,'模拟-单技能数据'!$I$2:$I$20)</f>
        <v>174868.36016214982</v>
      </c>
      <c r="W125" s="47">
        <f ca="1">LOOKUP(D125,'模拟-单技能数据'!$A$2:$A$19,'模拟-单技能数据'!$G$2:$G$19)*$I$10</f>
        <v>361.51064354704795</v>
      </c>
      <c r="X125" s="47">
        <f t="shared" ca="1" si="87"/>
        <v>32741.319219774821</v>
      </c>
      <c r="Y125" s="47">
        <f t="shared" ca="1" si="88"/>
        <v>207971.1900254717</v>
      </c>
      <c r="Z125" s="49">
        <f t="shared" ca="1" si="89"/>
        <v>10168560.067880146</v>
      </c>
      <c r="AA125" s="97">
        <f t="shared" ca="1" si="90"/>
        <v>112477.85042730105</v>
      </c>
      <c r="AB125" s="115">
        <f ca="1">IF(OR(C125="赤日轮1",C125="赤日轮2",C125="赤日轮3"),IF(RAND()&lt;模拟模式!$Y$17,1,0),IF(OR(C125="幽月轮1",C125="幽月轮2",C125="幽月轮3"),IF(RAND()&lt;模拟模式!$Y$18,1,0),IF(C125="烈日斩",IF(RAND()&lt;模拟模式!$Y$19,1,0),IF(C125="银月斩",IF(RAND()&lt;模拟模式!$Y$20,1,0),IF(C125="驱夜断愁",IF(RAND()&lt;模拟模式!$Y$21,1,0),IF(C125="净世破魔击·日",IF(RAND()&lt;模拟模式!$Y$22,1,0),IF(C125="净世破魔击·月",IF(RAND()&lt;模拟模式!$Y$23,1,0),0)))))))</f>
        <v>1</v>
      </c>
      <c r="AC125" s="115" t="b">
        <f t="shared" ca="1" si="67"/>
        <v>0</v>
      </c>
      <c r="AD125" s="115" t="b">
        <f t="shared" ca="1" si="118"/>
        <v>0</v>
      </c>
      <c r="AE125" s="115">
        <f t="shared" ca="1" si="119"/>
        <v>4</v>
      </c>
      <c r="AF125" s="47">
        <f ca="1">IF(AC125,('模拟-单技能数据'!$D$20+G125*'模拟-单技能数据'!$F$20)*(1+J125)*(1+'模拟-单技能数据'!$J$20)*(1+U125),0)</f>
        <v>0</v>
      </c>
      <c r="AG125" s="61">
        <f t="shared" ca="1" si="91"/>
        <v>0.64185145527300214</v>
      </c>
      <c r="AH125" s="61">
        <f t="shared" ca="1" si="92"/>
        <v>2.2624828854998791</v>
      </c>
      <c r="AI125" s="62">
        <f t="shared" ca="1" si="93"/>
        <v>0.48963747497244292</v>
      </c>
      <c r="AJ125" s="47">
        <f ca="1">IF(AD125,IF(AI125&lt;$F$10,0,IF(AI125&lt;$F$10+$F$11,0.25,IF(AI125&lt;$F$10+$F$11+AG125,AH125,1)))*IF(AF125&gt;0,AF125,IF(AF124&gt;0,AF124,IF(AF123&gt;0,AF123,IF(AF122&gt;0,AF122,IF(AF121&gt;0,AF121,IF(AF120&gt;0,AF120,IF(AF119&gt;0,AF119,IF(AF118&gt;0,AF118,IF(AF117&gt;0,AF117,IF(AF115&gt;0,AF115,IF(AF114&gt;0,AF114,IF(AF113&gt;0,AF113,0)))))))))))),0)*(1-$S125)*'模拟-单技能数据'!$I$20</f>
        <v>0</v>
      </c>
      <c r="AK125" s="115" t="b">
        <f t="shared" ca="1" si="68"/>
        <v>0</v>
      </c>
      <c r="AL125" s="115" t="b">
        <f t="shared" ca="1" si="120"/>
        <v>1</v>
      </c>
      <c r="AM125" s="115">
        <f t="shared" ca="1" si="121"/>
        <v>2</v>
      </c>
      <c r="AN125" s="47">
        <f ca="1">IF(AK125,('模拟-单技能数据'!$D$21+G125*'模拟-单技能数据'!$F$21)*(1+J125)*(1+'模拟-单技能数据'!$J$21)*(1+U125),0)</f>
        <v>0</v>
      </c>
      <c r="AO125" s="61">
        <f ca="1">IF(AN125&gt;0,M125-'模拟-单技能数据'!$K$10,AO124)</f>
        <v>0.42185145527300216</v>
      </c>
      <c r="AP125" s="61">
        <f ca="1">IF(AN125&gt;0,I125-'模拟-单技能数据'!$L$10,AP124)</f>
        <v>2.162482885499879</v>
      </c>
      <c r="AQ125" s="63">
        <f t="shared" ca="1" si="94"/>
        <v>0.12345700201840626</v>
      </c>
      <c r="AR125" s="64">
        <f ca="1">IF(AL125,IF(AQ125&lt;$F$10,0,IF(AQ125&lt;$F$10+$F$11,0.25,IF(AQ125&lt;$F$10+$F$11+AO125,AP125,1)))*IF(AN125&gt;0,AN125,IF(AN124&gt;0,AN124,IF(AN123&gt;0,AN123,IF(AN122&gt;0,AN122,IF(AN121&gt;0,AN121,IF(AN120&gt;0,AN120,IF(AN119&gt;0,AN119,IF(AN118&gt;0,AN118,IF(AN117&gt;0,AN117,IF(AN115&gt;0,AN115,IF(AN114&gt;0,AN114,IF(AN113&gt;0,AN113,0)))))))))))),0)*(1-$S125)*'模拟-单技能数据'!$I$21</f>
        <v>25101.867467669974</v>
      </c>
      <c r="AS125" s="61">
        <f ca="1">IF(OR(C125="净世破魔击·日",C125="净世破魔击·月"),M125-'模拟-单技能数据'!$K$10,0)</f>
        <v>0.42185145527300216</v>
      </c>
      <c r="AT125" s="61">
        <f ca="1">IF(OR(C125="净世破魔击·日",C125="净世破魔击·月"),I125-'模拟-单技能数据'!$L$10,0)</f>
        <v>2.162482885499879</v>
      </c>
      <c r="AU125" s="62">
        <f t="shared" ca="1" si="95"/>
        <v>0.73788592438200973</v>
      </c>
      <c r="AV125" s="64">
        <f ca="1">IF(AS125&gt;0,('模拟-单技能数据'!$D$22+G125*'模拟-单技能数据'!$F$22)*(1+J125)*(1-S125)*IF(AU125&lt;$F$10,0,IF(AU125&lt;$F$10+$F$11,0.25,IF(AU125&lt;$F$10+$F$11+AS125,AT125,1)))*(1+U125),0)*'模拟-单技能数据'!$I$22</f>
        <v>7639.4517521048492</v>
      </c>
      <c r="AW125" s="108">
        <f t="shared" ca="1" si="96"/>
        <v>12.620000000000005</v>
      </c>
      <c r="AX125" s="108" t="b">
        <f ca="1">AND(模拟模式!$P$10="有",AW124=0,RAND()&lt;IF(C125="净世破魔击·月",0.1*8/3,IF(C125="净世破魔击·日",0.1*4/3,0.1*2/3)))</f>
        <v>0</v>
      </c>
      <c r="AY125" s="47">
        <f ca="1">IF(AX125,(18+G125*0.722)*(1+J125)*(1-S125)*(1+$I$4)*IF(P125="会",'模拟-全程加成'!$J$3+'模拟-全程加成'!$J$4+'模拟-全程加成'!$J$5+('模拟-全程加成'!$I$4+'模拟-全程加成'!$I$5)/系数!$B$4+BG125*10%,IF(P125="命",1,IF(P125="识",0.25,0))),0)</f>
        <v>0</v>
      </c>
      <c r="AZ125" s="108">
        <f t="shared" si="97"/>
        <v>10.775000000000006</v>
      </c>
      <c r="BA125" s="108" t="b">
        <f>AND(模拟模式!$Q$10="有",AZ124=0)</f>
        <v>0</v>
      </c>
      <c r="BB125" s="140">
        <f>IF(BA125,(0+G125*0.287)*(1+J125)*(1-S125)*(1+$I$4)*IF(P125="会",'模拟-全程加成'!$J$3+'模拟-全程加成'!$J$4+'模拟-全程加成'!$J$5+('模拟-全程加成'!$I$4+'模拟-全程加成'!$I$5)/系数!$B$4+BG125*10%,IF(P125="命",1,IF(P125="识",0.25,0))),0)</f>
        <v>0</v>
      </c>
      <c r="BC125" s="115" t="b">
        <f ca="1">AND(模拟模式!$R$7="伏明众生",E125=60,F125=20,DA125&lt;5,CZ124&lt;$F$4)</f>
        <v>0</v>
      </c>
      <c r="BD125" s="115">
        <f t="shared" ca="1" si="69"/>
        <v>0</v>
      </c>
      <c r="BE125" s="115" t="b">
        <f t="shared" ca="1" si="70"/>
        <v>0</v>
      </c>
      <c r="BF125" s="47">
        <f ca="1">IF(BC125,4*('模拟-单技能数据'!$D$24+G125*'模拟-单技能数据'!$F$24)*(1+J125)*(1+'模拟-单技能数据'!$J$24)*(1-S125)*(1+$I$3)*(('模拟-全程加成'!$J$3+'模拟-全程加成'!$J$4+'模拟-全程加成'!$J$5+('模拟-全程加成'!$I$4+'模拟-全程加成'!$I$5)/系数!$B$4+BG125*10%)*('模拟-全程加成'!$J$3+'模拟-全程加成'!$J$4+'模拟-全程加成'!$J$5+('模拟-全程加成'!$I$4+'模拟-全程加成'!$I$5)/系数!$B$4+BG125*10%)+(1-('模拟-全程加成'!$J$3+'模拟-全程加成'!$J$4+'模拟-全程加成'!$J$5+('模拟-全程加成'!$I$4+'模拟-全程加成'!$I$5)/系数!$B$4+BG125*10%)-$F$10-$F$11)+F111*0.25),0)*'模拟-单技能数据'!$I$24</f>
        <v>0</v>
      </c>
      <c r="BG125" s="115" t="b">
        <f ca="1">OR(AND(OR(C125="烈日斩",C125="银月斩"),模拟模式!$I$7="净身明礼"),AND(C125="净世破魔击·日",模拟模式!$J$7="洞若观火"),AND(C126="净世破魔击·月",模拟模式!$J$7="洞若观火"),AB125=1)</f>
        <v>1</v>
      </c>
      <c r="BH125" s="115" t="b">
        <f t="shared" ca="1" si="98"/>
        <v>0</v>
      </c>
      <c r="BI125" s="115">
        <f t="shared" ca="1" si="71"/>
        <v>0</v>
      </c>
      <c r="BJ125" s="115" t="b">
        <f t="shared" ca="1" si="99"/>
        <v>0</v>
      </c>
      <c r="BK125" s="115" t="b">
        <f ca="1">AND(C125="驱夜断愁",模拟模式!$P$7="天地诛戮")</f>
        <v>0</v>
      </c>
      <c r="BL125" s="57">
        <f t="shared" ca="1" si="72"/>
        <v>17.232500000000002</v>
      </c>
      <c r="BM125" s="115" t="b">
        <f t="shared" ca="1" si="100"/>
        <v>1</v>
      </c>
      <c r="BN125" s="115" t="b">
        <f ca="1">AND(OR(C125="赤日轮1",C125="赤日轮2",C125="赤日轮3",C125="幽月轮1",C125="幽月轮2",C125="幽月轮3"),AB125=1,模拟模式!$L$7="明光恒照")</f>
        <v>0</v>
      </c>
      <c r="BO125" s="117">
        <f t="shared" ca="1" si="73"/>
        <v>29.077500000000001</v>
      </c>
      <c r="BP125" s="115">
        <f t="shared" ca="1" si="101"/>
        <v>6</v>
      </c>
      <c r="BQ125" s="115" t="b">
        <f>模拟模式!$K$10="2600·水"</f>
        <v>0</v>
      </c>
      <c r="BR125" s="117">
        <f t="shared" si="102"/>
        <v>0</v>
      </c>
      <c r="BS125" s="115">
        <f t="shared" si="103"/>
        <v>0</v>
      </c>
      <c r="BT125" s="115">
        <f t="shared" ca="1" si="104"/>
        <v>0</v>
      </c>
      <c r="BU125" s="115" t="b">
        <f ca="1">AND(模拟模式!$K$10="2300·雷",BT124=0,RAND()&lt;IF(C125="净世破魔击·月",5*0.05*2/3,IF(C125="净世破魔击·日",3*0.05*2/3,0.05*2*2/3)))</f>
        <v>0</v>
      </c>
      <c r="BV125" s="115">
        <f t="shared" ca="1" si="105"/>
        <v>0</v>
      </c>
      <c r="BW125" s="115">
        <f t="shared" ca="1" si="106"/>
        <v>95.129999999999256</v>
      </c>
      <c r="BX125" s="164" t="b">
        <f t="shared" ca="1" si="107"/>
        <v>0</v>
      </c>
      <c r="BY125" s="115">
        <f t="shared" ca="1" si="108"/>
        <v>0</v>
      </c>
      <c r="BZ125" s="115">
        <f>IF(OR(模拟模式!$P$16="10人团",模拟模式!$P$16="25人团"),IF(B125/30&gt;CA124,1,0),0)</f>
        <v>0</v>
      </c>
      <c r="CA125" s="115">
        <f t="shared" si="74"/>
        <v>0</v>
      </c>
      <c r="CB125" s="115">
        <f ca="1">IF(BZ125=1,IF(模拟模式!$P$16="10人团",15,0)+IF(模拟模式!$P$16="25人团",IF(RAND()&lt;0.6,15,0)),MAX(0,CB124-$F$4))</f>
        <v>0</v>
      </c>
      <c r="CC125" s="115" t="b">
        <f t="shared" ca="1" si="109"/>
        <v>0</v>
      </c>
      <c r="CD125" s="115">
        <f>IF(模拟模式!$Q$16="1个",IF(B125/40&gt;CE124,1,0),0)</f>
        <v>0</v>
      </c>
      <c r="CE125" s="115">
        <f t="shared" si="110"/>
        <v>0</v>
      </c>
      <c r="CF125" s="115">
        <f>IF(OR(CD125=1,模拟模式!$Q$16="2个"),20,MAX(0,CF124-$F$4))</f>
        <v>0</v>
      </c>
      <c r="CG125" s="115" t="b">
        <f t="shared" si="111"/>
        <v>0</v>
      </c>
      <c r="CH125" s="115">
        <f t="shared" ca="1" si="112"/>
        <v>8.7825000000000131</v>
      </c>
      <c r="CI125" s="115" t="b">
        <f t="shared" ca="1" si="113"/>
        <v>0</v>
      </c>
      <c r="CJ125" s="119">
        <f t="shared" ca="1" si="114"/>
        <v>0</v>
      </c>
      <c r="CK125" s="115">
        <f t="shared" ca="1" si="115"/>
        <v>0</v>
      </c>
      <c r="CL125" s="115" t="b">
        <f ca="1">AND(模拟模式!$S$7="驱夷逐法",OR(AND(C125="净世破魔击·月",E124&gt;59),AND(C125="净世破魔击·日",F124&gt;59)))</f>
        <v>1</v>
      </c>
      <c r="CM125" s="115" t="b">
        <f ca="1">OR(CL125,AND(C125="净世破魔击·日",CL124,RAND()&lt;模拟模式!$U$23))</f>
        <v>1</v>
      </c>
      <c r="CN125" s="115" t="b">
        <f ca="1">IF(模拟模式!$M$7="辉耀红尘",AND(C125="净世破魔击·月",CL125,CV125=0,E124&lt;80),AND(C125="净世破魔击·月",CL125,E124&lt;100))</f>
        <v>0</v>
      </c>
      <c r="CO125" s="115" t="b">
        <f t="shared" ca="1" si="75"/>
        <v>0</v>
      </c>
      <c r="CP125" s="115" t="b">
        <f ca="1">AND(模拟模式!$O$7="用晦而明",OR(C125="净世破魔击·日",C125="净世破魔击·月",C125="驱夜断愁"),AB125)</f>
        <v>1</v>
      </c>
      <c r="CQ125" s="115" t="b">
        <f ca="1">OR(CP125,AND(CP124,RAND()&lt;模拟模式!$U$23))</f>
        <v>1</v>
      </c>
      <c r="CR125" s="115" t="b">
        <f ca="1">AND(模拟模式!$S$7="日月齐光",OR(C125="幽月轮1",C125="幽月轮2",C125="幽月轮3",CR124),NOT(OR(C125="赤日轮1",C125="赤日轮2",C125="赤日轮3")))</f>
        <v>0</v>
      </c>
      <c r="CS125" s="115" t="b">
        <f ca="1">AND(模拟模式!$S$7="日月齐光",OR(C125="赤日轮1",C125="赤日轮2",C125="赤日轮3",CS124),NOT(OR(C125="幽月轮1",C125="幽月轮2",C125="幽月轮3")))</f>
        <v>0</v>
      </c>
      <c r="CT125" s="115">
        <f t="shared" ca="1" si="116"/>
        <v>0</v>
      </c>
      <c r="CU125" s="115" t="b">
        <f ca="1">AND(模拟模式!$K$10="阴阳往极",CT124=0,RAND()&lt;IF(C125="净世破魔击·月",0.0275*7/3,IF(C125="净世破魔击·日",0.0275*3/3,0.0275*2/3)))</f>
        <v>0</v>
      </c>
      <c r="CV125" s="115">
        <f t="shared" ca="1" si="117"/>
        <v>0</v>
      </c>
      <c r="CW125" s="115">
        <f t="shared" ca="1" si="76"/>
        <v>4.1549999999999994</v>
      </c>
      <c r="CX125" s="115">
        <f t="shared" ca="1" si="77"/>
        <v>2.3099999999999996</v>
      </c>
      <c r="CY125" s="115">
        <f ca="1">MAX(IF($C125="驱夜断愁",IF(模拟模式!$R$7="万念俱寂",6,45),CY124-$F$4),0)</f>
        <v>3.2324999999999995</v>
      </c>
      <c r="CZ125" s="115">
        <f t="shared" ca="1" si="78"/>
        <v>0</v>
      </c>
      <c r="DA125" s="115">
        <f ca="1">IF(模拟模式!$N$7="日月同辉",IF(DB124=2,0,MIN(6,IF(AND(OR(C125="赤日轮1",C125="赤日轮2",C125="赤日轮3",C125="幽月轮1",C125="幽月轮2",C125="幽月轮3"),AB125=1),DA124+1,DA124))),0)</f>
        <v>5</v>
      </c>
      <c r="DB125" s="115">
        <f t="shared" ca="1" si="79"/>
        <v>0</v>
      </c>
      <c r="DF125" s="115"/>
      <c r="DG125" s="115"/>
      <c r="DH125" s="115"/>
      <c r="DI125" s="115"/>
      <c r="DJ125" s="115"/>
      <c r="DK125" s="115"/>
      <c r="DL125" s="115"/>
      <c r="DM125" s="115"/>
    </row>
    <row r="126" spans="2:117" x14ac:dyDescent="0.2">
      <c r="B126" s="117">
        <f t="shared" si="80"/>
        <v>91.327499999999958</v>
      </c>
      <c r="C126" s="167" t="str">
        <f t="shared" ca="1" si="66"/>
        <v>净世破魔击·日</v>
      </c>
      <c r="D126" s="115">
        <f ca="1">IF(C126="赤日轮1",1,IF(C126="赤日轮2",2,IF(C126="赤日轮3",3,IF(C126="幽月轮1",4,IF(C126="幽月轮2",5,IF(C126="幽月轮3",6,IF(C126="烈日斩",7,IF(C126="银月斩",8,IF(C126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126="净世破魔击·月",17,IF(C126="驱夜断愁",18,0)))))))))))</f>
        <v>9</v>
      </c>
      <c r="E126" s="115">
        <f ca="1">IF(AND(CU126,OR(C126="幽月轮1",C126="幽月轮2",C126="幽月轮3",C126="银月斩",C126="驱夜断愁",C126="净世破魔击·月")),100,MIN(IF(OR(CN126,BE126),0,IF(OR($C126="赤日轮1",$C126="赤日轮2",$C126="赤日轮3"),E125+20+IF(模拟模式!$I$7="日月凌天",4,0)+IF(CR125,20,0),IF($C126="烈日斩",E125+40,IF($C126="驱夜断愁",IF(模拟模式!$R$7="万念俱寂",E125+20,E125+60),IF($C126="净世破魔击·月",IF(OR(DB125&gt;0,CV125&gt;0),100,IF(模拟模式!$M$7="辉耀红尘",E125+20,E125)),IF($C126="净世破魔击·日",E125-100,E125)))))),100))</f>
        <v>0</v>
      </c>
      <c r="F126" s="115">
        <f ca="1">IF(AND(CU126,OR(C126="赤日轮1",C126="赤日轮2",C126="赤日轮3",C126="烈日斩",C126="净世破魔击·日")),100,MIN(IF(CO126,0,IF(OR($C126="幽月轮1",$C126="幽月轮2",$C126="幽月轮3"),F125+20+IF(模拟模式!$I$7="日月凌天",4,0)+IF(CS125,20,0),IF($C126="银月斩",F125+40+IF(模拟模式!$X$12=1,5,0),IF($C126="驱夜断愁",IF(模拟模式!$R$7="万念俱寂",F125+20,F125+60),IF($C126="净世破魔击·月",IF(模拟模式!$M$7="辉耀红尘",F125-80,F125-100),IF(AND(C126="净世破魔击·日",OR(DB125&gt;0,CV125&gt;0)),100,F125)))))),100))</f>
        <v>20</v>
      </c>
      <c r="G126" s="117">
        <f ca="1">('模拟-全程加成'!$E$3+'模拟-全程加成'!$E$4+'模拟-全程加成'!$E$5+('模拟-全程加成'!$C$6-'模拟-全程加成'!$C$3)*系数!$B$9+BS126*23)*(1+'模拟-全程加成'!$F$4+'模拟-全程加成'!$F$5+BJ126*10%+BM126*20%+BP126*4%+CG126*30%)+$F$7*系数!$B$12</f>
        <v>20583.127400000001</v>
      </c>
      <c r="H126" s="45">
        <f ca="1">'模拟-全程加成'!$H$3+'模拟-全程加成'!$H$4+'模拟-全程加成'!$H$5+('模拟-全程加成'!$G$4+'模拟-全程加成'!$G$5+('模拟-全程加成'!$C$6-'模拟-全程加成'!$C$3)*系数!$B$13)/系数!$B$3+LOOKUP(D126,'模拟-单技能数据'!$A$2:$A$19,'模拟-单技能数据'!$K$2:$K$19)+BG126*10%+IF(BV126&gt;0,378,0)</f>
        <v>0.54185145527300216</v>
      </c>
      <c r="I126" s="45">
        <f ca="1">'模拟-全程加成'!$J$3+'模拟-全程加成'!$J$4+'模拟-全程加成'!$J$5+('模拟-全程加成'!$I$4+'模拟-全程加成'!$I$5)/系数!$B$4+LOOKUP(D126,'模拟-单技能数据'!$A$2:$A$19,'模拟-单技能数据'!$L$2:$L$19)+BG126*10%</f>
        <v>2.162482885499879</v>
      </c>
      <c r="J126" s="45">
        <f ca="1">(('模拟-全程加成'!$K$3+'模拟-全程加成'!$K$4+'模拟-全程加成'!$K$5+('模拟-全程加成'!$C$6-'模拟-全程加成'!$C$3)*系数!$B$10+IF(BV126&gt;0,882,0)+IF(BY126&gt;0,1831,0))*(1+'模拟-全程加成'!$L$4+'模拟-全程加成'!$L$5+CC126*20%))/系数!$B$5</f>
        <v>0.69723220422048726</v>
      </c>
      <c r="K126" s="119">
        <f ca="1">LOOKUP(D126,'模拟-单技能数据'!$A$2:$A$19,'模拟-单技能数据'!$J$2:$J$19)+IF(CM126,60%,0)+IF(DB125-DB126&gt;0,30%,0)+IF(OR(AND(OR(C126="赤日轮1",C126="赤日轮2",C126="赤日轮3"),CR126),AND(OR(C126="幽月轮1",C126="幽月轮2",C126="幽月轮3"),CS126)),35%,0)+CJ126</f>
        <v>0.8</v>
      </c>
      <c r="L126" s="119">
        <f ca="1">IF(AND(C126="烈日斩",模拟模式!$X$11=1),10%,0)+IF(AND(C126="驱夜断愁",AB126=1),30%,0)</f>
        <v>0</v>
      </c>
      <c r="M126" s="45">
        <f t="shared" ca="1" si="81"/>
        <v>0.54185145527300216</v>
      </c>
      <c r="N126" s="45">
        <f t="shared" ca="1" si="82"/>
        <v>0.40424854472699789</v>
      </c>
      <c r="O126" s="46">
        <f t="shared" ca="1" si="83"/>
        <v>5.8388619408310749E-2</v>
      </c>
      <c r="P126" s="46" t="str">
        <f t="shared" ca="1" si="84"/>
        <v>会</v>
      </c>
      <c r="Q126" s="45">
        <f t="shared" ca="1" si="85"/>
        <v>2.162482885499879</v>
      </c>
      <c r="R126" s="117">
        <f ca="1">模拟模式!$E$20*(1-IF(模拟模式!$J$19="有",0.15,0))*(1-IF(模拟模式!$K$19="有",0.3,0)-IF(CQ126,0.5,0))</f>
        <v>843.02999999999975</v>
      </c>
      <c r="S126" s="45">
        <f ca="1">R126/(R126+(185*模拟模式!$E$22-16800)*4.08224)</f>
        <v>8.389626085980037E-2</v>
      </c>
      <c r="T126" s="45" t="str">
        <f ca="1">LOOKUP(D126,'模拟-单技能数据'!$A$2:$A$19,'模拟-单技能数据'!$H$2:$H$19)</f>
        <v>阳</v>
      </c>
      <c r="U126" s="119">
        <f t="shared" ca="1" si="86"/>
        <v>0.2</v>
      </c>
      <c r="V126" s="47">
        <f ca="1">(1+L126)*(LOOKUP(D126,'模拟-单技能数据'!$A$2:$A$19,'模拟-单技能数据'!$D$2:$D$19)+G126*LOOKUP(D126,'模拟-单技能数据'!$A$2:$A$19,'模拟-单技能数据'!$F$2:$F$19))*(1+J126)*(1+K126)*(1-S126)*(1+U126)*Q126*LOOKUP(D126,'模拟-单技能数据'!$A$2:$A$19,'模拟-单技能数据'!$I$2:$I$20)</f>
        <v>195915.814886668</v>
      </c>
      <c r="W126" s="47">
        <f ca="1">LOOKUP(D126,'模拟-单技能数据'!$A$2:$A$19,'模拟-单技能数据'!$G$2:$G$19)*$I$10</f>
        <v>723.0212870940959</v>
      </c>
      <c r="X126" s="47">
        <f t="shared" ca="1" si="87"/>
        <v>18104.936839137728</v>
      </c>
      <c r="Y126" s="47">
        <f t="shared" ca="1" si="88"/>
        <v>214743.77301289982</v>
      </c>
      <c r="Z126" s="49">
        <f t="shared" ca="1" si="89"/>
        <v>10383303.840893047</v>
      </c>
      <c r="AA126" s="97">
        <f t="shared" ca="1" si="90"/>
        <v>113693.06989562894</v>
      </c>
      <c r="AB126" s="115">
        <f ca="1">IF(OR(C126="赤日轮1",C126="赤日轮2",C126="赤日轮3"),IF(RAND()&lt;模拟模式!$Y$17,1,0),IF(OR(C126="幽月轮1",C126="幽月轮2",C126="幽月轮3"),IF(RAND()&lt;模拟模式!$Y$18,1,0),IF(C126="烈日斩",IF(RAND()&lt;模拟模式!$Y$19,1,0),IF(C126="银月斩",IF(RAND()&lt;模拟模式!$Y$20,1,0),IF(C126="驱夜断愁",IF(RAND()&lt;模拟模式!$Y$21,1,0),IF(C126="净世破魔击·日",IF(RAND()&lt;模拟模式!$Y$22,1,0),IF(C126="净世破魔击·月",IF(RAND()&lt;模拟模式!$Y$23,1,0),0)))))))</f>
        <v>1</v>
      </c>
      <c r="AC126" s="115" t="b">
        <f t="shared" ca="1" si="67"/>
        <v>0</v>
      </c>
      <c r="AD126" s="115" t="b">
        <f t="shared" ca="1" si="118"/>
        <v>1</v>
      </c>
      <c r="AE126" s="115">
        <f t="shared" ca="1" si="119"/>
        <v>3</v>
      </c>
      <c r="AF126" s="47">
        <f ca="1">IF(AC126,('模拟-单技能数据'!$D$20+G126*'模拟-单技能数据'!$F$20)*(1+J126)*(1+'模拟-单技能数据'!$J$20)*(1+U126),0)</f>
        <v>0</v>
      </c>
      <c r="AG126" s="61">
        <f t="shared" ca="1" si="91"/>
        <v>0.64185145527300214</v>
      </c>
      <c r="AH126" s="61">
        <f t="shared" ca="1" si="92"/>
        <v>2.2624828854998791</v>
      </c>
      <c r="AI126" s="62">
        <f t="shared" ca="1" si="93"/>
        <v>0.13070047225790205</v>
      </c>
      <c r="AJ126" s="47">
        <f ca="1">IF(AD126,IF(AI126&lt;$F$10,0,IF(AI126&lt;$F$10+$F$11,0.25,IF(AI126&lt;$F$10+$F$11+AG126,AH126,1)))*IF(AF126&gt;0,AF126,IF(AF125&gt;0,AF125,IF(AF124&gt;0,AF124,IF(AF123&gt;0,AF123,IF(AF122&gt;0,AF122,IF(AF121&gt;0,AF121,IF(AF120&gt;0,AF120,IF(AF119&gt;0,AF119,IF(AF118&gt;0,AF118,IF(AF116&gt;0,AF116,IF(AF115&gt;0,AF115,IF(AF114&gt;0,AF114,0)))))))))))),0)*(1-$S126)*'模拟-单技能数据'!$I$20</f>
        <v>9616.6571145767884</v>
      </c>
      <c r="AK126" s="115" t="b">
        <f t="shared" ca="1" si="68"/>
        <v>1</v>
      </c>
      <c r="AL126" s="115" t="b">
        <f t="shared" ca="1" si="120"/>
        <v>0</v>
      </c>
      <c r="AM126" s="115">
        <f t="shared" ca="1" si="121"/>
        <v>6</v>
      </c>
      <c r="AN126" s="47">
        <f ca="1">IF(AK126,('模拟-单技能数据'!$D$21+G126*'模拟-单技能数据'!$F$21)*(1+J126)*(1+'模拟-单技能数据'!$J$21)*(1+U126),0)</f>
        <v>12136.56601728573</v>
      </c>
      <c r="AO126" s="61">
        <f ca="1">IF(AN126&gt;0,M126-'模拟-单技能数据'!$K$10,AO125)</f>
        <v>0.42185145527300216</v>
      </c>
      <c r="AP126" s="61">
        <f ca="1">IF(AN126&gt;0,I126-'模拟-单技能数据'!$L$10,AP125)</f>
        <v>2.162482885499879</v>
      </c>
      <c r="AQ126" s="63">
        <f t="shared" ca="1" si="94"/>
        <v>0.3797734572823811</v>
      </c>
      <c r="AR126" s="64">
        <f ca="1">IF(AL126,IF(AQ126&lt;$F$10,0,IF(AQ126&lt;$F$10+$F$11,0.25,IF(AQ126&lt;$F$10+$F$11+AO126,AP126,1)))*IF(AN126&gt;0,AN126,IF(AN125&gt;0,AN125,IF(AN124&gt;0,AN124,IF(AN123&gt;0,AN123,IF(AN122&gt;0,AN122,IF(AN121&gt;0,AN121,IF(AN120&gt;0,AN120,IF(AN119&gt;0,AN119,IF(AN118&gt;0,AN118,IF(AN116&gt;0,AN116,IF(AN115&gt;0,AN115,IF(AN114&gt;0,AN114,0)))))))))))),0)*(1-$S126)*'模拟-单技能数据'!$I$21</f>
        <v>0</v>
      </c>
      <c r="AS126" s="61">
        <f ca="1">IF(OR(C126="净世破魔击·日",C126="净世破魔击·月"),M126-'模拟-单技能数据'!$K$10,0)</f>
        <v>0.42185145527300216</v>
      </c>
      <c r="AT126" s="61">
        <f ca="1">IF(OR(C126="净世破魔击·日",C126="净世破魔击·月"),I126-'模拟-单技能数据'!$L$10,0)</f>
        <v>2.162482885499879</v>
      </c>
      <c r="AU126" s="62">
        <f t="shared" ca="1" si="95"/>
        <v>0.96321005643608015</v>
      </c>
      <c r="AV126" s="64">
        <f ca="1">IF(AS126&gt;0,('模拟-单技能数据'!$D$22+G126*'模拟-单技能数据'!$F$22)*(1+J126)*(1-S126)*IF(AU126&lt;$F$10,0,IF(AU126&lt;$F$10+$F$11,0.25,IF(AU126&lt;$F$10+$F$11+AS126,AT126,1)))*(1+U126),0)*'模拟-单技能数据'!$I$22</f>
        <v>8488.2797245609418</v>
      </c>
      <c r="AW126" s="108">
        <f t="shared" ca="1" si="96"/>
        <v>11.697500000000005</v>
      </c>
      <c r="AX126" s="108" t="b">
        <f ca="1">AND(模拟模式!$P$10="有",AW125=0,RAND()&lt;IF(C126="净世破魔击·月",0.1*8/3,IF(C126="净世破魔击·日",0.1*4/3,0.1*2/3)))</f>
        <v>0</v>
      </c>
      <c r="AY126" s="47">
        <f ca="1">IF(AX126,(18+G126*0.722)*(1+J126)*(1-S126)*(1+$I$4)*IF(P126="会",'模拟-全程加成'!$J$3+'模拟-全程加成'!$J$4+'模拟-全程加成'!$J$5+('模拟-全程加成'!$I$4+'模拟-全程加成'!$I$5)/系数!$B$4+BG126*10%,IF(P126="命",1,IF(P126="识",0.25,0))),0)</f>
        <v>0</v>
      </c>
      <c r="AZ126" s="108">
        <f t="shared" si="97"/>
        <v>9.8525000000000063</v>
      </c>
      <c r="BA126" s="108" t="b">
        <f>AND(模拟模式!$Q$10="有",AZ125=0)</f>
        <v>0</v>
      </c>
      <c r="BB126" s="140">
        <f>IF(BA126,(0+G126*0.287)*(1+J126)*(1-S126)*(1+$I$4)*IF(P126="会",'模拟-全程加成'!$J$3+'模拟-全程加成'!$J$4+'模拟-全程加成'!$J$5+('模拟-全程加成'!$I$4+'模拟-全程加成'!$I$5)/系数!$B$4+BG126*10%,IF(P126="命",1,IF(P126="识",0.25,0))),0)</f>
        <v>0</v>
      </c>
      <c r="BC126" s="115" t="b">
        <f ca="1">AND(模拟模式!$R$7="伏明众生",E126=60,F126=20,DA126&lt;5,CZ125&lt;$F$4)</f>
        <v>0</v>
      </c>
      <c r="BD126" s="115">
        <f t="shared" ca="1" si="69"/>
        <v>0</v>
      </c>
      <c r="BE126" s="115" t="b">
        <f t="shared" ca="1" si="70"/>
        <v>0</v>
      </c>
      <c r="BF126" s="47">
        <f ca="1">IF(BC126,4*('模拟-单技能数据'!$D$24+G126*'模拟-单技能数据'!$F$24)*(1+J126)*(1+'模拟-单技能数据'!$J$24)*(1-S126)*(1+$I$3)*(('模拟-全程加成'!$J$3+'模拟-全程加成'!$J$4+'模拟-全程加成'!$J$5+('模拟-全程加成'!$I$4+'模拟-全程加成'!$I$5)/系数!$B$4+BG126*10%)*('模拟-全程加成'!$J$3+'模拟-全程加成'!$J$4+'模拟-全程加成'!$J$5+('模拟-全程加成'!$I$4+'模拟-全程加成'!$I$5)/系数!$B$4+BG126*10%)+(1-('模拟-全程加成'!$J$3+'模拟-全程加成'!$J$4+'模拟-全程加成'!$J$5+('模拟-全程加成'!$I$4+'模拟-全程加成'!$I$5)/系数!$B$4+BG126*10%)-$F$10-$F$11)+F112*0.25),0)*'模拟-单技能数据'!$I$24</f>
        <v>0</v>
      </c>
      <c r="BG126" s="115" t="b">
        <f ca="1">OR(AND(OR(C126="烈日斩",C126="银月斩"),模拟模式!$I$7="净身明礼"),AND(C126="净世破魔击·日",模拟模式!$J$7="洞若观火"),AND(C127="净世破魔击·月",模拟模式!$J$7="洞若观火"),AB126=1)</f>
        <v>1</v>
      </c>
      <c r="BH126" s="115" t="b">
        <f t="shared" ca="1" si="98"/>
        <v>0</v>
      </c>
      <c r="BI126" s="115">
        <f t="shared" ca="1" si="71"/>
        <v>0</v>
      </c>
      <c r="BJ126" s="115" t="b">
        <f t="shared" ca="1" si="99"/>
        <v>0</v>
      </c>
      <c r="BK126" s="115" t="b">
        <f ca="1">AND(C126="驱夜断愁",模拟模式!$P$7="天地诛戮")</f>
        <v>0</v>
      </c>
      <c r="BL126" s="57">
        <f t="shared" ca="1" si="72"/>
        <v>16.310000000000002</v>
      </c>
      <c r="BM126" s="115" t="b">
        <f t="shared" ca="1" si="100"/>
        <v>1</v>
      </c>
      <c r="BN126" s="115" t="b">
        <f ca="1">AND(OR(C126="赤日轮1",C126="赤日轮2",C126="赤日轮3",C126="幽月轮1",C126="幽月轮2",C126="幽月轮3"),AB126=1,模拟模式!$L$7="明光恒照")</f>
        <v>0</v>
      </c>
      <c r="BO126" s="117">
        <f t="shared" ca="1" si="73"/>
        <v>28.155000000000001</v>
      </c>
      <c r="BP126" s="115">
        <f t="shared" ca="1" si="101"/>
        <v>6</v>
      </c>
      <c r="BQ126" s="115" t="b">
        <f>模拟模式!$K$10="2600·水"</f>
        <v>0</v>
      </c>
      <c r="BR126" s="117">
        <f t="shared" si="102"/>
        <v>0</v>
      </c>
      <c r="BS126" s="115">
        <f t="shared" si="103"/>
        <v>0</v>
      </c>
      <c r="BT126" s="115">
        <f t="shared" ca="1" si="104"/>
        <v>0</v>
      </c>
      <c r="BU126" s="115" t="b">
        <f ca="1">AND(模拟模式!$K$10="2300·雷",BT125=0,RAND()&lt;IF(C126="净世破魔击·月",5*0.05*2/3,IF(C126="净世破魔击·日",3*0.05*2/3,0.05*2*2/3)))</f>
        <v>0</v>
      </c>
      <c r="BV126" s="115">
        <f t="shared" ca="1" si="105"/>
        <v>0</v>
      </c>
      <c r="BW126" s="115">
        <f t="shared" ca="1" si="106"/>
        <v>94.207499999999257</v>
      </c>
      <c r="BX126" s="164" t="b">
        <f t="shared" ca="1" si="107"/>
        <v>0</v>
      </c>
      <c r="BY126" s="115">
        <f t="shared" ca="1" si="108"/>
        <v>0</v>
      </c>
      <c r="BZ126" s="115">
        <f>IF(OR(模拟模式!$P$16="10人团",模拟模式!$P$16="25人团"),IF(B126/30&gt;CA125,1,0),0)</f>
        <v>0</v>
      </c>
      <c r="CA126" s="115">
        <f t="shared" si="74"/>
        <v>0</v>
      </c>
      <c r="CB126" s="115">
        <f ca="1">IF(BZ126=1,IF(模拟模式!$P$16="10人团",15,0)+IF(模拟模式!$P$16="25人团",IF(RAND()&lt;0.6,15,0)),MAX(0,CB125-$F$4))</f>
        <v>0</v>
      </c>
      <c r="CC126" s="115" t="b">
        <f t="shared" ca="1" si="109"/>
        <v>0</v>
      </c>
      <c r="CD126" s="115">
        <f>IF(模拟模式!$Q$16="1个",IF(B126/40&gt;CE125,1,0),0)</f>
        <v>0</v>
      </c>
      <c r="CE126" s="115">
        <f t="shared" si="110"/>
        <v>0</v>
      </c>
      <c r="CF126" s="115">
        <f>IF(OR(CD126=1,模拟模式!$Q$16="2个"),20,MAX(0,CF125-$F$4))</f>
        <v>0</v>
      </c>
      <c r="CG126" s="115" t="b">
        <f t="shared" si="111"/>
        <v>0</v>
      </c>
      <c r="CH126" s="115">
        <f t="shared" ca="1" si="112"/>
        <v>7.8600000000000128</v>
      </c>
      <c r="CI126" s="115" t="b">
        <f t="shared" ca="1" si="113"/>
        <v>0</v>
      </c>
      <c r="CJ126" s="119">
        <f t="shared" ca="1" si="114"/>
        <v>0</v>
      </c>
      <c r="CK126" s="115">
        <f t="shared" ca="1" si="115"/>
        <v>0</v>
      </c>
      <c r="CL126" s="115" t="b">
        <f ca="1">AND(模拟模式!$S$7="驱夷逐法",OR(AND(C126="净世破魔击·月",E125&gt;59),AND(C126="净世破魔击·日",F125&gt;59)))</f>
        <v>0</v>
      </c>
      <c r="CM126" s="115" t="b">
        <f ca="1">OR(CL126,AND(C126="净世破魔击·日",CL125,RAND()&lt;模拟模式!$U$23))</f>
        <v>1</v>
      </c>
      <c r="CN126" s="115" t="b">
        <f ca="1">IF(模拟模式!$M$7="辉耀红尘",AND(C126="净世破魔击·月",CL126,CV126=0,E125&lt;80),AND(C126="净世破魔击·月",CL126,E125&lt;100))</f>
        <v>0</v>
      </c>
      <c r="CO126" s="115" t="b">
        <f t="shared" ca="1" si="75"/>
        <v>0</v>
      </c>
      <c r="CP126" s="115" t="b">
        <f ca="1">AND(模拟模式!$O$7="用晦而明",OR(C126="净世破魔击·日",C126="净世破魔击·月",C126="驱夜断愁"),AB126)</f>
        <v>1</v>
      </c>
      <c r="CQ126" s="115" t="b">
        <f ca="1">OR(CP126,AND(CP125,RAND()&lt;模拟模式!$U$23))</f>
        <v>1</v>
      </c>
      <c r="CR126" s="115" t="b">
        <f ca="1">AND(模拟模式!$S$7="日月齐光",OR(C126="幽月轮1",C126="幽月轮2",C126="幽月轮3",CR125),NOT(OR(C126="赤日轮1",C126="赤日轮2",C126="赤日轮3")))</f>
        <v>0</v>
      </c>
      <c r="CS126" s="115" t="b">
        <f ca="1">AND(模拟模式!$S$7="日月齐光",OR(C126="赤日轮1",C126="赤日轮2",C126="赤日轮3",CS125),NOT(OR(C126="幽月轮1",C126="幽月轮2",C126="幽月轮3")))</f>
        <v>0</v>
      </c>
      <c r="CT126" s="115">
        <f t="shared" ca="1" si="116"/>
        <v>0</v>
      </c>
      <c r="CU126" s="115" t="b">
        <f ca="1">AND(模拟模式!$K$10="阴阳往极",CT125=0,RAND()&lt;IF(C126="净世破魔击·月",0.0275*7/3,IF(C126="净世破魔击·日",0.0275*3/3,0.0275*2/3)))</f>
        <v>0</v>
      </c>
      <c r="CV126" s="115">
        <f t="shared" ca="1" si="117"/>
        <v>0</v>
      </c>
      <c r="CW126" s="115">
        <f t="shared" ca="1" si="76"/>
        <v>3.2324999999999995</v>
      </c>
      <c r="CX126" s="115">
        <f t="shared" ca="1" si="77"/>
        <v>1.3874999999999997</v>
      </c>
      <c r="CY126" s="115">
        <f ca="1">MAX(IF($C126="驱夜断愁",IF(模拟模式!$R$7="万念俱寂",6,45),CY125-$F$4),0)</f>
        <v>2.3099999999999996</v>
      </c>
      <c r="CZ126" s="115">
        <f t="shared" ca="1" si="78"/>
        <v>0</v>
      </c>
      <c r="DA126" s="115">
        <f ca="1">IF(模拟模式!$N$7="日月同辉",IF(DB125=2,0,MIN(6,IF(AND(OR(C126="赤日轮1",C126="赤日轮2",C126="赤日轮3",C126="幽月轮1",C126="幽月轮2",C126="幽月轮3"),AB126=1),DA125+1,DA125))),0)</f>
        <v>5</v>
      </c>
      <c r="DB126" s="115">
        <f t="shared" ca="1" si="79"/>
        <v>0</v>
      </c>
      <c r="DF126" s="115"/>
      <c r="DG126" s="115"/>
      <c r="DH126" s="115"/>
      <c r="DI126" s="115"/>
      <c r="DJ126" s="115"/>
      <c r="DK126" s="115"/>
      <c r="DL126" s="115"/>
      <c r="DM126" s="115"/>
    </row>
    <row r="127" spans="2:117" x14ac:dyDescent="0.2">
      <c r="B127" s="117">
        <f t="shared" si="80"/>
        <v>92.249999999999957</v>
      </c>
      <c r="C127" s="167" t="str">
        <f t="shared" ca="1" si="66"/>
        <v>赤日轮1</v>
      </c>
      <c r="D127" s="115">
        <f ca="1">IF(C127="赤日轮1",1,IF(C127="赤日轮2",2,IF(C127="赤日轮3",3,IF(C127="幽月轮1",4,IF(C127="幽月轮2",5,IF(C127="幽月轮3",6,IF(C127="烈日斩",7,IF(C127="银月斩",8,IF(C127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127="净世破魔击·月",17,IF(C127="驱夜断愁",18,0)))))))))))</f>
        <v>1</v>
      </c>
      <c r="E127" s="115">
        <f ca="1">IF(AND(CU127,OR(C127="幽月轮1",C127="幽月轮2",C127="幽月轮3",C127="银月斩",C127="驱夜断愁",C127="净世破魔击·月")),100,MIN(IF(OR(CN127,BE127),0,IF(OR($C127="赤日轮1",$C127="赤日轮2",$C127="赤日轮3"),E126+20+IF(模拟模式!$I$7="日月凌天",4,0)+IF(CR126,20,0),IF($C127="烈日斩",E126+40,IF($C127="驱夜断愁",IF(模拟模式!$R$7="万念俱寂",E126+20,E126+60),IF($C127="净世破魔击·月",IF(OR(DB126&gt;0,CV126&gt;0),100,IF(模拟模式!$M$7="辉耀红尘",E126+20,E126)),IF($C127="净世破魔击·日",E126-100,E126)))))),100))</f>
        <v>20</v>
      </c>
      <c r="F127" s="115">
        <f ca="1">IF(AND(CU127,OR(C127="赤日轮1",C127="赤日轮2",C127="赤日轮3",C127="烈日斩",C127="净世破魔击·日")),100,MIN(IF(CO127,0,IF(OR($C127="幽月轮1",$C127="幽月轮2",$C127="幽月轮3"),F126+20+IF(模拟模式!$I$7="日月凌天",4,0)+IF(CS126,20,0),IF($C127="银月斩",F126+40+IF(模拟模式!$X$12=1,5,0),IF($C127="驱夜断愁",IF(模拟模式!$R$7="万念俱寂",F126+20,F126+60),IF($C127="净世破魔击·月",IF(模拟模式!$M$7="辉耀红尘",F126-80,F126-100),IF(AND(C127="净世破魔击·日",OR(DB126&gt;0,CV126&gt;0)),100,F126)))))),100))</f>
        <v>20</v>
      </c>
      <c r="G127" s="117">
        <f ca="1">('模拟-全程加成'!$E$3+'模拟-全程加成'!$E$4+'模拟-全程加成'!$E$5+('模拟-全程加成'!$C$6-'模拟-全程加成'!$C$3)*系数!$B$9+BS127*23)*(1+'模拟-全程加成'!$F$4+'模拟-全程加成'!$F$5+BJ127*10%+BM127*20%+BP127*4%+CG127*30%)+$F$7*系数!$B$12</f>
        <v>20583.127400000001</v>
      </c>
      <c r="H127" s="45">
        <f ca="1">'模拟-全程加成'!$H$3+'模拟-全程加成'!$H$4+'模拟-全程加成'!$H$5+('模拟-全程加成'!$G$4+'模拟-全程加成'!$G$5+('模拟-全程加成'!$C$6-'模拟-全程加成'!$C$3)*系数!$B$13)/系数!$B$3+LOOKUP(D127,'模拟-单技能数据'!$A$2:$A$19,'模拟-单技能数据'!$K$2:$K$19)+BG127*10%+IF(BV127&gt;0,378,0)</f>
        <v>0.4618514552730022</v>
      </c>
      <c r="I127" s="45">
        <f ca="1">'模拟-全程加成'!$J$3+'模拟-全程加成'!$J$4+'模拟-全程加成'!$J$5+('模拟-全程加成'!$I$4+'模拟-全程加成'!$I$5)/系数!$B$4+LOOKUP(D127,'模拟-单技能数据'!$A$2:$A$19,'模拟-单技能数据'!$L$2:$L$19)+BG127*10%</f>
        <v>2.162482885499879</v>
      </c>
      <c r="J127" s="45">
        <f ca="1">(('模拟-全程加成'!$K$3+'模拟-全程加成'!$K$4+'模拟-全程加成'!$K$5+('模拟-全程加成'!$C$6-'模拟-全程加成'!$C$3)*系数!$B$10+IF(BV127&gt;0,882,0)+IF(BY127&gt;0,1831,0))*(1+'模拟-全程加成'!$L$4+'模拟-全程加成'!$L$5+CC127*20%))/系数!$B$5</f>
        <v>0.69723220422048726</v>
      </c>
      <c r="K127" s="119">
        <f ca="1">LOOKUP(D127,'模拟-单技能数据'!$A$2:$A$19,'模拟-单技能数据'!$J$2:$J$19)+IF(CM127,60%,0)+IF(DB126-DB127&gt;0,30%,0)+IF(OR(AND(OR(C127="赤日轮1",C127="赤日轮2",C127="赤日轮3"),CR127),AND(OR(C127="幽月轮1",C127="幽月轮2",C127="幽月轮3"),CS127)),35%,0)+CJ127</f>
        <v>0.12</v>
      </c>
      <c r="L127" s="119">
        <f ca="1">IF(AND(C127="烈日斩",模拟模式!$X$11=1),10%,0)+IF(AND(C127="驱夜断愁",AB127=1),30%,0)</f>
        <v>0</v>
      </c>
      <c r="M127" s="45">
        <f t="shared" ca="1" si="81"/>
        <v>0.4618514552730022</v>
      </c>
      <c r="N127" s="45">
        <f t="shared" ca="1" si="82"/>
        <v>0.48424854472699785</v>
      </c>
      <c r="O127" s="46">
        <f t="shared" ca="1" si="83"/>
        <v>0.32454609539420676</v>
      </c>
      <c r="P127" s="46" t="str">
        <f t="shared" ca="1" si="84"/>
        <v>会</v>
      </c>
      <c r="Q127" s="45">
        <f t="shared" ca="1" si="85"/>
        <v>2.162482885499879</v>
      </c>
      <c r="R127" s="117">
        <f ca="1">模拟模式!$E$20*(1-IF(模拟模式!$J$19="有",0.15,0))*(1-IF(模拟模式!$K$19="有",0.3,0)-IF(CQ127,0.5,0))</f>
        <v>843.02999999999975</v>
      </c>
      <c r="S127" s="45">
        <f ca="1">R127/(R127+(185*模拟模式!$E$22-16800)*4.08224)</f>
        <v>8.389626085980037E-2</v>
      </c>
      <c r="T127" s="45" t="str">
        <f ca="1">LOOKUP(D127,'模拟-单技能数据'!$A$2:$A$19,'模拟-单技能数据'!$H$2:$H$19)</f>
        <v>阳</v>
      </c>
      <c r="U127" s="119">
        <f t="shared" ca="1" si="86"/>
        <v>0.2</v>
      </c>
      <c r="V127" s="47">
        <f ca="1">(1+L127)*(LOOKUP(D127,'模拟-单技能数据'!$A$2:$A$19,'模拟-单技能数据'!$D$2:$D$19)+G127*LOOKUP(D127,'模拟-单技能数据'!$A$2:$A$19,'模拟-单技能数据'!$F$2:$F$19))*(1+J127)*(1+K127)*(1-S127)*(1+U127)*Q127*LOOKUP(D127,'模拟-单技能数据'!$A$2:$A$19,'模拟-单技能数据'!$I$2:$I$20)</f>
        <v>54482.562593809358</v>
      </c>
      <c r="W127" s="47">
        <f ca="1">LOOKUP(D127,'模拟-单技能数据'!$A$2:$A$19,'模拟-单技能数据'!$G$2:$G$19)*$I$10</f>
        <v>361.51064354704795</v>
      </c>
      <c r="X127" s="47">
        <f t="shared" ca="1" si="87"/>
        <v>11118.353508757338</v>
      </c>
      <c r="Y127" s="47">
        <f t="shared" ca="1" si="88"/>
        <v>65962.42674611375</v>
      </c>
      <c r="Z127" s="49">
        <f t="shared" ca="1" si="89"/>
        <v>10449266.26763916</v>
      </c>
      <c r="AA127" s="97">
        <f t="shared" ca="1" si="90"/>
        <v>113271.17905299908</v>
      </c>
      <c r="AB127" s="115">
        <f ca="1">IF(OR(C127="赤日轮1",C127="赤日轮2",C127="赤日轮3"),IF(RAND()&lt;模拟模式!$Y$17,1,0),IF(OR(C127="幽月轮1",C127="幽月轮2",C127="幽月轮3"),IF(RAND()&lt;模拟模式!$Y$18,1,0),IF(C127="烈日斩",IF(RAND()&lt;模拟模式!$Y$19,1,0),IF(C127="银月斩",IF(RAND()&lt;模拟模式!$Y$20,1,0),IF(C127="驱夜断愁",IF(RAND()&lt;模拟模式!$Y$21,1,0),IF(C127="净世破魔击·日",IF(RAND()&lt;模拟模式!$Y$22,1,0),IF(C127="净世破魔击·月",IF(RAND()&lt;模拟模式!$Y$23,1,0),0)))))))</f>
        <v>1</v>
      </c>
      <c r="AC127" s="115" t="b">
        <f t="shared" ca="1" si="67"/>
        <v>0</v>
      </c>
      <c r="AD127" s="115" t="b">
        <f t="shared" ca="1" si="118"/>
        <v>0</v>
      </c>
      <c r="AE127" s="115">
        <f t="shared" ca="1" si="119"/>
        <v>3</v>
      </c>
      <c r="AF127" s="47">
        <f ca="1">IF(AC127,('模拟-单技能数据'!$D$20+G127*'模拟-单技能数据'!$F$20)*(1+J127)*(1+'模拟-单技能数据'!$J$20)*(1+U127),0)</f>
        <v>0</v>
      </c>
      <c r="AG127" s="61">
        <f t="shared" ca="1" si="91"/>
        <v>0.64185145527300214</v>
      </c>
      <c r="AH127" s="61">
        <f t="shared" ca="1" si="92"/>
        <v>2.2624828854998791</v>
      </c>
      <c r="AI127" s="62">
        <f t="shared" ca="1" si="93"/>
        <v>0.20435529098983352</v>
      </c>
      <c r="AJ127" s="47">
        <f ca="1">IF(AD127,IF(AI127&lt;$F$10,0,IF(AI127&lt;$F$10+$F$11,0.25,IF(AI127&lt;$F$10+$F$11+AG127,AH127,1)))*IF(AF127&gt;0,AF127,IF(AF126&gt;0,AF126,IF(AF125&gt;0,AF125,IF(AF124&gt;0,AF124,IF(AF123&gt;0,AF123,IF(AF122&gt;0,AF122,IF(AF121&gt;0,AF121,IF(AF120&gt;0,AF120,IF(AF119&gt;0,AF119,IF(AF117&gt;0,AF117,IF(AF116&gt;0,AF116,IF(AF115&gt;0,AF115,0)))))))))))),0)*(1-$S127)*'模拟-单技能数据'!$I$20</f>
        <v>0</v>
      </c>
      <c r="AK127" s="115" t="b">
        <f t="shared" ca="1" si="68"/>
        <v>0</v>
      </c>
      <c r="AL127" s="115" t="b">
        <f t="shared" ca="1" si="120"/>
        <v>1</v>
      </c>
      <c r="AM127" s="115">
        <f t="shared" ca="1" si="121"/>
        <v>5</v>
      </c>
      <c r="AN127" s="47">
        <f ca="1">IF(AK127,('模拟-单技能数据'!$D$21+G127*'模拟-单技能数据'!$F$21)*(1+J127)*(1+'模拟-单技能数据'!$J$21)*(1+U127),0)</f>
        <v>0</v>
      </c>
      <c r="AO127" s="61">
        <f ca="1">IF(AN127&gt;0,M127-'模拟-单技能数据'!$K$10,AO126)</f>
        <v>0.42185145527300216</v>
      </c>
      <c r="AP127" s="61">
        <f ca="1">IF(AN127&gt;0,I127-'模拟-单技能数据'!$L$10,AP126)</f>
        <v>2.162482885499879</v>
      </c>
      <c r="AQ127" s="63">
        <f t="shared" ca="1" si="94"/>
        <v>0.89534313743494931</v>
      </c>
      <c r="AR127" s="64">
        <f ca="1">IF(AL127,IF(AQ127&lt;$F$10,0,IF(AQ127&lt;$F$10+$F$11,0.25,IF(AQ127&lt;$F$10+$F$11+AO127,AP127,1)))*IF(AN127&gt;0,AN127,IF(AN126&gt;0,AN126,IF(AN125&gt;0,AN125,IF(AN124&gt;0,AN124,IF(AN123&gt;0,AN123,IF(AN122&gt;0,AN122,IF(AN121&gt;0,AN121,IF(AN120&gt;0,AN120,IF(AN119&gt;0,AN119,IF(AN117&gt;0,AN117,IF(AN116&gt;0,AN116,IF(AN115&gt;0,AN115,0)))))))))))),0)*(1-$S127)*'模拟-单技能数据'!$I$21</f>
        <v>11118.353508757338</v>
      </c>
      <c r="AS127" s="61">
        <f ca="1">IF(OR(C127="净世破魔击·日",C127="净世破魔击·月"),M127-'模拟-单技能数据'!$K$10,0)</f>
        <v>0</v>
      </c>
      <c r="AT127" s="61">
        <f ca="1">IF(OR(C127="净世破魔击·日",C127="净世破魔击·月"),I127-'模拟-单技能数据'!$L$10,0)</f>
        <v>0</v>
      </c>
      <c r="AU127" s="62">
        <f t="shared" ca="1" si="95"/>
        <v>0.37732682527706574</v>
      </c>
      <c r="AV127" s="64">
        <f ca="1">IF(AS127&gt;0,('模拟-单技能数据'!$D$22+G127*'模拟-单技能数据'!$F$22)*(1+J127)*(1-S127)*IF(AU127&lt;$F$10,0,IF(AU127&lt;$F$10+$F$11,0.25,IF(AU127&lt;$F$10+$F$11+AS127,AT127,1)))*(1+U127),0)*'模拟-单技能数据'!$I$22</f>
        <v>0</v>
      </c>
      <c r="AW127" s="108">
        <f t="shared" ca="1" si="96"/>
        <v>10.775000000000006</v>
      </c>
      <c r="AX127" s="108" t="b">
        <f ca="1">AND(模拟模式!$P$10="有",AW126=0,RAND()&lt;IF(C127="净世破魔击·月",0.1*8/3,IF(C127="净世破魔击·日",0.1*4/3,0.1*2/3)))</f>
        <v>0</v>
      </c>
      <c r="AY127" s="47">
        <f ca="1">IF(AX127,(18+G127*0.722)*(1+J127)*(1-S127)*(1+$I$4)*IF(P127="会",'模拟-全程加成'!$J$3+'模拟-全程加成'!$J$4+'模拟-全程加成'!$J$5+('模拟-全程加成'!$I$4+'模拟-全程加成'!$I$5)/系数!$B$4+BG127*10%,IF(P127="命",1,IF(P127="识",0.25,0))),0)</f>
        <v>0</v>
      </c>
      <c r="AZ127" s="108">
        <f t="shared" si="97"/>
        <v>8.9300000000000068</v>
      </c>
      <c r="BA127" s="108" t="b">
        <f>AND(模拟模式!$Q$10="有",AZ126=0)</f>
        <v>0</v>
      </c>
      <c r="BB127" s="140">
        <f>IF(BA127,(0+G127*0.287)*(1+J127)*(1-S127)*(1+$I$4)*IF(P127="会",'模拟-全程加成'!$J$3+'模拟-全程加成'!$J$4+'模拟-全程加成'!$J$5+('模拟-全程加成'!$I$4+'模拟-全程加成'!$I$5)/系数!$B$4+BG127*10%,IF(P127="命",1,IF(P127="识",0.25,0))),0)</f>
        <v>0</v>
      </c>
      <c r="BC127" s="115" t="b">
        <f ca="1">AND(模拟模式!$R$7="伏明众生",E127=60,F127=20,DA127&lt;5,CZ126&lt;$F$4)</f>
        <v>0</v>
      </c>
      <c r="BD127" s="115">
        <f t="shared" ca="1" si="69"/>
        <v>0</v>
      </c>
      <c r="BE127" s="115" t="b">
        <f t="shared" ca="1" si="70"/>
        <v>0</v>
      </c>
      <c r="BF127" s="47">
        <f ca="1">IF(BC127,4*('模拟-单技能数据'!$D$24+G127*'模拟-单技能数据'!$F$24)*(1+J127)*(1+'模拟-单技能数据'!$J$24)*(1-S127)*(1+$I$3)*(('模拟-全程加成'!$J$3+'模拟-全程加成'!$J$4+'模拟-全程加成'!$J$5+('模拟-全程加成'!$I$4+'模拟-全程加成'!$I$5)/系数!$B$4+BG127*10%)*('模拟-全程加成'!$J$3+'模拟-全程加成'!$J$4+'模拟-全程加成'!$J$5+('模拟-全程加成'!$I$4+'模拟-全程加成'!$I$5)/系数!$B$4+BG127*10%)+(1-('模拟-全程加成'!$J$3+'模拟-全程加成'!$J$4+'模拟-全程加成'!$J$5+('模拟-全程加成'!$I$4+'模拟-全程加成'!$I$5)/系数!$B$4+BG127*10%)-$F$10-$F$11)+F113*0.25),0)*'模拟-单技能数据'!$I$24</f>
        <v>0</v>
      </c>
      <c r="BG127" s="115" t="b">
        <f ca="1">OR(AND(OR(C127="烈日斩",C127="银月斩"),模拟模式!$I$7="净身明礼"),AND(C127="净世破魔击·日",模拟模式!$J$7="洞若观火"),AND(C128="净世破魔击·月",模拟模式!$J$7="洞若观火"),AB127=1)</f>
        <v>1</v>
      </c>
      <c r="BH127" s="115" t="b">
        <f t="shared" ca="1" si="98"/>
        <v>0</v>
      </c>
      <c r="BI127" s="115">
        <f t="shared" ca="1" si="71"/>
        <v>0</v>
      </c>
      <c r="BJ127" s="115" t="b">
        <f t="shared" ca="1" si="99"/>
        <v>0</v>
      </c>
      <c r="BK127" s="115" t="b">
        <f ca="1">AND(C127="驱夜断愁",模拟模式!$P$7="天地诛戮")</f>
        <v>0</v>
      </c>
      <c r="BL127" s="57">
        <f t="shared" ca="1" si="72"/>
        <v>15.387500000000003</v>
      </c>
      <c r="BM127" s="115" t="b">
        <f t="shared" ca="1" si="100"/>
        <v>1</v>
      </c>
      <c r="BN127" s="115" t="b">
        <f ca="1">AND(OR(C127="赤日轮1",C127="赤日轮2",C127="赤日轮3",C127="幽月轮1",C127="幽月轮2",C127="幽月轮3"),AB127=1,模拟模式!$L$7="明光恒照")</f>
        <v>1</v>
      </c>
      <c r="BO127" s="117">
        <f t="shared" ca="1" si="73"/>
        <v>30</v>
      </c>
      <c r="BP127" s="115">
        <f t="shared" ca="1" si="101"/>
        <v>6</v>
      </c>
      <c r="BQ127" s="115" t="b">
        <f>模拟模式!$K$10="2600·水"</f>
        <v>0</v>
      </c>
      <c r="BR127" s="117">
        <f t="shared" si="102"/>
        <v>0</v>
      </c>
      <c r="BS127" s="115">
        <f t="shared" si="103"/>
        <v>0</v>
      </c>
      <c r="BT127" s="115">
        <f t="shared" ca="1" si="104"/>
        <v>0</v>
      </c>
      <c r="BU127" s="115" t="b">
        <f ca="1">AND(模拟模式!$K$10="2300·雷",BT126=0,RAND()&lt;IF(C127="净世破魔击·月",5*0.05*2/3,IF(C127="净世破魔击·日",3*0.05*2/3,0.05*2*2/3)))</f>
        <v>0</v>
      </c>
      <c r="BV127" s="115">
        <f t="shared" ca="1" si="105"/>
        <v>0</v>
      </c>
      <c r="BW127" s="115">
        <f t="shared" ca="1" si="106"/>
        <v>93.284999999999258</v>
      </c>
      <c r="BX127" s="164" t="b">
        <f t="shared" ca="1" si="107"/>
        <v>0</v>
      </c>
      <c r="BY127" s="115">
        <f t="shared" ca="1" si="108"/>
        <v>0</v>
      </c>
      <c r="BZ127" s="115">
        <f>IF(OR(模拟模式!$P$16="10人团",模拟模式!$P$16="25人团"),IF(B127/30&gt;CA126,1,0),0)</f>
        <v>0</v>
      </c>
      <c r="CA127" s="115">
        <f t="shared" si="74"/>
        <v>0</v>
      </c>
      <c r="CB127" s="115">
        <f ca="1">IF(BZ127=1,IF(模拟模式!$P$16="10人团",15,0)+IF(模拟模式!$P$16="25人团",IF(RAND()&lt;0.6,15,0)),MAX(0,CB126-$F$4))</f>
        <v>0</v>
      </c>
      <c r="CC127" s="115" t="b">
        <f t="shared" ca="1" si="109"/>
        <v>0</v>
      </c>
      <c r="CD127" s="115">
        <f>IF(模拟模式!$Q$16="1个",IF(B127/40&gt;CE126,1,0),0)</f>
        <v>0</v>
      </c>
      <c r="CE127" s="115">
        <f t="shared" si="110"/>
        <v>0</v>
      </c>
      <c r="CF127" s="115">
        <f>IF(OR(CD127=1,模拟模式!$Q$16="2个"),20,MAX(0,CF126-$F$4))</f>
        <v>0</v>
      </c>
      <c r="CG127" s="115" t="b">
        <f t="shared" si="111"/>
        <v>0</v>
      </c>
      <c r="CH127" s="115">
        <f t="shared" ca="1" si="112"/>
        <v>6.9375000000000124</v>
      </c>
      <c r="CI127" s="115" t="b">
        <f t="shared" ca="1" si="113"/>
        <v>0</v>
      </c>
      <c r="CJ127" s="119">
        <f t="shared" ca="1" si="114"/>
        <v>0</v>
      </c>
      <c r="CK127" s="115">
        <f t="shared" ca="1" si="115"/>
        <v>0</v>
      </c>
      <c r="CL127" s="115" t="b">
        <f ca="1">AND(模拟模式!$S$7="驱夷逐法",OR(AND(C127="净世破魔击·月",E126&gt;59),AND(C127="净世破魔击·日",F126&gt;59)))</f>
        <v>0</v>
      </c>
      <c r="CM127" s="115" t="b">
        <f ca="1">OR(CL127,AND(C127="净世破魔击·日",CL126,RAND()&lt;模拟模式!$U$23))</f>
        <v>0</v>
      </c>
      <c r="CN127" s="115" t="b">
        <f ca="1">IF(模拟模式!$M$7="辉耀红尘",AND(C127="净世破魔击·月",CL127,CV127=0,E126&lt;80),AND(C127="净世破魔击·月",CL127,E126&lt;100))</f>
        <v>0</v>
      </c>
      <c r="CO127" s="115" t="b">
        <f t="shared" ca="1" si="75"/>
        <v>0</v>
      </c>
      <c r="CP127" s="115" t="b">
        <f ca="1">AND(模拟模式!$O$7="用晦而明",OR(C127="净世破魔击·日",C127="净世破魔击·月",C127="驱夜断愁"),AB127)</f>
        <v>0</v>
      </c>
      <c r="CQ127" s="115" t="b">
        <f ca="1">OR(CP127,AND(CP126,RAND()&lt;模拟模式!$U$23))</f>
        <v>1</v>
      </c>
      <c r="CR127" s="115" t="b">
        <f ca="1">AND(模拟模式!$S$7="日月齐光",OR(C127="幽月轮1",C127="幽月轮2",C127="幽月轮3",CR126),NOT(OR(C127="赤日轮1",C127="赤日轮2",C127="赤日轮3")))</f>
        <v>0</v>
      </c>
      <c r="CS127" s="115" t="b">
        <f ca="1">AND(模拟模式!$S$7="日月齐光",OR(C127="赤日轮1",C127="赤日轮2",C127="赤日轮3",CS126),NOT(OR(C127="幽月轮1",C127="幽月轮2",C127="幽月轮3")))</f>
        <v>0</v>
      </c>
      <c r="CT127" s="115">
        <f t="shared" ca="1" si="116"/>
        <v>0</v>
      </c>
      <c r="CU127" s="115" t="b">
        <f ca="1">AND(模拟模式!$K$10="阴阳往极",CT126=0,RAND()&lt;IF(C127="净世破魔击·月",0.0275*7/3,IF(C127="净世破魔击·日",0.0275*3/3,0.0275*2/3)))</f>
        <v>0</v>
      </c>
      <c r="CV127" s="115">
        <f t="shared" ca="1" si="117"/>
        <v>0</v>
      </c>
      <c r="CW127" s="115">
        <f t="shared" ca="1" si="76"/>
        <v>2.3099999999999996</v>
      </c>
      <c r="CX127" s="115">
        <f t="shared" ca="1" si="77"/>
        <v>0.46499999999999975</v>
      </c>
      <c r="CY127" s="115">
        <f ca="1">MAX(IF($C127="驱夜断愁",IF(模拟模式!$R$7="万念俱寂",6,45),CY126-$F$4),0)</f>
        <v>1.3874999999999997</v>
      </c>
      <c r="CZ127" s="115">
        <f t="shared" ca="1" si="78"/>
        <v>0</v>
      </c>
      <c r="DA127" s="115">
        <f ca="1">IF(模拟模式!$N$7="日月同辉",IF(DB126=2,0,MIN(6,IF(AND(OR(C127="赤日轮1",C127="赤日轮2",C127="赤日轮3",C127="幽月轮1",C127="幽月轮2",C127="幽月轮3"),AB127=1),DA126+1,DA126))),0)</f>
        <v>6</v>
      </c>
      <c r="DB127" s="115">
        <f t="shared" ca="1" si="79"/>
        <v>2</v>
      </c>
      <c r="DF127" s="115"/>
      <c r="DG127" s="115"/>
      <c r="DH127" s="115"/>
      <c r="DI127" s="115"/>
      <c r="DJ127" s="115"/>
      <c r="DK127" s="115"/>
      <c r="DL127" s="115"/>
      <c r="DM127" s="115"/>
    </row>
    <row r="128" spans="2:117" x14ac:dyDescent="0.2">
      <c r="B128" s="117">
        <f t="shared" si="80"/>
        <v>93.172499999999957</v>
      </c>
      <c r="C128" s="167" t="str">
        <f t="shared" ca="1" si="66"/>
        <v>银月斩</v>
      </c>
      <c r="D128" s="115">
        <f ca="1">IF(C128="赤日轮1",1,IF(C128="赤日轮2",2,IF(C128="赤日轮3",3,IF(C128="幽月轮1",4,IF(C128="幽月轮2",5,IF(C128="幽月轮3",6,IF(C128="烈日斩",7,IF(C128="银月斩",8,IF(C128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128="净世破魔击·月",17,IF(C128="驱夜断愁",18,0)))))))))))</f>
        <v>8</v>
      </c>
      <c r="E128" s="115">
        <f ca="1">IF(AND(CU128,OR(C128="幽月轮1",C128="幽月轮2",C128="幽月轮3",C128="银月斩",C128="驱夜断愁",C128="净世破魔击·月")),100,MIN(IF(OR(CN128,BE128),0,IF(OR($C128="赤日轮1",$C128="赤日轮2",$C128="赤日轮3"),E127+20+IF(模拟模式!$I$7="日月凌天",4,0)+IF(CR127,20,0),IF($C128="烈日斩",E127+40,IF($C128="驱夜断愁",IF(模拟模式!$R$7="万念俱寂",E127+20,E127+60),IF($C128="净世破魔击·月",IF(OR(DB127&gt;0,CV127&gt;0),100,IF(模拟模式!$M$7="辉耀红尘",E127+20,E127)),IF($C128="净世破魔击·日",E127-100,E127)))))),100))</f>
        <v>20</v>
      </c>
      <c r="F128" s="115">
        <f ca="1">IF(AND(CU128,OR(C128="赤日轮1",C128="赤日轮2",C128="赤日轮3",C128="烈日斩",C128="净世破魔击·日")),100,MIN(IF(CO128,0,IF(OR($C128="幽月轮1",$C128="幽月轮2",$C128="幽月轮3"),F127+20+IF(模拟模式!$I$7="日月凌天",4,0)+IF(CS127,20,0),IF($C128="银月斩",F127+40+IF(模拟模式!$X$12=1,5,0),IF($C128="驱夜断愁",IF(模拟模式!$R$7="万念俱寂",F127+20,F127+60),IF($C128="净世破魔击·月",IF(模拟模式!$M$7="辉耀红尘",F127-80,F127-100),IF(AND(C128="净世破魔击·日",OR(DB127&gt;0,CV127&gt;0)),100,F127)))))),100))</f>
        <v>65</v>
      </c>
      <c r="G128" s="117">
        <f ca="1">('模拟-全程加成'!$E$3+'模拟-全程加成'!$E$4+'模拟-全程加成'!$E$5+('模拟-全程加成'!$C$6-'模拟-全程加成'!$C$3)*系数!$B$9+BS128*23)*(1+'模拟-全程加成'!$F$4+'模拟-全程加成'!$F$5+BJ128*10%+BM128*20%+BP128*4%+CG128*30%)+$F$7*系数!$B$12</f>
        <v>20583.127400000001</v>
      </c>
      <c r="H128" s="45">
        <f ca="1">'模拟-全程加成'!$H$3+'模拟-全程加成'!$H$4+'模拟-全程加成'!$H$5+('模拟-全程加成'!$G$4+'模拟-全程加成'!$G$5+('模拟-全程加成'!$C$6-'模拟-全程加成'!$C$3)*系数!$B$13)/系数!$B$3+LOOKUP(D128,'模拟-单技能数据'!$A$2:$A$19,'模拟-单技能数据'!$K$2:$K$19)+BG128*10%+IF(BV128&gt;0,378,0)</f>
        <v>0.64185145527300214</v>
      </c>
      <c r="I128" s="45">
        <f ca="1">'模拟-全程加成'!$J$3+'模拟-全程加成'!$J$4+'模拟-全程加成'!$J$5+('模拟-全程加成'!$I$4+'模拟-全程加成'!$I$5)/系数!$B$4+LOOKUP(D128,'模拟-单技能数据'!$A$2:$A$19,'模拟-单技能数据'!$L$2:$L$19)+BG128*10%</f>
        <v>2.2624828854998791</v>
      </c>
      <c r="J128" s="45">
        <f ca="1">(('模拟-全程加成'!$K$3+'模拟-全程加成'!$K$4+'模拟-全程加成'!$K$5+('模拟-全程加成'!$C$6-'模拟-全程加成'!$C$3)*系数!$B$10+IF(BV128&gt;0,882,0)+IF(BY128&gt;0,1831,0))*(1+'模拟-全程加成'!$L$4+'模拟-全程加成'!$L$5+CC128*20%))/系数!$B$5</f>
        <v>0.69723220422048726</v>
      </c>
      <c r="K128" s="119">
        <f ca="1">LOOKUP(D128,'模拟-单技能数据'!$A$2:$A$19,'模拟-单技能数据'!$J$2:$J$19)+IF(CM128,60%,0)+IF(DB127-DB128&gt;0,30%,0)+IF(OR(AND(OR(C128="赤日轮1",C128="赤日轮2",C128="赤日轮3"),CR128),AND(OR(C128="幽月轮1",C128="幽月轮2",C128="幽月轮3"),CS128)),35%,0)+CJ128</f>
        <v>0.15</v>
      </c>
      <c r="L128" s="119">
        <f ca="1">IF(AND(C128="烈日斩",模拟模式!$X$11=1),10%,0)+IF(AND(C128="驱夜断愁",AB128=1),30%,0)</f>
        <v>0</v>
      </c>
      <c r="M128" s="45">
        <f t="shared" ca="1" si="81"/>
        <v>0.64185145527300214</v>
      </c>
      <c r="N128" s="45">
        <f t="shared" ca="1" si="82"/>
        <v>0.30424854472699792</v>
      </c>
      <c r="O128" s="46">
        <f t="shared" ca="1" si="83"/>
        <v>0.52261349739523311</v>
      </c>
      <c r="P128" s="46" t="str">
        <f t="shared" ca="1" si="84"/>
        <v>会</v>
      </c>
      <c r="Q128" s="45">
        <f t="shared" ca="1" si="85"/>
        <v>2.2624828854998791</v>
      </c>
      <c r="R128" s="117">
        <f ca="1">模拟模式!$E$20*(1-IF(模拟模式!$J$19="有",0.15,0))*(1-IF(模拟模式!$K$19="有",0.3,0)-IF(CQ128,0.5,0))</f>
        <v>2950.6049999999996</v>
      </c>
      <c r="S128" s="45">
        <f ca="1">R128/(R128+(185*模拟模式!$E$22-16800)*4.08224)</f>
        <v>0.24272716014590323</v>
      </c>
      <c r="T128" s="45" t="str">
        <f ca="1">LOOKUP(D128,'模拟-单技能数据'!$A$2:$A$19,'模拟-单技能数据'!$H$2:$H$19)</f>
        <v>阴</v>
      </c>
      <c r="U128" s="119">
        <f t="shared" ca="1" si="86"/>
        <v>0.08</v>
      </c>
      <c r="V128" s="47">
        <f ca="1">(1+L128)*(LOOKUP(D128,'模拟-单技能数据'!$A$2:$A$19,'模拟-单技能数据'!$D$2:$D$19)+G128*LOOKUP(D128,'模拟-单技能数据'!$A$2:$A$19,'模拟-单技能数据'!$F$2:$F$19))*(1+J128)*(1+K128)*(1-S128)*(1+U128)*Q128*LOOKUP(D128,'模拟-单技能数据'!$A$2:$A$19,'模拟-单技能数据'!$I$2:$I$20)</f>
        <v>39481.310356797861</v>
      </c>
      <c r="W128" s="47">
        <f ca="1">LOOKUP(D128,'模拟-单技能数据'!$A$2:$A$19,'模拟-单技能数据'!$G$2:$G$19)*$I$10</f>
        <v>361.51064354704795</v>
      </c>
      <c r="X128" s="47">
        <f t="shared" ca="1" si="87"/>
        <v>7620.5875385322679</v>
      </c>
      <c r="Y128" s="47">
        <f t="shared" ca="1" si="88"/>
        <v>47463.408538877171</v>
      </c>
      <c r="Z128" s="49">
        <f t="shared" ca="1" si="89"/>
        <v>10496729.676178038</v>
      </c>
      <c r="AA128" s="97">
        <f t="shared" ca="1" si="90"/>
        <v>112659.09658083708</v>
      </c>
      <c r="AB128" s="115">
        <f ca="1">IF(OR(C128="赤日轮1",C128="赤日轮2",C128="赤日轮3"),IF(RAND()&lt;模拟模式!$Y$17,1,0),IF(OR(C128="幽月轮1",C128="幽月轮2",C128="幽月轮3"),IF(RAND()&lt;模拟模式!$Y$18,1,0),IF(C128="烈日斩",IF(RAND()&lt;模拟模式!$Y$19,1,0),IF(C128="银月斩",IF(RAND()&lt;模拟模式!$Y$20,1,0),IF(C128="驱夜断愁",IF(RAND()&lt;模拟模式!$Y$21,1,0),IF(C128="净世破魔击·日",IF(RAND()&lt;模拟模式!$Y$22,1,0),IF(C128="净世破魔击·月",IF(RAND()&lt;模拟模式!$Y$23,1,0),0)))))))</f>
        <v>1</v>
      </c>
      <c r="AC128" s="115" t="b">
        <f t="shared" ca="1" si="67"/>
        <v>1</v>
      </c>
      <c r="AD128" s="115" t="b">
        <f t="shared" ca="1" si="118"/>
        <v>1</v>
      </c>
      <c r="AE128" s="115">
        <f t="shared" ca="1" si="119"/>
        <v>5</v>
      </c>
      <c r="AF128" s="47">
        <f ca="1">IF(AC128,('模拟-单技能数据'!$D$20+G128*'模拟-单技能数据'!$F$20)*(1+J128)*(1+'模拟-单技能数据'!$J$20)*(1+U128),0)</f>
        <v>4447.8565560098323</v>
      </c>
      <c r="AG128" s="61">
        <f t="shared" ca="1" si="91"/>
        <v>0.64185145527300214</v>
      </c>
      <c r="AH128" s="61">
        <f t="shared" ca="1" si="92"/>
        <v>2.2624828854998791</v>
      </c>
      <c r="AI128" s="62">
        <f t="shared" ca="1" si="93"/>
        <v>0.12387420843103158</v>
      </c>
      <c r="AJ128" s="47">
        <f ca="1">IF(AD128,IF(AI128&lt;$F$10,0,IF(AI128&lt;$F$10+$F$11,0.25,IF(AI128&lt;$F$10+$F$11+AG128,AH128,1)))*IF(AF128&gt;0,AF128,IF(AF127&gt;0,AF127,IF(AF126&gt;0,AF126,IF(AF125&gt;0,AF125,IF(AF124&gt;0,AF124,IF(AF123&gt;0,AF123,IF(AF122&gt;0,AF122,IF(AF121&gt;0,AF121,IF(AF120&gt;0,AF120,IF(AF118&gt;0,AF118,IF(AF117&gt;0,AF117,IF(AF116&gt;0,AF116,0)))))))))))),0)*(1-$S128)*'模拟-单技能数据'!$I$20</f>
        <v>7620.5875385322679</v>
      </c>
      <c r="AK128" s="115" t="b">
        <f t="shared" ca="1" si="68"/>
        <v>0</v>
      </c>
      <c r="AL128" s="115" t="b">
        <f t="shared" ca="1" si="120"/>
        <v>0</v>
      </c>
      <c r="AM128" s="115">
        <f t="shared" ca="1" si="121"/>
        <v>5</v>
      </c>
      <c r="AN128" s="47">
        <f ca="1">IF(AK128,('模拟-单技能数据'!$D$21+G128*'模拟-单技能数据'!$F$21)*(1+J128)*(1+'模拟-单技能数据'!$J$21)*(1+U128),0)</f>
        <v>0</v>
      </c>
      <c r="AO128" s="61">
        <f ca="1">IF(AN128&gt;0,M128-'模拟-单技能数据'!$K$10,AO127)</f>
        <v>0.42185145527300216</v>
      </c>
      <c r="AP128" s="61">
        <f ca="1">IF(AN128&gt;0,I128-'模拟-单技能数据'!$L$10,AP127)</f>
        <v>2.162482885499879</v>
      </c>
      <c r="AQ128" s="63">
        <f t="shared" ca="1" si="94"/>
        <v>0.32062003162886032</v>
      </c>
      <c r="AR128" s="64">
        <f ca="1">IF(AL128,IF(AQ128&lt;$F$10,0,IF(AQ128&lt;$F$10+$F$11,0.25,IF(AQ128&lt;$F$10+$F$11+AO128,AP128,1)))*IF(AN128&gt;0,AN128,IF(AN127&gt;0,AN127,IF(AN126&gt;0,AN126,IF(AN125&gt;0,AN125,IF(AN124&gt;0,AN124,IF(AN123&gt;0,AN123,IF(AN122&gt;0,AN122,IF(AN121&gt;0,AN121,IF(AN120&gt;0,AN120,IF(AN118&gt;0,AN118,IF(AN117&gt;0,AN117,IF(AN116&gt;0,AN116,0)))))))))))),0)*(1-$S128)*'模拟-单技能数据'!$I$21</f>
        <v>0</v>
      </c>
      <c r="AS128" s="61">
        <f ca="1">IF(OR(C128="净世破魔击·日",C128="净世破魔击·月"),M128-'模拟-单技能数据'!$K$10,0)</f>
        <v>0</v>
      </c>
      <c r="AT128" s="61">
        <f ca="1">IF(OR(C128="净世破魔击·日",C128="净世破魔击·月"),I128-'模拟-单技能数据'!$L$10,0)</f>
        <v>0</v>
      </c>
      <c r="AU128" s="62">
        <f t="shared" ca="1" si="95"/>
        <v>4.1982160067564389E-2</v>
      </c>
      <c r="AV128" s="64">
        <f ca="1">IF(AS128&gt;0,('模拟-单技能数据'!$D$22+G128*'模拟-单技能数据'!$F$22)*(1+J128)*(1-S128)*IF(AU128&lt;$F$10,0,IF(AU128&lt;$F$10+$F$11,0.25,IF(AU128&lt;$F$10+$F$11+AS128,AT128,1)))*(1+U128),0)*'模拟-单技能数据'!$I$22</f>
        <v>0</v>
      </c>
      <c r="AW128" s="108">
        <f t="shared" ca="1" si="96"/>
        <v>9.8525000000000063</v>
      </c>
      <c r="AX128" s="108" t="b">
        <f ca="1">AND(模拟模式!$P$10="有",AW127=0,RAND()&lt;IF(C128="净世破魔击·月",0.1*8/3,IF(C128="净世破魔击·日",0.1*4/3,0.1*2/3)))</f>
        <v>0</v>
      </c>
      <c r="AY128" s="47">
        <f ca="1">IF(AX128,(18+G128*0.722)*(1+J128)*(1-S128)*(1+$I$4)*IF(P128="会",'模拟-全程加成'!$J$3+'模拟-全程加成'!$J$4+'模拟-全程加成'!$J$5+('模拟-全程加成'!$I$4+'模拟-全程加成'!$I$5)/系数!$B$4+BG128*10%,IF(P128="命",1,IF(P128="识",0.25,0))),0)</f>
        <v>0</v>
      </c>
      <c r="AZ128" s="108">
        <f t="shared" si="97"/>
        <v>8.0075000000000074</v>
      </c>
      <c r="BA128" s="108" t="b">
        <f>AND(模拟模式!$Q$10="有",AZ127=0)</f>
        <v>0</v>
      </c>
      <c r="BB128" s="140">
        <f>IF(BA128,(0+G128*0.287)*(1+J128)*(1-S128)*(1+$I$4)*IF(P128="会",'模拟-全程加成'!$J$3+'模拟-全程加成'!$J$4+'模拟-全程加成'!$J$5+('模拟-全程加成'!$I$4+'模拟-全程加成'!$I$5)/系数!$B$4+BG128*10%,IF(P128="命",1,IF(P128="识",0.25,0))),0)</f>
        <v>0</v>
      </c>
      <c r="BC128" s="115" t="b">
        <f ca="1">AND(模拟模式!$R$7="伏明众生",E128=60,F128=20,DA128&lt;5,CZ127&lt;$F$4)</f>
        <v>0</v>
      </c>
      <c r="BD128" s="115">
        <f t="shared" ca="1" si="69"/>
        <v>0</v>
      </c>
      <c r="BE128" s="115" t="b">
        <f t="shared" ca="1" si="70"/>
        <v>0</v>
      </c>
      <c r="BF128" s="47">
        <f ca="1">IF(BC128,4*('模拟-单技能数据'!$D$24+G128*'模拟-单技能数据'!$F$24)*(1+J128)*(1+'模拟-单技能数据'!$J$24)*(1-S128)*(1+$I$3)*(('模拟-全程加成'!$J$3+'模拟-全程加成'!$J$4+'模拟-全程加成'!$J$5+('模拟-全程加成'!$I$4+'模拟-全程加成'!$I$5)/系数!$B$4+BG128*10%)*('模拟-全程加成'!$J$3+'模拟-全程加成'!$J$4+'模拟-全程加成'!$J$5+('模拟-全程加成'!$I$4+'模拟-全程加成'!$I$5)/系数!$B$4+BG128*10%)+(1-('模拟-全程加成'!$J$3+'模拟-全程加成'!$J$4+'模拟-全程加成'!$J$5+('模拟-全程加成'!$I$4+'模拟-全程加成'!$I$5)/系数!$B$4+BG128*10%)-$F$10-$F$11)+F114*0.25),0)*'模拟-单技能数据'!$I$24</f>
        <v>0</v>
      </c>
      <c r="BG128" s="115" t="b">
        <f ca="1">OR(AND(OR(C128="烈日斩",C128="银月斩"),模拟模式!$I$7="净身明礼"),AND(C128="净世破魔击·日",模拟模式!$J$7="洞若观火"),AND(C129="净世破魔击·月",模拟模式!$J$7="洞若观火"),AB128=1)</f>
        <v>1</v>
      </c>
      <c r="BH128" s="115" t="b">
        <f t="shared" ca="1" si="98"/>
        <v>0</v>
      </c>
      <c r="BI128" s="115">
        <f t="shared" ca="1" si="71"/>
        <v>0</v>
      </c>
      <c r="BJ128" s="115" t="b">
        <f t="shared" ca="1" si="99"/>
        <v>0</v>
      </c>
      <c r="BK128" s="115" t="b">
        <f ca="1">AND(C128="驱夜断愁",模拟模式!$P$7="天地诛戮")</f>
        <v>0</v>
      </c>
      <c r="BL128" s="57">
        <f t="shared" ca="1" si="72"/>
        <v>14.465000000000003</v>
      </c>
      <c r="BM128" s="115" t="b">
        <f t="shared" ca="1" si="100"/>
        <v>1</v>
      </c>
      <c r="BN128" s="115" t="b">
        <f ca="1">AND(OR(C128="赤日轮1",C128="赤日轮2",C128="赤日轮3",C128="幽月轮1",C128="幽月轮2",C128="幽月轮3"),AB128=1,模拟模式!$L$7="明光恒照")</f>
        <v>0</v>
      </c>
      <c r="BO128" s="117">
        <f t="shared" ca="1" si="73"/>
        <v>29.077500000000001</v>
      </c>
      <c r="BP128" s="115">
        <f t="shared" ca="1" si="101"/>
        <v>6</v>
      </c>
      <c r="BQ128" s="115" t="b">
        <f>模拟模式!$K$10="2600·水"</f>
        <v>0</v>
      </c>
      <c r="BR128" s="117">
        <f t="shared" si="102"/>
        <v>0</v>
      </c>
      <c r="BS128" s="115">
        <f t="shared" si="103"/>
        <v>0</v>
      </c>
      <c r="BT128" s="115">
        <f t="shared" ca="1" si="104"/>
        <v>0</v>
      </c>
      <c r="BU128" s="115" t="b">
        <f ca="1">AND(模拟模式!$K$10="2300·雷",BT127=0,RAND()&lt;IF(C128="净世破魔击·月",5*0.05*2/3,IF(C128="净世破魔击·日",3*0.05*2/3,0.05*2*2/3)))</f>
        <v>0</v>
      </c>
      <c r="BV128" s="115">
        <f t="shared" ca="1" si="105"/>
        <v>0</v>
      </c>
      <c r="BW128" s="115">
        <f t="shared" ca="1" si="106"/>
        <v>92.362499999999258</v>
      </c>
      <c r="BX128" s="164" t="b">
        <f t="shared" ca="1" si="107"/>
        <v>0</v>
      </c>
      <c r="BY128" s="115">
        <f t="shared" ca="1" si="108"/>
        <v>0</v>
      </c>
      <c r="BZ128" s="115">
        <f>IF(OR(模拟模式!$P$16="10人团",模拟模式!$P$16="25人团"),IF(B128/30&gt;CA127,1,0),0)</f>
        <v>0</v>
      </c>
      <c r="CA128" s="115">
        <f t="shared" si="74"/>
        <v>0</v>
      </c>
      <c r="CB128" s="115">
        <f ca="1">IF(BZ128=1,IF(模拟模式!$P$16="10人团",15,0)+IF(模拟模式!$P$16="25人团",IF(RAND()&lt;0.6,15,0)),MAX(0,CB127-$F$4))</f>
        <v>0</v>
      </c>
      <c r="CC128" s="115" t="b">
        <f t="shared" ca="1" si="109"/>
        <v>0</v>
      </c>
      <c r="CD128" s="115">
        <f>IF(模拟模式!$Q$16="1个",IF(B128/40&gt;CE127,1,0),0)</f>
        <v>0</v>
      </c>
      <c r="CE128" s="115">
        <f t="shared" si="110"/>
        <v>0</v>
      </c>
      <c r="CF128" s="115">
        <f>IF(OR(CD128=1,模拟模式!$Q$16="2个"),20,MAX(0,CF127-$F$4))</f>
        <v>0</v>
      </c>
      <c r="CG128" s="115" t="b">
        <f t="shared" si="111"/>
        <v>0</v>
      </c>
      <c r="CH128" s="115">
        <f t="shared" ca="1" si="112"/>
        <v>6.0150000000000121</v>
      </c>
      <c r="CI128" s="115" t="b">
        <f t="shared" ca="1" si="113"/>
        <v>0</v>
      </c>
      <c r="CJ128" s="119">
        <f t="shared" ca="1" si="114"/>
        <v>0</v>
      </c>
      <c r="CK128" s="115">
        <f t="shared" ca="1" si="115"/>
        <v>0</v>
      </c>
      <c r="CL128" s="115" t="b">
        <f ca="1">AND(模拟模式!$S$7="驱夷逐法",OR(AND(C128="净世破魔击·月",E127&gt;59),AND(C128="净世破魔击·日",F127&gt;59)))</f>
        <v>0</v>
      </c>
      <c r="CM128" s="115" t="b">
        <f ca="1">OR(CL128,AND(C128="净世破魔击·日",CL127,RAND()&lt;模拟模式!$U$23))</f>
        <v>0</v>
      </c>
      <c r="CN128" s="115" t="b">
        <f ca="1">IF(模拟模式!$M$7="辉耀红尘",AND(C128="净世破魔击·月",CL128,CV128=0,E127&lt;80),AND(C128="净世破魔击·月",CL128,E127&lt;100))</f>
        <v>0</v>
      </c>
      <c r="CO128" s="115" t="b">
        <f t="shared" ca="1" si="75"/>
        <v>0</v>
      </c>
      <c r="CP128" s="115" t="b">
        <f ca="1">AND(模拟模式!$O$7="用晦而明",OR(C128="净世破魔击·日",C128="净世破魔击·月",C128="驱夜断愁"),AB128)</f>
        <v>0</v>
      </c>
      <c r="CQ128" s="115" t="b">
        <f ca="1">OR(CP128,AND(CP127,RAND()&lt;模拟模式!$U$23))</f>
        <v>0</v>
      </c>
      <c r="CR128" s="115" t="b">
        <f ca="1">AND(模拟模式!$S$7="日月齐光",OR(C128="幽月轮1",C128="幽月轮2",C128="幽月轮3",CR127),NOT(OR(C128="赤日轮1",C128="赤日轮2",C128="赤日轮3")))</f>
        <v>0</v>
      </c>
      <c r="CS128" s="115" t="b">
        <f ca="1">AND(模拟模式!$S$7="日月齐光",OR(C128="赤日轮1",C128="赤日轮2",C128="赤日轮3",CS127),NOT(OR(C128="幽月轮1",C128="幽月轮2",C128="幽月轮3")))</f>
        <v>0</v>
      </c>
      <c r="CT128" s="115">
        <f t="shared" ca="1" si="116"/>
        <v>0</v>
      </c>
      <c r="CU128" s="115" t="b">
        <f ca="1">AND(模拟模式!$K$10="阴阳往极",CT127=0,RAND()&lt;IF(C128="净世破魔击·月",0.0275*7/3,IF(C128="净世破魔击·日",0.0275*3/3,0.0275*2/3)))</f>
        <v>0</v>
      </c>
      <c r="CV128" s="115">
        <f t="shared" ca="1" si="117"/>
        <v>0</v>
      </c>
      <c r="CW128" s="115">
        <f t="shared" ca="1" si="76"/>
        <v>1.3874999999999997</v>
      </c>
      <c r="CX128" s="115">
        <f t="shared" ca="1" si="77"/>
        <v>6</v>
      </c>
      <c r="CY128" s="115">
        <f ca="1">MAX(IF($C128="驱夜断愁",IF(模拟模式!$R$7="万念俱寂",6,45),CY127-$F$4),0)</f>
        <v>0.46499999999999975</v>
      </c>
      <c r="CZ128" s="115">
        <f t="shared" ca="1" si="78"/>
        <v>0</v>
      </c>
      <c r="DA128" s="115">
        <f ca="1">IF(模拟模式!$N$7="日月同辉",IF(DB127=2,0,MIN(6,IF(AND(OR(C128="赤日轮1",C128="赤日轮2",C128="赤日轮3",C128="幽月轮1",C128="幽月轮2",C128="幽月轮3"),AB128=1),DA127+1,DA127))),0)</f>
        <v>0</v>
      </c>
      <c r="DB128" s="115">
        <f t="shared" ca="1" si="79"/>
        <v>2</v>
      </c>
      <c r="DF128" s="115"/>
      <c r="DG128" s="115"/>
      <c r="DH128" s="115"/>
      <c r="DI128" s="115"/>
      <c r="DJ128" s="115"/>
      <c r="DK128" s="115"/>
      <c r="DL128" s="115"/>
      <c r="DM128" s="115"/>
    </row>
    <row r="129" spans="2:117" x14ac:dyDescent="0.2">
      <c r="B129" s="117">
        <f t="shared" si="80"/>
        <v>94.094999999999956</v>
      </c>
      <c r="C129" s="167" t="str">
        <f t="shared" ca="1" si="66"/>
        <v>驱夜断愁</v>
      </c>
      <c r="D129" s="115">
        <f ca="1">IF(C129="赤日轮1",1,IF(C129="赤日轮2",2,IF(C129="赤日轮3",3,IF(C129="幽月轮1",4,IF(C129="幽月轮2",5,IF(C129="幽月轮3",6,IF(C129="烈日斩",7,IF(C129="银月斩",8,IF(C129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129="净世破魔击·月",17,IF(C129="驱夜断愁",18,0)))))))))))</f>
        <v>18</v>
      </c>
      <c r="E129" s="115">
        <f ca="1">IF(AND(CU129,OR(C129="幽月轮1",C129="幽月轮2",C129="幽月轮3",C129="银月斩",C129="驱夜断愁",C129="净世破魔击·月")),100,MIN(IF(OR(CN129,BE129),0,IF(OR($C129="赤日轮1",$C129="赤日轮2",$C129="赤日轮3"),E128+20+IF(模拟模式!$I$7="日月凌天",4,0)+IF(CR128,20,0),IF($C129="烈日斩",E128+40,IF($C129="驱夜断愁",IF(模拟模式!$R$7="万念俱寂",E128+20,E128+60),IF($C129="净世破魔击·月",IF(OR(DB128&gt;0,CV128&gt;0),100,IF(模拟模式!$M$7="辉耀红尘",E128+20,E128)),IF($C129="净世破魔击·日",E128-100,E128)))))),100))</f>
        <v>40</v>
      </c>
      <c r="F129" s="115">
        <f ca="1">IF(AND(CU129,OR(C129="赤日轮1",C129="赤日轮2",C129="赤日轮3",C129="烈日斩",C129="净世破魔击·日")),100,MIN(IF(CO129,0,IF(OR($C129="幽月轮1",$C129="幽月轮2",$C129="幽月轮3"),F128+20+IF(模拟模式!$I$7="日月凌天",4,0)+IF(CS128,20,0),IF($C129="银月斩",F128+40+IF(模拟模式!$X$12=1,5,0),IF($C129="驱夜断愁",IF(模拟模式!$R$7="万念俱寂",F128+20,F128+60),IF($C129="净世破魔击·月",IF(模拟模式!$M$7="辉耀红尘",F128-80,F128-100),IF(AND(C129="净世破魔击·日",OR(DB128&gt;0,CV128&gt;0)),100,F128)))))),100))</f>
        <v>85</v>
      </c>
      <c r="G129" s="117">
        <f ca="1">('模拟-全程加成'!$E$3+'模拟-全程加成'!$E$4+'模拟-全程加成'!$E$5+('模拟-全程加成'!$C$6-'模拟-全程加成'!$C$3)*系数!$B$9+BS129*23)*(1+'模拟-全程加成'!$F$4+'模拟-全程加成'!$F$5+BJ129*10%+BM129*20%+BP129*4%+CG129*30%)+$F$7*系数!$B$12</f>
        <v>20583.127400000001</v>
      </c>
      <c r="H129" s="45">
        <f ca="1">'模拟-全程加成'!$H$3+'模拟-全程加成'!$H$4+'模拟-全程加成'!$H$5+('模拟-全程加成'!$G$4+'模拟-全程加成'!$G$5+('模拟-全程加成'!$C$6-'模拟-全程加成'!$C$3)*系数!$B$13)/系数!$B$3+LOOKUP(D129,'模拟-单技能数据'!$A$2:$A$19,'模拟-单技能数据'!$K$2:$K$19)+BG129*10%+IF(BV129&gt;0,378,0)</f>
        <v>0.51185145527300213</v>
      </c>
      <c r="I129" s="45">
        <f ca="1">'模拟-全程加成'!$J$3+'模拟-全程加成'!$J$4+'模拟-全程加成'!$J$5+('模拟-全程加成'!$I$4+'模拟-全程加成'!$I$5)/系数!$B$4+LOOKUP(D129,'模拟-单技能数据'!$A$2:$A$19,'模拟-单技能数据'!$L$2:$L$19)+BG129*10%</f>
        <v>2.162482885499879</v>
      </c>
      <c r="J129" s="45">
        <f ca="1">(('模拟-全程加成'!$K$3+'模拟-全程加成'!$K$4+'模拟-全程加成'!$K$5+('模拟-全程加成'!$C$6-'模拟-全程加成'!$C$3)*系数!$B$10+IF(BV129&gt;0,882,0)+IF(BY129&gt;0,1831,0))*(1+'模拟-全程加成'!$L$4+'模拟-全程加成'!$L$5+CC129*20%))/系数!$B$5</f>
        <v>0.69723220422048726</v>
      </c>
      <c r="K129" s="119">
        <f ca="1">LOOKUP(D129,'模拟-单技能数据'!$A$2:$A$19,'模拟-单技能数据'!$J$2:$J$19)+IF(CM129,60%,0)+IF(DB128-DB129&gt;0,30%,0)+IF(OR(AND(OR(C129="赤日轮1",C129="赤日轮2",C129="赤日轮3"),CR129),AND(OR(C129="幽月轮1",C129="幽月轮2",C129="幽月轮3"),CS129)),35%,0)+CJ129</f>
        <v>0.14000000000000001</v>
      </c>
      <c r="L129" s="119">
        <f ca="1">IF(AND(C129="烈日斩",模拟模式!$X$11=1),10%,0)+IF(AND(C129="驱夜断愁",AB129=1),30%,0)</f>
        <v>0.3</v>
      </c>
      <c r="M129" s="45">
        <f t="shared" ca="1" si="81"/>
        <v>0.51185145527300213</v>
      </c>
      <c r="N129" s="45">
        <f t="shared" ca="1" si="82"/>
        <v>0.43424854472699792</v>
      </c>
      <c r="O129" s="46">
        <f t="shared" ca="1" si="83"/>
        <v>0.32321567767949044</v>
      </c>
      <c r="P129" s="46" t="str">
        <f t="shared" ca="1" si="84"/>
        <v>会</v>
      </c>
      <c r="Q129" s="45">
        <f t="shared" ca="1" si="85"/>
        <v>2.162482885499879</v>
      </c>
      <c r="R129" s="117">
        <f ca="1">模拟模式!$E$20*(1-IF(模拟模式!$J$19="有",0.15,0))*(1-IF(模拟模式!$K$19="有",0.3,0)-IF(CQ129,0.5,0))</f>
        <v>843.02999999999975</v>
      </c>
      <c r="S129" s="45">
        <f ca="1">R129/(R129+(185*模拟模式!$E$22-16800)*4.08224)</f>
        <v>8.389626085980037E-2</v>
      </c>
      <c r="T129" s="45" t="str">
        <f ca="1">LOOKUP(D129,'模拟-单技能数据'!$A$2:$A$19,'模拟-单技能数据'!$H$2:$H$19)</f>
        <v>阴</v>
      </c>
      <c r="U129" s="119">
        <f t="shared" ca="1" si="86"/>
        <v>0.08</v>
      </c>
      <c r="V129" s="47">
        <f ca="1">(1+L129)*(LOOKUP(D129,'模拟-单技能数据'!$A$2:$A$19,'模拟-单技能数据'!$D$2:$D$19)+G129*LOOKUP(D129,'模拟-单技能数据'!$A$2:$A$19,'模拟-单技能数据'!$F$2:$F$19))*(1+J129)*(1+K129)*(1-S129)*(1+U129)*Q129*LOOKUP(D129,'模拟-单技能数据'!$A$2:$A$19,'模拟-单技能数据'!$I$2:$I$20)</f>
        <v>127463.41908070058</v>
      </c>
      <c r="W129" s="47">
        <f ca="1">LOOKUP(D129,'模拟-单技能数据'!$A$2:$A$19,'模拟-单技能数据'!$G$2:$G$19)*$I$10</f>
        <v>723.0212870940959</v>
      </c>
      <c r="X129" s="47">
        <f t="shared" ca="1" si="87"/>
        <v>24043.249177625272</v>
      </c>
      <c r="Y129" s="47">
        <f t="shared" ca="1" si="88"/>
        <v>152229.68954541994</v>
      </c>
      <c r="Z129" s="49">
        <f t="shared" ca="1" si="89"/>
        <v>10648959.365723457</v>
      </c>
      <c r="AA129" s="97">
        <f t="shared" ca="1" si="90"/>
        <v>113172.42537566781</v>
      </c>
      <c r="AB129" s="115">
        <f ca="1">IF(OR(C129="赤日轮1",C129="赤日轮2",C129="赤日轮3"),IF(RAND()&lt;模拟模式!$Y$17,1,0),IF(OR(C129="幽月轮1",C129="幽月轮2",C129="幽月轮3"),IF(RAND()&lt;模拟模式!$Y$18,1,0),IF(C129="烈日斩",IF(RAND()&lt;模拟模式!$Y$19,1,0),IF(C129="银月斩",IF(RAND()&lt;模拟模式!$Y$20,1,0),IF(C129="驱夜断愁",IF(RAND()&lt;模拟模式!$Y$21,1,0),IF(C129="净世破魔击·日",IF(RAND()&lt;模拟模式!$Y$22,1,0),IF(C129="净世破魔击·月",IF(RAND()&lt;模拟模式!$Y$23,1,0),0)))))))</f>
        <v>1</v>
      </c>
      <c r="AC129" s="115" t="b">
        <f t="shared" ca="1" si="67"/>
        <v>0</v>
      </c>
      <c r="AD129" s="115" t="b">
        <f t="shared" ca="1" si="118"/>
        <v>0</v>
      </c>
      <c r="AE129" s="115">
        <f t="shared" ca="1" si="119"/>
        <v>5</v>
      </c>
      <c r="AF129" s="47">
        <f ca="1">IF(AC129,('模拟-单技能数据'!$D$20+G129*'模拟-单技能数据'!$F$20)*(1+J129)*(1+'模拟-单技能数据'!$J$20)*(1+U129),0)</f>
        <v>0</v>
      </c>
      <c r="AG129" s="61">
        <f t="shared" ca="1" si="91"/>
        <v>0.64185145527300214</v>
      </c>
      <c r="AH129" s="61">
        <f t="shared" ca="1" si="92"/>
        <v>2.2624828854998791</v>
      </c>
      <c r="AI129" s="62">
        <f t="shared" ca="1" si="93"/>
        <v>0.33808173418645282</v>
      </c>
      <c r="AJ129" s="47">
        <f ca="1">IF(AD129,IF(AI129&lt;$F$10,0,IF(AI129&lt;$F$10+$F$11,0.25,IF(AI129&lt;$F$10+$F$11+AG129,AH129,1)))*IF(AF129&gt;0,AF129,IF(AF128&gt;0,AF128,IF(AF127&gt;0,AF127,IF(AF126&gt;0,AF126,IF(AF125&gt;0,AF125,IF(AF124&gt;0,AF124,IF(AF123&gt;0,AF123,IF(AF122&gt;0,AF122,IF(AF121&gt;0,AF121,IF(AF119&gt;0,AF119,IF(AF118&gt;0,AF118,IF(AF117&gt;0,AF117,0)))))))))))),0)*(1-$S129)*'模拟-单技能数据'!$I$20</f>
        <v>0</v>
      </c>
      <c r="AK129" s="115" t="b">
        <f t="shared" ca="1" si="68"/>
        <v>0</v>
      </c>
      <c r="AL129" s="115" t="b">
        <f t="shared" ca="1" si="120"/>
        <v>1</v>
      </c>
      <c r="AM129" s="115">
        <f t="shared" ca="1" si="121"/>
        <v>4</v>
      </c>
      <c r="AN129" s="47">
        <f ca="1">IF(AK129,('模拟-单技能数据'!$D$21+G129*'模拟-单技能数据'!$F$21)*(1+J129)*(1+'模拟-单技能数据'!$J$21)*(1+U129),0)</f>
        <v>0</v>
      </c>
      <c r="AO129" s="61">
        <f ca="1">IF(AN129&gt;0,M129-'模拟-单技能数据'!$K$10,AO128)</f>
        <v>0.42185145527300216</v>
      </c>
      <c r="AP129" s="61">
        <f ca="1">IF(AN129&gt;0,I129-'模拟-单技能数据'!$L$10,AP128)</f>
        <v>2.162482885499879</v>
      </c>
      <c r="AQ129" s="63">
        <f t="shared" ca="1" si="94"/>
        <v>0.22746362010279342</v>
      </c>
      <c r="AR129" s="64">
        <f ca="1">IF(AL129,IF(AQ129&lt;$F$10,0,IF(AQ129&lt;$F$10+$F$11,0.25,IF(AQ129&lt;$F$10+$F$11+AO129,AP129,1)))*IF(AN129&gt;0,AN129,IF(AN128&gt;0,AN128,IF(AN127&gt;0,AN127,IF(AN126&gt;0,AN126,IF(AN125&gt;0,AN125,IF(AN124&gt;0,AN124,IF(AN123&gt;0,AN123,IF(AN122&gt;0,AN122,IF(AN121&gt;0,AN121,IF(AN119&gt;0,AN119,IF(AN118&gt;0,AN118,IF(AN117&gt;0,AN117,0)))))))))))),0)*(1-$S129)*'模拟-单技能数据'!$I$21</f>
        <v>24043.249177625272</v>
      </c>
      <c r="AS129" s="61">
        <f ca="1">IF(OR(C129="净世破魔击·日",C129="净世破魔击·月"),M129-'模拟-单技能数据'!$K$10,0)</f>
        <v>0</v>
      </c>
      <c r="AT129" s="61">
        <f ca="1">IF(OR(C129="净世破魔击·日",C129="净世破魔击·月"),I129-'模拟-单技能数据'!$L$10,0)</f>
        <v>0</v>
      </c>
      <c r="AU129" s="62">
        <f t="shared" ca="1" si="95"/>
        <v>0.88031506733942899</v>
      </c>
      <c r="AV129" s="64">
        <f ca="1">IF(AS129&gt;0,('模拟-单技能数据'!$D$22+G129*'模拟-单技能数据'!$F$22)*(1+J129)*(1-S129)*IF(AU129&lt;$F$10,0,IF(AU129&lt;$F$10+$F$11,0.25,IF(AU129&lt;$F$10+$F$11+AS129,AT129,1)))*(1+U129),0)*'模拟-单技能数据'!$I$22</f>
        <v>0</v>
      </c>
      <c r="AW129" s="108">
        <f t="shared" ca="1" si="96"/>
        <v>8.9300000000000068</v>
      </c>
      <c r="AX129" s="108" t="b">
        <f ca="1">AND(模拟模式!$P$10="有",AW128=0,RAND()&lt;IF(C129="净世破魔击·月",0.1*8/3,IF(C129="净世破魔击·日",0.1*4/3,0.1*2/3)))</f>
        <v>0</v>
      </c>
      <c r="AY129" s="47">
        <f ca="1">IF(AX129,(18+G129*0.722)*(1+J129)*(1-S129)*(1+$I$4)*IF(P129="会",'模拟-全程加成'!$J$3+'模拟-全程加成'!$J$4+'模拟-全程加成'!$J$5+('模拟-全程加成'!$I$4+'模拟-全程加成'!$I$5)/系数!$B$4+BG129*10%,IF(P129="命",1,IF(P129="识",0.25,0))),0)</f>
        <v>0</v>
      </c>
      <c r="AZ129" s="108">
        <f t="shared" si="97"/>
        <v>7.0850000000000071</v>
      </c>
      <c r="BA129" s="108" t="b">
        <f>AND(模拟模式!$Q$10="有",AZ128=0)</f>
        <v>0</v>
      </c>
      <c r="BB129" s="140">
        <f>IF(BA129,(0+G129*0.287)*(1+J129)*(1-S129)*(1+$I$4)*IF(P129="会",'模拟-全程加成'!$J$3+'模拟-全程加成'!$J$4+'模拟-全程加成'!$J$5+('模拟-全程加成'!$I$4+'模拟-全程加成'!$I$5)/系数!$B$4+BG129*10%,IF(P129="命",1,IF(P129="识",0.25,0))),0)</f>
        <v>0</v>
      </c>
      <c r="BC129" s="115" t="b">
        <f ca="1">AND(模拟模式!$R$7="伏明众生",E129=60,F129=20,DA129&lt;5,CZ128&lt;$F$4)</f>
        <v>0</v>
      </c>
      <c r="BD129" s="115">
        <f t="shared" ca="1" si="69"/>
        <v>0</v>
      </c>
      <c r="BE129" s="115" t="b">
        <f t="shared" ca="1" si="70"/>
        <v>0</v>
      </c>
      <c r="BF129" s="47">
        <f ca="1">IF(BC129,4*('模拟-单技能数据'!$D$24+G129*'模拟-单技能数据'!$F$24)*(1+J129)*(1+'模拟-单技能数据'!$J$24)*(1-S129)*(1+$I$3)*(('模拟-全程加成'!$J$3+'模拟-全程加成'!$J$4+'模拟-全程加成'!$J$5+('模拟-全程加成'!$I$4+'模拟-全程加成'!$I$5)/系数!$B$4+BG129*10%)*('模拟-全程加成'!$J$3+'模拟-全程加成'!$J$4+'模拟-全程加成'!$J$5+('模拟-全程加成'!$I$4+'模拟-全程加成'!$I$5)/系数!$B$4+BG129*10%)+(1-('模拟-全程加成'!$J$3+'模拟-全程加成'!$J$4+'模拟-全程加成'!$J$5+('模拟-全程加成'!$I$4+'模拟-全程加成'!$I$5)/系数!$B$4+BG129*10%)-$F$10-$F$11)+F115*0.25),0)*'模拟-单技能数据'!$I$24</f>
        <v>0</v>
      </c>
      <c r="BG129" s="115" t="b">
        <f ca="1">OR(AND(OR(C129="烈日斩",C129="银月斩"),模拟模式!$I$7="净身明礼"),AND(C129="净世破魔击·日",模拟模式!$J$7="洞若观火"),AND(C130="净世破魔击·月",模拟模式!$J$7="洞若观火"),AB129=1)</f>
        <v>1</v>
      </c>
      <c r="BH129" s="115" t="b">
        <f t="shared" ca="1" si="98"/>
        <v>0</v>
      </c>
      <c r="BI129" s="115">
        <f t="shared" ca="1" si="71"/>
        <v>0</v>
      </c>
      <c r="BJ129" s="115" t="b">
        <f t="shared" ca="1" si="99"/>
        <v>0</v>
      </c>
      <c r="BK129" s="115" t="b">
        <f ca="1">AND(C129="驱夜断愁",模拟模式!$P$7="天地诛戮")</f>
        <v>1</v>
      </c>
      <c r="BL129" s="57">
        <f t="shared" ca="1" si="72"/>
        <v>20</v>
      </c>
      <c r="BM129" s="115" t="b">
        <f t="shared" ca="1" si="100"/>
        <v>1</v>
      </c>
      <c r="BN129" s="115" t="b">
        <f ca="1">AND(OR(C129="赤日轮1",C129="赤日轮2",C129="赤日轮3",C129="幽月轮1",C129="幽月轮2",C129="幽月轮3"),AB129=1,模拟模式!$L$7="明光恒照")</f>
        <v>0</v>
      </c>
      <c r="BO129" s="117">
        <f t="shared" ca="1" si="73"/>
        <v>28.155000000000001</v>
      </c>
      <c r="BP129" s="115">
        <f t="shared" ca="1" si="101"/>
        <v>6</v>
      </c>
      <c r="BQ129" s="115" t="b">
        <f>模拟模式!$K$10="2600·水"</f>
        <v>0</v>
      </c>
      <c r="BR129" s="117">
        <f t="shared" si="102"/>
        <v>0</v>
      </c>
      <c r="BS129" s="115">
        <f t="shared" si="103"/>
        <v>0</v>
      </c>
      <c r="BT129" s="115">
        <f t="shared" ca="1" si="104"/>
        <v>0</v>
      </c>
      <c r="BU129" s="115" t="b">
        <f ca="1">AND(模拟模式!$K$10="2300·雷",BT128=0,RAND()&lt;IF(C129="净世破魔击·月",5*0.05*2/3,IF(C129="净世破魔击·日",3*0.05*2/3,0.05*2*2/3)))</f>
        <v>0</v>
      </c>
      <c r="BV129" s="115">
        <f t="shared" ca="1" si="105"/>
        <v>0</v>
      </c>
      <c r="BW129" s="115">
        <f t="shared" ca="1" si="106"/>
        <v>91.439999999999259</v>
      </c>
      <c r="BX129" s="164" t="b">
        <f t="shared" ca="1" si="107"/>
        <v>0</v>
      </c>
      <c r="BY129" s="115">
        <f t="shared" ca="1" si="108"/>
        <v>0</v>
      </c>
      <c r="BZ129" s="115">
        <f>IF(OR(模拟模式!$P$16="10人团",模拟模式!$P$16="25人团"),IF(B129/30&gt;CA128,1,0),0)</f>
        <v>0</v>
      </c>
      <c r="CA129" s="115">
        <f t="shared" si="74"/>
        <v>0</v>
      </c>
      <c r="CB129" s="115">
        <f ca="1">IF(BZ129=1,IF(模拟模式!$P$16="10人团",15,0)+IF(模拟模式!$P$16="25人团",IF(RAND()&lt;0.6,15,0)),MAX(0,CB128-$F$4))</f>
        <v>0</v>
      </c>
      <c r="CC129" s="115" t="b">
        <f t="shared" ca="1" si="109"/>
        <v>0</v>
      </c>
      <c r="CD129" s="115">
        <f>IF(模拟模式!$Q$16="1个",IF(B129/40&gt;CE128,1,0),0)</f>
        <v>0</v>
      </c>
      <c r="CE129" s="115">
        <f t="shared" si="110"/>
        <v>0</v>
      </c>
      <c r="CF129" s="115">
        <f>IF(OR(CD129=1,模拟模式!$Q$16="2个"),20,MAX(0,CF128-$F$4))</f>
        <v>0</v>
      </c>
      <c r="CG129" s="115" t="b">
        <f t="shared" si="111"/>
        <v>0</v>
      </c>
      <c r="CH129" s="115">
        <f t="shared" ca="1" si="112"/>
        <v>5.0925000000000118</v>
      </c>
      <c r="CI129" s="115" t="b">
        <f t="shared" ca="1" si="113"/>
        <v>0</v>
      </c>
      <c r="CJ129" s="119">
        <f t="shared" ca="1" si="114"/>
        <v>0</v>
      </c>
      <c r="CK129" s="115">
        <f t="shared" ca="1" si="115"/>
        <v>0</v>
      </c>
      <c r="CL129" s="115" t="b">
        <f ca="1">AND(模拟模式!$S$7="驱夷逐法",OR(AND(C129="净世破魔击·月",E128&gt;59),AND(C129="净世破魔击·日",F128&gt;59)))</f>
        <v>0</v>
      </c>
      <c r="CM129" s="115" t="b">
        <f ca="1">OR(CL129,AND(C129="净世破魔击·日",CL128,RAND()&lt;模拟模式!$U$23))</f>
        <v>0</v>
      </c>
      <c r="CN129" s="115" t="b">
        <f ca="1">IF(模拟模式!$M$7="辉耀红尘",AND(C129="净世破魔击·月",CL129,CV129=0,E128&lt;80),AND(C129="净世破魔击·月",CL129,E128&lt;100))</f>
        <v>0</v>
      </c>
      <c r="CO129" s="115" t="b">
        <f t="shared" ca="1" si="75"/>
        <v>0</v>
      </c>
      <c r="CP129" s="115" t="b">
        <f ca="1">AND(模拟模式!$O$7="用晦而明",OR(C129="净世破魔击·日",C129="净世破魔击·月",C129="驱夜断愁"),AB129)</f>
        <v>1</v>
      </c>
      <c r="CQ129" s="115" t="b">
        <f ca="1">OR(CP129,AND(CP128,RAND()&lt;模拟模式!$U$23))</f>
        <v>1</v>
      </c>
      <c r="CR129" s="115" t="b">
        <f ca="1">AND(模拟模式!$S$7="日月齐光",OR(C129="幽月轮1",C129="幽月轮2",C129="幽月轮3",CR128),NOT(OR(C129="赤日轮1",C129="赤日轮2",C129="赤日轮3")))</f>
        <v>0</v>
      </c>
      <c r="CS129" s="115" t="b">
        <f ca="1">AND(模拟模式!$S$7="日月齐光",OR(C129="赤日轮1",C129="赤日轮2",C129="赤日轮3",CS128),NOT(OR(C129="幽月轮1",C129="幽月轮2",C129="幽月轮3")))</f>
        <v>0</v>
      </c>
      <c r="CT129" s="115">
        <f t="shared" ca="1" si="116"/>
        <v>0</v>
      </c>
      <c r="CU129" s="115" t="b">
        <f ca="1">AND(模拟模式!$K$10="阴阳往极",CT128=0,RAND()&lt;IF(C129="净世破魔击·月",0.0275*7/3,IF(C129="净世破魔击·日",0.0275*3/3,0.0275*2/3)))</f>
        <v>0</v>
      </c>
      <c r="CV129" s="115">
        <f t="shared" ca="1" si="117"/>
        <v>0</v>
      </c>
      <c r="CW129" s="115">
        <f t="shared" ca="1" si="76"/>
        <v>0.46499999999999975</v>
      </c>
      <c r="CX129" s="115">
        <f t="shared" ca="1" si="77"/>
        <v>5.0774999999999997</v>
      </c>
      <c r="CY129" s="115">
        <f ca="1">MAX(IF($C129="驱夜断愁",IF(模拟模式!$R$7="万念俱寂",6,45),CY128-$F$4),0)</f>
        <v>6</v>
      </c>
      <c r="CZ129" s="115">
        <f t="shared" ca="1" si="78"/>
        <v>0</v>
      </c>
      <c r="DA129" s="115">
        <f ca="1">IF(模拟模式!$N$7="日月同辉",IF(DB128=2,0,MIN(6,IF(AND(OR(C129="赤日轮1",C129="赤日轮2",C129="赤日轮3",C129="幽月轮1",C129="幽月轮2",C129="幽月轮3"),AB129=1),DA128+1,DA128))),0)</f>
        <v>0</v>
      </c>
      <c r="DB129" s="115">
        <f t="shared" ca="1" si="79"/>
        <v>2</v>
      </c>
      <c r="DC129" s="115"/>
      <c r="DD129" s="115"/>
      <c r="DE129" s="115"/>
      <c r="DF129" s="115"/>
      <c r="DG129" s="115"/>
      <c r="DH129" s="115"/>
      <c r="DI129" s="115"/>
      <c r="DJ129" s="115"/>
      <c r="DK129" s="115"/>
      <c r="DL129" s="115"/>
      <c r="DM129" s="115"/>
    </row>
    <row r="130" spans="2:117" x14ac:dyDescent="0.2">
      <c r="B130" s="117">
        <f t="shared" si="80"/>
        <v>95.017499999999956</v>
      </c>
      <c r="C130" s="167" t="str">
        <f t="shared" ca="1" si="66"/>
        <v>烈日斩</v>
      </c>
      <c r="D130" s="115">
        <f ca="1">IF(C130="赤日轮1",1,IF(C130="赤日轮2",2,IF(C130="赤日轮3",3,IF(C130="幽月轮1",4,IF(C130="幽月轮2",5,IF(C130="幽月轮3",6,IF(C130="烈日斩",7,IF(C130="银月斩",8,IF(C130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130="净世破魔击·月",17,IF(C130="驱夜断愁",18,0)))))))))))</f>
        <v>7</v>
      </c>
      <c r="E130" s="115">
        <f ca="1">IF(AND(CU130,OR(C130="幽月轮1",C130="幽月轮2",C130="幽月轮3",C130="银月斩",C130="驱夜断愁",C130="净世破魔击·月")),100,MIN(IF(OR(CN130,BE130),0,IF(OR($C130="赤日轮1",$C130="赤日轮2",$C130="赤日轮3"),E129+20+IF(模拟模式!$I$7="日月凌天",4,0)+IF(CR129,20,0),IF($C130="烈日斩",E129+40,IF($C130="驱夜断愁",IF(模拟模式!$R$7="万念俱寂",E129+20,E129+60),IF($C130="净世破魔击·月",IF(OR(DB129&gt;0,CV129&gt;0),100,IF(模拟模式!$M$7="辉耀红尘",E129+20,E129)),IF($C130="净世破魔击·日",E129-100,E129)))))),100))</f>
        <v>80</v>
      </c>
      <c r="F130" s="115">
        <f ca="1">IF(AND(CU130,OR(C130="赤日轮1",C130="赤日轮2",C130="赤日轮3",C130="烈日斩",C130="净世破魔击·日")),100,MIN(IF(CO130,0,IF(OR($C130="幽月轮1",$C130="幽月轮2",$C130="幽月轮3"),F129+20+IF(模拟模式!$I$7="日月凌天",4,0)+IF(CS129,20,0),IF($C130="银月斩",F129+40+IF(模拟模式!$X$12=1,5,0),IF($C130="驱夜断愁",IF(模拟模式!$R$7="万念俱寂",F129+20,F129+60),IF($C130="净世破魔击·月",IF(模拟模式!$M$7="辉耀红尘",F129-80,F129-100),IF(AND(C130="净世破魔击·日",OR(DB129&gt;0,CV129&gt;0)),100,F129)))))),100))</f>
        <v>85</v>
      </c>
      <c r="G130" s="117">
        <f ca="1">('模拟-全程加成'!$E$3+'模拟-全程加成'!$E$4+'模拟-全程加成'!$E$5+('模拟-全程加成'!$C$6-'模拟-全程加成'!$C$3)*系数!$B$9+BS130*23)*(1+'模拟-全程加成'!$F$4+'模拟-全程加成'!$F$5+BJ130*10%+BM130*20%+BP130*4%+CG130*30%)+$F$7*系数!$B$12</f>
        <v>21493.829400000002</v>
      </c>
      <c r="H130" s="45">
        <f ca="1">'模拟-全程加成'!$H$3+'模拟-全程加成'!$H$4+'模拟-全程加成'!$H$5+('模拟-全程加成'!$G$4+'模拟-全程加成'!$G$5+('模拟-全程加成'!$C$6-'模拟-全程加成'!$C$3)*系数!$B$13)/系数!$B$3+LOOKUP(D130,'模拟-单技能数据'!$A$2:$A$19,'模拟-单技能数据'!$K$2:$K$19)+BG130*10%+IF(BV130&gt;0,378,0)</f>
        <v>0.56185145527300218</v>
      </c>
      <c r="I130" s="45">
        <f ca="1">'模拟-全程加成'!$J$3+'模拟-全程加成'!$J$4+'模拟-全程加成'!$J$5+('模拟-全程加成'!$I$4+'模拟-全程加成'!$I$5)/系数!$B$4+LOOKUP(D130,'模拟-单技能数据'!$A$2:$A$19,'模拟-单技能数据'!$L$2:$L$19)+BG130*10%</f>
        <v>2.2624828854998791</v>
      </c>
      <c r="J130" s="45">
        <f ca="1">(('模拟-全程加成'!$K$3+'模拟-全程加成'!$K$4+'模拟-全程加成'!$K$5+('模拟-全程加成'!$C$6-'模拟-全程加成'!$C$3)*系数!$B$10+IF(BV130&gt;0,882,0)+IF(BY130&gt;0,1831,0))*(1+'模拟-全程加成'!$L$4+'模拟-全程加成'!$L$5+CC130*20%))/系数!$B$5</f>
        <v>0.69723220422048726</v>
      </c>
      <c r="K130" s="119">
        <f ca="1">LOOKUP(D130,'模拟-单技能数据'!$A$2:$A$19,'模拟-单技能数据'!$J$2:$J$19)+IF(CM130,60%,0)+IF(DB129-DB130&gt;0,30%,0)+IF(OR(AND(OR(C130="赤日轮1",C130="赤日轮2",C130="赤日轮3"),CR130),AND(OR(C130="幽月轮1",C130="幽月轮2",C130="幽月轮3"),CS130)),35%,0)+CJ130</f>
        <v>0.24</v>
      </c>
      <c r="L130" s="119">
        <f ca="1">IF(AND(C130="烈日斩",模拟模式!$X$11=1),10%,0)+IF(AND(C130="驱夜断愁",AB130=1),30%,0)</f>
        <v>0.1</v>
      </c>
      <c r="M130" s="45">
        <f t="shared" ca="1" si="81"/>
        <v>0.56185145527300218</v>
      </c>
      <c r="N130" s="45">
        <f t="shared" ca="1" si="82"/>
        <v>0.38424854472699788</v>
      </c>
      <c r="O130" s="46">
        <f t="shared" ca="1" si="83"/>
        <v>0.55759278105600885</v>
      </c>
      <c r="P130" s="46" t="str">
        <f t="shared" ca="1" si="84"/>
        <v>会</v>
      </c>
      <c r="Q130" s="45">
        <f t="shared" ca="1" si="85"/>
        <v>2.2624828854998791</v>
      </c>
      <c r="R130" s="117">
        <f ca="1">模拟模式!$E$20*(1-IF(模拟模式!$J$19="有",0.15,0))*(1-IF(模拟模式!$K$19="有",0.3,0)-IF(CQ130,0.5,0))</f>
        <v>843.02999999999975</v>
      </c>
      <c r="S130" s="45">
        <f ca="1">R130/(R130+(185*模拟模式!$E$22-16800)*4.08224)</f>
        <v>8.389626085980037E-2</v>
      </c>
      <c r="T130" s="45" t="str">
        <f ca="1">LOOKUP(D130,'模拟-单技能数据'!$A$2:$A$19,'模拟-单技能数据'!$H$2:$H$19)</f>
        <v>阳</v>
      </c>
      <c r="U130" s="119">
        <f t="shared" ca="1" si="86"/>
        <v>0.2</v>
      </c>
      <c r="V130" s="47">
        <f ca="1">(1+L130)*(LOOKUP(D130,'模拟-单技能数据'!$A$2:$A$19,'模拟-单技能数据'!$D$2:$D$19)+G130*LOOKUP(D130,'模拟-单技能数据'!$A$2:$A$19,'模拟-单技能数据'!$F$2:$F$19))*(1+J130)*(1+K130)*(1-S130)*(1+U130)*Q130*LOOKUP(D130,'模拟-单技能数据'!$A$2:$A$19,'模拟-单技能数据'!$I$2:$I$20)</f>
        <v>110503.35617153208</v>
      </c>
      <c r="W130" s="47">
        <f ca="1">LOOKUP(D130,'模拟-单技能数据'!$A$2:$A$19,'模拟-单技能数据'!$G$2:$G$19)*$I$10</f>
        <v>361.51064354704795</v>
      </c>
      <c r="X130" s="47">
        <f t="shared" ca="1" si="87"/>
        <v>9218.9345386263849</v>
      </c>
      <c r="Y130" s="47">
        <f t="shared" ca="1" si="88"/>
        <v>120083.80135370552</v>
      </c>
      <c r="Z130" s="49">
        <f t="shared" ca="1" si="89"/>
        <v>10769043.167077163</v>
      </c>
      <c r="AA130" s="97">
        <f t="shared" ca="1" si="90"/>
        <v>113337.47117191221</v>
      </c>
      <c r="AB130" s="115">
        <f ca="1">IF(OR(C130="赤日轮1",C130="赤日轮2",C130="赤日轮3"),IF(RAND()&lt;模拟模式!$Y$17,1,0),IF(OR(C130="幽月轮1",C130="幽月轮2",C130="幽月轮3"),IF(RAND()&lt;模拟模式!$Y$18,1,0),IF(C130="烈日斩",IF(RAND()&lt;模拟模式!$Y$19,1,0),IF(C130="银月斩",IF(RAND()&lt;模拟模式!$Y$20,1,0),IF(C130="驱夜断愁",IF(RAND()&lt;模拟模式!$Y$21,1,0),IF(C130="净世破魔击·日",IF(RAND()&lt;模拟模式!$Y$22,1,0),IF(C130="净世破魔击·月",IF(RAND()&lt;模拟模式!$Y$23,1,0),0)))))))</f>
        <v>1</v>
      </c>
      <c r="AC130" s="115" t="b">
        <f t="shared" ref="AC130:AC193" ca="1" si="122">C130="银月斩"</f>
        <v>0</v>
      </c>
      <c r="AD130" s="115" t="b">
        <f t="shared" ca="1" si="118"/>
        <v>1</v>
      </c>
      <c r="AE130" s="115">
        <f t="shared" ca="1" si="119"/>
        <v>4</v>
      </c>
      <c r="AF130" s="47">
        <f ca="1">IF(AC130,('模拟-单技能数据'!$D$20+G130*'模拟-单技能数据'!$F$20)*(1+J130)*(1+'模拟-单技能数据'!$J$20)*(1+U130),0)</f>
        <v>0</v>
      </c>
      <c r="AG130" s="61">
        <f t="shared" ca="1" si="91"/>
        <v>0.64185145527300214</v>
      </c>
      <c r="AH130" s="61">
        <f t="shared" ca="1" si="92"/>
        <v>2.2624828854998791</v>
      </c>
      <c r="AI130" s="62">
        <f t="shared" ca="1" si="93"/>
        <v>0.21186199367174496</v>
      </c>
      <c r="AJ130" s="47">
        <f ca="1">IF(AD130,IF(AI130&lt;$F$10,0,IF(AI130&lt;$F$10+$F$11,0.25,IF(AI130&lt;$F$10+$F$11+AG130,AH130,1)))*IF(AF130&gt;0,AF130,IF(AF129&gt;0,AF129,IF(AF128&gt;0,AF128,IF(AF127&gt;0,AF127,IF(AF126&gt;0,AF126,IF(AF125&gt;0,AF125,IF(AF124&gt;0,AF124,IF(AF123&gt;0,AF123,IF(AF122&gt;0,AF122,IF(AF120&gt;0,AF120,IF(AF119&gt;0,AF119,IF(AF118&gt;0,AF118,0)))))))))))),0)*(1-$S130)*'模拟-单技能数据'!$I$20</f>
        <v>9218.9345386263849</v>
      </c>
      <c r="AK130" s="115" t="b">
        <f t="shared" ref="AK130:AK193" ca="1" si="123">C130="净世破魔击·日"</f>
        <v>0</v>
      </c>
      <c r="AL130" s="115" t="b">
        <f t="shared" ca="1" si="120"/>
        <v>0</v>
      </c>
      <c r="AM130" s="115">
        <f t="shared" ca="1" si="121"/>
        <v>4</v>
      </c>
      <c r="AN130" s="47">
        <f ca="1">IF(AK130,('模拟-单技能数据'!$D$21+G130*'模拟-单技能数据'!$F$21)*(1+J130)*(1+'模拟-单技能数据'!$J$21)*(1+U130),0)</f>
        <v>0</v>
      </c>
      <c r="AO130" s="61">
        <f ca="1">IF(AN130&gt;0,M130-'模拟-单技能数据'!$K$10,AO129)</f>
        <v>0.42185145527300216</v>
      </c>
      <c r="AP130" s="61">
        <f ca="1">IF(AN130&gt;0,I130-'模拟-单技能数据'!$L$10,AP129)</f>
        <v>2.162482885499879</v>
      </c>
      <c r="AQ130" s="63">
        <f t="shared" ca="1" si="94"/>
        <v>0.95571424842650432</v>
      </c>
      <c r="AR130" s="64">
        <f ca="1">IF(AL130,IF(AQ130&lt;$F$10,0,IF(AQ130&lt;$F$10+$F$11,0.25,IF(AQ130&lt;$F$10+$F$11+AO130,AP130,1)))*IF(AN130&gt;0,AN130,IF(AN129&gt;0,AN129,IF(AN128&gt;0,AN128,IF(AN127&gt;0,AN127,IF(AN126&gt;0,AN126,IF(AN125&gt;0,AN125,IF(AN124&gt;0,AN124,IF(AN123&gt;0,AN123,IF(AN122&gt;0,AN122,IF(AN120&gt;0,AN120,IF(AN119&gt;0,AN119,IF(AN118&gt;0,AN118,0)))))))))))),0)*(1-$S130)*'模拟-单技能数据'!$I$21</f>
        <v>0</v>
      </c>
      <c r="AS130" s="61">
        <f ca="1">IF(OR(C130="净世破魔击·日",C130="净世破魔击·月"),M130-'模拟-单技能数据'!$K$10,0)</f>
        <v>0</v>
      </c>
      <c r="AT130" s="61">
        <f ca="1">IF(OR(C130="净世破魔击·日",C130="净世破魔击·月"),I130-'模拟-单技能数据'!$L$10,0)</f>
        <v>0</v>
      </c>
      <c r="AU130" s="62">
        <f t="shared" ca="1" si="95"/>
        <v>0.63458856497058158</v>
      </c>
      <c r="AV130" s="64">
        <f ca="1">IF(AS130&gt;0,('模拟-单技能数据'!$D$22+G130*'模拟-单技能数据'!$F$22)*(1+J130)*(1-S130)*IF(AU130&lt;$F$10,0,IF(AU130&lt;$F$10+$F$11,0.25,IF(AU130&lt;$F$10+$F$11+AS130,AT130,1)))*(1+U130),0)*'模拟-单技能数据'!$I$22</f>
        <v>0</v>
      </c>
      <c r="AW130" s="108">
        <f t="shared" ca="1" si="96"/>
        <v>8.0075000000000074</v>
      </c>
      <c r="AX130" s="108" t="b">
        <f ca="1">AND(模拟模式!$P$10="有",AW129=0,RAND()&lt;IF(C130="净世破魔击·月",0.1*8/3,IF(C130="净世破魔击·日",0.1*4/3,0.1*2/3)))</f>
        <v>0</v>
      </c>
      <c r="AY130" s="47">
        <f ca="1">IF(AX130,(18+G130*0.722)*(1+J130)*(1-S130)*(1+$I$4)*IF(P130="会",'模拟-全程加成'!$J$3+'模拟-全程加成'!$J$4+'模拟-全程加成'!$J$5+('模拟-全程加成'!$I$4+'模拟-全程加成'!$I$5)/系数!$B$4+BG130*10%,IF(P130="命",1,IF(P130="识",0.25,0))),0)</f>
        <v>0</v>
      </c>
      <c r="AZ130" s="108">
        <f t="shared" si="97"/>
        <v>6.1625000000000068</v>
      </c>
      <c r="BA130" s="108" t="b">
        <f>AND(模拟模式!$Q$10="有",AZ129=0)</f>
        <v>0</v>
      </c>
      <c r="BB130" s="140">
        <f>IF(BA130,(0+G130*0.287)*(1+J130)*(1-S130)*(1+$I$4)*IF(P130="会",'模拟-全程加成'!$J$3+'模拟-全程加成'!$J$4+'模拟-全程加成'!$J$5+('模拟-全程加成'!$I$4+'模拟-全程加成'!$I$5)/系数!$B$4+BG130*10%,IF(P130="命",1,IF(P130="识",0.25,0))),0)</f>
        <v>0</v>
      </c>
      <c r="BC130" s="115" t="b">
        <f ca="1">AND(模拟模式!$R$7="伏明众生",E130=60,F130=20,DA130&lt;5,CZ129&lt;$F$4)</f>
        <v>0</v>
      </c>
      <c r="BD130" s="115">
        <f t="shared" ref="BD130:BD193" ca="1" si="124">IF(BC130,6-$F$4,MAX(0,BD129-$F$4))</f>
        <v>0</v>
      </c>
      <c r="BE130" s="115" t="b">
        <f t="shared" ref="BE130:BE193" ca="1" si="125">AND(BD129&gt;0,BD129-$F$4&lt;0)</f>
        <v>0</v>
      </c>
      <c r="BF130" s="47">
        <f ca="1">IF(BC130,4*('模拟-单技能数据'!$D$24+G130*'模拟-单技能数据'!$F$24)*(1+J130)*(1+'模拟-单技能数据'!$J$24)*(1-S130)*(1+$I$3)*(('模拟-全程加成'!$J$3+'模拟-全程加成'!$J$4+'模拟-全程加成'!$J$5+('模拟-全程加成'!$I$4+'模拟-全程加成'!$I$5)/系数!$B$4+BG130*10%)*('模拟-全程加成'!$J$3+'模拟-全程加成'!$J$4+'模拟-全程加成'!$J$5+('模拟-全程加成'!$I$4+'模拟-全程加成'!$I$5)/系数!$B$4+BG130*10%)+(1-('模拟-全程加成'!$J$3+'模拟-全程加成'!$J$4+'模拟-全程加成'!$J$5+('模拟-全程加成'!$I$4+'模拟-全程加成'!$I$5)/系数!$B$4+BG130*10%)-$F$10-$F$11)+F116*0.25),0)*'模拟-单技能数据'!$I$24</f>
        <v>0</v>
      </c>
      <c r="BG130" s="115" t="b">
        <f ca="1">OR(AND(OR(C130="烈日斩",C130="银月斩"),模拟模式!$I$7="净身明礼"),AND(C130="净世破魔击·日",模拟模式!$J$7="洞若观火"),AND(C131="净世破魔击·月",模拟模式!$J$7="洞若观火"),AB130=1)</f>
        <v>1</v>
      </c>
      <c r="BH130" s="115" t="b">
        <f t="shared" ca="1" si="98"/>
        <v>1</v>
      </c>
      <c r="BI130" s="115">
        <f t="shared" ref="BI130:BI193" ca="1" si="126">IF(BH130,6,MAX(0,BI129-$F$4))</f>
        <v>6</v>
      </c>
      <c r="BJ130" s="115" t="b">
        <f t="shared" ca="1" si="99"/>
        <v>1</v>
      </c>
      <c r="BK130" s="115" t="b">
        <f ca="1">AND(C130="驱夜断愁",模拟模式!$P$7="天地诛戮")</f>
        <v>0</v>
      </c>
      <c r="BL130" s="57">
        <f t="shared" ref="BL130:BL193" ca="1" si="127">IF(BK130,20,MAX(0,BL129-$F$4))</f>
        <v>19.077500000000001</v>
      </c>
      <c r="BM130" s="115" t="b">
        <f t="shared" ca="1" si="100"/>
        <v>1</v>
      </c>
      <c r="BN130" s="115" t="b">
        <f ca="1">AND(OR(C130="赤日轮1",C130="赤日轮2",C130="赤日轮3",C130="幽月轮1",C130="幽月轮2",C130="幽月轮3"),AB130=1,模拟模式!$L$7="明光恒照")</f>
        <v>0</v>
      </c>
      <c r="BO130" s="117">
        <f t="shared" ref="BO130:BO193" ca="1" si="128">IF(BN130,30,MAX(0,BO129-$F$4))</f>
        <v>27.232500000000002</v>
      </c>
      <c r="BP130" s="115">
        <f t="shared" ca="1" si="101"/>
        <v>6</v>
      </c>
      <c r="BQ130" s="115" t="b">
        <f>模拟模式!$K$10="2600·水"</f>
        <v>0</v>
      </c>
      <c r="BR130" s="117">
        <f t="shared" si="102"/>
        <v>0</v>
      </c>
      <c r="BS130" s="115">
        <f t="shared" si="103"/>
        <v>0</v>
      </c>
      <c r="BT130" s="115">
        <f t="shared" ca="1" si="104"/>
        <v>0</v>
      </c>
      <c r="BU130" s="115" t="b">
        <f ca="1">AND(模拟模式!$K$10="2300·雷",BT129=0,RAND()&lt;IF(C130="净世破魔击·月",5*0.05*2/3,IF(C130="净世破魔击·日",3*0.05*2/3,0.05*2*2/3)))</f>
        <v>0</v>
      </c>
      <c r="BV130" s="115">
        <f t="shared" ca="1" si="105"/>
        <v>0</v>
      </c>
      <c r="BW130" s="115">
        <f t="shared" ca="1" si="106"/>
        <v>90.517499999999259</v>
      </c>
      <c r="BX130" s="164" t="b">
        <f t="shared" ca="1" si="107"/>
        <v>0</v>
      </c>
      <c r="BY130" s="115">
        <f t="shared" ca="1" si="108"/>
        <v>0</v>
      </c>
      <c r="BZ130" s="115">
        <f>IF(OR(模拟模式!$P$16="10人团",模拟模式!$P$16="25人团"),IF(B130/30&gt;CA129,1,0),0)</f>
        <v>0</v>
      </c>
      <c r="CA130" s="115">
        <f t="shared" si="74"/>
        <v>0</v>
      </c>
      <c r="CB130" s="115">
        <f ca="1">IF(BZ130=1,IF(模拟模式!$P$16="10人团",15,0)+IF(模拟模式!$P$16="25人团",IF(RAND()&lt;0.6,15,0)),MAX(0,CB129-$F$4))</f>
        <v>0</v>
      </c>
      <c r="CC130" s="115" t="b">
        <f t="shared" ca="1" si="109"/>
        <v>0</v>
      </c>
      <c r="CD130" s="115">
        <f>IF(模拟模式!$Q$16="1个",IF(B130/40&gt;CE129,1,0),0)</f>
        <v>0</v>
      </c>
      <c r="CE130" s="115">
        <f t="shared" si="110"/>
        <v>0</v>
      </c>
      <c r="CF130" s="115">
        <f>IF(OR(CD130=1,模拟模式!$Q$16="2个"),20,MAX(0,CF129-$F$4))</f>
        <v>0</v>
      </c>
      <c r="CG130" s="115" t="b">
        <f t="shared" si="111"/>
        <v>0</v>
      </c>
      <c r="CH130" s="115">
        <f t="shared" ca="1" si="112"/>
        <v>4.1700000000000115</v>
      </c>
      <c r="CI130" s="115" t="b">
        <f t="shared" ca="1" si="113"/>
        <v>0</v>
      </c>
      <c r="CJ130" s="119">
        <f t="shared" ca="1" si="114"/>
        <v>0</v>
      </c>
      <c r="CK130" s="115">
        <f t="shared" ca="1" si="115"/>
        <v>0</v>
      </c>
      <c r="CL130" s="115" t="b">
        <f ca="1">AND(模拟模式!$S$7="驱夷逐法",OR(AND(C130="净世破魔击·月",E129&gt;59),AND(C130="净世破魔击·日",F129&gt;59)))</f>
        <v>0</v>
      </c>
      <c r="CM130" s="115" t="b">
        <f ca="1">OR(CL130,AND(C130="净世破魔击·日",CL129,RAND()&lt;模拟模式!$U$23))</f>
        <v>0</v>
      </c>
      <c r="CN130" s="115" t="b">
        <f ca="1">IF(模拟模式!$M$7="辉耀红尘",AND(C130="净世破魔击·月",CL130,CV130=0,E129&lt;80),AND(C130="净世破魔击·月",CL130,E129&lt;100))</f>
        <v>0</v>
      </c>
      <c r="CO130" s="115" t="b">
        <f t="shared" ca="1" si="75"/>
        <v>0</v>
      </c>
      <c r="CP130" s="115" t="b">
        <f ca="1">AND(模拟模式!$O$7="用晦而明",OR(C130="净世破魔击·日",C130="净世破魔击·月",C130="驱夜断愁"),AB130)</f>
        <v>0</v>
      </c>
      <c r="CQ130" s="115" t="b">
        <f ca="1">OR(CP130,AND(CP129,RAND()&lt;模拟模式!$U$23))</f>
        <v>1</v>
      </c>
      <c r="CR130" s="115" t="b">
        <f ca="1">AND(模拟模式!$S$7="日月齐光",OR(C130="幽月轮1",C130="幽月轮2",C130="幽月轮3",CR129),NOT(OR(C130="赤日轮1",C130="赤日轮2",C130="赤日轮3")))</f>
        <v>0</v>
      </c>
      <c r="CS130" s="115" t="b">
        <f ca="1">AND(模拟模式!$S$7="日月齐光",OR(C130="赤日轮1",C130="赤日轮2",C130="赤日轮3",CS129),NOT(OR(C130="幽月轮1",C130="幽月轮2",C130="幽月轮3")))</f>
        <v>0</v>
      </c>
      <c r="CT130" s="115">
        <f t="shared" ca="1" si="116"/>
        <v>0</v>
      </c>
      <c r="CU130" s="115" t="b">
        <f ca="1">AND(模拟模式!$K$10="阴阳往极",CT129=0,RAND()&lt;IF(C130="净世破魔击·月",0.0275*7/3,IF(C130="净世破魔击·日",0.0275*3/3,0.0275*2/3)))</f>
        <v>0</v>
      </c>
      <c r="CV130" s="115">
        <f t="shared" ca="1" si="117"/>
        <v>0</v>
      </c>
      <c r="CW130" s="115">
        <f t="shared" ca="1" si="76"/>
        <v>6</v>
      </c>
      <c r="CX130" s="115">
        <f t="shared" ca="1" si="77"/>
        <v>4.1549999999999994</v>
      </c>
      <c r="CY130" s="115">
        <f ca="1">MAX(IF($C130="驱夜断愁",IF(模拟模式!$R$7="万念俱寂",6,45),CY129-$F$4),0)</f>
        <v>5.0774999999999997</v>
      </c>
      <c r="CZ130" s="115">
        <f t="shared" ca="1" si="78"/>
        <v>0</v>
      </c>
      <c r="DA130" s="115">
        <f ca="1">IF(模拟模式!$N$7="日月同辉",IF(DB129=2,0,MIN(6,IF(AND(OR(C130="赤日轮1",C130="赤日轮2",C130="赤日轮3",C130="幽月轮1",C130="幽月轮2",C130="幽月轮3"),AB130=1),DA129+1,DA129))),0)</f>
        <v>0</v>
      </c>
      <c r="DB130" s="115">
        <f t="shared" ca="1" si="79"/>
        <v>2</v>
      </c>
      <c r="DC130" s="115"/>
      <c r="DD130" s="115"/>
      <c r="DE130" s="115"/>
      <c r="DF130" s="115"/>
      <c r="DG130" s="115"/>
      <c r="DH130" s="115"/>
      <c r="DI130" s="115"/>
      <c r="DJ130" s="115"/>
      <c r="DK130" s="115"/>
      <c r="DL130" s="115"/>
      <c r="DM130" s="115"/>
    </row>
    <row r="131" spans="2:117" x14ac:dyDescent="0.2">
      <c r="B131" s="117">
        <f t="shared" si="80"/>
        <v>95.939999999999955</v>
      </c>
      <c r="C131" s="167" t="str">
        <f t="shared" ca="1" si="66"/>
        <v>幽月轮1</v>
      </c>
      <c r="D131" s="115">
        <f ca="1">IF(C131="赤日轮1",1,IF(C131="赤日轮2",2,IF(C131="赤日轮3",3,IF(C131="幽月轮1",4,IF(C131="幽月轮2",5,IF(C131="幽月轮3",6,IF(C131="烈日斩",7,IF(C131="银月斩",8,IF(C131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131="净世破魔击·月",17,IF(C131="驱夜断愁",18,0)))))))))))</f>
        <v>4</v>
      </c>
      <c r="E131" s="115">
        <f ca="1">IF(AND(CU131,OR(C131="幽月轮1",C131="幽月轮2",C131="幽月轮3",C131="银月斩",C131="驱夜断愁",C131="净世破魔击·月")),100,MIN(IF(OR(CN131,BE131),0,IF(OR($C131="赤日轮1",$C131="赤日轮2",$C131="赤日轮3"),E130+20+IF(模拟模式!$I$7="日月凌天",4,0)+IF(CR130,20,0),IF($C131="烈日斩",E130+40,IF($C131="驱夜断愁",IF(模拟模式!$R$7="万念俱寂",E130+20,E130+60),IF($C131="净世破魔击·月",IF(OR(DB130&gt;0,CV130&gt;0),100,IF(模拟模式!$M$7="辉耀红尘",E130+20,E130)),IF($C131="净世破魔击·日",E130-100,E130)))))),100))</f>
        <v>80</v>
      </c>
      <c r="F131" s="115">
        <f ca="1">IF(AND(CU131,OR(C131="赤日轮1",C131="赤日轮2",C131="赤日轮3",C131="烈日斩",C131="净世破魔击·日")),100,MIN(IF(CO131,0,IF(OR($C131="幽月轮1",$C131="幽月轮2",$C131="幽月轮3"),F130+20+IF(模拟模式!$I$7="日月凌天",4,0)+IF(CS130,20,0),IF($C131="银月斩",F130+40+IF(模拟模式!$X$12=1,5,0),IF($C131="驱夜断愁",IF(模拟模式!$R$7="万念俱寂",F130+20,F130+60),IF($C131="净世破魔击·月",IF(模拟模式!$M$7="辉耀红尘",F130-80,F130-100),IF(AND(C131="净世破魔击·日",OR(DB130&gt;0,CV130&gt;0)),100,F130)))))),100))</f>
        <v>100</v>
      </c>
      <c r="G131" s="117">
        <f ca="1">('模拟-全程加成'!$E$3+'模拟-全程加成'!$E$4+'模拟-全程加成'!$E$5+('模拟-全程加成'!$C$6-'模拟-全程加成'!$C$3)*系数!$B$9+BS131*23)*(1+'模拟-全程加成'!$F$4+'模拟-全程加成'!$F$5+BJ131*10%+BM131*20%+BP131*4%+CG131*30%)+$F$7*系数!$B$12</f>
        <v>21493.829400000002</v>
      </c>
      <c r="H131" s="45">
        <f ca="1">'模拟-全程加成'!$H$3+'模拟-全程加成'!$H$4+'模拟-全程加成'!$H$5+('模拟-全程加成'!$G$4+'模拟-全程加成'!$G$5+('模拟-全程加成'!$C$6-'模拟-全程加成'!$C$3)*系数!$B$13)/系数!$B$3+LOOKUP(D131,'模拟-单技能数据'!$A$2:$A$19,'模拟-单技能数据'!$K$2:$K$19)+BG131*10%+IF(BV131&gt;0,378,0)</f>
        <v>0.51185145527300213</v>
      </c>
      <c r="I131" s="45">
        <f ca="1">'模拟-全程加成'!$J$3+'模拟-全程加成'!$J$4+'模拟-全程加成'!$J$5+('模拟-全程加成'!$I$4+'模拟-全程加成'!$I$5)/系数!$B$4+LOOKUP(D131,'模拟-单技能数据'!$A$2:$A$19,'模拟-单技能数据'!$L$2:$L$19)+BG131*10%</f>
        <v>2.162482885499879</v>
      </c>
      <c r="J131" s="45">
        <f ca="1">(('模拟-全程加成'!$K$3+'模拟-全程加成'!$K$4+'模拟-全程加成'!$K$5+('模拟-全程加成'!$C$6-'模拟-全程加成'!$C$3)*系数!$B$10+IF(BV131&gt;0,882,0)+IF(BY131&gt;0,1831,0))*(1+'模拟-全程加成'!$L$4+'模拟-全程加成'!$L$5+CC131*20%))/系数!$B$5</f>
        <v>0.69723220422048726</v>
      </c>
      <c r="K131" s="119">
        <f ca="1">LOOKUP(D131,'模拟-单技能数据'!$A$2:$A$19,'模拟-单技能数据'!$J$2:$J$19)+IF(CM131,60%,0)+IF(DB130-DB131&gt;0,30%,0)+IF(OR(AND(OR(C131="赤日轮1",C131="赤日轮2",C131="赤日轮3"),CR131),AND(OR(C131="幽月轮1",C131="幽月轮2",C131="幽月轮3"),CS131)),35%,0)+CJ131</f>
        <v>7.0000000000000007E-2</v>
      </c>
      <c r="L131" s="119">
        <f ca="1">IF(AND(C131="烈日斩",模拟模式!$X$11=1),10%,0)+IF(AND(C131="驱夜断愁",AB131=1),30%,0)</f>
        <v>0</v>
      </c>
      <c r="M131" s="45">
        <f t="shared" ref="M131:M194" ca="1" si="129">MIN(H131,1-$F$10-$F$11)</f>
        <v>0.51185145527300213</v>
      </c>
      <c r="N131" s="45">
        <f t="shared" ref="N131:N194" ca="1" si="130">1-$F$10-$F$11-M131</f>
        <v>0.43424854472699792</v>
      </c>
      <c r="O131" s="46">
        <f t="shared" ca="1" si="83"/>
        <v>0.44291770178589918</v>
      </c>
      <c r="P131" s="46" t="str">
        <f t="shared" ca="1" si="84"/>
        <v>会</v>
      </c>
      <c r="Q131" s="45">
        <f t="shared" ca="1" si="85"/>
        <v>2.162482885499879</v>
      </c>
      <c r="R131" s="117">
        <f ca="1">模拟模式!$E$20*(1-IF(模拟模式!$J$19="有",0.15,0))*(1-IF(模拟模式!$K$19="有",0.3,0)-IF(CQ131,0.5,0))</f>
        <v>2950.6049999999996</v>
      </c>
      <c r="S131" s="45">
        <f ca="1">R131/(R131+(185*模拟模式!$E$22-16800)*4.08224)</f>
        <v>0.24272716014590323</v>
      </c>
      <c r="T131" s="45" t="str">
        <f ca="1">LOOKUP(D131,'模拟-单技能数据'!$A$2:$A$19,'模拟-单技能数据'!$H$2:$H$19)</f>
        <v>阴</v>
      </c>
      <c r="U131" s="119">
        <f t="shared" ref="U131:U194" ca="1" si="131">IF(T131="阳",$I$3,IF(T131="阴",$I$4,0))</f>
        <v>0.08</v>
      </c>
      <c r="V131" s="47">
        <f ca="1">(1+L131)*(LOOKUP(D131,'模拟-单技能数据'!$A$2:$A$19,'模拟-单技能数据'!$D$2:$D$19)+G131*LOOKUP(D131,'模拟-单技能数据'!$A$2:$A$19,'模拟-单技能数据'!$F$2:$F$19))*(1+J131)*(1+K131)*(1-S131)*(1+U131)*Q131*LOOKUP(D131,'模拟-单技能数据'!$A$2:$A$19,'模拟-单技能数据'!$I$2:$I$20)</f>
        <v>36630.702053185581</v>
      </c>
      <c r="W131" s="47">
        <f ca="1">LOOKUP(D131,'模拟-单技能数据'!$A$2:$A$19,'模拟-单技能数据'!$G$2:$G$19)*$I$10</f>
        <v>361.51064354704795</v>
      </c>
      <c r="X131" s="47">
        <f t="shared" ca="1" si="87"/>
        <v>9190.6918139866902</v>
      </c>
      <c r="Y131" s="47">
        <f t="shared" ref="Y131:Y194" ca="1" si="132">V131+W131+X131</f>
        <v>46182.904510719323</v>
      </c>
      <c r="Z131" s="49">
        <f t="shared" ref="Z131:Z194" ca="1" si="133">Z130+Y131</f>
        <v>10815226.071587883</v>
      </c>
      <c r="AA131" s="97">
        <f t="shared" ref="AA131:AA194" ca="1" si="134">Z131/B131</f>
        <v>112729.06057523335</v>
      </c>
      <c r="AB131" s="115">
        <f ca="1">IF(OR(C131="赤日轮1",C131="赤日轮2",C131="赤日轮3"),IF(RAND()&lt;模拟模式!$Y$17,1,0),IF(OR(C131="幽月轮1",C131="幽月轮2",C131="幽月轮3"),IF(RAND()&lt;模拟模式!$Y$18,1,0),IF(C131="烈日斩",IF(RAND()&lt;模拟模式!$Y$19,1,0),IF(C131="银月斩",IF(RAND()&lt;模拟模式!$Y$20,1,0),IF(C131="驱夜断愁",IF(RAND()&lt;模拟模式!$Y$21,1,0),IF(C131="净世破魔击·日",IF(RAND()&lt;模拟模式!$Y$22,1,0),IF(C131="净世破魔击·月",IF(RAND()&lt;模拟模式!$Y$23,1,0),0)))))))</f>
        <v>1</v>
      </c>
      <c r="AC131" s="115" t="b">
        <f t="shared" ca="1" si="122"/>
        <v>0</v>
      </c>
      <c r="AD131" s="115" t="b">
        <f t="shared" ca="1" si="118"/>
        <v>0</v>
      </c>
      <c r="AE131" s="115">
        <f t="shared" ca="1" si="119"/>
        <v>4</v>
      </c>
      <c r="AF131" s="47">
        <f ca="1">IF(AC131,('模拟-单技能数据'!$D$20+G131*'模拟-单技能数据'!$F$20)*(1+J131)*(1+'模拟-单技能数据'!$J$20)*(1+U131),0)</f>
        <v>0</v>
      </c>
      <c r="AG131" s="61">
        <f t="shared" ref="AG131:AG194" ca="1" si="135">IF(AF131&gt;0,M131,AG130)</f>
        <v>0.64185145527300214</v>
      </c>
      <c r="AH131" s="61">
        <f t="shared" ref="AH131:AH194" ca="1" si="136">IF(AF131&gt;0,I131,AH130)</f>
        <v>2.2624828854998791</v>
      </c>
      <c r="AI131" s="62">
        <f t="shared" ca="1" si="93"/>
        <v>0.7801816898893762</v>
      </c>
      <c r="AJ131" s="47">
        <f ca="1">IF(AD131,IF(AI131&lt;$F$10,0,IF(AI131&lt;$F$10+$F$11,0.25,IF(AI131&lt;$F$10+$F$11+AG131,AH131,1)))*IF(AF131&gt;0,AF131,IF(AF130&gt;0,AF130,IF(AF129&gt;0,AF129,IF(AF128&gt;0,AF128,IF(AF127&gt;0,AF127,IF(AF126&gt;0,AF126,IF(AF125&gt;0,AF125,IF(AF124&gt;0,AF124,IF(AF123&gt;0,AF123,IF(AF121&gt;0,AF121,IF(AF120&gt;0,AF120,IF(AF119&gt;0,AF119,0)))))))))))),0)*(1-$S131)*'模拟-单技能数据'!$I$20</f>
        <v>0</v>
      </c>
      <c r="AK131" s="115" t="b">
        <f t="shared" ca="1" si="123"/>
        <v>0</v>
      </c>
      <c r="AL131" s="115" t="b">
        <f t="shared" ca="1" si="120"/>
        <v>1</v>
      </c>
      <c r="AM131" s="115">
        <f t="shared" ca="1" si="121"/>
        <v>3</v>
      </c>
      <c r="AN131" s="47">
        <f ca="1">IF(AK131,('模拟-单技能数据'!$D$21+G131*'模拟-单技能数据'!$F$21)*(1+J131)*(1+'模拟-单技能数据'!$J$21)*(1+U131),0)</f>
        <v>0</v>
      </c>
      <c r="AO131" s="61">
        <f ca="1">IF(AN131&gt;0,M131-'模拟-单技能数据'!$K$10,AO130)</f>
        <v>0.42185145527300216</v>
      </c>
      <c r="AP131" s="61">
        <f ca="1">IF(AN131&gt;0,I131-'模拟-单技能数据'!$L$10,AP130)</f>
        <v>2.162482885499879</v>
      </c>
      <c r="AQ131" s="63">
        <f t="shared" ca="1" si="94"/>
        <v>0.55735618371579043</v>
      </c>
      <c r="AR131" s="64">
        <f ca="1">IF(AL131,IF(AQ131&lt;$F$10,0,IF(AQ131&lt;$F$10+$F$11,0.25,IF(AQ131&lt;$F$10+$F$11+AO131,AP131,1)))*IF(AN131&gt;0,AN131,IF(AN130&gt;0,AN130,IF(AN129&gt;0,AN129,IF(AN128&gt;0,AN128,IF(AN127&gt;0,AN127,IF(AN126&gt;0,AN126,IF(AN125&gt;0,AN125,IF(AN124&gt;0,AN124,IF(AN123&gt;0,AN123,IF(AN121&gt;0,AN121,IF(AN120&gt;0,AN120,IF(AN119&gt;0,AN119,0)))))))))))),0)*(1-$S131)*'模拟-单技能数据'!$I$21</f>
        <v>9190.6918139866902</v>
      </c>
      <c r="AS131" s="61">
        <f ca="1">IF(OR(C131="净世破魔击·日",C131="净世破魔击·月"),M131-'模拟-单技能数据'!$K$10,0)</f>
        <v>0</v>
      </c>
      <c r="AT131" s="61">
        <f ca="1">IF(OR(C131="净世破魔击·日",C131="净世破魔击·月"),I131-'模拟-单技能数据'!$L$10,0)</f>
        <v>0</v>
      </c>
      <c r="AU131" s="62">
        <f t="shared" ca="1" si="95"/>
        <v>0.27054062578896998</v>
      </c>
      <c r="AV131" s="64">
        <f ca="1">IF(AS131&gt;0,('模拟-单技能数据'!$D$22+G131*'模拟-单技能数据'!$F$22)*(1+J131)*(1-S131)*IF(AU131&lt;$F$10,0,IF(AU131&lt;$F$10+$F$11,0.25,IF(AU131&lt;$F$10+$F$11+AS131,AT131,1)))*(1+U131),0)*'模拟-单技能数据'!$I$22</f>
        <v>0</v>
      </c>
      <c r="AW131" s="108">
        <f t="shared" ca="1" si="96"/>
        <v>7.0850000000000071</v>
      </c>
      <c r="AX131" s="108" t="b">
        <f ca="1">AND(模拟模式!$P$10="有",AW130=0,RAND()&lt;IF(C131="净世破魔击·月",0.1*8/3,IF(C131="净世破魔击·日",0.1*4/3,0.1*2/3)))</f>
        <v>0</v>
      </c>
      <c r="AY131" s="47">
        <f ca="1">IF(AX131,(18+G131*0.722)*(1+J131)*(1-S131)*(1+$I$4)*IF(P131="会",'模拟-全程加成'!$J$3+'模拟-全程加成'!$J$4+'模拟-全程加成'!$J$5+('模拟-全程加成'!$I$4+'模拟-全程加成'!$I$5)/系数!$B$4+BG131*10%,IF(P131="命",1,IF(P131="识",0.25,0))),0)</f>
        <v>0</v>
      </c>
      <c r="AZ131" s="108">
        <f t="shared" si="97"/>
        <v>5.2400000000000064</v>
      </c>
      <c r="BA131" s="108" t="b">
        <f>AND(模拟模式!$Q$10="有",AZ130=0)</f>
        <v>0</v>
      </c>
      <c r="BB131" s="140">
        <f>IF(BA131,(0+G131*0.287)*(1+J131)*(1-S131)*(1+$I$4)*IF(P131="会",'模拟-全程加成'!$J$3+'模拟-全程加成'!$J$4+'模拟-全程加成'!$J$5+('模拟-全程加成'!$I$4+'模拟-全程加成'!$I$5)/系数!$B$4+BG131*10%,IF(P131="命",1,IF(P131="识",0.25,0))),0)</f>
        <v>0</v>
      </c>
      <c r="BC131" s="115" t="b">
        <f ca="1">AND(模拟模式!$R$7="伏明众生",E131=60,F131=20,DA131&lt;5,CZ130&lt;$F$4)</f>
        <v>0</v>
      </c>
      <c r="BD131" s="115">
        <f t="shared" ca="1" si="124"/>
        <v>0</v>
      </c>
      <c r="BE131" s="115" t="b">
        <f t="shared" ca="1" si="125"/>
        <v>0</v>
      </c>
      <c r="BF131" s="47">
        <f ca="1">IF(BC131,4*('模拟-单技能数据'!$D$24+G131*'模拟-单技能数据'!$F$24)*(1+J131)*(1+'模拟-单技能数据'!$J$24)*(1-S131)*(1+$I$3)*(('模拟-全程加成'!$J$3+'模拟-全程加成'!$J$4+'模拟-全程加成'!$J$5+('模拟-全程加成'!$I$4+'模拟-全程加成'!$I$5)/系数!$B$4+BG131*10%)*('模拟-全程加成'!$J$3+'模拟-全程加成'!$J$4+'模拟-全程加成'!$J$5+('模拟-全程加成'!$I$4+'模拟-全程加成'!$I$5)/系数!$B$4+BG131*10%)+(1-('模拟-全程加成'!$J$3+'模拟-全程加成'!$J$4+'模拟-全程加成'!$J$5+('模拟-全程加成'!$I$4+'模拟-全程加成'!$I$5)/系数!$B$4+BG131*10%)-$F$10-$F$11)+F117*0.25),0)*'模拟-单技能数据'!$I$24</f>
        <v>0</v>
      </c>
      <c r="BG131" s="115" t="b">
        <f ca="1">OR(AND(OR(C131="烈日斩",C131="银月斩"),模拟模式!$I$7="净身明礼"),AND(C131="净世破魔击·日",模拟模式!$J$7="洞若观火"),AND(C132="净世破魔击·月",模拟模式!$J$7="洞若观火"),AB131=1)</f>
        <v>1</v>
      </c>
      <c r="BH131" s="115" t="b">
        <f t="shared" ca="1" si="98"/>
        <v>0</v>
      </c>
      <c r="BI131" s="115">
        <f t="shared" ca="1" si="126"/>
        <v>5.0774999999999997</v>
      </c>
      <c r="BJ131" s="115" t="b">
        <f t="shared" ref="BJ131:BJ194" ca="1" si="137">BI131&gt;0</f>
        <v>1</v>
      </c>
      <c r="BK131" s="115" t="b">
        <f ca="1">AND(C131="驱夜断愁",模拟模式!$P$7="天地诛戮")</f>
        <v>0</v>
      </c>
      <c r="BL131" s="57">
        <f t="shared" ca="1" si="127"/>
        <v>18.155000000000001</v>
      </c>
      <c r="BM131" s="115" t="b">
        <f t="shared" ref="BM131:BM194" ca="1" si="138">BL131&gt;0</f>
        <v>1</v>
      </c>
      <c r="BN131" s="115" t="b">
        <f ca="1">AND(OR(C131="赤日轮1",C131="赤日轮2",C131="赤日轮3",C131="幽月轮1",C131="幽月轮2",C131="幽月轮3"),AB131=1,模拟模式!$L$7="明光恒照")</f>
        <v>1</v>
      </c>
      <c r="BO131" s="117">
        <f t="shared" ca="1" si="128"/>
        <v>30</v>
      </c>
      <c r="BP131" s="115">
        <f t="shared" ca="1" si="101"/>
        <v>6</v>
      </c>
      <c r="BQ131" s="115" t="b">
        <f>模拟模式!$K$10="2600·水"</f>
        <v>0</v>
      </c>
      <c r="BR131" s="117">
        <f t="shared" si="102"/>
        <v>0</v>
      </c>
      <c r="BS131" s="115">
        <f t="shared" si="103"/>
        <v>0</v>
      </c>
      <c r="BT131" s="115">
        <f t="shared" ca="1" si="104"/>
        <v>0</v>
      </c>
      <c r="BU131" s="115" t="b">
        <f ca="1">AND(模拟模式!$K$10="2300·雷",BT130=0,RAND()&lt;IF(C131="净世破魔击·月",5*0.05*2/3,IF(C131="净世破魔击·日",3*0.05*2/3,0.05*2*2/3)))</f>
        <v>0</v>
      </c>
      <c r="BV131" s="115">
        <f t="shared" ca="1" si="105"/>
        <v>0</v>
      </c>
      <c r="BW131" s="115">
        <f t="shared" ca="1" si="106"/>
        <v>89.59499999999926</v>
      </c>
      <c r="BX131" s="164" t="b">
        <f t="shared" ca="1" si="107"/>
        <v>0</v>
      </c>
      <c r="BY131" s="115">
        <f t="shared" ca="1" si="108"/>
        <v>0</v>
      </c>
      <c r="BZ131" s="115">
        <f>IF(OR(模拟模式!$P$16="10人团",模拟模式!$P$16="25人团"),IF(B131/30&gt;CA130,1,0),0)</f>
        <v>0</v>
      </c>
      <c r="CA131" s="115">
        <f t="shared" si="74"/>
        <v>0</v>
      </c>
      <c r="CB131" s="115">
        <f ca="1">IF(BZ131=1,IF(模拟模式!$P$16="10人团",15,0)+IF(模拟模式!$P$16="25人团",IF(RAND()&lt;0.6,15,0)),MAX(0,CB130-$F$4))</f>
        <v>0</v>
      </c>
      <c r="CC131" s="115" t="b">
        <f t="shared" ref="CC131:CC194" ca="1" si="139">CB131&gt;0</f>
        <v>0</v>
      </c>
      <c r="CD131" s="115">
        <f>IF(模拟模式!$Q$16="1个",IF(B131/40&gt;CE130,1,0),0)</f>
        <v>0</v>
      </c>
      <c r="CE131" s="115">
        <f t="shared" ref="CE131:CE194" si="140">CE130+CD131</f>
        <v>0</v>
      </c>
      <c r="CF131" s="115">
        <f>IF(OR(CD131=1,模拟模式!$Q$16="2个"),20,MAX(0,CF130-$F$4))</f>
        <v>0</v>
      </c>
      <c r="CG131" s="115" t="b">
        <f t="shared" ref="CG131:CG194" si="141">CF131&gt;0</f>
        <v>0</v>
      </c>
      <c r="CH131" s="115">
        <f t="shared" ca="1" si="112"/>
        <v>3.2475000000000116</v>
      </c>
      <c r="CI131" s="115" t="b">
        <f t="shared" ca="1" si="113"/>
        <v>0</v>
      </c>
      <c r="CJ131" s="119">
        <f t="shared" ca="1" si="114"/>
        <v>0</v>
      </c>
      <c r="CK131" s="115">
        <f t="shared" ca="1" si="115"/>
        <v>0</v>
      </c>
      <c r="CL131" s="115" t="b">
        <f ca="1">AND(模拟模式!$S$7="驱夷逐法",OR(AND(C131="净世破魔击·月",E130&gt;59),AND(C131="净世破魔击·日",F130&gt;59)))</f>
        <v>0</v>
      </c>
      <c r="CM131" s="115" t="b">
        <f ca="1">OR(CL131,AND(C131="净世破魔击·日",CL130,RAND()&lt;模拟模式!$U$23))</f>
        <v>0</v>
      </c>
      <c r="CN131" s="115" t="b">
        <f ca="1">IF(模拟模式!$M$7="辉耀红尘",AND(C131="净世破魔击·月",CL131,CV131=0,E130&lt;80),AND(C131="净世破魔击·月",CL131,E130&lt;100))</f>
        <v>0</v>
      </c>
      <c r="CO131" s="115" t="b">
        <f t="shared" ca="1" si="75"/>
        <v>0</v>
      </c>
      <c r="CP131" s="115" t="b">
        <f ca="1">AND(模拟模式!$O$7="用晦而明",OR(C131="净世破魔击·日",C131="净世破魔击·月",C131="驱夜断愁"),AB131)</f>
        <v>0</v>
      </c>
      <c r="CQ131" s="115" t="b">
        <f ca="1">OR(CP131,AND(CP130,RAND()&lt;模拟模式!$U$23))</f>
        <v>0</v>
      </c>
      <c r="CR131" s="115" t="b">
        <f ca="1">AND(模拟模式!$S$7="日月齐光",OR(C131="幽月轮1",C131="幽月轮2",C131="幽月轮3",CR130),NOT(OR(C131="赤日轮1",C131="赤日轮2",C131="赤日轮3")))</f>
        <v>0</v>
      </c>
      <c r="CS131" s="115" t="b">
        <f ca="1">AND(模拟模式!$S$7="日月齐光",OR(C131="赤日轮1",C131="赤日轮2",C131="赤日轮3",CS130),NOT(OR(C131="幽月轮1",C131="幽月轮2",C131="幽月轮3")))</f>
        <v>0</v>
      </c>
      <c r="CT131" s="115">
        <f t="shared" ca="1" si="116"/>
        <v>0</v>
      </c>
      <c r="CU131" s="115" t="b">
        <f ca="1">AND(模拟模式!$K$10="阴阳往极",CT130=0,RAND()&lt;IF(C131="净世破魔击·月",0.0275*7/3,IF(C131="净世破魔击·日",0.0275*3/3,0.0275*2/3)))</f>
        <v>0</v>
      </c>
      <c r="CV131" s="115">
        <f t="shared" ca="1" si="117"/>
        <v>0</v>
      </c>
      <c r="CW131" s="115">
        <f t="shared" ca="1" si="76"/>
        <v>5.0774999999999997</v>
      </c>
      <c r="CX131" s="115">
        <f t="shared" ca="1" si="77"/>
        <v>3.2324999999999995</v>
      </c>
      <c r="CY131" s="115">
        <f ca="1">MAX(IF($C131="驱夜断愁",IF(模拟模式!$R$7="万念俱寂",6,45),CY130-$F$4),0)</f>
        <v>4.1549999999999994</v>
      </c>
      <c r="CZ131" s="115">
        <f t="shared" ca="1" si="78"/>
        <v>0</v>
      </c>
      <c r="DA131" s="115">
        <f ca="1">IF(模拟模式!$N$7="日月同辉",IF(DB130=2,0,MIN(6,IF(AND(OR(C131="赤日轮1",C131="赤日轮2",C131="赤日轮3",C131="幽月轮1",C131="幽月轮2",C131="幽月轮3"),AB131=1),DA130+1,DA130))),0)</f>
        <v>0</v>
      </c>
      <c r="DB131" s="115">
        <f t="shared" ca="1" si="79"/>
        <v>2</v>
      </c>
      <c r="DC131" s="115"/>
      <c r="DD131" s="115"/>
      <c r="DE131" s="115"/>
      <c r="DF131" s="115"/>
      <c r="DG131" s="115"/>
      <c r="DH131" s="115"/>
      <c r="DI131" s="115"/>
      <c r="DJ131" s="115"/>
      <c r="DK131" s="115"/>
      <c r="DL131" s="115"/>
      <c r="DM131" s="115"/>
    </row>
    <row r="132" spans="2:117" x14ac:dyDescent="0.2">
      <c r="B132" s="117">
        <f t="shared" si="80"/>
        <v>96.862499999999955</v>
      </c>
      <c r="C132" s="167" t="str">
        <f t="shared" ca="1" si="66"/>
        <v>净世破魔击·月</v>
      </c>
      <c r="D132" s="115">
        <f ca="1">IF(C132="赤日轮1",1,IF(C132="赤日轮2",2,IF(C132="赤日轮3",3,IF(C132="幽月轮1",4,IF(C132="幽月轮2",5,IF(C132="幽月轮3",6,IF(C132="烈日斩",7,IF(C132="银月斩",8,IF(C132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132="净世破魔击·月",17,IF(C132="驱夜断愁",18,0)))))))))))</f>
        <v>17</v>
      </c>
      <c r="E132" s="115">
        <f ca="1">IF(AND(CU132,OR(C132="幽月轮1",C132="幽月轮2",C132="幽月轮3",C132="银月斩",C132="驱夜断愁",C132="净世破魔击·月")),100,MIN(IF(OR(CN132,BE132),0,IF(OR($C132="赤日轮1",$C132="赤日轮2",$C132="赤日轮3"),E131+20+IF(模拟模式!$I$7="日月凌天",4,0)+IF(CR131,20,0),IF($C132="烈日斩",E131+40,IF($C132="驱夜断愁",IF(模拟模式!$R$7="万念俱寂",E131+20,E131+60),IF($C132="净世破魔击·月",IF(OR(DB131&gt;0,CV131&gt;0),100,IF(模拟模式!$M$7="辉耀红尘",E131+20,E131)),IF($C132="净世破魔击·日",E131-100,E131)))))),100))</f>
        <v>100</v>
      </c>
      <c r="F132" s="115">
        <f ca="1">IF(AND(CU132,OR(C132="赤日轮1",C132="赤日轮2",C132="赤日轮3",C132="烈日斩",C132="净世破魔击·日")),100,MIN(IF(CO132,0,IF(OR($C132="幽月轮1",$C132="幽月轮2",$C132="幽月轮3"),F131+20+IF(模拟模式!$I$7="日月凌天",4,0)+IF(CS131,20,0),IF($C132="银月斩",F131+40+IF(模拟模式!$X$12=1,5,0),IF($C132="驱夜断愁",IF(模拟模式!$R$7="万念俱寂",F131+20,F131+60),IF($C132="净世破魔击·月",IF(模拟模式!$M$7="辉耀红尘",F131-80,F131-100),IF(AND(C132="净世破魔击·日",OR(DB131&gt;0,CV131&gt;0)),100,F131)))))),100))</f>
        <v>20</v>
      </c>
      <c r="G132" s="117">
        <f ca="1">('模拟-全程加成'!$E$3+'模拟-全程加成'!$E$4+'模拟-全程加成'!$E$5+('模拟-全程加成'!$C$6-'模拟-全程加成'!$C$3)*系数!$B$9+BS132*23)*(1+'模拟-全程加成'!$F$4+'模拟-全程加成'!$F$5+BJ132*10%+BM132*20%+BP132*4%+CG132*30%)+$F$7*系数!$B$12</f>
        <v>21493.829400000002</v>
      </c>
      <c r="H132" s="45">
        <f ca="1">'模拟-全程加成'!$H$3+'模拟-全程加成'!$H$4+'模拟-全程加成'!$H$5+('模拟-全程加成'!$G$4+'模拟-全程加成'!$G$5+('模拟-全程加成'!$C$6-'模拟-全程加成'!$C$3)*系数!$B$13)/系数!$B$3+LOOKUP(D132,'模拟-单技能数据'!$A$2:$A$19,'模拟-单技能数据'!$K$2:$K$19)+BG132*10%+IF(BV132&gt;0,378,0)</f>
        <v>0.54185145527300216</v>
      </c>
      <c r="I132" s="45">
        <f ca="1">'模拟-全程加成'!$J$3+'模拟-全程加成'!$J$4+'模拟-全程加成'!$J$5+('模拟-全程加成'!$I$4+'模拟-全程加成'!$I$5)/系数!$B$4+LOOKUP(D132,'模拟-单技能数据'!$A$2:$A$19,'模拟-单技能数据'!$L$2:$L$19)+BG132*10%</f>
        <v>2.162482885499879</v>
      </c>
      <c r="J132" s="45">
        <f ca="1">(('模拟-全程加成'!$K$3+'模拟-全程加成'!$K$4+'模拟-全程加成'!$K$5+('模拟-全程加成'!$C$6-'模拟-全程加成'!$C$3)*系数!$B$10+IF(BV132&gt;0,882,0)+IF(BY132&gt;0,1831,0))*(1+'模拟-全程加成'!$L$4+'模拟-全程加成'!$L$5+CC132*20%))/系数!$B$5</f>
        <v>0.69723220422048726</v>
      </c>
      <c r="K132" s="119">
        <f ca="1">LOOKUP(D132,'模拟-单技能数据'!$A$2:$A$19,'模拟-单技能数据'!$J$2:$J$19)+IF(CM132,60%,0)+IF(DB131-DB132&gt;0,30%,0)+IF(OR(AND(OR(C132="赤日轮1",C132="赤日轮2",C132="赤日轮3"),CR132),AND(OR(C132="幽月轮1",C132="幽月轮2",C132="幽月轮3"),CS132)),35%,0)+CJ132</f>
        <v>1.1000000000000001</v>
      </c>
      <c r="L132" s="119">
        <f ca="1">IF(AND(C132="烈日斩",模拟模式!$X$11=1),10%,0)+IF(AND(C132="驱夜断愁",AB132=1),30%,0)</f>
        <v>0</v>
      </c>
      <c r="M132" s="45">
        <f t="shared" ca="1" si="129"/>
        <v>0.54185145527300216</v>
      </c>
      <c r="N132" s="45">
        <f t="shared" ca="1" si="130"/>
        <v>0.40424854472699789</v>
      </c>
      <c r="O132" s="46">
        <f t="shared" ca="1" si="83"/>
        <v>0.35813065588589066</v>
      </c>
      <c r="P132" s="46" t="str">
        <f t="shared" ca="1" si="84"/>
        <v>会</v>
      </c>
      <c r="Q132" s="45">
        <f t="shared" ca="1" si="85"/>
        <v>2.162482885499879</v>
      </c>
      <c r="R132" s="117">
        <f ca="1">模拟模式!$E$20*(1-IF(模拟模式!$J$19="有",0.15,0))*(1-IF(模拟模式!$K$19="有",0.3,0)-IF(CQ132,0.5,0))</f>
        <v>843.02999999999975</v>
      </c>
      <c r="S132" s="45">
        <f ca="1">R132/(R132+(185*模拟模式!$E$22-16800)*4.08224)</f>
        <v>8.389626085980037E-2</v>
      </c>
      <c r="T132" s="45" t="str">
        <f ca="1">LOOKUP(D132,'模拟-单技能数据'!$A$2:$A$19,'模拟-单技能数据'!$H$2:$H$19)</f>
        <v>阴</v>
      </c>
      <c r="U132" s="119">
        <f t="shared" ca="1" si="131"/>
        <v>0.08</v>
      </c>
      <c r="V132" s="47">
        <f ca="1">(1+L132)*(LOOKUP(D132,'模拟-单技能数据'!$A$2:$A$19,'模拟-单技能数据'!$D$2:$D$19)+G132*LOOKUP(D132,'模拟-单技能数据'!$A$2:$A$19,'模拟-单技能数据'!$F$2:$F$19))*(1+J132)*(1+K132)*(1-S132)*(1+U132)*Q132*LOOKUP(D132,'模拟-单技能数据'!$A$2:$A$19,'模拟-单技能数据'!$I$2:$I$20)</f>
        <v>212964.75797218451</v>
      </c>
      <c r="W132" s="47">
        <f ca="1">LOOKUP(D132,'模拟-单技能数据'!$A$2:$A$19,'模拟-单技能数据'!$G$2:$G$19)*$I$10</f>
        <v>361.51064354704795</v>
      </c>
      <c r="X132" s="47">
        <f t="shared" ca="1" si="87"/>
        <v>26424.10413487217</v>
      </c>
      <c r="Y132" s="47">
        <f t="shared" ca="1" si="132"/>
        <v>239750.37275060374</v>
      </c>
      <c r="Z132" s="49">
        <f t="shared" ca="1" si="133"/>
        <v>11054976.444338487</v>
      </c>
      <c r="AA132" s="97">
        <f t="shared" ca="1" si="134"/>
        <v>114130.61240767576</v>
      </c>
      <c r="AB132" s="115">
        <f ca="1">IF(OR(C132="赤日轮1",C132="赤日轮2",C132="赤日轮3"),IF(RAND()&lt;模拟模式!$Y$17,1,0),IF(OR(C132="幽月轮1",C132="幽月轮2",C132="幽月轮3"),IF(RAND()&lt;模拟模式!$Y$18,1,0),IF(C132="烈日斩",IF(RAND()&lt;模拟模式!$Y$19,1,0),IF(C132="银月斩",IF(RAND()&lt;模拟模式!$Y$20,1,0),IF(C132="驱夜断愁",IF(RAND()&lt;模拟模式!$Y$21,1,0),IF(C132="净世破魔击·日",IF(RAND()&lt;模拟模式!$Y$22,1,0),IF(C132="净世破魔击·月",IF(RAND()&lt;模拟模式!$Y$23,1,0),0)))))))</f>
        <v>1</v>
      </c>
      <c r="AC132" s="115" t="b">
        <f t="shared" ca="1" si="122"/>
        <v>0</v>
      </c>
      <c r="AD132" s="115" t="b">
        <f t="shared" ref="AD132:AD195" ca="1" si="142">IF(AD131+AD130=1,IF(AE131&gt;0,NOT(AD131),FALSE),AC132)</f>
        <v>1</v>
      </c>
      <c r="AE132" s="115">
        <f t="shared" ref="AE132:AE195" ca="1" si="143">IF(AC132,IF(AD130+AD131=0,6,6-AD132),AE131-AD132)</f>
        <v>3</v>
      </c>
      <c r="AF132" s="47">
        <f ca="1">IF(AC132,('模拟-单技能数据'!$D$20+G132*'模拟-单技能数据'!$F$20)*(1+J132)*(1+'模拟-单技能数据'!$J$20)*(1+U132),0)</f>
        <v>0</v>
      </c>
      <c r="AG132" s="61">
        <f t="shared" ca="1" si="135"/>
        <v>0.64185145527300214</v>
      </c>
      <c r="AH132" s="61">
        <f t="shared" ca="1" si="136"/>
        <v>2.2624828854998791</v>
      </c>
      <c r="AI132" s="62">
        <f t="shared" ca="1" si="93"/>
        <v>0.19907977642552155</v>
      </c>
      <c r="AJ132" s="47">
        <f ca="1">IF(AD132,IF(AI132&lt;$F$10,0,IF(AI132&lt;$F$10+$F$11,0.25,IF(AI132&lt;$F$10+$F$11+AG132,AH132,1)))*IF(AF132&gt;0,AF132,IF(AF131&gt;0,AF131,IF(AF130&gt;0,AF130,IF(AF129&gt;0,AF129,IF(AF128&gt;0,AF128,IF(AF127&gt;0,AF127,IF(AF126&gt;0,AF126,IF(AF125&gt;0,AF125,IF(AF124&gt;0,AF124,IF(AF122&gt;0,AF122,IF(AF121&gt;0,AF121,IF(AF120&gt;0,AF120,0)))))))))))),0)*(1-$S132)*'模拟-单技能数据'!$I$20</f>
        <v>9218.9345386263849</v>
      </c>
      <c r="AK132" s="115" t="b">
        <f t="shared" ca="1" si="123"/>
        <v>0</v>
      </c>
      <c r="AL132" s="115" t="b">
        <f t="shared" ref="AL132:AL195" ca="1" si="144">IF(AL131+AL130=1,IF(AM131&gt;0,NOT(AL131),FALSE),AK132)</f>
        <v>0</v>
      </c>
      <c r="AM132" s="115">
        <f t="shared" ref="AM132:AM195" ca="1" si="145">IF(AK132,IF(AL130+AL131=0,6,6-AL132),AM131-AL132)</f>
        <v>3</v>
      </c>
      <c r="AN132" s="47">
        <f ca="1">IF(AK132,('模拟-单技能数据'!$D$21+G132*'模拟-单技能数据'!$F$21)*(1+J132)*(1+'模拟-单技能数据'!$J$21)*(1+U132),0)</f>
        <v>0</v>
      </c>
      <c r="AO132" s="61">
        <f ca="1">IF(AN132&gt;0,M132-'模拟-单技能数据'!$K$10,AO131)</f>
        <v>0.42185145527300216</v>
      </c>
      <c r="AP132" s="61">
        <f ca="1">IF(AN132&gt;0,I132-'模拟-单技能数据'!$L$10,AP131)</f>
        <v>2.162482885499879</v>
      </c>
      <c r="AQ132" s="63">
        <f t="shared" ca="1" si="94"/>
        <v>0.87725424612048375</v>
      </c>
      <c r="AR132" s="64">
        <f ca="1">IF(AL132,IF(AQ132&lt;$F$10,0,IF(AQ132&lt;$F$10+$F$11,0.25,IF(AQ132&lt;$F$10+$F$11+AO132,AP132,1)))*IF(AN132&gt;0,AN132,IF(AN131&gt;0,AN131,IF(AN130&gt;0,AN130,IF(AN129&gt;0,AN129,IF(AN128&gt;0,AN128,IF(AN127&gt;0,AN127,IF(AN126&gt;0,AN126,IF(AN125&gt;0,AN125,IF(AN124&gt;0,AN124,IF(AN122&gt;0,AN122,IF(AN121&gt;0,AN121,IF(AN120&gt;0,AN120,0)))))))))))),0)*(1-$S132)*'模拟-单技能数据'!$I$21</f>
        <v>0</v>
      </c>
      <c r="AS132" s="61">
        <f ca="1">IF(OR(C132="净世破魔击·日",C132="净世破魔击·月"),M132-'模拟-单技能数据'!$K$10,0)</f>
        <v>0.42185145527300216</v>
      </c>
      <c r="AT132" s="61">
        <f ca="1">IF(OR(C132="净世破魔击·日",C132="净世破魔击·月"),I132-'模拟-单技能数据'!$L$10,0)</f>
        <v>2.162482885499879</v>
      </c>
      <c r="AU132" s="62">
        <f t="shared" ca="1" si="95"/>
        <v>0.4503271873673903</v>
      </c>
      <c r="AV132" s="64">
        <f ca="1">IF(AS132&gt;0,('模拟-单技能数据'!$D$22+G132*'模拟-单技能数据'!$F$22)*(1+J132)*(1-S132)*IF(AU132&lt;$F$10,0,IF(AU132&lt;$F$10+$F$11,0.25,IF(AU132&lt;$F$10+$F$11+AS132,AT132,1)))*(1+U132),0)*'模拟-单技能数据'!$I$22</f>
        <v>17205.169596245785</v>
      </c>
      <c r="AW132" s="108">
        <f t="shared" ca="1" si="96"/>
        <v>6.1625000000000068</v>
      </c>
      <c r="AX132" s="108" t="b">
        <f ca="1">AND(模拟模式!$P$10="有",AW131=0,RAND()&lt;IF(C132="净世破魔击·月",0.1*8/3,IF(C132="净世破魔击·日",0.1*4/3,0.1*2/3)))</f>
        <v>0</v>
      </c>
      <c r="AY132" s="47">
        <f ca="1">IF(AX132,(18+G132*0.722)*(1+J132)*(1-S132)*(1+$I$4)*IF(P132="会",'模拟-全程加成'!$J$3+'模拟-全程加成'!$J$4+'模拟-全程加成'!$J$5+('模拟-全程加成'!$I$4+'模拟-全程加成'!$I$5)/系数!$B$4+BG132*10%,IF(P132="命",1,IF(P132="识",0.25,0))),0)</f>
        <v>0</v>
      </c>
      <c r="AZ132" s="108">
        <f t="shared" si="97"/>
        <v>4.3175000000000061</v>
      </c>
      <c r="BA132" s="108" t="b">
        <f>AND(模拟模式!$Q$10="有",AZ131=0)</f>
        <v>0</v>
      </c>
      <c r="BB132" s="140">
        <f>IF(BA132,(0+G132*0.287)*(1+J132)*(1-S132)*(1+$I$4)*IF(P132="会",'模拟-全程加成'!$J$3+'模拟-全程加成'!$J$4+'模拟-全程加成'!$J$5+('模拟-全程加成'!$I$4+'模拟-全程加成'!$I$5)/系数!$B$4+BG132*10%,IF(P132="命",1,IF(P132="识",0.25,0))),0)</f>
        <v>0</v>
      </c>
      <c r="BC132" s="115" t="b">
        <f ca="1">AND(模拟模式!$R$7="伏明众生",E132=60,F132=20,DA132&lt;5,CZ131&lt;$F$4)</f>
        <v>0</v>
      </c>
      <c r="BD132" s="115">
        <f t="shared" ca="1" si="124"/>
        <v>0</v>
      </c>
      <c r="BE132" s="115" t="b">
        <f t="shared" ca="1" si="125"/>
        <v>0</v>
      </c>
      <c r="BF132" s="47">
        <f ca="1">IF(BC132,4*('模拟-单技能数据'!$D$24+G132*'模拟-单技能数据'!$F$24)*(1+J132)*(1+'模拟-单技能数据'!$J$24)*(1-S132)*(1+$I$3)*(('模拟-全程加成'!$J$3+'模拟-全程加成'!$J$4+'模拟-全程加成'!$J$5+('模拟-全程加成'!$I$4+'模拟-全程加成'!$I$5)/系数!$B$4+BG132*10%)*('模拟-全程加成'!$J$3+'模拟-全程加成'!$J$4+'模拟-全程加成'!$J$5+('模拟-全程加成'!$I$4+'模拟-全程加成'!$I$5)/系数!$B$4+BG132*10%)+(1-('模拟-全程加成'!$J$3+'模拟-全程加成'!$J$4+'模拟-全程加成'!$J$5+('模拟-全程加成'!$I$4+'模拟-全程加成'!$I$5)/系数!$B$4+BG132*10%)-$F$10-$F$11)+F118*0.25),0)*'模拟-单技能数据'!$I$24</f>
        <v>0</v>
      </c>
      <c r="BG132" s="115" t="b">
        <f ca="1">OR(AND(OR(C132="烈日斩",C132="银月斩"),模拟模式!$I$7="净身明礼"),AND(C132="净世破魔击·日",模拟模式!$J$7="洞若观火"),AND(C133="净世破魔击·月",模拟模式!$J$7="洞若观火"),AB132=1)</f>
        <v>1</v>
      </c>
      <c r="BH132" s="115" t="b">
        <f t="shared" ca="1" si="98"/>
        <v>1</v>
      </c>
      <c r="BI132" s="115">
        <f t="shared" ca="1" si="126"/>
        <v>6</v>
      </c>
      <c r="BJ132" s="115" t="b">
        <f t="shared" ca="1" si="137"/>
        <v>1</v>
      </c>
      <c r="BK132" s="115" t="b">
        <f ca="1">AND(C132="驱夜断愁",模拟模式!$P$7="天地诛戮")</f>
        <v>0</v>
      </c>
      <c r="BL132" s="57">
        <f t="shared" ca="1" si="127"/>
        <v>17.232500000000002</v>
      </c>
      <c r="BM132" s="115" t="b">
        <f t="shared" ca="1" si="138"/>
        <v>1</v>
      </c>
      <c r="BN132" s="115" t="b">
        <f ca="1">AND(OR(C132="赤日轮1",C132="赤日轮2",C132="赤日轮3",C132="幽月轮1",C132="幽月轮2",C132="幽月轮3"),AB132=1,模拟模式!$L$7="明光恒照")</f>
        <v>0</v>
      </c>
      <c r="BO132" s="117">
        <f t="shared" ca="1" si="128"/>
        <v>29.077500000000001</v>
      </c>
      <c r="BP132" s="115">
        <f t="shared" ca="1" si="101"/>
        <v>6</v>
      </c>
      <c r="BQ132" s="115" t="b">
        <f>模拟模式!$K$10="2600·水"</f>
        <v>0</v>
      </c>
      <c r="BR132" s="117">
        <f t="shared" si="102"/>
        <v>0</v>
      </c>
      <c r="BS132" s="115">
        <f t="shared" si="103"/>
        <v>0</v>
      </c>
      <c r="BT132" s="115">
        <f t="shared" ca="1" si="104"/>
        <v>0</v>
      </c>
      <c r="BU132" s="115" t="b">
        <f ca="1">AND(模拟模式!$K$10="2300·雷",BT131=0,RAND()&lt;IF(C132="净世破魔击·月",5*0.05*2/3,IF(C132="净世破魔击·日",3*0.05*2/3,0.05*2*2/3)))</f>
        <v>0</v>
      </c>
      <c r="BV132" s="115">
        <f t="shared" ca="1" si="105"/>
        <v>0</v>
      </c>
      <c r="BW132" s="115">
        <f t="shared" ca="1" si="106"/>
        <v>88.67249999999926</v>
      </c>
      <c r="BX132" s="164" t="b">
        <f t="shared" ca="1" si="107"/>
        <v>0</v>
      </c>
      <c r="BY132" s="115">
        <f t="shared" ca="1" si="108"/>
        <v>0</v>
      </c>
      <c r="BZ132" s="115">
        <f>IF(OR(模拟模式!$P$16="10人团",模拟模式!$P$16="25人团"),IF(B132/30&gt;CA131,1,0),0)</f>
        <v>0</v>
      </c>
      <c r="CA132" s="115">
        <f t="shared" si="74"/>
        <v>0</v>
      </c>
      <c r="CB132" s="115">
        <f ca="1">IF(BZ132=1,IF(模拟模式!$P$16="10人团",15,0)+IF(模拟模式!$P$16="25人团",IF(RAND()&lt;0.6,15,0)),MAX(0,CB131-$F$4))</f>
        <v>0</v>
      </c>
      <c r="CC132" s="115" t="b">
        <f t="shared" ca="1" si="139"/>
        <v>0</v>
      </c>
      <c r="CD132" s="115">
        <f>IF(模拟模式!$Q$16="1个",IF(B132/40&gt;CE131,1,0),0)</f>
        <v>0</v>
      </c>
      <c r="CE132" s="115">
        <f t="shared" si="140"/>
        <v>0</v>
      </c>
      <c r="CF132" s="115">
        <f>IF(OR(CD132=1,模拟模式!$Q$16="2个"),20,MAX(0,CF131-$F$4))</f>
        <v>0</v>
      </c>
      <c r="CG132" s="115" t="b">
        <f t="shared" si="141"/>
        <v>0</v>
      </c>
      <c r="CH132" s="115">
        <f t="shared" ca="1" si="112"/>
        <v>2.3250000000000117</v>
      </c>
      <c r="CI132" s="115" t="b">
        <f t="shared" ca="1" si="113"/>
        <v>0</v>
      </c>
      <c r="CJ132" s="119">
        <f t="shared" ca="1" si="114"/>
        <v>0</v>
      </c>
      <c r="CK132" s="115">
        <f t="shared" ca="1" si="115"/>
        <v>0</v>
      </c>
      <c r="CL132" s="115" t="b">
        <f ca="1">AND(模拟模式!$S$7="驱夷逐法",OR(AND(C132="净世破魔击·月",E131&gt;59),AND(C132="净世破魔击·日",F131&gt;59)))</f>
        <v>1</v>
      </c>
      <c r="CM132" s="115" t="b">
        <f ca="1">OR(CL132,AND(C132="净世破魔击·日",CL131,RAND()&lt;模拟模式!$U$23))</f>
        <v>1</v>
      </c>
      <c r="CN132" s="115" t="b">
        <f ca="1">IF(模拟模式!$M$7="辉耀红尘",AND(C132="净世破魔击·月",CL132,CV132=0,E131&lt;80),AND(C132="净世破魔击·月",CL132,E131&lt;100))</f>
        <v>0</v>
      </c>
      <c r="CO132" s="115" t="b">
        <f t="shared" ca="1" si="75"/>
        <v>0</v>
      </c>
      <c r="CP132" s="115" t="b">
        <f ca="1">AND(模拟模式!$O$7="用晦而明",OR(C132="净世破魔击·日",C132="净世破魔击·月",C132="驱夜断愁"),AB132)</f>
        <v>1</v>
      </c>
      <c r="CQ132" s="115" t="b">
        <f ca="1">OR(CP132,AND(CP131,RAND()&lt;模拟模式!$U$23))</f>
        <v>1</v>
      </c>
      <c r="CR132" s="115" t="b">
        <f ca="1">AND(模拟模式!$S$7="日月齐光",OR(C132="幽月轮1",C132="幽月轮2",C132="幽月轮3",CR131),NOT(OR(C132="赤日轮1",C132="赤日轮2",C132="赤日轮3")))</f>
        <v>0</v>
      </c>
      <c r="CS132" s="115" t="b">
        <f ca="1">AND(模拟模式!$S$7="日月齐光",OR(C132="赤日轮1",C132="赤日轮2",C132="赤日轮3",CS131),NOT(OR(C132="幽月轮1",C132="幽月轮2",C132="幽月轮3")))</f>
        <v>0</v>
      </c>
      <c r="CT132" s="115">
        <f t="shared" ca="1" si="116"/>
        <v>0</v>
      </c>
      <c r="CU132" s="115" t="b">
        <f ca="1">AND(模拟模式!$K$10="阴阳往极",CT131=0,RAND()&lt;IF(C132="净世破魔击·月",0.0275*7/3,IF(C132="净世破魔击·日",0.0275*3/3,0.0275*2/3)))</f>
        <v>0</v>
      </c>
      <c r="CV132" s="115">
        <f t="shared" ca="1" si="117"/>
        <v>0</v>
      </c>
      <c r="CW132" s="115">
        <f t="shared" ca="1" si="76"/>
        <v>4.1549999999999994</v>
      </c>
      <c r="CX132" s="115">
        <f t="shared" ca="1" si="77"/>
        <v>2.3099999999999996</v>
      </c>
      <c r="CY132" s="115">
        <f ca="1">MAX(IF($C132="驱夜断愁",IF(模拟模式!$R$7="万念俱寂",6,45),CY131-$F$4),0)</f>
        <v>3.2324999999999995</v>
      </c>
      <c r="CZ132" s="115">
        <f t="shared" ca="1" si="78"/>
        <v>0</v>
      </c>
      <c r="DA132" s="115">
        <f ca="1">IF(模拟模式!$N$7="日月同辉",IF(DB131=2,0,MIN(6,IF(AND(OR(C132="赤日轮1",C132="赤日轮2",C132="赤日轮3",C132="幽月轮1",C132="幽月轮2",C132="幽月轮3"),AB132=1),DA131+1,DA131))),0)</f>
        <v>0</v>
      </c>
      <c r="DB132" s="115">
        <f t="shared" ca="1" si="79"/>
        <v>1</v>
      </c>
      <c r="DC132" s="115"/>
      <c r="DD132" s="115"/>
      <c r="DE132" s="115"/>
      <c r="DF132" s="115"/>
      <c r="DG132" s="115"/>
      <c r="DH132" s="115"/>
      <c r="DI132" s="115"/>
      <c r="DJ132" s="115"/>
      <c r="DK132" s="115"/>
      <c r="DL132" s="115"/>
      <c r="DM132" s="115"/>
    </row>
    <row r="133" spans="2:117" x14ac:dyDescent="0.2">
      <c r="B133" s="117">
        <f t="shared" si="80"/>
        <v>97.784999999999954</v>
      </c>
      <c r="C133" s="167" t="str">
        <f t="shared" ca="1" si="66"/>
        <v>净世破魔击·日</v>
      </c>
      <c r="D133" s="115">
        <f ca="1">IF(C133="赤日轮1",1,IF(C133="赤日轮2",2,IF(C133="赤日轮3",3,IF(C133="幽月轮1",4,IF(C133="幽月轮2",5,IF(C133="幽月轮3",6,IF(C133="烈日斩",7,IF(C133="银月斩",8,IF(C133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133="净世破魔击·月",17,IF(C133="驱夜断愁",18,0)))))))))))</f>
        <v>9</v>
      </c>
      <c r="E133" s="115">
        <f ca="1">IF(AND(CU133,OR(C133="幽月轮1",C133="幽月轮2",C133="幽月轮3",C133="银月斩",C133="驱夜断愁",C133="净世破魔击·月")),100,MIN(IF(OR(CN133,BE133),0,IF(OR($C133="赤日轮1",$C133="赤日轮2",$C133="赤日轮3"),E132+20+IF(模拟模式!$I$7="日月凌天",4,0)+IF(CR132,20,0),IF($C133="烈日斩",E132+40,IF($C133="驱夜断愁",IF(模拟模式!$R$7="万念俱寂",E132+20,E132+60),IF($C133="净世破魔击·月",IF(OR(DB132&gt;0,CV132&gt;0),100,IF(模拟模式!$M$7="辉耀红尘",E132+20,E132)),IF($C133="净世破魔击·日",E132-100,E132)))))),100))</f>
        <v>0</v>
      </c>
      <c r="F133" s="115">
        <f ca="1">IF(AND(CU133,OR(C133="赤日轮1",C133="赤日轮2",C133="赤日轮3",C133="烈日斩",C133="净世破魔击·日")),100,MIN(IF(CO133,0,IF(OR($C133="幽月轮1",$C133="幽月轮2",$C133="幽月轮3"),F132+20+IF(模拟模式!$I$7="日月凌天",4,0)+IF(CS132,20,0),IF($C133="银月斩",F132+40+IF(模拟模式!$X$12=1,5,0),IF($C133="驱夜断愁",IF(模拟模式!$R$7="万念俱寂",F132+20,F132+60),IF($C133="净世破魔击·月",IF(模拟模式!$M$7="辉耀红尘",F132-80,F132-100),IF(AND(C133="净世破魔击·日",OR(DB132&gt;0,CV132&gt;0)),100,F132)))))),100))</f>
        <v>100</v>
      </c>
      <c r="G133" s="117">
        <f ca="1">('模拟-全程加成'!$E$3+'模拟-全程加成'!$E$4+'模拟-全程加成'!$E$5+('模拟-全程加成'!$C$6-'模拟-全程加成'!$C$3)*系数!$B$9+BS133*23)*(1+'模拟-全程加成'!$F$4+'模拟-全程加成'!$F$5+BJ133*10%+BM133*20%+BP133*4%+CG133*30%)+$F$7*系数!$B$12</f>
        <v>21493.829400000002</v>
      </c>
      <c r="H133" s="45">
        <f ca="1">'模拟-全程加成'!$H$3+'模拟-全程加成'!$H$4+'模拟-全程加成'!$H$5+('模拟-全程加成'!$G$4+'模拟-全程加成'!$G$5+('模拟-全程加成'!$C$6-'模拟-全程加成'!$C$3)*系数!$B$13)/系数!$B$3+LOOKUP(D133,'模拟-单技能数据'!$A$2:$A$19,'模拟-单技能数据'!$K$2:$K$19)+BG133*10%+IF(BV133&gt;0,378,0)</f>
        <v>0.54185145527300216</v>
      </c>
      <c r="I133" s="45">
        <f ca="1">'模拟-全程加成'!$J$3+'模拟-全程加成'!$J$4+'模拟-全程加成'!$J$5+('模拟-全程加成'!$I$4+'模拟-全程加成'!$I$5)/系数!$B$4+LOOKUP(D133,'模拟-单技能数据'!$A$2:$A$19,'模拟-单技能数据'!$L$2:$L$19)+BG133*10%</f>
        <v>2.162482885499879</v>
      </c>
      <c r="J133" s="45">
        <f ca="1">(('模拟-全程加成'!$K$3+'模拟-全程加成'!$K$4+'模拟-全程加成'!$K$5+('模拟-全程加成'!$C$6-'模拟-全程加成'!$C$3)*系数!$B$10+IF(BV133&gt;0,882,0)+IF(BY133&gt;0,1831,0))*(1+'模拟-全程加成'!$L$4+'模拟-全程加成'!$L$5+CC133*20%))/系数!$B$5</f>
        <v>0.69723220422048726</v>
      </c>
      <c r="K133" s="119">
        <f ca="1">LOOKUP(D133,'模拟-单技能数据'!$A$2:$A$19,'模拟-单技能数据'!$J$2:$J$19)+IF(CM133,60%,0)+IF(DB132-DB133&gt;0,30%,0)+IF(OR(AND(OR(C133="赤日轮1",C133="赤日轮2",C133="赤日轮3"),CR133),AND(OR(C133="幽月轮1",C133="幽月轮2",C133="幽月轮3"),CS133)),35%,0)+CJ133</f>
        <v>1.1000000000000001</v>
      </c>
      <c r="L133" s="119">
        <f ca="1">IF(AND(C133="烈日斩",模拟模式!$X$11=1),10%,0)+IF(AND(C133="驱夜断愁",AB133=1),30%,0)</f>
        <v>0</v>
      </c>
      <c r="M133" s="45">
        <f t="shared" ca="1" si="129"/>
        <v>0.54185145527300216</v>
      </c>
      <c r="N133" s="45">
        <f t="shared" ca="1" si="130"/>
        <v>0.40424854472699789</v>
      </c>
      <c r="O133" s="46">
        <f t="shared" ca="1" si="83"/>
        <v>0.80650609316649369</v>
      </c>
      <c r="P133" s="46" t="str">
        <f t="shared" ca="1" si="84"/>
        <v>命</v>
      </c>
      <c r="Q133" s="45">
        <f t="shared" ca="1" si="85"/>
        <v>1</v>
      </c>
      <c r="R133" s="117">
        <f ca="1">模拟模式!$E$20*(1-IF(模拟模式!$J$19="有",0.15,0))*(1-IF(模拟模式!$K$19="有",0.3,0)-IF(CQ133,0.5,0))</f>
        <v>843.02999999999975</v>
      </c>
      <c r="S133" s="45">
        <f ca="1">R133/(R133+(185*模拟模式!$E$22-16800)*4.08224)</f>
        <v>8.389626085980037E-2</v>
      </c>
      <c r="T133" s="45" t="str">
        <f ca="1">LOOKUP(D133,'模拟-单技能数据'!$A$2:$A$19,'模拟-单技能数据'!$H$2:$H$19)</f>
        <v>阳</v>
      </c>
      <c r="U133" s="119">
        <f t="shared" ca="1" si="131"/>
        <v>0.2</v>
      </c>
      <c r="V133" s="47">
        <f ca="1">(1+L133)*(LOOKUP(D133,'模拟-单技能数据'!$A$2:$A$19,'模拟-单技能数据'!$D$2:$D$19)+G133*LOOKUP(D133,'模拟-单技能数据'!$A$2:$A$19,'模拟-单技能数据'!$F$2:$F$19))*(1+J133)*(1+K133)*(1-S133)*(1+U133)*Q133*LOOKUP(D133,'模拟-单技能数据'!$A$2:$A$19,'模拟-单技能数据'!$I$2:$I$20)</f>
        <v>110337.92595746904</v>
      </c>
      <c r="W133" s="47">
        <f ca="1">LOOKUP(D133,'模拟-单技能数据'!$A$2:$A$19,'模拟-单技能数据'!$G$2:$G$19)*$I$10</f>
        <v>723.0212870940959</v>
      </c>
      <c r="X133" s="47">
        <f t="shared" ca="1" si="87"/>
        <v>30724.746959395939</v>
      </c>
      <c r="Y133" s="47">
        <f t="shared" ca="1" si="132"/>
        <v>141785.69420395908</v>
      </c>
      <c r="Z133" s="49">
        <f t="shared" ca="1" si="133"/>
        <v>11196762.138542447</v>
      </c>
      <c r="AA133" s="97">
        <f t="shared" ca="1" si="134"/>
        <v>114503.88238014473</v>
      </c>
      <c r="AB133" s="115">
        <f ca="1">IF(OR(C133="赤日轮1",C133="赤日轮2",C133="赤日轮3"),IF(RAND()&lt;模拟模式!$Y$17,1,0),IF(OR(C133="幽月轮1",C133="幽月轮2",C133="幽月轮3"),IF(RAND()&lt;模拟模式!$Y$18,1,0),IF(C133="烈日斩",IF(RAND()&lt;模拟模式!$Y$19,1,0),IF(C133="银月斩",IF(RAND()&lt;模拟模式!$Y$20,1,0),IF(C133="驱夜断愁",IF(RAND()&lt;模拟模式!$Y$21,1,0),IF(C133="净世破魔击·日",IF(RAND()&lt;模拟模式!$Y$22,1,0),IF(C133="净世破魔击·月",IF(RAND()&lt;模拟模式!$Y$23,1,0),0)))))))</f>
        <v>1</v>
      </c>
      <c r="AC133" s="115" t="b">
        <f t="shared" ca="1" si="122"/>
        <v>0</v>
      </c>
      <c r="AD133" s="115" t="b">
        <f t="shared" ca="1" si="142"/>
        <v>0</v>
      </c>
      <c r="AE133" s="115">
        <f t="shared" ca="1" si="143"/>
        <v>3</v>
      </c>
      <c r="AF133" s="47">
        <f ca="1">IF(AC133,('模拟-单技能数据'!$D$20+G133*'模拟-单技能数据'!$F$20)*(1+J133)*(1+'模拟-单技能数据'!$J$20)*(1+U133),0)</f>
        <v>0</v>
      </c>
      <c r="AG133" s="61">
        <f t="shared" ca="1" si="135"/>
        <v>0.64185145527300214</v>
      </c>
      <c r="AH133" s="61">
        <f t="shared" ca="1" si="136"/>
        <v>2.2624828854998791</v>
      </c>
      <c r="AI133" s="62">
        <f t="shared" ca="1" si="93"/>
        <v>0.87498308247917267</v>
      </c>
      <c r="AJ133" s="47">
        <f ca="1">IF(AD133,IF(AI133&lt;$F$10,0,IF(AI133&lt;$F$10+$F$11,0.25,IF(AI133&lt;$F$10+$F$11+AG133,AH133,1)))*IF(AF133&gt;0,AF133,IF(AF132&gt;0,AF132,IF(AF131&gt;0,AF131,IF(AF130&gt;0,AF130,IF(AF129&gt;0,AF129,IF(AF128&gt;0,AF128,IF(AF127&gt;0,AF127,IF(AF126&gt;0,AF126,IF(AF125&gt;0,AF125,IF(AF123&gt;0,AF123,IF(AF122&gt;0,AF122,IF(AF121&gt;0,AF121,0)))))))))))),0)*(1-$S133)*'模拟-单技能数据'!$I$20</f>
        <v>0</v>
      </c>
      <c r="AK133" s="115" t="b">
        <f t="shared" ca="1" si="123"/>
        <v>1</v>
      </c>
      <c r="AL133" s="115" t="b">
        <f t="shared" ca="1" si="144"/>
        <v>1</v>
      </c>
      <c r="AM133" s="115">
        <f t="shared" ca="1" si="145"/>
        <v>5</v>
      </c>
      <c r="AN133" s="47">
        <f ca="1">IF(AK133,('模拟-单技能数据'!$D$21+G133*'模拟-单技能数据'!$F$21)*(1+J133)*(1+'模拟-单技能数据'!$J$21)*(1+U133),0)</f>
        <v>12670.936004857545</v>
      </c>
      <c r="AO133" s="61">
        <f ca="1">IF(AN133&gt;0,M133-'模拟-单技能数据'!$K$10,AO132)</f>
        <v>0.42185145527300216</v>
      </c>
      <c r="AP133" s="61">
        <f ca="1">IF(AN133&gt;0,I133-'模拟-单技能数据'!$L$10,AP132)</f>
        <v>2.162482885499879</v>
      </c>
      <c r="AQ133" s="63">
        <f t="shared" ca="1" si="94"/>
        <v>0.83150229822027533</v>
      </c>
      <c r="AR133" s="64">
        <f ca="1">IF(AL133,IF(AQ133&lt;$F$10,0,IF(AQ133&lt;$F$10+$F$11,0.25,IF(AQ133&lt;$F$10+$F$11+AO133,AP133,1)))*IF(AN133&gt;0,AN133,IF(AN132&gt;0,AN132,IF(AN131&gt;0,AN131,IF(AN130&gt;0,AN130,IF(AN129&gt;0,AN129,IF(AN128&gt;0,AN128,IF(AN127&gt;0,AN127,IF(AN126&gt;0,AN126,IF(AN125&gt;0,AN125,IF(AN123&gt;0,AN123,IF(AN122&gt;0,AN122,IF(AN121&gt;0,AN121,0)))))))))))),0)*(1-$S133)*'模拟-单技能数据'!$I$21</f>
        <v>11607.89185245618</v>
      </c>
      <c r="AS133" s="61">
        <f ca="1">IF(OR(C133="净世破魔击·日",C133="净世破魔击·月"),M133-'模拟-单技能数据'!$K$10,0)</f>
        <v>0.42185145527300216</v>
      </c>
      <c r="AT133" s="61">
        <f ca="1">IF(OR(C133="净世破魔击·日",C133="净世破魔击·月"),I133-'模拟-单技能数据'!$L$10,0)</f>
        <v>2.162482885499879</v>
      </c>
      <c r="AU133" s="62">
        <f t="shared" ca="1" si="95"/>
        <v>0.18094735714798615</v>
      </c>
      <c r="AV133" s="64">
        <f ca="1">IF(AS133&gt;0,('模拟-单技能数据'!$D$22+G133*'模拟-单技能数据'!$F$22)*(1+J133)*(1-S133)*IF(AU133&lt;$F$10,0,IF(AU133&lt;$F$10+$F$11,0.25,IF(AU133&lt;$F$10+$F$11+AS133,AT133,1)))*(1+U133),0)*'模拟-单技能数据'!$I$22</f>
        <v>19116.855106939758</v>
      </c>
      <c r="AW133" s="108">
        <f t="shared" ca="1" si="96"/>
        <v>5.2400000000000064</v>
      </c>
      <c r="AX133" s="108" t="b">
        <f ca="1">AND(模拟模式!$P$10="有",AW132=0,RAND()&lt;IF(C133="净世破魔击·月",0.1*8/3,IF(C133="净世破魔击·日",0.1*4/3,0.1*2/3)))</f>
        <v>0</v>
      </c>
      <c r="AY133" s="47">
        <f ca="1">IF(AX133,(18+G133*0.722)*(1+J133)*(1-S133)*(1+$I$4)*IF(P133="会",'模拟-全程加成'!$J$3+'模拟-全程加成'!$J$4+'模拟-全程加成'!$J$5+('模拟-全程加成'!$I$4+'模拟-全程加成'!$I$5)/系数!$B$4+BG133*10%,IF(P133="命",1,IF(P133="识",0.25,0))),0)</f>
        <v>0</v>
      </c>
      <c r="AZ133" s="108">
        <f t="shared" si="97"/>
        <v>3.3950000000000062</v>
      </c>
      <c r="BA133" s="108" t="b">
        <f>AND(模拟模式!$Q$10="有",AZ132=0)</f>
        <v>0</v>
      </c>
      <c r="BB133" s="140">
        <f>IF(BA133,(0+G133*0.287)*(1+J133)*(1-S133)*(1+$I$4)*IF(P133="会",'模拟-全程加成'!$J$3+'模拟-全程加成'!$J$4+'模拟-全程加成'!$J$5+('模拟-全程加成'!$I$4+'模拟-全程加成'!$I$5)/系数!$B$4+BG133*10%,IF(P133="命",1,IF(P133="识",0.25,0))),0)</f>
        <v>0</v>
      </c>
      <c r="BC133" s="115" t="b">
        <f ca="1">AND(模拟模式!$R$7="伏明众生",E133=60,F133=20,DA133&lt;5,CZ132&lt;$F$4)</f>
        <v>0</v>
      </c>
      <c r="BD133" s="115">
        <f t="shared" ca="1" si="124"/>
        <v>0</v>
      </c>
      <c r="BE133" s="115" t="b">
        <f t="shared" ca="1" si="125"/>
        <v>0</v>
      </c>
      <c r="BF133" s="47">
        <f ca="1">IF(BC133,4*('模拟-单技能数据'!$D$24+G133*'模拟-单技能数据'!$F$24)*(1+J133)*(1+'模拟-单技能数据'!$J$24)*(1-S133)*(1+$I$3)*(('模拟-全程加成'!$J$3+'模拟-全程加成'!$J$4+'模拟-全程加成'!$J$5+('模拟-全程加成'!$I$4+'模拟-全程加成'!$I$5)/系数!$B$4+BG133*10%)*('模拟-全程加成'!$J$3+'模拟-全程加成'!$J$4+'模拟-全程加成'!$J$5+('模拟-全程加成'!$I$4+'模拟-全程加成'!$I$5)/系数!$B$4+BG133*10%)+(1-('模拟-全程加成'!$J$3+'模拟-全程加成'!$J$4+'模拟-全程加成'!$J$5+('模拟-全程加成'!$I$4+'模拟-全程加成'!$I$5)/系数!$B$4+BG133*10%)-$F$10-$F$11)+F119*0.25),0)*'模拟-单技能数据'!$I$24</f>
        <v>0</v>
      </c>
      <c r="BG133" s="115" t="b">
        <f ca="1">OR(AND(OR(C133="烈日斩",C133="银月斩"),模拟模式!$I$7="净身明礼"),AND(C133="净世破魔击·日",模拟模式!$J$7="洞若观火"),AND(C134="净世破魔击·月",模拟模式!$J$7="洞若观火"),AB133=1)</f>
        <v>1</v>
      </c>
      <c r="BH133" s="115" t="b">
        <f t="shared" ca="1" si="98"/>
        <v>0</v>
      </c>
      <c r="BI133" s="115">
        <f t="shared" ca="1" si="126"/>
        <v>5.0774999999999997</v>
      </c>
      <c r="BJ133" s="115" t="b">
        <f t="shared" ca="1" si="137"/>
        <v>1</v>
      </c>
      <c r="BK133" s="115" t="b">
        <f ca="1">AND(C133="驱夜断愁",模拟模式!$P$7="天地诛戮")</f>
        <v>0</v>
      </c>
      <c r="BL133" s="57">
        <f t="shared" ca="1" si="127"/>
        <v>16.310000000000002</v>
      </c>
      <c r="BM133" s="115" t="b">
        <f t="shared" ca="1" si="138"/>
        <v>1</v>
      </c>
      <c r="BN133" s="115" t="b">
        <f ca="1">AND(OR(C133="赤日轮1",C133="赤日轮2",C133="赤日轮3",C133="幽月轮1",C133="幽月轮2",C133="幽月轮3"),AB133=1,模拟模式!$L$7="明光恒照")</f>
        <v>0</v>
      </c>
      <c r="BO133" s="117">
        <f t="shared" ca="1" si="128"/>
        <v>28.155000000000001</v>
      </c>
      <c r="BP133" s="115">
        <f t="shared" ca="1" si="101"/>
        <v>6</v>
      </c>
      <c r="BQ133" s="115" t="b">
        <f>模拟模式!$K$10="2600·水"</f>
        <v>0</v>
      </c>
      <c r="BR133" s="117">
        <f t="shared" si="102"/>
        <v>0</v>
      </c>
      <c r="BS133" s="115">
        <f t="shared" si="103"/>
        <v>0</v>
      </c>
      <c r="BT133" s="115">
        <f t="shared" ca="1" si="104"/>
        <v>0</v>
      </c>
      <c r="BU133" s="115" t="b">
        <f ca="1">AND(模拟模式!$K$10="2300·雷",BT132=0,RAND()&lt;IF(C133="净世破魔击·月",5*0.05*2/3,IF(C133="净世破魔击·日",3*0.05*2/3,0.05*2*2/3)))</f>
        <v>0</v>
      </c>
      <c r="BV133" s="115">
        <f t="shared" ca="1" si="105"/>
        <v>0</v>
      </c>
      <c r="BW133" s="115">
        <f t="shared" ca="1" si="106"/>
        <v>87.749999999999261</v>
      </c>
      <c r="BX133" s="164" t="b">
        <f t="shared" ca="1" si="107"/>
        <v>0</v>
      </c>
      <c r="BY133" s="115">
        <f t="shared" ca="1" si="108"/>
        <v>0</v>
      </c>
      <c r="BZ133" s="115">
        <f>IF(OR(模拟模式!$P$16="10人团",模拟模式!$P$16="25人团"),IF(B133/30&gt;CA132,1,0),0)</f>
        <v>0</v>
      </c>
      <c r="CA133" s="115">
        <f t="shared" si="74"/>
        <v>0</v>
      </c>
      <c r="CB133" s="115">
        <f ca="1">IF(BZ133=1,IF(模拟模式!$P$16="10人团",15,0)+IF(模拟模式!$P$16="25人团",IF(RAND()&lt;0.6,15,0)),MAX(0,CB132-$F$4))</f>
        <v>0</v>
      </c>
      <c r="CC133" s="115" t="b">
        <f t="shared" ca="1" si="139"/>
        <v>0</v>
      </c>
      <c r="CD133" s="115">
        <f>IF(模拟模式!$Q$16="1个",IF(B133/40&gt;CE132,1,0),0)</f>
        <v>0</v>
      </c>
      <c r="CE133" s="115">
        <f t="shared" si="140"/>
        <v>0</v>
      </c>
      <c r="CF133" s="115">
        <f>IF(OR(CD133=1,模拟模式!$Q$16="2个"),20,MAX(0,CF132-$F$4))</f>
        <v>0</v>
      </c>
      <c r="CG133" s="115" t="b">
        <f t="shared" si="141"/>
        <v>0</v>
      </c>
      <c r="CH133" s="115">
        <f t="shared" ca="1" si="112"/>
        <v>1.4025000000000118</v>
      </c>
      <c r="CI133" s="115" t="b">
        <f t="shared" ca="1" si="113"/>
        <v>0</v>
      </c>
      <c r="CJ133" s="119">
        <f t="shared" ca="1" si="114"/>
        <v>0</v>
      </c>
      <c r="CK133" s="115">
        <f t="shared" ca="1" si="115"/>
        <v>0</v>
      </c>
      <c r="CL133" s="115" t="b">
        <f ca="1">AND(模拟模式!$S$7="驱夷逐法",OR(AND(C133="净世破魔击·月",E132&gt;59),AND(C133="净世破魔击·日",F132&gt;59)))</f>
        <v>0</v>
      </c>
      <c r="CM133" s="115" t="b">
        <f ca="1">OR(CL133,AND(C133="净世破魔击·日",CL132,RAND()&lt;模拟模式!$U$23))</f>
        <v>1</v>
      </c>
      <c r="CN133" s="115" t="b">
        <f ca="1">IF(模拟模式!$M$7="辉耀红尘",AND(C133="净世破魔击·月",CL133,CV133=0,E132&lt;80),AND(C133="净世破魔击·月",CL133,E132&lt;100))</f>
        <v>0</v>
      </c>
      <c r="CO133" s="115" t="b">
        <f t="shared" ca="1" si="75"/>
        <v>0</v>
      </c>
      <c r="CP133" s="115" t="b">
        <f ca="1">AND(模拟模式!$O$7="用晦而明",OR(C133="净世破魔击·日",C133="净世破魔击·月",C133="驱夜断愁"),AB133)</f>
        <v>1</v>
      </c>
      <c r="CQ133" s="115" t="b">
        <f ca="1">OR(CP133,AND(CP132,RAND()&lt;模拟模式!$U$23))</f>
        <v>1</v>
      </c>
      <c r="CR133" s="115" t="b">
        <f ca="1">AND(模拟模式!$S$7="日月齐光",OR(C133="幽月轮1",C133="幽月轮2",C133="幽月轮3",CR132),NOT(OR(C133="赤日轮1",C133="赤日轮2",C133="赤日轮3")))</f>
        <v>0</v>
      </c>
      <c r="CS133" s="115" t="b">
        <f ca="1">AND(模拟模式!$S$7="日月齐光",OR(C133="赤日轮1",C133="赤日轮2",C133="赤日轮3",CS132),NOT(OR(C133="幽月轮1",C133="幽月轮2",C133="幽月轮3")))</f>
        <v>0</v>
      </c>
      <c r="CT133" s="115">
        <f t="shared" ca="1" si="116"/>
        <v>0</v>
      </c>
      <c r="CU133" s="115" t="b">
        <f ca="1">AND(模拟模式!$K$10="阴阳往极",CT132=0,RAND()&lt;IF(C133="净世破魔击·月",0.0275*7/3,IF(C133="净世破魔击·日",0.0275*3/3,0.0275*2/3)))</f>
        <v>0</v>
      </c>
      <c r="CV133" s="115">
        <f t="shared" ca="1" si="117"/>
        <v>0</v>
      </c>
      <c r="CW133" s="115">
        <f t="shared" ca="1" si="76"/>
        <v>3.2324999999999995</v>
      </c>
      <c r="CX133" s="115">
        <f t="shared" ca="1" si="77"/>
        <v>1.3874999999999997</v>
      </c>
      <c r="CY133" s="115">
        <f ca="1">MAX(IF($C133="驱夜断愁",IF(模拟模式!$R$7="万念俱寂",6,45),CY132-$F$4),0)</f>
        <v>2.3099999999999996</v>
      </c>
      <c r="CZ133" s="115">
        <f t="shared" ca="1" si="78"/>
        <v>0</v>
      </c>
      <c r="DA133" s="115">
        <f ca="1">IF(模拟模式!$N$7="日月同辉",IF(DB132=2,0,MIN(6,IF(AND(OR(C133="赤日轮1",C133="赤日轮2",C133="赤日轮3",C133="幽月轮1",C133="幽月轮2",C133="幽月轮3"),AB133=1),DA132+1,DA132))),0)</f>
        <v>0</v>
      </c>
      <c r="DB133" s="115">
        <f t="shared" ca="1" si="79"/>
        <v>0</v>
      </c>
      <c r="DC133" s="115"/>
      <c r="DD133" s="115"/>
      <c r="DE133" s="115"/>
      <c r="DF133" s="115"/>
      <c r="DG133" s="115"/>
      <c r="DH133" s="115"/>
      <c r="DI133" s="115"/>
      <c r="DJ133" s="115"/>
      <c r="DK133" s="115"/>
      <c r="DL133" s="115"/>
      <c r="DM133" s="115"/>
    </row>
    <row r="134" spans="2:117" x14ac:dyDescent="0.2">
      <c r="B134" s="117">
        <f t="shared" si="80"/>
        <v>98.707499999999953</v>
      </c>
      <c r="C134" s="167" t="str">
        <f t="shared" ca="1" si="66"/>
        <v>净世破魔击·月</v>
      </c>
      <c r="D134" s="115">
        <f ca="1">IF(C134="赤日轮1",1,IF(C134="赤日轮2",2,IF(C134="赤日轮3",3,IF(C134="幽月轮1",4,IF(C134="幽月轮2",5,IF(C134="幽月轮3",6,IF(C134="烈日斩",7,IF(C134="银月斩",8,IF(C134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134="净世破魔击·月",17,IF(C134="驱夜断愁",18,0)))))))))))</f>
        <v>17</v>
      </c>
      <c r="E134" s="115">
        <f ca="1">IF(AND(CU134,OR(C134="幽月轮1",C134="幽月轮2",C134="幽月轮3",C134="银月斩",C134="驱夜断愁",C134="净世破魔击·月")),100,MIN(IF(OR(CN134,BE134),0,IF(OR($C134="赤日轮1",$C134="赤日轮2",$C134="赤日轮3"),E133+20+IF(模拟模式!$I$7="日月凌天",4,0)+IF(CR133,20,0),IF($C134="烈日斩",E133+40,IF($C134="驱夜断愁",IF(模拟模式!$R$7="万念俱寂",E133+20,E133+60),IF($C134="净世破魔击·月",IF(OR(DB133&gt;0,CV133&gt;0),100,IF(模拟模式!$M$7="辉耀红尘",E133+20,E133)),IF($C134="净世破魔击·日",E133-100,E133)))))),100))</f>
        <v>100</v>
      </c>
      <c r="F134" s="115">
        <f ca="1">IF(AND(CU134,OR(C134="赤日轮1",C134="赤日轮2",C134="赤日轮3",C134="烈日斩",C134="净世破魔击·日")),100,MIN(IF(CO134,0,IF(OR($C134="幽月轮1",$C134="幽月轮2",$C134="幽月轮3"),F133+20+IF(模拟模式!$I$7="日月凌天",4,0)+IF(CS133,20,0),IF($C134="银月斩",F133+40+IF(模拟模式!$X$12=1,5,0),IF($C134="驱夜断愁",IF(模拟模式!$R$7="万念俱寂",F133+20,F133+60),IF($C134="净世破魔击·月",IF(模拟模式!$M$7="辉耀红尘",F133-80,F133-100),IF(AND(C134="净世破魔击·日",OR(DB133&gt;0,CV133&gt;0)),100,F133)))))),100))</f>
        <v>20</v>
      </c>
      <c r="G134" s="117">
        <f ca="1">('模拟-全程加成'!$E$3+'模拟-全程加成'!$E$4+'模拟-全程加成'!$E$5+('模拟-全程加成'!$C$6-'模拟-全程加成'!$C$3)*系数!$B$9+BS134*23)*(1+'模拟-全程加成'!$F$4+'模拟-全程加成'!$F$5+BJ134*10%+BM134*20%+BP134*4%+CG134*30%)+$F$7*系数!$B$12</f>
        <v>21493.829400000002</v>
      </c>
      <c r="H134" s="45">
        <f ca="1">'模拟-全程加成'!$H$3+'模拟-全程加成'!$H$4+'模拟-全程加成'!$H$5+('模拟-全程加成'!$G$4+'模拟-全程加成'!$G$5+('模拟-全程加成'!$C$6-'模拟-全程加成'!$C$3)*系数!$B$13)/系数!$B$3+LOOKUP(D134,'模拟-单技能数据'!$A$2:$A$19,'模拟-单技能数据'!$K$2:$K$19)+BG134*10%+IF(BV134&gt;0,378,0)</f>
        <v>0.54185145527300216</v>
      </c>
      <c r="I134" s="45">
        <f ca="1">'模拟-全程加成'!$J$3+'模拟-全程加成'!$J$4+'模拟-全程加成'!$J$5+('模拟-全程加成'!$I$4+'模拟-全程加成'!$I$5)/系数!$B$4+LOOKUP(D134,'模拟-单技能数据'!$A$2:$A$19,'模拟-单技能数据'!$L$2:$L$19)+BG134*10%</f>
        <v>2.162482885499879</v>
      </c>
      <c r="J134" s="45">
        <f ca="1">(('模拟-全程加成'!$K$3+'模拟-全程加成'!$K$4+'模拟-全程加成'!$K$5+('模拟-全程加成'!$C$6-'模拟-全程加成'!$C$3)*系数!$B$10+IF(BV134&gt;0,882,0)+IF(BY134&gt;0,1831,0))*(1+'模拟-全程加成'!$L$4+'模拟-全程加成'!$L$5+CC134*20%))/系数!$B$5</f>
        <v>0.69723220422048726</v>
      </c>
      <c r="K134" s="119">
        <f ca="1">LOOKUP(D134,'模拟-单技能数据'!$A$2:$A$19,'模拟-单技能数据'!$J$2:$J$19)+IF(CM134,60%,0)+IF(DB133-DB134&gt;0,30%,0)+IF(OR(AND(OR(C134="赤日轮1",C134="赤日轮2",C134="赤日轮3"),CR134),AND(OR(C134="幽月轮1",C134="幽月轮2",C134="幽月轮3"),CS134)),35%,0)+CJ134</f>
        <v>0.2</v>
      </c>
      <c r="L134" s="119">
        <f ca="1">IF(AND(C134="烈日斩",模拟模式!$X$11=1),10%,0)+IF(AND(C134="驱夜断愁",AB134=1),30%,0)</f>
        <v>0</v>
      </c>
      <c r="M134" s="45">
        <f t="shared" ca="1" si="129"/>
        <v>0.54185145527300216</v>
      </c>
      <c r="N134" s="45">
        <f t="shared" ca="1" si="130"/>
        <v>0.40424854472699789</v>
      </c>
      <c r="O134" s="46">
        <f t="shared" ca="1" si="83"/>
        <v>0.13417002837025493</v>
      </c>
      <c r="P134" s="46" t="str">
        <f t="shared" ca="1" si="84"/>
        <v>会</v>
      </c>
      <c r="Q134" s="45">
        <f t="shared" ca="1" si="85"/>
        <v>2.162482885499879</v>
      </c>
      <c r="R134" s="117">
        <f ca="1">模拟模式!$E$20*(1-IF(模拟模式!$J$19="有",0.15,0))*(1-IF(模拟模式!$K$19="有",0.3,0)-IF(CQ134,0.5,0))</f>
        <v>843.02999999999975</v>
      </c>
      <c r="S134" s="45">
        <f ca="1">R134/(R134+(185*模拟模式!$E$22-16800)*4.08224)</f>
        <v>8.389626085980037E-2</v>
      </c>
      <c r="T134" s="45" t="str">
        <f ca="1">LOOKUP(D134,'模拟-单技能数据'!$A$2:$A$19,'模拟-单技能数据'!$H$2:$H$19)</f>
        <v>阴</v>
      </c>
      <c r="U134" s="119">
        <f t="shared" ca="1" si="131"/>
        <v>0.08</v>
      </c>
      <c r="V134" s="47">
        <f ca="1">(1+L134)*(LOOKUP(D134,'模拟-单技能数据'!$A$2:$A$19,'模拟-单技能数据'!$D$2:$D$19)+G134*LOOKUP(D134,'模拟-单技能数据'!$A$2:$A$19,'模拟-单技能数据'!$F$2:$F$19))*(1+J134)*(1+K134)*(1-S134)*(1+U134)*Q134*LOOKUP(D134,'模拟-单技能数据'!$A$2:$A$19,'模拟-单技能数据'!$I$2:$I$20)</f>
        <v>121694.14741267689</v>
      </c>
      <c r="W134" s="47">
        <f ca="1">LOOKUP(D134,'模拟-单技能数据'!$A$2:$A$19,'模拟-单技能数据'!$G$2:$G$19)*$I$10</f>
        <v>361.51064354704795</v>
      </c>
      <c r="X134" s="47">
        <f t="shared" ca="1" si="87"/>
        <v>8974.8852629014109</v>
      </c>
      <c r="Y134" s="47">
        <f t="shared" ca="1" si="132"/>
        <v>131030.54331912535</v>
      </c>
      <c r="Z134" s="49">
        <f t="shared" ca="1" si="133"/>
        <v>11327792.681861572</v>
      </c>
      <c r="AA134" s="97">
        <f t="shared" ca="1" si="134"/>
        <v>114761.21552933239</v>
      </c>
      <c r="AB134" s="115">
        <f ca="1">IF(OR(C134="赤日轮1",C134="赤日轮2",C134="赤日轮3"),IF(RAND()&lt;模拟模式!$Y$17,1,0),IF(OR(C134="幽月轮1",C134="幽月轮2",C134="幽月轮3"),IF(RAND()&lt;模拟模式!$Y$18,1,0),IF(C134="烈日斩",IF(RAND()&lt;模拟模式!$Y$19,1,0),IF(C134="银月斩",IF(RAND()&lt;模拟模式!$Y$20,1,0),IF(C134="驱夜断愁",IF(RAND()&lt;模拟模式!$Y$21,1,0),IF(C134="净世破魔击·日",IF(RAND()&lt;模拟模式!$Y$22,1,0),IF(C134="净世破魔击·月",IF(RAND()&lt;模拟模式!$Y$23,1,0),0)))))))</f>
        <v>1</v>
      </c>
      <c r="AC134" s="115" t="b">
        <f t="shared" ca="1" si="122"/>
        <v>0</v>
      </c>
      <c r="AD134" s="115" t="b">
        <f t="shared" ca="1" si="142"/>
        <v>1</v>
      </c>
      <c r="AE134" s="115">
        <f t="shared" ca="1" si="143"/>
        <v>2</v>
      </c>
      <c r="AF134" s="47">
        <f ca="1">IF(AC134,('模拟-单技能数据'!$D$20+G134*'模拟-单技能数据'!$F$20)*(1+J134)*(1+'模拟-单技能数据'!$J$20)*(1+U134),0)</f>
        <v>0</v>
      </c>
      <c r="AG134" s="61">
        <f t="shared" ca="1" si="135"/>
        <v>0.64185145527300214</v>
      </c>
      <c r="AH134" s="61">
        <f t="shared" ca="1" si="136"/>
        <v>2.2624828854998791</v>
      </c>
      <c r="AI134" s="62">
        <f t="shared" ca="1" si="93"/>
        <v>6.4291942503912347E-3</v>
      </c>
      <c r="AJ134" s="47">
        <f ca="1">IF(AD134,IF(AI134&lt;$F$10,0,IF(AI134&lt;$F$10+$F$11,0.25,IF(AI134&lt;$F$10+$F$11+AG134,AH134,1)))*IF(AF134&gt;0,AF134,IF(AF133&gt;0,AF133,IF(AF132&gt;0,AF132,IF(AF131&gt;0,AF131,IF(AF130&gt;0,AF130,IF(AF129&gt;0,AF129,IF(AF128&gt;0,AF128,IF(AF127&gt;0,AF127,IF(AF126&gt;0,AF126,IF(AF124&gt;0,AF124,IF(AF123&gt;0,AF123,IF(AF122&gt;0,AF122,0)))))))))))),0)*(1-$S134)*'模拟-单技能数据'!$I$20</f>
        <v>1018.6745055299644</v>
      </c>
      <c r="AK134" s="115" t="b">
        <f t="shared" ca="1" si="123"/>
        <v>0</v>
      </c>
      <c r="AL134" s="115" t="b">
        <f t="shared" ca="1" si="144"/>
        <v>0</v>
      </c>
      <c r="AM134" s="115">
        <f t="shared" ca="1" si="145"/>
        <v>5</v>
      </c>
      <c r="AN134" s="47">
        <f ca="1">IF(AK134,('模拟-单技能数据'!$D$21+G134*'模拟-单技能数据'!$F$21)*(1+J134)*(1+'模拟-单技能数据'!$J$21)*(1+U134),0)</f>
        <v>0</v>
      </c>
      <c r="AO134" s="61">
        <f ca="1">IF(AN134&gt;0,M134-'模拟-单技能数据'!$K$10,AO133)</f>
        <v>0.42185145527300216</v>
      </c>
      <c r="AP134" s="61">
        <f ca="1">IF(AN134&gt;0,I134-'模拟-单技能数据'!$L$10,AP133)</f>
        <v>2.162482885499879</v>
      </c>
      <c r="AQ134" s="63">
        <f t="shared" ca="1" si="94"/>
        <v>0.66050056979630711</v>
      </c>
      <c r="AR134" s="64">
        <f ca="1">IF(AL134,IF(AQ134&lt;$F$10,0,IF(AQ134&lt;$F$10+$F$11,0.25,IF(AQ134&lt;$F$10+$F$11+AO134,AP134,1)))*IF(AN134&gt;0,AN134,IF(AN133&gt;0,AN133,IF(AN132&gt;0,AN132,IF(AN131&gt;0,AN131,IF(AN130&gt;0,AN130,IF(AN129&gt;0,AN129,IF(AN128&gt;0,AN128,IF(AN127&gt;0,AN127,IF(AN126&gt;0,AN126,IF(AN124&gt;0,AN124,IF(AN123&gt;0,AN123,IF(AN122&gt;0,AN122,0)))))))))))),0)*(1-$S134)*'模拟-单技能数据'!$I$21</f>
        <v>0</v>
      </c>
      <c r="AS134" s="61">
        <f ca="1">IF(OR(C134="净世破魔击·日",C134="净世破魔击·月"),M134-'模拟-单技能数据'!$K$10,0)</f>
        <v>0.42185145527300216</v>
      </c>
      <c r="AT134" s="61">
        <f ca="1">IF(OR(C134="净世破魔击·日",C134="净世破魔击·月"),I134-'模拟-单技能数据'!$L$10,0)</f>
        <v>2.162482885499879</v>
      </c>
      <c r="AU134" s="62">
        <f t="shared" ca="1" si="95"/>
        <v>0.61877419332320294</v>
      </c>
      <c r="AV134" s="64">
        <f ca="1">IF(AS134&gt;0,('模拟-单技能数据'!$D$22+G134*'模拟-单技能数据'!$F$22)*(1+J134)*(1-S134)*IF(AU134&lt;$F$10,0,IF(AU134&lt;$F$10+$F$11,0.25,IF(AU134&lt;$F$10+$F$11+AS134,AT134,1)))*(1+U134),0)*'模拟-单技能数据'!$I$22</f>
        <v>7956.2107573714466</v>
      </c>
      <c r="AW134" s="108">
        <f t="shared" ca="1" si="96"/>
        <v>4.3175000000000061</v>
      </c>
      <c r="AX134" s="108" t="b">
        <f ca="1">AND(模拟模式!$P$10="有",AW133=0,RAND()&lt;IF(C134="净世破魔击·月",0.1*8/3,IF(C134="净世破魔击·日",0.1*4/3,0.1*2/3)))</f>
        <v>0</v>
      </c>
      <c r="AY134" s="47">
        <f ca="1">IF(AX134,(18+G134*0.722)*(1+J134)*(1-S134)*(1+$I$4)*IF(P134="会",'模拟-全程加成'!$J$3+'模拟-全程加成'!$J$4+'模拟-全程加成'!$J$5+('模拟-全程加成'!$I$4+'模拟-全程加成'!$I$5)/系数!$B$4+BG134*10%,IF(P134="命",1,IF(P134="识",0.25,0))),0)</f>
        <v>0</v>
      </c>
      <c r="AZ134" s="108">
        <f t="shared" si="97"/>
        <v>2.4725000000000064</v>
      </c>
      <c r="BA134" s="108" t="b">
        <f>AND(模拟模式!$Q$10="有",AZ133=0)</f>
        <v>0</v>
      </c>
      <c r="BB134" s="140">
        <f>IF(BA134,(0+G134*0.287)*(1+J134)*(1-S134)*(1+$I$4)*IF(P134="会",'模拟-全程加成'!$J$3+'模拟-全程加成'!$J$4+'模拟-全程加成'!$J$5+('模拟-全程加成'!$I$4+'模拟-全程加成'!$I$5)/系数!$B$4+BG134*10%,IF(P134="命",1,IF(P134="识",0.25,0))),0)</f>
        <v>0</v>
      </c>
      <c r="BC134" s="115" t="b">
        <f ca="1">AND(模拟模式!$R$7="伏明众生",E134=60,F134=20,DA134&lt;5,CZ133&lt;$F$4)</f>
        <v>0</v>
      </c>
      <c r="BD134" s="115">
        <f t="shared" ca="1" si="124"/>
        <v>0</v>
      </c>
      <c r="BE134" s="115" t="b">
        <f t="shared" ca="1" si="125"/>
        <v>0</v>
      </c>
      <c r="BF134" s="47">
        <f ca="1">IF(BC134,4*('模拟-单技能数据'!$D$24+G134*'模拟-单技能数据'!$F$24)*(1+J134)*(1+'模拟-单技能数据'!$J$24)*(1-S134)*(1+$I$3)*(('模拟-全程加成'!$J$3+'模拟-全程加成'!$J$4+'模拟-全程加成'!$J$5+('模拟-全程加成'!$I$4+'模拟-全程加成'!$I$5)/系数!$B$4+BG134*10%)*('模拟-全程加成'!$J$3+'模拟-全程加成'!$J$4+'模拟-全程加成'!$J$5+('模拟-全程加成'!$I$4+'模拟-全程加成'!$I$5)/系数!$B$4+BG134*10%)+(1-('模拟-全程加成'!$J$3+'模拟-全程加成'!$J$4+'模拟-全程加成'!$J$5+('模拟-全程加成'!$I$4+'模拟-全程加成'!$I$5)/系数!$B$4+BG134*10%)-$F$10-$F$11)+F120*0.25),0)*'模拟-单技能数据'!$I$24</f>
        <v>0</v>
      </c>
      <c r="BG134" s="115" t="b">
        <f ca="1">OR(AND(OR(C134="烈日斩",C134="银月斩"),模拟模式!$I$7="净身明礼"),AND(C134="净世破魔击·日",模拟模式!$J$7="洞若观火"),AND(C135="净世破魔击·月",模拟模式!$J$7="洞若观火"),AB134=1)</f>
        <v>1</v>
      </c>
      <c r="BH134" s="115" t="b">
        <f t="shared" ca="1" si="98"/>
        <v>0</v>
      </c>
      <c r="BI134" s="115">
        <f t="shared" ca="1" si="126"/>
        <v>4.1549999999999994</v>
      </c>
      <c r="BJ134" s="115" t="b">
        <f t="shared" ca="1" si="137"/>
        <v>1</v>
      </c>
      <c r="BK134" s="115" t="b">
        <f ca="1">AND(C134="驱夜断愁",模拟模式!$P$7="天地诛戮")</f>
        <v>0</v>
      </c>
      <c r="BL134" s="57">
        <f t="shared" ca="1" si="127"/>
        <v>15.387500000000003</v>
      </c>
      <c r="BM134" s="115" t="b">
        <f t="shared" ca="1" si="138"/>
        <v>1</v>
      </c>
      <c r="BN134" s="115" t="b">
        <f ca="1">AND(OR(C134="赤日轮1",C134="赤日轮2",C134="赤日轮3",C134="幽月轮1",C134="幽月轮2",C134="幽月轮3"),AB134=1,模拟模式!$L$7="明光恒照")</f>
        <v>0</v>
      </c>
      <c r="BO134" s="117">
        <f t="shared" ca="1" si="128"/>
        <v>27.232500000000002</v>
      </c>
      <c r="BP134" s="115">
        <f t="shared" ca="1" si="101"/>
        <v>6</v>
      </c>
      <c r="BQ134" s="115" t="b">
        <f>模拟模式!$K$10="2600·水"</f>
        <v>0</v>
      </c>
      <c r="BR134" s="117">
        <f t="shared" si="102"/>
        <v>0</v>
      </c>
      <c r="BS134" s="115">
        <f t="shared" si="103"/>
        <v>0</v>
      </c>
      <c r="BT134" s="115">
        <f t="shared" ca="1" si="104"/>
        <v>0</v>
      </c>
      <c r="BU134" s="115" t="b">
        <f ca="1">AND(模拟模式!$K$10="2300·雷",BT133=0,RAND()&lt;IF(C134="净世破魔击·月",5*0.05*2/3,IF(C134="净世破魔击·日",3*0.05*2/3,0.05*2*2/3)))</f>
        <v>0</v>
      </c>
      <c r="BV134" s="115">
        <f t="shared" ca="1" si="105"/>
        <v>0</v>
      </c>
      <c r="BW134" s="115">
        <f t="shared" ca="1" si="106"/>
        <v>86.827499999999262</v>
      </c>
      <c r="BX134" s="164" t="b">
        <f t="shared" ca="1" si="107"/>
        <v>0</v>
      </c>
      <c r="BY134" s="115">
        <f t="shared" ca="1" si="108"/>
        <v>0</v>
      </c>
      <c r="BZ134" s="115">
        <f>IF(OR(模拟模式!$P$16="10人团",模拟模式!$P$16="25人团"),IF(B134/30&gt;CA133,1,0),0)</f>
        <v>0</v>
      </c>
      <c r="CA134" s="115">
        <f t="shared" si="74"/>
        <v>0</v>
      </c>
      <c r="CB134" s="115">
        <f ca="1">IF(BZ134=1,IF(模拟模式!$P$16="10人团",15,0)+IF(模拟模式!$P$16="25人团",IF(RAND()&lt;0.6,15,0)),MAX(0,CB133-$F$4))</f>
        <v>0</v>
      </c>
      <c r="CC134" s="115" t="b">
        <f t="shared" ca="1" si="139"/>
        <v>0</v>
      </c>
      <c r="CD134" s="115">
        <f>IF(模拟模式!$Q$16="1个",IF(B134/40&gt;CE133,1,0),0)</f>
        <v>0</v>
      </c>
      <c r="CE134" s="115">
        <f t="shared" si="140"/>
        <v>0</v>
      </c>
      <c r="CF134" s="115">
        <f>IF(OR(CD134=1,模拟模式!$Q$16="2个"),20,MAX(0,CF133-$F$4))</f>
        <v>0</v>
      </c>
      <c r="CG134" s="115" t="b">
        <f t="shared" si="141"/>
        <v>0</v>
      </c>
      <c r="CH134" s="115">
        <f t="shared" ca="1" si="112"/>
        <v>0.48000000000001186</v>
      </c>
      <c r="CI134" s="115" t="b">
        <f t="shared" ca="1" si="113"/>
        <v>0</v>
      </c>
      <c r="CJ134" s="119">
        <f t="shared" ca="1" si="114"/>
        <v>0</v>
      </c>
      <c r="CK134" s="115">
        <f t="shared" ca="1" si="115"/>
        <v>0</v>
      </c>
      <c r="CL134" s="115" t="b">
        <f ca="1">AND(模拟模式!$S$7="驱夷逐法",OR(AND(C134="净世破魔击·月",E133&gt;59),AND(C134="净世破魔击·日",F133&gt;59)))</f>
        <v>0</v>
      </c>
      <c r="CM134" s="115" t="b">
        <f ca="1">OR(CL134,AND(C134="净世破魔击·日",CL133,RAND()&lt;模拟模式!$U$23))</f>
        <v>0</v>
      </c>
      <c r="CN134" s="115" t="b">
        <f ca="1">IF(模拟模式!$M$7="辉耀红尘",AND(C134="净世破魔击·月",CL134,CV134=0,E133&lt;80),AND(C134="净世破魔击·月",CL134,E133&lt;100))</f>
        <v>0</v>
      </c>
      <c r="CO134" s="115" t="b">
        <f t="shared" ca="1" si="75"/>
        <v>0</v>
      </c>
      <c r="CP134" s="115" t="b">
        <f ca="1">AND(模拟模式!$O$7="用晦而明",OR(C134="净世破魔击·日",C134="净世破魔击·月",C134="驱夜断愁"),AB134)</f>
        <v>1</v>
      </c>
      <c r="CQ134" s="115" t="b">
        <f ca="1">OR(CP134,AND(CP133,RAND()&lt;模拟模式!$U$23))</f>
        <v>1</v>
      </c>
      <c r="CR134" s="115" t="b">
        <f ca="1">AND(模拟模式!$S$7="日月齐光",OR(C134="幽月轮1",C134="幽月轮2",C134="幽月轮3",CR133),NOT(OR(C134="赤日轮1",C134="赤日轮2",C134="赤日轮3")))</f>
        <v>0</v>
      </c>
      <c r="CS134" s="115" t="b">
        <f ca="1">AND(模拟模式!$S$7="日月齐光",OR(C134="赤日轮1",C134="赤日轮2",C134="赤日轮3",CS133),NOT(OR(C134="幽月轮1",C134="幽月轮2",C134="幽月轮3")))</f>
        <v>0</v>
      </c>
      <c r="CT134" s="115">
        <f t="shared" ca="1" si="116"/>
        <v>30</v>
      </c>
      <c r="CU134" s="115" t="b">
        <f ca="1">AND(模拟模式!$K$10="阴阳往极",CT133=0,RAND()&lt;IF(C134="净世破魔击·月",0.0275*7/3,IF(C134="净世破魔击·日",0.0275*3/3,0.0275*2/3)))</f>
        <v>1</v>
      </c>
      <c r="CV134" s="115">
        <f t="shared" ca="1" si="117"/>
        <v>4.0774999999999997</v>
      </c>
      <c r="CW134" s="115">
        <f t="shared" ca="1" si="76"/>
        <v>2.3099999999999996</v>
      </c>
      <c r="CX134" s="115">
        <f t="shared" ca="1" si="77"/>
        <v>0.46499999999999975</v>
      </c>
      <c r="CY134" s="115">
        <f ca="1">MAX(IF($C134="驱夜断愁",IF(模拟模式!$R$7="万念俱寂",6,45),CY133-$F$4),0)</f>
        <v>1.3874999999999997</v>
      </c>
      <c r="CZ134" s="115">
        <f t="shared" ca="1" si="78"/>
        <v>0</v>
      </c>
      <c r="DA134" s="115">
        <f ca="1">IF(模拟模式!$N$7="日月同辉",IF(DB133=2,0,MIN(6,IF(AND(OR(C134="赤日轮1",C134="赤日轮2",C134="赤日轮3",C134="幽月轮1",C134="幽月轮2",C134="幽月轮3"),AB134=1),DA133+1,DA133))),0)</f>
        <v>0</v>
      </c>
      <c r="DB134" s="115">
        <f t="shared" ca="1" si="79"/>
        <v>0</v>
      </c>
      <c r="DC134" s="115"/>
      <c r="DD134" s="115"/>
      <c r="DE134" s="115"/>
      <c r="DF134" s="115"/>
      <c r="DG134" s="115"/>
      <c r="DH134" s="115"/>
      <c r="DI134" s="115"/>
      <c r="DJ134" s="115"/>
      <c r="DK134" s="115"/>
      <c r="DL134" s="115"/>
      <c r="DM134" s="115"/>
    </row>
    <row r="135" spans="2:117" x14ac:dyDescent="0.2">
      <c r="B135" s="117">
        <f t="shared" si="80"/>
        <v>99.629999999999953</v>
      </c>
      <c r="C135" s="167" t="str">
        <f t="shared" ca="1" si="66"/>
        <v>净世破魔击·日</v>
      </c>
      <c r="D135" s="115">
        <f ca="1">IF(C135="赤日轮1",1,IF(C135="赤日轮2",2,IF(C135="赤日轮3",3,IF(C135="幽月轮1",4,IF(C135="幽月轮2",5,IF(C135="幽月轮3",6,IF(C135="烈日斩",7,IF(C135="银月斩",8,IF(C135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135="净世破魔击·月",17,IF(C135="驱夜断愁",18,0)))))))))))</f>
        <v>9</v>
      </c>
      <c r="E135" s="115">
        <f ca="1">IF(AND(CU135,OR(C135="幽月轮1",C135="幽月轮2",C135="幽月轮3",C135="银月斩",C135="驱夜断愁",C135="净世破魔击·月")),100,MIN(IF(OR(CN135,BE135),0,IF(OR($C135="赤日轮1",$C135="赤日轮2",$C135="赤日轮3"),E134+20+IF(模拟模式!$I$7="日月凌天",4,0)+IF(CR134,20,0),IF($C135="烈日斩",E134+40,IF($C135="驱夜断愁",IF(模拟模式!$R$7="万念俱寂",E134+20,E134+60),IF($C135="净世破魔击·月",IF(OR(DB134&gt;0,CV134&gt;0),100,IF(模拟模式!$M$7="辉耀红尘",E134+20,E134)),IF($C135="净世破魔击·日",E134-100,E134)))))),100))</f>
        <v>0</v>
      </c>
      <c r="F135" s="115">
        <f ca="1">IF(AND(CU135,OR(C135="赤日轮1",C135="赤日轮2",C135="赤日轮3",C135="烈日斩",C135="净世破魔击·日")),100,MIN(IF(CO135,0,IF(OR($C135="幽月轮1",$C135="幽月轮2",$C135="幽月轮3"),F134+20+IF(模拟模式!$I$7="日月凌天",4,0)+IF(CS134,20,0),IF($C135="银月斩",F134+40+IF(模拟模式!$X$12=1,5,0),IF($C135="驱夜断愁",IF(模拟模式!$R$7="万念俱寂",F134+20,F134+60),IF($C135="净世破魔击·月",IF(模拟模式!$M$7="辉耀红尘",F134-80,F134-100),IF(AND(C135="净世破魔击·日",OR(DB134&gt;0,CV134&gt;0)),100,F134)))))),100))</f>
        <v>100</v>
      </c>
      <c r="G135" s="117">
        <f ca="1">('模拟-全程加成'!$E$3+'模拟-全程加成'!$E$4+'模拟-全程加成'!$E$5+('模拟-全程加成'!$C$6-'模拟-全程加成'!$C$3)*系数!$B$9+BS135*23)*(1+'模拟-全程加成'!$F$4+'模拟-全程加成'!$F$5+BJ135*10%+BM135*20%+BP135*4%+CG135*30%)+$F$7*系数!$B$12</f>
        <v>21493.829400000002</v>
      </c>
      <c r="H135" s="45">
        <f ca="1">'模拟-全程加成'!$H$3+'模拟-全程加成'!$H$4+'模拟-全程加成'!$H$5+('模拟-全程加成'!$G$4+'模拟-全程加成'!$G$5+('模拟-全程加成'!$C$6-'模拟-全程加成'!$C$3)*系数!$B$13)/系数!$B$3+LOOKUP(D135,'模拟-单技能数据'!$A$2:$A$19,'模拟-单技能数据'!$K$2:$K$19)+BG135*10%+IF(BV135&gt;0,378,0)</f>
        <v>0.54185145527300216</v>
      </c>
      <c r="I135" s="45">
        <f ca="1">'模拟-全程加成'!$J$3+'模拟-全程加成'!$J$4+'模拟-全程加成'!$J$5+('模拟-全程加成'!$I$4+'模拟-全程加成'!$I$5)/系数!$B$4+LOOKUP(D135,'模拟-单技能数据'!$A$2:$A$19,'模拟-单技能数据'!$L$2:$L$19)+BG135*10%</f>
        <v>2.162482885499879</v>
      </c>
      <c r="J135" s="45">
        <f ca="1">(('模拟-全程加成'!$K$3+'模拟-全程加成'!$K$4+'模拟-全程加成'!$K$5+('模拟-全程加成'!$C$6-'模拟-全程加成'!$C$3)*系数!$B$10+IF(BV135&gt;0,882,0)+IF(BY135&gt;0,1831,0))*(1+'模拟-全程加成'!$L$4+'模拟-全程加成'!$L$5+CC135*20%))/系数!$B$5</f>
        <v>0.69723220422048726</v>
      </c>
      <c r="K135" s="119">
        <f ca="1">LOOKUP(D135,'模拟-单技能数据'!$A$2:$A$19,'模拟-单技能数据'!$J$2:$J$19)+IF(CM135,60%,0)+IF(DB134-DB135&gt;0,30%,0)+IF(OR(AND(OR(C135="赤日轮1",C135="赤日轮2",C135="赤日轮3"),CR135),AND(OR(C135="幽月轮1",C135="幽月轮2",C135="幽月轮3"),CS135)),35%,0)+CJ135</f>
        <v>0.2</v>
      </c>
      <c r="L135" s="119">
        <f ca="1">IF(AND(C135="烈日斩",模拟模式!$X$11=1),10%,0)+IF(AND(C135="驱夜断愁",AB135=1),30%,0)</f>
        <v>0</v>
      </c>
      <c r="M135" s="45">
        <f t="shared" ca="1" si="129"/>
        <v>0.54185145527300216</v>
      </c>
      <c r="N135" s="45">
        <f t="shared" ca="1" si="130"/>
        <v>0.40424854472699789</v>
      </c>
      <c r="O135" s="46">
        <f t="shared" ca="1" si="83"/>
        <v>9.4088819050873407E-2</v>
      </c>
      <c r="P135" s="46" t="str">
        <f t="shared" ca="1" si="84"/>
        <v>会</v>
      </c>
      <c r="Q135" s="45">
        <f t="shared" ca="1" si="85"/>
        <v>2.162482885499879</v>
      </c>
      <c r="R135" s="117">
        <f ca="1">模拟模式!$E$20*(1-IF(模拟模式!$J$19="有",0.15,0))*(1-IF(模拟模式!$K$19="有",0.3,0)-IF(CQ135,0.5,0))</f>
        <v>843.02999999999975</v>
      </c>
      <c r="S135" s="45">
        <f ca="1">R135/(R135+(185*模拟模式!$E$22-16800)*4.08224)</f>
        <v>8.389626085980037E-2</v>
      </c>
      <c r="T135" s="45" t="str">
        <f ca="1">LOOKUP(D135,'模拟-单技能数据'!$A$2:$A$19,'模拟-单技能数据'!$H$2:$H$19)</f>
        <v>阳</v>
      </c>
      <c r="U135" s="119">
        <f t="shared" ca="1" si="131"/>
        <v>0.2</v>
      </c>
      <c r="V135" s="47">
        <f ca="1">(1+L135)*(LOOKUP(D135,'模拟-单技能数据'!$A$2:$A$19,'模拟-单技能数据'!$D$2:$D$19)+G135*LOOKUP(D135,'模拟-单技能数据'!$A$2:$A$19,'模拟-单技能数据'!$F$2:$F$19))*(1+J135)*(1+K135)*(1-S135)*(1+U135)*Q135*LOOKUP(D135,'模拟-单技能数据'!$A$2:$A$19,'模拟-单技能数据'!$I$2:$I$20)</f>
        <v>136345.07228833123</v>
      </c>
      <c r="W135" s="47">
        <f ca="1">LOOKUP(D135,'模拟-单技能数据'!$A$2:$A$19,'模拟-单技能数据'!$G$2:$G$19)*$I$10</f>
        <v>723.0212870940959</v>
      </c>
      <c r="X135" s="47">
        <f t="shared" ca="1" si="87"/>
        <v>20448.126027313341</v>
      </c>
      <c r="Y135" s="47">
        <f t="shared" ca="1" si="132"/>
        <v>157516.21960273868</v>
      </c>
      <c r="Z135" s="49">
        <f t="shared" ca="1" si="133"/>
        <v>11485308.901464311</v>
      </c>
      <c r="AA135" s="97">
        <f t="shared" ca="1" si="134"/>
        <v>115279.62362204473</v>
      </c>
      <c r="AB135" s="115">
        <f ca="1">IF(OR(C135="赤日轮1",C135="赤日轮2",C135="赤日轮3"),IF(RAND()&lt;模拟模式!$Y$17,1,0),IF(OR(C135="幽月轮1",C135="幽月轮2",C135="幽月轮3"),IF(RAND()&lt;模拟模式!$Y$18,1,0),IF(C135="烈日斩",IF(RAND()&lt;模拟模式!$Y$19,1,0),IF(C135="银月斩",IF(RAND()&lt;模拟模式!$Y$20,1,0),IF(C135="驱夜断愁",IF(RAND()&lt;模拟模式!$Y$21,1,0),IF(C135="净世破魔击·日",IF(RAND()&lt;模拟模式!$Y$22,1,0),IF(C135="净世破魔击·月",IF(RAND()&lt;模拟模式!$Y$23,1,0),0)))))))</f>
        <v>1</v>
      </c>
      <c r="AC135" s="115" t="b">
        <f t="shared" ca="1" si="122"/>
        <v>0</v>
      </c>
      <c r="AD135" s="115" t="b">
        <f t="shared" ca="1" si="142"/>
        <v>0</v>
      </c>
      <c r="AE135" s="115">
        <f t="shared" ca="1" si="143"/>
        <v>2</v>
      </c>
      <c r="AF135" s="47">
        <f ca="1">IF(AC135,('模拟-单技能数据'!$D$20+G135*'模拟-单技能数据'!$F$20)*(1+J135)*(1+'模拟-单技能数据'!$J$20)*(1+U135),0)</f>
        <v>0</v>
      </c>
      <c r="AG135" s="61">
        <f t="shared" ca="1" si="135"/>
        <v>0.64185145527300214</v>
      </c>
      <c r="AH135" s="61">
        <f t="shared" ca="1" si="136"/>
        <v>2.2624828854998791</v>
      </c>
      <c r="AI135" s="62">
        <f t="shared" ca="1" si="93"/>
        <v>0.53633764368681991</v>
      </c>
      <c r="AJ135" s="47">
        <f ca="1">IF(AD135,IF(AI135&lt;$F$10,0,IF(AI135&lt;$F$10+$F$11,0.25,IF(AI135&lt;$F$10+$F$11+AG135,AH135,1)))*IF(AF135&gt;0,AF135,IF(AF134&gt;0,AF134,IF(AF133&gt;0,AF133,IF(AF132&gt;0,AF132,IF(AF131&gt;0,AF131,IF(AF130&gt;0,AF130,IF(AF129&gt;0,AF129,IF(AF128&gt;0,AF128,IF(AF127&gt;0,AF127,IF(AF125&gt;0,AF125,IF(AF124&gt;0,AF124,IF(AF123&gt;0,AF123,0)))))))))))),0)*(1-$S135)*'模拟-单技能数据'!$I$20</f>
        <v>0</v>
      </c>
      <c r="AK135" s="115" t="b">
        <f t="shared" ca="1" si="123"/>
        <v>1</v>
      </c>
      <c r="AL135" s="115" t="b">
        <f t="shared" ca="1" si="144"/>
        <v>1</v>
      </c>
      <c r="AM135" s="115">
        <f t="shared" ca="1" si="145"/>
        <v>5</v>
      </c>
      <c r="AN135" s="47">
        <f ca="1">IF(AK135,('模拟-单技能数据'!$D$21+G135*'模拟-单技能数据'!$F$21)*(1+J135)*(1+'模拟-单技能数据'!$J$21)*(1+U135),0)</f>
        <v>12670.936004857545</v>
      </c>
      <c r="AO135" s="61">
        <f ca="1">IF(AN135&gt;0,M135-'模拟-单技能数据'!$K$10,AO134)</f>
        <v>0.42185145527300216</v>
      </c>
      <c r="AP135" s="61">
        <f ca="1">IF(AN135&gt;0,I135-'模拟-单技能数据'!$L$10,AP134)</f>
        <v>2.162482885499879</v>
      </c>
      <c r="AQ135" s="63">
        <f t="shared" ca="1" si="94"/>
        <v>0.6948740539222773</v>
      </c>
      <c r="AR135" s="64">
        <f ca="1">IF(AL135,IF(AQ135&lt;$F$10,0,IF(AQ135&lt;$F$10+$F$11,0.25,IF(AQ135&lt;$F$10+$F$11+AO135,AP135,1)))*IF(AN135&gt;0,AN135,IF(AN134&gt;0,AN134,IF(AN133&gt;0,AN133,IF(AN132&gt;0,AN132,IF(AN131&gt;0,AN131,IF(AN130&gt;0,AN130,IF(AN129&gt;0,AN129,IF(AN128&gt;0,AN128,IF(AN127&gt;0,AN127,IF(AN125&gt;0,AN125,IF(AN124&gt;0,AN124,IF(AN123&gt;0,AN123,0)))))))))))),0)*(1-$S135)*'模拟-单技能数据'!$I$21</f>
        <v>11607.89185245618</v>
      </c>
      <c r="AS135" s="61">
        <f ca="1">IF(OR(C135="净世破魔击·日",C135="净世破魔击·月"),M135-'模拟-单技能数据'!$K$10,0)</f>
        <v>0.42185145527300216</v>
      </c>
      <c r="AT135" s="61">
        <f ca="1">IF(OR(C135="净世破魔击·日",C135="净世破魔击·月"),I135-'模拟-单技能数据'!$L$10,0)</f>
        <v>2.162482885499879</v>
      </c>
      <c r="AU135" s="62">
        <f t="shared" ca="1" si="95"/>
        <v>0.53924668657490427</v>
      </c>
      <c r="AV135" s="64">
        <f ca="1">IF(AS135&gt;0,('模拟-单技能数据'!$D$22+G135*'模拟-单技能数据'!$F$22)*(1+J135)*(1-S135)*IF(AU135&lt;$F$10,0,IF(AU135&lt;$F$10+$F$11,0.25,IF(AU135&lt;$F$10+$F$11+AS135,AT135,1)))*(1+U135),0)*'模拟-单技能数据'!$I$22</f>
        <v>8840.2341748571616</v>
      </c>
      <c r="AW135" s="108">
        <f t="shared" ca="1" si="96"/>
        <v>3.3950000000000062</v>
      </c>
      <c r="AX135" s="108" t="b">
        <f ca="1">AND(模拟模式!$P$10="有",AW134=0,RAND()&lt;IF(C135="净世破魔击·月",0.1*8/3,IF(C135="净世破魔击·日",0.1*4/3,0.1*2/3)))</f>
        <v>0</v>
      </c>
      <c r="AY135" s="47">
        <f ca="1">IF(AX135,(18+G135*0.722)*(1+J135)*(1-S135)*(1+$I$4)*IF(P135="会",'模拟-全程加成'!$J$3+'模拟-全程加成'!$J$4+'模拟-全程加成'!$J$5+('模拟-全程加成'!$I$4+'模拟-全程加成'!$I$5)/系数!$B$4+BG135*10%,IF(P135="命",1,IF(P135="识",0.25,0))),0)</f>
        <v>0</v>
      </c>
      <c r="AZ135" s="108">
        <f t="shared" si="97"/>
        <v>1.5500000000000065</v>
      </c>
      <c r="BA135" s="108" t="b">
        <f>AND(模拟模式!$Q$10="有",AZ134=0)</f>
        <v>0</v>
      </c>
      <c r="BB135" s="140">
        <f>IF(BA135,(0+G135*0.287)*(1+J135)*(1-S135)*(1+$I$4)*IF(P135="会",'模拟-全程加成'!$J$3+'模拟-全程加成'!$J$4+'模拟-全程加成'!$J$5+('模拟-全程加成'!$I$4+'模拟-全程加成'!$I$5)/系数!$B$4+BG135*10%,IF(P135="命",1,IF(P135="识",0.25,0))),0)</f>
        <v>0</v>
      </c>
      <c r="BC135" s="115" t="b">
        <f ca="1">AND(模拟模式!$R$7="伏明众生",E135=60,F135=20,DA135&lt;5,CZ134&lt;$F$4)</f>
        <v>0</v>
      </c>
      <c r="BD135" s="115">
        <f t="shared" ca="1" si="124"/>
        <v>0</v>
      </c>
      <c r="BE135" s="115" t="b">
        <f t="shared" ca="1" si="125"/>
        <v>0</v>
      </c>
      <c r="BF135" s="47">
        <f ca="1">IF(BC135,4*('模拟-单技能数据'!$D$24+G135*'模拟-单技能数据'!$F$24)*(1+J135)*(1+'模拟-单技能数据'!$J$24)*(1-S135)*(1+$I$3)*(('模拟-全程加成'!$J$3+'模拟-全程加成'!$J$4+'模拟-全程加成'!$J$5+('模拟-全程加成'!$I$4+'模拟-全程加成'!$I$5)/系数!$B$4+BG135*10%)*('模拟-全程加成'!$J$3+'模拟-全程加成'!$J$4+'模拟-全程加成'!$J$5+('模拟-全程加成'!$I$4+'模拟-全程加成'!$I$5)/系数!$B$4+BG135*10%)+(1-('模拟-全程加成'!$J$3+'模拟-全程加成'!$J$4+'模拟-全程加成'!$J$5+('模拟-全程加成'!$I$4+'模拟-全程加成'!$I$5)/系数!$B$4+BG135*10%)-$F$10-$F$11)+F121*0.25),0)*'模拟-单技能数据'!$I$24</f>
        <v>0</v>
      </c>
      <c r="BG135" s="115" t="b">
        <f ca="1">OR(AND(OR(C135="烈日斩",C135="银月斩"),模拟模式!$I$7="净身明礼"),AND(C135="净世破魔击·日",模拟模式!$J$7="洞若观火"),AND(C136="净世破魔击·月",模拟模式!$J$7="洞若观火"),AB135=1)</f>
        <v>1</v>
      </c>
      <c r="BH135" s="115" t="b">
        <f t="shared" ca="1" si="98"/>
        <v>0</v>
      </c>
      <c r="BI135" s="115">
        <f t="shared" ca="1" si="126"/>
        <v>3.2324999999999995</v>
      </c>
      <c r="BJ135" s="115" t="b">
        <f t="shared" ca="1" si="137"/>
        <v>1</v>
      </c>
      <c r="BK135" s="115" t="b">
        <f ca="1">AND(C135="驱夜断愁",模拟模式!$P$7="天地诛戮")</f>
        <v>0</v>
      </c>
      <c r="BL135" s="57">
        <f t="shared" ca="1" si="127"/>
        <v>14.465000000000003</v>
      </c>
      <c r="BM135" s="115" t="b">
        <f t="shared" ca="1" si="138"/>
        <v>1</v>
      </c>
      <c r="BN135" s="115" t="b">
        <f ca="1">AND(OR(C135="赤日轮1",C135="赤日轮2",C135="赤日轮3",C135="幽月轮1",C135="幽月轮2",C135="幽月轮3"),AB135=1,模拟模式!$L$7="明光恒照")</f>
        <v>0</v>
      </c>
      <c r="BO135" s="117">
        <f t="shared" ca="1" si="128"/>
        <v>26.310000000000002</v>
      </c>
      <c r="BP135" s="115">
        <f t="shared" ca="1" si="101"/>
        <v>6</v>
      </c>
      <c r="BQ135" s="115" t="b">
        <f>模拟模式!$K$10="2600·水"</f>
        <v>0</v>
      </c>
      <c r="BR135" s="117">
        <f t="shared" si="102"/>
        <v>0</v>
      </c>
      <c r="BS135" s="115">
        <f t="shared" si="103"/>
        <v>0</v>
      </c>
      <c r="BT135" s="115">
        <f t="shared" ca="1" si="104"/>
        <v>0</v>
      </c>
      <c r="BU135" s="115" t="b">
        <f ca="1">AND(模拟模式!$K$10="2300·雷",BT134=0,RAND()&lt;IF(C135="净世破魔击·月",5*0.05*2/3,IF(C135="净世破魔击·日",3*0.05*2/3,0.05*2*2/3)))</f>
        <v>0</v>
      </c>
      <c r="BV135" s="115">
        <f t="shared" ca="1" si="105"/>
        <v>0</v>
      </c>
      <c r="BW135" s="115">
        <f t="shared" ca="1" si="106"/>
        <v>85.904999999999262</v>
      </c>
      <c r="BX135" s="164" t="b">
        <f t="shared" ca="1" si="107"/>
        <v>0</v>
      </c>
      <c r="BY135" s="115">
        <f t="shared" ca="1" si="108"/>
        <v>0</v>
      </c>
      <c r="BZ135" s="115">
        <f>IF(OR(模拟模式!$P$16="10人团",模拟模式!$P$16="25人团"),IF(B135/30&gt;CA134,1,0),0)</f>
        <v>0</v>
      </c>
      <c r="CA135" s="115">
        <f t="shared" si="74"/>
        <v>0</v>
      </c>
      <c r="CB135" s="115">
        <f ca="1">IF(BZ135=1,IF(模拟模式!$P$16="10人团",15,0)+IF(模拟模式!$P$16="25人团",IF(RAND()&lt;0.6,15,0)),MAX(0,CB134-$F$4))</f>
        <v>0</v>
      </c>
      <c r="CC135" s="115" t="b">
        <f t="shared" ca="1" si="139"/>
        <v>0</v>
      </c>
      <c r="CD135" s="115">
        <f>IF(模拟模式!$Q$16="1个",IF(B135/40&gt;CE134,1,0),0)</f>
        <v>0</v>
      </c>
      <c r="CE135" s="115">
        <f t="shared" si="140"/>
        <v>0</v>
      </c>
      <c r="CF135" s="115">
        <f>IF(OR(CD135=1,模拟模式!$Q$16="2个"),20,MAX(0,CF134-$F$4))</f>
        <v>0</v>
      </c>
      <c r="CG135" s="115" t="b">
        <f t="shared" si="141"/>
        <v>0</v>
      </c>
      <c r="CH135" s="115">
        <f t="shared" ca="1" si="112"/>
        <v>0</v>
      </c>
      <c r="CI135" s="115" t="b">
        <f t="shared" ca="1" si="113"/>
        <v>0</v>
      </c>
      <c r="CJ135" s="119">
        <f t="shared" ca="1" si="114"/>
        <v>0</v>
      </c>
      <c r="CK135" s="115">
        <f t="shared" ca="1" si="115"/>
        <v>0</v>
      </c>
      <c r="CL135" s="115" t="b">
        <f ca="1">AND(模拟模式!$S$7="驱夷逐法",OR(AND(C135="净世破魔击·月",E134&gt;59),AND(C135="净世破魔击·日",F134&gt;59)))</f>
        <v>0</v>
      </c>
      <c r="CM135" s="115" t="b">
        <f ca="1">OR(CL135,AND(C135="净世破魔击·日",CL134,RAND()&lt;模拟模式!$U$23))</f>
        <v>0</v>
      </c>
      <c r="CN135" s="115" t="b">
        <f ca="1">IF(模拟模式!$M$7="辉耀红尘",AND(C135="净世破魔击·月",CL135,CV135=0,E134&lt;80),AND(C135="净世破魔击·月",CL135,E134&lt;100))</f>
        <v>0</v>
      </c>
      <c r="CO135" s="115" t="b">
        <f t="shared" ca="1" si="75"/>
        <v>0</v>
      </c>
      <c r="CP135" s="115" t="b">
        <f ca="1">AND(模拟模式!$O$7="用晦而明",OR(C135="净世破魔击·日",C135="净世破魔击·月",C135="驱夜断愁"),AB135)</f>
        <v>1</v>
      </c>
      <c r="CQ135" s="115" t="b">
        <f ca="1">OR(CP135,AND(CP134,RAND()&lt;模拟模式!$U$23))</f>
        <v>1</v>
      </c>
      <c r="CR135" s="115" t="b">
        <f ca="1">AND(模拟模式!$S$7="日月齐光",OR(C135="幽月轮1",C135="幽月轮2",C135="幽月轮3",CR134),NOT(OR(C135="赤日轮1",C135="赤日轮2",C135="赤日轮3")))</f>
        <v>0</v>
      </c>
      <c r="CS135" s="115" t="b">
        <f ca="1">AND(模拟模式!$S$7="日月齐光",OR(C135="赤日轮1",C135="赤日轮2",C135="赤日轮3",CS134),NOT(OR(C135="幽月轮1",C135="幽月轮2",C135="幽月轮3")))</f>
        <v>0</v>
      </c>
      <c r="CT135" s="115">
        <f t="shared" ca="1" si="116"/>
        <v>29.077500000000001</v>
      </c>
      <c r="CU135" s="115" t="b">
        <f ca="1">AND(模拟模式!$K$10="阴阳往极",CT134=0,RAND()&lt;IF(C135="净世破魔击·月",0.0275*7/3,IF(C135="净世破魔击·日",0.0275*3/3,0.0275*2/3)))</f>
        <v>0</v>
      </c>
      <c r="CV135" s="115">
        <f t="shared" ca="1" si="117"/>
        <v>3.1549999999999998</v>
      </c>
      <c r="CW135" s="115">
        <f t="shared" ca="1" si="76"/>
        <v>1.3874999999999997</v>
      </c>
      <c r="CX135" s="115">
        <f t="shared" ca="1" si="77"/>
        <v>0</v>
      </c>
      <c r="CY135" s="115">
        <f ca="1">MAX(IF($C135="驱夜断愁",IF(模拟模式!$R$7="万念俱寂",6,45),CY134-$F$4),0)</f>
        <v>0.46499999999999975</v>
      </c>
      <c r="CZ135" s="115">
        <f t="shared" ca="1" si="78"/>
        <v>0</v>
      </c>
      <c r="DA135" s="115">
        <f ca="1">IF(模拟模式!$N$7="日月同辉",IF(DB134=2,0,MIN(6,IF(AND(OR(C135="赤日轮1",C135="赤日轮2",C135="赤日轮3",C135="幽月轮1",C135="幽月轮2",C135="幽月轮3"),AB135=1),DA134+1,DA134))),0)</f>
        <v>0</v>
      </c>
      <c r="DB135" s="115">
        <f t="shared" ca="1" si="79"/>
        <v>0</v>
      </c>
      <c r="DC135" s="115"/>
      <c r="DD135" s="115"/>
      <c r="DE135" s="115"/>
      <c r="DF135" s="115"/>
      <c r="DG135" s="115"/>
      <c r="DH135" s="115"/>
      <c r="DI135" s="115"/>
      <c r="DJ135" s="115"/>
      <c r="DK135" s="115"/>
      <c r="DL135" s="115"/>
      <c r="DM135" s="115"/>
    </row>
    <row r="136" spans="2:117" x14ac:dyDescent="0.2">
      <c r="B136" s="117">
        <f t="shared" si="80"/>
        <v>100.55249999999995</v>
      </c>
      <c r="C136" s="167" t="str">
        <f t="shared" ca="1" si="66"/>
        <v>净世破魔击·月</v>
      </c>
      <c r="D136" s="115">
        <f ca="1">IF(C136="赤日轮1",1,IF(C136="赤日轮2",2,IF(C136="赤日轮3",3,IF(C136="幽月轮1",4,IF(C136="幽月轮2",5,IF(C136="幽月轮3",6,IF(C136="烈日斩",7,IF(C136="银月斩",8,IF(C136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136="净世破魔击·月",17,IF(C136="驱夜断愁",18,0)))))))))))</f>
        <v>17</v>
      </c>
      <c r="E136" s="115">
        <f ca="1">IF(AND(CU136,OR(C136="幽月轮1",C136="幽月轮2",C136="幽月轮3",C136="银月斩",C136="驱夜断愁",C136="净世破魔击·月")),100,MIN(IF(OR(CN136,BE136),0,IF(OR($C136="赤日轮1",$C136="赤日轮2",$C136="赤日轮3"),E135+20+IF(模拟模式!$I$7="日月凌天",4,0)+IF(CR135,20,0),IF($C136="烈日斩",E135+40,IF($C136="驱夜断愁",IF(模拟模式!$R$7="万念俱寂",E135+20,E135+60),IF($C136="净世破魔击·月",IF(OR(DB135&gt;0,CV135&gt;0),100,IF(模拟模式!$M$7="辉耀红尘",E135+20,E135)),IF($C136="净世破魔击·日",E135-100,E135)))))),100))</f>
        <v>100</v>
      </c>
      <c r="F136" s="115">
        <f ca="1">IF(AND(CU136,OR(C136="赤日轮1",C136="赤日轮2",C136="赤日轮3",C136="烈日斩",C136="净世破魔击·日")),100,MIN(IF(CO136,0,IF(OR($C136="幽月轮1",$C136="幽月轮2",$C136="幽月轮3"),F135+20+IF(模拟模式!$I$7="日月凌天",4,0)+IF(CS135,20,0),IF($C136="银月斩",F135+40+IF(模拟模式!$X$12=1,5,0),IF($C136="驱夜断愁",IF(模拟模式!$R$7="万念俱寂",F135+20,F135+60),IF($C136="净世破魔击·月",IF(模拟模式!$M$7="辉耀红尘",F135-80,F135-100),IF(AND(C136="净世破魔击·日",OR(DB135&gt;0,CV135&gt;0)),100,F135)))))),100))</f>
        <v>20</v>
      </c>
      <c r="G136" s="117">
        <f ca="1">('模拟-全程加成'!$E$3+'模拟-全程加成'!$E$4+'模拟-全程加成'!$E$5+('模拟-全程加成'!$C$6-'模拟-全程加成'!$C$3)*系数!$B$9+BS136*23)*(1+'模拟-全程加成'!$F$4+'模拟-全程加成'!$F$5+BJ136*10%+BM136*20%+BP136*4%+CG136*30%)+$F$7*系数!$B$12</f>
        <v>21493.829400000002</v>
      </c>
      <c r="H136" s="45">
        <f ca="1">'模拟-全程加成'!$H$3+'模拟-全程加成'!$H$4+'模拟-全程加成'!$H$5+('模拟-全程加成'!$G$4+'模拟-全程加成'!$G$5+('模拟-全程加成'!$C$6-'模拟-全程加成'!$C$3)*系数!$B$13)/系数!$B$3+LOOKUP(D136,'模拟-单技能数据'!$A$2:$A$19,'模拟-单技能数据'!$K$2:$K$19)+BG136*10%+IF(BV136&gt;0,378,0)</f>
        <v>0.54185145527300216</v>
      </c>
      <c r="I136" s="45">
        <f ca="1">'模拟-全程加成'!$J$3+'模拟-全程加成'!$J$4+'模拟-全程加成'!$J$5+('模拟-全程加成'!$I$4+'模拟-全程加成'!$I$5)/系数!$B$4+LOOKUP(D136,'模拟-单技能数据'!$A$2:$A$19,'模拟-单技能数据'!$L$2:$L$19)+BG136*10%</f>
        <v>2.162482885499879</v>
      </c>
      <c r="J136" s="45">
        <f ca="1">(('模拟-全程加成'!$K$3+'模拟-全程加成'!$K$4+'模拟-全程加成'!$K$5+('模拟-全程加成'!$C$6-'模拟-全程加成'!$C$3)*系数!$B$10+IF(BV136&gt;0,882,0)+IF(BY136&gt;0,1831,0))*(1+'模拟-全程加成'!$L$4+'模拟-全程加成'!$L$5+CC136*20%))/系数!$B$5</f>
        <v>0.69723220422048726</v>
      </c>
      <c r="K136" s="119">
        <f ca="1">LOOKUP(D136,'模拟-单技能数据'!$A$2:$A$19,'模拟-单技能数据'!$J$2:$J$19)+IF(CM136,60%,0)+IF(DB135-DB136&gt;0,30%,0)+IF(OR(AND(OR(C136="赤日轮1",C136="赤日轮2",C136="赤日轮3"),CR136),AND(OR(C136="幽月轮1",C136="幽月轮2",C136="幽月轮3"),CS136)),35%,0)+CJ136</f>
        <v>0.2</v>
      </c>
      <c r="L136" s="119">
        <f ca="1">IF(AND(C136="烈日斩",模拟模式!$X$11=1),10%,0)+IF(AND(C136="驱夜断愁",AB136=1),30%,0)</f>
        <v>0</v>
      </c>
      <c r="M136" s="45">
        <f t="shared" ca="1" si="129"/>
        <v>0.54185145527300216</v>
      </c>
      <c r="N136" s="45">
        <f t="shared" ca="1" si="130"/>
        <v>0.40424854472699789</v>
      </c>
      <c r="O136" s="46">
        <f t="shared" ca="1" si="83"/>
        <v>0.78123279726926009</v>
      </c>
      <c r="P136" s="46" t="str">
        <f t="shared" ca="1" si="84"/>
        <v>命</v>
      </c>
      <c r="Q136" s="45">
        <f t="shared" ca="1" si="85"/>
        <v>1</v>
      </c>
      <c r="R136" s="117">
        <f ca="1">模拟模式!$E$20*(1-IF(模拟模式!$J$19="有",0.15,0))*(1-IF(模拟模式!$K$19="有",0.3,0)-IF(CQ136,0.5,0))</f>
        <v>843.02999999999975</v>
      </c>
      <c r="S136" s="45">
        <f ca="1">R136/(R136+(185*模拟模式!$E$22-16800)*4.08224)</f>
        <v>8.389626085980037E-2</v>
      </c>
      <c r="T136" s="45" t="str">
        <f ca="1">LOOKUP(D136,'模拟-单技能数据'!$A$2:$A$19,'模拟-单技能数据'!$H$2:$H$19)</f>
        <v>阴</v>
      </c>
      <c r="U136" s="119">
        <f t="shared" ca="1" si="131"/>
        <v>0.08</v>
      </c>
      <c r="V136" s="47">
        <f ca="1">(1+L136)*(LOOKUP(D136,'模拟-单技能数据'!$A$2:$A$19,'模拟-单技能数据'!$D$2:$D$19)+G136*LOOKUP(D136,'模拟-单技能数据'!$A$2:$A$19,'模拟-单技能数据'!$F$2:$F$19))*(1+J136)*(1+K136)*(1-S136)*(1+U136)*Q136*LOOKUP(D136,'模拟-单技能数据'!$A$2:$A$19,'模拟-单技能数据'!$I$2:$I$20)</f>
        <v>56275.195622899046</v>
      </c>
      <c r="W136" s="47">
        <f ca="1">LOOKUP(D136,'模拟-单技能数据'!$A$2:$A$19,'模拟-单技能数据'!$G$2:$G$19)*$I$10</f>
        <v>361.51064354704795</v>
      </c>
      <c r="X136" s="47">
        <f t="shared" ca="1" si="87"/>
        <v>8974.8852629014109</v>
      </c>
      <c r="Y136" s="47">
        <f t="shared" ca="1" si="132"/>
        <v>65611.591529347512</v>
      </c>
      <c r="Z136" s="49">
        <f t="shared" ca="1" si="133"/>
        <v>11550920.492993658</v>
      </c>
      <c r="AA136" s="97">
        <f t="shared" ca="1" si="134"/>
        <v>114874.52318931567</v>
      </c>
      <c r="AB136" s="115">
        <f ca="1">IF(OR(C136="赤日轮1",C136="赤日轮2",C136="赤日轮3"),IF(RAND()&lt;模拟模式!$Y$17,1,0),IF(OR(C136="幽月轮1",C136="幽月轮2",C136="幽月轮3"),IF(RAND()&lt;模拟模式!$Y$18,1,0),IF(C136="烈日斩",IF(RAND()&lt;模拟模式!$Y$19,1,0),IF(C136="银月斩",IF(RAND()&lt;模拟模式!$Y$20,1,0),IF(C136="驱夜断愁",IF(RAND()&lt;模拟模式!$Y$21,1,0),IF(C136="净世破魔击·日",IF(RAND()&lt;模拟模式!$Y$22,1,0),IF(C136="净世破魔击·月",IF(RAND()&lt;模拟模式!$Y$23,1,0),0)))))))</f>
        <v>1</v>
      </c>
      <c r="AC136" s="115" t="b">
        <f t="shared" ca="1" si="122"/>
        <v>0</v>
      </c>
      <c r="AD136" s="115" t="b">
        <f t="shared" ca="1" si="142"/>
        <v>1</v>
      </c>
      <c r="AE136" s="115">
        <f t="shared" ca="1" si="143"/>
        <v>1</v>
      </c>
      <c r="AF136" s="47">
        <f ca="1">IF(AC136,('模拟-单技能数据'!$D$20+G136*'模拟-单技能数据'!$F$20)*(1+J136)*(1+'模拟-单技能数据'!$J$20)*(1+U136),0)</f>
        <v>0</v>
      </c>
      <c r="AG136" s="61">
        <f t="shared" ca="1" si="135"/>
        <v>0.64185145527300214</v>
      </c>
      <c r="AH136" s="61">
        <f t="shared" ca="1" si="136"/>
        <v>2.2624828854998791</v>
      </c>
      <c r="AI136" s="62">
        <f t="shared" ca="1" si="93"/>
        <v>3.2982111766657662E-2</v>
      </c>
      <c r="AJ136" s="47">
        <f ca="1">IF(AD136,IF(AI136&lt;$F$10,0,IF(AI136&lt;$F$10+$F$11,0.25,IF(AI136&lt;$F$10+$F$11+AG136,AH136,1)))*IF(AF136&gt;0,AF136,IF(AF135&gt;0,AF135,IF(AF134&gt;0,AF134,IF(AF133&gt;0,AF133,IF(AF132&gt;0,AF132,IF(AF131&gt;0,AF131,IF(AF130&gt;0,AF130,IF(AF129&gt;0,AF129,IF(AF128&gt;0,AF128,IF(AF126&gt;0,AF126,IF(AF125&gt;0,AF125,IF(AF124&gt;0,AF124,0)))))))))))),0)*(1-$S136)*'模拟-单技能数据'!$I$20</f>
        <v>1018.6745055299644</v>
      </c>
      <c r="AK136" s="115" t="b">
        <f t="shared" ca="1" si="123"/>
        <v>0</v>
      </c>
      <c r="AL136" s="115" t="b">
        <f t="shared" ca="1" si="144"/>
        <v>0</v>
      </c>
      <c r="AM136" s="115">
        <f t="shared" ca="1" si="145"/>
        <v>5</v>
      </c>
      <c r="AN136" s="47">
        <f ca="1">IF(AK136,('模拟-单技能数据'!$D$21+G136*'模拟-单技能数据'!$F$21)*(1+J136)*(1+'模拟-单技能数据'!$J$21)*(1+U136),0)</f>
        <v>0</v>
      </c>
      <c r="AO136" s="61">
        <f ca="1">IF(AN136&gt;0,M136-'模拟-单技能数据'!$K$10,AO135)</f>
        <v>0.42185145527300216</v>
      </c>
      <c r="AP136" s="61">
        <f ca="1">IF(AN136&gt;0,I136-'模拟-单技能数据'!$L$10,AP135)</f>
        <v>2.162482885499879</v>
      </c>
      <c r="AQ136" s="63">
        <f t="shared" ca="1" si="94"/>
        <v>0.6749630563425153</v>
      </c>
      <c r="AR136" s="64">
        <f ca="1">IF(AL136,IF(AQ136&lt;$F$10,0,IF(AQ136&lt;$F$10+$F$11,0.25,IF(AQ136&lt;$F$10+$F$11+AO136,AP136,1)))*IF(AN136&gt;0,AN136,IF(AN135&gt;0,AN135,IF(AN134&gt;0,AN134,IF(AN133&gt;0,AN133,IF(AN132&gt;0,AN132,IF(AN131&gt;0,AN131,IF(AN130&gt;0,AN130,IF(AN129&gt;0,AN129,IF(AN128&gt;0,AN128,IF(AN126&gt;0,AN126,IF(AN125&gt;0,AN125,IF(AN124&gt;0,AN124,0)))))))))))),0)*(1-$S136)*'模拟-单技能数据'!$I$21</f>
        <v>0</v>
      </c>
      <c r="AS136" s="61">
        <f ca="1">IF(OR(C136="净世破魔击·日",C136="净世破魔击·月"),M136-'模拟-单技能数据'!$K$10,0)</f>
        <v>0.42185145527300216</v>
      </c>
      <c r="AT136" s="61">
        <f ca="1">IF(OR(C136="净世破魔击·日",C136="净世破魔击·月"),I136-'模拟-单技能数据'!$L$10,0)</f>
        <v>2.162482885499879</v>
      </c>
      <c r="AU136" s="62">
        <f t="shared" ca="1" si="95"/>
        <v>0.69022178267673662</v>
      </c>
      <c r="AV136" s="64">
        <f ca="1">IF(AS136&gt;0,('模拟-单技能数据'!$D$22+G136*'模拟-单技能数据'!$F$22)*(1+J136)*(1-S136)*IF(AU136&lt;$F$10,0,IF(AU136&lt;$F$10+$F$11,0.25,IF(AU136&lt;$F$10+$F$11+AS136,AT136,1)))*(1+U136),0)*'模拟-单技能数据'!$I$22</f>
        <v>7956.2107573714466</v>
      </c>
      <c r="AW136" s="108">
        <f t="shared" ca="1" si="96"/>
        <v>2.4725000000000064</v>
      </c>
      <c r="AX136" s="108" t="b">
        <f ca="1">AND(模拟模式!$P$10="有",AW135=0,RAND()&lt;IF(C136="净世破魔击·月",0.1*8/3,IF(C136="净世破魔击·日",0.1*4/3,0.1*2/3)))</f>
        <v>0</v>
      </c>
      <c r="AY136" s="47">
        <f ca="1">IF(AX136,(18+G136*0.722)*(1+J136)*(1-S136)*(1+$I$4)*IF(P136="会",'模拟-全程加成'!$J$3+'模拟-全程加成'!$J$4+'模拟-全程加成'!$J$5+('模拟-全程加成'!$I$4+'模拟-全程加成'!$I$5)/系数!$B$4+BG136*10%,IF(P136="命",1,IF(P136="识",0.25,0))),0)</f>
        <v>0</v>
      </c>
      <c r="AZ136" s="108">
        <f t="shared" si="97"/>
        <v>0.6275000000000065</v>
      </c>
      <c r="BA136" s="108" t="b">
        <f>AND(模拟模式!$Q$10="有",AZ135=0)</f>
        <v>0</v>
      </c>
      <c r="BB136" s="140">
        <f>IF(BA136,(0+G136*0.287)*(1+J136)*(1-S136)*(1+$I$4)*IF(P136="会",'模拟-全程加成'!$J$3+'模拟-全程加成'!$J$4+'模拟-全程加成'!$J$5+('模拟-全程加成'!$I$4+'模拟-全程加成'!$I$5)/系数!$B$4+BG136*10%,IF(P136="命",1,IF(P136="识",0.25,0))),0)</f>
        <v>0</v>
      </c>
      <c r="BC136" s="115" t="b">
        <f ca="1">AND(模拟模式!$R$7="伏明众生",E136=60,F136=20,DA136&lt;5,CZ135&lt;$F$4)</f>
        <v>0</v>
      </c>
      <c r="BD136" s="115">
        <f t="shared" ca="1" si="124"/>
        <v>0</v>
      </c>
      <c r="BE136" s="115" t="b">
        <f t="shared" ca="1" si="125"/>
        <v>0</v>
      </c>
      <c r="BF136" s="47">
        <f ca="1">IF(BC136,4*('模拟-单技能数据'!$D$24+G136*'模拟-单技能数据'!$F$24)*(1+J136)*(1+'模拟-单技能数据'!$J$24)*(1-S136)*(1+$I$3)*(('模拟-全程加成'!$J$3+'模拟-全程加成'!$J$4+'模拟-全程加成'!$J$5+('模拟-全程加成'!$I$4+'模拟-全程加成'!$I$5)/系数!$B$4+BG136*10%)*('模拟-全程加成'!$J$3+'模拟-全程加成'!$J$4+'模拟-全程加成'!$J$5+('模拟-全程加成'!$I$4+'模拟-全程加成'!$I$5)/系数!$B$4+BG136*10%)+(1-('模拟-全程加成'!$J$3+'模拟-全程加成'!$J$4+'模拟-全程加成'!$J$5+('模拟-全程加成'!$I$4+'模拟-全程加成'!$I$5)/系数!$B$4+BG136*10%)-$F$10-$F$11)+F122*0.25),0)*'模拟-单技能数据'!$I$24</f>
        <v>0</v>
      </c>
      <c r="BG136" s="115" t="b">
        <f ca="1">OR(AND(OR(C136="烈日斩",C136="银月斩"),模拟模式!$I$7="净身明礼"),AND(C136="净世破魔击·日",模拟模式!$J$7="洞若观火"),AND(C137="净世破魔击·月",模拟模式!$J$7="洞若观火"),AB136=1)</f>
        <v>1</v>
      </c>
      <c r="BH136" s="115" t="b">
        <f t="shared" ca="1" si="98"/>
        <v>0</v>
      </c>
      <c r="BI136" s="115">
        <f t="shared" ca="1" si="126"/>
        <v>2.3099999999999996</v>
      </c>
      <c r="BJ136" s="115" t="b">
        <f t="shared" ca="1" si="137"/>
        <v>1</v>
      </c>
      <c r="BK136" s="115" t="b">
        <f ca="1">AND(C136="驱夜断愁",模拟模式!$P$7="天地诛戮")</f>
        <v>0</v>
      </c>
      <c r="BL136" s="57">
        <f t="shared" ca="1" si="127"/>
        <v>13.542500000000004</v>
      </c>
      <c r="BM136" s="115" t="b">
        <f t="shared" ca="1" si="138"/>
        <v>1</v>
      </c>
      <c r="BN136" s="115" t="b">
        <f ca="1">AND(OR(C136="赤日轮1",C136="赤日轮2",C136="赤日轮3",C136="幽月轮1",C136="幽月轮2",C136="幽月轮3"),AB136=1,模拟模式!$L$7="明光恒照")</f>
        <v>0</v>
      </c>
      <c r="BO136" s="117">
        <f t="shared" ca="1" si="128"/>
        <v>25.387500000000003</v>
      </c>
      <c r="BP136" s="115">
        <f t="shared" ca="1" si="101"/>
        <v>6</v>
      </c>
      <c r="BQ136" s="115" t="b">
        <f>模拟模式!$K$10="2600·水"</f>
        <v>0</v>
      </c>
      <c r="BR136" s="117">
        <f t="shared" si="102"/>
        <v>0</v>
      </c>
      <c r="BS136" s="115">
        <f t="shared" si="103"/>
        <v>0</v>
      </c>
      <c r="BT136" s="115">
        <f t="shared" ca="1" si="104"/>
        <v>0</v>
      </c>
      <c r="BU136" s="115" t="b">
        <f ca="1">AND(模拟模式!$K$10="2300·雷",BT135=0,RAND()&lt;IF(C136="净世破魔击·月",5*0.05*2/3,IF(C136="净世破魔击·日",3*0.05*2/3,0.05*2*2/3)))</f>
        <v>0</v>
      </c>
      <c r="BV136" s="115">
        <f t="shared" ca="1" si="105"/>
        <v>0</v>
      </c>
      <c r="BW136" s="115">
        <f t="shared" ca="1" si="106"/>
        <v>84.982499999999263</v>
      </c>
      <c r="BX136" s="164" t="b">
        <f t="shared" ca="1" si="107"/>
        <v>0</v>
      </c>
      <c r="BY136" s="115">
        <f t="shared" ca="1" si="108"/>
        <v>0</v>
      </c>
      <c r="BZ136" s="115">
        <f>IF(OR(模拟模式!$P$16="10人团",模拟模式!$P$16="25人团"),IF(B136/30&gt;CA135,1,0),0)</f>
        <v>0</v>
      </c>
      <c r="CA136" s="115">
        <f t="shared" si="74"/>
        <v>0</v>
      </c>
      <c r="CB136" s="115">
        <f ca="1">IF(BZ136=1,IF(模拟模式!$P$16="10人团",15,0)+IF(模拟模式!$P$16="25人团",IF(RAND()&lt;0.6,15,0)),MAX(0,CB135-$F$4))</f>
        <v>0</v>
      </c>
      <c r="CC136" s="115" t="b">
        <f t="shared" ca="1" si="139"/>
        <v>0</v>
      </c>
      <c r="CD136" s="115">
        <f>IF(模拟模式!$Q$16="1个",IF(B136/40&gt;CE135,1,0),0)</f>
        <v>0</v>
      </c>
      <c r="CE136" s="115">
        <f t="shared" si="140"/>
        <v>0</v>
      </c>
      <c r="CF136" s="115">
        <f>IF(OR(CD136=1,模拟模式!$Q$16="2个"),20,MAX(0,CF135-$F$4))</f>
        <v>0</v>
      </c>
      <c r="CG136" s="115" t="b">
        <f t="shared" si="141"/>
        <v>0</v>
      </c>
      <c r="CH136" s="115">
        <f t="shared" ca="1" si="112"/>
        <v>0</v>
      </c>
      <c r="CI136" s="115" t="b">
        <f t="shared" ca="1" si="113"/>
        <v>0</v>
      </c>
      <c r="CJ136" s="119">
        <f t="shared" ca="1" si="114"/>
        <v>0</v>
      </c>
      <c r="CK136" s="115">
        <f t="shared" ca="1" si="115"/>
        <v>0</v>
      </c>
      <c r="CL136" s="115" t="b">
        <f ca="1">AND(模拟模式!$S$7="驱夷逐法",OR(AND(C136="净世破魔击·月",E135&gt;59),AND(C136="净世破魔击·日",F135&gt;59)))</f>
        <v>0</v>
      </c>
      <c r="CM136" s="115" t="b">
        <f ca="1">OR(CL136,AND(C136="净世破魔击·日",CL135,RAND()&lt;模拟模式!$U$23))</f>
        <v>0</v>
      </c>
      <c r="CN136" s="115" t="b">
        <f ca="1">IF(模拟模式!$M$7="辉耀红尘",AND(C136="净世破魔击·月",CL136,CV136=0,E135&lt;80),AND(C136="净世破魔击·月",CL136,E135&lt;100))</f>
        <v>0</v>
      </c>
      <c r="CO136" s="115" t="b">
        <f t="shared" ca="1" si="75"/>
        <v>0</v>
      </c>
      <c r="CP136" s="115" t="b">
        <f ca="1">AND(模拟模式!$O$7="用晦而明",OR(C136="净世破魔击·日",C136="净世破魔击·月",C136="驱夜断愁"),AB136)</f>
        <v>1</v>
      </c>
      <c r="CQ136" s="115" t="b">
        <f ca="1">OR(CP136,AND(CP135,RAND()&lt;模拟模式!$U$23))</f>
        <v>1</v>
      </c>
      <c r="CR136" s="115" t="b">
        <f ca="1">AND(模拟模式!$S$7="日月齐光",OR(C136="幽月轮1",C136="幽月轮2",C136="幽月轮3",CR135),NOT(OR(C136="赤日轮1",C136="赤日轮2",C136="赤日轮3")))</f>
        <v>0</v>
      </c>
      <c r="CS136" s="115" t="b">
        <f ca="1">AND(模拟模式!$S$7="日月齐光",OR(C136="赤日轮1",C136="赤日轮2",C136="赤日轮3",CS135),NOT(OR(C136="幽月轮1",C136="幽月轮2",C136="幽月轮3")))</f>
        <v>0</v>
      </c>
      <c r="CT136" s="115">
        <f t="shared" ca="1" si="116"/>
        <v>28.155000000000001</v>
      </c>
      <c r="CU136" s="115" t="b">
        <f ca="1">AND(模拟模式!$K$10="阴阳往极",CT135=0,RAND()&lt;IF(C136="净世破魔击·月",0.0275*7/3,IF(C136="净世破魔击·日",0.0275*3/3,0.0275*2/3)))</f>
        <v>0</v>
      </c>
      <c r="CV136" s="115">
        <f t="shared" ca="1" si="117"/>
        <v>2.2324999999999999</v>
      </c>
      <c r="CW136" s="115">
        <f t="shared" ca="1" si="76"/>
        <v>0.46499999999999975</v>
      </c>
      <c r="CX136" s="115">
        <f t="shared" ca="1" si="77"/>
        <v>0</v>
      </c>
      <c r="CY136" s="115">
        <f ca="1">MAX(IF($C136="驱夜断愁",IF(模拟模式!$R$7="万念俱寂",6,45),CY135-$F$4),0)</f>
        <v>0</v>
      </c>
      <c r="CZ136" s="115">
        <f t="shared" ca="1" si="78"/>
        <v>0</v>
      </c>
      <c r="DA136" s="115">
        <f ca="1">IF(模拟模式!$N$7="日月同辉",IF(DB135=2,0,MIN(6,IF(AND(OR(C136="赤日轮1",C136="赤日轮2",C136="赤日轮3",C136="幽月轮1",C136="幽月轮2",C136="幽月轮3"),AB136=1),DA135+1,DA135))),0)</f>
        <v>0</v>
      </c>
      <c r="DB136" s="115">
        <f t="shared" ca="1" si="79"/>
        <v>0</v>
      </c>
      <c r="DC136" s="115"/>
      <c r="DD136" s="115"/>
      <c r="DE136" s="115"/>
      <c r="DF136" s="115"/>
      <c r="DG136" s="115"/>
      <c r="DH136" s="115"/>
      <c r="DI136" s="115"/>
      <c r="DJ136" s="115"/>
      <c r="DK136" s="115"/>
      <c r="DL136" s="115"/>
      <c r="DM136" s="115"/>
    </row>
    <row r="137" spans="2:117" x14ac:dyDescent="0.2">
      <c r="B137" s="117">
        <f t="shared" si="80"/>
        <v>101.47499999999995</v>
      </c>
      <c r="C137" s="167" t="str">
        <f t="shared" ca="1" si="66"/>
        <v>净世破魔击·日</v>
      </c>
      <c r="D137" s="115">
        <f ca="1">IF(C137="赤日轮1",1,IF(C137="赤日轮2",2,IF(C137="赤日轮3",3,IF(C137="幽月轮1",4,IF(C137="幽月轮2",5,IF(C137="幽月轮3",6,IF(C137="烈日斩",7,IF(C137="银月斩",8,IF(C137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137="净世破魔击·月",17,IF(C137="驱夜断愁",18,0)))))))))))</f>
        <v>9</v>
      </c>
      <c r="E137" s="115">
        <f ca="1">IF(AND(CU137,OR(C137="幽月轮1",C137="幽月轮2",C137="幽月轮3",C137="银月斩",C137="驱夜断愁",C137="净世破魔击·月")),100,MIN(IF(OR(CN137,BE137),0,IF(OR($C137="赤日轮1",$C137="赤日轮2",$C137="赤日轮3"),E136+20+IF(模拟模式!$I$7="日月凌天",4,0)+IF(CR136,20,0),IF($C137="烈日斩",E136+40,IF($C137="驱夜断愁",IF(模拟模式!$R$7="万念俱寂",E136+20,E136+60),IF($C137="净世破魔击·月",IF(OR(DB136&gt;0,CV136&gt;0),100,IF(模拟模式!$M$7="辉耀红尘",E136+20,E136)),IF($C137="净世破魔击·日",E136-100,E136)))))),100))</f>
        <v>0</v>
      </c>
      <c r="F137" s="115">
        <f ca="1">IF(AND(CU137,OR(C137="赤日轮1",C137="赤日轮2",C137="赤日轮3",C137="烈日斩",C137="净世破魔击·日")),100,MIN(IF(CO137,0,IF(OR($C137="幽月轮1",$C137="幽月轮2",$C137="幽月轮3"),F136+20+IF(模拟模式!$I$7="日月凌天",4,0)+IF(CS136,20,0),IF($C137="银月斩",F136+40+IF(模拟模式!$X$12=1,5,0),IF($C137="驱夜断愁",IF(模拟模式!$R$7="万念俱寂",F136+20,F136+60),IF($C137="净世破魔击·月",IF(模拟模式!$M$7="辉耀红尘",F136-80,F136-100),IF(AND(C137="净世破魔击·日",OR(DB136&gt;0,CV136&gt;0)),100,F136)))))),100))</f>
        <v>100</v>
      </c>
      <c r="G137" s="117">
        <f ca="1">('模拟-全程加成'!$E$3+'模拟-全程加成'!$E$4+'模拟-全程加成'!$E$5+('模拟-全程加成'!$C$6-'模拟-全程加成'!$C$3)*系数!$B$9+BS137*23)*(1+'模拟-全程加成'!$F$4+'模拟-全程加成'!$F$5+BJ137*10%+BM137*20%+BP137*4%+CG137*30%)+$F$7*系数!$B$12</f>
        <v>21493.829400000002</v>
      </c>
      <c r="H137" s="45">
        <f ca="1">'模拟-全程加成'!$H$3+'模拟-全程加成'!$H$4+'模拟-全程加成'!$H$5+('模拟-全程加成'!$G$4+'模拟-全程加成'!$G$5+('模拟-全程加成'!$C$6-'模拟-全程加成'!$C$3)*系数!$B$13)/系数!$B$3+LOOKUP(D137,'模拟-单技能数据'!$A$2:$A$19,'模拟-单技能数据'!$K$2:$K$19)+BG137*10%+IF(BV137&gt;0,378,0)</f>
        <v>0.54185145527300216</v>
      </c>
      <c r="I137" s="45">
        <f ca="1">'模拟-全程加成'!$J$3+'模拟-全程加成'!$J$4+'模拟-全程加成'!$J$5+('模拟-全程加成'!$I$4+'模拟-全程加成'!$I$5)/系数!$B$4+LOOKUP(D137,'模拟-单技能数据'!$A$2:$A$19,'模拟-单技能数据'!$L$2:$L$19)+BG137*10%</f>
        <v>2.162482885499879</v>
      </c>
      <c r="J137" s="45">
        <f ca="1">(('模拟-全程加成'!$K$3+'模拟-全程加成'!$K$4+'模拟-全程加成'!$K$5+('模拟-全程加成'!$C$6-'模拟-全程加成'!$C$3)*系数!$B$10+IF(BV137&gt;0,882,0)+IF(BY137&gt;0,1831,0))*(1+'模拟-全程加成'!$L$4+'模拟-全程加成'!$L$5+CC137*20%))/系数!$B$5</f>
        <v>0.69723220422048726</v>
      </c>
      <c r="K137" s="119">
        <f ca="1">LOOKUP(D137,'模拟-单技能数据'!$A$2:$A$19,'模拟-单技能数据'!$J$2:$J$19)+IF(CM137,60%,0)+IF(DB136-DB137&gt;0,30%,0)+IF(OR(AND(OR(C137="赤日轮1",C137="赤日轮2",C137="赤日轮3"),CR137),AND(OR(C137="幽月轮1",C137="幽月轮2",C137="幽月轮3"),CS137)),35%,0)+CJ137</f>
        <v>0.25</v>
      </c>
      <c r="L137" s="119">
        <f ca="1">IF(AND(C137="烈日斩",模拟模式!$X$11=1),10%,0)+IF(AND(C137="驱夜断愁",AB137=1),30%,0)</f>
        <v>0</v>
      </c>
      <c r="M137" s="45">
        <f t="shared" ca="1" si="129"/>
        <v>0.54185145527300216</v>
      </c>
      <c r="N137" s="45">
        <f t="shared" ca="1" si="130"/>
        <v>0.40424854472699789</v>
      </c>
      <c r="O137" s="46">
        <f t="shared" ca="1" si="83"/>
        <v>0.73466187542427619</v>
      </c>
      <c r="P137" s="46" t="str">
        <f t="shared" ca="1" si="84"/>
        <v>命</v>
      </c>
      <c r="Q137" s="45">
        <f t="shared" ca="1" si="85"/>
        <v>1</v>
      </c>
      <c r="R137" s="117">
        <f ca="1">模拟模式!$E$20*(1-IF(模拟模式!$J$19="有",0.15,0))*(1-IF(模拟模式!$K$19="有",0.3,0)-IF(CQ137,0.5,0))</f>
        <v>843.02999999999975</v>
      </c>
      <c r="S137" s="45">
        <f ca="1">R137/(R137+(185*模拟模式!$E$22-16800)*4.08224)</f>
        <v>8.389626085980037E-2</v>
      </c>
      <c r="T137" s="45" t="str">
        <f ca="1">LOOKUP(D137,'模拟-单技能数据'!$A$2:$A$19,'模拟-单技能数据'!$H$2:$H$19)</f>
        <v>阳</v>
      </c>
      <c r="U137" s="119">
        <f t="shared" ca="1" si="131"/>
        <v>0.2</v>
      </c>
      <c r="V137" s="47">
        <f ca="1">(1+L137)*(LOOKUP(D137,'模拟-单技能数据'!$A$2:$A$19,'模拟-单技能数据'!$D$2:$D$19)+G137*LOOKUP(D137,'模拟-单技能数据'!$A$2:$A$19,'模拟-单技能数据'!$F$2:$F$19))*(1+J137)*(1+K137)*(1-S137)*(1+U137)*Q137*LOOKUP(D137,'模拟-单技能数据'!$A$2:$A$19,'模拟-单技能数据'!$I$2:$I$20)</f>
        <v>65677.336879445851</v>
      </c>
      <c r="W137" s="47">
        <f ca="1">LOOKUP(D137,'模拟-单技能数据'!$A$2:$A$19,'模拟-单技能数据'!$G$2:$G$19)*$I$10</f>
        <v>723.0212870940959</v>
      </c>
      <c r="X137" s="47">
        <f t="shared" ca="1" si="87"/>
        <v>33942.101642527137</v>
      </c>
      <c r="Y137" s="47">
        <f t="shared" ca="1" si="132"/>
        <v>100342.45980906709</v>
      </c>
      <c r="Z137" s="49">
        <f t="shared" ca="1" si="133"/>
        <v>11651262.952802725</v>
      </c>
      <c r="AA137" s="97">
        <f t="shared" ca="1" si="134"/>
        <v>114819.04856174161</v>
      </c>
      <c r="AB137" s="115">
        <f ca="1">IF(OR(C137="赤日轮1",C137="赤日轮2",C137="赤日轮3"),IF(RAND()&lt;模拟模式!$Y$17,1,0),IF(OR(C137="幽月轮1",C137="幽月轮2",C137="幽月轮3"),IF(RAND()&lt;模拟模式!$Y$18,1,0),IF(C137="烈日斩",IF(RAND()&lt;模拟模式!$Y$19,1,0),IF(C137="银月斩",IF(RAND()&lt;模拟模式!$Y$20,1,0),IF(C137="驱夜断愁",IF(RAND()&lt;模拟模式!$Y$21,1,0),IF(C137="净世破魔击·日",IF(RAND()&lt;模拟模式!$Y$22,1,0),IF(C137="净世破魔击·月",IF(RAND()&lt;模拟模式!$Y$23,1,0),0)))))))</f>
        <v>1</v>
      </c>
      <c r="AC137" s="115" t="b">
        <f t="shared" ca="1" si="122"/>
        <v>0</v>
      </c>
      <c r="AD137" s="115" t="b">
        <f t="shared" ca="1" si="142"/>
        <v>0</v>
      </c>
      <c r="AE137" s="115">
        <f t="shared" ca="1" si="143"/>
        <v>1</v>
      </c>
      <c r="AF137" s="47">
        <f ca="1">IF(AC137,('模拟-单技能数据'!$D$20+G137*'模拟-单技能数据'!$F$20)*(1+J137)*(1+'模拟-单技能数据'!$J$20)*(1+U137),0)</f>
        <v>0</v>
      </c>
      <c r="AG137" s="61">
        <f t="shared" ca="1" si="135"/>
        <v>0.64185145527300214</v>
      </c>
      <c r="AH137" s="61">
        <f t="shared" ca="1" si="136"/>
        <v>2.2624828854998791</v>
      </c>
      <c r="AI137" s="62">
        <f t="shared" ca="1" si="93"/>
        <v>0.56466505595899874</v>
      </c>
      <c r="AJ137" s="47">
        <f ca="1">IF(AD137,IF(AI137&lt;$F$10,0,IF(AI137&lt;$F$10+$F$11,0.25,IF(AI137&lt;$F$10+$F$11+AG137,AH137,1)))*IF(AF137&gt;0,AF137,IF(AF136&gt;0,AF136,IF(AF135&gt;0,AF135,IF(AF134&gt;0,AF134,IF(AF133&gt;0,AF133,IF(AF132&gt;0,AF132,IF(AF131&gt;0,AF131,IF(AF130&gt;0,AF130,IF(AF129&gt;0,AF129,IF(AF127&gt;0,AF127,IF(AF126&gt;0,AF126,IF(AF125&gt;0,AF125,0)))))))))))),0)*(1-$S137)*'模拟-单技能数据'!$I$20</f>
        <v>0</v>
      </c>
      <c r="AK137" s="115" t="b">
        <f t="shared" ca="1" si="123"/>
        <v>1</v>
      </c>
      <c r="AL137" s="115" t="b">
        <f t="shared" ca="1" si="144"/>
        <v>1</v>
      </c>
      <c r="AM137" s="115">
        <f t="shared" ca="1" si="145"/>
        <v>5</v>
      </c>
      <c r="AN137" s="47">
        <f ca="1">IF(AK137,('模拟-单技能数据'!$D$21+G137*'模拟-单技能数据'!$F$21)*(1+J137)*(1+'模拟-单技能数据'!$J$21)*(1+U137),0)</f>
        <v>12670.936004857545</v>
      </c>
      <c r="AO137" s="61">
        <f ca="1">IF(AN137&gt;0,M137-'模拟-单技能数据'!$K$10,AO136)</f>
        <v>0.42185145527300216</v>
      </c>
      <c r="AP137" s="61">
        <f ca="1">IF(AN137&gt;0,I137-'模拟-单技能数据'!$L$10,AP136)</f>
        <v>2.162482885499879</v>
      </c>
      <c r="AQ137" s="63">
        <f t="shared" ca="1" si="94"/>
        <v>0.1218166186198264</v>
      </c>
      <c r="AR137" s="64">
        <f ca="1">IF(AL137,IF(AQ137&lt;$F$10,0,IF(AQ137&lt;$F$10+$F$11,0.25,IF(AQ137&lt;$F$10+$F$11+AO137,AP137,1)))*IF(AN137&gt;0,AN137,IF(AN136&gt;0,AN136,IF(AN135&gt;0,AN135,IF(AN134&gt;0,AN134,IF(AN133&gt;0,AN133,IF(AN132&gt;0,AN132,IF(AN131&gt;0,AN131,IF(AN130&gt;0,AN130,IF(AN129&gt;0,AN129,IF(AN127&gt;0,AN127,IF(AN126&gt;0,AN126,IF(AN125&gt;0,AN125,0)))))))))))),0)*(1-$S137)*'模拟-单技能数据'!$I$21</f>
        <v>25101.867467669974</v>
      </c>
      <c r="AS137" s="61">
        <f ca="1">IF(OR(C137="净世破魔击·日",C137="净世破魔击·月"),M137-'模拟-单技能数据'!$K$10,0)</f>
        <v>0.42185145527300216</v>
      </c>
      <c r="AT137" s="61">
        <f ca="1">IF(OR(C137="净世破魔击·日",C137="净世破魔击·月"),I137-'模拟-单技能数据'!$L$10,0)</f>
        <v>2.162482885499879</v>
      </c>
      <c r="AU137" s="62">
        <f t="shared" ca="1" si="95"/>
        <v>0.76285819756914075</v>
      </c>
      <c r="AV137" s="64">
        <f ca="1">IF(AS137&gt;0,('模拟-单技能数据'!$D$22+G137*'模拟-单技能数据'!$F$22)*(1+J137)*(1-S137)*IF(AU137&lt;$F$10,0,IF(AU137&lt;$F$10+$F$11,0.25,IF(AU137&lt;$F$10+$F$11+AS137,AT137,1)))*(1+U137),0)*'模拟-单技能数据'!$I$22</f>
        <v>8840.2341748571616</v>
      </c>
      <c r="AW137" s="108">
        <f t="shared" ca="1" si="96"/>
        <v>1.5500000000000065</v>
      </c>
      <c r="AX137" s="108" t="b">
        <f ca="1">AND(模拟模式!$P$10="有",AW136=0,RAND()&lt;IF(C137="净世破魔击·月",0.1*8/3,IF(C137="净世破魔击·日",0.1*4/3,0.1*2/3)))</f>
        <v>0</v>
      </c>
      <c r="AY137" s="47">
        <f ca="1">IF(AX137,(18+G137*0.722)*(1+J137)*(1-S137)*(1+$I$4)*IF(P137="会",'模拟-全程加成'!$J$3+'模拟-全程加成'!$J$4+'模拟-全程加成'!$J$5+('模拟-全程加成'!$I$4+'模拟-全程加成'!$I$5)/系数!$B$4+BG137*10%,IF(P137="命",1,IF(P137="识",0.25,0))),0)</f>
        <v>0</v>
      </c>
      <c r="AZ137" s="108">
        <f t="shared" si="97"/>
        <v>0</v>
      </c>
      <c r="BA137" s="108" t="b">
        <f>AND(模拟模式!$Q$10="有",AZ136=0)</f>
        <v>0</v>
      </c>
      <c r="BB137" s="140">
        <f>IF(BA137,(0+G137*0.287)*(1+J137)*(1-S137)*(1+$I$4)*IF(P137="会",'模拟-全程加成'!$J$3+'模拟-全程加成'!$J$4+'模拟-全程加成'!$J$5+('模拟-全程加成'!$I$4+'模拟-全程加成'!$I$5)/系数!$B$4+BG137*10%,IF(P137="命",1,IF(P137="识",0.25,0))),0)</f>
        <v>0</v>
      </c>
      <c r="BC137" s="115" t="b">
        <f ca="1">AND(模拟模式!$R$7="伏明众生",E137=60,F137=20,DA137&lt;5,CZ136&lt;$F$4)</f>
        <v>0</v>
      </c>
      <c r="BD137" s="115">
        <f t="shared" ca="1" si="124"/>
        <v>0</v>
      </c>
      <c r="BE137" s="115" t="b">
        <f t="shared" ca="1" si="125"/>
        <v>0</v>
      </c>
      <c r="BF137" s="47">
        <f ca="1">IF(BC137,4*('模拟-单技能数据'!$D$24+G137*'模拟-单技能数据'!$F$24)*(1+J137)*(1+'模拟-单技能数据'!$J$24)*(1-S137)*(1+$I$3)*(('模拟-全程加成'!$J$3+'模拟-全程加成'!$J$4+'模拟-全程加成'!$J$5+('模拟-全程加成'!$I$4+'模拟-全程加成'!$I$5)/系数!$B$4+BG137*10%)*('模拟-全程加成'!$J$3+'模拟-全程加成'!$J$4+'模拟-全程加成'!$J$5+('模拟-全程加成'!$I$4+'模拟-全程加成'!$I$5)/系数!$B$4+BG137*10%)+(1-('模拟-全程加成'!$J$3+'模拟-全程加成'!$J$4+'模拟-全程加成'!$J$5+('模拟-全程加成'!$I$4+'模拟-全程加成'!$I$5)/系数!$B$4+BG137*10%)-$F$10-$F$11)+F123*0.25),0)*'模拟-单技能数据'!$I$24</f>
        <v>0</v>
      </c>
      <c r="BG137" s="115" t="b">
        <f ca="1">OR(AND(OR(C137="烈日斩",C137="银月斩"),模拟模式!$I$7="净身明礼"),AND(C137="净世破魔击·日",模拟模式!$J$7="洞若观火"),AND(C138="净世破魔击·月",模拟模式!$J$7="洞若观火"),AB137=1)</f>
        <v>1</v>
      </c>
      <c r="BH137" s="115" t="b">
        <f t="shared" ca="1" si="98"/>
        <v>0</v>
      </c>
      <c r="BI137" s="115">
        <f t="shared" ca="1" si="126"/>
        <v>1.3874999999999997</v>
      </c>
      <c r="BJ137" s="115" t="b">
        <f t="shared" ca="1" si="137"/>
        <v>1</v>
      </c>
      <c r="BK137" s="115" t="b">
        <f ca="1">AND(C137="驱夜断愁",模拟模式!$P$7="天地诛戮")</f>
        <v>0</v>
      </c>
      <c r="BL137" s="57">
        <f t="shared" ca="1" si="127"/>
        <v>12.620000000000005</v>
      </c>
      <c r="BM137" s="115" t="b">
        <f t="shared" ca="1" si="138"/>
        <v>1</v>
      </c>
      <c r="BN137" s="115" t="b">
        <f ca="1">AND(OR(C137="赤日轮1",C137="赤日轮2",C137="赤日轮3",C137="幽月轮1",C137="幽月轮2",C137="幽月轮3"),AB137=1,模拟模式!$L$7="明光恒照")</f>
        <v>0</v>
      </c>
      <c r="BO137" s="117">
        <f t="shared" ca="1" si="128"/>
        <v>24.465000000000003</v>
      </c>
      <c r="BP137" s="115">
        <f t="shared" ca="1" si="101"/>
        <v>6</v>
      </c>
      <c r="BQ137" s="115" t="b">
        <f>模拟模式!$K$10="2600·水"</f>
        <v>0</v>
      </c>
      <c r="BR137" s="117">
        <f t="shared" si="102"/>
        <v>0</v>
      </c>
      <c r="BS137" s="115">
        <f t="shared" si="103"/>
        <v>0</v>
      </c>
      <c r="BT137" s="115">
        <f t="shared" ca="1" si="104"/>
        <v>0</v>
      </c>
      <c r="BU137" s="115" t="b">
        <f ca="1">AND(模拟模式!$K$10="2300·雷",BT136=0,RAND()&lt;IF(C137="净世破魔击·月",5*0.05*2/3,IF(C137="净世破魔击·日",3*0.05*2/3,0.05*2*2/3)))</f>
        <v>0</v>
      </c>
      <c r="BV137" s="115">
        <f t="shared" ca="1" si="105"/>
        <v>0</v>
      </c>
      <c r="BW137" s="115">
        <f t="shared" ca="1" si="106"/>
        <v>84.059999999999263</v>
      </c>
      <c r="BX137" s="164" t="b">
        <f t="shared" ca="1" si="107"/>
        <v>0</v>
      </c>
      <c r="BY137" s="115">
        <f t="shared" ca="1" si="108"/>
        <v>0</v>
      </c>
      <c r="BZ137" s="115">
        <f>IF(OR(模拟模式!$P$16="10人团",模拟模式!$P$16="25人团"),IF(B137/30&gt;CA136,1,0),0)</f>
        <v>0</v>
      </c>
      <c r="CA137" s="115">
        <f t="shared" si="74"/>
        <v>0</v>
      </c>
      <c r="CB137" s="115">
        <f ca="1">IF(BZ137=1,IF(模拟模式!$P$16="10人团",15,0)+IF(模拟模式!$P$16="25人团",IF(RAND()&lt;0.6,15,0)),MAX(0,CB136-$F$4))</f>
        <v>0</v>
      </c>
      <c r="CC137" s="115" t="b">
        <f t="shared" ca="1" si="139"/>
        <v>0</v>
      </c>
      <c r="CD137" s="115">
        <f>IF(模拟模式!$Q$16="1个",IF(B137/40&gt;CE136,1,0),0)</f>
        <v>0</v>
      </c>
      <c r="CE137" s="115">
        <f t="shared" si="140"/>
        <v>0</v>
      </c>
      <c r="CF137" s="115">
        <f>IF(OR(CD137=1,模拟模式!$Q$16="2个"),20,MAX(0,CF136-$F$4))</f>
        <v>0</v>
      </c>
      <c r="CG137" s="115" t="b">
        <f t="shared" si="141"/>
        <v>0</v>
      </c>
      <c r="CH137" s="115">
        <f t="shared" ca="1" si="112"/>
        <v>29.077500000000001</v>
      </c>
      <c r="CI137" s="115" t="b">
        <f t="shared" ca="1" si="113"/>
        <v>1</v>
      </c>
      <c r="CJ137" s="119">
        <f t="shared" ca="1" si="114"/>
        <v>0.05</v>
      </c>
      <c r="CK137" s="115">
        <f t="shared" ca="1" si="115"/>
        <v>7.0774999999999997</v>
      </c>
      <c r="CL137" s="115" t="b">
        <f ca="1">AND(模拟模式!$S$7="驱夷逐法",OR(AND(C137="净世破魔击·月",E136&gt;59),AND(C137="净世破魔击·日",F136&gt;59)))</f>
        <v>0</v>
      </c>
      <c r="CM137" s="115" t="b">
        <f ca="1">OR(CL137,AND(C137="净世破魔击·日",CL136,RAND()&lt;模拟模式!$U$23))</f>
        <v>0</v>
      </c>
      <c r="CN137" s="115" t="b">
        <f ca="1">IF(模拟模式!$M$7="辉耀红尘",AND(C137="净世破魔击·月",CL137,CV137=0,E136&lt;80),AND(C137="净世破魔击·月",CL137,E136&lt;100))</f>
        <v>0</v>
      </c>
      <c r="CO137" s="115" t="b">
        <f t="shared" ca="1" si="75"/>
        <v>0</v>
      </c>
      <c r="CP137" s="115" t="b">
        <f ca="1">AND(模拟模式!$O$7="用晦而明",OR(C137="净世破魔击·日",C137="净世破魔击·月",C137="驱夜断愁"),AB137)</f>
        <v>1</v>
      </c>
      <c r="CQ137" s="115" t="b">
        <f ca="1">OR(CP137,AND(CP136,RAND()&lt;模拟模式!$U$23))</f>
        <v>1</v>
      </c>
      <c r="CR137" s="115" t="b">
        <f ca="1">AND(模拟模式!$S$7="日月齐光",OR(C137="幽月轮1",C137="幽月轮2",C137="幽月轮3",CR136),NOT(OR(C137="赤日轮1",C137="赤日轮2",C137="赤日轮3")))</f>
        <v>0</v>
      </c>
      <c r="CS137" s="115" t="b">
        <f ca="1">AND(模拟模式!$S$7="日月齐光",OR(C137="赤日轮1",C137="赤日轮2",C137="赤日轮3",CS136),NOT(OR(C137="幽月轮1",C137="幽月轮2",C137="幽月轮3")))</f>
        <v>0</v>
      </c>
      <c r="CT137" s="115">
        <f t="shared" ca="1" si="116"/>
        <v>27.232500000000002</v>
      </c>
      <c r="CU137" s="115" t="b">
        <f ca="1">AND(模拟模式!$K$10="阴阳往极",CT136=0,RAND()&lt;IF(C137="净世破魔击·月",0.0275*7/3,IF(C137="净世破魔击·日",0.0275*3/3,0.0275*2/3)))</f>
        <v>0</v>
      </c>
      <c r="CV137" s="115">
        <f t="shared" ca="1" si="117"/>
        <v>1.31</v>
      </c>
      <c r="CW137" s="115">
        <f t="shared" ca="1" si="76"/>
        <v>0</v>
      </c>
      <c r="CX137" s="115">
        <f t="shared" ca="1" si="77"/>
        <v>0</v>
      </c>
      <c r="CY137" s="115">
        <f ca="1">MAX(IF($C137="驱夜断愁",IF(模拟模式!$R$7="万念俱寂",6,45),CY136-$F$4),0)</f>
        <v>0</v>
      </c>
      <c r="CZ137" s="115">
        <f t="shared" ca="1" si="78"/>
        <v>0</v>
      </c>
      <c r="DA137" s="115">
        <f ca="1">IF(模拟模式!$N$7="日月同辉",IF(DB136=2,0,MIN(6,IF(AND(OR(C137="赤日轮1",C137="赤日轮2",C137="赤日轮3",C137="幽月轮1",C137="幽月轮2",C137="幽月轮3"),AB137=1),DA136+1,DA136))),0)</f>
        <v>0</v>
      </c>
      <c r="DB137" s="115">
        <f t="shared" ca="1" si="79"/>
        <v>0</v>
      </c>
      <c r="DC137" s="115"/>
      <c r="DD137" s="115"/>
      <c r="DE137" s="115"/>
      <c r="DF137" s="115"/>
      <c r="DG137" s="115"/>
      <c r="DH137" s="115"/>
      <c r="DI137" s="115"/>
      <c r="DJ137" s="115"/>
      <c r="DK137" s="115"/>
      <c r="DL137" s="115"/>
      <c r="DM137" s="115"/>
    </row>
    <row r="138" spans="2:117" x14ac:dyDescent="0.2">
      <c r="B138" s="117">
        <f t="shared" si="80"/>
        <v>102.39749999999995</v>
      </c>
      <c r="C138" s="167" t="str">
        <f t="shared" ca="1" si="66"/>
        <v>净世破魔击·月</v>
      </c>
      <c r="D138" s="115">
        <f ca="1">IF(C138="赤日轮1",1,IF(C138="赤日轮2",2,IF(C138="赤日轮3",3,IF(C138="幽月轮1",4,IF(C138="幽月轮2",5,IF(C138="幽月轮3",6,IF(C138="烈日斩",7,IF(C138="银月斩",8,IF(C138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138="净世破魔击·月",17,IF(C138="驱夜断愁",18,0)))))))))))</f>
        <v>17</v>
      </c>
      <c r="E138" s="115">
        <f ca="1">IF(AND(CU138,OR(C138="幽月轮1",C138="幽月轮2",C138="幽月轮3",C138="银月斩",C138="驱夜断愁",C138="净世破魔击·月")),100,MIN(IF(OR(CN138,BE138),0,IF(OR($C138="赤日轮1",$C138="赤日轮2",$C138="赤日轮3"),E137+20+IF(模拟模式!$I$7="日月凌天",4,0)+IF(CR137,20,0),IF($C138="烈日斩",E137+40,IF($C138="驱夜断愁",IF(模拟模式!$R$7="万念俱寂",E137+20,E137+60),IF($C138="净世破魔击·月",IF(OR(DB137&gt;0,CV137&gt;0),100,IF(模拟模式!$M$7="辉耀红尘",E137+20,E137)),IF($C138="净世破魔击·日",E137-100,E137)))))),100))</f>
        <v>100</v>
      </c>
      <c r="F138" s="115">
        <f ca="1">IF(AND(CU138,OR(C138="赤日轮1",C138="赤日轮2",C138="赤日轮3",C138="烈日斩",C138="净世破魔击·日")),100,MIN(IF(CO138,0,IF(OR($C138="幽月轮1",$C138="幽月轮2",$C138="幽月轮3"),F137+20+IF(模拟模式!$I$7="日月凌天",4,0)+IF(CS137,20,0),IF($C138="银月斩",F137+40+IF(模拟模式!$X$12=1,5,0),IF($C138="驱夜断愁",IF(模拟模式!$R$7="万念俱寂",F137+20,F137+60),IF($C138="净世破魔击·月",IF(模拟模式!$M$7="辉耀红尘",F137-80,F137-100),IF(AND(C138="净世破魔击·日",OR(DB137&gt;0,CV137&gt;0)),100,F137)))))),100))</f>
        <v>20</v>
      </c>
      <c r="G138" s="117">
        <f ca="1">('模拟-全程加成'!$E$3+'模拟-全程加成'!$E$4+'模拟-全程加成'!$E$5+('模拟-全程加成'!$C$6-'模拟-全程加成'!$C$3)*系数!$B$9+BS138*23)*(1+'模拟-全程加成'!$F$4+'模拟-全程加成'!$F$5+BJ138*10%+BM138*20%+BP138*4%+CG138*30%)+$F$7*系数!$B$12</f>
        <v>21493.829400000002</v>
      </c>
      <c r="H138" s="45">
        <f ca="1">'模拟-全程加成'!$H$3+'模拟-全程加成'!$H$4+'模拟-全程加成'!$H$5+('模拟-全程加成'!$G$4+'模拟-全程加成'!$G$5+('模拟-全程加成'!$C$6-'模拟-全程加成'!$C$3)*系数!$B$13)/系数!$B$3+LOOKUP(D138,'模拟-单技能数据'!$A$2:$A$19,'模拟-单技能数据'!$K$2:$K$19)+BG138*10%+IF(BV138&gt;0,378,0)</f>
        <v>0.54185145527300216</v>
      </c>
      <c r="I138" s="45">
        <f ca="1">'模拟-全程加成'!$J$3+'模拟-全程加成'!$J$4+'模拟-全程加成'!$J$5+('模拟-全程加成'!$I$4+'模拟-全程加成'!$I$5)/系数!$B$4+LOOKUP(D138,'模拟-单技能数据'!$A$2:$A$19,'模拟-单技能数据'!$L$2:$L$19)+BG138*10%</f>
        <v>2.162482885499879</v>
      </c>
      <c r="J138" s="45">
        <f ca="1">(('模拟-全程加成'!$K$3+'模拟-全程加成'!$K$4+'模拟-全程加成'!$K$5+('模拟-全程加成'!$C$6-'模拟-全程加成'!$C$3)*系数!$B$10+IF(BV138&gt;0,882,0)+IF(BY138&gt;0,1831,0))*(1+'模拟-全程加成'!$L$4+'模拟-全程加成'!$L$5+CC138*20%))/系数!$B$5</f>
        <v>0.69723220422048726</v>
      </c>
      <c r="K138" s="119">
        <f ca="1">LOOKUP(D138,'模拟-单技能数据'!$A$2:$A$19,'模拟-单技能数据'!$J$2:$J$19)+IF(CM138,60%,0)+IF(DB137-DB138&gt;0,30%,0)+IF(OR(AND(OR(C138="赤日轮1",C138="赤日轮2",C138="赤日轮3"),CR138),AND(OR(C138="幽月轮1",C138="幽月轮2",C138="幽月轮3"),CS138)),35%,0)+CJ138</f>
        <v>0.25</v>
      </c>
      <c r="L138" s="119">
        <f ca="1">IF(AND(C138="烈日斩",模拟模式!$X$11=1),10%,0)+IF(AND(C138="驱夜断愁",AB138=1),30%,0)</f>
        <v>0</v>
      </c>
      <c r="M138" s="45">
        <f t="shared" ca="1" si="129"/>
        <v>0.54185145527300216</v>
      </c>
      <c r="N138" s="45">
        <f t="shared" ca="1" si="130"/>
        <v>0.40424854472699789</v>
      </c>
      <c r="O138" s="46">
        <f t="shared" ca="1" si="83"/>
        <v>0.75631605732652074</v>
      </c>
      <c r="P138" s="46" t="str">
        <f t="shared" ca="1" si="84"/>
        <v>命</v>
      </c>
      <c r="Q138" s="45">
        <f t="shared" ca="1" si="85"/>
        <v>1</v>
      </c>
      <c r="R138" s="117">
        <f ca="1">模拟模式!$E$20*(1-IF(模拟模式!$J$19="有",0.15,0))*(1-IF(模拟模式!$K$19="有",0.3,0)-IF(CQ138,0.5,0))</f>
        <v>843.02999999999975</v>
      </c>
      <c r="S138" s="45">
        <f ca="1">R138/(R138+(185*模拟模式!$E$22-16800)*4.08224)</f>
        <v>8.389626085980037E-2</v>
      </c>
      <c r="T138" s="45" t="str">
        <f ca="1">LOOKUP(D138,'模拟-单技能数据'!$A$2:$A$19,'模拟-单技能数据'!$H$2:$H$19)</f>
        <v>阴</v>
      </c>
      <c r="U138" s="119">
        <f t="shared" ca="1" si="131"/>
        <v>0.08</v>
      </c>
      <c r="V138" s="47">
        <f ca="1">(1+L138)*(LOOKUP(D138,'模拟-单技能数据'!$A$2:$A$19,'模拟-单技能数据'!$D$2:$D$19)+G138*LOOKUP(D138,'模拟-单技能数据'!$A$2:$A$19,'模拟-单技能数据'!$F$2:$F$19))*(1+J138)*(1+K138)*(1-S138)*(1+U138)*Q138*LOOKUP(D138,'模拟-单技能数据'!$A$2:$A$19,'模拟-单技能数据'!$I$2:$I$20)</f>
        <v>58619.995440519822</v>
      </c>
      <c r="W138" s="47">
        <f ca="1">LOOKUP(D138,'模拟-单技能数据'!$A$2:$A$19,'模拟-单技能数据'!$G$2:$G$19)*$I$10</f>
        <v>361.51064354704795</v>
      </c>
      <c r="X138" s="47">
        <f t="shared" ca="1" si="87"/>
        <v>22389.611488953735</v>
      </c>
      <c r="Y138" s="47">
        <f t="shared" ca="1" si="132"/>
        <v>81371.117573020601</v>
      </c>
      <c r="Z138" s="49">
        <f t="shared" ca="1" si="133"/>
        <v>11732634.070375746</v>
      </c>
      <c r="AA138" s="97">
        <f t="shared" ca="1" si="134"/>
        <v>114579.30193975197</v>
      </c>
      <c r="AB138" s="115">
        <f ca="1">IF(OR(C138="赤日轮1",C138="赤日轮2",C138="赤日轮3"),IF(RAND()&lt;模拟模式!$Y$17,1,0),IF(OR(C138="幽月轮1",C138="幽月轮2",C138="幽月轮3"),IF(RAND()&lt;模拟模式!$Y$18,1,0),IF(C138="烈日斩",IF(RAND()&lt;模拟模式!$Y$19,1,0),IF(C138="银月斩",IF(RAND()&lt;模拟模式!$Y$20,1,0),IF(C138="驱夜断愁",IF(RAND()&lt;模拟模式!$Y$21,1,0),IF(C138="净世破魔击·日",IF(RAND()&lt;模拟模式!$Y$22,1,0),IF(C138="净世破魔击·月",IF(RAND()&lt;模拟模式!$Y$23,1,0),0)))))))</f>
        <v>1</v>
      </c>
      <c r="AC138" s="115" t="b">
        <f t="shared" ca="1" si="122"/>
        <v>0</v>
      </c>
      <c r="AD138" s="115" t="b">
        <f t="shared" ca="1" si="142"/>
        <v>1</v>
      </c>
      <c r="AE138" s="115">
        <f t="shared" ca="1" si="143"/>
        <v>0</v>
      </c>
      <c r="AF138" s="47">
        <f ca="1">IF(AC138,('模拟-单技能数据'!$D$20+G138*'模拟-单技能数据'!$F$20)*(1+J138)*(1+'模拟-单技能数据'!$J$20)*(1+U138),0)</f>
        <v>0</v>
      </c>
      <c r="AG138" s="61">
        <f t="shared" ca="1" si="135"/>
        <v>0.64185145527300214</v>
      </c>
      <c r="AH138" s="61">
        <f t="shared" ca="1" si="136"/>
        <v>2.2624828854998791</v>
      </c>
      <c r="AI138" s="62">
        <f t="shared" ca="1" si="93"/>
        <v>0.73650185401674406</v>
      </c>
      <c r="AJ138" s="47">
        <f ca="1">IF(AD138,IF(AI138&lt;$F$10,0,IF(AI138&lt;$F$10+$F$11,0.25,IF(AI138&lt;$F$10+$F$11+AG138,AH138,1)))*IF(AF138&gt;0,AF138,IF(AF137&gt;0,AF137,IF(AF136&gt;0,AF136,IF(AF135&gt;0,AF135,IF(AF134&gt;0,AF134,IF(AF133&gt;0,AF133,IF(AF132&gt;0,AF132,IF(AF131&gt;0,AF131,IF(AF130&gt;0,AF130,IF(AF128&gt;0,AF128,IF(AF127&gt;0,AF127,IF(AF126&gt;0,AF126,0)))))))))))),0)*(1-$S138)*'模拟-单技能数据'!$I$20</f>
        <v>4074.6980221198578</v>
      </c>
      <c r="AK138" s="115" t="b">
        <f t="shared" ca="1" si="123"/>
        <v>0</v>
      </c>
      <c r="AL138" s="115" t="b">
        <f t="shared" ca="1" si="144"/>
        <v>0</v>
      </c>
      <c r="AM138" s="115">
        <f t="shared" ca="1" si="145"/>
        <v>5</v>
      </c>
      <c r="AN138" s="47">
        <f ca="1">IF(AK138,('模拟-单技能数据'!$D$21+G138*'模拟-单技能数据'!$F$21)*(1+J138)*(1+'模拟-单技能数据'!$J$21)*(1+U138),0)</f>
        <v>0</v>
      </c>
      <c r="AO138" s="61">
        <f ca="1">IF(AN138&gt;0,M138-'模拟-单技能数据'!$K$10,AO137)</f>
        <v>0.42185145527300216</v>
      </c>
      <c r="AP138" s="61">
        <f ca="1">IF(AN138&gt;0,I138-'模拟-单技能数据'!$L$10,AP137)</f>
        <v>2.162482885499879</v>
      </c>
      <c r="AQ138" s="63">
        <f t="shared" ca="1" si="94"/>
        <v>0.91728827657691547</v>
      </c>
      <c r="AR138" s="64">
        <f ca="1">IF(AL138,IF(AQ138&lt;$F$10,0,IF(AQ138&lt;$F$10+$F$11,0.25,IF(AQ138&lt;$F$10+$F$11+AO138,AP138,1)))*IF(AN138&gt;0,AN138,IF(AN137&gt;0,AN137,IF(AN136&gt;0,AN136,IF(AN135&gt;0,AN135,IF(AN134&gt;0,AN134,IF(AN133&gt;0,AN133,IF(AN132&gt;0,AN132,IF(AN131&gt;0,AN131,IF(AN130&gt;0,AN130,IF(AN128&gt;0,AN128,IF(AN127&gt;0,AN127,IF(AN126&gt;0,AN126,0)))))))))))),0)*(1-$S138)*'模拟-单技能数据'!$I$21</f>
        <v>0</v>
      </c>
      <c r="AS138" s="61">
        <f ca="1">IF(OR(C138="净世破魔击·日",C138="净世破魔击·月"),M138-'模拟-单技能数据'!$K$10,0)</f>
        <v>0.42185145527300216</v>
      </c>
      <c r="AT138" s="61">
        <f ca="1">IF(OR(C138="净世破魔击·日",C138="净世破魔击·月"),I138-'模拟-单技能数据'!$L$10,0)</f>
        <v>2.162482885499879</v>
      </c>
      <c r="AU138" s="62">
        <f t="shared" ca="1" si="95"/>
        <v>0.5760663677054173</v>
      </c>
      <c r="AV138" s="64">
        <f ca="1">IF(AS138&gt;0,('模拟-单技能数据'!$D$22+G138*'模拟-单技能数据'!$F$22)*(1+J138)*(1-S138)*IF(AU138&lt;$F$10,0,IF(AU138&lt;$F$10+$F$11,0.25,IF(AU138&lt;$F$10+$F$11+AS138,AT138,1)))*(1+U138),0)*'模拟-单技能数据'!$I$22</f>
        <v>7956.2107573714466</v>
      </c>
      <c r="AW138" s="108">
        <f t="shared" ca="1" si="96"/>
        <v>0.6275000000000065</v>
      </c>
      <c r="AX138" s="108" t="b">
        <f ca="1">AND(模拟模式!$P$10="有",AW137=0,RAND()&lt;IF(C138="净世破魔击·月",0.1*8/3,IF(C138="净世破魔击·日",0.1*4/3,0.1*2/3)))</f>
        <v>0</v>
      </c>
      <c r="AY138" s="47">
        <f ca="1">IF(AX138,(18+G138*0.722)*(1+J138)*(1-S138)*(1+$I$4)*IF(P138="会",'模拟-全程加成'!$J$3+'模拟-全程加成'!$J$4+'模拟-全程加成'!$J$5+('模拟-全程加成'!$I$4+'模拟-全程加成'!$I$5)/系数!$B$4+BG138*10%,IF(P138="命",1,IF(P138="识",0.25,0))),0)</f>
        <v>0</v>
      </c>
      <c r="AZ138" s="108">
        <f t="shared" si="97"/>
        <v>19.077500000000001</v>
      </c>
      <c r="BA138" s="108" t="b">
        <f>AND(模拟模式!$Q$10="有",AZ137=0)</f>
        <v>1</v>
      </c>
      <c r="BB138" s="140">
        <f ca="1">IF(BA138,(0+G138*0.287)*(1+J138)*(1-S138)*(1+$I$4)*IF(P138="会",'模拟-全程加成'!$J$3+'模拟-全程加成'!$J$4+'模拟-全程加成'!$J$5+('模拟-全程加成'!$I$4+'模拟-全程加成'!$I$5)/系数!$B$4+BG138*10%,IF(P138="命",1,IF(P138="识",0.25,0))),0)</f>
        <v>10358.702709462432</v>
      </c>
      <c r="BC138" s="115" t="b">
        <f ca="1">AND(模拟模式!$R$7="伏明众生",E138=60,F138=20,DA138&lt;5,CZ137&lt;$F$4)</f>
        <v>0</v>
      </c>
      <c r="BD138" s="115">
        <f t="shared" ca="1" si="124"/>
        <v>0</v>
      </c>
      <c r="BE138" s="115" t="b">
        <f t="shared" ca="1" si="125"/>
        <v>0</v>
      </c>
      <c r="BF138" s="47">
        <f ca="1">IF(BC138,4*('模拟-单技能数据'!$D$24+G138*'模拟-单技能数据'!$F$24)*(1+J138)*(1+'模拟-单技能数据'!$J$24)*(1-S138)*(1+$I$3)*(('模拟-全程加成'!$J$3+'模拟-全程加成'!$J$4+'模拟-全程加成'!$J$5+('模拟-全程加成'!$I$4+'模拟-全程加成'!$I$5)/系数!$B$4+BG138*10%)*('模拟-全程加成'!$J$3+'模拟-全程加成'!$J$4+'模拟-全程加成'!$J$5+('模拟-全程加成'!$I$4+'模拟-全程加成'!$I$5)/系数!$B$4+BG138*10%)+(1-('模拟-全程加成'!$J$3+'模拟-全程加成'!$J$4+'模拟-全程加成'!$J$5+('模拟-全程加成'!$I$4+'模拟-全程加成'!$I$5)/系数!$B$4+BG138*10%)-$F$10-$F$11)+F124*0.25),0)*'模拟-单技能数据'!$I$24</f>
        <v>0</v>
      </c>
      <c r="BG138" s="115" t="b">
        <f ca="1">OR(AND(OR(C138="烈日斩",C138="银月斩"),模拟模式!$I$7="净身明礼"),AND(C138="净世破魔击·日",模拟模式!$J$7="洞若观火"),AND(C139="净世破魔击·月",模拟模式!$J$7="洞若观火"),AB138=1)</f>
        <v>1</v>
      </c>
      <c r="BH138" s="115" t="b">
        <f t="shared" ca="1" si="98"/>
        <v>1</v>
      </c>
      <c r="BI138" s="115">
        <f t="shared" ca="1" si="126"/>
        <v>6</v>
      </c>
      <c r="BJ138" s="115" t="b">
        <f t="shared" ca="1" si="137"/>
        <v>1</v>
      </c>
      <c r="BK138" s="115" t="b">
        <f ca="1">AND(C138="驱夜断愁",模拟模式!$P$7="天地诛戮")</f>
        <v>0</v>
      </c>
      <c r="BL138" s="57">
        <f t="shared" ca="1" si="127"/>
        <v>11.697500000000005</v>
      </c>
      <c r="BM138" s="115" t="b">
        <f t="shared" ca="1" si="138"/>
        <v>1</v>
      </c>
      <c r="BN138" s="115" t="b">
        <f ca="1">AND(OR(C138="赤日轮1",C138="赤日轮2",C138="赤日轮3",C138="幽月轮1",C138="幽月轮2",C138="幽月轮3"),AB138=1,模拟模式!$L$7="明光恒照")</f>
        <v>0</v>
      </c>
      <c r="BO138" s="117">
        <f t="shared" ca="1" si="128"/>
        <v>23.542500000000004</v>
      </c>
      <c r="BP138" s="115">
        <f t="shared" ca="1" si="101"/>
        <v>6</v>
      </c>
      <c r="BQ138" s="115" t="b">
        <f>模拟模式!$K$10="2600·水"</f>
        <v>0</v>
      </c>
      <c r="BR138" s="117">
        <f t="shared" si="102"/>
        <v>0</v>
      </c>
      <c r="BS138" s="115">
        <f t="shared" si="103"/>
        <v>0</v>
      </c>
      <c r="BT138" s="115">
        <f t="shared" ca="1" si="104"/>
        <v>0</v>
      </c>
      <c r="BU138" s="115" t="b">
        <f ca="1">AND(模拟模式!$K$10="2300·雷",BT137=0,RAND()&lt;IF(C138="净世破魔击·月",5*0.05*2/3,IF(C138="净世破魔击·日",3*0.05*2/3,0.05*2*2/3)))</f>
        <v>0</v>
      </c>
      <c r="BV138" s="115">
        <f t="shared" ca="1" si="105"/>
        <v>0</v>
      </c>
      <c r="BW138" s="115">
        <f t="shared" ca="1" si="106"/>
        <v>83.137499999999264</v>
      </c>
      <c r="BX138" s="164" t="b">
        <f t="shared" ca="1" si="107"/>
        <v>0</v>
      </c>
      <c r="BY138" s="115">
        <f t="shared" ca="1" si="108"/>
        <v>0</v>
      </c>
      <c r="BZ138" s="115">
        <f>IF(OR(模拟模式!$P$16="10人团",模拟模式!$P$16="25人团"),IF(B138/30&gt;CA137,1,0),0)</f>
        <v>0</v>
      </c>
      <c r="CA138" s="115">
        <f t="shared" si="74"/>
        <v>0</v>
      </c>
      <c r="CB138" s="115">
        <f ca="1">IF(BZ138=1,IF(模拟模式!$P$16="10人团",15,0)+IF(模拟模式!$P$16="25人团",IF(RAND()&lt;0.6,15,0)),MAX(0,CB137-$F$4))</f>
        <v>0</v>
      </c>
      <c r="CC138" s="115" t="b">
        <f t="shared" ca="1" si="139"/>
        <v>0</v>
      </c>
      <c r="CD138" s="115">
        <f>IF(模拟模式!$Q$16="1个",IF(B138/40&gt;CE137,1,0),0)</f>
        <v>0</v>
      </c>
      <c r="CE138" s="115">
        <f t="shared" si="140"/>
        <v>0</v>
      </c>
      <c r="CF138" s="115">
        <f>IF(OR(CD138=1,模拟模式!$Q$16="2个"),20,MAX(0,CF137-$F$4))</f>
        <v>0</v>
      </c>
      <c r="CG138" s="115" t="b">
        <f t="shared" si="141"/>
        <v>0</v>
      </c>
      <c r="CH138" s="115">
        <f t="shared" ca="1" si="112"/>
        <v>28.155000000000001</v>
      </c>
      <c r="CI138" s="115" t="b">
        <f t="shared" ca="1" si="113"/>
        <v>0</v>
      </c>
      <c r="CJ138" s="119">
        <f t="shared" ca="1" si="114"/>
        <v>0.05</v>
      </c>
      <c r="CK138" s="115">
        <f t="shared" ca="1" si="115"/>
        <v>6.1549999999999994</v>
      </c>
      <c r="CL138" s="115" t="b">
        <f ca="1">AND(模拟模式!$S$7="驱夷逐法",OR(AND(C138="净世破魔击·月",E137&gt;59),AND(C138="净世破魔击·日",F137&gt;59)))</f>
        <v>0</v>
      </c>
      <c r="CM138" s="115" t="b">
        <f ca="1">OR(CL138,AND(C138="净世破魔击·日",CL137,RAND()&lt;模拟模式!$U$23))</f>
        <v>0</v>
      </c>
      <c r="CN138" s="115" t="b">
        <f ca="1">IF(模拟模式!$M$7="辉耀红尘",AND(C138="净世破魔击·月",CL138,CV138=0,E137&lt;80),AND(C138="净世破魔击·月",CL138,E137&lt;100))</f>
        <v>0</v>
      </c>
      <c r="CO138" s="115" t="b">
        <f t="shared" ca="1" si="75"/>
        <v>0</v>
      </c>
      <c r="CP138" s="115" t="b">
        <f ca="1">AND(模拟模式!$O$7="用晦而明",OR(C138="净世破魔击·日",C138="净世破魔击·月",C138="驱夜断愁"),AB138)</f>
        <v>1</v>
      </c>
      <c r="CQ138" s="115" t="b">
        <f ca="1">OR(CP138,AND(CP137,RAND()&lt;模拟模式!$U$23))</f>
        <v>1</v>
      </c>
      <c r="CR138" s="115" t="b">
        <f ca="1">AND(模拟模式!$S$7="日月齐光",OR(C138="幽月轮1",C138="幽月轮2",C138="幽月轮3",CR137),NOT(OR(C138="赤日轮1",C138="赤日轮2",C138="赤日轮3")))</f>
        <v>0</v>
      </c>
      <c r="CS138" s="115" t="b">
        <f ca="1">AND(模拟模式!$S$7="日月齐光",OR(C138="赤日轮1",C138="赤日轮2",C138="赤日轮3",CS137),NOT(OR(C138="幽月轮1",C138="幽月轮2",C138="幽月轮3")))</f>
        <v>0</v>
      </c>
      <c r="CT138" s="115">
        <f t="shared" ca="1" si="116"/>
        <v>26.310000000000002</v>
      </c>
      <c r="CU138" s="115" t="b">
        <f ca="1">AND(模拟模式!$K$10="阴阳往极",CT137=0,RAND()&lt;IF(C138="净世破魔击·月",0.0275*7/3,IF(C138="净世破魔击·日",0.0275*3/3,0.0275*2/3)))</f>
        <v>0</v>
      </c>
      <c r="CV138" s="115">
        <f t="shared" ca="1" si="117"/>
        <v>0.38750000000000007</v>
      </c>
      <c r="CW138" s="115">
        <f t="shared" ca="1" si="76"/>
        <v>0</v>
      </c>
      <c r="CX138" s="115">
        <f t="shared" ca="1" si="77"/>
        <v>0</v>
      </c>
      <c r="CY138" s="115">
        <f ca="1">MAX(IF($C138="驱夜断愁",IF(模拟模式!$R$7="万念俱寂",6,45),CY137-$F$4),0)</f>
        <v>0</v>
      </c>
      <c r="CZ138" s="115">
        <f t="shared" ca="1" si="78"/>
        <v>0</v>
      </c>
      <c r="DA138" s="115">
        <f ca="1">IF(模拟模式!$N$7="日月同辉",IF(DB137=2,0,MIN(6,IF(AND(OR(C138="赤日轮1",C138="赤日轮2",C138="赤日轮3",C138="幽月轮1",C138="幽月轮2",C138="幽月轮3"),AB138=1),DA137+1,DA137))),0)</f>
        <v>0</v>
      </c>
      <c r="DB138" s="115">
        <f t="shared" ca="1" si="79"/>
        <v>0</v>
      </c>
      <c r="DC138" s="115"/>
      <c r="DD138" s="115"/>
      <c r="DE138" s="115"/>
      <c r="DF138" s="115"/>
      <c r="DG138" s="115"/>
      <c r="DH138" s="115"/>
      <c r="DI138" s="115"/>
      <c r="DJ138" s="115"/>
      <c r="DK138" s="115"/>
      <c r="DL138" s="115"/>
      <c r="DM138" s="115"/>
    </row>
    <row r="139" spans="2:117" x14ac:dyDescent="0.2">
      <c r="B139" s="117">
        <f t="shared" si="80"/>
        <v>103.31999999999995</v>
      </c>
      <c r="C139" s="167" t="str">
        <f t="shared" ca="1" si="66"/>
        <v>净世破魔击·日</v>
      </c>
      <c r="D139" s="115">
        <f ca="1">IF(C139="赤日轮1",1,IF(C139="赤日轮2",2,IF(C139="赤日轮3",3,IF(C139="幽月轮1",4,IF(C139="幽月轮2",5,IF(C139="幽月轮3",6,IF(C139="烈日斩",7,IF(C139="银月斩",8,IF(C139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139="净世破魔击·月",17,IF(C139="驱夜断愁",18,0)))))))))))</f>
        <v>9</v>
      </c>
      <c r="E139" s="115">
        <f ca="1">IF(AND(CU139,OR(C139="幽月轮1",C139="幽月轮2",C139="幽月轮3",C139="银月斩",C139="驱夜断愁",C139="净世破魔击·月")),100,MIN(IF(OR(CN139,BE139),0,IF(OR($C139="赤日轮1",$C139="赤日轮2",$C139="赤日轮3"),E138+20+IF(模拟模式!$I$7="日月凌天",4,0)+IF(CR138,20,0),IF($C139="烈日斩",E138+40,IF($C139="驱夜断愁",IF(模拟模式!$R$7="万念俱寂",E138+20,E138+60),IF($C139="净世破魔击·月",IF(OR(DB138&gt;0,CV138&gt;0),100,IF(模拟模式!$M$7="辉耀红尘",E138+20,E138)),IF($C139="净世破魔击·日",E138-100,E138)))))),100))</f>
        <v>0</v>
      </c>
      <c r="F139" s="115">
        <f ca="1">IF(AND(CU139,OR(C139="赤日轮1",C139="赤日轮2",C139="赤日轮3",C139="烈日斩",C139="净世破魔击·日")),100,MIN(IF(CO139,0,IF(OR($C139="幽月轮1",$C139="幽月轮2",$C139="幽月轮3"),F138+20+IF(模拟模式!$I$7="日月凌天",4,0)+IF(CS138,20,0),IF($C139="银月斩",F138+40+IF(模拟模式!$X$12=1,5,0),IF($C139="驱夜断愁",IF(模拟模式!$R$7="万念俱寂",F138+20,F138+60),IF($C139="净世破魔击·月",IF(模拟模式!$M$7="辉耀红尘",F138-80,F138-100),IF(AND(C139="净世破魔击·日",OR(DB138&gt;0,CV138&gt;0)),100,F138)))))),100))</f>
        <v>100</v>
      </c>
      <c r="G139" s="117">
        <f ca="1">('模拟-全程加成'!$E$3+'模拟-全程加成'!$E$4+'模拟-全程加成'!$E$5+('模拟-全程加成'!$C$6-'模拟-全程加成'!$C$3)*系数!$B$9+BS139*23)*(1+'模拟-全程加成'!$F$4+'模拟-全程加成'!$F$5+BJ139*10%+BM139*20%+BP139*4%+CG139*30%)+$F$7*系数!$B$12</f>
        <v>21493.829400000002</v>
      </c>
      <c r="H139" s="45">
        <f ca="1">'模拟-全程加成'!$H$3+'模拟-全程加成'!$H$4+'模拟-全程加成'!$H$5+('模拟-全程加成'!$G$4+'模拟-全程加成'!$G$5+('模拟-全程加成'!$C$6-'模拟-全程加成'!$C$3)*系数!$B$13)/系数!$B$3+LOOKUP(D139,'模拟-单技能数据'!$A$2:$A$19,'模拟-单技能数据'!$K$2:$K$19)+BG139*10%+IF(BV139&gt;0,378,0)</f>
        <v>0.54185145527300216</v>
      </c>
      <c r="I139" s="45">
        <f ca="1">'模拟-全程加成'!$J$3+'模拟-全程加成'!$J$4+'模拟-全程加成'!$J$5+('模拟-全程加成'!$I$4+'模拟-全程加成'!$I$5)/系数!$B$4+LOOKUP(D139,'模拟-单技能数据'!$A$2:$A$19,'模拟-单技能数据'!$L$2:$L$19)+BG139*10%</f>
        <v>2.162482885499879</v>
      </c>
      <c r="J139" s="45">
        <f ca="1">(('模拟-全程加成'!$K$3+'模拟-全程加成'!$K$4+'模拟-全程加成'!$K$5+('模拟-全程加成'!$C$6-'模拟-全程加成'!$C$3)*系数!$B$10+IF(BV139&gt;0,882,0)+IF(BY139&gt;0,1831,0))*(1+'模拟-全程加成'!$L$4+'模拟-全程加成'!$L$5+CC139*20%))/系数!$B$5</f>
        <v>0.69723220422048726</v>
      </c>
      <c r="K139" s="119">
        <f ca="1">LOOKUP(D139,'模拟-单技能数据'!$A$2:$A$19,'模拟-单技能数据'!$J$2:$J$19)+IF(CM139,60%,0)+IF(DB138-DB139&gt;0,30%,0)+IF(OR(AND(OR(C139="赤日轮1",C139="赤日轮2",C139="赤日轮3"),CR139),AND(OR(C139="幽月轮1",C139="幽月轮2",C139="幽月轮3"),CS139)),35%,0)+CJ139</f>
        <v>0.25</v>
      </c>
      <c r="L139" s="119">
        <f ca="1">IF(AND(C139="烈日斩",模拟模式!$X$11=1),10%,0)+IF(AND(C139="驱夜断愁",AB139=1),30%,0)</f>
        <v>0</v>
      </c>
      <c r="M139" s="45">
        <f t="shared" ca="1" si="129"/>
        <v>0.54185145527300216</v>
      </c>
      <c r="N139" s="45">
        <f t="shared" ca="1" si="130"/>
        <v>0.40424854472699789</v>
      </c>
      <c r="O139" s="46">
        <f t="shared" ca="1" si="83"/>
        <v>0.85892193035394371</v>
      </c>
      <c r="P139" s="46" t="str">
        <f t="shared" ca="1" si="84"/>
        <v>命</v>
      </c>
      <c r="Q139" s="45">
        <f t="shared" ca="1" si="85"/>
        <v>1</v>
      </c>
      <c r="R139" s="117">
        <f ca="1">模拟模式!$E$20*(1-IF(模拟模式!$J$19="有",0.15,0))*(1-IF(模拟模式!$K$19="有",0.3,0)-IF(CQ139,0.5,0))</f>
        <v>843.02999999999975</v>
      </c>
      <c r="S139" s="45">
        <f ca="1">R139/(R139+(185*模拟模式!$E$22-16800)*4.08224)</f>
        <v>8.389626085980037E-2</v>
      </c>
      <c r="T139" s="45" t="str">
        <f ca="1">LOOKUP(D139,'模拟-单技能数据'!$A$2:$A$19,'模拟-单技能数据'!$H$2:$H$19)</f>
        <v>阳</v>
      </c>
      <c r="U139" s="119">
        <f t="shared" ca="1" si="131"/>
        <v>0.2</v>
      </c>
      <c r="V139" s="47">
        <f ca="1">(1+L139)*(LOOKUP(D139,'模拟-单技能数据'!$A$2:$A$19,'模拟-单技能数据'!$D$2:$D$19)+G139*LOOKUP(D139,'模拟-单技能数据'!$A$2:$A$19,'模拟-单技能数据'!$F$2:$F$19))*(1+J139)*(1+K139)*(1-S139)*(1+U139)*Q139*LOOKUP(D139,'模拟-单技能数据'!$A$2:$A$19,'模拟-单技能数据'!$I$2:$I$20)</f>
        <v>65677.336879445851</v>
      </c>
      <c r="W139" s="47">
        <f ca="1">LOOKUP(D139,'模拟-单技能数据'!$A$2:$A$19,'模拟-单技能数据'!$G$2:$G$19)*$I$10</f>
        <v>723.0212870940959</v>
      </c>
      <c r="X139" s="47">
        <f t="shared" ca="1" si="87"/>
        <v>33942.101642527137</v>
      </c>
      <c r="Y139" s="47">
        <f t="shared" ca="1" si="132"/>
        <v>100342.45980906709</v>
      </c>
      <c r="Z139" s="49">
        <f t="shared" ca="1" si="133"/>
        <v>11832976.530184813</v>
      </c>
      <c r="AA139" s="97">
        <f t="shared" ca="1" si="134"/>
        <v>114527.4538345414</v>
      </c>
      <c r="AB139" s="115">
        <f ca="1">IF(OR(C139="赤日轮1",C139="赤日轮2",C139="赤日轮3"),IF(RAND()&lt;模拟模式!$Y$17,1,0),IF(OR(C139="幽月轮1",C139="幽月轮2",C139="幽月轮3"),IF(RAND()&lt;模拟模式!$Y$18,1,0),IF(C139="烈日斩",IF(RAND()&lt;模拟模式!$Y$19,1,0),IF(C139="银月斩",IF(RAND()&lt;模拟模式!$Y$20,1,0),IF(C139="驱夜断愁",IF(RAND()&lt;模拟模式!$Y$21,1,0),IF(C139="净世破魔击·日",IF(RAND()&lt;模拟模式!$Y$22,1,0),IF(C139="净世破魔击·月",IF(RAND()&lt;模拟模式!$Y$23,1,0),0)))))))</f>
        <v>1</v>
      </c>
      <c r="AC139" s="115" t="b">
        <f t="shared" ca="1" si="122"/>
        <v>0</v>
      </c>
      <c r="AD139" s="115" t="b">
        <f t="shared" ca="1" si="142"/>
        <v>0</v>
      </c>
      <c r="AE139" s="115">
        <f t="shared" ca="1" si="143"/>
        <v>0</v>
      </c>
      <c r="AF139" s="47">
        <f ca="1">IF(AC139,('模拟-单技能数据'!$D$20+G139*'模拟-单技能数据'!$F$20)*(1+J139)*(1+'模拟-单技能数据'!$J$20)*(1+U139),0)</f>
        <v>0</v>
      </c>
      <c r="AG139" s="61">
        <f t="shared" ca="1" si="135"/>
        <v>0.64185145527300214</v>
      </c>
      <c r="AH139" s="61">
        <f t="shared" ca="1" si="136"/>
        <v>2.2624828854998791</v>
      </c>
      <c r="AI139" s="62">
        <f t="shared" ca="1" si="93"/>
        <v>0.79772239436122905</v>
      </c>
      <c r="AJ139" s="47">
        <f ca="1">IF(AD139,IF(AI139&lt;$F$10,0,IF(AI139&lt;$F$10+$F$11,0.25,IF(AI139&lt;$F$10+$F$11+AG139,AH139,1)))*IF(AF139&gt;0,AF139,IF(AF138&gt;0,AF138,IF(AF137&gt;0,AF137,IF(AF136&gt;0,AF136,IF(AF135&gt;0,AF135,IF(AF134&gt;0,AF134,IF(AF133&gt;0,AF133,IF(AF132&gt;0,AF132,IF(AF131&gt;0,AF131,IF(AF129&gt;0,AF129,IF(AF128&gt;0,AF128,IF(AF127&gt;0,AF127,0)))))))))))),0)*(1-$S139)*'模拟-单技能数据'!$I$20</f>
        <v>0</v>
      </c>
      <c r="AK139" s="115" t="b">
        <f t="shared" ca="1" si="123"/>
        <v>1</v>
      </c>
      <c r="AL139" s="115" t="b">
        <f t="shared" ca="1" si="144"/>
        <v>1</v>
      </c>
      <c r="AM139" s="115">
        <f t="shared" ca="1" si="145"/>
        <v>5</v>
      </c>
      <c r="AN139" s="47">
        <f ca="1">IF(AK139,('模拟-单技能数据'!$D$21+G139*'模拟-单技能数据'!$F$21)*(1+J139)*(1+'模拟-单技能数据'!$J$21)*(1+U139),0)</f>
        <v>12670.936004857545</v>
      </c>
      <c r="AO139" s="61">
        <f ca="1">IF(AN139&gt;0,M139-'模拟-单技能数据'!$K$10,AO138)</f>
        <v>0.42185145527300216</v>
      </c>
      <c r="AP139" s="61">
        <f ca="1">IF(AN139&gt;0,I139-'模拟-单技能数据'!$L$10,AP138)</f>
        <v>2.162482885499879</v>
      </c>
      <c r="AQ139" s="63">
        <f t="shared" ca="1" si="94"/>
        <v>0.3543117010585034</v>
      </c>
      <c r="AR139" s="64">
        <f ca="1">IF(AL139,IF(AQ139&lt;$F$10,0,IF(AQ139&lt;$F$10+$F$11,0.25,IF(AQ139&lt;$F$10+$F$11+AO139,AP139,1)))*IF(AN139&gt;0,AN139,IF(AN138&gt;0,AN138,IF(AN137&gt;0,AN137,IF(AN136&gt;0,AN136,IF(AN135&gt;0,AN135,IF(AN134&gt;0,AN134,IF(AN133&gt;0,AN133,IF(AN132&gt;0,AN132,IF(AN131&gt;0,AN131,IF(AN129&gt;0,AN129,IF(AN128&gt;0,AN128,IF(AN127&gt;0,AN127,0)))))))))))),0)*(1-$S139)*'模拟-单技能数据'!$I$21</f>
        <v>25101.867467669974</v>
      </c>
      <c r="AS139" s="61">
        <f ca="1">IF(OR(C139="净世破魔击·日",C139="净世破魔击·月"),M139-'模拟-单技能数据'!$K$10,0)</f>
        <v>0.42185145527300216</v>
      </c>
      <c r="AT139" s="61">
        <f ca="1">IF(OR(C139="净世破魔击·日",C139="净世破魔击·月"),I139-'模拟-单技能数据'!$L$10,0)</f>
        <v>2.162482885499879</v>
      </c>
      <c r="AU139" s="62">
        <f t="shared" ca="1" si="95"/>
        <v>0.88937479125355179</v>
      </c>
      <c r="AV139" s="64">
        <f ca="1">IF(AS139&gt;0,('模拟-单技能数据'!$D$22+G139*'模拟-单技能数据'!$F$22)*(1+J139)*(1-S139)*IF(AU139&lt;$F$10,0,IF(AU139&lt;$F$10+$F$11,0.25,IF(AU139&lt;$F$10+$F$11+AS139,AT139,1)))*(1+U139),0)*'模拟-单技能数据'!$I$22</f>
        <v>8840.2341748571616</v>
      </c>
      <c r="AW139" s="108">
        <f t="shared" ca="1" si="96"/>
        <v>0</v>
      </c>
      <c r="AX139" s="108" t="b">
        <f ca="1">AND(模拟模式!$P$10="有",AW138=0,RAND()&lt;IF(C139="净世破魔击·月",0.1*8/3,IF(C139="净世破魔击·日",0.1*4/3,0.1*2/3)))</f>
        <v>0</v>
      </c>
      <c r="AY139" s="47">
        <f ca="1">IF(AX139,(18+G139*0.722)*(1+J139)*(1-S139)*(1+$I$4)*IF(P139="会",'模拟-全程加成'!$J$3+'模拟-全程加成'!$J$4+'模拟-全程加成'!$J$5+('模拟-全程加成'!$I$4+'模拟-全程加成'!$I$5)/系数!$B$4+BG139*10%,IF(P139="命",1,IF(P139="识",0.25,0))),0)</f>
        <v>0</v>
      </c>
      <c r="AZ139" s="108">
        <f t="shared" si="97"/>
        <v>18.155000000000001</v>
      </c>
      <c r="BA139" s="108" t="b">
        <f>AND(模拟模式!$Q$10="有",AZ138=0)</f>
        <v>0</v>
      </c>
      <c r="BB139" s="140">
        <f>IF(BA139,(0+G139*0.287)*(1+J139)*(1-S139)*(1+$I$4)*IF(P139="会",'模拟-全程加成'!$J$3+'模拟-全程加成'!$J$4+'模拟-全程加成'!$J$5+('模拟-全程加成'!$I$4+'模拟-全程加成'!$I$5)/系数!$B$4+BG139*10%,IF(P139="命",1,IF(P139="识",0.25,0))),0)</f>
        <v>0</v>
      </c>
      <c r="BC139" s="115" t="b">
        <f ca="1">AND(模拟模式!$R$7="伏明众生",E139=60,F139=20,DA139&lt;5,CZ138&lt;$F$4)</f>
        <v>0</v>
      </c>
      <c r="BD139" s="115">
        <f t="shared" ca="1" si="124"/>
        <v>0</v>
      </c>
      <c r="BE139" s="115" t="b">
        <f t="shared" ca="1" si="125"/>
        <v>0</v>
      </c>
      <c r="BF139" s="47">
        <f ca="1">IF(BC139,4*('模拟-单技能数据'!$D$24+G139*'模拟-单技能数据'!$F$24)*(1+J139)*(1+'模拟-单技能数据'!$J$24)*(1-S139)*(1+$I$3)*(('模拟-全程加成'!$J$3+'模拟-全程加成'!$J$4+'模拟-全程加成'!$J$5+('模拟-全程加成'!$I$4+'模拟-全程加成'!$I$5)/系数!$B$4+BG139*10%)*('模拟-全程加成'!$J$3+'模拟-全程加成'!$J$4+'模拟-全程加成'!$J$5+('模拟-全程加成'!$I$4+'模拟-全程加成'!$I$5)/系数!$B$4+BG139*10%)+(1-('模拟-全程加成'!$J$3+'模拟-全程加成'!$J$4+'模拟-全程加成'!$J$5+('模拟-全程加成'!$I$4+'模拟-全程加成'!$I$5)/系数!$B$4+BG139*10%)-$F$10-$F$11)+F125*0.25),0)*'模拟-单技能数据'!$I$24</f>
        <v>0</v>
      </c>
      <c r="BG139" s="115" t="b">
        <f ca="1">OR(AND(OR(C139="烈日斩",C139="银月斩"),模拟模式!$I$7="净身明礼"),AND(C139="净世破魔击·日",模拟模式!$J$7="洞若观火"),AND(C140="净世破魔击·月",模拟模式!$J$7="洞若观火"),AB139=1)</f>
        <v>1</v>
      </c>
      <c r="BH139" s="115" t="b">
        <f t="shared" ca="1" si="98"/>
        <v>0</v>
      </c>
      <c r="BI139" s="115">
        <f t="shared" ca="1" si="126"/>
        <v>5.0774999999999997</v>
      </c>
      <c r="BJ139" s="115" t="b">
        <f t="shared" ca="1" si="137"/>
        <v>1</v>
      </c>
      <c r="BK139" s="115" t="b">
        <f ca="1">AND(C139="驱夜断愁",模拟模式!$P$7="天地诛戮")</f>
        <v>0</v>
      </c>
      <c r="BL139" s="57">
        <f t="shared" ca="1" si="127"/>
        <v>10.775000000000006</v>
      </c>
      <c r="BM139" s="115" t="b">
        <f t="shared" ca="1" si="138"/>
        <v>1</v>
      </c>
      <c r="BN139" s="115" t="b">
        <f ca="1">AND(OR(C139="赤日轮1",C139="赤日轮2",C139="赤日轮3",C139="幽月轮1",C139="幽月轮2",C139="幽月轮3"),AB139=1,模拟模式!$L$7="明光恒照")</f>
        <v>0</v>
      </c>
      <c r="BO139" s="117">
        <f t="shared" ca="1" si="128"/>
        <v>22.620000000000005</v>
      </c>
      <c r="BP139" s="115">
        <f t="shared" ca="1" si="101"/>
        <v>6</v>
      </c>
      <c r="BQ139" s="115" t="b">
        <f>模拟模式!$K$10="2600·水"</f>
        <v>0</v>
      </c>
      <c r="BR139" s="117">
        <f t="shared" si="102"/>
        <v>0</v>
      </c>
      <c r="BS139" s="115">
        <f t="shared" si="103"/>
        <v>0</v>
      </c>
      <c r="BT139" s="115">
        <f t="shared" ca="1" si="104"/>
        <v>0</v>
      </c>
      <c r="BU139" s="115" t="b">
        <f ca="1">AND(模拟模式!$K$10="2300·雷",BT138=0,RAND()&lt;IF(C139="净世破魔击·月",5*0.05*2/3,IF(C139="净世破魔击·日",3*0.05*2/3,0.05*2*2/3)))</f>
        <v>0</v>
      </c>
      <c r="BV139" s="115">
        <f t="shared" ca="1" si="105"/>
        <v>0</v>
      </c>
      <c r="BW139" s="115">
        <f t="shared" ca="1" si="106"/>
        <v>82.214999999999264</v>
      </c>
      <c r="BX139" s="164" t="b">
        <f t="shared" ca="1" si="107"/>
        <v>0</v>
      </c>
      <c r="BY139" s="115">
        <f t="shared" ca="1" si="108"/>
        <v>0</v>
      </c>
      <c r="BZ139" s="115">
        <f>IF(OR(模拟模式!$P$16="10人团",模拟模式!$P$16="25人团"),IF(B139/30&gt;CA138,1,0),0)</f>
        <v>0</v>
      </c>
      <c r="CA139" s="115">
        <f t="shared" si="74"/>
        <v>0</v>
      </c>
      <c r="CB139" s="115">
        <f ca="1">IF(BZ139=1,IF(模拟模式!$P$16="10人团",15,0)+IF(模拟模式!$P$16="25人团",IF(RAND()&lt;0.6,15,0)),MAX(0,CB138-$F$4))</f>
        <v>0</v>
      </c>
      <c r="CC139" s="115" t="b">
        <f t="shared" ca="1" si="139"/>
        <v>0</v>
      </c>
      <c r="CD139" s="115">
        <f>IF(模拟模式!$Q$16="1个",IF(B139/40&gt;CE138,1,0),0)</f>
        <v>0</v>
      </c>
      <c r="CE139" s="115">
        <f t="shared" si="140"/>
        <v>0</v>
      </c>
      <c r="CF139" s="115">
        <f>IF(OR(CD139=1,模拟模式!$Q$16="2个"),20,MAX(0,CF138-$F$4))</f>
        <v>0</v>
      </c>
      <c r="CG139" s="115" t="b">
        <f t="shared" si="141"/>
        <v>0</v>
      </c>
      <c r="CH139" s="115">
        <f t="shared" ca="1" si="112"/>
        <v>27.232500000000002</v>
      </c>
      <c r="CI139" s="115" t="b">
        <f t="shared" ca="1" si="113"/>
        <v>0</v>
      </c>
      <c r="CJ139" s="119">
        <f t="shared" ca="1" si="114"/>
        <v>0.05</v>
      </c>
      <c r="CK139" s="115">
        <f t="shared" ca="1" si="115"/>
        <v>5.232499999999999</v>
      </c>
      <c r="CL139" s="115" t="b">
        <f ca="1">AND(模拟模式!$S$7="驱夷逐法",OR(AND(C139="净世破魔击·月",E138&gt;59),AND(C139="净世破魔击·日",F138&gt;59)))</f>
        <v>0</v>
      </c>
      <c r="CM139" s="115" t="b">
        <f ca="1">OR(CL139,AND(C139="净世破魔击·日",CL138,RAND()&lt;模拟模式!$U$23))</f>
        <v>0</v>
      </c>
      <c r="CN139" s="115" t="b">
        <f ca="1">IF(模拟模式!$M$7="辉耀红尘",AND(C139="净世破魔击·月",CL139,CV139=0,E138&lt;80),AND(C139="净世破魔击·月",CL139,E138&lt;100))</f>
        <v>0</v>
      </c>
      <c r="CO139" s="115" t="b">
        <f t="shared" ca="1" si="75"/>
        <v>0</v>
      </c>
      <c r="CP139" s="115" t="b">
        <f ca="1">AND(模拟模式!$O$7="用晦而明",OR(C139="净世破魔击·日",C139="净世破魔击·月",C139="驱夜断愁"),AB139)</f>
        <v>1</v>
      </c>
      <c r="CQ139" s="115" t="b">
        <f ca="1">OR(CP139,AND(CP138,RAND()&lt;模拟模式!$U$23))</f>
        <v>1</v>
      </c>
      <c r="CR139" s="115" t="b">
        <f ca="1">AND(模拟模式!$S$7="日月齐光",OR(C139="幽月轮1",C139="幽月轮2",C139="幽月轮3",CR138),NOT(OR(C139="赤日轮1",C139="赤日轮2",C139="赤日轮3")))</f>
        <v>0</v>
      </c>
      <c r="CS139" s="115" t="b">
        <f ca="1">AND(模拟模式!$S$7="日月齐光",OR(C139="赤日轮1",C139="赤日轮2",C139="赤日轮3",CS138),NOT(OR(C139="幽月轮1",C139="幽月轮2",C139="幽月轮3")))</f>
        <v>0</v>
      </c>
      <c r="CT139" s="115">
        <f t="shared" ca="1" si="116"/>
        <v>25.387500000000003</v>
      </c>
      <c r="CU139" s="115" t="b">
        <f ca="1">AND(模拟模式!$K$10="阴阳往极",CT138=0,RAND()&lt;IF(C139="净世破魔击·月",0.0275*7/3,IF(C139="净世破魔击·日",0.0275*3/3,0.0275*2/3)))</f>
        <v>0</v>
      </c>
      <c r="CV139" s="115">
        <f t="shared" ca="1" si="117"/>
        <v>0</v>
      </c>
      <c r="CW139" s="115">
        <f t="shared" ca="1" si="76"/>
        <v>0</v>
      </c>
      <c r="CX139" s="115">
        <f t="shared" ca="1" si="77"/>
        <v>0</v>
      </c>
      <c r="CY139" s="115">
        <f ca="1">MAX(IF($C139="驱夜断愁",IF(模拟模式!$R$7="万念俱寂",6,45),CY138-$F$4),0)</f>
        <v>0</v>
      </c>
      <c r="CZ139" s="115">
        <f t="shared" ca="1" si="78"/>
        <v>0</v>
      </c>
      <c r="DA139" s="115">
        <f ca="1">IF(模拟模式!$N$7="日月同辉",IF(DB138=2,0,MIN(6,IF(AND(OR(C139="赤日轮1",C139="赤日轮2",C139="赤日轮3",C139="幽月轮1",C139="幽月轮2",C139="幽月轮3"),AB139=1),DA138+1,DA138))),0)</f>
        <v>0</v>
      </c>
      <c r="DB139" s="115">
        <f t="shared" ca="1" si="79"/>
        <v>0</v>
      </c>
      <c r="DC139" s="115"/>
      <c r="DD139" s="115"/>
      <c r="DE139" s="115"/>
      <c r="DF139" s="115"/>
      <c r="DG139" s="115"/>
      <c r="DH139" s="115"/>
      <c r="DI139" s="115"/>
      <c r="DJ139" s="115"/>
      <c r="DK139" s="115"/>
      <c r="DL139" s="115"/>
      <c r="DM139" s="115"/>
    </row>
    <row r="140" spans="2:117" x14ac:dyDescent="0.2">
      <c r="B140" s="117">
        <f t="shared" si="80"/>
        <v>104.24249999999995</v>
      </c>
      <c r="C140" s="167" t="str">
        <f t="shared" ca="1" si="66"/>
        <v>净世破魔击·月</v>
      </c>
      <c r="D140" s="115">
        <f ca="1">IF(C140="赤日轮1",1,IF(C140="赤日轮2",2,IF(C140="赤日轮3",3,IF(C140="幽月轮1",4,IF(C140="幽月轮2",5,IF(C140="幽月轮3",6,IF(C140="烈日斩",7,IF(C140="银月斩",8,IF(C140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140="净世破魔击·月",17,IF(C140="驱夜断愁",18,0)))))))))))</f>
        <v>17</v>
      </c>
      <c r="E140" s="115">
        <f ca="1">IF(AND(CU140,OR(C140="幽月轮1",C140="幽月轮2",C140="幽月轮3",C140="银月斩",C140="驱夜断愁",C140="净世破魔击·月")),100,MIN(IF(OR(CN140,BE140),0,IF(OR($C140="赤日轮1",$C140="赤日轮2",$C140="赤日轮3"),E139+20+IF(模拟模式!$I$7="日月凌天",4,0)+IF(CR139,20,0),IF($C140="烈日斩",E139+40,IF($C140="驱夜断愁",IF(模拟模式!$R$7="万念俱寂",E139+20,E139+60),IF($C140="净世破魔击·月",IF(OR(DB139&gt;0,CV139&gt;0),100,IF(模拟模式!$M$7="辉耀红尘",E139+20,E139)),IF($C140="净世破魔击·日",E139-100,E139)))))),100))</f>
        <v>20</v>
      </c>
      <c r="F140" s="115">
        <f ca="1">IF(AND(CU140,OR(C140="赤日轮1",C140="赤日轮2",C140="赤日轮3",C140="烈日斩",C140="净世破魔击·日")),100,MIN(IF(CO140,0,IF(OR($C140="幽月轮1",$C140="幽月轮2",$C140="幽月轮3"),F139+20+IF(模拟模式!$I$7="日月凌天",4,0)+IF(CS139,20,0),IF($C140="银月斩",F139+40+IF(模拟模式!$X$12=1,5,0),IF($C140="驱夜断愁",IF(模拟模式!$R$7="万念俱寂",F139+20,F139+60),IF($C140="净世破魔击·月",IF(模拟模式!$M$7="辉耀红尘",F139-80,F139-100),IF(AND(C140="净世破魔击·日",OR(DB139&gt;0,CV139&gt;0)),100,F139)))))),100))</f>
        <v>20</v>
      </c>
      <c r="G140" s="117">
        <f ca="1">('模拟-全程加成'!$E$3+'模拟-全程加成'!$E$4+'模拟-全程加成'!$E$5+('模拟-全程加成'!$C$6-'模拟-全程加成'!$C$3)*系数!$B$9+BS140*23)*(1+'模拟-全程加成'!$F$4+'模拟-全程加成'!$F$5+BJ140*10%+BM140*20%+BP140*4%+CG140*30%)+$F$7*系数!$B$12</f>
        <v>21493.829400000002</v>
      </c>
      <c r="H140" s="45">
        <f ca="1">'模拟-全程加成'!$H$3+'模拟-全程加成'!$H$4+'模拟-全程加成'!$H$5+('模拟-全程加成'!$G$4+'模拟-全程加成'!$G$5+('模拟-全程加成'!$C$6-'模拟-全程加成'!$C$3)*系数!$B$13)/系数!$B$3+LOOKUP(D140,'模拟-单技能数据'!$A$2:$A$19,'模拟-单技能数据'!$K$2:$K$19)+BG140*10%+IF(BV140&gt;0,378,0)</f>
        <v>0.54185145527300216</v>
      </c>
      <c r="I140" s="45">
        <f ca="1">'模拟-全程加成'!$J$3+'模拟-全程加成'!$J$4+'模拟-全程加成'!$J$5+('模拟-全程加成'!$I$4+'模拟-全程加成'!$I$5)/系数!$B$4+LOOKUP(D140,'模拟-单技能数据'!$A$2:$A$19,'模拟-单技能数据'!$L$2:$L$19)+BG140*10%</f>
        <v>2.162482885499879</v>
      </c>
      <c r="J140" s="45">
        <f ca="1">(('模拟-全程加成'!$K$3+'模拟-全程加成'!$K$4+'模拟-全程加成'!$K$5+('模拟-全程加成'!$C$6-'模拟-全程加成'!$C$3)*系数!$B$10+IF(BV140&gt;0,882,0)+IF(BY140&gt;0,1831,0))*(1+'模拟-全程加成'!$L$4+'模拟-全程加成'!$L$5+CC140*20%))/系数!$B$5</f>
        <v>0.69723220422048726</v>
      </c>
      <c r="K140" s="119">
        <f ca="1">LOOKUP(D140,'模拟-单技能数据'!$A$2:$A$19,'模拟-单技能数据'!$J$2:$J$19)+IF(CM140,60%,0)+IF(DB139-DB140&gt;0,30%,0)+IF(OR(AND(OR(C140="赤日轮1",C140="赤日轮2",C140="赤日轮3"),CR140),AND(OR(C140="幽月轮1",C140="幽月轮2",C140="幽月轮3"),CS140)),35%,0)+CJ140</f>
        <v>0.25</v>
      </c>
      <c r="L140" s="119">
        <f ca="1">IF(AND(C140="烈日斩",模拟模式!$X$11=1),10%,0)+IF(AND(C140="驱夜断愁",AB140=1),30%,0)</f>
        <v>0</v>
      </c>
      <c r="M140" s="45">
        <f t="shared" ca="1" si="129"/>
        <v>0.54185145527300216</v>
      </c>
      <c r="N140" s="45">
        <f t="shared" ca="1" si="130"/>
        <v>0.40424854472699789</v>
      </c>
      <c r="O140" s="46">
        <f t="shared" ca="1" si="83"/>
        <v>0.23997655590685907</v>
      </c>
      <c r="P140" s="46" t="str">
        <f t="shared" ca="1" si="84"/>
        <v>会</v>
      </c>
      <c r="Q140" s="45">
        <f t="shared" ca="1" si="85"/>
        <v>2.162482885499879</v>
      </c>
      <c r="R140" s="117">
        <f ca="1">模拟模式!$E$20*(1-IF(模拟模式!$J$19="有",0.15,0))*(1-IF(模拟模式!$K$19="有",0.3,0)-IF(CQ140,0.5,0))</f>
        <v>843.02999999999975</v>
      </c>
      <c r="S140" s="45">
        <f ca="1">R140/(R140+(185*模拟模式!$E$22-16800)*4.08224)</f>
        <v>8.389626085980037E-2</v>
      </c>
      <c r="T140" s="45" t="str">
        <f ca="1">LOOKUP(D140,'模拟-单技能数据'!$A$2:$A$19,'模拟-单技能数据'!$H$2:$H$19)</f>
        <v>阴</v>
      </c>
      <c r="U140" s="119">
        <f t="shared" ca="1" si="131"/>
        <v>0.08</v>
      </c>
      <c r="V140" s="47">
        <f ca="1">(1+L140)*(LOOKUP(D140,'模拟-单技能数据'!$A$2:$A$19,'模拟-单技能数据'!$D$2:$D$19)+G140*LOOKUP(D140,'模拟-单技能数据'!$A$2:$A$19,'模拟-单技能数据'!$F$2:$F$19))*(1+J140)*(1+K140)*(1-S140)*(1+U140)*Q140*LOOKUP(D140,'模拟-单技能数据'!$A$2:$A$19,'模拟-单技能数据'!$I$2:$I$20)</f>
        <v>126764.73688820505</v>
      </c>
      <c r="W140" s="47">
        <f ca="1">LOOKUP(D140,'模拟-单技能数据'!$A$2:$A$19,'模拟-单技能数据'!$G$2:$G$19)*$I$10</f>
        <v>361.51064354704795</v>
      </c>
      <c r="X140" s="47">
        <f t="shared" ca="1" si="87"/>
        <v>17205.169596245785</v>
      </c>
      <c r="Y140" s="47">
        <f t="shared" ca="1" si="132"/>
        <v>144331.41712799788</v>
      </c>
      <c r="Z140" s="49">
        <f t="shared" ca="1" si="133"/>
        <v>11977307.947312811</v>
      </c>
      <c r="AA140" s="97">
        <f t="shared" ca="1" si="134"/>
        <v>114898.51017879289</v>
      </c>
      <c r="AB140" s="115">
        <f ca="1">IF(OR(C140="赤日轮1",C140="赤日轮2",C140="赤日轮3"),IF(RAND()&lt;模拟模式!$Y$17,1,0),IF(OR(C140="幽月轮1",C140="幽月轮2",C140="幽月轮3"),IF(RAND()&lt;模拟模式!$Y$18,1,0),IF(C140="烈日斩",IF(RAND()&lt;模拟模式!$Y$19,1,0),IF(C140="银月斩",IF(RAND()&lt;模拟模式!$Y$20,1,0),IF(C140="驱夜断愁",IF(RAND()&lt;模拟模式!$Y$21,1,0),IF(C140="净世破魔击·日",IF(RAND()&lt;模拟模式!$Y$22,1,0),IF(C140="净世破魔击·月",IF(RAND()&lt;模拟模式!$Y$23,1,0),0)))))))</f>
        <v>1</v>
      </c>
      <c r="AC140" s="115" t="b">
        <f t="shared" ca="1" si="122"/>
        <v>0</v>
      </c>
      <c r="AD140" s="115" t="b">
        <f t="shared" ca="1" si="142"/>
        <v>0</v>
      </c>
      <c r="AE140" s="115">
        <f t="shared" ca="1" si="143"/>
        <v>0</v>
      </c>
      <c r="AF140" s="47">
        <f ca="1">IF(AC140,('模拟-单技能数据'!$D$20+G140*'模拟-单技能数据'!$F$20)*(1+J140)*(1+'模拟-单技能数据'!$J$20)*(1+U140),0)</f>
        <v>0</v>
      </c>
      <c r="AG140" s="61">
        <f t="shared" ca="1" si="135"/>
        <v>0.64185145527300214</v>
      </c>
      <c r="AH140" s="61">
        <f t="shared" ca="1" si="136"/>
        <v>2.2624828854998791</v>
      </c>
      <c r="AI140" s="62">
        <f t="shared" ca="1" si="93"/>
        <v>0.51794362332011601</v>
      </c>
      <c r="AJ140" s="47">
        <f ca="1">IF(AD140,IF(AI140&lt;$F$10,0,IF(AI140&lt;$F$10+$F$11,0.25,IF(AI140&lt;$F$10+$F$11+AG140,AH140,1)))*IF(AF140&gt;0,AF140,IF(AF139&gt;0,AF139,IF(AF138&gt;0,AF138,IF(AF137&gt;0,AF137,IF(AF136&gt;0,AF136,IF(AF135&gt;0,AF135,IF(AF134&gt;0,AF134,IF(AF133&gt;0,AF133,IF(AF132&gt;0,AF132,IF(AF130&gt;0,AF130,IF(AF129&gt;0,AF129,IF(AF128&gt;0,AF128,0)))))))))))),0)*(1-$S140)*'模拟-单技能数据'!$I$20</f>
        <v>0</v>
      </c>
      <c r="AK140" s="115" t="b">
        <f t="shared" ca="1" si="123"/>
        <v>0</v>
      </c>
      <c r="AL140" s="115" t="b">
        <f t="shared" ca="1" si="144"/>
        <v>0</v>
      </c>
      <c r="AM140" s="115">
        <f t="shared" ca="1" si="145"/>
        <v>5</v>
      </c>
      <c r="AN140" s="47">
        <f ca="1">IF(AK140,('模拟-单技能数据'!$D$21+G140*'模拟-单技能数据'!$F$21)*(1+J140)*(1+'模拟-单技能数据'!$J$21)*(1+U140),0)</f>
        <v>0</v>
      </c>
      <c r="AO140" s="61">
        <f ca="1">IF(AN140&gt;0,M140-'模拟-单技能数据'!$K$10,AO139)</f>
        <v>0.42185145527300216</v>
      </c>
      <c r="AP140" s="61">
        <f ca="1">IF(AN140&gt;0,I140-'模拟-单技能数据'!$L$10,AP139)</f>
        <v>2.162482885499879</v>
      </c>
      <c r="AQ140" s="63">
        <f t="shared" ca="1" si="94"/>
        <v>0.76643482819506548</v>
      </c>
      <c r="AR140" s="64">
        <f ca="1">IF(AL140,IF(AQ140&lt;$F$10,0,IF(AQ140&lt;$F$10+$F$11,0.25,IF(AQ140&lt;$F$10+$F$11+AO140,AP140,1)))*IF(AN140&gt;0,AN140,IF(AN139&gt;0,AN139,IF(AN138&gt;0,AN138,IF(AN137&gt;0,AN137,IF(AN136&gt;0,AN136,IF(AN135&gt;0,AN135,IF(AN134&gt;0,AN134,IF(AN133&gt;0,AN133,IF(AN132&gt;0,AN132,IF(AN130&gt;0,AN130,IF(AN129&gt;0,AN129,IF(AN128&gt;0,AN128,0)))))))))))),0)*(1-$S140)*'模拟-单技能数据'!$I$21</f>
        <v>0</v>
      </c>
      <c r="AS140" s="61">
        <f ca="1">IF(OR(C140="净世破魔击·日",C140="净世破魔击·月"),M140-'模拟-单技能数据'!$K$10,0)</f>
        <v>0.42185145527300216</v>
      </c>
      <c r="AT140" s="61">
        <f ca="1">IF(OR(C140="净世破魔击·日",C140="净世破魔击·月"),I140-'模拟-单技能数据'!$L$10,0)</f>
        <v>2.162482885499879</v>
      </c>
      <c r="AU140" s="62">
        <f t="shared" ca="1" si="95"/>
        <v>0.25570026150431358</v>
      </c>
      <c r="AV140" s="64">
        <f ca="1">IF(AS140&gt;0,('模拟-单技能数据'!$D$22+G140*'模拟-单技能数据'!$F$22)*(1+J140)*(1-S140)*IF(AU140&lt;$F$10,0,IF(AU140&lt;$F$10+$F$11,0.25,IF(AU140&lt;$F$10+$F$11+AS140,AT140,1)))*(1+U140),0)*'模拟-单技能数据'!$I$22</f>
        <v>17205.169596245785</v>
      </c>
      <c r="AW140" s="108">
        <f t="shared" ca="1" si="96"/>
        <v>0</v>
      </c>
      <c r="AX140" s="108" t="b">
        <f ca="1">AND(模拟模式!$P$10="有",AW139=0,RAND()&lt;IF(C140="净世破魔击·月",0.1*8/3,IF(C140="净世破魔击·日",0.1*4/3,0.1*2/3)))</f>
        <v>0</v>
      </c>
      <c r="AY140" s="47">
        <f ca="1">IF(AX140,(18+G140*0.722)*(1+J140)*(1-S140)*(1+$I$4)*IF(P140="会",'模拟-全程加成'!$J$3+'模拟-全程加成'!$J$4+'模拟-全程加成'!$J$5+('模拟-全程加成'!$I$4+'模拟-全程加成'!$I$5)/系数!$B$4+BG140*10%,IF(P140="命",1,IF(P140="识",0.25,0))),0)</f>
        <v>0</v>
      </c>
      <c r="AZ140" s="108">
        <f t="shared" si="97"/>
        <v>17.232500000000002</v>
      </c>
      <c r="BA140" s="108" t="b">
        <f>AND(模拟模式!$Q$10="有",AZ139=0)</f>
        <v>0</v>
      </c>
      <c r="BB140" s="140">
        <f>IF(BA140,(0+G140*0.287)*(1+J140)*(1-S140)*(1+$I$4)*IF(P140="会",'模拟-全程加成'!$J$3+'模拟-全程加成'!$J$4+'模拟-全程加成'!$J$5+('模拟-全程加成'!$I$4+'模拟-全程加成'!$I$5)/系数!$B$4+BG140*10%,IF(P140="命",1,IF(P140="识",0.25,0))),0)</f>
        <v>0</v>
      </c>
      <c r="BC140" s="115" t="b">
        <f ca="1">AND(模拟模式!$R$7="伏明众生",E140=60,F140=20,DA140&lt;5,CZ139&lt;$F$4)</f>
        <v>0</v>
      </c>
      <c r="BD140" s="115">
        <f t="shared" ca="1" si="124"/>
        <v>0</v>
      </c>
      <c r="BE140" s="115" t="b">
        <f t="shared" ca="1" si="125"/>
        <v>0</v>
      </c>
      <c r="BF140" s="47">
        <f ca="1">IF(BC140,4*('模拟-单技能数据'!$D$24+G140*'模拟-单技能数据'!$F$24)*(1+J140)*(1+'模拟-单技能数据'!$J$24)*(1-S140)*(1+$I$3)*(('模拟-全程加成'!$J$3+'模拟-全程加成'!$J$4+'模拟-全程加成'!$J$5+('模拟-全程加成'!$I$4+'模拟-全程加成'!$I$5)/系数!$B$4+BG140*10%)*('模拟-全程加成'!$J$3+'模拟-全程加成'!$J$4+'模拟-全程加成'!$J$5+('模拟-全程加成'!$I$4+'模拟-全程加成'!$I$5)/系数!$B$4+BG140*10%)+(1-('模拟-全程加成'!$J$3+'模拟-全程加成'!$J$4+'模拟-全程加成'!$J$5+('模拟-全程加成'!$I$4+'模拟-全程加成'!$I$5)/系数!$B$4+BG140*10%)-$F$10-$F$11)+F126*0.25),0)*'模拟-单技能数据'!$I$24</f>
        <v>0</v>
      </c>
      <c r="BG140" s="115" t="b">
        <f ca="1">OR(AND(OR(C140="烈日斩",C140="银月斩"),模拟模式!$I$7="净身明礼"),AND(C140="净世破魔击·日",模拟模式!$J$7="洞若观火"),AND(C141="净世破魔击·月",模拟模式!$J$7="洞若观火"),AB140=1)</f>
        <v>1</v>
      </c>
      <c r="BH140" s="115" t="b">
        <f t="shared" ca="1" si="98"/>
        <v>0</v>
      </c>
      <c r="BI140" s="115">
        <f t="shared" ca="1" si="126"/>
        <v>4.1549999999999994</v>
      </c>
      <c r="BJ140" s="115" t="b">
        <f t="shared" ca="1" si="137"/>
        <v>1</v>
      </c>
      <c r="BK140" s="115" t="b">
        <f ca="1">AND(C140="驱夜断愁",模拟模式!$P$7="天地诛戮")</f>
        <v>0</v>
      </c>
      <c r="BL140" s="57">
        <f t="shared" ca="1" si="127"/>
        <v>9.8525000000000063</v>
      </c>
      <c r="BM140" s="115" t="b">
        <f t="shared" ca="1" si="138"/>
        <v>1</v>
      </c>
      <c r="BN140" s="115" t="b">
        <f ca="1">AND(OR(C140="赤日轮1",C140="赤日轮2",C140="赤日轮3",C140="幽月轮1",C140="幽月轮2",C140="幽月轮3"),AB140=1,模拟模式!$L$7="明光恒照")</f>
        <v>0</v>
      </c>
      <c r="BO140" s="117">
        <f t="shared" ca="1" si="128"/>
        <v>21.697500000000005</v>
      </c>
      <c r="BP140" s="115">
        <f t="shared" ca="1" si="101"/>
        <v>6</v>
      </c>
      <c r="BQ140" s="115" t="b">
        <f>模拟模式!$K$10="2600·水"</f>
        <v>0</v>
      </c>
      <c r="BR140" s="117">
        <f t="shared" si="102"/>
        <v>0</v>
      </c>
      <c r="BS140" s="115">
        <f t="shared" si="103"/>
        <v>0</v>
      </c>
      <c r="BT140" s="115">
        <f t="shared" ca="1" si="104"/>
        <v>0</v>
      </c>
      <c r="BU140" s="115" t="b">
        <f ca="1">AND(模拟模式!$K$10="2300·雷",BT139=0,RAND()&lt;IF(C140="净世破魔击·月",5*0.05*2/3,IF(C140="净世破魔击·日",3*0.05*2/3,0.05*2*2/3)))</f>
        <v>0</v>
      </c>
      <c r="BV140" s="115">
        <f t="shared" ca="1" si="105"/>
        <v>0</v>
      </c>
      <c r="BW140" s="115">
        <f t="shared" ca="1" si="106"/>
        <v>81.292499999999265</v>
      </c>
      <c r="BX140" s="164" t="b">
        <f t="shared" ca="1" si="107"/>
        <v>0</v>
      </c>
      <c r="BY140" s="115">
        <f t="shared" ca="1" si="108"/>
        <v>0</v>
      </c>
      <c r="BZ140" s="115">
        <f>IF(OR(模拟模式!$P$16="10人团",模拟模式!$P$16="25人团"),IF(B140/30&gt;CA139,1,0),0)</f>
        <v>0</v>
      </c>
      <c r="CA140" s="115">
        <f t="shared" si="74"/>
        <v>0</v>
      </c>
      <c r="CB140" s="115">
        <f ca="1">IF(BZ140=1,IF(模拟模式!$P$16="10人团",15,0)+IF(模拟模式!$P$16="25人团",IF(RAND()&lt;0.6,15,0)),MAX(0,CB139-$F$4))</f>
        <v>0</v>
      </c>
      <c r="CC140" s="115" t="b">
        <f t="shared" ca="1" si="139"/>
        <v>0</v>
      </c>
      <c r="CD140" s="115">
        <f>IF(模拟模式!$Q$16="1个",IF(B140/40&gt;CE139,1,0),0)</f>
        <v>0</v>
      </c>
      <c r="CE140" s="115">
        <f t="shared" si="140"/>
        <v>0</v>
      </c>
      <c r="CF140" s="115">
        <f>IF(OR(CD140=1,模拟模式!$Q$16="2个"),20,MAX(0,CF139-$F$4))</f>
        <v>0</v>
      </c>
      <c r="CG140" s="115" t="b">
        <f t="shared" si="141"/>
        <v>0</v>
      </c>
      <c r="CH140" s="115">
        <f t="shared" ca="1" si="112"/>
        <v>26.310000000000002</v>
      </c>
      <c r="CI140" s="115" t="b">
        <f t="shared" ca="1" si="113"/>
        <v>0</v>
      </c>
      <c r="CJ140" s="119">
        <f t="shared" ca="1" si="114"/>
        <v>0.05</v>
      </c>
      <c r="CK140" s="115">
        <f t="shared" ca="1" si="115"/>
        <v>4.3099999999999987</v>
      </c>
      <c r="CL140" s="115" t="b">
        <f ca="1">AND(模拟模式!$S$7="驱夷逐法",OR(AND(C140="净世破魔击·月",E139&gt;59),AND(C140="净世破魔击·日",F139&gt;59)))</f>
        <v>0</v>
      </c>
      <c r="CM140" s="115" t="b">
        <f ca="1">OR(CL140,AND(C140="净世破魔击·日",CL139,RAND()&lt;模拟模式!$U$23))</f>
        <v>0</v>
      </c>
      <c r="CN140" s="115" t="b">
        <f ca="1">IF(模拟模式!$M$7="辉耀红尘",AND(C140="净世破魔击·月",CL140,CV140=0,E139&lt;80),AND(C140="净世破魔击·月",CL140,E139&lt;100))</f>
        <v>0</v>
      </c>
      <c r="CO140" s="115" t="b">
        <f t="shared" ca="1" si="75"/>
        <v>0</v>
      </c>
      <c r="CP140" s="115" t="b">
        <f ca="1">AND(模拟模式!$O$7="用晦而明",OR(C140="净世破魔击·日",C140="净世破魔击·月",C140="驱夜断愁"),AB140)</f>
        <v>1</v>
      </c>
      <c r="CQ140" s="115" t="b">
        <f ca="1">OR(CP140,AND(CP139,RAND()&lt;模拟模式!$U$23))</f>
        <v>1</v>
      </c>
      <c r="CR140" s="115" t="b">
        <f ca="1">AND(模拟模式!$S$7="日月齐光",OR(C140="幽月轮1",C140="幽月轮2",C140="幽月轮3",CR139),NOT(OR(C140="赤日轮1",C140="赤日轮2",C140="赤日轮3")))</f>
        <v>0</v>
      </c>
      <c r="CS140" s="115" t="b">
        <f ca="1">AND(模拟模式!$S$7="日月齐光",OR(C140="赤日轮1",C140="赤日轮2",C140="赤日轮3",CS139),NOT(OR(C140="幽月轮1",C140="幽月轮2",C140="幽月轮3")))</f>
        <v>0</v>
      </c>
      <c r="CT140" s="115">
        <f t="shared" ca="1" si="116"/>
        <v>24.465000000000003</v>
      </c>
      <c r="CU140" s="115" t="b">
        <f ca="1">AND(模拟模式!$K$10="阴阳往极",CT139=0,RAND()&lt;IF(C140="净世破魔击·月",0.0275*7/3,IF(C140="净世破魔击·日",0.0275*3/3,0.0275*2/3)))</f>
        <v>0</v>
      </c>
      <c r="CV140" s="115">
        <f t="shared" ca="1" si="117"/>
        <v>0</v>
      </c>
      <c r="CW140" s="115">
        <f t="shared" ca="1" si="76"/>
        <v>0</v>
      </c>
      <c r="CX140" s="115">
        <f t="shared" ca="1" si="77"/>
        <v>0</v>
      </c>
      <c r="CY140" s="115">
        <f ca="1">MAX(IF($C140="驱夜断愁",IF(模拟模式!$R$7="万念俱寂",6,45),CY139-$F$4),0)</f>
        <v>0</v>
      </c>
      <c r="CZ140" s="115">
        <f t="shared" ca="1" si="78"/>
        <v>0</v>
      </c>
      <c r="DA140" s="115">
        <f ca="1">IF(模拟模式!$N$7="日月同辉",IF(DB139=2,0,MIN(6,IF(AND(OR(C140="赤日轮1",C140="赤日轮2",C140="赤日轮3",C140="幽月轮1",C140="幽月轮2",C140="幽月轮3"),AB140=1),DA139+1,DA139))),0)</f>
        <v>0</v>
      </c>
      <c r="DB140" s="115">
        <f t="shared" ca="1" si="79"/>
        <v>0</v>
      </c>
      <c r="DC140" s="115"/>
      <c r="DD140" s="115"/>
      <c r="DE140" s="115"/>
      <c r="DF140" s="115"/>
      <c r="DG140" s="115"/>
      <c r="DH140" s="115"/>
      <c r="DI140" s="115"/>
      <c r="DJ140" s="115"/>
      <c r="DK140" s="115"/>
      <c r="DL140" s="115"/>
      <c r="DM140" s="115"/>
    </row>
    <row r="141" spans="2:117" x14ac:dyDescent="0.2">
      <c r="B141" s="117">
        <f t="shared" si="80"/>
        <v>105.16499999999995</v>
      </c>
      <c r="C141" s="167" t="str">
        <f t="shared" ca="1" si="66"/>
        <v>银月斩</v>
      </c>
      <c r="D141" s="115">
        <f ca="1">IF(C141="赤日轮1",1,IF(C141="赤日轮2",2,IF(C141="赤日轮3",3,IF(C141="幽月轮1",4,IF(C141="幽月轮2",5,IF(C141="幽月轮3",6,IF(C141="烈日斩",7,IF(C141="银月斩",8,IF(C141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141="净世破魔击·月",17,IF(C141="驱夜断愁",18,0)))))))))))</f>
        <v>8</v>
      </c>
      <c r="E141" s="115">
        <f ca="1">IF(AND(CU141,OR(C141="幽月轮1",C141="幽月轮2",C141="幽月轮3",C141="银月斩",C141="驱夜断愁",C141="净世破魔击·月")),100,MIN(IF(OR(CN141,BE141),0,IF(OR($C141="赤日轮1",$C141="赤日轮2",$C141="赤日轮3"),E140+20+IF(模拟模式!$I$7="日月凌天",4,0)+IF(CR140,20,0),IF($C141="烈日斩",E140+40,IF($C141="驱夜断愁",IF(模拟模式!$R$7="万念俱寂",E140+20,E140+60),IF($C141="净世破魔击·月",IF(OR(DB140&gt;0,CV140&gt;0),100,IF(模拟模式!$M$7="辉耀红尘",E140+20,E140)),IF($C141="净世破魔击·日",E140-100,E140)))))),100))</f>
        <v>20</v>
      </c>
      <c r="F141" s="115">
        <f ca="1">IF(AND(CU141,OR(C141="赤日轮1",C141="赤日轮2",C141="赤日轮3",C141="烈日斩",C141="净世破魔击·日")),100,MIN(IF(CO141,0,IF(OR($C141="幽月轮1",$C141="幽月轮2",$C141="幽月轮3"),F140+20+IF(模拟模式!$I$7="日月凌天",4,0)+IF(CS140,20,0),IF($C141="银月斩",F140+40+IF(模拟模式!$X$12=1,5,0),IF($C141="驱夜断愁",IF(模拟模式!$R$7="万念俱寂",F140+20,F140+60),IF($C141="净世破魔击·月",IF(模拟模式!$M$7="辉耀红尘",F140-80,F140-100),IF(AND(C141="净世破魔击·日",OR(DB140&gt;0,CV140&gt;0)),100,F140)))))),100))</f>
        <v>65</v>
      </c>
      <c r="G141" s="117">
        <f ca="1">('模拟-全程加成'!$E$3+'模拟-全程加成'!$E$4+'模拟-全程加成'!$E$5+('模拟-全程加成'!$C$6-'模拟-全程加成'!$C$3)*系数!$B$9+BS141*23)*(1+'模拟-全程加成'!$F$4+'模拟-全程加成'!$F$5+BJ141*10%+BM141*20%+BP141*4%+CG141*30%)+$F$7*系数!$B$12</f>
        <v>21493.829400000002</v>
      </c>
      <c r="H141" s="45">
        <f ca="1">'模拟-全程加成'!$H$3+'模拟-全程加成'!$H$4+'模拟-全程加成'!$H$5+('模拟-全程加成'!$G$4+'模拟-全程加成'!$G$5+('模拟-全程加成'!$C$6-'模拟-全程加成'!$C$3)*系数!$B$13)/系数!$B$3+LOOKUP(D141,'模拟-单技能数据'!$A$2:$A$19,'模拟-单技能数据'!$K$2:$K$19)+BG141*10%+IF(BV141&gt;0,378,0)</f>
        <v>0.64185145527300214</v>
      </c>
      <c r="I141" s="45">
        <f ca="1">'模拟-全程加成'!$J$3+'模拟-全程加成'!$J$4+'模拟-全程加成'!$J$5+('模拟-全程加成'!$I$4+'模拟-全程加成'!$I$5)/系数!$B$4+LOOKUP(D141,'模拟-单技能数据'!$A$2:$A$19,'模拟-单技能数据'!$L$2:$L$19)+BG141*10%</f>
        <v>2.2624828854998791</v>
      </c>
      <c r="J141" s="45">
        <f ca="1">(('模拟-全程加成'!$K$3+'模拟-全程加成'!$K$4+'模拟-全程加成'!$K$5+('模拟-全程加成'!$C$6-'模拟-全程加成'!$C$3)*系数!$B$10+IF(BV141&gt;0,882,0)+IF(BY141&gt;0,1831,0))*(1+'模拟-全程加成'!$L$4+'模拟-全程加成'!$L$5+CC141*20%))/系数!$B$5</f>
        <v>0.69723220422048726</v>
      </c>
      <c r="K141" s="119">
        <f ca="1">LOOKUP(D141,'模拟-单技能数据'!$A$2:$A$19,'模拟-单技能数据'!$J$2:$J$19)+IF(CM141,60%,0)+IF(DB140-DB141&gt;0,30%,0)+IF(OR(AND(OR(C141="赤日轮1",C141="赤日轮2",C141="赤日轮3"),CR141),AND(OR(C141="幽月轮1",C141="幽月轮2",C141="幽月轮3"),CS141)),35%,0)+CJ141</f>
        <v>0.2</v>
      </c>
      <c r="L141" s="119">
        <f ca="1">IF(AND(C141="烈日斩",模拟模式!$X$11=1),10%,0)+IF(AND(C141="驱夜断愁",AB141=1),30%,0)</f>
        <v>0</v>
      </c>
      <c r="M141" s="45">
        <f t="shared" ca="1" si="129"/>
        <v>0.64185145527300214</v>
      </c>
      <c r="N141" s="45">
        <f t="shared" ca="1" si="130"/>
        <v>0.30424854472699792</v>
      </c>
      <c r="O141" s="46">
        <f t="shared" ca="1" si="83"/>
        <v>0.77654180476163426</v>
      </c>
      <c r="P141" s="46" t="str">
        <f t="shared" ca="1" si="84"/>
        <v>命</v>
      </c>
      <c r="Q141" s="45">
        <f t="shared" ca="1" si="85"/>
        <v>1</v>
      </c>
      <c r="R141" s="117">
        <f ca="1">模拟模式!$E$20*(1-IF(模拟模式!$J$19="有",0.15,0))*(1-IF(模拟模式!$K$19="有",0.3,0)-IF(CQ141,0.5,0))</f>
        <v>843.02999999999975</v>
      </c>
      <c r="S141" s="45">
        <f ca="1">R141/(R141+(185*模拟模式!$E$22-16800)*4.08224)</f>
        <v>8.389626085980037E-2</v>
      </c>
      <c r="T141" s="45" t="str">
        <f ca="1">LOOKUP(D141,'模拟-单技能数据'!$A$2:$A$19,'模拟-单技能数据'!$H$2:$H$19)</f>
        <v>阴</v>
      </c>
      <c r="U141" s="119">
        <f t="shared" ca="1" si="131"/>
        <v>0.08</v>
      </c>
      <c r="V141" s="47">
        <f ca="1">(1+L141)*(LOOKUP(D141,'模拟-单技能数据'!$A$2:$A$19,'模拟-单技能数据'!$D$2:$D$19)+G141*LOOKUP(D141,'模拟-单技能数据'!$A$2:$A$19,'模拟-单技能数据'!$F$2:$F$19))*(1+J141)*(1+K141)*(1-S141)*(1+U141)*Q141*LOOKUP(D141,'模拟-单技能数据'!$A$2:$A$19,'模拟-单技能数据'!$I$2:$I$20)</f>
        <v>22993.811102055657</v>
      </c>
      <c r="W141" s="47">
        <f ca="1">LOOKUP(D141,'模拟-单技能数据'!$A$2:$A$19,'模拟-单技能数据'!$G$2:$G$19)*$I$10</f>
        <v>361.51064354704795</v>
      </c>
      <c r="X141" s="47">
        <f t="shared" ca="1" si="87"/>
        <v>29352.355803387069</v>
      </c>
      <c r="Y141" s="47">
        <f t="shared" ca="1" si="132"/>
        <v>52707.67754898977</v>
      </c>
      <c r="Z141" s="49">
        <f t="shared" ca="1" si="133"/>
        <v>12030015.624861801</v>
      </c>
      <c r="AA141" s="97">
        <f t="shared" ca="1" si="134"/>
        <v>114391.8188072249</v>
      </c>
      <c r="AB141" s="115">
        <f ca="1">IF(OR(C141="赤日轮1",C141="赤日轮2",C141="赤日轮3"),IF(RAND()&lt;模拟模式!$Y$17,1,0),IF(OR(C141="幽月轮1",C141="幽月轮2",C141="幽月轮3"),IF(RAND()&lt;模拟模式!$Y$18,1,0),IF(C141="烈日斩",IF(RAND()&lt;模拟模式!$Y$19,1,0),IF(C141="银月斩",IF(RAND()&lt;模拟模式!$Y$20,1,0),IF(C141="驱夜断愁",IF(RAND()&lt;模拟模式!$Y$21,1,0),IF(C141="净世破魔击·日",IF(RAND()&lt;模拟模式!$Y$22,1,0),IF(C141="净世破魔击·月",IF(RAND()&lt;模拟模式!$Y$23,1,0),0)))))))</f>
        <v>1</v>
      </c>
      <c r="AC141" s="115" t="b">
        <f t="shared" ca="1" si="122"/>
        <v>1</v>
      </c>
      <c r="AD141" s="115" t="b">
        <f t="shared" ca="1" si="142"/>
        <v>1</v>
      </c>
      <c r="AE141" s="115">
        <f t="shared" ca="1" si="143"/>
        <v>6</v>
      </c>
      <c r="AF141" s="47">
        <f ca="1">IF(AC141,('模拟-单技能数据'!$D$20+G141*'模拟-单技能数据'!$F$20)*(1+J141)*(1+'模拟-单技能数据'!$J$20)*(1+U141),0)</f>
        <v>4639.7456468263617</v>
      </c>
      <c r="AG141" s="61">
        <f t="shared" ca="1" si="135"/>
        <v>0.64185145527300214</v>
      </c>
      <c r="AH141" s="61">
        <f t="shared" ca="1" si="136"/>
        <v>2.2624828854998791</v>
      </c>
      <c r="AI141" s="62">
        <f t="shared" ca="1" si="93"/>
        <v>0.79350920401533509</v>
      </c>
      <c r="AJ141" s="47">
        <f ca="1">IF(AD141,IF(AI141&lt;$F$10,0,IF(AI141&lt;$F$10+$F$11,0.25,IF(AI141&lt;$F$10+$F$11+AG141,AH141,1)))*IF(AF141&gt;0,AF141,IF(AF140&gt;0,AF140,IF(AF139&gt;0,AF139,IF(AF138&gt;0,AF138,IF(AF137&gt;0,AF137,IF(AF136&gt;0,AF136,IF(AF135&gt;0,AF135,IF(AF134&gt;0,AF134,IF(AF133&gt;0,AF133,IF(AF131&gt;0,AF131,IF(AF130&gt;0,AF130,IF(AF129&gt;0,AF129,0)))))))))))),0)*(1-$S141)*'模拟-单技能数据'!$I$20</f>
        <v>4250.4883357170938</v>
      </c>
      <c r="AK141" s="115" t="b">
        <f t="shared" ca="1" si="123"/>
        <v>0</v>
      </c>
      <c r="AL141" s="115" t="b">
        <f t="shared" ca="1" si="144"/>
        <v>1</v>
      </c>
      <c r="AM141" s="115">
        <f t="shared" ca="1" si="145"/>
        <v>4</v>
      </c>
      <c r="AN141" s="47">
        <f ca="1">IF(AK141,('模拟-单技能数据'!$D$21+G141*'模拟-单技能数据'!$F$21)*(1+J141)*(1+'模拟-单技能数据'!$J$21)*(1+U141),0)</f>
        <v>0</v>
      </c>
      <c r="AO141" s="61">
        <f ca="1">IF(AN141&gt;0,M141-'模拟-单技能数据'!$K$10,AO140)</f>
        <v>0.42185145527300216</v>
      </c>
      <c r="AP141" s="61">
        <f ca="1">IF(AN141&gt;0,I141-'模拟-单技能数据'!$L$10,AP140)</f>
        <v>2.162482885499879</v>
      </c>
      <c r="AQ141" s="63">
        <f t="shared" ca="1" si="94"/>
        <v>0.25661485797511641</v>
      </c>
      <c r="AR141" s="64">
        <f ca="1">IF(AL141,IF(AQ141&lt;$F$10,0,IF(AQ141&lt;$F$10+$F$11,0.25,IF(AQ141&lt;$F$10+$F$11+AO141,AP141,1)))*IF(AN141&gt;0,AN141,IF(AN140&gt;0,AN140,IF(AN139&gt;0,AN139,IF(AN138&gt;0,AN138,IF(AN137&gt;0,AN137,IF(AN136&gt;0,AN136,IF(AN135&gt;0,AN135,IF(AN134&gt;0,AN134,IF(AN133&gt;0,AN133,IF(AN131&gt;0,AN131,IF(AN130&gt;0,AN130,IF(AN129&gt;0,AN129,0)))))))))))),0)*(1-$S141)*'模拟-单技能数据'!$I$21</f>
        <v>25101.867467669974</v>
      </c>
      <c r="AS141" s="61">
        <f ca="1">IF(OR(C141="净世破魔击·日",C141="净世破魔击·月"),M141-'模拟-单技能数据'!$K$10,0)</f>
        <v>0</v>
      </c>
      <c r="AT141" s="61">
        <f ca="1">IF(OR(C141="净世破魔击·日",C141="净世破魔击·月"),I141-'模拟-单技能数据'!$L$10,0)</f>
        <v>0</v>
      </c>
      <c r="AU141" s="62">
        <f t="shared" ca="1" si="95"/>
        <v>0.23789047251117623</v>
      </c>
      <c r="AV141" s="64">
        <f ca="1">IF(AS141&gt;0,('模拟-单技能数据'!$D$22+G141*'模拟-单技能数据'!$F$22)*(1+J141)*(1-S141)*IF(AU141&lt;$F$10,0,IF(AU141&lt;$F$10+$F$11,0.25,IF(AU141&lt;$F$10+$F$11+AS141,AT141,1)))*(1+U141),0)*'模拟-单技能数据'!$I$22</f>
        <v>0</v>
      </c>
      <c r="AW141" s="108">
        <f t="shared" ca="1" si="96"/>
        <v>0</v>
      </c>
      <c r="AX141" s="108" t="b">
        <f ca="1">AND(模拟模式!$P$10="有",AW140=0,RAND()&lt;IF(C141="净世破魔击·月",0.1*8/3,IF(C141="净世破魔击·日",0.1*4/3,0.1*2/3)))</f>
        <v>0</v>
      </c>
      <c r="AY141" s="47">
        <f ca="1">IF(AX141,(18+G141*0.722)*(1+J141)*(1-S141)*(1+$I$4)*IF(P141="会",'模拟-全程加成'!$J$3+'模拟-全程加成'!$J$4+'模拟-全程加成'!$J$5+('模拟-全程加成'!$I$4+'模拟-全程加成'!$I$5)/系数!$B$4+BG141*10%,IF(P141="命",1,IF(P141="识",0.25,0))),0)</f>
        <v>0</v>
      </c>
      <c r="AZ141" s="108">
        <f t="shared" si="97"/>
        <v>16.310000000000002</v>
      </c>
      <c r="BA141" s="108" t="b">
        <f>AND(模拟模式!$Q$10="有",AZ140=0)</f>
        <v>0</v>
      </c>
      <c r="BB141" s="140">
        <f>IF(BA141,(0+G141*0.287)*(1+J141)*(1-S141)*(1+$I$4)*IF(P141="会",'模拟-全程加成'!$J$3+'模拟-全程加成'!$J$4+'模拟-全程加成'!$J$5+('模拟-全程加成'!$I$4+'模拟-全程加成'!$I$5)/系数!$B$4+BG141*10%,IF(P141="命",1,IF(P141="识",0.25,0))),0)</f>
        <v>0</v>
      </c>
      <c r="BC141" s="115" t="b">
        <f ca="1">AND(模拟模式!$R$7="伏明众生",E141=60,F141=20,DA141&lt;5,CZ140&lt;$F$4)</f>
        <v>0</v>
      </c>
      <c r="BD141" s="115">
        <f t="shared" ca="1" si="124"/>
        <v>0</v>
      </c>
      <c r="BE141" s="115" t="b">
        <f t="shared" ca="1" si="125"/>
        <v>0</v>
      </c>
      <c r="BF141" s="47">
        <f ca="1">IF(BC141,4*('模拟-单技能数据'!$D$24+G141*'模拟-单技能数据'!$F$24)*(1+J141)*(1+'模拟-单技能数据'!$J$24)*(1-S141)*(1+$I$3)*(('模拟-全程加成'!$J$3+'模拟-全程加成'!$J$4+'模拟-全程加成'!$J$5+('模拟-全程加成'!$I$4+'模拟-全程加成'!$I$5)/系数!$B$4+BG141*10%)*('模拟-全程加成'!$J$3+'模拟-全程加成'!$J$4+'模拟-全程加成'!$J$5+('模拟-全程加成'!$I$4+'模拟-全程加成'!$I$5)/系数!$B$4+BG141*10%)+(1-('模拟-全程加成'!$J$3+'模拟-全程加成'!$J$4+'模拟-全程加成'!$J$5+('模拟-全程加成'!$I$4+'模拟-全程加成'!$I$5)/系数!$B$4+BG141*10%)-$F$10-$F$11)+F127*0.25),0)*'模拟-单技能数据'!$I$24</f>
        <v>0</v>
      </c>
      <c r="BG141" s="115" t="b">
        <f ca="1">OR(AND(OR(C141="烈日斩",C141="银月斩"),模拟模式!$I$7="净身明礼"),AND(C141="净世破魔击·日",模拟模式!$J$7="洞若观火"),AND(C142="净世破魔击·月",模拟模式!$J$7="洞若观火"),AB141=1)</f>
        <v>1</v>
      </c>
      <c r="BH141" s="115" t="b">
        <f t="shared" ca="1" si="98"/>
        <v>0</v>
      </c>
      <c r="BI141" s="115">
        <f t="shared" ca="1" si="126"/>
        <v>3.2324999999999995</v>
      </c>
      <c r="BJ141" s="115" t="b">
        <f t="shared" ca="1" si="137"/>
        <v>1</v>
      </c>
      <c r="BK141" s="115" t="b">
        <f ca="1">AND(C141="驱夜断愁",模拟模式!$P$7="天地诛戮")</f>
        <v>0</v>
      </c>
      <c r="BL141" s="57">
        <f t="shared" ca="1" si="127"/>
        <v>8.9300000000000068</v>
      </c>
      <c r="BM141" s="115" t="b">
        <f t="shared" ca="1" si="138"/>
        <v>1</v>
      </c>
      <c r="BN141" s="115" t="b">
        <f ca="1">AND(OR(C141="赤日轮1",C141="赤日轮2",C141="赤日轮3",C141="幽月轮1",C141="幽月轮2",C141="幽月轮3"),AB141=1,模拟模式!$L$7="明光恒照")</f>
        <v>0</v>
      </c>
      <c r="BO141" s="117">
        <f t="shared" ca="1" si="128"/>
        <v>20.775000000000006</v>
      </c>
      <c r="BP141" s="115">
        <f t="shared" ca="1" si="101"/>
        <v>6</v>
      </c>
      <c r="BQ141" s="115" t="b">
        <f>模拟模式!$K$10="2600·水"</f>
        <v>0</v>
      </c>
      <c r="BR141" s="117">
        <f t="shared" si="102"/>
        <v>0</v>
      </c>
      <c r="BS141" s="115">
        <f t="shared" si="103"/>
        <v>0</v>
      </c>
      <c r="BT141" s="115">
        <f t="shared" ca="1" si="104"/>
        <v>0</v>
      </c>
      <c r="BU141" s="115" t="b">
        <f ca="1">AND(模拟模式!$K$10="2300·雷",BT140=0,RAND()&lt;IF(C141="净世破魔击·月",5*0.05*2/3,IF(C141="净世破魔击·日",3*0.05*2/3,0.05*2*2/3)))</f>
        <v>0</v>
      </c>
      <c r="BV141" s="115">
        <f t="shared" ca="1" si="105"/>
        <v>0</v>
      </c>
      <c r="BW141" s="115">
        <f t="shared" ca="1" si="106"/>
        <v>80.369999999999266</v>
      </c>
      <c r="BX141" s="164" t="b">
        <f t="shared" ca="1" si="107"/>
        <v>0</v>
      </c>
      <c r="BY141" s="115">
        <f t="shared" ca="1" si="108"/>
        <v>0</v>
      </c>
      <c r="BZ141" s="115">
        <f>IF(OR(模拟模式!$P$16="10人团",模拟模式!$P$16="25人团"),IF(B141/30&gt;CA140,1,0),0)</f>
        <v>0</v>
      </c>
      <c r="CA141" s="115">
        <f t="shared" si="74"/>
        <v>0</v>
      </c>
      <c r="CB141" s="115">
        <f ca="1">IF(BZ141=1,IF(模拟模式!$P$16="10人团",15,0)+IF(模拟模式!$P$16="25人团",IF(RAND()&lt;0.6,15,0)),MAX(0,CB140-$F$4))</f>
        <v>0</v>
      </c>
      <c r="CC141" s="115" t="b">
        <f t="shared" ca="1" si="139"/>
        <v>0</v>
      </c>
      <c r="CD141" s="115">
        <f>IF(模拟模式!$Q$16="1个",IF(B141/40&gt;CE140,1,0),0)</f>
        <v>0</v>
      </c>
      <c r="CE141" s="115">
        <f t="shared" si="140"/>
        <v>0</v>
      </c>
      <c r="CF141" s="115">
        <f>IF(OR(CD141=1,模拟模式!$Q$16="2个"),20,MAX(0,CF140-$F$4))</f>
        <v>0</v>
      </c>
      <c r="CG141" s="115" t="b">
        <f t="shared" si="141"/>
        <v>0</v>
      </c>
      <c r="CH141" s="115">
        <f t="shared" ca="1" si="112"/>
        <v>25.387500000000003</v>
      </c>
      <c r="CI141" s="115" t="b">
        <f t="shared" ca="1" si="113"/>
        <v>0</v>
      </c>
      <c r="CJ141" s="119">
        <f t="shared" ca="1" si="114"/>
        <v>0.05</v>
      </c>
      <c r="CK141" s="115">
        <f t="shared" ca="1" si="115"/>
        <v>3.3874999999999988</v>
      </c>
      <c r="CL141" s="115" t="b">
        <f ca="1">AND(模拟模式!$S$7="驱夷逐法",OR(AND(C141="净世破魔击·月",E140&gt;59),AND(C141="净世破魔击·日",F140&gt;59)))</f>
        <v>0</v>
      </c>
      <c r="CM141" s="115" t="b">
        <f ca="1">OR(CL141,AND(C141="净世破魔击·日",CL140,RAND()&lt;模拟模式!$U$23))</f>
        <v>0</v>
      </c>
      <c r="CN141" s="115" t="b">
        <f ca="1">IF(模拟模式!$M$7="辉耀红尘",AND(C141="净世破魔击·月",CL141,CV141=0,E140&lt;80),AND(C141="净世破魔击·月",CL141,E140&lt;100))</f>
        <v>0</v>
      </c>
      <c r="CO141" s="115" t="b">
        <f t="shared" ca="1" si="75"/>
        <v>0</v>
      </c>
      <c r="CP141" s="115" t="b">
        <f ca="1">AND(模拟模式!$O$7="用晦而明",OR(C141="净世破魔击·日",C141="净世破魔击·月",C141="驱夜断愁"),AB141)</f>
        <v>0</v>
      </c>
      <c r="CQ141" s="115" t="b">
        <f ca="1">OR(CP141,AND(CP140,RAND()&lt;模拟模式!$U$23))</f>
        <v>1</v>
      </c>
      <c r="CR141" s="115" t="b">
        <f ca="1">AND(模拟模式!$S$7="日月齐光",OR(C141="幽月轮1",C141="幽月轮2",C141="幽月轮3",CR140),NOT(OR(C141="赤日轮1",C141="赤日轮2",C141="赤日轮3")))</f>
        <v>0</v>
      </c>
      <c r="CS141" s="115" t="b">
        <f ca="1">AND(模拟模式!$S$7="日月齐光",OR(C141="赤日轮1",C141="赤日轮2",C141="赤日轮3",CS140),NOT(OR(C141="幽月轮1",C141="幽月轮2",C141="幽月轮3")))</f>
        <v>0</v>
      </c>
      <c r="CT141" s="115">
        <f t="shared" ca="1" si="116"/>
        <v>23.542500000000004</v>
      </c>
      <c r="CU141" s="115" t="b">
        <f ca="1">AND(模拟模式!$K$10="阴阳往极",CT140=0,RAND()&lt;IF(C141="净世破魔击·月",0.0275*7/3,IF(C141="净世破魔击·日",0.0275*3/3,0.0275*2/3)))</f>
        <v>0</v>
      </c>
      <c r="CV141" s="115">
        <f t="shared" ca="1" si="117"/>
        <v>0</v>
      </c>
      <c r="CW141" s="115">
        <f t="shared" ca="1" si="76"/>
        <v>0</v>
      </c>
      <c r="CX141" s="115">
        <f t="shared" ca="1" si="77"/>
        <v>6</v>
      </c>
      <c r="CY141" s="115">
        <f ca="1">MAX(IF($C141="驱夜断愁",IF(模拟模式!$R$7="万念俱寂",6,45),CY140-$F$4),0)</f>
        <v>0</v>
      </c>
      <c r="CZ141" s="115">
        <f t="shared" ca="1" si="78"/>
        <v>0</v>
      </c>
      <c r="DA141" s="115">
        <f ca="1">IF(模拟模式!$N$7="日月同辉",IF(DB140=2,0,MIN(6,IF(AND(OR(C141="赤日轮1",C141="赤日轮2",C141="赤日轮3",C141="幽月轮1",C141="幽月轮2",C141="幽月轮3"),AB141=1),DA140+1,DA140))),0)</f>
        <v>0</v>
      </c>
      <c r="DB141" s="115">
        <f t="shared" ca="1" si="79"/>
        <v>0</v>
      </c>
      <c r="DC141" s="115"/>
      <c r="DD141" s="115"/>
      <c r="DE141" s="115"/>
      <c r="DF141" s="115"/>
      <c r="DG141" s="115"/>
      <c r="DH141" s="115"/>
      <c r="DI141" s="115"/>
      <c r="DJ141" s="115"/>
      <c r="DK141" s="115"/>
      <c r="DL141" s="115"/>
      <c r="DM141" s="115"/>
    </row>
    <row r="142" spans="2:117" x14ac:dyDescent="0.2">
      <c r="B142" s="117">
        <f t="shared" si="80"/>
        <v>106.08749999999995</v>
      </c>
      <c r="C142" s="167" t="str">
        <f t="shared" ca="1" si="66"/>
        <v>驱夜断愁</v>
      </c>
      <c r="D142" s="115">
        <f ca="1">IF(C142="赤日轮1",1,IF(C142="赤日轮2",2,IF(C142="赤日轮3",3,IF(C142="幽月轮1",4,IF(C142="幽月轮2",5,IF(C142="幽月轮3",6,IF(C142="烈日斩",7,IF(C142="银月斩",8,IF(C142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142="净世破魔击·月",17,IF(C142="驱夜断愁",18,0)))))))))))</f>
        <v>18</v>
      </c>
      <c r="E142" s="115">
        <f ca="1">IF(AND(CU142,OR(C142="幽月轮1",C142="幽月轮2",C142="幽月轮3",C142="银月斩",C142="驱夜断愁",C142="净世破魔击·月")),100,MIN(IF(OR(CN142,BE142),0,IF(OR($C142="赤日轮1",$C142="赤日轮2",$C142="赤日轮3"),E141+20+IF(模拟模式!$I$7="日月凌天",4,0)+IF(CR141,20,0),IF($C142="烈日斩",E141+40,IF($C142="驱夜断愁",IF(模拟模式!$R$7="万念俱寂",E141+20,E141+60),IF($C142="净世破魔击·月",IF(OR(DB141&gt;0,CV141&gt;0),100,IF(模拟模式!$M$7="辉耀红尘",E141+20,E141)),IF($C142="净世破魔击·日",E141-100,E141)))))),100))</f>
        <v>40</v>
      </c>
      <c r="F142" s="115">
        <f ca="1">IF(AND(CU142,OR(C142="赤日轮1",C142="赤日轮2",C142="赤日轮3",C142="烈日斩",C142="净世破魔击·日")),100,MIN(IF(CO142,0,IF(OR($C142="幽月轮1",$C142="幽月轮2",$C142="幽月轮3"),F141+20+IF(模拟模式!$I$7="日月凌天",4,0)+IF(CS141,20,0),IF($C142="银月斩",F141+40+IF(模拟模式!$X$12=1,5,0),IF($C142="驱夜断愁",IF(模拟模式!$R$7="万念俱寂",F141+20,F141+60),IF($C142="净世破魔击·月",IF(模拟模式!$M$7="辉耀红尘",F141-80,F141-100),IF(AND(C142="净世破魔击·日",OR(DB141&gt;0,CV141&gt;0)),100,F141)))))),100))</f>
        <v>85</v>
      </c>
      <c r="G142" s="117">
        <f ca="1">('模拟-全程加成'!$E$3+'模拟-全程加成'!$E$4+'模拟-全程加成'!$E$5+('模拟-全程加成'!$C$6-'模拟-全程加成'!$C$3)*系数!$B$9+BS142*23)*(1+'模拟-全程加成'!$F$4+'模拟-全程加成'!$F$5+BJ142*10%+BM142*20%+BP142*4%+CG142*30%)+$F$7*系数!$B$12</f>
        <v>21493.829400000002</v>
      </c>
      <c r="H142" s="45">
        <f ca="1">'模拟-全程加成'!$H$3+'模拟-全程加成'!$H$4+'模拟-全程加成'!$H$5+('模拟-全程加成'!$G$4+'模拟-全程加成'!$G$5+('模拟-全程加成'!$C$6-'模拟-全程加成'!$C$3)*系数!$B$13)/系数!$B$3+LOOKUP(D142,'模拟-单技能数据'!$A$2:$A$19,'模拟-单技能数据'!$K$2:$K$19)+BG142*10%+IF(BV142&gt;0,378,0)</f>
        <v>0.51185145527300213</v>
      </c>
      <c r="I142" s="45">
        <f ca="1">'模拟-全程加成'!$J$3+'模拟-全程加成'!$J$4+'模拟-全程加成'!$J$5+('模拟-全程加成'!$I$4+'模拟-全程加成'!$I$5)/系数!$B$4+LOOKUP(D142,'模拟-单技能数据'!$A$2:$A$19,'模拟-单技能数据'!$L$2:$L$19)+BG142*10%</f>
        <v>2.162482885499879</v>
      </c>
      <c r="J142" s="45">
        <f ca="1">(('模拟-全程加成'!$K$3+'模拟-全程加成'!$K$4+'模拟-全程加成'!$K$5+('模拟-全程加成'!$C$6-'模拟-全程加成'!$C$3)*系数!$B$10+IF(BV142&gt;0,882,0)+IF(BY142&gt;0,1831,0))*(1+'模拟-全程加成'!$L$4+'模拟-全程加成'!$L$5+CC142*20%))/系数!$B$5</f>
        <v>0.69723220422048726</v>
      </c>
      <c r="K142" s="119">
        <f ca="1">LOOKUP(D142,'模拟-单技能数据'!$A$2:$A$19,'模拟-单技能数据'!$J$2:$J$19)+IF(CM142,60%,0)+IF(DB141-DB142&gt;0,30%,0)+IF(OR(AND(OR(C142="赤日轮1",C142="赤日轮2",C142="赤日轮3"),CR142),AND(OR(C142="幽月轮1",C142="幽月轮2",C142="幽月轮3"),CS142)),35%,0)+CJ142</f>
        <v>0.19</v>
      </c>
      <c r="L142" s="119">
        <f ca="1">IF(AND(C142="烈日斩",模拟模式!$X$11=1),10%,0)+IF(AND(C142="驱夜断愁",AB142=1),30%,0)</f>
        <v>0.3</v>
      </c>
      <c r="M142" s="45">
        <f t="shared" ca="1" si="129"/>
        <v>0.51185145527300213</v>
      </c>
      <c r="N142" s="45">
        <f t="shared" ca="1" si="130"/>
        <v>0.43424854472699792</v>
      </c>
      <c r="O142" s="46">
        <f t="shared" ca="1" si="83"/>
        <v>0.1066821739404672</v>
      </c>
      <c r="P142" s="46" t="str">
        <f t="shared" ca="1" si="84"/>
        <v>会</v>
      </c>
      <c r="Q142" s="45">
        <f t="shared" ca="1" si="85"/>
        <v>2.162482885499879</v>
      </c>
      <c r="R142" s="117">
        <f ca="1">模拟模式!$E$20*(1-IF(模拟模式!$J$19="有",0.15,0))*(1-IF(模拟模式!$K$19="有",0.3,0)-IF(CQ142,0.5,0))</f>
        <v>843.02999999999975</v>
      </c>
      <c r="S142" s="45">
        <f ca="1">R142/(R142+(185*模拟模式!$E$22-16800)*4.08224)</f>
        <v>8.389626085980037E-2</v>
      </c>
      <c r="T142" s="45" t="str">
        <f ca="1">LOOKUP(D142,'模拟-单技能数据'!$A$2:$A$19,'模拟-单技能数据'!$H$2:$H$19)</f>
        <v>阴</v>
      </c>
      <c r="U142" s="119">
        <f t="shared" ca="1" si="131"/>
        <v>0.08</v>
      </c>
      <c r="V142" s="47">
        <f ca="1">(1+L142)*(LOOKUP(D142,'模拟-单技能数据'!$A$2:$A$19,'模拟-单技能数据'!$D$2:$D$19)+G142*LOOKUP(D142,'模拟-单技能数据'!$A$2:$A$19,'模拟-单技能数据'!$F$2:$F$19))*(1+J142)*(1+K142)*(1-S142)*(1+U142)*Q142*LOOKUP(D142,'模拟-单技能数据'!$A$2:$A$19,'模拟-单技能数据'!$I$2:$I$20)</f>
        <v>138916.16953986019</v>
      </c>
      <c r="W142" s="47">
        <f ca="1">LOOKUP(D142,'模拟-单技能数据'!$A$2:$A$19,'模拟-单技能数据'!$G$2:$G$19)*$I$10</f>
        <v>723.0212870940959</v>
      </c>
      <c r="X142" s="47">
        <f t="shared" ca="1" si="87"/>
        <v>0</v>
      </c>
      <c r="Y142" s="47">
        <f t="shared" ca="1" si="132"/>
        <v>139639.19082695429</v>
      </c>
      <c r="Z142" s="49">
        <f t="shared" ca="1" si="133"/>
        <v>12169654.815688755</v>
      </c>
      <c r="AA142" s="97">
        <f t="shared" ca="1" si="134"/>
        <v>114713.37165725237</v>
      </c>
      <c r="AB142" s="115">
        <f ca="1">IF(OR(C142="赤日轮1",C142="赤日轮2",C142="赤日轮3"),IF(RAND()&lt;模拟模式!$Y$17,1,0),IF(OR(C142="幽月轮1",C142="幽月轮2",C142="幽月轮3"),IF(RAND()&lt;模拟模式!$Y$18,1,0),IF(C142="烈日斩",IF(RAND()&lt;模拟模式!$Y$19,1,0),IF(C142="银月斩",IF(RAND()&lt;模拟模式!$Y$20,1,0),IF(C142="驱夜断愁",IF(RAND()&lt;模拟模式!$Y$21,1,0),IF(C142="净世破魔击·日",IF(RAND()&lt;模拟模式!$Y$22,1,0),IF(C142="净世破魔击·月",IF(RAND()&lt;模拟模式!$Y$23,1,0),0)))))))</f>
        <v>1</v>
      </c>
      <c r="AC142" s="115" t="b">
        <f t="shared" ca="1" si="122"/>
        <v>0</v>
      </c>
      <c r="AD142" s="115" t="b">
        <f t="shared" ca="1" si="142"/>
        <v>0</v>
      </c>
      <c r="AE142" s="115">
        <f t="shared" ca="1" si="143"/>
        <v>6</v>
      </c>
      <c r="AF142" s="47">
        <f ca="1">IF(AC142,('模拟-单技能数据'!$D$20+G142*'模拟-单技能数据'!$F$20)*(1+J142)*(1+'模拟-单技能数据'!$J$20)*(1+U142),0)</f>
        <v>0</v>
      </c>
      <c r="AG142" s="61">
        <f t="shared" ca="1" si="135"/>
        <v>0.64185145527300214</v>
      </c>
      <c r="AH142" s="61">
        <f t="shared" ca="1" si="136"/>
        <v>2.2624828854998791</v>
      </c>
      <c r="AI142" s="62">
        <f t="shared" ca="1" si="93"/>
        <v>0.83167757086560778</v>
      </c>
      <c r="AJ142" s="47">
        <f ca="1">IF(AD142,IF(AI142&lt;$F$10,0,IF(AI142&lt;$F$10+$F$11,0.25,IF(AI142&lt;$F$10+$F$11+AG142,AH142,1)))*IF(AF142&gt;0,AF142,IF(AF141&gt;0,AF141,IF(AF140&gt;0,AF140,IF(AF139&gt;0,AF139,IF(AF138&gt;0,AF138,IF(AF137&gt;0,AF137,IF(AF136&gt;0,AF136,IF(AF135&gt;0,AF135,IF(AF134&gt;0,AF134,IF(AF132&gt;0,AF132,IF(AF131&gt;0,AF131,IF(AF130&gt;0,AF130,0)))))))))))),0)*(1-$S142)*'模拟-单技能数据'!$I$20</f>
        <v>0</v>
      </c>
      <c r="AK142" s="115" t="b">
        <f t="shared" ca="1" si="123"/>
        <v>0</v>
      </c>
      <c r="AL142" s="115" t="b">
        <f t="shared" ca="1" si="144"/>
        <v>0</v>
      </c>
      <c r="AM142" s="115">
        <f t="shared" ca="1" si="145"/>
        <v>4</v>
      </c>
      <c r="AN142" s="47">
        <f ca="1">IF(AK142,('模拟-单技能数据'!$D$21+G142*'模拟-单技能数据'!$F$21)*(1+J142)*(1+'模拟-单技能数据'!$J$21)*(1+U142),0)</f>
        <v>0</v>
      </c>
      <c r="AO142" s="61">
        <f ca="1">IF(AN142&gt;0,M142-'模拟-单技能数据'!$K$10,AO141)</f>
        <v>0.42185145527300216</v>
      </c>
      <c r="AP142" s="61">
        <f ca="1">IF(AN142&gt;0,I142-'模拟-单技能数据'!$L$10,AP141)</f>
        <v>2.162482885499879</v>
      </c>
      <c r="AQ142" s="63">
        <f t="shared" ca="1" si="94"/>
        <v>0.14118516465095199</v>
      </c>
      <c r="AR142" s="64">
        <f ca="1">IF(AL142,IF(AQ142&lt;$F$10,0,IF(AQ142&lt;$F$10+$F$11,0.25,IF(AQ142&lt;$F$10+$F$11+AO142,AP142,1)))*IF(AN142&gt;0,AN142,IF(AN141&gt;0,AN141,IF(AN140&gt;0,AN140,IF(AN139&gt;0,AN139,IF(AN138&gt;0,AN138,IF(AN137&gt;0,AN137,IF(AN136&gt;0,AN136,IF(AN135&gt;0,AN135,IF(AN134&gt;0,AN134,IF(AN132&gt;0,AN132,IF(AN131&gt;0,AN131,IF(AN130&gt;0,AN130,0)))))))))))),0)*(1-$S142)*'模拟-单技能数据'!$I$21</f>
        <v>0</v>
      </c>
      <c r="AS142" s="61">
        <f ca="1">IF(OR(C142="净世破魔击·日",C142="净世破魔击·月"),M142-'模拟-单技能数据'!$K$10,0)</f>
        <v>0</v>
      </c>
      <c r="AT142" s="61">
        <f ca="1">IF(OR(C142="净世破魔击·日",C142="净世破魔击·月"),I142-'模拟-单技能数据'!$L$10,0)</f>
        <v>0</v>
      </c>
      <c r="AU142" s="62">
        <f t="shared" ca="1" si="95"/>
        <v>0.4550146510616645</v>
      </c>
      <c r="AV142" s="64">
        <f ca="1">IF(AS142&gt;0,('模拟-单技能数据'!$D$22+G142*'模拟-单技能数据'!$F$22)*(1+J142)*(1-S142)*IF(AU142&lt;$F$10,0,IF(AU142&lt;$F$10+$F$11,0.25,IF(AU142&lt;$F$10+$F$11+AS142,AT142,1)))*(1+U142),0)*'模拟-单技能数据'!$I$22</f>
        <v>0</v>
      </c>
      <c r="AW142" s="108">
        <f t="shared" ca="1" si="96"/>
        <v>0</v>
      </c>
      <c r="AX142" s="108" t="b">
        <f ca="1">AND(模拟模式!$P$10="有",AW141=0,RAND()&lt;IF(C142="净世破魔击·月",0.1*8/3,IF(C142="净世破魔击·日",0.1*4/3,0.1*2/3)))</f>
        <v>0</v>
      </c>
      <c r="AY142" s="47">
        <f ca="1">IF(AX142,(18+G142*0.722)*(1+J142)*(1-S142)*(1+$I$4)*IF(P142="会",'模拟-全程加成'!$J$3+'模拟-全程加成'!$J$4+'模拟-全程加成'!$J$5+('模拟-全程加成'!$I$4+'模拟-全程加成'!$I$5)/系数!$B$4+BG142*10%,IF(P142="命",1,IF(P142="识",0.25,0))),0)</f>
        <v>0</v>
      </c>
      <c r="AZ142" s="108">
        <f t="shared" si="97"/>
        <v>15.387500000000003</v>
      </c>
      <c r="BA142" s="108" t="b">
        <f>AND(模拟模式!$Q$10="有",AZ141=0)</f>
        <v>0</v>
      </c>
      <c r="BB142" s="140">
        <f>IF(BA142,(0+G142*0.287)*(1+J142)*(1-S142)*(1+$I$4)*IF(P142="会",'模拟-全程加成'!$J$3+'模拟-全程加成'!$J$4+'模拟-全程加成'!$J$5+('模拟-全程加成'!$I$4+'模拟-全程加成'!$I$5)/系数!$B$4+BG142*10%,IF(P142="命",1,IF(P142="识",0.25,0))),0)</f>
        <v>0</v>
      </c>
      <c r="BC142" s="115" t="b">
        <f ca="1">AND(模拟模式!$R$7="伏明众生",E142=60,F142=20,DA142&lt;5,CZ141&lt;$F$4)</f>
        <v>0</v>
      </c>
      <c r="BD142" s="115">
        <f t="shared" ca="1" si="124"/>
        <v>0</v>
      </c>
      <c r="BE142" s="115" t="b">
        <f t="shared" ca="1" si="125"/>
        <v>0</v>
      </c>
      <c r="BF142" s="47">
        <f ca="1">IF(BC142,4*('模拟-单技能数据'!$D$24+G142*'模拟-单技能数据'!$F$24)*(1+J142)*(1+'模拟-单技能数据'!$J$24)*(1-S142)*(1+$I$3)*(('模拟-全程加成'!$J$3+'模拟-全程加成'!$J$4+'模拟-全程加成'!$J$5+('模拟-全程加成'!$I$4+'模拟-全程加成'!$I$5)/系数!$B$4+BG142*10%)*('模拟-全程加成'!$J$3+'模拟-全程加成'!$J$4+'模拟-全程加成'!$J$5+('模拟-全程加成'!$I$4+'模拟-全程加成'!$I$5)/系数!$B$4+BG142*10%)+(1-('模拟-全程加成'!$J$3+'模拟-全程加成'!$J$4+'模拟-全程加成'!$J$5+('模拟-全程加成'!$I$4+'模拟-全程加成'!$I$5)/系数!$B$4+BG142*10%)-$F$10-$F$11)+F128*0.25),0)*'模拟-单技能数据'!$I$24</f>
        <v>0</v>
      </c>
      <c r="BG142" s="115" t="b">
        <f ca="1">OR(AND(OR(C142="烈日斩",C142="银月斩"),模拟模式!$I$7="净身明礼"),AND(C142="净世破魔击·日",模拟模式!$J$7="洞若观火"),AND(C143="净世破魔击·月",模拟模式!$J$7="洞若观火"),AB142=1)</f>
        <v>1</v>
      </c>
      <c r="BH142" s="115" t="b">
        <f t="shared" ca="1" si="98"/>
        <v>0</v>
      </c>
      <c r="BI142" s="115">
        <f t="shared" ca="1" si="126"/>
        <v>2.3099999999999996</v>
      </c>
      <c r="BJ142" s="115" t="b">
        <f t="shared" ca="1" si="137"/>
        <v>1</v>
      </c>
      <c r="BK142" s="115" t="b">
        <f ca="1">AND(C142="驱夜断愁",模拟模式!$P$7="天地诛戮")</f>
        <v>1</v>
      </c>
      <c r="BL142" s="57">
        <f t="shared" ca="1" si="127"/>
        <v>20</v>
      </c>
      <c r="BM142" s="115" t="b">
        <f t="shared" ca="1" si="138"/>
        <v>1</v>
      </c>
      <c r="BN142" s="115" t="b">
        <f ca="1">AND(OR(C142="赤日轮1",C142="赤日轮2",C142="赤日轮3",C142="幽月轮1",C142="幽月轮2",C142="幽月轮3"),AB142=1,模拟模式!$L$7="明光恒照")</f>
        <v>0</v>
      </c>
      <c r="BO142" s="117">
        <f t="shared" ca="1" si="128"/>
        <v>19.852500000000006</v>
      </c>
      <c r="BP142" s="115">
        <f t="shared" ca="1" si="101"/>
        <v>6</v>
      </c>
      <c r="BQ142" s="115" t="b">
        <f>模拟模式!$K$10="2600·水"</f>
        <v>0</v>
      </c>
      <c r="BR142" s="117">
        <f t="shared" si="102"/>
        <v>0</v>
      </c>
      <c r="BS142" s="115">
        <f t="shared" si="103"/>
        <v>0</v>
      </c>
      <c r="BT142" s="115">
        <f t="shared" ca="1" si="104"/>
        <v>0</v>
      </c>
      <c r="BU142" s="115" t="b">
        <f ca="1">AND(模拟模式!$K$10="2300·雷",BT141=0,RAND()&lt;IF(C142="净世破魔击·月",5*0.05*2/3,IF(C142="净世破魔击·日",3*0.05*2/3,0.05*2*2/3)))</f>
        <v>0</v>
      </c>
      <c r="BV142" s="115">
        <f t="shared" ca="1" si="105"/>
        <v>0</v>
      </c>
      <c r="BW142" s="115">
        <f t="shared" ca="1" si="106"/>
        <v>79.447499999999266</v>
      </c>
      <c r="BX142" s="164" t="b">
        <f t="shared" ca="1" si="107"/>
        <v>0</v>
      </c>
      <c r="BY142" s="115">
        <f t="shared" ca="1" si="108"/>
        <v>0</v>
      </c>
      <c r="BZ142" s="115">
        <f>IF(OR(模拟模式!$P$16="10人团",模拟模式!$P$16="25人团"),IF(B142/30&gt;CA141,1,0),0)</f>
        <v>0</v>
      </c>
      <c r="CA142" s="115">
        <f t="shared" si="74"/>
        <v>0</v>
      </c>
      <c r="CB142" s="115">
        <f ca="1">IF(BZ142=1,IF(模拟模式!$P$16="10人团",15,0)+IF(模拟模式!$P$16="25人团",IF(RAND()&lt;0.6,15,0)),MAX(0,CB141-$F$4))</f>
        <v>0</v>
      </c>
      <c r="CC142" s="115" t="b">
        <f t="shared" ca="1" si="139"/>
        <v>0</v>
      </c>
      <c r="CD142" s="115">
        <f>IF(模拟模式!$Q$16="1个",IF(B142/40&gt;CE141,1,0),0)</f>
        <v>0</v>
      </c>
      <c r="CE142" s="115">
        <f t="shared" si="140"/>
        <v>0</v>
      </c>
      <c r="CF142" s="115">
        <f>IF(OR(CD142=1,模拟模式!$Q$16="2个"),20,MAX(0,CF141-$F$4))</f>
        <v>0</v>
      </c>
      <c r="CG142" s="115" t="b">
        <f t="shared" si="141"/>
        <v>0</v>
      </c>
      <c r="CH142" s="115">
        <f t="shared" ca="1" si="112"/>
        <v>24.465000000000003</v>
      </c>
      <c r="CI142" s="115" t="b">
        <f t="shared" ca="1" si="113"/>
        <v>0</v>
      </c>
      <c r="CJ142" s="119">
        <f t="shared" ca="1" si="114"/>
        <v>0.05</v>
      </c>
      <c r="CK142" s="115">
        <f t="shared" ca="1" si="115"/>
        <v>2.464999999999999</v>
      </c>
      <c r="CL142" s="115" t="b">
        <f ca="1">AND(模拟模式!$S$7="驱夷逐法",OR(AND(C142="净世破魔击·月",E141&gt;59),AND(C142="净世破魔击·日",F141&gt;59)))</f>
        <v>0</v>
      </c>
      <c r="CM142" s="115" t="b">
        <f ca="1">OR(CL142,AND(C142="净世破魔击·日",CL141,RAND()&lt;模拟模式!$U$23))</f>
        <v>0</v>
      </c>
      <c r="CN142" s="115" t="b">
        <f ca="1">IF(模拟模式!$M$7="辉耀红尘",AND(C142="净世破魔击·月",CL142,CV142=0,E141&lt;80),AND(C142="净世破魔击·月",CL142,E141&lt;100))</f>
        <v>0</v>
      </c>
      <c r="CO142" s="115" t="b">
        <f t="shared" ca="1" si="75"/>
        <v>0</v>
      </c>
      <c r="CP142" s="115" t="b">
        <f ca="1">AND(模拟模式!$O$7="用晦而明",OR(C142="净世破魔击·日",C142="净世破魔击·月",C142="驱夜断愁"),AB142)</f>
        <v>1</v>
      </c>
      <c r="CQ142" s="115" t="b">
        <f ca="1">OR(CP142,AND(CP141,RAND()&lt;模拟模式!$U$23))</f>
        <v>1</v>
      </c>
      <c r="CR142" s="115" t="b">
        <f ca="1">AND(模拟模式!$S$7="日月齐光",OR(C142="幽月轮1",C142="幽月轮2",C142="幽月轮3",CR141),NOT(OR(C142="赤日轮1",C142="赤日轮2",C142="赤日轮3")))</f>
        <v>0</v>
      </c>
      <c r="CS142" s="115" t="b">
        <f ca="1">AND(模拟模式!$S$7="日月齐光",OR(C142="赤日轮1",C142="赤日轮2",C142="赤日轮3",CS141),NOT(OR(C142="幽月轮1",C142="幽月轮2",C142="幽月轮3")))</f>
        <v>0</v>
      </c>
      <c r="CT142" s="115">
        <f t="shared" ca="1" si="116"/>
        <v>22.620000000000005</v>
      </c>
      <c r="CU142" s="115" t="b">
        <f ca="1">AND(模拟模式!$K$10="阴阳往极",CT141=0,RAND()&lt;IF(C142="净世破魔击·月",0.0275*7/3,IF(C142="净世破魔击·日",0.0275*3/3,0.0275*2/3)))</f>
        <v>0</v>
      </c>
      <c r="CV142" s="115">
        <f t="shared" ca="1" si="117"/>
        <v>0</v>
      </c>
      <c r="CW142" s="115">
        <f t="shared" ca="1" si="76"/>
        <v>0</v>
      </c>
      <c r="CX142" s="115">
        <f t="shared" ca="1" si="77"/>
        <v>5.0774999999999997</v>
      </c>
      <c r="CY142" s="115">
        <f ca="1">MAX(IF($C142="驱夜断愁",IF(模拟模式!$R$7="万念俱寂",6,45),CY141-$F$4),0)</f>
        <v>6</v>
      </c>
      <c r="CZ142" s="115">
        <f t="shared" ca="1" si="78"/>
        <v>0</v>
      </c>
      <c r="DA142" s="115">
        <f ca="1">IF(模拟模式!$N$7="日月同辉",IF(DB141=2,0,MIN(6,IF(AND(OR(C142="赤日轮1",C142="赤日轮2",C142="赤日轮3",C142="幽月轮1",C142="幽月轮2",C142="幽月轮3"),AB142=1),DA141+1,DA141))),0)</f>
        <v>0</v>
      </c>
      <c r="DB142" s="115">
        <f t="shared" ca="1" si="79"/>
        <v>0</v>
      </c>
      <c r="DC142" s="115"/>
      <c r="DD142" s="115"/>
      <c r="DE142" s="115"/>
      <c r="DF142" s="115"/>
      <c r="DG142" s="115"/>
      <c r="DH142" s="115"/>
      <c r="DI142" s="115"/>
      <c r="DJ142" s="115"/>
      <c r="DK142" s="115"/>
      <c r="DL142" s="115"/>
      <c r="DM142" s="115"/>
    </row>
    <row r="143" spans="2:117" x14ac:dyDescent="0.2">
      <c r="B143" s="117">
        <f t="shared" si="80"/>
        <v>107.00999999999995</v>
      </c>
      <c r="C143" s="167" t="str">
        <f t="shared" ca="1" si="66"/>
        <v>烈日斩</v>
      </c>
      <c r="D143" s="115">
        <f ca="1">IF(C143="赤日轮1",1,IF(C143="赤日轮2",2,IF(C143="赤日轮3",3,IF(C143="幽月轮1",4,IF(C143="幽月轮2",5,IF(C143="幽月轮3",6,IF(C143="烈日斩",7,IF(C143="银月斩",8,IF(C143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143="净世破魔击·月",17,IF(C143="驱夜断愁",18,0)))))))))))</f>
        <v>7</v>
      </c>
      <c r="E143" s="115">
        <f ca="1">IF(AND(CU143,OR(C143="幽月轮1",C143="幽月轮2",C143="幽月轮3",C143="银月斩",C143="驱夜断愁",C143="净世破魔击·月")),100,MIN(IF(OR(CN143,BE143),0,IF(OR($C143="赤日轮1",$C143="赤日轮2",$C143="赤日轮3"),E142+20+IF(模拟模式!$I$7="日月凌天",4,0)+IF(CR142,20,0),IF($C143="烈日斩",E142+40,IF($C143="驱夜断愁",IF(模拟模式!$R$7="万念俱寂",E142+20,E142+60),IF($C143="净世破魔击·月",IF(OR(DB142&gt;0,CV142&gt;0),100,IF(模拟模式!$M$7="辉耀红尘",E142+20,E142)),IF($C143="净世破魔击·日",E142-100,E142)))))),100))</f>
        <v>80</v>
      </c>
      <c r="F143" s="115">
        <f ca="1">IF(AND(CU143,OR(C143="赤日轮1",C143="赤日轮2",C143="赤日轮3",C143="烈日斩",C143="净世破魔击·日")),100,MIN(IF(CO143,0,IF(OR($C143="幽月轮1",$C143="幽月轮2",$C143="幽月轮3"),F142+20+IF(模拟模式!$I$7="日月凌天",4,0)+IF(CS142,20,0),IF($C143="银月斩",F142+40+IF(模拟模式!$X$12=1,5,0),IF($C143="驱夜断愁",IF(模拟模式!$R$7="万念俱寂",F142+20,F142+60),IF($C143="净世破魔击·月",IF(模拟模式!$M$7="辉耀红尘",F142-80,F142-100),IF(AND(C143="净世破魔击·日",OR(DB142&gt;0,CV142&gt;0)),100,F142)))))),100))</f>
        <v>85</v>
      </c>
      <c r="G143" s="117">
        <f ca="1">('模拟-全程加成'!$E$3+'模拟-全程加成'!$E$4+'模拟-全程加成'!$E$5+('模拟-全程加成'!$C$6-'模拟-全程加成'!$C$3)*系数!$B$9+BS143*23)*(1+'模拟-全程加成'!$F$4+'模拟-全程加成'!$F$5+BJ143*10%+BM143*20%+BP143*4%+CG143*30%)+$F$7*系数!$B$12</f>
        <v>21493.829400000002</v>
      </c>
      <c r="H143" s="45">
        <f ca="1">'模拟-全程加成'!$H$3+'模拟-全程加成'!$H$4+'模拟-全程加成'!$H$5+('模拟-全程加成'!$G$4+'模拟-全程加成'!$G$5+('模拟-全程加成'!$C$6-'模拟-全程加成'!$C$3)*系数!$B$13)/系数!$B$3+LOOKUP(D143,'模拟-单技能数据'!$A$2:$A$19,'模拟-单技能数据'!$K$2:$K$19)+BG143*10%+IF(BV143&gt;0,378,0)</f>
        <v>0.56185145527300218</v>
      </c>
      <c r="I143" s="45">
        <f ca="1">'模拟-全程加成'!$J$3+'模拟-全程加成'!$J$4+'模拟-全程加成'!$J$5+('模拟-全程加成'!$I$4+'模拟-全程加成'!$I$5)/系数!$B$4+LOOKUP(D143,'模拟-单技能数据'!$A$2:$A$19,'模拟-单技能数据'!$L$2:$L$19)+BG143*10%</f>
        <v>2.2624828854998791</v>
      </c>
      <c r="J143" s="45">
        <f ca="1">(('模拟-全程加成'!$K$3+'模拟-全程加成'!$K$4+'模拟-全程加成'!$K$5+('模拟-全程加成'!$C$6-'模拟-全程加成'!$C$3)*系数!$B$10+IF(BV143&gt;0,882,0)+IF(BY143&gt;0,1831,0))*(1+'模拟-全程加成'!$L$4+'模拟-全程加成'!$L$5+CC143*20%))/系数!$B$5</f>
        <v>0.69723220422048726</v>
      </c>
      <c r="K143" s="119">
        <f ca="1">LOOKUP(D143,'模拟-单技能数据'!$A$2:$A$19,'模拟-单技能数据'!$J$2:$J$19)+IF(CM143,60%,0)+IF(DB142-DB143&gt;0,30%,0)+IF(OR(AND(OR(C143="赤日轮1",C143="赤日轮2",C143="赤日轮3"),CR143),AND(OR(C143="幽月轮1",C143="幽月轮2",C143="幽月轮3"),CS143)),35%,0)+CJ143</f>
        <v>0.28999999999999998</v>
      </c>
      <c r="L143" s="119">
        <f ca="1">IF(AND(C143="烈日斩",模拟模式!$X$11=1),10%,0)+IF(AND(C143="驱夜断愁",AB143=1),30%,0)</f>
        <v>0.1</v>
      </c>
      <c r="M143" s="45">
        <f t="shared" ca="1" si="129"/>
        <v>0.56185145527300218</v>
      </c>
      <c r="N143" s="45">
        <f t="shared" ca="1" si="130"/>
        <v>0.38424854472699788</v>
      </c>
      <c r="O143" s="46">
        <f t="shared" ca="1" si="83"/>
        <v>0.71095968053579639</v>
      </c>
      <c r="P143" s="46" t="str">
        <f t="shared" ca="1" si="84"/>
        <v>命</v>
      </c>
      <c r="Q143" s="45">
        <f t="shared" ca="1" si="85"/>
        <v>1</v>
      </c>
      <c r="R143" s="117">
        <f ca="1">模拟模式!$E$20*(1-IF(模拟模式!$J$19="有",0.15,0))*(1-IF(模拟模式!$K$19="有",0.3,0)-IF(CQ143,0.5,0))</f>
        <v>843.02999999999975</v>
      </c>
      <c r="S143" s="45">
        <f ca="1">R143/(R143+(185*模拟模式!$E$22-16800)*4.08224)</f>
        <v>8.389626085980037E-2</v>
      </c>
      <c r="T143" s="45" t="str">
        <f ca="1">LOOKUP(D143,'模拟-单技能数据'!$A$2:$A$19,'模拟-单技能数据'!$H$2:$H$19)</f>
        <v>阳</v>
      </c>
      <c r="U143" s="119">
        <f t="shared" ca="1" si="131"/>
        <v>0.2</v>
      </c>
      <c r="V143" s="47">
        <f ca="1">(1+L143)*(LOOKUP(D143,'模拟-单技能数据'!$A$2:$A$19,'模拟-单技能数据'!$D$2:$D$19)+G143*LOOKUP(D143,'模拟-单技能数据'!$A$2:$A$19,'模拟-单技能数据'!$F$2:$F$19))*(1+J143)*(1+K143)*(1-S143)*(1+U143)*Q143*LOOKUP(D143,'模拟-单技能数据'!$A$2:$A$19,'模拟-单技能数据'!$I$2:$I$20)</f>
        <v>50811.052494180651</v>
      </c>
      <c r="W143" s="47">
        <f ca="1">LOOKUP(D143,'模拟-单技能数据'!$A$2:$A$19,'模拟-单技能数据'!$G$2:$G$19)*$I$10</f>
        <v>361.51064354704795</v>
      </c>
      <c r="X143" s="47">
        <f t="shared" ca="1" si="87"/>
        <v>15858.380188173272</v>
      </c>
      <c r="Y143" s="47">
        <f t="shared" ca="1" si="132"/>
        <v>67030.943325900967</v>
      </c>
      <c r="Z143" s="49">
        <f t="shared" ca="1" si="133"/>
        <v>12236685.759014657</v>
      </c>
      <c r="AA143" s="97">
        <f t="shared" ca="1" si="134"/>
        <v>114350.86215320682</v>
      </c>
      <c r="AB143" s="115">
        <f ca="1">IF(OR(C143="赤日轮1",C143="赤日轮2",C143="赤日轮3"),IF(RAND()&lt;模拟模式!$Y$17,1,0),IF(OR(C143="幽月轮1",C143="幽月轮2",C143="幽月轮3"),IF(RAND()&lt;模拟模式!$Y$18,1,0),IF(C143="烈日斩",IF(RAND()&lt;模拟模式!$Y$19,1,0),IF(C143="银月斩",IF(RAND()&lt;模拟模式!$Y$20,1,0),IF(C143="驱夜断愁",IF(RAND()&lt;模拟模式!$Y$21,1,0),IF(C143="净世破魔击·日",IF(RAND()&lt;模拟模式!$Y$22,1,0),IF(C143="净世破魔击·月",IF(RAND()&lt;模拟模式!$Y$23,1,0),0)))))))</f>
        <v>1</v>
      </c>
      <c r="AC143" s="115" t="b">
        <f t="shared" ca="1" si="122"/>
        <v>0</v>
      </c>
      <c r="AD143" s="115" t="b">
        <f t="shared" ca="1" si="142"/>
        <v>1</v>
      </c>
      <c r="AE143" s="115">
        <f t="shared" ca="1" si="143"/>
        <v>5</v>
      </c>
      <c r="AF143" s="47">
        <f ca="1">IF(AC143,('模拟-单技能数据'!$D$20+G143*'模拟-单技能数据'!$F$20)*(1+J143)*(1+'模拟-单技能数据'!$J$20)*(1+U143),0)</f>
        <v>0</v>
      </c>
      <c r="AG143" s="61">
        <f t="shared" ca="1" si="135"/>
        <v>0.64185145527300214</v>
      </c>
      <c r="AH143" s="61">
        <f t="shared" ca="1" si="136"/>
        <v>2.2624828854998791</v>
      </c>
      <c r="AI143" s="62">
        <f t="shared" ca="1" si="93"/>
        <v>0.77200593988648203</v>
      </c>
      <c r="AJ143" s="47">
        <f ca="1">IF(AD143,IF(AI143&lt;$F$10,0,IF(AI143&lt;$F$10+$F$11,0.25,IF(AI143&lt;$F$10+$F$11+AG143,AH143,1)))*IF(AF143&gt;0,AF143,IF(AF142&gt;0,AF142,IF(AF141&gt;0,AF141,IF(AF140&gt;0,AF140,IF(AF139&gt;0,AF139,IF(AF138&gt;0,AF138,IF(AF137&gt;0,AF137,IF(AF136&gt;0,AF136,IF(AF135&gt;0,AF135,IF(AF133&gt;0,AF133,IF(AF132&gt;0,AF132,IF(AF131&gt;0,AF131,0)))))))))))),0)*(1-$S143)*'模拟-单技能数据'!$I$20</f>
        <v>4250.4883357170938</v>
      </c>
      <c r="AK143" s="115" t="b">
        <f t="shared" ca="1" si="123"/>
        <v>0</v>
      </c>
      <c r="AL143" s="115" t="b">
        <f t="shared" ca="1" si="144"/>
        <v>1</v>
      </c>
      <c r="AM143" s="115">
        <f t="shared" ca="1" si="145"/>
        <v>3</v>
      </c>
      <c r="AN143" s="47">
        <f ca="1">IF(AK143,('模拟-单技能数据'!$D$21+G143*'模拟-单技能数据'!$F$21)*(1+J143)*(1+'模拟-单技能数据'!$J$21)*(1+U143),0)</f>
        <v>0</v>
      </c>
      <c r="AO143" s="61">
        <f ca="1">IF(AN143&gt;0,M143-'模拟-单技能数据'!$K$10,AO142)</f>
        <v>0.42185145527300216</v>
      </c>
      <c r="AP143" s="61">
        <f ca="1">IF(AN143&gt;0,I143-'模拟-单技能数据'!$L$10,AP142)</f>
        <v>2.162482885499879</v>
      </c>
      <c r="AQ143" s="63">
        <f t="shared" ca="1" si="94"/>
        <v>0.9278214671496775</v>
      </c>
      <c r="AR143" s="64">
        <f ca="1">IF(AL143,IF(AQ143&lt;$F$10,0,IF(AQ143&lt;$F$10+$F$11,0.25,IF(AQ143&lt;$F$10+$F$11+AO143,AP143,1)))*IF(AN143&gt;0,AN143,IF(AN142&gt;0,AN142,IF(AN141&gt;0,AN141,IF(AN140&gt;0,AN140,IF(AN139&gt;0,AN139,IF(AN138&gt;0,AN138,IF(AN137&gt;0,AN137,IF(AN136&gt;0,AN136,IF(AN135&gt;0,AN135,IF(AN133&gt;0,AN133,IF(AN132&gt;0,AN132,IF(AN131&gt;0,AN131,0)))))))))))),0)*(1-$S143)*'模拟-单技能数据'!$I$21</f>
        <v>11607.89185245618</v>
      </c>
      <c r="AS143" s="61">
        <f ca="1">IF(OR(C143="净世破魔击·日",C143="净世破魔击·月"),M143-'模拟-单技能数据'!$K$10,0)</f>
        <v>0</v>
      </c>
      <c r="AT143" s="61">
        <f ca="1">IF(OR(C143="净世破魔击·日",C143="净世破魔击·月"),I143-'模拟-单技能数据'!$L$10,0)</f>
        <v>0</v>
      </c>
      <c r="AU143" s="62">
        <f t="shared" ca="1" si="95"/>
        <v>0.45906728814712228</v>
      </c>
      <c r="AV143" s="64">
        <f ca="1">IF(AS143&gt;0,('模拟-单技能数据'!$D$22+G143*'模拟-单技能数据'!$F$22)*(1+J143)*(1-S143)*IF(AU143&lt;$F$10,0,IF(AU143&lt;$F$10+$F$11,0.25,IF(AU143&lt;$F$10+$F$11+AS143,AT143,1)))*(1+U143),0)*'模拟-单技能数据'!$I$22</f>
        <v>0</v>
      </c>
      <c r="AW143" s="108">
        <f t="shared" ca="1" si="96"/>
        <v>0</v>
      </c>
      <c r="AX143" s="108" t="b">
        <f ca="1">AND(模拟模式!$P$10="有",AW142=0,RAND()&lt;IF(C143="净世破魔击·月",0.1*8/3,IF(C143="净世破魔击·日",0.1*4/3,0.1*2/3)))</f>
        <v>0</v>
      </c>
      <c r="AY143" s="47">
        <f ca="1">IF(AX143,(18+G143*0.722)*(1+J143)*(1-S143)*(1+$I$4)*IF(P143="会",'模拟-全程加成'!$J$3+'模拟-全程加成'!$J$4+'模拟-全程加成'!$J$5+('模拟-全程加成'!$I$4+'模拟-全程加成'!$I$5)/系数!$B$4+BG143*10%,IF(P143="命",1,IF(P143="识",0.25,0))),0)</f>
        <v>0</v>
      </c>
      <c r="AZ143" s="108">
        <f t="shared" si="97"/>
        <v>14.465000000000003</v>
      </c>
      <c r="BA143" s="108" t="b">
        <f>AND(模拟模式!$Q$10="有",AZ142=0)</f>
        <v>0</v>
      </c>
      <c r="BB143" s="140">
        <f>IF(BA143,(0+G143*0.287)*(1+J143)*(1-S143)*(1+$I$4)*IF(P143="会",'模拟-全程加成'!$J$3+'模拟-全程加成'!$J$4+'模拟-全程加成'!$J$5+('模拟-全程加成'!$I$4+'模拟-全程加成'!$I$5)/系数!$B$4+BG143*10%,IF(P143="命",1,IF(P143="识",0.25,0))),0)</f>
        <v>0</v>
      </c>
      <c r="BC143" s="115" t="b">
        <f ca="1">AND(模拟模式!$R$7="伏明众生",E143=60,F143=20,DA143&lt;5,CZ142&lt;$F$4)</f>
        <v>0</v>
      </c>
      <c r="BD143" s="115">
        <f t="shared" ca="1" si="124"/>
        <v>0</v>
      </c>
      <c r="BE143" s="115" t="b">
        <f t="shared" ca="1" si="125"/>
        <v>0</v>
      </c>
      <c r="BF143" s="47">
        <f ca="1">IF(BC143,4*('模拟-单技能数据'!$D$24+G143*'模拟-单技能数据'!$F$24)*(1+J143)*(1+'模拟-单技能数据'!$J$24)*(1-S143)*(1+$I$3)*(('模拟-全程加成'!$J$3+'模拟-全程加成'!$J$4+'模拟-全程加成'!$J$5+('模拟-全程加成'!$I$4+'模拟-全程加成'!$I$5)/系数!$B$4+BG143*10%)*('模拟-全程加成'!$J$3+'模拟-全程加成'!$J$4+'模拟-全程加成'!$J$5+('模拟-全程加成'!$I$4+'模拟-全程加成'!$I$5)/系数!$B$4+BG143*10%)+(1-('模拟-全程加成'!$J$3+'模拟-全程加成'!$J$4+'模拟-全程加成'!$J$5+('模拟-全程加成'!$I$4+'模拟-全程加成'!$I$5)/系数!$B$4+BG143*10%)-$F$10-$F$11)+F129*0.25),0)*'模拟-单技能数据'!$I$24</f>
        <v>0</v>
      </c>
      <c r="BG143" s="115" t="b">
        <f ca="1">OR(AND(OR(C143="烈日斩",C143="银月斩"),模拟模式!$I$7="净身明礼"),AND(C143="净世破魔击·日",模拟模式!$J$7="洞若观火"),AND(C144="净世破魔击·月",模拟模式!$J$7="洞若观火"),AB143=1)</f>
        <v>1</v>
      </c>
      <c r="BH143" s="115" t="b">
        <f t="shared" ca="1" si="98"/>
        <v>0</v>
      </c>
      <c r="BI143" s="115">
        <f t="shared" ca="1" si="126"/>
        <v>1.3874999999999997</v>
      </c>
      <c r="BJ143" s="115" t="b">
        <f t="shared" ca="1" si="137"/>
        <v>1</v>
      </c>
      <c r="BK143" s="115" t="b">
        <f ca="1">AND(C143="驱夜断愁",模拟模式!$P$7="天地诛戮")</f>
        <v>0</v>
      </c>
      <c r="BL143" s="57">
        <f t="shared" ca="1" si="127"/>
        <v>19.077500000000001</v>
      </c>
      <c r="BM143" s="115" t="b">
        <f t="shared" ca="1" si="138"/>
        <v>1</v>
      </c>
      <c r="BN143" s="115" t="b">
        <f ca="1">AND(OR(C143="赤日轮1",C143="赤日轮2",C143="赤日轮3",C143="幽月轮1",C143="幽月轮2",C143="幽月轮3"),AB143=1,模拟模式!$L$7="明光恒照")</f>
        <v>0</v>
      </c>
      <c r="BO143" s="117">
        <f t="shared" ca="1" si="128"/>
        <v>18.930000000000007</v>
      </c>
      <c r="BP143" s="115">
        <f t="shared" ca="1" si="101"/>
        <v>6</v>
      </c>
      <c r="BQ143" s="115" t="b">
        <f>模拟模式!$K$10="2600·水"</f>
        <v>0</v>
      </c>
      <c r="BR143" s="117">
        <f t="shared" si="102"/>
        <v>0</v>
      </c>
      <c r="BS143" s="115">
        <f t="shared" si="103"/>
        <v>0</v>
      </c>
      <c r="BT143" s="115">
        <f t="shared" ca="1" si="104"/>
        <v>0</v>
      </c>
      <c r="BU143" s="115" t="b">
        <f ca="1">AND(模拟模式!$K$10="2300·雷",BT142=0,RAND()&lt;IF(C143="净世破魔击·月",5*0.05*2/3,IF(C143="净世破魔击·日",3*0.05*2/3,0.05*2*2/3)))</f>
        <v>0</v>
      </c>
      <c r="BV143" s="115">
        <f t="shared" ca="1" si="105"/>
        <v>0</v>
      </c>
      <c r="BW143" s="115">
        <f t="shared" ca="1" si="106"/>
        <v>78.524999999999267</v>
      </c>
      <c r="BX143" s="164" t="b">
        <f t="shared" ca="1" si="107"/>
        <v>0</v>
      </c>
      <c r="BY143" s="115">
        <f t="shared" ca="1" si="108"/>
        <v>0</v>
      </c>
      <c r="BZ143" s="115">
        <f>IF(OR(模拟模式!$P$16="10人团",模拟模式!$P$16="25人团"),IF(B143/30&gt;CA142,1,0),0)</f>
        <v>0</v>
      </c>
      <c r="CA143" s="115">
        <f t="shared" si="74"/>
        <v>0</v>
      </c>
      <c r="CB143" s="115">
        <f ca="1">IF(BZ143=1,IF(模拟模式!$P$16="10人团",15,0)+IF(模拟模式!$P$16="25人团",IF(RAND()&lt;0.6,15,0)),MAX(0,CB142-$F$4))</f>
        <v>0</v>
      </c>
      <c r="CC143" s="115" t="b">
        <f t="shared" ca="1" si="139"/>
        <v>0</v>
      </c>
      <c r="CD143" s="115">
        <f>IF(模拟模式!$Q$16="1个",IF(B143/40&gt;CE142,1,0),0)</f>
        <v>0</v>
      </c>
      <c r="CE143" s="115">
        <f t="shared" si="140"/>
        <v>0</v>
      </c>
      <c r="CF143" s="115">
        <f>IF(OR(CD143=1,模拟模式!$Q$16="2个"),20,MAX(0,CF142-$F$4))</f>
        <v>0</v>
      </c>
      <c r="CG143" s="115" t="b">
        <f t="shared" si="141"/>
        <v>0</v>
      </c>
      <c r="CH143" s="115">
        <f t="shared" ca="1" si="112"/>
        <v>23.542500000000004</v>
      </c>
      <c r="CI143" s="115" t="b">
        <f t="shared" ca="1" si="113"/>
        <v>0</v>
      </c>
      <c r="CJ143" s="119">
        <f t="shared" ca="1" si="114"/>
        <v>0.05</v>
      </c>
      <c r="CK143" s="115">
        <f t="shared" ca="1" si="115"/>
        <v>1.5424999999999991</v>
      </c>
      <c r="CL143" s="115" t="b">
        <f ca="1">AND(模拟模式!$S$7="驱夷逐法",OR(AND(C143="净世破魔击·月",E142&gt;59),AND(C143="净世破魔击·日",F142&gt;59)))</f>
        <v>0</v>
      </c>
      <c r="CM143" s="115" t="b">
        <f ca="1">OR(CL143,AND(C143="净世破魔击·日",CL142,RAND()&lt;模拟模式!$U$23))</f>
        <v>0</v>
      </c>
      <c r="CN143" s="115" t="b">
        <f ca="1">IF(模拟模式!$M$7="辉耀红尘",AND(C143="净世破魔击·月",CL143,CV143=0,E142&lt;80),AND(C143="净世破魔击·月",CL143,E142&lt;100))</f>
        <v>0</v>
      </c>
      <c r="CO143" s="115" t="b">
        <f t="shared" ca="1" si="75"/>
        <v>0</v>
      </c>
      <c r="CP143" s="115" t="b">
        <f ca="1">AND(模拟模式!$O$7="用晦而明",OR(C143="净世破魔击·日",C143="净世破魔击·月",C143="驱夜断愁"),AB143)</f>
        <v>0</v>
      </c>
      <c r="CQ143" s="115" t="b">
        <f ca="1">OR(CP143,AND(CP142,RAND()&lt;模拟模式!$U$23))</f>
        <v>1</v>
      </c>
      <c r="CR143" s="115" t="b">
        <f ca="1">AND(模拟模式!$S$7="日月齐光",OR(C143="幽月轮1",C143="幽月轮2",C143="幽月轮3",CR142),NOT(OR(C143="赤日轮1",C143="赤日轮2",C143="赤日轮3")))</f>
        <v>0</v>
      </c>
      <c r="CS143" s="115" t="b">
        <f ca="1">AND(模拟模式!$S$7="日月齐光",OR(C143="赤日轮1",C143="赤日轮2",C143="赤日轮3",CS142),NOT(OR(C143="幽月轮1",C143="幽月轮2",C143="幽月轮3")))</f>
        <v>0</v>
      </c>
      <c r="CT143" s="115">
        <f t="shared" ca="1" si="116"/>
        <v>21.697500000000005</v>
      </c>
      <c r="CU143" s="115" t="b">
        <f ca="1">AND(模拟模式!$K$10="阴阳往极",CT142=0,RAND()&lt;IF(C143="净世破魔击·月",0.0275*7/3,IF(C143="净世破魔击·日",0.0275*3/3,0.0275*2/3)))</f>
        <v>0</v>
      </c>
      <c r="CV143" s="115">
        <f t="shared" ca="1" si="117"/>
        <v>0</v>
      </c>
      <c r="CW143" s="115">
        <f t="shared" ca="1" si="76"/>
        <v>6</v>
      </c>
      <c r="CX143" s="115">
        <f t="shared" ca="1" si="77"/>
        <v>4.1549999999999994</v>
      </c>
      <c r="CY143" s="115">
        <f ca="1">MAX(IF($C143="驱夜断愁",IF(模拟模式!$R$7="万念俱寂",6,45),CY142-$F$4),0)</f>
        <v>5.0774999999999997</v>
      </c>
      <c r="CZ143" s="115">
        <f t="shared" ca="1" si="78"/>
        <v>0</v>
      </c>
      <c r="DA143" s="115">
        <f ca="1">IF(模拟模式!$N$7="日月同辉",IF(DB142=2,0,MIN(6,IF(AND(OR(C143="赤日轮1",C143="赤日轮2",C143="赤日轮3",C143="幽月轮1",C143="幽月轮2",C143="幽月轮3"),AB143=1),DA142+1,DA142))),0)</f>
        <v>0</v>
      </c>
      <c r="DB143" s="115">
        <f t="shared" ca="1" si="79"/>
        <v>0</v>
      </c>
      <c r="DC143" s="115"/>
      <c r="DD143" s="115"/>
      <c r="DE143" s="115"/>
      <c r="DF143" s="115"/>
      <c r="DG143" s="115"/>
      <c r="DH143" s="115"/>
      <c r="DI143" s="115"/>
      <c r="DJ143" s="115"/>
      <c r="DK143" s="115"/>
      <c r="DL143" s="115"/>
      <c r="DM143" s="115"/>
    </row>
    <row r="144" spans="2:117" x14ac:dyDescent="0.2">
      <c r="B144" s="117">
        <f t="shared" si="80"/>
        <v>107.93249999999995</v>
      </c>
      <c r="C144" s="167" t="str">
        <f t="shared" ca="1" si="66"/>
        <v>幽月轮1</v>
      </c>
      <c r="D144" s="115">
        <f ca="1">IF(C144="赤日轮1",1,IF(C144="赤日轮2",2,IF(C144="赤日轮3",3,IF(C144="幽月轮1",4,IF(C144="幽月轮2",5,IF(C144="幽月轮3",6,IF(C144="烈日斩",7,IF(C144="银月斩",8,IF(C144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144="净世破魔击·月",17,IF(C144="驱夜断愁",18,0)))))))))))</f>
        <v>4</v>
      </c>
      <c r="E144" s="115">
        <f ca="1">IF(AND(CU144,OR(C144="幽月轮1",C144="幽月轮2",C144="幽月轮3",C144="银月斩",C144="驱夜断愁",C144="净世破魔击·月")),100,MIN(IF(OR(CN144,BE144),0,IF(OR($C144="赤日轮1",$C144="赤日轮2",$C144="赤日轮3"),E143+20+IF(模拟模式!$I$7="日月凌天",4,0)+IF(CR143,20,0),IF($C144="烈日斩",E143+40,IF($C144="驱夜断愁",IF(模拟模式!$R$7="万念俱寂",E143+20,E143+60),IF($C144="净世破魔击·月",IF(OR(DB143&gt;0,CV143&gt;0),100,IF(模拟模式!$M$7="辉耀红尘",E143+20,E143)),IF($C144="净世破魔击·日",E143-100,E143)))))),100))</f>
        <v>80</v>
      </c>
      <c r="F144" s="115">
        <f ca="1">IF(AND(CU144,OR(C144="赤日轮1",C144="赤日轮2",C144="赤日轮3",C144="烈日斩",C144="净世破魔击·日")),100,MIN(IF(CO144,0,IF(OR($C144="幽月轮1",$C144="幽月轮2",$C144="幽月轮3"),F143+20+IF(模拟模式!$I$7="日月凌天",4,0)+IF(CS143,20,0),IF($C144="银月斩",F143+40+IF(模拟模式!$X$12=1,5,0),IF($C144="驱夜断愁",IF(模拟模式!$R$7="万念俱寂",F143+20,F143+60),IF($C144="净世破魔击·月",IF(模拟模式!$M$7="辉耀红尘",F143-80,F143-100),IF(AND(C144="净世破魔击·日",OR(DB143&gt;0,CV143&gt;0)),100,F143)))))),100))</f>
        <v>100</v>
      </c>
      <c r="G144" s="117">
        <f ca="1">('模拟-全程加成'!$E$3+'模拟-全程加成'!$E$4+'模拟-全程加成'!$E$5+('模拟-全程加成'!$C$6-'模拟-全程加成'!$C$3)*系数!$B$9+BS144*23)*(1+'模拟-全程加成'!$F$4+'模拟-全程加成'!$F$5+BJ144*10%+BM144*20%+BP144*4%+CG144*30%)+$F$7*系数!$B$12</f>
        <v>21493.829400000002</v>
      </c>
      <c r="H144" s="45">
        <f ca="1">'模拟-全程加成'!$H$3+'模拟-全程加成'!$H$4+'模拟-全程加成'!$H$5+('模拟-全程加成'!$G$4+'模拟-全程加成'!$G$5+('模拟-全程加成'!$C$6-'模拟-全程加成'!$C$3)*系数!$B$13)/系数!$B$3+LOOKUP(D144,'模拟-单技能数据'!$A$2:$A$19,'模拟-单技能数据'!$K$2:$K$19)+BG144*10%+IF(BV144&gt;0,378,0)</f>
        <v>0.51185145527300213</v>
      </c>
      <c r="I144" s="45">
        <f ca="1">'模拟-全程加成'!$J$3+'模拟-全程加成'!$J$4+'模拟-全程加成'!$J$5+('模拟-全程加成'!$I$4+'模拟-全程加成'!$I$5)/系数!$B$4+LOOKUP(D144,'模拟-单技能数据'!$A$2:$A$19,'模拟-单技能数据'!$L$2:$L$19)+BG144*10%</f>
        <v>2.162482885499879</v>
      </c>
      <c r="J144" s="45">
        <f ca="1">(('模拟-全程加成'!$K$3+'模拟-全程加成'!$K$4+'模拟-全程加成'!$K$5+('模拟-全程加成'!$C$6-'模拟-全程加成'!$C$3)*系数!$B$10+IF(BV144&gt;0,882,0)+IF(BY144&gt;0,1831,0))*(1+'模拟-全程加成'!$L$4+'模拟-全程加成'!$L$5+CC144*20%))/系数!$B$5</f>
        <v>0.69723220422048726</v>
      </c>
      <c r="K144" s="119">
        <f ca="1">LOOKUP(D144,'模拟-单技能数据'!$A$2:$A$19,'模拟-单技能数据'!$J$2:$J$19)+IF(CM144,60%,0)+IF(DB143-DB144&gt;0,30%,0)+IF(OR(AND(OR(C144="赤日轮1",C144="赤日轮2",C144="赤日轮3"),CR144),AND(OR(C144="幽月轮1",C144="幽月轮2",C144="幽月轮3"),CS144)),35%,0)+CJ144</f>
        <v>0.12000000000000001</v>
      </c>
      <c r="L144" s="119">
        <f ca="1">IF(AND(C144="烈日斩",模拟模式!$X$11=1),10%,0)+IF(AND(C144="驱夜断愁",AB144=1),30%,0)</f>
        <v>0</v>
      </c>
      <c r="M144" s="45">
        <f t="shared" ca="1" si="129"/>
        <v>0.51185145527300213</v>
      </c>
      <c r="N144" s="45">
        <f t="shared" ca="1" si="130"/>
        <v>0.43424854472699792</v>
      </c>
      <c r="O144" s="46">
        <f t="shared" ca="1" si="83"/>
        <v>0.5955536810578631</v>
      </c>
      <c r="P144" s="46" t="str">
        <f t="shared" ca="1" si="84"/>
        <v>命</v>
      </c>
      <c r="Q144" s="45">
        <f t="shared" ca="1" si="85"/>
        <v>1</v>
      </c>
      <c r="R144" s="117">
        <f ca="1">模拟模式!$E$20*(1-IF(模拟模式!$J$19="有",0.15,0))*(1-IF(模拟模式!$K$19="有",0.3,0)-IF(CQ144,0.5,0))</f>
        <v>2950.6049999999996</v>
      </c>
      <c r="S144" s="45">
        <f ca="1">R144/(R144+(185*模拟模式!$E$22-16800)*4.08224)</f>
        <v>0.24272716014590323</v>
      </c>
      <c r="T144" s="45" t="str">
        <f ca="1">LOOKUP(D144,'模拟-单技能数据'!$A$2:$A$19,'模拟-单技能数据'!$H$2:$H$19)</f>
        <v>阴</v>
      </c>
      <c r="U144" s="119">
        <f t="shared" ca="1" si="131"/>
        <v>0.08</v>
      </c>
      <c r="V144" s="47">
        <f ca="1">(1+L144)*(LOOKUP(D144,'模拟-单技能数据'!$A$2:$A$19,'模拟-单技能数据'!$D$2:$D$19)+G144*LOOKUP(D144,'模拟-单技能数据'!$A$2:$A$19,'模拟-单技能数据'!$F$2:$F$19))*(1+J144)*(1+K144)*(1-S144)*(1+U144)*Q144*LOOKUP(D144,'模拟-单技能数据'!$A$2:$A$19,'模拟-单技能数据'!$I$2:$I$20)</f>
        <v>17730.73782895472</v>
      </c>
      <c r="W144" s="47">
        <f ca="1">LOOKUP(D144,'模拟-单技能数据'!$A$2:$A$19,'模拟-单技能数据'!$G$2:$G$19)*$I$10</f>
        <v>361.51064354704795</v>
      </c>
      <c r="X144" s="47">
        <f t="shared" ca="1" si="87"/>
        <v>0</v>
      </c>
      <c r="Y144" s="47">
        <f t="shared" ca="1" si="132"/>
        <v>18092.248472501768</v>
      </c>
      <c r="Z144" s="49">
        <f t="shared" ca="1" si="133"/>
        <v>12254778.007487159</v>
      </c>
      <c r="AA144" s="97">
        <f t="shared" ca="1" si="134"/>
        <v>113541.12994220614</v>
      </c>
      <c r="AB144" s="115">
        <f ca="1">IF(OR(C144="赤日轮1",C144="赤日轮2",C144="赤日轮3"),IF(RAND()&lt;模拟模式!$Y$17,1,0),IF(OR(C144="幽月轮1",C144="幽月轮2",C144="幽月轮3"),IF(RAND()&lt;模拟模式!$Y$18,1,0),IF(C144="烈日斩",IF(RAND()&lt;模拟模式!$Y$19,1,0),IF(C144="银月斩",IF(RAND()&lt;模拟模式!$Y$20,1,0),IF(C144="驱夜断愁",IF(RAND()&lt;模拟模式!$Y$21,1,0),IF(C144="净世破魔击·日",IF(RAND()&lt;模拟模式!$Y$22,1,0),IF(C144="净世破魔击·月",IF(RAND()&lt;模拟模式!$Y$23,1,0),0)))))))</f>
        <v>1</v>
      </c>
      <c r="AC144" s="115" t="b">
        <f t="shared" ca="1" si="122"/>
        <v>0</v>
      </c>
      <c r="AD144" s="115" t="b">
        <f t="shared" ca="1" si="142"/>
        <v>0</v>
      </c>
      <c r="AE144" s="115">
        <f t="shared" ca="1" si="143"/>
        <v>5</v>
      </c>
      <c r="AF144" s="47">
        <f ca="1">IF(AC144,('模拟-单技能数据'!$D$20+G144*'模拟-单技能数据'!$F$20)*(1+J144)*(1+'模拟-单技能数据'!$J$20)*(1+U144),0)</f>
        <v>0</v>
      </c>
      <c r="AG144" s="61">
        <f t="shared" ca="1" si="135"/>
        <v>0.64185145527300214</v>
      </c>
      <c r="AH144" s="61">
        <f t="shared" ca="1" si="136"/>
        <v>2.2624828854998791</v>
      </c>
      <c r="AI144" s="62">
        <f t="shared" ca="1" si="93"/>
        <v>0.92895947421704395</v>
      </c>
      <c r="AJ144" s="47">
        <f ca="1">IF(AD144,IF(AI144&lt;$F$10,0,IF(AI144&lt;$F$10+$F$11,0.25,IF(AI144&lt;$F$10+$F$11+AG144,AH144,1)))*IF(AF144&gt;0,AF144,IF(AF143&gt;0,AF143,IF(AF142&gt;0,AF142,IF(AF141&gt;0,AF141,IF(AF140&gt;0,AF140,IF(AF139&gt;0,AF139,IF(AF138&gt;0,AF138,IF(AF137&gt;0,AF137,IF(AF136&gt;0,AF136,IF(AF134&gt;0,AF134,IF(AF133&gt;0,AF133,IF(AF132&gt;0,AF132,0)))))))))))),0)*(1-$S144)*'模拟-单技能数据'!$I$20</f>
        <v>0</v>
      </c>
      <c r="AK144" s="115" t="b">
        <f t="shared" ca="1" si="123"/>
        <v>0</v>
      </c>
      <c r="AL144" s="115" t="b">
        <f t="shared" ca="1" si="144"/>
        <v>0</v>
      </c>
      <c r="AM144" s="115">
        <f t="shared" ca="1" si="145"/>
        <v>3</v>
      </c>
      <c r="AN144" s="47">
        <f ca="1">IF(AK144,('模拟-单技能数据'!$D$21+G144*'模拟-单技能数据'!$F$21)*(1+J144)*(1+'模拟-单技能数据'!$J$21)*(1+U144),0)</f>
        <v>0</v>
      </c>
      <c r="AO144" s="61">
        <f ca="1">IF(AN144&gt;0,M144-'模拟-单技能数据'!$K$10,AO143)</f>
        <v>0.42185145527300216</v>
      </c>
      <c r="AP144" s="61">
        <f ca="1">IF(AN144&gt;0,I144-'模拟-单技能数据'!$L$10,AP143)</f>
        <v>2.162482885499879</v>
      </c>
      <c r="AQ144" s="63">
        <f t="shared" ca="1" si="94"/>
        <v>0.91839834529333286</v>
      </c>
      <c r="AR144" s="64">
        <f ca="1">IF(AL144,IF(AQ144&lt;$F$10,0,IF(AQ144&lt;$F$10+$F$11,0.25,IF(AQ144&lt;$F$10+$F$11+AO144,AP144,1)))*IF(AN144&gt;0,AN144,IF(AN143&gt;0,AN143,IF(AN142&gt;0,AN142,IF(AN141&gt;0,AN141,IF(AN140&gt;0,AN140,IF(AN139&gt;0,AN139,IF(AN138&gt;0,AN138,IF(AN137&gt;0,AN137,IF(AN136&gt;0,AN136,IF(AN134&gt;0,AN134,IF(AN133&gt;0,AN133,IF(AN132&gt;0,AN132,0)))))))))))),0)*(1-$S144)*'模拟-单技能数据'!$I$21</f>
        <v>0</v>
      </c>
      <c r="AS144" s="61">
        <f ca="1">IF(OR(C144="净世破魔击·日",C144="净世破魔击·月"),M144-'模拟-单技能数据'!$K$10,0)</f>
        <v>0</v>
      </c>
      <c r="AT144" s="61">
        <f ca="1">IF(OR(C144="净世破魔击·日",C144="净世破魔击·月"),I144-'模拟-单技能数据'!$L$10,0)</f>
        <v>0</v>
      </c>
      <c r="AU144" s="62">
        <f t="shared" ca="1" si="95"/>
        <v>0.64138693669056512</v>
      </c>
      <c r="AV144" s="64">
        <f ca="1">IF(AS144&gt;0,('模拟-单技能数据'!$D$22+G144*'模拟-单技能数据'!$F$22)*(1+J144)*(1-S144)*IF(AU144&lt;$F$10,0,IF(AU144&lt;$F$10+$F$11,0.25,IF(AU144&lt;$F$10+$F$11+AS144,AT144,1)))*(1+U144),0)*'模拟-单技能数据'!$I$22</f>
        <v>0</v>
      </c>
      <c r="AW144" s="108">
        <f t="shared" ca="1" si="96"/>
        <v>0</v>
      </c>
      <c r="AX144" s="108" t="b">
        <f ca="1">AND(模拟模式!$P$10="有",AW143=0,RAND()&lt;IF(C144="净世破魔击·月",0.1*8/3,IF(C144="净世破魔击·日",0.1*4/3,0.1*2/3)))</f>
        <v>0</v>
      </c>
      <c r="AY144" s="47">
        <f ca="1">IF(AX144,(18+G144*0.722)*(1+J144)*(1-S144)*(1+$I$4)*IF(P144="会",'模拟-全程加成'!$J$3+'模拟-全程加成'!$J$4+'模拟-全程加成'!$J$5+('模拟-全程加成'!$I$4+'模拟-全程加成'!$I$5)/系数!$B$4+BG144*10%,IF(P144="命",1,IF(P144="识",0.25,0))),0)</f>
        <v>0</v>
      </c>
      <c r="AZ144" s="108">
        <f t="shared" si="97"/>
        <v>13.542500000000004</v>
      </c>
      <c r="BA144" s="108" t="b">
        <f>AND(模拟模式!$Q$10="有",AZ143=0)</f>
        <v>0</v>
      </c>
      <c r="BB144" s="140">
        <f>IF(BA144,(0+G144*0.287)*(1+J144)*(1-S144)*(1+$I$4)*IF(P144="会",'模拟-全程加成'!$J$3+'模拟-全程加成'!$J$4+'模拟-全程加成'!$J$5+('模拟-全程加成'!$I$4+'模拟-全程加成'!$I$5)/系数!$B$4+BG144*10%,IF(P144="命",1,IF(P144="识",0.25,0))),0)</f>
        <v>0</v>
      </c>
      <c r="BC144" s="115" t="b">
        <f ca="1">AND(模拟模式!$R$7="伏明众生",E144=60,F144=20,DA144&lt;5,CZ143&lt;$F$4)</f>
        <v>0</v>
      </c>
      <c r="BD144" s="115">
        <f t="shared" ca="1" si="124"/>
        <v>0</v>
      </c>
      <c r="BE144" s="115" t="b">
        <f t="shared" ca="1" si="125"/>
        <v>0</v>
      </c>
      <c r="BF144" s="47">
        <f ca="1">IF(BC144,4*('模拟-单技能数据'!$D$24+G144*'模拟-单技能数据'!$F$24)*(1+J144)*(1+'模拟-单技能数据'!$J$24)*(1-S144)*(1+$I$3)*(('模拟-全程加成'!$J$3+'模拟-全程加成'!$J$4+'模拟-全程加成'!$J$5+('模拟-全程加成'!$I$4+'模拟-全程加成'!$I$5)/系数!$B$4+BG144*10%)*('模拟-全程加成'!$J$3+'模拟-全程加成'!$J$4+'模拟-全程加成'!$J$5+('模拟-全程加成'!$I$4+'模拟-全程加成'!$I$5)/系数!$B$4+BG144*10%)+(1-('模拟-全程加成'!$J$3+'模拟-全程加成'!$J$4+'模拟-全程加成'!$J$5+('模拟-全程加成'!$I$4+'模拟-全程加成'!$I$5)/系数!$B$4+BG144*10%)-$F$10-$F$11)+F130*0.25),0)*'模拟-单技能数据'!$I$24</f>
        <v>0</v>
      </c>
      <c r="BG144" s="115" t="b">
        <f ca="1">OR(AND(OR(C144="烈日斩",C144="银月斩"),模拟模式!$I$7="净身明礼"),AND(C144="净世破魔击·日",模拟模式!$J$7="洞若观火"),AND(C145="净世破魔击·月",模拟模式!$J$7="洞若观火"),AB144=1)</f>
        <v>1</v>
      </c>
      <c r="BH144" s="115" t="b">
        <f t="shared" ca="1" si="98"/>
        <v>0</v>
      </c>
      <c r="BI144" s="115">
        <f t="shared" ca="1" si="126"/>
        <v>0.46499999999999975</v>
      </c>
      <c r="BJ144" s="115" t="b">
        <f t="shared" ca="1" si="137"/>
        <v>1</v>
      </c>
      <c r="BK144" s="115" t="b">
        <f ca="1">AND(C144="驱夜断愁",模拟模式!$P$7="天地诛戮")</f>
        <v>0</v>
      </c>
      <c r="BL144" s="57">
        <f t="shared" ca="1" si="127"/>
        <v>18.155000000000001</v>
      </c>
      <c r="BM144" s="115" t="b">
        <f t="shared" ca="1" si="138"/>
        <v>1</v>
      </c>
      <c r="BN144" s="115" t="b">
        <f ca="1">AND(OR(C144="赤日轮1",C144="赤日轮2",C144="赤日轮3",C144="幽月轮1",C144="幽月轮2",C144="幽月轮3"),AB144=1,模拟模式!$L$7="明光恒照")</f>
        <v>1</v>
      </c>
      <c r="BO144" s="117">
        <f t="shared" ca="1" si="128"/>
        <v>30</v>
      </c>
      <c r="BP144" s="115">
        <f t="shared" ca="1" si="101"/>
        <v>6</v>
      </c>
      <c r="BQ144" s="115" t="b">
        <f>模拟模式!$K$10="2600·水"</f>
        <v>0</v>
      </c>
      <c r="BR144" s="117">
        <f t="shared" si="102"/>
        <v>0</v>
      </c>
      <c r="BS144" s="115">
        <f t="shared" si="103"/>
        <v>0</v>
      </c>
      <c r="BT144" s="115">
        <f t="shared" ca="1" si="104"/>
        <v>0</v>
      </c>
      <c r="BU144" s="115" t="b">
        <f ca="1">AND(模拟模式!$K$10="2300·雷",BT143=0,RAND()&lt;IF(C144="净世破魔击·月",5*0.05*2/3,IF(C144="净世破魔击·日",3*0.05*2/3,0.05*2*2/3)))</f>
        <v>0</v>
      </c>
      <c r="BV144" s="115">
        <f t="shared" ca="1" si="105"/>
        <v>0</v>
      </c>
      <c r="BW144" s="115">
        <f t="shared" ca="1" si="106"/>
        <v>77.602499999999267</v>
      </c>
      <c r="BX144" s="164" t="b">
        <f t="shared" ca="1" si="107"/>
        <v>0</v>
      </c>
      <c r="BY144" s="115">
        <f t="shared" ca="1" si="108"/>
        <v>0</v>
      </c>
      <c r="BZ144" s="115">
        <f>IF(OR(模拟模式!$P$16="10人团",模拟模式!$P$16="25人团"),IF(B144/30&gt;CA143,1,0),0)</f>
        <v>0</v>
      </c>
      <c r="CA144" s="115">
        <f t="shared" si="74"/>
        <v>0</v>
      </c>
      <c r="CB144" s="115">
        <f ca="1">IF(BZ144=1,IF(模拟模式!$P$16="10人团",15,0)+IF(模拟模式!$P$16="25人团",IF(RAND()&lt;0.6,15,0)),MAX(0,CB143-$F$4))</f>
        <v>0</v>
      </c>
      <c r="CC144" s="115" t="b">
        <f t="shared" ca="1" si="139"/>
        <v>0</v>
      </c>
      <c r="CD144" s="115">
        <f>IF(模拟模式!$Q$16="1个",IF(B144/40&gt;CE143,1,0),0)</f>
        <v>0</v>
      </c>
      <c r="CE144" s="115">
        <f t="shared" si="140"/>
        <v>0</v>
      </c>
      <c r="CF144" s="115">
        <f>IF(OR(CD144=1,模拟模式!$Q$16="2个"),20,MAX(0,CF143-$F$4))</f>
        <v>0</v>
      </c>
      <c r="CG144" s="115" t="b">
        <f t="shared" si="141"/>
        <v>0</v>
      </c>
      <c r="CH144" s="115">
        <f t="shared" ca="1" si="112"/>
        <v>22.620000000000005</v>
      </c>
      <c r="CI144" s="115" t="b">
        <f t="shared" ca="1" si="113"/>
        <v>0</v>
      </c>
      <c r="CJ144" s="119">
        <f t="shared" ca="1" si="114"/>
        <v>0.05</v>
      </c>
      <c r="CK144" s="115">
        <f t="shared" ca="1" si="115"/>
        <v>0.61999999999999911</v>
      </c>
      <c r="CL144" s="115" t="b">
        <f ca="1">AND(模拟模式!$S$7="驱夷逐法",OR(AND(C144="净世破魔击·月",E143&gt;59),AND(C144="净世破魔击·日",F143&gt;59)))</f>
        <v>0</v>
      </c>
      <c r="CM144" s="115" t="b">
        <f ca="1">OR(CL144,AND(C144="净世破魔击·日",CL143,RAND()&lt;模拟模式!$U$23))</f>
        <v>0</v>
      </c>
      <c r="CN144" s="115" t="b">
        <f ca="1">IF(模拟模式!$M$7="辉耀红尘",AND(C144="净世破魔击·月",CL144,CV144=0,E143&lt;80),AND(C144="净世破魔击·月",CL144,E143&lt;100))</f>
        <v>0</v>
      </c>
      <c r="CO144" s="115" t="b">
        <f t="shared" ca="1" si="75"/>
        <v>0</v>
      </c>
      <c r="CP144" s="115" t="b">
        <f ca="1">AND(模拟模式!$O$7="用晦而明",OR(C144="净世破魔击·日",C144="净世破魔击·月",C144="驱夜断愁"),AB144)</f>
        <v>0</v>
      </c>
      <c r="CQ144" s="115" t="b">
        <f ca="1">OR(CP144,AND(CP143,RAND()&lt;模拟模式!$U$23))</f>
        <v>0</v>
      </c>
      <c r="CR144" s="115" t="b">
        <f ca="1">AND(模拟模式!$S$7="日月齐光",OR(C144="幽月轮1",C144="幽月轮2",C144="幽月轮3",CR143),NOT(OR(C144="赤日轮1",C144="赤日轮2",C144="赤日轮3")))</f>
        <v>0</v>
      </c>
      <c r="CS144" s="115" t="b">
        <f ca="1">AND(模拟模式!$S$7="日月齐光",OR(C144="赤日轮1",C144="赤日轮2",C144="赤日轮3",CS143),NOT(OR(C144="幽月轮1",C144="幽月轮2",C144="幽月轮3")))</f>
        <v>0</v>
      </c>
      <c r="CT144" s="115">
        <f t="shared" ca="1" si="116"/>
        <v>20.775000000000006</v>
      </c>
      <c r="CU144" s="115" t="b">
        <f ca="1">AND(模拟模式!$K$10="阴阳往极",CT143=0,RAND()&lt;IF(C144="净世破魔击·月",0.0275*7/3,IF(C144="净世破魔击·日",0.0275*3/3,0.0275*2/3)))</f>
        <v>0</v>
      </c>
      <c r="CV144" s="115">
        <f t="shared" ca="1" si="117"/>
        <v>0</v>
      </c>
      <c r="CW144" s="115">
        <f t="shared" ca="1" si="76"/>
        <v>5.0774999999999997</v>
      </c>
      <c r="CX144" s="115">
        <f t="shared" ca="1" si="77"/>
        <v>3.2324999999999995</v>
      </c>
      <c r="CY144" s="115">
        <f ca="1">MAX(IF($C144="驱夜断愁",IF(模拟模式!$R$7="万念俱寂",6,45),CY143-$F$4),0)</f>
        <v>4.1549999999999994</v>
      </c>
      <c r="CZ144" s="115">
        <f t="shared" ca="1" si="78"/>
        <v>0</v>
      </c>
      <c r="DA144" s="115">
        <f ca="1">IF(模拟模式!$N$7="日月同辉",IF(DB143=2,0,MIN(6,IF(AND(OR(C144="赤日轮1",C144="赤日轮2",C144="赤日轮3",C144="幽月轮1",C144="幽月轮2",C144="幽月轮3"),AB144=1),DA143+1,DA143))),0)</f>
        <v>1</v>
      </c>
      <c r="DB144" s="115">
        <f t="shared" ca="1" si="79"/>
        <v>0</v>
      </c>
      <c r="DC144" s="115"/>
      <c r="DD144" s="115"/>
      <c r="DE144" s="115"/>
      <c r="DF144" s="115"/>
      <c r="DG144" s="115"/>
      <c r="DH144" s="115"/>
      <c r="DI144" s="115"/>
      <c r="DJ144" s="115"/>
      <c r="DK144" s="115"/>
      <c r="DL144" s="115"/>
      <c r="DM144" s="115"/>
    </row>
    <row r="145" spans="2:117" x14ac:dyDescent="0.2">
      <c r="B145" s="117">
        <f t="shared" si="80"/>
        <v>108.85499999999995</v>
      </c>
      <c r="C145" s="167" t="str">
        <f t="shared" ca="1" si="66"/>
        <v>净世破魔击·月</v>
      </c>
      <c r="D145" s="115">
        <f ca="1">IF(C145="赤日轮1",1,IF(C145="赤日轮2",2,IF(C145="赤日轮3",3,IF(C145="幽月轮1",4,IF(C145="幽月轮2",5,IF(C145="幽月轮3",6,IF(C145="烈日斩",7,IF(C145="银月斩",8,IF(C145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145="净世破魔击·月",17,IF(C145="驱夜断愁",18,0)))))))))))</f>
        <v>17</v>
      </c>
      <c r="E145" s="115">
        <f ca="1">IF(AND(CU145,OR(C145="幽月轮1",C145="幽月轮2",C145="幽月轮3",C145="银月斩",C145="驱夜断愁",C145="净世破魔击·月")),100,MIN(IF(OR(CN145,BE145),0,IF(OR($C145="赤日轮1",$C145="赤日轮2",$C145="赤日轮3"),E144+20+IF(模拟模式!$I$7="日月凌天",4,0)+IF(CR144,20,0),IF($C145="烈日斩",E144+40,IF($C145="驱夜断愁",IF(模拟模式!$R$7="万念俱寂",E144+20,E144+60),IF($C145="净世破魔击·月",IF(OR(DB144&gt;0,CV144&gt;0),100,IF(模拟模式!$M$7="辉耀红尘",E144+20,E144)),IF($C145="净世破魔击·日",E144-100,E144)))))),100))</f>
        <v>100</v>
      </c>
      <c r="F145" s="115">
        <f ca="1">IF(AND(CU145,OR(C145="赤日轮1",C145="赤日轮2",C145="赤日轮3",C145="烈日斩",C145="净世破魔击·日")),100,MIN(IF(CO145,0,IF(OR($C145="幽月轮1",$C145="幽月轮2",$C145="幽月轮3"),F144+20+IF(模拟模式!$I$7="日月凌天",4,0)+IF(CS144,20,0),IF($C145="银月斩",F144+40+IF(模拟模式!$X$12=1,5,0),IF($C145="驱夜断愁",IF(模拟模式!$R$7="万念俱寂",F144+20,F144+60),IF($C145="净世破魔击·月",IF(模拟模式!$M$7="辉耀红尘",F144-80,F144-100),IF(AND(C145="净世破魔击·日",OR(DB144&gt;0,CV144&gt;0)),100,F144)))))),100))</f>
        <v>20</v>
      </c>
      <c r="G145" s="117">
        <f ca="1">('模拟-全程加成'!$E$3+'模拟-全程加成'!$E$4+'模拟-全程加成'!$E$5+('模拟-全程加成'!$C$6-'模拟-全程加成'!$C$3)*系数!$B$9+BS145*23)*(1+'模拟-全程加成'!$F$4+'模拟-全程加成'!$F$5+BJ145*10%+BM145*20%+BP145*4%+CG145*30%)+$F$7*系数!$B$12</f>
        <v>20583.127400000001</v>
      </c>
      <c r="H145" s="45">
        <f ca="1">'模拟-全程加成'!$H$3+'模拟-全程加成'!$H$4+'模拟-全程加成'!$H$5+('模拟-全程加成'!$G$4+'模拟-全程加成'!$G$5+('模拟-全程加成'!$C$6-'模拟-全程加成'!$C$3)*系数!$B$13)/系数!$B$3+LOOKUP(D145,'模拟-单技能数据'!$A$2:$A$19,'模拟-单技能数据'!$K$2:$K$19)+BG145*10%+IF(BV145&gt;0,378,0)</f>
        <v>0.54185145527300216</v>
      </c>
      <c r="I145" s="45">
        <f ca="1">'模拟-全程加成'!$J$3+'模拟-全程加成'!$J$4+'模拟-全程加成'!$J$5+('模拟-全程加成'!$I$4+'模拟-全程加成'!$I$5)/系数!$B$4+LOOKUP(D145,'模拟-单技能数据'!$A$2:$A$19,'模拟-单技能数据'!$L$2:$L$19)+BG145*10%</f>
        <v>2.162482885499879</v>
      </c>
      <c r="J145" s="45">
        <f ca="1">(('模拟-全程加成'!$K$3+'模拟-全程加成'!$K$4+'模拟-全程加成'!$K$5+('模拟-全程加成'!$C$6-'模拟-全程加成'!$C$3)*系数!$B$10+IF(BV145&gt;0,882,0)+IF(BY145&gt;0,1831,0))*(1+'模拟-全程加成'!$L$4+'模拟-全程加成'!$L$5+CC145*20%))/系数!$B$5</f>
        <v>0.69723220422048726</v>
      </c>
      <c r="K145" s="119">
        <f ca="1">LOOKUP(D145,'模拟-单技能数据'!$A$2:$A$19,'模拟-单技能数据'!$J$2:$J$19)+IF(CM145,60%,0)+IF(DB144-DB145&gt;0,30%,0)+IF(OR(AND(OR(C145="赤日轮1",C145="赤日轮2",C145="赤日轮3"),CR145),AND(OR(C145="幽月轮1",C145="幽月轮2",C145="幽月轮3"),CS145)),35%,0)+CJ145</f>
        <v>0.8</v>
      </c>
      <c r="L145" s="119">
        <f ca="1">IF(AND(C145="烈日斩",模拟模式!$X$11=1),10%,0)+IF(AND(C145="驱夜断愁",AB145=1),30%,0)</f>
        <v>0</v>
      </c>
      <c r="M145" s="45">
        <f t="shared" ca="1" si="129"/>
        <v>0.54185145527300216</v>
      </c>
      <c r="N145" s="45">
        <f t="shared" ca="1" si="130"/>
        <v>0.40424854472699789</v>
      </c>
      <c r="O145" s="46">
        <f t="shared" ca="1" si="83"/>
        <v>0.95913195459880907</v>
      </c>
      <c r="P145" s="46" t="str">
        <f t="shared" ca="1" si="84"/>
        <v>命</v>
      </c>
      <c r="Q145" s="45">
        <f t="shared" ca="1" si="85"/>
        <v>1</v>
      </c>
      <c r="R145" s="117">
        <f ca="1">模拟模式!$E$20*(1-IF(模拟模式!$J$19="有",0.15,0))*(1-IF(模拟模式!$K$19="有",0.3,0)-IF(CQ145,0.5,0))</f>
        <v>843.02999999999975</v>
      </c>
      <c r="S145" s="45">
        <f ca="1">R145/(R145+(185*模拟模式!$E$22-16800)*4.08224)</f>
        <v>8.389626085980037E-2</v>
      </c>
      <c r="T145" s="45" t="str">
        <f ca="1">LOOKUP(D145,'模拟-单技能数据'!$A$2:$A$19,'模拟-单技能数据'!$H$2:$H$19)</f>
        <v>阴</v>
      </c>
      <c r="U145" s="119">
        <f t="shared" ca="1" si="131"/>
        <v>0.08</v>
      </c>
      <c r="V145" s="47">
        <f ca="1">(1+L145)*(LOOKUP(D145,'模拟-单技能数据'!$A$2:$A$19,'模拟-单技能数据'!$D$2:$D$19)+G145*LOOKUP(D145,'模拟-单技能数据'!$A$2:$A$19,'模拟-单技能数据'!$F$2:$F$19))*(1+J145)*(1+K145)*(1-S145)*(1+U145)*Q145*LOOKUP(D145,'模拟-单技能数据'!$A$2:$A$19,'模拟-单技能数据'!$I$2:$I$20)</f>
        <v>80864.621558254468</v>
      </c>
      <c r="W145" s="47">
        <f ca="1">LOOKUP(D145,'模拟-单技能数据'!$A$2:$A$19,'模拟-单技能数据'!$G$2:$G$19)*$I$10</f>
        <v>361.51064354704795</v>
      </c>
      <c r="X145" s="47">
        <f t="shared" ca="1" si="87"/>
        <v>57363.827911603439</v>
      </c>
      <c r="Y145" s="47">
        <f t="shared" ca="1" si="132"/>
        <v>138589.96011340496</v>
      </c>
      <c r="Z145" s="49">
        <f t="shared" ca="1" si="133"/>
        <v>12393367.967600564</v>
      </c>
      <c r="AA145" s="97">
        <f t="shared" ca="1" si="134"/>
        <v>113852.0781553495</v>
      </c>
      <c r="AB145" s="115">
        <f ca="1">IF(OR(C145="赤日轮1",C145="赤日轮2",C145="赤日轮3"),IF(RAND()&lt;模拟模式!$Y$17,1,0),IF(OR(C145="幽月轮1",C145="幽月轮2",C145="幽月轮3"),IF(RAND()&lt;模拟模式!$Y$18,1,0),IF(C145="烈日斩",IF(RAND()&lt;模拟模式!$Y$19,1,0),IF(C145="银月斩",IF(RAND()&lt;模拟模式!$Y$20,1,0),IF(C145="驱夜断愁",IF(RAND()&lt;模拟模式!$Y$21,1,0),IF(C145="净世破魔击·日",IF(RAND()&lt;模拟模式!$Y$22,1,0),IF(C145="净世破魔击·月",IF(RAND()&lt;模拟模式!$Y$23,1,0),0)))))))</f>
        <v>1</v>
      </c>
      <c r="AC145" s="115" t="b">
        <f t="shared" ca="1" si="122"/>
        <v>0</v>
      </c>
      <c r="AD145" s="115" t="b">
        <f t="shared" ca="1" si="142"/>
        <v>1</v>
      </c>
      <c r="AE145" s="115">
        <f t="shared" ca="1" si="143"/>
        <v>4</v>
      </c>
      <c r="AF145" s="47">
        <f ca="1">IF(AC145,('模拟-单技能数据'!$D$20+G145*'模拟-单技能数据'!$F$20)*(1+J145)*(1+'模拟-单技能数据'!$J$20)*(1+U145),0)</f>
        <v>0</v>
      </c>
      <c r="AG145" s="61">
        <f t="shared" ca="1" si="135"/>
        <v>0.64185145527300214</v>
      </c>
      <c r="AH145" s="61">
        <f t="shared" ca="1" si="136"/>
        <v>2.2624828854998791</v>
      </c>
      <c r="AI145" s="62">
        <f t="shared" ca="1" si="93"/>
        <v>0.85974191709594938</v>
      </c>
      <c r="AJ145" s="47">
        <f ca="1">IF(AD145,IF(AI145&lt;$F$10,0,IF(AI145&lt;$F$10+$F$11,0.25,IF(AI145&lt;$F$10+$F$11+AG145,AH145,1)))*IF(AF145&gt;0,AF145,IF(AF144&gt;0,AF144,IF(AF143&gt;0,AF143,IF(AF142&gt;0,AF142,IF(AF141&gt;0,AF141,IF(AF140&gt;0,AF140,IF(AF139&gt;0,AF139,IF(AF138&gt;0,AF138,IF(AF137&gt;0,AF137,IF(AF135&gt;0,AF135,IF(AF134&gt;0,AF134,IF(AF133&gt;0,AF133,0)))))))))))),0)*(1-$S145)*'模拟-单技能数据'!$I$20</f>
        <v>4250.4883357170938</v>
      </c>
      <c r="AK145" s="115" t="b">
        <f t="shared" ca="1" si="123"/>
        <v>0</v>
      </c>
      <c r="AL145" s="115" t="b">
        <f t="shared" ca="1" si="144"/>
        <v>1</v>
      </c>
      <c r="AM145" s="115">
        <f t="shared" ca="1" si="145"/>
        <v>2</v>
      </c>
      <c r="AN145" s="47">
        <f ca="1">IF(AK145,('模拟-单技能数据'!$D$21+G145*'模拟-单技能数据'!$F$21)*(1+J145)*(1+'模拟-单技能数据'!$J$21)*(1+U145),0)</f>
        <v>0</v>
      </c>
      <c r="AO145" s="61">
        <f ca="1">IF(AN145&gt;0,M145-'模拟-单技能数据'!$K$10,AO144)</f>
        <v>0.42185145527300216</v>
      </c>
      <c r="AP145" s="61">
        <f ca="1">IF(AN145&gt;0,I145-'模拟-单技能数据'!$L$10,AP144)</f>
        <v>2.162482885499879</v>
      </c>
      <c r="AQ145" s="63">
        <f t="shared" ca="1" si="94"/>
        <v>0.83876267959432194</v>
      </c>
      <c r="AR145" s="64">
        <f ca="1">IF(AL145,IF(AQ145&lt;$F$10,0,IF(AQ145&lt;$F$10+$F$11,0.25,IF(AQ145&lt;$F$10+$F$11+AO145,AP145,1)))*IF(AN145&gt;0,AN145,IF(AN144&gt;0,AN144,IF(AN143&gt;0,AN143,IF(AN142&gt;0,AN142,IF(AN141&gt;0,AN141,IF(AN140&gt;0,AN140,IF(AN139&gt;0,AN139,IF(AN138&gt;0,AN138,IF(AN137&gt;0,AN137,IF(AN135&gt;0,AN135,IF(AN134&gt;0,AN134,IF(AN133&gt;0,AN133,0)))))))))))),0)*(1-$S145)*'模拟-单技能数据'!$I$21</f>
        <v>11607.89185245618</v>
      </c>
      <c r="AS145" s="61">
        <f ca="1">IF(OR(C145="净世破魔击·日",C145="净世破魔击·月"),M145-'模拟-单技能数据'!$K$10,0)</f>
        <v>0.42185145527300216</v>
      </c>
      <c r="AT145" s="61">
        <f ca="1">IF(OR(C145="净世破魔击·日",C145="净世破魔击·月"),I145-'模拟-单技能数据'!$L$10,0)</f>
        <v>2.162482885499879</v>
      </c>
      <c r="AU145" s="62">
        <f t="shared" ca="1" si="95"/>
        <v>0.30836487572489069</v>
      </c>
      <c r="AV145" s="64">
        <f ca="1">IF(AS145&gt;0,('模拟-单技能数据'!$D$22+G145*'模拟-单技能数据'!$F$22)*(1+J145)*(1-S145)*IF(AU145&lt;$F$10,0,IF(AU145&lt;$F$10+$F$11,0.25,IF(AU145&lt;$F$10+$F$11+AS145,AT145,1)))*(1+U145),0)*'模拟-单技能数据'!$I$22</f>
        <v>16520.1836685288</v>
      </c>
      <c r="AW145" s="108">
        <f t="shared" ca="1" si="96"/>
        <v>19.077500000000001</v>
      </c>
      <c r="AX145" s="108" t="b">
        <f ca="1">AND(模拟模式!$P$10="有",AW144=0,RAND()&lt;IF(C145="净世破魔击·月",0.1*8/3,IF(C145="净世破魔击·日",0.1*4/3,0.1*2/3)))</f>
        <v>1</v>
      </c>
      <c r="AY145" s="47">
        <f ca="1">IF(AX145,(18+G145*0.722)*(1+J145)*(1-S145)*(1+$I$4)*IF(P145="会",'模拟-全程加成'!$J$3+'模拟-全程加成'!$J$4+'模拟-全程加成'!$J$5+('模拟-全程加成'!$I$4+'模拟-全程加成'!$I$5)/系数!$B$4+BG145*10%,IF(P145="命",1,IF(P145="识",0.25,0))),0)</f>
        <v>24985.264054901363</v>
      </c>
      <c r="AZ145" s="108">
        <f t="shared" si="97"/>
        <v>12.620000000000005</v>
      </c>
      <c r="BA145" s="108" t="b">
        <f>AND(模拟模式!$Q$10="有",AZ144=0)</f>
        <v>0</v>
      </c>
      <c r="BB145" s="140">
        <f>IF(BA145,(0+G145*0.287)*(1+J145)*(1-S145)*(1+$I$4)*IF(P145="会",'模拟-全程加成'!$J$3+'模拟-全程加成'!$J$4+'模拟-全程加成'!$J$5+('模拟-全程加成'!$I$4+'模拟-全程加成'!$I$5)/系数!$B$4+BG145*10%,IF(P145="命",1,IF(P145="识",0.25,0))),0)</f>
        <v>0</v>
      </c>
      <c r="BC145" s="115" t="b">
        <f ca="1">AND(模拟模式!$R$7="伏明众生",E145=60,F145=20,DA145&lt;5,CZ144&lt;$F$4)</f>
        <v>0</v>
      </c>
      <c r="BD145" s="115">
        <f t="shared" ca="1" si="124"/>
        <v>0</v>
      </c>
      <c r="BE145" s="115" t="b">
        <f t="shared" ca="1" si="125"/>
        <v>0</v>
      </c>
      <c r="BF145" s="47">
        <f ca="1">IF(BC145,4*('模拟-单技能数据'!$D$24+G145*'模拟-单技能数据'!$F$24)*(1+J145)*(1+'模拟-单技能数据'!$J$24)*(1-S145)*(1+$I$3)*(('模拟-全程加成'!$J$3+'模拟-全程加成'!$J$4+'模拟-全程加成'!$J$5+('模拟-全程加成'!$I$4+'模拟-全程加成'!$I$5)/系数!$B$4+BG145*10%)*('模拟-全程加成'!$J$3+'模拟-全程加成'!$J$4+'模拟-全程加成'!$J$5+('模拟-全程加成'!$I$4+'模拟-全程加成'!$I$5)/系数!$B$4+BG145*10%)+(1-('模拟-全程加成'!$J$3+'模拟-全程加成'!$J$4+'模拟-全程加成'!$J$5+('模拟-全程加成'!$I$4+'模拟-全程加成'!$I$5)/系数!$B$4+BG145*10%)-$F$10-$F$11)+F131*0.25),0)*'模拟-单技能数据'!$I$24</f>
        <v>0</v>
      </c>
      <c r="BG145" s="115" t="b">
        <f ca="1">OR(AND(OR(C145="烈日斩",C145="银月斩"),模拟模式!$I$7="净身明礼"),AND(C145="净世破魔击·日",模拟模式!$J$7="洞若观火"),AND(C146="净世破魔击·月",模拟模式!$J$7="洞若观火"),AB145=1)</f>
        <v>1</v>
      </c>
      <c r="BH145" s="115" t="b">
        <f t="shared" ca="1" si="98"/>
        <v>0</v>
      </c>
      <c r="BI145" s="115">
        <f t="shared" ca="1" si="126"/>
        <v>0</v>
      </c>
      <c r="BJ145" s="115" t="b">
        <f t="shared" ca="1" si="137"/>
        <v>0</v>
      </c>
      <c r="BK145" s="115" t="b">
        <f ca="1">AND(C145="驱夜断愁",模拟模式!$P$7="天地诛戮")</f>
        <v>0</v>
      </c>
      <c r="BL145" s="57">
        <f t="shared" ca="1" si="127"/>
        <v>17.232500000000002</v>
      </c>
      <c r="BM145" s="115" t="b">
        <f t="shared" ca="1" si="138"/>
        <v>1</v>
      </c>
      <c r="BN145" s="115" t="b">
        <f ca="1">AND(OR(C145="赤日轮1",C145="赤日轮2",C145="赤日轮3",C145="幽月轮1",C145="幽月轮2",C145="幽月轮3"),AB145=1,模拟模式!$L$7="明光恒照")</f>
        <v>0</v>
      </c>
      <c r="BO145" s="117">
        <f t="shared" ca="1" si="128"/>
        <v>29.077500000000001</v>
      </c>
      <c r="BP145" s="115">
        <f t="shared" ca="1" si="101"/>
        <v>6</v>
      </c>
      <c r="BQ145" s="115" t="b">
        <f>模拟模式!$K$10="2600·水"</f>
        <v>0</v>
      </c>
      <c r="BR145" s="117">
        <f t="shared" si="102"/>
        <v>0</v>
      </c>
      <c r="BS145" s="115">
        <f t="shared" si="103"/>
        <v>0</v>
      </c>
      <c r="BT145" s="115">
        <f t="shared" ca="1" si="104"/>
        <v>0</v>
      </c>
      <c r="BU145" s="115" t="b">
        <f ca="1">AND(模拟模式!$K$10="2300·雷",BT144=0,RAND()&lt;IF(C145="净世破魔击·月",5*0.05*2/3,IF(C145="净世破魔击·日",3*0.05*2/3,0.05*2*2/3)))</f>
        <v>0</v>
      </c>
      <c r="BV145" s="115">
        <f t="shared" ca="1" si="105"/>
        <v>0</v>
      </c>
      <c r="BW145" s="115">
        <f t="shared" ca="1" si="106"/>
        <v>76.679999999999268</v>
      </c>
      <c r="BX145" s="164" t="b">
        <f t="shared" ca="1" si="107"/>
        <v>0</v>
      </c>
      <c r="BY145" s="115">
        <f t="shared" ca="1" si="108"/>
        <v>0</v>
      </c>
      <c r="BZ145" s="115">
        <f>IF(OR(模拟模式!$P$16="10人团",模拟模式!$P$16="25人团"),IF(B145/30&gt;CA144,1,0),0)</f>
        <v>0</v>
      </c>
      <c r="CA145" s="115">
        <f t="shared" si="74"/>
        <v>0</v>
      </c>
      <c r="CB145" s="115">
        <f ca="1">IF(BZ145=1,IF(模拟模式!$P$16="10人团",15,0)+IF(模拟模式!$P$16="25人团",IF(RAND()&lt;0.6,15,0)),MAX(0,CB144-$F$4))</f>
        <v>0</v>
      </c>
      <c r="CC145" s="115" t="b">
        <f t="shared" ca="1" si="139"/>
        <v>0</v>
      </c>
      <c r="CD145" s="115">
        <f>IF(模拟模式!$Q$16="1个",IF(B145/40&gt;CE144,1,0),0)</f>
        <v>0</v>
      </c>
      <c r="CE145" s="115">
        <f t="shared" si="140"/>
        <v>0</v>
      </c>
      <c r="CF145" s="115">
        <f>IF(OR(CD145=1,模拟模式!$Q$16="2个"),20,MAX(0,CF144-$F$4))</f>
        <v>0</v>
      </c>
      <c r="CG145" s="115" t="b">
        <f t="shared" si="141"/>
        <v>0</v>
      </c>
      <c r="CH145" s="115">
        <f t="shared" ca="1" si="112"/>
        <v>21.697500000000005</v>
      </c>
      <c r="CI145" s="115" t="b">
        <f t="shared" ca="1" si="113"/>
        <v>0</v>
      </c>
      <c r="CJ145" s="119">
        <f t="shared" ca="1" si="114"/>
        <v>0</v>
      </c>
      <c r="CK145" s="115">
        <f t="shared" ca="1" si="115"/>
        <v>0</v>
      </c>
      <c r="CL145" s="115" t="b">
        <f ca="1">AND(模拟模式!$S$7="驱夷逐法",OR(AND(C145="净世破魔击·月",E144&gt;59),AND(C145="净世破魔击·日",F144&gt;59)))</f>
        <v>1</v>
      </c>
      <c r="CM145" s="115" t="b">
        <f ca="1">OR(CL145,AND(C145="净世破魔击·日",CL144,RAND()&lt;模拟模式!$U$23))</f>
        <v>1</v>
      </c>
      <c r="CN145" s="115" t="b">
        <f ca="1">IF(模拟模式!$M$7="辉耀红尘",AND(C145="净世破魔击·月",CL145,CV145=0,E144&lt;80),AND(C145="净世破魔击·月",CL145,E144&lt;100))</f>
        <v>0</v>
      </c>
      <c r="CO145" s="115" t="b">
        <f t="shared" ca="1" si="75"/>
        <v>0</v>
      </c>
      <c r="CP145" s="115" t="b">
        <f ca="1">AND(模拟模式!$O$7="用晦而明",OR(C145="净世破魔击·日",C145="净世破魔击·月",C145="驱夜断愁"),AB145)</f>
        <v>1</v>
      </c>
      <c r="CQ145" s="115" t="b">
        <f ca="1">OR(CP145,AND(CP144,RAND()&lt;模拟模式!$U$23))</f>
        <v>1</v>
      </c>
      <c r="CR145" s="115" t="b">
        <f ca="1">AND(模拟模式!$S$7="日月齐光",OR(C145="幽月轮1",C145="幽月轮2",C145="幽月轮3",CR144),NOT(OR(C145="赤日轮1",C145="赤日轮2",C145="赤日轮3")))</f>
        <v>0</v>
      </c>
      <c r="CS145" s="115" t="b">
        <f ca="1">AND(模拟模式!$S$7="日月齐光",OR(C145="赤日轮1",C145="赤日轮2",C145="赤日轮3",CS144),NOT(OR(C145="幽月轮1",C145="幽月轮2",C145="幽月轮3")))</f>
        <v>0</v>
      </c>
      <c r="CT145" s="115">
        <f t="shared" ca="1" si="116"/>
        <v>19.852500000000006</v>
      </c>
      <c r="CU145" s="115" t="b">
        <f ca="1">AND(模拟模式!$K$10="阴阳往极",CT144=0,RAND()&lt;IF(C145="净世破魔击·月",0.0275*7/3,IF(C145="净世破魔击·日",0.0275*3/3,0.0275*2/3)))</f>
        <v>0</v>
      </c>
      <c r="CV145" s="115">
        <f t="shared" ca="1" si="117"/>
        <v>0</v>
      </c>
      <c r="CW145" s="115">
        <f t="shared" ca="1" si="76"/>
        <v>4.1549999999999994</v>
      </c>
      <c r="CX145" s="115">
        <f t="shared" ca="1" si="77"/>
        <v>2.3099999999999996</v>
      </c>
      <c r="CY145" s="115">
        <f ca="1">MAX(IF($C145="驱夜断愁",IF(模拟模式!$R$7="万念俱寂",6,45),CY144-$F$4),0)</f>
        <v>3.2324999999999995</v>
      </c>
      <c r="CZ145" s="115">
        <f t="shared" ca="1" si="78"/>
        <v>0</v>
      </c>
      <c r="DA145" s="115">
        <f ca="1">IF(模拟模式!$N$7="日月同辉",IF(DB144=2,0,MIN(6,IF(AND(OR(C145="赤日轮1",C145="赤日轮2",C145="赤日轮3",C145="幽月轮1",C145="幽月轮2",C145="幽月轮3"),AB145=1),DA144+1,DA144))),0)</f>
        <v>1</v>
      </c>
      <c r="DB145" s="115">
        <f t="shared" ca="1" si="79"/>
        <v>0</v>
      </c>
      <c r="DC145" s="115"/>
      <c r="DD145" s="115"/>
      <c r="DE145" s="115"/>
      <c r="DF145" s="115"/>
      <c r="DG145" s="115"/>
      <c r="DH145" s="115"/>
      <c r="DI145" s="115"/>
      <c r="DJ145" s="115"/>
      <c r="DK145" s="115"/>
      <c r="DL145" s="115"/>
      <c r="DM145" s="115"/>
    </row>
    <row r="146" spans="2:117" x14ac:dyDescent="0.2">
      <c r="B146" s="117">
        <f t="shared" si="80"/>
        <v>109.77749999999995</v>
      </c>
      <c r="C146" s="167" t="str">
        <f t="shared" ca="1" si="66"/>
        <v>净世破魔击·日</v>
      </c>
      <c r="D146" s="115">
        <f ca="1">IF(C146="赤日轮1",1,IF(C146="赤日轮2",2,IF(C146="赤日轮3",3,IF(C146="幽月轮1",4,IF(C146="幽月轮2",5,IF(C146="幽月轮3",6,IF(C146="烈日斩",7,IF(C146="银月斩",8,IF(C146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146="净世破魔击·月",17,IF(C146="驱夜断愁",18,0)))))))))))</f>
        <v>9</v>
      </c>
      <c r="E146" s="115">
        <f ca="1">IF(AND(CU146,OR(C146="幽月轮1",C146="幽月轮2",C146="幽月轮3",C146="银月斩",C146="驱夜断愁",C146="净世破魔击·月")),100,MIN(IF(OR(CN146,BE146),0,IF(OR($C146="赤日轮1",$C146="赤日轮2",$C146="赤日轮3"),E145+20+IF(模拟模式!$I$7="日月凌天",4,0)+IF(CR145,20,0),IF($C146="烈日斩",E145+40,IF($C146="驱夜断愁",IF(模拟模式!$R$7="万念俱寂",E145+20,E145+60),IF($C146="净世破魔击·月",IF(OR(DB145&gt;0,CV145&gt;0),100,IF(模拟模式!$M$7="辉耀红尘",E145+20,E145)),IF($C146="净世破魔击·日",E145-100,E145)))))),100))</f>
        <v>0</v>
      </c>
      <c r="F146" s="115">
        <f ca="1">IF(AND(CU146,OR(C146="赤日轮1",C146="赤日轮2",C146="赤日轮3",C146="烈日斩",C146="净世破魔击·日")),100,MIN(IF(CO146,0,IF(OR($C146="幽月轮1",$C146="幽月轮2",$C146="幽月轮3"),F145+20+IF(模拟模式!$I$7="日月凌天",4,0)+IF(CS145,20,0),IF($C146="银月斩",F145+40+IF(模拟模式!$X$12=1,5,0),IF($C146="驱夜断愁",IF(模拟模式!$R$7="万念俱寂",F145+20,F145+60),IF($C146="净世破魔击·月",IF(模拟模式!$M$7="辉耀红尘",F145-80,F145-100),IF(AND(C146="净世破魔击·日",OR(DB145&gt;0,CV145&gt;0)),100,F145)))))),100))</f>
        <v>20</v>
      </c>
      <c r="G146" s="117">
        <f ca="1">('模拟-全程加成'!$E$3+'模拟-全程加成'!$E$4+'模拟-全程加成'!$E$5+('模拟-全程加成'!$C$6-'模拟-全程加成'!$C$3)*系数!$B$9+BS146*23)*(1+'模拟-全程加成'!$F$4+'模拟-全程加成'!$F$5+BJ146*10%+BM146*20%+BP146*4%+CG146*30%)+$F$7*系数!$B$12</f>
        <v>20583.127400000001</v>
      </c>
      <c r="H146" s="45">
        <f ca="1">'模拟-全程加成'!$H$3+'模拟-全程加成'!$H$4+'模拟-全程加成'!$H$5+('模拟-全程加成'!$G$4+'模拟-全程加成'!$G$5+('模拟-全程加成'!$C$6-'模拟-全程加成'!$C$3)*系数!$B$13)/系数!$B$3+LOOKUP(D146,'模拟-单技能数据'!$A$2:$A$19,'模拟-单技能数据'!$K$2:$K$19)+BG146*10%+IF(BV146&gt;0,378,0)</f>
        <v>0.54185145527300216</v>
      </c>
      <c r="I146" s="45">
        <f ca="1">'模拟-全程加成'!$J$3+'模拟-全程加成'!$J$4+'模拟-全程加成'!$J$5+('模拟-全程加成'!$I$4+'模拟-全程加成'!$I$5)/系数!$B$4+LOOKUP(D146,'模拟-单技能数据'!$A$2:$A$19,'模拟-单技能数据'!$L$2:$L$19)+BG146*10%</f>
        <v>2.162482885499879</v>
      </c>
      <c r="J146" s="45">
        <f ca="1">(('模拟-全程加成'!$K$3+'模拟-全程加成'!$K$4+'模拟-全程加成'!$K$5+('模拟-全程加成'!$C$6-'模拟-全程加成'!$C$3)*系数!$B$10+IF(BV146&gt;0,882,0)+IF(BY146&gt;0,1831,0))*(1+'模拟-全程加成'!$L$4+'模拟-全程加成'!$L$5+CC146*20%))/系数!$B$5</f>
        <v>0.69723220422048726</v>
      </c>
      <c r="K146" s="119">
        <f ca="1">LOOKUP(D146,'模拟-单技能数据'!$A$2:$A$19,'模拟-单技能数据'!$J$2:$J$19)+IF(CM146,60%,0)+IF(DB145-DB146&gt;0,30%,0)+IF(OR(AND(OR(C146="赤日轮1",C146="赤日轮2",C146="赤日轮3"),CR146),AND(OR(C146="幽月轮1",C146="幽月轮2",C146="幽月轮3"),CS146)),35%,0)+CJ146</f>
        <v>0.8</v>
      </c>
      <c r="L146" s="119">
        <f ca="1">IF(AND(C146="烈日斩",模拟模式!$X$11=1),10%,0)+IF(AND(C146="驱夜断愁",AB146=1),30%,0)</f>
        <v>0</v>
      </c>
      <c r="M146" s="45">
        <f t="shared" ca="1" si="129"/>
        <v>0.54185145527300216</v>
      </c>
      <c r="N146" s="45">
        <f t="shared" ca="1" si="130"/>
        <v>0.40424854472699789</v>
      </c>
      <c r="O146" s="46">
        <f t="shared" ca="1" si="83"/>
        <v>0.54283282435151536</v>
      </c>
      <c r="P146" s="46" t="str">
        <f t="shared" ca="1" si="84"/>
        <v>会</v>
      </c>
      <c r="Q146" s="45">
        <f t="shared" ca="1" si="85"/>
        <v>2.162482885499879</v>
      </c>
      <c r="R146" s="117">
        <f ca="1">模拟模式!$E$20*(1-IF(模拟模式!$J$19="有",0.15,0))*(1-IF(模拟模式!$K$19="有",0.3,0)-IF(CQ146,0.5,0))</f>
        <v>843.02999999999975</v>
      </c>
      <c r="S146" s="45">
        <f ca="1">R146/(R146+(185*模拟模式!$E$22-16800)*4.08224)</f>
        <v>8.389626085980037E-2</v>
      </c>
      <c r="T146" s="45" t="str">
        <f ca="1">LOOKUP(D146,'模拟-单技能数据'!$A$2:$A$19,'模拟-单技能数据'!$H$2:$H$19)</f>
        <v>阳</v>
      </c>
      <c r="U146" s="119">
        <f t="shared" ca="1" si="131"/>
        <v>0.2</v>
      </c>
      <c r="V146" s="47">
        <f ca="1">(1+L146)*(LOOKUP(D146,'模拟-单技能数据'!$A$2:$A$19,'模拟-单技能数据'!$D$2:$D$19)+G146*LOOKUP(D146,'模拟-单技能数据'!$A$2:$A$19,'模拟-单技能数据'!$F$2:$F$19))*(1+J146)*(1+K146)*(1-S146)*(1+U146)*Q146*LOOKUP(D146,'模拟-单技能数据'!$A$2:$A$19,'模拟-单技能数据'!$I$2:$I$20)</f>
        <v>195915.814886668</v>
      </c>
      <c r="W146" s="47">
        <f ca="1">LOOKUP(D146,'模拟-单技能数据'!$A$2:$A$19,'模拟-单技能数据'!$G$2:$G$19)*$I$10</f>
        <v>723.0212870940959</v>
      </c>
      <c r="X146" s="47">
        <f t="shared" ca="1" si="87"/>
        <v>8488.2797245609418</v>
      </c>
      <c r="Y146" s="47">
        <f t="shared" ca="1" si="132"/>
        <v>205127.11589832304</v>
      </c>
      <c r="Z146" s="49">
        <f t="shared" ca="1" si="133"/>
        <v>12598495.083498886</v>
      </c>
      <c r="AA146" s="97">
        <f t="shared" ca="1" si="134"/>
        <v>114763.90957617811</v>
      </c>
      <c r="AB146" s="115">
        <f ca="1">IF(OR(C146="赤日轮1",C146="赤日轮2",C146="赤日轮3"),IF(RAND()&lt;模拟模式!$Y$17,1,0),IF(OR(C146="幽月轮1",C146="幽月轮2",C146="幽月轮3"),IF(RAND()&lt;模拟模式!$Y$18,1,0),IF(C146="烈日斩",IF(RAND()&lt;模拟模式!$Y$19,1,0),IF(C146="银月斩",IF(RAND()&lt;模拟模式!$Y$20,1,0),IF(C146="驱夜断愁",IF(RAND()&lt;模拟模式!$Y$21,1,0),IF(C146="净世破魔击·日",IF(RAND()&lt;模拟模式!$Y$22,1,0),IF(C146="净世破魔击·月",IF(RAND()&lt;模拟模式!$Y$23,1,0),0)))))))</f>
        <v>1</v>
      </c>
      <c r="AC146" s="115" t="b">
        <f t="shared" ca="1" si="122"/>
        <v>0</v>
      </c>
      <c r="AD146" s="115" t="b">
        <f t="shared" ca="1" si="142"/>
        <v>0</v>
      </c>
      <c r="AE146" s="115">
        <f t="shared" ca="1" si="143"/>
        <v>4</v>
      </c>
      <c r="AF146" s="47">
        <f ca="1">IF(AC146,('模拟-单技能数据'!$D$20+G146*'模拟-单技能数据'!$F$20)*(1+J146)*(1+'模拟-单技能数据'!$J$20)*(1+U146),0)</f>
        <v>0</v>
      </c>
      <c r="AG146" s="61">
        <f t="shared" ca="1" si="135"/>
        <v>0.64185145527300214</v>
      </c>
      <c r="AH146" s="61">
        <f t="shared" ca="1" si="136"/>
        <v>2.2624828854998791</v>
      </c>
      <c r="AI146" s="62">
        <f t="shared" ca="1" si="93"/>
        <v>0.50914922815629093</v>
      </c>
      <c r="AJ146" s="47">
        <f ca="1">IF(AD146,IF(AI146&lt;$F$10,0,IF(AI146&lt;$F$10+$F$11,0.25,IF(AI146&lt;$F$10+$F$11+AG146,AH146,1)))*IF(AF146&gt;0,AF146,IF(AF145&gt;0,AF145,IF(AF144&gt;0,AF144,IF(AF143&gt;0,AF143,IF(AF142&gt;0,AF142,IF(AF141&gt;0,AF141,IF(AF140&gt;0,AF140,IF(AF139&gt;0,AF139,IF(AF138&gt;0,AF138,IF(AF136&gt;0,AF136,IF(AF135&gt;0,AF135,IF(AF134&gt;0,AF134,0)))))))))))),0)*(1-$S146)*'模拟-单技能数据'!$I$20</f>
        <v>0</v>
      </c>
      <c r="AK146" s="115" t="b">
        <f t="shared" ca="1" si="123"/>
        <v>1</v>
      </c>
      <c r="AL146" s="115" t="b">
        <f t="shared" ca="1" si="144"/>
        <v>0</v>
      </c>
      <c r="AM146" s="115">
        <f t="shared" ca="1" si="145"/>
        <v>6</v>
      </c>
      <c r="AN146" s="47">
        <f ca="1">IF(AK146,('模拟-单技能数据'!$D$21+G146*'模拟-单技能数据'!$F$21)*(1+J146)*(1+'模拟-单技能数据'!$J$21)*(1+U146),0)</f>
        <v>12136.56601728573</v>
      </c>
      <c r="AO146" s="61">
        <f ca="1">IF(AN146&gt;0,M146-'模拟-单技能数据'!$K$10,AO145)</f>
        <v>0.42185145527300216</v>
      </c>
      <c r="AP146" s="61">
        <f ca="1">IF(AN146&gt;0,I146-'模拟-单技能数据'!$L$10,AP145)</f>
        <v>2.162482885499879</v>
      </c>
      <c r="AQ146" s="63">
        <f t="shared" ca="1" si="94"/>
        <v>6.4012499786524235E-2</v>
      </c>
      <c r="AR146" s="64">
        <f ca="1">IF(AL146,IF(AQ146&lt;$F$10,0,IF(AQ146&lt;$F$10+$F$11,0.25,IF(AQ146&lt;$F$10+$F$11+AO146,AP146,1)))*IF(AN146&gt;0,AN146,IF(AN145&gt;0,AN145,IF(AN144&gt;0,AN144,IF(AN143&gt;0,AN143,IF(AN142&gt;0,AN142,IF(AN141&gt;0,AN141,IF(AN140&gt;0,AN140,IF(AN139&gt;0,AN139,IF(AN138&gt;0,AN138,IF(AN136&gt;0,AN136,IF(AN135&gt;0,AN135,IF(AN134&gt;0,AN134,0)))))))))))),0)*(1-$S146)*'模拟-单技能数据'!$I$21</f>
        <v>0</v>
      </c>
      <c r="AS146" s="61">
        <f ca="1">IF(OR(C146="净世破魔击·日",C146="净世破魔击·月"),M146-'模拟-单技能数据'!$K$10,0)</f>
        <v>0.42185145527300216</v>
      </c>
      <c r="AT146" s="61">
        <f ca="1">IF(OR(C146="净世破魔击·日",C146="净世破魔击·月"),I146-'模拟-单技能数据'!$L$10,0)</f>
        <v>2.162482885499879</v>
      </c>
      <c r="AU146" s="62">
        <f t="shared" ca="1" si="95"/>
        <v>0.90815355547656063</v>
      </c>
      <c r="AV146" s="64">
        <f ca="1">IF(AS146&gt;0,('模拟-单技能数据'!$D$22+G146*'模拟-单技能数据'!$F$22)*(1+J146)*(1-S146)*IF(AU146&lt;$F$10,0,IF(AU146&lt;$F$10+$F$11,0.25,IF(AU146&lt;$F$10+$F$11+AS146,AT146,1)))*(1+U146),0)*'模拟-单技能数据'!$I$22</f>
        <v>8488.2797245609418</v>
      </c>
      <c r="AW146" s="108">
        <f t="shared" ca="1" si="96"/>
        <v>18.155000000000001</v>
      </c>
      <c r="AX146" s="108" t="b">
        <f ca="1">AND(模拟模式!$P$10="有",AW145=0,RAND()&lt;IF(C146="净世破魔击·月",0.1*8/3,IF(C146="净世破魔击·日",0.1*4/3,0.1*2/3)))</f>
        <v>0</v>
      </c>
      <c r="AY146" s="47">
        <f ca="1">IF(AX146,(18+G146*0.722)*(1+J146)*(1-S146)*(1+$I$4)*IF(P146="会",'模拟-全程加成'!$J$3+'模拟-全程加成'!$J$4+'模拟-全程加成'!$J$5+('模拟-全程加成'!$I$4+'模拟-全程加成'!$I$5)/系数!$B$4+BG146*10%,IF(P146="命",1,IF(P146="识",0.25,0))),0)</f>
        <v>0</v>
      </c>
      <c r="AZ146" s="108">
        <f t="shared" si="97"/>
        <v>11.697500000000005</v>
      </c>
      <c r="BA146" s="108" t="b">
        <f>AND(模拟模式!$Q$10="有",AZ145=0)</f>
        <v>0</v>
      </c>
      <c r="BB146" s="140">
        <f>IF(BA146,(0+G146*0.287)*(1+J146)*(1-S146)*(1+$I$4)*IF(P146="会",'模拟-全程加成'!$J$3+'模拟-全程加成'!$J$4+'模拟-全程加成'!$J$5+('模拟-全程加成'!$I$4+'模拟-全程加成'!$I$5)/系数!$B$4+BG146*10%,IF(P146="命",1,IF(P146="识",0.25,0))),0)</f>
        <v>0</v>
      </c>
      <c r="BC146" s="115" t="b">
        <f ca="1">AND(模拟模式!$R$7="伏明众生",E146=60,F146=20,DA146&lt;5,CZ145&lt;$F$4)</f>
        <v>0</v>
      </c>
      <c r="BD146" s="115">
        <f t="shared" ca="1" si="124"/>
        <v>0</v>
      </c>
      <c r="BE146" s="115" t="b">
        <f t="shared" ca="1" si="125"/>
        <v>0</v>
      </c>
      <c r="BF146" s="47">
        <f ca="1">IF(BC146,4*('模拟-单技能数据'!$D$24+G146*'模拟-单技能数据'!$F$24)*(1+J146)*(1+'模拟-单技能数据'!$J$24)*(1-S146)*(1+$I$3)*(('模拟-全程加成'!$J$3+'模拟-全程加成'!$J$4+'模拟-全程加成'!$J$5+('模拟-全程加成'!$I$4+'模拟-全程加成'!$I$5)/系数!$B$4+BG146*10%)*('模拟-全程加成'!$J$3+'模拟-全程加成'!$J$4+'模拟-全程加成'!$J$5+('模拟-全程加成'!$I$4+'模拟-全程加成'!$I$5)/系数!$B$4+BG146*10%)+(1-('模拟-全程加成'!$J$3+'模拟-全程加成'!$J$4+'模拟-全程加成'!$J$5+('模拟-全程加成'!$I$4+'模拟-全程加成'!$I$5)/系数!$B$4+BG146*10%)-$F$10-$F$11)+F132*0.25),0)*'模拟-单技能数据'!$I$24</f>
        <v>0</v>
      </c>
      <c r="BG146" s="115" t="b">
        <f ca="1">OR(AND(OR(C146="烈日斩",C146="银月斩"),模拟模式!$I$7="净身明礼"),AND(C146="净世破魔击·日",模拟模式!$J$7="洞若观火"),AND(C147="净世破魔击·月",模拟模式!$J$7="洞若观火"),AB146=1)</f>
        <v>1</v>
      </c>
      <c r="BH146" s="115" t="b">
        <f t="shared" ca="1" si="98"/>
        <v>0</v>
      </c>
      <c r="BI146" s="115">
        <f t="shared" ca="1" si="126"/>
        <v>0</v>
      </c>
      <c r="BJ146" s="115" t="b">
        <f t="shared" ca="1" si="137"/>
        <v>0</v>
      </c>
      <c r="BK146" s="115" t="b">
        <f ca="1">AND(C146="驱夜断愁",模拟模式!$P$7="天地诛戮")</f>
        <v>0</v>
      </c>
      <c r="BL146" s="57">
        <f t="shared" ca="1" si="127"/>
        <v>16.310000000000002</v>
      </c>
      <c r="BM146" s="115" t="b">
        <f t="shared" ca="1" si="138"/>
        <v>1</v>
      </c>
      <c r="BN146" s="115" t="b">
        <f ca="1">AND(OR(C146="赤日轮1",C146="赤日轮2",C146="赤日轮3",C146="幽月轮1",C146="幽月轮2",C146="幽月轮3"),AB146=1,模拟模式!$L$7="明光恒照")</f>
        <v>0</v>
      </c>
      <c r="BO146" s="117">
        <f t="shared" ca="1" si="128"/>
        <v>28.155000000000001</v>
      </c>
      <c r="BP146" s="115">
        <f t="shared" ca="1" si="101"/>
        <v>6</v>
      </c>
      <c r="BQ146" s="115" t="b">
        <f>模拟模式!$K$10="2600·水"</f>
        <v>0</v>
      </c>
      <c r="BR146" s="117">
        <f t="shared" si="102"/>
        <v>0</v>
      </c>
      <c r="BS146" s="115">
        <f t="shared" si="103"/>
        <v>0</v>
      </c>
      <c r="BT146" s="115">
        <f t="shared" ca="1" si="104"/>
        <v>0</v>
      </c>
      <c r="BU146" s="115" t="b">
        <f ca="1">AND(模拟模式!$K$10="2300·雷",BT145=0,RAND()&lt;IF(C146="净世破魔击·月",5*0.05*2/3,IF(C146="净世破魔击·日",3*0.05*2/3,0.05*2*2/3)))</f>
        <v>0</v>
      </c>
      <c r="BV146" s="115">
        <f t="shared" ca="1" si="105"/>
        <v>0</v>
      </c>
      <c r="BW146" s="115">
        <f t="shared" ca="1" si="106"/>
        <v>75.757499999999268</v>
      </c>
      <c r="BX146" s="164" t="b">
        <f t="shared" ca="1" si="107"/>
        <v>0</v>
      </c>
      <c r="BY146" s="115">
        <f t="shared" ca="1" si="108"/>
        <v>0</v>
      </c>
      <c r="BZ146" s="115">
        <f>IF(OR(模拟模式!$P$16="10人团",模拟模式!$P$16="25人团"),IF(B146/30&gt;CA145,1,0),0)</f>
        <v>0</v>
      </c>
      <c r="CA146" s="115">
        <f t="shared" si="74"/>
        <v>0</v>
      </c>
      <c r="CB146" s="115">
        <f ca="1">IF(BZ146=1,IF(模拟模式!$P$16="10人团",15,0)+IF(模拟模式!$P$16="25人团",IF(RAND()&lt;0.6,15,0)),MAX(0,CB145-$F$4))</f>
        <v>0</v>
      </c>
      <c r="CC146" s="115" t="b">
        <f t="shared" ca="1" si="139"/>
        <v>0</v>
      </c>
      <c r="CD146" s="115">
        <f>IF(模拟模式!$Q$16="1个",IF(B146/40&gt;CE145,1,0),0)</f>
        <v>0</v>
      </c>
      <c r="CE146" s="115">
        <f t="shared" si="140"/>
        <v>0</v>
      </c>
      <c r="CF146" s="115">
        <f>IF(OR(CD146=1,模拟模式!$Q$16="2个"),20,MAX(0,CF145-$F$4))</f>
        <v>0</v>
      </c>
      <c r="CG146" s="115" t="b">
        <f t="shared" si="141"/>
        <v>0</v>
      </c>
      <c r="CH146" s="115">
        <f t="shared" ca="1" si="112"/>
        <v>20.775000000000006</v>
      </c>
      <c r="CI146" s="115" t="b">
        <f t="shared" ca="1" si="113"/>
        <v>0</v>
      </c>
      <c r="CJ146" s="119">
        <f t="shared" ca="1" si="114"/>
        <v>0</v>
      </c>
      <c r="CK146" s="115">
        <f t="shared" ca="1" si="115"/>
        <v>0</v>
      </c>
      <c r="CL146" s="115" t="b">
        <f ca="1">AND(模拟模式!$S$7="驱夷逐法",OR(AND(C146="净世破魔击·月",E145&gt;59),AND(C146="净世破魔击·日",F145&gt;59)))</f>
        <v>0</v>
      </c>
      <c r="CM146" s="115" t="b">
        <f ca="1">OR(CL146,AND(C146="净世破魔击·日",CL145,RAND()&lt;模拟模式!$U$23))</f>
        <v>1</v>
      </c>
      <c r="CN146" s="115" t="b">
        <f ca="1">IF(模拟模式!$M$7="辉耀红尘",AND(C146="净世破魔击·月",CL146,CV146=0,E145&lt;80),AND(C146="净世破魔击·月",CL146,E145&lt;100))</f>
        <v>0</v>
      </c>
      <c r="CO146" s="115" t="b">
        <f t="shared" ca="1" si="75"/>
        <v>0</v>
      </c>
      <c r="CP146" s="115" t="b">
        <f ca="1">AND(模拟模式!$O$7="用晦而明",OR(C146="净世破魔击·日",C146="净世破魔击·月",C146="驱夜断愁"),AB146)</f>
        <v>1</v>
      </c>
      <c r="CQ146" s="115" t="b">
        <f ca="1">OR(CP146,AND(CP145,RAND()&lt;模拟模式!$U$23))</f>
        <v>1</v>
      </c>
      <c r="CR146" s="115" t="b">
        <f ca="1">AND(模拟模式!$S$7="日月齐光",OR(C146="幽月轮1",C146="幽月轮2",C146="幽月轮3",CR145),NOT(OR(C146="赤日轮1",C146="赤日轮2",C146="赤日轮3")))</f>
        <v>0</v>
      </c>
      <c r="CS146" s="115" t="b">
        <f ca="1">AND(模拟模式!$S$7="日月齐光",OR(C146="赤日轮1",C146="赤日轮2",C146="赤日轮3",CS145),NOT(OR(C146="幽月轮1",C146="幽月轮2",C146="幽月轮3")))</f>
        <v>0</v>
      </c>
      <c r="CT146" s="115">
        <f t="shared" ca="1" si="116"/>
        <v>18.930000000000007</v>
      </c>
      <c r="CU146" s="115" t="b">
        <f ca="1">AND(模拟模式!$K$10="阴阳往极",CT145=0,RAND()&lt;IF(C146="净世破魔击·月",0.0275*7/3,IF(C146="净世破魔击·日",0.0275*3/3,0.0275*2/3)))</f>
        <v>0</v>
      </c>
      <c r="CV146" s="115">
        <f t="shared" ca="1" si="117"/>
        <v>0</v>
      </c>
      <c r="CW146" s="115">
        <f t="shared" ca="1" si="76"/>
        <v>3.2324999999999995</v>
      </c>
      <c r="CX146" s="115">
        <f t="shared" ca="1" si="77"/>
        <v>1.3874999999999997</v>
      </c>
      <c r="CY146" s="115">
        <f ca="1">MAX(IF($C146="驱夜断愁",IF(模拟模式!$R$7="万念俱寂",6,45),CY145-$F$4),0)</f>
        <v>2.3099999999999996</v>
      </c>
      <c r="CZ146" s="115">
        <f t="shared" ca="1" si="78"/>
        <v>0</v>
      </c>
      <c r="DA146" s="115">
        <f ca="1">IF(模拟模式!$N$7="日月同辉",IF(DB145=2,0,MIN(6,IF(AND(OR(C146="赤日轮1",C146="赤日轮2",C146="赤日轮3",C146="幽月轮1",C146="幽月轮2",C146="幽月轮3"),AB146=1),DA145+1,DA145))),0)</f>
        <v>1</v>
      </c>
      <c r="DB146" s="115">
        <f t="shared" ca="1" si="79"/>
        <v>0</v>
      </c>
      <c r="DC146" s="115"/>
      <c r="DD146" s="115"/>
      <c r="DE146" s="115"/>
      <c r="DF146" s="115"/>
      <c r="DG146" s="115"/>
      <c r="DH146" s="115"/>
      <c r="DI146" s="115"/>
      <c r="DJ146" s="115"/>
      <c r="DK146" s="115"/>
      <c r="DL146" s="115"/>
      <c r="DM146" s="115"/>
    </row>
    <row r="147" spans="2:117" x14ac:dyDescent="0.2">
      <c r="B147" s="117">
        <f t="shared" si="80"/>
        <v>110.69999999999995</v>
      </c>
      <c r="C147" s="167" t="str">
        <f t="shared" ca="1" si="66"/>
        <v>赤日轮1</v>
      </c>
      <c r="D147" s="115">
        <f ca="1">IF(C147="赤日轮1",1,IF(C147="赤日轮2",2,IF(C147="赤日轮3",3,IF(C147="幽月轮1",4,IF(C147="幽月轮2",5,IF(C147="幽月轮3",6,IF(C147="烈日斩",7,IF(C147="银月斩",8,IF(C147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147="净世破魔击·月",17,IF(C147="驱夜断愁",18,0)))))))))))</f>
        <v>1</v>
      </c>
      <c r="E147" s="115">
        <f ca="1">IF(AND(CU147,OR(C147="幽月轮1",C147="幽月轮2",C147="幽月轮3",C147="银月斩",C147="驱夜断愁",C147="净世破魔击·月")),100,MIN(IF(OR(CN147,BE147),0,IF(OR($C147="赤日轮1",$C147="赤日轮2",$C147="赤日轮3"),E146+20+IF(模拟模式!$I$7="日月凌天",4,0)+IF(CR146,20,0),IF($C147="烈日斩",E146+40,IF($C147="驱夜断愁",IF(模拟模式!$R$7="万念俱寂",E146+20,E146+60),IF($C147="净世破魔击·月",IF(OR(DB146&gt;0,CV146&gt;0),100,IF(模拟模式!$M$7="辉耀红尘",E146+20,E146)),IF($C147="净世破魔击·日",E146-100,E146)))))),100))</f>
        <v>20</v>
      </c>
      <c r="F147" s="115">
        <f ca="1">IF(AND(CU147,OR(C147="赤日轮1",C147="赤日轮2",C147="赤日轮3",C147="烈日斩",C147="净世破魔击·日")),100,MIN(IF(CO147,0,IF(OR($C147="幽月轮1",$C147="幽月轮2",$C147="幽月轮3"),F146+20+IF(模拟模式!$I$7="日月凌天",4,0)+IF(CS146,20,0),IF($C147="银月斩",F146+40+IF(模拟模式!$X$12=1,5,0),IF($C147="驱夜断愁",IF(模拟模式!$R$7="万念俱寂",F146+20,F146+60),IF($C147="净世破魔击·月",IF(模拟模式!$M$7="辉耀红尘",F146-80,F146-100),IF(AND(C147="净世破魔击·日",OR(DB146&gt;0,CV146&gt;0)),100,F146)))))),100))</f>
        <v>20</v>
      </c>
      <c r="G147" s="117">
        <f ca="1">('模拟-全程加成'!$E$3+'模拟-全程加成'!$E$4+'模拟-全程加成'!$E$5+('模拟-全程加成'!$C$6-'模拟-全程加成'!$C$3)*系数!$B$9+BS147*23)*(1+'模拟-全程加成'!$F$4+'模拟-全程加成'!$F$5+BJ147*10%+BM147*20%+BP147*4%+CG147*30%)+$F$7*系数!$B$12</f>
        <v>20583.127400000001</v>
      </c>
      <c r="H147" s="45">
        <f ca="1">'模拟-全程加成'!$H$3+'模拟-全程加成'!$H$4+'模拟-全程加成'!$H$5+('模拟-全程加成'!$G$4+'模拟-全程加成'!$G$5+('模拟-全程加成'!$C$6-'模拟-全程加成'!$C$3)*系数!$B$13)/系数!$B$3+LOOKUP(D147,'模拟-单技能数据'!$A$2:$A$19,'模拟-单技能数据'!$K$2:$K$19)+BG147*10%+IF(BV147&gt;0,378,0)</f>
        <v>0.4618514552730022</v>
      </c>
      <c r="I147" s="45">
        <f ca="1">'模拟-全程加成'!$J$3+'模拟-全程加成'!$J$4+'模拟-全程加成'!$J$5+('模拟-全程加成'!$I$4+'模拟-全程加成'!$I$5)/系数!$B$4+LOOKUP(D147,'模拟-单技能数据'!$A$2:$A$19,'模拟-单技能数据'!$L$2:$L$19)+BG147*10%</f>
        <v>2.162482885499879</v>
      </c>
      <c r="J147" s="45">
        <f ca="1">(('模拟-全程加成'!$K$3+'模拟-全程加成'!$K$4+'模拟-全程加成'!$K$5+('模拟-全程加成'!$C$6-'模拟-全程加成'!$C$3)*系数!$B$10+IF(BV147&gt;0,882,0)+IF(BY147&gt;0,1831,0))*(1+'模拟-全程加成'!$L$4+'模拟-全程加成'!$L$5+CC147*20%))/系数!$B$5</f>
        <v>0.69723220422048726</v>
      </c>
      <c r="K147" s="119">
        <f ca="1">LOOKUP(D147,'模拟-单技能数据'!$A$2:$A$19,'模拟-单技能数据'!$J$2:$J$19)+IF(CM147,60%,0)+IF(DB146-DB147&gt;0,30%,0)+IF(OR(AND(OR(C147="赤日轮1",C147="赤日轮2",C147="赤日轮3"),CR147),AND(OR(C147="幽月轮1",C147="幽月轮2",C147="幽月轮3"),CS147)),35%,0)+CJ147</f>
        <v>0.12</v>
      </c>
      <c r="L147" s="119">
        <f ca="1">IF(AND(C147="烈日斩",模拟模式!$X$11=1),10%,0)+IF(AND(C147="驱夜断愁",AB147=1),30%,0)</f>
        <v>0</v>
      </c>
      <c r="M147" s="45">
        <f t="shared" ca="1" si="129"/>
        <v>0.4618514552730022</v>
      </c>
      <c r="N147" s="45">
        <f t="shared" ca="1" si="130"/>
        <v>0.48424854472699785</v>
      </c>
      <c r="O147" s="46">
        <f t="shared" ca="1" si="83"/>
        <v>0.70703177297498165</v>
      </c>
      <c r="P147" s="46" t="str">
        <f t="shared" ca="1" si="84"/>
        <v>命</v>
      </c>
      <c r="Q147" s="45">
        <f t="shared" ca="1" si="85"/>
        <v>1</v>
      </c>
      <c r="R147" s="117">
        <f ca="1">模拟模式!$E$20*(1-IF(模拟模式!$J$19="有",0.15,0))*(1-IF(模拟模式!$K$19="有",0.3,0)-IF(CQ147,0.5,0))</f>
        <v>843.02999999999975</v>
      </c>
      <c r="S147" s="45">
        <f ca="1">R147/(R147+(185*模拟模式!$E$22-16800)*4.08224)</f>
        <v>8.389626085980037E-2</v>
      </c>
      <c r="T147" s="45" t="str">
        <f ca="1">LOOKUP(D147,'模拟-单技能数据'!$A$2:$A$19,'模拟-单技能数据'!$H$2:$H$19)</f>
        <v>阳</v>
      </c>
      <c r="U147" s="119">
        <f t="shared" ca="1" si="131"/>
        <v>0.2</v>
      </c>
      <c r="V147" s="47">
        <f ca="1">(1+L147)*(LOOKUP(D147,'模拟-单技能数据'!$A$2:$A$19,'模拟-单技能数据'!$D$2:$D$19)+G147*LOOKUP(D147,'模拟-单技能数据'!$A$2:$A$19,'模拟-单技能数据'!$F$2:$F$19))*(1+J147)*(1+K147)*(1-S147)*(1+U147)*Q147*LOOKUP(D147,'模拟-单技能数据'!$A$2:$A$19,'模拟-单技能数据'!$I$2:$I$20)</f>
        <v>25194.44799269021</v>
      </c>
      <c r="W147" s="47">
        <f ca="1">LOOKUP(D147,'模拟-单技能数据'!$A$2:$A$19,'模拟-单技能数据'!$G$2:$G$19)*$I$10</f>
        <v>361.51064354704795</v>
      </c>
      <c r="X147" s="47">
        <f t="shared" ca="1" si="87"/>
        <v>25105.871261554545</v>
      </c>
      <c r="Y147" s="47">
        <f t="shared" ca="1" si="132"/>
        <v>50661.829897791802</v>
      </c>
      <c r="Z147" s="49">
        <f t="shared" ca="1" si="133"/>
        <v>12649156.913396677</v>
      </c>
      <c r="AA147" s="97">
        <f t="shared" ca="1" si="134"/>
        <v>114265.1934362844</v>
      </c>
      <c r="AB147" s="115">
        <f ca="1">IF(OR(C147="赤日轮1",C147="赤日轮2",C147="赤日轮3"),IF(RAND()&lt;模拟模式!$Y$17,1,0),IF(OR(C147="幽月轮1",C147="幽月轮2",C147="幽月轮3"),IF(RAND()&lt;模拟模式!$Y$18,1,0),IF(C147="烈日斩",IF(RAND()&lt;模拟模式!$Y$19,1,0),IF(C147="银月斩",IF(RAND()&lt;模拟模式!$Y$20,1,0),IF(C147="驱夜断愁",IF(RAND()&lt;模拟模式!$Y$21,1,0),IF(C147="净世破魔击·日",IF(RAND()&lt;模拟模式!$Y$22,1,0),IF(C147="净世破魔击·月",IF(RAND()&lt;模拟模式!$Y$23,1,0),0)))))))</f>
        <v>1</v>
      </c>
      <c r="AC147" s="115" t="b">
        <f t="shared" ca="1" si="122"/>
        <v>0</v>
      </c>
      <c r="AD147" s="115" t="b">
        <f t="shared" ca="1" si="142"/>
        <v>1</v>
      </c>
      <c r="AE147" s="115">
        <f t="shared" ca="1" si="143"/>
        <v>3</v>
      </c>
      <c r="AF147" s="47">
        <f ca="1">IF(AC147,('模拟-单技能数据'!$D$20+G147*'模拟-单技能数据'!$F$20)*(1+J147)*(1+'模拟-单技能数据'!$J$20)*(1+U147),0)</f>
        <v>0</v>
      </c>
      <c r="AG147" s="61">
        <f t="shared" ca="1" si="135"/>
        <v>0.64185145527300214</v>
      </c>
      <c r="AH147" s="61">
        <f t="shared" ca="1" si="136"/>
        <v>2.2624828854998791</v>
      </c>
      <c r="AI147" s="62">
        <f t="shared" ca="1" si="93"/>
        <v>3.545780474764737E-2</v>
      </c>
      <c r="AJ147" s="47">
        <f ca="1">IF(AD147,IF(AI147&lt;$F$10,0,IF(AI147&lt;$F$10+$F$11,0.25,IF(AI147&lt;$F$10+$F$11+AG147,AH147,1)))*IF(AF147&gt;0,AF147,IF(AF146&gt;0,AF146,IF(AF145&gt;0,AF145,IF(AF144&gt;0,AF144,IF(AF143&gt;0,AF143,IF(AF142&gt;0,AF142,IF(AF141&gt;0,AF141,IF(AF140&gt;0,AF140,IF(AF139&gt;0,AF139,IF(AF137&gt;0,AF137,IF(AF136&gt;0,AF136,IF(AF135&gt;0,AF135,0)))))))))))),0)*(1-$S147)*'模拟-单技能数据'!$I$20</f>
        <v>1062.6220839292735</v>
      </c>
      <c r="AK147" s="115" t="b">
        <f t="shared" ca="1" si="123"/>
        <v>0</v>
      </c>
      <c r="AL147" s="115" t="b">
        <f t="shared" ca="1" si="144"/>
        <v>1</v>
      </c>
      <c r="AM147" s="115">
        <f t="shared" ca="1" si="145"/>
        <v>5</v>
      </c>
      <c r="AN147" s="47">
        <f ca="1">IF(AK147,('模拟-单技能数据'!$D$21+G147*'模拟-单技能数据'!$F$21)*(1+J147)*(1+'模拟-单技能数据'!$J$21)*(1+U147),0)</f>
        <v>0</v>
      </c>
      <c r="AO147" s="61">
        <f ca="1">IF(AN147&gt;0,M147-'模拟-单技能数据'!$K$10,AO146)</f>
        <v>0.42185145527300216</v>
      </c>
      <c r="AP147" s="61">
        <f ca="1">IF(AN147&gt;0,I147-'模拟-单技能数据'!$L$10,AP146)</f>
        <v>2.162482885499879</v>
      </c>
      <c r="AQ147" s="63">
        <f t="shared" ca="1" si="94"/>
        <v>0.236458136572399</v>
      </c>
      <c r="AR147" s="64">
        <f ca="1">IF(AL147,IF(AQ147&lt;$F$10,0,IF(AQ147&lt;$F$10+$F$11,0.25,IF(AQ147&lt;$F$10+$F$11+AO147,AP147,1)))*IF(AN147&gt;0,AN147,IF(AN146&gt;0,AN146,IF(AN145&gt;0,AN145,IF(AN144&gt;0,AN144,IF(AN143&gt;0,AN143,IF(AN142&gt;0,AN142,IF(AN141&gt;0,AN141,IF(AN140&gt;0,AN140,IF(AN139&gt;0,AN139,IF(AN137&gt;0,AN137,IF(AN136&gt;0,AN136,IF(AN135&gt;0,AN135,0)))))))))))),0)*(1-$S147)*'模拟-单技能数据'!$I$21</f>
        <v>24043.249177625272</v>
      </c>
      <c r="AS147" s="61">
        <f ca="1">IF(OR(C147="净世破魔击·日",C147="净世破魔击·月"),M147-'模拟-单技能数据'!$K$10,0)</f>
        <v>0</v>
      </c>
      <c r="AT147" s="61">
        <f ca="1">IF(OR(C147="净世破魔击·日",C147="净世破魔击·月"),I147-'模拟-单技能数据'!$L$10,0)</f>
        <v>0</v>
      </c>
      <c r="AU147" s="62">
        <f t="shared" ca="1" si="95"/>
        <v>0.43437557240318414</v>
      </c>
      <c r="AV147" s="64">
        <f ca="1">IF(AS147&gt;0,('模拟-单技能数据'!$D$22+G147*'模拟-单技能数据'!$F$22)*(1+J147)*(1-S147)*IF(AU147&lt;$F$10,0,IF(AU147&lt;$F$10+$F$11,0.25,IF(AU147&lt;$F$10+$F$11+AS147,AT147,1)))*(1+U147),0)*'模拟-单技能数据'!$I$22</f>
        <v>0</v>
      </c>
      <c r="AW147" s="108">
        <f t="shared" ca="1" si="96"/>
        <v>17.232500000000002</v>
      </c>
      <c r="AX147" s="108" t="b">
        <f ca="1">AND(模拟模式!$P$10="有",AW146=0,RAND()&lt;IF(C147="净世破魔击·月",0.1*8/3,IF(C147="净世破魔击·日",0.1*4/3,0.1*2/3)))</f>
        <v>0</v>
      </c>
      <c r="AY147" s="47">
        <f ca="1">IF(AX147,(18+G147*0.722)*(1+J147)*(1-S147)*(1+$I$4)*IF(P147="会",'模拟-全程加成'!$J$3+'模拟-全程加成'!$J$4+'模拟-全程加成'!$J$5+('模拟-全程加成'!$I$4+'模拟-全程加成'!$I$5)/系数!$B$4+BG147*10%,IF(P147="命",1,IF(P147="识",0.25,0))),0)</f>
        <v>0</v>
      </c>
      <c r="AZ147" s="108">
        <f t="shared" si="97"/>
        <v>10.775000000000006</v>
      </c>
      <c r="BA147" s="108" t="b">
        <f>AND(模拟模式!$Q$10="有",AZ146=0)</f>
        <v>0</v>
      </c>
      <c r="BB147" s="140">
        <f>IF(BA147,(0+G147*0.287)*(1+J147)*(1-S147)*(1+$I$4)*IF(P147="会",'模拟-全程加成'!$J$3+'模拟-全程加成'!$J$4+'模拟-全程加成'!$J$5+('模拟-全程加成'!$I$4+'模拟-全程加成'!$I$5)/系数!$B$4+BG147*10%,IF(P147="命",1,IF(P147="识",0.25,0))),0)</f>
        <v>0</v>
      </c>
      <c r="BC147" s="115" t="b">
        <f ca="1">AND(模拟模式!$R$7="伏明众生",E147=60,F147=20,DA147&lt;5,CZ146&lt;$F$4)</f>
        <v>0</v>
      </c>
      <c r="BD147" s="115">
        <f t="shared" ca="1" si="124"/>
        <v>0</v>
      </c>
      <c r="BE147" s="115" t="b">
        <f t="shared" ca="1" si="125"/>
        <v>0</v>
      </c>
      <c r="BF147" s="47">
        <f ca="1">IF(BC147,4*('模拟-单技能数据'!$D$24+G147*'模拟-单技能数据'!$F$24)*(1+J147)*(1+'模拟-单技能数据'!$J$24)*(1-S147)*(1+$I$3)*(('模拟-全程加成'!$J$3+'模拟-全程加成'!$J$4+'模拟-全程加成'!$J$5+('模拟-全程加成'!$I$4+'模拟-全程加成'!$I$5)/系数!$B$4+BG147*10%)*('模拟-全程加成'!$J$3+'模拟-全程加成'!$J$4+'模拟-全程加成'!$J$5+('模拟-全程加成'!$I$4+'模拟-全程加成'!$I$5)/系数!$B$4+BG147*10%)+(1-('模拟-全程加成'!$J$3+'模拟-全程加成'!$J$4+'模拟-全程加成'!$J$5+('模拟-全程加成'!$I$4+'模拟-全程加成'!$I$5)/系数!$B$4+BG147*10%)-$F$10-$F$11)+F133*0.25),0)*'模拟-单技能数据'!$I$24</f>
        <v>0</v>
      </c>
      <c r="BG147" s="115" t="b">
        <f ca="1">OR(AND(OR(C147="烈日斩",C147="银月斩"),模拟模式!$I$7="净身明礼"),AND(C147="净世破魔击·日",模拟模式!$J$7="洞若观火"),AND(C148="净世破魔击·月",模拟模式!$J$7="洞若观火"),AB147=1)</f>
        <v>1</v>
      </c>
      <c r="BH147" s="115" t="b">
        <f t="shared" ca="1" si="98"/>
        <v>0</v>
      </c>
      <c r="BI147" s="115">
        <f t="shared" ca="1" si="126"/>
        <v>0</v>
      </c>
      <c r="BJ147" s="115" t="b">
        <f t="shared" ca="1" si="137"/>
        <v>0</v>
      </c>
      <c r="BK147" s="115" t="b">
        <f ca="1">AND(C147="驱夜断愁",模拟模式!$P$7="天地诛戮")</f>
        <v>0</v>
      </c>
      <c r="BL147" s="57">
        <f t="shared" ca="1" si="127"/>
        <v>15.387500000000003</v>
      </c>
      <c r="BM147" s="115" t="b">
        <f t="shared" ca="1" si="138"/>
        <v>1</v>
      </c>
      <c r="BN147" s="115" t="b">
        <f ca="1">AND(OR(C147="赤日轮1",C147="赤日轮2",C147="赤日轮3",C147="幽月轮1",C147="幽月轮2",C147="幽月轮3"),AB147=1,模拟模式!$L$7="明光恒照")</f>
        <v>1</v>
      </c>
      <c r="BO147" s="117">
        <f t="shared" ca="1" si="128"/>
        <v>30</v>
      </c>
      <c r="BP147" s="115">
        <f t="shared" ca="1" si="101"/>
        <v>6</v>
      </c>
      <c r="BQ147" s="115" t="b">
        <f>模拟模式!$K$10="2600·水"</f>
        <v>0</v>
      </c>
      <c r="BR147" s="117">
        <f t="shared" si="102"/>
        <v>0</v>
      </c>
      <c r="BS147" s="115">
        <f t="shared" si="103"/>
        <v>0</v>
      </c>
      <c r="BT147" s="115">
        <f t="shared" ca="1" si="104"/>
        <v>0</v>
      </c>
      <c r="BU147" s="115" t="b">
        <f ca="1">AND(模拟模式!$K$10="2300·雷",BT146=0,RAND()&lt;IF(C147="净世破魔击·月",5*0.05*2/3,IF(C147="净世破魔击·日",3*0.05*2/3,0.05*2*2/3)))</f>
        <v>0</v>
      </c>
      <c r="BV147" s="115">
        <f t="shared" ca="1" si="105"/>
        <v>0</v>
      </c>
      <c r="BW147" s="115">
        <f t="shared" ca="1" si="106"/>
        <v>74.834999999999269</v>
      </c>
      <c r="BX147" s="164" t="b">
        <f t="shared" ca="1" si="107"/>
        <v>0</v>
      </c>
      <c r="BY147" s="115">
        <f t="shared" ca="1" si="108"/>
        <v>0</v>
      </c>
      <c r="BZ147" s="115">
        <f>IF(OR(模拟模式!$P$16="10人团",模拟模式!$P$16="25人团"),IF(B147/30&gt;CA146,1,0),0)</f>
        <v>0</v>
      </c>
      <c r="CA147" s="115">
        <f t="shared" si="74"/>
        <v>0</v>
      </c>
      <c r="CB147" s="115">
        <f ca="1">IF(BZ147=1,IF(模拟模式!$P$16="10人团",15,0)+IF(模拟模式!$P$16="25人团",IF(RAND()&lt;0.6,15,0)),MAX(0,CB146-$F$4))</f>
        <v>0</v>
      </c>
      <c r="CC147" s="115" t="b">
        <f t="shared" ca="1" si="139"/>
        <v>0</v>
      </c>
      <c r="CD147" s="115">
        <f>IF(模拟模式!$Q$16="1个",IF(B147/40&gt;CE146,1,0),0)</f>
        <v>0</v>
      </c>
      <c r="CE147" s="115">
        <f t="shared" si="140"/>
        <v>0</v>
      </c>
      <c r="CF147" s="115">
        <f>IF(OR(CD147=1,模拟模式!$Q$16="2个"),20,MAX(0,CF146-$F$4))</f>
        <v>0</v>
      </c>
      <c r="CG147" s="115" t="b">
        <f t="shared" si="141"/>
        <v>0</v>
      </c>
      <c r="CH147" s="115">
        <f t="shared" ca="1" si="112"/>
        <v>19.852500000000006</v>
      </c>
      <c r="CI147" s="115" t="b">
        <f t="shared" ca="1" si="113"/>
        <v>0</v>
      </c>
      <c r="CJ147" s="119">
        <f t="shared" ca="1" si="114"/>
        <v>0</v>
      </c>
      <c r="CK147" s="115">
        <f t="shared" ca="1" si="115"/>
        <v>0</v>
      </c>
      <c r="CL147" s="115" t="b">
        <f ca="1">AND(模拟模式!$S$7="驱夷逐法",OR(AND(C147="净世破魔击·月",E146&gt;59),AND(C147="净世破魔击·日",F146&gt;59)))</f>
        <v>0</v>
      </c>
      <c r="CM147" s="115" t="b">
        <f ca="1">OR(CL147,AND(C147="净世破魔击·日",CL146,RAND()&lt;模拟模式!$U$23))</f>
        <v>0</v>
      </c>
      <c r="CN147" s="115" t="b">
        <f ca="1">IF(模拟模式!$M$7="辉耀红尘",AND(C147="净世破魔击·月",CL147,CV147=0,E146&lt;80),AND(C147="净世破魔击·月",CL147,E146&lt;100))</f>
        <v>0</v>
      </c>
      <c r="CO147" s="115" t="b">
        <f t="shared" ca="1" si="75"/>
        <v>0</v>
      </c>
      <c r="CP147" s="115" t="b">
        <f ca="1">AND(模拟模式!$O$7="用晦而明",OR(C147="净世破魔击·日",C147="净世破魔击·月",C147="驱夜断愁"),AB147)</f>
        <v>0</v>
      </c>
      <c r="CQ147" s="115" t="b">
        <f ca="1">OR(CP147,AND(CP146,RAND()&lt;模拟模式!$U$23))</f>
        <v>1</v>
      </c>
      <c r="CR147" s="115" t="b">
        <f ca="1">AND(模拟模式!$S$7="日月齐光",OR(C147="幽月轮1",C147="幽月轮2",C147="幽月轮3",CR146),NOT(OR(C147="赤日轮1",C147="赤日轮2",C147="赤日轮3")))</f>
        <v>0</v>
      </c>
      <c r="CS147" s="115" t="b">
        <f ca="1">AND(模拟模式!$S$7="日月齐光",OR(C147="赤日轮1",C147="赤日轮2",C147="赤日轮3",CS146),NOT(OR(C147="幽月轮1",C147="幽月轮2",C147="幽月轮3")))</f>
        <v>0</v>
      </c>
      <c r="CT147" s="115">
        <f t="shared" ca="1" si="116"/>
        <v>18.007500000000007</v>
      </c>
      <c r="CU147" s="115" t="b">
        <f ca="1">AND(模拟模式!$K$10="阴阳往极",CT146=0,RAND()&lt;IF(C147="净世破魔击·月",0.0275*7/3,IF(C147="净世破魔击·日",0.0275*3/3,0.0275*2/3)))</f>
        <v>0</v>
      </c>
      <c r="CV147" s="115">
        <f t="shared" ca="1" si="117"/>
        <v>0</v>
      </c>
      <c r="CW147" s="115">
        <f t="shared" ca="1" si="76"/>
        <v>2.3099999999999996</v>
      </c>
      <c r="CX147" s="115">
        <f t="shared" ca="1" si="77"/>
        <v>0.46499999999999975</v>
      </c>
      <c r="CY147" s="115">
        <f ca="1">MAX(IF($C147="驱夜断愁",IF(模拟模式!$R$7="万念俱寂",6,45),CY146-$F$4),0)</f>
        <v>1.3874999999999997</v>
      </c>
      <c r="CZ147" s="115">
        <f t="shared" ca="1" si="78"/>
        <v>0</v>
      </c>
      <c r="DA147" s="115">
        <f ca="1">IF(模拟模式!$N$7="日月同辉",IF(DB146=2,0,MIN(6,IF(AND(OR(C147="赤日轮1",C147="赤日轮2",C147="赤日轮3",C147="幽月轮1",C147="幽月轮2",C147="幽月轮3"),AB147=1),DA146+1,DA146))),0)</f>
        <v>2</v>
      </c>
      <c r="DB147" s="115">
        <f t="shared" ca="1" si="79"/>
        <v>0</v>
      </c>
      <c r="DC147" s="115"/>
      <c r="DD147" s="115"/>
      <c r="DE147" s="115"/>
      <c r="DF147" s="115"/>
      <c r="DG147" s="115"/>
      <c r="DH147" s="115"/>
      <c r="DI147" s="115"/>
      <c r="DJ147" s="115"/>
      <c r="DK147" s="115"/>
      <c r="DL147" s="115"/>
      <c r="DM147" s="115"/>
    </row>
    <row r="148" spans="2:117" x14ac:dyDescent="0.2">
      <c r="B148" s="117">
        <f t="shared" si="80"/>
        <v>111.62249999999995</v>
      </c>
      <c r="C148" s="167" t="str">
        <f t="shared" ca="1" si="66"/>
        <v>银月斩</v>
      </c>
      <c r="D148" s="115">
        <f ca="1">IF(C148="赤日轮1",1,IF(C148="赤日轮2",2,IF(C148="赤日轮3",3,IF(C148="幽月轮1",4,IF(C148="幽月轮2",5,IF(C148="幽月轮3",6,IF(C148="烈日斩",7,IF(C148="银月斩",8,IF(C148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148="净世破魔击·月",17,IF(C148="驱夜断愁",18,0)))))))))))</f>
        <v>8</v>
      </c>
      <c r="E148" s="115">
        <f ca="1">IF(AND(CU148,OR(C148="幽月轮1",C148="幽月轮2",C148="幽月轮3",C148="银月斩",C148="驱夜断愁",C148="净世破魔击·月")),100,MIN(IF(OR(CN148,BE148),0,IF(OR($C148="赤日轮1",$C148="赤日轮2",$C148="赤日轮3"),E147+20+IF(模拟模式!$I$7="日月凌天",4,0)+IF(CR147,20,0),IF($C148="烈日斩",E147+40,IF($C148="驱夜断愁",IF(模拟模式!$R$7="万念俱寂",E147+20,E147+60),IF($C148="净世破魔击·月",IF(OR(DB147&gt;0,CV147&gt;0),100,IF(模拟模式!$M$7="辉耀红尘",E147+20,E147)),IF($C148="净世破魔击·日",E147-100,E147)))))),100))</f>
        <v>20</v>
      </c>
      <c r="F148" s="115">
        <f ca="1">IF(AND(CU148,OR(C148="赤日轮1",C148="赤日轮2",C148="赤日轮3",C148="烈日斩",C148="净世破魔击·日")),100,MIN(IF(CO148,0,IF(OR($C148="幽月轮1",$C148="幽月轮2",$C148="幽月轮3"),F147+20+IF(模拟模式!$I$7="日月凌天",4,0)+IF(CS147,20,0),IF($C148="银月斩",F147+40+IF(模拟模式!$X$12=1,5,0),IF($C148="驱夜断愁",IF(模拟模式!$R$7="万念俱寂",F147+20,F147+60),IF($C148="净世破魔击·月",IF(模拟模式!$M$7="辉耀红尘",F147-80,F147-100),IF(AND(C148="净世破魔击·日",OR(DB147&gt;0,CV147&gt;0)),100,F147)))))),100))</f>
        <v>65</v>
      </c>
      <c r="G148" s="117">
        <f ca="1">('模拟-全程加成'!$E$3+'模拟-全程加成'!$E$4+'模拟-全程加成'!$E$5+('模拟-全程加成'!$C$6-'模拟-全程加成'!$C$3)*系数!$B$9+BS148*23)*(1+'模拟-全程加成'!$F$4+'模拟-全程加成'!$F$5+BJ148*10%+BM148*20%+BP148*4%+CG148*30%)+$F$7*系数!$B$12</f>
        <v>20583.127400000001</v>
      </c>
      <c r="H148" s="45">
        <f ca="1">'模拟-全程加成'!$H$3+'模拟-全程加成'!$H$4+'模拟-全程加成'!$H$5+('模拟-全程加成'!$G$4+'模拟-全程加成'!$G$5+('模拟-全程加成'!$C$6-'模拟-全程加成'!$C$3)*系数!$B$13)/系数!$B$3+LOOKUP(D148,'模拟-单技能数据'!$A$2:$A$19,'模拟-单技能数据'!$K$2:$K$19)+BG148*10%+IF(BV148&gt;0,378,0)</f>
        <v>0.64185145527300214</v>
      </c>
      <c r="I148" s="45">
        <f ca="1">'模拟-全程加成'!$J$3+'模拟-全程加成'!$J$4+'模拟-全程加成'!$J$5+('模拟-全程加成'!$I$4+'模拟-全程加成'!$I$5)/系数!$B$4+LOOKUP(D148,'模拟-单技能数据'!$A$2:$A$19,'模拟-单技能数据'!$L$2:$L$19)+BG148*10%</f>
        <v>2.2624828854998791</v>
      </c>
      <c r="J148" s="45">
        <f ca="1">(('模拟-全程加成'!$K$3+'模拟-全程加成'!$K$4+'模拟-全程加成'!$K$5+('模拟-全程加成'!$C$6-'模拟-全程加成'!$C$3)*系数!$B$10+IF(BV148&gt;0,882,0)+IF(BY148&gt;0,1831,0))*(1+'模拟-全程加成'!$L$4+'模拟-全程加成'!$L$5+CC148*20%))/系数!$B$5</f>
        <v>0.69723220422048726</v>
      </c>
      <c r="K148" s="119">
        <f ca="1">LOOKUP(D148,'模拟-单技能数据'!$A$2:$A$19,'模拟-单技能数据'!$J$2:$J$19)+IF(CM148,60%,0)+IF(DB147-DB148&gt;0,30%,0)+IF(OR(AND(OR(C148="赤日轮1",C148="赤日轮2",C148="赤日轮3"),CR148),AND(OR(C148="幽月轮1",C148="幽月轮2",C148="幽月轮3"),CS148)),35%,0)+CJ148</f>
        <v>0.15</v>
      </c>
      <c r="L148" s="119">
        <f ca="1">IF(AND(C148="烈日斩",模拟模式!$X$11=1),10%,0)+IF(AND(C148="驱夜断愁",AB148=1),30%,0)</f>
        <v>0</v>
      </c>
      <c r="M148" s="45">
        <f t="shared" ca="1" si="129"/>
        <v>0.64185145527300214</v>
      </c>
      <c r="N148" s="45">
        <f t="shared" ca="1" si="130"/>
        <v>0.30424854472699792</v>
      </c>
      <c r="O148" s="46">
        <f t="shared" ca="1" si="83"/>
        <v>0.63299911394759756</v>
      </c>
      <c r="P148" s="46" t="str">
        <f t="shared" ca="1" si="84"/>
        <v>会</v>
      </c>
      <c r="Q148" s="45">
        <f t="shared" ca="1" si="85"/>
        <v>2.2624828854998791</v>
      </c>
      <c r="R148" s="117">
        <f ca="1">模拟模式!$E$20*(1-IF(模拟模式!$J$19="有",0.15,0))*(1-IF(模拟模式!$K$19="有",0.3,0)-IF(CQ148,0.5,0))</f>
        <v>2950.6049999999996</v>
      </c>
      <c r="S148" s="45">
        <f ca="1">R148/(R148+(185*模拟模式!$E$22-16800)*4.08224)</f>
        <v>0.24272716014590323</v>
      </c>
      <c r="T148" s="45" t="str">
        <f ca="1">LOOKUP(D148,'模拟-单技能数据'!$A$2:$A$19,'模拟-单技能数据'!$H$2:$H$19)</f>
        <v>阴</v>
      </c>
      <c r="U148" s="119">
        <f t="shared" ca="1" si="131"/>
        <v>0.08</v>
      </c>
      <c r="V148" s="47">
        <f ca="1">(1+L148)*(LOOKUP(D148,'模拟-单技能数据'!$A$2:$A$19,'模拟-单技能数据'!$D$2:$D$19)+G148*LOOKUP(D148,'模拟-单技能数据'!$A$2:$A$19,'模拟-单技能数据'!$F$2:$F$19))*(1+J148)*(1+K148)*(1-S148)*(1+U148)*Q148*LOOKUP(D148,'模拟-单技能数据'!$A$2:$A$19,'模拟-单技能数据'!$I$2:$I$20)</f>
        <v>39481.310356797861</v>
      </c>
      <c r="W148" s="47">
        <f ca="1">LOOKUP(D148,'模拟-单技能数据'!$A$2:$A$19,'模拟-单技能数据'!$G$2:$G$19)*$I$10</f>
        <v>361.51064354704795</v>
      </c>
      <c r="X148" s="47">
        <f t="shared" ca="1" si="87"/>
        <v>0</v>
      </c>
      <c r="Y148" s="47">
        <f t="shared" ca="1" si="132"/>
        <v>39842.821000344906</v>
      </c>
      <c r="Z148" s="49">
        <f t="shared" ca="1" si="133"/>
        <v>12688999.734397022</v>
      </c>
      <c r="AA148" s="97">
        <f t="shared" ca="1" si="134"/>
        <v>113677.79555552894</v>
      </c>
      <c r="AB148" s="115">
        <f ca="1">IF(OR(C148="赤日轮1",C148="赤日轮2",C148="赤日轮3"),IF(RAND()&lt;模拟模式!$Y$17,1,0),IF(OR(C148="幽月轮1",C148="幽月轮2",C148="幽月轮3"),IF(RAND()&lt;模拟模式!$Y$18,1,0),IF(C148="烈日斩",IF(RAND()&lt;模拟模式!$Y$19,1,0),IF(C148="银月斩",IF(RAND()&lt;模拟模式!$Y$20,1,0),IF(C148="驱夜断愁",IF(RAND()&lt;模拟模式!$Y$21,1,0),IF(C148="净世破魔击·日",IF(RAND()&lt;模拟模式!$Y$22,1,0),IF(C148="净世破魔击·月",IF(RAND()&lt;模拟模式!$Y$23,1,0),0)))))))</f>
        <v>1</v>
      </c>
      <c r="AC148" s="115" t="b">
        <f t="shared" ca="1" si="122"/>
        <v>1</v>
      </c>
      <c r="AD148" s="115" t="b">
        <f t="shared" ca="1" si="142"/>
        <v>0</v>
      </c>
      <c r="AE148" s="115">
        <f t="shared" ca="1" si="143"/>
        <v>6</v>
      </c>
      <c r="AF148" s="47">
        <f ca="1">IF(AC148,('模拟-单技能数据'!$D$20+G148*'模拟-单技能数据'!$F$20)*(1+J148)*(1+'模拟-单技能数据'!$J$20)*(1+U148),0)</f>
        <v>4447.8565560098323</v>
      </c>
      <c r="AG148" s="61">
        <f t="shared" ca="1" si="135"/>
        <v>0.64185145527300214</v>
      </c>
      <c r="AH148" s="61">
        <f t="shared" ca="1" si="136"/>
        <v>2.2624828854998791</v>
      </c>
      <c r="AI148" s="62">
        <f t="shared" ca="1" si="93"/>
        <v>0.19084943503889085</v>
      </c>
      <c r="AJ148" s="47">
        <f ca="1">IF(AD148,IF(AI148&lt;$F$10,0,IF(AI148&lt;$F$10+$F$11,0.25,IF(AI148&lt;$F$10+$F$11+AG148,AH148,1)))*IF(AF148&gt;0,AF148,IF(AF147&gt;0,AF147,IF(AF146&gt;0,AF146,IF(AF145&gt;0,AF145,IF(AF144&gt;0,AF144,IF(AF143&gt;0,AF143,IF(AF142&gt;0,AF142,IF(AF141&gt;0,AF141,IF(AF140&gt;0,AF140,IF(AF138&gt;0,AF138,IF(AF137&gt;0,AF137,IF(AF136&gt;0,AF136,0)))))))))))),0)*(1-$S148)*'模拟-单技能数据'!$I$20</f>
        <v>0</v>
      </c>
      <c r="AK148" s="115" t="b">
        <f t="shared" ca="1" si="123"/>
        <v>0</v>
      </c>
      <c r="AL148" s="115" t="b">
        <f t="shared" ca="1" si="144"/>
        <v>0</v>
      </c>
      <c r="AM148" s="115">
        <f t="shared" ca="1" si="145"/>
        <v>5</v>
      </c>
      <c r="AN148" s="47">
        <f ca="1">IF(AK148,('模拟-单技能数据'!$D$21+G148*'模拟-单技能数据'!$F$21)*(1+J148)*(1+'模拟-单技能数据'!$J$21)*(1+U148),0)</f>
        <v>0</v>
      </c>
      <c r="AO148" s="61">
        <f ca="1">IF(AN148&gt;0,M148-'模拟-单技能数据'!$K$10,AO147)</f>
        <v>0.42185145527300216</v>
      </c>
      <c r="AP148" s="61">
        <f ca="1">IF(AN148&gt;0,I148-'模拟-单技能数据'!$L$10,AP147)</f>
        <v>2.162482885499879</v>
      </c>
      <c r="AQ148" s="63">
        <f t="shared" ca="1" si="94"/>
        <v>0.79112635715800872</v>
      </c>
      <c r="AR148" s="64">
        <f ca="1">IF(AL148,IF(AQ148&lt;$F$10,0,IF(AQ148&lt;$F$10+$F$11,0.25,IF(AQ148&lt;$F$10+$F$11+AO148,AP148,1)))*IF(AN148&gt;0,AN148,IF(AN147&gt;0,AN147,IF(AN146&gt;0,AN146,IF(AN145&gt;0,AN145,IF(AN144&gt;0,AN144,IF(AN143&gt;0,AN143,IF(AN142&gt;0,AN142,IF(AN141&gt;0,AN141,IF(AN140&gt;0,AN140,IF(AN138&gt;0,AN138,IF(AN137&gt;0,AN137,IF(AN136&gt;0,AN136,0)))))))))))),0)*(1-$S148)*'模拟-单技能数据'!$I$21</f>
        <v>0</v>
      </c>
      <c r="AS148" s="61">
        <f ca="1">IF(OR(C148="净世破魔击·日",C148="净世破魔击·月"),M148-'模拟-单技能数据'!$K$10,0)</f>
        <v>0</v>
      </c>
      <c r="AT148" s="61">
        <f ca="1">IF(OR(C148="净世破魔击·日",C148="净世破魔击·月"),I148-'模拟-单技能数据'!$L$10,0)</f>
        <v>0</v>
      </c>
      <c r="AU148" s="62">
        <f t="shared" ca="1" si="95"/>
        <v>0.64305488161316005</v>
      </c>
      <c r="AV148" s="64">
        <f ca="1">IF(AS148&gt;0,('模拟-单技能数据'!$D$22+G148*'模拟-单技能数据'!$F$22)*(1+J148)*(1-S148)*IF(AU148&lt;$F$10,0,IF(AU148&lt;$F$10+$F$11,0.25,IF(AU148&lt;$F$10+$F$11+AS148,AT148,1)))*(1+U148),0)*'模拟-单技能数据'!$I$22</f>
        <v>0</v>
      </c>
      <c r="AW148" s="108">
        <f t="shared" ca="1" si="96"/>
        <v>16.310000000000002</v>
      </c>
      <c r="AX148" s="108" t="b">
        <f ca="1">AND(模拟模式!$P$10="有",AW147=0,RAND()&lt;IF(C148="净世破魔击·月",0.1*8/3,IF(C148="净世破魔击·日",0.1*4/3,0.1*2/3)))</f>
        <v>0</v>
      </c>
      <c r="AY148" s="47">
        <f ca="1">IF(AX148,(18+G148*0.722)*(1+J148)*(1-S148)*(1+$I$4)*IF(P148="会",'模拟-全程加成'!$J$3+'模拟-全程加成'!$J$4+'模拟-全程加成'!$J$5+('模拟-全程加成'!$I$4+'模拟-全程加成'!$I$5)/系数!$B$4+BG148*10%,IF(P148="命",1,IF(P148="识",0.25,0))),0)</f>
        <v>0</v>
      </c>
      <c r="AZ148" s="108">
        <f t="shared" si="97"/>
        <v>9.8525000000000063</v>
      </c>
      <c r="BA148" s="108" t="b">
        <f>AND(模拟模式!$Q$10="有",AZ147=0)</f>
        <v>0</v>
      </c>
      <c r="BB148" s="140">
        <f>IF(BA148,(0+G148*0.287)*(1+J148)*(1-S148)*(1+$I$4)*IF(P148="会",'模拟-全程加成'!$J$3+'模拟-全程加成'!$J$4+'模拟-全程加成'!$J$5+('模拟-全程加成'!$I$4+'模拟-全程加成'!$I$5)/系数!$B$4+BG148*10%,IF(P148="命",1,IF(P148="识",0.25,0))),0)</f>
        <v>0</v>
      </c>
      <c r="BC148" s="115" t="b">
        <f ca="1">AND(模拟模式!$R$7="伏明众生",E148=60,F148=20,DA148&lt;5,CZ147&lt;$F$4)</f>
        <v>0</v>
      </c>
      <c r="BD148" s="115">
        <f t="shared" ca="1" si="124"/>
        <v>0</v>
      </c>
      <c r="BE148" s="115" t="b">
        <f t="shared" ca="1" si="125"/>
        <v>0</v>
      </c>
      <c r="BF148" s="47">
        <f ca="1">IF(BC148,4*('模拟-单技能数据'!$D$24+G148*'模拟-单技能数据'!$F$24)*(1+J148)*(1+'模拟-单技能数据'!$J$24)*(1-S148)*(1+$I$3)*(('模拟-全程加成'!$J$3+'模拟-全程加成'!$J$4+'模拟-全程加成'!$J$5+('模拟-全程加成'!$I$4+'模拟-全程加成'!$I$5)/系数!$B$4+BG148*10%)*('模拟-全程加成'!$J$3+'模拟-全程加成'!$J$4+'模拟-全程加成'!$J$5+('模拟-全程加成'!$I$4+'模拟-全程加成'!$I$5)/系数!$B$4+BG148*10%)+(1-('模拟-全程加成'!$J$3+'模拟-全程加成'!$J$4+'模拟-全程加成'!$J$5+('模拟-全程加成'!$I$4+'模拟-全程加成'!$I$5)/系数!$B$4+BG148*10%)-$F$10-$F$11)+F134*0.25),0)*'模拟-单技能数据'!$I$24</f>
        <v>0</v>
      </c>
      <c r="BG148" s="115" t="b">
        <f ca="1">OR(AND(OR(C148="烈日斩",C148="银月斩"),模拟模式!$I$7="净身明礼"),AND(C148="净世破魔击·日",模拟模式!$J$7="洞若观火"),AND(C149="净世破魔击·月",模拟模式!$J$7="洞若观火"),AB148=1)</f>
        <v>1</v>
      </c>
      <c r="BH148" s="115" t="b">
        <f t="shared" ca="1" si="98"/>
        <v>0</v>
      </c>
      <c r="BI148" s="115">
        <f t="shared" ca="1" si="126"/>
        <v>0</v>
      </c>
      <c r="BJ148" s="115" t="b">
        <f t="shared" ca="1" si="137"/>
        <v>0</v>
      </c>
      <c r="BK148" s="115" t="b">
        <f ca="1">AND(C148="驱夜断愁",模拟模式!$P$7="天地诛戮")</f>
        <v>0</v>
      </c>
      <c r="BL148" s="57">
        <f t="shared" ca="1" si="127"/>
        <v>14.465000000000003</v>
      </c>
      <c r="BM148" s="115" t="b">
        <f t="shared" ca="1" si="138"/>
        <v>1</v>
      </c>
      <c r="BN148" s="115" t="b">
        <f ca="1">AND(OR(C148="赤日轮1",C148="赤日轮2",C148="赤日轮3",C148="幽月轮1",C148="幽月轮2",C148="幽月轮3"),AB148=1,模拟模式!$L$7="明光恒照")</f>
        <v>0</v>
      </c>
      <c r="BO148" s="117">
        <f t="shared" ca="1" si="128"/>
        <v>29.077500000000001</v>
      </c>
      <c r="BP148" s="115">
        <f t="shared" ca="1" si="101"/>
        <v>6</v>
      </c>
      <c r="BQ148" s="115" t="b">
        <f>模拟模式!$K$10="2600·水"</f>
        <v>0</v>
      </c>
      <c r="BR148" s="117">
        <f t="shared" si="102"/>
        <v>0</v>
      </c>
      <c r="BS148" s="115">
        <f t="shared" si="103"/>
        <v>0</v>
      </c>
      <c r="BT148" s="115">
        <f t="shared" ca="1" si="104"/>
        <v>0</v>
      </c>
      <c r="BU148" s="115" t="b">
        <f ca="1">AND(模拟模式!$K$10="2300·雷",BT147=0,RAND()&lt;IF(C148="净世破魔击·月",5*0.05*2/3,IF(C148="净世破魔击·日",3*0.05*2/3,0.05*2*2/3)))</f>
        <v>0</v>
      </c>
      <c r="BV148" s="115">
        <f t="shared" ca="1" si="105"/>
        <v>0</v>
      </c>
      <c r="BW148" s="115">
        <f t="shared" ca="1" si="106"/>
        <v>73.91249999999927</v>
      </c>
      <c r="BX148" s="164" t="b">
        <f t="shared" ca="1" si="107"/>
        <v>0</v>
      </c>
      <c r="BY148" s="115">
        <f t="shared" ca="1" si="108"/>
        <v>0</v>
      </c>
      <c r="BZ148" s="115">
        <f>IF(OR(模拟模式!$P$16="10人团",模拟模式!$P$16="25人团"),IF(B148/30&gt;CA147,1,0),0)</f>
        <v>0</v>
      </c>
      <c r="CA148" s="115">
        <f t="shared" si="74"/>
        <v>0</v>
      </c>
      <c r="CB148" s="115">
        <f ca="1">IF(BZ148=1,IF(模拟模式!$P$16="10人团",15,0)+IF(模拟模式!$P$16="25人团",IF(RAND()&lt;0.6,15,0)),MAX(0,CB147-$F$4))</f>
        <v>0</v>
      </c>
      <c r="CC148" s="115" t="b">
        <f t="shared" ca="1" si="139"/>
        <v>0</v>
      </c>
      <c r="CD148" s="115">
        <f>IF(模拟模式!$Q$16="1个",IF(B148/40&gt;CE147,1,0),0)</f>
        <v>0</v>
      </c>
      <c r="CE148" s="115">
        <f t="shared" si="140"/>
        <v>0</v>
      </c>
      <c r="CF148" s="115">
        <f>IF(OR(CD148=1,模拟模式!$Q$16="2个"),20,MAX(0,CF147-$F$4))</f>
        <v>0</v>
      </c>
      <c r="CG148" s="115" t="b">
        <f t="shared" si="141"/>
        <v>0</v>
      </c>
      <c r="CH148" s="115">
        <f t="shared" ca="1" si="112"/>
        <v>18.930000000000007</v>
      </c>
      <c r="CI148" s="115" t="b">
        <f t="shared" ca="1" si="113"/>
        <v>0</v>
      </c>
      <c r="CJ148" s="119">
        <f t="shared" ca="1" si="114"/>
        <v>0</v>
      </c>
      <c r="CK148" s="115">
        <f t="shared" ca="1" si="115"/>
        <v>0</v>
      </c>
      <c r="CL148" s="115" t="b">
        <f ca="1">AND(模拟模式!$S$7="驱夷逐法",OR(AND(C148="净世破魔击·月",E147&gt;59),AND(C148="净世破魔击·日",F147&gt;59)))</f>
        <v>0</v>
      </c>
      <c r="CM148" s="115" t="b">
        <f ca="1">OR(CL148,AND(C148="净世破魔击·日",CL147,RAND()&lt;模拟模式!$U$23))</f>
        <v>0</v>
      </c>
      <c r="CN148" s="115" t="b">
        <f ca="1">IF(模拟模式!$M$7="辉耀红尘",AND(C148="净世破魔击·月",CL148,CV148=0,E147&lt;80),AND(C148="净世破魔击·月",CL148,E147&lt;100))</f>
        <v>0</v>
      </c>
      <c r="CO148" s="115" t="b">
        <f t="shared" ca="1" si="75"/>
        <v>0</v>
      </c>
      <c r="CP148" s="115" t="b">
        <f ca="1">AND(模拟模式!$O$7="用晦而明",OR(C148="净世破魔击·日",C148="净世破魔击·月",C148="驱夜断愁"),AB148)</f>
        <v>0</v>
      </c>
      <c r="CQ148" s="115" t="b">
        <f ca="1">OR(CP148,AND(CP147,RAND()&lt;模拟模式!$U$23))</f>
        <v>0</v>
      </c>
      <c r="CR148" s="115" t="b">
        <f ca="1">AND(模拟模式!$S$7="日月齐光",OR(C148="幽月轮1",C148="幽月轮2",C148="幽月轮3",CR147),NOT(OR(C148="赤日轮1",C148="赤日轮2",C148="赤日轮3")))</f>
        <v>0</v>
      </c>
      <c r="CS148" s="115" t="b">
        <f ca="1">AND(模拟模式!$S$7="日月齐光",OR(C148="赤日轮1",C148="赤日轮2",C148="赤日轮3",CS147),NOT(OR(C148="幽月轮1",C148="幽月轮2",C148="幽月轮3")))</f>
        <v>0</v>
      </c>
      <c r="CT148" s="115">
        <f t="shared" ca="1" si="116"/>
        <v>17.085000000000008</v>
      </c>
      <c r="CU148" s="115" t="b">
        <f ca="1">AND(模拟模式!$K$10="阴阳往极",CT147=0,RAND()&lt;IF(C148="净世破魔击·月",0.0275*7/3,IF(C148="净世破魔击·日",0.0275*3/3,0.0275*2/3)))</f>
        <v>0</v>
      </c>
      <c r="CV148" s="115">
        <f t="shared" ca="1" si="117"/>
        <v>0</v>
      </c>
      <c r="CW148" s="115">
        <f t="shared" ca="1" si="76"/>
        <v>1.3874999999999997</v>
      </c>
      <c r="CX148" s="115">
        <f t="shared" ca="1" si="77"/>
        <v>6</v>
      </c>
      <c r="CY148" s="115">
        <f ca="1">MAX(IF($C148="驱夜断愁",IF(模拟模式!$R$7="万念俱寂",6,45),CY147-$F$4),0)</f>
        <v>0.46499999999999975</v>
      </c>
      <c r="CZ148" s="115">
        <f t="shared" ca="1" si="78"/>
        <v>0</v>
      </c>
      <c r="DA148" s="115">
        <f ca="1">IF(模拟模式!$N$7="日月同辉",IF(DB147=2,0,MIN(6,IF(AND(OR(C148="赤日轮1",C148="赤日轮2",C148="赤日轮3",C148="幽月轮1",C148="幽月轮2",C148="幽月轮3"),AB148=1),DA147+1,DA147))),0)</f>
        <v>2</v>
      </c>
      <c r="DB148" s="115">
        <f t="shared" ca="1" si="79"/>
        <v>0</v>
      </c>
      <c r="DC148" s="115"/>
      <c r="DD148" s="115"/>
      <c r="DE148" s="115"/>
      <c r="DF148" s="115"/>
      <c r="DG148" s="115"/>
      <c r="DH148" s="115"/>
      <c r="DI148" s="115"/>
      <c r="DJ148" s="115"/>
      <c r="DK148" s="115"/>
      <c r="DL148" s="115"/>
      <c r="DM148" s="115"/>
    </row>
    <row r="149" spans="2:117" x14ac:dyDescent="0.2">
      <c r="B149" s="117">
        <f t="shared" si="80"/>
        <v>112.54499999999994</v>
      </c>
      <c r="C149" s="167" t="str">
        <f t="shared" ca="1" si="66"/>
        <v>驱夜断愁</v>
      </c>
      <c r="D149" s="115">
        <f ca="1">IF(C149="赤日轮1",1,IF(C149="赤日轮2",2,IF(C149="赤日轮3",3,IF(C149="幽月轮1",4,IF(C149="幽月轮2",5,IF(C149="幽月轮3",6,IF(C149="烈日斩",7,IF(C149="银月斩",8,IF(C149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149="净世破魔击·月",17,IF(C149="驱夜断愁",18,0)))))))))))</f>
        <v>18</v>
      </c>
      <c r="E149" s="115">
        <f ca="1">IF(AND(CU149,OR(C149="幽月轮1",C149="幽月轮2",C149="幽月轮3",C149="银月斩",C149="驱夜断愁",C149="净世破魔击·月")),100,MIN(IF(OR(CN149,BE149),0,IF(OR($C149="赤日轮1",$C149="赤日轮2",$C149="赤日轮3"),E148+20+IF(模拟模式!$I$7="日月凌天",4,0)+IF(CR148,20,0),IF($C149="烈日斩",E148+40,IF($C149="驱夜断愁",IF(模拟模式!$R$7="万念俱寂",E148+20,E148+60),IF($C149="净世破魔击·月",IF(OR(DB148&gt;0,CV148&gt;0),100,IF(模拟模式!$M$7="辉耀红尘",E148+20,E148)),IF($C149="净世破魔击·日",E148-100,E148)))))),100))</f>
        <v>40</v>
      </c>
      <c r="F149" s="115">
        <f ca="1">IF(AND(CU149,OR(C149="赤日轮1",C149="赤日轮2",C149="赤日轮3",C149="烈日斩",C149="净世破魔击·日")),100,MIN(IF(CO149,0,IF(OR($C149="幽月轮1",$C149="幽月轮2",$C149="幽月轮3"),F148+20+IF(模拟模式!$I$7="日月凌天",4,0)+IF(CS148,20,0),IF($C149="银月斩",F148+40+IF(模拟模式!$X$12=1,5,0),IF($C149="驱夜断愁",IF(模拟模式!$R$7="万念俱寂",F148+20,F148+60),IF($C149="净世破魔击·月",IF(模拟模式!$M$7="辉耀红尘",F148-80,F148-100),IF(AND(C149="净世破魔击·日",OR(DB148&gt;0,CV148&gt;0)),100,F148)))))),100))</f>
        <v>85</v>
      </c>
      <c r="G149" s="117">
        <f ca="1">('模拟-全程加成'!$E$3+'模拟-全程加成'!$E$4+'模拟-全程加成'!$E$5+('模拟-全程加成'!$C$6-'模拟-全程加成'!$C$3)*系数!$B$9+BS149*23)*(1+'模拟-全程加成'!$F$4+'模拟-全程加成'!$F$5+BJ149*10%+BM149*20%+BP149*4%+CG149*30%)+$F$7*系数!$B$12</f>
        <v>20583.127400000001</v>
      </c>
      <c r="H149" s="45">
        <f ca="1">'模拟-全程加成'!$H$3+'模拟-全程加成'!$H$4+'模拟-全程加成'!$H$5+('模拟-全程加成'!$G$4+'模拟-全程加成'!$G$5+('模拟-全程加成'!$C$6-'模拟-全程加成'!$C$3)*系数!$B$13)/系数!$B$3+LOOKUP(D149,'模拟-单技能数据'!$A$2:$A$19,'模拟-单技能数据'!$K$2:$K$19)+BG149*10%+IF(BV149&gt;0,378,0)</f>
        <v>0.51185145527300213</v>
      </c>
      <c r="I149" s="45">
        <f ca="1">'模拟-全程加成'!$J$3+'模拟-全程加成'!$J$4+'模拟-全程加成'!$J$5+('模拟-全程加成'!$I$4+'模拟-全程加成'!$I$5)/系数!$B$4+LOOKUP(D149,'模拟-单技能数据'!$A$2:$A$19,'模拟-单技能数据'!$L$2:$L$19)+BG149*10%</f>
        <v>2.162482885499879</v>
      </c>
      <c r="J149" s="45">
        <f ca="1">(('模拟-全程加成'!$K$3+'模拟-全程加成'!$K$4+'模拟-全程加成'!$K$5+('模拟-全程加成'!$C$6-'模拟-全程加成'!$C$3)*系数!$B$10+IF(BV149&gt;0,882,0)+IF(BY149&gt;0,1831,0))*(1+'模拟-全程加成'!$L$4+'模拟-全程加成'!$L$5+CC149*20%))/系数!$B$5</f>
        <v>0.69723220422048726</v>
      </c>
      <c r="K149" s="119">
        <f ca="1">LOOKUP(D149,'模拟-单技能数据'!$A$2:$A$19,'模拟-单技能数据'!$J$2:$J$19)+IF(CM149,60%,0)+IF(DB148-DB149&gt;0,30%,0)+IF(OR(AND(OR(C149="赤日轮1",C149="赤日轮2",C149="赤日轮3"),CR149),AND(OR(C149="幽月轮1",C149="幽月轮2",C149="幽月轮3"),CS149)),35%,0)+CJ149</f>
        <v>0.14000000000000001</v>
      </c>
      <c r="L149" s="119">
        <f ca="1">IF(AND(C149="烈日斩",模拟模式!$X$11=1),10%,0)+IF(AND(C149="驱夜断愁",AB149=1),30%,0)</f>
        <v>0.3</v>
      </c>
      <c r="M149" s="45">
        <f t="shared" ca="1" si="129"/>
        <v>0.51185145527300213</v>
      </c>
      <c r="N149" s="45">
        <f t="shared" ca="1" si="130"/>
        <v>0.43424854472699792</v>
      </c>
      <c r="O149" s="46">
        <f t="shared" ca="1" si="83"/>
        <v>0.28660450461718767</v>
      </c>
      <c r="P149" s="46" t="str">
        <f t="shared" ca="1" si="84"/>
        <v>会</v>
      </c>
      <c r="Q149" s="45">
        <f t="shared" ca="1" si="85"/>
        <v>2.162482885499879</v>
      </c>
      <c r="R149" s="117">
        <f ca="1">模拟模式!$E$20*(1-IF(模拟模式!$J$19="有",0.15,0))*(1-IF(模拟模式!$K$19="有",0.3,0)-IF(CQ149,0.5,0))</f>
        <v>843.02999999999975</v>
      </c>
      <c r="S149" s="45">
        <f ca="1">R149/(R149+(185*模拟模式!$E$22-16800)*4.08224)</f>
        <v>8.389626085980037E-2</v>
      </c>
      <c r="T149" s="45" t="str">
        <f ca="1">LOOKUP(D149,'模拟-单技能数据'!$A$2:$A$19,'模拟-单技能数据'!$H$2:$H$19)</f>
        <v>阴</v>
      </c>
      <c r="U149" s="119">
        <f t="shared" ca="1" si="131"/>
        <v>0.08</v>
      </c>
      <c r="V149" s="47">
        <f ca="1">(1+L149)*(LOOKUP(D149,'模拟-单技能数据'!$A$2:$A$19,'模拟-单技能数据'!$D$2:$D$19)+G149*LOOKUP(D149,'模拟-单技能数据'!$A$2:$A$19,'模拟-单技能数据'!$F$2:$F$19))*(1+J149)*(1+K149)*(1-S149)*(1+U149)*Q149*LOOKUP(D149,'模拟-单技能数据'!$A$2:$A$19,'模拟-单技能数据'!$I$2:$I$20)</f>
        <v>127463.41908070058</v>
      </c>
      <c r="W149" s="47">
        <f ca="1">LOOKUP(D149,'模拟-单技能数据'!$A$2:$A$19,'模拟-单技能数据'!$G$2:$G$19)*$I$10</f>
        <v>723.0212870940959</v>
      </c>
      <c r="X149" s="47">
        <f t="shared" ca="1" si="87"/>
        <v>20337.288047383721</v>
      </c>
      <c r="Y149" s="47">
        <f t="shared" ca="1" si="132"/>
        <v>148523.7284151784</v>
      </c>
      <c r="Z149" s="49">
        <f t="shared" ca="1" si="133"/>
        <v>12837523.4628122</v>
      </c>
      <c r="AA149" s="97">
        <f t="shared" ca="1" si="134"/>
        <v>114065.693392085</v>
      </c>
      <c r="AB149" s="115">
        <f ca="1">IF(OR(C149="赤日轮1",C149="赤日轮2",C149="赤日轮3"),IF(RAND()&lt;模拟模式!$Y$17,1,0),IF(OR(C149="幽月轮1",C149="幽月轮2",C149="幽月轮3"),IF(RAND()&lt;模拟模式!$Y$18,1,0),IF(C149="烈日斩",IF(RAND()&lt;模拟模式!$Y$19,1,0),IF(C149="银月斩",IF(RAND()&lt;模拟模式!$Y$20,1,0),IF(C149="驱夜断愁",IF(RAND()&lt;模拟模式!$Y$21,1,0),IF(C149="净世破魔击·日",IF(RAND()&lt;模拟模式!$Y$22,1,0),IF(C149="净世破魔击·月",IF(RAND()&lt;模拟模式!$Y$23,1,0),0)))))))</f>
        <v>1</v>
      </c>
      <c r="AC149" s="115" t="b">
        <f t="shared" ca="1" si="122"/>
        <v>0</v>
      </c>
      <c r="AD149" s="115" t="b">
        <f t="shared" ca="1" si="142"/>
        <v>1</v>
      </c>
      <c r="AE149" s="115">
        <f t="shared" ca="1" si="143"/>
        <v>5</v>
      </c>
      <c r="AF149" s="47">
        <f ca="1">IF(AC149,('模拟-单技能数据'!$D$20+G149*'模拟-单技能数据'!$F$20)*(1+J149)*(1+'模拟-单技能数据'!$J$20)*(1+U149),0)</f>
        <v>0</v>
      </c>
      <c r="AG149" s="61">
        <f t="shared" ca="1" si="135"/>
        <v>0.64185145527300214</v>
      </c>
      <c r="AH149" s="61">
        <f t="shared" ca="1" si="136"/>
        <v>2.2624828854998791</v>
      </c>
      <c r="AI149" s="62">
        <f t="shared" ca="1" si="93"/>
        <v>0.69153765139299128</v>
      </c>
      <c r="AJ149" s="47">
        <f ca="1">IF(AD149,IF(AI149&lt;$F$10,0,IF(AI149&lt;$F$10+$F$11,0.25,IF(AI149&lt;$F$10+$F$11+AG149,AH149,1)))*IF(AF149&gt;0,AF149,IF(AF148&gt;0,AF148,IF(AF147&gt;0,AF147,IF(AF146&gt;0,AF146,IF(AF145&gt;0,AF145,IF(AF144&gt;0,AF144,IF(AF143&gt;0,AF143,IF(AF142&gt;0,AF142,IF(AF141&gt;0,AF141,IF(AF139&gt;0,AF139,IF(AF138&gt;0,AF138,IF(AF137&gt;0,AF137,0)))))))))))),0)*(1-$S149)*'模拟-单技能数据'!$I$20</f>
        <v>9218.9345386263849</v>
      </c>
      <c r="AK149" s="115" t="b">
        <f t="shared" ca="1" si="123"/>
        <v>0</v>
      </c>
      <c r="AL149" s="115" t="b">
        <f t="shared" ca="1" si="144"/>
        <v>1</v>
      </c>
      <c r="AM149" s="115">
        <f t="shared" ca="1" si="145"/>
        <v>4</v>
      </c>
      <c r="AN149" s="47">
        <f ca="1">IF(AK149,('模拟-单技能数据'!$D$21+G149*'模拟-单技能数据'!$F$21)*(1+J149)*(1+'模拟-单技能数据'!$J$21)*(1+U149),0)</f>
        <v>0</v>
      </c>
      <c r="AO149" s="61">
        <f ca="1">IF(AN149&gt;0,M149-'模拟-单技能数据'!$K$10,AO148)</f>
        <v>0.42185145527300216</v>
      </c>
      <c r="AP149" s="61">
        <f ca="1">IF(AN149&gt;0,I149-'模拟-单技能数据'!$L$10,AP148)</f>
        <v>2.162482885499879</v>
      </c>
      <c r="AQ149" s="63">
        <f t="shared" ca="1" si="94"/>
        <v>0.83311827024714402</v>
      </c>
      <c r="AR149" s="64">
        <f ca="1">IF(AL149,IF(AQ149&lt;$F$10,0,IF(AQ149&lt;$F$10+$F$11,0.25,IF(AQ149&lt;$F$10+$F$11+AO149,AP149,1)))*IF(AN149&gt;0,AN149,IF(AN148&gt;0,AN148,IF(AN147&gt;0,AN147,IF(AN146&gt;0,AN146,IF(AN145&gt;0,AN145,IF(AN144&gt;0,AN144,IF(AN143&gt;0,AN143,IF(AN142&gt;0,AN142,IF(AN141&gt;0,AN141,IF(AN139&gt;0,AN139,IF(AN138&gt;0,AN138,IF(AN137&gt;0,AN137,0)))))))))))),0)*(1-$S149)*'模拟-单技能数据'!$I$21</f>
        <v>11118.353508757338</v>
      </c>
      <c r="AS149" s="61">
        <f ca="1">IF(OR(C149="净世破魔击·日",C149="净世破魔击·月"),M149-'模拟-单技能数据'!$K$10,0)</f>
        <v>0</v>
      </c>
      <c r="AT149" s="61">
        <f ca="1">IF(OR(C149="净世破魔击·日",C149="净世破魔击·月"),I149-'模拟-单技能数据'!$L$10,0)</f>
        <v>0</v>
      </c>
      <c r="AU149" s="62">
        <f t="shared" ca="1" si="95"/>
        <v>4.5842421919030762E-2</v>
      </c>
      <c r="AV149" s="64">
        <f ca="1">IF(AS149&gt;0,('模拟-单技能数据'!$D$22+G149*'模拟-单技能数据'!$F$22)*(1+J149)*(1-S149)*IF(AU149&lt;$F$10,0,IF(AU149&lt;$F$10+$F$11,0.25,IF(AU149&lt;$F$10+$F$11+AS149,AT149,1)))*(1+U149),0)*'模拟-单技能数据'!$I$22</f>
        <v>0</v>
      </c>
      <c r="AW149" s="108">
        <f t="shared" ca="1" si="96"/>
        <v>15.387500000000003</v>
      </c>
      <c r="AX149" s="108" t="b">
        <f ca="1">AND(模拟模式!$P$10="有",AW148=0,RAND()&lt;IF(C149="净世破魔击·月",0.1*8/3,IF(C149="净世破魔击·日",0.1*4/3,0.1*2/3)))</f>
        <v>0</v>
      </c>
      <c r="AY149" s="47">
        <f ca="1">IF(AX149,(18+G149*0.722)*(1+J149)*(1-S149)*(1+$I$4)*IF(P149="会",'模拟-全程加成'!$J$3+'模拟-全程加成'!$J$4+'模拟-全程加成'!$J$5+('模拟-全程加成'!$I$4+'模拟-全程加成'!$I$5)/系数!$B$4+BG149*10%,IF(P149="命",1,IF(P149="识",0.25,0))),0)</f>
        <v>0</v>
      </c>
      <c r="AZ149" s="108">
        <f t="shared" si="97"/>
        <v>8.9300000000000068</v>
      </c>
      <c r="BA149" s="108" t="b">
        <f>AND(模拟模式!$Q$10="有",AZ148=0)</f>
        <v>0</v>
      </c>
      <c r="BB149" s="140">
        <f>IF(BA149,(0+G149*0.287)*(1+J149)*(1-S149)*(1+$I$4)*IF(P149="会",'模拟-全程加成'!$J$3+'模拟-全程加成'!$J$4+'模拟-全程加成'!$J$5+('模拟-全程加成'!$I$4+'模拟-全程加成'!$I$5)/系数!$B$4+BG149*10%,IF(P149="命",1,IF(P149="识",0.25,0))),0)</f>
        <v>0</v>
      </c>
      <c r="BC149" s="115" t="b">
        <f ca="1">AND(模拟模式!$R$7="伏明众生",E149=60,F149=20,DA149&lt;5,CZ148&lt;$F$4)</f>
        <v>0</v>
      </c>
      <c r="BD149" s="115">
        <f t="shared" ca="1" si="124"/>
        <v>0</v>
      </c>
      <c r="BE149" s="115" t="b">
        <f t="shared" ca="1" si="125"/>
        <v>0</v>
      </c>
      <c r="BF149" s="47">
        <f ca="1">IF(BC149,4*('模拟-单技能数据'!$D$24+G149*'模拟-单技能数据'!$F$24)*(1+J149)*(1+'模拟-单技能数据'!$J$24)*(1-S149)*(1+$I$3)*(('模拟-全程加成'!$J$3+'模拟-全程加成'!$J$4+'模拟-全程加成'!$J$5+('模拟-全程加成'!$I$4+'模拟-全程加成'!$I$5)/系数!$B$4+BG149*10%)*('模拟-全程加成'!$J$3+'模拟-全程加成'!$J$4+'模拟-全程加成'!$J$5+('模拟-全程加成'!$I$4+'模拟-全程加成'!$I$5)/系数!$B$4+BG149*10%)+(1-('模拟-全程加成'!$J$3+'模拟-全程加成'!$J$4+'模拟-全程加成'!$J$5+('模拟-全程加成'!$I$4+'模拟-全程加成'!$I$5)/系数!$B$4+BG149*10%)-$F$10-$F$11)+F135*0.25),0)*'模拟-单技能数据'!$I$24</f>
        <v>0</v>
      </c>
      <c r="BG149" s="115" t="b">
        <f ca="1">OR(AND(OR(C149="烈日斩",C149="银月斩"),模拟模式!$I$7="净身明礼"),AND(C149="净世破魔击·日",模拟模式!$J$7="洞若观火"),AND(C150="净世破魔击·月",模拟模式!$J$7="洞若观火"),AB149=1)</f>
        <v>1</v>
      </c>
      <c r="BH149" s="115" t="b">
        <f t="shared" ca="1" si="98"/>
        <v>0</v>
      </c>
      <c r="BI149" s="115">
        <f t="shared" ca="1" si="126"/>
        <v>0</v>
      </c>
      <c r="BJ149" s="115" t="b">
        <f t="shared" ca="1" si="137"/>
        <v>0</v>
      </c>
      <c r="BK149" s="115" t="b">
        <f ca="1">AND(C149="驱夜断愁",模拟模式!$P$7="天地诛戮")</f>
        <v>1</v>
      </c>
      <c r="BL149" s="57">
        <f t="shared" ca="1" si="127"/>
        <v>20</v>
      </c>
      <c r="BM149" s="115" t="b">
        <f t="shared" ca="1" si="138"/>
        <v>1</v>
      </c>
      <c r="BN149" s="115" t="b">
        <f ca="1">AND(OR(C149="赤日轮1",C149="赤日轮2",C149="赤日轮3",C149="幽月轮1",C149="幽月轮2",C149="幽月轮3"),AB149=1,模拟模式!$L$7="明光恒照")</f>
        <v>0</v>
      </c>
      <c r="BO149" s="117">
        <f t="shared" ca="1" si="128"/>
        <v>28.155000000000001</v>
      </c>
      <c r="BP149" s="115">
        <f t="shared" ca="1" si="101"/>
        <v>6</v>
      </c>
      <c r="BQ149" s="115" t="b">
        <f>模拟模式!$K$10="2600·水"</f>
        <v>0</v>
      </c>
      <c r="BR149" s="117">
        <f t="shared" si="102"/>
        <v>0</v>
      </c>
      <c r="BS149" s="115">
        <f t="shared" si="103"/>
        <v>0</v>
      </c>
      <c r="BT149" s="115">
        <f t="shared" ca="1" si="104"/>
        <v>0</v>
      </c>
      <c r="BU149" s="115" t="b">
        <f ca="1">AND(模拟模式!$K$10="2300·雷",BT148=0,RAND()&lt;IF(C149="净世破魔击·月",5*0.05*2/3,IF(C149="净世破魔击·日",3*0.05*2/3,0.05*2*2/3)))</f>
        <v>0</v>
      </c>
      <c r="BV149" s="115">
        <f t="shared" ca="1" si="105"/>
        <v>0</v>
      </c>
      <c r="BW149" s="115">
        <f t="shared" ca="1" si="106"/>
        <v>72.98999999999927</v>
      </c>
      <c r="BX149" s="164" t="b">
        <f t="shared" ca="1" si="107"/>
        <v>0</v>
      </c>
      <c r="BY149" s="115">
        <f t="shared" ca="1" si="108"/>
        <v>0</v>
      </c>
      <c r="BZ149" s="115">
        <f>IF(OR(模拟模式!$P$16="10人团",模拟模式!$P$16="25人团"),IF(B149/30&gt;CA148,1,0),0)</f>
        <v>0</v>
      </c>
      <c r="CA149" s="115">
        <f t="shared" si="74"/>
        <v>0</v>
      </c>
      <c r="CB149" s="115">
        <f ca="1">IF(BZ149=1,IF(模拟模式!$P$16="10人团",15,0)+IF(模拟模式!$P$16="25人团",IF(RAND()&lt;0.6,15,0)),MAX(0,CB148-$F$4))</f>
        <v>0</v>
      </c>
      <c r="CC149" s="115" t="b">
        <f t="shared" ca="1" si="139"/>
        <v>0</v>
      </c>
      <c r="CD149" s="115">
        <f>IF(模拟模式!$Q$16="1个",IF(B149/40&gt;CE148,1,0),0)</f>
        <v>0</v>
      </c>
      <c r="CE149" s="115">
        <f t="shared" si="140"/>
        <v>0</v>
      </c>
      <c r="CF149" s="115">
        <f>IF(OR(CD149=1,模拟模式!$Q$16="2个"),20,MAX(0,CF148-$F$4))</f>
        <v>0</v>
      </c>
      <c r="CG149" s="115" t="b">
        <f t="shared" si="141"/>
        <v>0</v>
      </c>
      <c r="CH149" s="115">
        <f t="shared" ca="1" si="112"/>
        <v>18.007500000000007</v>
      </c>
      <c r="CI149" s="115" t="b">
        <f t="shared" ca="1" si="113"/>
        <v>0</v>
      </c>
      <c r="CJ149" s="119">
        <f t="shared" ca="1" si="114"/>
        <v>0</v>
      </c>
      <c r="CK149" s="115">
        <f t="shared" ca="1" si="115"/>
        <v>0</v>
      </c>
      <c r="CL149" s="115" t="b">
        <f ca="1">AND(模拟模式!$S$7="驱夷逐法",OR(AND(C149="净世破魔击·月",E148&gt;59),AND(C149="净世破魔击·日",F148&gt;59)))</f>
        <v>0</v>
      </c>
      <c r="CM149" s="115" t="b">
        <f ca="1">OR(CL149,AND(C149="净世破魔击·日",CL148,RAND()&lt;模拟模式!$U$23))</f>
        <v>0</v>
      </c>
      <c r="CN149" s="115" t="b">
        <f ca="1">IF(模拟模式!$M$7="辉耀红尘",AND(C149="净世破魔击·月",CL149,CV149=0,E148&lt;80),AND(C149="净世破魔击·月",CL149,E148&lt;100))</f>
        <v>0</v>
      </c>
      <c r="CO149" s="115" t="b">
        <f t="shared" ca="1" si="75"/>
        <v>0</v>
      </c>
      <c r="CP149" s="115" t="b">
        <f ca="1">AND(模拟模式!$O$7="用晦而明",OR(C149="净世破魔击·日",C149="净世破魔击·月",C149="驱夜断愁"),AB149)</f>
        <v>1</v>
      </c>
      <c r="CQ149" s="115" t="b">
        <f ca="1">OR(CP149,AND(CP148,RAND()&lt;模拟模式!$U$23))</f>
        <v>1</v>
      </c>
      <c r="CR149" s="115" t="b">
        <f ca="1">AND(模拟模式!$S$7="日月齐光",OR(C149="幽月轮1",C149="幽月轮2",C149="幽月轮3",CR148),NOT(OR(C149="赤日轮1",C149="赤日轮2",C149="赤日轮3")))</f>
        <v>0</v>
      </c>
      <c r="CS149" s="115" t="b">
        <f ca="1">AND(模拟模式!$S$7="日月齐光",OR(C149="赤日轮1",C149="赤日轮2",C149="赤日轮3",CS148),NOT(OR(C149="幽月轮1",C149="幽月轮2",C149="幽月轮3")))</f>
        <v>0</v>
      </c>
      <c r="CT149" s="115">
        <f t="shared" ca="1" si="116"/>
        <v>16.162500000000009</v>
      </c>
      <c r="CU149" s="115" t="b">
        <f ca="1">AND(模拟模式!$K$10="阴阳往极",CT148=0,RAND()&lt;IF(C149="净世破魔击·月",0.0275*7/3,IF(C149="净世破魔击·日",0.0275*3/3,0.0275*2/3)))</f>
        <v>0</v>
      </c>
      <c r="CV149" s="115">
        <f t="shared" ca="1" si="117"/>
        <v>0</v>
      </c>
      <c r="CW149" s="115">
        <f t="shared" ca="1" si="76"/>
        <v>0.46499999999999975</v>
      </c>
      <c r="CX149" s="115">
        <f t="shared" ca="1" si="77"/>
        <v>5.0774999999999997</v>
      </c>
      <c r="CY149" s="115">
        <f ca="1">MAX(IF($C149="驱夜断愁",IF(模拟模式!$R$7="万念俱寂",6,45),CY148-$F$4),0)</f>
        <v>6</v>
      </c>
      <c r="CZ149" s="115">
        <f t="shared" ca="1" si="78"/>
        <v>0</v>
      </c>
      <c r="DA149" s="115">
        <f ca="1">IF(模拟模式!$N$7="日月同辉",IF(DB148=2,0,MIN(6,IF(AND(OR(C149="赤日轮1",C149="赤日轮2",C149="赤日轮3",C149="幽月轮1",C149="幽月轮2",C149="幽月轮3"),AB149=1),DA148+1,DA148))),0)</f>
        <v>2</v>
      </c>
      <c r="DB149" s="115">
        <f t="shared" ca="1" si="79"/>
        <v>0</v>
      </c>
      <c r="DC149" s="115"/>
      <c r="DD149" s="115"/>
      <c r="DE149" s="115"/>
      <c r="DF149" s="115"/>
      <c r="DG149" s="115"/>
      <c r="DH149" s="115"/>
      <c r="DI149" s="115"/>
      <c r="DJ149" s="115"/>
      <c r="DK149" s="115"/>
      <c r="DL149" s="115"/>
      <c r="DM149" s="115"/>
    </row>
    <row r="150" spans="2:117" x14ac:dyDescent="0.2">
      <c r="B150" s="117">
        <f t="shared" si="80"/>
        <v>113.46749999999994</v>
      </c>
      <c r="C150" s="167" t="str">
        <f t="shared" ca="1" si="66"/>
        <v>烈日斩</v>
      </c>
      <c r="D150" s="115">
        <f ca="1">IF(C150="赤日轮1",1,IF(C150="赤日轮2",2,IF(C150="赤日轮3",3,IF(C150="幽月轮1",4,IF(C150="幽月轮2",5,IF(C150="幽月轮3",6,IF(C150="烈日斩",7,IF(C150="银月斩",8,IF(C150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150="净世破魔击·月",17,IF(C150="驱夜断愁",18,0)))))))))))</f>
        <v>7</v>
      </c>
      <c r="E150" s="115">
        <f ca="1">IF(AND(CU150,OR(C150="幽月轮1",C150="幽月轮2",C150="幽月轮3",C150="银月斩",C150="驱夜断愁",C150="净世破魔击·月")),100,MIN(IF(OR(CN150,BE150),0,IF(OR($C150="赤日轮1",$C150="赤日轮2",$C150="赤日轮3"),E149+20+IF(模拟模式!$I$7="日月凌天",4,0)+IF(CR149,20,0),IF($C150="烈日斩",E149+40,IF($C150="驱夜断愁",IF(模拟模式!$R$7="万念俱寂",E149+20,E149+60),IF($C150="净世破魔击·月",IF(OR(DB149&gt;0,CV149&gt;0),100,IF(模拟模式!$M$7="辉耀红尘",E149+20,E149)),IF($C150="净世破魔击·日",E149-100,E149)))))),100))</f>
        <v>80</v>
      </c>
      <c r="F150" s="115">
        <f ca="1">IF(AND(CU150,OR(C150="赤日轮1",C150="赤日轮2",C150="赤日轮3",C150="烈日斩",C150="净世破魔击·日")),100,MIN(IF(CO150,0,IF(OR($C150="幽月轮1",$C150="幽月轮2",$C150="幽月轮3"),F149+20+IF(模拟模式!$I$7="日月凌天",4,0)+IF(CS149,20,0),IF($C150="银月斩",F149+40+IF(模拟模式!$X$12=1,5,0),IF($C150="驱夜断愁",IF(模拟模式!$R$7="万念俱寂",F149+20,F149+60),IF($C150="净世破魔击·月",IF(模拟模式!$M$7="辉耀红尘",F149-80,F149-100),IF(AND(C150="净世破魔击·日",OR(DB149&gt;0,CV149&gt;0)),100,F149)))))),100))</f>
        <v>85</v>
      </c>
      <c r="G150" s="117">
        <f ca="1">('模拟-全程加成'!$E$3+'模拟-全程加成'!$E$4+'模拟-全程加成'!$E$5+('模拟-全程加成'!$C$6-'模拟-全程加成'!$C$3)*系数!$B$9+BS150*23)*(1+'模拟-全程加成'!$F$4+'模拟-全程加成'!$F$5+BJ150*10%+BM150*20%+BP150*4%+CG150*30%)+$F$7*系数!$B$12</f>
        <v>21493.829400000002</v>
      </c>
      <c r="H150" s="45">
        <f ca="1">'模拟-全程加成'!$H$3+'模拟-全程加成'!$H$4+'模拟-全程加成'!$H$5+('模拟-全程加成'!$G$4+'模拟-全程加成'!$G$5+('模拟-全程加成'!$C$6-'模拟-全程加成'!$C$3)*系数!$B$13)/系数!$B$3+LOOKUP(D150,'模拟-单技能数据'!$A$2:$A$19,'模拟-单技能数据'!$K$2:$K$19)+BG150*10%+IF(BV150&gt;0,378,0)</f>
        <v>0.56185145527300218</v>
      </c>
      <c r="I150" s="45">
        <f ca="1">'模拟-全程加成'!$J$3+'模拟-全程加成'!$J$4+'模拟-全程加成'!$J$5+('模拟-全程加成'!$I$4+'模拟-全程加成'!$I$5)/系数!$B$4+LOOKUP(D150,'模拟-单技能数据'!$A$2:$A$19,'模拟-单技能数据'!$L$2:$L$19)+BG150*10%</f>
        <v>2.2624828854998791</v>
      </c>
      <c r="J150" s="45">
        <f ca="1">(('模拟-全程加成'!$K$3+'模拟-全程加成'!$K$4+'模拟-全程加成'!$K$5+('模拟-全程加成'!$C$6-'模拟-全程加成'!$C$3)*系数!$B$10+IF(BV150&gt;0,882,0)+IF(BY150&gt;0,1831,0))*(1+'模拟-全程加成'!$L$4+'模拟-全程加成'!$L$5+CC150*20%))/系数!$B$5</f>
        <v>0.69723220422048726</v>
      </c>
      <c r="K150" s="119">
        <f ca="1">LOOKUP(D150,'模拟-单技能数据'!$A$2:$A$19,'模拟-单技能数据'!$J$2:$J$19)+IF(CM150,60%,0)+IF(DB149-DB150&gt;0,30%,0)+IF(OR(AND(OR(C150="赤日轮1",C150="赤日轮2",C150="赤日轮3"),CR150),AND(OR(C150="幽月轮1",C150="幽月轮2",C150="幽月轮3"),CS150)),35%,0)+CJ150</f>
        <v>0.24</v>
      </c>
      <c r="L150" s="119">
        <f ca="1">IF(AND(C150="烈日斩",模拟模式!$X$11=1),10%,0)+IF(AND(C150="驱夜断愁",AB150=1),30%,0)</f>
        <v>0.1</v>
      </c>
      <c r="M150" s="45">
        <f t="shared" ca="1" si="129"/>
        <v>0.56185145527300218</v>
      </c>
      <c r="N150" s="45">
        <f t="shared" ca="1" si="130"/>
        <v>0.38424854472699788</v>
      </c>
      <c r="O150" s="46">
        <f t="shared" ca="1" si="83"/>
        <v>0.59787332439701546</v>
      </c>
      <c r="P150" s="46" t="str">
        <f t="shared" ca="1" si="84"/>
        <v>会</v>
      </c>
      <c r="Q150" s="45">
        <f t="shared" ca="1" si="85"/>
        <v>2.2624828854998791</v>
      </c>
      <c r="R150" s="117">
        <f ca="1">模拟模式!$E$20*(1-IF(模拟模式!$J$19="有",0.15,0))*(1-IF(模拟模式!$K$19="有",0.3,0)-IF(CQ150,0.5,0))</f>
        <v>843.02999999999975</v>
      </c>
      <c r="S150" s="45">
        <f ca="1">R150/(R150+(185*模拟模式!$E$22-16800)*4.08224)</f>
        <v>8.389626085980037E-2</v>
      </c>
      <c r="T150" s="45" t="str">
        <f ca="1">LOOKUP(D150,'模拟-单技能数据'!$A$2:$A$19,'模拟-单技能数据'!$H$2:$H$19)</f>
        <v>阳</v>
      </c>
      <c r="U150" s="119">
        <f t="shared" ca="1" si="131"/>
        <v>0.2</v>
      </c>
      <c r="V150" s="47">
        <f ca="1">(1+L150)*(LOOKUP(D150,'模拟-单技能数据'!$A$2:$A$19,'模拟-单技能数据'!$D$2:$D$19)+G150*LOOKUP(D150,'模拟-单技能数据'!$A$2:$A$19,'模拟-单技能数据'!$F$2:$F$19))*(1+J150)*(1+K150)*(1-S150)*(1+U150)*Q150*LOOKUP(D150,'模拟-单技能数据'!$A$2:$A$19,'模拟-单技能数据'!$I$2:$I$20)</f>
        <v>110503.35617153208</v>
      </c>
      <c r="W150" s="47">
        <f ca="1">LOOKUP(D150,'模拟-单技能数据'!$A$2:$A$19,'模拟-单技能数据'!$G$2:$G$19)*$I$10</f>
        <v>361.51064354704795</v>
      </c>
      <c r="X150" s="47">
        <f t="shared" ca="1" si="87"/>
        <v>0</v>
      </c>
      <c r="Y150" s="47">
        <f t="shared" ca="1" si="132"/>
        <v>110864.86681507913</v>
      </c>
      <c r="Z150" s="49">
        <f t="shared" ca="1" si="133"/>
        <v>12948388.329627279</v>
      </c>
      <c r="AA150" s="97">
        <f t="shared" ca="1" si="134"/>
        <v>114115.39277438284</v>
      </c>
      <c r="AB150" s="115">
        <f ca="1">IF(OR(C150="赤日轮1",C150="赤日轮2",C150="赤日轮3"),IF(RAND()&lt;模拟模式!$Y$17,1,0),IF(OR(C150="幽月轮1",C150="幽月轮2",C150="幽月轮3"),IF(RAND()&lt;模拟模式!$Y$18,1,0),IF(C150="烈日斩",IF(RAND()&lt;模拟模式!$Y$19,1,0),IF(C150="银月斩",IF(RAND()&lt;模拟模式!$Y$20,1,0),IF(C150="驱夜断愁",IF(RAND()&lt;模拟模式!$Y$21,1,0),IF(C150="净世破魔击·日",IF(RAND()&lt;模拟模式!$Y$22,1,0),IF(C150="净世破魔击·月",IF(RAND()&lt;模拟模式!$Y$23,1,0),0)))))))</f>
        <v>1</v>
      </c>
      <c r="AC150" s="115" t="b">
        <f t="shared" ca="1" si="122"/>
        <v>0</v>
      </c>
      <c r="AD150" s="115" t="b">
        <f t="shared" ca="1" si="142"/>
        <v>0</v>
      </c>
      <c r="AE150" s="115">
        <f t="shared" ca="1" si="143"/>
        <v>5</v>
      </c>
      <c r="AF150" s="47">
        <f ca="1">IF(AC150,('模拟-单技能数据'!$D$20+G150*'模拟-单技能数据'!$F$20)*(1+J150)*(1+'模拟-单技能数据'!$J$20)*(1+U150),0)</f>
        <v>0</v>
      </c>
      <c r="AG150" s="61">
        <f t="shared" ca="1" si="135"/>
        <v>0.64185145527300214</v>
      </c>
      <c r="AH150" s="61">
        <f t="shared" ca="1" si="136"/>
        <v>2.2624828854998791</v>
      </c>
      <c r="AI150" s="62">
        <f t="shared" ca="1" si="93"/>
        <v>0.74974338670749885</v>
      </c>
      <c r="AJ150" s="47">
        <f ca="1">IF(AD150,IF(AI150&lt;$F$10,0,IF(AI150&lt;$F$10+$F$11,0.25,IF(AI150&lt;$F$10+$F$11+AG150,AH150,1)))*IF(AF150&gt;0,AF150,IF(AF149&gt;0,AF149,IF(AF148&gt;0,AF148,IF(AF147&gt;0,AF147,IF(AF146&gt;0,AF146,IF(AF145&gt;0,AF145,IF(AF144&gt;0,AF144,IF(AF143&gt;0,AF143,IF(AF142&gt;0,AF142,IF(AF140&gt;0,AF140,IF(AF139&gt;0,AF139,IF(AF138&gt;0,AF138,0)))))))))))),0)*(1-$S150)*'模拟-单技能数据'!$I$20</f>
        <v>0</v>
      </c>
      <c r="AK150" s="115" t="b">
        <f t="shared" ca="1" si="123"/>
        <v>0</v>
      </c>
      <c r="AL150" s="115" t="b">
        <f t="shared" ca="1" si="144"/>
        <v>0</v>
      </c>
      <c r="AM150" s="115">
        <f t="shared" ca="1" si="145"/>
        <v>4</v>
      </c>
      <c r="AN150" s="47">
        <f ca="1">IF(AK150,('模拟-单技能数据'!$D$21+G150*'模拟-单技能数据'!$F$21)*(1+J150)*(1+'模拟-单技能数据'!$J$21)*(1+U150),0)</f>
        <v>0</v>
      </c>
      <c r="AO150" s="61">
        <f ca="1">IF(AN150&gt;0,M150-'模拟-单技能数据'!$K$10,AO149)</f>
        <v>0.42185145527300216</v>
      </c>
      <c r="AP150" s="61">
        <f ca="1">IF(AN150&gt;0,I150-'模拟-单技能数据'!$L$10,AP149)</f>
        <v>2.162482885499879</v>
      </c>
      <c r="AQ150" s="63">
        <f t="shared" ca="1" si="94"/>
        <v>0.40320905444935973</v>
      </c>
      <c r="AR150" s="64">
        <f ca="1">IF(AL150,IF(AQ150&lt;$F$10,0,IF(AQ150&lt;$F$10+$F$11,0.25,IF(AQ150&lt;$F$10+$F$11+AO150,AP150,1)))*IF(AN150&gt;0,AN150,IF(AN149&gt;0,AN149,IF(AN148&gt;0,AN148,IF(AN147&gt;0,AN147,IF(AN146&gt;0,AN146,IF(AN145&gt;0,AN145,IF(AN144&gt;0,AN144,IF(AN143&gt;0,AN143,IF(AN142&gt;0,AN142,IF(AN140&gt;0,AN140,IF(AN139&gt;0,AN139,IF(AN138&gt;0,AN138,0)))))))))))),0)*(1-$S150)*'模拟-单技能数据'!$I$21</f>
        <v>0</v>
      </c>
      <c r="AS150" s="61">
        <f ca="1">IF(OR(C150="净世破魔击·日",C150="净世破魔击·月"),M150-'模拟-单技能数据'!$K$10,0)</f>
        <v>0</v>
      </c>
      <c r="AT150" s="61">
        <f ca="1">IF(OR(C150="净世破魔击·日",C150="净世破魔击·月"),I150-'模拟-单技能数据'!$L$10,0)</f>
        <v>0</v>
      </c>
      <c r="AU150" s="62">
        <f t="shared" ca="1" si="95"/>
        <v>0.98293831079949268</v>
      </c>
      <c r="AV150" s="64">
        <f ca="1">IF(AS150&gt;0,('模拟-单技能数据'!$D$22+G150*'模拟-单技能数据'!$F$22)*(1+J150)*(1-S150)*IF(AU150&lt;$F$10,0,IF(AU150&lt;$F$10+$F$11,0.25,IF(AU150&lt;$F$10+$F$11+AS150,AT150,1)))*(1+U150),0)*'模拟-单技能数据'!$I$22</f>
        <v>0</v>
      </c>
      <c r="AW150" s="108">
        <f t="shared" ca="1" si="96"/>
        <v>14.465000000000003</v>
      </c>
      <c r="AX150" s="108" t="b">
        <f ca="1">AND(模拟模式!$P$10="有",AW149=0,RAND()&lt;IF(C150="净世破魔击·月",0.1*8/3,IF(C150="净世破魔击·日",0.1*4/3,0.1*2/3)))</f>
        <v>0</v>
      </c>
      <c r="AY150" s="47">
        <f ca="1">IF(AX150,(18+G150*0.722)*(1+J150)*(1-S150)*(1+$I$4)*IF(P150="会",'模拟-全程加成'!$J$3+'模拟-全程加成'!$J$4+'模拟-全程加成'!$J$5+('模拟-全程加成'!$I$4+'模拟-全程加成'!$I$5)/系数!$B$4+BG150*10%,IF(P150="命",1,IF(P150="识",0.25,0))),0)</f>
        <v>0</v>
      </c>
      <c r="AZ150" s="108">
        <f t="shared" si="97"/>
        <v>8.0075000000000074</v>
      </c>
      <c r="BA150" s="108" t="b">
        <f>AND(模拟模式!$Q$10="有",AZ149=0)</f>
        <v>0</v>
      </c>
      <c r="BB150" s="140">
        <f>IF(BA150,(0+G150*0.287)*(1+J150)*(1-S150)*(1+$I$4)*IF(P150="会",'模拟-全程加成'!$J$3+'模拟-全程加成'!$J$4+'模拟-全程加成'!$J$5+('模拟-全程加成'!$I$4+'模拟-全程加成'!$I$5)/系数!$B$4+BG150*10%,IF(P150="命",1,IF(P150="识",0.25,0))),0)</f>
        <v>0</v>
      </c>
      <c r="BC150" s="115" t="b">
        <f ca="1">AND(模拟模式!$R$7="伏明众生",E150=60,F150=20,DA150&lt;5,CZ149&lt;$F$4)</f>
        <v>0</v>
      </c>
      <c r="BD150" s="115">
        <f t="shared" ca="1" si="124"/>
        <v>0</v>
      </c>
      <c r="BE150" s="115" t="b">
        <f t="shared" ca="1" si="125"/>
        <v>0</v>
      </c>
      <c r="BF150" s="47">
        <f ca="1">IF(BC150,4*('模拟-单技能数据'!$D$24+G150*'模拟-单技能数据'!$F$24)*(1+J150)*(1+'模拟-单技能数据'!$J$24)*(1-S150)*(1+$I$3)*(('模拟-全程加成'!$J$3+'模拟-全程加成'!$J$4+'模拟-全程加成'!$J$5+('模拟-全程加成'!$I$4+'模拟-全程加成'!$I$5)/系数!$B$4+BG150*10%)*('模拟-全程加成'!$J$3+'模拟-全程加成'!$J$4+'模拟-全程加成'!$J$5+('模拟-全程加成'!$I$4+'模拟-全程加成'!$I$5)/系数!$B$4+BG150*10%)+(1-('模拟-全程加成'!$J$3+'模拟-全程加成'!$J$4+'模拟-全程加成'!$J$5+('模拟-全程加成'!$I$4+'模拟-全程加成'!$I$5)/系数!$B$4+BG150*10%)-$F$10-$F$11)+F136*0.25),0)*'模拟-单技能数据'!$I$24</f>
        <v>0</v>
      </c>
      <c r="BG150" s="115" t="b">
        <f ca="1">OR(AND(OR(C150="烈日斩",C150="银月斩"),模拟模式!$I$7="净身明礼"),AND(C150="净世破魔击·日",模拟模式!$J$7="洞若观火"),AND(C151="净世破魔击·月",模拟模式!$J$7="洞若观火"),AB150=1)</f>
        <v>1</v>
      </c>
      <c r="BH150" s="115" t="b">
        <f t="shared" ca="1" si="98"/>
        <v>1</v>
      </c>
      <c r="BI150" s="115">
        <f t="shared" ca="1" si="126"/>
        <v>6</v>
      </c>
      <c r="BJ150" s="115" t="b">
        <f t="shared" ca="1" si="137"/>
        <v>1</v>
      </c>
      <c r="BK150" s="115" t="b">
        <f ca="1">AND(C150="驱夜断愁",模拟模式!$P$7="天地诛戮")</f>
        <v>0</v>
      </c>
      <c r="BL150" s="57">
        <f t="shared" ca="1" si="127"/>
        <v>19.077500000000001</v>
      </c>
      <c r="BM150" s="115" t="b">
        <f t="shared" ca="1" si="138"/>
        <v>1</v>
      </c>
      <c r="BN150" s="115" t="b">
        <f ca="1">AND(OR(C150="赤日轮1",C150="赤日轮2",C150="赤日轮3",C150="幽月轮1",C150="幽月轮2",C150="幽月轮3"),AB150=1,模拟模式!$L$7="明光恒照")</f>
        <v>0</v>
      </c>
      <c r="BO150" s="117">
        <f t="shared" ca="1" si="128"/>
        <v>27.232500000000002</v>
      </c>
      <c r="BP150" s="115">
        <f t="shared" ca="1" si="101"/>
        <v>6</v>
      </c>
      <c r="BQ150" s="115" t="b">
        <f>模拟模式!$K$10="2600·水"</f>
        <v>0</v>
      </c>
      <c r="BR150" s="117">
        <f t="shared" si="102"/>
        <v>0</v>
      </c>
      <c r="BS150" s="115">
        <f t="shared" si="103"/>
        <v>0</v>
      </c>
      <c r="BT150" s="115">
        <f t="shared" ca="1" si="104"/>
        <v>0</v>
      </c>
      <c r="BU150" s="115" t="b">
        <f ca="1">AND(模拟模式!$K$10="2300·雷",BT149=0,RAND()&lt;IF(C150="净世破魔击·月",5*0.05*2/3,IF(C150="净世破魔击·日",3*0.05*2/3,0.05*2*2/3)))</f>
        <v>0</v>
      </c>
      <c r="BV150" s="115">
        <f t="shared" ca="1" si="105"/>
        <v>0</v>
      </c>
      <c r="BW150" s="115">
        <f t="shared" ca="1" si="106"/>
        <v>72.067499999999271</v>
      </c>
      <c r="BX150" s="164" t="b">
        <f t="shared" ca="1" si="107"/>
        <v>0</v>
      </c>
      <c r="BY150" s="115">
        <f t="shared" ca="1" si="108"/>
        <v>0</v>
      </c>
      <c r="BZ150" s="115">
        <f>IF(OR(模拟模式!$P$16="10人团",模拟模式!$P$16="25人团"),IF(B150/30&gt;CA149,1,0),0)</f>
        <v>0</v>
      </c>
      <c r="CA150" s="115">
        <f t="shared" si="74"/>
        <v>0</v>
      </c>
      <c r="CB150" s="115">
        <f ca="1">IF(BZ150=1,IF(模拟模式!$P$16="10人团",15,0)+IF(模拟模式!$P$16="25人团",IF(RAND()&lt;0.6,15,0)),MAX(0,CB149-$F$4))</f>
        <v>0</v>
      </c>
      <c r="CC150" s="115" t="b">
        <f t="shared" ca="1" si="139"/>
        <v>0</v>
      </c>
      <c r="CD150" s="115">
        <f>IF(模拟模式!$Q$16="1个",IF(B150/40&gt;CE149,1,0),0)</f>
        <v>0</v>
      </c>
      <c r="CE150" s="115">
        <f t="shared" si="140"/>
        <v>0</v>
      </c>
      <c r="CF150" s="115">
        <f>IF(OR(CD150=1,模拟模式!$Q$16="2个"),20,MAX(0,CF149-$F$4))</f>
        <v>0</v>
      </c>
      <c r="CG150" s="115" t="b">
        <f t="shared" si="141"/>
        <v>0</v>
      </c>
      <c r="CH150" s="115">
        <f t="shared" ca="1" si="112"/>
        <v>17.085000000000008</v>
      </c>
      <c r="CI150" s="115" t="b">
        <f t="shared" ca="1" si="113"/>
        <v>0</v>
      </c>
      <c r="CJ150" s="119">
        <f t="shared" ca="1" si="114"/>
        <v>0</v>
      </c>
      <c r="CK150" s="115">
        <f t="shared" ca="1" si="115"/>
        <v>0</v>
      </c>
      <c r="CL150" s="115" t="b">
        <f ca="1">AND(模拟模式!$S$7="驱夷逐法",OR(AND(C150="净世破魔击·月",E149&gt;59),AND(C150="净世破魔击·日",F149&gt;59)))</f>
        <v>0</v>
      </c>
      <c r="CM150" s="115" t="b">
        <f ca="1">OR(CL150,AND(C150="净世破魔击·日",CL149,RAND()&lt;模拟模式!$U$23))</f>
        <v>0</v>
      </c>
      <c r="CN150" s="115" t="b">
        <f ca="1">IF(模拟模式!$M$7="辉耀红尘",AND(C150="净世破魔击·月",CL150,CV150=0,E149&lt;80),AND(C150="净世破魔击·月",CL150,E149&lt;100))</f>
        <v>0</v>
      </c>
      <c r="CO150" s="115" t="b">
        <f t="shared" ca="1" si="75"/>
        <v>0</v>
      </c>
      <c r="CP150" s="115" t="b">
        <f ca="1">AND(模拟模式!$O$7="用晦而明",OR(C150="净世破魔击·日",C150="净世破魔击·月",C150="驱夜断愁"),AB150)</f>
        <v>0</v>
      </c>
      <c r="CQ150" s="115" t="b">
        <f ca="1">OR(CP150,AND(CP149,RAND()&lt;模拟模式!$U$23))</f>
        <v>1</v>
      </c>
      <c r="CR150" s="115" t="b">
        <f ca="1">AND(模拟模式!$S$7="日月齐光",OR(C150="幽月轮1",C150="幽月轮2",C150="幽月轮3",CR149),NOT(OR(C150="赤日轮1",C150="赤日轮2",C150="赤日轮3")))</f>
        <v>0</v>
      </c>
      <c r="CS150" s="115" t="b">
        <f ca="1">AND(模拟模式!$S$7="日月齐光",OR(C150="赤日轮1",C150="赤日轮2",C150="赤日轮3",CS149),NOT(OR(C150="幽月轮1",C150="幽月轮2",C150="幽月轮3")))</f>
        <v>0</v>
      </c>
      <c r="CT150" s="115">
        <f t="shared" ca="1" si="116"/>
        <v>15.240000000000009</v>
      </c>
      <c r="CU150" s="115" t="b">
        <f ca="1">AND(模拟模式!$K$10="阴阳往极",CT149=0,RAND()&lt;IF(C150="净世破魔击·月",0.0275*7/3,IF(C150="净世破魔击·日",0.0275*3/3,0.0275*2/3)))</f>
        <v>0</v>
      </c>
      <c r="CV150" s="115">
        <f t="shared" ca="1" si="117"/>
        <v>0</v>
      </c>
      <c r="CW150" s="115">
        <f t="shared" ca="1" si="76"/>
        <v>6</v>
      </c>
      <c r="CX150" s="115">
        <f t="shared" ca="1" si="77"/>
        <v>4.1549999999999994</v>
      </c>
      <c r="CY150" s="115">
        <f ca="1">MAX(IF($C150="驱夜断愁",IF(模拟模式!$R$7="万念俱寂",6,45),CY149-$F$4),0)</f>
        <v>5.0774999999999997</v>
      </c>
      <c r="CZ150" s="115">
        <f t="shared" ca="1" si="78"/>
        <v>0</v>
      </c>
      <c r="DA150" s="115">
        <f ca="1">IF(模拟模式!$N$7="日月同辉",IF(DB149=2,0,MIN(6,IF(AND(OR(C150="赤日轮1",C150="赤日轮2",C150="赤日轮3",C150="幽月轮1",C150="幽月轮2",C150="幽月轮3"),AB150=1),DA149+1,DA149))),0)</f>
        <v>2</v>
      </c>
      <c r="DB150" s="115">
        <f t="shared" ca="1" si="79"/>
        <v>0</v>
      </c>
      <c r="DC150" s="115"/>
      <c r="DD150" s="115"/>
      <c r="DE150" s="115"/>
      <c r="DF150" s="115"/>
      <c r="DG150" s="115"/>
      <c r="DH150" s="115"/>
      <c r="DI150" s="115"/>
      <c r="DJ150" s="115"/>
      <c r="DK150" s="115"/>
      <c r="DL150" s="115"/>
      <c r="DM150" s="115"/>
    </row>
    <row r="151" spans="2:117" x14ac:dyDescent="0.2">
      <c r="B151" s="117">
        <f t="shared" si="80"/>
        <v>114.38999999999994</v>
      </c>
      <c r="C151" s="167" t="str">
        <f t="shared" ca="1" si="66"/>
        <v>幽月轮1</v>
      </c>
      <c r="D151" s="115">
        <f ca="1">IF(C151="赤日轮1",1,IF(C151="赤日轮2",2,IF(C151="赤日轮3",3,IF(C151="幽月轮1",4,IF(C151="幽月轮2",5,IF(C151="幽月轮3",6,IF(C151="烈日斩",7,IF(C151="银月斩",8,IF(C151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151="净世破魔击·月",17,IF(C151="驱夜断愁",18,0)))))))))))</f>
        <v>4</v>
      </c>
      <c r="E151" s="115">
        <f ca="1">IF(AND(CU151,OR(C151="幽月轮1",C151="幽月轮2",C151="幽月轮3",C151="银月斩",C151="驱夜断愁",C151="净世破魔击·月")),100,MIN(IF(OR(CN151,BE151),0,IF(OR($C151="赤日轮1",$C151="赤日轮2",$C151="赤日轮3"),E150+20+IF(模拟模式!$I$7="日月凌天",4,0)+IF(CR150,20,0),IF($C151="烈日斩",E150+40,IF($C151="驱夜断愁",IF(模拟模式!$R$7="万念俱寂",E150+20,E150+60),IF($C151="净世破魔击·月",IF(OR(DB150&gt;0,CV150&gt;0),100,IF(模拟模式!$M$7="辉耀红尘",E150+20,E150)),IF($C151="净世破魔击·日",E150-100,E150)))))),100))</f>
        <v>80</v>
      </c>
      <c r="F151" s="115">
        <f ca="1">IF(AND(CU151,OR(C151="赤日轮1",C151="赤日轮2",C151="赤日轮3",C151="烈日斩",C151="净世破魔击·日")),100,MIN(IF(CO151,0,IF(OR($C151="幽月轮1",$C151="幽月轮2",$C151="幽月轮3"),F150+20+IF(模拟模式!$I$7="日月凌天",4,0)+IF(CS150,20,0),IF($C151="银月斩",F150+40+IF(模拟模式!$X$12=1,5,0),IF($C151="驱夜断愁",IF(模拟模式!$R$7="万念俱寂",F150+20,F150+60),IF($C151="净世破魔击·月",IF(模拟模式!$M$7="辉耀红尘",F150-80,F150-100),IF(AND(C151="净世破魔击·日",OR(DB150&gt;0,CV150&gt;0)),100,F150)))))),100))</f>
        <v>100</v>
      </c>
      <c r="G151" s="117">
        <f ca="1">('模拟-全程加成'!$E$3+'模拟-全程加成'!$E$4+'模拟-全程加成'!$E$5+('模拟-全程加成'!$C$6-'模拟-全程加成'!$C$3)*系数!$B$9+BS151*23)*(1+'模拟-全程加成'!$F$4+'模拟-全程加成'!$F$5+BJ151*10%+BM151*20%+BP151*4%+CG151*30%)+$F$7*系数!$B$12</f>
        <v>21493.829400000002</v>
      </c>
      <c r="H151" s="45">
        <f ca="1">'模拟-全程加成'!$H$3+'模拟-全程加成'!$H$4+'模拟-全程加成'!$H$5+('模拟-全程加成'!$G$4+'模拟-全程加成'!$G$5+('模拟-全程加成'!$C$6-'模拟-全程加成'!$C$3)*系数!$B$13)/系数!$B$3+LOOKUP(D151,'模拟-单技能数据'!$A$2:$A$19,'模拟-单技能数据'!$K$2:$K$19)+BG151*10%+IF(BV151&gt;0,378,0)</f>
        <v>0.51185145527300213</v>
      </c>
      <c r="I151" s="45">
        <f ca="1">'模拟-全程加成'!$J$3+'模拟-全程加成'!$J$4+'模拟-全程加成'!$J$5+('模拟-全程加成'!$I$4+'模拟-全程加成'!$I$5)/系数!$B$4+LOOKUP(D151,'模拟-单技能数据'!$A$2:$A$19,'模拟-单技能数据'!$L$2:$L$19)+BG151*10%</f>
        <v>2.162482885499879</v>
      </c>
      <c r="J151" s="45">
        <f ca="1">(('模拟-全程加成'!$K$3+'模拟-全程加成'!$K$4+'模拟-全程加成'!$K$5+('模拟-全程加成'!$C$6-'模拟-全程加成'!$C$3)*系数!$B$10+IF(BV151&gt;0,882,0)+IF(BY151&gt;0,1831,0))*(1+'模拟-全程加成'!$L$4+'模拟-全程加成'!$L$5+CC151*20%))/系数!$B$5</f>
        <v>0.69723220422048726</v>
      </c>
      <c r="K151" s="119">
        <f ca="1">LOOKUP(D151,'模拟-单技能数据'!$A$2:$A$19,'模拟-单技能数据'!$J$2:$J$19)+IF(CM151,60%,0)+IF(DB150-DB151&gt;0,30%,0)+IF(OR(AND(OR(C151="赤日轮1",C151="赤日轮2",C151="赤日轮3"),CR151),AND(OR(C151="幽月轮1",C151="幽月轮2",C151="幽月轮3"),CS151)),35%,0)+CJ151</f>
        <v>7.0000000000000007E-2</v>
      </c>
      <c r="L151" s="119">
        <f ca="1">IF(AND(C151="烈日斩",模拟模式!$X$11=1),10%,0)+IF(AND(C151="驱夜断愁",AB151=1),30%,0)</f>
        <v>0</v>
      </c>
      <c r="M151" s="45">
        <f t="shared" ca="1" si="129"/>
        <v>0.51185145527300213</v>
      </c>
      <c r="N151" s="45">
        <f t="shared" ca="1" si="130"/>
        <v>0.43424854472699792</v>
      </c>
      <c r="O151" s="46">
        <f t="shared" ca="1" si="83"/>
        <v>0.62377120554703958</v>
      </c>
      <c r="P151" s="46" t="str">
        <f t="shared" ca="1" si="84"/>
        <v>命</v>
      </c>
      <c r="Q151" s="45">
        <f t="shared" ca="1" si="85"/>
        <v>1</v>
      </c>
      <c r="R151" s="117">
        <f ca="1">模拟模式!$E$20*(1-IF(模拟模式!$J$19="有",0.15,0))*(1-IF(模拟模式!$K$19="有",0.3,0)-IF(CQ151,0.5,0))</f>
        <v>2950.6049999999996</v>
      </c>
      <c r="S151" s="45">
        <f ca="1">R151/(R151+(185*模拟模式!$E$22-16800)*4.08224)</f>
        <v>0.24272716014590323</v>
      </c>
      <c r="T151" s="45" t="str">
        <f ca="1">LOOKUP(D151,'模拟-单技能数据'!$A$2:$A$19,'模拟-单技能数据'!$H$2:$H$19)</f>
        <v>阴</v>
      </c>
      <c r="U151" s="119">
        <f t="shared" ca="1" si="131"/>
        <v>0.08</v>
      </c>
      <c r="V151" s="47">
        <f ca="1">(1+L151)*(LOOKUP(D151,'模拟-单技能数据'!$A$2:$A$19,'模拟-单技能数据'!$D$2:$D$19)+G151*LOOKUP(D151,'模拟-单技能数据'!$A$2:$A$19,'模拟-单技能数据'!$F$2:$F$19))*(1+J151)*(1+K151)*(1-S151)*(1+U151)*Q151*LOOKUP(D151,'模拟-单技能数据'!$A$2:$A$19,'模拟-单技能数据'!$I$2:$I$20)</f>
        <v>16939.18703301924</v>
      </c>
      <c r="W151" s="47">
        <f ca="1">LOOKUP(D151,'模拟-单技能数据'!$A$2:$A$19,'模拟-单技能数据'!$G$2:$G$19)*$I$10</f>
        <v>361.51064354704795</v>
      </c>
      <c r="X151" s="47">
        <f t="shared" ca="1" si="87"/>
        <v>27495.301292182321</v>
      </c>
      <c r="Y151" s="47">
        <f t="shared" ca="1" si="132"/>
        <v>44795.998968748609</v>
      </c>
      <c r="Z151" s="49">
        <f t="shared" ca="1" si="133"/>
        <v>12993184.328596028</v>
      </c>
      <c r="AA151" s="97">
        <f t="shared" ca="1" si="134"/>
        <v>113586.71499777983</v>
      </c>
      <c r="AB151" s="115">
        <f ca="1">IF(OR(C151="赤日轮1",C151="赤日轮2",C151="赤日轮3"),IF(RAND()&lt;模拟模式!$Y$17,1,0),IF(OR(C151="幽月轮1",C151="幽月轮2",C151="幽月轮3"),IF(RAND()&lt;模拟模式!$Y$18,1,0),IF(C151="烈日斩",IF(RAND()&lt;模拟模式!$Y$19,1,0),IF(C151="银月斩",IF(RAND()&lt;模拟模式!$Y$20,1,0),IF(C151="驱夜断愁",IF(RAND()&lt;模拟模式!$Y$21,1,0),IF(C151="净世破魔击·日",IF(RAND()&lt;模拟模式!$Y$22,1,0),IF(C151="净世破魔击·月",IF(RAND()&lt;模拟模式!$Y$23,1,0),0)))))))</f>
        <v>1</v>
      </c>
      <c r="AC151" s="115" t="b">
        <f t="shared" ca="1" si="122"/>
        <v>0</v>
      </c>
      <c r="AD151" s="115" t="b">
        <f t="shared" ca="1" si="142"/>
        <v>1</v>
      </c>
      <c r="AE151" s="115">
        <f t="shared" ca="1" si="143"/>
        <v>4</v>
      </c>
      <c r="AF151" s="47">
        <f ca="1">IF(AC151,('模拟-单技能数据'!$D$20+G151*'模拟-单技能数据'!$F$20)*(1+J151)*(1+'模拟-单技能数据'!$J$20)*(1+U151),0)</f>
        <v>0</v>
      </c>
      <c r="AG151" s="61">
        <f t="shared" ca="1" si="135"/>
        <v>0.64185145527300214</v>
      </c>
      <c r="AH151" s="61">
        <f t="shared" ca="1" si="136"/>
        <v>2.2624828854998791</v>
      </c>
      <c r="AI151" s="62">
        <f t="shared" ca="1" si="93"/>
        <v>0.10949136353050692</v>
      </c>
      <c r="AJ151" s="47">
        <f ca="1">IF(AD151,IF(AI151&lt;$F$10,0,IF(AI151&lt;$F$10+$F$11,0.25,IF(AI151&lt;$F$10+$F$11+AG151,AH151,1)))*IF(AF151&gt;0,AF151,IF(AF150&gt;0,AF150,IF(AF149&gt;0,AF149,IF(AF148&gt;0,AF148,IF(AF147&gt;0,AF147,IF(AF146&gt;0,AF146,IF(AF145&gt;0,AF145,IF(AF144&gt;0,AF144,IF(AF143&gt;0,AF143,IF(AF141&gt;0,AF141,IF(AF140&gt;0,AF140,IF(AF139&gt;0,AF139,0)))))))))))),0)*(1-$S151)*'模拟-单技能数据'!$I$20</f>
        <v>7620.5875385322679</v>
      </c>
      <c r="AK151" s="115" t="b">
        <f t="shared" ca="1" si="123"/>
        <v>0</v>
      </c>
      <c r="AL151" s="115" t="b">
        <f t="shared" ca="1" si="144"/>
        <v>1</v>
      </c>
      <c r="AM151" s="115">
        <f t="shared" ca="1" si="145"/>
        <v>3</v>
      </c>
      <c r="AN151" s="47">
        <f ca="1">IF(AK151,('模拟-单技能数据'!$D$21+G151*'模拟-单技能数据'!$F$21)*(1+J151)*(1+'模拟-单技能数据'!$J$21)*(1+U151),0)</f>
        <v>0</v>
      </c>
      <c r="AO151" s="61">
        <f ca="1">IF(AN151&gt;0,M151-'模拟-单技能数据'!$K$10,AO150)</f>
        <v>0.42185145527300216</v>
      </c>
      <c r="AP151" s="61">
        <f ca="1">IF(AN151&gt;0,I151-'模拟-单技能数据'!$L$10,AP150)</f>
        <v>2.162482885499879</v>
      </c>
      <c r="AQ151" s="63">
        <f t="shared" ca="1" si="94"/>
        <v>0.11770470900841878</v>
      </c>
      <c r="AR151" s="64">
        <f ca="1">IF(AL151,IF(AQ151&lt;$F$10,0,IF(AQ151&lt;$F$10+$F$11,0.25,IF(AQ151&lt;$F$10+$F$11+AO151,AP151,1)))*IF(AN151&gt;0,AN151,IF(AN150&gt;0,AN150,IF(AN149&gt;0,AN149,IF(AN148&gt;0,AN148,IF(AN147&gt;0,AN147,IF(AN146&gt;0,AN146,IF(AN145&gt;0,AN145,IF(AN144&gt;0,AN144,IF(AN143&gt;0,AN143,IF(AN141&gt;0,AN141,IF(AN140&gt;0,AN140,IF(AN139&gt;0,AN139,0)))))))))))),0)*(1-$S151)*'模拟-单技能数据'!$I$21</f>
        <v>19874.713753650052</v>
      </c>
      <c r="AS151" s="61">
        <f ca="1">IF(OR(C151="净世破魔击·日",C151="净世破魔击·月"),M151-'模拟-单技能数据'!$K$10,0)</f>
        <v>0</v>
      </c>
      <c r="AT151" s="61">
        <f ca="1">IF(OR(C151="净世破魔击·日",C151="净世破魔击·月"),I151-'模拟-单技能数据'!$L$10,0)</f>
        <v>0</v>
      </c>
      <c r="AU151" s="62">
        <f t="shared" ca="1" si="95"/>
        <v>0.94066272306126664</v>
      </c>
      <c r="AV151" s="64">
        <f ca="1">IF(AS151&gt;0,('模拟-单技能数据'!$D$22+G151*'模拟-单技能数据'!$F$22)*(1+J151)*(1-S151)*IF(AU151&lt;$F$10,0,IF(AU151&lt;$F$10+$F$11,0.25,IF(AU151&lt;$F$10+$F$11+AS151,AT151,1)))*(1+U151),0)*'模拟-单技能数据'!$I$22</f>
        <v>0</v>
      </c>
      <c r="AW151" s="108">
        <f t="shared" ca="1" si="96"/>
        <v>13.542500000000004</v>
      </c>
      <c r="AX151" s="108" t="b">
        <f ca="1">AND(模拟模式!$P$10="有",AW150=0,RAND()&lt;IF(C151="净世破魔击·月",0.1*8/3,IF(C151="净世破魔击·日",0.1*4/3,0.1*2/3)))</f>
        <v>0</v>
      </c>
      <c r="AY151" s="47">
        <f ca="1">IF(AX151,(18+G151*0.722)*(1+J151)*(1-S151)*(1+$I$4)*IF(P151="会",'模拟-全程加成'!$J$3+'模拟-全程加成'!$J$4+'模拟-全程加成'!$J$5+('模拟-全程加成'!$I$4+'模拟-全程加成'!$I$5)/系数!$B$4+BG151*10%,IF(P151="命",1,IF(P151="识",0.25,0))),0)</f>
        <v>0</v>
      </c>
      <c r="AZ151" s="108">
        <f t="shared" si="97"/>
        <v>7.0850000000000071</v>
      </c>
      <c r="BA151" s="108" t="b">
        <f>AND(模拟模式!$Q$10="有",AZ150=0)</f>
        <v>0</v>
      </c>
      <c r="BB151" s="140">
        <f>IF(BA151,(0+G151*0.287)*(1+J151)*(1-S151)*(1+$I$4)*IF(P151="会",'模拟-全程加成'!$J$3+'模拟-全程加成'!$J$4+'模拟-全程加成'!$J$5+('模拟-全程加成'!$I$4+'模拟-全程加成'!$I$5)/系数!$B$4+BG151*10%,IF(P151="命",1,IF(P151="识",0.25,0))),0)</f>
        <v>0</v>
      </c>
      <c r="BC151" s="115" t="b">
        <f ca="1">AND(模拟模式!$R$7="伏明众生",E151=60,F151=20,DA151&lt;5,CZ150&lt;$F$4)</f>
        <v>0</v>
      </c>
      <c r="BD151" s="115">
        <f t="shared" ca="1" si="124"/>
        <v>0</v>
      </c>
      <c r="BE151" s="115" t="b">
        <f t="shared" ca="1" si="125"/>
        <v>0</v>
      </c>
      <c r="BF151" s="47">
        <f ca="1">IF(BC151,4*('模拟-单技能数据'!$D$24+G151*'模拟-单技能数据'!$F$24)*(1+J151)*(1+'模拟-单技能数据'!$J$24)*(1-S151)*(1+$I$3)*(('模拟-全程加成'!$J$3+'模拟-全程加成'!$J$4+'模拟-全程加成'!$J$5+('模拟-全程加成'!$I$4+'模拟-全程加成'!$I$5)/系数!$B$4+BG151*10%)*('模拟-全程加成'!$J$3+'模拟-全程加成'!$J$4+'模拟-全程加成'!$J$5+('模拟-全程加成'!$I$4+'模拟-全程加成'!$I$5)/系数!$B$4+BG151*10%)+(1-('模拟-全程加成'!$J$3+'模拟-全程加成'!$J$4+'模拟-全程加成'!$J$5+('模拟-全程加成'!$I$4+'模拟-全程加成'!$I$5)/系数!$B$4+BG151*10%)-$F$10-$F$11)+F137*0.25),0)*'模拟-单技能数据'!$I$24</f>
        <v>0</v>
      </c>
      <c r="BG151" s="115" t="b">
        <f ca="1">OR(AND(OR(C151="烈日斩",C151="银月斩"),模拟模式!$I$7="净身明礼"),AND(C151="净世破魔击·日",模拟模式!$J$7="洞若观火"),AND(C152="净世破魔击·月",模拟模式!$J$7="洞若观火"),AB151=1)</f>
        <v>1</v>
      </c>
      <c r="BH151" s="115" t="b">
        <f t="shared" ca="1" si="98"/>
        <v>0</v>
      </c>
      <c r="BI151" s="115">
        <f t="shared" ca="1" si="126"/>
        <v>5.0774999999999997</v>
      </c>
      <c r="BJ151" s="115" t="b">
        <f t="shared" ca="1" si="137"/>
        <v>1</v>
      </c>
      <c r="BK151" s="115" t="b">
        <f ca="1">AND(C151="驱夜断愁",模拟模式!$P$7="天地诛戮")</f>
        <v>0</v>
      </c>
      <c r="BL151" s="57">
        <f t="shared" ca="1" si="127"/>
        <v>18.155000000000001</v>
      </c>
      <c r="BM151" s="115" t="b">
        <f t="shared" ca="1" si="138"/>
        <v>1</v>
      </c>
      <c r="BN151" s="115" t="b">
        <f ca="1">AND(OR(C151="赤日轮1",C151="赤日轮2",C151="赤日轮3",C151="幽月轮1",C151="幽月轮2",C151="幽月轮3"),AB151=1,模拟模式!$L$7="明光恒照")</f>
        <v>1</v>
      </c>
      <c r="BO151" s="117">
        <f t="shared" ca="1" si="128"/>
        <v>30</v>
      </c>
      <c r="BP151" s="115">
        <f t="shared" ca="1" si="101"/>
        <v>6</v>
      </c>
      <c r="BQ151" s="115" t="b">
        <f>模拟模式!$K$10="2600·水"</f>
        <v>0</v>
      </c>
      <c r="BR151" s="117">
        <f t="shared" si="102"/>
        <v>0</v>
      </c>
      <c r="BS151" s="115">
        <f t="shared" si="103"/>
        <v>0</v>
      </c>
      <c r="BT151" s="115">
        <f t="shared" ca="1" si="104"/>
        <v>0</v>
      </c>
      <c r="BU151" s="115" t="b">
        <f ca="1">AND(模拟模式!$K$10="2300·雷",BT150=0,RAND()&lt;IF(C151="净世破魔击·月",5*0.05*2/3,IF(C151="净世破魔击·日",3*0.05*2/3,0.05*2*2/3)))</f>
        <v>0</v>
      </c>
      <c r="BV151" s="115">
        <f t="shared" ca="1" si="105"/>
        <v>0</v>
      </c>
      <c r="BW151" s="115">
        <f t="shared" ca="1" si="106"/>
        <v>71.144999999999271</v>
      </c>
      <c r="BX151" s="164" t="b">
        <f t="shared" ca="1" si="107"/>
        <v>0</v>
      </c>
      <c r="BY151" s="115">
        <f t="shared" ca="1" si="108"/>
        <v>0</v>
      </c>
      <c r="BZ151" s="115">
        <f>IF(OR(模拟模式!$P$16="10人团",模拟模式!$P$16="25人团"),IF(B151/30&gt;CA150,1,0),0)</f>
        <v>0</v>
      </c>
      <c r="CA151" s="115">
        <f t="shared" si="74"/>
        <v>0</v>
      </c>
      <c r="CB151" s="115">
        <f ca="1">IF(BZ151=1,IF(模拟模式!$P$16="10人团",15,0)+IF(模拟模式!$P$16="25人团",IF(RAND()&lt;0.6,15,0)),MAX(0,CB150-$F$4))</f>
        <v>0</v>
      </c>
      <c r="CC151" s="115" t="b">
        <f t="shared" ca="1" si="139"/>
        <v>0</v>
      </c>
      <c r="CD151" s="115">
        <f>IF(模拟模式!$Q$16="1个",IF(B151/40&gt;CE150,1,0),0)</f>
        <v>0</v>
      </c>
      <c r="CE151" s="115">
        <f t="shared" si="140"/>
        <v>0</v>
      </c>
      <c r="CF151" s="115">
        <f>IF(OR(CD151=1,模拟模式!$Q$16="2个"),20,MAX(0,CF150-$F$4))</f>
        <v>0</v>
      </c>
      <c r="CG151" s="115" t="b">
        <f t="shared" si="141"/>
        <v>0</v>
      </c>
      <c r="CH151" s="115">
        <f t="shared" ca="1" si="112"/>
        <v>16.162500000000009</v>
      </c>
      <c r="CI151" s="115" t="b">
        <f t="shared" ca="1" si="113"/>
        <v>0</v>
      </c>
      <c r="CJ151" s="119">
        <f t="shared" ca="1" si="114"/>
        <v>0</v>
      </c>
      <c r="CK151" s="115">
        <f t="shared" ca="1" si="115"/>
        <v>0</v>
      </c>
      <c r="CL151" s="115" t="b">
        <f ca="1">AND(模拟模式!$S$7="驱夷逐法",OR(AND(C151="净世破魔击·月",E150&gt;59),AND(C151="净世破魔击·日",F150&gt;59)))</f>
        <v>0</v>
      </c>
      <c r="CM151" s="115" t="b">
        <f ca="1">OR(CL151,AND(C151="净世破魔击·日",CL150,RAND()&lt;模拟模式!$U$23))</f>
        <v>0</v>
      </c>
      <c r="CN151" s="115" t="b">
        <f ca="1">IF(模拟模式!$M$7="辉耀红尘",AND(C151="净世破魔击·月",CL151,CV151=0,E150&lt;80),AND(C151="净世破魔击·月",CL151,E150&lt;100))</f>
        <v>0</v>
      </c>
      <c r="CO151" s="115" t="b">
        <f t="shared" ca="1" si="75"/>
        <v>0</v>
      </c>
      <c r="CP151" s="115" t="b">
        <f ca="1">AND(模拟模式!$O$7="用晦而明",OR(C151="净世破魔击·日",C151="净世破魔击·月",C151="驱夜断愁"),AB151)</f>
        <v>0</v>
      </c>
      <c r="CQ151" s="115" t="b">
        <f ca="1">OR(CP151,AND(CP150,RAND()&lt;模拟模式!$U$23))</f>
        <v>0</v>
      </c>
      <c r="CR151" s="115" t="b">
        <f ca="1">AND(模拟模式!$S$7="日月齐光",OR(C151="幽月轮1",C151="幽月轮2",C151="幽月轮3",CR150),NOT(OR(C151="赤日轮1",C151="赤日轮2",C151="赤日轮3")))</f>
        <v>0</v>
      </c>
      <c r="CS151" s="115" t="b">
        <f ca="1">AND(模拟模式!$S$7="日月齐光",OR(C151="赤日轮1",C151="赤日轮2",C151="赤日轮3",CS150),NOT(OR(C151="幽月轮1",C151="幽月轮2",C151="幽月轮3")))</f>
        <v>0</v>
      </c>
      <c r="CT151" s="115">
        <f t="shared" ca="1" si="116"/>
        <v>14.31750000000001</v>
      </c>
      <c r="CU151" s="115" t="b">
        <f ca="1">AND(模拟模式!$K$10="阴阳往极",CT150=0,RAND()&lt;IF(C151="净世破魔击·月",0.0275*7/3,IF(C151="净世破魔击·日",0.0275*3/3,0.0275*2/3)))</f>
        <v>0</v>
      </c>
      <c r="CV151" s="115">
        <f t="shared" ca="1" si="117"/>
        <v>0</v>
      </c>
      <c r="CW151" s="115">
        <f t="shared" ca="1" si="76"/>
        <v>5.0774999999999997</v>
      </c>
      <c r="CX151" s="115">
        <f t="shared" ca="1" si="77"/>
        <v>3.2324999999999995</v>
      </c>
      <c r="CY151" s="115">
        <f ca="1">MAX(IF($C151="驱夜断愁",IF(模拟模式!$R$7="万念俱寂",6,45),CY150-$F$4),0)</f>
        <v>4.1549999999999994</v>
      </c>
      <c r="CZ151" s="115">
        <f t="shared" ca="1" si="78"/>
        <v>0</v>
      </c>
      <c r="DA151" s="115">
        <f ca="1">IF(模拟模式!$N$7="日月同辉",IF(DB150=2,0,MIN(6,IF(AND(OR(C151="赤日轮1",C151="赤日轮2",C151="赤日轮3",C151="幽月轮1",C151="幽月轮2",C151="幽月轮3"),AB151=1),DA150+1,DA150))),0)</f>
        <v>3</v>
      </c>
      <c r="DB151" s="115">
        <f t="shared" ca="1" si="79"/>
        <v>0</v>
      </c>
      <c r="DC151" s="115"/>
      <c r="DD151" s="115"/>
      <c r="DE151" s="115"/>
      <c r="DF151" s="115"/>
      <c r="DG151" s="115"/>
      <c r="DH151" s="115"/>
      <c r="DI151" s="115"/>
      <c r="DJ151" s="115"/>
      <c r="DK151" s="115"/>
      <c r="DL151" s="115"/>
      <c r="DM151" s="115"/>
    </row>
    <row r="152" spans="2:117" x14ac:dyDescent="0.2">
      <c r="B152" s="117">
        <f t="shared" si="80"/>
        <v>115.31249999999994</v>
      </c>
      <c r="C152" s="167" t="str">
        <f t="shared" ca="1" si="66"/>
        <v>净世破魔击·月</v>
      </c>
      <c r="D152" s="115">
        <f ca="1">IF(C152="赤日轮1",1,IF(C152="赤日轮2",2,IF(C152="赤日轮3",3,IF(C152="幽月轮1",4,IF(C152="幽月轮2",5,IF(C152="幽月轮3",6,IF(C152="烈日斩",7,IF(C152="银月斩",8,IF(C152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152="净世破魔击·月",17,IF(C152="驱夜断愁",18,0)))))))))))</f>
        <v>17</v>
      </c>
      <c r="E152" s="115">
        <f ca="1">IF(AND(CU152,OR(C152="幽月轮1",C152="幽月轮2",C152="幽月轮3",C152="银月斩",C152="驱夜断愁",C152="净世破魔击·月")),100,MIN(IF(OR(CN152,BE152),0,IF(OR($C152="赤日轮1",$C152="赤日轮2",$C152="赤日轮3"),E151+20+IF(模拟模式!$I$7="日月凌天",4,0)+IF(CR151,20,0),IF($C152="烈日斩",E151+40,IF($C152="驱夜断愁",IF(模拟模式!$R$7="万念俱寂",E151+20,E151+60),IF($C152="净世破魔击·月",IF(OR(DB151&gt;0,CV151&gt;0),100,IF(模拟模式!$M$7="辉耀红尘",E151+20,E151)),IF($C152="净世破魔击·日",E151-100,E151)))))),100))</f>
        <v>100</v>
      </c>
      <c r="F152" s="115">
        <f ca="1">IF(AND(CU152,OR(C152="赤日轮1",C152="赤日轮2",C152="赤日轮3",C152="烈日斩",C152="净世破魔击·日")),100,MIN(IF(CO152,0,IF(OR($C152="幽月轮1",$C152="幽月轮2",$C152="幽月轮3"),F151+20+IF(模拟模式!$I$7="日月凌天",4,0)+IF(CS151,20,0),IF($C152="银月斩",F151+40+IF(模拟模式!$X$12=1,5,0),IF($C152="驱夜断愁",IF(模拟模式!$R$7="万念俱寂",F151+20,F151+60),IF($C152="净世破魔击·月",IF(模拟模式!$M$7="辉耀红尘",F151-80,F151-100),IF(AND(C152="净世破魔击·日",OR(DB151&gt;0,CV151&gt;0)),100,F151)))))),100))</f>
        <v>20</v>
      </c>
      <c r="G152" s="117">
        <f ca="1">('模拟-全程加成'!$E$3+'模拟-全程加成'!$E$4+'模拟-全程加成'!$E$5+('模拟-全程加成'!$C$6-'模拟-全程加成'!$C$3)*系数!$B$9+BS152*23)*(1+'模拟-全程加成'!$F$4+'模拟-全程加成'!$F$5+BJ152*10%+BM152*20%+BP152*4%+CG152*30%)+$F$7*系数!$B$12</f>
        <v>21493.829400000002</v>
      </c>
      <c r="H152" s="45">
        <f ca="1">'模拟-全程加成'!$H$3+'模拟-全程加成'!$H$4+'模拟-全程加成'!$H$5+('模拟-全程加成'!$G$4+'模拟-全程加成'!$G$5+('模拟-全程加成'!$C$6-'模拟-全程加成'!$C$3)*系数!$B$13)/系数!$B$3+LOOKUP(D152,'模拟-单技能数据'!$A$2:$A$19,'模拟-单技能数据'!$K$2:$K$19)+BG152*10%+IF(BV152&gt;0,378,0)</f>
        <v>0.54185145527300216</v>
      </c>
      <c r="I152" s="45">
        <f ca="1">'模拟-全程加成'!$J$3+'模拟-全程加成'!$J$4+'模拟-全程加成'!$J$5+('模拟-全程加成'!$I$4+'模拟-全程加成'!$I$5)/系数!$B$4+LOOKUP(D152,'模拟-单技能数据'!$A$2:$A$19,'模拟-单技能数据'!$L$2:$L$19)+BG152*10%</f>
        <v>2.162482885499879</v>
      </c>
      <c r="J152" s="45">
        <f ca="1">(('模拟-全程加成'!$K$3+'模拟-全程加成'!$K$4+'模拟-全程加成'!$K$5+('模拟-全程加成'!$C$6-'模拟-全程加成'!$C$3)*系数!$B$10+IF(BV152&gt;0,882,0)+IF(BY152&gt;0,1831,0))*(1+'模拟-全程加成'!$L$4+'模拟-全程加成'!$L$5+CC152*20%))/系数!$B$5</f>
        <v>0.69723220422048726</v>
      </c>
      <c r="K152" s="119">
        <f ca="1">LOOKUP(D152,'模拟-单技能数据'!$A$2:$A$19,'模拟-单技能数据'!$J$2:$J$19)+IF(CM152,60%,0)+IF(DB151-DB152&gt;0,30%,0)+IF(OR(AND(OR(C152="赤日轮1",C152="赤日轮2",C152="赤日轮3"),CR152),AND(OR(C152="幽月轮1",C152="幽月轮2",C152="幽月轮3"),CS152)),35%,0)+CJ152</f>
        <v>0.8</v>
      </c>
      <c r="L152" s="119">
        <f ca="1">IF(AND(C152="烈日斩",模拟模式!$X$11=1),10%,0)+IF(AND(C152="驱夜断愁",AB152=1),30%,0)</f>
        <v>0</v>
      </c>
      <c r="M152" s="45">
        <f t="shared" ca="1" si="129"/>
        <v>0.54185145527300216</v>
      </c>
      <c r="N152" s="45">
        <f t="shared" ca="1" si="130"/>
        <v>0.40424854472699789</v>
      </c>
      <c r="O152" s="46">
        <f t="shared" ca="1" si="83"/>
        <v>0.54347513949227144</v>
      </c>
      <c r="P152" s="46" t="str">
        <f t="shared" ca="1" si="84"/>
        <v>会</v>
      </c>
      <c r="Q152" s="45">
        <f t="shared" ca="1" si="85"/>
        <v>2.162482885499879</v>
      </c>
      <c r="R152" s="117">
        <f ca="1">模拟模式!$E$20*(1-IF(模拟模式!$J$19="有",0.15,0))*(1-IF(模拟模式!$K$19="有",0.3,0)-IF(CQ152,0.5,0))</f>
        <v>843.02999999999975</v>
      </c>
      <c r="S152" s="45">
        <f ca="1">R152/(R152+(185*模拟模式!$E$22-16800)*4.08224)</f>
        <v>8.389626085980037E-2</v>
      </c>
      <c r="T152" s="45" t="str">
        <f ca="1">LOOKUP(D152,'模拟-单技能数据'!$A$2:$A$19,'模拟-单技能数据'!$H$2:$H$19)</f>
        <v>阴</v>
      </c>
      <c r="U152" s="119">
        <f t="shared" ca="1" si="131"/>
        <v>0.08</v>
      </c>
      <c r="V152" s="47">
        <f ca="1">(1+L152)*(LOOKUP(D152,'模拟-单技能数据'!$A$2:$A$19,'模拟-单技能数据'!$D$2:$D$19)+G152*LOOKUP(D152,'模拟-单技能数据'!$A$2:$A$19,'模拟-单技能数据'!$F$2:$F$19))*(1+J152)*(1+K152)*(1-S152)*(1+U152)*Q152*LOOKUP(D152,'模拟-单技能数据'!$A$2:$A$19,'模拟-单技能数据'!$I$2:$I$20)</f>
        <v>182541.2211190153</v>
      </c>
      <c r="W152" s="47">
        <f ca="1">LOOKUP(D152,'模拟-单技能数据'!$A$2:$A$19,'模拟-单技能数据'!$G$2:$G$19)*$I$10</f>
        <v>361.51064354704795</v>
      </c>
      <c r="X152" s="47">
        <f t="shared" ca="1" si="87"/>
        <v>7956.2107573714466</v>
      </c>
      <c r="Y152" s="47">
        <f t="shared" ca="1" si="132"/>
        <v>190858.9425199338</v>
      </c>
      <c r="Z152" s="49">
        <f t="shared" ca="1" si="133"/>
        <v>13184043.271115961</v>
      </c>
      <c r="AA152" s="97">
        <f t="shared" ca="1" si="134"/>
        <v>114333.16657878345</v>
      </c>
      <c r="AB152" s="115">
        <f ca="1">IF(OR(C152="赤日轮1",C152="赤日轮2",C152="赤日轮3"),IF(RAND()&lt;模拟模式!$Y$17,1,0),IF(OR(C152="幽月轮1",C152="幽月轮2",C152="幽月轮3"),IF(RAND()&lt;模拟模式!$Y$18,1,0),IF(C152="烈日斩",IF(RAND()&lt;模拟模式!$Y$19,1,0),IF(C152="银月斩",IF(RAND()&lt;模拟模式!$Y$20,1,0),IF(C152="驱夜断愁",IF(RAND()&lt;模拟模式!$Y$21,1,0),IF(C152="净世破魔击·日",IF(RAND()&lt;模拟模式!$Y$22,1,0),IF(C152="净世破魔击·月",IF(RAND()&lt;模拟模式!$Y$23,1,0),0)))))))</f>
        <v>1</v>
      </c>
      <c r="AC152" s="115" t="b">
        <f t="shared" ca="1" si="122"/>
        <v>0</v>
      </c>
      <c r="AD152" s="115" t="b">
        <f t="shared" ca="1" si="142"/>
        <v>0</v>
      </c>
      <c r="AE152" s="115">
        <f t="shared" ca="1" si="143"/>
        <v>4</v>
      </c>
      <c r="AF152" s="47">
        <f ca="1">IF(AC152,('模拟-单技能数据'!$D$20+G152*'模拟-单技能数据'!$F$20)*(1+J152)*(1+'模拟-单技能数据'!$J$20)*(1+U152),0)</f>
        <v>0</v>
      </c>
      <c r="AG152" s="61">
        <f t="shared" ca="1" si="135"/>
        <v>0.64185145527300214</v>
      </c>
      <c r="AH152" s="61">
        <f t="shared" ca="1" si="136"/>
        <v>2.2624828854998791</v>
      </c>
      <c r="AI152" s="62">
        <f t="shared" ca="1" si="93"/>
        <v>0.21391421335006255</v>
      </c>
      <c r="AJ152" s="47">
        <f ca="1">IF(AD152,IF(AI152&lt;$F$10,0,IF(AI152&lt;$F$10+$F$11,0.25,IF(AI152&lt;$F$10+$F$11+AG152,AH152,1)))*IF(AF152&gt;0,AF152,IF(AF151&gt;0,AF151,IF(AF150&gt;0,AF150,IF(AF149&gt;0,AF149,IF(AF148&gt;0,AF148,IF(AF147&gt;0,AF147,IF(AF146&gt;0,AF146,IF(AF145&gt;0,AF145,IF(AF144&gt;0,AF144,IF(AF142&gt;0,AF142,IF(AF141&gt;0,AF141,IF(AF140&gt;0,AF140,0)))))))))))),0)*(1-$S152)*'模拟-单技能数据'!$I$20</f>
        <v>0</v>
      </c>
      <c r="AK152" s="115" t="b">
        <f t="shared" ca="1" si="123"/>
        <v>0</v>
      </c>
      <c r="AL152" s="115" t="b">
        <f t="shared" ca="1" si="144"/>
        <v>0</v>
      </c>
      <c r="AM152" s="115">
        <f t="shared" ca="1" si="145"/>
        <v>3</v>
      </c>
      <c r="AN152" s="47">
        <f ca="1">IF(AK152,('模拟-单技能数据'!$D$21+G152*'模拟-单技能数据'!$F$21)*(1+J152)*(1+'模拟-单技能数据'!$J$21)*(1+U152),0)</f>
        <v>0</v>
      </c>
      <c r="AO152" s="61">
        <f ca="1">IF(AN152&gt;0,M152-'模拟-单技能数据'!$K$10,AO151)</f>
        <v>0.42185145527300216</v>
      </c>
      <c r="AP152" s="61">
        <f ca="1">IF(AN152&gt;0,I152-'模拟-单技能数据'!$L$10,AP151)</f>
        <v>2.162482885499879</v>
      </c>
      <c r="AQ152" s="63">
        <f t="shared" ca="1" si="94"/>
        <v>0.78918780171771707</v>
      </c>
      <c r="AR152" s="64">
        <f ca="1">IF(AL152,IF(AQ152&lt;$F$10,0,IF(AQ152&lt;$F$10+$F$11,0.25,IF(AQ152&lt;$F$10+$F$11+AO152,AP152,1)))*IF(AN152&gt;0,AN152,IF(AN151&gt;0,AN151,IF(AN150&gt;0,AN150,IF(AN149&gt;0,AN149,IF(AN148&gt;0,AN148,IF(AN147&gt;0,AN147,IF(AN146&gt;0,AN146,IF(AN145&gt;0,AN145,IF(AN144&gt;0,AN144,IF(AN142&gt;0,AN142,IF(AN141&gt;0,AN141,IF(AN140&gt;0,AN140,0)))))))))))),0)*(1-$S152)*'模拟-单技能数据'!$I$21</f>
        <v>0</v>
      </c>
      <c r="AS152" s="61">
        <f ca="1">IF(OR(C152="净世破魔击·日",C152="净世破魔击·月"),M152-'模拟-单技能数据'!$K$10,0)</f>
        <v>0.42185145527300216</v>
      </c>
      <c r="AT152" s="61">
        <f ca="1">IF(OR(C152="净世破魔击·日",C152="净世破魔击·月"),I152-'模拟-单技能数据'!$L$10,0)</f>
        <v>2.162482885499879</v>
      </c>
      <c r="AU152" s="62">
        <f t="shared" ca="1" si="95"/>
        <v>0.77292288432726464</v>
      </c>
      <c r="AV152" s="64">
        <f ca="1">IF(AS152&gt;0,('模拟-单技能数据'!$D$22+G152*'模拟-单技能数据'!$F$22)*(1+J152)*(1-S152)*IF(AU152&lt;$F$10,0,IF(AU152&lt;$F$10+$F$11,0.25,IF(AU152&lt;$F$10+$F$11+AS152,AT152,1)))*(1+U152),0)*'模拟-单技能数据'!$I$22</f>
        <v>7956.2107573714466</v>
      </c>
      <c r="AW152" s="108">
        <f t="shared" ca="1" si="96"/>
        <v>12.620000000000005</v>
      </c>
      <c r="AX152" s="108" t="b">
        <f ca="1">AND(模拟模式!$P$10="有",AW151=0,RAND()&lt;IF(C152="净世破魔击·月",0.1*8/3,IF(C152="净世破魔击·日",0.1*4/3,0.1*2/3)))</f>
        <v>0</v>
      </c>
      <c r="AY152" s="47">
        <f ca="1">IF(AX152,(18+G152*0.722)*(1+J152)*(1-S152)*(1+$I$4)*IF(P152="会",'模拟-全程加成'!$J$3+'模拟-全程加成'!$J$4+'模拟-全程加成'!$J$5+('模拟-全程加成'!$I$4+'模拟-全程加成'!$I$5)/系数!$B$4+BG152*10%,IF(P152="命",1,IF(P152="识",0.25,0))),0)</f>
        <v>0</v>
      </c>
      <c r="AZ152" s="108">
        <f t="shared" si="97"/>
        <v>6.1625000000000068</v>
      </c>
      <c r="BA152" s="108" t="b">
        <f>AND(模拟模式!$Q$10="有",AZ151=0)</f>
        <v>0</v>
      </c>
      <c r="BB152" s="140">
        <f>IF(BA152,(0+G152*0.287)*(1+J152)*(1-S152)*(1+$I$4)*IF(P152="会",'模拟-全程加成'!$J$3+'模拟-全程加成'!$J$4+'模拟-全程加成'!$J$5+('模拟-全程加成'!$I$4+'模拟-全程加成'!$I$5)/系数!$B$4+BG152*10%,IF(P152="命",1,IF(P152="识",0.25,0))),0)</f>
        <v>0</v>
      </c>
      <c r="BC152" s="115" t="b">
        <f ca="1">AND(模拟模式!$R$7="伏明众生",E152=60,F152=20,DA152&lt;5,CZ151&lt;$F$4)</f>
        <v>0</v>
      </c>
      <c r="BD152" s="115">
        <f t="shared" ca="1" si="124"/>
        <v>0</v>
      </c>
      <c r="BE152" s="115" t="b">
        <f t="shared" ca="1" si="125"/>
        <v>0</v>
      </c>
      <c r="BF152" s="47">
        <f ca="1">IF(BC152,4*('模拟-单技能数据'!$D$24+G152*'模拟-单技能数据'!$F$24)*(1+J152)*(1+'模拟-单技能数据'!$J$24)*(1-S152)*(1+$I$3)*(('模拟-全程加成'!$J$3+'模拟-全程加成'!$J$4+'模拟-全程加成'!$J$5+('模拟-全程加成'!$I$4+'模拟-全程加成'!$I$5)/系数!$B$4+BG152*10%)*('模拟-全程加成'!$J$3+'模拟-全程加成'!$J$4+'模拟-全程加成'!$J$5+('模拟-全程加成'!$I$4+'模拟-全程加成'!$I$5)/系数!$B$4+BG152*10%)+(1-('模拟-全程加成'!$J$3+'模拟-全程加成'!$J$4+'模拟-全程加成'!$J$5+('模拟-全程加成'!$I$4+'模拟-全程加成'!$I$5)/系数!$B$4+BG152*10%)-$F$10-$F$11)+F138*0.25),0)*'模拟-单技能数据'!$I$24</f>
        <v>0</v>
      </c>
      <c r="BG152" s="115" t="b">
        <f ca="1">OR(AND(OR(C152="烈日斩",C152="银月斩"),模拟模式!$I$7="净身明礼"),AND(C152="净世破魔击·日",模拟模式!$J$7="洞若观火"),AND(C153="净世破魔击·月",模拟模式!$J$7="洞若观火"),AB152=1)</f>
        <v>1</v>
      </c>
      <c r="BH152" s="115" t="b">
        <f t="shared" ca="1" si="98"/>
        <v>1</v>
      </c>
      <c r="BI152" s="115">
        <f t="shared" ca="1" si="126"/>
        <v>6</v>
      </c>
      <c r="BJ152" s="115" t="b">
        <f t="shared" ca="1" si="137"/>
        <v>1</v>
      </c>
      <c r="BK152" s="115" t="b">
        <f ca="1">AND(C152="驱夜断愁",模拟模式!$P$7="天地诛戮")</f>
        <v>0</v>
      </c>
      <c r="BL152" s="57">
        <f t="shared" ca="1" si="127"/>
        <v>17.232500000000002</v>
      </c>
      <c r="BM152" s="115" t="b">
        <f t="shared" ca="1" si="138"/>
        <v>1</v>
      </c>
      <c r="BN152" s="115" t="b">
        <f ca="1">AND(OR(C152="赤日轮1",C152="赤日轮2",C152="赤日轮3",C152="幽月轮1",C152="幽月轮2",C152="幽月轮3"),AB152=1,模拟模式!$L$7="明光恒照")</f>
        <v>0</v>
      </c>
      <c r="BO152" s="117">
        <f t="shared" ca="1" si="128"/>
        <v>29.077500000000001</v>
      </c>
      <c r="BP152" s="115">
        <f t="shared" ca="1" si="101"/>
        <v>6</v>
      </c>
      <c r="BQ152" s="115" t="b">
        <f>模拟模式!$K$10="2600·水"</f>
        <v>0</v>
      </c>
      <c r="BR152" s="117">
        <f t="shared" si="102"/>
        <v>0</v>
      </c>
      <c r="BS152" s="115">
        <f t="shared" si="103"/>
        <v>0</v>
      </c>
      <c r="BT152" s="115">
        <f t="shared" ca="1" si="104"/>
        <v>0</v>
      </c>
      <c r="BU152" s="115" t="b">
        <f ca="1">AND(模拟模式!$K$10="2300·雷",BT151=0,RAND()&lt;IF(C152="净世破魔击·月",5*0.05*2/3,IF(C152="净世破魔击·日",3*0.05*2/3,0.05*2*2/3)))</f>
        <v>0</v>
      </c>
      <c r="BV152" s="115">
        <f t="shared" ca="1" si="105"/>
        <v>0</v>
      </c>
      <c r="BW152" s="115">
        <f t="shared" ca="1" si="106"/>
        <v>70.222499999999272</v>
      </c>
      <c r="BX152" s="164" t="b">
        <f t="shared" ca="1" si="107"/>
        <v>0</v>
      </c>
      <c r="BY152" s="115">
        <f t="shared" ca="1" si="108"/>
        <v>0</v>
      </c>
      <c r="BZ152" s="115">
        <f>IF(OR(模拟模式!$P$16="10人团",模拟模式!$P$16="25人团"),IF(B152/30&gt;CA151,1,0),0)</f>
        <v>0</v>
      </c>
      <c r="CA152" s="115">
        <f t="shared" si="74"/>
        <v>0</v>
      </c>
      <c r="CB152" s="115">
        <f ca="1">IF(BZ152=1,IF(模拟模式!$P$16="10人团",15,0)+IF(模拟模式!$P$16="25人团",IF(RAND()&lt;0.6,15,0)),MAX(0,CB151-$F$4))</f>
        <v>0</v>
      </c>
      <c r="CC152" s="115" t="b">
        <f t="shared" ca="1" si="139"/>
        <v>0</v>
      </c>
      <c r="CD152" s="115">
        <f>IF(模拟模式!$Q$16="1个",IF(B152/40&gt;CE151,1,0),0)</f>
        <v>0</v>
      </c>
      <c r="CE152" s="115">
        <f t="shared" si="140"/>
        <v>0</v>
      </c>
      <c r="CF152" s="115">
        <f>IF(OR(CD152=1,模拟模式!$Q$16="2个"),20,MAX(0,CF151-$F$4))</f>
        <v>0</v>
      </c>
      <c r="CG152" s="115" t="b">
        <f t="shared" si="141"/>
        <v>0</v>
      </c>
      <c r="CH152" s="115">
        <f t="shared" ca="1" si="112"/>
        <v>15.240000000000009</v>
      </c>
      <c r="CI152" s="115" t="b">
        <f t="shared" ca="1" si="113"/>
        <v>0</v>
      </c>
      <c r="CJ152" s="119">
        <f t="shared" ca="1" si="114"/>
        <v>0</v>
      </c>
      <c r="CK152" s="115">
        <f t="shared" ca="1" si="115"/>
        <v>0</v>
      </c>
      <c r="CL152" s="115" t="b">
        <f ca="1">AND(模拟模式!$S$7="驱夷逐法",OR(AND(C152="净世破魔击·月",E151&gt;59),AND(C152="净世破魔击·日",F151&gt;59)))</f>
        <v>1</v>
      </c>
      <c r="CM152" s="115" t="b">
        <f ca="1">OR(CL152,AND(C152="净世破魔击·日",CL151,RAND()&lt;模拟模式!$U$23))</f>
        <v>1</v>
      </c>
      <c r="CN152" s="115" t="b">
        <f ca="1">IF(模拟模式!$M$7="辉耀红尘",AND(C152="净世破魔击·月",CL152,CV152=0,E151&lt;80),AND(C152="净世破魔击·月",CL152,E151&lt;100))</f>
        <v>0</v>
      </c>
      <c r="CO152" s="115" t="b">
        <f t="shared" ca="1" si="75"/>
        <v>0</v>
      </c>
      <c r="CP152" s="115" t="b">
        <f ca="1">AND(模拟模式!$O$7="用晦而明",OR(C152="净世破魔击·日",C152="净世破魔击·月",C152="驱夜断愁"),AB152)</f>
        <v>1</v>
      </c>
      <c r="CQ152" s="115" t="b">
        <f ca="1">OR(CP152,AND(CP151,RAND()&lt;模拟模式!$U$23))</f>
        <v>1</v>
      </c>
      <c r="CR152" s="115" t="b">
        <f ca="1">AND(模拟模式!$S$7="日月齐光",OR(C152="幽月轮1",C152="幽月轮2",C152="幽月轮3",CR151),NOT(OR(C152="赤日轮1",C152="赤日轮2",C152="赤日轮3")))</f>
        <v>0</v>
      </c>
      <c r="CS152" s="115" t="b">
        <f ca="1">AND(模拟模式!$S$7="日月齐光",OR(C152="赤日轮1",C152="赤日轮2",C152="赤日轮3",CS151),NOT(OR(C152="幽月轮1",C152="幽月轮2",C152="幽月轮3")))</f>
        <v>0</v>
      </c>
      <c r="CT152" s="115">
        <f t="shared" ca="1" si="116"/>
        <v>13.39500000000001</v>
      </c>
      <c r="CU152" s="115" t="b">
        <f ca="1">AND(模拟模式!$K$10="阴阳往极",CT151=0,RAND()&lt;IF(C152="净世破魔击·月",0.0275*7/3,IF(C152="净世破魔击·日",0.0275*3/3,0.0275*2/3)))</f>
        <v>0</v>
      </c>
      <c r="CV152" s="115">
        <f t="shared" ca="1" si="117"/>
        <v>0</v>
      </c>
      <c r="CW152" s="115">
        <f t="shared" ca="1" si="76"/>
        <v>4.1549999999999994</v>
      </c>
      <c r="CX152" s="115">
        <f t="shared" ca="1" si="77"/>
        <v>2.3099999999999996</v>
      </c>
      <c r="CY152" s="115">
        <f ca="1">MAX(IF($C152="驱夜断愁",IF(模拟模式!$R$7="万念俱寂",6,45),CY151-$F$4),0)</f>
        <v>3.2324999999999995</v>
      </c>
      <c r="CZ152" s="115">
        <f t="shared" ca="1" si="78"/>
        <v>0</v>
      </c>
      <c r="DA152" s="115">
        <f ca="1">IF(模拟模式!$N$7="日月同辉",IF(DB151=2,0,MIN(6,IF(AND(OR(C152="赤日轮1",C152="赤日轮2",C152="赤日轮3",C152="幽月轮1",C152="幽月轮2",C152="幽月轮3"),AB152=1),DA151+1,DA151))),0)</f>
        <v>3</v>
      </c>
      <c r="DB152" s="115">
        <f t="shared" ca="1" si="79"/>
        <v>0</v>
      </c>
      <c r="DC152" s="115"/>
      <c r="DD152" s="115"/>
      <c r="DE152" s="115"/>
      <c r="DF152" s="115"/>
      <c r="DG152" s="115"/>
      <c r="DH152" s="115"/>
      <c r="DI152" s="115"/>
      <c r="DJ152" s="115"/>
      <c r="DK152" s="115"/>
      <c r="DL152" s="115"/>
      <c r="DM152" s="115"/>
    </row>
    <row r="153" spans="2:117" x14ac:dyDescent="0.2">
      <c r="B153" s="117">
        <f t="shared" si="80"/>
        <v>116.23499999999994</v>
      </c>
      <c r="C153" s="167" t="str">
        <f t="shared" ca="1" si="66"/>
        <v>净世破魔击·日</v>
      </c>
      <c r="D153" s="115">
        <f ca="1">IF(C153="赤日轮1",1,IF(C153="赤日轮2",2,IF(C153="赤日轮3",3,IF(C153="幽月轮1",4,IF(C153="幽月轮2",5,IF(C153="幽月轮3",6,IF(C153="烈日斩",7,IF(C153="银月斩",8,IF(C153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153="净世破魔击·月",17,IF(C153="驱夜断愁",18,0)))))))))))</f>
        <v>9</v>
      </c>
      <c r="E153" s="115">
        <f ca="1">IF(AND(CU153,OR(C153="幽月轮1",C153="幽月轮2",C153="幽月轮3",C153="银月斩",C153="驱夜断愁",C153="净世破魔击·月")),100,MIN(IF(OR(CN153,BE153),0,IF(OR($C153="赤日轮1",$C153="赤日轮2",$C153="赤日轮3"),E152+20+IF(模拟模式!$I$7="日月凌天",4,0)+IF(CR152,20,0),IF($C153="烈日斩",E152+40,IF($C153="驱夜断愁",IF(模拟模式!$R$7="万念俱寂",E152+20,E152+60),IF($C153="净世破魔击·月",IF(OR(DB152&gt;0,CV152&gt;0),100,IF(模拟模式!$M$7="辉耀红尘",E152+20,E152)),IF($C153="净世破魔击·日",E152-100,E152)))))),100))</f>
        <v>0</v>
      </c>
      <c r="F153" s="115">
        <f ca="1">IF(AND(CU153,OR(C153="赤日轮1",C153="赤日轮2",C153="赤日轮3",C153="烈日斩",C153="净世破魔击·日")),100,MIN(IF(CO153,0,IF(OR($C153="幽月轮1",$C153="幽月轮2",$C153="幽月轮3"),F152+20+IF(模拟模式!$I$7="日月凌天",4,0)+IF(CS152,20,0),IF($C153="银月斩",F152+40+IF(模拟模式!$X$12=1,5,0),IF($C153="驱夜断愁",IF(模拟模式!$R$7="万念俱寂",F152+20,F152+60),IF($C153="净世破魔击·月",IF(模拟模式!$M$7="辉耀红尘",F152-80,F152-100),IF(AND(C153="净世破魔击·日",OR(DB152&gt;0,CV152&gt;0)),100,F152)))))),100))</f>
        <v>20</v>
      </c>
      <c r="G153" s="117">
        <f ca="1">('模拟-全程加成'!$E$3+'模拟-全程加成'!$E$4+'模拟-全程加成'!$E$5+('模拟-全程加成'!$C$6-'模拟-全程加成'!$C$3)*系数!$B$9+BS153*23)*(1+'模拟-全程加成'!$F$4+'模拟-全程加成'!$F$5+BJ153*10%+BM153*20%+BP153*4%+CG153*30%)+$F$7*系数!$B$12</f>
        <v>21493.829400000002</v>
      </c>
      <c r="H153" s="45">
        <f ca="1">'模拟-全程加成'!$H$3+'模拟-全程加成'!$H$4+'模拟-全程加成'!$H$5+('模拟-全程加成'!$G$4+'模拟-全程加成'!$G$5+('模拟-全程加成'!$C$6-'模拟-全程加成'!$C$3)*系数!$B$13)/系数!$B$3+LOOKUP(D153,'模拟-单技能数据'!$A$2:$A$19,'模拟-单技能数据'!$K$2:$K$19)+BG153*10%+IF(BV153&gt;0,378,0)</f>
        <v>0.54185145527300216</v>
      </c>
      <c r="I153" s="45">
        <f ca="1">'模拟-全程加成'!$J$3+'模拟-全程加成'!$J$4+'模拟-全程加成'!$J$5+('模拟-全程加成'!$I$4+'模拟-全程加成'!$I$5)/系数!$B$4+LOOKUP(D153,'模拟-单技能数据'!$A$2:$A$19,'模拟-单技能数据'!$L$2:$L$19)+BG153*10%</f>
        <v>2.162482885499879</v>
      </c>
      <c r="J153" s="45">
        <f ca="1">(('模拟-全程加成'!$K$3+'模拟-全程加成'!$K$4+'模拟-全程加成'!$K$5+('模拟-全程加成'!$C$6-'模拟-全程加成'!$C$3)*系数!$B$10+IF(BV153&gt;0,882,0)+IF(BY153&gt;0,1831,0))*(1+'模拟-全程加成'!$L$4+'模拟-全程加成'!$L$5+CC153*20%))/系数!$B$5</f>
        <v>0.69723220422048726</v>
      </c>
      <c r="K153" s="119">
        <f ca="1">LOOKUP(D153,'模拟-单技能数据'!$A$2:$A$19,'模拟-单技能数据'!$J$2:$J$19)+IF(CM153,60%,0)+IF(DB152-DB153&gt;0,30%,0)+IF(OR(AND(OR(C153="赤日轮1",C153="赤日轮2",C153="赤日轮3"),CR153),AND(OR(C153="幽月轮1",C153="幽月轮2",C153="幽月轮3"),CS153)),35%,0)+CJ153</f>
        <v>0.8</v>
      </c>
      <c r="L153" s="119">
        <f ca="1">IF(AND(C153="烈日斩",模拟模式!$X$11=1),10%,0)+IF(AND(C153="驱夜断愁",AB153=1),30%,0)</f>
        <v>0</v>
      </c>
      <c r="M153" s="45">
        <f t="shared" ca="1" si="129"/>
        <v>0.54185145527300216</v>
      </c>
      <c r="N153" s="45">
        <f t="shared" ca="1" si="130"/>
        <v>0.40424854472699789</v>
      </c>
      <c r="O153" s="46">
        <f t="shared" ca="1" si="83"/>
        <v>0.42835891275734206</v>
      </c>
      <c r="P153" s="46" t="str">
        <f t="shared" ca="1" si="84"/>
        <v>会</v>
      </c>
      <c r="Q153" s="45">
        <f t="shared" ca="1" si="85"/>
        <v>2.162482885499879</v>
      </c>
      <c r="R153" s="117">
        <f ca="1">模拟模式!$E$20*(1-IF(模拟模式!$J$19="有",0.15,0))*(1-IF(模拟模式!$K$19="有",0.3,0)-IF(CQ153,0.5,0))</f>
        <v>843.02999999999975</v>
      </c>
      <c r="S153" s="45">
        <f ca="1">R153/(R153+(185*模拟模式!$E$22-16800)*4.08224)</f>
        <v>8.389626085980037E-2</v>
      </c>
      <c r="T153" s="45" t="str">
        <f ca="1">LOOKUP(D153,'模拟-单技能数据'!$A$2:$A$19,'模拟-单技能数据'!$H$2:$H$19)</f>
        <v>阳</v>
      </c>
      <c r="U153" s="119">
        <f t="shared" ca="1" si="131"/>
        <v>0.2</v>
      </c>
      <c r="V153" s="47">
        <f ca="1">(1+L153)*(LOOKUP(D153,'模拟-单技能数据'!$A$2:$A$19,'模拟-单技能数据'!$D$2:$D$19)+G153*LOOKUP(D153,'模拟-单技能数据'!$A$2:$A$19,'模拟-单技能数据'!$F$2:$F$19))*(1+J153)*(1+K153)*(1-S153)*(1+U153)*Q153*LOOKUP(D153,'模拟-单技能数据'!$A$2:$A$19,'模拟-单技能数据'!$I$2:$I$20)</f>
        <v>204517.60843249681</v>
      </c>
      <c r="W153" s="47">
        <f ca="1">LOOKUP(D153,'模拟-单技能数据'!$A$2:$A$19,'模拟-单技能数据'!$G$2:$G$19)*$I$10</f>
        <v>723.0212870940959</v>
      </c>
      <c r="X153" s="47">
        <f t="shared" ca="1" si="87"/>
        <v>43161.036181153526</v>
      </c>
      <c r="Y153" s="47">
        <f t="shared" ca="1" si="132"/>
        <v>248401.66590074444</v>
      </c>
      <c r="Z153" s="49">
        <f t="shared" ca="1" si="133"/>
        <v>13432444.937016705</v>
      </c>
      <c r="AA153" s="97">
        <f t="shared" ca="1" si="134"/>
        <v>115562.82476893114</v>
      </c>
      <c r="AB153" s="115">
        <f ca="1">IF(OR(C153="赤日轮1",C153="赤日轮2",C153="赤日轮3"),IF(RAND()&lt;模拟模式!$Y$17,1,0),IF(OR(C153="幽月轮1",C153="幽月轮2",C153="幽月轮3"),IF(RAND()&lt;模拟模式!$Y$18,1,0),IF(C153="烈日斩",IF(RAND()&lt;模拟模式!$Y$19,1,0),IF(C153="银月斩",IF(RAND()&lt;模拟模式!$Y$20,1,0),IF(C153="驱夜断愁",IF(RAND()&lt;模拟模式!$Y$21,1,0),IF(C153="净世破魔击·日",IF(RAND()&lt;模拟模式!$Y$22,1,0),IF(C153="净世破魔击·月",IF(RAND()&lt;模拟模式!$Y$23,1,0),0)))))))</f>
        <v>1</v>
      </c>
      <c r="AC153" s="115" t="b">
        <f t="shared" ca="1" si="122"/>
        <v>0</v>
      </c>
      <c r="AD153" s="115" t="b">
        <f t="shared" ca="1" si="142"/>
        <v>1</v>
      </c>
      <c r="AE153" s="115">
        <f t="shared" ca="1" si="143"/>
        <v>3</v>
      </c>
      <c r="AF153" s="47">
        <f ca="1">IF(AC153,('模拟-单技能数据'!$D$20+G153*'模拟-单技能数据'!$F$20)*(1+J153)*(1+'模拟-单技能数据'!$J$20)*(1+U153),0)</f>
        <v>0</v>
      </c>
      <c r="AG153" s="61">
        <f t="shared" ca="1" si="135"/>
        <v>0.64185145527300214</v>
      </c>
      <c r="AH153" s="61">
        <f t="shared" ca="1" si="136"/>
        <v>2.2624828854998791</v>
      </c>
      <c r="AI153" s="62">
        <f t="shared" ca="1" si="93"/>
        <v>0.27084088716081445</v>
      </c>
      <c r="AJ153" s="47">
        <f ca="1">IF(AD153,IF(AI153&lt;$F$10,0,IF(AI153&lt;$F$10+$F$11,0.25,IF(AI153&lt;$F$10+$F$11+AG153,AH153,1)))*IF(AF153&gt;0,AF153,IF(AF152&gt;0,AF152,IF(AF151&gt;0,AF151,IF(AF150&gt;0,AF150,IF(AF149&gt;0,AF149,IF(AF148&gt;0,AF148,IF(AF147&gt;0,AF147,IF(AF146&gt;0,AF146,IF(AF145&gt;0,AF145,IF(AF143&gt;0,AF143,IF(AF142&gt;0,AF142,IF(AF141&gt;0,AF141,0)))))))))))),0)*(1-$S153)*'模拟-单技能数据'!$I$20</f>
        <v>9218.9345386263849</v>
      </c>
      <c r="AK153" s="115" t="b">
        <f t="shared" ca="1" si="123"/>
        <v>1</v>
      </c>
      <c r="AL153" s="115" t="b">
        <f t="shared" ca="1" si="144"/>
        <v>1</v>
      </c>
      <c r="AM153" s="115">
        <f t="shared" ca="1" si="145"/>
        <v>5</v>
      </c>
      <c r="AN153" s="47">
        <f ca="1">IF(AK153,('模拟-单技能数据'!$D$21+G153*'模拟-单技能数据'!$F$21)*(1+J153)*(1+'模拟-单技能数据'!$J$21)*(1+U153),0)</f>
        <v>12670.936004857545</v>
      </c>
      <c r="AO153" s="61">
        <f ca="1">IF(AN153&gt;0,M153-'模拟-单技能数据'!$K$10,AO152)</f>
        <v>0.42185145527300216</v>
      </c>
      <c r="AP153" s="61">
        <f ca="1">IF(AN153&gt;0,I153-'模拟-单技能数据'!$L$10,AP152)</f>
        <v>2.162482885499879</v>
      </c>
      <c r="AQ153" s="63">
        <f t="shared" ca="1" si="94"/>
        <v>0.35403278500300561</v>
      </c>
      <c r="AR153" s="64">
        <f ca="1">IF(AL153,IF(AQ153&lt;$F$10,0,IF(AQ153&lt;$F$10+$F$11,0.25,IF(AQ153&lt;$F$10+$F$11+AO153,AP153,1)))*IF(AN153&gt;0,AN153,IF(AN152&gt;0,AN152,IF(AN151&gt;0,AN151,IF(AN150&gt;0,AN150,IF(AN149&gt;0,AN149,IF(AN148&gt;0,AN148,IF(AN147&gt;0,AN147,IF(AN146&gt;0,AN146,IF(AN145&gt;0,AN145,IF(AN143&gt;0,AN143,IF(AN142&gt;0,AN142,IF(AN141&gt;0,AN141,0)))))))))))),0)*(1-$S153)*'模拟-单技能数据'!$I$21</f>
        <v>25101.867467669974</v>
      </c>
      <c r="AS153" s="61">
        <f ca="1">IF(OR(C153="净世破魔击·日",C153="净世破魔击·月"),M153-'模拟-单技能数据'!$K$10,0)</f>
        <v>0.42185145527300216</v>
      </c>
      <c r="AT153" s="61">
        <f ca="1">IF(OR(C153="净世破魔击·日",C153="净世破魔击·月"),I153-'模拟-单技能数据'!$L$10,0)</f>
        <v>2.162482885499879</v>
      </c>
      <c r="AU153" s="62">
        <f t="shared" ca="1" si="95"/>
        <v>0.98583715473344236</v>
      </c>
      <c r="AV153" s="64">
        <f ca="1">IF(AS153&gt;0,('模拟-单技能数据'!$D$22+G153*'模拟-单技能数据'!$F$22)*(1+J153)*(1-S153)*IF(AU153&lt;$F$10,0,IF(AU153&lt;$F$10+$F$11,0.25,IF(AU153&lt;$F$10+$F$11+AS153,AT153,1)))*(1+U153),0)*'模拟-单技能数据'!$I$22</f>
        <v>8840.2341748571616</v>
      </c>
      <c r="AW153" s="108">
        <f t="shared" ca="1" si="96"/>
        <v>11.697500000000005</v>
      </c>
      <c r="AX153" s="108" t="b">
        <f ca="1">AND(模拟模式!$P$10="有",AW152=0,RAND()&lt;IF(C153="净世破魔击·月",0.1*8/3,IF(C153="净世破魔击·日",0.1*4/3,0.1*2/3)))</f>
        <v>0</v>
      </c>
      <c r="AY153" s="47">
        <f ca="1">IF(AX153,(18+G153*0.722)*(1+J153)*(1-S153)*(1+$I$4)*IF(P153="会",'模拟-全程加成'!$J$3+'模拟-全程加成'!$J$4+'模拟-全程加成'!$J$5+('模拟-全程加成'!$I$4+'模拟-全程加成'!$I$5)/系数!$B$4+BG153*10%,IF(P153="命",1,IF(P153="识",0.25,0))),0)</f>
        <v>0</v>
      </c>
      <c r="AZ153" s="108">
        <f t="shared" si="97"/>
        <v>5.2400000000000064</v>
      </c>
      <c r="BA153" s="108" t="b">
        <f>AND(模拟模式!$Q$10="有",AZ152=0)</f>
        <v>0</v>
      </c>
      <c r="BB153" s="140">
        <f>IF(BA153,(0+G153*0.287)*(1+J153)*(1-S153)*(1+$I$4)*IF(P153="会",'模拟-全程加成'!$J$3+'模拟-全程加成'!$J$4+'模拟-全程加成'!$J$5+('模拟-全程加成'!$I$4+'模拟-全程加成'!$I$5)/系数!$B$4+BG153*10%,IF(P153="命",1,IF(P153="识",0.25,0))),0)</f>
        <v>0</v>
      </c>
      <c r="BC153" s="115" t="b">
        <f ca="1">AND(模拟模式!$R$7="伏明众生",E153=60,F153=20,DA153&lt;5,CZ152&lt;$F$4)</f>
        <v>0</v>
      </c>
      <c r="BD153" s="115">
        <f t="shared" ca="1" si="124"/>
        <v>0</v>
      </c>
      <c r="BE153" s="115" t="b">
        <f t="shared" ca="1" si="125"/>
        <v>0</v>
      </c>
      <c r="BF153" s="47">
        <f ca="1">IF(BC153,4*('模拟-单技能数据'!$D$24+G153*'模拟-单技能数据'!$F$24)*(1+J153)*(1+'模拟-单技能数据'!$J$24)*(1-S153)*(1+$I$3)*(('模拟-全程加成'!$J$3+'模拟-全程加成'!$J$4+'模拟-全程加成'!$J$5+('模拟-全程加成'!$I$4+'模拟-全程加成'!$I$5)/系数!$B$4+BG153*10%)*('模拟-全程加成'!$J$3+'模拟-全程加成'!$J$4+'模拟-全程加成'!$J$5+('模拟-全程加成'!$I$4+'模拟-全程加成'!$I$5)/系数!$B$4+BG153*10%)+(1-('模拟-全程加成'!$J$3+'模拟-全程加成'!$J$4+'模拟-全程加成'!$J$5+('模拟-全程加成'!$I$4+'模拟-全程加成'!$I$5)/系数!$B$4+BG153*10%)-$F$10-$F$11)+F139*0.25),0)*'模拟-单技能数据'!$I$24</f>
        <v>0</v>
      </c>
      <c r="BG153" s="115" t="b">
        <f ca="1">OR(AND(OR(C153="烈日斩",C153="银月斩"),模拟模式!$I$7="净身明礼"),AND(C153="净世破魔击·日",模拟模式!$J$7="洞若观火"),AND(C154="净世破魔击·月",模拟模式!$J$7="洞若观火"),AB153=1)</f>
        <v>1</v>
      </c>
      <c r="BH153" s="115" t="b">
        <f t="shared" ca="1" si="98"/>
        <v>0</v>
      </c>
      <c r="BI153" s="115">
        <f t="shared" ca="1" si="126"/>
        <v>5.0774999999999997</v>
      </c>
      <c r="BJ153" s="115" t="b">
        <f t="shared" ca="1" si="137"/>
        <v>1</v>
      </c>
      <c r="BK153" s="115" t="b">
        <f ca="1">AND(C153="驱夜断愁",模拟模式!$P$7="天地诛戮")</f>
        <v>0</v>
      </c>
      <c r="BL153" s="57">
        <f t="shared" ca="1" si="127"/>
        <v>16.310000000000002</v>
      </c>
      <c r="BM153" s="115" t="b">
        <f t="shared" ca="1" si="138"/>
        <v>1</v>
      </c>
      <c r="BN153" s="115" t="b">
        <f ca="1">AND(OR(C153="赤日轮1",C153="赤日轮2",C153="赤日轮3",C153="幽月轮1",C153="幽月轮2",C153="幽月轮3"),AB153=1,模拟模式!$L$7="明光恒照")</f>
        <v>0</v>
      </c>
      <c r="BO153" s="117">
        <f t="shared" ca="1" si="128"/>
        <v>28.155000000000001</v>
      </c>
      <c r="BP153" s="115">
        <f t="shared" ca="1" si="101"/>
        <v>6</v>
      </c>
      <c r="BQ153" s="115" t="b">
        <f>模拟模式!$K$10="2600·水"</f>
        <v>0</v>
      </c>
      <c r="BR153" s="117">
        <f t="shared" si="102"/>
        <v>0</v>
      </c>
      <c r="BS153" s="115">
        <f t="shared" si="103"/>
        <v>0</v>
      </c>
      <c r="BT153" s="115">
        <f t="shared" ca="1" si="104"/>
        <v>0</v>
      </c>
      <c r="BU153" s="115" t="b">
        <f ca="1">AND(模拟模式!$K$10="2300·雷",BT152=0,RAND()&lt;IF(C153="净世破魔击·月",5*0.05*2/3,IF(C153="净世破魔击·日",3*0.05*2/3,0.05*2*2/3)))</f>
        <v>0</v>
      </c>
      <c r="BV153" s="115">
        <f t="shared" ca="1" si="105"/>
        <v>0</v>
      </c>
      <c r="BW153" s="115">
        <f t="shared" ca="1" si="106"/>
        <v>69.299999999999272</v>
      </c>
      <c r="BX153" s="164" t="b">
        <f t="shared" ca="1" si="107"/>
        <v>0</v>
      </c>
      <c r="BY153" s="115">
        <f t="shared" ca="1" si="108"/>
        <v>0</v>
      </c>
      <c r="BZ153" s="115">
        <f>IF(OR(模拟模式!$P$16="10人团",模拟模式!$P$16="25人团"),IF(B153/30&gt;CA152,1,0),0)</f>
        <v>0</v>
      </c>
      <c r="CA153" s="115">
        <f t="shared" si="74"/>
        <v>0</v>
      </c>
      <c r="CB153" s="115">
        <f ca="1">IF(BZ153=1,IF(模拟模式!$P$16="10人团",15,0)+IF(模拟模式!$P$16="25人团",IF(RAND()&lt;0.6,15,0)),MAX(0,CB152-$F$4))</f>
        <v>0</v>
      </c>
      <c r="CC153" s="115" t="b">
        <f t="shared" ca="1" si="139"/>
        <v>0</v>
      </c>
      <c r="CD153" s="115">
        <f>IF(模拟模式!$Q$16="1个",IF(B153/40&gt;CE152,1,0),0)</f>
        <v>0</v>
      </c>
      <c r="CE153" s="115">
        <f t="shared" si="140"/>
        <v>0</v>
      </c>
      <c r="CF153" s="115">
        <f>IF(OR(CD153=1,模拟模式!$Q$16="2个"),20,MAX(0,CF152-$F$4))</f>
        <v>0</v>
      </c>
      <c r="CG153" s="115" t="b">
        <f t="shared" si="141"/>
        <v>0</v>
      </c>
      <c r="CH153" s="115">
        <f t="shared" ca="1" si="112"/>
        <v>14.31750000000001</v>
      </c>
      <c r="CI153" s="115" t="b">
        <f t="shared" ca="1" si="113"/>
        <v>0</v>
      </c>
      <c r="CJ153" s="119">
        <f t="shared" ca="1" si="114"/>
        <v>0</v>
      </c>
      <c r="CK153" s="115">
        <f t="shared" ca="1" si="115"/>
        <v>0</v>
      </c>
      <c r="CL153" s="115" t="b">
        <f ca="1">AND(模拟模式!$S$7="驱夷逐法",OR(AND(C153="净世破魔击·月",E152&gt;59),AND(C153="净世破魔击·日",F152&gt;59)))</f>
        <v>0</v>
      </c>
      <c r="CM153" s="115" t="b">
        <f ca="1">OR(CL153,AND(C153="净世破魔击·日",CL152,RAND()&lt;模拟模式!$U$23))</f>
        <v>1</v>
      </c>
      <c r="CN153" s="115" t="b">
        <f ca="1">IF(模拟模式!$M$7="辉耀红尘",AND(C153="净世破魔击·月",CL153,CV153=0,E152&lt;80),AND(C153="净世破魔击·月",CL153,E152&lt;100))</f>
        <v>0</v>
      </c>
      <c r="CO153" s="115" t="b">
        <f t="shared" ca="1" si="75"/>
        <v>0</v>
      </c>
      <c r="CP153" s="115" t="b">
        <f ca="1">AND(模拟模式!$O$7="用晦而明",OR(C153="净世破魔击·日",C153="净世破魔击·月",C153="驱夜断愁"),AB153)</f>
        <v>1</v>
      </c>
      <c r="CQ153" s="115" t="b">
        <f ca="1">OR(CP153,AND(CP152,RAND()&lt;模拟模式!$U$23))</f>
        <v>1</v>
      </c>
      <c r="CR153" s="115" t="b">
        <f ca="1">AND(模拟模式!$S$7="日月齐光",OR(C153="幽月轮1",C153="幽月轮2",C153="幽月轮3",CR152),NOT(OR(C153="赤日轮1",C153="赤日轮2",C153="赤日轮3")))</f>
        <v>0</v>
      </c>
      <c r="CS153" s="115" t="b">
        <f ca="1">AND(模拟模式!$S$7="日月齐光",OR(C153="赤日轮1",C153="赤日轮2",C153="赤日轮3",CS152),NOT(OR(C153="幽月轮1",C153="幽月轮2",C153="幽月轮3")))</f>
        <v>0</v>
      </c>
      <c r="CT153" s="115">
        <f t="shared" ca="1" si="116"/>
        <v>12.472500000000011</v>
      </c>
      <c r="CU153" s="115" t="b">
        <f ca="1">AND(模拟模式!$K$10="阴阳往极",CT152=0,RAND()&lt;IF(C153="净世破魔击·月",0.0275*7/3,IF(C153="净世破魔击·日",0.0275*3/3,0.0275*2/3)))</f>
        <v>0</v>
      </c>
      <c r="CV153" s="115">
        <f t="shared" ca="1" si="117"/>
        <v>0</v>
      </c>
      <c r="CW153" s="115">
        <f t="shared" ca="1" si="76"/>
        <v>3.2324999999999995</v>
      </c>
      <c r="CX153" s="115">
        <f t="shared" ca="1" si="77"/>
        <v>1.3874999999999997</v>
      </c>
      <c r="CY153" s="115">
        <f ca="1">MAX(IF($C153="驱夜断愁",IF(模拟模式!$R$7="万念俱寂",6,45),CY152-$F$4),0)</f>
        <v>2.3099999999999996</v>
      </c>
      <c r="CZ153" s="115">
        <f t="shared" ca="1" si="78"/>
        <v>0</v>
      </c>
      <c r="DA153" s="115">
        <f ca="1">IF(模拟模式!$N$7="日月同辉",IF(DB152=2,0,MIN(6,IF(AND(OR(C153="赤日轮1",C153="赤日轮2",C153="赤日轮3",C153="幽月轮1",C153="幽月轮2",C153="幽月轮3"),AB153=1),DA152+1,DA152))),0)</f>
        <v>3</v>
      </c>
      <c r="DB153" s="115">
        <f t="shared" ca="1" si="79"/>
        <v>0</v>
      </c>
      <c r="DC153" s="115"/>
      <c r="DD153" s="115"/>
      <c r="DE153" s="115"/>
      <c r="DF153" s="115"/>
      <c r="DG153" s="115"/>
      <c r="DH153" s="115"/>
      <c r="DI153" s="115"/>
      <c r="DJ153" s="115"/>
      <c r="DK153" s="115"/>
      <c r="DL153" s="115"/>
      <c r="DM153" s="115"/>
    </row>
    <row r="154" spans="2:117" x14ac:dyDescent="0.2">
      <c r="B154" s="117">
        <f t="shared" si="80"/>
        <v>117.15749999999994</v>
      </c>
      <c r="C154" s="167" t="str">
        <f t="shared" ca="1" si="66"/>
        <v>赤日轮1</v>
      </c>
      <c r="D154" s="115">
        <f ca="1">IF(C154="赤日轮1",1,IF(C154="赤日轮2",2,IF(C154="赤日轮3",3,IF(C154="幽月轮1",4,IF(C154="幽月轮2",5,IF(C154="幽月轮3",6,IF(C154="烈日斩",7,IF(C154="银月斩",8,IF(C154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154="净世破魔击·月",17,IF(C154="驱夜断愁",18,0)))))))))))</f>
        <v>1</v>
      </c>
      <c r="E154" s="115">
        <f ca="1">IF(AND(CU154,OR(C154="幽月轮1",C154="幽月轮2",C154="幽月轮3",C154="银月斩",C154="驱夜断愁",C154="净世破魔击·月")),100,MIN(IF(OR(CN154,BE154),0,IF(OR($C154="赤日轮1",$C154="赤日轮2",$C154="赤日轮3"),E153+20+IF(模拟模式!$I$7="日月凌天",4,0)+IF(CR153,20,0),IF($C154="烈日斩",E153+40,IF($C154="驱夜断愁",IF(模拟模式!$R$7="万念俱寂",E153+20,E153+60),IF($C154="净世破魔击·月",IF(OR(DB153&gt;0,CV153&gt;0),100,IF(模拟模式!$M$7="辉耀红尘",E153+20,E153)),IF($C154="净世破魔击·日",E153-100,E153)))))),100))</f>
        <v>20</v>
      </c>
      <c r="F154" s="115">
        <f ca="1">IF(AND(CU154,OR(C154="赤日轮1",C154="赤日轮2",C154="赤日轮3",C154="烈日斩",C154="净世破魔击·日")),100,MIN(IF(CO154,0,IF(OR($C154="幽月轮1",$C154="幽月轮2",$C154="幽月轮3"),F153+20+IF(模拟模式!$I$7="日月凌天",4,0)+IF(CS153,20,0),IF($C154="银月斩",F153+40+IF(模拟模式!$X$12=1,5,0),IF($C154="驱夜断愁",IF(模拟模式!$R$7="万念俱寂",F153+20,F153+60),IF($C154="净世破魔击·月",IF(模拟模式!$M$7="辉耀红尘",F153-80,F153-100),IF(AND(C154="净世破魔击·日",OR(DB153&gt;0,CV153&gt;0)),100,F153)))))),100))</f>
        <v>20</v>
      </c>
      <c r="G154" s="117">
        <f ca="1">('模拟-全程加成'!$E$3+'模拟-全程加成'!$E$4+'模拟-全程加成'!$E$5+('模拟-全程加成'!$C$6-'模拟-全程加成'!$C$3)*系数!$B$9+BS154*23)*(1+'模拟-全程加成'!$F$4+'模拟-全程加成'!$F$5+BJ154*10%+BM154*20%+BP154*4%+CG154*30%)+$F$7*系数!$B$12</f>
        <v>21493.829400000002</v>
      </c>
      <c r="H154" s="45">
        <f ca="1">'模拟-全程加成'!$H$3+'模拟-全程加成'!$H$4+'模拟-全程加成'!$H$5+('模拟-全程加成'!$G$4+'模拟-全程加成'!$G$5+('模拟-全程加成'!$C$6-'模拟-全程加成'!$C$3)*系数!$B$13)/系数!$B$3+LOOKUP(D154,'模拟-单技能数据'!$A$2:$A$19,'模拟-单技能数据'!$K$2:$K$19)+BG154*10%+IF(BV154&gt;0,378,0)</f>
        <v>0.4618514552730022</v>
      </c>
      <c r="I154" s="45">
        <f ca="1">'模拟-全程加成'!$J$3+'模拟-全程加成'!$J$4+'模拟-全程加成'!$J$5+('模拟-全程加成'!$I$4+'模拟-全程加成'!$I$5)/系数!$B$4+LOOKUP(D154,'模拟-单技能数据'!$A$2:$A$19,'模拟-单技能数据'!$L$2:$L$19)+BG154*10%</f>
        <v>2.162482885499879</v>
      </c>
      <c r="J154" s="45">
        <f ca="1">(('模拟-全程加成'!$K$3+'模拟-全程加成'!$K$4+'模拟-全程加成'!$K$5+('模拟-全程加成'!$C$6-'模拟-全程加成'!$C$3)*系数!$B$10+IF(BV154&gt;0,882,0)+IF(BY154&gt;0,1831,0))*(1+'模拟-全程加成'!$L$4+'模拟-全程加成'!$L$5+CC154*20%))/系数!$B$5</f>
        <v>0.69723220422048726</v>
      </c>
      <c r="K154" s="119">
        <f ca="1">LOOKUP(D154,'模拟-单技能数据'!$A$2:$A$19,'模拟-单技能数据'!$J$2:$J$19)+IF(CM154,60%,0)+IF(DB153-DB154&gt;0,30%,0)+IF(OR(AND(OR(C154="赤日轮1",C154="赤日轮2",C154="赤日轮3"),CR154),AND(OR(C154="幽月轮1",C154="幽月轮2",C154="幽月轮3"),CS154)),35%,0)+CJ154</f>
        <v>0.12</v>
      </c>
      <c r="L154" s="119">
        <f ca="1">IF(AND(C154="烈日斩",模拟模式!$X$11=1),10%,0)+IF(AND(C154="驱夜断愁",AB154=1),30%,0)</f>
        <v>0</v>
      </c>
      <c r="M154" s="45">
        <f t="shared" ca="1" si="129"/>
        <v>0.4618514552730022</v>
      </c>
      <c r="N154" s="45">
        <f t="shared" ca="1" si="130"/>
        <v>0.48424854472699785</v>
      </c>
      <c r="O154" s="46">
        <f t="shared" ca="1" si="83"/>
        <v>0.74178453465940131</v>
      </c>
      <c r="P154" s="46" t="str">
        <f t="shared" ca="1" si="84"/>
        <v>命</v>
      </c>
      <c r="Q154" s="45">
        <f t="shared" ca="1" si="85"/>
        <v>1</v>
      </c>
      <c r="R154" s="117">
        <f ca="1">模拟模式!$E$20*(1-IF(模拟模式!$J$19="有",0.15,0))*(1-IF(模拟模式!$K$19="有",0.3,0)-IF(CQ154,0.5,0))</f>
        <v>843.02999999999975</v>
      </c>
      <c r="S154" s="45">
        <f ca="1">R154/(R154+(185*模拟模式!$E$22-16800)*4.08224)</f>
        <v>8.389626085980037E-2</v>
      </c>
      <c r="T154" s="45" t="str">
        <f ca="1">LOOKUP(D154,'模拟-单技能数据'!$A$2:$A$19,'模拟-单技能数据'!$H$2:$H$19)</f>
        <v>阳</v>
      </c>
      <c r="U154" s="119">
        <f t="shared" ca="1" si="131"/>
        <v>0.2</v>
      </c>
      <c r="V154" s="47">
        <f ca="1">(1+L154)*(LOOKUP(D154,'模拟-单技能数据'!$A$2:$A$19,'模拟-单技能数据'!$D$2:$D$19)+G154*LOOKUP(D154,'模拟-单技能数据'!$A$2:$A$19,'模拟-单技能数据'!$F$2:$F$19))*(1+J154)*(1+K154)*(1-S154)*(1+U154)*Q154*LOOKUP(D154,'模拟-单技能数据'!$A$2:$A$19,'模拟-单技能数据'!$I$2:$I$20)</f>
        <v>26295.771631143321</v>
      </c>
      <c r="W154" s="47">
        <f ca="1">LOOKUP(D154,'模拟-单技能数据'!$A$2:$A$19,'模拟-单技能数据'!$G$2:$G$19)*$I$10</f>
        <v>361.51064354704795</v>
      </c>
      <c r="X154" s="47">
        <f t="shared" ca="1" si="87"/>
        <v>0</v>
      </c>
      <c r="Y154" s="47">
        <f t="shared" ca="1" si="132"/>
        <v>26657.282274690369</v>
      </c>
      <c r="Z154" s="49">
        <f t="shared" ca="1" si="133"/>
        <v>13459102.219291395</v>
      </c>
      <c r="AA154" s="97">
        <f t="shared" ca="1" si="134"/>
        <v>114880.41499085762</v>
      </c>
      <c r="AB154" s="115">
        <f ca="1">IF(OR(C154="赤日轮1",C154="赤日轮2",C154="赤日轮3"),IF(RAND()&lt;模拟模式!$Y$17,1,0),IF(OR(C154="幽月轮1",C154="幽月轮2",C154="幽月轮3"),IF(RAND()&lt;模拟模式!$Y$18,1,0),IF(C154="烈日斩",IF(RAND()&lt;模拟模式!$Y$19,1,0),IF(C154="银月斩",IF(RAND()&lt;模拟模式!$Y$20,1,0),IF(C154="驱夜断愁",IF(RAND()&lt;模拟模式!$Y$21,1,0),IF(C154="净世破魔击·日",IF(RAND()&lt;模拟模式!$Y$22,1,0),IF(C154="净世破魔击·月",IF(RAND()&lt;模拟模式!$Y$23,1,0),0)))))))</f>
        <v>1</v>
      </c>
      <c r="AC154" s="115" t="b">
        <f t="shared" ca="1" si="122"/>
        <v>0</v>
      </c>
      <c r="AD154" s="115" t="b">
        <f t="shared" ca="1" si="142"/>
        <v>0</v>
      </c>
      <c r="AE154" s="115">
        <f t="shared" ca="1" si="143"/>
        <v>3</v>
      </c>
      <c r="AF154" s="47">
        <f ca="1">IF(AC154,('模拟-单技能数据'!$D$20+G154*'模拟-单技能数据'!$F$20)*(1+J154)*(1+'模拟-单技能数据'!$J$20)*(1+U154),0)</f>
        <v>0</v>
      </c>
      <c r="AG154" s="61">
        <f t="shared" ca="1" si="135"/>
        <v>0.64185145527300214</v>
      </c>
      <c r="AH154" s="61">
        <f t="shared" ca="1" si="136"/>
        <v>2.2624828854998791</v>
      </c>
      <c r="AI154" s="62">
        <f t="shared" ca="1" si="93"/>
        <v>0.28474268890125221</v>
      </c>
      <c r="AJ154" s="47">
        <f ca="1">IF(AD154,IF(AI154&lt;$F$10,0,IF(AI154&lt;$F$10+$F$11,0.25,IF(AI154&lt;$F$10+$F$11+AG154,AH154,1)))*IF(AF154&gt;0,AF154,IF(AF153&gt;0,AF153,IF(AF152&gt;0,AF152,IF(AF151&gt;0,AF151,IF(AF150&gt;0,AF150,IF(AF149&gt;0,AF149,IF(AF148&gt;0,AF148,IF(AF147&gt;0,AF147,IF(AF146&gt;0,AF146,IF(AF144&gt;0,AF144,IF(AF143&gt;0,AF143,IF(AF142&gt;0,AF142,0)))))))))))),0)*(1-$S154)*'模拟-单技能数据'!$I$20</f>
        <v>0</v>
      </c>
      <c r="AK154" s="115" t="b">
        <f t="shared" ca="1" si="123"/>
        <v>0</v>
      </c>
      <c r="AL154" s="115" t="b">
        <f t="shared" ca="1" si="144"/>
        <v>0</v>
      </c>
      <c r="AM154" s="115">
        <f t="shared" ca="1" si="145"/>
        <v>5</v>
      </c>
      <c r="AN154" s="47">
        <f ca="1">IF(AK154,('模拟-单技能数据'!$D$21+G154*'模拟-单技能数据'!$F$21)*(1+J154)*(1+'模拟-单技能数据'!$J$21)*(1+U154),0)</f>
        <v>0</v>
      </c>
      <c r="AO154" s="61">
        <f ca="1">IF(AN154&gt;0,M154-'模拟-单技能数据'!$K$10,AO153)</f>
        <v>0.42185145527300216</v>
      </c>
      <c r="AP154" s="61">
        <f ca="1">IF(AN154&gt;0,I154-'模拟-单技能数据'!$L$10,AP153)</f>
        <v>2.162482885499879</v>
      </c>
      <c r="AQ154" s="63">
        <f t="shared" ca="1" si="94"/>
        <v>9.6850985607951579E-2</v>
      </c>
      <c r="AR154" s="64">
        <f ca="1">IF(AL154,IF(AQ154&lt;$F$10,0,IF(AQ154&lt;$F$10+$F$11,0.25,IF(AQ154&lt;$F$10+$F$11+AO154,AP154,1)))*IF(AN154&gt;0,AN154,IF(AN153&gt;0,AN153,IF(AN152&gt;0,AN152,IF(AN151&gt;0,AN151,IF(AN150&gt;0,AN150,IF(AN149&gt;0,AN149,IF(AN148&gt;0,AN148,IF(AN147&gt;0,AN147,IF(AN146&gt;0,AN146,IF(AN144&gt;0,AN144,IF(AN143&gt;0,AN143,IF(AN142&gt;0,AN142,0)))))))))))),0)*(1-$S154)*'模拟-单技能数据'!$I$21</f>
        <v>0</v>
      </c>
      <c r="AS154" s="61">
        <f ca="1">IF(OR(C154="净世破魔击·日",C154="净世破魔击·月"),M154-'模拟-单技能数据'!$K$10,0)</f>
        <v>0</v>
      </c>
      <c r="AT154" s="61">
        <f ca="1">IF(OR(C154="净世破魔击·日",C154="净世破魔击·月"),I154-'模拟-单技能数据'!$L$10,0)</f>
        <v>0</v>
      </c>
      <c r="AU154" s="62">
        <f t="shared" ca="1" si="95"/>
        <v>0.37611253170705206</v>
      </c>
      <c r="AV154" s="64">
        <f ca="1">IF(AS154&gt;0,('模拟-单技能数据'!$D$22+G154*'模拟-单技能数据'!$F$22)*(1+J154)*(1-S154)*IF(AU154&lt;$F$10,0,IF(AU154&lt;$F$10+$F$11,0.25,IF(AU154&lt;$F$10+$F$11+AS154,AT154,1)))*(1+U154),0)*'模拟-单技能数据'!$I$22</f>
        <v>0</v>
      </c>
      <c r="AW154" s="108">
        <f t="shared" ca="1" si="96"/>
        <v>10.775000000000006</v>
      </c>
      <c r="AX154" s="108" t="b">
        <f ca="1">AND(模拟模式!$P$10="有",AW153=0,RAND()&lt;IF(C154="净世破魔击·月",0.1*8/3,IF(C154="净世破魔击·日",0.1*4/3,0.1*2/3)))</f>
        <v>0</v>
      </c>
      <c r="AY154" s="47">
        <f ca="1">IF(AX154,(18+G154*0.722)*(1+J154)*(1-S154)*(1+$I$4)*IF(P154="会",'模拟-全程加成'!$J$3+'模拟-全程加成'!$J$4+'模拟-全程加成'!$J$5+('模拟-全程加成'!$I$4+'模拟-全程加成'!$I$5)/系数!$B$4+BG154*10%,IF(P154="命",1,IF(P154="识",0.25,0))),0)</f>
        <v>0</v>
      </c>
      <c r="AZ154" s="108">
        <f t="shared" si="97"/>
        <v>4.3175000000000061</v>
      </c>
      <c r="BA154" s="108" t="b">
        <f>AND(模拟模式!$Q$10="有",AZ153=0)</f>
        <v>0</v>
      </c>
      <c r="BB154" s="140">
        <f>IF(BA154,(0+G154*0.287)*(1+J154)*(1-S154)*(1+$I$4)*IF(P154="会",'模拟-全程加成'!$J$3+'模拟-全程加成'!$J$4+'模拟-全程加成'!$J$5+('模拟-全程加成'!$I$4+'模拟-全程加成'!$I$5)/系数!$B$4+BG154*10%,IF(P154="命",1,IF(P154="识",0.25,0))),0)</f>
        <v>0</v>
      </c>
      <c r="BC154" s="115" t="b">
        <f ca="1">AND(模拟模式!$R$7="伏明众生",E154=60,F154=20,DA154&lt;5,CZ153&lt;$F$4)</f>
        <v>0</v>
      </c>
      <c r="BD154" s="115">
        <f t="shared" ca="1" si="124"/>
        <v>0</v>
      </c>
      <c r="BE154" s="115" t="b">
        <f t="shared" ca="1" si="125"/>
        <v>0</v>
      </c>
      <c r="BF154" s="47">
        <f ca="1">IF(BC154,4*('模拟-单技能数据'!$D$24+G154*'模拟-单技能数据'!$F$24)*(1+J154)*(1+'模拟-单技能数据'!$J$24)*(1-S154)*(1+$I$3)*(('模拟-全程加成'!$J$3+'模拟-全程加成'!$J$4+'模拟-全程加成'!$J$5+('模拟-全程加成'!$I$4+'模拟-全程加成'!$I$5)/系数!$B$4+BG154*10%)*('模拟-全程加成'!$J$3+'模拟-全程加成'!$J$4+'模拟-全程加成'!$J$5+('模拟-全程加成'!$I$4+'模拟-全程加成'!$I$5)/系数!$B$4+BG154*10%)+(1-('模拟-全程加成'!$J$3+'模拟-全程加成'!$J$4+'模拟-全程加成'!$J$5+('模拟-全程加成'!$I$4+'模拟-全程加成'!$I$5)/系数!$B$4+BG154*10%)-$F$10-$F$11)+F140*0.25),0)*'模拟-单技能数据'!$I$24</f>
        <v>0</v>
      </c>
      <c r="BG154" s="115" t="b">
        <f ca="1">OR(AND(OR(C154="烈日斩",C154="银月斩"),模拟模式!$I$7="净身明礼"),AND(C154="净世破魔击·日",模拟模式!$J$7="洞若观火"),AND(C155="净世破魔击·月",模拟模式!$J$7="洞若观火"),AB154=1)</f>
        <v>1</v>
      </c>
      <c r="BH154" s="115" t="b">
        <f t="shared" ca="1" si="98"/>
        <v>0</v>
      </c>
      <c r="BI154" s="115">
        <f t="shared" ca="1" si="126"/>
        <v>4.1549999999999994</v>
      </c>
      <c r="BJ154" s="115" t="b">
        <f t="shared" ca="1" si="137"/>
        <v>1</v>
      </c>
      <c r="BK154" s="115" t="b">
        <f ca="1">AND(C154="驱夜断愁",模拟模式!$P$7="天地诛戮")</f>
        <v>0</v>
      </c>
      <c r="BL154" s="57">
        <f t="shared" ca="1" si="127"/>
        <v>15.387500000000003</v>
      </c>
      <c r="BM154" s="115" t="b">
        <f t="shared" ca="1" si="138"/>
        <v>1</v>
      </c>
      <c r="BN154" s="115" t="b">
        <f ca="1">AND(OR(C154="赤日轮1",C154="赤日轮2",C154="赤日轮3",C154="幽月轮1",C154="幽月轮2",C154="幽月轮3"),AB154=1,模拟模式!$L$7="明光恒照")</f>
        <v>1</v>
      </c>
      <c r="BO154" s="117">
        <f t="shared" ca="1" si="128"/>
        <v>30</v>
      </c>
      <c r="BP154" s="115">
        <f t="shared" ca="1" si="101"/>
        <v>6</v>
      </c>
      <c r="BQ154" s="115" t="b">
        <f>模拟模式!$K$10="2600·水"</f>
        <v>0</v>
      </c>
      <c r="BR154" s="117">
        <f t="shared" si="102"/>
        <v>0</v>
      </c>
      <c r="BS154" s="115">
        <f t="shared" si="103"/>
        <v>0</v>
      </c>
      <c r="BT154" s="115">
        <f t="shared" ca="1" si="104"/>
        <v>0</v>
      </c>
      <c r="BU154" s="115" t="b">
        <f ca="1">AND(模拟模式!$K$10="2300·雷",BT153=0,RAND()&lt;IF(C154="净世破魔击·月",5*0.05*2/3,IF(C154="净世破魔击·日",3*0.05*2/3,0.05*2*2/3)))</f>
        <v>0</v>
      </c>
      <c r="BV154" s="115">
        <f t="shared" ca="1" si="105"/>
        <v>0</v>
      </c>
      <c r="BW154" s="115">
        <f t="shared" ca="1" si="106"/>
        <v>68.377499999999273</v>
      </c>
      <c r="BX154" s="164" t="b">
        <f t="shared" ca="1" si="107"/>
        <v>0</v>
      </c>
      <c r="BY154" s="115">
        <f t="shared" ca="1" si="108"/>
        <v>0</v>
      </c>
      <c r="BZ154" s="115">
        <f>IF(OR(模拟模式!$P$16="10人团",模拟模式!$P$16="25人团"),IF(B154/30&gt;CA153,1,0),0)</f>
        <v>0</v>
      </c>
      <c r="CA154" s="115">
        <f t="shared" si="74"/>
        <v>0</v>
      </c>
      <c r="CB154" s="115">
        <f ca="1">IF(BZ154=1,IF(模拟模式!$P$16="10人团",15,0)+IF(模拟模式!$P$16="25人团",IF(RAND()&lt;0.6,15,0)),MAX(0,CB153-$F$4))</f>
        <v>0</v>
      </c>
      <c r="CC154" s="115" t="b">
        <f t="shared" ca="1" si="139"/>
        <v>0</v>
      </c>
      <c r="CD154" s="115">
        <f>IF(模拟模式!$Q$16="1个",IF(B154/40&gt;CE153,1,0),0)</f>
        <v>0</v>
      </c>
      <c r="CE154" s="115">
        <f t="shared" si="140"/>
        <v>0</v>
      </c>
      <c r="CF154" s="115">
        <f>IF(OR(CD154=1,模拟模式!$Q$16="2个"),20,MAX(0,CF153-$F$4))</f>
        <v>0</v>
      </c>
      <c r="CG154" s="115" t="b">
        <f t="shared" si="141"/>
        <v>0</v>
      </c>
      <c r="CH154" s="115">
        <f t="shared" ca="1" si="112"/>
        <v>13.39500000000001</v>
      </c>
      <c r="CI154" s="115" t="b">
        <f t="shared" ca="1" si="113"/>
        <v>0</v>
      </c>
      <c r="CJ154" s="119">
        <f t="shared" ca="1" si="114"/>
        <v>0</v>
      </c>
      <c r="CK154" s="115">
        <f t="shared" ca="1" si="115"/>
        <v>0</v>
      </c>
      <c r="CL154" s="115" t="b">
        <f ca="1">AND(模拟模式!$S$7="驱夷逐法",OR(AND(C154="净世破魔击·月",E153&gt;59),AND(C154="净世破魔击·日",F153&gt;59)))</f>
        <v>0</v>
      </c>
      <c r="CM154" s="115" t="b">
        <f ca="1">OR(CL154,AND(C154="净世破魔击·日",CL153,RAND()&lt;模拟模式!$U$23))</f>
        <v>0</v>
      </c>
      <c r="CN154" s="115" t="b">
        <f ca="1">IF(模拟模式!$M$7="辉耀红尘",AND(C154="净世破魔击·月",CL154,CV154=0,E153&lt;80),AND(C154="净世破魔击·月",CL154,E153&lt;100))</f>
        <v>0</v>
      </c>
      <c r="CO154" s="115" t="b">
        <f t="shared" ca="1" si="75"/>
        <v>0</v>
      </c>
      <c r="CP154" s="115" t="b">
        <f ca="1">AND(模拟模式!$O$7="用晦而明",OR(C154="净世破魔击·日",C154="净世破魔击·月",C154="驱夜断愁"),AB154)</f>
        <v>0</v>
      </c>
      <c r="CQ154" s="115" t="b">
        <f ca="1">OR(CP154,AND(CP153,RAND()&lt;模拟模式!$U$23))</f>
        <v>1</v>
      </c>
      <c r="CR154" s="115" t="b">
        <f ca="1">AND(模拟模式!$S$7="日月齐光",OR(C154="幽月轮1",C154="幽月轮2",C154="幽月轮3",CR153),NOT(OR(C154="赤日轮1",C154="赤日轮2",C154="赤日轮3")))</f>
        <v>0</v>
      </c>
      <c r="CS154" s="115" t="b">
        <f ca="1">AND(模拟模式!$S$7="日月齐光",OR(C154="赤日轮1",C154="赤日轮2",C154="赤日轮3",CS153),NOT(OR(C154="幽月轮1",C154="幽月轮2",C154="幽月轮3")))</f>
        <v>0</v>
      </c>
      <c r="CT154" s="115">
        <f t="shared" ca="1" si="116"/>
        <v>11.550000000000011</v>
      </c>
      <c r="CU154" s="115" t="b">
        <f ca="1">AND(模拟模式!$K$10="阴阳往极",CT153=0,RAND()&lt;IF(C154="净世破魔击·月",0.0275*7/3,IF(C154="净世破魔击·日",0.0275*3/3,0.0275*2/3)))</f>
        <v>0</v>
      </c>
      <c r="CV154" s="115">
        <f t="shared" ca="1" si="117"/>
        <v>0</v>
      </c>
      <c r="CW154" s="115">
        <f t="shared" ca="1" si="76"/>
        <v>2.3099999999999996</v>
      </c>
      <c r="CX154" s="115">
        <f t="shared" ca="1" si="77"/>
        <v>0.46499999999999975</v>
      </c>
      <c r="CY154" s="115">
        <f ca="1">MAX(IF($C154="驱夜断愁",IF(模拟模式!$R$7="万念俱寂",6,45),CY153-$F$4),0)</f>
        <v>1.3874999999999997</v>
      </c>
      <c r="CZ154" s="115">
        <f t="shared" ca="1" si="78"/>
        <v>0</v>
      </c>
      <c r="DA154" s="115">
        <f ca="1">IF(模拟模式!$N$7="日月同辉",IF(DB153=2,0,MIN(6,IF(AND(OR(C154="赤日轮1",C154="赤日轮2",C154="赤日轮3",C154="幽月轮1",C154="幽月轮2",C154="幽月轮3"),AB154=1),DA153+1,DA153))),0)</f>
        <v>4</v>
      </c>
      <c r="DB154" s="115">
        <f t="shared" ca="1" si="79"/>
        <v>0</v>
      </c>
      <c r="DC154" s="115"/>
      <c r="DD154" s="115"/>
      <c r="DE154" s="115"/>
      <c r="DF154" s="115"/>
      <c r="DG154" s="115"/>
      <c r="DH154" s="115"/>
      <c r="DI154" s="115"/>
      <c r="DJ154" s="115"/>
      <c r="DK154" s="115"/>
      <c r="DL154" s="115"/>
      <c r="DM154" s="115"/>
    </row>
    <row r="155" spans="2:117" x14ac:dyDescent="0.2">
      <c r="B155" s="117">
        <f t="shared" si="80"/>
        <v>118.07999999999994</v>
      </c>
      <c r="C155" s="167" t="str">
        <f t="shared" ca="1" si="66"/>
        <v>银月斩</v>
      </c>
      <c r="D155" s="115">
        <f ca="1">IF(C155="赤日轮1",1,IF(C155="赤日轮2",2,IF(C155="赤日轮3",3,IF(C155="幽月轮1",4,IF(C155="幽月轮2",5,IF(C155="幽月轮3",6,IF(C155="烈日斩",7,IF(C155="银月斩",8,IF(C155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155="净世破魔击·月",17,IF(C155="驱夜断愁",18,0)))))))))))</f>
        <v>8</v>
      </c>
      <c r="E155" s="115">
        <f ca="1">IF(AND(CU155,OR(C155="幽月轮1",C155="幽月轮2",C155="幽月轮3",C155="银月斩",C155="驱夜断愁",C155="净世破魔击·月")),100,MIN(IF(OR(CN155,BE155),0,IF(OR($C155="赤日轮1",$C155="赤日轮2",$C155="赤日轮3"),E154+20+IF(模拟模式!$I$7="日月凌天",4,0)+IF(CR154,20,0),IF($C155="烈日斩",E154+40,IF($C155="驱夜断愁",IF(模拟模式!$R$7="万念俱寂",E154+20,E154+60),IF($C155="净世破魔击·月",IF(OR(DB154&gt;0,CV154&gt;0),100,IF(模拟模式!$M$7="辉耀红尘",E154+20,E154)),IF($C155="净世破魔击·日",E154-100,E154)))))),100))</f>
        <v>20</v>
      </c>
      <c r="F155" s="115">
        <f ca="1">IF(AND(CU155,OR(C155="赤日轮1",C155="赤日轮2",C155="赤日轮3",C155="烈日斩",C155="净世破魔击·日")),100,MIN(IF(CO155,0,IF(OR($C155="幽月轮1",$C155="幽月轮2",$C155="幽月轮3"),F154+20+IF(模拟模式!$I$7="日月凌天",4,0)+IF(CS154,20,0),IF($C155="银月斩",F154+40+IF(模拟模式!$X$12=1,5,0),IF($C155="驱夜断愁",IF(模拟模式!$R$7="万念俱寂",F154+20,F154+60),IF($C155="净世破魔击·月",IF(模拟模式!$M$7="辉耀红尘",F154-80,F154-100),IF(AND(C155="净世破魔击·日",OR(DB154&gt;0,CV154&gt;0)),100,F154)))))),100))</f>
        <v>65</v>
      </c>
      <c r="G155" s="117">
        <f ca="1">('模拟-全程加成'!$E$3+'模拟-全程加成'!$E$4+'模拟-全程加成'!$E$5+('模拟-全程加成'!$C$6-'模拟-全程加成'!$C$3)*系数!$B$9+BS155*23)*(1+'模拟-全程加成'!$F$4+'模拟-全程加成'!$F$5+BJ155*10%+BM155*20%+BP155*4%+CG155*30%)+$F$7*系数!$B$12</f>
        <v>21493.829400000002</v>
      </c>
      <c r="H155" s="45">
        <f ca="1">'模拟-全程加成'!$H$3+'模拟-全程加成'!$H$4+'模拟-全程加成'!$H$5+('模拟-全程加成'!$G$4+'模拟-全程加成'!$G$5+('模拟-全程加成'!$C$6-'模拟-全程加成'!$C$3)*系数!$B$13)/系数!$B$3+LOOKUP(D155,'模拟-单技能数据'!$A$2:$A$19,'模拟-单技能数据'!$K$2:$K$19)+BG155*10%+IF(BV155&gt;0,378,0)</f>
        <v>0.64185145527300214</v>
      </c>
      <c r="I155" s="45">
        <f ca="1">'模拟-全程加成'!$J$3+'模拟-全程加成'!$J$4+'模拟-全程加成'!$J$5+('模拟-全程加成'!$I$4+'模拟-全程加成'!$I$5)/系数!$B$4+LOOKUP(D155,'模拟-单技能数据'!$A$2:$A$19,'模拟-单技能数据'!$L$2:$L$19)+BG155*10%</f>
        <v>2.2624828854998791</v>
      </c>
      <c r="J155" s="45">
        <f ca="1">(('模拟-全程加成'!$K$3+'模拟-全程加成'!$K$4+'模拟-全程加成'!$K$5+('模拟-全程加成'!$C$6-'模拟-全程加成'!$C$3)*系数!$B$10+IF(BV155&gt;0,882,0)+IF(BY155&gt;0,1831,0))*(1+'模拟-全程加成'!$L$4+'模拟-全程加成'!$L$5+CC155*20%))/系数!$B$5</f>
        <v>0.69723220422048726</v>
      </c>
      <c r="K155" s="119">
        <f ca="1">LOOKUP(D155,'模拟-单技能数据'!$A$2:$A$19,'模拟-单技能数据'!$J$2:$J$19)+IF(CM155,60%,0)+IF(DB154-DB155&gt;0,30%,0)+IF(OR(AND(OR(C155="赤日轮1",C155="赤日轮2",C155="赤日轮3"),CR155),AND(OR(C155="幽月轮1",C155="幽月轮2",C155="幽月轮3"),CS155)),35%,0)+CJ155</f>
        <v>0.15</v>
      </c>
      <c r="L155" s="119">
        <f ca="1">IF(AND(C155="烈日斩",模拟模式!$X$11=1),10%,0)+IF(AND(C155="驱夜断愁",AB155=1),30%,0)</f>
        <v>0</v>
      </c>
      <c r="M155" s="45">
        <f t="shared" ca="1" si="129"/>
        <v>0.64185145527300214</v>
      </c>
      <c r="N155" s="45">
        <f t="shared" ca="1" si="130"/>
        <v>0.30424854472699792</v>
      </c>
      <c r="O155" s="46">
        <f t="shared" ca="1" si="83"/>
        <v>0.97047341547833887</v>
      </c>
      <c r="P155" s="46" t="str">
        <f t="shared" ca="1" si="84"/>
        <v>命</v>
      </c>
      <c r="Q155" s="45">
        <f t="shared" ca="1" si="85"/>
        <v>1</v>
      </c>
      <c r="R155" s="117">
        <f ca="1">模拟模式!$E$20*(1-IF(模拟模式!$J$19="有",0.15,0))*(1-IF(模拟模式!$K$19="有",0.3,0)-IF(CQ155,0.5,0))</f>
        <v>2950.6049999999996</v>
      </c>
      <c r="S155" s="45">
        <f ca="1">R155/(R155+(185*模拟模式!$E$22-16800)*4.08224)</f>
        <v>0.24272716014590323</v>
      </c>
      <c r="T155" s="45" t="str">
        <f ca="1">LOOKUP(D155,'模拟-单技能数据'!$A$2:$A$19,'模拟-单技能数据'!$H$2:$H$19)</f>
        <v>阴</v>
      </c>
      <c r="U155" s="119">
        <f t="shared" ca="1" si="131"/>
        <v>0.08</v>
      </c>
      <c r="V155" s="47">
        <f ca="1">(1+L155)*(LOOKUP(D155,'模拟-单技能数据'!$A$2:$A$19,'模拟-单技能数据'!$D$2:$D$19)+G155*LOOKUP(D155,'模拟-单技能数据'!$A$2:$A$19,'模拟-单技能数据'!$F$2:$F$19))*(1+J155)*(1+K155)*(1-S155)*(1+U155)*Q155*LOOKUP(D155,'模拟-单技能数据'!$A$2:$A$19,'模拟-单技能数据'!$I$2:$I$20)</f>
        <v>18215.255972688272</v>
      </c>
      <c r="W155" s="47">
        <f ca="1">LOOKUP(D155,'模拟-单技能数据'!$A$2:$A$19,'模拟-单技能数据'!$G$2:$G$19)*$I$10</f>
        <v>361.51064354704795</v>
      </c>
      <c r="X155" s="47">
        <f t="shared" ca="1" si="87"/>
        <v>13108.90905418088</v>
      </c>
      <c r="Y155" s="47">
        <f t="shared" ca="1" si="132"/>
        <v>31685.6756704162</v>
      </c>
      <c r="Z155" s="49">
        <f t="shared" ca="1" si="133"/>
        <v>13490787.894961812</v>
      </c>
      <c r="AA155" s="97">
        <f t="shared" ca="1" si="134"/>
        <v>114251.25249798287</v>
      </c>
      <c r="AB155" s="115">
        <f ca="1">IF(OR(C155="赤日轮1",C155="赤日轮2",C155="赤日轮3"),IF(RAND()&lt;模拟模式!$Y$17,1,0),IF(OR(C155="幽月轮1",C155="幽月轮2",C155="幽月轮3"),IF(RAND()&lt;模拟模式!$Y$18,1,0),IF(C155="烈日斩",IF(RAND()&lt;模拟模式!$Y$19,1,0),IF(C155="银月斩",IF(RAND()&lt;模拟模式!$Y$20,1,0),IF(C155="驱夜断愁",IF(RAND()&lt;模拟模式!$Y$21,1,0),IF(C155="净世破魔击·日",IF(RAND()&lt;模拟模式!$Y$22,1,0),IF(C155="净世破魔击·月",IF(RAND()&lt;模拟模式!$Y$23,1,0),0)))))))</f>
        <v>1</v>
      </c>
      <c r="AC155" s="115" t="b">
        <f t="shared" ca="1" si="122"/>
        <v>1</v>
      </c>
      <c r="AD155" s="115" t="b">
        <f t="shared" ca="1" si="142"/>
        <v>1</v>
      </c>
      <c r="AE155" s="115">
        <f t="shared" ca="1" si="143"/>
        <v>5</v>
      </c>
      <c r="AF155" s="47">
        <f ca="1">IF(AC155,('模拟-单技能数据'!$D$20+G155*'模拟-单技能数据'!$F$20)*(1+J155)*(1+'模拟-单技能数据'!$J$20)*(1+U155),0)</f>
        <v>4639.7456468263617</v>
      </c>
      <c r="AG155" s="61">
        <f t="shared" ca="1" si="135"/>
        <v>0.64185145527300214</v>
      </c>
      <c r="AH155" s="61">
        <f t="shared" ca="1" si="136"/>
        <v>2.2624828854998791</v>
      </c>
      <c r="AI155" s="62">
        <f t="shared" ca="1" si="93"/>
        <v>0.99201980947800961</v>
      </c>
      <c r="AJ155" s="47">
        <f ca="1">IF(AD155,IF(AI155&lt;$F$10,0,IF(AI155&lt;$F$10+$F$11,0.25,IF(AI155&lt;$F$10+$F$11+AG155,AH155,1)))*IF(AF155&gt;0,AF155,IF(AF154&gt;0,AF154,IF(AF153&gt;0,AF153,IF(AF152&gt;0,AF152,IF(AF151&gt;0,AF151,IF(AF150&gt;0,AF150,IF(AF149&gt;0,AF149,IF(AF148&gt;0,AF148,IF(AF147&gt;0,AF147,IF(AF145&gt;0,AF145,IF(AF144&gt;0,AF144,IF(AF143&gt;0,AF143,0)))))))))))),0)*(1-$S155)*'模拟-单技能数据'!$I$20</f>
        <v>3513.5533621728819</v>
      </c>
      <c r="AK155" s="115" t="b">
        <f t="shared" ca="1" si="123"/>
        <v>0</v>
      </c>
      <c r="AL155" s="115" t="b">
        <f t="shared" ca="1" si="144"/>
        <v>1</v>
      </c>
      <c r="AM155" s="115">
        <f t="shared" ca="1" si="145"/>
        <v>4</v>
      </c>
      <c r="AN155" s="47">
        <f ca="1">IF(AK155,('模拟-单技能数据'!$D$21+G155*'模拟-单技能数据'!$F$21)*(1+J155)*(1+'模拟-单技能数据'!$J$21)*(1+U155),0)</f>
        <v>0</v>
      </c>
      <c r="AO155" s="61">
        <f ca="1">IF(AN155&gt;0,M155-'模拟-单技能数据'!$K$10,AO154)</f>
        <v>0.42185145527300216</v>
      </c>
      <c r="AP155" s="61">
        <f ca="1">IF(AN155&gt;0,I155-'模拟-单技能数据'!$L$10,AP154)</f>
        <v>2.162482885499879</v>
      </c>
      <c r="AQ155" s="63">
        <f t="shared" ca="1" si="94"/>
        <v>0.5291614027132423</v>
      </c>
      <c r="AR155" s="64">
        <f ca="1">IF(AL155,IF(AQ155&lt;$F$10,0,IF(AQ155&lt;$F$10+$F$11,0.25,IF(AQ155&lt;$F$10+$F$11+AO155,AP155,1)))*IF(AN155&gt;0,AN155,IF(AN154&gt;0,AN154,IF(AN153&gt;0,AN153,IF(AN152&gt;0,AN152,IF(AN151&gt;0,AN151,IF(AN150&gt;0,AN150,IF(AN149&gt;0,AN149,IF(AN148&gt;0,AN148,IF(AN147&gt;0,AN147,IF(AN145&gt;0,AN145,IF(AN144&gt;0,AN144,IF(AN143&gt;0,AN143,0)))))))))))),0)*(1-$S155)*'模拟-单技能数据'!$I$21</f>
        <v>9595.3556920079973</v>
      </c>
      <c r="AS155" s="61">
        <f ca="1">IF(OR(C155="净世破魔击·日",C155="净世破魔击·月"),M155-'模拟-单技能数据'!$K$10,0)</f>
        <v>0</v>
      </c>
      <c r="AT155" s="61">
        <f ca="1">IF(OR(C155="净世破魔击·日",C155="净世破魔击·月"),I155-'模拟-单技能数据'!$L$10,0)</f>
        <v>0</v>
      </c>
      <c r="AU155" s="62">
        <f t="shared" ca="1" si="95"/>
        <v>0.98195044809062348</v>
      </c>
      <c r="AV155" s="64">
        <f ca="1">IF(AS155&gt;0,('模拟-单技能数据'!$D$22+G155*'模拟-单技能数据'!$F$22)*(1+J155)*(1-S155)*IF(AU155&lt;$F$10,0,IF(AU155&lt;$F$10+$F$11,0.25,IF(AU155&lt;$F$10+$F$11+AS155,AT155,1)))*(1+U155),0)*'模拟-单技能数据'!$I$22</f>
        <v>0</v>
      </c>
      <c r="AW155" s="108">
        <f t="shared" ca="1" si="96"/>
        <v>9.8525000000000063</v>
      </c>
      <c r="AX155" s="108" t="b">
        <f ca="1">AND(模拟模式!$P$10="有",AW154=0,RAND()&lt;IF(C155="净世破魔击·月",0.1*8/3,IF(C155="净世破魔击·日",0.1*4/3,0.1*2/3)))</f>
        <v>0</v>
      </c>
      <c r="AY155" s="47">
        <f ca="1">IF(AX155,(18+G155*0.722)*(1+J155)*(1-S155)*(1+$I$4)*IF(P155="会",'模拟-全程加成'!$J$3+'模拟-全程加成'!$J$4+'模拟-全程加成'!$J$5+('模拟-全程加成'!$I$4+'模拟-全程加成'!$I$5)/系数!$B$4+BG155*10%,IF(P155="命",1,IF(P155="识",0.25,0))),0)</f>
        <v>0</v>
      </c>
      <c r="AZ155" s="108">
        <f t="shared" si="97"/>
        <v>3.3950000000000062</v>
      </c>
      <c r="BA155" s="108" t="b">
        <f>AND(模拟模式!$Q$10="有",AZ154=0)</f>
        <v>0</v>
      </c>
      <c r="BB155" s="140">
        <f>IF(BA155,(0+G155*0.287)*(1+J155)*(1-S155)*(1+$I$4)*IF(P155="会",'模拟-全程加成'!$J$3+'模拟-全程加成'!$J$4+'模拟-全程加成'!$J$5+('模拟-全程加成'!$I$4+'模拟-全程加成'!$I$5)/系数!$B$4+BG155*10%,IF(P155="命",1,IF(P155="识",0.25,0))),0)</f>
        <v>0</v>
      </c>
      <c r="BC155" s="115" t="b">
        <f ca="1">AND(模拟模式!$R$7="伏明众生",E155=60,F155=20,DA155&lt;5,CZ154&lt;$F$4)</f>
        <v>0</v>
      </c>
      <c r="BD155" s="115">
        <f t="shared" ca="1" si="124"/>
        <v>0</v>
      </c>
      <c r="BE155" s="115" t="b">
        <f t="shared" ca="1" si="125"/>
        <v>0</v>
      </c>
      <c r="BF155" s="47">
        <f ca="1">IF(BC155,4*('模拟-单技能数据'!$D$24+G155*'模拟-单技能数据'!$F$24)*(1+J155)*(1+'模拟-单技能数据'!$J$24)*(1-S155)*(1+$I$3)*(('模拟-全程加成'!$J$3+'模拟-全程加成'!$J$4+'模拟-全程加成'!$J$5+('模拟-全程加成'!$I$4+'模拟-全程加成'!$I$5)/系数!$B$4+BG155*10%)*('模拟-全程加成'!$J$3+'模拟-全程加成'!$J$4+'模拟-全程加成'!$J$5+('模拟-全程加成'!$I$4+'模拟-全程加成'!$I$5)/系数!$B$4+BG155*10%)+(1-('模拟-全程加成'!$J$3+'模拟-全程加成'!$J$4+'模拟-全程加成'!$J$5+('模拟-全程加成'!$I$4+'模拟-全程加成'!$I$5)/系数!$B$4+BG155*10%)-$F$10-$F$11)+F141*0.25),0)*'模拟-单技能数据'!$I$24</f>
        <v>0</v>
      </c>
      <c r="BG155" s="115" t="b">
        <f ca="1">OR(AND(OR(C155="烈日斩",C155="银月斩"),模拟模式!$I$7="净身明礼"),AND(C155="净世破魔击·日",模拟模式!$J$7="洞若观火"),AND(C156="净世破魔击·月",模拟模式!$J$7="洞若观火"),AB155=1)</f>
        <v>1</v>
      </c>
      <c r="BH155" s="115" t="b">
        <f t="shared" ca="1" si="98"/>
        <v>0</v>
      </c>
      <c r="BI155" s="115">
        <f t="shared" ca="1" si="126"/>
        <v>3.2324999999999995</v>
      </c>
      <c r="BJ155" s="115" t="b">
        <f t="shared" ca="1" si="137"/>
        <v>1</v>
      </c>
      <c r="BK155" s="115" t="b">
        <f ca="1">AND(C155="驱夜断愁",模拟模式!$P$7="天地诛戮")</f>
        <v>0</v>
      </c>
      <c r="BL155" s="57">
        <f t="shared" ca="1" si="127"/>
        <v>14.465000000000003</v>
      </c>
      <c r="BM155" s="115" t="b">
        <f t="shared" ca="1" si="138"/>
        <v>1</v>
      </c>
      <c r="BN155" s="115" t="b">
        <f ca="1">AND(OR(C155="赤日轮1",C155="赤日轮2",C155="赤日轮3",C155="幽月轮1",C155="幽月轮2",C155="幽月轮3"),AB155=1,模拟模式!$L$7="明光恒照")</f>
        <v>0</v>
      </c>
      <c r="BO155" s="117">
        <f t="shared" ca="1" si="128"/>
        <v>29.077500000000001</v>
      </c>
      <c r="BP155" s="115">
        <f t="shared" ca="1" si="101"/>
        <v>6</v>
      </c>
      <c r="BQ155" s="115" t="b">
        <f>模拟模式!$K$10="2600·水"</f>
        <v>0</v>
      </c>
      <c r="BR155" s="117">
        <f t="shared" si="102"/>
        <v>0</v>
      </c>
      <c r="BS155" s="115">
        <f t="shared" si="103"/>
        <v>0</v>
      </c>
      <c r="BT155" s="115">
        <f t="shared" ca="1" si="104"/>
        <v>0</v>
      </c>
      <c r="BU155" s="115" t="b">
        <f ca="1">AND(模拟模式!$K$10="2300·雷",BT154=0,RAND()&lt;IF(C155="净世破魔击·月",5*0.05*2/3,IF(C155="净世破魔击·日",3*0.05*2/3,0.05*2*2/3)))</f>
        <v>0</v>
      </c>
      <c r="BV155" s="115">
        <f t="shared" ca="1" si="105"/>
        <v>0</v>
      </c>
      <c r="BW155" s="115">
        <f t="shared" ca="1" si="106"/>
        <v>67.454999999999274</v>
      </c>
      <c r="BX155" s="164" t="b">
        <f t="shared" ca="1" si="107"/>
        <v>0</v>
      </c>
      <c r="BY155" s="115">
        <f t="shared" ca="1" si="108"/>
        <v>0</v>
      </c>
      <c r="BZ155" s="115">
        <f>IF(OR(模拟模式!$P$16="10人团",模拟模式!$P$16="25人团"),IF(B155/30&gt;CA154,1,0),0)</f>
        <v>0</v>
      </c>
      <c r="CA155" s="115">
        <f t="shared" si="74"/>
        <v>0</v>
      </c>
      <c r="CB155" s="115">
        <f ca="1">IF(BZ155=1,IF(模拟模式!$P$16="10人团",15,0)+IF(模拟模式!$P$16="25人团",IF(RAND()&lt;0.6,15,0)),MAX(0,CB154-$F$4))</f>
        <v>0</v>
      </c>
      <c r="CC155" s="115" t="b">
        <f t="shared" ca="1" si="139"/>
        <v>0</v>
      </c>
      <c r="CD155" s="115">
        <f>IF(模拟模式!$Q$16="1个",IF(B155/40&gt;CE154,1,0),0)</f>
        <v>0</v>
      </c>
      <c r="CE155" s="115">
        <f t="shared" si="140"/>
        <v>0</v>
      </c>
      <c r="CF155" s="115">
        <f>IF(OR(CD155=1,模拟模式!$Q$16="2个"),20,MAX(0,CF154-$F$4))</f>
        <v>0</v>
      </c>
      <c r="CG155" s="115" t="b">
        <f t="shared" si="141"/>
        <v>0</v>
      </c>
      <c r="CH155" s="115">
        <f t="shared" ca="1" si="112"/>
        <v>12.472500000000011</v>
      </c>
      <c r="CI155" s="115" t="b">
        <f t="shared" ca="1" si="113"/>
        <v>0</v>
      </c>
      <c r="CJ155" s="119">
        <f t="shared" ca="1" si="114"/>
        <v>0</v>
      </c>
      <c r="CK155" s="115">
        <f t="shared" ca="1" si="115"/>
        <v>0</v>
      </c>
      <c r="CL155" s="115" t="b">
        <f ca="1">AND(模拟模式!$S$7="驱夷逐法",OR(AND(C155="净世破魔击·月",E154&gt;59),AND(C155="净世破魔击·日",F154&gt;59)))</f>
        <v>0</v>
      </c>
      <c r="CM155" s="115" t="b">
        <f ca="1">OR(CL155,AND(C155="净世破魔击·日",CL154,RAND()&lt;模拟模式!$U$23))</f>
        <v>0</v>
      </c>
      <c r="CN155" s="115" t="b">
        <f ca="1">IF(模拟模式!$M$7="辉耀红尘",AND(C155="净世破魔击·月",CL155,CV155=0,E154&lt;80),AND(C155="净世破魔击·月",CL155,E154&lt;100))</f>
        <v>0</v>
      </c>
      <c r="CO155" s="115" t="b">
        <f t="shared" ca="1" si="75"/>
        <v>0</v>
      </c>
      <c r="CP155" s="115" t="b">
        <f ca="1">AND(模拟模式!$O$7="用晦而明",OR(C155="净世破魔击·日",C155="净世破魔击·月",C155="驱夜断愁"),AB155)</f>
        <v>0</v>
      </c>
      <c r="CQ155" s="115" t="b">
        <f ca="1">OR(CP155,AND(CP154,RAND()&lt;模拟模式!$U$23))</f>
        <v>0</v>
      </c>
      <c r="CR155" s="115" t="b">
        <f ca="1">AND(模拟模式!$S$7="日月齐光",OR(C155="幽月轮1",C155="幽月轮2",C155="幽月轮3",CR154),NOT(OR(C155="赤日轮1",C155="赤日轮2",C155="赤日轮3")))</f>
        <v>0</v>
      </c>
      <c r="CS155" s="115" t="b">
        <f ca="1">AND(模拟模式!$S$7="日月齐光",OR(C155="赤日轮1",C155="赤日轮2",C155="赤日轮3",CS154),NOT(OR(C155="幽月轮1",C155="幽月轮2",C155="幽月轮3")))</f>
        <v>0</v>
      </c>
      <c r="CT155" s="115">
        <f t="shared" ca="1" si="116"/>
        <v>10.627500000000012</v>
      </c>
      <c r="CU155" s="115" t="b">
        <f ca="1">AND(模拟模式!$K$10="阴阳往极",CT154=0,RAND()&lt;IF(C155="净世破魔击·月",0.0275*7/3,IF(C155="净世破魔击·日",0.0275*3/3,0.0275*2/3)))</f>
        <v>0</v>
      </c>
      <c r="CV155" s="115">
        <f t="shared" ca="1" si="117"/>
        <v>0</v>
      </c>
      <c r="CW155" s="115">
        <f t="shared" ca="1" si="76"/>
        <v>1.3874999999999997</v>
      </c>
      <c r="CX155" s="115">
        <f t="shared" ca="1" si="77"/>
        <v>6</v>
      </c>
      <c r="CY155" s="115">
        <f ca="1">MAX(IF($C155="驱夜断愁",IF(模拟模式!$R$7="万念俱寂",6,45),CY154-$F$4),0)</f>
        <v>0.46499999999999975</v>
      </c>
      <c r="CZ155" s="115">
        <f t="shared" ca="1" si="78"/>
        <v>0</v>
      </c>
      <c r="DA155" s="115">
        <f ca="1">IF(模拟模式!$N$7="日月同辉",IF(DB154=2,0,MIN(6,IF(AND(OR(C155="赤日轮1",C155="赤日轮2",C155="赤日轮3",C155="幽月轮1",C155="幽月轮2",C155="幽月轮3"),AB155=1),DA154+1,DA154))),0)</f>
        <v>4</v>
      </c>
      <c r="DB155" s="115">
        <f t="shared" ca="1" si="79"/>
        <v>0</v>
      </c>
      <c r="DC155" s="115"/>
      <c r="DD155" s="115"/>
      <c r="DE155" s="115"/>
      <c r="DF155" s="115"/>
      <c r="DG155" s="115"/>
      <c r="DH155" s="115"/>
      <c r="DI155" s="115"/>
      <c r="DJ155" s="115"/>
      <c r="DK155" s="115"/>
      <c r="DL155" s="115"/>
      <c r="DM155" s="115"/>
    </row>
    <row r="156" spans="2:117" x14ac:dyDescent="0.2">
      <c r="B156" s="117">
        <f t="shared" si="80"/>
        <v>119.00249999999994</v>
      </c>
      <c r="C156" s="167" t="str">
        <f t="shared" ref="C156:C219" ca="1" si="146">IF(F155=100,"净世破魔击·月",IF(E155=100,"净世破魔击·日",IF(E155&lt;20,IF(C155="赤日轮1","赤日轮2",IF(C155="赤日轮2","赤日轮3","赤日轮1")),IF(AND(E155&gt;19,F155&lt;44,CX155&lt;$F$4),"银月斩",IF(AND(E155&lt;40,CY155&lt;$F$4),"驱夜断愁",IF(AND(E155&lt;60,CW155&lt;$F$4),"烈日斩",IF(C155="幽月轮1","幽月轮2",IF(C155="幽月轮2","幽月轮3","幽月轮1"))))))))</f>
        <v>驱夜断愁</v>
      </c>
      <c r="D156" s="115">
        <f ca="1">IF(C156="赤日轮1",1,IF(C156="赤日轮2",2,IF(C156="赤日轮3",3,IF(C156="幽月轮1",4,IF(C156="幽月轮2",5,IF(C156="幽月轮3",6,IF(C156="烈日斩",7,IF(C156="银月斩",8,IF(C156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156="净世破魔击·月",17,IF(C156="驱夜断愁",18,0)))))))))))</f>
        <v>18</v>
      </c>
      <c r="E156" s="115">
        <f ca="1">IF(AND(CU156,OR(C156="幽月轮1",C156="幽月轮2",C156="幽月轮3",C156="银月斩",C156="驱夜断愁",C156="净世破魔击·月")),100,MIN(IF(OR(CN156,BE156),0,IF(OR($C156="赤日轮1",$C156="赤日轮2",$C156="赤日轮3"),E155+20+IF(模拟模式!$I$7="日月凌天",4,0)+IF(CR155,20,0),IF($C156="烈日斩",E155+40,IF($C156="驱夜断愁",IF(模拟模式!$R$7="万念俱寂",E155+20,E155+60),IF($C156="净世破魔击·月",IF(OR(DB155&gt;0,CV155&gt;0),100,IF(模拟模式!$M$7="辉耀红尘",E155+20,E155)),IF($C156="净世破魔击·日",E155-100,E155)))))),100))</f>
        <v>40</v>
      </c>
      <c r="F156" s="115">
        <f ca="1">IF(AND(CU156,OR(C156="赤日轮1",C156="赤日轮2",C156="赤日轮3",C156="烈日斩",C156="净世破魔击·日")),100,MIN(IF(CO156,0,IF(OR($C156="幽月轮1",$C156="幽月轮2",$C156="幽月轮3"),F155+20+IF(模拟模式!$I$7="日月凌天",4,0)+IF(CS155,20,0),IF($C156="银月斩",F155+40+IF(模拟模式!$X$12=1,5,0),IF($C156="驱夜断愁",IF(模拟模式!$R$7="万念俱寂",F155+20,F155+60),IF($C156="净世破魔击·月",IF(模拟模式!$M$7="辉耀红尘",F155-80,F155-100),IF(AND(C156="净世破魔击·日",OR(DB155&gt;0,CV155&gt;0)),100,F155)))))),100))</f>
        <v>85</v>
      </c>
      <c r="G156" s="117">
        <f ca="1">('模拟-全程加成'!$E$3+'模拟-全程加成'!$E$4+'模拟-全程加成'!$E$5+('模拟-全程加成'!$C$6-'模拟-全程加成'!$C$3)*系数!$B$9+BS156*23)*(1+'模拟-全程加成'!$F$4+'模拟-全程加成'!$F$5+BJ156*10%+BM156*20%+BP156*4%+CG156*30%)+$F$7*系数!$B$12</f>
        <v>21493.829400000002</v>
      </c>
      <c r="H156" s="45">
        <f ca="1">'模拟-全程加成'!$H$3+'模拟-全程加成'!$H$4+'模拟-全程加成'!$H$5+('模拟-全程加成'!$G$4+'模拟-全程加成'!$G$5+('模拟-全程加成'!$C$6-'模拟-全程加成'!$C$3)*系数!$B$13)/系数!$B$3+LOOKUP(D156,'模拟-单技能数据'!$A$2:$A$19,'模拟-单技能数据'!$K$2:$K$19)+BG156*10%+IF(BV156&gt;0,378,0)</f>
        <v>0.51185145527300213</v>
      </c>
      <c r="I156" s="45">
        <f ca="1">'模拟-全程加成'!$J$3+'模拟-全程加成'!$J$4+'模拟-全程加成'!$J$5+('模拟-全程加成'!$I$4+'模拟-全程加成'!$I$5)/系数!$B$4+LOOKUP(D156,'模拟-单技能数据'!$A$2:$A$19,'模拟-单技能数据'!$L$2:$L$19)+BG156*10%</f>
        <v>2.162482885499879</v>
      </c>
      <c r="J156" s="45">
        <f ca="1">(('模拟-全程加成'!$K$3+'模拟-全程加成'!$K$4+'模拟-全程加成'!$K$5+('模拟-全程加成'!$C$6-'模拟-全程加成'!$C$3)*系数!$B$10+IF(BV156&gt;0,882,0)+IF(BY156&gt;0,1831,0))*(1+'模拟-全程加成'!$L$4+'模拟-全程加成'!$L$5+CC156*20%))/系数!$B$5</f>
        <v>0.69723220422048726</v>
      </c>
      <c r="K156" s="119">
        <f ca="1">LOOKUP(D156,'模拟-单技能数据'!$A$2:$A$19,'模拟-单技能数据'!$J$2:$J$19)+IF(CM156,60%,0)+IF(DB155-DB156&gt;0,30%,0)+IF(OR(AND(OR(C156="赤日轮1",C156="赤日轮2",C156="赤日轮3"),CR156),AND(OR(C156="幽月轮1",C156="幽月轮2",C156="幽月轮3"),CS156)),35%,0)+CJ156</f>
        <v>0.14000000000000001</v>
      </c>
      <c r="L156" s="119">
        <f ca="1">IF(AND(C156="烈日斩",模拟模式!$X$11=1),10%,0)+IF(AND(C156="驱夜断愁",AB156=1),30%,0)</f>
        <v>0.3</v>
      </c>
      <c r="M156" s="45">
        <f t="shared" ca="1" si="129"/>
        <v>0.51185145527300213</v>
      </c>
      <c r="N156" s="45">
        <f t="shared" ca="1" si="130"/>
        <v>0.43424854472699792</v>
      </c>
      <c r="O156" s="46">
        <f t="shared" ca="1" si="83"/>
        <v>0.69837539066640431</v>
      </c>
      <c r="P156" s="46" t="str">
        <f t="shared" ca="1" si="84"/>
        <v>命</v>
      </c>
      <c r="Q156" s="45">
        <f t="shared" ca="1" si="85"/>
        <v>1</v>
      </c>
      <c r="R156" s="117">
        <f ca="1">模拟模式!$E$20*(1-IF(模拟模式!$J$19="有",0.15,0))*(1-IF(模拟模式!$K$19="有",0.3,0)-IF(CQ156,0.5,0))</f>
        <v>843.02999999999975</v>
      </c>
      <c r="S156" s="45">
        <f ca="1">R156/(R156+(185*模拟模式!$E$22-16800)*4.08224)</f>
        <v>8.389626085980037E-2</v>
      </c>
      <c r="T156" s="45" t="str">
        <f ca="1">LOOKUP(D156,'模拟-单技能数据'!$A$2:$A$19,'模拟-单技能数据'!$H$2:$H$19)</f>
        <v>阴</v>
      </c>
      <c r="U156" s="119">
        <f t="shared" ca="1" si="131"/>
        <v>0.08</v>
      </c>
      <c r="V156" s="47">
        <f ca="1">(1+L156)*(LOOKUP(D156,'模拟-单技能数据'!$A$2:$A$19,'模拟-单技能数据'!$D$2:$D$19)+G156*LOOKUP(D156,'模拟-单技能数据'!$A$2:$A$19,'模拟-单技能数据'!$F$2:$F$19))*(1+J156)*(1+K156)*(1-S156)*(1+U156)*Q156*LOOKUP(D156,'模拟-单技能数据'!$A$2:$A$19,'模拟-单技能数据'!$I$2:$I$20)</f>
        <v>61540.073489592025</v>
      </c>
      <c r="W156" s="47">
        <f ca="1">LOOKUP(D156,'模拟-单技能数据'!$A$2:$A$19,'模拟-单技能数据'!$G$2:$G$19)*$I$10</f>
        <v>723.0212870940959</v>
      </c>
      <c r="X156" s="47">
        <f t="shared" ca="1" si="87"/>
        <v>0</v>
      </c>
      <c r="Y156" s="47">
        <f t="shared" ca="1" si="132"/>
        <v>62263.094776686121</v>
      </c>
      <c r="Z156" s="49">
        <f t="shared" ca="1" si="133"/>
        <v>13553050.989738498</v>
      </c>
      <c r="AA156" s="97">
        <f t="shared" ca="1" si="134"/>
        <v>113888.79216603437</v>
      </c>
      <c r="AB156" s="115">
        <f ca="1">IF(OR(C156="赤日轮1",C156="赤日轮2",C156="赤日轮3"),IF(RAND()&lt;模拟模式!$Y$17,1,0),IF(OR(C156="幽月轮1",C156="幽月轮2",C156="幽月轮3"),IF(RAND()&lt;模拟模式!$Y$18,1,0),IF(C156="烈日斩",IF(RAND()&lt;模拟模式!$Y$19,1,0),IF(C156="银月斩",IF(RAND()&lt;模拟模式!$Y$20,1,0),IF(C156="驱夜断愁",IF(RAND()&lt;模拟模式!$Y$21,1,0),IF(C156="净世破魔击·日",IF(RAND()&lt;模拟模式!$Y$22,1,0),IF(C156="净世破魔击·月",IF(RAND()&lt;模拟模式!$Y$23,1,0),0)))))))</f>
        <v>1</v>
      </c>
      <c r="AC156" s="115" t="b">
        <f t="shared" ca="1" si="122"/>
        <v>0</v>
      </c>
      <c r="AD156" s="115" t="b">
        <f t="shared" ca="1" si="142"/>
        <v>0</v>
      </c>
      <c r="AE156" s="115">
        <f t="shared" ca="1" si="143"/>
        <v>5</v>
      </c>
      <c r="AF156" s="47">
        <f ca="1">IF(AC156,('模拟-单技能数据'!$D$20+G156*'模拟-单技能数据'!$F$20)*(1+J156)*(1+'模拟-单技能数据'!$J$20)*(1+U156),0)</f>
        <v>0</v>
      </c>
      <c r="AG156" s="61">
        <f t="shared" ca="1" si="135"/>
        <v>0.64185145527300214</v>
      </c>
      <c r="AH156" s="61">
        <f t="shared" ca="1" si="136"/>
        <v>2.2624828854998791</v>
      </c>
      <c r="AI156" s="62">
        <f t="shared" ca="1" si="93"/>
        <v>0.58381438717591183</v>
      </c>
      <c r="AJ156" s="47">
        <f ca="1">IF(AD156,IF(AI156&lt;$F$10,0,IF(AI156&lt;$F$10+$F$11,0.25,IF(AI156&lt;$F$10+$F$11+AG156,AH156,1)))*IF(AF156&gt;0,AF156,IF(AF155&gt;0,AF155,IF(AF154&gt;0,AF154,IF(AF153&gt;0,AF153,IF(AF152&gt;0,AF152,IF(AF151&gt;0,AF151,IF(AF150&gt;0,AF150,IF(AF149&gt;0,AF149,IF(AF148&gt;0,AF148,IF(AF146&gt;0,AF146,IF(AF145&gt;0,AF145,IF(AF144&gt;0,AF144,0)))))))))))),0)*(1-$S156)*'模拟-单技能数据'!$I$20</f>
        <v>0</v>
      </c>
      <c r="AK156" s="115" t="b">
        <f t="shared" ca="1" si="123"/>
        <v>0</v>
      </c>
      <c r="AL156" s="115" t="b">
        <f t="shared" ca="1" si="144"/>
        <v>0</v>
      </c>
      <c r="AM156" s="115">
        <f t="shared" ca="1" si="145"/>
        <v>4</v>
      </c>
      <c r="AN156" s="47">
        <f ca="1">IF(AK156,('模拟-单技能数据'!$D$21+G156*'模拟-单技能数据'!$F$21)*(1+J156)*(1+'模拟-单技能数据'!$J$21)*(1+U156),0)</f>
        <v>0</v>
      </c>
      <c r="AO156" s="61">
        <f ca="1">IF(AN156&gt;0,M156-'模拟-单技能数据'!$K$10,AO155)</f>
        <v>0.42185145527300216</v>
      </c>
      <c r="AP156" s="61">
        <f ca="1">IF(AN156&gt;0,I156-'模拟-单技能数据'!$L$10,AP155)</f>
        <v>2.162482885499879</v>
      </c>
      <c r="AQ156" s="63">
        <f t="shared" ca="1" si="94"/>
        <v>0.46161837336430789</v>
      </c>
      <c r="AR156" s="64">
        <f ca="1">IF(AL156,IF(AQ156&lt;$F$10,0,IF(AQ156&lt;$F$10+$F$11,0.25,IF(AQ156&lt;$F$10+$F$11+AO156,AP156,1)))*IF(AN156&gt;0,AN156,IF(AN155&gt;0,AN155,IF(AN154&gt;0,AN154,IF(AN153&gt;0,AN153,IF(AN152&gt;0,AN152,IF(AN151&gt;0,AN151,IF(AN150&gt;0,AN150,IF(AN149&gt;0,AN149,IF(AN148&gt;0,AN148,IF(AN146&gt;0,AN146,IF(AN145&gt;0,AN145,IF(AN144&gt;0,AN144,0)))))))))))),0)*(1-$S156)*'模拟-单技能数据'!$I$21</f>
        <v>0</v>
      </c>
      <c r="AS156" s="61">
        <f ca="1">IF(OR(C156="净世破魔击·日",C156="净世破魔击·月"),M156-'模拟-单技能数据'!$K$10,0)</f>
        <v>0</v>
      </c>
      <c r="AT156" s="61">
        <f ca="1">IF(OR(C156="净世破魔击·日",C156="净世破魔击·月"),I156-'模拟-单技能数据'!$L$10,0)</f>
        <v>0</v>
      </c>
      <c r="AU156" s="62">
        <f t="shared" ca="1" si="95"/>
        <v>3.1010401821579214E-2</v>
      </c>
      <c r="AV156" s="64">
        <f ca="1">IF(AS156&gt;0,('模拟-单技能数据'!$D$22+G156*'模拟-单技能数据'!$F$22)*(1+J156)*(1-S156)*IF(AU156&lt;$F$10,0,IF(AU156&lt;$F$10+$F$11,0.25,IF(AU156&lt;$F$10+$F$11+AS156,AT156,1)))*(1+U156),0)*'模拟-单技能数据'!$I$22</f>
        <v>0</v>
      </c>
      <c r="AW156" s="108">
        <f t="shared" ca="1" si="96"/>
        <v>8.9300000000000068</v>
      </c>
      <c r="AX156" s="108" t="b">
        <f ca="1">AND(模拟模式!$P$10="有",AW155=0,RAND()&lt;IF(C156="净世破魔击·月",0.1*8/3,IF(C156="净世破魔击·日",0.1*4/3,0.1*2/3)))</f>
        <v>0</v>
      </c>
      <c r="AY156" s="47">
        <f ca="1">IF(AX156,(18+G156*0.722)*(1+J156)*(1-S156)*(1+$I$4)*IF(P156="会",'模拟-全程加成'!$J$3+'模拟-全程加成'!$J$4+'模拟-全程加成'!$J$5+('模拟-全程加成'!$I$4+'模拟-全程加成'!$I$5)/系数!$B$4+BG156*10%,IF(P156="命",1,IF(P156="识",0.25,0))),0)</f>
        <v>0</v>
      </c>
      <c r="AZ156" s="108">
        <f t="shared" si="97"/>
        <v>2.4725000000000064</v>
      </c>
      <c r="BA156" s="108" t="b">
        <f>AND(模拟模式!$Q$10="有",AZ155=0)</f>
        <v>0</v>
      </c>
      <c r="BB156" s="140">
        <f>IF(BA156,(0+G156*0.287)*(1+J156)*(1-S156)*(1+$I$4)*IF(P156="会",'模拟-全程加成'!$J$3+'模拟-全程加成'!$J$4+'模拟-全程加成'!$J$5+('模拟-全程加成'!$I$4+'模拟-全程加成'!$I$5)/系数!$B$4+BG156*10%,IF(P156="命",1,IF(P156="识",0.25,0))),0)</f>
        <v>0</v>
      </c>
      <c r="BC156" s="115" t="b">
        <f ca="1">AND(模拟模式!$R$7="伏明众生",E156=60,F156=20,DA156&lt;5,CZ155&lt;$F$4)</f>
        <v>0</v>
      </c>
      <c r="BD156" s="115">
        <f t="shared" ca="1" si="124"/>
        <v>0</v>
      </c>
      <c r="BE156" s="115" t="b">
        <f t="shared" ca="1" si="125"/>
        <v>0</v>
      </c>
      <c r="BF156" s="47">
        <f ca="1">IF(BC156,4*('模拟-单技能数据'!$D$24+G156*'模拟-单技能数据'!$F$24)*(1+J156)*(1+'模拟-单技能数据'!$J$24)*(1-S156)*(1+$I$3)*(('模拟-全程加成'!$J$3+'模拟-全程加成'!$J$4+'模拟-全程加成'!$J$5+('模拟-全程加成'!$I$4+'模拟-全程加成'!$I$5)/系数!$B$4+BG156*10%)*('模拟-全程加成'!$J$3+'模拟-全程加成'!$J$4+'模拟-全程加成'!$J$5+('模拟-全程加成'!$I$4+'模拟-全程加成'!$I$5)/系数!$B$4+BG156*10%)+(1-('模拟-全程加成'!$J$3+'模拟-全程加成'!$J$4+'模拟-全程加成'!$J$5+('模拟-全程加成'!$I$4+'模拟-全程加成'!$I$5)/系数!$B$4+BG156*10%)-$F$10-$F$11)+F142*0.25),0)*'模拟-单技能数据'!$I$24</f>
        <v>0</v>
      </c>
      <c r="BG156" s="115" t="b">
        <f ca="1">OR(AND(OR(C156="烈日斩",C156="银月斩"),模拟模式!$I$7="净身明礼"),AND(C156="净世破魔击·日",模拟模式!$J$7="洞若观火"),AND(C157="净世破魔击·月",模拟模式!$J$7="洞若观火"),AB156=1)</f>
        <v>1</v>
      </c>
      <c r="BH156" s="115" t="b">
        <f t="shared" ca="1" si="98"/>
        <v>0</v>
      </c>
      <c r="BI156" s="115">
        <f t="shared" ca="1" si="126"/>
        <v>2.3099999999999996</v>
      </c>
      <c r="BJ156" s="115" t="b">
        <f t="shared" ca="1" si="137"/>
        <v>1</v>
      </c>
      <c r="BK156" s="115" t="b">
        <f ca="1">AND(C156="驱夜断愁",模拟模式!$P$7="天地诛戮")</f>
        <v>1</v>
      </c>
      <c r="BL156" s="57">
        <f t="shared" ca="1" si="127"/>
        <v>20</v>
      </c>
      <c r="BM156" s="115" t="b">
        <f t="shared" ca="1" si="138"/>
        <v>1</v>
      </c>
      <c r="BN156" s="115" t="b">
        <f ca="1">AND(OR(C156="赤日轮1",C156="赤日轮2",C156="赤日轮3",C156="幽月轮1",C156="幽月轮2",C156="幽月轮3"),AB156=1,模拟模式!$L$7="明光恒照")</f>
        <v>0</v>
      </c>
      <c r="BO156" s="117">
        <f t="shared" ca="1" si="128"/>
        <v>28.155000000000001</v>
      </c>
      <c r="BP156" s="115">
        <f t="shared" ca="1" si="101"/>
        <v>6</v>
      </c>
      <c r="BQ156" s="115" t="b">
        <f>模拟模式!$K$10="2600·水"</f>
        <v>0</v>
      </c>
      <c r="BR156" s="117">
        <f t="shared" si="102"/>
        <v>0</v>
      </c>
      <c r="BS156" s="115">
        <f t="shared" si="103"/>
        <v>0</v>
      </c>
      <c r="BT156" s="115">
        <f t="shared" ca="1" si="104"/>
        <v>0</v>
      </c>
      <c r="BU156" s="115" t="b">
        <f ca="1">AND(模拟模式!$K$10="2300·雷",BT155=0,RAND()&lt;IF(C156="净世破魔击·月",5*0.05*2/3,IF(C156="净世破魔击·日",3*0.05*2/3,0.05*2*2/3)))</f>
        <v>0</v>
      </c>
      <c r="BV156" s="115">
        <f t="shared" ca="1" si="105"/>
        <v>0</v>
      </c>
      <c r="BW156" s="115">
        <f t="shared" ca="1" si="106"/>
        <v>66.532499999999274</v>
      </c>
      <c r="BX156" s="164" t="b">
        <f t="shared" ca="1" si="107"/>
        <v>0</v>
      </c>
      <c r="BY156" s="115">
        <f t="shared" ca="1" si="108"/>
        <v>0</v>
      </c>
      <c r="BZ156" s="115">
        <f>IF(OR(模拟模式!$P$16="10人团",模拟模式!$P$16="25人团"),IF(B156/30&gt;CA155,1,0),0)</f>
        <v>0</v>
      </c>
      <c r="CA156" s="115">
        <f t="shared" ref="CA156:CA219" si="147">CA155+BZ156</f>
        <v>0</v>
      </c>
      <c r="CB156" s="115">
        <f ca="1">IF(BZ156=1,IF(模拟模式!$P$16="10人团",15,0)+IF(模拟模式!$P$16="25人团",IF(RAND()&lt;0.6,15,0)),MAX(0,CB155-$F$4))</f>
        <v>0</v>
      </c>
      <c r="CC156" s="115" t="b">
        <f t="shared" ca="1" si="139"/>
        <v>0</v>
      </c>
      <c r="CD156" s="115">
        <f>IF(模拟模式!$Q$16="1个",IF(B156/40&gt;CE155,1,0),0)</f>
        <v>0</v>
      </c>
      <c r="CE156" s="115">
        <f t="shared" si="140"/>
        <v>0</v>
      </c>
      <c r="CF156" s="115">
        <f>IF(OR(CD156=1,模拟模式!$Q$16="2个"),20,MAX(0,CF155-$F$4))</f>
        <v>0</v>
      </c>
      <c r="CG156" s="115" t="b">
        <f t="shared" si="141"/>
        <v>0</v>
      </c>
      <c r="CH156" s="115">
        <f t="shared" ca="1" si="112"/>
        <v>11.550000000000011</v>
      </c>
      <c r="CI156" s="115" t="b">
        <f t="shared" ca="1" si="113"/>
        <v>0</v>
      </c>
      <c r="CJ156" s="119">
        <f t="shared" ca="1" si="114"/>
        <v>0</v>
      </c>
      <c r="CK156" s="115">
        <f t="shared" ca="1" si="115"/>
        <v>0</v>
      </c>
      <c r="CL156" s="115" t="b">
        <f ca="1">AND(模拟模式!$S$7="驱夷逐法",OR(AND(C156="净世破魔击·月",E155&gt;59),AND(C156="净世破魔击·日",F155&gt;59)))</f>
        <v>0</v>
      </c>
      <c r="CM156" s="115" t="b">
        <f ca="1">OR(CL156,AND(C156="净世破魔击·日",CL155,RAND()&lt;模拟模式!$U$23))</f>
        <v>0</v>
      </c>
      <c r="CN156" s="115" t="b">
        <f ca="1">IF(模拟模式!$M$7="辉耀红尘",AND(C156="净世破魔击·月",CL156,CV156=0,E155&lt;80),AND(C156="净世破魔击·月",CL156,E155&lt;100))</f>
        <v>0</v>
      </c>
      <c r="CO156" s="115" t="b">
        <f t="shared" ref="CO156:CO219" ca="1" si="148">AND(C156="净世破魔击·日",CL156,CV156=0)</f>
        <v>0</v>
      </c>
      <c r="CP156" s="115" t="b">
        <f ca="1">AND(模拟模式!$O$7="用晦而明",OR(C156="净世破魔击·日",C156="净世破魔击·月",C156="驱夜断愁"),AB156)</f>
        <v>1</v>
      </c>
      <c r="CQ156" s="115" t="b">
        <f ca="1">OR(CP156,AND(CP155,RAND()&lt;模拟模式!$U$23))</f>
        <v>1</v>
      </c>
      <c r="CR156" s="115" t="b">
        <f ca="1">AND(模拟模式!$S$7="日月齐光",OR(C156="幽月轮1",C156="幽月轮2",C156="幽月轮3",CR155),NOT(OR(C156="赤日轮1",C156="赤日轮2",C156="赤日轮3")))</f>
        <v>0</v>
      </c>
      <c r="CS156" s="115" t="b">
        <f ca="1">AND(模拟模式!$S$7="日月齐光",OR(C156="赤日轮1",C156="赤日轮2",C156="赤日轮3",CS155),NOT(OR(C156="幽月轮1",C156="幽月轮2",C156="幽月轮3")))</f>
        <v>0</v>
      </c>
      <c r="CT156" s="115">
        <f t="shared" ca="1" si="116"/>
        <v>9.7050000000000125</v>
      </c>
      <c r="CU156" s="115" t="b">
        <f ca="1">AND(模拟模式!$K$10="阴阳往极",CT155=0,RAND()&lt;IF(C156="净世破魔击·月",0.0275*7/3,IF(C156="净世破魔击·日",0.0275*3/3,0.0275*2/3)))</f>
        <v>0</v>
      </c>
      <c r="CV156" s="115">
        <f t="shared" ca="1" si="117"/>
        <v>0</v>
      </c>
      <c r="CW156" s="115">
        <f t="shared" ref="CW156:CW219" ca="1" si="149">MAX(IF($C156="烈日斩",6,CW155-$F$4),0)</f>
        <v>0.46499999999999975</v>
      </c>
      <c r="CX156" s="115">
        <f t="shared" ref="CX156:CX219" ca="1" si="150">MAX(IF($C156="银月斩",6,CX155-$F$4),0)</f>
        <v>5.0774999999999997</v>
      </c>
      <c r="CY156" s="115">
        <f ca="1">MAX(IF($C156="驱夜断愁",IF(模拟模式!$R$7="万念俱寂",6,45),CY155-$F$4),0)</f>
        <v>6</v>
      </c>
      <c r="CZ156" s="115">
        <f t="shared" ref="CZ156:CZ219" ca="1" si="151">IF(BC156,25,MAX(0,CZ155-$F$4))</f>
        <v>0</v>
      </c>
      <c r="DA156" s="115">
        <f ca="1">IF(模拟模式!$N$7="日月同辉",IF(DB155=2,0,MIN(6,IF(AND(OR(C156="赤日轮1",C156="赤日轮2",C156="赤日轮3",C156="幽月轮1",C156="幽月轮2",C156="幽月轮3"),AB156=1),DA155+1,DA155))),0)</f>
        <v>4</v>
      </c>
      <c r="DB156" s="115">
        <f t="shared" ref="DB156:DB219" ca="1" si="152">MAX(0,IF(DA156=6,2,IF(OR(C156="净世破魔击·月",C156="净世破魔击·日"),DB155-1,DB155)))</f>
        <v>0</v>
      </c>
      <c r="DC156" s="115"/>
      <c r="DD156" s="115"/>
      <c r="DE156" s="115"/>
      <c r="DF156" s="115"/>
      <c r="DG156" s="115"/>
      <c r="DH156" s="115"/>
      <c r="DI156" s="115"/>
      <c r="DJ156" s="115"/>
      <c r="DK156" s="115"/>
      <c r="DL156" s="115"/>
      <c r="DM156" s="115"/>
    </row>
    <row r="157" spans="2:117" x14ac:dyDescent="0.2">
      <c r="B157" s="117">
        <f t="shared" ref="B157:B220" si="153">B156+$F$4</f>
        <v>119.92499999999994</v>
      </c>
      <c r="C157" s="167" t="str">
        <f t="shared" ca="1" si="146"/>
        <v>烈日斩</v>
      </c>
      <c r="D157" s="115">
        <f ca="1">IF(C157="赤日轮1",1,IF(C157="赤日轮2",2,IF(C157="赤日轮3",3,IF(C157="幽月轮1",4,IF(C157="幽月轮2",5,IF(C157="幽月轮3",6,IF(C157="烈日斩",7,IF(C157="银月斩",8,IF(C157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157="净世破魔击·月",17,IF(C157="驱夜断愁",18,0)))))))))))</f>
        <v>7</v>
      </c>
      <c r="E157" s="115">
        <f ca="1">IF(AND(CU157,OR(C157="幽月轮1",C157="幽月轮2",C157="幽月轮3",C157="银月斩",C157="驱夜断愁",C157="净世破魔击·月")),100,MIN(IF(OR(CN157,BE157),0,IF(OR($C157="赤日轮1",$C157="赤日轮2",$C157="赤日轮3"),E156+20+IF(模拟模式!$I$7="日月凌天",4,0)+IF(CR156,20,0),IF($C157="烈日斩",E156+40,IF($C157="驱夜断愁",IF(模拟模式!$R$7="万念俱寂",E156+20,E156+60),IF($C157="净世破魔击·月",IF(OR(DB156&gt;0,CV156&gt;0),100,IF(模拟模式!$M$7="辉耀红尘",E156+20,E156)),IF($C157="净世破魔击·日",E156-100,E156)))))),100))</f>
        <v>80</v>
      </c>
      <c r="F157" s="115">
        <f ca="1">IF(AND(CU157,OR(C157="赤日轮1",C157="赤日轮2",C157="赤日轮3",C157="烈日斩",C157="净世破魔击·日")),100,MIN(IF(CO157,0,IF(OR($C157="幽月轮1",$C157="幽月轮2",$C157="幽月轮3"),F156+20+IF(模拟模式!$I$7="日月凌天",4,0)+IF(CS156,20,0),IF($C157="银月斩",F156+40+IF(模拟模式!$X$12=1,5,0),IF($C157="驱夜断愁",IF(模拟模式!$R$7="万念俱寂",F156+20,F156+60),IF($C157="净世破魔击·月",IF(模拟模式!$M$7="辉耀红尘",F156-80,F156-100),IF(AND(C157="净世破魔击·日",OR(DB156&gt;0,CV156&gt;0)),100,F156)))))),100))</f>
        <v>85</v>
      </c>
      <c r="G157" s="117">
        <f ca="1">('模拟-全程加成'!$E$3+'模拟-全程加成'!$E$4+'模拟-全程加成'!$E$5+('模拟-全程加成'!$C$6-'模拟-全程加成'!$C$3)*系数!$B$9+BS157*23)*(1+'模拟-全程加成'!$F$4+'模拟-全程加成'!$F$5+BJ157*10%+BM157*20%+BP157*4%+CG157*30%)+$F$7*系数!$B$12</f>
        <v>21493.829400000002</v>
      </c>
      <c r="H157" s="45">
        <f ca="1">'模拟-全程加成'!$H$3+'模拟-全程加成'!$H$4+'模拟-全程加成'!$H$5+('模拟-全程加成'!$G$4+'模拟-全程加成'!$G$5+('模拟-全程加成'!$C$6-'模拟-全程加成'!$C$3)*系数!$B$13)/系数!$B$3+LOOKUP(D157,'模拟-单技能数据'!$A$2:$A$19,'模拟-单技能数据'!$K$2:$K$19)+BG157*10%+IF(BV157&gt;0,378,0)</f>
        <v>0.56185145527300218</v>
      </c>
      <c r="I157" s="45">
        <f ca="1">'模拟-全程加成'!$J$3+'模拟-全程加成'!$J$4+'模拟-全程加成'!$J$5+('模拟-全程加成'!$I$4+'模拟-全程加成'!$I$5)/系数!$B$4+LOOKUP(D157,'模拟-单技能数据'!$A$2:$A$19,'模拟-单技能数据'!$L$2:$L$19)+BG157*10%</f>
        <v>2.2624828854998791</v>
      </c>
      <c r="J157" s="45">
        <f ca="1">(('模拟-全程加成'!$K$3+'模拟-全程加成'!$K$4+'模拟-全程加成'!$K$5+('模拟-全程加成'!$C$6-'模拟-全程加成'!$C$3)*系数!$B$10+IF(BV157&gt;0,882,0)+IF(BY157&gt;0,1831,0))*(1+'模拟-全程加成'!$L$4+'模拟-全程加成'!$L$5+CC157*20%))/系数!$B$5</f>
        <v>0.69723220422048726</v>
      </c>
      <c r="K157" s="119">
        <f ca="1">LOOKUP(D157,'模拟-单技能数据'!$A$2:$A$19,'模拟-单技能数据'!$J$2:$J$19)+IF(CM157,60%,0)+IF(DB156-DB157&gt;0,30%,0)+IF(OR(AND(OR(C157="赤日轮1",C157="赤日轮2",C157="赤日轮3"),CR157),AND(OR(C157="幽月轮1",C157="幽月轮2",C157="幽月轮3"),CS157)),35%,0)+CJ157</f>
        <v>0.24</v>
      </c>
      <c r="L157" s="119">
        <f ca="1">IF(AND(C157="烈日斩",模拟模式!$X$11=1),10%,0)+IF(AND(C157="驱夜断愁",AB157=1),30%,0)</f>
        <v>0.1</v>
      </c>
      <c r="M157" s="45">
        <f t="shared" ca="1" si="129"/>
        <v>0.56185145527300218</v>
      </c>
      <c r="N157" s="45">
        <f t="shared" ca="1" si="130"/>
        <v>0.38424854472699788</v>
      </c>
      <c r="O157" s="46">
        <f t="shared" ref="O157:O220" ca="1" si="154">RAND()</f>
        <v>0.34249971804718782</v>
      </c>
      <c r="P157" s="46" t="str">
        <f t="shared" ref="P157:P220" ca="1" si="155">IF(O157&lt;$F$10,"偏",IF(O157&lt;$F$10+$F$11,"识",IF(O157&lt;$F$10+$F$11+H157,"会","命")))</f>
        <v>会</v>
      </c>
      <c r="Q157" s="45">
        <f t="shared" ref="Q157:Q220" ca="1" si="156">IF(P157="会",I157,IF(P157="命",1,IF(P157="识",0.25,0)))</f>
        <v>2.2624828854998791</v>
      </c>
      <c r="R157" s="117">
        <f ca="1">模拟模式!$E$20*(1-IF(模拟模式!$J$19="有",0.15,0))*(1-IF(模拟模式!$K$19="有",0.3,0)-IF(CQ157,0.5,0))</f>
        <v>843.02999999999975</v>
      </c>
      <c r="S157" s="45">
        <f ca="1">R157/(R157+(185*模拟模式!$E$22-16800)*4.08224)</f>
        <v>8.389626085980037E-2</v>
      </c>
      <c r="T157" s="45" t="str">
        <f ca="1">LOOKUP(D157,'模拟-单技能数据'!$A$2:$A$19,'模拟-单技能数据'!$H$2:$H$19)</f>
        <v>阳</v>
      </c>
      <c r="U157" s="119">
        <f t="shared" ca="1" si="131"/>
        <v>0.2</v>
      </c>
      <c r="V157" s="47">
        <f ca="1">(1+L157)*(LOOKUP(D157,'模拟-单技能数据'!$A$2:$A$19,'模拟-单技能数据'!$D$2:$D$19)+G157*LOOKUP(D157,'模拟-单技能数据'!$A$2:$A$19,'模拟-单技能数据'!$F$2:$F$19))*(1+J157)*(1+K157)*(1-S157)*(1+U157)*Q157*LOOKUP(D157,'模拟-单技能数据'!$A$2:$A$19,'模拟-单技能数据'!$I$2:$I$20)</f>
        <v>110503.35617153208</v>
      </c>
      <c r="W157" s="47">
        <f ca="1">LOOKUP(D157,'模拟-单技能数据'!$A$2:$A$19,'模拟-单技能数据'!$G$2:$G$19)*$I$10</f>
        <v>361.51064354704795</v>
      </c>
      <c r="X157" s="47">
        <f t="shared" ref="X157:X220" ca="1" si="157">AJ157+AR157+AV157+BF157+AY157+BB157</f>
        <v>29352.355803387069</v>
      </c>
      <c r="Y157" s="47">
        <f t="shared" ca="1" si="132"/>
        <v>140217.22261846621</v>
      </c>
      <c r="Z157" s="49">
        <f t="shared" ca="1" si="133"/>
        <v>13693268.212356964</v>
      </c>
      <c r="AA157" s="97">
        <f t="shared" ca="1" si="134"/>
        <v>114181.93214389803</v>
      </c>
      <c r="AB157" s="115">
        <f ca="1">IF(OR(C157="赤日轮1",C157="赤日轮2",C157="赤日轮3"),IF(RAND()&lt;模拟模式!$Y$17,1,0),IF(OR(C157="幽月轮1",C157="幽月轮2",C157="幽月轮3"),IF(RAND()&lt;模拟模式!$Y$18,1,0),IF(C157="烈日斩",IF(RAND()&lt;模拟模式!$Y$19,1,0),IF(C157="银月斩",IF(RAND()&lt;模拟模式!$Y$20,1,0),IF(C157="驱夜断愁",IF(RAND()&lt;模拟模式!$Y$21,1,0),IF(C157="净世破魔击·日",IF(RAND()&lt;模拟模式!$Y$22,1,0),IF(C157="净世破魔击·月",IF(RAND()&lt;模拟模式!$Y$23,1,0),0)))))))</f>
        <v>1</v>
      </c>
      <c r="AC157" s="115" t="b">
        <f t="shared" ca="1" si="122"/>
        <v>0</v>
      </c>
      <c r="AD157" s="115" t="b">
        <f t="shared" ca="1" si="142"/>
        <v>1</v>
      </c>
      <c r="AE157" s="115">
        <f t="shared" ca="1" si="143"/>
        <v>4</v>
      </c>
      <c r="AF157" s="47">
        <f ca="1">IF(AC157,('模拟-单技能数据'!$D$20+G157*'模拟-单技能数据'!$F$20)*(1+J157)*(1+'模拟-单技能数据'!$J$20)*(1+U157),0)</f>
        <v>0</v>
      </c>
      <c r="AG157" s="61">
        <f t="shared" ca="1" si="135"/>
        <v>0.64185145527300214</v>
      </c>
      <c r="AH157" s="61">
        <f t="shared" ca="1" si="136"/>
        <v>2.2624828854998791</v>
      </c>
      <c r="AI157" s="62">
        <f t="shared" ref="AI157:AI220" ca="1" si="158">RAND()</f>
        <v>0.74537351754354508</v>
      </c>
      <c r="AJ157" s="47">
        <f ca="1">IF(AD157,IF(AI157&lt;$F$10,0,IF(AI157&lt;$F$10+$F$11,0.25,IF(AI157&lt;$F$10+$F$11+AG157,AH157,1)))*IF(AF157&gt;0,AF157,IF(AF156&gt;0,AF156,IF(AF155&gt;0,AF155,IF(AF154&gt;0,AF154,IF(AF153&gt;0,AF153,IF(AF152&gt;0,AF152,IF(AF151&gt;0,AF151,IF(AF150&gt;0,AF150,IF(AF149&gt;0,AF149,IF(AF147&gt;0,AF147,IF(AF146&gt;0,AF146,IF(AF145&gt;0,AF145,0)))))))))))),0)*(1-$S157)*'模拟-单技能数据'!$I$20</f>
        <v>4250.4883357170938</v>
      </c>
      <c r="AK157" s="115" t="b">
        <f t="shared" ca="1" si="123"/>
        <v>0</v>
      </c>
      <c r="AL157" s="115" t="b">
        <f t="shared" ca="1" si="144"/>
        <v>1</v>
      </c>
      <c r="AM157" s="115">
        <f t="shared" ca="1" si="145"/>
        <v>3</v>
      </c>
      <c r="AN157" s="47">
        <f ca="1">IF(AK157,('模拟-单技能数据'!$D$21+G157*'模拟-单技能数据'!$F$21)*(1+J157)*(1+'模拟-单技能数据'!$J$21)*(1+U157),0)</f>
        <v>0</v>
      </c>
      <c r="AO157" s="61">
        <f ca="1">IF(AN157&gt;0,M157-'模拟-单技能数据'!$K$10,AO156)</f>
        <v>0.42185145527300216</v>
      </c>
      <c r="AP157" s="61">
        <f ca="1">IF(AN157&gt;0,I157-'模拟-单技能数据'!$L$10,AP156)</f>
        <v>2.162482885499879</v>
      </c>
      <c r="AQ157" s="63">
        <f t="shared" ref="AQ157:AQ220" ca="1" si="159">RAND()</f>
        <v>0.14891899346320803</v>
      </c>
      <c r="AR157" s="64">
        <f ca="1">IF(AL157,IF(AQ157&lt;$F$10,0,IF(AQ157&lt;$F$10+$F$11,0.25,IF(AQ157&lt;$F$10+$F$11+AO157,AP157,1)))*IF(AN157&gt;0,AN157,IF(AN156&gt;0,AN156,IF(AN155&gt;0,AN155,IF(AN154&gt;0,AN154,IF(AN153&gt;0,AN153,IF(AN152&gt;0,AN152,IF(AN151&gt;0,AN151,IF(AN150&gt;0,AN150,IF(AN149&gt;0,AN149,IF(AN147&gt;0,AN147,IF(AN146&gt;0,AN146,IF(AN145&gt;0,AN145,0)))))))))))),0)*(1-$S157)*'模拟-单技能数据'!$I$21</f>
        <v>25101.867467669974</v>
      </c>
      <c r="AS157" s="61">
        <f ca="1">IF(OR(C157="净世破魔击·日",C157="净世破魔击·月"),M157-'模拟-单技能数据'!$K$10,0)</f>
        <v>0</v>
      </c>
      <c r="AT157" s="61">
        <f ca="1">IF(OR(C157="净世破魔击·日",C157="净世破魔击·月"),I157-'模拟-单技能数据'!$L$10,0)</f>
        <v>0</v>
      </c>
      <c r="AU157" s="62">
        <f t="shared" ref="AU157:AU220" ca="1" si="160">RAND()</f>
        <v>0.98757881420030025</v>
      </c>
      <c r="AV157" s="64">
        <f ca="1">IF(AS157&gt;0,('模拟-单技能数据'!$D$22+G157*'模拟-单技能数据'!$F$22)*(1+J157)*(1-S157)*IF(AU157&lt;$F$10,0,IF(AU157&lt;$F$10+$F$11,0.25,IF(AU157&lt;$F$10+$F$11+AS157,AT157,1)))*(1+U157),0)*'模拟-单技能数据'!$I$22</f>
        <v>0</v>
      </c>
      <c r="AW157" s="108">
        <f t="shared" ref="AW157:AW220" ca="1" si="161">IF(AX157,20-$F$4,MAX(AW156-$F$4,0))</f>
        <v>8.0075000000000074</v>
      </c>
      <c r="AX157" s="108" t="b">
        <f ca="1">AND(模拟模式!$P$10="有",AW156=0,RAND()&lt;IF(C157="净世破魔击·月",0.1*8/3,IF(C157="净世破魔击·日",0.1*4/3,0.1*2/3)))</f>
        <v>0</v>
      </c>
      <c r="AY157" s="47">
        <f ca="1">IF(AX157,(18+G157*0.722)*(1+J157)*(1-S157)*(1+$I$4)*IF(P157="会",'模拟-全程加成'!$J$3+'模拟-全程加成'!$J$4+'模拟-全程加成'!$J$5+('模拟-全程加成'!$I$4+'模拟-全程加成'!$I$5)/系数!$B$4+BG157*10%,IF(P157="命",1,IF(P157="识",0.25,0))),0)</f>
        <v>0</v>
      </c>
      <c r="AZ157" s="108">
        <f t="shared" ref="AZ157:AZ220" si="162">IF(BA157,20-$F$4,MAX(AZ156-$F$4,0))</f>
        <v>1.5500000000000065</v>
      </c>
      <c r="BA157" s="108" t="b">
        <f>AND(模拟模式!$Q$10="有",AZ156=0)</f>
        <v>0</v>
      </c>
      <c r="BB157" s="140">
        <f>IF(BA157,(0+G157*0.287)*(1+J157)*(1-S157)*(1+$I$4)*IF(P157="会",'模拟-全程加成'!$J$3+'模拟-全程加成'!$J$4+'模拟-全程加成'!$J$5+('模拟-全程加成'!$I$4+'模拟-全程加成'!$I$5)/系数!$B$4+BG157*10%,IF(P157="命",1,IF(P157="识",0.25,0))),0)</f>
        <v>0</v>
      </c>
      <c r="BC157" s="115" t="b">
        <f ca="1">AND(模拟模式!$R$7="伏明众生",E157=60,F157=20,DA157&lt;5,CZ156&lt;$F$4)</f>
        <v>0</v>
      </c>
      <c r="BD157" s="115">
        <f t="shared" ca="1" si="124"/>
        <v>0</v>
      </c>
      <c r="BE157" s="115" t="b">
        <f t="shared" ca="1" si="125"/>
        <v>0</v>
      </c>
      <c r="BF157" s="47">
        <f ca="1">IF(BC157,4*('模拟-单技能数据'!$D$24+G157*'模拟-单技能数据'!$F$24)*(1+J157)*(1+'模拟-单技能数据'!$J$24)*(1-S157)*(1+$I$3)*(('模拟-全程加成'!$J$3+'模拟-全程加成'!$J$4+'模拟-全程加成'!$J$5+('模拟-全程加成'!$I$4+'模拟-全程加成'!$I$5)/系数!$B$4+BG157*10%)*('模拟-全程加成'!$J$3+'模拟-全程加成'!$J$4+'模拟-全程加成'!$J$5+('模拟-全程加成'!$I$4+'模拟-全程加成'!$I$5)/系数!$B$4+BG157*10%)+(1-('模拟-全程加成'!$J$3+'模拟-全程加成'!$J$4+'模拟-全程加成'!$J$5+('模拟-全程加成'!$I$4+'模拟-全程加成'!$I$5)/系数!$B$4+BG157*10%)-$F$10-$F$11)+F143*0.25),0)*'模拟-单技能数据'!$I$24</f>
        <v>0</v>
      </c>
      <c r="BG157" s="115" t="b">
        <f ca="1">OR(AND(OR(C157="烈日斩",C157="银月斩"),模拟模式!$I$7="净身明礼"),AND(C157="净世破魔击·日",模拟模式!$J$7="洞若观火"),AND(C158="净世破魔击·月",模拟模式!$J$7="洞若观火"),AB157=1)</f>
        <v>1</v>
      </c>
      <c r="BH157" s="115" t="b">
        <f t="shared" ref="BH157:BH220" ca="1" si="163">RAND()&lt;IF(C157="净世破魔击·月",4*$I$7,IF(C157="净世破魔击·日",2*$I$7,$I$7))</f>
        <v>0</v>
      </c>
      <c r="BI157" s="115">
        <f t="shared" ca="1" si="126"/>
        <v>1.3874999999999997</v>
      </c>
      <c r="BJ157" s="115" t="b">
        <f t="shared" ca="1" si="137"/>
        <v>1</v>
      </c>
      <c r="BK157" s="115" t="b">
        <f ca="1">AND(C157="驱夜断愁",模拟模式!$P$7="天地诛戮")</f>
        <v>0</v>
      </c>
      <c r="BL157" s="57">
        <f t="shared" ca="1" si="127"/>
        <v>19.077500000000001</v>
      </c>
      <c r="BM157" s="115" t="b">
        <f t="shared" ca="1" si="138"/>
        <v>1</v>
      </c>
      <c r="BN157" s="115" t="b">
        <f ca="1">AND(OR(C157="赤日轮1",C157="赤日轮2",C157="赤日轮3",C157="幽月轮1",C157="幽月轮2",C157="幽月轮3"),AB157=1,模拟模式!$L$7="明光恒照")</f>
        <v>0</v>
      </c>
      <c r="BO157" s="117">
        <f t="shared" ca="1" si="128"/>
        <v>27.232500000000002</v>
      </c>
      <c r="BP157" s="115">
        <f t="shared" ref="BP157:BP220" ca="1" si="164">IF(BO157&gt;0,MIN(6,IF(BN157,BP156+1,BP156)),0)</f>
        <v>6</v>
      </c>
      <c r="BQ157" s="115" t="b">
        <f>模拟模式!$K$10="2600·水"</f>
        <v>0</v>
      </c>
      <c r="BR157" s="117">
        <f t="shared" ref="BR157:BR220" si="165">IF(BQ157,6,MAX(0,BR156-$F$4))</f>
        <v>0</v>
      </c>
      <c r="BS157" s="115">
        <f t="shared" ref="BS157:BS220" si="166">IF(BR157&gt;0,MIN(10,IF(BQ157,BS156+IF(C157="净世破魔击·月",4,IF(C157="净世破魔击·日",2,1)),BS156)),0)</f>
        <v>0</v>
      </c>
      <c r="BT157" s="115">
        <f t="shared" ref="BT157:BT220" ca="1" si="167">IF(BU157,60-$F$4,MAX(0,BT156-$F$4))</f>
        <v>0</v>
      </c>
      <c r="BU157" s="115" t="b">
        <f ca="1">AND(模拟模式!$K$10="2300·雷",BT156=0,RAND()&lt;IF(C157="净世破魔击·月",5*0.05*2/3,IF(C157="净世破魔击·日",3*0.05*2/3,0.05*2*2/3)))</f>
        <v>0</v>
      </c>
      <c r="BV157" s="115">
        <f t="shared" ref="BV157:BV220" ca="1" si="168">IF(BU157,15-$F$4,MAX(0,BV156-$F$4))</f>
        <v>0</v>
      </c>
      <c r="BW157" s="115">
        <f t="shared" ref="BW157:BW220" ca="1" si="169">IF(BX157,180-$F$4,MAX(0,BW156-$F$4))</f>
        <v>65.609999999999275</v>
      </c>
      <c r="BX157" s="164" t="b">
        <f t="shared" ref="BX157:BX220" ca="1" si="170">AND(BW156=0,OR(AND(E156=80,F156=100),CU157))</f>
        <v>0</v>
      </c>
      <c r="BY157" s="115">
        <f t="shared" ref="BY157:BY220" ca="1" si="171">IF(BX157,15-$F$4,MAX(0,BY156-$F$4))</f>
        <v>0</v>
      </c>
      <c r="BZ157" s="115">
        <f>IF(OR(模拟模式!$P$16="10人团",模拟模式!$P$16="25人团"),IF(B157/30&gt;CA156,1,0),0)</f>
        <v>0</v>
      </c>
      <c r="CA157" s="115">
        <f t="shared" si="147"/>
        <v>0</v>
      </c>
      <c r="CB157" s="115">
        <f ca="1">IF(BZ157=1,IF(模拟模式!$P$16="10人团",15,0)+IF(模拟模式!$P$16="25人团",IF(RAND()&lt;0.6,15,0)),MAX(0,CB156-$F$4))</f>
        <v>0</v>
      </c>
      <c r="CC157" s="115" t="b">
        <f t="shared" ca="1" si="139"/>
        <v>0</v>
      </c>
      <c r="CD157" s="115">
        <f>IF(模拟模式!$Q$16="1个",IF(B157/40&gt;CE156,1,0),0)</f>
        <v>0</v>
      </c>
      <c r="CE157" s="115">
        <f t="shared" si="140"/>
        <v>0</v>
      </c>
      <c r="CF157" s="115">
        <f>IF(OR(CD157=1,模拟模式!$Q$16="2个"),20,MAX(0,CF156-$F$4))</f>
        <v>0</v>
      </c>
      <c r="CG157" s="115" t="b">
        <f t="shared" si="141"/>
        <v>0</v>
      </c>
      <c r="CH157" s="115">
        <f t="shared" ref="CH157:CH220" ca="1" si="172">IF(CI157,30-$F$4,MAX(0,CH156-$F$4))</f>
        <v>10.627500000000012</v>
      </c>
      <c r="CI157" s="115" t="b">
        <f t="shared" ref="CI157:CI220" ca="1" si="173">AND(CH156=0,RAND()&lt;IF(C157="净世破魔击·月",4*0.2*2/3,IF(C157="净世破魔击·日",2*0.2*2/3,0.2*2/3)))</f>
        <v>0</v>
      </c>
      <c r="CJ157" s="119">
        <f t="shared" ref="CJ157:CJ220" ca="1" si="174">IF(CI157,IF(RAND()&lt;0.7,0.05,0.01),IF(CK157&gt;0,CJ156,0))</f>
        <v>0</v>
      </c>
      <c r="CK157" s="115">
        <f t="shared" ref="CK157:CK220" ca="1" si="175">IF(CI157,8-$F$4,MAX(0,CK156-$F$4))</f>
        <v>0</v>
      </c>
      <c r="CL157" s="115" t="b">
        <f ca="1">AND(模拟模式!$S$7="驱夷逐法",OR(AND(C157="净世破魔击·月",E156&gt;59),AND(C157="净世破魔击·日",F156&gt;59)))</f>
        <v>0</v>
      </c>
      <c r="CM157" s="115" t="b">
        <f ca="1">OR(CL157,AND(C157="净世破魔击·日",CL156,RAND()&lt;模拟模式!$U$23))</f>
        <v>0</v>
      </c>
      <c r="CN157" s="115" t="b">
        <f ca="1">IF(模拟模式!$M$7="辉耀红尘",AND(C157="净世破魔击·月",CL157,CV157=0,E156&lt;80),AND(C157="净世破魔击·月",CL157,E156&lt;100))</f>
        <v>0</v>
      </c>
      <c r="CO157" s="115" t="b">
        <f t="shared" ca="1" si="148"/>
        <v>0</v>
      </c>
      <c r="CP157" s="115" t="b">
        <f ca="1">AND(模拟模式!$O$7="用晦而明",OR(C157="净世破魔击·日",C157="净世破魔击·月",C157="驱夜断愁"),AB157)</f>
        <v>0</v>
      </c>
      <c r="CQ157" s="115" t="b">
        <f ca="1">OR(CP157,AND(CP156,RAND()&lt;模拟模式!$U$23))</f>
        <v>1</v>
      </c>
      <c r="CR157" s="115" t="b">
        <f ca="1">AND(模拟模式!$S$7="日月齐光",OR(C157="幽月轮1",C157="幽月轮2",C157="幽月轮3",CR156),NOT(OR(C157="赤日轮1",C157="赤日轮2",C157="赤日轮3")))</f>
        <v>0</v>
      </c>
      <c r="CS157" s="115" t="b">
        <f ca="1">AND(模拟模式!$S$7="日月齐光",OR(C157="赤日轮1",C157="赤日轮2",C157="赤日轮3",CS156),NOT(OR(C157="幽月轮1",C157="幽月轮2",C157="幽月轮3")))</f>
        <v>0</v>
      </c>
      <c r="CT157" s="115">
        <f t="shared" ref="CT157:CT220" ca="1" si="176">IF(CU157,30,MAX(CT156-$F$4,0))</f>
        <v>8.7825000000000131</v>
      </c>
      <c r="CU157" s="115" t="b">
        <f ca="1">AND(模拟模式!$K$10="阴阳往极",CT156=0,RAND()&lt;IF(C157="净世破魔击·月",0.0275*7/3,IF(C157="净世破魔击·日",0.0275*3/3,0.0275*2/3)))</f>
        <v>0</v>
      </c>
      <c r="CV157" s="115">
        <f t="shared" ref="CV157:CV220" ca="1" si="177">IF(CU157,5-$F$4,MAX(CV156-$F$4,0))</f>
        <v>0</v>
      </c>
      <c r="CW157" s="115">
        <f t="shared" ca="1" si="149"/>
        <v>6</v>
      </c>
      <c r="CX157" s="115">
        <f t="shared" ca="1" si="150"/>
        <v>4.1549999999999994</v>
      </c>
      <c r="CY157" s="115">
        <f ca="1">MAX(IF($C157="驱夜断愁",IF(模拟模式!$R$7="万念俱寂",6,45),CY156-$F$4),0)</f>
        <v>5.0774999999999997</v>
      </c>
      <c r="CZ157" s="115">
        <f t="shared" ca="1" si="151"/>
        <v>0</v>
      </c>
      <c r="DA157" s="115">
        <f ca="1">IF(模拟模式!$N$7="日月同辉",IF(DB156=2,0,MIN(6,IF(AND(OR(C157="赤日轮1",C157="赤日轮2",C157="赤日轮3",C157="幽月轮1",C157="幽月轮2",C157="幽月轮3"),AB157=1),DA156+1,DA156))),0)</f>
        <v>4</v>
      </c>
      <c r="DB157" s="115">
        <f t="shared" ca="1" si="152"/>
        <v>0</v>
      </c>
      <c r="DC157" s="115"/>
      <c r="DD157" s="115"/>
      <c r="DE157" s="115"/>
      <c r="DF157" s="115"/>
      <c r="DG157" s="115"/>
      <c r="DH157" s="115"/>
      <c r="DI157" s="115"/>
      <c r="DJ157" s="115"/>
      <c r="DK157" s="115"/>
      <c r="DL157" s="115"/>
      <c r="DM157" s="115"/>
    </row>
    <row r="158" spans="2:117" x14ac:dyDescent="0.2">
      <c r="B158" s="117">
        <f t="shared" si="153"/>
        <v>120.84749999999994</v>
      </c>
      <c r="C158" s="167" t="str">
        <f t="shared" ca="1" si="146"/>
        <v>幽月轮1</v>
      </c>
      <c r="D158" s="115">
        <f ca="1">IF(C158="赤日轮1",1,IF(C158="赤日轮2",2,IF(C158="赤日轮3",3,IF(C158="幽月轮1",4,IF(C158="幽月轮2",5,IF(C158="幽月轮3",6,IF(C158="烈日斩",7,IF(C158="银月斩",8,IF(C158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158="净世破魔击·月",17,IF(C158="驱夜断愁",18,0)))))))))))</f>
        <v>4</v>
      </c>
      <c r="E158" s="115">
        <f ca="1">IF(AND(CU158,OR(C158="幽月轮1",C158="幽月轮2",C158="幽月轮3",C158="银月斩",C158="驱夜断愁",C158="净世破魔击·月")),100,MIN(IF(OR(CN158,BE158),0,IF(OR($C158="赤日轮1",$C158="赤日轮2",$C158="赤日轮3"),E157+20+IF(模拟模式!$I$7="日月凌天",4,0)+IF(CR157,20,0),IF($C158="烈日斩",E157+40,IF($C158="驱夜断愁",IF(模拟模式!$R$7="万念俱寂",E157+20,E157+60),IF($C158="净世破魔击·月",IF(OR(DB157&gt;0,CV157&gt;0),100,IF(模拟模式!$M$7="辉耀红尘",E157+20,E157)),IF($C158="净世破魔击·日",E157-100,E157)))))),100))</f>
        <v>80</v>
      </c>
      <c r="F158" s="115">
        <f ca="1">IF(AND(CU158,OR(C158="赤日轮1",C158="赤日轮2",C158="赤日轮3",C158="烈日斩",C158="净世破魔击·日")),100,MIN(IF(CO158,0,IF(OR($C158="幽月轮1",$C158="幽月轮2",$C158="幽月轮3"),F157+20+IF(模拟模式!$I$7="日月凌天",4,0)+IF(CS157,20,0),IF($C158="银月斩",F157+40+IF(模拟模式!$X$12=1,5,0),IF($C158="驱夜断愁",IF(模拟模式!$R$7="万念俱寂",F157+20,F157+60),IF($C158="净世破魔击·月",IF(模拟模式!$M$7="辉耀红尘",F157-80,F157-100),IF(AND(C158="净世破魔击·日",OR(DB157&gt;0,CV157&gt;0)),100,F157)))))),100))</f>
        <v>100</v>
      </c>
      <c r="G158" s="117">
        <f ca="1">('模拟-全程加成'!$E$3+'模拟-全程加成'!$E$4+'模拟-全程加成'!$E$5+('模拟-全程加成'!$C$6-'模拟-全程加成'!$C$3)*系数!$B$9+BS158*23)*(1+'模拟-全程加成'!$F$4+'模拟-全程加成'!$F$5+BJ158*10%+BM158*20%+BP158*4%+CG158*30%)+$F$7*系数!$B$12</f>
        <v>21493.829400000002</v>
      </c>
      <c r="H158" s="45">
        <f ca="1">'模拟-全程加成'!$H$3+'模拟-全程加成'!$H$4+'模拟-全程加成'!$H$5+('模拟-全程加成'!$G$4+'模拟-全程加成'!$G$5+('模拟-全程加成'!$C$6-'模拟-全程加成'!$C$3)*系数!$B$13)/系数!$B$3+LOOKUP(D158,'模拟-单技能数据'!$A$2:$A$19,'模拟-单技能数据'!$K$2:$K$19)+BG158*10%+IF(BV158&gt;0,378,0)</f>
        <v>0.51185145527300213</v>
      </c>
      <c r="I158" s="45">
        <f ca="1">'模拟-全程加成'!$J$3+'模拟-全程加成'!$J$4+'模拟-全程加成'!$J$5+('模拟-全程加成'!$I$4+'模拟-全程加成'!$I$5)/系数!$B$4+LOOKUP(D158,'模拟-单技能数据'!$A$2:$A$19,'模拟-单技能数据'!$L$2:$L$19)+BG158*10%</f>
        <v>2.162482885499879</v>
      </c>
      <c r="J158" s="45">
        <f ca="1">(('模拟-全程加成'!$K$3+'模拟-全程加成'!$K$4+'模拟-全程加成'!$K$5+('模拟-全程加成'!$C$6-'模拟-全程加成'!$C$3)*系数!$B$10+IF(BV158&gt;0,882,0)+IF(BY158&gt;0,1831,0))*(1+'模拟-全程加成'!$L$4+'模拟-全程加成'!$L$5+CC158*20%))/系数!$B$5</f>
        <v>0.69723220422048726</v>
      </c>
      <c r="K158" s="119">
        <f ca="1">LOOKUP(D158,'模拟-单技能数据'!$A$2:$A$19,'模拟-单技能数据'!$J$2:$J$19)+IF(CM158,60%,0)+IF(DB157-DB158&gt;0,30%,0)+IF(OR(AND(OR(C158="赤日轮1",C158="赤日轮2",C158="赤日轮3"),CR158),AND(OR(C158="幽月轮1",C158="幽月轮2",C158="幽月轮3"),CS158)),35%,0)+CJ158</f>
        <v>7.0000000000000007E-2</v>
      </c>
      <c r="L158" s="119">
        <f ca="1">IF(AND(C158="烈日斩",模拟模式!$X$11=1),10%,0)+IF(AND(C158="驱夜断愁",AB158=1),30%,0)</f>
        <v>0</v>
      </c>
      <c r="M158" s="45">
        <f t="shared" ca="1" si="129"/>
        <v>0.51185145527300213</v>
      </c>
      <c r="N158" s="45">
        <f t="shared" ca="1" si="130"/>
        <v>0.43424854472699792</v>
      </c>
      <c r="O158" s="46">
        <f t="shared" ca="1" si="154"/>
        <v>0.90569804372318674</v>
      </c>
      <c r="P158" s="46" t="str">
        <f t="shared" ca="1" si="155"/>
        <v>命</v>
      </c>
      <c r="Q158" s="45">
        <f t="shared" ca="1" si="156"/>
        <v>1</v>
      </c>
      <c r="R158" s="117">
        <f ca="1">模拟模式!$E$20*(1-IF(模拟模式!$J$19="有",0.15,0))*(1-IF(模拟模式!$K$19="有",0.3,0)-IF(CQ158,0.5,0))</f>
        <v>2950.6049999999996</v>
      </c>
      <c r="S158" s="45">
        <f ca="1">R158/(R158+(185*模拟模式!$E$22-16800)*4.08224)</f>
        <v>0.24272716014590323</v>
      </c>
      <c r="T158" s="45" t="str">
        <f ca="1">LOOKUP(D158,'模拟-单技能数据'!$A$2:$A$19,'模拟-单技能数据'!$H$2:$H$19)</f>
        <v>阴</v>
      </c>
      <c r="U158" s="119">
        <f t="shared" ca="1" si="131"/>
        <v>0.08</v>
      </c>
      <c r="V158" s="47">
        <f ca="1">(1+L158)*(LOOKUP(D158,'模拟-单技能数据'!$A$2:$A$19,'模拟-单技能数据'!$D$2:$D$19)+G158*LOOKUP(D158,'模拟-单技能数据'!$A$2:$A$19,'模拟-单技能数据'!$F$2:$F$19))*(1+J158)*(1+K158)*(1-S158)*(1+U158)*Q158*LOOKUP(D158,'模拟-单技能数据'!$A$2:$A$19,'模拟-单技能数据'!$I$2:$I$20)</f>
        <v>16939.18703301924</v>
      </c>
      <c r="W158" s="47">
        <f ca="1">LOOKUP(D158,'模拟-单技能数据'!$A$2:$A$19,'模拟-单技能数据'!$G$2:$G$19)*$I$10</f>
        <v>361.51064354704795</v>
      </c>
      <c r="X158" s="47">
        <f t="shared" ca="1" si="157"/>
        <v>0</v>
      </c>
      <c r="Y158" s="47">
        <f t="shared" ca="1" si="132"/>
        <v>17300.697676566288</v>
      </c>
      <c r="Z158" s="49">
        <f t="shared" ca="1" si="133"/>
        <v>13710568.91003353</v>
      </c>
      <c r="AA158" s="97">
        <f t="shared" ca="1" si="134"/>
        <v>113453.4757445006</v>
      </c>
      <c r="AB158" s="115">
        <f ca="1">IF(OR(C158="赤日轮1",C158="赤日轮2",C158="赤日轮3"),IF(RAND()&lt;模拟模式!$Y$17,1,0),IF(OR(C158="幽月轮1",C158="幽月轮2",C158="幽月轮3"),IF(RAND()&lt;模拟模式!$Y$18,1,0),IF(C158="烈日斩",IF(RAND()&lt;模拟模式!$Y$19,1,0),IF(C158="银月斩",IF(RAND()&lt;模拟模式!$Y$20,1,0),IF(C158="驱夜断愁",IF(RAND()&lt;模拟模式!$Y$21,1,0),IF(C158="净世破魔击·日",IF(RAND()&lt;模拟模式!$Y$22,1,0),IF(C158="净世破魔击·月",IF(RAND()&lt;模拟模式!$Y$23,1,0),0)))))))</f>
        <v>1</v>
      </c>
      <c r="AC158" s="115" t="b">
        <f t="shared" ca="1" si="122"/>
        <v>0</v>
      </c>
      <c r="AD158" s="115" t="b">
        <f t="shared" ca="1" si="142"/>
        <v>0</v>
      </c>
      <c r="AE158" s="115">
        <f t="shared" ca="1" si="143"/>
        <v>4</v>
      </c>
      <c r="AF158" s="47">
        <f ca="1">IF(AC158,('模拟-单技能数据'!$D$20+G158*'模拟-单技能数据'!$F$20)*(1+J158)*(1+'模拟-单技能数据'!$J$20)*(1+U158),0)</f>
        <v>0</v>
      </c>
      <c r="AG158" s="61">
        <f t="shared" ca="1" si="135"/>
        <v>0.64185145527300214</v>
      </c>
      <c r="AH158" s="61">
        <f t="shared" ca="1" si="136"/>
        <v>2.2624828854998791</v>
      </c>
      <c r="AI158" s="62">
        <f t="shared" ca="1" si="158"/>
        <v>0.67296328533288541</v>
      </c>
      <c r="AJ158" s="47">
        <f ca="1">IF(AD158,IF(AI158&lt;$F$10,0,IF(AI158&lt;$F$10+$F$11,0.25,IF(AI158&lt;$F$10+$F$11+AG158,AH158,1)))*IF(AF158&gt;0,AF158,IF(AF157&gt;0,AF157,IF(AF156&gt;0,AF156,IF(AF155&gt;0,AF155,IF(AF154&gt;0,AF154,IF(AF153&gt;0,AF153,IF(AF152&gt;0,AF152,IF(AF151&gt;0,AF151,IF(AF150&gt;0,AF150,IF(AF148&gt;0,AF148,IF(AF147&gt;0,AF147,IF(AF146&gt;0,AF146,0)))))))))))),0)*(1-$S158)*'模拟-单技能数据'!$I$20</f>
        <v>0</v>
      </c>
      <c r="AK158" s="115" t="b">
        <f t="shared" ca="1" si="123"/>
        <v>0</v>
      </c>
      <c r="AL158" s="115" t="b">
        <f t="shared" ca="1" si="144"/>
        <v>0</v>
      </c>
      <c r="AM158" s="115">
        <f t="shared" ca="1" si="145"/>
        <v>3</v>
      </c>
      <c r="AN158" s="47">
        <f ca="1">IF(AK158,('模拟-单技能数据'!$D$21+G158*'模拟-单技能数据'!$F$21)*(1+J158)*(1+'模拟-单技能数据'!$J$21)*(1+U158),0)</f>
        <v>0</v>
      </c>
      <c r="AO158" s="61">
        <f ca="1">IF(AN158&gt;0,M158-'模拟-单技能数据'!$K$10,AO157)</f>
        <v>0.42185145527300216</v>
      </c>
      <c r="AP158" s="61">
        <f ca="1">IF(AN158&gt;0,I158-'模拟-单技能数据'!$L$10,AP157)</f>
        <v>2.162482885499879</v>
      </c>
      <c r="AQ158" s="63">
        <f t="shared" ca="1" si="159"/>
        <v>0.50668995270295847</v>
      </c>
      <c r="AR158" s="64">
        <f ca="1">IF(AL158,IF(AQ158&lt;$F$10,0,IF(AQ158&lt;$F$10+$F$11,0.25,IF(AQ158&lt;$F$10+$F$11+AO158,AP158,1)))*IF(AN158&gt;0,AN158,IF(AN157&gt;0,AN157,IF(AN156&gt;0,AN156,IF(AN155&gt;0,AN155,IF(AN154&gt;0,AN154,IF(AN153&gt;0,AN153,IF(AN152&gt;0,AN152,IF(AN151&gt;0,AN151,IF(AN150&gt;0,AN150,IF(AN148&gt;0,AN148,IF(AN147&gt;0,AN147,IF(AN146&gt;0,AN146,0)))))))))))),0)*(1-$S158)*'模拟-单技能数据'!$I$21</f>
        <v>0</v>
      </c>
      <c r="AS158" s="61">
        <f ca="1">IF(OR(C158="净世破魔击·日",C158="净世破魔击·月"),M158-'模拟-单技能数据'!$K$10,0)</f>
        <v>0</v>
      </c>
      <c r="AT158" s="61">
        <f ca="1">IF(OR(C158="净世破魔击·日",C158="净世破魔击·月"),I158-'模拟-单技能数据'!$L$10,0)</f>
        <v>0</v>
      </c>
      <c r="AU158" s="62">
        <f t="shared" ca="1" si="160"/>
        <v>6.7226151752950547E-2</v>
      </c>
      <c r="AV158" s="64">
        <f ca="1">IF(AS158&gt;0,('模拟-单技能数据'!$D$22+G158*'模拟-单技能数据'!$F$22)*(1+J158)*(1-S158)*IF(AU158&lt;$F$10,0,IF(AU158&lt;$F$10+$F$11,0.25,IF(AU158&lt;$F$10+$F$11+AS158,AT158,1)))*(1+U158),0)*'模拟-单技能数据'!$I$22</f>
        <v>0</v>
      </c>
      <c r="AW158" s="108">
        <f t="shared" ca="1" si="161"/>
        <v>7.0850000000000071</v>
      </c>
      <c r="AX158" s="108" t="b">
        <f ca="1">AND(模拟模式!$P$10="有",AW157=0,RAND()&lt;IF(C158="净世破魔击·月",0.1*8/3,IF(C158="净世破魔击·日",0.1*4/3,0.1*2/3)))</f>
        <v>0</v>
      </c>
      <c r="AY158" s="47">
        <f ca="1">IF(AX158,(18+G158*0.722)*(1+J158)*(1-S158)*(1+$I$4)*IF(P158="会",'模拟-全程加成'!$J$3+'模拟-全程加成'!$J$4+'模拟-全程加成'!$J$5+('模拟-全程加成'!$I$4+'模拟-全程加成'!$I$5)/系数!$B$4+BG158*10%,IF(P158="命",1,IF(P158="识",0.25,0))),0)</f>
        <v>0</v>
      </c>
      <c r="AZ158" s="108">
        <f t="shared" si="162"/>
        <v>0.6275000000000065</v>
      </c>
      <c r="BA158" s="108" t="b">
        <f>AND(模拟模式!$Q$10="有",AZ157=0)</f>
        <v>0</v>
      </c>
      <c r="BB158" s="140">
        <f>IF(BA158,(0+G158*0.287)*(1+J158)*(1-S158)*(1+$I$4)*IF(P158="会",'模拟-全程加成'!$J$3+'模拟-全程加成'!$J$4+'模拟-全程加成'!$J$5+('模拟-全程加成'!$I$4+'模拟-全程加成'!$I$5)/系数!$B$4+BG158*10%,IF(P158="命",1,IF(P158="识",0.25,0))),0)</f>
        <v>0</v>
      </c>
      <c r="BC158" s="115" t="b">
        <f ca="1">AND(模拟模式!$R$7="伏明众生",E158=60,F158=20,DA158&lt;5,CZ157&lt;$F$4)</f>
        <v>0</v>
      </c>
      <c r="BD158" s="115">
        <f t="shared" ca="1" si="124"/>
        <v>0</v>
      </c>
      <c r="BE158" s="115" t="b">
        <f t="shared" ca="1" si="125"/>
        <v>0</v>
      </c>
      <c r="BF158" s="47">
        <f ca="1">IF(BC158,4*('模拟-单技能数据'!$D$24+G158*'模拟-单技能数据'!$F$24)*(1+J158)*(1+'模拟-单技能数据'!$J$24)*(1-S158)*(1+$I$3)*(('模拟-全程加成'!$J$3+'模拟-全程加成'!$J$4+'模拟-全程加成'!$J$5+('模拟-全程加成'!$I$4+'模拟-全程加成'!$I$5)/系数!$B$4+BG158*10%)*('模拟-全程加成'!$J$3+'模拟-全程加成'!$J$4+'模拟-全程加成'!$J$5+('模拟-全程加成'!$I$4+'模拟-全程加成'!$I$5)/系数!$B$4+BG158*10%)+(1-('模拟-全程加成'!$J$3+'模拟-全程加成'!$J$4+'模拟-全程加成'!$J$5+('模拟-全程加成'!$I$4+'模拟-全程加成'!$I$5)/系数!$B$4+BG158*10%)-$F$10-$F$11)+F144*0.25),0)*'模拟-单技能数据'!$I$24</f>
        <v>0</v>
      </c>
      <c r="BG158" s="115" t="b">
        <f ca="1">OR(AND(OR(C158="烈日斩",C158="银月斩"),模拟模式!$I$7="净身明礼"),AND(C158="净世破魔击·日",模拟模式!$J$7="洞若观火"),AND(C159="净世破魔击·月",模拟模式!$J$7="洞若观火"),AB158=1)</f>
        <v>1</v>
      </c>
      <c r="BH158" s="115" t="b">
        <f t="shared" ca="1" si="163"/>
        <v>0</v>
      </c>
      <c r="BI158" s="115">
        <f t="shared" ca="1" si="126"/>
        <v>0.46499999999999975</v>
      </c>
      <c r="BJ158" s="115" t="b">
        <f t="shared" ca="1" si="137"/>
        <v>1</v>
      </c>
      <c r="BK158" s="115" t="b">
        <f ca="1">AND(C158="驱夜断愁",模拟模式!$P$7="天地诛戮")</f>
        <v>0</v>
      </c>
      <c r="BL158" s="57">
        <f t="shared" ca="1" si="127"/>
        <v>18.155000000000001</v>
      </c>
      <c r="BM158" s="115" t="b">
        <f t="shared" ca="1" si="138"/>
        <v>1</v>
      </c>
      <c r="BN158" s="115" t="b">
        <f ca="1">AND(OR(C158="赤日轮1",C158="赤日轮2",C158="赤日轮3",C158="幽月轮1",C158="幽月轮2",C158="幽月轮3"),AB158=1,模拟模式!$L$7="明光恒照")</f>
        <v>1</v>
      </c>
      <c r="BO158" s="117">
        <f t="shared" ca="1" si="128"/>
        <v>30</v>
      </c>
      <c r="BP158" s="115">
        <f t="shared" ca="1" si="164"/>
        <v>6</v>
      </c>
      <c r="BQ158" s="115" t="b">
        <f>模拟模式!$K$10="2600·水"</f>
        <v>0</v>
      </c>
      <c r="BR158" s="117">
        <f t="shared" si="165"/>
        <v>0</v>
      </c>
      <c r="BS158" s="115">
        <f t="shared" si="166"/>
        <v>0</v>
      </c>
      <c r="BT158" s="115">
        <f t="shared" ca="1" si="167"/>
        <v>0</v>
      </c>
      <c r="BU158" s="115" t="b">
        <f ca="1">AND(模拟模式!$K$10="2300·雷",BT157=0,RAND()&lt;IF(C158="净世破魔击·月",5*0.05*2/3,IF(C158="净世破魔击·日",3*0.05*2/3,0.05*2*2/3)))</f>
        <v>0</v>
      </c>
      <c r="BV158" s="115">
        <f t="shared" ca="1" si="168"/>
        <v>0</v>
      </c>
      <c r="BW158" s="115">
        <f t="shared" ca="1" si="169"/>
        <v>64.687499999999275</v>
      </c>
      <c r="BX158" s="164" t="b">
        <f t="shared" ca="1" si="170"/>
        <v>0</v>
      </c>
      <c r="BY158" s="115">
        <f t="shared" ca="1" si="171"/>
        <v>0</v>
      </c>
      <c r="BZ158" s="115">
        <f>IF(OR(模拟模式!$P$16="10人团",模拟模式!$P$16="25人团"),IF(B158/30&gt;CA157,1,0),0)</f>
        <v>0</v>
      </c>
      <c r="CA158" s="115">
        <f t="shared" si="147"/>
        <v>0</v>
      </c>
      <c r="CB158" s="115">
        <f ca="1">IF(BZ158=1,IF(模拟模式!$P$16="10人团",15,0)+IF(模拟模式!$P$16="25人团",IF(RAND()&lt;0.6,15,0)),MAX(0,CB157-$F$4))</f>
        <v>0</v>
      </c>
      <c r="CC158" s="115" t="b">
        <f t="shared" ca="1" si="139"/>
        <v>0</v>
      </c>
      <c r="CD158" s="115">
        <f>IF(模拟模式!$Q$16="1个",IF(B158/40&gt;CE157,1,0),0)</f>
        <v>0</v>
      </c>
      <c r="CE158" s="115">
        <f t="shared" si="140"/>
        <v>0</v>
      </c>
      <c r="CF158" s="115">
        <f>IF(OR(CD158=1,模拟模式!$Q$16="2个"),20,MAX(0,CF157-$F$4))</f>
        <v>0</v>
      </c>
      <c r="CG158" s="115" t="b">
        <f t="shared" si="141"/>
        <v>0</v>
      </c>
      <c r="CH158" s="115">
        <f t="shared" ca="1" si="172"/>
        <v>9.7050000000000125</v>
      </c>
      <c r="CI158" s="115" t="b">
        <f t="shared" ca="1" si="173"/>
        <v>0</v>
      </c>
      <c r="CJ158" s="119">
        <f t="shared" ca="1" si="174"/>
        <v>0</v>
      </c>
      <c r="CK158" s="115">
        <f t="shared" ca="1" si="175"/>
        <v>0</v>
      </c>
      <c r="CL158" s="115" t="b">
        <f ca="1">AND(模拟模式!$S$7="驱夷逐法",OR(AND(C158="净世破魔击·月",E157&gt;59),AND(C158="净世破魔击·日",F157&gt;59)))</f>
        <v>0</v>
      </c>
      <c r="CM158" s="115" t="b">
        <f ca="1">OR(CL158,AND(C158="净世破魔击·日",CL157,RAND()&lt;模拟模式!$U$23))</f>
        <v>0</v>
      </c>
      <c r="CN158" s="115" t="b">
        <f ca="1">IF(模拟模式!$M$7="辉耀红尘",AND(C158="净世破魔击·月",CL158,CV158=0,E157&lt;80),AND(C158="净世破魔击·月",CL158,E157&lt;100))</f>
        <v>0</v>
      </c>
      <c r="CO158" s="115" t="b">
        <f t="shared" ca="1" si="148"/>
        <v>0</v>
      </c>
      <c r="CP158" s="115" t="b">
        <f ca="1">AND(模拟模式!$O$7="用晦而明",OR(C158="净世破魔击·日",C158="净世破魔击·月",C158="驱夜断愁"),AB158)</f>
        <v>0</v>
      </c>
      <c r="CQ158" s="115" t="b">
        <f ca="1">OR(CP158,AND(CP157,RAND()&lt;模拟模式!$U$23))</f>
        <v>0</v>
      </c>
      <c r="CR158" s="115" t="b">
        <f ca="1">AND(模拟模式!$S$7="日月齐光",OR(C158="幽月轮1",C158="幽月轮2",C158="幽月轮3",CR157),NOT(OR(C158="赤日轮1",C158="赤日轮2",C158="赤日轮3")))</f>
        <v>0</v>
      </c>
      <c r="CS158" s="115" t="b">
        <f ca="1">AND(模拟模式!$S$7="日月齐光",OR(C158="赤日轮1",C158="赤日轮2",C158="赤日轮3",CS157),NOT(OR(C158="幽月轮1",C158="幽月轮2",C158="幽月轮3")))</f>
        <v>0</v>
      </c>
      <c r="CT158" s="115">
        <f t="shared" ca="1" si="176"/>
        <v>7.8600000000000128</v>
      </c>
      <c r="CU158" s="115" t="b">
        <f ca="1">AND(模拟模式!$K$10="阴阳往极",CT157=0,RAND()&lt;IF(C158="净世破魔击·月",0.0275*7/3,IF(C158="净世破魔击·日",0.0275*3/3,0.0275*2/3)))</f>
        <v>0</v>
      </c>
      <c r="CV158" s="115">
        <f t="shared" ca="1" si="177"/>
        <v>0</v>
      </c>
      <c r="CW158" s="115">
        <f t="shared" ca="1" si="149"/>
        <v>5.0774999999999997</v>
      </c>
      <c r="CX158" s="115">
        <f t="shared" ca="1" si="150"/>
        <v>3.2324999999999995</v>
      </c>
      <c r="CY158" s="115">
        <f ca="1">MAX(IF($C158="驱夜断愁",IF(模拟模式!$R$7="万念俱寂",6,45),CY157-$F$4),0)</f>
        <v>4.1549999999999994</v>
      </c>
      <c r="CZ158" s="115">
        <f t="shared" ca="1" si="151"/>
        <v>0</v>
      </c>
      <c r="DA158" s="115">
        <f ca="1">IF(模拟模式!$N$7="日月同辉",IF(DB157=2,0,MIN(6,IF(AND(OR(C158="赤日轮1",C158="赤日轮2",C158="赤日轮3",C158="幽月轮1",C158="幽月轮2",C158="幽月轮3"),AB158=1),DA157+1,DA157))),0)</f>
        <v>5</v>
      </c>
      <c r="DB158" s="115">
        <f t="shared" ca="1" si="152"/>
        <v>0</v>
      </c>
      <c r="DC158" s="115"/>
      <c r="DD158" s="115"/>
      <c r="DE158" s="115"/>
      <c r="DF158" s="115"/>
      <c r="DG158" s="115"/>
      <c r="DH158" s="115"/>
      <c r="DI158" s="115"/>
      <c r="DJ158" s="115"/>
      <c r="DK158" s="115"/>
      <c r="DL158" s="115"/>
      <c r="DM158" s="115"/>
    </row>
    <row r="159" spans="2:117" x14ac:dyDescent="0.2">
      <c r="B159" s="117">
        <f t="shared" si="153"/>
        <v>121.76999999999994</v>
      </c>
      <c r="C159" s="167" t="str">
        <f t="shared" ca="1" si="146"/>
        <v>净世破魔击·月</v>
      </c>
      <c r="D159" s="115">
        <f ca="1">IF(C159="赤日轮1",1,IF(C159="赤日轮2",2,IF(C159="赤日轮3",3,IF(C159="幽月轮1",4,IF(C159="幽月轮2",5,IF(C159="幽月轮3",6,IF(C159="烈日斩",7,IF(C159="银月斩",8,IF(C159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159="净世破魔击·月",17,IF(C159="驱夜断愁",18,0)))))))))))</f>
        <v>17</v>
      </c>
      <c r="E159" s="115">
        <f ca="1">IF(AND(CU159,OR(C159="幽月轮1",C159="幽月轮2",C159="幽月轮3",C159="银月斩",C159="驱夜断愁",C159="净世破魔击·月")),100,MIN(IF(OR(CN159,BE159),0,IF(OR($C159="赤日轮1",$C159="赤日轮2",$C159="赤日轮3"),E158+20+IF(模拟模式!$I$7="日月凌天",4,0)+IF(CR158,20,0),IF($C159="烈日斩",E158+40,IF($C159="驱夜断愁",IF(模拟模式!$R$7="万念俱寂",E158+20,E158+60),IF($C159="净世破魔击·月",IF(OR(DB158&gt;0,CV158&gt;0),100,IF(模拟模式!$M$7="辉耀红尘",E158+20,E158)),IF($C159="净世破魔击·日",E158-100,E158)))))),100))</f>
        <v>100</v>
      </c>
      <c r="F159" s="115">
        <f ca="1">IF(AND(CU159,OR(C159="赤日轮1",C159="赤日轮2",C159="赤日轮3",C159="烈日斩",C159="净世破魔击·日")),100,MIN(IF(CO159,0,IF(OR($C159="幽月轮1",$C159="幽月轮2",$C159="幽月轮3"),F158+20+IF(模拟模式!$I$7="日月凌天",4,0)+IF(CS158,20,0),IF($C159="银月斩",F158+40+IF(模拟模式!$X$12=1,5,0),IF($C159="驱夜断愁",IF(模拟模式!$R$7="万念俱寂",F158+20,F158+60),IF($C159="净世破魔击·月",IF(模拟模式!$M$7="辉耀红尘",F158-80,F158-100),IF(AND(C159="净世破魔击·日",OR(DB158&gt;0,CV158&gt;0)),100,F158)))))),100))</f>
        <v>20</v>
      </c>
      <c r="G159" s="117">
        <f ca="1">('模拟-全程加成'!$E$3+'模拟-全程加成'!$E$4+'模拟-全程加成'!$E$5+('模拟-全程加成'!$C$6-'模拟-全程加成'!$C$3)*系数!$B$9+BS159*23)*(1+'模拟-全程加成'!$F$4+'模拟-全程加成'!$F$5+BJ159*10%+BM159*20%+BP159*4%+CG159*30%)+$F$7*系数!$B$12</f>
        <v>21493.829400000002</v>
      </c>
      <c r="H159" s="45">
        <f ca="1">'模拟-全程加成'!$H$3+'模拟-全程加成'!$H$4+'模拟-全程加成'!$H$5+('模拟-全程加成'!$G$4+'模拟-全程加成'!$G$5+('模拟-全程加成'!$C$6-'模拟-全程加成'!$C$3)*系数!$B$13)/系数!$B$3+LOOKUP(D159,'模拟-单技能数据'!$A$2:$A$19,'模拟-单技能数据'!$K$2:$K$19)+BG159*10%+IF(BV159&gt;0,378,0)</f>
        <v>0.54185145527300216</v>
      </c>
      <c r="I159" s="45">
        <f ca="1">'模拟-全程加成'!$J$3+'模拟-全程加成'!$J$4+'模拟-全程加成'!$J$5+('模拟-全程加成'!$I$4+'模拟-全程加成'!$I$5)/系数!$B$4+LOOKUP(D159,'模拟-单技能数据'!$A$2:$A$19,'模拟-单技能数据'!$L$2:$L$19)+BG159*10%</f>
        <v>2.162482885499879</v>
      </c>
      <c r="J159" s="45">
        <f ca="1">(('模拟-全程加成'!$K$3+'模拟-全程加成'!$K$4+'模拟-全程加成'!$K$5+('模拟-全程加成'!$C$6-'模拟-全程加成'!$C$3)*系数!$B$10+IF(BV159&gt;0,882,0)+IF(BY159&gt;0,1831,0))*(1+'模拟-全程加成'!$L$4+'模拟-全程加成'!$L$5+CC159*20%))/系数!$B$5</f>
        <v>0.69723220422048726</v>
      </c>
      <c r="K159" s="119">
        <f ca="1">LOOKUP(D159,'模拟-单技能数据'!$A$2:$A$19,'模拟-单技能数据'!$J$2:$J$19)+IF(CM159,60%,0)+IF(DB158-DB159&gt;0,30%,0)+IF(OR(AND(OR(C159="赤日轮1",C159="赤日轮2",C159="赤日轮3"),CR159),AND(OR(C159="幽月轮1",C159="幽月轮2",C159="幽月轮3"),CS159)),35%,0)+CJ159</f>
        <v>0.8</v>
      </c>
      <c r="L159" s="119">
        <f ca="1">IF(AND(C159="烈日斩",模拟模式!$X$11=1),10%,0)+IF(AND(C159="驱夜断愁",AB159=1),30%,0)</f>
        <v>0</v>
      </c>
      <c r="M159" s="45">
        <f t="shared" ca="1" si="129"/>
        <v>0.54185145527300216</v>
      </c>
      <c r="N159" s="45">
        <f t="shared" ca="1" si="130"/>
        <v>0.40424854472699789</v>
      </c>
      <c r="O159" s="46">
        <f t="shared" ca="1" si="154"/>
        <v>0.71873434992177954</v>
      </c>
      <c r="P159" s="46" t="str">
        <f t="shared" ca="1" si="155"/>
        <v>命</v>
      </c>
      <c r="Q159" s="45">
        <f t="shared" ca="1" si="156"/>
        <v>1</v>
      </c>
      <c r="R159" s="117">
        <f ca="1">模拟模式!$E$20*(1-IF(模拟模式!$J$19="有",0.15,0))*(1-IF(模拟模式!$K$19="有",0.3,0)-IF(CQ159,0.5,0))</f>
        <v>843.02999999999975</v>
      </c>
      <c r="S159" s="45">
        <f ca="1">R159/(R159+(185*模拟模式!$E$22-16800)*4.08224)</f>
        <v>8.389626085980037E-2</v>
      </c>
      <c r="T159" s="45" t="str">
        <f ca="1">LOOKUP(D159,'模拟-单技能数据'!$A$2:$A$19,'模拟-单技能数据'!$H$2:$H$19)</f>
        <v>阴</v>
      </c>
      <c r="U159" s="119">
        <f t="shared" ca="1" si="131"/>
        <v>0.08</v>
      </c>
      <c r="V159" s="47">
        <f ca="1">(1+L159)*(LOOKUP(D159,'模拟-单技能数据'!$A$2:$A$19,'模拟-单技能数据'!$D$2:$D$19)+G159*LOOKUP(D159,'模拟-单技能数据'!$A$2:$A$19,'模拟-单技能数据'!$F$2:$F$19))*(1+J159)*(1+K159)*(1-S159)*(1+U159)*Q159*LOOKUP(D159,'模拟-单技能数据'!$A$2:$A$19,'模拟-单技能数据'!$I$2:$I$20)</f>
        <v>84412.793434348554</v>
      </c>
      <c r="W159" s="47">
        <f ca="1">LOOKUP(D159,'模拟-单技能数据'!$A$2:$A$19,'模拟-单技能数据'!$G$2:$G$19)*$I$10</f>
        <v>361.51064354704795</v>
      </c>
      <c r="X159" s="47">
        <f t="shared" ca="1" si="157"/>
        <v>51923.694178492544</v>
      </c>
      <c r="Y159" s="47">
        <f t="shared" ca="1" si="132"/>
        <v>136697.99825638815</v>
      </c>
      <c r="Z159" s="49">
        <f t="shared" ca="1" si="133"/>
        <v>13847266.908289919</v>
      </c>
      <c r="AA159" s="97">
        <f t="shared" ca="1" si="134"/>
        <v>113716.57147318654</v>
      </c>
      <c r="AB159" s="115">
        <f ca="1">IF(OR(C159="赤日轮1",C159="赤日轮2",C159="赤日轮3"),IF(RAND()&lt;模拟模式!$Y$17,1,0),IF(OR(C159="幽月轮1",C159="幽月轮2",C159="幽月轮3"),IF(RAND()&lt;模拟模式!$Y$18,1,0),IF(C159="烈日斩",IF(RAND()&lt;模拟模式!$Y$19,1,0),IF(C159="银月斩",IF(RAND()&lt;模拟模式!$Y$20,1,0),IF(C159="驱夜断愁",IF(RAND()&lt;模拟模式!$Y$21,1,0),IF(C159="净世破魔击·日",IF(RAND()&lt;模拟模式!$Y$22,1,0),IF(C159="净世破魔击·月",IF(RAND()&lt;模拟模式!$Y$23,1,0),0)))))))</f>
        <v>1</v>
      </c>
      <c r="AC159" s="115" t="b">
        <f t="shared" ca="1" si="122"/>
        <v>0</v>
      </c>
      <c r="AD159" s="115" t="b">
        <f t="shared" ca="1" si="142"/>
        <v>1</v>
      </c>
      <c r="AE159" s="115">
        <f t="shared" ca="1" si="143"/>
        <v>3</v>
      </c>
      <c r="AF159" s="47">
        <f ca="1">IF(AC159,('模拟-单技能数据'!$D$20+G159*'模拟-单技能数据'!$F$20)*(1+J159)*(1+'模拟-单技能数据'!$J$20)*(1+U159),0)</f>
        <v>0</v>
      </c>
      <c r="AG159" s="61">
        <f t="shared" ca="1" si="135"/>
        <v>0.64185145527300214</v>
      </c>
      <c r="AH159" s="61">
        <f t="shared" ca="1" si="136"/>
        <v>2.2624828854998791</v>
      </c>
      <c r="AI159" s="62">
        <f t="shared" ca="1" si="158"/>
        <v>0.47428688771191396</v>
      </c>
      <c r="AJ159" s="47">
        <f ca="1">IF(AD159,IF(AI159&lt;$F$10,0,IF(AI159&lt;$F$10+$F$11,0.25,IF(AI159&lt;$F$10+$F$11+AG159,AH159,1)))*IF(AF159&gt;0,AF159,IF(AF158&gt;0,AF158,IF(AF157&gt;0,AF157,IF(AF156&gt;0,AF156,IF(AF155&gt;0,AF155,IF(AF154&gt;0,AF154,IF(AF153&gt;0,AF153,IF(AF152&gt;0,AF152,IF(AF151&gt;0,AF151,IF(AF149&gt;0,AF149,IF(AF148&gt;0,AF148,IF(AF147&gt;0,AF147,0)))))))))))),0)*(1-$S159)*'模拟-单技能数据'!$I$20</f>
        <v>9616.6571145767884</v>
      </c>
      <c r="AK159" s="115" t="b">
        <f t="shared" ca="1" si="123"/>
        <v>0</v>
      </c>
      <c r="AL159" s="115" t="b">
        <f t="shared" ca="1" si="144"/>
        <v>1</v>
      </c>
      <c r="AM159" s="115">
        <f t="shared" ca="1" si="145"/>
        <v>2</v>
      </c>
      <c r="AN159" s="47">
        <f ca="1">IF(AK159,('模拟-单技能数据'!$D$21+G159*'模拟-单技能数据'!$F$21)*(1+J159)*(1+'模拟-单技能数据'!$J$21)*(1+U159),0)</f>
        <v>0</v>
      </c>
      <c r="AO159" s="61">
        <f ca="1">IF(AN159&gt;0,M159-'模拟-单技能数据'!$K$10,AO158)</f>
        <v>0.42185145527300216</v>
      </c>
      <c r="AP159" s="61">
        <f ca="1">IF(AN159&gt;0,I159-'模拟-单技能数据'!$L$10,AP158)</f>
        <v>2.162482885499879</v>
      </c>
      <c r="AQ159" s="63">
        <f t="shared" ca="1" si="159"/>
        <v>0.31457313348089</v>
      </c>
      <c r="AR159" s="64">
        <f ca="1">IF(AL159,IF(AQ159&lt;$F$10,0,IF(AQ159&lt;$F$10+$F$11,0.25,IF(AQ159&lt;$F$10+$F$11+AO159,AP159,1)))*IF(AN159&gt;0,AN159,IF(AN158&gt;0,AN158,IF(AN157&gt;0,AN157,IF(AN156&gt;0,AN156,IF(AN155&gt;0,AN155,IF(AN154&gt;0,AN154,IF(AN153&gt;0,AN153,IF(AN152&gt;0,AN152,IF(AN151&gt;0,AN151,IF(AN149&gt;0,AN149,IF(AN148&gt;0,AN148,IF(AN147&gt;0,AN147,0)))))))))))),0)*(1-$S159)*'模拟-单技能数据'!$I$21</f>
        <v>25101.867467669974</v>
      </c>
      <c r="AS159" s="61">
        <f ca="1">IF(OR(C159="净世破魔击·日",C159="净世破魔击·月"),M159-'模拟-单技能数据'!$K$10,0)</f>
        <v>0.42185145527300216</v>
      </c>
      <c r="AT159" s="61">
        <f ca="1">IF(OR(C159="净世破魔击·日",C159="净世破魔击·月"),I159-'模拟-单技能数据'!$L$10,0)</f>
        <v>2.162482885499879</v>
      </c>
      <c r="AU159" s="62">
        <f t="shared" ca="1" si="160"/>
        <v>0.42426402725849355</v>
      </c>
      <c r="AV159" s="64">
        <f ca="1">IF(AS159&gt;0,('模拟-单技能数据'!$D$22+G159*'模拟-单技能数据'!$F$22)*(1+J159)*(1-S159)*IF(AU159&lt;$F$10,0,IF(AU159&lt;$F$10+$F$11,0.25,IF(AU159&lt;$F$10+$F$11+AS159,AT159,1)))*(1+U159),0)*'模拟-单技能数据'!$I$22</f>
        <v>17205.169596245785</v>
      </c>
      <c r="AW159" s="108">
        <f t="shared" ca="1" si="161"/>
        <v>6.1625000000000068</v>
      </c>
      <c r="AX159" s="108" t="b">
        <f ca="1">AND(模拟模式!$P$10="有",AW158=0,RAND()&lt;IF(C159="净世破魔击·月",0.1*8/3,IF(C159="净世破魔击·日",0.1*4/3,0.1*2/3)))</f>
        <v>0</v>
      </c>
      <c r="AY159" s="47">
        <f ca="1">IF(AX159,(18+G159*0.722)*(1+J159)*(1-S159)*(1+$I$4)*IF(P159="会",'模拟-全程加成'!$J$3+'模拟-全程加成'!$J$4+'模拟-全程加成'!$J$5+('模拟-全程加成'!$I$4+'模拟-全程加成'!$I$5)/系数!$B$4+BG159*10%,IF(P159="命",1,IF(P159="识",0.25,0))),0)</f>
        <v>0</v>
      </c>
      <c r="AZ159" s="108">
        <f t="shared" si="162"/>
        <v>0</v>
      </c>
      <c r="BA159" s="108" t="b">
        <f>AND(模拟模式!$Q$10="有",AZ158=0)</f>
        <v>0</v>
      </c>
      <c r="BB159" s="140">
        <f>IF(BA159,(0+G159*0.287)*(1+J159)*(1-S159)*(1+$I$4)*IF(P159="会",'模拟-全程加成'!$J$3+'模拟-全程加成'!$J$4+'模拟-全程加成'!$J$5+('模拟-全程加成'!$I$4+'模拟-全程加成'!$I$5)/系数!$B$4+BG159*10%,IF(P159="命",1,IF(P159="识",0.25,0))),0)</f>
        <v>0</v>
      </c>
      <c r="BC159" s="115" t="b">
        <f ca="1">AND(模拟模式!$R$7="伏明众生",E159=60,F159=20,DA159&lt;5,CZ158&lt;$F$4)</f>
        <v>0</v>
      </c>
      <c r="BD159" s="115">
        <f t="shared" ca="1" si="124"/>
        <v>0</v>
      </c>
      <c r="BE159" s="115" t="b">
        <f t="shared" ca="1" si="125"/>
        <v>0</v>
      </c>
      <c r="BF159" s="47">
        <f ca="1">IF(BC159,4*('模拟-单技能数据'!$D$24+G159*'模拟-单技能数据'!$F$24)*(1+J159)*(1+'模拟-单技能数据'!$J$24)*(1-S159)*(1+$I$3)*(('模拟-全程加成'!$J$3+'模拟-全程加成'!$J$4+'模拟-全程加成'!$J$5+('模拟-全程加成'!$I$4+'模拟-全程加成'!$I$5)/系数!$B$4+BG159*10%)*('模拟-全程加成'!$J$3+'模拟-全程加成'!$J$4+'模拟-全程加成'!$J$5+('模拟-全程加成'!$I$4+'模拟-全程加成'!$I$5)/系数!$B$4+BG159*10%)+(1-('模拟-全程加成'!$J$3+'模拟-全程加成'!$J$4+'模拟-全程加成'!$J$5+('模拟-全程加成'!$I$4+'模拟-全程加成'!$I$5)/系数!$B$4+BG159*10%)-$F$10-$F$11)+F145*0.25),0)*'模拟-单技能数据'!$I$24</f>
        <v>0</v>
      </c>
      <c r="BG159" s="115" t="b">
        <f ca="1">OR(AND(OR(C159="烈日斩",C159="银月斩"),模拟模式!$I$7="净身明礼"),AND(C159="净世破魔击·日",模拟模式!$J$7="洞若观火"),AND(C160="净世破魔击·月",模拟模式!$J$7="洞若观火"),AB159=1)</f>
        <v>1</v>
      </c>
      <c r="BH159" s="115" t="b">
        <f t="shared" ca="1" si="163"/>
        <v>1</v>
      </c>
      <c r="BI159" s="115">
        <f t="shared" ca="1" si="126"/>
        <v>6</v>
      </c>
      <c r="BJ159" s="115" t="b">
        <f t="shared" ca="1" si="137"/>
        <v>1</v>
      </c>
      <c r="BK159" s="115" t="b">
        <f ca="1">AND(C159="驱夜断愁",模拟模式!$P$7="天地诛戮")</f>
        <v>0</v>
      </c>
      <c r="BL159" s="57">
        <f t="shared" ca="1" si="127"/>
        <v>17.232500000000002</v>
      </c>
      <c r="BM159" s="115" t="b">
        <f t="shared" ca="1" si="138"/>
        <v>1</v>
      </c>
      <c r="BN159" s="115" t="b">
        <f ca="1">AND(OR(C159="赤日轮1",C159="赤日轮2",C159="赤日轮3",C159="幽月轮1",C159="幽月轮2",C159="幽月轮3"),AB159=1,模拟模式!$L$7="明光恒照")</f>
        <v>0</v>
      </c>
      <c r="BO159" s="117">
        <f t="shared" ca="1" si="128"/>
        <v>29.077500000000001</v>
      </c>
      <c r="BP159" s="115">
        <f t="shared" ca="1" si="164"/>
        <v>6</v>
      </c>
      <c r="BQ159" s="115" t="b">
        <f>模拟模式!$K$10="2600·水"</f>
        <v>0</v>
      </c>
      <c r="BR159" s="117">
        <f t="shared" si="165"/>
        <v>0</v>
      </c>
      <c r="BS159" s="115">
        <f t="shared" si="166"/>
        <v>0</v>
      </c>
      <c r="BT159" s="115">
        <f t="shared" ca="1" si="167"/>
        <v>0</v>
      </c>
      <c r="BU159" s="115" t="b">
        <f ca="1">AND(模拟模式!$K$10="2300·雷",BT158=0,RAND()&lt;IF(C159="净世破魔击·月",5*0.05*2/3,IF(C159="净世破魔击·日",3*0.05*2/3,0.05*2*2/3)))</f>
        <v>0</v>
      </c>
      <c r="BV159" s="115">
        <f t="shared" ca="1" si="168"/>
        <v>0</v>
      </c>
      <c r="BW159" s="115">
        <f t="shared" ca="1" si="169"/>
        <v>63.764999999999276</v>
      </c>
      <c r="BX159" s="164" t="b">
        <f t="shared" ca="1" si="170"/>
        <v>0</v>
      </c>
      <c r="BY159" s="115">
        <f t="shared" ca="1" si="171"/>
        <v>0</v>
      </c>
      <c r="BZ159" s="115">
        <f>IF(OR(模拟模式!$P$16="10人团",模拟模式!$P$16="25人团"),IF(B159/30&gt;CA158,1,0),0)</f>
        <v>0</v>
      </c>
      <c r="CA159" s="115">
        <f t="shared" si="147"/>
        <v>0</v>
      </c>
      <c r="CB159" s="115">
        <f ca="1">IF(BZ159=1,IF(模拟模式!$P$16="10人团",15,0)+IF(模拟模式!$P$16="25人团",IF(RAND()&lt;0.6,15,0)),MAX(0,CB158-$F$4))</f>
        <v>0</v>
      </c>
      <c r="CC159" s="115" t="b">
        <f t="shared" ca="1" si="139"/>
        <v>0</v>
      </c>
      <c r="CD159" s="115">
        <f>IF(模拟模式!$Q$16="1个",IF(B159/40&gt;CE158,1,0),0)</f>
        <v>0</v>
      </c>
      <c r="CE159" s="115">
        <f t="shared" si="140"/>
        <v>0</v>
      </c>
      <c r="CF159" s="115">
        <f>IF(OR(CD159=1,模拟模式!$Q$16="2个"),20,MAX(0,CF158-$F$4))</f>
        <v>0</v>
      </c>
      <c r="CG159" s="115" t="b">
        <f t="shared" si="141"/>
        <v>0</v>
      </c>
      <c r="CH159" s="115">
        <f t="shared" ca="1" si="172"/>
        <v>8.7825000000000131</v>
      </c>
      <c r="CI159" s="115" t="b">
        <f t="shared" ca="1" si="173"/>
        <v>0</v>
      </c>
      <c r="CJ159" s="119">
        <f t="shared" ca="1" si="174"/>
        <v>0</v>
      </c>
      <c r="CK159" s="115">
        <f t="shared" ca="1" si="175"/>
        <v>0</v>
      </c>
      <c r="CL159" s="115" t="b">
        <f ca="1">AND(模拟模式!$S$7="驱夷逐法",OR(AND(C159="净世破魔击·月",E158&gt;59),AND(C159="净世破魔击·日",F158&gt;59)))</f>
        <v>1</v>
      </c>
      <c r="CM159" s="115" t="b">
        <f ca="1">OR(CL159,AND(C159="净世破魔击·日",CL158,RAND()&lt;模拟模式!$U$23))</f>
        <v>1</v>
      </c>
      <c r="CN159" s="115" t="b">
        <f ca="1">IF(模拟模式!$M$7="辉耀红尘",AND(C159="净世破魔击·月",CL159,CV159=0,E158&lt;80),AND(C159="净世破魔击·月",CL159,E158&lt;100))</f>
        <v>0</v>
      </c>
      <c r="CO159" s="115" t="b">
        <f t="shared" ca="1" si="148"/>
        <v>0</v>
      </c>
      <c r="CP159" s="115" t="b">
        <f ca="1">AND(模拟模式!$O$7="用晦而明",OR(C159="净世破魔击·日",C159="净世破魔击·月",C159="驱夜断愁"),AB159)</f>
        <v>1</v>
      </c>
      <c r="CQ159" s="115" t="b">
        <f ca="1">OR(CP159,AND(CP158,RAND()&lt;模拟模式!$U$23))</f>
        <v>1</v>
      </c>
      <c r="CR159" s="115" t="b">
        <f ca="1">AND(模拟模式!$S$7="日月齐光",OR(C159="幽月轮1",C159="幽月轮2",C159="幽月轮3",CR158),NOT(OR(C159="赤日轮1",C159="赤日轮2",C159="赤日轮3")))</f>
        <v>0</v>
      </c>
      <c r="CS159" s="115" t="b">
        <f ca="1">AND(模拟模式!$S$7="日月齐光",OR(C159="赤日轮1",C159="赤日轮2",C159="赤日轮3",CS158),NOT(OR(C159="幽月轮1",C159="幽月轮2",C159="幽月轮3")))</f>
        <v>0</v>
      </c>
      <c r="CT159" s="115">
        <f t="shared" ca="1" si="176"/>
        <v>6.9375000000000124</v>
      </c>
      <c r="CU159" s="115" t="b">
        <f ca="1">AND(模拟模式!$K$10="阴阳往极",CT158=0,RAND()&lt;IF(C159="净世破魔击·月",0.0275*7/3,IF(C159="净世破魔击·日",0.0275*3/3,0.0275*2/3)))</f>
        <v>0</v>
      </c>
      <c r="CV159" s="115">
        <f t="shared" ca="1" si="177"/>
        <v>0</v>
      </c>
      <c r="CW159" s="115">
        <f t="shared" ca="1" si="149"/>
        <v>4.1549999999999994</v>
      </c>
      <c r="CX159" s="115">
        <f t="shared" ca="1" si="150"/>
        <v>2.3099999999999996</v>
      </c>
      <c r="CY159" s="115">
        <f ca="1">MAX(IF($C159="驱夜断愁",IF(模拟模式!$R$7="万念俱寂",6,45),CY158-$F$4),0)</f>
        <v>3.2324999999999995</v>
      </c>
      <c r="CZ159" s="115">
        <f t="shared" ca="1" si="151"/>
        <v>0</v>
      </c>
      <c r="DA159" s="115">
        <f ca="1">IF(模拟模式!$N$7="日月同辉",IF(DB158=2,0,MIN(6,IF(AND(OR(C159="赤日轮1",C159="赤日轮2",C159="赤日轮3",C159="幽月轮1",C159="幽月轮2",C159="幽月轮3"),AB159=1),DA158+1,DA158))),0)</f>
        <v>5</v>
      </c>
      <c r="DB159" s="115">
        <f t="shared" ca="1" si="152"/>
        <v>0</v>
      </c>
      <c r="DC159" s="115"/>
      <c r="DD159" s="115"/>
      <c r="DE159" s="115"/>
      <c r="DF159" s="115"/>
      <c r="DG159" s="115"/>
      <c r="DH159" s="115"/>
      <c r="DI159" s="115"/>
      <c r="DJ159" s="115"/>
      <c r="DK159" s="115"/>
      <c r="DL159" s="115"/>
      <c r="DM159" s="115"/>
    </row>
    <row r="160" spans="2:117" x14ac:dyDescent="0.2">
      <c r="B160" s="117">
        <f t="shared" si="153"/>
        <v>122.69249999999994</v>
      </c>
      <c r="C160" s="167" t="str">
        <f t="shared" ca="1" si="146"/>
        <v>净世破魔击·日</v>
      </c>
      <c r="D160" s="115">
        <f ca="1">IF(C160="赤日轮1",1,IF(C160="赤日轮2",2,IF(C160="赤日轮3",3,IF(C160="幽月轮1",4,IF(C160="幽月轮2",5,IF(C160="幽月轮3",6,IF(C160="烈日斩",7,IF(C160="银月斩",8,IF(C160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160="净世破魔击·月",17,IF(C160="驱夜断愁",18,0)))))))))))</f>
        <v>9</v>
      </c>
      <c r="E160" s="115">
        <f ca="1">IF(AND(CU160,OR(C160="幽月轮1",C160="幽月轮2",C160="幽月轮3",C160="银月斩",C160="驱夜断愁",C160="净世破魔击·月")),100,MIN(IF(OR(CN160,BE160),0,IF(OR($C160="赤日轮1",$C160="赤日轮2",$C160="赤日轮3"),E159+20+IF(模拟模式!$I$7="日月凌天",4,0)+IF(CR159,20,0),IF($C160="烈日斩",E159+40,IF($C160="驱夜断愁",IF(模拟模式!$R$7="万念俱寂",E159+20,E159+60),IF($C160="净世破魔击·月",IF(OR(DB159&gt;0,CV159&gt;0),100,IF(模拟模式!$M$7="辉耀红尘",E159+20,E159)),IF($C160="净世破魔击·日",E159-100,E159)))))),100))</f>
        <v>0</v>
      </c>
      <c r="F160" s="115">
        <f ca="1">IF(AND(CU160,OR(C160="赤日轮1",C160="赤日轮2",C160="赤日轮3",C160="烈日斩",C160="净世破魔击·日")),100,MIN(IF(CO160,0,IF(OR($C160="幽月轮1",$C160="幽月轮2",$C160="幽月轮3"),F159+20+IF(模拟模式!$I$7="日月凌天",4,0)+IF(CS159,20,0),IF($C160="银月斩",F159+40+IF(模拟模式!$X$12=1,5,0),IF($C160="驱夜断愁",IF(模拟模式!$R$7="万念俱寂",F159+20,F159+60),IF($C160="净世破魔击·月",IF(模拟模式!$M$7="辉耀红尘",F159-80,F159-100),IF(AND(C160="净世破魔击·日",OR(DB159&gt;0,CV159&gt;0)),100,F159)))))),100))</f>
        <v>20</v>
      </c>
      <c r="G160" s="117">
        <f ca="1">('模拟-全程加成'!$E$3+'模拟-全程加成'!$E$4+'模拟-全程加成'!$E$5+('模拟-全程加成'!$C$6-'模拟-全程加成'!$C$3)*系数!$B$9+BS160*23)*(1+'模拟-全程加成'!$F$4+'模拟-全程加成'!$F$5+BJ160*10%+BM160*20%+BP160*4%+CG160*30%)+$F$7*系数!$B$12</f>
        <v>21493.829400000002</v>
      </c>
      <c r="H160" s="45">
        <f ca="1">'模拟-全程加成'!$H$3+'模拟-全程加成'!$H$4+'模拟-全程加成'!$H$5+('模拟-全程加成'!$G$4+'模拟-全程加成'!$G$5+('模拟-全程加成'!$C$6-'模拟-全程加成'!$C$3)*系数!$B$13)/系数!$B$3+LOOKUP(D160,'模拟-单技能数据'!$A$2:$A$19,'模拟-单技能数据'!$K$2:$K$19)+BG160*10%+IF(BV160&gt;0,378,0)</f>
        <v>0.54185145527300216</v>
      </c>
      <c r="I160" s="45">
        <f ca="1">'模拟-全程加成'!$J$3+'模拟-全程加成'!$J$4+'模拟-全程加成'!$J$5+('模拟-全程加成'!$I$4+'模拟-全程加成'!$I$5)/系数!$B$4+LOOKUP(D160,'模拟-单技能数据'!$A$2:$A$19,'模拟-单技能数据'!$L$2:$L$19)+BG160*10%</f>
        <v>2.162482885499879</v>
      </c>
      <c r="J160" s="45">
        <f ca="1">(('模拟-全程加成'!$K$3+'模拟-全程加成'!$K$4+'模拟-全程加成'!$K$5+('模拟-全程加成'!$C$6-'模拟-全程加成'!$C$3)*系数!$B$10+IF(BV160&gt;0,882,0)+IF(BY160&gt;0,1831,0))*(1+'模拟-全程加成'!$L$4+'模拟-全程加成'!$L$5+CC160*20%))/系数!$B$5</f>
        <v>0.69723220422048726</v>
      </c>
      <c r="K160" s="119">
        <f ca="1">LOOKUP(D160,'模拟-单技能数据'!$A$2:$A$19,'模拟-单技能数据'!$J$2:$J$19)+IF(CM160,60%,0)+IF(DB159-DB160&gt;0,30%,0)+IF(OR(AND(OR(C160="赤日轮1",C160="赤日轮2",C160="赤日轮3"),CR160),AND(OR(C160="幽月轮1",C160="幽月轮2",C160="幽月轮3"),CS160)),35%,0)+CJ160</f>
        <v>0.8</v>
      </c>
      <c r="L160" s="119">
        <f ca="1">IF(AND(C160="烈日斩",模拟模式!$X$11=1),10%,0)+IF(AND(C160="驱夜断愁",AB160=1),30%,0)</f>
        <v>0</v>
      </c>
      <c r="M160" s="45">
        <f t="shared" ca="1" si="129"/>
        <v>0.54185145527300216</v>
      </c>
      <c r="N160" s="45">
        <f t="shared" ca="1" si="130"/>
        <v>0.40424854472699789</v>
      </c>
      <c r="O160" s="46">
        <f t="shared" ca="1" si="154"/>
        <v>0.92260162516118804</v>
      </c>
      <c r="P160" s="46" t="str">
        <f t="shared" ca="1" si="155"/>
        <v>命</v>
      </c>
      <c r="Q160" s="45">
        <f t="shared" ca="1" si="156"/>
        <v>1</v>
      </c>
      <c r="R160" s="117">
        <f ca="1">模拟模式!$E$20*(1-IF(模拟模式!$J$19="有",0.15,0))*(1-IF(模拟模式!$K$19="有",0.3,0)-IF(CQ160,0.5,0))</f>
        <v>843.02999999999975</v>
      </c>
      <c r="S160" s="45">
        <f ca="1">R160/(R160+(185*模拟模式!$E$22-16800)*4.08224)</f>
        <v>8.389626085980037E-2</v>
      </c>
      <c r="T160" s="45" t="str">
        <f ca="1">LOOKUP(D160,'模拟-单技能数据'!$A$2:$A$19,'模拟-单技能数据'!$H$2:$H$19)</f>
        <v>阳</v>
      </c>
      <c r="U160" s="119">
        <f t="shared" ca="1" si="131"/>
        <v>0.2</v>
      </c>
      <c r="V160" s="47">
        <f ca="1">(1+L160)*(LOOKUP(D160,'模拟-单技能数据'!$A$2:$A$19,'模拟-单技能数据'!$D$2:$D$19)+G160*LOOKUP(D160,'模拟-单技能数据'!$A$2:$A$19,'模拟-单技能数据'!$F$2:$F$19))*(1+J160)*(1+K160)*(1-S160)*(1+U160)*Q160*LOOKUP(D160,'模拟-单技能数据'!$A$2:$A$19,'模拟-单技能数据'!$I$2:$I$20)</f>
        <v>94575.365106402023</v>
      </c>
      <c r="W160" s="47">
        <f ca="1">LOOKUP(D160,'模拟-单技能数据'!$A$2:$A$19,'模拟-单技能数据'!$G$2:$G$19)*$I$10</f>
        <v>723.0212870940959</v>
      </c>
      <c r="X160" s="47">
        <f t="shared" ca="1" si="157"/>
        <v>19198.936884319592</v>
      </c>
      <c r="Y160" s="47">
        <f t="shared" ca="1" si="132"/>
        <v>114497.32327781571</v>
      </c>
      <c r="Z160" s="49">
        <f t="shared" ca="1" si="133"/>
        <v>13961764.231567735</v>
      </c>
      <c r="AA160" s="97">
        <f t="shared" ca="1" si="134"/>
        <v>113794.76521847499</v>
      </c>
      <c r="AB160" s="115">
        <f ca="1">IF(OR(C160="赤日轮1",C160="赤日轮2",C160="赤日轮3"),IF(RAND()&lt;模拟模式!$Y$17,1,0),IF(OR(C160="幽月轮1",C160="幽月轮2",C160="幽月轮3"),IF(RAND()&lt;模拟模式!$Y$18,1,0),IF(C160="烈日斩",IF(RAND()&lt;模拟模式!$Y$19,1,0),IF(C160="银月斩",IF(RAND()&lt;模拟模式!$Y$20,1,0),IF(C160="驱夜断愁",IF(RAND()&lt;模拟模式!$Y$21,1,0),IF(C160="净世破魔击·日",IF(RAND()&lt;模拟模式!$Y$22,1,0),IF(C160="净世破魔击·月",IF(RAND()&lt;模拟模式!$Y$23,1,0),0)))))))</f>
        <v>1</v>
      </c>
      <c r="AC160" s="115" t="b">
        <f t="shared" ca="1" si="122"/>
        <v>0</v>
      </c>
      <c r="AD160" s="115" t="b">
        <f t="shared" ca="1" si="142"/>
        <v>0</v>
      </c>
      <c r="AE160" s="115">
        <f t="shared" ca="1" si="143"/>
        <v>3</v>
      </c>
      <c r="AF160" s="47">
        <f ca="1">IF(AC160,('模拟-单技能数据'!$D$20+G160*'模拟-单技能数据'!$F$20)*(1+J160)*(1+'模拟-单技能数据'!$J$20)*(1+U160),0)</f>
        <v>0</v>
      </c>
      <c r="AG160" s="61">
        <f t="shared" ca="1" si="135"/>
        <v>0.64185145527300214</v>
      </c>
      <c r="AH160" s="61">
        <f t="shared" ca="1" si="136"/>
        <v>2.2624828854998791</v>
      </c>
      <c r="AI160" s="62">
        <f t="shared" ca="1" si="158"/>
        <v>0.28577778621125438</v>
      </c>
      <c r="AJ160" s="47">
        <f ca="1">IF(AD160,IF(AI160&lt;$F$10,0,IF(AI160&lt;$F$10+$F$11,0.25,IF(AI160&lt;$F$10+$F$11+AG160,AH160,1)))*IF(AF160&gt;0,AF160,IF(AF159&gt;0,AF159,IF(AF158&gt;0,AF158,IF(AF157&gt;0,AF157,IF(AF156&gt;0,AF156,IF(AF155&gt;0,AF155,IF(AF154&gt;0,AF154,IF(AF153&gt;0,AF153,IF(AF152&gt;0,AF152,IF(AF150&gt;0,AF150,IF(AF149&gt;0,AF149,IF(AF148&gt;0,AF148,0)))))))))))),0)*(1-$S160)*'模拟-单技能数据'!$I$20</f>
        <v>0</v>
      </c>
      <c r="AK160" s="115" t="b">
        <f t="shared" ca="1" si="123"/>
        <v>1</v>
      </c>
      <c r="AL160" s="115" t="b">
        <f t="shared" ca="1" si="144"/>
        <v>0</v>
      </c>
      <c r="AM160" s="115">
        <f t="shared" ca="1" si="145"/>
        <v>6</v>
      </c>
      <c r="AN160" s="47">
        <f ca="1">IF(AK160,('模拟-单技能数据'!$D$21+G160*'模拟-单技能数据'!$F$21)*(1+J160)*(1+'模拟-单技能数据'!$J$21)*(1+U160),0)</f>
        <v>12670.936004857545</v>
      </c>
      <c r="AO160" s="61">
        <f ca="1">IF(AN160&gt;0,M160-'模拟-单技能数据'!$K$10,AO159)</f>
        <v>0.42185145527300216</v>
      </c>
      <c r="AP160" s="61">
        <f ca="1">IF(AN160&gt;0,I160-'模拟-单技能数据'!$L$10,AP159)</f>
        <v>2.162482885499879</v>
      </c>
      <c r="AQ160" s="63">
        <f t="shared" ca="1" si="159"/>
        <v>4.70470503074496E-2</v>
      </c>
      <c r="AR160" s="64">
        <f ca="1">IF(AL160,IF(AQ160&lt;$F$10,0,IF(AQ160&lt;$F$10+$F$11,0.25,IF(AQ160&lt;$F$10+$F$11+AO160,AP160,1)))*IF(AN160&gt;0,AN160,IF(AN159&gt;0,AN159,IF(AN158&gt;0,AN158,IF(AN157&gt;0,AN157,IF(AN156&gt;0,AN156,IF(AN155&gt;0,AN155,IF(AN154&gt;0,AN154,IF(AN153&gt;0,AN153,IF(AN152&gt;0,AN152,IF(AN150&gt;0,AN150,IF(AN149&gt;0,AN149,IF(AN148&gt;0,AN148,0)))))))))))),0)*(1-$S160)*'模拟-单技能数据'!$I$21</f>
        <v>0</v>
      </c>
      <c r="AS160" s="61">
        <f ca="1">IF(OR(C160="净世破魔击·日",C160="净世破魔击·月"),M160-'模拟-单技能数据'!$K$10,0)</f>
        <v>0.42185145527300216</v>
      </c>
      <c r="AT160" s="61">
        <f ca="1">IF(OR(C160="净世破魔击·日",C160="净世破魔击·月"),I160-'模拟-单技能数据'!$L$10,0)</f>
        <v>2.162482885499879</v>
      </c>
      <c r="AU160" s="62">
        <f t="shared" ca="1" si="160"/>
        <v>0.823561154807954</v>
      </c>
      <c r="AV160" s="64">
        <f ca="1">IF(AS160&gt;0,('模拟-单技能数据'!$D$22+G160*'模拟-单技能数据'!$F$22)*(1+J160)*(1-S160)*IF(AU160&lt;$F$10,0,IF(AU160&lt;$F$10+$F$11,0.25,IF(AU160&lt;$F$10+$F$11+AS160,AT160,1)))*(1+U160),0)*'模拟-单技能数据'!$I$22</f>
        <v>8840.2341748571616</v>
      </c>
      <c r="AW160" s="108">
        <f t="shared" ca="1" si="161"/>
        <v>5.2400000000000064</v>
      </c>
      <c r="AX160" s="108" t="b">
        <f ca="1">AND(模拟模式!$P$10="有",AW159=0,RAND()&lt;IF(C160="净世破魔击·月",0.1*8/3,IF(C160="净世破魔击·日",0.1*4/3,0.1*2/3)))</f>
        <v>0</v>
      </c>
      <c r="AY160" s="47">
        <f ca="1">IF(AX160,(18+G160*0.722)*(1+J160)*(1-S160)*(1+$I$4)*IF(P160="会",'模拟-全程加成'!$J$3+'模拟-全程加成'!$J$4+'模拟-全程加成'!$J$5+('模拟-全程加成'!$I$4+'模拟-全程加成'!$I$5)/系数!$B$4+BG160*10%,IF(P160="命",1,IF(P160="识",0.25,0))),0)</f>
        <v>0</v>
      </c>
      <c r="AZ160" s="108">
        <f t="shared" si="162"/>
        <v>19.077500000000001</v>
      </c>
      <c r="BA160" s="108" t="b">
        <f>AND(模拟模式!$Q$10="有",AZ159=0)</f>
        <v>1</v>
      </c>
      <c r="BB160" s="140">
        <f ca="1">IF(BA160,(0+G160*0.287)*(1+J160)*(1-S160)*(1+$I$4)*IF(P160="会",'模拟-全程加成'!$J$3+'模拟-全程加成'!$J$4+'模拟-全程加成'!$J$5+('模拟-全程加成'!$I$4+'模拟-全程加成'!$I$5)/系数!$B$4+BG160*10%,IF(P160="命",1,IF(P160="识",0.25,0))),0)</f>
        <v>10358.702709462432</v>
      </c>
      <c r="BC160" s="115" t="b">
        <f ca="1">AND(模拟模式!$R$7="伏明众生",E160=60,F160=20,DA160&lt;5,CZ159&lt;$F$4)</f>
        <v>0</v>
      </c>
      <c r="BD160" s="115">
        <f t="shared" ca="1" si="124"/>
        <v>0</v>
      </c>
      <c r="BE160" s="115" t="b">
        <f t="shared" ca="1" si="125"/>
        <v>0</v>
      </c>
      <c r="BF160" s="47">
        <f ca="1">IF(BC160,4*('模拟-单技能数据'!$D$24+G160*'模拟-单技能数据'!$F$24)*(1+J160)*(1+'模拟-单技能数据'!$J$24)*(1-S160)*(1+$I$3)*(('模拟-全程加成'!$J$3+'模拟-全程加成'!$J$4+'模拟-全程加成'!$J$5+('模拟-全程加成'!$I$4+'模拟-全程加成'!$I$5)/系数!$B$4+BG160*10%)*('模拟-全程加成'!$J$3+'模拟-全程加成'!$J$4+'模拟-全程加成'!$J$5+('模拟-全程加成'!$I$4+'模拟-全程加成'!$I$5)/系数!$B$4+BG160*10%)+(1-('模拟-全程加成'!$J$3+'模拟-全程加成'!$J$4+'模拟-全程加成'!$J$5+('模拟-全程加成'!$I$4+'模拟-全程加成'!$I$5)/系数!$B$4+BG160*10%)-$F$10-$F$11)+F146*0.25),0)*'模拟-单技能数据'!$I$24</f>
        <v>0</v>
      </c>
      <c r="BG160" s="115" t="b">
        <f ca="1">OR(AND(OR(C160="烈日斩",C160="银月斩"),模拟模式!$I$7="净身明礼"),AND(C160="净世破魔击·日",模拟模式!$J$7="洞若观火"),AND(C161="净世破魔击·月",模拟模式!$J$7="洞若观火"),AB160=1)</f>
        <v>1</v>
      </c>
      <c r="BH160" s="115" t="b">
        <f t="shared" ca="1" si="163"/>
        <v>0</v>
      </c>
      <c r="BI160" s="115">
        <f t="shared" ca="1" si="126"/>
        <v>5.0774999999999997</v>
      </c>
      <c r="BJ160" s="115" t="b">
        <f t="shared" ca="1" si="137"/>
        <v>1</v>
      </c>
      <c r="BK160" s="115" t="b">
        <f ca="1">AND(C160="驱夜断愁",模拟模式!$P$7="天地诛戮")</f>
        <v>0</v>
      </c>
      <c r="BL160" s="57">
        <f t="shared" ca="1" si="127"/>
        <v>16.310000000000002</v>
      </c>
      <c r="BM160" s="115" t="b">
        <f t="shared" ca="1" si="138"/>
        <v>1</v>
      </c>
      <c r="BN160" s="115" t="b">
        <f ca="1">AND(OR(C160="赤日轮1",C160="赤日轮2",C160="赤日轮3",C160="幽月轮1",C160="幽月轮2",C160="幽月轮3"),AB160=1,模拟模式!$L$7="明光恒照")</f>
        <v>0</v>
      </c>
      <c r="BO160" s="117">
        <f t="shared" ca="1" si="128"/>
        <v>28.155000000000001</v>
      </c>
      <c r="BP160" s="115">
        <f t="shared" ca="1" si="164"/>
        <v>6</v>
      </c>
      <c r="BQ160" s="115" t="b">
        <f>模拟模式!$K$10="2600·水"</f>
        <v>0</v>
      </c>
      <c r="BR160" s="117">
        <f t="shared" si="165"/>
        <v>0</v>
      </c>
      <c r="BS160" s="115">
        <f t="shared" si="166"/>
        <v>0</v>
      </c>
      <c r="BT160" s="115">
        <f t="shared" ca="1" si="167"/>
        <v>0</v>
      </c>
      <c r="BU160" s="115" t="b">
        <f ca="1">AND(模拟模式!$K$10="2300·雷",BT159=0,RAND()&lt;IF(C160="净世破魔击·月",5*0.05*2/3,IF(C160="净世破魔击·日",3*0.05*2/3,0.05*2*2/3)))</f>
        <v>0</v>
      </c>
      <c r="BV160" s="115">
        <f t="shared" ca="1" si="168"/>
        <v>0</v>
      </c>
      <c r="BW160" s="115">
        <f t="shared" ca="1" si="169"/>
        <v>62.842499999999276</v>
      </c>
      <c r="BX160" s="164" t="b">
        <f t="shared" ca="1" si="170"/>
        <v>0</v>
      </c>
      <c r="BY160" s="115">
        <f t="shared" ca="1" si="171"/>
        <v>0</v>
      </c>
      <c r="BZ160" s="115">
        <f>IF(OR(模拟模式!$P$16="10人团",模拟模式!$P$16="25人团"),IF(B160/30&gt;CA159,1,0),0)</f>
        <v>0</v>
      </c>
      <c r="CA160" s="115">
        <f t="shared" si="147"/>
        <v>0</v>
      </c>
      <c r="CB160" s="115">
        <f ca="1">IF(BZ160=1,IF(模拟模式!$P$16="10人团",15,0)+IF(模拟模式!$P$16="25人团",IF(RAND()&lt;0.6,15,0)),MAX(0,CB159-$F$4))</f>
        <v>0</v>
      </c>
      <c r="CC160" s="115" t="b">
        <f t="shared" ca="1" si="139"/>
        <v>0</v>
      </c>
      <c r="CD160" s="115">
        <f>IF(模拟模式!$Q$16="1个",IF(B160/40&gt;CE159,1,0),0)</f>
        <v>0</v>
      </c>
      <c r="CE160" s="115">
        <f t="shared" si="140"/>
        <v>0</v>
      </c>
      <c r="CF160" s="115">
        <f>IF(OR(CD160=1,模拟模式!$Q$16="2个"),20,MAX(0,CF159-$F$4))</f>
        <v>0</v>
      </c>
      <c r="CG160" s="115" t="b">
        <f t="shared" si="141"/>
        <v>0</v>
      </c>
      <c r="CH160" s="115">
        <f t="shared" ca="1" si="172"/>
        <v>7.8600000000000128</v>
      </c>
      <c r="CI160" s="115" t="b">
        <f t="shared" ca="1" si="173"/>
        <v>0</v>
      </c>
      <c r="CJ160" s="119">
        <f t="shared" ca="1" si="174"/>
        <v>0</v>
      </c>
      <c r="CK160" s="115">
        <f t="shared" ca="1" si="175"/>
        <v>0</v>
      </c>
      <c r="CL160" s="115" t="b">
        <f ca="1">AND(模拟模式!$S$7="驱夷逐法",OR(AND(C160="净世破魔击·月",E159&gt;59),AND(C160="净世破魔击·日",F159&gt;59)))</f>
        <v>0</v>
      </c>
      <c r="CM160" s="115" t="b">
        <f ca="1">OR(CL160,AND(C160="净世破魔击·日",CL159,RAND()&lt;模拟模式!$U$23))</f>
        <v>1</v>
      </c>
      <c r="CN160" s="115" t="b">
        <f ca="1">IF(模拟模式!$M$7="辉耀红尘",AND(C160="净世破魔击·月",CL160,CV160=0,E159&lt;80),AND(C160="净世破魔击·月",CL160,E159&lt;100))</f>
        <v>0</v>
      </c>
      <c r="CO160" s="115" t="b">
        <f t="shared" ca="1" si="148"/>
        <v>0</v>
      </c>
      <c r="CP160" s="115" t="b">
        <f ca="1">AND(模拟模式!$O$7="用晦而明",OR(C160="净世破魔击·日",C160="净世破魔击·月",C160="驱夜断愁"),AB160)</f>
        <v>1</v>
      </c>
      <c r="CQ160" s="115" t="b">
        <f ca="1">OR(CP160,AND(CP159,RAND()&lt;模拟模式!$U$23))</f>
        <v>1</v>
      </c>
      <c r="CR160" s="115" t="b">
        <f ca="1">AND(模拟模式!$S$7="日月齐光",OR(C160="幽月轮1",C160="幽月轮2",C160="幽月轮3",CR159),NOT(OR(C160="赤日轮1",C160="赤日轮2",C160="赤日轮3")))</f>
        <v>0</v>
      </c>
      <c r="CS160" s="115" t="b">
        <f ca="1">AND(模拟模式!$S$7="日月齐光",OR(C160="赤日轮1",C160="赤日轮2",C160="赤日轮3",CS159),NOT(OR(C160="幽月轮1",C160="幽月轮2",C160="幽月轮3")))</f>
        <v>0</v>
      </c>
      <c r="CT160" s="115">
        <f t="shared" ca="1" si="176"/>
        <v>6.0150000000000121</v>
      </c>
      <c r="CU160" s="115" t="b">
        <f ca="1">AND(模拟模式!$K$10="阴阳往极",CT159=0,RAND()&lt;IF(C160="净世破魔击·月",0.0275*7/3,IF(C160="净世破魔击·日",0.0275*3/3,0.0275*2/3)))</f>
        <v>0</v>
      </c>
      <c r="CV160" s="115">
        <f t="shared" ca="1" si="177"/>
        <v>0</v>
      </c>
      <c r="CW160" s="115">
        <f t="shared" ca="1" si="149"/>
        <v>3.2324999999999995</v>
      </c>
      <c r="CX160" s="115">
        <f t="shared" ca="1" si="150"/>
        <v>1.3874999999999997</v>
      </c>
      <c r="CY160" s="115">
        <f ca="1">MAX(IF($C160="驱夜断愁",IF(模拟模式!$R$7="万念俱寂",6,45),CY159-$F$4),0)</f>
        <v>2.3099999999999996</v>
      </c>
      <c r="CZ160" s="115">
        <f t="shared" ca="1" si="151"/>
        <v>0</v>
      </c>
      <c r="DA160" s="115">
        <f ca="1">IF(模拟模式!$N$7="日月同辉",IF(DB159=2,0,MIN(6,IF(AND(OR(C160="赤日轮1",C160="赤日轮2",C160="赤日轮3",C160="幽月轮1",C160="幽月轮2",C160="幽月轮3"),AB160=1),DA159+1,DA159))),0)</f>
        <v>5</v>
      </c>
      <c r="DB160" s="115">
        <f t="shared" ca="1" si="152"/>
        <v>0</v>
      </c>
      <c r="DC160" s="115"/>
      <c r="DD160" s="115"/>
      <c r="DE160" s="115"/>
      <c r="DF160" s="115"/>
      <c r="DG160" s="115"/>
      <c r="DH160" s="115"/>
      <c r="DI160" s="115"/>
      <c r="DJ160" s="115"/>
      <c r="DK160" s="115"/>
      <c r="DL160" s="115"/>
      <c r="DM160" s="115"/>
    </row>
    <row r="161" spans="2:117" x14ac:dyDescent="0.2">
      <c r="B161" s="117">
        <f t="shared" si="153"/>
        <v>123.61499999999994</v>
      </c>
      <c r="C161" s="167" t="str">
        <f t="shared" ca="1" si="146"/>
        <v>赤日轮1</v>
      </c>
      <c r="D161" s="115">
        <f ca="1">IF(C161="赤日轮1",1,IF(C161="赤日轮2",2,IF(C161="赤日轮3",3,IF(C161="幽月轮1",4,IF(C161="幽月轮2",5,IF(C161="幽月轮3",6,IF(C161="烈日斩",7,IF(C161="银月斩",8,IF(C161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161="净世破魔击·月",17,IF(C161="驱夜断愁",18,0)))))))))))</f>
        <v>1</v>
      </c>
      <c r="E161" s="115">
        <f ca="1">IF(AND(CU161,OR(C161="幽月轮1",C161="幽月轮2",C161="幽月轮3",C161="银月斩",C161="驱夜断愁",C161="净世破魔击·月")),100,MIN(IF(OR(CN161,BE161),0,IF(OR($C161="赤日轮1",$C161="赤日轮2",$C161="赤日轮3"),E160+20+IF(模拟模式!$I$7="日月凌天",4,0)+IF(CR160,20,0),IF($C161="烈日斩",E160+40,IF($C161="驱夜断愁",IF(模拟模式!$R$7="万念俱寂",E160+20,E160+60),IF($C161="净世破魔击·月",IF(OR(DB160&gt;0,CV160&gt;0),100,IF(模拟模式!$M$7="辉耀红尘",E160+20,E160)),IF($C161="净世破魔击·日",E160-100,E160)))))),100))</f>
        <v>20</v>
      </c>
      <c r="F161" s="115">
        <f ca="1">IF(AND(CU161,OR(C161="赤日轮1",C161="赤日轮2",C161="赤日轮3",C161="烈日斩",C161="净世破魔击·日")),100,MIN(IF(CO161,0,IF(OR($C161="幽月轮1",$C161="幽月轮2",$C161="幽月轮3"),F160+20+IF(模拟模式!$I$7="日月凌天",4,0)+IF(CS160,20,0),IF($C161="银月斩",F160+40+IF(模拟模式!$X$12=1,5,0),IF($C161="驱夜断愁",IF(模拟模式!$R$7="万念俱寂",F160+20,F160+60),IF($C161="净世破魔击·月",IF(模拟模式!$M$7="辉耀红尘",F160-80,F160-100),IF(AND(C161="净世破魔击·日",OR(DB160&gt;0,CV160&gt;0)),100,F160)))))),100))</f>
        <v>20</v>
      </c>
      <c r="G161" s="117">
        <f ca="1">('模拟-全程加成'!$E$3+'模拟-全程加成'!$E$4+'模拟-全程加成'!$E$5+('模拟-全程加成'!$C$6-'模拟-全程加成'!$C$3)*系数!$B$9+BS161*23)*(1+'模拟-全程加成'!$F$4+'模拟-全程加成'!$F$5+BJ161*10%+BM161*20%+BP161*4%+CG161*30%)+$F$7*系数!$B$12</f>
        <v>21493.829400000002</v>
      </c>
      <c r="H161" s="45">
        <f ca="1">'模拟-全程加成'!$H$3+'模拟-全程加成'!$H$4+'模拟-全程加成'!$H$5+('模拟-全程加成'!$G$4+'模拟-全程加成'!$G$5+('模拟-全程加成'!$C$6-'模拟-全程加成'!$C$3)*系数!$B$13)/系数!$B$3+LOOKUP(D161,'模拟-单技能数据'!$A$2:$A$19,'模拟-单技能数据'!$K$2:$K$19)+BG161*10%+IF(BV161&gt;0,378,0)</f>
        <v>0.4618514552730022</v>
      </c>
      <c r="I161" s="45">
        <f ca="1">'模拟-全程加成'!$J$3+'模拟-全程加成'!$J$4+'模拟-全程加成'!$J$5+('模拟-全程加成'!$I$4+'模拟-全程加成'!$I$5)/系数!$B$4+LOOKUP(D161,'模拟-单技能数据'!$A$2:$A$19,'模拟-单技能数据'!$L$2:$L$19)+BG161*10%</f>
        <v>2.162482885499879</v>
      </c>
      <c r="J161" s="45">
        <f ca="1">(('模拟-全程加成'!$K$3+'模拟-全程加成'!$K$4+'模拟-全程加成'!$K$5+('模拟-全程加成'!$C$6-'模拟-全程加成'!$C$3)*系数!$B$10+IF(BV161&gt;0,882,0)+IF(BY161&gt;0,1831,0))*(1+'模拟-全程加成'!$L$4+'模拟-全程加成'!$L$5+CC161*20%))/系数!$B$5</f>
        <v>0.69723220422048726</v>
      </c>
      <c r="K161" s="119">
        <f ca="1">LOOKUP(D161,'模拟-单技能数据'!$A$2:$A$19,'模拟-单技能数据'!$J$2:$J$19)+IF(CM161,60%,0)+IF(DB160-DB161&gt;0,30%,0)+IF(OR(AND(OR(C161="赤日轮1",C161="赤日轮2",C161="赤日轮3"),CR161),AND(OR(C161="幽月轮1",C161="幽月轮2",C161="幽月轮3"),CS161)),35%,0)+CJ161</f>
        <v>0.12</v>
      </c>
      <c r="L161" s="119">
        <f ca="1">IF(AND(C161="烈日斩",模拟模式!$X$11=1),10%,0)+IF(AND(C161="驱夜断愁",AB161=1),30%,0)</f>
        <v>0</v>
      </c>
      <c r="M161" s="45">
        <f t="shared" ca="1" si="129"/>
        <v>0.4618514552730022</v>
      </c>
      <c r="N161" s="45">
        <f t="shared" ca="1" si="130"/>
        <v>0.48424854472699785</v>
      </c>
      <c r="O161" s="46">
        <f t="shared" ca="1" si="154"/>
        <v>0.29721584988146355</v>
      </c>
      <c r="P161" s="46" t="str">
        <f t="shared" ca="1" si="155"/>
        <v>会</v>
      </c>
      <c r="Q161" s="45">
        <f t="shared" ca="1" si="156"/>
        <v>2.162482885499879</v>
      </c>
      <c r="R161" s="117">
        <f ca="1">模拟模式!$E$20*(1-IF(模拟模式!$J$19="有",0.15,0))*(1-IF(模拟模式!$K$19="有",0.3,0)-IF(CQ161,0.5,0))</f>
        <v>843.02999999999975</v>
      </c>
      <c r="S161" s="45">
        <f ca="1">R161/(R161+(185*模拟模式!$E$22-16800)*4.08224)</f>
        <v>8.389626085980037E-2</v>
      </c>
      <c r="T161" s="45" t="str">
        <f ca="1">LOOKUP(D161,'模拟-单技能数据'!$A$2:$A$19,'模拟-单技能数据'!$H$2:$H$19)</f>
        <v>阳</v>
      </c>
      <c r="U161" s="119">
        <f t="shared" ca="1" si="131"/>
        <v>0.2</v>
      </c>
      <c r="V161" s="47">
        <f ca="1">(1+L161)*(LOOKUP(D161,'模拟-单技能数据'!$A$2:$A$19,'模拟-单技能数据'!$D$2:$D$19)+G161*LOOKUP(D161,'模拟-单技能数据'!$A$2:$A$19,'模拟-单技能数据'!$F$2:$F$19))*(1+J161)*(1+K161)*(1-S161)*(1+U161)*Q161*LOOKUP(D161,'模拟-单技能数据'!$A$2:$A$19,'模拟-单技能数据'!$I$2:$I$20)</f>
        <v>56864.156113360666</v>
      </c>
      <c r="W161" s="47">
        <f ca="1">LOOKUP(D161,'模拟-单技能数据'!$A$2:$A$19,'模拟-单技能数据'!$G$2:$G$19)*$I$10</f>
        <v>361.51064354704795</v>
      </c>
      <c r="X161" s="47">
        <f t="shared" ca="1" si="157"/>
        <v>34718.524582246762</v>
      </c>
      <c r="Y161" s="47">
        <f t="shared" ca="1" si="132"/>
        <v>91944.191339154466</v>
      </c>
      <c r="Z161" s="49">
        <f t="shared" ca="1" si="133"/>
        <v>14053708.422906889</v>
      </c>
      <c r="AA161" s="97">
        <f t="shared" ca="1" si="134"/>
        <v>113689.34532950609</v>
      </c>
      <c r="AB161" s="115">
        <f ca="1">IF(OR(C161="赤日轮1",C161="赤日轮2",C161="赤日轮3"),IF(RAND()&lt;模拟模式!$Y$17,1,0),IF(OR(C161="幽月轮1",C161="幽月轮2",C161="幽月轮3"),IF(RAND()&lt;模拟模式!$Y$18,1,0),IF(C161="烈日斩",IF(RAND()&lt;模拟模式!$Y$19,1,0),IF(C161="银月斩",IF(RAND()&lt;模拟模式!$Y$20,1,0),IF(C161="驱夜断愁",IF(RAND()&lt;模拟模式!$Y$21,1,0),IF(C161="净世破魔击·日",IF(RAND()&lt;模拟模式!$Y$22,1,0),IF(C161="净世破魔击·月",IF(RAND()&lt;模拟模式!$Y$23,1,0),0)))))))</f>
        <v>1</v>
      </c>
      <c r="AC161" s="115" t="b">
        <f t="shared" ca="1" si="122"/>
        <v>0</v>
      </c>
      <c r="AD161" s="115" t="b">
        <f t="shared" ca="1" si="142"/>
        <v>1</v>
      </c>
      <c r="AE161" s="115">
        <f t="shared" ca="1" si="143"/>
        <v>2</v>
      </c>
      <c r="AF161" s="47">
        <f ca="1">IF(AC161,('模拟-单技能数据'!$D$20+G161*'模拟-单技能数据'!$F$20)*(1+J161)*(1+'模拟-单技能数据'!$J$20)*(1+U161),0)</f>
        <v>0</v>
      </c>
      <c r="AG161" s="61">
        <f t="shared" ca="1" si="135"/>
        <v>0.64185145527300214</v>
      </c>
      <c r="AH161" s="61">
        <f t="shared" ca="1" si="136"/>
        <v>2.2624828854998791</v>
      </c>
      <c r="AI161" s="62">
        <f t="shared" ca="1" si="158"/>
        <v>0.60297974206367555</v>
      </c>
      <c r="AJ161" s="47">
        <f ca="1">IF(AD161,IF(AI161&lt;$F$10,0,IF(AI161&lt;$F$10+$F$11,0.25,IF(AI161&lt;$F$10+$F$11+AG161,AH161,1)))*IF(AF161&gt;0,AF161,IF(AF160&gt;0,AF160,IF(AF159&gt;0,AF159,IF(AF158&gt;0,AF158,IF(AF157&gt;0,AF157,IF(AF156&gt;0,AF156,IF(AF155&gt;0,AF155,IF(AF154&gt;0,AF154,IF(AF153&gt;0,AF153,IF(AF151&gt;0,AF151,IF(AF150&gt;0,AF150,IF(AF149&gt;0,AF149,0)))))))))))),0)*(1-$S161)*'模拟-单技能数据'!$I$20</f>
        <v>9616.6571145767884</v>
      </c>
      <c r="AK161" s="115" t="b">
        <f t="shared" ca="1" si="123"/>
        <v>0</v>
      </c>
      <c r="AL161" s="115" t="b">
        <f t="shared" ca="1" si="144"/>
        <v>1</v>
      </c>
      <c r="AM161" s="115">
        <f t="shared" ca="1" si="145"/>
        <v>5</v>
      </c>
      <c r="AN161" s="47">
        <f ca="1">IF(AK161,('模拟-单技能数据'!$D$21+G161*'模拟-单技能数据'!$F$21)*(1+J161)*(1+'模拟-单技能数据'!$J$21)*(1+U161),0)</f>
        <v>0</v>
      </c>
      <c r="AO161" s="61">
        <f ca="1">IF(AN161&gt;0,M161-'模拟-单技能数据'!$K$10,AO160)</f>
        <v>0.42185145527300216</v>
      </c>
      <c r="AP161" s="61">
        <f ca="1">IF(AN161&gt;0,I161-'模拟-单技能数据'!$L$10,AP160)</f>
        <v>2.162482885499879</v>
      </c>
      <c r="AQ161" s="63">
        <f t="shared" ca="1" si="159"/>
        <v>0.19747696174220708</v>
      </c>
      <c r="AR161" s="64">
        <f ca="1">IF(AL161,IF(AQ161&lt;$F$10,0,IF(AQ161&lt;$F$10+$F$11,0.25,IF(AQ161&lt;$F$10+$F$11+AO161,AP161,1)))*IF(AN161&gt;0,AN161,IF(AN160&gt;0,AN160,IF(AN159&gt;0,AN159,IF(AN158&gt;0,AN158,IF(AN157&gt;0,AN157,IF(AN156&gt;0,AN156,IF(AN155&gt;0,AN155,IF(AN154&gt;0,AN154,IF(AN153&gt;0,AN153,IF(AN151&gt;0,AN151,IF(AN150&gt;0,AN150,IF(AN149&gt;0,AN149,0)))))))))))),0)*(1-$S161)*'模拟-单技能数据'!$I$21</f>
        <v>25101.867467669974</v>
      </c>
      <c r="AS161" s="61">
        <f ca="1">IF(OR(C161="净世破魔击·日",C161="净世破魔击·月"),M161-'模拟-单技能数据'!$K$10,0)</f>
        <v>0</v>
      </c>
      <c r="AT161" s="61">
        <f ca="1">IF(OR(C161="净世破魔击·日",C161="净世破魔击·月"),I161-'模拟-单技能数据'!$L$10,0)</f>
        <v>0</v>
      </c>
      <c r="AU161" s="62">
        <f t="shared" ca="1" si="160"/>
        <v>0.50295510890336592</v>
      </c>
      <c r="AV161" s="64">
        <f ca="1">IF(AS161&gt;0,('模拟-单技能数据'!$D$22+G161*'模拟-单技能数据'!$F$22)*(1+J161)*(1-S161)*IF(AU161&lt;$F$10,0,IF(AU161&lt;$F$10+$F$11,0.25,IF(AU161&lt;$F$10+$F$11+AS161,AT161,1)))*(1+U161),0)*'模拟-单技能数据'!$I$22</f>
        <v>0</v>
      </c>
      <c r="AW161" s="108">
        <f t="shared" ca="1" si="161"/>
        <v>4.3175000000000061</v>
      </c>
      <c r="AX161" s="108" t="b">
        <f ca="1">AND(模拟模式!$P$10="有",AW160=0,RAND()&lt;IF(C161="净世破魔击·月",0.1*8/3,IF(C161="净世破魔击·日",0.1*4/3,0.1*2/3)))</f>
        <v>0</v>
      </c>
      <c r="AY161" s="47">
        <f ca="1">IF(AX161,(18+G161*0.722)*(1+J161)*(1-S161)*(1+$I$4)*IF(P161="会",'模拟-全程加成'!$J$3+'模拟-全程加成'!$J$4+'模拟-全程加成'!$J$5+('模拟-全程加成'!$I$4+'模拟-全程加成'!$I$5)/系数!$B$4+BG161*10%,IF(P161="命",1,IF(P161="识",0.25,0))),0)</f>
        <v>0</v>
      </c>
      <c r="AZ161" s="108">
        <f t="shared" si="162"/>
        <v>18.155000000000001</v>
      </c>
      <c r="BA161" s="108" t="b">
        <f>AND(模拟模式!$Q$10="有",AZ160=0)</f>
        <v>0</v>
      </c>
      <c r="BB161" s="140">
        <f>IF(BA161,(0+G161*0.287)*(1+J161)*(1-S161)*(1+$I$4)*IF(P161="会",'模拟-全程加成'!$J$3+'模拟-全程加成'!$J$4+'模拟-全程加成'!$J$5+('模拟-全程加成'!$I$4+'模拟-全程加成'!$I$5)/系数!$B$4+BG161*10%,IF(P161="命",1,IF(P161="识",0.25,0))),0)</f>
        <v>0</v>
      </c>
      <c r="BC161" s="115" t="b">
        <f ca="1">AND(模拟模式!$R$7="伏明众生",E161=60,F161=20,DA161&lt;5,CZ160&lt;$F$4)</f>
        <v>0</v>
      </c>
      <c r="BD161" s="115">
        <f t="shared" ca="1" si="124"/>
        <v>0</v>
      </c>
      <c r="BE161" s="115" t="b">
        <f t="shared" ca="1" si="125"/>
        <v>0</v>
      </c>
      <c r="BF161" s="47">
        <f ca="1">IF(BC161,4*('模拟-单技能数据'!$D$24+G161*'模拟-单技能数据'!$F$24)*(1+J161)*(1+'模拟-单技能数据'!$J$24)*(1-S161)*(1+$I$3)*(('模拟-全程加成'!$J$3+'模拟-全程加成'!$J$4+'模拟-全程加成'!$J$5+('模拟-全程加成'!$I$4+'模拟-全程加成'!$I$5)/系数!$B$4+BG161*10%)*('模拟-全程加成'!$J$3+'模拟-全程加成'!$J$4+'模拟-全程加成'!$J$5+('模拟-全程加成'!$I$4+'模拟-全程加成'!$I$5)/系数!$B$4+BG161*10%)+(1-('模拟-全程加成'!$J$3+'模拟-全程加成'!$J$4+'模拟-全程加成'!$J$5+('模拟-全程加成'!$I$4+'模拟-全程加成'!$I$5)/系数!$B$4+BG161*10%)-$F$10-$F$11)+F147*0.25),0)*'模拟-单技能数据'!$I$24</f>
        <v>0</v>
      </c>
      <c r="BG161" s="115" t="b">
        <f ca="1">OR(AND(OR(C161="烈日斩",C161="银月斩"),模拟模式!$I$7="净身明礼"),AND(C161="净世破魔击·日",模拟模式!$J$7="洞若观火"),AND(C162="净世破魔击·月",模拟模式!$J$7="洞若观火"),AB161=1)</f>
        <v>1</v>
      </c>
      <c r="BH161" s="115" t="b">
        <f t="shared" ca="1" si="163"/>
        <v>0</v>
      </c>
      <c r="BI161" s="115">
        <f t="shared" ca="1" si="126"/>
        <v>4.1549999999999994</v>
      </c>
      <c r="BJ161" s="115" t="b">
        <f t="shared" ca="1" si="137"/>
        <v>1</v>
      </c>
      <c r="BK161" s="115" t="b">
        <f ca="1">AND(C161="驱夜断愁",模拟模式!$P$7="天地诛戮")</f>
        <v>0</v>
      </c>
      <c r="BL161" s="57">
        <f t="shared" ca="1" si="127"/>
        <v>15.387500000000003</v>
      </c>
      <c r="BM161" s="115" t="b">
        <f t="shared" ca="1" si="138"/>
        <v>1</v>
      </c>
      <c r="BN161" s="115" t="b">
        <f ca="1">AND(OR(C161="赤日轮1",C161="赤日轮2",C161="赤日轮3",C161="幽月轮1",C161="幽月轮2",C161="幽月轮3"),AB161=1,模拟模式!$L$7="明光恒照")</f>
        <v>1</v>
      </c>
      <c r="BO161" s="117">
        <f t="shared" ca="1" si="128"/>
        <v>30</v>
      </c>
      <c r="BP161" s="115">
        <f t="shared" ca="1" si="164"/>
        <v>6</v>
      </c>
      <c r="BQ161" s="115" t="b">
        <f>模拟模式!$K$10="2600·水"</f>
        <v>0</v>
      </c>
      <c r="BR161" s="117">
        <f t="shared" si="165"/>
        <v>0</v>
      </c>
      <c r="BS161" s="115">
        <f t="shared" si="166"/>
        <v>0</v>
      </c>
      <c r="BT161" s="115">
        <f t="shared" ca="1" si="167"/>
        <v>0</v>
      </c>
      <c r="BU161" s="115" t="b">
        <f ca="1">AND(模拟模式!$K$10="2300·雷",BT160=0,RAND()&lt;IF(C161="净世破魔击·月",5*0.05*2/3,IF(C161="净世破魔击·日",3*0.05*2/3,0.05*2*2/3)))</f>
        <v>0</v>
      </c>
      <c r="BV161" s="115">
        <f t="shared" ca="1" si="168"/>
        <v>0</v>
      </c>
      <c r="BW161" s="115">
        <f t="shared" ca="1" si="169"/>
        <v>61.919999999999277</v>
      </c>
      <c r="BX161" s="164" t="b">
        <f t="shared" ca="1" si="170"/>
        <v>0</v>
      </c>
      <c r="BY161" s="115">
        <f t="shared" ca="1" si="171"/>
        <v>0</v>
      </c>
      <c r="BZ161" s="115">
        <f>IF(OR(模拟模式!$P$16="10人团",模拟模式!$P$16="25人团"),IF(B161/30&gt;CA160,1,0),0)</f>
        <v>0</v>
      </c>
      <c r="CA161" s="115">
        <f t="shared" si="147"/>
        <v>0</v>
      </c>
      <c r="CB161" s="115">
        <f ca="1">IF(BZ161=1,IF(模拟模式!$P$16="10人团",15,0)+IF(模拟模式!$P$16="25人团",IF(RAND()&lt;0.6,15,0)),MAX(0,CB160-$F$4))</f>
        <v>0</v>
      </c>
      <c r="CC161" s="115" t="b">
        <f t="shared" ca="1" si="139"/>
        <v>0</v>
      </c>
      <c r="CD161" s="115">
        <f>IF(模拟模式!$Q$16="1个",IF(B161/40&gt;CE160,1,0),0)</f>
        <v>0</v>
      </c>
      <c r="CE161" s="115">
        <f t="shared" si="140"/>
        <v>0</v>
      </c>
      <c r="CF161" s="115">
        <f>IF(OR(CD161=1,模拟模式!$Q$16="2个"),20,MAX(0,CF160-$F$4))</f>
        <v>0</v>
      </c>
      <c r="CG161" s="115" t="b">
        <f t="shared" si="141"/>
        <v>0</v>
      </c>
      <c r="CH161" s="115">
        <f t="shared" ca="1" si="172"/>
        <v>6.9375000000000124</v>
      </c>
      <c r="CI161" s="115" t="b">
        <f t="shared" ca="1" si="173"/>
        <v>0</v>
      </c>
      <c r="CJ161" s="119">
        <f t="shared" ca="1" si="174"/>
        <v>0</v>
      </c>
      <c r="CK161" s="115">
        <f t="shared" ca="1" si="175"/>
        <v>0</v>
      </c>
      <c r="CL161" s="115" t="b">
        <f ca="1">AND(模拟模式!$S$7="驱夷逐法",OR(AND(C161="净世破魔击·月",E160&gt;59),AND(C161="净世破魔击·日",F160&gt;59)))</f>
        <v>0</v>
      </c>
      <c r="CM161" s="115" t="b">
        <f ca="1">OR(CL161,AND(C161="净世破魔击·日",CL160,RAND()&lt;模拟模式!$U$23))</f>
        <v>0</v>
      </c>
      <c r="CN161" s="115" t="b">
        <f ca="1">IF(模拟模式!$M$7="辉耀红尘",AND(C161="净世破魔击·月",CL161,CV161=0,E160&lt;80),AND(C161="净世破魔击·月",CL161,E160&lt;100))</f>
        <v>0</v>
      </c>
      <c r="CO161" s="115" t="b">
        <f t="shared" ca="1" si="148"/>
        <v>0</v>
      </c>
      <c r="CP161" s="115" t="b">
        <f ca="1">AND(模拟模式!$O$7="用晦而明",OR(C161="净世破魔击·日",C161="净世破魔击·月",C161="驱夜断愁"),AB161)</f>
        <v>0</v>
      </c>
      <c r="CQ161" s="115" t="b">
        <f ca="1">OR(CP161,AND(CP160,RAND()&lt;模拟模式!$U$23))</f>
        <v>1</v>
      </c>
      <c r="CR161" s="115" t="b">
        <f ca="1">AND(模拟模式!$S$7="日月齐光",OR(C161="幽月轮1",C161="幽月轮2",C161="幽月轮3",CR160),NOT(OR(C161="赤日轮1",C161="赤日轮2",C161="赤日轮3")))</f>
        <v>0</v>
      </c>
      <c r="CS161" s="115" t="b">
        <f ca="1">AND(模拟模式!$S$7="日月齐光",OR(C161="赤日轮1",C161="赤日轮2",C161="赤日轮3",CS160),NOT(OR(C161="幽月轮1",C161="幽月轮2",C161="幽月轮3")))</f>
        <v>0</v>
      </c>
      <c r="CT161" s="115">
        <f t="shared" ca="1" si="176"/>
        <v>5.0925000000000118</v>
      </c>
      <c r="CU161" s="115" t="b">
        <f ca="1">AND(模拟模式!$K$10="阴阳往极",CT160=0,RAND()&lt;IF(C161="净世破魔击·月",0.0275*7/3,IF(C161="净世破魔击·日",0.0275*3/3,0.0275*2/3)))</f>
        <v>0</v>
      </c>
      <c r="CV161" s="115">
        <f t="shared" ca="1" si="177"/>
        <v>0</v>
      </c>
      <c r="CW161" s="115">
        <f t="shared" ca="1" si="149"/>
        <v>2.3099999999999996</v>
      </c>
      <c r="CX161" s="115">
        <f t="shared" ca="1" si="150"/>
        <v>0.46499999999999975</v>
      </c>
      <c r="CY161" s="115">
        <f ca="1">MAX(IF($C161="驱夜断愁",IF(模拟模式!$R$7="万念俱寂",6,45),CY160-$F$4),0)</f>
        <v>1.3874999999999997</v>
      </c>
      <c r="CZ161" s="115">
        <f t="shared" ca="1" si="151"/>
        <v>0</v>
      </c>
      <c r="DA161" s="115">
        <f ca="1">IF(模拟模式!$N$7="日月同辉",IF(DB160=2,0,MIN(6,IF(AND(OR(C161="赤日轮1",C161="赤日轮2",C161="赤日轮3",C161="幽月轮1",C161="幽月轮2",C161="幽月轮3"),AB161=1),DA160+1,DA160))),0)</f>
        <v>6</v>
      </c>
      <c r="DB161" s="115">
        <f t="shared" ca="1" si="152"/>
        <v>2</v>
      </c>
      <c r="DC161" s="115"/>
      <c r="DD161" s="115"/>
      <c r="DE161" s="115"/>
      <c r="DF161" s="115"/>
      <c r="DG161" s="115"/>
      <c r="DH161" s="115"/>
      <c r="DI161" s="115"/>
      <c r="DJ161" s="115"/>
      <c r="DK161" s="115"/>
      <c r="DL161" s="115"/>
      <c r="DM161" s="115"/>
    </row>
    <row r="162" spans="2:117" x14ac:dyDescent="0.2">
      <c r="B162" s="117">
        <f t="shared" si="153"/>
        <v>124.53749999999994</v>
      </c>
      <c r="C162" s="167" t="str">
        <f t="shared" ca="1" si="146"/>
        <v>银月斩</v>
      </c>
      <c r="D162" s="115">
        <f ca="1">IF(C162="赤日轮1",1,IF(C162="赤日轮2",2,IF(C162="赤日轮3",3,IF(C162="幽月轮1",4,IF(C162="幽月轮2",5,IF(C162="幽月轮3",6,IF(C162="烈日斩",7,IF(C162="银月斩",8,IF(C162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162="净世破魔击·月",17,IF(C162="驱夜断愁",18,0)))))))))))</f>
        <v>8</v>
      </c>
      <c r="E162" s="115">
        <f ca="1">IF(AND(CU162,OR(C162="幽月轮1",C162="幽月轮2",C162="幽月轮3",C162="银月斩",C162="驱夜断愁",C162="净世破魔击·月")),100,MIN(IF(OR(CN162,BE162),0,IF(OR($C162="赤日轮1",$C162="赤日轮2",$C162="赤日轮3"),E161+20+IF(模拟模式!$I$7="日月凌天",4,0)+IF(CR161,20,0),IF($C162="烈日斩",E161+40,IF($C162="驱夜断愁",IF(模拟模式!$R$7="万念俱寂",E161+20,E161+60),IF($C162="净世破魔击·月",IF(OR(DB161&gt;0,CV161&gt;0),100,IF(模拟模式!$M$7="辉耀红尘",E161+20,E161)),IF($C162="净世破魔击·日",E161-100,E161)))))),100))</f>
        <v>20</v>
      </c>
      <c r="F162" s="115">
        <f ca="1">IF(AND(CU162,OR(C162="赤日轮1",C162="赤日轮2",C162="赤日轮3",C162="烈日斩",C162="净世破魔击·日")),100,MIN(IF(CO162,0,IF(OR($C162="幽月轮1",$C162="幽月轮2",$C162="幽月轮3"),F161+20+IF(模拟模式!$I$7="日月凌天",4,0)+IF(CS161,20,0),IF($C162="银月斩",F161+40+IF(模拟模式!$X$12=1,5,0),IF($C162="驱夜断愁",IF(模拟模式!$R$7="万念俱寂",F161+20,F161+60),IF($C162="净世破魔击·月",IF(模拟模式!$M$7="辉耀红尘",F161-80,F161-100),IF(AND(C162="净世破魔击·日",OR(DB161&gt;0,CV161&gt;0)),100,F161)))))),100))</f>
        <v>65</v>
      </c>
      <c r="G162" s="117">
        <f ca="1">('模拟-全程加成'!$E$3+'模拟-全程加成'!$E$4+'模拟-全程加成'!$E$5+('模拟-全程加成'!$C$6-'模拟-全程加成'!$C$3)*系数!$B$9+BS162*23)*(1+'模拟-全程加成'!$F$4+'模拟-全程加成'!$F$5+BJ162*10%+BM162*20%+BP162*4%+CG162*30%)+$F$7*系数!$B$12</f>
        <v>21493.829400000002</v>
      </c>
      <c r="H162" s="45">
        <f ca="1">'模拟-全程加成'!$H$3+'模拟-全程加成'!$H$4+'模拟-全程加成'!$H$5+('模拟-全程加成'!$G$4+'模拟-全程加成'!$G$5+('模拟-全程加成'!$C$6-'模拟-全程加成'!$C$3)*系数!$B$13)/系数!$B$3+LOOKUP(D162,'模拟-单技能数据'!$A$2:$A$19,'模拟-单技能数据'!$K$2:$K$19)+BG162*10%+IF(BV162&gt;0,378,0)</f>
        <v>0.64185145527300214</v>
      </c>
      <c r="I162" s="45">
        <f ca="1">'模拟-全程加成'!$J$3+'模拟-全程加成'!$J$4+'模拟-全程加成'!$J$5+('模拟-全程加成'!$I$4+'模拟-全程加成'!$I$5)/系数!$B$4+LOOKUP(D162,'模拟-单技能数据'!$A$2:$A$19,'模拟-单技能数据'!$L$2:$L$19)+BG162*10%</f>
        <v>2.2624828854998791</v>
      </c>
      <c r="J162" s="45">
        <f ca="1">(('模拟-全程加成'!$K$3+'模拟-全程加成'!$K$4+'模拟-全程加成'!$K$5+('模拟-全程加成'!$C$6-'模拟-全程加成'!$C$3)*系数!$B$10+IF(BV162&gt;0,882,0)+IF(BY162&gt;0,1831,0))*(1+'模拟-全程加成'!$L$4+'模拟-全程加成'!$L$5+CC162*20%))/系数!$B$5</f>
        <v>0.69723220422048726</v>
      </c>
      <c r="K162" s="119">
        <f ca="1">LOOKUP(D162,'模拟-单技能数据'!$A$2:$A$19,'模拟-单技能数据'!$J$2:$J$19)+IF(CM162,60%,0)+IF(DB161-DB162&gt;0,30%,0)+IF(OR(AND(OR(C162="赤日轮1",C162="赤日轮2",C162="赤日轮3"),CR162),AND(OR(C162="幽月轮1",C162="幽月轮2",C162="幽月轮3"),CS162)),35%,0)+CJ162</f>
        <v>0.15</v>
      </c>
      <c r="L162" s="119">
        <f ca="1">IF(AND(C162="烈日斩",模拟模式!$X$11=1),10%,0)+IF(AND(C162="驱夜断愁",AB162=1),30%,0)</f>
        <v>0</v>
      </c>
      <c r="M162" s="45">
        <f t="shared" ca="1" si="129"/>
        <v>0.64185145527300214</v>
      </c>
      <c r="N162" s="45">
        <f t="shared" ca="1" si="130"/>
        <v>0.30424854472699792</v>
      </c>
      <c r="O162" s="46">
        <f t="shared" ca="1" si="154"/>
        <v>0.26228015981578501</v>
      </c>
      <c r="P162" s="46" t="str">
        <f t="shared" ca="1" si="155"/>
        <v>会</v>
      </c>
      <c r="Q162" s="45">
        <f t="shared" ca="1" si="156"/>
        <v>2.2624828854998791</v>
      </c>
      <c r="R162" s="117">
        <f ca="1">模拟模式!$E$20*(1-IF(模拟模式!$J$19="有",0.15,0))*(1-IF(模拟模式!$K$19="有",0.3,0)-IF(CQ162,0.5,0))</f>
        <v>2950.6049999999996</v>
      </c>
      <c r="S162" s="45">
        <f ca="1">R162/(R162+(185*模拟模式!$E$22-16800)*4.08224)</f>
        <v>0.24272716014590323</v>
      </c>
      <c r="T162" s="45" t="str">
        <f ca="1">LOOKUP(D162,'模拟-单技能数据'!$A$2:$A$19,'模拟-单技能数据'!$H$2:$H$19)</f>
        <v>阴</v>
      </c>
      <c r="U162" s="119">
        <f t="shared" ca="1" si="131"/>
        <v>0.08</v>
      </c>
      <c r="V162" s="47">
        <f ca="1">(1+L162)*(LOOKUP(D162,'模拟-单技能数据'!$A$2:$A$19,'模拟-单技能数据'!$D$2:$D$19)+G162*LOOKUP(D162,'模拟-单技能数据'!$A$2:$A$19,'模拟-单技能数据'!$F$2:$F$19))*(1+J162)*(1+K162)*(1-S162)*(1+U162)*Q162*LOOKUP(D162,'模拟-单技能数据'!$A$2:$A$19,'模拟-单技能数据'!$I$2:$I$20)</f>
        <v>41211.704893206668</v>
      </c>
      <c r="W162" s="47">
        <f ca="1">LOOKUP(D162,'模拟-单技能数据'!$A$2:$A$19,'模拟-单技能数据'!$G$2:$G$19)*$I$10</f>
        <v>361.51064354704795</v>
      </c>
      <c r="X162" s="47">
        <f t="shared" ca="1" si="157"/>
        <v>0</v>
      </c>
      <c r="Y162" s="47">
        <f t="shared" ca="1" si="132"/>
        <v>41573.21553675372</v>
      </c>
      <c r="Z162" s="49">
        <f t="shared" ca="1" si="133"/>
        <v>14095281.638443643</v>
      </c>
      <c r="AA162" s="97">
        <f t="shared" ca="1" si="134"/>
        <v>113181.02289225053</v>
      </c>
      <c r="AB162" s="115">
        <f ca="1">IF(OR(C162="赤日轮1",C162="赤日轮2",C162="赤日轮3"),IF(RAND()&lt;模拟模式!$Y$17,1,0),IF(OR(C162="幽月轮1",C162="幽月轮2",C162="幽月轮3"),IF(RAND()&lt;模拟模式!$Y$18,1,0),IF(C162="烈日斩",IF(RAND()&lt;模拟模式!$Y$19,1,0),IF(C162="银月斩",IF(RAND()&lt;模拟模式!$Y$20,1,0),IF(C162="驱夜断愁",IF(RAND()&lt;模拟模式!$Y$21,1,0),IF(C162="净世破魔击·日",IF(RAND()&lt;模拟模式!$Y$22,1,0),IF(C162="净世破魔击·月",IF(RAND()&lt;模拟模式!$Y$23,1,0),0)))))))</f>
        <v>1</v>
      </c>
      <c r="AC162" s="115" t="b">
        <f t="shared" ca="1" si="122"/>
        <v>1</v>
      </c>
      <c r="AD162" s="115" t="b">
        <f t="shared" ca="1" si="142"/>
        <v>0</v>
      </c>
      <c r="AE162" s="115">
        <f t="shared" ca="1" si="143"/>
        <v>6</v>
      </c>
      <c r="AF162" s="47">
        <f ca="1">IF(AC162,('模拟-单技能数据'!$D$20+G162*'模拟-单技能数据'!$F$20)*(1+J162)*(1+'模拟-单技能数据'!$J$20)*(1+U162),0)</f>
        <v>4639.7456468263617</v>
      </c>
      <c r="AG162" s="61">
        <f t="shared" ca="1" si="135"/>
        <v>0.64185145527300214</v>
      </c>
      <c r="AH162" s="61">
        <f t="shared" ca="1" si="136"/>
        <v>2.2624828854998791</v>
      </c>
      <c r="AI162" s="62">
        <f t="shared" ca="1" si="158"/>
        <v>0.31824640151604056</v>
      </c>
      <c r="AJ162" s="47">
        <f ca="1">IF(AD162,IF(AI162&lt;$F$10,0,IF(AI162&lt;$F$10+$F$11,0.25,IF(AI162&lt;$F$10+$F$11+AG162,AH162,1)))*IF(AF162&gt;0,AF162,IF(AF161&gt;0,AF161,IF(AF160&gt;0,AF160,IF(AF159&gt;0,AF159,IF(AF158&gt;0,AF158,IF(AF157&gt;0,AF157,IF(AF156&gt;0,AF156,IF(AF155&gt;0,AF155,IF(AF154&gt;0,AF154,IF(AF152&gt;0,AF152,IF(AF151&gt;0,AF151,IF(AF150&gt;0,AF150,0)))))))))))),0)*(1-$S162)*'模拟-单技能数据'!$I$20</f>
        <v>0</v>
      </c>
      <c r="AK162" s="115" t="b">
        <f t="shared" ca="1" si="123"/>
        <v>0</v>
      </c>
      <c r="AL162" s="115" t="b">
        <f t="shared" ca="1" si="144"/>
        <v>0</v>
      </c>
      <c r="AM162" s="115">
        <f t="shared" ca="1" si="145"/>
        <v>5</v>
      </c>
      <c r="AN162" s="47">
        <f ca="1">IF(AK162,('模拟-单技能数据'!$D$21+G162*'模拟-单技能数据'!$F$21)*(1+J162)*(1+'模拟-单技能数据'!$J$21)*(1+U162),0)</f>
        <v>0</v>
      </c>
      <c r="AO162" s="61">
        <f ca="1">IF(AN162&gt;0,M162-'模拟-单技能数据'!$K$10,AO161)</f>
        <v>0.42185145527300216</v>
      </c>
      <c r="AP162" s="61">
        <f ca="1">IF(AN162&gt;0,I162-'模拟-单技能数据'!$L$10,AP161)</f>
        <v>2.162482885499879</v>
      </c>
      <c r="AQ162" s="63">
        <f t="shared" ca="1" si="159"/>
        <v>0.89571495150425895</v>
      </c>
      <c r="AR162" s="64">
        <f ca="1">IF(AL162,IF(AQ162&lt;$F$10,0,IF(AQ162&lt;$F$10+$F$11,0.25,IF(AQ162&lt;$F$10+$F$11+AO162,AP162,1)))*IF(AN162&gt;0,AN162,IF(AN161&gt;0,AN161,IF(AN160&gt;0,AN160,IF(AN159&gt;0,AN159,IF(AN158&gt;0,AN158,IF(AN157&gt;0,AN157,IF(AN156&gt;0,AN156,IF(AN155&gt;0,AN155,IF(AN154&gt;0,AN154,IF(AN152&gt;0,AN152,IF(AN151&gt;0,AN151,IF(AN150&gt;0,AN150,0)))))))))))),0)*(1-$S162)*'模拟-单技能数据'!$I$21</f>
        <v>0</v>
      </c>
      <c r="AS162" s="61">
        <f ca="1">IF(OR(C162="净世破魔击·日",C162="净世破魔击·月"),M162-'模拟-单技能数据'!$K$10,0)</f>
        <v>0</v>
      </c>
      <c r="AT162" s="61">
        <f ca="1">IF(OR(C162="净世破魔击·日",C162="净世破魔击·月"),I162-'模拟-单技能数据'!$L$10,0)</f>
        <v>0</v>
      </c>
      <c r="AU162" s="62">
        <f t="shared" ca="1" si="160"/>
        <v>0.24352121189706699</v>
      </c>
      <c r="AV162" s="64">
        <f ca="1">IF(AS162&gt;0,('模拟-单技能数据'!$D$22+G162*'模拟-单技能数据'!$F$22)*(1+J162)*(1-S162)*IF(AU162&lt;$F$10,0,IF(AU162&lt;$F$10+$F$11,0.25,IF(AU162&lt;$F$10+$F$11+AS162,AT162,1)))*(1+U162),0)*'模拟-单技能数据'!$I$22</f>
        <v>0</v>
      </c>
      <c r="AW162" s="108">
        <f t="shared" ca="1" si="161"/>
        <v>3.3950000000000062</v>
      </c>
      <c r="AX162" s="108" t="b">
        <f ca="1">AND(模拟模式!$P$10="有",AW161=0,RAND()&lt;IF(C162="净世破魔击·月",0.1*8/3,IF(C162="净世破魔击·日",0.1*4/3,0.1*2/3)))</f>
        <v>0</v>
      </c>
      <c r="AY162" s="47">
        <f ca="1">IF(AX162,(18+G162*0.722)*(1+J162)*(1-S162)*(1+$I$4)*IF(P162="会",'模拟-全程加成'!$J$3+'模拟-全程加成'!$J$4+'模拟-全程加成'!$J$5+('模拟-全程加成'!$I$4+'模拟-全程加成'!$I$5)/系数!$B$4+BG162*10%,IF(P162="命",1,IF(P162="识",0.25,0))),0)</f>
        <v>0</v>
      </c>
      <c r="AZ162" s="108">
        <f t="shared" si="162"/>
        <v>17.232500000000002</v>
      </c>
      <c r="BA162" s="108" t="b">
        <f>AND(模拟模式!$Q$10="有",AZ161=0)</f>
        <v>0</v>
      </c>
      <c r="BB162" s="140">
        <f>IF(BA162,(0+G162*0.287)*(1+J162)*(1-S162)*(1+$I$4)*IF(P162="会",'模拟-全程加成'!$J$3+'模拟-全程加成'!$J$4+'模拟-全程加成'!$J$5+('模拟-全程加成'!$I$4+'模拟-全程加成'!$I$5)/系数!$B$4+BG162*10%,IF(P162="命",1,IF(P162="识",0.25,0))),0)</f>
        <v>0</v>
      </c>
      <c r="BC162" s="115" t="b">
        <f ca="1">AND(模拟模式!$R$7="伏明众生",E162=60,F162=20,DA162&lt;5,CZ161&lt;$F$4)</f>
        <v>0</v>
      </c>
      <c r="BD162" s="115">
        <f t="shared" ca="1" si="124"/>
        <v>0</v>
      </c>
      <c r="BE162" s="115" t="b">
        <f t="shared" ca="1" si="125"/>
        <v>0</v>
      </c>
      <c r="BF162" s="47">
        <f ca="1">IF(BC162,4*('模拟-单技能数据'!$D$24+G162*'模拟-单技能数据'!$F$24)*(1+J162)*(1+'模拟-单技能数据'!$J$24)*(1-S162)*(1+$I$3)*(('模拟-全程加成'!$J$3+'模拟-全程加成'!$J$4+'模拟-全程加成'!$J$5+('模拟-全程加成'!$I$4+'模拟-全程加成'!$I$5)/系数!$B$4+BG162*10%)*('模拟-全程加成'!$J$3+'模拟-全程加成'!$J$4+'模拟-全程加成'!$J$5+('模拟-全程加成'!$I$4+'模拟-全程加成'!$I$5)/系数!$B$4+BG162*10%)+(1-('模拟-全程加成'!$J$3+'模拟-全程加成'!$J$4+'模拟-全程加成'!$J$5+('模拟-全程加成'!$I$4+'模拟-全程加成'!$I$5)/系数!$B$4+BG162*10%)-$F$10-$F$11)+F148*0.25),0)*'模拟-单技能数据'!$I$24</f>
        <v>0</v>
      </c>
      <c r="BG162" s="115" t="b">
        <f ca="1">OR(AND(OR(C162="烈日斩",C162="银月斩"),模拟模式!$I$7="净身明礼"),AND(C162="净世破魔击·日",模拟模式!$J$7="洞若观火"),AND(C163="净世破魔击·月",模拟模式!$J$7="洞若观火"),AB162=1)</f>
        <v>1</v>
      </c>
      <c r="BH162" s="115" t="b">
        <f t="shared" ca="1" si="163"/>
        <v>0</v>
      </c>
      <c r="BI162" s="115">
        <f t="shared" ca="1" si="126"/>
        <v>3.2324999999999995</v>
      </c>
      <c r="BJ162" s="115" t="b">
        <f t="shared" ca="1" si="137"/>
        <v>1</v>
      </c>
      <c r="BK162" s="115" t="b">
        <f ca="1">AND(C162="驱夜断愁",模拟模式!$P$7="天地诛戮")</f>
        <v>0</v>
      </c>
      <c r="BL162" s="57">
        <f t="shared" ca="1" si="127"/>
        <v>14.465000000000003</v>
      </c>
      <c r="BM162" s="115" t="b">
        <f t="shared" ca="1" si="138"/>
        <v>1</v>
      </c>
      <c r="BN162" s="115" t="b">
        <f ca="1">AND(OR(C162="赤日轮1",C162="赤日轮2",C162="赤日轮3",C162="幽月轮1",C162="幽月轮2",C162="幽月轮3"),AB162=1,模拟模式!$L$7="明光恒照")</f>
        <v>0</v>
      </c>
      <c r="BO162" s="117">
        <f t="shared" ca="1" si="128"/>
        <v>29.077500000000001</v>
      </c>
      <c r="BP162" s="115">
        <f t="shared" ca="1" si="164"/>
        <v>6</v>
      </c>
      <c r="BQ162" s="115" t="b">
        <f>模拟模式!$K$10="2600·水"</f>
        <v>0</v>
      </c>
      <c r="BR162" s="117">
        <f t="shared" si="165"/>
        <v>0</v>
      </c>
      <c r="BS162" s="115">
        <f t="shared" si="166"/>
        <v>0</v>
      </c>
      <c r="BT162" s="115">
        <f t="shared" ca="1" si="167"/>
        <v>0</v>
      </c>
      <c r="BU162" s="115" t="b">
        <f ca="1">AND(模拟模式!$K$10="2300·雷",BT161=0,RAND()&lt;IF(C162="净世破魔击·月",5*0.05*2/3,IF(C162="净世破魔击·日",3*0.05*2/3,0.05*2*2/3)))</f>
        <v>0</v>
      </c>
      <c r="BV162" s="115">
        <f t="shared" ca="1" si="168"/>
        <v>0</v>
      </c>
      <c r="BW162" s="115">
        <f t="shared" ca="1" si="169"/>
        <v>60.997499999999278</v>
      </c>
      <c r="BX162" s="164" t="b">
        <f t="shared" ca="1" si="170"/>
        <v>0</v>
      </c>
      <c r="BY162" s="115">
        <f t="shared" ca="1" si="171"/>
        <v>0</v>
      </c>
      <c r="BZ162" s="115">
        <f>IF(OR(模拟模式!$P$16="10人团",模拟模式!$P$16="25人团"),IF(B162/30&gt;CA161,1,0),0)</f>
        <v>0</v>
      </c>
      <c r="CA162" s="115">
        <f t="shared" si="147"/>
        <v>0</v>
      </c>
      <c r="CB162" s="115">
        <f ca="1">IF(BZ162=1,IF(模拟模式!$P$16="10人团",15,0)+IF(模拟模式!$P$16="25人团",IF(RAND()&lt;0.6,15,0)),MAX(0,CB161-$F$4))</f>
        <v>0</v>
      </c>
      <c r="CC162" s="115" t="b">
        <f t="shared" ca="1" si="139"/>
        <v>0</v>
      </c>
      <c r="CD162" s="115">
        <f>IF(模拟模式!$Q$16="1个",IF(B162/40&gt;CE161,1,0),0)</f>
        <v>0</v>
      </c>
      <c r="CE162" s="115">
        <f t="shared" si="140"/>
        <v>0</v>
      </c>
      <c r="CF162" s="115">
        <f>IF(OR(CD162=1,模拟模式!$Q$16="2个"),20,MAX(0,CF161-$F$4))</f>
        <v>0</v>
      </c>
      <c r="CG162" s="115" t="b">
        <f t="shared" si="141"/>
        <v>0</v>
      </c>
      <c r="CH162" s="115">
        <f t="shared" ca="1" si="172"/>
        <v>6.0150000000000121</v>
      </c>
      <c r="CI162" s="115" t="b">
        <f t="shared" ca="1" si="173"/>
        <v>0</v>
      </c>
      <c r="CJ162" s="119">
        <f t="shared" ca="1" si="174"/>
        <v>0</v>
      </c>
      <c r="CK162" s="115">
        <f t="shared" ca="1" si="175"/>
        <v>0</v>
      </c>
      <c r="CL162" s="115" t="b">
        <f ca="1">AND(模拟模式!$S$7="驱夷逐法",OR(AND(C162="净世破魔击·月",E161&gt;59),AND(C162="净世破魔击·日",F161&gt;59)))</f>
        <v>0</v>
      </c>
      <c r="CM162" s="115" t="b">
        <f ca="1">OR(CL162,AND(C162="净世破魔击·日",CL161,RAND()&lt;模拟模式!$U$23))</f>
        <v>0</v>
      </c>
      <c r="CN162" s="115" t="b">
        <f ca="1">IF(模拟模式!$M$7="辉耀红尘",AND(C162="净世破魔击·月",CL162,CV162=0,E161&lt;80),AND(C162="净世破魔击·月",CL162,E161&lt;100))</f>
        <v>0</v>
      </c>
      <c r="CO162" s="115" t="b">
        <f t="shared" ca="1" si="148"/>
        <v>0</v>
      </c>
      <c r="CP162" s="115" t="b">
        <f ca="1">AND(模拟模式!$O$7="用晦而明",OR(C162="净世破魔击·日",C162="净世破魔击·月",C162="驱夜断愁"),AB162)</f>
        <v>0</v>
      </c>
      <c r="CQ162" s="115" t="b">
        <f ca="1">OR(CP162,AND(CP161,RAND()&lt;模拟模式!$U$23))</f>
        <v>0</v>
      </c>
      <c r="CR162" s="115" t="b">
        <f ca="1">AND(模拟模式!$S$7="日月齐光",OR(C162="幽月轮1",C162="幽月轮2",C162="幽月轮3",CR161),NOT(OR(C162="赤日轮1",C162="赤日轮2",C162="赤日轮3")))</f>
        <v>0</v>
      </c>
      <c r="CS162" s="115" t="b">
        <f ca="1">AND(模拟模式!$S$7="日月齐光",OR(C162="赤日轮1",C162="赤日轮2",C162="赤日轮3",CS161),NOT(OR(C162="幽月轮1",C162="幽月轮2",C162="幽月轮3")))</f>
        <v>0</v>
      </c>
      <c r="CT162" s="115">
        <f t="shared" ca="1" si="176"/>
        <v>4.1700000000000115</v>
      </c>
      <c r="CU162" s="115" t="b">
        <f ca="1">AND(模拟模式!$K$10="阴阳往极",CT161=0,RAND()&lt;IF(C162="净世破魔击·月",0.0275*7/3,IF(C162="净世破魔击·日",0.0275*3/3,0.0275*2/3)))</f>
        <v>0</v>
      </c>
      <c r="CV162" s="115">
        <f t="shared" ca="1" si="177"/>
        <v>0</v>
      </c>
      <c r="CW162" s="115">
        <f t="shared" ca="1" si="149"/>
        <v>1.3874999999999997</v>
      </c>
      <c r="CX162" s="115">
        <f t="shared" ca="1" si="150"/>
        <v>6</v>
      </c>
      <c r="CY162" s="115">
        <f ca="1">MAX(IF($C162="驱夜断愁",IF(模拟模式!$R$7="万念俱寂",6,45),CY161-$F$4),0)</f>
        <v>0.46499999999999975</v>
      </c>
      <c r="CZ162" s="115">
        <f t="shared" ca="1" si="151"/>
        <v>0</v>
      </c>
      <c r="DA162" s="115">
        <f ca="1">IF(模拟模式!$N$7="日月同辉",IF(DB161=2,0,MIN(6,IF(AND(OR(C162="赤日轮1",C162="赤日轮2",C162="赤日轮3",C162="幽月轮1",C162="幽月轮2",C162="幽月轮3"),AB162=1),DA161+1,DA161))),0)</f>
        <v>0</v>
      </c>
      <c r="DB162" s="115">
        <f t="shared" ca="1" si="152"/>
        <v>2</v>
      </c>
      <c r="DC162" s="115"/>
      <c r="DD162" s="115"/>
      <c r="DE162" s="115"/>
      <c r="DF162" s="115"/>
      <c r="DG162" s="115"/>
      <c r="DH162" s="115"/>
      <c r="DI162" s="115"/>
      <c r="DJ162" s="115"/>
      <c r="DK162" s="115"/>
      <c r="DL162" s="115"/>
      <c r="DM162" s="115"/>
    </row>
    <row r="163" spans="2:117" x14ac:dyDescent="0.2">
      <c r="B163" s="117">
        <f t="shared" si="153"/>
        <v>125.45999999999994</v>
      </c>
      <c r="C163" s="167" t="str">
        <f t="shared" ca="1" si="146"/>
        <v>驱夜断愁</v>
      </c>
      <c r="D163" s="115">
        <f ca="1">IF(C163="赤日轮1",1,IF(C163="赤日轮2",2,IF(C163="赤日轮3",3,IF(C163="幽月轮1",4,IF(C163="幽月轮2",5,IF(C163="幽月轮3",6,IF(C163="烈日斩",7,IF(C163="银月斩",8,IF(C163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163="净世破魔击·月",17,IF(C163="驱夜断愁",18,0)))))))))))</f>
        <v>18</v>
      </c>
      <c r="E163" s="115">
        <f ca="1">IF(AND(CU163,OR(C163="幽月轮1",C163="幽月轮2",C163="幽月轮3",C163="银月斩",C163="驱夜断愁",C163="净世破魔击·月")),100,MIN(IF(OR(CN163,BE163),0,IF(OR($C163="赤日轮1",$C163="赤日轮2",$C163="赤日轮3"),E162+20+IF(模拟模式!$I$7="日月凌天",4,0)+IF(CR162,20,0),IF($C163="烈日斩",E162+40,IF($C163="驱夜断愁",IF(模拟模式!$R$7="万念俱寂",E162+20,E162+60),IF($C163="净世破魔击·月",IF(OR(DB162&gt;0,CV162&gt;0),100,IF(模拟模式!$M$7="辉耀红尘",E162+20,E162)),IF($C163="净世破魔击·日",E162-100,E162)))))),100))</f>
        <v>40</v>
      </c>
      <c r="F163" s="115">
        <f ca="1">IF(AND(CU163,OR(C163="赤日轮1",C163="赤日轮2",C163="赤日轮3",C163="烈日斩",C163="净世破魔击·日")),100,MIN(IF(CO163,0,IF(OR($C163="幽月轮1",$C163="幽月轮2",$C163="幽月轮3"),F162+20+IF(模拟模式!$I$7="日月凌天",4,0)+IF(CS162,20,0),IF($C163="银月斩",F162+40+IF(模拟模式!$X$12=1,5,0),IF($C163="驱夜断愁",IF(模拟模式!$R$7="万念俱寂",F162+20,F162+60),IF($C163="净世破魔击·月",IF(模拟模式!$M$7="辉耀红尘",F162-80,F162-100),IF(AND(C163="净世破魔击·日",OR(DB162&gt;0,CV162&gt;0)),100,F162)))))),100))</f>
        <v>85</v>
      </c>
      <c r="G163" s="117">
        <f ca="1">('模拟-全程加成'!$E$3+'模拟-全程加成'!$E$4+'模拟-全程加成'!$E$5+('模拟-全程加成'!$C$6-'模拟-全程加成'!$C$3)*系数!$B$9+BS163*23)*(1+'模拟-全程加成'!$F$4+'模拟-全程加成'!$F$5+BJ163*10%+BM163*20%+BP163*4%+CG163*30%)+$F$7*系数!$B$12</f>
        <v>21493.829400000002</v>
      </c>
      <c r="H163" s="45">
        <f ca="1">'模拟-全程加成'!$H$3+'模拟-全程加成'!$H$4+'模拟-全程加成'!$H$5+('模拟-全程加成'!$G$4+'模拟-全程加成'!$G$5+('模拟-全程加成'!$C$6-'模拟-全程加成'!$C$3)*系数!$B$13)/系数!$B$3+LOOKUP(D163,'模拟-单技能数据'!$A$2:$A$19,'模拟-单技能数据'!$K$2:$K$19)+BG163*10%+IF(BV163&gt;0,378,0)</f>
        <v>0.51185145527300213</v>
      </c>
      <c r="I163" s="45">
        <f ca="1">'模拟-全程加成'!$J$3+'模拟-全程加成'!$J$4+'模拟-全程加成'!$J$5+('模拟-全程加成'!$I$4+'模拟-全程加成'!$I$5)/系数!$B$4+LOOKUP(D163,'模拟-单技能数据'!$A$2:$A$19,'模拟-单技能数据'!$L$2:$L$19)+BG163*10%</f>
        <v>2.162482885499879</v>
      </c>
      <c r="J163" s="45">
        <f ca="1">(('模拟-全程加成'!$K$3+'模拟-全程加成'!$K$4+'模拟-全程加成'!$K$5+('模拟-全程加成'!$C$6-'模拟-全程加成'!$C$3)*系数!$B$10+IF(BV163&gt;0,882,0)+IF(BY163&gt;0,1831,0))*(1+'模拟-全程加成'!$L$4+'模拟-全程加成'!$L$5+CC163*20%))/系数!$B$5</f>
        <v>0.69723220422048726</v>
      </c>
      <c r="K163" s="119">
        <f ca="1">LOOKUP(D163,'模拟-单技能数据'!$A$2:$A$19,'模拟-单技能数据'!$J$2:$J$19)+IF(CM163,60%,0)+IF(DB162-DB163&gt;0,30%,0)+IF(OR(AND(OR(C163="赤日轮1",C163="赤日轮2",C163="赤日轮3"),CR163),AND(OR(C163="幽月轮1",C163="幽月轮2",C163="幽月轮3"),CS163)),35%,0)+CJ163</f>
        <v>0.14000000000000001</v>
      </c>
      <c r="L163" s="119">
        <f ca="1">IF(AND(C163="烈日斩",模拟模式!$X$11=1),10%,0)+IF(AND(C163="驱夜断愁",AB163=1),30%,0)</f>
        <v>0.3</v>
      </c>
      <c r="M163" s="45">
        <f t="shared" ca="1" si="129"/>
        <v>0.51185145527300213</v>
      </c>
      <c r="N163" s="45">
        <f t="shared" ca="1" si="130"/>
        <v>0.43424854472699792</v>
      </c>
      <c r="O163" s="46">
        <f t="shared" ca="1" si="154"/>
        <v>0.68540420570417948</v>
      </c>
      <c r="P163" s="46" t="str">
        <f t="shared" ca="1" si="155"/>
        <v>命</v>
      </c>
      <c r="Q163" s="45">
        <f t="shared" ca="1" si="156"/>
        <v>1</v>
      </c>
      <c r="R163" s="117">
        <f ca="1">模拟模式!$E$20*(1-IF(模拟模式!$J$19="有",0.15,0))*(1-IF(模拟模式!$K$19="有",0.3,0)-IF(CQ163,0.5,0))</f>
        <v>843.02999999999975</v>
      </c>
      <c r="S163" s="45">
        <f ca="1">R163/(R163+(185*模拟模式!$E$22-16800)*4.08224)</f>
        <v>8.389626085980037E-2</v>
      </c>
      <c r="T163" s="45" t="str">
        <f ca="1">LOOKUP(D163,'模拟-单技能数据'!$A$2:$A$19,'模拟-单技能数据'!$H$2:$H$19)</f>
        <v>阴</v>
      </c>
      <c r="U163" s="119">
        <f t="shared" ca="1" si="131"/>
        <v>0.08</v>
      </c>
      <c r="V163" s="47">
        <f ca="1">(1+L163)*(LOOKUP(D163,'模拟-单技能数据'!$A$2:$A$19,'模拟-单技能数据'!$D$2:$D$19)+G163*LOOKUP(D163,'模拟-单技能数据'!$A$2:$A$19,'模拟-单技能数据'!$F$2:$F$19))*(1+J163)*(1+K163)*(1-S163)*(1+U163)*Q163*LOOKUP(D163,'模拟-单技能数据'!$A$2:$A$19,'模拟-单技能数据'!$I$2:$I$20)</f>
        <v>61540.073489592025</v>
      </c>
      <c r="W163" s="47">
        <f ca="1">LOOKUP(D163,'模拟-单技能数据'!$A$2:$A$19,'模拟-单技能数据'!$G$2:$G$19)*$I$10</f>
        <v>723.0212870940959</v>
      </c>
      <c r="X163" s="47">
        <f t="shared" ca="1" si="157"/>
        <v>15858.380188173272</v>
      </c>
      <c r="Y163" s="47">
        <f t="shared" ca="1" si="132"/>
        <v>78121.474964859401</v>
      </c>
      <c r="Z163" s="49">
        <f t="shared" ca="1" si="133"/>
        <v>14173403.113408502</v>
      </c>
      <c r="AA163" s="97">
        <f t="shared" ca="1" si="134"/>
        <v>112971.48982471314</v>
      </c>
      <c r="AB163" s="115">
        <f ca="1">IF(OR(C163="赤日轮1",C163="赤日轮2",C163="赤日轮3"),IF(RAND()&lt;模拟模式!$Y$17,1,0),IF(OR(C163="幽月轮1",C163="幽月轮2",C163="幽月轮3"),IF(RAND()&lt;模拟模式!$Y$18,1,0),IF(C163="烈日斩",IF(RAND()&lt;模拟模式!$Y$19,1,0),IF(C163="银月斩",IF(RAND()&lt;模拟模式!$Y$20,1,0),IF(C163="驱夜断愁",IF(RAND()&lt;模拟模式!$Y$21,1,0),IF(C163="净世破魔击·日",IF(RAND()&lt;模拟模式!$Y$22,1,0),IF(C163="净世破魔击·月",IF(RAND()&lt;模拟模式!$Y$23,1,0),0)))))))</f>
        <v>1</v>
      </c>
      <c r="AC163" s="115" t="b">
        <f t="shared" ca="1" si="122"/>
        <v>0</v>
      </c>
      <c r="AD163" s="115" t="b">
        <f t="shared" ca="1" si="142"/>
        <v>1</v>
      </c>
      <c r="AE163" s="115">
        <f t="shared" ca="1" si="143"/>
        <v>5</v>
      </c>
      <c r="AF163" s="47">
        <f ca="1">IF(AC163,('模拟-单技能数据'!$D$20+G163*'模拟-单技能数据'!$F$20)*(1+J163)*(1+'模拟-单技能数据'!$J$20)*(1+U163),0)</f>
        <v>0</v>
      </c>
      <c r="AG163" s="61">
        <f t="shared" ca="1" si="135"/>
        <v>0.64185145527300214</v>
      </c>
      <c r="AH163" s="61">
        <f t="shared" ca="1" si="136"/>
        <v>2.2624828854998791</v>
      </c>
      <c r="AI163" s="62">
        <f t="shared" ca="1" si="158"/>
        <v>0.73716175812294393</v>
      </c>
      <c r="AJ163" s="47">
        <f ca="1">IF(AD163,IF(AI163&lt;$F$10,0,IF(AI163&lt;$F$10+$F$11,0.25,IF(AI163&lt;$F$10+$F$11+AG163,AH163,1)))*IF(AF163&gt;0,AF163,IF(AF162&gt;0,AF162,IF(AF161&gt;0,AF161,IF(AF160&gt;0,AF160,IF(AF159&gt;0,AF159,IF(AF158&gt;0,AF158,IF(AF157&gt;0,AF157,IF(AF156&gt;0,AF156,IF(AF155&gt;0,AF155,IF(AF153&gt;0,AF153,IF(AF152&gt;0,AF152,IF(AF151&gt;0,AF151,0)))))))))))),0)*(1-$S163)*'模拟-单技能数据'!$I$20</f>
        <v>4250.4883357170938</v>
      </c>
      <c r="AK163" s="115" t="b">
        <f t="shared" ca="1" si="123"/>
        <v>0</v>
      </c>
      <c r="AL163" s="115" t="b">
        <f t="shared" ca="1" si="144"/>
        <v>1</v>
      </c>
      <c r="AM163" s="115">
        <f t="shared" ca="1" si="145"/>
        <v>4</v>
      </c>
      <c r="AN163" s="47">
        <f ca="1">IF(AK163,('模拟-单技能数据'!$D$21+G163*'模拟-单技能数据'!$F$21)*(1+J163)*(1+'模拟-单技能数据'!$J$21)*(1+U163),0)</f>
        <v>0</v>
      </c>
      <c r="AO163" s="61">
        <f ca="1">IF(AN163&gt;0,M163-'模拟-单技能数据'!$K$10,AO162)</f>
        <v>0.42185145527300216</v>
      </c>
      <c r="AP163" s="61">
        <f ca="1">IF(AN163&gt;0,I163-'模拟-单技能数据'!$L$10,AP162)</f>
        <v>2.162482885499879</v>
      </c>
      <c r="AQ163" s="63">
        <f t="shared" ca="1" si="159"/>
        <v>0.68342941501818411</v>
      </c>
      <c r="AR163" s="64">
        <f ca="1">IF(AL163,IF(AQ163&lt;$F$10,0,IF(AQ163&lt;$F$10+$F$11,0.25,IF(AQ163&lt;$F$10+$F$11+AO163,AP163,1)))*IF(AN163&gt;0,AN163,IF(AN162&gt;0,AN162,IF(AN161&gt;0,AN161,IF(AN160&gt;0,AN160,IF(AN159&gt;0,AN159,IF(AN158&gt;0,AN158,IF(AN157&gt;0,AN157,IF(AN156&gt;0,AN156,IF(AN155&gt;0,AN155,IF(AN153&gt;0,AN153,IF(AN152&gt;0,AN152,IF(AN151&gt;0,AN151,0)))))))))))),0)*(1-$S163)*'模拟-单技能数据'!$I$21</f>
        <v>11607.89185245618</v>
      </c>
      <c r="AS163" s="61">
        <f ca="1">IF(OR(C163="净世破魔击·日",C163="净世破魔击·月"),M163-'模拟-单技能数据'!$K$10,0)</f>
        <v>0</v>
      </c>
      <c r="AT163" s="61">
        <f ca="1">IF(OR(C163="净世破魔击·日",C163="净世破魔击·月"),I163-'模拟-单技能数据'!$L$10,0)</f>
        <v>0</v>
      </c>
      <c r="AU163" s="62">
        <f t="shared" ca="1" si="160"/>
        <v>0.5866031003469403</v>
      </c>
      <c r="AV163" s="64">
        <f ca="1">IF(AS163&gt;0,('模拟-单技能数据'!$D$22+G163*'模拟-单技能数据'!$F$22)*(1+J163)*(1-S163)*IF(AU163&lt;$F$10,0,IF(AU163&lt;$F$10+$F$11,0.25,IF(AU163&lt;$F$10+$F$11+AS163,AT163,1)))*(1+U163),0)*'模拟-单技能数据'!$I$22</f>
        <v>0</v>
      </c>
      <c r="AW163" s="108">
        <f t="shared" ca="1" si="161"/>
        <v>2.4725000000000064</v>
      </c>
      <c r="AX163" s="108" t="b">
        <f ca="1">AND(模拟模式!$P$10="有",AW162=0,RAND()&lt;IF(C163="净世破魔击·月",0.1*8/3,IF(C163="净世破魔击·日",0.1*4/3,0.1*2/3)))</f>
        <v>0</v>
      </c>
      <c r="AY163" s="47">
        <f ca="1">IF(AX163,(18+G163*0.722)*(1+J163)*(1-S163)*(1+$I$4)*IF(P163="会",'模拟-全程加成'!$J$3+'模拟-全程加成'!$J$4+'模拟-全程加成'!$J$5+('模拟-全程加成'!$I$4+'模拟-全程加成'!$I$5)/系数!$B$4+BG163*10%,IF(P163="命",1,IF(P163="识",0.25,0))),0)</f>
        <v>0</v>
      </c>
      <c r="AZ163" s="108">
        <f t="shared" si="162"/>
        <v>16.310000000000002</v>
      </c>
      <c r="BA163" s="108" t="b">
        <f>AND(模拟模式!$Q$10="有",AZ162=0)</f>
        <v>0</v>
      </c>
      <c r="BB163" s="140">
        <f>IF(BA163,(0+G163*0.287)*(1+J163)*(1-S163)*(1+$I$4)*IF(P163="会",'模拟-全程加成'!$J$3+'模拟-全程加成'!$J$4+'模拟-全程加成'!$J$5+('模拟-全程加成'!$I$4+'模拟-全程加成'!$I$5)/系数!$B$4+BG163*10%,IF(P163="命",1,IF(P163="识",0.25,0))),0)</f>
        <v>0</v>
      </c>
      <c r="BC163" s="115" t="b">
        <f ca="1">AND(模拟模式!$R$7="伏明众生",E163=60,F163=20,DA163&lt;5,CZ162&lt;$F$4)</f>
        <v>0</v>
      </c>
      <c r="BD163" s="115">
        <f t="shared" ca="1" si="124"/>
        <v>0</v>
      </c>
      <c r="BE163" s="115" t="b">
        <f t="shared" ca="1" si="125"/>
        <v>0</v>
      </c>
      <c r="BF163" s="47">
        <f ca="1">IF(BC163,4*('模拟-单技能数据'!$D$24+G163*'模拟-单技能数据'!$F$24)*(1+J163)*(1+'模拟-单技能数据'!$J$24)*(1-S163)*(1+$I$3)*(('模拟-全程加成'!$J$3+'模拟-全程加成'!$J$4+'模拟-全程加成'!$J$5+('模拟-全程加成'!$I$4+'模拟-全程加成'!$I$5)/系数!$B$4+BG163*10%)*('模拟-全程加成'!$J$3+'模拟-全程加成'!$J$4+'模拟-全程加成'!$J$5+('模拟-全程加成'!$I$4+'模拟-全程加成'!$I$5)/系数!$B$4+BG163*10%)+(1-('模拟-全程加成'!$J$3+'模拟-全程加成'!$J$4+'模拟-全程加成'!$J$5+('模拟-全程加成'!$I$4+'模拟-全程加成'!$I$5)/系数!$B$4+BG163*10%)-$F$10-$F$11)+F149*0.25),0)*'模拟-单技能数据'!$I$24</f>
        <v>0</v>
      </c>
      <c r="BG163" s="115" t="b">
        <f ca="1">OR(AND(OR(C163="烈日斩",C163="银月斩"),模拟模式!$I$7="净身明礼"),AND(C163="净世破魔击·日",模拟模式!$J$7="洞若观火"),AND(C164="净世破魔击·月",模拟模式!$J$7="洞若观火"),AB163=1)</f>
        <v>1</v>
      </c>
      <c r="BH163" s="115" t="b">
        <f t="shared" ca="1" si="163"/>
        <v>0</v>
      </c>
      <c r="BI163" s="115">
        <f t="shared" ca="1" si="126"/>
        <v>2.3099999999999996</v>
      </c>
      <c r="BJ163" s="115" t="b">
        <f t="shared" ca="1" si="137"/>
        <v>1</v>
      </c>
      <c r="BK163" s="115" t="b">
        <f ca="1">AND(C163="驱夜断愁",模拟模式!$P$7="天地诛戮")</f>
        <v>1</v>
      </c>
      <c r="BL163" s="57">
        <f t="shared" ca="1" si="127"/>
        <v>20</v>
      </c>
      <c r="BM163" s="115" t="b">
        <f t="shared" ca="1" si="138"/>
        <v>1</v>
      </c>
      <c r="BN163" s="115" t="b">
        <f ca="1">AND(OR(C163="赤日轮1",C163="赤日轮2",C163="赤日轮3",C163="幽月轮1",C163="幽月轮2",C163="幽月轮3"),AB163=1,模拟模式!$L$7="明光恒照")</f>
        <v>0</v>
      </c>
      <c r="BO163" s="117">
        <f t="shared" ca="1" si="128"/>
        <v>28.155000000000001</v>
      </c>
      <c r="BP163" s="115">
        <f t="shared" ca="1" si="164"/>
        <v>6</v>
      </c>
      <c r="BQ163" s="115" t="b">
        <f>模拟模式!$K$10="2600·水"</f>
        <v>0</v>
      </c>
      <c r="BR163" s="117">
        <f t="shared" si="165"/>
        <v>0</v>
      </c>
      <c r="BS163" s="115">
        <f t="shared" si="166"/>
        <v>0</v>
      </c>
      <c r="BT163" s="115">
        <f t="shared" ca="1" si="167"/>
        <v>0</v>
      </c>
      <c r="BU163" s="115" t="b">
        <f ca="1">AND(模拟模式!$K$10="2300·雷",BT162=0,RAND()&lt;IF(C163="净世破魔击·月",5*0.05*2/3,IF(C163="净世破魔击·日",3*0.05*2/3,0.05*2*2/3)))</f>
        <v>0</v>
      </c>
      <c r="BV163" s="115">
        <f t="shared" ca="1" si="168"/>
        <v>0</v>
      </c>
      <c r="BW163" s="115">
        <f t="shared" ca="1" si="169"/>
        <v>60.074999999999278</v>
      </c>
      <c r="BX163" s="164" t="b">
        <f t="shared" ca="1" si="170"/>
        <v>0</v>
      </c>
      <c r="BY163" s="115">
        <f t="shared" ca="1" si="171"/>
        <v>0</v>
      </c>
      <c r="BZ163" s="115">
        <f>IF(OR(模拟模式!$P$16="10人团",模拟模式!$P$16="25人团"),IF(B163/30&gt;CA162,1,0),0)</f>
        <v>0</v>
      </c>
      <c r="CA163" s="115">
        <f t="shared" si="147"/>
        <v>0</v>
      </c>
      <c r="CB163" s="115">
        <f ca="1">IF(BZ163=1,IF(模拟模式!$P$16="10人团",15,0)+IF(模拟模式!$P$16="25人团",IF(RAND()&lt;0.6,15,0)),MAX(0,CB162-$F$4))</f>
        <v>0</v>
      </c>
      <c r="CC163" s="115" t="b">
        <f t="shared" ca="1" si="139"/>
        <v>0</v>
      </c>
      <c r="CD163" s="115">
        <f>IF(模拟模式!$Q$16="1个",IF(B163/40&gt;CE162,1,0),0)</f>
        <v>0</v>
      </c>
      <c r="CE163" s="115">
        <f t="shared" si="140"/>
        <v>0</v>
      </c>
      <c r="CF163" s="115">
        <f>IF(OR(CD163=1,模拟模式!$Q$16="2个"),20,MAX(0,CF162-$F$4))</f>
        <v>0</v>
      </c>
      <c r="CG163" s="115" t="b">
        <f t="shared" si="141"/>
        <v>0</v>
      </c>
      <c r="CH163" s="115">
        <f t="shared" ca="1" si="172"/>
        <v>5.0925000000000118</v>
      </c>
      <c r="CI163" s="115" t="b">
        <f t="shared" ca="1" si="173"/>
        <v>0</v>
      </c>
      <c r="CJ163" s="119">
        <f t="shared" ca="1" si="174"/>
        <v>0</v>
      </c>
      <c r="CK163" s="115">
        <f t="shared" ca="1" si="175"/>
        <v>0</v>
      </c>
      <c r="CL163" s="115" t="b">
        <f ca="1">AND(模拟模式!$S$7="驱夷逐法",OR(AND(C163="净世破魔击·月",E162&gt;59),AND(C163="净世破魔击·日",F162&gt;59)))</f>
        <v>0</v>
      </c>
      <c r="CM163" s="115" t="b">
        <f ca="1">OR(CL163,AND(C163="净世破魔击·日",CL162,RAND()&lt;模拟模式!$U$23))</f>
        <v>0</v>
      </c>
      <c r="CN163" s="115" t="b">
        <f ca="1">IF(模拟模式!$M$7="辉耀红尘",AND(C163="净世破魔击·月",CL163,CV163=0,E162&lt;80),AND(C163="净世破魔击·月",CL163,E162&lt;100))</f>
        <v>0</v>
      </c>
      <c r="CO163" s="115" t="b">
        <f t="shared" ca="1" si="148"/>
        <v>0</v>
      </c>
      <c r="CP163" s="115" t="b">
        <f ca="1">AND(模拟模式!$O$7="用晦而明",OR(C163="净世破魔击·日",C163="净世破魔击·月",C163="驱夜断愁"),AB163)</f>
        <v>1</v>
      </c>
      <c r="CQ163" s="115" t="b">
        <f ca="1">OR(CP163,AND(CP162,RAND()&lt;模拟模式!$U$23))</f>
        <v>1</v>
      </c>
      <c r="CR163" s="115" t="b">
        <f ca="1">AND(模拟模式!$S$7="日月齐光",OR(C163="幽月轮1",C163="幽月轮2",C163="幽月轮3",CR162),NOT(OR(C163="赤日轮1",C163="赤日轮2",C163="赤日轮3")))</f>
        <v>0</v>
      </c>
      <c r="CS163" s="115" t="b">
        <f ca="1">AND(模拟模式!$S$7="日月齐光",OR(C163="赤日轮1",C163="赤日轮2",C163="赤日轮3",CS162),NOT(OR(C163="幽月轮1",C163="幽月轮2",C163="幽月轮3")))</f>
        <v>0</v>
      </c>
      <c r="CT163" s="115">
        <f t="shared" ca="1" si="176"/>
        <v>3.2475000000000116</v>
      </c>
      <c r="CU163" s="115" t="b">
        <f ca="1">AND(模拟模式!$K$10="阴阳往极",CT162=0,RAND()&lt;IF(C163="净世破魔击·月",0.0275*7/3,IF(C163="净世破魔击·日",0.0275*3/3,0.0275*2/3)))</f>
        <v>0</v>
      </c>
      <c r="CV163" s="115">
        <f t="shared" ca="1" si="177"/>
        <v>0</v>
      </c>
      <c r="CW163" s="115">
        <f t="shared" ca="1" si="149"/>
        <v>0.46499999999999975</v>
      </c>
      <c r="CX163" s="115">
        <f t="shared" ca="1" si="150"/>
        <v>5.0774999999999997</v>
      </c>
      <c r="CY163" s="115">
        <f ca="1">MAX(IF($C163="驱夜断愁",IF(模拟模式!$R$7="万念俱寂",6,45),CY162-$F$4),0)</f>
        <v>6</v>
      </c>
      <c r="CZ163" s="115">
        <f t="shared" ca="1" si="151"/>
        <v>0</v>
      </c>
      <c r="DA163" s="115">
        <f ca="1">IF(模拟模式!$N$7="日月同辉",IF(DB162=2,0,MIN(6,IF(AND(OR(C163="赤日轮1",C163="赤日轮2",C163="赤日轮3",C163="幽月轮1",C163="幽月轮2",C163="幽月轮3"),AB163=1),DA162+1,DA162))),0)</f>
        <v>0</v>
      </c>
      <c r="DB163" s="115">
        <f t="shared" ca="1" si="152"/>
        <v>2</v>
      </c>
      <c r="DC163" s="115"/>
      <c r="DD163" s="115"/>
      <c r="DE163" s="115"/>
      <c r="DF163" s="115"/>
      <c r="DG163" s="115"/>
      <c r="DH163" s="115"/>
      <c r="DI163" s="115"/>
      <c r="DJ163" s="115"/>
      <c r="DK163" s="115"/>
      <c r="DL163" s="115"/>
      <c r="DM163" s="115"/>
    </row>
    <row r="164" spans="2:117" x14ac:dyDescent="0.2">
      <c r="B164" s="117">
        <f t="shared" si="153"/>
        <v>126.38249999999994</v>
      </c>
      <c r="C164" s="167" t="str">
        <f t="shared" ca="1" si="146"/>
        <v>烈日斩</v>
      </c>
      <c r="D164" s="115">
        <f ca="1">IF(C164="赤日轮1",1,IF(C164="赤日轮2",2,IF(C164="赤日轮3",3,IF(C164="幽月轮1",4,IF(C164="幽月轮2",5,IF(C164="幽月轮3",6,IF(C164="烈日斩",7,IF(C164="银月斩",8,IF(C164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164="净世破魔击·月",17,IF(C164="驱夜断愁",18,0)))))))))))</f>
        <v>7</v>
      </c>
      <c r="E164" s="115">
        <f ca="1">IF(AND(CU164,OR(C164="幽月轮1",C164="幽月轮2",C164="幽月轮3",C164="银月斩",C164="驱夜断愁",C164="净世破魔击·月")),100,MIN(IF(OR(CN164,BE164),0,IF(OR($C164="赤日轮1",$C164="赤日轮2",$C164="赤日轮3"),E163+20+IF(模拟模式!$I$7="日月凌天",4,0)+IF(CR163,20,0),IF($C164="烈日斩",E163+40,IF($C164="驱夜断愁",IF(模拟模式!$R$7="万念俱寂",E163+20,E163+60),IF($C164="净世破魔击·月",IF(OR(DB163&gt;0,CV163&gt;0),100,IF(模拟模式!$M$7="辉耀红尘",E163+20,E163)),IF($C164="净世破魔击·日",E163-100,E163)))))),100))</f>
        <v>80</v>
      </c>
      <c r="F164" s="115">
        <f ca="1">IF(AND(CU164,OR(C164="赤日轮1",C164="赤日轮2",C164="赤日轮3",C164="烈日斩",C164="净世破魔击·日")),100,MIN(IF(CO164,0,IF(OR($C164="幽月轮1",$C164="幽月轮2",$C164="幽月轮3"),F163+20+IF(模拟模式!$I$7="日月凌天",4,0)+IF(CS163,20,0),IF($C164="银月斩",F163+40+IF(模拟模式!$X$12=1,5,0),IF($C164="驱夜断愁",IF(模拟模式!$R$7="万念俱寂",F163+20,F163+60),IF($C164="净世破魔击·月",IF(模拟模式!$M$7="辉耀红尘",F163-80,F163-100),IF(AND(C164="净世破魔击·日",OR(DB163&gt;0,CV163&gt;0)),100,F163)))))),100))</f>
        <v>85</v>
      </c>
      <c r="G164" s="117">
        <f ca="1">('模拟-全程加成'!$E$3+'模拟-全程加成'!$E$4+'模拟-全程加成'!$E$5+('模拟-全程加成'!$C$6-'模拟-全程加成'!$C$3)*系数!$B$9+BS164*23)*(1+'模拟-全程加成'!$F$4+'模拟-全程加成'!$F$5+BJ164*10%+BM164*20%+BP164*4%+CG164*30%)+$F$7*系数!$B$12</f>
        <v>21493.829400000002</v>
      </c>
      <c r="H164" s="45">
        <f ca="1">'模拟-全程加成'!$H$3+'模拟-全程加成'!$H$4+'模拟-全程加成'!$H$5+('模拟-全程加成'!$G$4+'模拟-全程加成'!$G$5+('模拟-全程加成'!$C$6-'模拟-全程加成'!$C$3)*系数!$B$13)/系数!$B$3+LOOKUP(D164,'模拟-单技能数据'!$A$2:$A$19,'模拟-单技能数据'!$K$2:$K$19)+BG164*10%+IF(BV164&gt;0,378,0)</f>
        <v>0.56185145527300218</v>
      </c>
      <c r="I164" s="45">
        <f ca="1">'模拟-全程加成'!$J$3+'模拟-全程加成'!$J$4+'模拟-全程加成'!$J$5+('模拟-全程加成'!$I$4+'模拟-全程加成'!$I$5)/系数!$B$4+LOOKUP(D164,'模拟-单技能数据'!$A$2:$A$19,'模拟-单技能数据'!$L$2:$L$19)+BG164*10%</f>
        <v>2.2624828854998791</v>
      </c>
      <c r="J164" s="45">
        <f ca="1">(('模拟-全程加成'!$K$3+'模拟-全程加成'!$K$4+'模拟-全程加成'!$K$5+('模拟-全程加成'!$C$6-'模拟-全程加成'!$C$3)*系数!$B$10+IF(BV164&gt;0,882,0)+IF(BY164&gt;0,1831,0))*(1+'模拟-全程加成'!$L$4+'模拟-全程加成'!$L$5+CC164*20%))/系数!$B$5</f>
        <v>0.69723220422048726</v>
      </c>
      <c r="K164" s="119">
        <f ca="1">LOOKUP(D164,'模拟-单技能数据'!$A$2:$A$19,'模拟-单技能数据'!$J$2:$J$19)+IF(CM164,60%,0)+IF(DB163-DB164&gt;0,30%,0)+IF(OR(AND(OR(C164="赤日轮1",C164="赤日轮2",C164="赤日轮3"),CR164),AND(OR(C164="幽月轮1",C164="幽月轮2",C164="幽月轮3"),CS164)),35%,0)+CJ164</f>
        <v>0.24</v>
      </c>
      <c r="L164" s="119">
        <f ca="1">IF(AND(C164="烈日斩",模拟模式!$X$11=1),10%,0)+IF(AND(C164="驱夜断愁",AB164=1),30%,0)</f>
        <v>0.1</v>
      </c>
      <c r="M164" s="45">
        <f t="shared" ca="1" si="129"/>
        <v>0.56185145527300218</v>
      </c>
      <c r="N164" s="45">
        <f t="shared" ca="1" si="130"/>
        <v>0.38424854472699788</v>
      </c>
      <c r="O164" s="46">
        <f t="shared" ca="1" si="154"/>
        <v>0.73869681419160216</v>
      </c>
      <c r="P164" s="46" t="str">
        <f t="shared" ca="1" si="155"/>
        <v>命</v>
      </c>
      <c r="Q164" s="45">
        <f t="shared" ca="1" si="156"/>
        <v>1</v>
      </c>
      <c r="R164" s="117">
        <f ca="1">模拟模式!$E$20*(1-IF(模拟模式!$J$19="有",0.15,0))*(1-IF(模拟模式!$K$19="有",0.3,0)-IF(CQ164,0.5,0))</f>
        <v>843.02999999999975</v>
      </c>
      <c r="S164" s="45">
        <f ca="1">R164/(R164+(185*模拟模式!$E$22-16800)*4.08224)</f>
        <v>8.389626085980037E-2</v>
      </c>
      <c r="T164" s="45" t="str">
        <f ca="1">LOOKUP(D164,'模拟-单技能数据'!$A$2:$A$19,'模拟-单技能数据'!$H$2:$H$19)</f>
        <v>阳</v>
      </c>
      <c r="U164" s="119">
        <f t="shared" ca="1" si="131"/>
        <v>0.2</v>
      </c>
      <c r="V164" s="47">
        <f ca="1">(1+L164)*(LOOKUP(D164,'模拟-单技能数据'!$A$2:$A$19,'模拟-单技能数据'!$D$2:$D$19)+G164*LOOKUP(D164,'模拟-单技能数据'!$A$2:$A$19,'模拟-单技能数据'!$F$2:$F$19))*(1+J164)*(1+K164)*(1-S164)*(1+U164)*Q164*LOOKUP(D164,'模拟-单技能数据'!$A$2:$A$19,'模拟-单技能数据'!$I$2:$I$20)</f>
        <v>48841.631854871324</v>
      </c>
      <c r="W164" s="47">
        <f ca="1">LOOKUP(D164,'模拟-单技能数据'!$A$2:$A$19,'模拟-单技能数据'!$G$2:$G$19)*$I$10</f>
        <v>361.51064354704795</v>
      </c>
      <c r="X164" s="47">
        <f t="shared" ca="1" si="157"/>
        <v>0</v>
      </c>
      <c r="Y164" s="47">
        <f t="shared" ca="1" si="132"/>
        <v>49203.142498418369</v>
      </c>
      <c r="Z164" s="49">
        <f t="shared" ca="1" si="133"/>
        <v>14222606.255906921</v>
      </c>
      <c r="AA164" s="97">
        <f t="shared" ca="1" si="134"/>
        <v>112536.19967880781</v>
      </c>
      <c r="AB164" s="115">
        <f ca="1">IF(OR(C164="赤日轮1",C164="赤日轮2",C164="赤日轮3"),IF(RAND()&lt;模拟模式!$Y$17,1,0),IF(OR(C164="幽月轮1",C164="幽月轮2",C164="幽月轮3"),IF(RAND()&lt;模拟模式!$Y$18,1,0),IF(C164="烈日斩",IF(RAND()&lt;模拟模式!$Y$19,1,0),IF(C164="银月斩",IF(RAND()&lt;模拟模式!$Y$20,1,0),IF(C164="驱夜断愁",IF(RAND()&lt;模拟模式!$Y$21,1,0),IF(C164="净世破魔击·日",IF(RAND()&lt;模拟模式!$Y$22,1,0),IF(C164="净世破魔击·月",IF(RAND()&lt;模拟模式!$Y$23,1,0),0)))))))</f>
        <v>1</v>
      </c>
      <c r="AC164" s="115" t="b">
        <f t="shared" ca="1" si="122"/>
        <v>0</v>
      </c>
      <c r="AD164" s="115" t="b">
        <f t="shared" ca="1" si="142"/>
        <v>0</v>
      </c>
      <c r="AE164" s="115">
        <f t="shared" ca="1" si="143"/>
        <v>5</v>
      </c>
      <c r="AF164" s="47">
        <f ca="1">IF(AC164,('模拟-单技能数据'!$D$20+G164*'模拟-单技能数据'!$F$20)*(1+J164)*(1+'模拟-单技能数据'!$J$20)*(1+U164),0)</f>
        <v>0</v>
      </c>
      <c r="AG164" s="61">
        <f t="shared" ca="1" si="135"/>
        <v>0.64185145527300214</v>
      </c>
      <c r="AH164" s="61">
        <f t="shared" ca="1" si="136"/>
        <v>2.2624828854998791</v>
      </c>
      <c r="AI164" s="62">
        <f t="shared" ca="1" si="158"/>
        <v>0.79755087278625203</v>
      </c>
      <c r="AJ164" s="47">
        <f ca="1">IF(AD164,IF(AI164&lt;$F$10,0,IF(AI164&lt;$F$10+$F$11,0.25,IF(AI164&lt;$F$10+$F$11+AG164,AH164,1)))*IF(AF164&gt;0,AF164,IF(AF163&gt;0,AF163,IF(AF162&gt;0,AF162,IF(AF161&gt;0,AF161,IF(AF160&gt;0,AF160,IF(AF159&gt;0,AF159,IF(AF158&gt;0,AF158,IF(AF157&gt;0,AF157,IF(AF156&gt;0,AF156,IF(AF154&gt;0,AF154,IF(AF153&gt;0,AF153,IF(AF152&gt;0,AF152,0)))))))))))),0)*(1-$S164)*'模拟-单技能数据'!$I$20</f>
        <v>0</v>
      </c>
      <c r="AK164" s="115" t="b">
        <f t="shared" ca="1" si="123"/>
        <v>0</v>
      </c>
      <c r="AL164" s="115" t="b">
        <f t="shared" ca="1" si="144"/>
        <v>0</v>
      </c>
      <c r="AM164" s="115">
        <f t="shared" ca="1" si="145"/>
        <v>4</v>
      </c>
      <c r="AN164" s="47">
        <f ca="1">IF(AK164,('模拟-单技能数据'!$D$21+G164*'模拟-单技能数据'!$F$21)*(1+J164)*(1+'模拟-单技能数据'!$J$21)*(1+U164),0)</f>
        <v>0</v>
      </c>
      <c r="AO164" s="61">
        <f ca="1">IF(AN164&gt;0,M164-'模拟-单技能数据'!$K$10,AO163)</f>
        <v>0.42185145527300216</v>
      </c>
      <c r="AP164" s="61">
        <f ca="1">IF(AN164&gt;0,I164-'模拟-单技能数据'!$L$10,AP163)</f>
        <v>2.162482885499879</v>
      </c>
      <c r="AQ164" s="63">
        <f t="shared" ca="1" si="159"/>
        <v>0.92874258963703793</v>
      </c>
      <c r="AR164" s="64">
        <f ca="1">IF(AL164,IF(AQ164&lt;$F$10,0,IF(AQ164&lt;$F$10+$F$11,0.25,IF(AQ164&lt;$F$10+$F$11+AO164,AP164,1)))*IF(AN164&gt;0,AN164,IF(AN163&gt;0,AN163,IF(AN162&gt;0,AN162,IF(AN161&gt;0,AN161,IF(AN160&gt;0,AN160,IF(AN159&gt;0,AN159,IF(AN158&gt;0,AN158,IF(AN157&gt;0,AN157,IF(AN156&gt;0,AN156,IF(AN154&gt;0,AN154,IF(AN153&gt;0,AN153,IF(AN152&gt;0,AN152,0)))))))))))),0)*(1-$S164)*'模拟-单技能数据'!$I$21</f>
        <v>0</v>
      </c>
      <c r="AS164" s="61">
        <f ca="1">IF(OR(C164="净世破魔击·日",C164="净世破魔击·月"),M164-'模拟-单技能数据'!$K$10,0)</f>
        <v>0</v>
      </c>
      <c r="AT164" s="61">
        <f ca="1">IF(OR(C164="净世破魔击·日",C164="净世破魔击·月"),I164-'模拟-单技能数据'!$L$10,0)</f>
        <v>0</v>
      </c>
      <c r="AU164" s="62">
        <f t="shared" ca="1" si="160"/>
        <v>0.1182858840551686</v>
      </c>
      <c r="AV164" s="64">
        <f ca="1">IF(AS164&gt;0,('模拟-单技能数据'!$D$22+G164*'模拟-单技能数据'!$F$22)*(1+J164)*(1-S164)*IF(AU164&lt;$F$10,0,IF(AU164&lt;$F$10+$F$11,0.25,IF(AU164&lt;$F$10+$F$11+AS164,AT164,1)))*(1+U164),0)*'模拟-单技能数据'!$I$22</f>
        <v>0</v>
      </c>
      <c r="AW164" s="108">
        <f t="shared" ca="1" si="161"/>
        <v>1.5500000000000065</v>
      </c>
      <c r="AX164" s="108" t="b">
        <f ca="1">AND(模拟模式!$P$10="有",AW163=0,RAND()&lt;IF(C164="净世破魔击·月",0.1*8/3,IF(C164="净世破魔击·日",0.1*4/3,0.1*2/3)))</f>
        <v>0</v>
      </c>
      <c r="AY164" s="47">
        <f ca="1">IF(AX164,(18+G164*0.722)*(1+J164)*(1-S164)*(1+$I$4)*IF(P164="会",'模拟-全程加成'!$J$3+'模拟-全程加成'!$J$4+'模拟-全程加成'!$J$5+('模拟-全程加成'!$I$4+'模拟-全程加成'!$I$5)/系数!$B$4+BG164*10%,IF(P164="命",1,IF(P164="识",0.25,0))),0)</f>
        <v>0</v>
      </c>
      <c r="AZ164" s="108">
        <f t="shared" si="162"/>
        <v>15.387500000000003</v>
      </c>
      <c r="BA164" s="108" t="b">
        <f>AND(模拟模式!$Q$10="有",AZ163=0)</f>
        <v>0</v>
      </c>
      <c r="BB164" s="140">
        <f>IF(BA164,(0+G164*0.287)*(1+J164)*(1-S164)*(1+$I$4)*IF(P164="会",'模拟-全程加成'!$J$3+'模拟-全程加成'!$J$4+'模拟-全程加成'!$J$5+('模拟-全程加成'!$I$4+'模拟-全程加成'!$I$5)/系数!$B$4+BG164*10%,IF(P164="命",1,IF(P164="识",0.25,0))),0)</f>
        <v>0</v>
      </c>
      <c r="BC164" s="115" t="b">
        <f ca="1">AND(模拟模式!$R$7="伏明众生",E164=60,F164=20,DA164&lt;5,CZ163&lt;$F$4)</f>
        <v>0</v>
      </c>
      <c r="BD164" s="115">
        <f t="shared" ca="1" si="124"/>
        <v>0</v>
      </c>
      <c r="BE164" s="115" t="b">
        <f t="shared" ca="1" si="125"/>
        <v>0</v>
      </c>
      <c r="BF164" s="47">
        <f ca="1">IF(BC164,4*('模拟-单技能数据'!$D$24+G164*'模拟-单技能数据'!$F$24)*(1+J164)*(1+'模拟-单技能数据'!$J$24)*(1-S164)*(1+$I$3)*(('模拟-全程加成'!$J$3+'模拟-全程加成'!$J$4+'模拟-全程加成'!$J$5+('模拟-全程加成'!$I$4+'模拟-全程加成'!$I$5)/系数!$B$4+BG164*10%)*('模拟-全程加成'!$J$3+'模拟-全程加成'!$J$4+'模拟-全程加成'!$J$5+('模拟-全程加成'!$I$4+'模拟-全程加成'!$I$5)/系数!$B$4+BG164*10%)+(1-('模拟-全程加成'!$J$3+'模拟-全程加成'!$J$4+'模拟-全程加成'!$J$5+('模拟-全程加成'!$I$4+'模拟-全程加成'!$I$5)/系数!$B$4+BG164*10%)-$F$10-$F$11)+F150*0.25),0)*'模拟-单技能数据'!$I$24</f>
        <v>0</v>
      </c>
      <c r="BG164" s="115" t="b">
        <f ca="1">OR(AND(OR(C164="烈日斩",C164="银月斩"),模拟模式!$I$7="净身明礼"),AND(C164="净世破魔击·日",模拟模式!$J$7="洞若观火"),AND(C165="净世破魔击·月",模拟模式!$J$7="洞若观火"),AB164=1)</f>
        <v>1</v>
      </c>
      <c r="BH164" s="115" t="b">
        <f t="shared" ca="1" si="163"/>
        <v>0</v>
      </c>
      <c r="BI164" s="115">
        <f t="shared" ca="1" si="126"/>
        <v>1.3874999999999997</v>
      </c>
      <c r="BJ164" s="115" t="b">
        <f t="shared" ca="1" si="137"/>
        <v>1</v>
      </c>
      <c r="BK164" s="115" t="b">
        <f ca="1">AND(C164="驱夜断愁",模拟模式!$P$7="天地诛戮")</f>
        <v>0</v>
      </c>
      <c r="BL164" s="57">
        <f t="shared" ca="1" si="127"/>
        <v>19.077500000000001</v>
      </c>
      <c r="BM164" s="115" t="b">
        <f t="shared" ca="1" si="138"/>
        <v>1</v>
      </c>
      <c r="BN164" s="115" t="b">
        <f ca="1">AND(OR(C164="赤日轮1",C164="赤日轮2",C164="赤日轮3",C164="幽月轮1",C164="幽月轮2",C164="幽月轮3"),AB164=1,模拟模式!$L$7="明光恒照")</f>
        <v>0</v>
      </c>
      <c r="BO164" s="117">
        <f t="shared" ca="1" si="128"/>
        <v>27.232500000000002</v>
      </c>
      <c r="BP164" s="115">
        <f t="shared" ca="1" si="164"/>
        <v>6</v>
      </c>
      <c r="BQ164" s="115" t="b">
        <f>模拟模式!$K$10="2600·水"</f>
        <v>0</v>
      </c>
      <c r="BR164" s="117">
        <f t="shared" si="165"/>
        <v>0</v>
      </c>
      <c r="BS164" s="115">
        <f t="shared" si="166"/>
        <v>0</v>
      </c>
      <c r="BT164" s="115">
        <f t="shared" ca="1" si="167"/>
        <v>0</v>
      </c>
      <c r="BU164" s="115" t="b">
        <f ca="1">AND(模拟模式!$K$10="2300·雷",BT163=0,RAND()&lt;IF(C164="净世破魔击·月",5*0.05*2/3,IF(C164="净世破魔击·日",3*0.05*2/3,0.05*2*2/3)))</f>
        <v>0</v>
      </c>
      <c r="BV164" s="115">
        <f t="shared" ca="1" si="168"/>
        <v>0</v>
      </c>
      <c r="BW164" s="115">
        <f t="shared" ca="1" si="169"/>
        <v>59.152499999999279</v>
      </c>
      <c r="BX164" s="164" t="b">
        <f t="shared" ca="1" si="170"/>
        <v>0</v>
      </c>
      <c r="BY164" s="115">
        <f t="shared" ca="1" si="171"/>
        <v>0</v>
      </c>
      <c r="BZ164" s="115">
        <f>IF(OR(模拟模式!$P$16="10人团",模拟模式!$P$16="25人团"),IF(B164/30&gt;CA163,1,0),0)</f>
        <v>0</v>
      </c>
      <c r="CA164" s="115">
        <f t="shared" si="147"/>
        <v>0</v>
      </c>
      <c r="CB164" s="115">
        <f ca="1">IF(BZ164=1,IF(模拟模式!$P$16="10人团",15,0)+IF(模拟模式!$P$16="25人团",IF(RAND()&lt;0.6,15,0)),MAX(0,CB163-$F$4))</f>
        <v>0</v>
      </c>
      <c r="CC164" s="115" t="b">
        <f t="shared" ca="1" si="139"/>
        <v>0</v>
      </c>
      <c r="CD164" s="115">
        <f>IF(模拟模式!$Q$16="1个",IF(B164/40&gt;CE163,1,0),0)</f>
        <v>0</v>
      </c>
      <c r="CE164" s="115">
        <f t="shared" si="140"/>
        <v>0</v>
      </c>
      <c r="CF164" s="115">
        <f>IF(OR(CD164=1,模拟模式!$Q$16="2个"),20,MAX(0,CF163-$F$4))</f>
        <v>0</v>
      </c>
      <c r="CG164" s="115" t="b">
        <f t="shared" si="141"/>
        <v>0</v>
      </c>
      <c r="CH164" s="115">
        <f t="shared" ca="1" si="172"/>
        <v>4.1700000000000115</v>
      </c>
      <c r="CI164" s="115" t="b">
        <f t="shared" ca="1" si="173"/>
        <v>0</v>
      </c>
      <c r="CJ164" s="119">
        <f t="shared" ca="1" si="174"/>
        <v>0</v>
      </c>
      <c r="CK164" s="115">
        <f t="shared" ca="1" si="175"/>
        <v>0</v>
      </c>
      <c r="CL164" s="115" t="b">
        <f ca="1">AND(模拟模式!$S$7="驱夷逐法",OR(AND(C164="净世破魔击·月",E163&gt;59),AND(C164="净世破魔击·日",F163&gt;59)))</f>
        <v>0</v>
      </c>
      <c r="CM164" s="115" t="b">
        <f ca="1">OR(CL164,AND(C164="净世破魔击·日",CL163,RAND()&lt;模拟模式!$U$23))</f>
        <v>0</v>
      </c>
      <c r="CN164" s="115" t="b">
        <f ca="1">IF(模拟模式!$M$7="辉耀红尘",AND(C164="净世破魔击·月",CL164,CV164=0,E163&lt;80),AND(C164="净世破魔击·月",CL164,E163&lt;100))</f>
        <v>0</v>
      </c>
      <c r="CO164" s="115" t="b">
        <f t="shared" ca="1" si="148"/>
        <v>0</v>
      </c>
      <c r="CP164" s="115" t="b">
        <f ca="1">AND(模拟模式!$O$7="用晦而明",OR(C164="净世破魔击·日",C164="净世破魔击·月",C164="驱夜断愁"),AB164)</f>
        <v>0</v>
      </c>
      <c r="CQ164" s="115" t="b">
        <f ca="1">OR(CP164,AND(CP163,RAND()&lt;模拟模式!$U$23))</f>
        <v>1</v>
      </c>
      <c r="CR164" s="115" t="b">
        <f ca="1">AND(模拟模式!$S$7="日月齐光",OR(C164="幽月轮1",C164="幽月轮2",C164="幽月轮3",CR163),NOT(OR(C164="赤日轮1",C164="赤日轮2",C164="赤日轮3")))</f>
        <v>0</v>
      </c>
      <c r="CS164" s="115" t="b">
        <f ca="1">AND(模拟模式!$S$7="日月齐光",OR(C164="赤日轮1",C164="赤日轮2",C164="赤日轮3",CS163),NOT(OR(C164="幽月轮1",C164="幽月轮2",C164="幽月轮3")))</f>
        <v>0</v>
      </c>
      <c r="CT164" s="115">
        <f t="shared" ca="1" si="176"/>
        <v>2.3250000000000117</v>
      </c>
      <c r="CU164" s="115" t="b">
        <f ca="1">AND(模拟模式!$K$10="阴阳往极",CT163=0,RAND()&lt;IF(C164="净世破魔击·月",0.0275*7/3,IF(C164="净世破魔击·日",0.0275*3/3,0.0275*2/3)))</f>
        <v>0</v>
      </c>
      <c r="CV164" s="115">
        <f t="shared" ca="1" si="177"/>
        <v>0</v>
      </c>
      <c r="CW164" s="115">
        <f t="shared" ca="1" si="149"/>
        <v>6</v>
      </c>
      <c r="CX164" s="115">
        <f t="shared" ca="1" si="150"/>
        <v>4.1549999999999994</v>
      </c>
      <c r="CY164" s="115">
        <f ca="1">MAX(IF($C164="驱夜断愁",IF(模拟模式!$R$7="万念俱寂",6,45),CY163-$F$4),0)</f>
        <v>5.0774999999999997</v>
      </c>
      <c r="CZ164" s="115">
        <f t="shared" ca="1" si="151"/>
        <v>0</v>
      </c>
      <c r="DA164" s="115">
        <f ca="1">IF(模拟模式!$N$7="日月同辉",IF(DB163=2,0,MIN(6,IF(AND(OR(C164="赤日轮1",C164="赤日轮2",C164="赤日轮3",C164="幽月轮1",C164="幽月轮2",C164="幽月轮3"),AB164=1),DA163+1,DA163))),0)</f>
        <v>0</v>
      </c>
      <c r="DB164" s="115">
        <f t="shared" ca="1" si="152"/>
        <v>2</v>
      </c>
      <c r="DC164" s="115"/>
      <c r="DD164" s="115"/>
      <c r="DE164" s="115"/>
      <c r="DF164" s="115"/>
      <c r="DG164" s="115"/>
      <c r="DH164" s="115"/>
      <c r="DI164" s="115"/>
      <c r="DJ164" s="115"/>
      <c r="DK164" s="115"/>
      <c r="DL164" s="115"/>
      <c r="DM164" s="115"/>
    </row>
    <row r="165" spans="2:117" x14ac:dyDescent="0.2">
      <c r="B165" s="117">
        <f t="shared" si="153"/>
        <v>127.30499999999994</v>
      </c>
      <c r="C165" s="167" t="str">
        <f t="shared" ca="1" si="146"/>
        <v>幽月轮1</v>
      </c>
      <c r="D165" s="115">
        <f ca="1">IF(C165="赤日轮1",1,IF(C165="赤日轮2",2,IF(C165="赤日轮3",3,IF(C165="幽月轮1",4,IF(C165="幽月轮2",5,IF(C165="幽月轮3",6,IF(C165="烈日斩",7,IF(C165="银月斩",8,IF(C165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165="净世破魔击·月",17,IF(C165="驱夜断愁",18,0)))))))))))</f>
        <v>4</v>
      </c>
      <c r="E165" s="115">
        <f ca="1">IF(AND(CU165,OR(C165="幽月轮1",C165="幽月轮2",C165="幽月轮3",C165="银月斩",C165="驱夜断愁",C165="净世破魔击·月")),100,MIN(IF(OR(CN165,BE165),0,IF(OR($C165="赤日轮1",$C165="赤日轮2",$C165="赤日轮3"),E164+20+IF(模拟模式!$I$7="日月凌天",4,0)+IF(CR164,20,0),IF($C165="烈日斩",E164+40,IF($C165="驱夜断愁",IF(模拟模式!$R$7="万念俱寂",E164+20,E164+60),IF($C165="净世破魔击·月",IF(OR(DB164&gt;0,CV164&gt;0),100,IF(模拟模式!$M$7="辉耀红尘",E164+20,E164)),IF($C165="净世破魔击·日",E164-100,E164)))))),100))</f>
        <v>80</v>
      </c>
      <c r="F165" s="115">
        <f ca="1">IF(AND(CU165,OR(C165="赤日轮1",C165="赤日轮2",C165="赤日轮3",C165="烈日斩",C165="净世破魔击·日")),100,MIN(IF(CO165,0,IF(OR($C165="幽月轮1",$C165="幽月轮2",$C165="幽月轮3"),F164+20+IF(模拟模式!$I$7="日月凌天",4,0)+IF(CS164,20,0),IF($C165="银月斩",F164+40+IF(模拟模式!$X$12=1,5,0),IF($C165="驱夜断愁",IF(模拟模式!$R$7="万念俱寂",F164+20,F164+60),IF($C165="净世破魔击·月",IF(模拟模式!$M$7="辉耀红尘",F164-80,F164-100),IF(AND(C165="净世破魔击·日",OR(DB164&gt;0,CV164&gt;0)),100,F164)))))),100))</f>
        <v>100</v>
      </c>
      <c r="G165" s="117">
        <f ca="1">('模拟-全程加成'!$E$3+'模拟-全程加成'!$E$4+'模拟-全程加成'!$E$5+('模拟-全程加成'!$C$6-'模拟-全程加成'!$C$3)*系数!$B$9+BS165*23)*(1+'模拟-全程加成'!$F$4+'模拟-全程加成'!$F$5+BJ165*10%+BM165*20%+BP165*4%+CG165*30%)+$F$7*系数!$B$12</f>
        <v>21493.829400000002</v>
      </c>
      <c r="H165" s="45">
        <f ca="1">'模拟-全程加成'!$H$3+'模拟-全程加成'!$H$4+'模拟-全程加成'!$H$5+('模拟-全程加成'!$G$4+'模拟-全程加成'!$G$5+('模拟-全程加成'!$C$6-'模拟-全程加成'!$C$3)*系数!$B$13)/系数!$B$3+LOOKUP(D165,'模拟-单技能数据'!$A$2:$A$19,'模拟-单技能数据'!$K$2:$K$19)+BG165*10%+IF(BV165&gt;0,378,0)</f>
        <v>0.51185145527300213</v>
      </c>
      <c r="I165" s="45">
        <f ca="1">'模拟-全程加成'!$J$3+'模拟-全程加成'!$J$4+'模拟-全程加成'!$J$5+('模拟-全程加成'!$I$4+'模拟-全程加成'!$I$5)/系数!$B$4+LOOKUP(D165,'模拟-单技能数据'!$A$2:$A$19,'模拟-单技能数据'!$L$2:$L$19)+BG165*10%</f>
        <v>2.162482885499879</v>
      </c>
      <c r="J165" s="45">
        <f ca="1">(('模拟-全程加成'!$K$3+'模拟-全程加成'!$K$4+'模拟-全程加成'!$K$5+('模拟-全程加成'!$C$6-'模拟-全程加成'!$C$3)*系数!$B$10+IF(BV165&gt;0,882,0)+IF(BY165&gt;0,1831,0))*(1+'模拟-全程加成'!$L$4+'模拟-全程加成'!$L$5+CC165*20%))/系数!$B$5</f>
        <v>0.69723220422048726</v>
      </c>
      <c r="K165" s="119">
        <f ca="1">LOOKUP(D165,'模拟-单技能数据'!$A$2:$A$19,'模拟-单技能数据'!$J$2:$J$19)+IF(CM165,60%,0)+IF(DB164-DB165&gt;0,30%,0)+IF(OR(AND(OR(C165="赤日轮1",C165="赤日轮2",C165="赤日轮3"),CR165),AND(OR(C165="幽月轮1",C165="幽月轮2",C165="幽月轮3"),CS165)),35%,0)+CJ165</f>
        <v>7.0000000000000007E-2</v>
      </c>
      <c r="L165" s="119">
        <f ca="1">IF(AND(C165="烈日斩",模拟模式!$X$11=1),10%,0)+IF(AND(C165="驱夜断愁",AB165=1),30%,0)</f>
        <v>0</v>
      </c>
      <c r="M165" s="45">
        <f t="shared" ca="1" si="129"/>
        <v>0.51185145527300213</v>
      </c>
      <c r="N165" s="45">
        <f t="shared" ca="1" si="130"/>
        <v>0.43424854472699792</v>
      </c>
      <c r="O165" s="46">
        <f t="shared" ca="1" si="154"/>
        <v>0.97489000010006532</v>
      </c>
      <c r="P165" s="46" t="str">
        <f t="shared" ca="1" si="155"/>
        <v>命</v>
      </c>
      <c r="Q165" s="45">
        <f t="shared" ca="1" si="156"/>
        <v>1</v>
      </c>
      <c r="R165" s="117">
        <f ca="1">模拟模式!$E$20*(1-IF(模拟模式!$J$19="有",0.15,0))*(1-IF(模拟模式!$K$19="有",0.3,0)-IF(CQ165,0.5,0))</f>
        <v>2950.6049999999996</v>
      </c>
      <c r="S165" s="45">
        <f ca="1">R165/(R165+(185*模拟模式!$E$22-16800)*4.08224)</f>
        <v>0.24272716014590323</v>
      </c>
      <c r="T165" s="45" t="str">
        <f ca="1">LOOKUP(D165,'模拟-单技能数据'!$A$2:$A$19,'模拟-单技能数据'!$H$2:$H$19)</f>
        <v>阴</v>
      </c>
      <c r="U165" s="119">
        <f t="shared" ca="1" si="131"/>
        <v>0.08</v>
      </c>
      <c r="V165" s="47">
        <f ca="1">(1+L165)*(LOOKUP(D165,'模拟-单技能数据'!$A$2:$A$19,'模拟-单技能数据'!$D$2:$D$19)+G165*LOOKUP(D165,'模拟-单技能数据'!$A$2:$A$19,'模拟-单技能数据'!$F$2:$F$19))*(1+J165)*(1+K165)*(1-S165)*(1+U165)*Q165*LOOKUP(D165,'模拟-单技能数据'!$A$2:$A$19,'模拟-单技能数据'!$I$2:$I$20)</f>
        <v>16939.18703301924</v>
      </c>
      <c r="W165" s="47">
        <f ca="1">LOOKUP(D165,'模拟-单技能数据'!$A$2:$A$19,'模拟-单技能数据'!$G$2:$G$19)*$I$10</f>
        <v>361.51064354704795</v>
      </c>
      <c r="X165" s="47">
        <f t="shared" ca="1" si="157"/>
        <v>24263.345826424022</v>
      </c>
      <c r="Y165" s="47">
        <f t="shared" ca="1" si="132"/>
        <v>41564.043502990309</v>
      </c>
      <c r="Z165" s="49">
        <f t="shared" ca="1" si="133"/>
        <v>14264170.299409911</v>
      </c>
      <c r="AA165" s="97">
        <f t="shared" ca="1" si="134"/>
        <v>112047.21180951195</v>
      </c>
      <c r="AB165" s="115">
        <f ca="1">IF(OR(C165="赤日轮1",C165="赤日轮2",C165="赤日轮3"),IF(RAND()&lt;模拟模式!$Y$17,1,0),IF(OR(C165="幽月轮1",C165="幽月轮2",C165="幽月轮3"),IF(RAND()&lt;模拟模式!$Y$18,1,0),IF(C165="烈日斩",IF(RAND()&lt;模拟模式!$Y$19,1,0),IF(C165="银月斩",IF(RAND()&lt;模拟模式!$Y$20,1,0),IF(C165="驱夜断愁",IF(RAND()&lt;模拟模式!$Y$21,1,0),IF(C165="净世破魔击·日",IF(RAND()&lt;模拟模式!$Y$22,1,0),IF(C165="净世破魔击·月",IF(RAND()&lt;模拟模式!$Y$23,1,0),0)))))))</f>
        <v>1</v>
      </c>
      <c r="AC165" s="115" t="b">
        <f t="shared" ca="1" si="122"/>
        <v>0</v>
      </c>
      <c r="AD165" s="115" t="b">
        <f t="shared" ca="1" si="142"/>
        <v>1</v>
      </c>
      <c r="AE165" s="115">
        <f t="shared" ca="1" si="143"/>
        <v>4</v>
      </c>
      <c r="AF165" s="47">
        <f ca="1">IF(AC165,('模拟-单技能数据'!$D$20+G165*'模拟-单技能数据'!$F$20)*(1+J165)*(1+'模拟-单技能数据'!$J$20)*(1+U165),0)</f>
        <v>0</v>
      </c>
      <c r="AG165" s="61">
        <f t="shared" ca="1" si="135"/>
        <v>0.64185145527300214</v>
      </c>
      <c r="AH165" s="61">
        <f t="shared" ca="1" si="136"/>
        <v>2.2624828854998791</v>
      </c>
      <c r="AI165" s="62">
        <f t="shared" ca="1" si="158"/>
        <v>0.8983083760534003</v>
      </c>
      <c r="AJ165" s="47">
        <f ca="1">IF(AD165,IF(AI165&lt;$F$10,0,IF(AI165&lt;$F$10+$F$11,0.25,IF(AI165&lt;$F$10+$F$11+AG165,AH165,1)))*IF(AF165&gt;0,AF165,IF(AF164&gt;0,AF164,IF(AF163&gt;0,AF163,IF(AF162&gt;0,AF162,IF(AF161&gt;0,AF161,IF(AF160&gt;0,AF160,IF(AF159&gt;0,AF159,IF(AF158&gt;0,AF158,IF(AF157&gt;0,AF157,IF(AF155&gt;0,AF155,IF(AF154&gt;0,AF154,IF(AF153&gt;0,AF153,0)))))))))))),0)*(1-$S165)*'模拟-单技能数据'!$I$20</f>
        <v>3513.5533621728819</v>
      </c>
      <c r="AK165" s="115" t="b">
        <f t="shared" ca="1" si="123"/>
        <v>0</v>
      </c>
      <c r="AL165" s="115" t="b">
        <f t="shared" ca="1" si="144"/>
        <v>1</v>
      </c>
      <c r="AM165" s="115">
        <f t="shared" ca="1" si="145"/>
        <v>3</v>
      </c>
      <c r="AN165" s="47">
        <f ca="1">IF(AK165,('模拟-单技能数据'!$D$21+G165*'模拟-单技能数据'!$F$21)*(1+J165)*(1+'模拟-单技能数据'!$J$21)*(1+U165),0)</f>
        <v>0</v>
      </c>
      <c r="AO165" s="61">
        <f ca="1">IF(AN165&gt;0,M165-'模拟-单技能数据'!$K$10,AO164)</f>
        <v>0.42185145527300216</v>
      </c>
      <c r="AP165" s="61">
        <f ca="1">IF(AN165&gt;0,I165-'模拟-单技能数据'!$L$10,AP164)</f>
        <v>2.162482885499879</v>
      </c>
      <c r="AQ165" s="63">
        <f t="shared" ca="1" si="159"/>
        <v>0.14404151617124716</v>
      </c>
      <c r="AR165" s="64">
        <f ca="1">IF(AL165,IF(AQ165&lt;$F$10,0,IF(AQ165&lt;$F$10+$F$11,0.25,IF(AQ165&lt;$F$10+$F$11+AO165,AP165,1)))*IF(AN165&gt;0,AN165,IF(AN164&gt;0,AN164,IF(AN163&gt;0,AN163,IF(AN162&gt;0,AN162,IF(AN161&gt;0,AN161,IF(AN160&gt;0,AN160,IF(AN159&gt;0,AN159,IF(AN158&gt;0,AN158,IF(AN157&gt;0,AN157,IF(AN155&gt;0,AN155,IF(AN154&gt;0,AN154,IF(AN153&gt;0,AN153,0)))))))))))),0)*(1-$S165)*'模拟-单技能数据'!$I$21</f>
        <v>20749.792464251139</v>
      </c>
      <c r="AS165" s="61">
        <f ca="1">IF(OR(C165="净世破魔击·日",C165="净世破魔击·月"),M165-'模拟-单技能数据'!$K$10,0)</f>
        <v>0</v>
      </c>
      <c r="AT165" s="61">
        <f ca="1">IF(OR(C165="净世破魔击·日",C165="净世破魔击·月"),I165-'模拟-单技能数据'!$L$10,0)</f>
        <v>0</v>
      </c>
      <c r="AU165" s="62">
        <f t="shared" ca="1" si="160"/>
        <v>0.6657872640835315</v>
      </c>
      <c r="AV165" s="64">
        <f ca="1">IF(AS165&gt;0,('模拟-单技能数据'!$D$22+G165*'模拟-单技能数据'!$F$22)*(1+J165)*(1-S165)*IF(AU165&lt;$F$10,0,IF(AU165&lt;$F$10+$F$11,0.25,IF(AU165&lt;$F$10+$F$11+AS165,AT165,1)))*(1+U165),0)*'模拟-单技能数据'!$I$22</f>
        <v>0</v>
      </c>
      <c r="AW165" s="108">
        <f t="shared" ca="1" si="161"/>
        <v>0.6275000000000065</v>
      </c>
      <c r="AX165" s="108" t="b">
        <f ca="1">AND(模拟模式!$P$10="有",AW164=0,RAND()&lt;IF(C165="净世破魔击·月",0.1*8/3,IF(C165="净世破魔击·日",0.1*4/3,0.1*2/3)))</f>
        <v>0</v>
      </c>
      <c r="AY165" s="47">
        <f ca="1">IF(AX165,(18+G165*0.722)*(1+J165)*(1-S165)*(1+$I$4)*IF(P165="会",'模拟-全程加成'!$J$3+'模拟-全程加成'!$J$4+'模拟-全程加成'!$J$5+('模拟-全程加成'!$I$4+'模拟-全程加成'!$I$5)/系数!$B$4+BG165*10%,IF(P165="命",1,IF(P165="识",0.25,0))),0)</f>
        <v>0</v>
      </c>
      <c r="AZ165" s="108">
        <f t="shared" si="162"/>
        <v>14.465000000000003</v>
      </c>
      <c r="BA165" s="108" t="b">
        <f>AND(模拟模式!$Q$10="有",AZ164=0)</f>
        <v>0</v>
      </c>
      <c r="BB165" s="140">
        <f>IF(BA165,(0+G165*0.287)*(1+J165)*(1-S165)*(1+$I$4)*IF(P165="会",'模拟-全程加成'!$J$3+'模拟-全程加成'!$J$4+'模拟-全程加成'!$J$5+('模拟-全程加成'!$I$4+'模拟-全程加成'!$I$5)/系数!$B$4+BG165*10%,IF(P165="命",1,IF(P165="识",0.25,0))),0)</f>
        <v>0</v>
      </c>
      <c r="BC165" s="115" t="b">
        <f ca="1">AND(模拟模式!$R$7="伏明众生",E165=60,F165=20,DA165&lt;5,CZ164&lt;$F$4)</f>
        <v>0</v>
      </c>
      <c r="BD165" s="115">
        <f t="shared" ca="1" si="124"/>
        <v>0</v>
      </c>
      <c r="BE165" s="115" t="b">
        <f t="shared" ca="1" si="125"/>
        <v>0</v>
      </c>
      <c r="BF165" s="47">
        <f ca="1">IF(BC165,4*('模拟-单技能数据'!$D$24+G165*'模拟-单技能数据'!$F$24)*(1+J165)*(1+'模拟-单技能数据'!$J$24)*(1-S165)*(1+$I$3)*(('模拟-全程加成'!$J$3+'模拟-全程加成'!$J$4+'模拟-全程加成'!$J$5+('模拟-全程加成'!$I$4+'模拟-全程加成'!$I$5)/系数!$B$4+BG165*10%)*('模拟-全程加成'!$J$3+'模拟-全程加成'!$J$4+'模拟-全程加成'!$J$5+('模拟-全程加成'!$I$4+'模拟-全程加成'!$I$5)/系数!$B$4+BG165*10%)+(1-('模拟-全程加成'!$J$3+'模拟-全程加成'!$J$4+'模拟-全程加成'!$J$5+('模拟-全程加成'!$I$4+'模拟-全程加成'!$I$5)/系数!$B$4+BG165*10%)-$F$10-$F$11)+F151*0.25),0)*'模拟-单技能数据'!$I$24</f>
        <v>0</v>
      </c>
      <c r="BG165" s="115" t="b">
        <f ca="1">OR(AND(OR(C165="烈日斩",C165="银月斩"),模拟模式!$I$7="净身明礼"),AND(C165="净世破魔击·日",模拟模式!$J$7="洞若观火"),AND(C166="净世破魔击·月",模拟模式!$J$7="洞若观火"),AB165=1)</f>
        <v>1</v>
      </c>
      <c r="BH165" s="115" t="b">
        <f t="shared" ca="1" si="163"/>
        <v>1</v>
      </c>
      <c r="BI165" s="115">
        <f t="shared" ca="1" si="126"/>
        <v>6</v>
      </c>
      <c r="BJ165" s="115" t="b">
        <f t="shared" ca="1" si="137"/>
        <v>1</v>
      </c>
      <c r="BK165" s="115" t="b">
        <f ca="1">AND(C165="驱夜断愁",模拟模式!$P$7="天地诛戮")</f>
        <v>0</v>
      </c>
      <c r="BL165" s="57">
        <f t="shared" ca="1" si="127"/>
        <v>18.155000000000001</v>
      </c>
      <c r="BM165" s="115" t="b">
        <f t="shared" ca="1" si="138"/>
        <v>1</v>
      </c>
      <c r="BN165" s="115" t="b">
        <f ca="1">AND(OR(C165="赤日轮1",C165="赤日轮2",C165="赤日轮3",C165="幽月轮1",C165="幽月轮2",C165="幽月轮3"),AB165=1,模拟模式!$L$7="明光恒照")</f>
        <v>1</v>
      </c>
      <c r="BO165" s="117">
        <f t="shared" ca="1" si="128"/>
        <v>30</v>
      </c>
      <c r="BP165" s="115">
        <f t="shared" ca="1" si="164"/>
        <v>6</v>
      </c>
      <c r="BQ165" s="115" t="b">
        <f>模拟模式!$K$10="2600·水"</f>
        <v>0</v>
      </c>
      <c r="BR165" s="117">
        <f t="shared" si="165"/>
        <v>0</v>
      </c>
      <c r="BS165" s="115">
        <f t="shared" si="166"/>
        <v>0</v>
      </c>
      <c r="BT165" s="115">
        <f t="shared" ca="1" si="167"/>
        <v>0</v>
      </c>
      <c r="BU165" s="115" t="b">
        <f ca="1">AND(模拟模式!$K$10="2300·雷",BT164=0,RAND()&lt;IF(C165="净世破魔击·月",5*0.05*2/3,IF(C165="净世破魔击·日",3*0.05*2/3,0.05*2*2/3)))</f>
        <v>0</v>
      </c>
      <c r="BV165" s="115">
        <f t="shared" ca="1" si="168"/>
        <v>0</v>
      </c>
      <c r="BW165" s="115">
        <f t="shared" ca="1" si="169"/>
        <v>58.229999999999279</v>
      </c>
      <c r="BX165" s="164" t="b">
        <f t="shared" ca="1" si="170"/>
        <v>0</v>
      </c>
      <c r="BY165" s="115">
        <f t="shared" ca="1" si="171"/>
        <v>0</v>
      </c>
      <c r="BZ165" s="115">
        <f>IF(OR(模拟模式!$P$16="10人团",模拟模式!$P$16="25人团"),IF(B165/30&gt;CA164,1,0),0)</f>
        <v>0</v>
      </c>
      <c r="CA165" s="115">
        <f t="shared" si="147"/>
        <v>0</v>
      </c>
      <c r="CB165" s="115">
        <f ca="1">IF(BZ165=1,IF(模拟模式!$P$16="10人团",15,0)+IF(模拟模式!$P$16="25人团",IF(RAND()&lt;0.6,15,0)),MAX(0,CB164-$F$4))</f>
        <v>0</v>
      </c>
      <c r="CC165" s="115" t="b">
        <f t="shared" ca="1" si="139"/>
        <v>0</v>
      </c>
      <c r="CD165" s="115">
        <f>IF(模拟模式!$Q$16="1个",IF(B165/40&gt;CE164,1,0),0)</f>
        <v>0</v>
      </c>
      <c r="CE165" s="115">
        <f t="shared" si="140"/>
        <v>0</v>
      </c>
      <c r="CF165" s="115">
        <f>IF(OR(CD165=1,模拟模式!$Q$16="2个"),20,MAX(0,CF164-$F$4))</f>
        <v>0</v>
      </c>
      <c r="CG165" s="115" t="b">
        <f t="shared" si="141"/>
        <v>0</v>
      </c>
      <c r="CH165" s="115">
        <f t="shared" ca="1" si="172"/>
        <v>3.2475000000000116</v>
      </c>
      <c r="CI165" s="115" t="b">
        <f t="shared" ca="1" si="173"/>
        <v>0</v>
      </c>
      <c r="CJ165" s="119">
        <f t="shared" ca="1" si="174"/>
        <v>0</v>
      </c>
      <c r="CK165" s="115">
        <f t="shared" ca="1" si="175"/>
        <v>0</v>
      </c>
      <c r="CL165" s="115" t="b">
        <f ca="1">AND(模拟模式!$S$7="驱夷逐法",OR(AND(C165="净世破魔击·月",E164&gt;59),AND(C165="净世破魔击·日",F164&gt;59)))</f>
        <v>0</v>
      </c>
      <c r="CM165" s="115" t="b">
        <f ca="1">OR(CL165,AND(C165="净世破魔击·日",CL164,RAND()&lt;模拟模式!$U$23))</f>
        <v>0</v>
      </c>
      <c r="CN165" s="115" t="b">
        <f ca="1">IF(模拟模式!$M$7="辉耀红尘",AND(C165="净世破魔击·月",CL165,CV165=0,E164&lt;80),AND(C165="净世破魔击·月",CL165,E164&lt;100))</f>
        <v>0</v>
      </c>
      <c r="CO165" s="115" t="b">
        <f t="shared" ca="1" si="148"/>
        <v>0</v>
      </c>
      <c r="CP165" s="115" t="b">
        <f ca="1">AND(模拟模式!$O$7="用晦而明",OR(C165="净世破魔击·日",C165="净世破魔击·月",C165="驱夜断愁"),AB165)</f>
        <v>0</v>
      </c>
      <c r="CQ165" s="115" t="b">
        <f ca="1">OR(CP165,AND(CP164,RAND()&lt;模拟模式!$U$23))</f>
        <v>0</v>
      </c>
      <c r="CR165" s="115" t="b">
        <f ca="1">AND(模拟模式!$S$7="日月齐光",OR(C165="幽月轮1",C165="幽月轮2",C165="幽月轮3",CR164),NOT(OR(C165="赤日轮1",C165="赤日轮2",C165="赤日轮3")))</f>
        <v>0</v>
      </c>
      <c r="CS165" s="115" t="b">
        <f ca="1">AND(模拟模式!$S$7="日月齐光",OR(C165="赤日轮1",C165="赤日轮2",C165="赤日轮3",CS164),NOT(OR(C165="幽月轮1",C165="幽月轮2",C165="幽月轮3")))</f>
        <v>0</v>
      </c>
      <c r="CT165" s="115">
        <f t="shared" ca="1" si="176"/>
        <v>1.4025000000000118</v>
      </c>
      <c r="CU165" s="115" t="b">
        <f ca="1">AND(模拟模式!$K$10="阴阳往极",CT164=0,RAND()&lt;IF(C165="净世破魔击·月",0.0275*7/3,IF(C165="净世破魔击·日",0.0275*3/3,0.0275*2/3)))</f>
        <v>0</v>
      </c>
      <c r="CV165" s="115">
        <f t="shared" ca="1" si="177"/>
        <v>0</v>
      </c>
      <c r="CW165" s="115">
        <f t="shared" ca="1" si="149"/>
        <v>5.0774999999999997</v>
      </c>
      <c r="CX165" s="115">
        <f t="shared" ca="1" si="150"/>
        <v>3.2324999999999995</v>
      </c>
      <c r="CY165" s="115">
        <f ca="1">MAX(IF($C165="驱夜断愁",IF(模拟模式!$R$7="万念俱寂",6,45),CY164-$F$4),0)</f>
        <v>4.1549999999999994</v>
      </c>
      <c r="CZ165" s="115">
        <f t="shared" ca="1" si="151"/>
        <v>0</v>
      </c>
      <c r="DA165" s="115">
        <f ca="1">IF(模拟模式!$N$7="日月同辉",IF(DB164=2,0,MIN(6,IF(AND(OR(C165="赤日轮1",C165="赤日轮2",C165="赤日轮3",C165="幽月轮1",C165="幽月轮2",C165="幽月轮3"),AB165=1),DA164+1,DA164))),0)</f>
        <v>0</v>
      </c>
      <c r="DB165" s="115">
        <f t="shared" ca="1" si="152"/>
        <v>2</v>
      </c>
      <c r="DC165" s="115"/>
      <c r="DD165" s="115"/>
      <c r="DE165" s="115"/>
      <c r="DF165" s="115"/>
      <c r="DG165" s="115"/>
      <c r="DH165" s="115"/>
      <c r="DI165" s="115"/>
      <c r="DJ165" s="115"/>
      <c r="DK165" s="115"/>
      <c r="DL165" s="115"/>
      <c r="DM165" s="115"/>
    </row>
    <row r="166" spans="2:117" x14ac:dyDescent="0.2">
      <c r="B166" s="117">
        <f t="shared" si="153"/>
        <v>128.22749999999994</v>
      </c>
      <c r="C166" s="167" t="str">
        <f t="shared" ca="1" si="146"/>
        <v>净世破魔击·月</v>
      </c>
      <c r="D166" s="115">
        <f ca="1">IF(C166="赤日轮1",1,IF(C166="赤日轮2",2,IF(C166="赤日轮3",3,IF(C166="幽月轮1",4,IF(C166="幽月轮2",5,IF(C166="幽月轮3",6,IF(C166="烈日斩",7,IF(C166="银月斩",8,IF(C166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166="净世破魔击·月",17,IF(C166="驱夜断愁",18,0)))))))))))</f>
        <v>17</v>
      </c>
      <c r="E166" s="115">
        <f ca="1">IF(AND(CU166,OR(C166="幽月轮1",C166="幽月轮2",C166="幽月轮3",C166="银月斩",C166="驱夜断愁",C166="净世破魔击·月")),100,MIN(IF(OR(CN166,BE166),0,IF(OR($C166="赤日轮1",$C166="赤日轮2",$C166="赤日轮3"),E165+20+IF(模拟模式!$I$7="日月凌天",4,0)+IF(CR165,20,0),IF($C166="烈日斩",E165+40,IF($C166="驱夜断愁",IF(模拟模式!$R$7="万念俱寂",E165+20,E165+60),IF($C166="净世破魔击·月",IF(OR(DB165&gt;0,CV165&gt;0),100,IF(模拟模式!$M$7="辉耀红尘",E165+20,E165)),IF($C166="净世破魔击·日",E165-100,E165)))))),100))</f>
        <v>100</v>
      </c>
      <c r="F166" s="115">
        <f ca="1">IF(AND(CU166,OR(C166="赤日轮1",C166="赤日轮2",C166="赤日轮3",C166="烈日斩",C166="净世破魔击·日")),100,MIN(IF(CO166,0,IF(OR($C166="幽月轮1",$C166="幽月轮2",$C166="幽月轮3"),F165+20+IF(模拟模式!$I$7="日月凌天",4,0)+IF(CS165,20,0),IF($C166="银月斩",F165+40+IF(模拟模式!$X$12=1,5,0),IF($C166="驱夜断愁",IF(模拟模式!$R$7="万念俱寂",F165+20,F165+60),IF($C166="净世破魔击·月",IF(模拟模式!$M$7="辉耀红尘",F165-80,F165-100),IF(AND(C166="净世破魔击·日",OR(DB165&gt;0,CV165&gt;0)),100,F165)))))),100))</f>
        <v>20</v>
      </c>
      <c r="G166" s="117">
        <f ca="1">('模拟-全程加成'!$E$3+'模拟-全程加成'!$E$4+'模拟-全程加成'!$E$5+('模拟-全程加成'!$C$6-'模拟-全程加成'!$C$3)*系数!$B$9+BS166*23)*(1+'模拟-全程加成'!$F$4+'模拟-全程加成'!$F$5+BJ166*10%+BM166*20%+BP166*4%+CG166*30%)+$F$7*系数!$B$12</f>
        <v>21493.829400000002</v>
      </c>
      <c r="H166" s="45">
        <f ca="1">'模拟-全程加成'!$H$3+'模拟-全程加成'!$H$4+'模拟-全程加成'!$H$5+('模拟-全程加成'!$G$4+'模拟-全程加成'!$G$5+('模拟-全程加成'!$C$6-'模拟-全程加成'!$C$3)*系数!$B$13)/系数!$B$3+LOOKUP(D166,'模拟-单技能数据'!$A$2:$A$19,'模拟-单技能数据'!$K$2:$K$19)+BG166*10%+IF(BV166&gt;0,378,0)</f>
        <v>0.54185145527300216</v>
      </c>
      <c r="I166" s="45">
        <f ca="1">'模拟-全程加成'!$J$3+'模拟-全程加成'!$J$4+'模拟-全程加成'!$J$5+('模拟-全程加成'!$I$4+'模拟-全程加成'!$I$5)/系数!$B$4+LOOKUP(D166,'模拟-单技能数据'!$A$2:$A$19,'模拟-单技能数据'!$L$2:$L$19)+BG166*10%</f>
        <v>2.162482885499879</v>
      </c>
      <c r="J166" s="45">
        <f ca="1">(('模拟-全程加成'!$K$3+'模拟-全程加成'!$K$4+'模拟-全程加成'!$K$5+('模拟-全程加成'!$C$6-'模拟-全程加成'!$C$3)*系数!$B$10+IF(BV166&gt;0,882,0)+IF(BY166&gt;0,1831,0))*(1+'模拟-全程加成'!$L$4+'模拟-全程加成'!$L$5+CC166*20%))/系数!$B$5</f>
        <v>0.69723220422048726</v>
      </c>
      <c r="K166" s="119">
        <f ca="1">LOOKUP(D166,'模拟-单技能数据'!$A$2:$A$19,'模拟-单技能数据'!$J$2:$J$19)+IF(CM166,60%,0)+IF(DB165-DB166&gt;0,30%,0)+IF(OR(AND(OR(C166="赤日轮1",C166="赤日轮2",C166="赤日轮3"),CR166),AND(OR(C166="幽月轮1",C166="幽月轮2",C166="幽月轮3"),CS166)),35%,0)+CJ166</f>
        <v>1.1000000000000001</v>
      </c>
      <c r="L166" s="119">
        <f ca="1">IF(AND(C166="烈日斩",模拟模式!$X$11=1),10%,0)+IF(AND(C166="驱夜断愁",AB166=1),30%,0)</f>
        <v>0</v>
      </c>
      <c r="M166" s="45">
        <f t="shared" ca="1" si="129"/>
        <v>0.54185145527300216</v>
      </c>
      <c r="N166" s="45">
        <f t="shared" ca="1" si="130"/>
        <v>0.40424854472699789</v>
      </c>
      <c r="O166" s="46">
        <f t="shared" ca="1" si="154"/>
        <v>0.67032274847554374</v>
      </c>
      <c r="P166" s="46" t="str">
        <f t="shared" ca="1" si="155"/>
        <v>命</v>
      </c>
      <c r="Q166" s="45">
        <f t="shared" ca="1" si="156"/>
        <v>1</v>
      </c>
      <c r="R166" s="117">
        <f ca="1">模拟模式!$E$20*(1-IF(模拟模式!$J$19="有",0.15,0))*(1-IF(模拟模式!$K$19="有",0.3,0)-IF(CQ166,0.5,0))</f>
        <v>843.02999999999975</v>
      </c>
      <c r="S166" s="45">
        <f ca="1">R166/(R166+(185*模拟模式!$E$22-16800)*4.08224)</f>
        <v>8.389626085980037E-2</v>
      </c>
      <c r="T166" s="45" t="str">
        <f ca="1">LOOKUP(D166,'模拟-单技能数据'!$A$2:$A$19,'模拟-单技能数据'!$H$2:$H$19)</f>
        <v>阴</v>
      </c>
      <c r="U166" s="119">
        <f t="shared" ca="1" si="131"/>
        <v>0.08</v>
      </c>
      <c r="V166" s="47">
        <f ca="1">(1+L166)*(LOOKUP(D166,'模拟-单技能数据'!$A$2:$A$19,'模拟-单技能数据'!$D$2:$D$19)+G166*LOOKUP(D166,'模拟-单技能数据'!$A$2:$A$19,'模拟-单技能数据'!$F$2:$F$19))*(1+J166)*(1+K166)*(1-S166)*(1+U166)*Q166*LOOKUP(D166,'模拟-单技能数据'!$A$2:$A$19,'模拟-单技能数据'!$I$2:$I$20)</f>
        <v>98481.592340073315</v>
      </c>
      <c r="W166" s="47">
        <f ca="1">LOOKUP(D166,'模拟-单技能数据'!$A$2:$A$19,'模拟-单技能数据'!$G$2:$G$19)*$I$10</f>
        <v>361.51064354704795</v>
      </c>
      <c r="X166" s="47">
        <f t="shared" ca="1" si="157"/>
        <v>7956.2107573714466</v>
      </c>
      <c r="Y166" s="47">
        <f t="shared" ca="1" si="132"/>
        <v>106799.31374099181</v>
      </c>
      <c r="Z166" s="49">
        <f t="shared" ca="1" si="133"/>
        <v>14370969.613150902</v>
      </c>
      <c r="AA166" s="97">
        <f t="shared" ca="1" si="134"/>
        <v>112074.00606851814</v>
      </c>
      <c r="AB166" s="115">
        <f ca="1">IF(OR(C166="赤日轮1",C166="赤日轮2",C166="赤日轮3"),IF(RAND()&lt;模拟模式!$Y$17,1,0),IF(OR(C166="幽月轮1",C166="幽月轮2",C166="幽月轮3"),IF(RAND()&lt;模拟模式!$Y$18,1,0),IF(C166="烈日斩",IF(RAND()&lt;模拟模式!$Y$19,1,0),IF(C166="银月斩",IF(RAND()&lt;模拟模式!$Y$20,1,0),IF(C166="驱夜断愁",IF(RAND()&lt;模拟模式!$Y$21,1,0),IF(C166="净世破魔击·日",IF(RAND()&lt;模拟模式!$Y$22,1,0),IF(C166="净世破魔击·月",IF(RAND()&lt;模拟模式!$Y$23,1,0),0)))))))</f>
        <v>1</v>
      </c>
      <c r="AC166" s="115" t="b">
        <f t="shared" ca="1" si="122"/>
        <v>0</v>
      </c>
      <c r="AD166" s="115" t="b">
        <f t="shared" ca="1" si="142"/>
        <v>0</v>
      </c>
      <c r="AE166" s="115">
        <f t="shared" ca="1" si="143"/>
        <v>4</v>
      </c>
      <c r="AF166" s="47">
        <f ca="1">IF(AC166,('模拟-单技能数据'!$D$20+G166*'模拟-单技能数据'!$F$20)*(1+J166)*(1+'模拟-单技能数据'!$J$20)*(1+U166),0)</f>
        <v>0</v>
      </c>
      <c r="AG166" s="61">
        <f t="shared" ca="1" si="135"/>
        <v>0.64185145527300214</v>
      </c>
      <c r="AH166" s="61">
        <f t="shared" ca="1" si="136"/>
        <v>2.2624828854998791</v>
      </c>
      <c r="AI166" s="62">
        <f t="shared" ca="1" si="158"/>
        <v>0.82489814786544091</v>
      </c>
      <c r="AJ166" s="47">
        <f ca="1">IF(AD166,IF(AI166&lt;$F$10,0,IF(AI166&lt;$F$10+$F$11,0.25,IF(AI166&lt;$F$10+$F$11+AG166,AH166,1)))*IF(AF166&gt;0,AF166,IF(AF165&gt;0,AF165,IF(AF164&gt;0,AF164,IF(AF163&gt;0,AF163,IF(AF162&gt;0,AF162,IF(AF161&gt;0,AF161,IF(AF160&gt;0,AF160,IF(AF159&gt;0,AF159,IF(AF158&gt;0,AF158,IF(AF156&gt;0,AF156,IF(AF155&gt;0,AF155,IF(AF154&gt;0,AF154,0)))))))))))),0)*(1-$S166)*'模拟-单技能数据'!$I$20</f>
        <v>0</v>
      </c>
      <c r="AK166" s="115" t="b">
        <f t="shared" ca="1" si="123"/>
        <v>0</v>
      </c>
      <c r="AL166" s="115" t="b">
        <f t="shared" ca="1" si="144"/>
        <v>0</v>
      </c>
      <c r="AM166" s="115">
        <f t="shared" ca="1" si="145"/>
        <v>3</v>
      </c>
      <c r="AN166" s="47">
        <f ca="1">IF(AK166,('模拟-单技能数据'!$D$21+G166*'模拟-单技能数据'!$F$21)*(1+J166)*(1+'模拟-单技能数据'!$J$21)*(1+U166),0)</f>
        <v>0</v>
      </c>
      <c r="AO166" s="61">
        <f ca="1">IF(AN166&gt;0,M166-'模拟-单技能数据'!$K$10,AO165)</f>
        <v>0.42185145527300216</v>
      </c>
      <c r="AP166" s="61">
        <f ca="1">IF(AN166&gt;0,I166-'模拟-单技能数据'!$L$10,AP165)</f>
        <v>2.162482885499879</v>
      </c>
      <c r="AQ166" s="63">
        <f t="shared" ca="1" si="159"/>
        <v>0.5998614546856339</v>
      </c>
      <c r="AR166" s="64">
        <f ca="1">IF(AL166,IF(AQ166&lt;$F$10,0,IF(AQ166&lt;$F$10+$F$11,0.25,IF(AQ166&lt;$F$10+$F$11+AO166,AP166,1)))*IF(AN166&gt;0,AN166,IF(AN165&gt;0,AN165,IF(AN164&gt;0,AN164,IF(AN163&gt;0,AN163,IF(AN162&gt;0,AN162,IF(AN161&gt;0,AN161,IF(AN160&gt;0,AN160,IF(AN159&gt;0,AN159,IF(AN158&gt;0,AN158,IF(AN156&gt;0,AN156,IF(AN155&gt;0,AN155,IF(AN154&gt;0,AN154,0)))))))))))),0)*(1-$S166)*'模拟-单技能数据'!$I$21</f>
        <v>0</v>
      </c>
      <c r="AS166" s="61">
        <f ca="1">IF(OR(C166="净世破魔击·日",C166="净世破魔击·月"),M166-'模拟-单技能数据'!$K$10,0)</f>
        <v>0.42185145527300216</v>
      </c>
      <c r="AT166" s="61">
        <f ca="1">IF(OR(C166="净世破魔击·日",C166="净世破魔击·月"),I166-'模拟-单技能数据'!$L$10,0)</f>
        <v>2.162482885499879</v>
      </c>
      <c r="AU166" s="62">
        <f t="shared" ca="1" si="160"/>
        <v>0.9802879122452961</v>
      </c>
      <c r="AV166" s="64">
        <f ca="1">IF(AS166&gt;0,('模拟-单技能数据'!$D$22+G166*'模拟-单技能数据'!$F$22)*(1+J166)*(1-S166)*IF(AU166&lt;$F$10,0,IF(AU166&lt;$F$10+$F$11,0.25,IF(AU166&lt;$F$10+$F$11+AS166,AT166,1)))*(1+U166),0)*'模拟-单技能数据'!$I$22</f>
        <v>7956.2107573714466</v>
      </c>
      <c r="AW166" s="108">
        <f t="shared" ca="1" si="161"/>
        <v>0</v>
      </c>
      <c r="AX166" s="108" t="b">
        <f ca="1">AND(模拟模式!$P$10="有",AW165=0,RAND()&lt;IF(C166="净世破魔击·月",0.1*8/3,IF(C166="净世破魔击·日",0.1*4/3,0.1*2/3)))</f>
        <v>0</v>
      </c>
      <c r="AY166" s="47">
        <f ca="1">IF(AX166,(18+G166*0.722)*(1+J166)*(1-S166)*(1+$I$4)*IF(P166="会",'模拟-全程加成'!$J$3+'模拟-全程加成'!$J$4+'模拟-全程加成'!$J$5+('模拟-全程加成'!$I$4+'模拟-全程加成'!$I$5)/系数!$B$4+BG166*10%,IF(P166="命",1,IF(P166="识",0.25,0))),0)</f>
        <v>0</v>
      </c>
      <c r="AZ166" s="108">
        <f t="shared" si="162"/>
        <v>13.542500000000004</v>
      </c>
      <c r="BA166" s="108" t="b">
        <f>AND(模拟模式!$Q$10="有",AZ165=0)</f>
        <v>0</v>
      </c>
      <c r="BB166" s="140">
        <f>IF(BA166,(0+G166*0.287)*(1+J166)*(1-S166)*(1+$I$4)*IF(P166="会",'模拟-全程加成'!$J$3+'模拟-全程加成'!$J$4+'模拟-全程加成'!$J$5+('模拟-全程加成'!$I$4+'模拟-全程加成'!$I$5)/系数!$B$4+BG166*10%,IF(P166="命",1,IF(P166="识",0.25,0))),0)</f>
        <v>0</v>
      </c>
      <c r="BC166" s="115" t="b">
        <f ca="1">AND(模拟模式!$R$7="伏明众生",E166=60,F166=20,DA166&lt;5,CZ165&lt;$F$4)</f>
        <v>0</v>
      </c>
      <c r="BD166" s="115">
        <f t="shared" ca="1" si="124"/>
        <v>0</v>
      </c>
      <c r="BE166" s="115" t="b">
        <f t="shared" ca="1" si="125"/>
        <v>0</v>
      </c>
      <c r="BF166" s="47">
        <f ca="1">IF(BC166,4*('模拟-单技能数据'!$D$24+G166*'模拟-单技能数据'!$F$24)*(1+J166)*(1+'模拟-单技能数据'!$J$24)*(1-S166)*(1+$I$3)*(('模拟-全程加成'!$J$3+'模拟-全程加成'!$J$4+'模拟-全程加成'!$J$5+('模拟-全程加成'!$I$4+'模拟-全程加成'!$I$5)/系数!$B$4+BG166*10%)*('模拟-全程加成'!$J$3+'模拟-全程加成'!$J$4+'模拟-全程加成'!$J$5+('模拟-全程加成'!$I$4+'模拟-全程加成'!$I$5)/系数!$B$4+BG166*10%)+(1-('模拟-全程加成'!$J$3+'模拟-全程加成'!$J$4+'模拟-全程加成'!$J$5+('模拟-全程加成'!$I$4+'模拟-全程加成'!$I$5)/系数!$B$4+BG166*10%)-$F$10-$F$11)+F152*0.25),0)*'模拟-单技能数据'!$I$24</f>
        <v>0</v>
      </c>
      <c r="BG166" s="115" t="b">
        <f ca="1">OR(AND(OR(C166="烈日斩",C166="银月斩"),模拟模式!$I$7="净身明礼"),AND(C166="净世破魔击·日",模拟模式!$J$7="洞若观火"),AND(C167="净世破魔击·月",模拟模式!$J$7="洞若观火"),AB166=1)</f>
        <v>1</v>
      </c>
      <c r="BH166" s="115" t="b">
        <f t="shared" ca="1" si="163"/>
        <v>0</v>
      </c>
      <c r="BI166" s="115">
        <f t="shared" ca="1" si="126"/>
        <v>5.0774999999999997</v>
      </c>
      <c r="BJ166" s="115" t="b">
        <f t="shared" ca="1" si="137"/>
        <v>1</v>
      </c>
      <c r="BK166" s="115" t="b">
        <f ca="1">AND(C166="驱夜断愁",模拟模式!$P$7="天地诛戮")</f>
        <v>0</v>
      </c>
      <c r="BL166" s="57">
        <f t="shared" ca="1" si="127"/>
        <v>17.232500000000002</v>
      </c>
      <c r="BM166" s="115" t="b">
        <f t="shared" ca="1" si="138"/>
        <v>1</v>
      </c>
      <c r="BN166" s="115" t="b">
        <f ca="1">AND(OR(C166="赤日轮1",C166="赤日轮2",C166="赤日轮3",C166="幽月轮1",C166="幽月轮2",C166="幽月轮3"),AB166=1,模拟模式!$L$7="明光恒照")</f>
        <v>0</v>
      </c>
      <c r="BO166" s="117">
        <f t="shared" ca="1" si="128"/>
        <v>29.077500000000001</v>
      </c>
      <c r="BP166" s="115">
        <f t="shared" ca="1" si="164"/>
        <v>6</v>
      </c>
      <c r="BQ166" s="115" t="b">
        <f>模拟模式!$K$10="2600·水"</f>
        <v>0</v>
      </c>
      <c r="BR166" s="117">
        <f t="shared" si="165"/>
        <v>0</v>
      </c>
      <c r="BS166" s="115">
        <f t="shared" si="166"/>
        <v>0</v>
      </c>
      <c r="BT166" s="115">
        <f t="shared" ca="1" si="167"/>
        <v>0</v>
      </c>
      <c r="BU166" s="115" t="b">
        <f ca="1">AND(模拟模式!$K$10="2300·雷",BT165=0,RAND()&lt;IF(C166="净世破魔击·月",5*0.05*2/3,IF(C166="净世破魔击·日",3*0.05*2/3,0.05*2*2/3)))</f>
        <v>0</v>
      </c>
      <c r="BV166" s="115">
        <f t="shared" ca="1" si="168"/>
        <v>0</v>
      </c>
      <c r="BW166" s="115">
        <f t="shared" ca="1" si="169"/>
        <v>57.30749999999928</v>
      </c>
      <c r="BX166" s="164" t="b">
        <f t="shared" ca="1" si="170"/>
        <v>0</v>
      </c>
      <c r="BY166" s="115">
        <f t="shared" ca="1" si="171"/>
        <v>0</v>
      </c>
      <c r="BZ166" s="115">
        <f>IF(OR(模拟模式!$P$16="10人团",模拟模式!$P$16="25人团"),IF(B166/30&gt;CA165,1,0),0)</f>
        <v>0</v>
      </c>
      <c r="CA166" s="115">
        <f t="shared" si="147"/>
        <v>0</v>
      </c>
      <c r="CB166" s="115">
        <f ca="1">IF(BZ166=1,IF(模拟模式!$P$16="10人团",15,0)+IF(模拟模式!$P$16="25人团",IF(RAND()&lt;0.6,15,0)),MAX(0,CB165-$F$4))</f>
        <v>0</v>
      </c>
      <c r="CC166" s="115" t="b">
        <f t="shared" ca="1" si="139"/>
        <v>0</v>
      </c>
      <c r="CD166" s="115">
        <f>IF(模拟模式!$Q$16="1个",IF(B166/40&gt;CE165,1,0),0)</f>
        <v>0</v>
      </c>
      <c r="CE166" s="115">
        <f t="shared" si="140"/>
        <v>0</v>
      </c>
      <c r="CF166" s="115">
        <f>IF(OR(CD166=1,模拟模式!$Q$16="2个"),20,MAX(0,CF165-$F$4))</f>
        <v>0</v>
      </c>
      <c r="CG166" s="115" t="b">
        <f t="shared" si="141"/>
        <v>0</v>
      </c>
      <c r="CH166" s="115">
        <f t="shared" ca="1" si="172"/>
        <v>2.3250000000000117</v>
      </c>
      <c r="CI166" s="115" t="b">
        <f t="shared" ca="1" si="173"/>
        <v>0</v>
      </c>
      <c r="CJ166" s="119">
        <f t="shared" ca="1" si="174"/>
        <v>0</v>
      </c>
      <c r="CK166" s="115">
        <f t="shared" ca="1" si="175"/>
        <v>0</v>
      </c>
      <c r="CL166" s="115" t="b">
        <f ca="1">AND(模拟模式!$S$7="驱夷逐法",OR(AND(C166="净世破魔击·月",E165&gt;59),AND(C166="净世破魔击·日",F165&gt;59)))</f>
        <v>1</v>
      </c>
      <c r="CM166" s="115" t="b">
        <f ca="1">OR(CL166,AND(C166="净世破魔击·日",CL165,RAND()&lt;模拟模式!$U$23))</f>
        <v>1</v>
      </c>
      <c r="CN166" s="115" t="b">
        <f ca="1">IF(模拟模式!$M$7="辉耀红尘",AND(C166="净世破魔击·月",CL166,CV166=0,E165&lt;80),AND(C166="净世破魔击·月",CL166,E165&lt;100))</f>
        <v>0</v>
      </c>
      <c r="CO166" s="115" t="b">
        <f t="shared" ca="1" si="148"/>
        <v>0</v>
      </c>
      <c r="CP166" s="115" t="b">
        <f ca="1">AND(模拟模式!$O$7="用晦而明",OR(C166="净世破魔击·日",C166="净世破魔击·月",C166="驱夜断愁"),AB166)</f>
        <v>1</v>
      </c>
      <c r="CQ166" s="115" t="b">
        <f ca="1">OR(CP166,AND(CP165,RAND()&lt;模拟模式!$U$23))</f>
        <v>1</v>
      </c>
      <c r="CR166" s="115" t="b">
        <f ca="1">AND(模拟模式!$S$7="日月齐光",OR(C166="幽月轮1",C166="幽月轮2",C166="幽月轮3",CR165),NOT(OR(C166="赤日轮1",C166="赤日轮2",C166="赤日轮3")))</f>
        <v>0</v>
      </c>
      <c r="CS166" s="115" t="b">
        <f ca="1">AND(模拟模式!$S$7="日月齐光",OR(C166="赤日轮1",C166="赤日轮2",C166="赤日轮3",CS165),NOT(OR(C166="幽月轮1",C166="幽月轮2",C166="幽月轮3")))</f>
        <v>0</v>
      </c>
      <c r="CT166" s="115">
        <f t="shared" ca="1" si="176"/>
        <v>0.48000000000001186</v>
      </c>
      <c r="CU166" s="115" t="b">
        <f ca="1">AND(模拟模式!$K$10="阴阳往极",CT165=0,RAND()&lt;IF(C166="净世破魔击·月",0.0275*7/3,IF(C166="净世破魔击·日",0.0275*3/3,0.0275*2/3)))</f>
        <v>0</v>
      </c>
      <c r="CV166" s="115">
        <f t="shared" ca="1" si="177"/>
        <v>0</v>
      </c>
      <c r="CW166" s="115">
        <f t="shared" ca="1" si="149"/>
        <v>4.1549999999999994</v>
      </c>
      <c r="CX166" s="115">
        <f t="shared" ca="1" si="150"/>
        <v>2.3099999999999996</v>
      </c>
      <c r="CY166" s="115">
        <f ca="1">MAX(IF($C166="驱夜断愁",IF(模拟模式!$R$7="万念俱寂",6,45),CY165-$F$4),0)</f>
        <v>3.2324999999999995</v>
      </c>
      <c r="CZ166" s="115">
        <f t="shared" ca="1" si="151"/>
        <v>0</v>
      </c>
      <c r="DA166" s="115">
        <f ca="1">IF(模拟模式!$N$7="日月同辉",IF(DB165=2,0,MIN(6,IF(AND(OR(C166="赤日轮1",C166="赤日轮2",C166="赤日轮3",C166="幽月轮1",C166="幽月轮2",C166="幽月轮3"),AB166=1),DA165+1,DA165))),0)</f>
        <v>0</v>
      </c>
      <c r="DB166" s="115">
        <f t="shared" ca="1" si="152"/>
        <v>1</v>
      </c>
      <c r="DC166" s="115"/>
      <c r="DD166" s="115"/>
      <c r="DE166" s="115"/>
      <c r="DF166" s="115"/>
      <c r="DG166" s="115"/>
      <c r="DH166" s="115"/>
      <c r="DI166" s="115"/>
      <c r="DJ166" s="115"/>
      <c r="DK166" s="115"/>
      <c r="DL166" s="115"/>
      <c r="DM166" s="115"/>
    </row>
    <row r="167" spans="2:117" x14ac:dyDescent="0.2">
      <c r="B167" s="117">
        <f t="shared" si="153"/>
        <v>129.14999999999995</v>
      </c>
      <c r="C167" s="167" t="str">
        <f t="shared" ca="1" si="146"/>
        <v>净世破魔击·日</v>
      </c>
      <c r="D167" s="115">
        <f ca="1">IF(C167="赤日轮1",1,IF(C167="赤日轮2",2,IF(C167="赤日轮3",3,IF(C167="幽月轮1",4,IF(C167="幽月轮2",5,IF(C167="幽月轮3",6,IF(C167="烈日斩",7,IF(C167="银月斩",8,IF(C167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167="净世破魔击·月",17,IF(C167="驱夜断愁",18,0)))))))))))</f>
        <v>9</v>
      </c>
      <c r="E167" s="115">
        <f ca="1">IF(AND(CU167,OR(C167="幽月轮1",C167="幽月轮2",C167="幽月轮3",C167="银月斩",C167="驱夜断愁",C167="净世破魔击·月")),100,MIN(IF(OR(CN167,BE167),0,IF(OR($C167="赤日轮1",$C167="赤日轮2",$C167="赤日轮3"),E166+20+IF(模拟模式!$I$7="日月凌天",4,0)+IF(CR166,20,0),IF($C167="烈日斩",E166+40,IF($C167="驱夜断愁",IF(模拟模式!$R$7="万念俱寂",E166+20,E166+60),IF($C167="净世破魔击·月",IF(OR(DB166&gt;0,CV166&gt;0),100,IF(模拟模式!$M$7="辉耀红尘",E166+20,E166)),IF($C167="净世破魔击·日",E166-100,E166)))))),100))</f>
        <v>0</v>
      </c>
      <c r="F167" s="115">
        <f ca="1">IF(AND(CU167,OR(C167="赤日轮1",C167="赤日轮2",C167="赤日轮3",C167="烈日斩",C167="净世破魔击·日")),100,MIN(IF(CO167,0,IF(OR($C167="幽月轮1",$C167="幽月轮2",$C167="幽月轮3"),F166+20+IF(模拟模式!$I$7="日月凌天",4,0)+IF(CS166,20,0),IF($C167="银月斩",F166+40+IF(模拟模式!$X$12=1,5,0),IF($C167="驱夜断愁",IF(模拟模式!$R$7="万念俱寂",F166+20,F166+60),IF($C167="净世破魔击·月",IF(模拟模式!$M$7="辉耀红尘",F166-80,F166-100),IF(AND(C167="净世破魔击·日",OR(DB166&gt;0,CV166&gt;0)),100,F166)))))),100))</f>
        <v>100</v>
      </c>
      <c r="G167" s="117">
        <f ca="1">('模拟-全程加成'!$E$3+'模拟-全程加成'!$E$4+'模拟-全程加成'!$E$5+('模拟-全程加成'!$C$6-'模拟-全程加成'!$C$3)*系数!$B$9+BS167*23)*(1+'模拟-全程加成'!$F$4+'模拟-全程加成'!$F$5+BJ167*10%+BM167*20%+BP167*4%+CG167*30%)+$F$7*系数!$B$12</f>
        <v>21493.829400000002</v>
      </c>
      <c r="H167" s="45">
        <f ca="1">'模拟-全程加成'!$H$3+'模拟-全程加成'!$H$4+'模拟-全程加成'!$H$5+('模拟-全程加成'!$G$4+'模拟-全程加成'!$G$5+('模拟-全程加成'!$C$6-'模拟-全程加成'!$C$3)*系数!$B$13)/系数!$B$3+LOOKUP(D167,'模拟-单技能数据'!$A$2:$A$19,'模拟-单技能数据'!$K$2:$K$19)+BG167*10%+IF(BV167&gt;0,378,0)</f>
        <v>0.54185145527300216</v>
      </c>
      <c r="I167" s="45">
        <f ca="1">'模拟-全程加成'!$J$3+'模拟-全程加成'!$J$4+'模拟-全程加成'!$J$5+('模拟-全程加成'!$I$4+'模拟-全程加成'!$I$5)/系数!$B$4+LOOKUP(D167,'模拟-单技能数据'!$A$2:$A$19,'模拟-单技能数据'!$L$2:$L$19)+BG167*10%</f>
        <v>2.162482885499879</v>
      </c>
      <c r="J167" s="45">
        <f ca="1">(('模拟-全程加成'!$K$3+'模拟-全程加成'!$K$4+'模拟-全程加成'!$K$5+('模拟-全程加成'!$C$6-'模拟-全程加成'!$C$3)*系数!$B$10+IF(BV167&gt;0,882,0)+IF(BY167&gt;0,1831,0))*(1+'模拟-全程加成'!$L$4+'模拟-全程加成'!$L$5+CC167*20%))/系数!$B$5</f>
        <v>0.69723220422048726</v>
      </c>
      <c r="K167" s="119">
        <f ca="1">LOOKUP(D167,'模拟-单技能数据'!$A$2:$A$19,'模拟-单技能数据'!$J$2:$J$19)+IF(CM167,60%,0)+IF(DB166-DB167&gt;0,30%,0)+IF(OR(AND(OR(C167="赤日轮1",C167="赤日轮2",C167="赤日轮3"),CR167),AND(OR(C167="幽月轮1",C167="幽月轮2",C167="幽月轮3"),CS167)),35%,0)+CJ167</f>
        <v>1.1000000000000001</v>
      </c>
      <c r="L167" s="119">
        <f ca="1">IF(AND(C167="烈日斩",模拟模式!$X$11=1),10%,0)+IF(AND(C167="驱夜断愁",AB167=1),30%,0)</f>
        <v>0</v>
      </c>
      <c r="M167" s="45">
        <f t="shared" ca="1" si="129"/>
        <v>0.54185145527300216</v>
      </c>
      <c r="N167" s="45">
        <f t="shared" ca="1" si="130"/>
        <v>0.40424854472699789</v>
      </c>
      <c r="O167" s="46">
        <f t="shared" ca="1" si="154"/>
        <v>2.668072631386631E-2</v>
      </c>
      <c r="P167" s="46" t="str">
        <f t="shared" ca="1" si="155"/>
        <v>识</v>
      </c>
      <c r="Q167" s="45">
        <f t="shared" ca="1" si="156"/>
        <v>0.25</v>
      </c>
      <c r="R167" s="117">
        <f ca="1">模拟模式!$E$20*(1-IF(模拟模式!$J$19="有",0.15,0))*(1-IF(模拟模式!$K$19="有",0.3,0)-IF(CQ167,0.5,0))</f>
        <v>843.02999999999975</v>
      </c>
      <c r="S167" s="45">
        <f ca="1">R167/(R167+(185*模拟模式!$E$22-16800)*4.08224)</f>
        <v>8.389626085980037E-2</v>
      </c>
      <c r="T167" s="45" t="str">
        <f ca="1">LOOKUP(D167,'模拟-单技能数据'!$A$2:$A$19,'模拟-单技能数据'!$H$2:$H$19)</f>
        <v>阳</v>
      </c>
      <c r="U167" s="119">
        <f t="shared" ca="1" si="131"/>
        <v>0.2</v>
      </c>
      <c r="V167" s="47">
        <f ca="1">(1+L167)*(LOOKUP(D167,'模拟-单技能数据'!$A$2:$A$19,'模拟-单技能数据'!$D$2:$D$19)+G167*LOOKUP(D167,'模拟-单技能数据'!$A$2:$A$19,'模拟-单技能数据'!$F$2:$F$19))*(1+J167)*(1+K167)*(1-S167)*(1+U167)*Q167*LOOKUP(D167,'模拟-单技能数据'!$A$2:$A$19,'模拟-单技能数据'!$I$2:$I$20)</f>
        <v>27584.481489367259</v>
      </c>
      <c r="W167" s="47">
        <f ca="1">LOOKUP(D167,'模拟-单技能数据'!$A$2:$A$19,'模拟-单技能数据'!$G$2:$G$19)*$I$10</f>
        <v>723.0212870940959</v>
      </c>
      <c r="X167" s="47">
        <f t="shared" ca="1" si="157"/>
        <v>53835.37968918652</v>
      </c>
      <c r="Y167" s="47">
        <f t="shared" ca="1" si="132"/>
        <v>82142.882465647883</v>
      </c>
      <c r="Z167" s="49">
        <f t="shared" ca="1" si="133"/>
        <v>14453112.49561655</v>
      </c>
      <c r="AA167" s="97">
        <f t="shared" ca="1" si="134"/>
        <v>111909.50441824665</v>
      </c>
      <c r="AB167" s="115">
        <f ca="1">IF(OR(C167="赤日轮1",C167="赤日轮2",C167="赤日轮3"),IF(RAND()&lt;模拟模式!$Y$17,1,0),IF(OR(C167="幽月轮1",C167="幽月轮2",C167="幽月轮3"),IF(RAND()&lt;模拟模式!$Y$18,1,0),IF(C167="烈日斩",IF(RAND()&lt;模拟模式!$Y$19,1,0),IF(C167="银月斩",IF(RAND()&lt;模拟模式!$Y$20,1,0),IF(C167="驱夜断愁",IF(RAND()&lt;模拟模式!$Y$21,1,0),IF(C167="净世破魔击·日",IF(RAND()&lt;模拟模式!$Y$22,1,0),IF(C167="净世破魔击·月",IF(RAND()&lt;模拟模式!$Y$23,1,0),0)))))))</f>
        <v>1</v>
      </c>
      <c r="AC167" s="115" t="b">
        <f t="shared" ca="1" si="122"/>
        <v>0</v>
      </c>
      <c r="AD167" s="115" t="b">
        <f t="shared" ca="1" si="142"/>
        <v>1</v>
      </c>
      <c r="AE167" s="115">
        <f t="shared" ca="1" si="143"/>
        <v>3</v>
      </c>
      <c r="AF167" s="47">
        <f ca="1">IF(AC167,('模拟-单技能数据'!$D$20+G167*'模拟-单技能数据'!$F$20)*(1+J167)*(1+'模拟-单技能数据'!$J$20)*(1+U167),0)</f>
        <v>0</v>
      </c>
      <c r="AG167" s="61">
        <f t="shared" ca="1" si="135"/>
        <v>0.64185145527300214</v>
      </c>
      <c r="AH167" s="61">
        <f t="shared" ca="1" si="136"/>
        <v>2.2624828854998791</v>
      </c>
      <c r="AI167" s="62">
        <f t="shared" ca="1" si="158"/>
        <v>0.3669628065156969</v>
      </c>
      <c r="AJ167" s="47">
        <f ca="1">IF(AD167,IF(AI167&lt;$F$10,0,IF(AI167&lt;$F$10+$F$11,0.25,IF(AI167&lt;$F$10+$F$11+AG167,AH167,1)))*IF(AF167&gt;0,AF167,IF(AF166&gt;0,AF166,IF(AF165&gt;0,AF165,IF(AF164&gt;0,AF164,IF(AF163&gt;0,AF163,IF(AF162&gt;0,AF162,IF(AF161&gt;0,AF161,IF(AF160&gt;0,AF160,IF(AF159&gt;0,AF159,IF(AF157&gt;0,AF157,IF(AF156&gt;0,AF156,IF(AF155&gt;0,AF155,0)))))))))))),0)*(1-$S167)*'模拟-单技能数据'!$I$20</f>
        <v>9616.6571145767884</v>
      </c>
      <c r="AK167" s="115" t="b">
        <f t="shared" ca="1" si="123"/>
        <v>1</v>
      </c>
      <c r="AL167" s="115" t="b">
        <f t="shared" ca="1" si="144"/>
        <v>1</v>
      </c>
      <c r="AM167" s="115">
        <f t="shared" ca="1" si="145"/>
        <v>5</v>
      </c>
      <c r="AN167" s="47">
        <f ca="1">IF(AK167,('模拟-单技能数据'!$D$21+G167*'模拟-单技能数据'!$F$21)*(1+J167)*(1+'模拟-单技能数据'!$J$21)*(1+U167),0)</f>
        <v>12670.936004857545</v>
      </c>
      <c r="AO167" s="61">
        <f ca="1">IF(AN167&gt;0,M167-'模拟-单技能数据'!$K$10,AO166)</f>
        <v>0.42185145527300216</v>
      </c>
      <c r="AP167" s="61">
        <f ca="1">IF(AN167&gt;0,I167-'模拟-单技能数据'!$L$10,AP166)</f>
        <v>2.162482885499879</v>
      </c>
      <c r="AQ167" s="63">
        <f t="shared" ca="1" si="159"/>
        <v>0.38419128615326381</v>
      </c>
      <c r="AR167" s="64">
        <f ca="1">IF(AL167,IF(AQ167&lt;$F$10,0,IF(AQ167&lt;$F$10+$F$11,0.25,IF(AQ167&lt;$F$10+$F$11+AO167,AP167,1)))*IF(AN167&gt;0,AN167,IF(AN166&gt;0,AN166,IF(AN165&gt;0,AN165,IF(AN164&gt;0,AN164,IF(AN163&gt;0,AN163,IF(AN162&gt;0,AN162,IF(AN161&gt;0,AN161,IF(AN160&gt;0,AN160,IF(AN159&gt;0,AN159,IF(AN157&gt;0,AN157,IF(AN156&gt;0,AN156,IF(AN155&gt;0,AN155,0)))))))))))),0)*(1-$S167)*'模拟-单技能数据'!$I$21</f>
        <v>25101.867467669974</v>
      </c>
      <c r="AS167" s="61">
        <f ca="1">IF(OR(C167="净世破魔击·日",C167="净世破魔击·月"),M167-'模拟-单技能数据'!$K$10,0)</f>
        <v>0.42185145527300216</v>
      </c>
      <c r="AT167" s="61">
        <f ca="1">IF(OR(C167="净世破魔击·日",C167="净世破魔击·月"),I167-'模拟-单技能数据'!$L$10,0)</f>
        <v>2.162482885499879</v>
      </c>
      <c r="AU167" s="62">
        <f t="shared" ca="1" si="160"/>
        <v>0.1995524897674309</v>
      </c>
      <c r="AV167" s="64">
        <f ca="1">IF(AS167&gt;0,('模拟-单技能数据'!$D$22+G167*'模拟-单技能数据'!$F$22)*(1+J167)*(1-S167)*IF(AU167&lt;$F$10,0,IF(AU167&lt;$F$10+$F$11,0.25,IF(AU167&lt;$F$10+$F$11+AS167,AT167,1)))*(1+U167),0)*'模拟-单技能数据'!$I$22</f>
        <v>19116.855106939758</v>
      </c>
      <c r="AW167" s="108">
        <f t="shared" ca="1" si="161"/>
        <v>0</v>
      </c>
      <c r="AX167" s="108" t="b">
        <f ca="1">AND(模拟模式!$P$10="有",AW166=0,RAND()&lt;IF(C167="净世破魔击·月",0.1*8/3,IF(C167="净世破魔击·日",0.1*4/3,0.1*2/3)))</f>
        <v>0</v>
      </c>
      <c r="AY167" s="47">
        <f ca="1">IF(AX167,(18+G167*0.722)*(1+J167)*(1-S167)*(1+$I$4)*IF(P167="会",'模拟-全程加成'!$J$3+'模拟-全程加成'!$J$4+'模拟-全程加成'!$J$5+('模拟-全程加成'!$I$4+'模拟-全程加成'!$I$5)/系数!$B$4+BG167*10%,IF(P167="命",1,IF(P167="识",0.25,0))),0)</f>
        <v>0</v>
      </c>
      <c r="AZ167" s="108">
        <f t="shared" si="162"/>
        <v>12.620000000000005</v>
      </c>
      <c r="BA167" s="108" t="b">
        <f>AND(模拟模式!$Q$10="有",AZ166=0)</f>
        <v>0</v>
      </c>
      <c r="BB167" s="140">
        <f>IF(BA167,(0+G167*0.287)*(1+J167)*(1-S167)*(1+$I$4)*IF(P167="会",'模拟-全程加成'!$J$3+'模拟-全程加成'!$J$4+'模拟-全程加成'!$J$5+('模拟-全程加成'!$I$4+'模拟-全程加成'!$I$5)/系数!$B$4+BG167*10%,IF(P167="命",1,IF(P167="识",0.25,0))),0)</f>
        <v>0</v>
      </c>
      <c r="BC167" s="115" t="b">
        <f ca="1">AND(模拟模式!$R$7="伏明众生",E167=60,F167=20,DA167&lt;5,CZ166&lt;$F$4)</f>
        <v>0</v>
      </c>
      <c r="BD167" s="115">
        <f t="shared" ca="1" si="124"/>
        <v>0</v>
      </c>
      <c r="BE167" s="115" t="b">
        <f t="shared" ca="1" si="125"/>
        <v>0</v>
      </c>
      <c r="BF167" s="47">
        <f ca="1">IF(BC167,4*('模拟-单技能数据'!$D$24+G167*'模拟-单技能数据'!$F$24)*(1+J167)*(1+'模拟-单技能数据'!$J$24)*(1-S167)*(1+$I$3)*(('模拟-全程加成'!$J$3+'模拟-全程加成'!$J$4+'模拟-全程加成'!$J$5+('模拟-全程加成'!$I$4+'模拟-全程加成'!$I$5)/系数!$B$4+BG167*10%)*('模拟-全程加成'!$J$3+'模拟-全程加成'!$J$4+'模拟-全程加成'!$J$5+('模拟-全程加成'!$I$4+'模拟-全程加成'!$I$5)/系数!$B$4+BG167*10%)+(1-('模拟-全程加成'!$J$3+'模拟-全程加成'!$J$4+'模拟-全程加成'!$J$5+('模拟-全程加成'!$I$4+'模拟-全程加成'!$I$5)/系数!$B$4+BG167*10%)-$F$10-$F$11)+F153*0.25),0)*'模拟-单技能数据'!$I$24</f>
        <v>0</v>
      </c>
      <c r="BG167" s="115" t="b">
        <f ca="1">OR(AND(OR(C167="烈日斩",C167="银月斩"),模拟模式!$I$7="净身明礼"),AND(C167="净世破魔击·日",模拟模式!$J$7="洞若观火"),AND(C168="净世破魔击·月",模拟模式!$J$7="洞若观火"),AB167=1)</f>
        <v>1</v>
      </c>
      <c r="BH167" s="115" t="b">
        <f t="shared" ca="1" si="163"/>
        <v>0</v>
      </c>
      <c r="BI167" s="115">
        <f t="shared" ca="1" si="126"/>
        <v>4.1549999999999994</v>
      </c>
      <c r="BJ167" s="115" t="b">
        <f t="shared" ca="1" si="137"/>
        <v>1</v>
      </c>
      <c r="BK167" s="115" t="b">
        <f ca="1">AND(C167="驱夜断愁",模拟模式!$P$7="天地诛戮")</f>
        <v>0</v>
      </c>
      <c r="BL167" s="57">
        <f t="shared" ca="1" si="127"/>
        <v>16.310000000000002</v>
      </c>
      <c r="BM167" s="115" t="b">
        <f t="shared" ca="1" si="138"/>
        <v>1</v>
      </c>
      <c r="BN167" s="115" t="b">
        <f ca="1">AND(OR(C167="赤日轮1",C167="赤日轮2",C167="赤日轮3",C167="幽月轮1",C167="幽月轮2",C167="幽月轮3"),AB167=1,模拟模式!$L$7="明光恒照")</f>
        <v>0</v>
      </c>
      <c r="BO167" s="117">
        <f t="shared" ca="1" si="128"/>
        <v>28.155000000000001</v>
      </c>
      <c r="BP167" s="115">
        <f t="shared" ca="1" si="164"/>
        <v>6</v>
      </c>
      <c r="BQ167" s="115" t="b">
        <f>模拟模式!$K$10="2600·水"</f>
        <v>0</v>
      </c>
      <c r="BR167" s="117">
        <f t="shared" si="165"/>
        <v>0</v>
      </c>
      <c r="BS167" s="115">
        <f t="shared" si="166"/>
        <v>0</v>
      </c>
      <c r="BT167" s="115">
        <f t="shared" ca="1" si="167"/>
        <v>0</v>
      </c>
      <c r="BU167" s="115" t="b">
        <f ca="1">AND(模拟模式!$K$10="2300·雷",BT166=0,RAND()&lt;IF(C167="净世破魔击·月",5*0.05*2/3,IF(C167="净世破魔击·日",3*0.05*2/3,0.05*2*2/3)))</f>
        <v>0</v>
      </c>
      <c r="BV167" s="115">
        <f t="shared" ca="1" si="168"/>
        <v>0</v>
      </c>
      <c r="BW167" s="115">
        <f t="shared" ca="1" si="169"/>
        <v>56.38499999999928</v>
      </c>
      <c r="BX167" s="164" t="b">
        <f t="shared" ca="1" si="170"/>
        <v>0</v>
      </c>
      <c r="BY167" s="115">
        <f t="shared" ca="1" si="171"/>
        <v>0</v>
      </c>
      <c r="BZ167" s="115">
        <f>IF(OR(模拟模式!$P$16="10人团",模拟模式!$P$16="25人团"),IF(B167/30&gt;CA166,1,0),0)</f>
        <v>0</v>
      </c>
      <c r="CA167" s="115">
        <f t="shared" si="147"/>
        <v>0</v>
      </c>
      <c r="CB167" s="115">
        <f ca="1">IF(BZ167=1,IF(模拟模式!$P$16="10人团",15,0)+IF(模拟模式!$P$16="25人团",IF(RAND()&lt;0.6,15,0)),MAX(0,CB166-$F$4))</f>
        <v>0</v>
      </c>
      <c r="CC167" s="115" t="b">
        <f t="shared" ca="1" si="139"/>
        <v>0</v>
      </c>
      <c r="CD167" s="115">
        <f>IF(模拟模式!$Q$16="1个",IF(B167/40&gt;CE166,1,0),0)</f>
        <v>0</v>
      </c>
      <c r="CE167" s="115">
        <f t="shared" si="140"/>
        <v>0</v>
      </c>
      <c r="CF167" s="115">
        <f>IF(OR(CD167=1,模拟模式!$Q$16="2个"),20,MAX(0,CF166-$F$4))</f>
        <v>0</v>
      </c>
      <c r="CG167" s="115" t="b">
        <f t="shared" si="141"/>
        <v>0</v>
      </c>
      <c r="CH167" s="115">
        <f t="shared" ca="1" si="172"/>
        <v>1.4025000000000118</v>
      </c>
      <c r="CI167" s="115" t="b">
        <f t="shared" ca="1" si="173"/>
        <v>0</v>
      </c>
      <c r="CJ167" s="119">
        <f t="shared" ca="1" si="174"/>
        <v>0</v>
      </c>
      <c r="CK167" s="115">
        <f t="shared" ca="1" si="175"/>
        <v>0</v>
      </c>
      <c r="CL167" s="115" t="b">
        <f ca="1">AND(模拟模式!$S$7="驱夷逐法",OR(AND(C167="净世破魔击·月",E166&gt;59),AND(C167="净世破魔击·日",F166&gt;59)))</f>
        <v>0</v>
      </c>
      <c r="CM167" s="115" t="b">
        <f ca="1">OR(CL167,AND(C167="净世破魔击·日",CL166,RAND()&lt;模拟模式!$U$23))</f>
        <v>1</v>
      </c>
      <c r="CN167" s="115" t="b">
        <f ca="1">IF(模拟模式!$M$7="辉耀红尘",AND(C167="净世破魔击·月",CL167,CV167=0,E166&lt;80),AND(C167="净世破魔击·月",CL167,E166&lt;100))</f>
        <v>0</v>
      </c>
      <c r="CO167" s="115" t="b">
        <f t="shared" ca="1" si="148"/>
        <v>0</v>
      </c>
      <c r="CP167" s="115" t="b">
        <f ca="1">AND(模拟模式!$O$7="用晦而明",OR(C167="净世破魔击·日",C167="净世破魔击·月",C167="驱夜断愁"),AB167)</f>
        <v>1</v>
      </c>
      <c r="CQ167" s="115" t="b">
        <f ca="1">OR(CP167,AND(CP166,RAND()&lt;模拟模式!$U$23))</f>
        <v>1</v>
      </c>
      <c r="CR167" s="115" t="b">
        <f ca="1">AND(模拟模式!$S$7="日月齐光",OR(C167="幽月轮1",C167="幽月轮2",C167="幽月轮3",CR166),NOT(OR(C167="赤日轮1",C167="赤日轮2",C167="赤日轮3")))</f>
        <v>0</v>
      </c>
      <c r="CS167" s="115" t="b">
        <f ca="1">AND(模拟模式!$S$7="日月齐光",OR(C167="赤日轮1",C167="赤日轮2",C167="赤日轮3",CS166),NOT(OR(C167="幽月轮1",C167="幽月轮2",C167="幽月轮3")))</f>
        <v>0</v>
      </c>
      <c r="CT167" s="115">
        <f t="shared" ca="1" si="176"/>
        <v>0</v>
      </c>
      <c r="CU167" s="115" t="b">
        <f ca="1">AND(模拟模式!$K$10="阴阳往极",CT166=0,RAND()&lt;IF(C167="净世破魔击·月",0.0275*7/3,IF(C167="净世破魔击·日",0.0275*3/3,0.0275*2/3)))</f>
        <v>0</v>
      </c>
      <c r="CV167" s="115">
        <f t="shared" ca="1" si="177"/>
        <v>0</v>
      </c>
      <c r="CW167" s="115">
        <f t="shared" ca="1" si="149"/>
        <v>3.2324999999999995</v>
      </c>
      <c r="CX167" s="115">
        <f t="shared" ca="1" si="150"/>
        <v>1.3874999999999997</v>
      </c>
      <c r="CY167" s="115">
        <f ca="1">MAX(IF($C167="驱夜断愁",IF(模拟模式!$R$7="万念俱寂",6,45),CY166-$F$4),0)</f>
        <v>2.3099999999999996</v>
      </c>
      <c r="CZ167" s="115">
        <f t="shared" ca="1" si="151"/>
        <v>0</v>
      </c>
      <c r="DA167" s="115">
        <f ca="1">IF(模拟模式!$N$7="日月同辉",IF(DB166=2,0,MIN(6,IF(AND(OR(C167="赤日轮1",C167="赤日轮2",C167="赤日轮3",C167="幽月轮1",C167="幽月轮2",C167="幽月轮3"),AB167=1),DA166+1,DA166))),0)</f>
        <v>0</v>
      </c>
      <c r="DB167" s="115">
        <f t="shared" ca="1" si="152"/>
        <v>0</v>
      </c>
      <c r="DC167" s="115"/>
      <c r="DD167" s="115"/>
      <c r="DE167" s="115"/>
      <c r="DF167" s="115"/>
      <c r="DG167" s="115"/>
      <c r="DH167" s="115"/>
      <c r="DI167" s="115"/>
      <c r="DJ167" s="115"/>
      <c r="DK167" s="115"/>
      <c r="DL167" s="115"/>
      <c r="DM167" s="115"/>
    </row>
    <row r="168" spans="2:117" x14ac:dyDescent="0.2">
      <c r="B168" s="117">
        <f t="shared" si="153"/>
        <v>130.07249999999996</v>
      </c>
      <c r="C168" s="167" t="str">
        <f t="shared" ca="1" si="146"/>
        <v>净世破魔击·月</v>
      </c>
      <c r="D168" s="115">
        <f ca="1">IF(C168="赤日轮1",1,IF(C168="赤日轮2",2,IF(C168="赤日轮3",3,IF(C168="幽月轮1",4,IF(C168="幽月轮2",5,IF(C168="幽月轮3",6,IF(C168="烈日斩",7,IF(C168="银月斩",8,IF(C168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168="净世破魔击·月",17,IF(C168="驱夜断愁",18,0)))))))))))</f>
        <v>17</v>
      </c>
      <c r="E168" s="115">
        <f ca="1">IF(AND(CU168,OR(C168="幽月轮1",C168="幽月轮2",C168="幽月轮3",C168="银月斩",C168="驱夜断愁",C168="净世破魔击·月")),100,MIN(IF(OR(CN168,BE168),0,IF(OR($C168="赤日轮1",$C168="赤日轮2",$C168="赤日轮3"),E167+20+IF(模拟模式!$I$7="日月凌天",4,0)+IF(CR167,20,0),IF($C168="烈日斩",E167+40,IF($C168="驱夜断愁",IF(模拟模式!$R$7="万念俱寂",E167+20,E167+60),IF($C168="净世破魔击·月",IF(OR(DB167&gt;0,CV167&gt;0),100,IF(模拟模式!$M$7="辉耀红尘",E167+20,E167)),IF($C168="净世破魔击·日",E167-100,E167)))))),100))</f>
        <v>20</v>
      </c>
      <c r="F168" s="115">
        <f ca="1">IF(AND(CU168,OR(C168="赤日轮1",C168="赤日轮2",C168="赤日轮3",C168="烈日斩",C168="净世破魔击·日")),100,MIN(IF(CO168,0,IF(OR($C168="幽月轮1",$C168="幽月轮2",$C168="幽月轮3"),F167+20+IF(模拟模式!$I$7="日月凌天",4,0)+IF(CS167,20,0),IF($C168="银月斩",F167+40+IF(模拟模式!$X$12=1,5,0),IF($C168="驱夜断愁",IF(模拟模式!$R$7="万念俱寂",F167+20,F167+60),IF($C168="净世破魔击·月",IF(模拟模式!$M$7="辉耀红尘",F167-80,F167-100),IF(AND(C168="净世破魔击·日",OR(DB167&gt;0,CV167&gt;0)),100,F167)))))),100))</f>
        <v>20</v>
      </c>
      <c r="G168" s="117">
        <f ca="1">('模拟-全程加成'!$E$3+'模拟-全程加成'!$E$4+'模拟-全程加成'!$E$5+('模拟-全程加成'!$C$6-'模拟-全程加成'!$C$3)*系数!$B$9+BS168*23)*(1+'模拟-全程加成'!$F$4+'模拟-全程加成'!$F$5+BJ168*10%+BM168*20%+BP168*4%+CG168*30%)+$F$7*系数!$B$12</f>
        <v>21493.829400000002</v>
      </c>
      <c r="H168" s="45">
        <f ca="1">'模拟-全程加成'!$H$3+'模拟-全程加成'!$H$4+'模拟-全程加成'!$H$5+('模拟-全程加成'!$G$4+'模拟-全程加成'!$G$5+('模拟-全程加成'!$C$6-'模拟-全程加成'!$C$3)*系数!$B$13)/系数!$B$3+LOOKUP(D168,'模拟-单技能数据'!$A$2:$A$19,'模拟-单技能数据'!$K$2:$K$19)+BG168*10%+IF(BV168&gt;0,378,0)</f>
        <v>0.54185145527300216</v>
      </c>
      <c r="I168" s="45">
        <f ca="1">'模拟-全程加成'!$J$3+'模拟-全程加成'!$J$4+'模拟-全程加成'!$J$5+('模拟-全程加成'!$I$4+'模拟-全程加成'!$I$5)/系数!$B$4+LOOKUP(D168,'模拟-单技能数据'!$A$2:$A$19,'模拟-单技能数据'!$L$2:$L$19)+BG168*10%</f>
        <v>2.162482885499879</v>
      </c>
      <c r="J168" s="45">
        <f ca="1">(('模拟-全程加成'!$K$3+'模拟-全程加成'!$K$4+'模拟-全程加成'!$K$5+('模拟-全程加成'!$C$6-'模拟-全程加成'!$C$3)*系数!$B$10+IF(BV168&gt;0,882,0)+IF(BY168&gt;0,1831,0))*(1+'模拟-全程加成'!$L$4+'模拟-全程加成'!$L$5+CC168*20%))/系数!$B$5</f>
        <v>0.69723220422048726</v>
      </c>
      <c r="K168" s="119">
        <f ca="1">LOOKUP(D168,'模拟-单技能数据'!$A$2:$A$19,'模拟-单技能数据'!$J$2:$J$19)+IF(CM168,60%,0)+IF(DB167-DB168&gt;0,30%,0)+IF(OR(AND(OR(C168="赤日轮1",C168="赤日轮2",C168="赤日轮3"),CR168),AND(OR(C168="幽月轮1",C168="幽月轮2",C168="幽月轮3"),CS168)),35%,0)+CJ168</f>
        <v>0.2</v>
      </c>
      <c r="L168" s="119">
        <f ca="1">IF(AND(C168="烈日斩",模拟模式!$X$11=1),10%,0)+IF(AND(C168="驱夜断愁",AB168=1),30%,0)</f>
        <v>0</v>
      </c>
      <c r="M168" s="45">
        <f t="shared" ca="1" si="129"/>
        <v>0.54185145527300216</v>
      </c>
      <c r="N168" s="45">
        <f t="shared" ca="1" si="130"/>
        <v>0.40424854472699789</v>
      </c>
      <c r="O168" s="46">
        <f t="shared" ca="1" si="154"/>
        <v>0.17798937795164738</v>
      </c>
      <c r="P168" s="46" t="str">
        <f t="shared" ca="1" si="155"/>
        <v>会</v>
      </c>
      <c r="Q168" s="45">
        <f t="shared" ca="1" si="156"/>
        <v>2.162482885499879</v>
      </c>
      <c r="R168" s="117">
        <f ca="1">模拟模式!$E$20*(1-IF(模拟模式!$J$19="有",0.15,0))*(1-IF(模拟模式!$K$19="有",0.3,0)-IF(CQ168,0.5,0))</f>
        <v>843.02999999999975</v>
      </c>
      <c r="S168" s="45">
        <f ca="1">R168/(R168+(185*模拟模式!$E$22-16800)*4.08224)</f>
        <v>8.389626085980037E-2</v>
      </c>
      <c r="T168" s="45" t="str">
        <f ca="1">LOOKUP(D168,'模拟-单技能数据'!$A$2:$A$19,'模拟-单技能数据'!$H$2:$H$19)</f>
        <v>阴</v>
      </c>
      <c r="U168" s="119">
        <f t="shared" ca="1" si="131"/>
        <v>0.08</v>
      </c>
      <c r="V168" s="47">
        <f ca="1">(1+L168)*(LOOKUP(D168,'模拟-单技能数据'!$A$2:$A$19,'模拟-单技能数据'!$D$2:$D$19)+G168*LOOKUP(D168,'模拟-单技能数据'!$A$2:$A$19,'模拟-单技能数据'!$F$2:$F$19))*(1+J168)*(1+K168)*(1-S168)*(1+U168)*Q168*LOOKUP(D168,'模拟-单技能数据'!$A$2:$A$19,'模拟-单技能数据'!$I$2:$I$20)</f>
        <v>121694.14741267689</v>
      </c>
      <c r="W168" s="47">
        <f ca="1">LOOKUP(D168,'模拟-单技能数据'!$A$2:$A$19,'模拟-单技能数据'!$G$2:$G$19)*$I$10</f>
        <v>361.51064354704795</v>
      </c>
      <c r="X168" s="47">
        <f t="shared" ca="1" si="157"/>
        <v>7956.2107573714466</v>
      </c>
      <c r="Y168" s="47">
        <f t="shared" ca="1" si="132"/>
        <v>130011.86881359539</v>
      </c>
      <c r="Z168" s="49">
        <f t="shared" ca="1" si="133"/>
        <v>14583124.364430144</v>
      </c>
      <c r="AA168" s="97">
        <f t="shared" ca="1" si="134"/>
        <v>112115.35385596608</v>
      </c>
      <c r="AB168" s="115">
        <f ca="1">IF(OR(C168="赤日轮1",C168="赤日轮2",C168="赤日轮3"),IF(RAND()&lt;模拟模式!$Y$17,1,0),IF(OR(C168="幽月轮1",C168="幽月轮2",C168="幽月轮3"),IF(RAND()&lt;模拟模式!$Y$18,1,0),IF(C168="烈日斩",IF(RAND()&lt;模拟模式!$Y$19,1,0),IF(C168="银月斩",IF(RAND()&lt;模拟模式!$Y$20,1,0),IF(C168="驱夜断愁",IF(RAND()&lt;模拟模式!$Y$21,1,0),IF(C168="净世破魔击·日",IF(RAND()&lt;模拟模式!$Y$22,1,0),IF(C168="净世破魔击·月",IF(RAND()&lt;模拟模式!$Y$23,1,0),0)))))))</f>
        <v>1</v>
      </c>
      <c r="AC168" s="115" t="b">
        <f t="shared" ca="1" si="122"/>
        <v>0</v>
      </c>
      <c r="AD168" s="115" t="b">
        <f t="shared" ca="1" si="142"/>
        <v>0</v>
      </c>
      <c r="AE168" s="115">
        <f t="shared" ca="1" si="143"/>
        <v>3</v>
      </c>
      <c r="AF168" s="47">
        <f ca="1">IF(AC168,('模拟-单技能数据'!$D$20+G168*'模拟-单技能数据'!$F$20)*(1+J168)*(1+'模拟-单技能数据'!$J$20)*(1+U168),0)</f>
        <v>0</v>
      </c>
      <c r="AG168" s="61">
        <f t="shared" ca="1" si="135"/>
        <v>0.64185145527300214</v>
      </c>
      <c r="AH168" s="61">
        <f t="shared" ca="1" si="136"/>
        <v>2.2624828854998791</v>
      </c>
      <c r="AI168" s="62">
        <f t="shared" ca="1" si="158"/>
        <v>0.72295119193443569</v>
      </c>
      <c r="AJ168" s="47">
        <f ca="1">IF(AD168,IF(AI168&lt;$F$10,0,IF(AI168&lt;$F$10+$F$11,0.25,IF(AI168&lt;$F$10+$F$11+AG168,AH168,1)))*IF(AF168&gt;0,AF168,IF(AF167&gt;0,AF167,IF(AF166&gt;0,AF166,IF(AF165&gt;0,AF165,IF(AF164&gt;0,AF164,IF(AF163&gt;0,AF163,IF(AF162&gt;0,AF162,IF(AF161&gt;0,AF161,IF(AF160&gt;0,AF160,IF(AF158&gt;0,AF158,IF(AF157&gt;0,AF157,IF(AF156&gt;0,AF156,0)))))))))))),0)*(1-$S168)*'模拟-单技能数据'!$I$20</f>
        <v>0</v>
      </c>
      <c r="AK168" s="115" t="b">
        <f t="shared" ca="1" si="123"/>
        <v>0</v>
      </c>
      <c r="AL168" s="115" t="b">
        <f t="shared" ca="1" si="144"/>
        <v>0</v>
      </c>
      <c r="AM168" s="115">
        <f t="shared" ca="1" si="145"/>
        <v>5</v>
      </c>
      <c r="AN168" s="47">
        <f ca="1">IF(AK168,('模拟-单技能数据'!$D$21+G168*'模拟-单技能数据'!$F$21)*(1+J168)*(1+'模拟-单技能数据'!$J$21)*(1+U168),0)</f>
        <v>0</v>
      </c>
      <c r="AO168" s="61">
        <f ca="1">IF(AN168&gt;0,M168-'模拟-单技能数据'!$K$10,AO167)</f>
        <v>0.42185145527300216</v>
      </c>
      <c r="AP168" s="61">
        <f ca="1">IF(AN168&gt;0,I168-'模拟-单技能数据'!$L$10,AP167)</f>
        <v>2.162482885499879</v>
      </c>
      <c r="AQ168" s="63">
        <f t="shared" ca="1" si="159"/>
        <v>0.19334096455601646</v>
      </c>
      <c r="AR168" s="64">
        <f ca="1">IF(AL168,IF(AQ168&lt;$F$10,0,IF(AQ168&lt;$F$10+$F$11,0.25,IF(AQ168&lt;$F$10+$F$11+AO168,AP168,1)))*IF(AN168&gt;0,AN168,IF(AN167&gt;0,AN167,IF(AN166&gt;0,AN166,IF(AN165&gt;0,AN165,IF(AN164&gt;0,AN164,IF(AN163&gt;0,AN163,IF(AN162&gt;0,AN162,IF(AN161&gt;0,AN161,IF(AN160&gt;0,AN160,IF(AN158&gt;0,AN158,IF(AN157&gt;0,AN157,IF(AN156&gt;0,AN156,0)))))))))))),0)*(1-$S168)*'模拟-单技能数据'!$I$21</f>
        <v>0</v>
      </c>
      <c r="AS168" s="61">
        <f ca="1">IF(OR(C168="净世破魔击·日",C168="净世破魔击·月"),M168-'模拟-单技能数据'!$K$10,0)</f>
        <v>0.42185145527300216</v>
      </c>
      <c r="AT168" s="61">
        <f ca="1">IF(OR(C168="净世破魔击·日",C168="净世破魔击·月"),I168-'模拟-单技能数据'!$L$10,0)</f>
        <v>2.162482885499879</v>
      </c>
      <c r="AU168" s="62">
        <f t="shared" ca="1" si="160"/>
        <v>0.99900974730583192</v>
      </c>
      <c r="AV168" s="64">
        <f ca="1">IF(AS168&gt;0,('模拟-单技能数据'!$D$22+G168*'模拟-单技能数据'!$F$22)*(1+J168)*(1-S168)*IF(AU168&lt;$F$10,0,IF(AU168&lt;$F$10+$F$11,0.25,IF(AU168&lt;$F$10+$F$11+AS168,AT168,1)))*(1+U168),0)*'模拟-单技能数据'!$I$22</f>
        <v>7956.2107573714466</v>
      </c>
      <c r="AW168" s="108">
        <f t="shared" ca="1" si="161"/>
        <v>0</v>
      </c>
      <c r="AX168" s="108" t="b">
        <f ca="1">AND(模拟模式!$P$10="有",AW167=0,RAND()&lt;IF(C168="净世破魔击·月",0.1*8/3,IF(C168="净世破魔击·日",0.1*4/3,0.1*2/3)))</f>
        <v>0</v>
      </c>
      <c r="AY168" s="47">
        <f ca="1">IF(AX168,(18+G168*0.722)*(1+J168)*(1-S168)*(1+$I$4)*IF(P168="会",'模拟-全程加成'!$J$3+'模拟-全程加成'!$J$4+'模拟-全程加成'!$J$5+('模拟-全程加成'!$I$4+'模拟-全程加成'!$I$5)/系数!$B$4+BG168*10%,IF(P168="命",1,IF(P168="识",0.25,0))),0)</f>
        <v>0</v>
      </c>
      <c r="AZ168" s="108">
        <f t="shared" si="162"/>
        <v>11.697500000000005</v>
      </c>
      <c r="BA168" s="108" t="b">
        <f>AND(模拟模式!$Q$10="有",AZ167=0)</f>
        <v>0</v>
      </c>
      <c r="BB168" s="140">
        <f>IF(BA168,(0+G168*0.287)*(1+J168)*(1-S168)*(1+$I$4)*IF(P168="会",'模拟-全程加成'!$J$3+'模拟-全程加成'!$J$4+'模拟-全程加成'!$J$5+('模拟-全程加成'!$I$4+'模拟-全程加成'!$I$5)/系数!$B$4+BG168*10%,IF(P168="命",1,IF(P168="识",0.25,0))),0)</f>
        <v>0</v>
      </c>
      <c r="BC168" s="115" t="b">
        <f ca="1">AND(模拟模式!$R$7="伏明众生",E168=60,F168=20,DA168&lt;5,CZ167&lt;$F$4)</f>
        <v>0</v>
      </c>
      <c r="BD168" s="115">
        <f t="shared" ca="1" si="124"/>
        <v>0</v>
      </c>
      <c r="BE168" s="115" t="b">
        <f t="shared" ca="1" si="125"/>
        <v>0</v>
      </c>
      <c r="BF168" s="47">
        <f ca="1">IF(BC168,4*('模拟-单技能数据'!$D$24+G168*'模拟-单技能数据'!$F$24)*(1+J168)*(1+'模拟-单技能数据'!$J$24)*(1-S168)*(1+$I$3)*(('模拟-全程加成'!$J$3+'模拟-全程加成'!$J$4+'模拟-全程加成'!$J$5+('模拟-全程加成'!$I$4+'模拟-全程加成'!$I$5)/系数!$B$4+BG168*10%)*('模拟-全程加成'!$J$3+'模拟-全程加成'!$J$4+'模拟-全程加成'!$J$5+('模拟-全程加成'!$I$4+'模拟-全程加成'!$I$5)/系数!$B$4+BG168*10%)+(1-('模拟-全程加成'!$J$3+'模拟-全程加成'!$J$4+'模拟-全程加成'!$J$5+('模拟-全程加成'!$I$4+'模拟-全程加成'!$I$5)/系数!$B$4+BG168*10%)-$F$10-$F$11)+F154*0.25),0)*'模拟-单技能数据'!$I$24</f>
        <v>0</v>
      </c>
      <c r="BG168" s="115" t="b">
        <f ca="1">OR(AND(OR(C168="烈日斩",C168="银月斩"),模拟模式!$I$7="净身明礼"),AND(C168="净世破魔击·日",模拟模式!$J$7="洞若观火"),AND(C169="净世破魔击·月",模拟模式!$J$7="洞若观火"),AB168=1)</f>
        <v>1</v>
      </c>
      <c r="BH168" s="115" t="b">
        <f t="shared" ca="1" si="163"/>
        <v>0</v>
      </c>
      <c r="BI168" s="115">
        <f t="shared" ca="1" si="126"/>
        <v>3.2324999999999995</v>
      </c>
      <c r="BJ168" s="115" t="b">
        <f t="shared" ca="1" si="137"/>
        <v>1</v>
      </c>
      <c r="BK168" s="115" t="b">
        <f ca="1">AND(C168="驱夜断愁",模拟模式!$P$7="天地诛戮")</f>
        <v>0</v>
      </c>
      <c r="BL168" s="57">
        <f t="shared" ca="1" si="127"/>
        <v>15.387500000000003</v>
      </c>
      <c r="BM168" s="115" t="b">
        <f t="shared" ca="1" si="138"/>
        <v>1</v>
      </c>
      <c r="BN168" s="115" t="b">
        <f ca="1">AND(OR(C168="赤日轮1",C168="赤日轮2",C168="赤日轮3",C168="幽月轮1",C168="幽月轮2",C168="幽月轮3"),AB168=1,模拟模式!$L$7="明光恒照")</f>
        <v>0</v>
      </c>
      <c r="BO168" s="117">
        <f t="shared" ca="1" si="128"/>
        <v>27.232500000000002</v>
      </c>
      <c r="BP168" s="115">
        <f t="shared" ca="1" si="164"/>
        <v>6</v>
      </c>
      <c r="BQ168" s="115" t="b">
        <f>模拟模式!$K$10="2600·水"</f>
        <v>0</v>
      </c>
      <c r="BR168" s="117">
        <f t="shared" si="165"/>
        <v>0</v>
      </c>
      <c r="BS168" s="115">
        <f t="shared" si="166"/>
        <v>0</v>
      </c>
      <c r="BT168" s="115">
        <f t="shared" ca="1" si="167"/>
        <v>0</v>
      </c>
      <c r="BU168" s="115" t="b">
        <f ca="1">AND(模拟模式!$K$10="2300·雷",BT167=0,RAND()&lt;IF(C168="净世破魔击·月",5*0.05*2/3,IF(C168="净世破魔击·日",3*0.05*2/3,0.05*2*2/3)))</f>
        <v>0</v>
      </c>
      <c r="BV168" s="115">
        <f t="shared" ca="1" si="168"/>
        <v>0</v>
      </c>
      <c r="BW168" s="115">
        <f t="shared" ca="1" si="169"/>
        <v>55.462499999999281</v>
      </c>
      <c r="BX168" s="164" t="b">
        <f t="shared" ca="1" si="170"/>
        <v>0</v>
      </c>
      <c r="BY168" s="115">
        <f t="shared" ca="1" si="171"/>
        <v>0</v>
      </c>
      <c r="BZ168" s="115">
        <f>IF(OR(模拟模式!$P$16="10人团",模拟模式!$P$16="25人团"),IF(B168/30&gt;CA167,1,0),0)</f>
        <v>0</v>
      </c>
      <c r="CA168" s="115">
        <f t="shared" si="147"/>
        <v>0</v>
      </c>
      <c r="CB168" s="115">
        <f ca="1">IF(BZ168=1,IF(模拟模式!$P$16="10人团",15,0)+IF(模拟模式!$P$16="25人团",IF(RAND()&lt;0.6,15,0)),MAX(0,CB167-$F$4))</f>
        <v>0</v>
      </c>
      <c r="CC168" s="115" t="b">
        <f t="shared" ca="1" si="139"/>
        <v>0</v>
      </c>
      <c r="CD168" s="115">
        <f>IF(模拟模式!$Q$16="1个",IF(B168/40&gt;CE167,1,0),0)</f>
        <v>0</v>
      </c>
      <c r="CE168" s="115">
        <f t="shared" si="140"/>
        <v>0</v>
      </c>
      <c r="CF168" s="115">
        <f>IF(OR(CD168=1,模拟模式!$Q$16="2个"),20,MAX(0,CF167-$F$4))</f>
        <v>0</v>
      </c>
      <c r="CG168" s="115" t="b">
        <f t="shared" si="141"/>
        <v>0</v>
      </c>
      <c r="CH168" s="115">
        <f t="shared" ca="1" si="172"/>
        <v>0.48000000000001186</v>
      </c>
      <c r="CI168" s="115" t="b">
        <f t="shared" ca="1" si="173"/>
        <v>0</v>
      </c>
      <c r="CJ168" s="119">
        <f t="shared" ca="1" si="174"/>
        <v>0</v>
      </c>
      <c r="CK168" s="115">
        <f t="shared" ca="1" si="175"/>
        <v>0</v>
      </c>
      <c r="CL168" s="115" t="b">
        <f ca="1">AND(模拟模式!$S$7="驱夷逐法",OR(AND(C168="净世破魔击·月",E167&gt;59),AND(C168="净世破魔击·日",F167&gt;59)))</f>
        <v>0</v>
      </c>
      <c r="CM168" s="115" t="b">
        <f ca="1">OR(CL168,AND(C168="净世破魔击·日",CL167,RAND()&lt;模拟模式!$U$23))</f>
        <v>0</v>
      </c>
      <c r="CN168" s="115" t="b">
        <f ca="1">IF(模拟模式!$M$7="辉耀红尘",AND(C168="净世破魔击·月",CL168,CV168=0,E167&lt;80),AND(C168="净世破魔击·月",CL168,E167&lt;100))</f>
        <v>0</v>
      </c>
      <c r="CO168" s="115" t="b">
        <f t="shared" ca="1" si="148"/>
        <v>0</v>
      </c>
      <c r="CP168" s="115" t="b">
        <f ca="1">AND(模拟模式!$O$7="用晦而明",OR(C168="净世破魔击·日",C168="净世破魔击·月",C168="驱夜断愁"),AB168)</f>
        <v>1</v>
      </c>
      <c r="CQ168" s="115" t="b">
        <f ca="1">OR(CP168,AND(CP167,RAND()&lt;模拟模式!$U$23))</f>
        <v>1</v>
      </c>
      <c r="CR168" s="115" t="b">
        <f ca="1">AND(模拟模式!$S$7="日月齐光",OR(C168="幽月轮1",C168="幽月轮2",C168="幽月轮3",CR167),NOT(OR(C168="赤日轮1",C168="赤日轮2",C168="赤日轮3")))</f>
        <v>0</v>
      </c>
      <c r="CS168" s="115" t="b">
        <f ca="1">AND(模拟模式!$S$7="日月齐光",OR(C168="赤日轮1",C168="赤日轮2",C168="赤日轮3",CS167),NOT(OR(C168="幽月轮1",C168="幽月轮2",C168="幽月轮3")))</f>
        <v>0</v>
      </c>
      <c r="CT168" s="115">
        <f t="shared" ca="1" si="176"/>
        <v>0</v>
      </c>
      <c r="CU168" s="115" t="b">
        <f ca="1">AND(模拟模式!$K$10="阴阳往极",CT167=0,RAND()&lt;IF(C168="净世破魔击·月",0.0275*7/3,IF(C168="净世破魔击·日",0.0275*3/3,0.0275*2/3)))</f>
        <v>0</v>
      </c>
      <c r="CV168" s="115">
        <f t="shared" ca="1" si="177"/>
        <v>0</v>
      </c>
      <c r="CW168" s="115">
        <f t="shared" ca="1" si="149"/>
        <v>2.3099999999999996</v>
      </c>
      <c r="CX168" s="115">
        <f t="shared" ca="1" si="150"/>
        <v>0.46499999999999975</v>
      </c>
      <c r="CY168" s="115">
        <f ca="1">MAX(IF($C168="驱夜断愁",IF(模拟模式!$R$7="万念俱寂",6,45),CY167-$F$4),0)</f>
        <v>1.3874999999999997</v>
      </c>
      <c r="CZ168" s="115">
        <f t="shared" ca="1" si="151"/>
        <v>0</v>
      </c>
      <c r="DA168" s="115">
        <f ca="1">IF(模拟模式!$N$7="日月同辉",IF(DB167=2,0,MIN(6,IF(AND(OR(C168="赤日轮1",C168="赤日轮2",C168="赤日轮3",C168="幽月轮1",C168="幽月轮2",C168="幽月轮3"),AB168=1),DA167+1,DA167))),0)</f>
        <v>0</v>
      </c>
      <c r="DB168" s="115">
        <f t="shared" ca="1" si="152"/>
        <v>0</v>
      </c>
      <c r="DC168" s="115"/>
      <c r="DD168" s="115"/>
      <c r="DE168" s="115"/>
      <c r="DF168" s="115"/>
      <c r="DG168" s="115"/>
      <c r="DH168" s="115"/>
      <c r="DI168" s="115"/>
      <c r="DJ168" s="115"/>
      <c r="DK168" s="115"/>
      <c r="DL168" s="115"/>
      <c r="DM168" s="115"/>
    </row>
    <row r="169" spans="2:117" x14ac:dyDescent="0.2">
      <c r="B169" s="117">
        <f t="shared" si="153"/>
        <v>130.99499999999998</v>
      </c>
      <c r="C169" s="167" t="str">
        <f t="shared" ca="1" si="146"/>
        <v>银月斩</v>
      </c>
      <c r="D169" s="115">
        <f ca="1">IF(C169="赤日轮1",1,IF(C169="赤日轮2",2,IF(C169="赤日轮3",3,IF(C169="幽月轮1",4,IF(C169="幽月轮2",5,IF(C169="幽月轮3",6,IF(C169="烈日斩",7,IF(C169="银月斩",8,IF(C169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169="净世破魔击·月",17,IF(C169="驱夜断愁",18,0)))))))))))</f>
        <v>8</v>
      </c>
      <c r="E169" s="115">
        <f ca="1">IF(AND(CU169,OR(C169="幽月轮1",C169="幽月轮2",C169="幽月轮3",C169="银月斩",C169="驱夜断愁",C169="净世破魔击·月")),100,MIN(IF(OR(CN169,BE169),0,IF(OR($C169="赤日轮1",$C169="赤日轮2",$C169="赤日轮3"),E168+20+IF(模拟模式!$I$7="日月凌天",4,0)+IF(CR168,20,0),IF($C169="烈日斩",E168+40,IF($C169="驱夜断愁",IF(模拟模式!$R$7="万念俱寂",E168+20,E168+60),IF($C169="净世破魔击·月",IF(OR(DB168&gt;0,CV168&gt;0),100,IF(模拟模式!$M$7="辉耀红尘",E168+20,E168)),IF($C169="净世破魔击·日",E168-100,E168)))))),100))</f>
        <v>20</v>
      </c>
      <c r="F169" s="115">
        <f ca="1">IF(AND(CU169,OR(C169="赤日轮1",C169="赤日轮2",C169="赤日轮3",C169="烈日斩",C169="净世破魔击·日")),100,MIN(IF(CO169,0,IF(OR($C169="幽月轮1",$C169="幽月轮2",$C169="幽月轮3"),F168+20+IF(模拟模式!$I$7="日月凌天",4,0)+IF(CS168,20,0),IF($C169="银月斩",F168+40+IF(模拟模式!$X$12=1,5,0),IF($C169="驱夜断愁",IF(模拟模式!$R$7="万念俱寂",F168+20,F168+60),IF($C169="净世破魔击·月",IF(模拟模式!$M$7="辉耀红尘",F168-80,F168-100),IF(AND(C169="净世破魔击·日",OR(DB168&gt;0,CV168&gt;0)),100,F168)))))),100))</f>
        <v>65</v>
      </c>
      <c r="G169" s="117">
        <f ca="1">('模拟-全程加成'!$E$3+'模拟-全程加成'!$E$4+'模拟-全程加成'!$E$5+('模拟-全程加成'!$C$6-'模拟-全程加成'!$C$3)*系数!$B$9+BS169*23)*(1+'模拟-全程加成'!$F$4+'模拟-全程加成'!$F$5+BJ169*10%+BM169*20%+BP169*4%+CG169*30%)+$F$7*系数!$B$12</f>
        <v>21493.829400000002</v>
      </c>
      <c r="H169" s="45">
        <f ca="1">'模拟-全程加成'!$H$3+'模拟-全程加成'!$H$4+'模拟-全程加成'!$H$5+('模拟-全程加成'!$G$4+'模拟-全程加成'!$G$5+('模拟-全程加成'!$C$6-'模拟-全程加成'!$C$3)*系数!$B$13)/系数!$B$3+LOOKUP(D169,'模拟-单技能数据'!$A$2:$A$19,'模拟-单技能数据'!$K$2:$K$19)+BG169*10%+IF(BV169&gt;0,378,0)</f>
        <v>0.64185145527300214</v>
      </c>
      <c r="I169" s="45">
        <f ca="1">'模拟-全程加成'!$J$3+'模拟-全程加成'!$J$4+'模拟-全程加成'!$J$5+('模拟-全程加成'!$I$4+'模拟-全程加成'!$I$5)/系数!$B$4+LOOKUP(D169,'模拟-单技能数据'!$A$2:$A$19,'模拟-单技能数据'!$L$2:$L$19)+BG169*10%</f>
        <v>2.2624828854998791</v>
      </c>
      <c r="J169" s="45">
        <f ca="1">(('模拟-全程加成'!$K$3+'模拟-全程加成'!$K$4+'模拟-全程加成'!$K$5+('模拟-全程加成'!$C$6-'模拟-全程加成'!$C$3)*系数!$B$10+IF(BV169&gt;0,882,0)+IF(BY169&gt;0,1831,0))*(1+'模拟-全程加成'!$L$4+'模拟-全程加成'!$L$5+CC169*20%))/系数!$B$5</f>
        <v>0.69723220422048726</v>
      </c>
      <c r="K169" s="119">
        <f ca="1">LOOKUP(D169,'模拟-单技能数据'!$A$2:$A$19,'模拟-单技能数据'!$J$2:$J$19)+IF(CM169,60%,0)+IF(DB168-DB169&gt;0,30%,0)+IF(OR(AND(OR(C169="赤日轮1",C169="赤日轮2",C169="赤日轮3"),CR169),AND(OR(C169="幽月轮1",C169="幽月轮2",C169="幽月轮3"),CS169)),35%,0)+CJ169</f>
        <v>0.15</v>
      </c>
      <c r="L169" s="119">
        <f ca="1">IF(AND(C169="烈日斩",模拟模式!$X$11=1),10%,0)+IF(AND(C169="驱夜断愁",AB169=1),30%,0)</f>
        <v>0</v>
      </c>
      <c r="M169" s="45">
        <f t="shared" ca="1" si="129"/>
        <v>0.64185145527300214</v>
      </c>
      <c r="N169" s="45">
        <f t="shared" ca="1" si="130"/>
        <v>0.30424854472699792</v>
      </c>
      <c r="O169" s="46">
        <f t="shared" ca="1" si="154"/>
        <v>0.22744996044019938</v>
      </c>
      <c r="P169" s="46" t="str">
        <f t="shared" ca="1" si="155"/>
        <v>会</v>
      </c>
      <c r="Q169" s="45">
        <f t="shared" ca="1" si="156"/>
        <v>2.2624828854998791</v>
      </c>
      <c r="R169" s="117">
        <f ca="1">模拟模式!$E$20*(1-IF(模拟模式!$J$19="有",0.15,0))*(1-IF(模拟模式!$K$19="有",0.3,0)-IF(CQ169,0.5,0))</f>
        <v>843.02999999999975</v>
      </c>
      <c r="S169" s="45">
        <f ca="1">R169/(R169+(185*模拟模式!$E$22-16800)*4.08224)</f>
        <v>8.389626085980037E-2</v>
      </c>
      <c r="T169" s="45" t="str">
        <f ca="1">LOOKUP(D169,'模拟-单技能数据'!$A$2:$A$19,'模拟-单技能数据'!$H$2:$H$19)</f>
        <v>阴</v>
      </c>
      <c r="U169" s="119">
        <f t="shared" ca="1" si="131"/>
        <v>0.08</v>
      </c>
      <c r="V169" s="47">
        <f ca="1">(1+L169)*(LOOKUP(D169,'模拟-单技能数据'!$A$2:$A$19,'模拟-单技能数据'!$D$2:$D$19)+G169*LOOKUP(D169,'模拟-单技能数据'!$A$2:$A$19,'模拟-单技能数据'!$F$2:$F$19))*(1+J169)*(1+K169)*(1-S169)*(1+U169)*Q169*LOOKUP(D169,'模拟-单技能数据'!$A$2:$A$19,'模拟-单技能数据'!$I$2:$I$20)</f>
        <v>49855.474753700611</v>
      </c>
      <c r="W169" s="47">
        <f ca="1">LOOKUP(D169,'模拟-单技能数据'!$A$2:$A$19,'模拟-单技能数据'!$G$2:$G$19)*$I$10</f>
        <v>361.51064354704795</v>
      </c>
      <c r="X169" s="47">
        <f t="shared" ca="1" si="157"/>
        <v>15858.380188173272</v>
      </c>
      <c r="Y169" s="47">
        <f t="shared" ca="1" si="132"/>
        <v>66075.365585420921</v>
      </c>
      <c r="Z169" s="49">
        <f t="shared" ca="1" si="133"/>
        <v>14649199.730015565</v>
      </c>
      <c r="AA169" s="97">
        <f t="shared" ca="1" si="134"/>
        <v>111830.22046654885</v>
      </c>
      <c r="AB169" s="115">
        <f ca="1">IF(OR(C169="赤日轮1",C169="赤日轮2",C169="赤日轮3"),IF(RAND()&lt;模拟模式!$Y$17,1,0),IF(OR(C169="幽月轮1",C169="幽月轮2",C169="幽月轮3"),IF(RAND()&lt;模拟模式!$Y$18,1,0),IF(C169="烈日斩",IF(RAND()&lt;模拟模式!$Y$19,1,0),IF(C169="银月斩",IF(RAND()&lt;模拟模式!$Y$20,1,0),IF(C169="驱夜断愁",IF(RAND()&lt;模拟模式!$Y$21,1,0),IF(C169="净世破魔击·日",IF(RAND()&lt;模拟模式!$Y$22,1,0),IF(C169="净世破魔击·月",IF(RAND()&lt;模拟模式!$Y$23,1,0),0)))))))</f>
        <v>1</v>
      </c>
      <c r="AC169" s="115" t="b">
        <f t="shared" ca="1" si="122"/>
        <v>1</v>
      </c>
      <c r="AD169" s="115" t="b">
        <f t="shared" ca="1" si="142"/>
        <v>1</v>
      </c>
      <c r="AE169" s="115">
        <f t="shared" ca="1" si="143"/>
        <v>5</v>
      </c>
      <c r="AF169" s="47">
        <f ca="1">IF(AC169,('模拟-单技能数据'!$D$20+G169*'模拟-单技能数据'!$F$20)*(1+J169)*(1+'模拟-单技能数据'!$J$20)*(1+U169),0)</f>
        <v>4639.7456468263617</v>
      </c>
      <c r="AG169" s="61">
        <f t="shared" ca="1" si="135"/>
        <v>0.64185145527300214</v>
      </c>
      <c r="AH169" s="61">
        <f t="shared" ca="1" si="136"/>
        <v>2.2624828854998791</v>
      </c>
      <c r="AI169" s="62">
        <f t="shared" ca="1" si="158"/>
        <v>0.92983906084775181</v>
      </c>
      <c r="AJ169" s="47">
        <f ca="1">IF(AD169,IF(AI169&lt;$F$10,0,IF(AI169&lt;$F$10+$F$11,0.25,IF(AI169&lt;$F$10+$F$11+AG169,AH169,1)))*IF(AF169&gt;0,AF169,IF(AF168&gt;0,AF168,IF(AF167&gt;0,AF167,IF(AF166&gt;0,AF166,IF(AF165&gt;0,AF165,IF(AF164&gt;0,AF164,IF(AF163&gt;0,AF163,IF(AF162&gt;0,AF162,IF(AF161&gt;0,AF161,IF(AF159&gt;0,AF159,IF(AF158&gt;0,AF158,IF(AF157&gt;0,AF157,0)))))))))))),0)*(1-$S169)*'模拟-单技能数据'!$I$20</f>
        <v>4250.4883357170938</v>
      </c>
      <c r="AK169" s="115" t="b">
        <f t="shared" ca="1" si="123"/>
        <v>0</v>
      </c>
      <c r="AL169" s="115" t="b">
        <f t="shared" ca="1" si="144"/>
        <v>1</v>
      </c>
      <c r="AM169" s="115">
        <f t="shared" ca="1" si="145"/>
        <v>4</v>
      </c>
      <c r="AN169" s="47">
        <f ca="1">IF(AK169,('模拟-单技能数据'!$D$21+G169*'模拟-单技能数据'!$F$21)*(1+J169)*(1+'模拟-单技能数据'!$J$21)*(1+U169),0)</f>
        <v>0</v>
      </c>
      <c r="AO169" s="61">
        <f ca="1">IF(AN169&gt;0,M169-'模拟-单技能数据'!$K$10,AO168)</f>
        <v>0.42185145527300216</v>
      </c>
      <c r="AP169" s="61">
        <f ca="1">IF(AN169&gt;0,I169-'模拟-单技能数据'!$L$10,AP168)</f>
        <v>2.162482885499879</v>
      </c>
      <c r="AQ169" s="63">
        <f t="shared" ca="1" si="159"/>
        <v>0.7897509078207976</v>
      </c>
      <c r="AR169" s="64">
        <f ca="1">IF(AL169,IF(AQ169&lt;$F$10,0,IF(AQ169&lt;$F$10+$F$11,0.25,IF(AQ169&lt;$F$10+$F$11+AO169,AP169,1)))*IF(AN169&gt;0,AN169,IF(AN168&gt;0,AN168,IF(AN167&gt;0,AN167,IF(AN166&gt;0,AN166,IF(AN165&gt;0,AN165,IF(AN164&gt;0,AN164,IF(AN163&gt;0,AN163,IF(AN162&gt;0,AN162,IF(AN161&gt;0,AN161,IF(AN159&gt;0,AN159,IF(AN158&gt;0,AN158,IF(AN157&gt;0,AN157,0)))))))))))),0)*(1-$S169)*'模拟-单技能数据'!$I$21</f>
        <v>11607.89185245618</v>
      </c>
      <c r="AS169" s="61">
        <f ca="1">IF(OR(C169="净世破魔击·日",C169="净世破魔击·月"),M169-'模拟-单技能数据'!$K$10,0)</f>
        <v>0</v>
      </c>
      <c r="AT169" s="61">
        <f ca="1">IF(OR(C169="净世破魔击·日",C169="净世破魔击·月"),I169-'模拟-单技能数据'!$L$10,0)</f>
        <v>0</v>
      </c>
      <c r="AU169" s="62">
        <f t="shared" ca="1" si="160"/>
        <v>0.8712530902774912</v>
      </c>
      <c r="AV169" s="64">
        <f ca="1">IF(AS169&gt;0,('模拟-单技能数据'!$D$22+G169*'模拟-单技能数据'!$F$22)*(1+J169)*(1-S169)*IF(AU169&lt;$F$10,0,IF(AU169&lt;$F$10+$F$11,0.25,IF(AU169&lt;$F$10+$F$11+AS169,AT169,1)))*(1+U169),0)*'模拟-单技能数据'!$I$22</f>
        <v>0</v>
      </c>
      <c r="AW169" s="108">
        <f t="shared" ca="1" si="161"/>
        <v>0</v>
      </c>
      <c r="AX169" s="108" t="b">
        <f ca="1">AND(模拟模式!$P$10="有",AW168=0,RAND()&lt;IF(C169="净世破魔击·月",0.1*8/3,IF(C169="净世破魔击·日",0.1*4/3,0.1*2/3)))</f>
        <v>0</v>
      </c>
      <c r="AY169" s="47">
        <f ca="1">IF(AX169,(18+G169*0.722)*(1+J169)*(1-S169)*(1+$I$4)*IF(P169="会",'模拟-全程加成'!$J$3+'模拟-全程加成'!$J$4+'模拟-全程加成'!$J$5+('模拟-全程加成'!$I$4+'模拟-全程加成'!$I$5)/系数!$B$4+BG169*10%,IF(P169="命",1,IF(P169="识",0.25,0))),0)</f>
        <v>0</v>
      </c>
      <c r="AZ169" s="108">
        <f t="shared" si="162"/>
        <v>10.775000000000006</v>
      </c>
      <c r="BA169" s="108" t="b">
        <f>AND(模拟模式!$Q$10="有",AZ168=0)</f>
        <v>0</v>
      </c>
      <c r="BB169" s="140">
        <f>IF(BA169,(0+G169*0.287)*(1+J169)*(1-S169)*(1+$I$4)*IF(P169="会",'模拟-全程加成'!$J$3+'模拟-全程加成'!$J$4+'模拟-全程加成'!$J$5+('模拟-全程加成'!$I$4+'模拟-全程加成'!$I$5)/系数!$B$4+BG169*10%,IF(P169="命",1,IF(P169="识",0.25,0))),0)</f>
        <v>0</v>
      </c>
      <c r="BC169" s="115" t="b">
        <f ca="1">AND(模拟模式!$R$7="伏明众生",E169=60,F169=20,DA169&lt;5,CZ168&lt;$F$4)</f>
        <v>0</v>
      </c>
      <c r="BD169" s="115">
        <f t="shared" ca="1" si="124"/>
        <v>0</v>
      </c>
      <c r="BE169" s="115" t="b">
        <f t="shared" ca="1" si="125"/>
        <v>0</v>
      </c>
      <c r="BF169" s="47">
        <f ca="1">IF(BC169,4*('模拟-单技能数据'!$D$24+G169*'模拟-单技能数据'!$F$24)*(1+J169)*(1+'模拟-单技能数据'!$J$24)*(1-S169)*(1+$I$3)*(('模拟-全程加成'!$J$3+'模拟-全程加成'!$J$4+'模拟-全程加成'!$J$5+('模拟-全程加成'!$I$4+'模拟-全程加成'!$I$5)/系数!$B$4+BG169*10%)*('模拟-全程加成'!$J$3+'模拟-全程加成'!$J$4+'模拟-全程加成'!$J$5+('模拟-全程加成'!$I$4+'模拟-全程加成'!$I$5)/系数!$B$4+BG169*10%)+(1-('模拟-全程加成'!$J$3+'模拟-全程加成'!$J$4+'模拟-全程加成'!$J$5+('模拟-全程加成'!$I$4+'模拟-全程加成'!$I$5)/系数!$B$4+BG169*10%)-$F$10-$F$11)+F155*0.25),0)*'模拟-单技能数据'!$I$24</f>
        <v>0</v>
      </c>
      <c r="BG169" s="115" t="b">
        <f ca="1">OR(AND(OR(C169="烈日斩",C169="银月斩"),模拟模式!$I$7="净身明礼"),AND(C169="净世破魔击·日",模拟模式!$J$7="洞若观火"),AND(C170="净世破魔击·月",模拟模式!$J$7="洞若观火"),AB169=1)</f>
        <v>1</v>
      </c>
      <c r="BH169" s="115" t="b">
        <f t="shared" ca="1" si="163"/>
        <v>0</v>
      </c>
      <c r="BI169" s="115">
        <f t="shared" ca="1" si="126"/>
        <v>2.3099999999999996</v>
      </c>
      <c r="BJ169" s="115" t="b">
        <f t="shared" ca="1" si="137"/>
        <v>1</v>
      </c>
      <c r="BK169" s="115" t="b">
        <f ca="1">AND(C169="驱夜断愁",模拟模式!$P$7="天地诛戮")</f>
        <v>0</v>
      </c>
      <c r="BL169" s="57">
        <f t="shared" ca="1" si="127"/>
        <v>14.465000000000003</v>
      </c>
      <c r="BM169" s="115" t="b">
        <f t="shared" ca="1" si="138"/>
        <v>1</v>
      </c>
      <c r="BN169" s="115" t="b">
        <f ca="1">AND(OR(C169="赤日轮1",C169="赤日轮2",C169="赤日轮3",C169="幽月轮1",C169="幽月轮2",C169="幽月轮3"),AB169=1,模拟模式!$L$7="明光恒照")</f>
        <v>0</v>
      </c>
      <c r="BO169" s="117">
        <f t="shared" ca="1" si="128"/>
        <v>26.310000000000002</v>
      </c>
      <c r="BP169" s="115">
        <f t="shared" ca="1" si="164"/>
        <v>6</v>
      </c>
      <c r="BQ169" s="115" t="b">
        <f>模拟模式!$K$10="2600·水"</f>
        <v>0</v>
      </c>
      <c r="BR169" s="117">
        <f t="shared" si="165"/>
        <v>0</v>
      </c>
      <c r="BS169" s="115">
        <f t="shared" si="166"/>
        <v>0</v>
      </c>
      <c r="BT169" s="115">
        <f t="shared" ca="1" si="167"/>
        <v>0</v>
      </c>
      <c r="BU169" s="115" t="b">
        <f ca="1">AND(模拟模式!$K$10="2300·雷",BT168=0,RAND()&lt;IF(C169="净世破魔击·月",5*0.05*2/3,IF(C169="净世破魔击·日",3*0.05*2/3,0.05*2*2/3)))</f>
        <v>0</v>
      </c>
      <c r="BV169" s="115">
        <f t="shared" ca="1" si="168"/>
        <v>0</v>
      </c>
      <c r="BW169" s="115">
        <f t="shared" ca="1" si="169"/>
        <v>54.539999999999281</v>
      </c>
      <c r="BX169" s="164" t="b">
        <f t="shared" ca="1" si="170"/>
        <v>0</v>
      </c>
      <c r="BY169" s="115">
        <f t="shared" ca="1" si="171"/>
        <v>0</v>
      </c>
      <c r="BZ169" s="115">
        <f>IF(OR(模拟模式!$P$16="10人团",模拟模式!$P$16="25人团"),IF(B169/30&gt;CA168,1,0),0)</f>
        <v>0</v>
      </c>
      <c r="CA169" s="115">
        <f t="shared" si="147"/>
        <v>0</v>
      </c>
      <c r="CB169" s="115">
        <f ca="1">IF(BZ169=1,IF(模拟模式!$P$16="10人团",15,0)+IF(模拟模式!$P$16="25人团",IF(RAND()&lt;0.6,15,0)),MAX(0,CB168-$F$4))</f>
        <v>0</v>
      </c>
      <c r="CC169" s="115" t="b">
        <f t="shared" ca="1" si="139"/>
        <v>0</v>
      </c>
      <c r="CD169" s="115">
        <f>IF(模拟模式!$Q$16="1个",IF(B169/40&gt;CE168,1,0),0)</f>
        <v>0</v>
      </c>
      <c r="CE169" s="115">
        <f t="shared" si="140"/>
        <v>0</v>
      </c>
      <c r="CF169" s="115">
        <f>IF(OR(CD169=1,模拟模式!$Q$16="2个"),20,MAX(0,CF168-$F$4))</f>
        <v>0</v>
      </c>
      <c r="CG169" s="115" t="b">
        <f t="shared" si="141"/>
        <v>0</v>
      </c>
      <c r="CH169" s="115">
        <f t="shared" ca="1" si="172"/>
        <v>0</v>
      </c>
      <c r="CI169" s="115" t="b">
        <f t="shared" ca="1" si="173"/>
        <v>0</v>
      </c>
      <c r="CJ169" s="119">
        <f t="shared" ca="1" si="174"/>
        <v>0</v>
      </c>
      <c r="CK169" s="115">
        <f t="shared" ca="1" si="175"/>
        <v>0</v>
      </c>
      <c r="CL169" s="115" t="b">
        <f ca="1">AND(模拟模式!$S$7="驱夷逐法",OR(AND(C169="净世破魔击·月",E168&gt;59),AND(C169="净世破魔击·日",F168&gt;59)))</f>
        <v>0</v>
      </c>
      <c r="CM169" s="115" t="b">
        <f ca="1">OR(CL169,AND(C169="净世破魔击·日",CL168,RAND()&lt;模拟模式!$U$23))</f>
        <v>0</v>
      </c>
      <c r="CN169" s="115" t="b">
        <f ca="1">IF(模拟模式!$M$7="辉耀红尘",AND(C169="净世破魔击·月",CL169,CV169=0,E168&lt;80),AND(C169="净世破魔击·月",CL169,E168&lt;100))</f>
        <v>0</v>
      </c>
      <c r="CO169" s="115" t="b">
        <f t="shared" ca="1" si="148"/>
        <v>0</v>
      </c>
      <c r="CP169" s="115" t="b">
        <f ca="1">AND(模拟模式!$O$7="用晦而明",OR(C169="净世破魔击·日",C169="净世破魔击·月",C169="驱夜断愁"),AB169)</f>
        <v>0</v>
      </c>
      <c r="CQ169" s="115" t="b">
        <f ca="1">OR(CP169,AND(CP168,RAND()&lt;模拟模式!$U$23))</f>
        <v>1</v>
      </c>
      <c r="CR169" s="115" t="b">
        <f ca="1">AND(模拟模式!$S$7="日月齐光",OR(C169="幽月轮1",C169="幽月轮2",C169="幽月轮3",CR168),NOT(OR(C169="赤日轮1",C169="赤日轮2",C169="赤日轮3")))</f>
        <v>0</v>
      </c>
      <c r="CS169" s="115" t="b">
        <f ca="1">AND(模拟模式!$S$7="日月齐光",OR(C169="赤日轮1",C169="赤日轮2",C169="赤日轮3",CS168),NOT(OR(C169="幽月轮1",C169="幽月轮2",C169="幽月轮3")))</f>
        <v>0</v>
      </c>
      <c r="CT169" s="115">
        <f t="shared" ca="1" si="176"/>
        <v>0</v>
      </c>
      <c r="CU169" s="115" t="b">
        <f ca="1">AND(模拟模式!$K$10="阴阳往极",CT168=0,RAND()&lt;IF(C169="净世破魔击·月",0.0275*7/3,IF(C169="净世破魔击·日",0.0275*3/3,0.0275*2/3)))</f>
        <v>0</v>
      </c>
      <c r="CV169" s="115">
        <f t="shared" ca="1" si="177"/>
        <v>0</v>
      </c>
      <c r="CW169" s="115">
        <f t="shared" ca="1" si="149"/>
        <v>1.3874999999999997</v>
      </c>
      <c r="CX169" s="115">
        <f t="shared" ca="1" si="150"/>
        <v>6</v>
      </c>
      <c r="CY169" s="115">
        <f ca="1">MAX(IF($C169="驱夜断愁",IF(模拟模式!$R$7="万念俱寂",6,45),CY168-$F$4),0)</f>
        <v>0.46499999999999975</v>
      </c>
      <c r="CZ169" s="115">
        <f t="shared" ca="1" si="151"/>
        <v>0</v>
      </c>
      <c r="DA169" s="115">
        <f ca="1">IF(模拟模式!$N$7="日月同辉",IF(DB168=2,0,MIN(6,IF(AND(OR(C169="赤日轮1",C169="赤日轮2",C169="赤日轮3",C169="幽月轮1",C169="幽月轮2",C169="幽月轮3"),AB169=1),DA168+1,DA168))),0)</f>
        <v>0</v>
      </c>
      <c r="DB169" s="115">
        <f t="shared" ca="1" si="152"/>
        <v>0</v>
      </c>
      <c r="DC169" s="115"/>
      <c r="DD169" s="115"/>
      <c r="DE169" s="115"/>
      <c r="DF169" s="115"/>
      <c r="DG169" s="115"/>
      <c r="DH169" s="115"/>
      <c r="DI169" s="115"/>
      <c r="DJ169" s="115"/>
      <c r="DK169" s="115"/>
      <c r="DL169" s="115"/>
      <c r="DM169" s="115"/>
    </row>
    <row r="170" spans="2:117" x14ac:dyDescent="0.2">
      <c r="B170" s="117">
        <f t="shared" si="153"/>
        <v>131.91749999999999</v>
      </c>
      <c r="C170" s="167" t="str">
        <f t="shared" ca="1" si="146"/>
        <v>驱夜断愁</v>
      </c>
      <c r="D170" s="115">
        <f ca="1">IF(C170="赤日轮1",1,IF(C170="赤日轮2",2,IF(C170="赤日轮3",3,IF(C170="幽月轮1",4,IF(C170="幽月轮2",5,IF(C170="幽月轮3",6,IF(C170="烈日斩",7,IF(C170="银月斩",8,IF(C170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170="净世破魔击·月",17,IF(C170="驱夜断愁",18,0)))))))))))</f>
        <v>18</v>
      </c>
      <c r="E170" s="115">
        <f ca="1">IF(AND(CU170,OR(C170="幽月轮1",C170="幽月轮2",C170="幽月轮3",C170="银月斩",C170="驱夜断愁",C170="净世破魔击·月")),100,MIN(IF(OR(CN170,BE170),0,IF(OR($C170="赤日轮1",$C170="赤日轮2",$C170="赤日轮3"),E169+20+IF(模拟模式!$I$7="日月凌天",4,0)+IF(CR169,20,0),IF($C170="烈日斩",E169+40,IF($C170="驱夜断愁",IF(模拟模式!$R$7="万念俱寂",E169+20,E169+60),IF($C170="净世破魔击·月",IF(OR(DB169&gt;0,CV169&gt;0),100,IF(模拟模式!$M$7="辉耀红尘",E169+20,E169)),IF($C170="净世破魔击·日",E169-100,E169)))))),100))</f>
        <v>40</v>
      </c>
      <c r="F170" s="115">
        <f ca="1">IF(AND(CU170,OR(C170="赤日轮1",C170="赤日轮2",C170="赤日轮3",C170="烈日斩",C170="净世破魔击·日")),100,MIN(IF(CO170,0,IF(OR($C170="幽月轮1",$C170="幽月轮2",$C170="幽月轮3"),F169+20+IF(模拟模式!$I$7="日月凌天",4,0)+IF(CS169,20,0),IF($C170="银月斩",F169+40+IF(模拟模式!$X$12=1,5,0),IF($C170="驱夜断愁",IF(模拟模式!$R$7="万念俱寂",F169+20,F169+60),IF($C170="净世破魔击·月",IF(模拟模式!$M$7="辉耀红尘",F169-80,F169-100),IF(AND(C170="净世破魔击·日",OR(DB169&gt;0,CV169&gt;0)),100,F169)))))),100))</f>
        <v>85</v>
      </c>
      <c r="G170" s="117">
        <f ca="1">('模拟-全程加成'!$E$3+'模拟-全程加成'!$E$4+'模拟-全程加成'!$E$5+('模拟-全程加成'!$C$6-'模拟-全程加成'!$C$3)*系数!$B$9+BS170*23)*(1+'模拟-全程加成'!$F$4+'模拟-全程加成'!$F$5+BJ170*10%+BM170*20%+BP170*4%+CG170*30%)+$F$7*系数!$B$12</f>
        <v>21493.829400000002</v>
      </c>
      <c r="H170" s="45">
        <f ca="1">'模拟-全程加成'!$H$3+'模拟-全程加成'!$H$4+'模拟-全程加成'!$H$5+('模拟-全程加成'!$G$4+'模拟-全程加成'!$G$5+('模拟-全程加成'!$C$6-'模拟-全程加成'!$C$3)*系数!$B$13)/系数!$B$3+LOOKUP(D170,'模拟-单技能数据'!$A$2:$A$19,'模拟-单技能数据'!$K$2:$K$19)+BG170*10%+IF(BV170&gt;0,378,0)</f>
        <v>0.51185145527300213</v>
      </c>
      <c r="I170" s="45">
        <f ca="1">'模拟-全程加成'!$J$3+'模拟-全程加成'!$J$4+'模拟-全程加成'!$J$5+('模拟-全程加成'!$I$4+'模拟-全程加成'!$I$5)/系数!$B$4+LOOKUP(D170,'模拟-单技能数据'!$A$2:$A$19,'模拟-单技能数据'!$L$2:$L$19)+BG170*10%</f>
        <v>2.162482885499879</v>
      </c>
      <c r="J170" s="45">
        <f ca="1">(('模拟-全程加成'!$K$3+'模拟-全程加成'!$K$4+'模拟-全程加成'!$K$5+('模拟-全程加成'!$C$6-'模拟-全程加成'!$C$3)*系数!$B$10+IF(BV170&gt;0,882,0)+IF(BY170&gt;0,1831,0))*(1+'模拟-全程加成'!$L$4+'模拟-全程加成'!$L$5+CC170*20%))/系数!$B$5</f>
        <v>0.69723220422048726</v>
      </c>
      <c r="K170" s="119">
        <f ca="1">LOOKUP(D170,'模拟-单技能数据'!$A$2:$A$19,'模拟-单技能数据'!$J$2:$J$19)+IF(CM170,60%,0)+IF(DB169-DB170&gt;0,30%,0)+IF(OR(AND(OR(C170="赤日轮1",C170="赤日轮2",C170="赤日轮3"),CR170),AND(OR(C170="幽月轮1",C170="幽月轮2",C170="幽月轮3"),CS170)),35%,0)+CJ170</f>
        <v>0.14000000000000001</v>
      </c>
      <c r="L170" s="119">
        <f ca="1">IF(AND(C170="烈日斩",模拟模式!$X$11=1),10%,0)+IF(AND(C170="驱夜断愁",AB170=1),30%,0)</f>
        <v>0.3</v>
      </c>
      <c r="M170" s="45">
        <f t="shared" ca="1" si="129"/>
        <v>0.51185145527300213</v>
      </c>
      <c r="N170" s="45">
        <f t="shared" ca="1" si="130"/>
        <v>0.43424854472699792</v>
      </c>
      <c r="O170" s="46">
        <f t="shared" ca="1" si="154"/>
        <v>0.22915183798479333</v>
      </c>
      <c r="P170" s="46" t="str">
        <f t="shared" ca="1" si="155"/>
        <v>会</v>
      </c>
      <c r="Q170" s="45">
        <f t="shared" ca="1" si="156"/>
        <v>2.162482885499879</v>
      </c>
      <c r="R170" s="117">
        <f ca="1">模拟模式!$E$20*(1-IF(模拟模式!$J$19="有",0.15,0))*(1-IF(模拟模式!$K$19="有",0.3,0)-IF(CQ170,0.5,0))</f>
        <v>843.02999999999975</v>
      </c>
      <c r="S170" s="45">
        <f ca="1">R170/(R170+(185*模拟模式!$E$22-16800)*4.08224)</f>
        <v>8.389626085980037E-2</v>
      </c>
      <c r="T170" s="45" t="str">
        <f ca="1">LOOKUP(D170,'模拟-单技能数据'!$A$2:$A$19,'模拟-单技能数据'!$H$2:$H$19)</f>
        <v>阴</v>
      </c>
      <c r="U170" s="119">
        <f t="shared" ca="1" si="131"/>
        <v>0.08</v>
      </c>
      <c r="V170" s="47">
        <f ca="1">(1+L170)*(LOOKUP(D170,'模拟-单技能数据'!$A$2:$A$19,'模拟-单技能数据'!$D$2:$D$19)+G170*LOOKUP(D170,'模拟-单技能数据'!$A$2:$A$19,'模拟-单技能数据'!$F$2:$F$19))*(1+J170)*(1+K170)*(1-S170)*(1+U170)*Q170*LOOKUP(D170,'模拟-单技能数据'!$A$2:$A$19,'模拟-单技能数据'!$I$2:$I$20)</f>
        <v>133079.35569364758</v>
      </c>
      <c r="W170" s="47">
        <f ca="1">LOOKUP(D170,'模拟-单技能数据'!$A$2:$A$19,'模拟-单技能数据'!$G$2:$G$19)*$I$10</f>
        <v>723.0212870940959</v>
      </c>
      <c r="X170" s="47">
        <f t="shared" ca="1" si="157"/>
        <v>0</v>
      </c>
      <c r="Y170" s="47">
        <f t="shared" ca="1" si="132"/>
        <v>133802.37698074168</v>
      </c>
      <c r="Z170" s="49">
        <f t="shared" ca="1" si="133"/>
        <v>14783002.106996307</v>
      </c>
      <c r="AA170" s="97">
        <f t="shared" ca="1" si="134"/>
        <v>112062.47925405127</v>
      </c>
      <c r="AB170" s="115">
        <f ca="1">IF(OR(C170="赤日轮1",C170="赤日轮2",C170="赤日轮3"),IF(RAND()&lt;模拟模式!$Y$17,1,0),IF(OR(C170="幽月轮1",C170="幽月轮2",C170="幽月轮3"),IF(RAND()&lt;模拟模式!$Y$18,1,0),IF(C170="烈日斩",IF(RAND()&lt;模拟模式!$Y$19,1,0),IF(C170="银月斩",IF(RAND()&lt;模拟模式!$Y$20,1,0),IF(C170="驱夜断愁",IF(RAND()&lt;模拟模式!$Y$21,1,0),IF(C170="净世破魔击·日",IF(RAND()&lt;模拟模式!$Y$22,1,0),IF(C170="净世破魔击·月",IF(RAND()&lt;模拟模式!$Y$23,1,0),0)))))))</f>
        <v>1</v>
      </c>
      <c r="AC170" s="115" t="b">
        <f t="shared" ca="1" si="122"/>
        <v>0</v>
      </c>
      <c r="AD170" s="115" t="b">
        <f t="shared" ca="1" si="142"/>
        <v>0</v>
      </c>
      <c r="AE170" s="115">
        <f t="shared" ca="1" si="143"/>
        <v>5</v>
      </c>
      <c r="AF170" s="47">
        <f ca="1">IF(AC170,('模拟-单技能数据'!$D$20+G170*'模拟-单技能数据'!$F$20)*(1+J170)*(1+'模拟-单技能数据'!$J$20)*(1+U170),0)</f>
        <v>0</v>
      </c>
      <c r="AG170" s="61">
        <f t="shared" ca="1" si="135"/>
        <v>0.64185145527300214</v>
      </c>
      <c r="AH170" s="61">
        <f t="shared" ca="1" si="136"/>
        <v>2.2624828854998791</v>
      </c>
      <c r="AI170" s="62">
        <f t="shared" ca="1" si="158"/>
        <v>0.25455804033265039</v>
      </c>
      <c r="AJ170" s="47">
        <f ca="1">IF(AD170,IF(AI170&lt;$F$10,0,IF(AI170&lt;$F$10+$F$11,0.25,IF(AI170&lt;$F$10+$F$11+AG170,AH170,1)))*IF(AF170&gt;0,AF170,IF(AF169&gt;0,AF169,IF(AF168&gt;0,AF168,IF(AF167&gt;0,AF167,IF(AF166&gt;0,AF166,IF(AF165&gt;0,AF165,IF(AF164&gt;0,AF164,IF(AF163&gt;0,AF163,IF(AF162&gt;0,AF162,IF(AF160&gt;0,AF160,IF(AF159&gt;0,AF159,IF(AF158&gt;0,AF158,0)))))))))))),0)*(1-$S170)*'模拟-单技能数据'!$I$20</f>
        <v>0</v>
      </c>
      <c r="AK170" s="115" t="b">
        <f t="shared" ca="1" si="123"/>
        <v>0</v>
      </c>
      <c r="AL170" s="115" t="b">
        <f t="shared" ca="1" si="144"/>
        <v>0</v>
      </c>
      <c r="AM170" s="115">
        <f t="shared" ca="1" si="145"/>
        <v>4</v>
      </c>
      <c r="AN170" s="47">
        <f ca="1">IF(AK170,('模拟-单技能数据'!$D$21+G170*'模拟-单技能数据'!$F$21)*(1+J170)*(1+'模拟-单技能数据'!$J$21)*(1+U170),0)</f>
        <v>0</v>
      </c>
      <c r="AO170" s="61">
        <f ca="1">IF(AN170&gt;0,M170-'模拟-单技能数据'!$K$10,AO169)</f>
        <v>0.42185145527300216</v>
      </c>
      <c r="AP170" s="61">
        <f ca="1">IF(AN170&gt;0,I170-'模拟-单技能数据'!$L$10,AP169)</f>
        <v>2.162482885499879</v>
      </c>
      <c r="AQ170" s="63">
        <f t="shared" ca="1" si="159"/>
        <v>0.18181795577227344</v>
      </c>
      <c r="AR170" s="64">
        <f ca="1">IF(AL170,IF(AQ170&lt;$F$10,0,IF(AQ170&lt;$F$10+$F$11,0.25,IF(AQ170&lt;$F$10+$F$11+AO170,AP170,1)))*IF(AN170&gt;0,AN170,IF(AN169&gt;0,AN169,IF(AN168&gt;0,AN168,IF(AN167&gt;0,AN167,IF(AN166&gt;0,AN166,IF(AN165&gt;0,AN165,IF(AN164&gt;0,AN164,IF(AN163&gt;0,AN163,IF(AN162&gt;0,AN162,IF(AN160&gt;0,AN160,IF(AN159&gt;0,AN159,IF(AN158&gt;0,AN158,0)))))))))))),0)*(1-$S170)*'模拟-单技能数据'!$I$21</f>
        <v>0</v>
      </c>
      <c r="AS170" s="61">
        <f ca="1">IF(OR(C170="净世破魔击·日",C170="净世破魔击·月"),M170-'模拟-单技能数据'!$K$10,0)</f>
        <v>0</v>
      </c>
      <c r="AT170" s="61">
        <f ca="1">IF(OR(C170="净世破魔击·日",C170="净世破魔击·月"),I170-'模拟-单技能数据'!$L$10,0)</f>
        <v>0</v>
      </c>
      <c r="AU170" s="62">
        <f t="shared" ca="1" si="160"/>
        <v>0.93290701683261201</v>
      </c>
      <c r="AV170" s="64">
        <f ca="1">IF(AS170&gt;0,('模拟-单技能数据'!$D$22+G170*'模拟-单技能数据'!$F$22)*(1+J170)*(1-S170)*IF(AU170&lt;$F$10,0,IF(AU170&lt;$F$10+$F$11,0.25,IF(AU170&lt;$F$10+$F$11+AS170,AT170,1)))*(1+U170),0)*'模拟-单技能数据'!$I$22</f>
        <v>0</v>
      </c>
      <c r="AW170" s="108">
        <f t="shared" ca="1" si="161"/>
        <v>0</v>
      </c>
      <c r="AX170" s="108" t="b">
        <f ca="1">AND(模拟模式!$P$10="有",AW169=0,RAND()&lt;IF(C170="净世破魔击·月",0.1*8/3,IF(C170="净世破魔击·日",0.1*4/3,0.1*2/3)))</f>
        <v>0</v>
      </c>
      <c r="AY170" s="47">
        <f ca="1">IF(AX170,(18+G170*0.722)*(1+J170)*(1-S170)*(1+$I$4)*IF(P170="会",'模拟-全程加成'!$J$3+'模拟-全程加成'!$J$4+'模拟-全程加成'!$J$5+('模拟-全程加成'!$I$4+'模拟-全程加成'!$I$5)/系数!$B$4+BG170*10%,IF(P170="命",1,IF(P170="识",0.25,0))),0)</f>
        <v>0</v>
      </c>
      <c r="AZ170" s="108">
        <f t="shared" si="162"/>
        <v>9.8525000000000063</v>
      </c>
      <c r="BA170" s="108" t="b">
        <f>AND(模拟模式!$Q$10="有",AZ169=0)</f>
        <v>0</v>
      </c>
      <c r="BB170" s="140">
        <f>IF(BA170,(0+G170*0.287)*(1+J170)*(1-S170)*(1+$I$4)*IF(P170="会",'模拟-全程加成'!$J$3+'模拟-全程加成'!$J$4+'模拟-全程加成'!$J$5+('模拟-全程加成'!$I$4+'模拟-全程加成'!$I$5)/系数!$B$4+BG170*10%,IF(P170="命",1,IF(P170="识",0.25,0))),0)</f>
        <v>0</v>
      </c>
      <c r="BC170" s="115" t="b">
        <f ca="1">AND(模拟模式!$R$7="伏明众生",E170=60,F170=20,DA170&lt;5,CZ169&lt;$F$4)</f>
        <v>0</v>
      </c>
      <c r="BD170" s="115">
        <f t="shared" ca="1" si="124"/>
        <v>0</v>
      </c>
      <c r="BE170" s="115" t="b">
        <f t="shared" ca="1" si="125"/>
        <v>0</v>
      </c>
      <c r="BF170" s="47">
        <f ca="1">IF(BC170,4*('模拟-单技能数据'!$D$24+G170*'模拟-单技能数据'!$F$24)*(1+J170)*(1+'模拟-单技能数据'!$J$24)*(1-S170)*(1+$I$3)*(('模拟-全程加成'!$J$3+'模拟-全程加成'!$J$4+'模拟-全程加成'!$J$5+('模拟-全程加成'!$I$4+'模拟-全程加成'!$I$5)/系数!$B$4+BG170*10%)*('模拟-全程加成'!$J$3+'模拟-全程加成'!$J$4+'模拟-全程加成'!$J$5+('模拟-全程加成'!$I$4+'模拟-全程加成'!$I$5)/系数!$B$4+BG170*10%)+(1-('模拟-全程加成'!$J$3+'模拟-全程加成'!$J$4+'模拟-全程加成'!$J$5+('模拟-全程加成'!$I$4+'模拟-全程加成'!$I$5)/系数!$B$4+BG170*10%)-$F$10-$F$11)+F156*0.25),0)*'模拟-单技能数据'!$I$24</f>
        <v>0</v>
      </c>
      <c r="BG170" s="115" t="b">
        <f ca="1">OR(AND(OR(C170="烈日斩",C170="银月斩"),模拟模式!$I$7="净身明礼"),AND(C170="净世破魔击·日",模拟模式!$J$7="洞若观火"),AND(C171="净世破魔击·月",模拟模式!$J$7="洞若观火"),AB170=1)</f>
        <v>1</v>
      </c>
      <c r="BH170" s="115" t="b">
        <f t="shared" ca="1" si="163"/>
        <v>0</v>
      </c>
      <c r="BI170" s="115">
        <f t="shared" ca="1" si="126"/>
        <v>1.3874999999999997</v>
      </c>
      <c r="BJ170" s="115" t="b">
        <f t="shared" ca="1" si="137"/>
        <v>1</v>
      </c>
      <c r="BK170" s="115" t="b">
        <f ca="1">AND(C170="驱夜断愁",模拟模式!$P$7="天地诛戮")</f>
        <v>1</v>
      </c>
      <c r="BL170" s="57">
        <f t="shared" ca="1" si="127"/>
        <v>20</v>
      </c>
      <c r="BM170" s="115" t="b">
        <f t="shared" ca="1" si="138"/>
        <v>1</v>
      </c>
      <c r="BN170" s="115" t="b">
        <f ca="1">AND(OR(C170="赤日轮1",C170="赤日轮2",C170="赤日轮3",C170="幽月轮1",C170="幽月轮2",C170="幽月轮3"),AB170=1,模拟模式!$L$7="明光恒照")</f>
        <v>0</v>
      </c>
      <c r="BO170" s="117">
        <f t="shared" ca="1" si="128"/>
        <v>25.387500000000003</v>
      </c>
      <c r="BP170" s="115">
        <f t="shared" ca="1" si="164"/>
        <v>6</v>
      </c>
      <c r="BQ170" s="115" t="b">
        <f>模拟模式!$K$10="2600·水"</f>
        <v>0</v>
      </c>
      <c r="BR170" s="117">
        <f t="shared" si="165"/>
        <v>0</v>
      </c>
      <c r="BS170" s="115">
        <f t="shared" si="166"/>
        <v>0</v>
      </c>
      <c r="BT170" s="115">
        <f t="shared" ca="1" si="167"/>
        <v>0</v>
      </c>
      <c r="BU170" s="115" t="b">
        <f ca="1">AND(模拟模式!$K$10="2300·雷",BT169=0,RAND()&lt;IF(C170="净世破魔击·月",5*0.05*2/3,IF(C170="净世破魔击·日",3*0.05*2/3,0.05*2*2/3)))</f>
        <v>0</v>
      </c>
      <c r="BV170" s="115">
        <f t="shared" ca="1" si="168"/>
        <v>0</v>
      </c>
      <c r="BW170" s="115">
        <f t="shared" ca="1" si="169"/>
        <v>53.617499999999282</v>
      </c>
      <c r="BX170" s="164" t="b">
        <f t="shared" ca="1" si="170"/>
        <v>0</v>
      </c>
      <c r="BY170" s="115">
        <f t="shared" ca="1" si="171"/>
        <v>0</v>
      </c>
      <c r="BZ170" s="115">
        <f>IF(OR(模拟模式!$P$16="10人团",模拟模式!$P$16="25人团"),IF(B170/30&gt;CA169,1,0),0)</f>
        <v>0</v>
      </c>
      <c r="CA170" s="115">
        <f t="shared" si="147"/>
        <v>0</v>
      </c>
      <c r="CB170" s="115">
        <f ca="1">IF(BZ170=1,IF(模拟模式!$P$16="10人团",15,0)+IF(模拟模式!$P$16="25人团",IF(RAND()&lt;0.6,15,0)),MAX(0,CB169-$F$4))</f>
        <v>0</v>
      </c>
      <c r="CC170" s="115" t="b">
        <f t="shared" ca="1" si="139"/>
        <v>0</v>
      </c>
      <c r="CD170" s="115">
        <f>IF(模拟模式!$Q$16="1个",IF(B170/40&gt;CE169,1,0),0)</f>
        <v>0</v>
      </c>
      <c r="CE170" s="115">
        <f t="shared" si="140"/>
        <v>0</v>
      </c>
      <c r="CF170" s="115">
        <f>IF(OR(CD170=1,模拟模式!$Q$16="2个"),20,MAX(0,CF169-$F$4))</f>
        <v>0</v>
      </c>
      <c r="CG170" s="115" t="b">
        <f t="shared" si="141"/>
        <v>0</v>
      </c>
      <c r="CH170" s="115">
        <f t="shared" ca="1" si="172"/>
        <v>0</v>
      </c>
      <c r="CI170" s="115" t="b">
        <f t="shared" ca="1" si="173"/>
        <v>0</v>
      </c>
      <c r="CJ170" s="119">
        <f t="shared" ca="1" si="174"/>
        <v>0</v>
      </c>
      <c r="CK170" s="115">
        <f t="shared" ca="1" si="175"/>
        <v>0</v>
      </c>
      <c r="CL170" s="115" t="b">
        <f ca="1">AND(模拟模式!$S$7="驱夷逐法",OR(AND(C170="净世破魔击·月",E169&gt;59),AND(C170="净世破魔击·日",F169&gt;59)))</f>
        <v>0</v>
      </c>
      <c r="CM170" s="115" t="b">
        <f ca="1">OR(CL170,AND(C170="净世破魔击·日",CL169,RAND()&lt;模拟模式!$U$23))</f>
        <v>0</v>
      </c>
      <c r="CN170" s="115" t="b">
        <f ca="1">IF(模拟模式!$M$7="辉耀红尘",AND(C170="净世破魔击·月",CL170,CV170=0,E169&lt;80),AND(C170="净世破魔击·月",CL170,E169&lt;100))</f>
        <v>0</v>
      </c>
      <c r="CO170" s="115" t="b">
        <f t="shared" ca="1" si="148"/>
        <v>0</v>
      </c>
      <c r="CP170" s="115" t="b">
        <f ca="1">AND(模拟模式!$O$7="用晦而明",OR(C170="净世破魔击·日",C170="净世破魔击·月",C170="驱夜断愁"),AB170)</f>
        <v>1</v>
      </c>
      <c r="CQ170" s="115" t="b">
        <f ca="1">OR(CP170,AND(CP169,RAND()&lt;模拟模式!$U$23))</f>
        <v>1</v>
      </c>
      <c r="CR170" s="115" t="b">
        <f ca="1">AND(模拟模式!$S$7="日月齐光",OR(C170="幽月轮1",C170="幽月轮2",C170="幽月轮3",CR169),NOT(OR(C170="赤日轮1",C170="赤日轮2",C170="赤日轮3")))</f>
        <v>0</v>
      </c>
      <c r="CS170" s="115" t="b">
        <f ca="1">AND(模拟模式!$S$7="日月齐光",OR(C170="赤日轮1",C170="赤日轮2",C170="赤日轮3",CS169),NOT(OR(C170="幽月轮1",C170="幽月轮2",C170="幽月轮3")))</f>
        <v>0</v>
      </c>
      <c r="CT170" s="115">
        <f t="shared" ca="1" si="176"/>
        <v>0</v>
      </c>
      <c r="CU170" s="115" t="b">
        <f ca="1">AND(模拟模式!$K$10="阴阳往极",CT169=0,RAND()&lt;IF(C170="净世破魔击·月",0.0275*7/3,IF(C170="净世破魔击·日",0.0275*3/3,0.0275*2/3)))</f>
        <v>0</v>
      </c>
      <c r="CV170" s="115">
        <f t="shared" ca="1" si="177"/>
        <v>0</v>
      </c>
      <c r="CW170" s="115">
        <f t="shared" ca="1" si="149"/>
        <v>0.46499999999999975</v>
      </c>
      <c r="CX170" s="115">
        <f t="shared" ca="1" si="150"/>
        <v>5.0774999999999997</v>
      </c>
      <c r="CY170" s="115">
        <f ca="1">MAX(IF($C170="驱夜断愁",IF(模拟模式!$R$7="万念俱寂",6,45),CY169-$F$4),0)</f>
        <v>6</v>
      </c>
      <c r="CZ170" s="115">
        <f t="shared" ca="1" si="151"/>
        <v>0</v>
      </c>
      <c r="DA170" s="115">
        <f ca="1">IF(模拟模式!$N$7="日月同辉",IF(DB169=2,0,MIN(6,IF(AND(OR(C170="赤日轮1",C170="赤日轮2",C170="赤日轮3",C170="幽月轮1",C170="幽月轮2",C170="幽月轮3"),AB170=1),DA169+1,DA169))),0)</f>
        <v>0</v>
      </c>
      <c r="DB170" s="115">
        <f t="shared" ca="1" si="152"/>
        <v>0</v>
      </c>
      <c r="DC170" s="115"/>
      <c r="DD170" s="115"/>
      <c r="DE170" s="115"/>
      <c r="DF170" s="115"/>
      <c r="DG170" s="115"/>
      <c r="DH170" s="115"/>
      <c r="DI170" s="115"/>
      <c r="DJ170" s="115"/>
      <c r="DK170" s="115"/>
      <c r="DL170" s="115"/>
      <c r="DM170" s="115"/>
    </row>
    <row r="171" spans="2:117" x14ac:dyDescent="0.2">
      <c r="B171" s="117">
        <f t="shared" si="153"/>
        <v>132.84</v>
      </c>
      <c r="C171" s="167" t="str">
        <f t="shared" ca="1" si="146"/>
        <v>烈日斩</v>
      </c>
      <c r="D171" s="115">
        <f ca="1">IF(C171="赤日轮1",1,IF(C171="赤日轮2",2,IF(C171="赤日轮3",3,IF(C171="幽月轮1",4,IF(C171="幽月轮2",5,IF(C171="幽月轮3",6,IF(C171="烈日斩",7,IF(C171="银月斩",8,IF(C171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171="净世破魔击·月",17,IF(C171="驱夜断愁",18,0)))))))))))</f>
        <v>7</v>
      </c>
      <c r="E171" s="115">
        <f ca="1">IF(AND(CU171,OR(C171="幽月轮1",C171="幽月轮2",C171="幽月轮3",C171="银月斩",C171="驱夜断愁",C171="净世破魔击·月")),100,MIN(IF(OR(CN171,BE171),0,IF(OR($C171="赤日轮1",$C171="赤日轮2",$C171="赤日轮3"),E170+20+IF(模拟模式!$I$7="日月凌天",4,0)+IF(CR170,20,0),IF($C171="烈日斩",E170+40,IF($C171="驱夜断愁",IF(模拟模式!$R$7="万念俱寂",E170+20,E170+60),IF($C171="净世破魔击·月",IF(OR(DB170&gt;0,CV170&gt;0),100,IF(模拟模式!$M$7="辉耀红尘",E170+20,E170)),IF($C171="净世破魔击·日",E170-100,E170)))))),100))</f>
        <v>80</v>
      </c>
      <c r="F171" s="115">
        <f ca="1">IF(AND(CU171,OR(C171="赤日轮1",C171="赤日轮2",C171="赤日轮3",C171="烈日斩",C171="净世破魔击·日")),100,MIN(IF(CO171,0,IF(OR($C171="幽月轮1",$C171="幽月轮2",$C171="幽月轮3"),F170+20+IF(模拟模式!$I$7="日月凌天",4,0)+IF(CS170,20,0),IF($C171="银月斩",F170+40+IF(模拟模式!$X$12=1,5,0),IF($C171="驱夜断愁",IF(模拟模式!$R$7="万念俱寂",F170+20,F170+60),IF($C171="净世破魔击·月",IF(模拟模式!$M$7="辉耀红尘",F170-80,F170-100),IF(AND(C171="净世破魔击·日",OR(DB170&gt;0,CV170&gt;0)),100,F170)))))),100))</f>
        <v>85</v>
      </c>
      <c r="G171" s="117">
        <f ca="1">('模拟-全程加成'!$E$3+'模拟-全程加成'!$E$4+'模拟-全程加成'!$E$5+('模拟-全程加成'!$C$6-'模拟-全程加成'!$C$3)*系数!$B$9+BS171*23)*(1+'模拟-全程加成'!$F$4+'模拟-全程加成'!$F$5+BJ171*10%+BM171*20%+BP171*4%+CG171*30%)+$F$7*系数!$B$12</f>
        <v>21493.829400000002</v>
      </c>
      <c r="H171" s="45">
        <f ca="1">'模拟-全程加成'!$H$3+'模拟-全程加成'!$H$4+'模拟-全程加成'!$H$5+('模拟-全程加成'!$G$4+'模拟-全程加成'!$G$5+('模拟-全程加成'!$C$6-'模拟-全程加成'!$C$3)*系数!$B$13)/系数!$B$3+LOOKUP(D171,'模拟-单技能数据'!$A$2:$A$19,'模拟-单技能数据'!$K$2:$K$19)+BG171*10%+IF(BV171&gt;0,378,0)</f>
        <v>0.56185145527300218</v>
      </c>
      <c r="I171" s="45">
        <f ca="1">'模拟-全程加成'!$J$3+'模拟-全程加成'!$J$4+'模拟-全程加成'!$J$5+('模拟-全程加成'!$I$4+'模拟-全程加成'!$I$5)/系数!$B$4+LOOKUP(D171,'模拟-单技能数据'!$A$2:$A$19,'模拟-单技能数据'!$L$2:$L$19)+BG171*10%</f>
        <v>2.2624828854998791</v>
      </c>
      <c r="J171" s="45">
        <f ca="1">(('模拟-全程加成'!$K$3+'模拟-全程加成'!$K$4+'模拟-全程加成'!$K$5+('模拟-全程加成'!$C$6-'模拟-全程加成'!$C$3)*系数!$B$10+IF(BV171&gt;0,882,0)+IF(BY171&gt;0,1831,0))*(1+'模拟-全程加成'!$L$4+'模拟-全程加成'!$L$5+CC171*20%))/系数!$B$5</f>
        <v>0.69723220422048726</v>
      </c>
      <c r="K171" s="119">
        <f ca="1">LOOKUP(D171,'模拟-单技能数据'!$A$2:$A$19,'模拟-单技能数据'!$J$2:$J$19)+IF(CM171,60%,0)+IF(DB170-DB171&gt;0,30%,0)+IF(OR(AND(OR(C171="赤日轮1",C171="赤日轮2",C171="赤日轮3"),CR171),AND(OR(C171="幽月轮1",C171="幽月轮2",C171="幽月轮3"),CS171)),35%,0)+CJ171</f>
        <v>0.24</v>
      </c>
      <c r="L171" s="119">
        <f ca="1">IF(AND(C171="烈日斩",模拟模式!$X$11=1),10%,0)+IF(AND(C171="驱夜断愁",AB171=1),30%,0)</f>
        <v>0.1</v>
      </c>
      <c r="M171" s="45">
        <f t="shared" ca="1" si="129"/>
        <v>0.56185145527300218</v>
      </c>
      <c r="N171" s="45">
        <f t="shared" ca="1" si="130"/>
        <v>0.38424854472699788</v>
      </c>
      <c r="O171" s="46">
        <f t="shared" ca="1" si="154"/>
        <v>0.42831615270660828</v>
      </c>
      <c r="P171" s="46" t="str">
        <f t="shared" ca="1" si="155"/>
        <v>会</v>
      </c>
      <c r="Q171" s="45">
        <f t="shared" ca="1" si="156"/>
        <v>2.2624828854998791</v>
      </c>
      <c r="R171" s="117">
        <f ca="1">模拟模式!$E$20*(1-IF(模拟模式!$J$19="有",0.15,0))*(1-IF(模拟模式!$K$19="有",0.3,0)-IF(CQ171,0.5,0))</f>
        <v>843.02999999999975</v>
      </c>
      <c r="S171" s="45">
        <f ca="1">R171/(R171+(185*模拟模式!$E$22-16800)*4.08224)</f>
        <v>8.389626085980037E-2</v>
      </c>
      <c r="T171" s="45" t="str">
        <f ca="1">LOOKUP(D171,'模拟-单技能数据'!$A$2:$A$19,'模拟-单技能数据'!$H$2:$H$19)</f>
        <v>阳</v>
      </c>
      <c r="U171" s="119">
        <f t="shared" ca="1" si="131"/>
        <v>0.2</v>
      </c>
      <c r="V171" s="47">
        <f ca="1">(1+L171)*(LOOKUP(D171,'模拟-单技能数据'!$A$2:$A$19,'模拟-单技能数据'!$D$2:$D$19)+G171*LOOKUP(D171,'模拟-单技能数据'!$A$2:$A$19,'模拟-单技能数据'!$F$2:$F$19))*(1+J171)*(1+K171)*(1-S171)*(1+U171)*Q171*LOOKUP(D171,'模拟-单技能数据'!$A$2:$A$19,'模拟-单技能数据'!$I$2:$I$20)</f>
        <v>110503.35617153208</v>
      </c>
      <c r="W171" s="47">
        <f ca="1">LOOKUP(D171,'模拟-单技能数据'!$A$2:$A$19,'模拟-单技能数据'!$G$2:$G$19)*$I$10</f>
        <v>361.51064354704795</v>
      </c>
      <c r="X171" s="47">
        <f t="shared" ca="1" si="157"/>
        <v>29352.355803387069</v>
      </c>
      <c r="Y171" s="47">
        <f t="shared" ca="1" si="132"/>
        <v>140217.22261846621</v>
      </c>
      <c r="Z171" s="49">
        <f t="shared" ca="1" si="133"/>
        <v>14923219.329614773</v>
      </c>
      <c r="AA171" s="97">
        <f t="shared" ca="1" si="134"/>
        <v>112339.80224040028</v>
      </c>
      <c r="AB171" s="115">
        <f ca="1">IF(OR(C171="赤日轮1",C171="赤日轮2",C171="赤日轮3"),IF(RAND()&lt;模拟模式!$Y$17,1,0),IF(OR(C171="幽月轮1",C171="幽月轮2",C171="幽月轮3"),IF(RAND()&lt;模拟模式!$Y$18,1,0),IF(C171="烈日斩",IF(RAND()&lt;模拟模式!$Y$19,1,0),IF(C171="银月斩",IF(RAND()&lt;模拟模式!$Y$20,1,0),IF(C171="驱夜断愁",IF(RAND()&lt;模拟模式!$Y$21,1,0),IF(C171="净世破魔击·日",IF(RAND()&lt;模拟模式!$Y$22,1,0),IF(C171="净世破魔击·月",IF(RAND()&lt;模拟模式!$Y$23,1,0),0)))))))</f>
        <v>1</v>
      </c>
      <c r="AC171" s="115" t="b">
        <f t="shared" ca="1" si="122"/>
        <v>0</v>
      </c>
      <c r="AD171" s="115" t="b">
        <f t="shared" ca="1" si="142"/>
        <v>1</v>
      </c>
      <c r="AE171" s="115">
        <f t="shared" ca="1" si="143"/>
        <v>4</v>
      </c>
      <c r="AF171" s="47">
        <f ca="1">IF(AC171,('模拟-单技能数据'!$D$20+G171*'模拟-单技能数据'!$F$20)*(1+J171)*(1+'模拟-单技能数据'!$J$20)*(1+U171),0)</f>
        <v>0</v>
      </c>
      <c r="AG171" s="61">
        <f t="shared" ca="1" si="135"/>
        <v>0.64185145527300214</v>
      </c>
      <c r="AH171" s="61">
        <f t="shared" ca="1" si="136"/>
        <v>2.2624828854998791</v>
      </c>
      <c r="AI171" s="62">
        <f t="shared" ca="1" si="158"/>
        <v>0.94183980423922209</v>
      </c>
      <c r="AJ171" s="47">
        <f ca="1">IF(AD171,IF(AI171&lt;$F$10,0,IF(AI171&lt;$F$10+$F$11,0.25,IF(AI171&lt;$F$10+$F$11+AG171,AH171,1)))*IF(AF171&gt;0,AF171,IF(AF170&gt;0,AF170,IF(AF169&gt;0,AF169,IF(AF168&gt;0,AF168,IF(AF167&gt;0,AF167,IF(AF166&gt;0,AF166,IF(AF165&gt;0,AF165,IF(AF164&gt;0,AF164,IF(AF163&gt;0,AF163,IF(AF161&gt;0,AF161,IF(AF160&gt;0,AF160,IF(AF159&gt;0,AF159,0)))))))))))),0)*(1-$S171)*'模拟-单技能数据'!$I$20</f>
        <v>4250.4883357170938</v>
      </c>
      <c r="AK171" s="115" t="b">
        <f t="shared" ca="1" si="123"/>
        <v>0</v>
      </c>
      <c r="AL171" s="115" t="b">
        <f t="shared" ca="1" si="144"/>
        <v>1</v>
      </c>
      <c r="AM171" s="115">
        <f t="shared" ca="1" si="145"/>
        <v>3</v>
      </c>
      <c r="AN171" s="47">
        <f ca="1">IF(AK171,('模拟-单技能数据'!$D$21+G171*'模拟-单技能数据'!$F$21)*(1+J171)*(1+'模拟-单技能数据'!$J$21)*(1+U171),0)</f>
        <v>0</v>
      </c>
      <c r="AO171" s="61">
        <f ca="1">IF(AN171&gt;0,M171-'模拟-单技能数据'!$K$10,AO170)</f>
        <v>0.42185145527300216</v>
      </c>
      <c r="AP171" s="61">
        <f ca="1">IF(AN171&gt;0,I171-'模拟-单技能数据'!$L$10,AP170)</f>
        <v>2.162482885499879</v>
      </c>
      <c r="AQ171" s="63">
        <f t="shared" ca="1" si="159"/>
        <v>0.24676847426618242</v>
      </c>
      <c r="AR171" s="64">
        <f ca="1">IF(AL171,IF(AQ171&lt;$F$10,0,IF(AQ171&lt;$F$10+$F$11,0.25,IF(AQ171&lt;$F$10+$F$11+AO171,AP171,1)))*IF(AN171&gt;0,AN171,IF(AN170&gt;0,AN170,IF(AN169&gt;0,AN169,IF(AN168&gt;0,AN168,IF(AN167&gt;0,AN167,IF(AN166&gt;0,AN166,IF(AN165&gt;0,AN165,IF(AN164&gt;0,AN164,IF(AN163&gt;0,AN163,IF(AN161&gt;0,AN161,IF(AN160&gt;0,AN160,IF(AN159&gt;0,AN159,0)))))))))))),0)*(1-$S171)*'模拟-单技能数据'!$I$21</f>
        <v>25101.867467669974</v>
      </c>
      <c r="AS171" s="61">
        <f ca="1">IF(OR(C171="净世破魔击·日",C171="净世破魔击·月"),M171-'模拟-单技能数据'!$K$10,0)</f>
        <v>0</v>
      </c>
      <c r="AT171" s="61">
        <f ca="1">IF(OR(C171="净世破魔击·日",C171="净世破魔击·月"),I171-'模拟-单技能数据'!$L$10,0)</f>
        <v>0</v>
      </c>
      <c r="AU171" s="62">
        <f t="shared" ca="1" si="160"/>
        <v>0.20343159719017734</v>
      </c>
      <c r="AV171" s="64">
        <f ca="1">IF(AS171&gt;0,('模拟-单技能数据'!$D$22+G171*'模拟-单技能数据'!$F$22)*(1+J171)*(1-S171)*IF(AU171&lt;$F$10,0,IF(AU171&lt;$F$10+$F$11,0.25,IF(AU171&lt;$F$10+$F$11+AS171,AT171,1)))*(1+U171),0)*'模拟-单技能数据'!$I$22</f>
        <v>0</v>
      </c>
      <c r="AW171" s="108">
        <f t="shared" ca="1" si="161"/>
        <v>0</v>
      </c>
      <c r="AX171" s="108" t="b">
        <f ca="1">AND(模拟模式!$P$10="有",AW170=0,RAND()&lt;IF(C171="净世破魔击·月",0.1*8/3,IF(C171="净世破魔击·日",0.1*4/3,0.1*2/3)))</f>
        <v>0</v>
      </c>
      <c r="AY171" s="47">
        <f ca="1">IF(AX171,(18+G171*0.722)*(1+J171)*(1-S171)*(1+$I$4)*IF(P171="会",'模拟-全程加成'!$J$3+'模拟-全程加成'!$J$4+'模拟-全程加成'!$J$5+('模拟-全程加成'!$I$4+'模拟-全程加成'!$I$5)/系数!$B$4+BG171*10%,IF(P171="命",1,IF(P171="识",0.25,0))),0)</f>
        <v>0</v>
      </c>
      <c r="AZ171" s="108">
        <f t="shared" si="162"/>
        <v>8.9300000000000068</v>
      </c>
      <c r="BA171" s="108" t="b">
        <f>AND(模拟模式!$Q$10="有",AZ170=0)</f>
        <v>0</v>
      </c>
      <c r="BB171" s="140">
        <f>IF(BA171,(0+G171*0.287)*(1+J171)*(1-S171)*(1+$I$4)*IF(P171="会",'模拟-全程加成'!$J$3+'模拟-全程加成'!$J$4+'模拟-全程加成'!$J$5+('模拟-全程加成'!$I$4+'模拟-全程加成'!$I$5)/系数!$B$4+BG171*10%,IF(P171="命",1,IF(P171="识",0.25,0))),0)</f>
        <v>0</v>
      </c>
      <c r="BC171" s="115" t="b">
        <f ca="1">AND(模拟模式!$R$7="伏明众生",E171=60,F171=20,DA171&lt;5,CZ170&lt;$F$4)</f>
        <v>0</v>
      </c>
      <c r="BD171" s="115">
        <f t="shared" ca="1" si="124"/>
        <v>0</v>
      </c>
      <c r="BE171" s="115" t="b">
        <f t="shared" ca="1" si="125"/>
        <v>0</v>
      </c>
      <c r="BF171" s="47">
        <f ca="1">IF(BC171,4*('模拟-单技能数据'!$D$24+G171*'模拟-单技能数据'!$F$24)*(1+J171)*(1+'模拟-单技能数据'!$J$24)*(1-S171)*(1+$I$3)*(('模拟-全程加成'!$J$3+'模拟-全程加成'!$J$4+'模拟-全程加成'!$J$5+('模拟-全程加成'!$I$4+'模拟-全程加成'!$I$5)/系数!$B$4+BG171*10%)*('模拟-全程加成'!$J$3+'模拟-全程加成'!$J$4+'模拟-全程加成'!$J$5+('模拟-全程加成'!$I$4+'模拟-全程加成'!$I$5)/系数!$B$4+BG171*10%)+(1-('模拟-全程加成'!$J$3+'模拟-全程加成'!$J$4+'模拟-全程加成'!$J$5+('模拟-全程加成'!$I$4+'模拟-全程加成'!$I$5)/系数!$B$4+BG171*10%)-$F$10-$F$11)+F157*0.25),0)*'模拟-单技能数据'!$I$24</f>
        <v>0</v>
      </c>
      <c r="BG171" s="115" t="b">
        <f ca="1">OR(AND(OR(C171="烈日斩",C171="银月斩"),模拟模式!$I$7="净身明礼"),AND(C171="净世破魔击·日",模拟模式!$J$7="洞若观火"),AND(C172="净世破魔击·月",模拟模式!$J$7="洞若观火"),AB171=1)</f>
        <v>1</v>
      </c>
      <c r="BH171" s="115" t="b">
        <f t="shared" ca="1" si="163"/>
        <v>0</v>
      </c>
      <c r="BI171" s="115">
        <f t="shared" ca="1" si="126"/>
        <v>0.46499999999999975</v>
      </c>
      <c r="BJ171" s="115" t="b">
        <f t="shared" ca="1" si="137"/>
        <v>1</v>
      </c>
      <c r="BK171" s="115" t="b">
        <f ca="1">AND(C171="驱夜断愁",模拟模式!$P$7="天地诛戮")</f>
        <v>0</v>
      </c>
      <c r="BL171" s="57">
        <f t="shared" ca="1" si="127"/>
        <v>19.077500000000001</v>
      </c>
      <c r="BM171" s="115" t="b">
        <f t="shared" ca="1" si="138"/>
        <v>1</v>
      </c>
      <c r="BN171" s="115" t="b">
        <f ca="1">AND(OR(C171="赤日轮1",C171="赤日轮2",C171="赤日轮3",C171="幽月轮1",C171="幽月轮2",C171="幽月轮3"),AB171=1,模拟模式!$L$7="明光恒照")</f>
        <v>0</v>
      </c>
      <c r="BO171" s="117">
        <f t="shared" ca="1" si="128"/>
        <v>24.465000000000003</v>
      </c>
      <c r="BP171" s="115">
        <f t="shared" ca="1" si="164"/>
        <v>6</v>
      </c>
      <c r="BQ171" s="115" t="b">
        <f>模拟模式!$K$10="2600·水"</f>
        <v>0</v>
      </c>
      <c r="BR171" s="117">
        <f t="shared" si="165"/>
        <v>0</v>
      </c>
      <c r="BS171" s="115">
        <f t="shared" si="166"/>
        <v>0</v>
      </c>
      <c r="BT171" s="115">
        <f t="shared" ca="1" si="167"/>
        <v>0</v>
      </c>
      <c r="BU171" s="115" t="b">
        <f ca="1">AND(模拟模式!$K$10="2300·雷",BT170=0,RAND()&lt;IF(C171="净世破魔击·月",5*0.05*2/3,IF(C171="净世破魔击·日",3*0.05*2/3,0.05*2*2/3)))</f>
        <v>0</v>
      </c>
      <c r="BV171" s="115">
        <f t="shared" ca="1" si="168"/>
        <v>0</v>
      </c>
      <c r="BW171" s="115">
        <f t="shared" ca="1" si="169"/>
        <v>52.694999999999283</v>
      </c>
      <c r="BX171" s="164" t="b">
        <f t="shared" ca="1" si="170"/>
        <v>0</v>
      </c>
      <c r="BY171" s="115">
        <f t="shared" ca="1" si="171"/>
        <v>0</v>
      </c>
      <c r="BZ171" s="115">
        <f>IF(OR(模拟模式!$P$16="10人团",模拟模式!$P$16="25人团"),IF(B171/30&gt;CA170,1,0),0)</f>
        <v>0</v>
      </c>
      <c r="CA171" s="115">
        <f t="shared" si="147"/>
        <v>0</v>
      </c>
      <c r="CB171" s="115">
        <f ca="1">IF(BZ171=1,IF(模拟模式!$P$16="10人团",15,0)+IF(模拟模式!$P$16="25人团",IF(RAND()&lt;0.6,15,0)),MAX(0,CB170-$F$4))</f>
        <v>0</v>
      </c>
      <c r="CC171" s="115" t="b">
        <f t="shared" ca="1" si="139"/>
        <v>0</v>
      </c>
      <c r="CD171" s="115">
        <f>IF(模拟模式!$Q$16="1个",IF(B171/40&gt;CE170,1,0),0)</f>
        <v>0</v>
      </c>
      <c r="CE171" s="115">
        <f t="shared" si="140"/>
        <v>0</v>
      </c>
      <c r="CF171" s="115">
        <f>IF(OR(CD171=1,模拟模式!$Q$16="2个"),20,MAX(0,CF170-$F$4))</f>
        <v>0</v>
      </c>
      <c r="CG171" s="115" t="b">
        <f t="shared" si="141"/>
        <v>0</v>
      </c>
      <c r="CH171" s="115">
        <f t="shared" ca="1" si="172"/>
        <v>0</v>
      </c>
      <c r="CI171" s="115" t="b">
        <f t="shared" ca="1" si="173"/>
        <v>0</v>
      </c>
      <c r="CJ171" s="119">
        <f t="shared" ca="1" si="174"/>
        <v>0</v>
      </c>
      <c r="CK171" s="115">
        <f t="shared" ca="1" si="175"/>
        <v>0</v>
      </c>
      <c r="CL171" s="115" t="b">
        <f ca="1">AND(模拟模式!$S$7="驱夷逐法",OR(AND(C171="净世破魔击·月",E170&gt;59),AND(C171="净世破魔击·日",F170&gt;59)))</f>
        <v>0</v>
      </c>
      <c r="CM171" s="115" t="b">
        <f ca="1">OR(CL171,AND(C171="净世破魔击·日",CL170,RAND()&lt;模拟模式!$U$23))</f>
        <v>0</v>
      </c>
      <c r="CN171" s="115" t="b">
        <f ca="1">IF(模拟模式!$M$7="辉耀红尘",AND(C171="净世破魔击·月",CL171,CV171=0,E170&lt;80),AND(C171="净世破魔击·月",CL171,E170&lt;100))</f>
        <v>0</v>
      </c>
      <c r="CO171" s="115" t="b">
        <f t="shared" ca="1" si="148"/>
        <v>0</v>
      </c>
      <c r="CP171" s="115" t="b">
        <f ca="1">AND(模拟模式!$O$7="用晦而明",OR(C171="净世破魔击·日",C171="净世破魔击·月",C171="驱夜断愁"),AB171)</f>
        <v>0</v>
      </c>
      <c r="CQ171" s="115" t="b">
        <f ca="1">OR(CP171,AND(CP170,RAND()&lt;模拟模式!$U$23))</f>
        <v>1</v>
      </c>
      <c r="CR171" s="115" t="b">
        <f ca="1">AND(模拟模式!$S$7="日月齐光",OR(C171="幽月轮1",C171="幽月轮2",C171="幽月轮3",CR170),NOT(OR(C171="赤日轮1",C171="赤日轮2",C171="赤日轮3")))</f>
        <v>0</v>
      </c>
      <c r="CS171" s="115" t="b">
        <f ca="1">AND(模拟模式!$S$7="日月齐光",OR(C171="赤日轮1",C171="赤日轮2",C171="赤日轮3",CS170),NOT(OR(C171="幽月轮1",C171="幽月轮2",C171="幽月轮3")))</f>
        <v>0</v>
      </c>
      <c r="CT171" s="115">
        <f t="shared" ca="1" si="176"/>
        <v>0</v>
      </c>
      <c r="CU171" s="115" t="b">
        <f ca="1">AND(模拟模式!$K$10="阴阳往极",CT170=0,RAND()&lt;IF(C171="净世破魔击·月",0.0275*7/3,IF(C171="净世破魔击·日",0.0275*3/3,0.0275*2/3)))</f>
        <v>0</v>
      </c>
      <c r="CV171" s="115">
        <f t="shared" ca="1" si="177"/>
        <v>0</v>
      </c>
      <c r="CW171" s="115">
        <f t="shared" ca="1" si="149"/>
        <v>6</v>
      </c>
      <c r="CX171" s="115">
        <f t="shared" ca="1" si="150"/>
        <v>4.1549999999999994</v>
      </c>
      <c r="CY171" s="115">
        <f ca="1">MAX(IF($C171="驱夜断愁",IF(模拟模式!$R$7="万念俱寂",6,45),CY170-$F$4),0)</f>
        <v>5.0774999999999997</v>
      </c>
      <c r="CZ171" s="115">
        <f t="shared" ca="1" si="151"/>
        <v>0</v>
      </c>
      <c r="DA171" s="115">
        <f ca="1">IF(模拟模式!$N$7="日月同辉",IF(DB170=2,0,MIN(6,IF(AND(OR(C171="赤日轮1",C171="赤日轮2",C171="赤日轮3",C171="幽月轮1",C171="幽月轮2",C171="幽月轮3"),AB171=1),DA170+1,DA170))),0)</f>
        <v>0</v>
      </c>
      <c r="DB171" s="115">
        <f t="shared" ca="1" si="152"/>
        <v>0</v>
      </c>
      <c r="DC171" s="115"/>
      <c r="DD171" s="115"/>
      <c r="DE171" s="115"/>
      <c r="DF171" s="115"/>
      <c r="DG171" s="115"/>
      <c r="DH171" s="115"/>
      <c r="DI171" s="115"/>
      <c r="DJ171" s="115"/>
      <c r="DK171" s="115"/>
      <c r="DL171" s="115"/>
      <c r="DM171" s="115"/>
    </row>
    <row r="172" spans="2:117" x14ac:dyDescent="0.2">
      <c r="B172" s="117">
        <f t="shared" si="153"/>
        <v>133.76250000000002</v>
      </c>
      <c r="C172" s="167" t="str">
        <f t="shared" ca="1" si="146"/>
        <v>幽月轮1</v>
      </c>
      <c r="D172" s="115">
        <f ca="1">IF(C172="赤日轮1",1,IF(C172="赤日轮2",2,IF(C172="赤日轮3",3,IF(C172="幽月轮1",4,IF(C172="幽月轮2",5,IF(C172="幽月轮3",6,IF(C172="烈日斩",7,IF(C172="银月斩",8,IF(C172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172="净世破魔击·月",17,IF(C172="驱夜断愁",18,0)))))))))))</f>
        <v>4</v>
      </c>
      <c r="E172" s="115">
        <f ca="1">IF(AND(CU172,OR(C172="幽月轮1",C172="幽月轮2",C172="幽月轮3",C172="银月斩",C172="驱夜断愁",C172="净世破魔击·月")),100,MIN(IF(OR(CN172,BE172),0,IF(OR($C172="赤日轮1",$C172="赤日轮2",$C172="赤日轮3"),E171+20+IF(模拟模式!$I$7="日月凌天",4,0)+IF(CR171,20,0),IF($C172="烈日斩",E171+40,IF($C172="驱夜断愁",IF(模拟模式!$R$7="万念俱寂",E171+20,E171+60),IF($C172="净世破魔击·月",IF(OR(DB171&gt;0,CV171&gt;0),100,IF(模拟模式!$M$7="辉耀红尘",E171+20,E171)),IF($C172="净世破魔击·日",E171-100,E171)))))),100))</f>
        <v>80</v>
      </c>
      <c r="F172" s="115">
        <f ca="1">IF(AND(CU172,OR(C172="赤日轮1",C172="赤日轮2",C172="赤日轮3",C172="烈日斩",C172="净世破魔击·日")),100,MIN(IF(CO172,0,IF(OR($C172="幽月轮1",$C172="幽月轮2",$C172="幽月轮3"),F171+20+IF(模拟模式!$I$7="日月凌天",4,0)+IF(CS171,20,0),IF($C172="银月斩",F171+40+IF(模拟模式!$X$12=1,5,0),IF($C172="驱夜断愁",IF(模拟模式!$R$7="万念俱寂",F171+20,F171+60),IF($C172="净世破魔击·月",IF(模拟模式!$M$7="辉耀红尘",F171-80,F171-100),IF(AND(C172="净世破魔击·日",OR(DB171&gt;0,CV171&gt;0)),100,F171)))))),100))</f>
        <v>100</v>
      </c>
      <c r="G172" s="117">
        <f ca="1">('模拟-全程加成'!$E$3+'模拟-全程加成'!$E$4+'模拟-全程加成'!$E$5+('模拟-全程加成'!$C$6-'模拟-全程加成'!$C$3)*系数!$B$9+BS172*23)*(1+'模拟-全程加成'!$F$4+'模拟-全程加成'!$F$5+BJ172*10%+BM172*20%+BP172*4%+CG172*30%)+$F$7*系数!$B$12</f>
        <v>21493.829400000002</v>
      </c>
      <c r="H172" s="45">
        <f ca="1">'模拟-全程加成'!$H$3+'模拟-全程加成'!$H$4+'模拟-全程加成'!$H$5+('模拟-全程加成'!$G$4+'模拟-全程加成'!$G$5+('模拟-全程加成'!$C$6-'模拟-全程加成'!$C$3)*系数!$B$13)/系数!$B$3+LOOKUP(D172,'模拟-单技能数据'!$A$2:$A$19,'模拟-单技能数据'!$K$2:$K$19)+BG172*10%+IF(BV172&gt;0,378,0)</f>
        <v>0.51185145527300213</v>
      </c>
      <c r="I172" s="45">
        <f ca="1">'模拟-全程加成'!$J$3+'模拟-全程加成'!$J$4+'模拟-全程加成'!$J$5+('模拟-全程加成'!$I$4+'模拟-全程加成'!$I$5)/系数!$B$4+LOOKUP(D172,'模拟-单技能数据'!$A$2:$A$19,'模拟-单技能数据'!$L$2:$L$19)+BG172*10%</f>
        <v>2.162482885499879</v>
      </c>
      <c r="J172" s="45">
        <f ca="1">(('模拟-全程加成'!$K$3+'模拟-全程加成'!$K$4+'模拟-全程加成'!$K$5+('模拟-全程加成'!$C$6-'模拟-全程加成'!$C$3)*系数!$B$10+IF(BV172&gt;0,882,0)+IF(BY172&gt;0,1831,0))*(1+'模拟-全程加成'!$L$4+'模拟-全程加成'!$L$5+CC172*20%))/系数!$B$5</f>
        <v>0.69723220422048726</v>
      </c>
      <c r="K172" s="119">
        <f ca="1">LOOKUP(D172,'模拟-单技能数据'!$A$2:$A$19,'模拟-单技能数据'!$J$2:$J$19)+IF(CM172,60%,0)+IF(DB171-DB172&gt;0,30%,0)+IF(OR(AND(OR(C172="赤日轮1",C172="赤日轮2",C172="赤日轮3"),CR172),AND(OR(C172="幽月轮1",C172="幽月轮2",C172="幽月轮3"),CS172)),35%,0)+CJ172</f>
        <v>7.0000000000000007E-2</v>
      </c>
      <c r="L172" s="119">
        <f ca="1">IF(AND(C172="烈日斩",模拟模式!$X$11=1),10%,0)+IF(AND(C172="驱夜断愁",AB172=1),30%,0)</f>
        <v>0</v>
      </c>
      <c r="M172" s="45">
        <f t="shared" ca="1" si="129"/>
        <v>0.51185145527300213</v>
      </c>
      <c r="N172" s="45">
        <f t="shared" ca="1" si="130"/>
        <v>0.43424854472699792</v>
      </c>
      <c r="O172" s="46">
        <f t="shared" ca="1" si="154"/>
        <v>0.80193209742152316</v>
      </c>
      <c r="P172" s="46" t="str">
        <f t="shared" ca="1" si="155"/>
        <v>命</v>
      </c>
      <c r="Q172" s="45">
        <f t="shared" ca="1" si="156"/>
        <v>1</v>
      </c>
      <c r="R172" s="117">
        <f ca="1">模拟模式!$E$20*(1-IF(模拟模式!$J$19="有",0.15,0))*(1-IF(模拟模式!$K$19="有",0.3,0)-IF(CQ172,0.5,0))</f>
        <v>2950.6049999999996</v>
      </c>
      <c r="S172" s="45">
        <f ca="1">R172/(R172+(185*模拟模式!$E$22-16800)*4.08224)</f>
        <v>0.24272716014590323</v>
      </c>
      <c r="T172" s="45" t="str">
        <f ca="1">LOOKUP(D172,'模拟-单技能数据'!$A$2:$A$19,'模拟-单技能数据'!$H$2:$H$19)</f>
        <v>阴</v>
      </c>
      <c r="U172" s="119">
        <f t="shared" ca="1" si="131"/>
        <v>0.08</v>
      </c>
      <c r="V172" s="47">
        <f ca="1">(1+L172)*(LOOKUP(D172,'模拟-单技能数据'!$A$2:$A$19,'模拟-单技能数据'!$D$2:$D$19)+G172*LOOKUP(D172,'模拟-单技能数据'!$A$2:$A$19,'模拟-单技能数据'!$F$2:$F$19))*(1+J172)*(1+K172)*(1-S172)*(1+U172)*Q172*LOOKUP(D172,'模拟-单技能数据'!$A$2:$A$19,'模拟-单技能数据'!$I$2:$I$20)</f>
        <v>16939.18703301924</v>
      </c>
      <c r="W172" s="47">
        <f ca="1">LOOKUP(D172,'模拟-单技能数据'!$A$2:$A$19,'模拟-单技能数据'!$G$2:$G$19)*$I$10</f>
        <v>361.51064354704795</v>
      </c>
      <c r="X172" s="47">
        <f t="shared" ca="1" si="157"/>
        <v>0</v>
      </c>
      <c r="Y172" s="47">
        <f t="shared" ca="1" si="132"/>
        <v>17300.697676566288</v>
      </c>
      <c r="Z172" s="49">
        <f t="shared" ca="1" si="133"/>
        <v>14940520.027291339</v>
      </c>
      <c r="AA172" s="97">
        <f t="shared" ca="1" si="134"/>
        <v>111694.38390648602</v>
      </c>
      <c r="AB172" s="115">
        <f ca="1">IF(OR(C172="赤日轮1",C172="赤日轮2",C172="赤日轮3"),IF(RAND()&lt;模拟模式!$Y$17,1,0),IF(OR(C172="幽月轮1",C172="幽月轮2",C172="幽月轮3"),IF(RAND()&lt;模拟模式!$Y$18,1,0),IF(C172="烈日斩",IF(RAND()&lt;模拟模式!$Y$19,1,0),IF(C172="银月斩",IF(RAND()&lt;模拟模式!$Y$20,1,0),IF(C172="驱夜断愁",IF(RAND()&lt;模拟模式!$Y$21,1,0),IF(C172="净世破魔击·日",IF(RAND()&lt;模拟模式!$Y$22,1,0),IF(C172="净世破魔击·月",IF(RAND()&lt;模拟模式!$Y$23,1,0),0)))))))</f>
        <v>1</v>
      </c>
      <c r="AC172" s="115" t="b">
        <f t="shared" ca="1" si="122"/>
        <v>0</v>
      </c>
      <c r="AD172" s="115" t="b">
        <f t="shared" ca="1" si="142"/>
        <v>0</v>
      </c>
      <c r="AE172" s="115">
        <f t="shared" ca="1" si="143"/>
        <v>4</v>
      </c>
      <c r="AF172" s="47">
        <f ca="1">IF(AC172,('模拟-单技能数据'!$D$20+G172*'模拟-单技能数据'!$F$20)*(1+J172)*(1+'模拟-单技能数据'!$J$20)*(1+U172),0)</f>
        <v>0</v>
      </c>
      <c r="AG172" s="61">
        <f t="shared" ca="1" si="135"/>
        <v>0.64185145527300214</v>
      </c>
      <c r="AH172" s="61">
        <f t="shared" ca="1" si="136"/>
        <v>2.2624828854998791</v>
      </c>
      <c r="AI172" s="62">
        <f t="shared" ca="1" si="158"/>
        <v>0.27495222429655242</v>
      </c>
      <c r="AJ172" s="47">
        <f ca="1">IF(AD172,IF(AI172&lt;$F$10,0,IF(AI172&lt;$F$10+$F$11,0.25,IF(AI172&lt;$F$10+$F$11+AG172,AH172,1)))*IF(AF172&gt;0,AF172,IF(AF171&gt;0,AF171,IF(AF170&gt;0,AF170,IF(AF169&gt;0,AF169,IF(AF168&gt;0,AF168,IF(AF167&gt;0,AF167,IF(AF166&gt;0,AF166,IF(AF165&gt;0,AF165,IF(AF164&gt;0,AF164,IF(AF162&gt;0,AF162,IF(AF161&gt;0,AF161,IF(AF160&gt;0,AF160,0)))))))))))),0)*(1-$S172)*'模拟-单技能数据'!$I$20</f>
        <v>0</v>
      </c>
      <c r="AK172" s="115" t="b">
        <f t="shared" ca="1" si="123"/>
        <v>0</v>
      </c>
      <c r="AL172" s="115" t="b">
        <f t="shared" ca="1" si="144"/>
        <v>0</v>
      </c>
      <c r="AM172" s="115">
        <f t="shared" ca="1" si="145"/>
        <v>3</v>
      </c>
      <c r="AN172" s="47">
        <f ca="1">IF(AK172,('模拟-单技能数据'!$D$21+G172*'模拟-单技能数据'!$F$21)*(1+J172)*(1+'模拟-单技能数据'!$J$21)*(1+U172),0)</f>
        <v>0</v>
      </c>
      <c r="AO172" s="61">
        <f ca="1">IF(AN172&gt;0,M172-'模拟-单技能数据'!$K$10,AO171)</f>
        <v>0.42185145527300216</v>
      </c>
      <c r="AP172" s="61">
        <f ca="1">IF(AN172&gt;0,I172-'模拟-单技能数据'!$L$10,AP171)</f>
        <v>2.162482885499879</v>
      </c>
      <c r="AQ172" s="63">
        <f t="shared" ca="1" si="159"/>
        <v>0.62346275303417331</v>
      </c>
      <c r="AR172" s="64">
        <f ca="1">IF(AL172,IF(AQ172&lt;$F$10,0,IF(AQ172&lt;$F$10+$F$11,0.25,IF(AQ172&lt;$F$10+$F$11+AO172,AP172,1)))*IF(AN172&gt;0,AN172,IF(AN171&gt;0,AN171,IF(AN170&gt;0,AN170,IF(AN169&gt;0,AN169,IF(AN168&gt;0,AN168,IF(AN167&gt;0,AN167,IF(AN166&gt;0,AN166,IF(AN165&gt;0,AN165,IF(AN164&gt;0,AN164,IF(AN162&gt;0,AN162,IF(AN161&gt;0,AN161,IF(AN160&gt;0,AN160,0)))))))))))),0)*(1-$S172)*'模拟-单技能数据'!$I$21</f>
        <v>0</v>
      </c>
      <c r="AS172" s="61">
        <f ca="1">IF(OR(C172="净世破魔击·日",C172="净世破魔击·月"),M172-'模拟-单技能数据'!$K$10,0)</f>
        <v>0</v>
      </c>
      <c r="AT172" s="61">
        <f ca="1">IF(OR(C172="净世破魔击·日",C172="净世破魔击·月"),I172-'模拟-单技能数据'!$L$10,0)</f>
        <v>0</v>
      </c>
      <c r="AU172" s="62">
        <f t="shared" ca="1" si="160"/>
        <v>0.35758100459676156</v>
      </c>
      <c r="AV172" s="64">
        <f ca="1">IF(AS172&gt;0,('模拟-单技能数据'!$D$22+G172*'模拟-单技能数据'!$F$22)*(1+J172)*(1-S172)*IF(AU172&lt;$F$10,0,IF(AU172&lt;$F$10+$F$11,0.25,IF(AU172&lt;$F$10+$F$11+AS172,AT172,1)))*(1+U172),0)*'模拟-单技能数据'!$I$22</f>
        <v>0</v>
      </c>
      <c r="AW172" s="108">
        <f t="shared" ca="1" si="161"/>
        <v>0</v>
      </c>
      <c r="AX172" s="108" t="b">
        <f ca="1">AND(模拟模式!$P$10="有",AW171=0,RAND()&lt;IF(C172="净世破魔击·月",0.1*8/3,IF(C172="净世破魔击·日",0.1*4/3,0.1*2/3)))</f>
        <v>0</v>
      </c>
      <c r="AY172" s="47">
        <f ca="1">IF(AX172,(18+G172*0.722)*(1+J172)*(1-S172)*(1+$I$4)*IF(P172="会",'模拟-全程加成'!$J$3+'模拟-全程加成'!$J$4+'模拟-全程加成'!$J$5+('模拟-全程加成'!$I$4+'模拟-全程加成'!$I$5)/系数!$B$4+BG172*10%,IF(P172="命",1,IF(P172="识",0.25,0))),0)</f>
        <v>0</v>
      </c>
      <c r="AZ172" s="108">
        <f t="shared" si="162"/>
        <v>8.0075000000000074</v>
      </c>
      <c r="BA172" s="108" t="b">
        <f>AND(模拟模式!$Q$10="有",AZ171=0)</f>
        <v>0</v>
      </c>
      <c r="BB172" s="140">
        <f>IF(BA172,(0+G172*0.287)*(1+J172)*(1-S172)*(1+$I$4)*IF(P172="会",'模拟-全程加成'!$J$3+'模拟-全程加成'!$J$4+'模拟-全程加成'!$J$5+('模拟-全程加成'!$I$4+'模拟-全程加成'!$I$5)/系数!$B$4+BG172*10%,IF(P172="命",1,IF(P172="识",0.25,0))),0)</f>
        <v>0</v>
      </c>
      <c r="BC172" s="115" t="b">
        <f ca="1">AND(模拟模式!$R$7="伏明众生",E172=60,F172=20,DA172&lt;5,CZ171&lt;$F$4)</f>
        <v>0</v>
      </c>
      <c r="BD172" s="115">
        <f t="shared" ca="1" si="124"/>
        <v>0</v>
      </c>
      <c r="BE172" s="115" t="b">
        <f t="shared" ca="1" si="125"/>
        <v>0</v>
      </c>
      <c r="BF172" s="47">
        <f ca="1">IF(BC172,4*('模拟-单技能数据'!$D$24+G172*'模拟-单技能数据'!$F$24)*(1+J172)*(1+'模拟-单技能数据'!$J$24)*(1-S172)*(1+$I$3)*(('模拟-全程加成'!$J$3+'模拟-全程加成'!$J$4+'模拟-全程加成'!$J$5+('模拟-全程加成'!$I$4+'模拟-全程加成'!$I$5)/系数!$B$4+BG172*10%)*('模拟-全程加成'!$J$3+'模拟-全程加成'!$J$4+'模拟-全程加成'!$J$5+('模拟-全程加成'!$I$4+'模拟-全程加成'!$I$5)/系数!$B$4+BG172*10%)+(1-('模拟-全程加成'!$J$3+'模拟-全程加成'!$J$4+'模拟-全程加成'!$J$5+('模拟-全程加成'!$I$4+'模拟-全程加成'!$I$5)/系数!$B$4+BG172*10%)-$F$10-$F$11)+F158*0.25),0)*'模拟-单技能数据'!$I$24</f>
        <v>0</v>
      </c>
      <c r="BG172" s="115" t="b">
        <f ca="1">OR(AND(OR(C172="烈日斩",C172="银月斩"),模拟模式!$I$7="净身明礼"),AND(C172="净世破魔击·日",模拟模式!$J$7="洞若观火"),AND(C173="净世破魔击·月",模拟模式!$J$7="洞若观火"),AB172=1)</f>
        <v>1</v>
      </c>
      <c r="BH172" s="115" t="b">
        <f t="shared" ca="1" si="163"/>
        <v>1</v>
      </c>
      <c r="BI172" s="115">
        <f t="shared" ca="1" si="126"/>
        <v>6</v>
      </c>
      <c r="BJ172" s="115" t="b">
        <f t="shared" ca="1" si="137"/>
        <v>1</v>
      </c>
      <c r="BK172" s="115" t="b">
        <f ca="1">AND(C172="驱夜断愁",模拟模式!$P$7="天地诛戮")</f>
        <v>0</v>
      </c>
      <c r="BL172" s="57">
        <f t="shared" ca="1" si="127"/>
        <v>18.155000000000001</v>
      </c>
      <c r="BM172" s="115" t="b">
        <f t="shared" ca="1" si="138"/>
        <v>1</v>
      </c>
      <c r="BN172" s="115" t="b">
        <f ca="1">AND(OR(C172="赤日轮1",C172="赤日轮2",C172="赤日轮3",C172="幽月轮1",C172="幽月轮2",C172="幽月轮3"),AB172=1,模拟模式!$L$7="明光恒照")</f>
        <v>1</v>
      </c>
      <c r="BO172" s="117">
        <f t="shared" ca="1" si="128"/>
        <v>30</v>
      </c>
      <c r="BP172" s="115">
        <f t="shared" ca="1" si="164"/>
        <v>6</v>
      </c>
      <c r="BQ172" s="115" t="b">
        <f>模拟模式!$K$10="2600·水"</f>
        <v>0</v>
      </c>
      <c r="BR172" s="117">
        <f t="shared" si="165"/>
        <v>0</v>
      </c>
      <c r="BS172" s="115">
        <f t="shared" si="166"/>
        <v>0</v>
      </c>
      <c r="BT172" s="115">
        <f t="shared" ca="1" si="167"/>
        <v>0</v>
      </c>
      <c r="BU172" s="115" t="b">
        <f ca="1">AND(模拟模式!$K$10="2300·雷",BT171=0,RAND()&lt;IF(C172="净世破魔击·月",5*0.05*2/3,IF(C172="净世破魔击·日",3*0.05*2/3,0.05*2*2/3)))</f>
        <v>0</v>
      </c>
      <c r="BV172" s="115">
        <f t="shared" ca="1" si="168"/>
        <v>0</v>
      </c>
      <c r="BW172" s="115">
        <f t="shared" ca="1" si="169"/>
        <v>51.772499999999283</v>
      </c>
      <c r="BX172" s="164" t="b">
        <f t="shared" ca="1" si="170"/>
        <v>0</v>
      </c>
      <c r="BY172" s="115">
        <f t="shared" ca="1" si="171"/>
        <v>0</v>
      </c>
      <c r="BZ172" s="115">
        <f>IF(OR(模拟模式!$P$16="10人团",模拟模式!$P$16="25人团"),IF(B172/30&gt;CA171,1,0),0)</f>
        <v>0</v>
      </c>
      <c r="CA172" s="115">
        <f t="shared" si="147"/>
        <v>0</v>
      </c>
      <c r="CB172" s="115">
        <f ca="1">IF(BZ172=1,IF(模拟模式!$P$16="10人团",15,0)+IF(模拟模式!$P$16="25人团",IF(RAND()&lt;0.6,15,0)),MAX(0,CB171-$F$4))</f>
        <v>0</v>
      </c>
      <c r="CC172" s="115" t="b">
        <f t="shared" ca="1" si="139"/>
        <v>0</v>
      </c>
      <c r="CD172" s="115">
        <f>IF(模拟模式!$Q$16="1个",IF(B172/40&gt;CE171,1,0),0)</f>
        <v>0</v>
      </c>
      <c r="CE172" s="115">
        <f t="shared" si="140"/>
        <v>0</v>
      </c>
      <c r="CF172" s="115">
        <f>IF(OR(CD172=1,模拟模式!$Q$16="2个"),20,MAX(0,CF171-$F$4))</f>
        <v>0</v>
      </c>
      <c r="CG172" s="115" t="b">
        <f t="shared" si="141"/>
        <v>0</v>
      </c>
      <c r="CH172" s="115">
        <f t="shared" ca="1" si="172"/>
        <v>0</v>
      </c>
      <c r="CI172" s="115" t="b">
        <f t="shared" ca="1" si="173"/>
        <v>0</v>
      </c>
      <c r="CJ172" s="119">
        <f t="shared" ca="1" si="174"/>
        <v>0</v>
      </c>
      <c r="CK172" s="115">
        <f t="shared" ca="1" si="175"/>
        <v>0</v>
      </c>
      <c r="CL172" s="115" t="b">
        <f ca="1">AND(模拟模式!$S$7="驱夷逐法",OR(AND(C172="净世破魔击·月",E171&gt;59),AND(C172="净世破魔击·日",F171&gt;59)))</f>
        <v>0</v>
      </c>
      <c r="CM172" s="115" t="b">
        <f ca="1">OR(CL172,AND(C172="净世破魔击·日",CL171,RAND()&lt;模拟模式!$U$23))</f>
        <v>0</v>
      </c>
      <c r="CN172" s="115" t="b">
        <f ca="1">IF(模拟模式!$M$7="辉耀红尘",AND(C172="净世破魔击·月",CL172,CV172=0,E171&lt;80),AND(C172="净世破魔击·月",CL172,E171&lt;100))</f>
        <v>0</v>
      </c>
      <c r="CO172" s="115" t="b">
        <f t="shared" ca="1" si="148"/>
        <v>0</v>
      </c>
      <c r="CP172" s="115" t="b">
        <f ca="1">AND(模拟模式!$O$7="用晦而明",OR(C172="净世破魔击·日",C172="净世破魔击·月",C172="驱夜断愁"),AB172)</f>
        <v>0</v>
      </c>
      <c r="CQ172" s="115" t="b">
        <f ca="1">OR(CP172,AND(CP171,RAND()&lt;模拟模式!$U$23))</f>
        <v>0</v>
      </c>
      <c r="CR172" s="115" t="b">
        <f ca="1">AND(模拟模式!$S$7="日月齐光",OR(C172="幽月轮1",C172="幽月轮2",C172="幽月轮3",CR171),NOT(OR(C172="赤日轮1",C172="赤日轮2",C172="赤日轮3")))</f>
        <v>0</v>
      </c>
      <c r="CS172" s="115" t="b">
        <f ca="1">AND(模拟模式!$S$7="日月齐光",OR(C172="赤日轮1",C172="赤日轮2",C172="赤日轮3",CS171),NOT(OR(C172="幽月轮1",C172="幽月轮2",C172="幽月轮3")))</f>
        <v>0</v>
      </c>
      <c r="CT172" s="115">
        <f t="shared" ca="1" si="176"/>
        <v>0</v>
      </c>
      <c r="CU172" s="115" t="b">
        <f ca="1">AND(模拟模式!$K$10="阴阳往极",CT171=0,RAND()&lt;IF(C172="净世破魔击·月",0.0275*7/3,IF(C172="净世破魔击·日",0.0275*3/3,0.0275*2/3)))</f>
        <v>0</v>
      </c>
      <c r="CV172" s="115">
        <f t="shared" ca="1" si="177"/>
        <v>0</v>
      </c>
      <c r="CW172" s="115">
        <f t="shared" ca="1" si="149"/>
        <v>5.0774999999999997</v>
      </c>
      <c r="CX172" s="115">
        <f t="shared" ca="1" si="150"/>
        <v>3.2324999999999995</v>
      </c>
      <c r="CY172" s="115">
        <f ca="1">MAX(IF($C172="驱夜断愁",IF(模拟模式!$R$7="万念俱寂",6,45),CY171-$F$4),0)</f>
        <v>4.1549999999999994</v>
      </c>
      <c r="CZ172" s="115">
        <f t="shared" ca="1" si="151"/>
        <v>0</v>
      </c>
      <c r="DA172" s="115">
        <f ca="1">IF(模拟模式!$N$7="日月同辉",IF(DB171=2,0,MIN(6,IF(AND(OR(C172="赤日轮1",C172="赤日轮2",C172="赤日轮3",C172="幽月轮1",C172="幽月轮2",C172="幽月轮3"),AB172=1),DA171+1,DA171))),0)</f>
        <v>1</v>
      </c>
      <c r="DB172" s="115">
        <f t="shared" ca="1" si="152"/>
        <v>0</v>
      </c>
      <c r="DC172" s="115"/>
      <c r="DD172" s="115"/>
      <c r="DE172" s="115"/>
      <c r="DF172" s="115"/>
      <c r="DG172" s="115"/>
      <c r="DH172" s="115"/>
      <c r="DI172" s="115"/>
      <c r="DJ172" s="115"/>
      <c r="DK172" s="115"/>
      <c r="DL172" s="115"/>
      <c r="DM172" s="115"/>
    </row>
    <row r="173" spans="2:117" x14ac:dyDescent="0.2">
      <c r="B173" s="117">
        <f t="shared" si="153"/>
        <v>134.68500000000003</v>
      </c>
      <c r="C173" s="167" t="str">
        <f t="shared" ca="1" si="146"/>
        <v>净世破魔击·月</v>
      </c>
      <c r="D173" s="115">
        <f ca="1">IF(C173="赤日轮1",1,IF(C173="赤日轮2",2,IF(C173="赤日轮3",3,IF(C173="幽月轮1",4,IF(C173="幽月轮2",5,IF(C173="幽月轮3",6,IF(C173="烈日斩",7,IF(C173="银月斩",8,IF(C173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173="净世破魔击·月",17,IF(C173="驱夜断愁",18,0)))))))))))</f>
        <v>17</v>
      </c>
      <c r="E173" s="115">
        <f ca="1">IF(AND(CU173,OR(C173="幽月轮1",C173="幽月轮2",C173="幽月轮3",C173="银月斩",C173="驱夜断愁",C173="净世破魔击·月")),100,MIN(IF(OR(CN173,BE173),0,IF(OR($C173="赤日轮1",$C173="赤日轮2",$C173="赤日轮3"),E172+20+IF(模拟模式!$I$7="日月凌天",4,0)+IF(CR172,20,0),IF($C173="烈日斩",E172+40,IF($C173="驱夜断愁",IF(模拟模式!$R$7="万念俱寂",E172+20,E172+60),IF($C173="净世破魔击·月",IF(OR(DB172&gt;0,CV172&gt;0),100,IF(模拟模式!$M$7="辉耀红尘",E172+20,E172)),IF($C173="净世破魔击·日",E172-100,E172)))))),100))</f>
        <v>100</v>
      </c>
      <c r="F173" s="115">
        <f ca="1">IF(AND(CU173,OR(C173="赤日轮1",C173="赤日轮2",C173="赤日轮3",C173="烈日斩",C173="净世破魔击·日")),100,MIN(IF(CO173,0,IF(OR($C173="幽月轮1",$C173="幽月轮2",$C173="幽月轮3"),F172+20+IF(模拟模式!$I$7="日月凌天",4,0)+IF(CS172,20,0),IF($C173="银月斩",F172+40+IF(模拟模式!$X$12=1,5,0),IF($C173="驱夜断愁",IF(模拟模式!$R$7="万念俱寂",F172+20,F172+60),IF($C173="净世破魔击·月",IF(模拟模式!$M$7="辉耀红尘",F172-80,F172-100),IF(AND(C173="净世破魔击·日",OR(DB172&gt;0,CV172&gt;0)),100,F172)))))),100))</f>
        <v>20</v>
      </c>
      <c r="G173" s="117">
        <f ca="1">('模拟-全程加成'!$E$3+'模拟-全程加成'!$E$4+'模拟-全程加成'!$E$5+('模拟-全程加成'!$C$6-'模拟-全程加成'!$C$3)*系数!$B$9+BS173*23)*(1+'模拟-全程加成'!$F$4+'模拟-全程加成'!$F$5+BJ173*10%+BM173*20%+BP173*4%+CG173*30%)+$F$7*系数!$B$12</f>
        <v>21493.829400000002</v>
      </c>
      <c r="H173" s="45">
        <f ca="1">'模拟-全程加成'!$H$3+'模拟-全程加成'!$H$4+'模拟-全程加成'!$H$5+('模拟-全程加成'!$G$4+'模拟-全程加成'!$G$5+('模拟-全程加成'!$C$6-'模拟-全程加成'!$C$3)*系数!$B$13)/系数!$B$3+LOOKUP(D173,'模拟-单技能数据'!$A$2:$A$19,'模拟-单技能数据'!$K$2:$K$19)+BG173*10%+IF(BV173&gt;0,378,0)</f>
        <v>0.54185145527300216</v>
      </c>
      <c r="I173" s="45">
        <f ca="1">'模拟-全程加成'!$J$3+'模拟-全程加成'!$J$4+'模拟-全程加成'!$J$5+('模拟-全程加成'!$I$4+'模拟-全程加成'!$I$5)/系数!$B$4+LOOKUP(D173,'模拟-单技能数据'!$A$2:$A$19,'模拟-单技能数据'!$L$2:$L$19)+BG173*10%</f>
        <v>2.162482885499879</v>
      </c>
      <c r="J173" s="45">
        <f ca="1">(('模拟-全程加成'!$K$3+'模拟-全程加成'!$K$4+'模拟-全程加成'!$K$5+('模拟-全程加成'!$C$6-'模拟-全程加成'!$C$3)*系数!$B$10+IF(BV173&gt;0,882,0)+IF(BY173&gt;0,1831,0))*(1+'模拟-全程加成'!$L$4+'模拟-全程加成'!$L$5+CC173*20%))/系数!$B$5</f>
        <v>0.69723220422048726</v>
      </c>
      <c r="K173" s="119">
        <f ca="1">LOOKUP(D173,'模拟-单技能数据'!$A$2:$A$19,'模拟-单技能数据'!$J$2:$J$19)+IF(CM173,60%,0)+IF(DB172-DB173&gt;0,30%,0)+IF(OR(AND(OR(C173="赤日轮1",C173="赤日轮2",C173="赤日轮3"),CR173),AND(OR(C173="幽月轮1",C173="幽月轮2",C173="幽月轮3"),CS173)),35%,0)+CJ173</f>
        <v>0.8</v>
      </c>
      <c r="L173" s="119">
        <f ca="1">IF(AND(C173="烈日斩",模拟模式!$X$11=1),10%,0)+IF(AND(C173="驱夜断愁",AB173=1),30%,0)</f>
        <v>0</v>
      </c>
      <c r="M173" s="45">
        <f t="shared" ca="1" si="129"/>
        <v>0.54185145527300216</v>
      </c>
      <c r="N173" s="45">
        <f t="shared" ca="1" si="130"/>
        <v>0.40424854472699789</v>
      </c>
      <c r="O173" s="46">
        <f t="shared" ca="1" si="154"/>
        <v>0.1426424930110245</v>
      </c>
      <c r="P173" s="46" t="str">
        <f t="shared" ca="1" si="155"/>
        <v>会</v>
      </c>
      <c r="Q173" s="45">
        <f t="shared" ca="1" si="156"/>
        <v>2.162482885499879</v>
      </c>
      <c r="R173" s="117">
        <f ca="1">模拟模式!$E$20*(1-IF(模拟模式!$J$19="有",0.15,0))*(1-IF(模拟模式!$K$19="有",0.3,0)-IF(CQ173,0.5,0))</f>
        <v>843.02999999999975</v>
      </c>
      <c r="S173" s="45">
        <f ca="1">R173/(R173+(185*模拟模式!$E$22-16800)*4.08224)</f>
        <v>8.389626085980037E-2</v>
      </c>
      <c r="T173" s="45" t="str">
        <f ca="1">LOOKUP(D173,'模拟-单技能数据'!$A$2:$A$19,'模拟-单技能数据'!$H$2:$H$19)</f>
        <v>阴</v>
      </c>
      <c r="U173" s="119">
        <f t="shared" ca="1" si="131"/>
        <v>0.08</v>
      </c>
      <c r="V173" s="47">
        <f ca="1">(1+L173)*(LOOKUP(D173,'模拟-单技能数据'!$A$2:$A$19,'模拟-单技能数据'!$D$2:$D$19)+G173*LOOKUP(D173,'模拟-单技能数据'!$A$2:$A$19,'模拟-单技能数据'!$F$2:$F$19))*(1+J173)*(1+K173)*(1-S173)*(1+U173)*Q173*LOOKUP(D173,'模拟-单技能数据'!$A$2:$A$19,'模拟-单技能数据'!$I$2:$I$20)</f>
        <v>182541.2211190153</v>
      </c>
      <c r="W173" s="47">
        <f ca="1">LOOKUP(D173,'模拟-单技能数据'!$A$2:$A$19,'模拟-单技能数据'!$G$2:$G$19)*$I$10</f>
        <v>361.51064354704795</v>
      </c>
      <c r="X173" s="47">
        <f t="shared" ca="1" si="157"/>
        <v>29180.759724404415</v>
      </c>
      <c r="Y173" s="47">
        <f t="shared" ca="1" si="132"/>
        <v>212083.49148696678</v>
      </c>
      <c r="Z173" s="49">
        <f t="shared" ca="1" si="133"/>
        <v>15152603.518778306</v>
      </c>
      <c r="AA173" s="97">
        <f t="shared" ca="1" si="134"/>
        <v>112504.01691931768</v>
      </c>
      <c r="AB173" s="115">
        <f ca="1">IF(OR(C173="赤日轮1",C173="赤日轮2",C173="赤日轮3"),IF(RAND()&lt;模拟模式!$Y$17,1,0),IF(OR(C173="幽月轮1",C173="幽月轮2",C173="幽月轮3"),IF(RAND()&lt;模拟模式!$Y$18,1,0),IF(C173="烈日斩",IF(RAND()&lt;模拟模式!$Y$19,1,0),IF(C173="银月斩",IF(RAND()&lt;模拟模式!$Y$20,1,0),IF(C173="驱夜断愁",IF(RAND()&lt;模拟模式!$Y$21,1,0),IF(C173="净世破魔击·日",IF(RAND()&lt;模拟模式!$Y$22,1,0),IF(C173="净世破魔击·月",IF(RAND()&lt;模拟模式!$Y$23,1,0),0)))))))</f>
        <v>1</v>
      </c>
      <c r="AC173" s="115" t="b">
        <f t="shared" ca="1" si="122"/>
        <v>0</v>
      </c>
      <c r="AD173" s="115" t="b">
        <f t="shared" ca="1" si="142"/>
        <v>1</v>
      </c>
      <c r="AE173" s="115">
        <f t="shared" ca="1" si="143"/>
        <v>3</v>
      </c>
      <c r="AF173" s="47">
        <f ca="1">IF(AC173,('模拟-单技能数据'!$D$20+G173*'模拟-单技能数据'!$F$20)*(1+J173)*(1+'模拟-单技能数据'!$J$20)*(1+U173),0)</f>
        <v>0</v>
      </c>
      <c r="AG173" s="61">
        <f t="shared" ca="1" si="135"/>
        <v>0.64185145527300214</v>
      </c>
      <c r="AH173" s="61">
        <f t="shared" ca="1" si="136"/>
        <v>2.2624828854998791</v>
      </c>
      <c r="AI173" s="62">
        <f t="shared" ca="1" si="158"/>
        <v>0.44483537926883965</v>
      </c>
      <c r="AJ173" s="47">
        <f ca="1">IF(AD173,IF(AI173&lt;$F$10,0,IF(AI173&lt;$F$10+$F$11,0.25,IF(AI173&lt;$F$10+$F$11+AG173,AH173,1)))*IF(AF173&gt;0,AF173,IF(AF172&gt;0,AF172,IF(AF171&gt;0,AF171,IF(AF170&gt;0,AF170,IF(AF169&gt;0,AF169,IF(AF168&gt;0,AF168,IF(AF167&gt;0,AF167,IF(AF166&gt;0,AF166,IF(AF165&gt;0,AF165,IF(AF163&gt;0,AF163,IF(AF162&gt;0,AF162,IF(AF161&gt;0,AF161,0)))))))))))),0)*(1-$S173)*'模拟-单技能数据'!$I$20</f>
        <v>9616.6571145767884</v>
      </c>
      <c r="AK173" s="115" t="b">
        <f t="shared" ca="1" si="123"/>
        <v>0</v>
      </c>
      <c r="AL173" s="115" t="b">
        <f t="shared" ca="1" si="144"/>
        <v>1</v>
      </c>
      <c r="AM173" s="115">
        <f t="shared" ca="1" si="145"/>
        <v>2</v>
      </c>
      <c r="AN173" s="47">
        <f ca="1">IF(AK173,('模拟-单技能数据'!$D$21+G173*'模拟-单技能数据'!$F$21)*(1+J173)*(1+'模拟-单技能数据'!$J$21)*(1+U173),0)</f>
        <v>0</v>
      </c>
      <c r="AO173" s="61">
        <f ca="1">IF(AN173&gt;0,M173-'模拟-单技能数据'!$K$10,AO172)</f>
        <v>0.42185145527300216</v>
      </c>
      <c r="AP173" s="61">
        <f ca="1">IF(AN173&gt;0,I173-'模拟-单技能数据'!$L$10,AP172)</f>
        <v>2.162482885499879</v>
      </c>
      <c r="AQ173" s="63">
        <f t="shared" ca="1" si="159"/>
        <v>0.92974363818754735</v>
      </c>
      <c r="AR173" s="64">
        <f ca="1">IF(AL173,IF(AQ173&lt;$F$10,0,IF(AQ173&lt;$F$10+$F$11,0.25,IF(AQ173&lt;$F$10+$F$11+AO173,AP173,1)))*IF(AN173&gt;0,AN173,IF(AN172&gt;0,AN172,IF(AN171&gt;0,AN171,IF(AN170&gt;0,AN170,IF(AN169&gt;0,AN169,IF(AN168&gt;0,AN168,IF(AN167&gt;0,AN167,IF(AN166&gt;0,AN166,IF(AN165&gt;0,AN165,IF(AN163&gt;0,AN163,IF(AN162&gt;0,AN162,IF(AN161&gt;0,AN161,0)))))))))))),0)*(1-$S173)*'模拟-单技能数据'!$I$21</f>
        <v>11607.89185245618</v>
      </c>
      <c r="AS173" s="61">
        <f ca="1">IF(OR(C173="净世破魔击·日",C173="净世破魔击·月"),M173-'模拟-单技能数据'!$K$10,0)</f>
        <v>0.42185145527300216</v>
      </c>
      <c r="AT173" s="61">
        <f ca="1">IF(OR(C173="净世破魔击·日",C173="净世破魔击·月"),I173-'模拟-单技能数据'!$L$10,0)</f>
        <v>2.162482885499879</v>
      </c>
      <c r="AU173" s="62">
        <f t="shared" ca="1" si="160"/>
        <v>0.76624769163858275</v>
      </c>
      <c r="AV173" s="64">
        <f ca="1">IF(AS173&gt;0,('模拟-单技能数据'!$D$22+G173*'模拟-单技能数据'!$F$22)*(1+J173)*(1-S173)*IF(AU173&lt;$F$10,0,IF(AU173&lt;$F$10+$F$11,0.25,IF(AU173&lt;$F$10+$F$11+AS173,AT173,1)))*(1+U173),0)*'模拟-单技能数据'!$I$22</f>
        <v>7956.2107573714466</v>
      </c>
      <c r="AW173" s="108">
        <f t="shared" ca="1" si="161"/>
        <v>0</v>
      </c>
      <c r="AX173" s="108" t="b">
        <f ca="1">AND(模拟模式!$P$10="有",AW172=0,RAND()&lt;IF(C173="净世破魔击·月",0.1*8/3,IF(C173="净世破魔击·日",0.1*4/3,0.1*2/3)))</f>
        <v>0</v>
      </c>
      <c r="AY173" s="47">
        <f ca="1">IF(AX173,(18+G173*0.722)*(1+J173)*(1-S173)*(1+$I$4)*IF(P173="会",'模拟-全程加成'!$J$3+'模拟-全程加成'!$J$4+'模拟-全程加成'!$J$5+('模拟-全程加成'!$I$4+'模拟-全程加成'!$I$5)/系数!$B$4+BG173*10%,IF(P173="命",1,IF(P173="识",0.25,0))),0)</f>
        <v>0</v>
      </c>
      <c r="AZ173" s="108">
        <f t="shared" si="162"/>
        <v>7.0850000000000071</v>
      </c>
      <c r="BA173" s="108" t="b">
        <f>AND(模拟模式!$Q$10="有",AZ172=0)</f>
        <v>0</v>
      </c>
      <c r="BB173" s="140">
        <f>IF(BA173,(0+G173*0.287)*(1+J173)*(1-S173)*(1+$I$4)*IF(P173="会",'模拟-全程加成'!$J$3+'模拟-全程加成'!$J$4+'模拟-全程加成'!$J$5+('模拟-全程加成'!$I$4+'模拟-全程加成'!$I$5)/系数!$B$4+BG173*10%,IF(P173="命",1,IF(P173="识",0.25,0))),0)</f>
        <v>0</v>
      </c>
      <c r="BC173" s="115" t="b">
        <f ca="1">AND(模拟模式!$R$7="伏明众生",E173=60,F173=20,DA173&lt;5,CZ172&lt;$F$4)</f>
        <v>0</v>
      </c>
      <c r="BD173" s="115">
        <f t="shared" ca="1" si="124"/>
        <v>0</v>
      </c>
      <c r="BE173" s="115" t="b">
        <f t="shared" ca="1" si="125"/>
        <v>0</v>
      </c>
      <c r="BF173" s="47">
        <f ca="1">IF(BC173,4*('模拟-单技能数据'!$D$24+G173*'模拟-单技能数据'!$F$24)*(1+J173)*(1+'模拟-单技能数据'!$J$24)*(1-S173)*(1+$I$3)*(('模拟-全程加成'!$J$3+'模拟-全程加成'!$J$4+'模拟-全程加成'!$J$5+('模拟-全程加成'!$I$4+'模拟-全程加成'!$I$5)/系数!$B$4+BG173*10%)*('模拟-全程加成'!$J$3+'模拟-全程加成'!$J$4+'模拟-全程加成'!$J$5+('模拟-全程加成'!$I$4+'模拟-全程加成'!$I$5)/系数!$B$4+BG173*10%)+(1-('模拟-全程加成'!$J$3+'模拟-全程加成'!$J$4+'模拟-全程加成'!$J$5+('模拟-全程加成'!$I$4+'模拟-全程加成'!$I$5)/系数!$B$4+BG173*10%)-$F$10-$F$11)+F159*0.25),0)*'模拟-单技能数据'!$I$24</f>
        <v>0</v>
      </c>
      <c r="BG173" s="115" t="b">
        <f ca="1">OR(AND(OR(C173="烈日斩",C173="银月斩"),模拟模式!$I$7="净身明礼"),AND(C173="净世破魔击·日",模拟模式!$J$7="洞若观火"),AND(C174="净世破魔击·月",模拟模式!$J$7="洞若观火"),AB173=1)</f>
        <v>1</v>
      </c>
      <c r="BH173" s="115" t="b">
        <f t="shared" ca="1" si="163"/>
        <v>1</v>
      </c>
      <c r="BI173" s="115">
        <f t="shared" ca="1" si="126"/>
        <v>6</v>
      </c>
      <c r="BJ173" s="115" t="b">
        <f t="shared" ca="1" si="137"/>
        <v>1</v>
      </c>
      <c r="BK173" s="115" t="b">
        <f ca="1">AND(C173="驱夜断愁",模拟模式!$P$7="天地诛戮")</f>
        <v>0</v>
      </c>
      <c r="BL173" s="57">
        <f t="shared" ca="1" si="127"/>
        <v>17.232500000000002</v>
      </c>
      <c r="BM173" s="115" t="b">
        <f t="shared" ca="1" si="138"/>
        <v>1</v>
      </c>
      <c r="BN173" s="115" t="b">
        <f ca="1">AND(OR(C173="赤日轮1",C173="赤日轮2",C173="赤日轮3",C173="幽月轮1",C173="幽月轮2",C173="幽月轮3"),AB173=1,模拟模式!$L$7="明光恒照")</f>
        <v>0</v>
      </c>
      <c r="BO173" s="117">
        <f t="shared" ca="1" si="128"/>
        <v>29.077500000000001</v>
      </c>
      <c r="BP173" s="115">
        <f t="shared" ca="1" si="164"/>
        <v>6</v>
      </c>
      <c r="BQ173" s="115" t="b">
        <f>模拟模式!$K$10="2600·水"</f>
        <v>0</v>
      </c>
      <c r="BR173" s="117">
        <f t="shared" si="165"/>
        <v>0</v>
      </c>
      <c r="BS173" s="115">
        <f t="shared" si="166"/>
        <v>0</v>
      </c>
      <c r="BT173" s="115">
        <f t="shared" ca="1" si="167"/>
        <v>0</v>
      </c>
      <c r="BU173" s="115" t="b">
        <f ca="1">AND(模拟模式!$K$10="2300·雷",BT172=0,RAND()&lt;IF(C173="净世破魔击·月",5*0.05*2/3,IF(C173="净世破魔击·日",3*0.05*2/3,0.05*2*2/3)))</f>
        <v>0</v>
      </c>
      <c r="BV173" s="115">
        <f t="shared" ca="1" si="168"/>
        <v>0</v>
      </c>
      <c r="BW173" s="115">
        <f t="shared" ca="1" si="169"/>
        <v>50.849999999999284</v>
      </c>
      <c r="BX173" s="164" t="b">
        <f t="shared" ca="1" si="170"/>
        <v>0</v>
      </c>
      <c r="BY173" s="115">
        <f t="shared" ca="1" si="171"/>
        <v>0</v>
      </c>
      <c r="BZ173" s="115">
        <f>IF(OR(模拟模式!$P$16="10人团",模拟模式!$P$16="25人团"),IF(B173/30&gt;CA172,1,0),0)</f>
        <v>0</v>
      </c>
      <c r="CA173" s="115">
        <f t="shared" si="147"/>
        <v>0</v>
      </c>
      <c r="CB173" s="115">
        <f ca="1">IF(BZ173=1,IF(模拟模式!$P$16="10人团",15,0)+IF(模拟模式!$P$16="25人团",IF(RAND()&lt;0.6,15,0)),MAX(0,CB172-$F$4))</f>
        <v>0</v>
      </c>
      <c r="CC173" s="115" t="b">
        <f t="shared" ca="1" si="139"/>
        <v>0</v>
      </c>
      <c r="CD173" s="115">
        <f>IF(模拟模式!$Q$16="1个",IF(B173/40&gt;CE172,1,0),0)</f>
        <v>0</v>
      </c>
      <c r="CE173" s="115">
        <f t="shared" si="140"/>
        <v>0</v>
      </c>
      <c r="CF173" s="115">
        <f>IF(OR(CD173=1,模拟模式!$Q$16="2个"),20,MAX(0,CF172-$F$4))</f>
        <v>0</v>
      </c>
      <c r="CG173" s="115" t="b">
        <f t="shared" si="141"/>
        <v>0</v>
      </c>
      <c r="CH173" s="115">
        <f t="shared" ca="1" si="172"/>
        <v>0</v>
      </c>
      <c r="CI173" s="115" t="b">
        <f t="shared" ca="1" si="173"/>
        <v>0</v>
      </c>
      <c r="CJ173" s="119">
        <f t="shared" ca="1" si="174"/>
        <v>0</v>
      </c>
      <c r="CK173" s="115">
        <f t="shared" ca="1" si="175"/>
        <v>0</v>
      </c>
      <c r="CL173" s="115" t="b">
        <f ca="1">AND(模拟模式!$S$7="驱夷逐法",OR(AND(C173="净世破魔击·月",E172&gt;59),AND(C173="净世破魔击·日",F172&gt;59)))</f>
        <v>1</v>
      </c>
      <c r="CM173" s="115" t="b">
        <f ca="1">OR(CL173,AND(C173="净世破魔击·日",CL172,RAND()&lt;模拟模式!$U$23))</f>
        <v>1</v>
      </c>
      <c r="CN173" s="115" t="b">
        <f ca="1">IF(模拟模式!$M$7="辉耀红尘",AND(C173="净世破魔击·月",CL173,CV173=0,E172&lt;80),AND(C173="净世破魔击·月",CL173,E172&lt;100))</f>
        <v>0</v>
      </c>
      <c r="CO173" s="115" t="b">
        <f t="shared" ca="1" si="148"/>
        <v>0</v>
      </c>
      <c r="CP173" s="115" t="b">
        <f ca="1">AND(模拟模式!$O$7="用晦而明",OR(C173="净世破魔击·日",C173="净世破魔击·月",C173="驱夜断愁"),AB173)</f>
        <v>1</v>
      </c>
      <c r="CQ173" s="115" t="b">
        <f ca="1">OR(CP173,AND(CP172,RAND()&lt;模拟模式!$U$23))</f>
        <v>1</v>
      </c>
      <c r="CR173" s="115" t="b">
        <f ca="1">AND(模拟模式!$S$7="日月齐光",OR(C173="幽月轮1",C173="幽月轮2",C173="幽月轮3",CR172),NOT(OR(C173="赤日轮1",C173="赤日轮2",C173="赤日轮3")))</f>
        <v>0</v>
      </c>
      <c r="CS173" s="115" t="b">
        <f ca="1">AND(模拟模式!$S$7="日月齐光",OR(C173="赤日轮1",C173="赤日轮2",C173="赤日轮3",CS172),NOT(OR(C173="幽月轮1",C173="幽月轮2",C173="幽月轮3")))</f>
        <v>0</v>
      </c>
      <c r="CT173" s="115">
        <f t="shared" ca="1" si="176"/>
        <v>0</v>
      </c>
      <c r="CU173" s="115" t="b">
        <f ca="1">AND(模拟模式!$K$10="阴阳往极",CT172=0,RAND()&lt;IF(C173="净世破魔击·月",0.0275*7/3,IF(C173="净世破魔击·日",0.0275*3/3,0.0275*2/3)))</f>
        <v>0</v>
      </c>
      <c r="CV173" s="115">
        <f t="shared" ca="1" si="177"/>
        <v>0</v>
      </c>
      <c r="CW173" s="115">
        <f t="shared" ca="1" si="149"/>
        <v>4.1549999999999994</v>
      </c>
      <c r="CX173" s="115">
        <f t="shared" ca="1" si="150"/>
        <v>2.3099999999999996</v>
      </c>
      <c r="CY173" s="115">
        <f ca="1">MAX(IF($C173="驱夜断愁",IF(模拟模式!$R$7="万念俱寂",6,45),CY172-$F$4),0)</f>
        <v>3.2324999999999995</v>
      </c>
      <c r="CZ173" s="115">
        <f t="shared" ca="1" si="151"/>
        <v>0</v>
      </c>
      <c r="DA173" s="115">
        <f ca="1">IF(模拟模式!$N$7="日月同辉",IF(DB172=2,0,MIN(6,IF(AND(OR(C173="赤日轮1",C173="赤日轮2",C173="赤日轮3",C173="幽月轮1",C173="幽月轮2",C173="幽月轮3"),AB173=1),DA172+1,DA172))),0)</f>
        <v>1</v>
      </c>
      <c r="DB173" s="115">
        <f t="shared" ca="1" si="152"/>
        <v>0</v>
      </c>
      <c r="DC173" s="115"/>
      <c r="DD173" s="115"/>
      <c r="DE173" s="115"/>
      <c r="DF173" s="115"/>
      <c r="DG173" s="115"/>
      <c r="DH173" s="115"/>
      <c r="DI173" s="115"/>
      <c r="DJ173" s="115"/>
      <c r="DK173" s="115"/>
      <c r="DL173" s="115"/>
      <c r="DM173" s="115"/>
    </row>
    <row r="174" spans="2:117" x14ac:dyDescent="0.2">
      <c r="B174" s="117">
        <f t="shared" si="153"/>
        <v>135.60750000000004</v>
      </c>
      <c r="C174" s="167" t="str">
        <f t="shared" ca="1" si="146"/>
        <v>净世破魔击·日</v>
      </c>
      <c r="D174" s="115">
        <f ca="1">IF(C174="赤日轮1",1,IF(C174="赤日轮2",2,IF(C174="赤日轮3",3,IF(C174="幽月轮1",4,IF(C174="幽月轮2",5,IF(C174="幽月轮3",6,IF(C174="烈日斩",7,IF(C174="银月斩",8,IF(C174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174="净世破魔击·月",17,IF(C174="驱夜断愁",18,0)))))))))))</f>
        <v>9</v>
      </c>
      <c r="E174" s="115">
        <f ca="1">IF(AND(CU174,OR(C174="幽月轮1",C174="幽月轮2",C174="幽月轮3",C174="银月斩",C174="驱夜断愁",C174="净世破魔击·月")),100,MIN(IF(OR(CN174,BE174),0,IF(OR($C174="赤日轮1",$C174="赤日轮2",$C174="赤日轮3"),E173+20+IF(模拟模式!$I$7="日月凌天",4,0)+IF(CR173,20,0),IF($C174="烈日斩",E173+40,IF($C174="驱夜断愁",IF(模拟模式!$R$7="万念俱寂",E173+20,E173+60),IF($C174="净世破魔击·月",IF(OR(DB173&gt;0,CV173&gt;0),100,IF(模拟模式!$M$7="辉耀红尘",E173+20,E173)),IF($C174="净世破魔击·日",E173-100,E173)))))),100))</f>
        <v>0</v>
      </c>
      <c r="F174" s="115">
        <f ca="1">IF(AND(CU174,OR(C174="赤日轮1",C174="赤日轮2",C174="赤日轮3",C174="烈日斩",C174="净世破魔击·日")),100,MIN(IF(CO174,0,IF(OR($C174="幽月轮1",$C174="幽月轮2",$C174="幽月轮3"),F173+20+IF(模拟模式!$I$7="日月凌天",4,0)+IF(CS173,20,0),IF($C174="银月斩",F173+40+IF(模拟模式!$X$12=1,5,0),IF($C174="驱夜断愁",IF(模拟模式!$R$7="万念俱寂",F173+20,F173+60),IF($C174="净世破魔击·月",IF(模拟模式!$M$7="辉耀红尘",F173-80,F173-100),IF(AND(C174="净世破魔击·日",OR(DB173&gt;0,CV173&gt;0)),100,F173)))))),100))</f>
        <v>20</v>
      </c>
      <c r="G174" s="117">
        <f ca="1">('模拟-全程加成'!$E$3+'模拟-全程加成'!$E$4+'模拟-全程加成'!$E$5+('模拟-全程加成'!$C$6-'模拟-全程加成'!$C$3)*系数!$B$9+BS174*23)*(1+'模拟-全程加成'!$F$4+'模拟-全程加成'!$F$5+BJ174*10%+BM174*20%+BP174*4%+CG174*30%)+$F$7*系数!$B$12</f>
        <v>21493.829400000002</v>
      </c>
      <c r="H174" s="45">
        <f ca="1">'模拟-全程加成'!$H$3+'模拟-全程加成'!$H$4+'模拟-全程加成'!$H$5+('模拟-全程加成'!$G$4+'模拟-全程加成'!$G$5+('模拟-全程加成'!$C$6-'模拟-全程加成'!$C$3)*系数!$B$13)/系数!$B$3+LOOKUP(D174,'模拟-单技能数据'!$A$2:$A$19,'模拟-单技能数据'!$K$2:$K$19)+BG174*10%+IF(BV174&gt;0,378,0)</f>
        <v>0.54185145527300216</v>
      </c>
      <c r="I174" s="45">
        <f ca="1">'模拟-全程加成'!$J$3+'模拟-全程加成'!$J$4+'模拟-全程加成'!$J$5+('模拟-全程加成'!$I$4+'模拟-全程加成'!$I$5)/系数!$B$4+LOOKUP(D174,'模拟-单技能数据'!$A$2:$A$19,'模拟-单技能数据'!$L$2:$L$19)+BG174*10%</f>
        <v>2.162482885499879</v>
      </c>
      <c r="J174" s="45">
        <f ca="1">(('模拟-全程加成'!$K$3+'模拟-全程加成'!$K$4+'模拟-全程加成'!$K$5+('模拟-全程加成'!$C$6-'模拟-全程加成'!$C$3)*系数!$B$10+IF(BV174&gt;0,882,0)+IF(BY174&gt;0,1831,0))*(1+'模拟-全程加成'!$L$4+'模拟-全程加成'!$L$5+CC174*20%))/系数!$B$5</f>
        <v>0.69723220422048726</v>
      </c>
      <c r="K174" s="119">
        <f ca="1">LOOKUP(D174,'模拟-单技能数据'!$A$2:$A$19,'模拟-单技能数据'!$J$2:$J$19)+IF(CM174,60%,0)+IF(DB173-DB174&gt;0,30%,0)+IF(OR(AND(OR(C174="赤日轮1",C174="赤日轮2",C174="赤日轮3"),CR174),AND(OR(C174="幽月轮1",C174="幽月轮2",C174="幽月轮3"),CS174)),35%,0)+CJ174</f>
        <v>0.85000000000000009</v>
      </c>
      <c r="L174" s="119">
        <f ca="1">IF(AND(C174="烈日斩",模拟模式!$X$11=1),10%,0)+IF(AND(C174="驱夜断愁",AB174=1),30%,0)</f>
        <v>0</v>
      </c>
      <c r="M174" s="45">
        <f t="shared" ca="1" si="129"/>
        <v>0.54185145527300216</v>
      </c>
      <c r="N174" s="45">
        <f t="shared" ca="1" si="130"/>
        <v>0.40424854472699789</v>
      </c>
      <c r="O174" s="46">
        <f t="shared" ca="1" si="154"/>
        <v>0.43687693446690823</v>
      </c>
      <c r="P174" s="46" t="str">
        <f t="shared" ca="1" si="155"/>
        <v>会</v>
      </c>
      <c r="Q174" s="45">
        <f t="shared" ca="1" si="156"/>
        <v>2.162482885499879</v>
      </c>
      <c r="R174" s="117">
        <f ca="1">模拟模式!$E$20*(1-IF(模拟模式!$J$19="有",0.15,0))*(1-IF(模拟模式!$K$19="有",0.3,0)-IF(CQ174,0.5,0))</f>
        <v>843.02999999999975</v>
      </c>
      <c r="S174" s="45">
        <f ca="1">R174/(R174+(185*模拟模式!$E$22-16800)*4.08224)</f>
        <v>8.389626085980037E-2</v>
      </c>
      <c r="T174" s="45" t="str">
        <f ca="1">LOOKUP(D174,'模拟-单技能数据'!$A$2:$A$19,'模拟-单技能数据'!$H$2:$H$19)</f>
        <v>阳</v>
      </c>
      <c r="U174" s="119">
        <f t="shared" ca="1" si="131"/>
        <v>0.2</v>
      </c>
      <c r="V174" s="47">
        <f ca="1">(1+L174)*(LOOKUP(D174,'模拟-单技能数据'!$A$2:$A$19,'模拟-单技能数据'!$D$2:$D$19)+G174*LOOKUP(D174,'模拟-单技能数据'!$A$2:$A$19,'模拟-单技能数据'!$F$2:$F$19))*(1+J174)*(1+K174)*(1-S174)*(1+U174)*Q174*LOOKUP(D174,'模拟-单技能数据'!$A$2:$A$19,'模拟-单技能数据'!$I$2:$I$20)</f>
        <v>210198.65311117729</v>
      </c>
      <c r="W174" s="47">
        <f ca="1">LOOKUP(D174,'模拟-单技能数据'!$A$2:$A$19,'模拟-单技能数据'!$G$2:$G$19)*$I$10</f>
        <v>723.0212870940959</v>
      </c>
      <c r="X174" s="47">
        <f t="shared" ca="1" si="157"/>
        <v>8840.2341748571616</v>
      </c>
      <c r="Y174" s="47">
        <f t="shared" ca="1" si="132"/>
        <v>219761.90857312854</v>
      </c>
      <c r="Z174" s="49">
        <f t="shared" ca="1" si="133"/>
        <v>15372365.427351434</v>
      </c>
      <c r="AA174" s="97">
        <f t="shared" ca="1" si="134"/>
        <v>113359.25687997662</v>
      </c>
      <c r="AB174" s="115">
        <f ca="1">IF(OR(C174="赤日轮1",C174="赤日轮2",C174="赤日轮3"),IF(RAND()&lt;模拟模式!$Y$17,1,0),IF(OR(C174="幽月轮1",C174="幽月轮2",C174="幽月轮3"),IF(RAND()&lt;模拟模式!$Y$18,1,0),IF(C174="烈日斩",IF(RAND()&lt;模拟模式!$Y$19,1,0),IF(C174="银月斩",IF(RAND()&lt;模拟模式!$Y$20,1,0),IF(C174="驱夜断愁",IF(RAND()&lt;模拟模式!$Y$21,1,0),IF(C174="净世破魔击·日",IF(RAND()&lt;模拟模式!$Y$22,1,0),IF(C174="净世破魔击·月",IF(RAND()&lt;模拟模式!$Y$23,1,0),0)))))))</f>
        <v>1</v>
      </c>
      <c r="AC174" s="115" t="b">
        <f t="shared" ca="1" si="122"/>
        <v>0</v>
      </c>
      <c r="AD174" s="115" t="b">
        <f t="shared" ca="1" si="142"/>
        <v>0</v>
      </c>
      <c r="AE174" s="115">
        <f t="shared" ca="1" si="143"/>
        <v>3</v>
      </c>
      <c r="AF174" s="47">
        <f ca="1">IF(AC174,('模拟-单技能数据'!$D$20+G174*'模拟-单技能数据'!$F$20)*(1+J174)*(1+'模拟-单技能数据'!$J$20)*(1+U174),0)</f>
        <v>0</v>
      </c>
      <c r="AG174" s="61">
        <f t="shared" ca="1" si="135"/>
        <v>0.64185145527300214</v>
      </c>
      <c r="AH174" s="61">
        <f t="shared" ca="1" si="136"/>
        <v>2.2624828854998791</v>
      </c>
      <c r="AI174" s="62">
        <f t="shared" ca="1" si="158"/>
        <v>0.42043545752105993</v>
      </c>
      <c r="AJ174" s="47">
        <f ca="1">IF(AD174,IF(AI174&lt;$F$10,0,IF(AI174&lt;$F$10+$F$11,0.25,IF(AI174&lt;$F$10+$F$11+AG174,AH174,1)))*IF(AF174&gt;0,AF174,IF(AF173&gt;0,AF173,IF(AF172&gt;0,AF172,IF(AF171&gt;0,AF171,IF(AF170&gt;0,AF170,IF(AF169&gt;0,AF169,IF(AF168&gt;0,AF168,IF(AF167&gt;0,AF167,IF(AF166&gt;0,AF166,IF(AF164&gt;0,AF164,IF(AF163&gt;0,AF163,IF(AF162&gt;0,AF162,0)))))))))))),0)*(1-$S174)*'模拟-单技能数据'!$I$20</f>
        <v>0</v>
      </c>
      <c r="AK174" s="115" t="b">
        <f t="shared" ca="1" si="123"/>
        <v>1</v>
      </c>
      <c r="AL174" s="115" t="b">
        <f t="shared" ca="1" si="144"/>
        <v>0</v>
      </c>
      <c r="AM174" s="115">
        <f t="shared" ca="1" si="145"/>
        <v>6</v>
      </c>
      <c r="AN174" s="47">
        <f ca="1">IF(AK174,('模拟-单技能数据'!$D$21+G174*'模拟-单技能数据'!$F$21)*(1+J174)*(1+'模拟-单技能数据'!$J$21)*(1+U174),0)</f>
        <v>12670.936004857545</v>
      </c>
      <c r="AO174" s="61">
        <f ca="1">IF(AN174&gt;0,M174-'模拟-单技能数据'!$K$10,AO173)</f>
        <v>0.42185145527300216</v>
      </c>
      <c r="AP174" s="61">
        <f ca="1">IF(AN174&gt;0,I174-'模拟-单技能数据'!$L$10,AP173)</f>
        <v>2.162482885499879</v>
      </c>
      <c r="AQ174" s="63">
        <f t="shared" ca="1" si="159"/>
        <v>0.74373561154425494</v>
      </c>
      <c r="AR174" s="64">
        <f ca="1">IF(AL174,IF(AQ174&lt;$F$10,0,IF(AQ174&lt;$F$10+$F$11,0.25,IF(AQ174&lt;$F$10+$F$11+AO174,AP174,1)))*IF(AN174&gt;0,AN174,IF(AN173&gt;0,AN173,IF(AN172&gt;0,AN172,IF(AN171&gt;0,AN171,IF(AN170&gt;0,AN170,IF(AN169&gt;0,AN169,IF(AN168&gt;0,AN168,IF(AN167&gt;0,AN167,IF(AN166&gt;0,AN166,IF(AN164&gt;0,AN164,IF(AN163&gt;0,AN163,IF(AN162&gt;0,AN162,0)))))))))))),0)*(1-$S174)*'模拟-单技能数据'!$I$21</f>
        <v>0</v>
      </c>
      <c r="AS174" s="61">
        <f ca="1">IF(OR(C174="净世破魔击·日",C174="净世破魔击·月"),M174-'模拟-单技能数据'!$K$10,0)</f>
        <v>0.42185145527300216</v>
      </c>
      <c r="AT174" s="61">
        <f ca="1">IF(OR(C174="净世破魔击·日",C174="净世破魔击·月"),I174-'模拟-单技能数据'!$L$10,0)</f>
        <v>2.162482885499879</v>
      </c>
      <c r="AU174" s="62">
        <f t="shared" ca="1" si="160"/>
        <v>0.95379826019050518</v>
      </c>
      <c r="AV174" s="64">
        <f ca="1">IF(AS174&gt;0,('模拟-单技能数据'!$D$22+G174*'模拟-单技能数据'!$F$22)*(1+J174)*(1-S174)*IF(AU174&lt;$F$10,0,IF(AU174&lt;$F$10+$F$11,0.25,IF(AU174&lt;$F$10+$F$11+AS174,AT174,1)))*(1+U174),0)*'模拟-单技能数据'!$I$22</f>
        <v>8840.2341748571616</v>
      </c>
      <c r="AW174" s="108">
        <f t="shared" ca="1" si="161"/>
        <v>0</v>
      </c>
      <c r="AX174" s="108" t="b">
        <f ca="1">AND(模拟模式!$P$10="有",AW173=0,RAND()&lt;IF(C174="净世破魔击·月",0.1*8/3,IF(C174="净世破魔击·日",0.1*4/3,0.1*2/3)))</f>
        <v>0</v>
      </c>
      <c r="AY174" s="47">
        <f ca="1">IF(AX174,(18+G174*0.722)*(1+J174)*(1-S174)*(1+$I$4)*IF(P174="会",'模拟-全程加成'!$J$3+'模拟-全程加成'!$J$4+'模拟-全程加成'!$J$5+('模拟-全程加成'!$I$4+'模拟-全程加成'!$I$5)/系数!$B$4+BG174*10%,IF(P174="命",1,IF(P174="识",0.25,0))),0)</f>
        <v>0</v>
      </c>
      <c r="AZ174" s="108">
        <f t="shared" si="162"/>
        <v>6.1625000000000068</v>
      </c>
      <c r="BA174" s="108" t="b">
        <f>AND(模拟模式!$Q$10="有",AZ173=0)</f>
        <v>0</v>
      </c>
      <c r="BB174" s="140">
        <f>IF(BA174,(0+G174*0.287)*(1+J174)*(1-S174)*(1+$I$4)*IF(P174="会",'模拟-全程加成'!$J$3+'模拟-全程加成'!$J$4+'模拟-全程加成'!$J$5+('模拟-全程加成'!$I$4+'模拟-全程加成'!$I$5)/系数!$B$4+BG174*10%,IF(P174="命",1,IF(P174="识",0.25,0))),0)</f>
        <v>0</v>
      </c>
      <c r="BC174" s="115" t="b">
        <f ca="1">AND(模拟模式!$R$7="伏明众生",E174=60,F174=20,DA174&lt;5,CZ173&lt;$F$4)</f>
        <v>0</v>
      </c>
      <c r="BD174" s="115">
        <f t="shared" ca="1" si="124"/>
        <v>0</v>
      </c>
      <c r="BE174" s="115" t="b">
        <f t="shared" ca="1" si="125"/>
        <v>0</v>
      </c>
      <c r="BF174" s="47">
        <f ca="1">IF(BC174,4*('模拟-单技能数据'!$D$24+G174*'模拟-单技能数据'!$F$24)*(1+J174)*(1+'模拟-单技能数据'!$J$24)*(1-S174)*(1+$I$3)*(('模拟-全程加成'!$J$3+'模拟-全程加成'!$J$4+'模拟-全程加成'!$J$5+('模拟-全程加成'!$I$4+'模拟-全程加成'!$I$5)/系数!$B$4+BG174*10%)*('模拟-全程加成'!$J$3+'模拟-全程加成'!$J$4+'模拟-全程加成'!$J$5+('模拟-全程加成'!$I$4+'模拟-全程加成'!$I$5)/系数!$B$4+BG174*10%)+(1-('模拟-全程加成'!$J$3+'模拟-全程加成'!$J$4+'模拟-全程加成'!$J$5+('模拟-全程加成'!$I$4+'模拟-全程加成'!$I$5)/系数!$B$4+BG174*10%)-$F$10-$F$11)+F160*0.25),0)*'模拟-单技能数据'!$I$24</f>
        <v>0</v>
      </c>
      <c r="BG174" s="115" t="b">
        <f ca="1">OR(AND(OR(C174="烈日斩",C174="银月斩"),模拟模式!$I$7="净身明礼"),AND(C174="净世破魔击·日",模拟模式!$J$7="洞若观火"),AND(C175="净世破魔击·月",模拟模式!$J$7="洞若观火"),AB174=1)</f>
        <v>1</v>
      </c>
      <c r="BH174" s="115" t="b">
        <f t="shared" ca="1" si="163"/>
        <v>0</v>
      </c>
      <c r="BI174" s="115">
        <f t="shared" ca="1" si="126"/>
        <v>5.0774999999999997</v>
      </c>
      <c r="BJ174" s="115" t="b">
        <f t="shared" ca="1" si="137"/>
        <v>1</v>
      </c>
      <c r="BK174" s="115" t="b">
        <f ca="1">AND(C174="驱夜断愁",模拟模式!$P$7="天地诛戮")</f>
        <v>0</v>
      </c>
      <c r="BL174" s="57">
        <f t="shared" ca="1" si="127"/>
        <v>16.310000000000002</v>
      </c>
      <c r="BM174" s="115" t="b">
        <f t="shared" ca="1" si="138"/>
        <v>1</v>
      </c>
      <c r="BN174" s="115" t="b">
        <f ca="1">AND(OR(C174="赤日轮1",C174="赤日轮2",C174="赤日轮3",C174="幽月轮1",C174="幽月轮2",C174="幽月轮3"),AB174=1,模拟模式!$L$7="明光恒照")</f>
        <v>0</v>
      </c>
      <c r="BO174" s="117">
        <f t="shared" ca="1" si="128"/>
        <v>28.155000000000001</v>
      </c>
      <c r="BP174" s="115">
        <f t="shared" ca="1" si="164"/>
        <v>6</v>
      </c>
      <c r="BQ174" s="115" t="b">
        <f>模拟模式!$K$10="2600·水"</f>
        <v>0</v>
      </c>
      <c r="BR174" s="117">
        <f t="shared" si="165"/>
        <v>0</v>
      </c>
      <c r="BS174" s="115">
        <f t="shared" si="166"/>
        <v>0</v>
      </c>
      <c r="BT174" s="115">
        <f t="shared" ca="1" si="167"/>
        <v>0</v>
      </c>
      <c r="BU174" s="115" t="b">
        <f ca="1">AND(模拟模式!$K$10="2300·雷",BT173=0,RAND()&lt;IF(C174="净世破魔击·月",5*0.05*2/3,IF(C174="净世破魔击·日",3*0.05*2/3,0.05*2*2/3)))</f>
        <v>0</v>
      </c>
      <c r="BV174" s="115">
        <f t="shared" ca="1" si="168"/>
        <v>0</v>
      </c>
      <c r="BW174" s="115">
        <f t="shared" ca="1" si="169"/>
        <v>49.927499999999284</v>
      </c>
      <c r="BX174" s="164" t="b">
        <f t="shared" ca="1" si="170"/>
        <v>0</v>
      </c>
      <c r="BY174" s="115">
        <f t="shared" ca="1" si="171"/>
        <v>0</v>
      </c>
      <c r="BZ174" s="115">
        <f>IF(OR(模拟模式!$P$16="10人团",模拟模式!$P$16="25人团"),IF(B174/30&gt;CA173,1,0),0)</f>
        <v>0</v>
      </c>
      <c r="CA174" s="115">
        <f t="shared" si="147"/>
        <v>0</v>
      </c>
      <c r="CB174" s="115">
        <f ca="1">IF(BZ174=1,IF(模拟模式!$P$16="10人团",15,0)+IF(模拟模式!$P$16="25人团",IF(RAND()&lt;0.6,15,0)),MAX(0,CB173-$F$4))</f>
        <v>0</v>
      </c>
      <c r="CC174" s="115" t="b">
        <f t="shared" ca="1" si="139"/>
        <v>0</v>
      </c>
      <c r="CD174" s="115">
        <f>IF(模拟模式!$Q$16="1个",IF(B174/40&gt;CE173,1,0),0)</f>
        <v>0</v>
      </c>
      <c r="CE174" s="115">
        <f t="shared" si="140"/>
        <v>0</v>
      </c>
      <c r="CF174" s="115">
        <f>IF(OR(CD174=1,模拟模式!$Q$16="2个"),20,MAX(0,CF173-$F$4))</f>
        <v>0</v>
      </c>
      <c r="CG174" s="115" t="b">
        <f t="shared" si="141"/>
        <v>0</v>
      </c>
      <c r="CH174" s="115">
        <f t="shared" ca="1" si="172"/>
        <v>29.077500000000001</v>
      </c>
      <c r="CI174" s="115" t="b">
        <f t="shared" ca="1" si="173"/>
        <v>1</v>
      </c>
      <c r="CJ174" s="119">
        <f t="shared" ca="1" si="174"/>
        <v>0.05</v>
      </c>
      <c r="CK174" s="115">
        <f t="shared" ca="1" si="175"/>
        <v>7.0774999999999997</v>
      </c>
      <c r="CL174" s="115" t="b">
        <f ca="1">AND(模拟模式!$S$7="驱夷逐法",OR(AND(C174="净世破魔击·月",E173&gt;59),AND(C174="净世破魔击·日",F173&gt;59)))</f>
        <v>0</v>
      </c>
      <c r="CM174" s="115" t="b">
        <f ca="1">OR(CL174,AND(C174="净世破魔击·日",CL173,RAND()&lt;模拟模式!$U$23))</f>
        <v>1</v>
      </c>
      <c r="CN174" s="115" t="b">
        <f ca="1">IF(模拟模式!$M$7="辉耀红尘",AND(C174="净世破魔击·月",CL174,CV174=0,E173&lt;80),AND(C174="净世破魔击·月",CL174,E173&lt;100))</f>
        <v>0</v>
      </c>
      <c r="CO174" s="115" t="b">
        <f t="shared" ca="1" si="148"/>
        <v>0</v>
      </c>
      <c r="CP174" s="115" t="b">
        <f ca="1">AND(模拟模式!$O$7="用晦而明",OR(C174="净世破魔击·日",C174="净世破魔击·月",C174="驱夜断愁"),AB174)</f>
        <v>1</v>
      </c>
      <c r="CQ174" s="115" t="b">
        <f ca="1">OR(CP174,AND(CP173,RAND()&lt;模拟模式!$U$23))</f>
        <v>1</v>
      </c>
      <c r="CR174" s="115" t="b">
        <f ca="1">AND(模拟模式!$S$7="日月齐光",OR(C174="幽月轮1",C174="幽月轮2",C174="幽月轮3",CR173),NOT(OR(C174="赤日轮1",C174="赤日轮2",C174="赤日轮3")))</f>
        <v>0</v>
      </c>
      <c r="CS174" s="115" t="b">
        <f ca="1">AND(模拟模式!$S$7="日月齐光",OR(C174="赤日轮1",C174="赤日轮2",C174="赤日轮3",CS173),NOT(OR(C174="幽月轮1",C174="幽月轮2",C174="幽月轮3")))</f>
        <v>0</v>
      </c>
      <c r="CT174" s="115">
        <f t="shared" ca="1" si="176"/>
        <v>0</v>
      </c>
      <c r="CU174" s="115" t="b">
        <f ca="1">AND(模拟模式!$K$10="阴阳往极",CT173=0,RAND()&lt;IF(C174="净世破魔击·月",0.0275*7/3,IF(C174="净世破魔击·日",0.0275*3/3,0.0275*2/3)))</f>
        <v>0</v>
      </c>
      <c r="CV174" s="115">
        <f t="shared" ca="1" si="177"/>
        <v>0</v>
      </c>
      <c r="CW174" s="115">
        <f t="shared" ca="1" si="149"/>
        <v>3.2324999999999995</v>
      </c>
      <c r="CX174" s="115">
        <f t="shared" ca="1" si="150"/>
        <v>1.3874999999999997</v>
      </c>
      <c r="CY174" s="115">
        <f ca="1">MAX(IF($C174="驱夜断愁",IF(模拟模式!$R$7="万念俱寂",6,45),CY173-$F$4),0)</f>
        <v>2.3099999999999996</v>
      </c>
      <c r="CZ174" s="115">
        <f t="shared" ca="1" si="151"/>
        <v>0</v>
      </c>
      <c r="DA174" s="115">
        <f ca="1">IF(模拟模式!$N$7="日月同辉",IF(DB173=2,0,MIN(6,IF(AND(OR(C174="赤日轮1",C174="赤日轮2",C174="赤日轮3",C174="幽月轮1",C174="幽月轮2",C174="幽月轮3"),AB174=1),DA173+1,DA173))),0)</f>
        <v>1</v>
      </c>
      <c r="DB174" s="115">
        <f t="shared" ca="1" si="152"/>
        <v>0</v>
      </c>
      <c r="DC174" s="115"/>
      <c r="DD174" s="115"/>
      <c r="DE174" s="115"/>
      <c r="DF174" s="115"/>
      <c r="DG174" s="115"/>
      <c r="DH174" s="115"/>
      <c r="DI174" s="115"/>
      <c r="DJ174" s="115"/>
      <c r="DK174" s="115"/>
      <c r="DL174" s="115"/>
      <c r="DM174" s="115"/>
    </row>
    <row r="175" spans="2:117" x14ac:dyDescent="0.2">
      <c r="B175" s="117">
        <f t="shared" si="153"/>
        <v>136.53000000000006</v>
      </c>
      <c r="C175" s="167" t="str">
        <f t="shared" ca="1" si="146"/>
        <v>赤日轮1</v>
      </c>
      <c r="D175" s="115">
        <f ca="1">IF(C175="赤日轮1",1,IF(C175="赤日轮2",2,IF(C175="赤日轮3",3,IF(C175="幽月轮1",4,IF(C175="幽月轮2",5,IF(C175="幽月轮3",6,IF(C175="烈日斩",7,IF(C175="银月斩",8,IF(C175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175="净世破魔击·月",17,IF(C175="驱夜断愁",18,0)))))))))))</f>
        <v>1</v>
      </c>
      <c r="E175" s="115">
        <f ca="1">IF(AND(CU175,OR(C175="幽月轮1",C175="幽月轮2",C175="幽月轮3",C175="银月斩",C175="驱夜断愁",C175="净世破魔击·月")),100,MIN(IF(OR(CN175,BE175),0,IF(OR($C175="赤日轮1",$C175="赤日轮2",$C175="赤日轮3"),E174+20+IF(模拟模式!$I$7="日月凌天",4,0)+IF(CR174,20,0),IF($C175="烈日斩",E174+40,IF($C175="驱夜断愁",IF(模拟模式!$R$7="万念俱寂",E174+20,E174+60),IF($C175="净世破魔击·月",IF(OR(DB174&gt;0,CV174&gt;0),100,IF(模拟模式!$M$7="辉耀红尘",E174+20,E174)),IF($C175="净世破魔击·日",E174-100,E174)))))),100))</f>
        <v>20</v>
      </c>
      <c r="F175" s="115">
        <f ca="1">IF(AND(CU175,OR(C175="赤日轮1",C175="赤日轮2",C175="赤日轮3",C175="烈日斩",C175="净世破魔击·日")),100,MIN(IF(CO175,0,IF(OR($C175="幽月轮1",$C175="幽月轮2",$C175="幽月轮3"),F174+20+IF(模拟模式!$I$7="日月凌天",4,0)+IF(CS174,20,0),IF($C175="银月斩",F174+40+IF(模拟模式!$X$12=1,5,0),IF($C175="驱夜断愁",IF(模拟模式!$R$7="万念俱寂",F174+20,F174+60),IF($C175="净世破魔击·月",IF(模拟模式!$M$7="辉耀红尘",F174-80,F174-100),IF(AND(C175="净世破魔击·日",OR(DB174&gt;0,CV174&gt;0)),100,F174)))))),100))</f>
        <v>20</v>
      </c>
      <c r="G175" s="117">
        <f ca="1">('模拟-全程加成'!$E$3+'模拟-全程加成'!$E$4+'模拟-全程加成'!$E$5+('模拟-全程加成'!$C$6-'模拟-全程加成'!$C$3)*系数!$B$9+BS175*23)*(1+'模拟-全程加成'!$F$4+'模拟-全程加成'!$F$5+BJ175*10%+BM175*20%+BP175*4%+CG175*30%)+$F$7*系数!$B$12</f>
        <v>21493.829400000002</v>
      </c>
      <c r="H175" s="45">
        <f ca="1">'模拟-全程加成'!$H$3+'模拟-全程加成'!$H$4+'模拟-全程加成'!$H$5+('模拟-全程加成'!$G$4+'模拟-全程加成'!$G$5+('模拟-全程加成'!$C$6-'模拟-全程加成'!$C$3)*系数!$B$13)/系数!$B$3+LOOKUP(D175,'模拟-单技能数据'!$A$2:$A$19,'模拟-单技能数据'!$K$2:$K$19)+BG175*10%+IF(BV175&gt;0,378,0)</f>
        <v>0.4618514552730022</v>
      </c>
      <c r="I175" s="45">
        <f ca="1">'模拟-全程加成'!$J$3+'模拟-全程加成'!$J$4+'模拟-全程加成'!$J$5+('模拟-全程加成'!$I$4+'模拟-全程加成'!$I$5)/系数!$B$4+LOOKUP(D175,'模拟-单技能数据'!$A$2:$A$19,'模拟-单技能数据'!$L$2:$L$19)+BG175*10%</f>
        <v>2.162482885499879</v>
      </c>
      <c r="J175" s="45">
        <f ca="1">(('模拟-全程加成'!$K$3+'模拟-全程加成'!$K$4+'模拟-全程加成'!$K$5+('模拟-全程加成'!$C$6-'模拟-全程加成'!$C$3)*系数!$B$10+IF(BV175&gt;0,882,0)+IF(BY175&gt;0,1831,0))*(1+'模拟-全程加成'!$L$4+'模拟-全程加成'!$L$5+CC175*20%))/系数!$B$5</f>
        <v>0.69723220422048726</v>
      </c>
      <c r="K175" s="119">
        <f ca="1">LOOKUP(D175,'模拟-单技能数据'!$A$2:$A$19,'模拟-单技能数据'!$J$2:$J$19)+IF(CM175,60%,0)+IF(DB174-DB175&gt;0,30%,0)+IF(OR(AND(OR(C175="赤日轮1",C175="赤日轮2",C175="赤日轮3"),CR175),AND(OR(C175="幽月轮1",C175="幽月轮2",C175="幽月轮3"),CS175)),35%,0)+CJ175</f>
        <v>0.16999999999999998</v>
      </c>
      <c r="L175" s="119">
        <f ca="1">IF(AND(C175="烈日斩",模拟模式!$X$11=1),10%,0)+IF(AND(C175="驱夜断愁",AB175=1),30%,0)</f>
        <v>0</v>
      </c>
      <c r="M175" s="45">
        <f t="shared" ca="1" si="129"/>
        <v>0.4618514552730022</v>
      </c>
      <c r="N175" s="45">
        <f t="shared" ca="1" si="130"/>
        <v>0.48424854472699785</v>
      </c>
      <c r="O175" s="46">
        <f t="shared" ca="1" si="154"/>
        <v>0.54693339808593833</v>
      </c>
      <c r="P175" s="46" t="str">
        <f t="shared" ca="1" si="155"/>
        <v>命</v>
      </c>
      <c r="Q175" s="45">
        <f t="shared" ca="1" si="156"/>
        <v>1</v>
      </c>
      <c r="R175" s="117">
        <f ca="1">模拟模式!$E$20*(1-IF(模拟模式!$J$19="有",0.15,0))*(1-IF(模拟模式!$K$19="有",0.3,0)-IF(CQ175,0.5,0))</f>
        <v>843.02999999999975</v>
      </c>
      <c r="S175" s="45">
        <f ca="1">R175/(R175+(185*模拟模式!$E$22-16800)*4.08224)</f>
        <v>8.389626085980037E-2</v>
      </c>
      <c r="T175" s="45" t="str">
        <f ca="1">LOOKUP(D175,'模拟-单技能数据'!$A$2:$A$19,'模拟-单技能数据'!$H$2:$H$19)</f>
        <v>阳</v>
      </c>
      <c r="U175" s="119">
        <f t="shared" ca="1" si="131"/>
        <v>0.2</v>
      </c>
      <c r="V175" s="47">
        <f ca="1">(1+L175)*(LOOKUP(D175,'模拟-单技能数据'!$A$2:$A$19,'模拟-单技能数据'!$D$2:$D$19)+G175*LOOKUP(D175,'模拟-单技能数据'!$A$2:$A$19,'模拟-单技能数据'!$F$2:$F$19))*(1+J175)*(1+K175)*(1-S175)*(1+U175)*Q175*LOOKUP(D175,'模拟-单技能数据'!$A$2:$A$19,'模拟-单技能数据'!$I$2:$I$20)</f>
        <v>27469.690007533645</v>
      </c>
      <c r="W175" s="47">
        <f ca="1">LOOKUP(D175,'模拟-单技能数据'!$A$2:$A$19,'模拟-单技能数据'!$G$2:$G$19)*$I$10</f>
        <v>361.51064354704795</v>
      </c>
      <c r="X175" s="47">
        <f t="shared" ca="1" si="157"/>
        <v>7152.4612988311383</v>
      </c>
      <c r="Y175" s="47">
        <f t="shared" ca="1" si="132"/>
        <v>34983.661949911831</v>
      </c>
      <c r="Z175" s="49">
        <f t="shared" ca="1" si="133"/>
        <v>15407349.089301346</v>
      </c>
      <c r="AA175" s="97">
        <f t="shared" ca="1" si="134"/>
        <v>112849.55020362807</v>
      </c>
      <c r="AB175" s="115">
        <f ca="1">IF(OR(C175="赤日轮1",C175="赤日轮2",C175="赤日轮3"),IF(RAND()&lt;模拟模式!$Y$17,1,0),IF(OR(C175="幽月轮1",C175="幽月轮2",C175="幽月轮3"),IF(RAND()&lt;模拟模式!$Y$18,1,0),IF(C175="烈日斩",IF(RAND()&lt;模拟模式!$Y$19,1,0),IF(C175="银月斩",IF(RAND()&lt;模拟模式!$Y$20,1,0),IF(C175="驱夜断愁",IF(RAND()&lt;模拟模式!$Y$21,1,0),IF(C175="净世破魔击·日",IF(RAND()&lt;模拟模式!$Y$22,1,0),IF(C175="净世破魔击·月",IF(RAND()&lt;模拟模式!$Y$23,1,0),0)))))))</f>
        <v>1</v>
      </c>
      <c r="AC175" s="115" t="b">
        <f t="shared" ca="1" si="122"/>
        <v>0</v>
      </c>
      <c r="AD175" s="115" t="b">
        <f t="shared" ca="1" si="142"/>
        <v>1</v>
      </c>
      <c r="AE175" s="115">
        <f t="shared" ca="1" si="143"/>
        <v>2</v>
      </c>
      <c r="AF175" s="47">
        <f ca="1">IF(AC175,('模拟-单技能数据'!$D$20+G175*'模拟-单技能数据'!$F$20)*(1+J175)*(1+'模拟-单技能数据'!$J$20)*(1+U175),0)</f>
        <v>0</v>
      </c>
      <c r="AG175" s="61">
        <f t="shared" ca="1" si="135"/>
        <v>0.64185145527300214</v>
      </c>
      <c r="AH175" s="61">
        <f t="shared" ca="1" si="136"/>
        <v>2.2624828854998791</v>
      </c>
      <c r="AI175" s="62">
        <f t="shared" ca="1" si="158"/>
        <v>0.75659812905880985</v>
      </c>
      <c r="AJ175" s="47">
        <f ca="1">IF(AD175,IF(AI175&lt;$F$10,0,IF(AI175&lt;$F$10+$F$11,0.25,IF(AI175&lt;$F$10+$F$11+AG175,AH175,1)))*IF(AF175&gt;0,AF175,IF(AF174&gt;0,AF174,IF(AF173&gt;0,AF173,IF(AF172&gt;0,AF172,IF(AF171&gt;0,AF171,IF(AF170&gt;0,AF170,IF(AF169&gt;0,AF169,IF(AF168&gt;0,AF168,IF(AF167&gt;0,AF167,IF(AF165&gt;0,AF165,IF(AF164&gt;0,AF164,IF(AF163&gt;0,AF163,0)))))))))))),0)*(1-$S175)*'模拟-单技能数据'!$I$20</f>
        <v>4250.4883357170938</v>
      </c>
      <c r="AK175" s="115" t="b">
        <f t="shared" ca="1" si="123"/>
        <v>0</v>
      </c>
      <c r="AL175" s="115" t="b">
        <f t="shared" ca="1" si="144"/>
        <v>1</v>
      </c>
      <c r="AM175" s="115">
        <f t="shared" ca="1" si="145"/>
        <v>5</v>
      </c>
      <c r="AN175" s="47">
        <f ca="1">IF(AK175,('模拟-单技能数据'!$D$21+G175*'模拟-单技能数据'!$F$21)*(1+J175)*(1+'模拟-单技能数据'!$J$21)*(1+U175),0)</f>
        <v>0</v>
      </c>
      <c r="AO175" s="61">
        <f ca="1">IF(AN175&gt;0,M175-'模拟-单技能数据'!$K$10,AO174)</f>
        <v>0.42185145527300216</v>
      </c>
      <c r="AP175" s="61">
        <f ca="1">IF(AN175&gt;0,I175-'模拟-单技能数据'!$L$10,AP174)</f>
        <v>2.162482885499879</v>
      </c>
      <c r="AQ175" s="63">
        <f t="shared" ca="1" si="159"/>
        <v>1.9363689639808168E-2</v>
      </c>
      <c r="AR175" s="64">
        <f ca="1">IF(AL175,IF(AQ175&lt;$F$10,0,IF(AQ175&lt;$F$10+$F$11,0.25,IF(AQ175&lt;$F$10+$F$11+AO175,AP175,1)))*IF(AN175&gt;0,AN175,IF(AN174&gt;0,AN174,IF(AN173&gt;0,AN173,IF(AN172&gt;0,AN172,IF(AN171&gt;0,AN171,IF(AN170&gt;0,AN170,IF(AN169&gt;0,AN169,IF(AN168&gt;0,AN168,IF(AN167&gt;0,AN167,IF(AN165&gt;0,AN165,IF(AN164&gt;0,AN164,IF(AN163&gt;0,AN163,0)))))))))))),0)*(1-$S175)*'模拟-单技能数据'!$I$21</f>
        <v>2901.9729631140449</v>
      </c>
      <c r="AS175" s="61">
        <f ca="1">IF(OR(C175="净世破魔击·日",C175="净世破魔击·月"),M175-'模拟-单技能数据'!$K$10,0)</f>
        <v>0</v>
      </c>
      <c r="AT175" s="61">
        <f ca="1">IF(OR(C175="净世破魔击·日",C175="净世破魔击·月"),I175-'模拟-单技能数据'!$L$10,0)</f>
        <v>0</v>
      </c>
      <c r="AU175" s="62">
        <f t="shared" ca="1" si="160"/>
        <v>0.15726857077038414</v>
      </c>
      <c r="AV175" s="64">
        <f ca="1">IF(AS175&gt;0,('模拟-单技能数据'!$D$22+G175*'模拟-单技能数据'!$F$22)*(1+J175)*(1-S175)*IF(AU175&lt;$F$10,0,IF(AU175&lt;$F$10+$F$11,0.25,IF(AU175&lt;$F$10+$F$11+AS175,AT175,1)))*(1+U175),0)*'模拟-单技能数据'!$I$22</f>
        <v>0</v>
      </c>
      <c r="AW175" s="108">
        <f t="shared" ca="1" si="161"/>
        <v>0</v>
      </c>
      <c r="AX175" s="108" t="b">
        <f ca="1">AND(模拟模式!$P$10="有",AW174=0,RAND()&lt;IF(C175="净世破魔击·月",0.1*8/3,IF(C175="净世破魔击·日",0.1*4/3,0.1*2/3)))</f>
        <v>0</v>
      </c>
      <c r="AY175" s="47">
        <f ca="1">IF(AX175,(18+G175*0.722)*(1+J175)*(1-S175)*(1+$I$4)*IF(P175="会",'模拟-全程加成'!$J$3+'模拟-全程加成'!$J$4+'模拟-全程加成'!$J$5+('模拟-全程加成'!$I$4+'模拟-全程加成'!$I$5)/系数!$B$4+BG175*10%,IF(P175="命",1,IF(P175="识",0.25,0))),0)</f>
        <v>0</v>
      </c>
      <c r="AZ175" s="108">
        <f t="shared" si="162"/>
        <v>5.2400000000000064</v>
      </c>
      <c r="BA175" s="108" t="b">
        <f>AND(模拟模式!$Q$10="有",AZ174=0)</f>
        <v>0</v>
      </c>
      <c r="BB175" s="140">
        <f>IF(BA175,(0+G175*0.287)*(1+J175)*(1-S175)*(1+$I$4)*IF(P175="会",'模拟-全程加成'!$J$3+'模拟-全程加成'!$J$4+'模拟-全程加成'!$J$5+('模拟-全程加成'!$I$4+'模拟-全程加成'!$I$5)/系数!$B$4+BG175*10%,IF(P175="命",1,IF(P175="识",0.25,0))),0)</f>
        <v>0</v>
      </c>
      <c r="BC175" s="115" t="b">
        <f ca="1">AND(模拟模式!$R$7="伏明众生",E175=60,F175=20,DA175&lt;5,CZ174&lt;$F$4)</f>
        <v>0</v>
      </c>
      <c r="BD175" s="115">
        <f t="shared" ca="1" si="124"/>
        <v>0</v>
      </c>
      <c r="BE175" s="115" t="b">
        <f t="shared" ca="1" si="125"/>
        <v>0</v>
      </c>
      <c r="BF175" s="47">
        <f ca="1">IF(BC175,4*('模拟-单技能数据'!$D$24+G175*'模拟-单技能数据'!$F$24)*(1+J175)*(1+'模拟-单技能数据'!$J$24)*(1-S175)*(1+$I$3)*(('模拟-全程加成'!$J$3+'模拟-全程加成'!$J$4+'模拟-全程加成'!$J$5+('模拟-全程加成'!$I$4+'模拟-全程加成'!$I$5)/系数!$B$4+BG175*10%)*('模拟-全程加成'!$J$3+'模拟-全程加成'!$J$4+'模拟-全程加成'!$J$5+('模拟-全程加成'!$I$4+'模拟-全程加成'!$I$5)/系数!$B$4+BG175*10%)+(1-('模拟-全程加成'!$J$3+'模拟-全程加成'!$J$4+'模拟-全程加成'!$J$5+('模拟-全程加成'!$I$4+'模拟-全程加成'!$I$5)/系数!$B$4+BG175*10%)-$F$10-$F$11)+F161*0.25),0)*'模拟-单技能数据'!$I$24</f>
        <v>0</v>
      </c>
      <c r="BG175" s="115" t="b">
        <f ca="1">OR(AND(OR(C175="烈日斩",C175="银月斩"),模拟模式!$I$7="净身明礼"),AND(C175="净世破魔击·日",模拟模式!$J$7="洞若观火"),AND(C176="净世破魔击·月",模拟模式!$J$7="洞若观火"),AB175=1)</f>
        <v>1</v>
      </c>
      <c r="BH175" s="115" t="b">
        <f t="shared" ca="1" si="163"/>
        <v>0</v>
      </c>
      <c r="BI175" s="115">
        <f t="shared" ca="1" si="126"/>
        <v>4.1549999999999994</v>
      </c>
      <c r="BJ175" s="115" t="b">
        <f t="shared" ca="1" si="137"/>
        <v>1</v>
      </c>
      <c r="BK175" s="115" t="b">
        <f ca="1">AND(C175="驱夜断愁",模拟模式!$P$7="天地诛戮")</f>
        <v>0</v>
      </c>
      <c r="BL175" s="57">
        <f t="shared" ca="1" si="127"/>
        <v>15.387500000000003</v>
      </c>
      <c r="BM175" s="115" t="b">
        <f t="shared" ca="1" si="138"/>
        <v>1</v>
      </c>
      <c r="BN175" s="115" t="b">
        <f ca="1">AND(OR(C175="赤日轮1",C175="赤日轮2",C175="赤日轮3",C175="幽月轮1",C175="幽月轮2",C175="幽月轮3"),AB175=1,模拟模式!$L$7="明光恒照")</f>
        <v>1</v>
      </c>
      <c r="BO175" s="117">
        <f t="shared" ca="1" si="128"/>
        <v>30</v>
      </c>
      <c r="BP175" s="115">
        <f t="shared" ca="1" si="164"/>
        <v>6</v>
      </c>
      <c r="BQ175" s="115" t="b">
        <f>模拟模式!$K$10="2600·水"</f>
        <v>0</v>
      </c>
      <c r="BR175" s="117">
        <f t="shared" si="165"/>
        <v>0</v>
      </c>
      <c r="BS175" s="115">
        <f t="shared" si="166"/>
        <v>0</v>
      </c>
      <c r="BT175" s="115">
        <f t="shared" ca="1" si="167"/>
        <v>0</v>
      </c>
      <c r="BU175" s="115" t="b">
        <f ca="1">AND(模拟模式!$K$10="2300·雷",BT174=0,RAND()&lt;IF(C175="净世破魔击·月",5*0.05*2/3,IF(C175="净世破魔击·日",3*0.05*2/3,0.05*2*2/3)))</f>
        <v>0</v>
      </c>
      <c r="BV175" s="115">
        <f t="shared" ca="1" si="168"/>
        <v>0</v>
      </c>
      <c r="BW175" s="115">
        <f t="shared" ca="1" si="169"/>
        <v>49.004999999999285</v>
      </c>
      <c r="BX175" s="164" t="b">
        <f t="shared" ca="1" si="170"/>
        <v>0</v>
      </c>
      <c r="BY175" s="115">
        <f t="shared" ca="1" si="171"/>
        <v>0</v>
      </c>
      <c r="BZ175" s="115">
        <f>IF(OR(模拟模式!$P$16="10人团",模拟模式!$P$16="25人团"),IF(B175/30&gt;CA174,1,0),0)</f>
        <v>0</v>
      </c>
      <c r="CA175" s="115">
        <f t="shared" si="147"/>
        <v>0</v>
      </c>
      <c r="CB175" s="115">
        <f ca="1">IF(BZ175=1,IF(模拟模式!$P$16="10人团",15,0)+IF(模拟模式!$P$16="25人团",IF(RAND()&lt;0.6,15,0)),MAX(0,CB174-$F$4))</f>
        <v>0</v>
      </c>
      <c r="CC175" s="115" t="b">
        <f t="shared" ca="1" si="139"/>
        <v>0</v>
      </c>
      <c r="CD175" s="115">
        <f>IF(模拟模式!$Q$16="1个",IF(B175/40&gt;CE174,1,0),0)</f>
        <v>0</v>
      </c>
      <c r="CE175" s="115">
        <f t="shared" si="140"/>
        <v>0</v>
      </c>
      <c r="CF175" s="115">
        <f>IF(OR(CD175=1,模拟模式!$Q$16="2个"),20,MAX(0,CF174-$F$4))</f>
        <v>0</v>
      </c>
      <c r="CG175" s="115" t="b">
        <f t="shared" si="141"/>
        <v>0</v>
      </c>
      <c r="CH175" s="115">
        <f t="shared" ca="1" si="172"/>
        <v>28.155000000000001</v>
      </c>
      <c r="CI175" s="115" t="b">
        <f t="shared" ca="1" si="173"/>
        <v>0</v>
      </c>
      <c r="CJ175" s="119">
        <f t="shared" ca="1" si="174"/>
        <v>0.05</v>
      </c>
      <c r="CK175" s="115">
        <f t="shared" ca="1" si="175"/>
        <v>6.1549999999999994</v>
      </c>
      <c r="CL175" s="115" t="b">
        <f ca="1">AND(模拟模式!$S$7="驱夷逐法",OR(AND(C175="净世破魔击·月",E174&gt;59),AND(C175="净世破魔击·日",F174&gt;59)))</f>
        <v>0</v>
      </c>
      <c r="CM175" s="115" t="b">
        <f ca="1">OR(CL175,AND(C175="净世破魔击·日",CL174,RAND()&lt;模拟模式!$U$23))</f>
        <v>0</v>
      </c>
      <c r="CN175" s="115" t="b">
        <f ca="1">IF(模拟模式!$M$7="辉耀红尘",AND(C175="净世破魔击·月",CL175,CV175=0,E174&lt;80),AND(C175="净世破魔击·月",CL175,E174&lt;100))</f>
        <v>0</v>
      </c>
      <c r="CO175" s="115" t="b">
        <f t="shared" ca="1" si="148"/>
        <v>0</v>
      </c>
      <c r="CP175" s="115" t="b">
        <f ca="1">AND(模拟模式!$O$7="用晦而明",OR(C175="净世破魔击·日",C175="净世破魔击·月",C175="驱夜断愁"),AB175)</f>
        <v>0</v>
      </c>
      <c r="CQ175" s="115" t="b">
        <f ca="1">OR(CP175,AND(CP174,RAND()&lt;模拟模式!$U$23))</f>
        <v>1</v>
      </c>
      <c r="CR175" s="115" t="b">
        <f ca="1">AND(模拟模式!$S$7="日月齐光",OR(C175="幽月轮1",C175="幽月轮2",C175="幽月轮3",CR174),NOT(OR(C175="赤日轮1",C175="赤日轮2",C175="赤日轮3")))</f>
        <v>0</v>
      </c>
      <c r="CS175" s="115" t="b">
        <f ca="1">AND(模拟模式!$S$7="日月齐光",OR(C175="赤日轮1",C175="赤日轮2",C175="赤日轮3",CS174),NOT(OR(C175="幽月轮1",C175="幽月轮2",C175="幽月轮3")))</f>
        <v>0</v>
      </c>
      <c r="CT175" s="115">
        <f t="shared" ca="1" si="176"/>
        <v>0</v>
      </c>
      <c r="CU175" s="115" t="b">
        <f ca="1">AND(模拟模式!$K$10="阴阳往极",CT174=0,RAND()&lt;IF(C175="净世破魔击·月",0.0275*7/3,IF(C175="净世破魔击·日",0.0275*3/3,0.0275*2/3)))</f>
        <v>0</v>
      </c>
      <c r="CV175" s="115">
        <f t="shared" ca="1" si="177"/>
        <v>0</v>
      </c>
      <c r="CW175" s="115">
        <f t="shared" ca="1" si="149"/>
        <v>2.3099999999999996</v>
      </c>
      <c r="CX175" s="115">
        <f t="shared" ca="1" si="150"/>
        <v>0.46499999999999975</v>
      </c>
      <c r="CY175" s="115">
        <f ca="1">MAX(IF($C175="驱夜断愁",IF(模拟模式!$R$7="万念俱寂",6,45),CY174-$F$4),0)</f>
        <v>1.3874999999999997</v>
      </c>
      <c r="CZ175" s="115">
        <f t="shared" ca="1" si="151"/>
        <v>0</v>
      </c>
      <c r="DA175" s="115">
        <f ca="1">IF(模拟模式!$N$7="日月同辉",IF(DB174=2,0,MIN(6,IF(AND(OR(C175="赤日轮1",C175="赤日轮2",C175="赤日轮3",C175="幽月轮1",C175="幽月轮2",C175="幽月轮3"),AB175=1),DA174+1,DA174))),0)</f>
        <v>2</v>
      </c>
      <c r="DB175" s="115">
        <f t="shared" ca="1" si="152"/>
        <v>0</v>
      </c>
      <c r="DC175" s="115"/>
      <c r="DD175" s="115"/>
      <c r="DE175" s="115"/>
      <c r="DF175" s="115"/>
      <c r="DG175" s="115"/>
      <c r="DH175" s="115"/>
      <c r="DI175" s="115"/>
      <c r="DJ175" s="115"/>
      <c r="DK175" s="115"/>
      <c r="DL175" s="115"/>
      <c r="DM175" s="115"/>
    </row>
    <row r="176" spans="2:117" x14ac:dyDescent="0.2">
      <c r="B176" s="117">
        <f t="shared" si="153"/>
        <v>137.45250000000007</v>
      </c>
      <c r="C176" s="167" t="str">
        <f t="shared" ca="1" si="146"/>
        <v>银月斩</v>
      </c>
      <c r="D176" s="115">
        <f ca="1">IF(C176="赤日轮1",1,IF(C176="赤日轮2",2,IF(C176="赤日轮3",3,IF(C176="幽月轮1",4,IF(C176="幽月轮2",5,IF(C176="幽月轮3",6,IF(C176="烈日斩",7,IF(C176="银月斩",8,IF(C176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176="净世破魔击·月",17,IF(C176="驱夜断愁",18,0)))))))))))</f>
        <v>8</v>
      </c>
      <c r="E176" s="115">
        <f ca="1">IF(AND(CU176,OR(C176="幽月轮1",C176="幽月轮2",C176="幽月轮3",C176="银月斩",C176="驱夜断愁",C176="净世破魔击·月")),100,MIN(IF(OR(CN176,BE176),0,IF(OR($C176="赤日轮1",$C176="赤日轮2",$C176="赤日轮3"),E175+20+IF(模拟模式!$I$7="日月凌天",4,0)+IF(CR175,20,0),IF($C176="烈日斩",E175+40,IF($C176="驱夜断愁",IF(模拟模式!$R$7="万念俱寂",E175+20,E175+60),IF($C176="净世破魔击·月",IF(OR(DB175&gt;0,CV175&gt;0),100,IF(模拟模式!$M$7="辉耀红尘",E175+20,E175)),IF($C176="净世破魔击·日",E175-100,E175)))))),100))</f>
        <v>100</v>
      </c>
      <c r="F176" s="115">
        <f ca="1">IF(AND(CU176,OR(C176="赤日轮1",C176="赤日轮2",C176="赤日轮3",C176="烈日斩",C176="净世破魔击·日")),100,MIN(IF(CO176,0,IF(OR($C176="幽月轮1",$C176="幽月轮2",$C176="幽月轮3"),F175+20+IF(模拟模式!$I$7="日月凌天",4,0)+IF(CS175,20,0),IF($C176="银月斩",F175+40+IF(模拟模式!$X$12=1,5,0),IF($C176="驱夜断愁",IF(模拟模式!$R$7="万念俱寂",F175+20,F175+60),IF($C176="净世破魔击·月",IF(模拟模式!$M$7="辉耀红尘",F175-80,F175-100),IF(AND(C176="净世破魔击·日",OR(DB175&gt;0,CV175&gt;0)),100,F175)))))),100))</f>
        <v>65</v>
      </c>
      <c r="G176" s="117">
        <f ca="1">('模拟-全程加成'!$E$3+'模拟-全程加成'!$E$4+'模拟-全程加成'!$E$5+('模拟-全程加成'!$C$6-'模拟-全程加成'!$C$3)*系数!$B$9+BS176*23)*(1+'模拟-全程加成'!$F$4+'模拟-全程加成'!$F$5+BJ176*10%+BM176*20%+BP176*4%+CG176*30%)+$F$7*系数!$B$12</f>
        <v>21493.829400000002</v>
      </c>
      <c r="H176" s="45">
        <f ca="1">'模拟-全程加成'!$H$3+'模拟-全程加成'!$H$4+'模拟-全程加成'!$H$5+('模拟-全程加成'!$G$4+'模拟-全程加成'!$G$5+('模拟-全程加成'!$C$6-'模拟-全程加成'!$C$3)*系数!$B$13)/系数!$B$3+LOOKUP(D176,'模拟-单技能数据'!$A$2:$A$19,'模拟-单技能数据'!$K$2:$K$19)+BG176*10%+IF(BV176&gt;0,378,0)</f>
        <v>0.64185145527300214</v>
      </c>
      <c r="I176" s="45">
        <f ca="1">'模拟-全程加成'!$J$3+'模拟-全程加成'!$J$4+'模拟-全程加成'!$J$5+('模拟-全程加成'!$I$4+'模拟-全程加成'!$I$5)/系数!$B$4+LOOKUP(D176,'模拟-单技能数据'!$A$2:$A$19,'模拟-单技能数据'!$L$2:$L$19)+BG176*10%</f>
        <v>2.2624828854998791</v>
      </c>
      <c r="J176" s="45">
        <f ca="1">(('模拟-全程加成'!$K$3+'模拟-全程加成'!$K$4+'模拟-全程加成'!$K$5+('模拟-全程加成'!$C$6-'模拟-全程加成'!$C$3)*系数!$B$10+IF(BV176&gt;0,882,0)+IF(BY176&gt;0,1831,0))*(1+'模拟-全程加成'!$L$4+'模拟-全程加成'!$L$5+CC176*20%))/系数!$B$5</f>
        <v>0.69723220422048726</v>
      </c>
      <c r="K176" s="119">
        <f ca="1">LOOKUP(D176,'模拟-单技能数据'!$A$2:$A$19,'模拟-单技能数据'!$J$2:$J$19)+IF(CM176,60%,0)+IF(DB175-DB176&gt;0,30%,0)+IF(OR(AND(OR(C176="赤日轮1",C176="赤日轮2",C176="赤日轮3"),CR176),AND(OR(C176="幽月轮1",C176="幽月轮2",C176="幽月轮3"),CS176)),35%,0)+CJ176</f>
        <v>0.2</v>
      </c>
      <c r="L176" s="119">
        <f ca="1">IF(AND(C176="烈日斩",模拟模式!$X$11=1),10%,0)+IF(AND(C176="驱夜断愁",AB176=1),30%,0)</f>
        <v>0</v>
      </c>
      <c r="M176" s="45">
        <f t="shared" ca="1" si="129"/>
        <v>0.64185145527300214</v>
      </c>
      <c r="N176" s="45">
        <f t="shared" ca="1" si="130"/>
        <v>0.30424854472699792</v>
      </c>
      <c r="O176" s="46">
        <f t="shared" ca="1" si="154"/>
        <v>0.6862214275687154</v>
      </c>
      <c r="P176" s="46" t="str">
        <f t="shared" ca="1" si="155"/>
        <v>会</v>
      </c>
      <c r="Q176" s="45">
        <f t="shared" ca="1" si="156"/>
        <v>2.2624828854998791</v>
      </c>
      <c r="R176" s="117">
        <f ca="1">模拟模式!$E$20*(1-IF(模拟模式!$J$19="有",0.15,0))*(1-IF(模拟模式!$K$19="有",0.3,0)-IF(CQ176,0.5,0))</f>
        <v>2950.6049999999996</v>
      </c>
      <c r="S176" s="45">
        <f ca="1">R176/(R176+(185*模拟模式!$E$22-16800)*4.08224)</f>
        <v>0.24272716014590323</v>
      </c>
      <c r="T176" s="45" t="str">
        <f ca="1">LOOKUP(D176,'模拟-单技能数据'!$A$2:$A$19,'模拟-单技能数据'!$H$2:$H$19)</f>
        <v>阴</v>
      </c>
      <c r="U176" s="119">
        <f t="shared" ca="1" si="131"/>
        <v>0.08</v>
      </c>
      <c r="V176" s="47">
        <f ca="1">(1+L176)*(LOOKUP(D176,'模拟-单技能数据'!$A$2:$A$19,'模拟-单技能数据'!$D$2:$D$19)+G176*LOOKUP(D176,'模拟-单技能数据'!$A$2:$A$19,'模拟-单技能数据'!$F$2:$F$19))*(1+J176)*(1+K176)*(1-S176)*(1+U176)*Q176*LOOKUP(D176,'模拟-单技能数据'!$A$2:$A$19,'模拟-单技能数据'!$I$2:$I$20)</f>
        <v>43003.518149433054</v>
      </c>
      <c r="W176" s="47">
        <f ca="1">LOOKUP(D176,'模拟-单技能数据'!$A$2:$A$19,'模拟-单技能数据'!$G$2:$G$19)*$I$10</f>
        <v>361.51064354704795</v>
      </c>
      <c r="X176" s="47">
        <f t="shared" ca="1" si="157"/>
        <v>0</v>
      </c>
      <c r="Y176" s="47">
        <f t="shared" ca="1" si="132"/>
        <v>43365.028792980098</v>
      </c>
      <c r="Z176" s="49">
        <f t="shared" ca="1" si="133"/>
        <v>15450714.118094325</v>
      </c>
      <c r="AA176" s="97">
        <f t="shared" ca="1" si="134"/>
        <v>112407.6616874507</v>
      </c>
      <c r="AB176" s="115">
        <f ca="1">IF(OR(C176="赤日轮1",C176="赤日轮2",C176="赤日轮3"),IF(RAND()&lt;模拟模式!$Y$17,1,0),IF(OR(C176="幽月轮1",C176="幽月轮2",C176="幽月轮3"),IF(RAND()&lt;模拟模式!$Y$18,1,0),IF(C176="烈日斩",IF(RAND()&lt;模拟模式!$Y$19,1,0),IF(C176="银月斩",IF(RAND()&lt;模拟模式!$Y$20,1,0),IF(C176="驱夜断愁",IF(RAND()&lt;模拟模式!$Y$21,1,0),IF(C176="净世破魔击·日",IF(RAND()&lt;模拟模式!$Y$22,1,0),IF(C176="净世破魔击·月",IF(RAND()&lt;模拟模式!$Y$23,1,0),0)))))))</f>
        <v>1</v>
      </c>
      <c r="AC176" s="115" t="b">
        <f t="shared" ca="1" si="122"/>
        <v>1</v>
      </c>
      <c r="AD176" s="115" t="b">
        <f t="shared" ca="1" si="142"/>
        <v>0</v>
      </c>
      <c r="AE176" s="115">
        <f t="shared" ca="1" si="143"/>
        <v>6</v>
      </c>
      <c r="AF176" s="47">
        <f ca="1">IF(AC176,('模拟-单技能数据'!$D$20+G176*'模拟-单技能数据'!$F$20)*(1+J176)*(1+'模拟-单技能数据'!$J$20)*(1+U176),0)</f>
        <v>4639.7456468263617</v>
      </c>
      <c r="AG176" s="61">
        <f t="shared" ca="1" si="135"/>
        <v>0.64185145527300214</v>
      </c>
      <c r="AH176" s="61">
        <f t="shared" ca="1" si="136"/>
        <v>2.2624828854998791</v>
      </c>
      <c r="AI176" s="62">
        <f t="shared" ca="1" si="158"/>
        <v>7.6507926562950135E-2</v>
      </c>
      <c r="AJ176" s="47">
        <f ca="1">IF(AD176,IF(AI176&lt;$F$10,0,IF(AI176&lt;$F$10+$F$11,0.25,IF(AI176&lt;$F$10+$F$11+AG176,AH176,1)))*IF(AF176&gt;0,AF176,IF(AF175&gt;0,AF175,IF(AF174&gt;0,AF174,IF(AF173&gt;0,AF173,IF(AF172&gt;0,AF172,IF(AF171&gt;0,AF171,IF(AF170&gt;0,AF170,IF(AF169&gt;0,AF169,IF(AF168&gt;0,AF168,IF(AF166&gt;0,AF166,IF(AF165&gt;0,AF165,IF(AF164&gt;0,AF164,0)))))))))))),0)*(1-$S176)*'模拟-单技能数据'!$I$20</f>
        <v>0</v>
      </c>
      <c r="AK176" s="115" t="b">
        <f t="shared" ca="1" si="123"/>
        <v>0</v>
      </c>
      <c r="AL176" s="115" t="b">
        <f t="shared" ca="1" si="144"/>
        <v>0</v>
      </c>
      <c r="AM176" s="115">
        <f t="shared" ca="1" si="145"/>
        <v>5</v>
      </c>
      <c r="AN176" s="47">
        <f ca="1">IF(AK176,('模拟-单技能数据'!$D$21+G176*'模拟-单技能数据'!$F$21)*(1+J176)*(1+'模拟-单技能数据'!$J$21)*(1+U176),0)</f>
        <v>0</v>
      </c>
      <c r="AO176" s="61">
        <f ca="1">IF(AN176&gt;0,M176-'模拟-单技能数据'!$K$10,AO175)</f>
        <v>0.42185145527300216</v>
      </c>
      <c r="AP176" s="61">
        <f ca="1">IF(AN176&gt;0,I176-'模拟-单技能数据'!$L$10,AP175)</f>
        <v>2.162482885499879</v>
      </c>
      <c r="AQ176" s="63">
        <f t="shared" ca="1" si="159"/>
        <v>0.69057940683364927</v>
      </c>
      <c r="AR176" s="64">
        <f ca="1">IF(AL176,IF(AQ176&lt;$F$10,0,IF(AQ176&lt;$F$10+$F$11,0.25,IF(AQ176&lt;$F$10+$F$11+AO176,AP176,1)))*IF(AN176&gt;0,AN176,IF(AN175&gt;0,AN175,IF(AN174&gt;0,AN174,IF(AN173&gt;0,AN173,IF(AN172&gt;0,AN172,IF(AN171&gt;0,AN171,IF(AN170&gt;0,AN170,IF(AN169&gt;0,AN169,IF(AN168&gt;0,AN168,IF(AN166&gt;0,AN166,IF(AN165&gt;0,AN165,IF(AN164&gt;0,AN164,0)))))))))))),0)*(1-$S176)*'模拟-单技能数据'!$I$21</f>
        <v>0</v>
      </c>
      <c r="AS176" s="61">
        <f ca="1">IF(OR(C176="净世破魔击·日",C176="净世破魔击·月"),M176-'模拟-单技能数据'!$K$10,0)</f>
        <v>0</v>
      </c>
      <c r="AT176" s="61">
        <f ca="1">IF(OR(C176="净世破魔击·日",C176="净世破魔击·月"),I176-'模拟-单技能数据'!$L$10,0)</f>
        <v>0</v>
      </c>
      <c r="AU176" s="62">
        <f t="shared" ca="1" si="160"/>
        <v>2.3360073882602306E-3</v>
      </c>
      <c r="AV176" s="64">
        <f ca="1">IF(AS176&gt;0,('模拟-单技能数据'!$D$22+G176*'模拟-单技能数据'!$F$22)*(1+J176)*(1-S176)*IF(AU176&lt;$F$10,0,IF(AU176&lt;$F$10+$F$11,0.25,IF(AU176&lt;$F$10+$F$11+AS176,AT176,1)))*(1+U176),0)*'模拟-单技能数据'!$I$22</f>
        <v>0</v>
      </c>
      <c r="AW176" s="108">
        <f t="shared" ca="1" si="161"/>
        <v>0</v>
      </c>
      <c r="AX176" s="108" t="b">
        <f ca="1">AND(模拟模式!$P$10="有",AW175=0,RAND()&lt;IF(C176="净世破魔击·月",0.1*8/3,IF(C176="净世破魔击·日",0.1*4/3,0.1*2/3)))</f>
        <v>0</v>
      </c>
      <c r="AY176" s="47">
        <f ca="1">IF(AX176,(18+G176*0.722)*(1+J176)*(1-S176)*(1+$I$4)*IF(P176="会",'模拟-全程加成'!$J$3+'模拟-全程加成'!$J$4+'模拟-全程加成'!$J$5+('模拟-全程加成'!$I$4+'模拟-全程加成'!$I$5)/系数!$B$4+BG176*10%,IF(P176="命",1,IF(P176="识",0.25,0))),0)</f>
        <v>0</v>
      </c>
      <c r="AZ176" s="108">
        <f t="shared" si="162"/>
        <v>4.3175000000000061</v>
      </c>
      <c r="BA176" s="108" t="b">
        <f>AND(模拟模式!$Q$10="有",AZ175=0)</f>
        <v>0</v>
      </c>
      <c r="BB176" s="140">
        <f>IF(BA176,(0+G176*0.287)*(1+J176)*(1-S176)*(1+$I$4)*IF(P176="会",'模拟-全程加成'!$J$3+'模拟-全程加成'!$J$4+'模拟-全程加成'!$J$5+('模拟-全程加成'!$I$4+'模拟-全程加成'!$I$5)/系数!$B$4+BG176*10%,IF(P176="命",1,IF(P176="识",0.25,0))),0)</f>
        <v>0</v>
      </c>
      <c r="BC176" s="115" t="b">
        <f ca="1">AND(模拟模式!$R$7="伏明众生",E176=60,F176=20,DA176&lt;5,CZ175&lt;$F$4)</f>
        <v>0</v>
      </c>
      <c r="BD176" s="115">
        <f t="shared" ca="1" si="124"/>
        <v>0</v>
      </c>
      <c r="BE176" s="115" t="b">
        <f t="shared" ca="1" si="125"/>
        <v>0</v>
      </c>
      <c r="BF176" s="47">
        <f ca="1">IF(BC176,4*('模拟-单技能数据'!$D$24+G176*'模拟-单技能数据'!$F$24)*(1+J176)*(1+'模拟-单技能数据'!$J$24)*(1-S176)*(1+$I$3)*(('模拟-全程加成'!$J$3+'模拟-全程加成'!$J$4+'模拟-全程加成'!$J$5+('模拟-全程加成'!$I$4+'模拟-全程加成'!$I$5)/系数!$B$4+BG176*10%)*('模拟-全程加成'!$J$3+'模拟-全程加成'!$J$4+'模拟-全程加成'!$J$5+('模拟-全程加成'!$I$4+'模拟-全程加成'!$I$5)/系数!$B$4+BG176*10%)+(1-('模拟-全程加成'!$J$3+'模拟-全程加成'!$J$4+'模拟-全程加成'!$J$5+('模拟-全程加成'!$I$4+'模拟-全程加成'!$I$5)/系数!$B$4+BG176*10%)-$F$10-$F$11)+F162*0.25),0)*'模拟-单技能数据'!$I$24</f>
        <v>0</v>
      </c>
      <c r="BG176" s="115" t="b">
        <f ca="1">OR(AND(OR(C176="烈日斩",C176="银月斩"),模拟模式!$I$7="净身明礼"),AND(C176="净世破魔击·日",模拟模式!$J$7="洞若观火"),AND(C177="净世破魔击·月",模拟模式!$J$7="洞若观火"),AB176=1)</f>
        <v>1</v>
      </c>
      <c r="BH176" s="115" t="b">
        <f t="shared" ca="1" si="163"/>
        <v>0</v>
      </c>
      <c r="BI176" s="115">
        <f t="shared" ca="1" si="126"/>
        <v>3.2324999999999995</v>
      </c>
      <c r="BJ176" s="115" t="b">
        <f t="shared" ca="1" si="137"/>
        <v>1</v>
      </c>
      <c r="BK176" s="115" t="b">
        <f ca="1">AND(C176="驱夜断愁",模拟模式!$P$7="天地诛戮")</f>
        <v>0</v>
      </c>
      <c r="BL176" s="57">
        <f t="shared" ca="1" si="127"/>
        <v>14.465000000000003</v>
      </c>
      <c r="BM176" s="115" t="b">
        <f t="shared" ca="1" si="138"/>
        <v>1</v>
      </c>
      <c r="BN176" s="115" t="b">
        <f ca="1">AND(OR(C176="赤日轮1",C176="赤日轮2",C176="赤日轮3",C176="幽月轮1",C176="幽月轮2",C176="幽月轮3"),AB176=1,模拟模式!$L$7="明光恒照")</f>
        <v>0</v>
      </c>
      <c r="BO176" s="117">
        <f t="shared" ca="1" si="128"/>
        <v>29.077500000000001</v>
      </c>
      <c r="BP176" s="115">
        <f t="shared" ca="1" si="164"/>
        <v>6</v>
      </c>
      <c r="BQ176" s="115" t="b">
        <f>模拟模式!$K$10="2600·水"</f>
        <v>0</v>
      </c>
      <c r="BR176" s="117">
        <f t="shared" si="165"/>
        <v>0</v>
      </c>
      <c r="BS176" s="115">
        <f t="shared" si="166"/>
        <v>0</v>
      </c>
      <c r="BT176" s="115">
        <f t="shared" ca="1" si="167"/>
        <v>0</v>
      </c>
      <c r="BU176" s="115" t="b">
        <f ca="1">AND(模拟模式!$K$10="2300·雷",BT175=0,RAND()&lt;IF(C176="净世破魔击·月",5*0.05*2/3,IF(C176="净世破魔击·日",3*0.05*2/3,0.05*2*2/3)))</f>
        <v>0</v>
      </c>
      <c r="BV176" s="115">
        <f t="shared" ca="1" si="168"/>
        <v>0</v>
      </c>
      <c r="BW176" s="115">
        <f t="shared" ca="1" si="169"/>
        <v>48.082499999999285</v>
      </c>
      <c r="BX176" s="164" t="b">
        <f t="shared" ca="1" si="170"/>
        <v>0</v>
      </c>
      <c r="BY176" s="115">
        <f t="shared" ca="1" si="171"/>
        <v>0</v>
      </c>
      <c r="BZ176" s="115">
        <f>IF(OR(模拟模式!$P$16="10人团",模拟模式!$P$16="25人团"),IF(B176/30&gt;CA175,1,0),0)</f>
        <v>0</v>
      </c>
      <c r="CA176" s="115">
        <f t="shared" si="147"/>
        <v>0</v>
      </c>
      <c r="CB176" s="115">
        <f ca="1">IF(BZ176=1,IF(模拟模式!$P$16="10人团",15,0)+IF(模拟模式!$P$16="25人团",IF(RAND()&lt;0.6,15,0)),MAX(0,CB175-$F$4))</f>
        <v>0</v>
      </c>
      <c r="CC176" s="115" t="b">
        <f t="shared" ca="1" si="139"/>
        <v>0</v>
      </c>
      <c r="CD176" s="115">
        <f>IF(模拟模式!$Q$16="1个",IF(B176/40&gt;CE175,1,0),0)</f>
        <v>0</v>
      </c>
      <c r="CE176" s="115">
        <f t="shared" si="140"/>
        <v>0</v>
      </c>
      <c r="CF176" s="115">
        <f>IF(OR(CD176=1,模拟模式!$Q$16="2个"),20,MAX(0,CF175-$F$4))</f>
        <v>0</v>
      </c>
      <c r="CG176" s="115" t="b">
        <f t="shared" si="141"/>
        <v>0</v>
      </c>
      <c r="CH176" s="115">
        <f t="shared" ca="1" si="172"/>
        <v>27.232500000000002</v>
      </c>
      <c r="CI176" s="115" t="b">
        <f t="shared" ca="1" si="173"/>
        <v>0</v>
      </c>
      <c r="CJ176" s="119">
        <f t="shared" ca="1" si="174"/>
        <v>0.05</v>
      </c>
      <c r="CK176" s="115">
        <f t="shared" ca="1" si="175"/>
        <v>5.232499999999999</v>
      </c>
      <c r="CL176" s="115" t="b">
        <f ca="1">AND(模拟模式!$S$7="驱夷逐法",OR(AND(C176="净世破魔击·月",E175&gt;59),AND(C176="净世破魔击·日",F175&gt;59)))</f>
        <v>0</v>
      </c>
      <c r="CM176" s="115" t="b">
        <f ca="1">OR(CL176,AND(C176="净世破魔击·日",CL175,RAND()&lt;模拟模式!$U$23))</f>
        <v>0</v>
      </c>
      <c r="CN176" s="115" t="b">
        <f ca="1">IF(模拟模式!$M$7="辉耀红尘",AND(C176="净世破魔击·月",CL176,CV176=0,E175&lt;80),AND(C176="净世破魔击·月",CL176,E175&lt;100))</f>
        <v>0</v>
      </c>
      <c r="CO176" s="115" t="b">
        <f t="shared" ca="1" si="148"/>
        <v>0</v>
      </c>
      <c r="CP176" s="115" t="b">
        <f ca="1">AND(模拟模式!$O$7="用晦而明",OR(C176="净世破魔击·日",C176="净世破魔击·月",C176="驱夜断愁"),AB176)</f>
        <v>0</v>
      </c>
      <c r="CQ176" s="115" t="b">
        <f ca="1">OR(CP176,AND(CP175,RAND()&lt;模拟模式!$U$23))</f>
        <v>0</v>
      </c>
      <c r="CR176" s="115" t="b">
        <f ca="1">AND(模拟模式!$S$7="日月齐光",OR(C176="幽月轮1",C176="幽月轮2",C176="幽月轮3",CR175),NOT(OR(C176="赤日轮1",C176="赤日轮2",C176="赤日轮3")))</f>
        <v>0</v>
      </c>
      <c r="CS176" s="115" t="b">
        <f ca="1">AND(模拟模式!$S$7="日月齐光",OR(C176="赤日轮1",C176="赤日轮2",C176="赤日轮3",CS175),NOT(OR(C176="幽月轮1",C176="幽月轮2",C176="幽月轮3")))</f>
        <v>0</v>
      </c>
      <c r="CT176" s="115">
        <f t="shared" ca="1" si="176"/>
        <v>30</v>
      </c>
      <c r="CU176" s="115" t="b">
        <f ca="1">AND(模拟模式!$K$10="阴阳往极",CT175=0,RAND()&lt;IF(C176="净世破魔击·月",0.0275*7/3,IF(C176="净世破魔击·日",0.0275*3/3,0.0275*2/3)))</f>
        <v>1</v>
      </c>
      <c r="CV176" s="115">
        <f t="shared" ca="1" si="177"/>
        <v>4.0774999999999997</v>
      </c>
      <c r="CW176" s="115">
        <f t="shared" ca="1" si="149"/>
        <v>1.3874999999999997</v>
      </c>
      <c r="CX176" s="115">
        <f t="shared" ca="1" si="150"/>
        <v>6</v>
      </c>
      <c r="CY176" s="115">
        <f ca="1">MAX(IF($C176="驱夜断愁",IF(模拟模式!$R$7="万念俱寂",6,45),CY175-$F$4),0)</f>
        <v>0.46499999999999975</v>
      </c>
      <c r="CZ176" s="115">
        <f t="shared" ca="1" si="151"/>
        <v>0</v>
      </c>
      <c r="DA176" s="115">
        <f ca="1">IF(模拟模式!$N$7="日月同辉",IF(DB175=2,0,MIN(6,IF(AND(OR(C176="赤日轮1",C176="赤日轮2",C176="赤日轮3",C176="幽月轮1",C176="幽月轮2",C176="幽月轮3"),AB176=1),DA175+1,DA175))),0)</f>
        <v>2</v>
      </c>
      <c r="DB176" s="115">
        <f t="shared" ca="1" si="152"/>
        <v>0</v>
      </c>
      <c r="DC176" s="115"/>
      <c r="DD176" s="115"/>
      <c r="DE176" s="115"/>
      <c r="DF176" s="115"/>
      <c r="DG176" s="115"/>
      <c r="DH176" s="115"/>
      <c r="DI176" s="115"/>
      <c r="DJ176" s="115"/>
      <c r="DK176" s="115"/>
      <c r="DL176" s="115"/>
      <c r="DM176" s="115"/>
    </row>
    <row r="177" spans="2:117" x14ac:dyDescent="0.2">
      <c r="B177" s="117">
        <f t="shared" si="153"/>
        <v>138.37500000000009</v>
      </c>
      <c r="C177" s="167" t="str">
        <f t="shared" ca="1" si="146"/>
        <v>净世破魔击·日</v>
      </c>
      <c r="D177" s="115">
        <f ca="1">IF(C177="赤日轮1",1,IF(C177="赤日轮2",2,IF(C177="赤日轮3",3,IF(C177="幽月轮1",4,IF(C177="幽月轮2",5,IF(C177="幽月轮3",6,IF(C177="烈日斩",7,IF(C177="银月斩",8,IF(C177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177="净世破魔击·月",17,IF(C177="驱夜断愁",18,0)))))))))))</f>
        <v>9</v>
      </c>
      <c r="E177" s="115">
        <f ca="1">IF(AND(CU177,OR(C177="幽月轮1",C177="幽月轮2",C177="幽月轮3",C177="银月斩",C177="驱夜断愁",C177="净世破魔击·月")),100,MIN(IF(OR(CN177,BE177),0,IF(OR($C177="赤日轮1",$C177="赤日轮2",$C177="赤日轮3"),E176+20+IF(模拟模式!$I$7="日月凌天",4,0)+IF(CR176,20,0),IF($C177="烈日斩",E176+40,IF($C177="驱夜断愁",IF(模拟模式!$R$7="万念俱寂",E176+20,E176+60),IF($C177="净世破魔击·月",IF(OR(DB176&gt;0,CV176&gt;0),100,IF(模拟模式!$M$7="辉耀红尘",E176+20,E176)),IF($C177="净世破魔击·日",E176-100,E176)))))),100))</f>
        <v>0</v>
      </c>
      <c r="F177" s="115">
        <f ca="1">IF(AND(CU177,OR(C177="赤日轮1",C177="赤日轮2",C177="赤日轮3",C177="烈日斩",C177="净世破魔击·日")),100,MIN(IF(CO177,0,IF(OR($C177="幽月轮1",$C177="幽月轮2",$C177="幽月轮3"),F176+20+IF(模拟模式!$I$7="日月凌天",4,0)+IF(CS176,20,0),IF($C177="银月斩",F176+40+IF(模拟模式!$X$12=1,5,0),IF($C177="驱夜断愁",IF(模拟模式!$R$7="万念俱寂",F176+20,F176+60),IF($C177="净世破魔击·月",IF(模拟模式!$M$7="辉耀红尘",F176-80,F176-100),IF(AND(C177="净世破魔击·日",OR(DB176&gt;0,CV176&gt;0)),100,F176)))))),100))</f>
        <v>100</v>
      </c>
      <c r="G177" s="117">
        <f ca="1">('模拟-全程加成'!$E$3+'模拟-全程加成'!$E$4+'模拟-全程加成'!$E$5+('模拟-全程加成'!$C$6-'模拟-全程加成'!$C$3)*系数!$B$9+BS177*23)*(1+'模拟-全程加成'!$F$4+'模拟-全程加成'!$F$5+BJ177*10%+BM177*20%+BP177*4%+CG177*30%)+$F$7*系数!$B$12</f>
        <v>21493.829400000002</v>
      </c>
      <c r="H177" s="45">
        <f ca="1">'模拟-全程加成'!$H$3+'模拟-全程加成'!$H$4+'模拟-全程加成'!$H$5+('模拟-全程加成'!$G$4+'模拟-全程加成'!$G$5+('模拟-全程加成'!$C$6-'模拟-全程加成'!$C$3)*系数!$B$13)/系数!$B$3+LOOKUP(D177,'模拟-单技能数据'!$A$2:$A$19,'模拟-单技能数据'!$K$2:$K$19)+BG177*10%+IF(BV177&gt;0,378,0)</f>
        <v>0.54185145527300216</v>
      </c>
      <c r="I177" s="45">
        <f ca="1">'模拟-全程加成'!$J$3+'模拟-全程加成'!$J$4+'模拟-全程加成'!$J$5+('模拟-全程加成'!$I$4+'模拟-全程加成'!$I$5)/系数!$B$4+LOOKUP(D177,'模拟-单技能数据'!$A$2:$A$19,'模拟-单技能数据'!$L$2:$L$19)+BG177*10%</f>
        <v>2.162482885499879</v>
      </c>
      <c r="J177" s="45">
        <f ca="1">(('模拟-全程加成'!$K$3+'模拟-全程加成'!$K$4+'模拟-全程加成'!$K$5+('模拟-全程加成'!$C$6-'模拟-全程加成'!$C$3)*系数!$B$10+IF(BV177&gt;0,882,0)+IF(BY177&gt;0,1831,0))*(1+'模拟-全程加成'!$L$4+'模拟-全程加成'!$L$5+CC177*20%))/系数!$B$5</f>
        <v>0.69723220422048726</v>
      </c>
      <c r="K177" s="119">
        <f ca="1">LOOKUP(D177,'模拟-单技能数据'!$A$2:$A$19,'模拟-单技能数据'!$J$2:$J$19)+IF(CM177,60%,0)+IF(DB176-DB177&gt;0,30%,0)+IF(OR(AND(OR(C177="赤日轮1",C177="赤日轮2",C177="赤日轮3"),CR177),AND(OR(C177="幽月轮1",C177="幽月轮2",C177="幽月轮3"),CS177)),35%,0)+CJ177</f>
        <v>0.85000000000000009</v>
      </c>
      <c r="L177" s="119">
        <f ca="1">IF(AND(C177="烈日斩",模拟模式!$X$11=1),10%,0)+IF(AND(C177="驱夜断愁",AB177=1),30%,0)</f>
        <v>0</v>
      </c>
      <c r="M177" s="45">
        <f t="shared" ca="1" si="129"/>
        <v>0.54185145527300216</v>
      </c>
      <c r="N177" s="45">
        <f t="shared" ca="1" si="130"/>
        <v>0.40424854472699789</v>
      </c>
      <c r="O177" s="46">
        <f t="shared" ca="1" si="154"/>
        <v>0.31325096748689596</v>
      </c>
      <c r="P177" s="46" t="str">
        <f t="shared" ca="1" si="155"/>
        <v>会</v>
      </c>
      <c r="Q177" s="45">
        <f t="shared" ca="1" si="156"/>
        <v>2.162482885499879</v>
      </c>
      <c r="R177" s="117">
        <f ca="1">模拟模式!$E$20*(1-IF(模拟模式!$J$19="有",0.15,0))*(1-IF(模拟模式!$K$19="有",0.3,0)-IF(CQ177,0.5,0))</f>
        <v>843.02999999999975</v>
      </c>
      <c r="S177" s="45">
        <f ca="1">R177/(R177+(185*模拟模式!$E$22-16800)*4.08224)</f>
        <v>8.389626085980037E-2</v>
      </c>
      <c r="T177" s="45" t="str">
        <f ca="1">LOOKUP(D177,'模拟-单技能数据'!$A$2:$A$19,'模拟-单技能数据'!$H$2:$H$19)</f>
        <v>阳</v>
      </c>
      <c r="U177" s="119">
        <f t="shared" ca="1" si="131"/>
        <v>0.2</v>
      </c>
      <c r="V177" s="47">
        <f ca="1">(1+L177)*(LOOKUP(D177,'模拟-单技能数据'!$A$2:$A$19,'模拟-单技能数据'!$D$2:$D$19)+G177*LOOKUP(D177,'模拟-单技能数据'!$A$2:$A$19,'模拟-单技能数据'!$F$2:$F$19))*(1+J177)*(1+K177)*(1-S177)*(1+U177)*Q177*LOOKUP(D177,'模拟-单技能数据'!$A$2:$A$19,'模拟-单技能数据'!$I$2:$I$20)</f>
        <v>210198.65311117729</v>
      </c>
      <c r="W177" s="47">
        <f ca="1">LOOKUP(D177,'模拟-单技能数据'!$A$2:$A$19,'模拟-单技能数据'!$G$2:$G$19)*$I$10</f>
        <v>723.0212870940959</v>
      </c>
      <c r="X177" s="47">
        <f t="shared" ca="1" si="157"/>
        <v>30064.783141890133</v>
      </c>
      <c r="Y177" s="47">
        <f t="shared" ca="1" si="132"/>
        <v>240986.45754016153</v>
      </c>
      <c r="Z177" s="49">
        <f t="shared" ca="1" si="133"/>
        <v>15691700.575634487</v>
      </c>
      <c r="AA177" s="97">
        <f t="shared" ca="1" si="134"/>
        <v>113399.82349148674</v>
      </c>
      <c r="AB177" s="115">
        <f ca="1">IF(OR(C177="赤日轮1",C177="赤日轮2",C177="赤日轮3"),IF(RAND()&lt;模拟模式!$Y$17,1,0),IF(OR(C177="幽月轮1",C177="幽月轮2",C177="幽月轮3"),IF(RAND()&lt;模拟模式!$Y$18,1,0),IF(C177="烈日斩",IF(RAND()&lt;模拟模式!$Y$19,1,0),IF(C177="银月斩",IF(RAND()&lt;模拟模式!$Y$20,1,0),IF(C177="驱夜断愁",IF(RAND()&lt;模拟模式!$Y$21,1,0),IF(C177="净世破魔击·日",IF(RAND()&lt;模拟模式!$Y$22,1,0),IF(C177="净世破魔击·月",IF(RAND()&lt;模拟模式!$Y$23,1,0),0)))))))</f>
        <v>1</v>
      </c>
      <c r="AC177" s="115" t="b">
        <f t="shared" ca="1" si="122"/>
        <v>0</v>
      </c>
      <c r="AD177" s="115" t="b">
        <f t="shared" ca="1" si="142"/>
        <v>1</v>
      </c>
      <c r="AE177" s="115">
        <f t="shared" ca="1" si="143"/>
        <v>5</v>
      </c>
      <c r="AF177" s="47">
        <f ca="1">IF(AC177,('模拟-单技能数据'!$D$20+G177*'模拟-单技能数据'!$F$20)*(1+J177)*(1+'模拟-单技能数据'!$J$20)*(1+U177),0)</f>
        <v>0</v>
      </c>
      <c r="AG177" s="61">
        <f t="shared" ca="1" si="135"/>
        <v>0.64185145527300214</v>
      </c>
      <c r="AH177" s="61">
        <f t="shared" ca="1" si="136"/>
        <v>2.2624828854998791</v>
      </c>
      <c r="AI177" s="62">
        <f t="shared" ca="1" si="158"/>
        <v>0.46337993186253368</v>
      </c>
      <c r="AJ177" s="47">
        <f ca="1">IF(AD177,IF(AI177&lt;$F$10,0,IF(AI177&lt;$F$10+$F$11,0.25,IF(AI177&lt;$F$10+$F$11+AG177,AH177,1)))*IF(AF177&gt;0,AF177,IF(AF176&gt;0,AF176,IF(AF175&gt;0,AF175,IF(AF174&gt;0,AF174,IF(AF173&gt;0,AF173,IF(AF172&gt;0,AF172,IF(AF171&gt;0,AF171,IF(AF170&gt;0,AF170,IF(AF169&gt;0,AF169,IF(AF167&gt;0,AF167,IF(AF166&gt;0,AF166,IF(AF165&gt;0,AF165,0)))))))))))),0)*(1-$S177)*'模拟-单技能数据'!$I$20</f>
        <v>9616.6571145767884</v>
      </c>
      <c r="AK177" s="115" t="b">
        <f t="shared" ca="1" si="123"/>
        <v>1</v>
      </c>
      <c r="AL177" s="115" t="b">
        <f t="shared" ca="1" si="144"/>
        <v>1</v>
      </c>
      <c r="AM177" s="115">
        <f t="shared" ca="1" si="145"/>
        <v>5</v>
      </c>
      <c r="AN177" s="47">
        <f ca="1">IF(AK177,('模拟-单技能数据'!$D$21+G177*'模拟-单技能数据'!$F$21)*(1+J177)*(1+'模拟-单技能数据'!$J$21)*(1+U177),0)</f>
        <v>12670.936004857545</v>
      </c>
      <c r="AO177" s="61">
        <f ca="1">IF(AN177&gt;0,M177-'模拟-单技能数据'!$K$10,AO176)</f>
        <v>0.42185145527300216</v>
      </c>
      <c r="AP177" s="61">
        <f ca="1">IF(AN177&gt;0,I177-'模拟-单技能数据'!$L$10,AP176)</f>
        <v>2.162482885499879</v>
      </c>
      <c r="AQ177" s="63">
        <f t="shared" ca="1" si="159"/>
        <v>0.7185398586996824</v>
      </c>
      <c r="AR177" s="64">
        <f ca="1">IF(AL177,IF(AQ177&lt;$F$10,0,IF(AQ177&lt;$F$10+$F$11,0.25,IF(AQ177&lt;$F$10+$F$11+AO177,AP177,1)))*IF(AN177&gt;0,AN177,IF(AN176&gt;0,AN176,IF(AN175&gt;0,AN175,IF(AN174&gt;0,AN174,IF(AN173&gt;0,AN173,IF(AN172&gt;0,AN172,IF(AN171&gt;0,AN171,IF(AN170&gt;0,AN170,IF(AN169&gt;0,AN169,IF(AN167&gt;0,AN167,IF(AN166&gt;0,AN166,IF(AN165&gt;0,AN165,0)))))))))))),0)*(1-$S177)*'模拟-单技能数据'!$I$21</f>
        <v>11607.89185245618</v>
      </c>
      <c r="AS177" s="61">
        <f ca="1">IF(OR(C177="净世破魔击·日",C177="净世破魔击·月"),M177-'模拟-单技能数据'!$K$10,0)</f>
        <v>0.42185145527300216</v>
      </c>
      <c r="AT177" s="61">
        <f ca="1">IF(OR(C177="净世破魔击·日",C177="净世破魔击·月"),I177-'模拟-单技能数据'!$L$10,0)</f>
        <v>2.162482885499879</v>
      </c>
      <c r="AU177" s="62">
        <f t="shared" ca="1" si="160"/>
        <v>0.51773692419416639</v>
      </c>
      <c r="AV177" s="64">
        <f ca="1">IF(AS177&gt;0,('模拟-单技能数据'!$D$22+G177*'模拟-单技能数据'!$F$22)*(1+J177)*(1-S177)*IF(AU177&lt;$F$10,0,IF(AU177&lt;$F$10+$F$11,0.25,IF(AU177&lt;$F$10+$F$11+AS177,AT177,1)))*(1+U177),0)*'模拟-单技能数据'!$I$22</f>
        <v>8840.2341748571616</v>
      </c>
      <c r="AW177" s="108">
        <f t="shared" ca="1" si="161"/>
        <v>0</v>
      </c>
      <c r="AX177" s="108" t="b">
        <f ca="1">AND(模拟模式!$P$10="有",AW176=0,RAND()&lt;IF(C177="净世破魔击·月",0.1*8/3,IF(C177="净世破魔击·日",0.1*4/3,0.1*2/3)))</f>
        <v>0</v>
      </c>
      <c r="AY177" s="47">
        <f ca="1">IF(AX177,(18+G177*0.722)*(1+J177)*(1-S177)*(1+$I$4)*IF(P177="会",'模拟-全程加成'!$J$3+'模拟-全程加成'!$J$4+'模拟-全程加成'!$J$5+('模拟-全程加成'!$I$4+'模拟-全程加成'!$I$5)/系数!$B$4+BG177*10%,IF(P177="命",1,IF(P177="识",0.25,0))),0)</f>
        <v>0</v>
      </c>
      <c r="AZ177" s="108">
        <f t="shared" si="162"/>
        <v>3.3950000000000062</v>
      </c>
      <c r="BA177" s="108" t="b">
        <f>AND(模拟模式!$Q$10="有",AZ176=0)</f>
        <v>0</v>
      </c>
      <c r="BB177" s="140">
        <f>IF(BA177,(0+G177*0.287)*(1+J177)*(1-S177)*(1+$I$4)*IF(P177="会",'模拟-全程加成'!$J$3+'模拟-全程加成'!$J$4+'模拟-全程加成'!$J$5+('模拟-全程加成'!$I$4+'模拟-全程加成'!$I$5)/系数!$B$4+BG177*10%,IF(P177="命",1,IF(P177="识",0.25,0))),0)</f>
        <v>0</v>
      </c>
      <c r="BC177" s="115" t="b">
        <f ca="1">AND(模拟模式!$R$7="伏明众生",E177=60,F177=20,DA177&lt;5,CZ176&lt;$F$4)</f>
        <v>0</v>
      </c>
      <c r="BD177" s="115">
        <f t="shared" ca="1" si="124"/>
        <v>0</v>
      </c>
      <c r="BE177" s="115" t="b">
        <f t="shared" ca="1" si="125"/>
        <v>0</v>
      </c>
      <c r="BF177" s="47">
        <f ca="1">IF(BC177,4*('模拟-单技能数据'!$D$24+G177*'模拟-单技能数据'!$F$24)*(1+J177)*(1+'模拟-单技能数据'!$J$24)*(1-S177)*(1+$I$3)*(('模拟-全程加成'!$J$3+'模拟-全程加成'!$J$4+'模拟-全程加成'!$J$5+('模拟-全程加成'!$I$4+'模拟-全程加成'!$I$5)/系数!$B$4+BG177*10%)*('模拟-全程加成'!$J$3+'模拟-全程加成'!$J$4+'模拟-全程加成'!$J$5+('模拟-全程加成'!$I$4+'模拟-全程加成'!$I$5)/系数!$B$4+BG177*10%)+(1-('模拟-全程加成'!$J$3+'模拟-全程加成'!$J$4+'模拟-全程加成'!$J$5+('模拟-全程加成'!$I$4+'模拟-全程加成'!$I$5)/系数!$B$4+BG177*10%)-$F$10-$F$11)+F163*0.25),0)*'模拟-单技能数据'!$I$24</f>
        <v>0</v>
      </c>
      <c r="BG177" s="115" t="b">
        <f ca="1">OR(AND(OR(C177="烈日斩",C177="银月斩"),模拟模式!$I$7="净身明礼"),AND(C177="净世破魔击·日",模拟模式!$J$7="洞若观火"),AND(C178="净世破魔击·月",模拟模式!$J$7="洞若观火"),AB177=1)</f>
        <v>1</v>
      </c>
      <c r="BH177" s="115" t="b">
        <f t="shared" ca="1" si="163"/>
        <v>0</v>
      </c>
      <c r="BI177" s="115">
        <f t="shared" ca="1" si="126"/>
        <v>2.3099999999999996</v>
      </c>
      <c r="BJ177" s="115" t="b">
        <f t="shared" ca="1" si="137"/>
        <v>1</v>
      </c>
      <c r="BK177" s="115" t="b">
        <f ca="1">AND(C177="驱夜断愁",模拟模式!$P$7="天地诛戮")</f>
        <v>0</v>
      </c>
      <c r="BL177" s="57">
        <f t="shared" ca="1" si="127"/>
        <v>13.542500000000004</v>
      </c>
      <c r="BM177" s="115" t="b">
        <f t="shared" ca="1" si="138"/>
        <v>1</v>
      </c>
      <c r="BN177" s="115" t="b">
        <f ca="1">AND(OR(C177="赤日轮1",C177="赤日轮2",C177="赤日轮3",C177="幽月轮1",C177="幽月轮2",C177="幽月轮3"),AB177=1,模拟模式!$L$7="明光恒照")</f>
        <v>0</v>
      </c>
      <c r="BO177" s="117">
        <f t="shared" ca="1" si="128"/>
        <v>28.155000000000001</v>
      </c>
      <c r="BP177" s="115">
        <f t="shared" ca="1" si="164"/>
        <v>6</v>
      </c>
      <c r="BQ177" s="115" t="b">
        <f>模拟模式!$K$10="2600·水"</f>
        <v>0</v>
      </c>
      <c r="BR177" s="117">
        <f t="shared" si="165"/>
        <v>0</v>
      </c>
      <c r="BS177" s="115">
        <f t="shared" si="166"/>
        <v>0</v>
      </c>
      <c r="BT177" s="115">
        <f t="shared" ca="1" si="167"/>
        <v>0</v>
      </c>
      <c r="BU177" s="115" t="b">
        <f ca="1">AND(模拟模式!$K$10="2300·雷",BT176=0,RAND()&lt;IF(C177="净世破魔击·月",5*0.05*2/3,IF(C177="净世破魔击·日",3*0.05*2/3,0.05*2*2/3)))</f>
        <v>0</v>
      </c>
      <c r="BV177" s="115">
        <f t="shared" ca="1" si="168"/>
        <v>0</v>
      </c>
      <c r="BW177" s="115">
        <f t="shared" ca="1" si="169"/>
        <v>47.159999999999286</v>
      </c>
      <c r="BX177" s="164" t="b">
        <f t="shared" ca="1" si="170"/>
        <v>0</v>
      </c>
      <c r="BY177" s="115">
        <f t="shared" ca="1" si="171"/>
        <v>0</v>
      </c>
      <c r="BZ177" s="115">
        <f>IF(OR(模拟模式!$P$16="10人团",模拟模式!$P$16="25人团"),IF(B177/30&gt;CA176,1,0),0)</f>
        <v>0</v>
      </c>
      <c r="CA177" s="115">
        <f t="shared" si="147"/>
        <v>0</v>
      </c>
      <c r="CB177" s="115">
        <f ca="1">IF(BZ177=1,IF(模拟模式!$P$16="10人团",15,0)+IF(模拟模式!$P$16="25人团",IF(RAND()&lt;0.6,15,0)),MAX(0,CB176-$F$4))</f>
        <v>0</v>
      </c>
      <c r="CC177" s="115" t="b">
        <f t="shared" ca="1" si="139"/>
        <v>0</v>
      </c>
      <c r="CD177" s="115">
        <f>IF(模拟模式!$Q$16="1个",IF(B177/40&gt;CE176,1,0),0)</f>
        <v>0</v>
      </c>
      <c r="CE177" s="115">
        <f t="shared" si="140"/>
        <v>0</v>
      </c>
      <c r="CF177" s="115">
        <f>IF(OR(CD177=1,模拟模式!$Q$16="2个"),20,MAX(0,CF176-$F$4))</f>
        <v>0</v>
      </c>
      <c r="CG177" s="115" t="b">
        <f t="shared" si="141"/>
        <v>0</v>
      </c>
      <c r="CH177" s="115">
        <f t="shared" ca="1" si="172"/>
        <v>26.310000000000002</v>
      </c>
      <c r="CI177" s="115" t="b">
        <f t="shared" ca="1" si="173"/>
        <v>0</v>
      </c>
      <c r="CJ177" s="119">
        <f t="shared" ca="1" si="174"/>
        <v>0.05</v>
      </c>
      <c r="CK177" s="115">
        <f t="shared" ca="1" si="175"/>
        <v>4.3099999999999987</v>
      </c>
      <c r="CL177" s="115" t="b">
        <f ca="1">AND(模拟模式!$S$7="驱夷逐法",OR(AND(C177="净世破魔击·月",E176&gt;59),AND(C177="净世破魔击·日",F176&gt;59)))</f>
        <v>1</v>
      </c>
      <c r="CM177" s="115" t="b">
        <f ca="1">OR(CL177,AND(C177="净世破魔击·日",CL176,RAND()&lt;模拟模式!$U$23))</f>
        <v>1</v>
      </c>
      <c r="CN177" s="115" t="b">
        <f ca="1">IF(模拟模式!$M$7="辉耀红尘",AND(C177="净世破魔击·月",CL177,CV177=0,E176&lt;80),AND(C177="净世破魔击·月",CL177,E176&lt;100))</f>
        <v>0</v>
      </c>
      <c r="CO177" s="115" t="b">
        <f t="shared" ca="1" si="148"/>
        <v>0</v>
      </c>
      <c r="CP177" s="115" t="b">
        <f ca="1">AND(模拟模式!$O$7="用晦而明",OR(C177="净世破魔击·日",C177="净世破魔击·月",C177="驱夜断愁"),AB177)</f>
        <v>1</v>
      </c>
      <c r="CQ177" s="115" t="b">
        <f ca="1">OR(CP177,AND(CP176,RAND()&lt;模拟模式!$U$23))</f>
        <v>1</v>
      </c>
      <c r="CR177" s="115" t="b">
        <f ca="1">AND(模拟模式!$S$7="日月齐光",OR(C177="幽月轮1",C177="幽月轮2",C177="幽月轮3",CR176),NOT(OR(C177="赤日轮1",C177="赤日轮2",C177="赤日轮3")))</f>
        <v>0</v>
      </c>
      <c r="CS177" s="115" t="b">
        <f ca="1">AND(模拟模式!$S$7="日月齐光",OR(C177="赤日轮1",C177="赤日轮2",C177="赤日轮3",CS176),NOT(OR(C177="幽月轮1",C177="幽月轮2",C177="幽月轮3")))</f>
        <v>0</v>
      </c>
      <c r="CT177" s="115">
        <f t="shared" ca="1" si="176"/>
        <v>29.077500000000001</v>
      </c>
      <c r="CU177" s="115" t="b">
        <f ca="1">AND(模拟模式!$K$10="阴阳往极",CT176=0,RAND()&lt;IF(C177="净世破魔击·月",0.0275*7/3,IF(C177="净世破魔击·日",0.0275*3/3,0.0275*2/3)))</f>
        <v>0</v>
      </c>
      <c r="CV177" s="115">
        <f t="shared" ca="1" si="177"/>
        <v>3.1549999999999998</v>
      </c>
      <c r="CW177" s="115">
        <f t="shared" ca="1" si="149"/>
        <v>0.46499999999999975</v>
      </c>
      <c r="CX177" s="115">
        <f t="shared" ca="1" si="150"/>
        <v>5.0774999999999997</v>
      </c>
      <c r="CY177" s="115">
        <f ca="1">MAX(IF($C177="驱夜断愁",IF(模拟模式!$R$7="万念俱寂",6,45),CY176-$F$4),0)</f>
        <v>0</v>
      </c>
      <c r="CZ177" s="115">
        <f t="shared" ca="1" si="151"/>
        <v>0</v>
      </c>
      <c r="DA177" s="115">
        <f ca="1">IF(模拟模式!$N$7="日月同辉",IF(DB176=2,0,MIN(6,IF(AND(OR(C177="赤日轮1",C177="赤日轮2",C177="赤日轮3",C177="幽月轮1",C177="幽月轮2",C177="幽月轮3"),AB177=1),DA176+1,DA176))),0)</f>
        <v>2</v>
      </c>
      <c r="DB177" s="115">
        <f t="shared" ca="1" si="152"/>
        <v>0</v>
      </c>
      <c r="DC177" s="115"/>
      <c r="DD177" s="115"/>
      <c r="DE177" s="115"/>
      <c r="DF177" s="115"/>
      <c r="DG177" s="115"/>
      <c r="DH177" s="115"/>
      <c r="DI177" s="115"/>
      <c r="DJ177" s="115"/>
      <c r="DK177" s="115"/>
      <c r="DL177" s="115"/>
      <c r="DM177" s="115"/>
    </row>
    <row r="178" spans="2:117" x14ac:dyDescent="0.2">
      <c r="B178" s="117">
        <f t="shared" si="153"/>
        <v>139.2975000000001</v>
      </c>
      <c r="C178" s="167" t="str">
        <f t="shared" ca="1" si="146"/>
        <v>净世破魔击·月</v>
      </c>
      <c r="D178" s="115">
        <f ca="1">IF(C178="赤日轮1",1,IF(C178="赤日轮2",2,IF(C178="赤日轮3",3,IF(C178="幽月轮1",4,IF(C178="幽月轮2",5,IF(C178="幽月轮3",6,IF(C178="烈日斩",7,IF(C178="银月斩",8,IF(C178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178="净世破魔击·月",17,IF(C178="驱夜断愁",18,0)))))))))))</f>
        <v>17</v>
      </c>
      <c r="E178" s="115">
        <f ca="1">IF(AND(CU178,OR(C178="幽月轮1",C178="幽月轮2",C178="幽月轮3",C178="银月斩",C178="驱夜断愁",C178="净世破魔击·月")),100,MIN(IF(OR(CN178,BE178),0,IF(OR($C178="赤日轮1",$C178="赤日轮2",$C178="赤日轮3"),E177+20+IF(模拟模式!$I$7="日月凌天",4,0)+IF(CR177,20,0),IF($C178="烈日斩",E177+40,IF($C178="驱夜断愁",IF(模拟模式!$R$7="万念俱寂",E177+20,E177+60),IF($C178="净世破魔击·月",IF(OR(DB177&gt;0,CV177&gt;0),100,IF(模拟模式!$M$7="辉耀红尘",E177+20,E177)),IF($C178="净世破魔击·日",E177-100,E177)))))),100))</f>
        <v>100</v>
      </c>
      <c r="F178" s="115">
        <f ca="1">IF(AND(CU178,OR(C178="赤日轮1",C178="赤日轮2",C178="赤日轮3",C178="烈日斩",C178="净世破魔击·日")),100,MIN(IF(CO178,0,IF(OR($C178="幽月轮1",$C178="幽月轮2",$C178="幽月轮3"),F177+20+IF(模拟模式!$I$7="日月凌天",4,0)+IF(CS177,20,0),IF($C178="银月斩",F177+40+IF(模拟模式!$X$12=1,5,0),IF($C178="驱夜断愁",IF(模拟模式!$R$7="万念俱寂",F177+20,F177+60),IF($C178="净世破魔击·月",IF(模拟模式!$M$7="辉耀红尘",F177-80,F177-100),IF(AND(C178="净世破魔击·日",OR(DB177&gt;0,CV177&gt;0)),100,F177)))))),100))</f>
        <v>20</v>
      </c>
      <c r="G178" s="117">
        <f ca="1">('模拟-全程加成'!$E$3+'模拟-全程加成'!$E$4+'模拟-全程加成'!$E$5+('模拟-全程加成'!$C$6-'模拟-全程加成'!$C$3)*系数!$B$9+BS178*23)*(1+'模拟-全程加成'!$F$4+'模拟-全程加成'!$F$5+BJ178*10%+BM178*20%+BP178*4%+CG178*30%)+$F$7*系数!$B$12</f>
        <v>21493.829400000002</v>
      </c>
      <c r="H178" s="45">
        <f ca="1">'模拟-全程加成'!$H$3+'模拟-全程加成'!$H$4+'模拟-全程加成'!$H$5+('模拟-全程加成'!$G$4+'模拟-全程加成'!$G$5+('模拟-全程加成'!$C$6-'模拟-全程加成'!$C$3)*系数!$B$13)/系数!$B$3+LOOKUP(D178,'模拟-单技能数据'!$A$2:$A$19,'模拟-单技能数据'!$K$2:$K$19)+BG178*10%+IF(BV178&gt;0,378,0)</f>
        <v>0.54185145527300216</v>
      </c>
      <c r="I178" s="45">
        <f ca="1">'模拟-全程加成'!$J$3+'模拟-全程加成'!$J$4+'模拟-全程加成'!$J$5+('模拟-全程加成'!$I$4+'模拟-全程加成'!$I$5)/系数!$B$4+LOOKUP(D178,'模拟-单技能数据'!$A$2:$A$19,'模拟-单技能数据'!$L$2:$L$19)+BG178*10%</f>
        <v>2.162482885499879</v>
      </c>
      <c r="J178" s="45">
        <f ca="1">(('模拟-全程加成'!$K$3+'模拟-全程加成'!$K$4+'模拟-全程加成'!$K$5+('模拟-全程加成'!$C$6-'模拟-全程加成'!$C$3)*系数!$B$10+IF(BV178&gt;0,882,0)+IF(BY178&gt;0,1831,0))*(1+'模拟-全程加成'!$L$4+'模拟-全程加成'!$L$5+CC178*20%))/系数!$B$5</f>
        <v>0.69723220422048726</v>
      </c>
      <c r="K178" s="119">
        <f ca="1">LOOKUP(D178,'模拟-单技能数据'!$A$2:$A$19,'模拟-单技能数据'!$J$2:$J$19)+IF(CM178,60%,0)+IF(DB177-DB178&gt;0,30%,0)+IF(OR(AND(OR(C178="赤日轮1",C178="赤日轮2",C178="赤日轮3"),CR178),AND(OR(C178="幽月轮1",C178="幽月轮2",C178="幽月轮3"),CS178)),35%,0)+CJ178</f>
        <v>0.25</v>
      </c>
      <c r="L178" s="119">
        <f ca="1">IF(AND(C178="烈日斩",模拟模式!$X$11=1),10%,0)+IF(AND(C178="驱夜断愁",AB178=1),30%,0)</f>
        <v>0</v>
      </c>
      <c r="M178" s="45">
        <f t="shared" ca="1" si="129"/>
        <v>0.54185145527300216</v>
      </c>
      <c r="N178" s="45">
        <f t="shared" ca="1" si="130"/>
        <v>0.40424854472699789</v>
      </c>
      <c r="O178" s="46">
        <f t="shared" ca="1" si="154"/>
        <v>0.32065070031957932</v>
      </c>
      <c r="P178" s="46" t="str">
        <f t="shared" ca="1" si="155"/>
        <v>会</v>
      </c>
      <c r="Q178" s="45">
        <f t="shared" ca="1" si="156"/>
        <v>2.162482885499879</v>
      </c>
      <c r="R178" s="117">
        <f ca="1">模拟模式!$E$20*(1-IF(模拟模式!$J$19="有",0.15,0))*(1-IF(模拟模式!$K$19="有",0.3,0)-IF(CQ178,0.5,0))</f>
        <v>843.02999999999975</v>
      </c>
      <c r="S178" s="45">
        <f ca="1">R178/(R178+(185*模拟模式!$E$22-16800)*4.08224)</f>
        <v>8.389626085980037E-2</v>
      </c>
      <c r="T178" s="45" t="str">
        <f ca="1">LOOKUP(D178,'模拟-单技能数据'!$A$2:$A$19,'模拟-单技能数据'!$H$2:$H$19)</f>
        <v>阴</v>
      </c>
      <c r="U178" s="119">
        <f t="shared" ca="1" si="131"/>
        <v>0.08</v>
      </c>
      <c r="V178" s="47">
        <f ca="1">(1+L178)*(LOOKUP(D178,'模拟-单技能数据'!$A$2:$A$19,'模拟-单技能数据'!$D$2:$D$19)+G178*LOOKUP(D178,'模拟-单技能数据'!$A$2:$A$19,'模拟-单技能数据'!$F$2:$F$19))*(1+J178)*(1+K178)*(1-S178)*(1+U178)*Q178*LOOKUP(D178,'模拟-单技能数据'!$A$2:$A$19,'模拟-单技能数据'!$I$2:$I$20)</f>
        <v>126764.73688820505</v>
      </c>
      <c r="W178" s="47">
        <f ca="1">LOOKUP(D178,'模拟-单技能数据'!$A$2:$A$19,'模拟-单技能数据'!$G$2:$G$19)*$I$10</f>
        <v>361.51064354704795</v>
      </c>
      <c r="X178" s="47">
        <f t="shared" ca="1" si="157"/>
        <v>7956.2107573714466</v>
      </c>
      <c r="Y178" s="47">
        <f t="shared" ca="1" si="132"/>
        <v>135082.45828912355</v>
      </c>
      <c r="Z178" s="49">
        <f t="shared" ca="1" si="133"/>
        <v>15826783.033923611</v>
      </c>
      <c r="AA178" s="97">
        <f t="shared" ca="1" si="134"/>
        <v>113618.57200541001</v>
      </c>
      <c r="AB178" s="115">
        <f ca="1">IF(OR(C178="赤日轮1",C178="赤日轮2",C178="赤日轮3"),IF(RAND()&lt;模拟模式!$Y$17,1,0),IF(OR(C178="幽月轮1",C178="幽月轮2",C178="幽月轮3"),IF(RAND()&lt;模拟模式!$Y$18,1,0),IF(C178="烈日斩",IF(RAND()&lt;模拟模式!$Y$19,1,0),IF(C178="银月斩",IF(RAND()&lt;模拟模式!$Y$20,1,0),IF(C178="驱夜断愁",IF(RAND()&lt;模拟模式!$Y$21,1,0),IF(C178="净世破魔击·日",IF(RAND()&lt;模拟模式!$Y$22,1,0),IF(C178="净世破魔击·月",IF(RAND()&lt;模拟模式!$Y$23,1,0),0)))))))</f>
        <v>1</v>
      </c>
      <c r="AC178" s="115" t="b">
        <f t="shared" ca="1" si="122"/>
        <v>0</v>
      </c>
      <c r="AD178" s="115" t="b">
        <f t="shared" ca="1" si="142"/>
        <v>0</v>
      </c>
      <c r="AE178" s="115">
        <f t="shared" ca="1" si="143"/>
        <v>5</v>
      </c>
      <c r="AF178" s="47">
        <f ca="1">IF(AC178,('模拟-单技能数据'!$D$20+G178*'模拟-单技能数据'!$F$20)*(1+J178)*(1+'模拟-单技能数据'!$J$20)*(1+U178),0)</f>
        <v>0</v>
      </c>
      <c r="AG178" s="61">
        <f t="shared" ca="1" si="135"/>
        <v>0.64185145527300214</v>
      </c>
      <c r="AH178" s="61">
        <f t="shared" ca="1" si="136"/>
        <v>2.2624828854998791</v>
      </c>
      <c r="AI178" s="62">
        <f t="shared" ca="1" si="158"/>
        <v>0.43812126319504241</v>
      </c>
      <c r="AJ178" s="47">
        <f ca="1">IF(AD178,IF(AI178&lt;$F$10,0,IF(AI178&lt;$F$10+$F$11,0.25,IF(AI178&lt;$F$10+$F$11+AG178,AH178,1)))*IF(AF178&gt;0,AF178,IF(AF177&gt;0,AF177,IF(AF176&gt;0,AF176,IF(AF175&gt;0,AF175,IF(AF174&gt;0,AF174,IF(AF173&gt;0,AF173,IF(AF172&gt;0,AF172,IF(AF171&gt;0,AF171,IF(AF170&gt;0,AF170,IF(AF168&gt;0,AF168,IF(AF167&gt;0,AF167,IF(AF166&gt;0,AF166,0)))))))))))),0)*(1-$S178)*'模拟-单技能数据'!$I$20</f>
        <v>0</v>
      </c>
      <c r="AK178" s="115" t="b">
        <f t="shared" ca="1" si="123"/>
        <v>0</v>
      </c>
      <c r="AL178" s="115" t="b">
        <f t="shared" ca="1" si="144"/>
        <v>0</v>
      </c>
      <c r="AM178" s="115">
        <f t="shared" ca="1" si="145"/>
        <v>5</v>
      </c>
      <c r="AN178" s="47">
        <f ca="1">IF(AK178,('模拟-单技能数据'!$D$21+G178*'模拟-单技能数据'!$F$21)*(1+J178)*(1+'模拟-单技能数据'!$J$21)*(1+U178),0)</f>
        <v>0</v>
      </c>
      <c r="AO178" s="61">
        <f ca="1">IF(AN178&gt;0,M178-'模拟-单技能数据'!$K$10,AO177)</f>
        <v>0.42185145527300216</v>
      </c>
      <c r="AP178" s="61">
        <f ca="1">IF(AN178&gt;0,I178-'模拟-单技能数据'!$L$10,AP177)</f>
        <v>2.162482885499879</v>
      </c>
      <c r="AQ178" s="63">
        <f t="shared" ca="1" si="159"/>
        <v>3.8420238550427754E-2</v>
      </c>
      <c r="AR178" s="64">
        <f ca="1">IF(AL178,IF(AQ178&lt;$F$10,0,IF(AQ178&lt;$F$10+$F$11,0.25,IF(AQ178&lt;$F$10+$F$11+AO178,AP178,1)))*IF(AN178&gt;0,AN178,IF(AN177&gt;0,AN177,IF(AN176&gt;0,AN176,IF(AN175&gt;0,AN175,IF(AN174&gt;0,AN174,IF(AN173&gt;0,AN173,IF(AN172&gt;0,AN172,IF(AN171&gt;0,AN171,IF(AN170&gt;0,AN170,IF(AN168&gt;0,AN168,IF(AN167&gt;0,AN167,IF(AN166&gt;0,AN166,0)))))))))))),0)*(1-$S178)*'模拟-单技能数据'!$I$21</f>
        <v>0</v>
      </c>
      <c r="AS178" s="61">
        <f ca="1">IF(OR(C178="净世破魔击·日",C178="净世破魔击·月"),M178-'模拟-单技能数据'!$K$10,0)</f>
        <v>0.42185145527300216</v>
      </c>
      <c r="AT178" s="61">
        <f ca="1">IF(OR(C178="净世破魔击·日",C178="净世破魔击·月"),I178-'模拟-单技能数据'!$L$10,0)</f>
        <v>2.162482885499879</v>
      </c>
      <c r="AU178" s="62">
        <f t="shared" ca="1" si="160"/>
        <v>0.77744351355723329</v>
      </c>
      <c r="AV178" s="64">
        <f ca="1">IF(AS178&gt;0,('模拟-单技能数据'!$D$22+G178*'模拟-单技能数据'!$F$22)*(1+J178)*(1-S178)*IF(AU178&lt;$F$10,0,IF(AU178&lt;$F$10+$F$11,0.25,IF(AU178&lt;$F$10+$F$11+AS178,AT178,1)))*(1+U178),0)*'模拟-单技能数据'!$I$22</f>
        <v>7956.2107573714466</v>
      </c>
      <c r="AW178" s="108">
        <f t="shared" ca="1" si="161"/>
        <v>0</v>
      </c>
      <c r="AX178" s="108" t="b">
        <f ca="1">AND(模拟模式!$P$10="有",AW177=0,RAND()&lt;IF(C178="净世破魔击·月",0.1*8/3,IF(C178="净世破魔击·日",0.1*4/3,0.1*2/3)))</f>
        <v>0</v>
      </c>
      <c r="AY178" s="47">
        <f ca="1">IF(AX178,(18+G178*0.722)*(1+J178)*(1-S178)*(1+$I$4)*IF(P178="会",'模拟-全程加成'!$J$3+'模拟-全程加成'!$J$4+'模拟-全程加成'!$J$5+('模拟-全程加成'!$I$4+'模拟-全程加成'!$I$5)/系数!$B$4+BG178*10%,IF(P178="命",1,IF(P178="识",0.25,0))),0)</f>
        <v>0</v>
      </c>
      <c r="AZ178" s="108">
        <f t="shared" si="162"/>
        <v>2.4725000000000064</v>
      </c>
      <c r="BA178" s="108" t="b">
        <f>AND(模拟模式!$Q$10="有",AZ177=0)</f>
        <v>0</v>
      </c>
      <c r="BB178" s="140">
        <f>IF(BA178,(0+G178*0.287)*(1+J178)*(1-S178)*(1+$I$4)*IF(P178="会",'模拟-全程加成'!$J$3+'模拟-全程加成'!$J$4+'模拟-全程加成'!$J$5+('模拟-全程加成'!$I$4+'模拟-全程加成'!$I$5)/系数!$B$4+BG178*10%,IF(P178="命",1,IF(P178="识",0.25,0))),0)</f>
        <v>0</v>
      </c>
      <c r="BC178" s="115" t="b">
        <f ca="1">AND(模拟模式!$R$7="伏明众生",E178=60,F178=20,DA178&lt;5,CZ177&lt;$F$4)</f>
        <v>0</v>
      </c>
      <c r="BD178" s="115">
        <f t="shared" ca="1" si="124"/>
        <v>0</v>
      </c>
      <c r="BE178" s="115" t="b">
        <f t="shared" ca="1" si="125"/>
        <v>0</v>
      </c>
      <c r="BF178" s="47">
        <f ca="1">IF(BC178,4*('模拟-单技能数据'!$D$24+G178*'模拟-单技能数据'!$F$24)*(1+J178)*(1+'模拟-单技能数据'!$J$24)*(1-S178)*(1+$I$3)*(('模拟-全程加成'!$J$3+'模拟-全程加成'!$J$4+'模拟-全程加成'!$J$5+('模拟-全程加成'!$I$4+'模拟-全程加成'!$I$5)/系数!$B$4+BG178*10%)*('模拟-全程加成'!$J$3+'模拟-全程加成'!$J$4+'模拟-全程加成'!$J$5+('模拟-全程加成'!$I$4+'模拟-全程加成'!$I$5)/系数!$B$4+BG178*10%)+(1-('模拟-全程加成'!$J$3+'模拟-全程加成'!$J$4+'模拟-全程加成'!$J$5+('模拟-全程加成'!$I$4+'模拟-全程加成'!$I$5)/系数!$B$4+BG178*10%)-$F$10-$F$11)+F164*0.25),0)*'模拟-单技能数据'!$I$24</f>
        <v>0</v>
      </c>
      <c r="BG178" s="115" t="b">
        <f ca="1">OR(AND(OR(C178="烈日斩",C178="银月斩"),模拟模式!$I$7="净身明礼"),AND(C178="净世破魔击·日",模拟模式!$J$7="洞若观火"),AND(C179="净世破魔击·月",模拟模式!$J$7="洞若观火"),AB178=1)</f>
        <v>1</v>
      </c>
      <c r="BH178" s="115" t="b">
        <f t="shared" ca="1" si="163"/>
        <v>0</v>
      </c>
      <c r="BI178" s="115">
        <f t="shared" ca="1" si="126"/>
        <v>1.3874999999999997</v>
      </c>
      <c r="BJ178" s="115" t="b">
        <f t="shared" ca="1" si="137"/>
        <v>1</v>
      </c>
      <c r="BK178" s="115" t="b">
        <f ca="1">AND(C178="驱夜断愁",模拟模式!$P$7="天地诛戮")</f>
        <v>0</v>
      </c>
      <c r="BL178" s="57">
        <f t="shared" ca="1" si="127"/>
        <v>12.620000000000005</v>
      </c>
      <c r="BM178" s="115" t="b">
        <f t="shared" ca="1" si="138"/>
        <v>1</v>
      </c>
      <c r="BN178" s="115" t="b">
        <f ca="1">AND(OR(C178="赤日轮1",C178="赤日轮2",C178="赤日轮3",C178="幽月轮1",C178="幽月轮2",C178="幽月轮3"),AB178=1,模拟模式!$L$7="明光恒照")</f>
        <v>0</v>
      </c>
      <c r="BO178" s="117">
        <f t="shared" ca="1" si="128"/>
        <v>27.232500000000002</v>
      </c>
      <c r="BP178" s="115">
        <f t="shared" ca="1" si="164"/>
        <v>6</v>
      </c>
      <c r="BQ178" s="115" t="b">
        <f>模拟模式!$K$10="2600·水"</f>
        <v>0</v>
      </c>
      <c r="BR178" s="117">
        <f t="shared" si="165"/>
        <v>0</v>
      </c>
      <c r="BS178" s="115">
        <f t="shared" si="166"/>
        <v>0</v>
      </c>
      <c r="BT178" s="115">
        <f t="shared" ca="1" si="167"/>
        <v>0</v>
      </c>
      <c r="BU178" s="115" t="b">
        <f ca="1">AND(模拟模式!$K$10="2300·雷",BT177=0,RAND()&lt;IF(C178="净世破魔击·月",5*0.05*2/3,IF(C178="净世破魔击·日",3*0.05*2/3,0.05*2*2/3)))</f>
        <v>0</v>
      </c>
      <c r="BV178" s="115">
        <f t="shared" ca="1" si="168"/>
        <v>0</v>
      </c>
      <c r="BW178" s="115">
        <f t="shared" ca="1" si="169"/>
        <v>46.237499999999287</v>
      </c>
      <c r="BX178" s="164" t="b">
        <f t="shared" ca="1" si="170"/>
        <v>0</v>
      </c>
      <c r="BY178" s="115">
        <f t="shared" ca="1" si="171"/>
        <v>0</v>
      </c>
      <c r="BZ178" s="115">
        <f>IF(OR(模拟模式!$P$16="10人团",模拟模式!$P$16="25人团"),IF(B178/30&gt;CA177,1,0),0)</f>
        <v>0</v>
      </c>
      <c r="CA178" s="115">
        <f t="shared" si="147"/>
        <v>0</v>
      </c>
      <c r="CB178" s="115">
        <f ca="1">IF(BZ178=1,IF(模拟模式!$P$16="10人团",15,0)+IF(模拟模式!$P$16="25人团",IF(RAND()&lt;0.6,15,0)),MAX(0,CB177-$F$4))</f>
        <v>0</v>
      </c>
      <c r="CC178" s="115" t="b">
        <f t="shared" ca="1" si="139"/>
        <v>0</v>
      </c>
      <c r="CD178" s="115">
        <f>IF(模拟模式!$Q$16="1个",IF(B178/40&gt;CE177,1,0),0)</f>
        <v>0</v>
      </c>
      <c r="CE178" s="115">
        <f t="shared" si="140"/>
        <v>0</v>
      </c>
      <c r="CF178" s="115">
        <f>IF(OR(CD178=1,模拟模式!$Q$16="2个"),20,MAX(0,CF177-$F$4))</f>
        <v>0</v>
      </c>
      <c r="CG178" s="115" t="b">
        <f t="shared" si="141"/>
        <v>0</v>
      </c>
      <c r="CH178" s="115">
        <f t="shared" ca="1" si="172"/>
        <v>25.387500000000003</v>
      </c>
      <c r="CI178" s="115" t="b">
        <f t="shared" ca="1" si="173"/>
        <v>0</v>
      </c>
      <c r="CJ178" s="119">
        <f t="shared" ca="1" si="174"/>
        <v>0.05</v>
      </c>
      <c r="CK178" s="115">
        <f t="shared" ca="1" si="175"/>
        <v>3.3874999999999988</v>
      </c>
      <c r="CL178" s="115" t="b">
        <f ca="1">AND(模拟模式!$S$7="驱夷逐法",OR(AND(C178="净世破魔击·月",E177&gt;59),AND(C178="净世破魔击·日",F177&gt;59)))</f>
        <v>0</v>
      </c>
      <c r="CM178" s="115" t="b">
        <f ca="1">OR(CL178,AND(C178="净世破魔击·日",CL177,RAND()&lt;模拟模式!$U$23))</f>
        <v>0</v>
      </c>
      <c r="CN178" s="115" t="b">
        <f ca="1">IF(模拟模式!$M$7="辉耀红尘",AND(C178="净世破魔击·月",CL178,CV178=0,E177&lt;80),AND(C178="净世破魔击·月",CL178,E177&lt;100))</f>
        <v>0</v>
      </c>
      <c r="CO178" s="115" t="b">
        <f t="shared" ca="1" si="148"/>
        <v>0</v>
      </c>
      <c r="CP178" s="115" t="b">
        <f ca="1">AND(模拟模式!$O$7="用晦而明",OR(C178="净世破魔击·日",C178="净世破魔击·月",C178="驱夜断愁"),AB178)</f>
        <v>1</v>
      </c>
      <c r="CQ178" s="115" t="b">
        <f ca="1">OR(CP178,AND(CP177,RAND()&lt;模拟模式!$U$23))</f>
        <v>1</v>
      </c>
      <c r="CR178" s="115" t="b">
        <f ca="1">AND(模拟模式!$S$7="日月齐光",OR(C178="幽月轮1",C178="幽月轮2",C178="幽月轮3",CR177),NOT(OR(C178="赤日轮1",C178="赤日轮2",C178="赤日轮3")))</f>
        <v>0</v>
      </c>
      <c r="CS178" s="115" t="b">
        <f ca="1">AND(模拟模式!$S$7="日月齐光",OR(C178="赤日轮1",C178="赤日轮2",C178="赤日轮3",CS177),NOT(OR(C178="幽月轮1",C178="幽月轮2",C178="幽月轮3")))</f>
        <v>0</v>
      </c>
      <c r="CT178" s="115">
        <f t="shared" ca="1" si="176"/>
        <v>28.155000000000001</v>
      </c>
      <c r="CU178" s="115" t="b">
        <f ca="1">AND(模拟模式!$K$10="阴阳往极",CT177=0,RAND()&lt;IF(C178="净世破魔击·月",0.0275*7/3,IF(C178="净世破魔击·日",0.0275*3/3,0.0275*2/3)))</f>
        <v>0</v>
      </c>
      <c r="CV178" s="115">
        <f t="shared" ca="1" si="177"/>
        <v>2.2324999999999999</v>
      </c>
      <c r="CW178" s="115">
        <f t="shared" ca="1" si="149"/>
        <v>0</v>
      </c>
      <c r="CX178" s="115">
        <f t="shared" ca="1" si="150"/>
        <v>4.1549999999999994</v>
      </c>
      <c r="CY178" s="115">
        <f ca="1">MAX(IF($C178="驱夜断愁",IF(模拟模式!$R$7="万念俱寂",6,45),CY177-$F$4),0)</f>
        <v>0</v>
      </c>
      <c r="CZ178" s="115">
        <f t="shared" ca="1" si="151"/>
        <v>0</v>
      </c>
      <c r="DA178" s="115">
        <f ca="1">IF(模拟模式!$N$7="日月同辉",IF(DB177=2,0,MIN(6,IF(AND(OR(C178="赤日轮1",C178="赤日轮2",C178="赤日轮3",C178="幽月轮1",C178="幽月轮2",C178="幽月轮3"),AB178=1),DA177+1,DA177))),0)</f>
        <v>2</v>
      </c>
      <c r="DB178" s="115">
        <f t="shared" ca="1" si="152"/>
        <v>0</v>
      </c>
      <c r="DC178" s="115"/>
      <c r="DD178" s="115"/>
      <c r="DE178" s="115"/>
      <c r="DF178" s="115"/>
      <c r="DG178" s="115"/>
      <c r="DH178" s="115"/>
      <c r="DI178" s="115"/>
      <c r="DJ178" s="115"/>
      <c r="DK178" s="115"/>
      <c r="DL178" s="115"/>
      <c r="DM178" s="115"/>
    </row>
    <row r="179" spans="2:117" x14ac:dyDescent="0.2">
      <c r="B179" s="117">
        <f t="shared" si="153"/>
        <v>140.22000000000011</v>
      </c>
      <c r="C179" s="167" t="str">
        <f t="shared" ca="1" si="146"/>
        <v>净世破魔击·日</v>
      </c>
      <c r="D179" s="115">
        <f ca="1">IF(C179="赤日轮1",1,IF(C179="赤日轮2",2,IF(C179="赤日轮3",3,IF(C179="幽月轮1",4,IF(C179="幽月轮2",5,IF(C179="幽月轮3",6,IF(C179="烈日斩",7,IF(C179="银月斩",8,IF(C179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179="净世破魔击·月",17,IF(C179="驱夜断愁",18,0)))))))))))</f>
        <v>9</v>
      </c>
      <c r="E179" s="115">
        <f ca="1">IF(AND(CU179,OR(C179="幽月轮1",C179="幽月轮2",C179="幽月轮3",C179="银月斩",C179="驱夜断愁",C179="净世破魔击·月")),100,MIN(IF(OR(CN179,BE179),0,IF(OR($C179="赤日轮1",$C179="赤日轮2",$C179="赤日轮3"),E178+20+IF(模拟模式!$I$7="日月凌天",4,0)+IF(CR178,20,0),IF($C179="烈日斩",E178+40,IF($C179="驱夜断愁",IF(模拟模式!$R$7="万念俱寂",E178+20,E178+60),IF($C179="净世破魔击·月",IF(OR(DB178&gt;0,CV178&gt;0),100,IF(模拟模式!$M$7="辉耀红尘",E178+20,E178)),IF($C179="净世破魔击·日",E178-100,E178)))))),100))</f>
        <v>0</v>
      </c>
      <c r="F179" s="115">
        <f ca="1">IF(AND(CU179,OR(C179="赤日轮1",C179="赤日轮2",C179="赤日轮3",C179="烈日斩",C179="净世破魔击·日")),100,MIN(IF(CO179,0,IF(OR($C179="幽月轮1",$C179="幽月轮2",$C179="幽月轮3"),F178+20+IF(模拟模式!$I$7="日月凌天",4,0)+IF(CS178,20,0),IF($C179="银月斩",F178+40+IF(模拟模式!$X$12=1,5,0),IF($C179="驱夜断愁",IF(模拟模式!$R$7="万念俱寂",F178+20,F178+60),IF($C179="净世破魔击·月",IF(模拟模式!$M$7="辉耀红尘",F178-80,F178-100),IF(AND(C179="净世破魔击·日",OR(DB178&gt;0,CV178&gt;0)),100,F178)))))),100))</f>
        <v>100</v>
      </c>
      <c r="G179" s="117">
        <f ca="1">('模拟-全程加成'!$E$3+'模拟-全程加成'!$E$4+'模拟-全程加成'!$E$5+('模拟-全程加成'!$C$6-'模拟-全程加成'!$C$3)*系数!$B$9+BS179*23)*(1+'模拟-全程加成'!$F$4+'模拟-全程加成'!$F$5+BJ179*10%+BM179*20%+BP179*4%+CG179*30%)+$F$7*系数!$B$12</f>
        <v>21493.829400000002</v>
      </c>
      <c r="H179" s="45">
        <f ca="1">'模拟-全程加成'!$H$3+'模拟-全程加成'!$H$4+'模拟-全程加成'!$H$5+('模拟-全程加成'!$G$4+'模拟-全程加成'!$G$5+('模拟-全程加成'!$C$6-'模拟-全程加成'!$C$3)*系数!$B$13)/系数!$B$3+LOOKUP(D179,'模拟-单技能数据'!$A$2:$A$19,'模拟-单技能数据'!$K$2:$K$19)+BG179*10%+IF(BV179&gt;0,378,0)</f>
        <v>0.54185145527300216</v>
      </c>
      <c r="I179" s="45">
        <f ca="1">'模拟-全程加成'!$J$3+'模拟-全程加成'!$J$4+'模拟-全程加成'!$J$5+('模拟-全程加成'!$I$4+'模拟-全程加成'!$I$5)/系数!$B$4+LOOKUP(D179,'模拟-单技能数据'!$A$2:$A$19,'模拟-单技能数据'!$L$2:$L$19)+BG179*10%</f>
        <v>2.162482885499879</v>
      </c>
      <c r="J179" s="45">
        <f ca="1">(('模拟-全程加成'!$K$3+'模拟-全程加成'!$K$4+'模拟-全程加成'!$K$5+('模拟-全程加成'!$C$6-'模拟-全程加成'!$C$3)*系数!$B$10+IF(BV179&gt;0,882,0)+IF(BY179&gt;0,1831,0))*(1+'模拟-全程加成'!$L$4+'模拟-全程加成'!$L$5+CC179*20%))/系数!$B$5</f>
        <v>0.69723220422048726</v>
      </c>
      <c r="K179" s="119">
        <f ca="1">LOOKUP(D179,'模拟-单技能数据'!$A$2:$A$19,'模拟-单技能数据'!$J$2:$J$19)+IF(CM179,60%,0)+IF(DB178-DB179&gt;0,30%,0)+IF(OR(AND(OR(C179="赤日轮1",C179="赤日轮2",C179="赤日轮3"),CR179),AND(OR(C179="幽月轮1",C179="幽月轮2",C179="幽月轮3"),CS179)),35%,0)+CJ179</f>
        <v>0.25</v>
      </c>
      <c r="L179" s="119">
        <f ca="1">IF(AND(C179="烈日斩",模拟模式!$X$11=1),10%,0)+IF(AND(C179="驱夜断愁",AB179=1),30%,0)</f>
        <v>0</v>
      </c>
      <c r="M179" s="45">
        <f t="shared" ca="1" si="129"/>
        <v>0.54185145527300216</v>
      </c>
      <c r="N179" s="45">
        <f t="shared" ca="1" si="130"/>
        <v>0.40424854472699789</v>
      </c>
      <c r="O179" s="46">
        <f t="shared" ca="1" si="154"/>
        <v>0.84976290234498197</v>
      </c>
      <c r="P179" s="46" t="str">
        <f t="shared" ca="1" si="155"/>
        <v>命</v>
      </c>
      <c r="Q179" s="45">
        <f t="shared" ca="1" si="156"/>
        <v>1</v>
      </c>
      <c r="R179" s="117">
        <f ca="1">模拟模式!$E$20*(1-IF(模拟模式!$J$19="有",0.15,0))*(1-IF(模拟模式!$K$19="有",0.3,0)-IF(CQ179,0.5,0))</f>
        <v>843.02999999999975</v>
      </c>
      <c r="S179" s="45">
        <f ca="1">R179/(R179+(185*模拟模式!$E$22-16800)*4.08224)</f>
        <v>8.389626085980037E-2</v>
      </c>
      <c r="T179" s="45" t="str">
        <f ca="1">LOOKUP(D179,'模拟-单技能数据'!$A$2:$A$19,'模拟-单技能数据'!$H$2:$H$19)</f>
        <v>阳</v>
      </c>
      <c r="U179" s="119">
        <f t="shared" ca="1" si="131"/>
        <v>0.2</v>
      </c>
      <c r="V179" s="47">
        <f ca="1">(1+L179)*(LOOKUP(D179,'模拟-单技能数据'!$A$2:$A$19,'模拟-单技能数据'!$D$2:$D$19)+G179*LOOKUP(D179,'模拟-单技能数据'!$A$2:$A$19,'模拟-单技能数据'!$F$2:$F$19))*(1+J179)*(1+K179)*(1-S179)*(1+U179)*Q179*LOOKUP(D179,'模拟-单技能数据'!$A$2:$A$19,'模拟-单技能数据'!$I$2:$I$20)</f>
        <v>65677.336879445851</v>
      </c>
      <c r="W179" s="47">
        <f ca="1">LOOKUP(D179,'模拟-单技能数据'!$A$2:$A$19,'模拟-单技能数据'!$G$2:$G$19)*$I$10</f>
        <v>723.0212870940959</v>
      </c>
      <c r="X179" s="47">
        <f t="shared" ca="1" si="157"/>
        <v>43558.758757103926</v>
      </c>
      <c r="Y179" s="47">
        <f t="shared" ca="1" si="132"/>
        <v>109959.11692364389</v>
      </c>
      <c r="Z179" s="49">
        <f t="shared" ca="1" si="133"/>
        <v>15936742.150847254</v>
      </c>
      <c r="AA179" s="97">
        <f t="shared" ca="1" si="134"/>
        <v>113655.27136533477</v>
      </c>
      <c r="AB179" s="115">
        <f ca="1">IF(OR(C179="赤日轮1",C179="赤日轮2",C179="赤日轮3"),IF(RAND()&lt;模拟模式!$Y$17,1,0),IF(OR(C179="幽月轮1",C179="幽月轮2",C179="幽月轮3"),IF(RAND()&lt;模拟模式!$Y$18,1,0),IF(C179="烈日斩",IF(RAND()&lt;模拟模式!$Y$19,1,0),IF(C179="银月斩",IF(RAND()&lt;模拟模式!$Y$20,1,0),IF(C179="驱夜断愁",IF(RAND()&lt;模拟模式!$Y$21,1,0),IF(C179="净世破魔击·日",IF(RAND()&lt;模拟模式!$Y$22,1,0),IF(C179="净世破魔击·月",IF(RAND()&lt;模拟模式!$Y$23,1,0),0)))))))</f>
        <v>1</v>
      </c>
      <c r="AC179" s="115" t="b">
        <f t="shared" ca="1" si="122"/>
        <v>0</v>
      </c>
      <c r="AD179" s="115" t="b">
        <f t="shared" ca="1" si="142"/>
        <v>1</v>
      </c>
      <c r="AE179" s="115">
        <f t="shared" ca="1" si="143"/>
        <v>4</v>
      </c>
      <c r="AF179" s="47">
        <f ca="1">IF(AC179,('模拟-单技能数据'!$D$20+G179*'模拟-单技能数据'!$F$20)*(1+J179)*(1+'模拟-单技能数据'!$J$20)*(1+U179),0)</f>
        <v>0</v>
      </c>
      <c r="AG179" s="61">
        <f t="shared" ca="1" si="135"/>
        <v>0.64185145527300214</v>
      </c>
      <c r="AH179" s="61">
        <f t="shared" ca="1" si="136"/>
        <v>2.2624828854998791</v>
      </c>
      <c r="AI179" s="62">
        <f t="shared" ca="1" si="158"/>
        <v>0.13183306959469765</v>
      </c>
      <c r="AJ179" s="47">
        <f ca="1">IF(AD179,IF(AI179&lt;$F$10,0,IF(AI179&lt;$F$10+$F$11,0.25,IF(AI179&lt;$F$10+$F$11+AG179,AH179,1)))*IF(AF179&gt;0,AF179,IF(AF178&gt;0,AF178,IF(AF177&gt;0,AF177,IF(AF176&gt;0,AF176,IF(AF175&gt;0,AF175,IF(AF174&gt;0,AF174,IF(AF173&gt;0,AF173,IF(AF172&gt;0,AF172,IF(AF171&gt;0,AF171,IF(AF169&gt;0,AF169,IF(AF168&gt;0,AF168,IF(AF167&gt;0,AF167,0)))))))))))),0)*(1-$S179)*'模拟-单技能数据'!$I$20</f>
        <v>9616.6571145767884</v>
      </c>
      <c r="AK179" s="115" t="b">
        <f t="shared" ca="1" si="123"/>
        <v>1</v>
      </c>
      <c r="AL179" s="115" t="b">
        <f t="shared" ca="1" si="144"/>
        <v>1</v>
      </c>
      <c r="AM179" s="115">
        <f t="shared" ca="1" si="145"/>
        <v>5</v>
      </c>
      <c r="AN179" s="47">
        <f ca="1">IF(AK179,('模拟-单技能数据'!$D$21+G179*'模拟-单技能数据'!$F$21)*(1+J179)*(1+'模拟-单技能数据'!$J$21)*(1+U179),0)</f>
        <v>12670.936004857545</v>
      </c>
      <c r="AO179" s="61">
        <f ca="1">IF(AN179&gt;0,M179-'模拟-单技能数据'!$K$10,AO178)</f>
        <v>0.42185145527300216</v>
      </c>
      <c r="AP179" s="61">
        <f ca="1">IF(AN179&gt;0,I179-'模拟-单技能数据'!$L$10,AP178)</f>
        <v>2.162482885499879</v>
      </c>
      <c r="AQ179" s="63">
        <f t="shared" ca="1" si="159"/>
        <v>0.13464972005925857</v>
      </c>
      <c r="AR179" s="64">
        <f ca="1">IF(AL179,IF(AQ179&lt;$F$10,0,IF(AQ179&lt;$F$10+$F$11,0.25,IF(AQ179&lt;$F$10+$F$11+AO179,AP179,1)))*IF(AN179&gt;0,AN179,IF(AN178&gt;0,AN178,IF(AN177&gt;0,AN177,IF(AN176&gt;0,AN176,IF(AN175&gt;0,AN175,IF(AN174&gt;0,AN174,IF(AN173&gt;0,AN173,IF(AN172&gt;0,AN172,IF(AN171&gt;0,AN171,IF(AN169&gt;0,AN169,IF(AN168&gt;0,AN168,IF(AN167&gt;0,AN167,0)))))))))))),0)*(1-$S179)*'模拟-单技能数据'!$I$21</f>
        <v>25101.867467669974</v>
      </c>
      <c r="AS179" s="61">
        <f ca="1">IF(OR(C179="净世破魔击·日",C179="净世破魔击·月"),M179-'模拟-单技能数据'!$K$10,0)</f>
        <v>0.42185145527300216</v>
      </c>
      <c r="AT179" s="61">
        <f ca="1">IF(OR(C179="净世破魔击·日",C179="净世破魔击·月"),I179-'模拟-单技能数据'!$L$10,0)</f>
        <v>2.162482885499879</v>
      </c>
      <c r="AU179" s="62">
        <f t="shared" ca="1" si="160"/>
        <v>0.70086059018440716</v>
      </c>
      <c r="AV179" s="64">
        <f ca="1">IF(AS179&gt;0,('模拟-单技能数据'!$D$22+G179*'模拟-单技能数据'!$F$22)*(1+J179)*(1-S179)*IF(AU179&lt;$F$10,0,IF(AU179&lt;$F$10+$F$11,0.25,IF(AU179&lt;$F$10+$F$11+AS179,AT179,1)))*(1+U179),0)*'模拟-单技能数据'!$I$22</f>
        <v>8840.2341748571616</v>
      </c>
      <c r="AW179" s="108">
        <f t="shared" ca="1" si="161"/>
        <v>0</v>
      </c>
      <c r="AX179" s="108" t="b">
        <f ca="1">AND(模拟模式!$P$10="有",AW178=0,RAND()&lt;IF(C179="净世破魔击·月",0.1*8/3,IF(C179="净世破魔击·日",0.1*4/3,0.1*2/3)))</f>
        <v>0</v>
      </c>
      <c r="AY179" s="47">
        <f ca="1">IF(AX179,(18+G179*0.722)*(1+J179)*(1-S179)*(1+$I$4)*IF(P179="会",'模拟-全程加成'!$J$3+'模拟-全程加成'!$J$4+'模拟-全程加成'!$J$5+('模拟-全程加成'!$I$4+'模拟-全程加成'!$I$5)/系数!$B$4+BG179*10%,IF(P179="命",1,IF(P179="识",0.25,0))),0)</f>
        <v>0</v>
      </c>
      <c r="AZ179" s="108">
        <f t="shared" si="162"/>
        <v>1.5500000000000065</v>
      </c>
      <c r="BA179" s="108" t="b">
        <f>AND(模拟模式!$Q$10="有",AZ178=0)</f>
        <v>0</v>
      </c>
      <c r="BB179" s="140">
        <f>IF(BA179,(0+G179*0.287)*(1+J179)*(1-S179)*(1+$I$4)*IF(P179="会",'模拟-全程加成'!$J$3+'模拟-全程加成'!$J$4+'模拟-全程加成'!$J$5+('模拟-全程加成'!$I$4+'模拟-全程加成'!$I$5)/系数!$B$4+BG179*10%,IF(P179="命",1,IF(P179="识",0.25,0))),0)</f>
        <v>0</v>
      </c>
      <c r="BC179" s="115" t="b">
        <f ca="1">AND(模拟模式!$R$7="伏明众生",E179=60,F179=20,DA179&lt;5,CZ178&lt;$F$4)</f>
        <v>0</v>
      </c>
      <c r="BD179" s="115">
        <f t="shared" ca="1" si="124"/>
        <v>0</v>
      </c>
      <c r="BE179" s="115" t="b">
        <f t="shared" ca="1" si="125"/>
        <v>0</v>
      </c>
      <c r="BF179" s="47">
        <f ca="1">IF(BC179,4*('模拟-单技能数据'!$D$24+G179*'模拟-单技能数据'!$F$24)*(1+J179)*(1+'模拟-单技能数据'!$J$24)*(1-S179)*(1+$I$3)*(('模拟-全程加成'!$J$3+'模拟-全程加成'!$J$4+'模拟-全程加成'!$J$5+('模拟-全程加成'!$I$4+'模拟-全程加成'!$I$5)/系数!$B$4+BG179*10%)*('模拟-全程加成'!$J$3+'模拟-全程加成'!$J$4+'模拟-全程加成'!$J$5+('模拟-全程加成'!$I$4+'模拟-全程加成'!$I$5)/系数!$B$4+BG179*10%)+(1-('模拟-全程加成'!$J$3+'模拟-全程加成'!$J$4+'模拟-全程加成'!$J$5+('模拟-全程加成'!$I$4+'模拟-全程加成'!$I$5)/系数!$B$4+BG179*10%)-$F$10-$F$11)+F165*0.25),0)*'模拟-单技能数据'!$I$24</f>
        <v>0</v>
      </c>
      <c r="BG179" s="115" t="b">
        <f ca="1">OR(AND(OR(C179="烈日斩",C179="银月斩"),模拟模式!$I$7="净身明礼"),AND(C179="净世破魔击·日",模拟模式!$J$7="洞若观火"),AND(C180="净世破魔击·月",模拟模式!$J$7="洞若观火"),AB179=1)</f>
        <v>1</v>
      </c>
      <c r="BH179" s="115" t="b">
        <f t="shared" ca="1" si="163"/>
        <v>0</v>
      </c>
      <c r="BI179" s="115">
        <f t="shared" ca="1" si="126"/>
        <v>0.46499999999999975</v>
      </c>
      <c r="BJ179" s="115" t="b">
        <f t="shared" ca="1" si="137"/>
        <v>1</v>
      </c>
      <c r="BK179" s="115" t="b">
        <f ca="1">AND(C179="驱夜断愁",模拟模式!$P$7="天地诛戮")</f>
        <v>0</v>
      </c>
      <c r="BL179" s="57">
        <f t="shared" ca="1" si="127"/>
        <v>11.697500000000005</v>
      </c>
      <c r="BM179" s="115" t="b">
        <f t="shared" ca="1" si="138"/>
        <v>1</v>
      </c>
      <c r="BN179" s="115" t="b">
        <f ca="1">AND(OR(C179="赤日轮1",C179="赤日轮2",C179="赤日轮3",C179="幽月轮1",C179="幽月轮2",C179="幽月轮3"),AB179=1,模拟模式!$L$7="明光恒照")</f>
        <v>0</v>
      </c>
      <c r="BO179" s="117">
        <f t="shared" ca="1" si="128"/>
        <v>26.310000000000002</v>
      </c>
      <c r="BP179" s="115">
        <f t="shared" ca="1" si="164"/>
        <v>6</v>
      </c>
      <c r="BQ179" s="115" t="b">
        <f>模拟模式!$K$10="2600·水"</f>
        <v>0</v>
      </c>
      <c r="BR179" s="117">
        <f t="shared" si="165"/>
        <v>0</v>
      </c>
      <c r="BS179" s="115">
        <f t="shared" si="166"/>
        <v>0</v>
      </c>
      <c r="BT179" s="115">
        <f t="shared" ca="1" si="167"/>
        <v>0</v>
      </c>
      <c r="BU179" s="115" t="b">
        <f ca="1">AND(模拟模式!$K$10="2300·雷",BT178=0,RAND()&lt;IF(C179="净世破魔击·月",5*0.05*2/3,IF(C179="净世破魔击·日",3*0.05*2/3,0.05*2*2/3)))</f>
        <v>0</v>
      </c>
      <c r="BV179" s="115">
        <f t="shared" ca="1" si="168"/>
        <v>0</v>
      </c>
      <c r="BW179" s="115">
        <f t="shared" ca="1" si="169"/>
        <v>45.314999999999287</v>
      </c>
      <c r="BX179" s="164" t="b">
        <f t="shared" ca="1" si="170"/>
        <v>0</v>
      </c>
      <c r="BY179" s="115">
        <f t="shared" ca="1" si="171"/>
        <v>0</v>
      </c>
      <c r="BZ179" s="115">
        <f>IF(OR(模拟模式!$P$16="10人团",模拟模式!$P$16="25人团"),IF(B179/30&gt;CA178,1,0),0)</f>
        <v>0</v>
      </c>
      <c r="CA179" s="115">
        <f t="shared" si="147"/>
        <v>0</v>
      </c>
      <c r="CB179" s="115">
        <f ca="1">IF(BZ179=1,IF(模拟模式!$P$16="10人团",15,0)+IF(模拟模式!$P$16="25人团",IF(RAND()&lt;0.6,15,0)),MAX(0,CB178-$F$4))</f>
        <v>0</v>
      </c>
      <c r="CC179" s="115" t="b">
        <f t="shared" ca="1" si="139"/>
        <v>0</v>
      </c>
      <c r="CD179" s="115">
        <f>IF(模拟模式!$Q$16="1个",IF(B179/40&gt;CE178,1,0),0)</f>
        <v>0</v>
      </c>
      <c r="CE179" s="115">
        <f t="shared" si="140"/>
        <v>0</v>
      </c>
      <c r="CF179" s="115">
        <f>IF(OR(CD179=1,模拟模式!$Q$16="2个"),20,MAX(0,CF178-$F$4))</f>
        <v>0</v>
      </c>
      <c r="CG179" s="115" t="b">
        <f t="shared" si="141"/>
        <v>0</v>
      </c>
      <c r="CH179" s="115">
        <f t="shared" ca="1" si="172"/>
        <v>24.465000000000003</v>
      </c>
      <c r="CI179" s="115" t="b">
        <f t="shared" ca="1" si="173"/>
        <v>0</v>
      </c>
      <c r="CJ179" s="119">
        <f t="shared" ca="1" si="174"/>
        <v>0.05</v>
      </c>
      <c r="CK179" s="115">
        <f t="shared" ca="1" si="175"/>
        <v>2.464999999999999</v>
      </c>
      <c r="CL179" s="115" t="b">
        <f ca="1">AND(模拟模式!$S$7="驱夷逐法",OR(AND(C179="净世破魔击·月",E178&gt;59),AND(C179="净世破魔击·日",F178&gt;59)))</f>
        <v>0</v>
      </c>
      <c r="CM179" s="115" t="b">
        <f ca="1">OR(CL179,AND(C179="净世破魔击·日",CL178,RAND()&lt;模拟模式!$U$23))</f>
        <v>0</v>
      </c>
      <c r="CN179" s="115" t="b">
        <f ca="1">IF(模拟模式!$M$7="辉耀红尘",AND(C179="净世破魔击·月",CL179,CV179=0,E178&lt;80),AND(C179="净世破魔击·月",CL179,E178&lt;100))</f>
        <v>0</v>
      </c>
      <c r="CO179" s="115" t="b">
        <f t="shared" ca="1" si="148"/>
        <v>0</v>
      </c>
      <c r="CP179" s="115" t="b">
        <f ca="1">AND(模拟模式!$O$7="用晦而明",OR(C179="净世破魔击·日",C179="净世破魔击·月",C179="驱夜断愁"),AB179)</f>
        <v>1</v>
      </c>
      <c r="CQ179" s="115" t="b">
        <f ca="1">OR(CP179,AND(CP178,RAND()&lt;模拟模式!$U$23))</f>
        <v>1</v>
      </c>
      <c r="CR179" s="115" t="b">
        <f ca="1">AND(模拟模式!$S$7="日月齐光",OR(C179="幽月轮1",C179="幽月轮2",C179="幽月轮3",CR178),NOT(OR(C179="赤日轮1",C179="赤日轮2",C179="赤日轮3")))</f>
        <v>0</v>
      </c>
      <c r="CS179" s="115" t="b">
        <f ca="1">AND(模拟模式!$S$7="日月齐光",OR(C179="赤日轮1",C179="赤日轮2",C179="赤日轮3",CS178),NOT(OR(C179="幽月轮1",C179="幽月轮2",C179="幽月轮3")))</f>
        <v>0</v>
      </c>
      <c r="CT179" s="115">
        <f t="shared" ca="1" si="176"/>
        <v>27.232500000000002</v>
      </c>
      <c r="CU179" s="115" t="b">
        <f ca="1">AND(模拟模式!$K$10="阴阳往极",CT178=0,RAND()&lt;IF(C179="净世破魔击·月",0.0275*7/3,IF(C179="净世破魔击·日",0.0275*3/3,0.0275*2/3)))</f>
        <v>0</v>
      </c>
      <c r="CV179" s="115">
        <f t="shared" ca="1" si="177"/>
        <v>1.31</v>
      </c>
      <c r="CW179" s="115">
        <f t="shared" ca="1" si="149"/>
        <v>0</v>
      </c>
      <c r="CX179" s="115">
        <f t="shared" ca="1" si="150"/>
        <v>3.2324999999999995</v>
      </c>
      <c r="CY179" s="115">
        <f ca="1">MAX(IF($C179="驱夜断愁",IF(模拟模式!$R$7="万念俱寂",6,45),CY178-$F$4),0)</f>
        <v>0</v>
      </c>
      <c r="CZ179" s="115">
        <f t="shared" ca="1" si="151"/>
        <v>0</v>
      </c>
      <c r="DA179" s="115">
        <f ca="1">IF(模拟模式!$N$7="日月同辉",IF(DB178=2,0,MIN(6,IF(AND(OR(C179="赤日轮1",C179="赤日轮2",C179="赤日轮3",C179="幽月轮1",C179="幽月轮2",C179="幽月轮3"),AB179=1),DA178+1,DA178))),0)</f>
        <v>2</v>
      </c>
      <c r="DB179" s="115">
        <f t="shared" ca="1" si="152"/>
        <v>0</v>
      </c>
      <c r="DC179" s="115"/>
      <c r="DD179" s="115"/>
      <c r="DE179" s="115"/>
      <c r="DF179" s="115"/>
      <c r="DG179" s="115"/>
      <c r="DH179" s="115"/>
      <c r="DI179" s="115"/>
      <c r="DJ179" s="115"/>
      <c r="DK179" s="115"/>
      <c r="DL179" s="115"/>
      <c r="DM179" s="115"/>
    </row>
    <row r="180" spans="2:117" x14ac:dyDescent="0.2">
      <c r="B180" s="117">
        <f t="shared" si="153"/>
        <v>141.14250000000013</v>
      </c>
      <c r="C180" s="167" t="str">
        <f t="shared" ca="1" si="146"/>
        <v>净世破魔击·月</v>
      </c>
      <c r="D180" s="115">
        <f ca="1">IF(C180="赤日轮1",1,IF(C180="赤日轮2",2,IF(C180="赤日轮3",3,IF(C180="幽月轮1",4,IF(C180="幽月轮2",5,IF(C180="幽月轮3",6,IF(C180="烈日斩",7,IF(C180="银月斩",8,IF(C180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180="净世破魔击·月",17,IF(C180="驱夜断愁",18,0)))))))))))</f>
        <v>17</v>
      </c>
      <c r="E180" s="115">
        <f ca="1">IF(AND(CU180,OR(C180="幽月轮1",C180="幽月轮2",C180="幽月轮3",C180="银月斩",C180="驱夜断愁",C180="净世破魔击·月")),100,MIN(IF(OR(CN180,BE180),0,IF(OR($C180="赤日轮1",$C180="赤日轮2",$C180="赤日轮3"),E179+20+IF(模拟模式!$I$7="日月凌天",4,0)+IF(CR179,20,0),IF($C180="烈日斩",E179+40,IF($C180="驱夜断愁",IF(模拟模式!$R$7="万念俱寂",E179+20,E179+60),IF($C180="净世破魔击·月",IF(OR(DB179&gt;0,CV179&gt;0),100,IF(模拟模式!$M$7="辉耀红尘",E179+20,E179)),IF($C180="净世破魔击·日",E179-100,E179)))))),100))</f>
        <v>100</v>
      </c>
      <c r="F180" s="115">
        <f ca="1">IF(AND(CU180,OR(C180="赤日轮1",C180="赤日轮2",C180="赤日轮3",C180="烈日斩",C180="净世破魔击·日")),100,MIN(IF(CO180,0,IF(OR($C180="幽月轮1",$C180="幽月轮2",$C180="幽月轮3"),F179+20+IF(模拟模式!$I$7="日月凌天",4,0)+IF(CS179,20,0),IF($C180="银月斩",F179+40+IF(模拟模式!$X$12=1,5,0),IF($C180="驱夜断愁",IF(模拟模式!$R$7="万念俱寂",F179+20,F179+60),IF($C180="净世破魔击·月",IF(模拟模式!$M$7="辉耀红尘",F179-80,F179-100),IF(AND(C180="净世破魔击·日",OR(DB179&gt;0,CV179&gt;0)),100,F179)))))),100))</f>
        <v>20</v>
      </c>
      <c r="G180" s="117">
        <f ca="1">('模拟-全程加成'!$E$3+'模拟-全程加成'!$E$4+'模拟-全程加成'!$E$5+('模拟-全程加成'!$C$6-'模拟-全程加成'!$C$3)*系数!$B$9+BS180*23)*(1+'模拟-全程加成'!$F$4+'模拟-全程加成'!$F$5+BJ180*10%+BM180*20%+BP180*4%+CG180*30%)+$F$7*系数!$B$12</f>
        <v>21493.829400000002</v>
      </c>
      <c r="H180" s="45">
        <f ca="1">'模拟-全程加成'!$H$3+'模拟-全程加成'!$H$4+'模拟-全程加成'!$H$5+('模拟-全程加成'!$G$4+'模拟-全程加成'!$G$5+('模拟-全程加成'!$C$6-'模拟-全程加成'!$C$3)*系数!$B$13)/系数!$B$3+LOOKUP(D180,'模拟-单技能数据'!$A$2:$A$19,'模拟-单技能数据'!$K$2:$K$19)+BG180*10%+IF(BV180&gt;0,378,0)</f>
        <v>0.54185145527300216</v>
      </c>
      <c r="I180" s="45">
        <f ca="1">'模拟-全程加成'!$J$3+'模拟-全程加成'!$J$4+'模拟-全程加成'!$J$5+('模拟-全程加成'!$I$4+'模拟-全程加成'!$I$5)/系数!$B$4+LOOKUP(D180,'模拟-单技能数据'!$A$2:$A$19,'模拟-单技能数据'!$L$2:$L$19)+BG180*10%</f>
        <v>2.162482885499879</v>
      </c>
      <c r="J180" s="45">
        <f ca="1">(('模拟-全程加成'!$K$3+'模拟-全程加成'!$K$4+'模拟-全程加成'!$K$5+('模拟-全程加成'!$C$6-'模拟-全程加成'!$C$3)*系数!$B$10+IF(BV180&gt;0,882,0)+IF(BY180&gt;0,1831,0))*(1+'模拟-全程加成'!$L$4+'模拟-全程加成'!$L$5+CC180*20%))/系数!$B$5</f>
        <v>0.69723220422048726</v>
      </c>
      <c r="K180" s="119">
        <f ca="1">LOOKUP(D180,'模拟-单技能数据'!$A$2:$A$19,'模拟-单技能数据'!$J$2:$J$19)+IF(CM180,60%,0)+IF(DB179-DB180&gt;0,30%,0)+IF(OR(AND(OR(C180="赤日轮1",C180="赤日轮2",C180="赤日轮3"),CR180),AND(OR(C180="幽月轮1",C180="幽月轮2",C180="幽月轮3"),CS180)),35%,0)+CJ180</f>
        <v>0.25</v>
      </c>
      <c r="L180" s="119">
        <f ca="1">IF(AND(C180="烈日斩",模拟模式!$X$11=1),10%,0)+IF(AND(C180="驱夜断愁",AB180=1),30%,0)</f>
        <v>0</v>
      </c>
      <c r="M180" s="45">
        <f t="shared" ca="1" si="129"/>
        <v>0.54185145527300216</v>
      </c>
      <c r="N180" s="45">
        <f t="shared" ca="1" si="130"/>
        <v>0.40424854472699789</v>
      </c>
      <c r="O180" s="46">
        <f t="shared" ca="1" si="154"/>
        <v>0.80841410597322338</v>
      </c>
      <c r="P180" s="46" t="str">
        <f t="shared" ca="1" si="155"/>
        <v>命</v>
      </c>
      <c r="Q180" s="45">
        <f t="shared" ca="1" si="156"/>
        <v>1</v>
      </c>
      <c r="R180" s="117">
        <f ca="1">模拟模式!$E$20*(1-IF(模拟模式!$J$19="有",0.15,0))*(1-IF(模拟模式!$K$19="有",0.3,0)-IF(CQ180,0.5,0))</f>
        <v>843.02999999999975</v>
      </c>
      <c r="S180" s="45">
        <f ca="1">R180/(R180+(185*模拟模式!$E$22-16800)*4.08224)</f>
        <v>8.389626085980037E-2</v>
      </c>
      <c r="T180" s="45" t="str">
        <f ca="1">LOOKUP(D180,'模拟-单技能数据'!$A$2:$A$19,'模拟-单技能数据'!$H$2:$H$19)</f>
        <v>阴</v>
      </c>
      <c r="U180" s="119">
        <f t="shared" ca="1" si="131"/>
        <v>0.08</v>
      </c>
      <c r="V180" s="47">
        <f ca="1">(1+L180)*(LOOKUP(D180,'模拟-单技能数据'!$A$2:$A$19,'模拟-单技能数据'!$D$2:$D$19)+G180*LOOKUP(D180,'模拟-单技能数据'!$A$2:$A$19,'模拟-单技能数据'!$F$2:$F$19))*(1+J180)*(1+K180)*(1-S180)*(1+U180)*Q180*LOOKUP(D180,'模拟-单技能数据'!$A$2:$A$19,'模拟-单技能数据'!$I$2:$I$20)</f>
        <v>58619.995440519822</v>
      </c>
      <c r="W180" s="47">
        <f ca="1">LOOKUP(D180,'模拟-单技能数据'!$A$2:$A$19,'模拟-单技能数据'!$G$2:$G$19)*$I$10</f>
        <v>361.51064354704795</v>
      </c>
      <c r="X180" s="47">
        <f t="shared" ca="1" si="157"/>
        <v>7956.2107573714466</v>
      </c>
      <c r="Y180" s="47">
        <f t="shared" ca="1" si="132"/>
        <v>66937.71684143832</v>
      </c>
      <c r="Z180" s="49">
        <f t="shared" ca="1" si="133"/>
        <v>16003679.867688693</v>
      </c>
      <c r="AA180" s="97">
        <f t="shared" ca="1" si="134"/>
        <v>113386.68273332751</v>
      </c>
      <c r="AB180" s="115">
        <f ca="1">IF(OR(C180="赤日轮1",C180="赤日轮2",C180="赤日轮3"),IF(RAND()&lt;模拟模式!$Y$17,1,0),IF(OR(C180="幽月轮1",C180="幽月轮2",C180="幽月轮3"),IF(RAND()&lt;模拟模式!$Y$18,1,0),IF(C180="烈日斩",IF(RAND()&lt;模拟模式!$Y$19,1,0),IF(C180="银月斩",IF(RAND()&lt;模拟模式!$Y$20,1,0),IF(C180="驱夜断愁",IF(RAND()&lt;模拟模式!$Y$21,1,0),IF(C180="净世破魔击·日",IF(RAND()&lt;模拟模式!$Y$22,1,0),IF(C180="净世破魔击·月",IF(RAND()&lt;模拟模式!$Y$23,1,0),0)))))))</f>
        <v>1</v>
      </c>
      <c r="AC180" s="115" t="b">
        <f t="shared" ca="1" si="122"/>
        <v>0</v>
      </c>
      <c r="AD180" s="115" t="b">
        <f t="shared" ca="1" si="142"/>
        <v>0</v>
      </c>
      <c r="AE180" s="115">
        <f t="shared" ca="1" si="143"/>
        <v>4</v>
      </c>
      <c r="AF180" s="47">
        <f ca="1">IF(AC180,('模拟-单技能数据'!$D$20+G180*'模拟-单技能数据'!$F$20)*(1+J180)*(1+'模拟-单技能数据'!$J$20)*(1+U180),0)</f>
        <v>0</v>
      </c>
      <c r="AG180" s="61">
        <f t="shared" ca="1" si="135"/>
        <v>0.64185145527300214</v>
      </c>
      <c r="AH180" s="61">
        <f t="shared" ca="1" si="136"/>
        <v>2.2624828854998791</v>
      </c>
      <c r="AI180" s="62">
        <f t="shared" ca="1" si="158"/>
        <v>0.23628115164516184</v>
      </c>
      <c r="AJ180" s="47">
        <f ca="1">IF(AD180,IF(AI180&lt;$F$10,0,IF(AI180&lt;$F$10+$F$11,0.25,IF(AI180&lt;$F$10+$F$11+AG180,AH180,1)))*IF(AF180&gt;0,AF180,IF(AF179&gt;0,AF179,IF(AF178&gt;0,AF178,IF(AF177&gt;0,AF177,IF(AF176&gt;0,AF176,IF(AF175&gt;0,AF175,IF(AF174&gt;0,AF174,IF(AF173&gt;0,AF173,IF(AF172&gt;0,AF172,IF(AF170&gt;0,AF170,IF(AF169&gt;0,AF169,IF(AF168&gt;0,AF168,0)))))))))))),0)*(1-$S180)*'模拟-单技能数据'!$I$20</f>
        <v>0</v>
      </c>
      <c r="AK180" s="115" t="b">
        <f t="shared" ca="1" si="123"/>
        <v>0</v>
      </c>
      <c r="AL180" s="115" t="b">
        <f t="shared" ca="1" si="144"/>
        <v>0</v>
      </c>
      <c r="AM180" s="115">
        <f t="shared" ca="1" si="145"/>
        <v>5</v>
      </c>
      <c r="AN180" s="47">
        <f ca="1">IF(AK180,('模拟-单技能数据'!$D$21+G180*'模拟-单技能数据'!$F$21)*(1+J180)*(1+'模拟-单技能数据'!$J$21)*(1+U180),0)</f>
        <v>0</v>
      </c>
      <c r="AO180" s="61">
        <f ca="1">IF(AN180&gt;0,M180-'模拟-单技能数据'!$K$10,AO179)</f>
        <v>0.42185145527300216</v>
      </c>
      <c r="AP180" s="61">
        <f ca="1">IF(AN180&gt;0,I180-'模拟-单技能数据'!$L$10,AP179)</f>
        <v>2.162482885499879</v>
      </c>
      <c r="AQ180" s="63">
        <f t="shared" ca="1" si="159"/>
        <v>0.13108971868745301</v>
      </c>
      <c r="AR180" s="64">
        <f ca="1">IF(AL180,IF(AQ180&lt;$F$10,0,IF(AQ180&lt;$F$10+$F$11,0.25,IF(AQ180&lt;$F$10+$F$11+AO180,AP180,1)))*IF(AN180&gt;0,AN180,IF(AN179&gt;0,AN179,IF(AN178&gt;0,AN178,IF(AN177&gt;0,AN177,IF(AN176&gt;0,AN176,IF(AN175&gt;0,AN175,IF(AN174&gt;0,AN174,IF(AN173&gt;0,AN173,IF(AN172&gt;0,AN172,IF(AN170&gt;0,AN170,IF(AN169&gt;0,AN169,IF(AN168&gt;0,AN168,0)))))))))))),0)*(1-$S180)*'模拟-单技能数据'!$I$21</f>
        <v>0</v>
      </c>
      <c r="AS180" s="61">
        <f ca="1">IF(OR(C180="净世破魔击·日",C180="净世破魔击·月"),M180-'模拟-单技能数据'!$K$10,0)</f>
        <v>0.42185145527300216</v>
      </c>
      <c r="AT180" s="61">
        <f ca="1">IF(OR(C180="净世破魔击·日",C180="净世破魔击·月"),I180-'模拟-单技能数据'!$L$10,0)</f>
        <v>2.162482885499879</v>
      </c>
      <c r="AU180" s="62">
        <f t="shared" ca="1" si="160"/>
        <v>0.72798179739201807</v>
      </c>
      <c r="AV180" s="64">
        <f ca="1">IF(AS180&gt;0,('模拟-单技能数据'!$D$22+G180*'模拟-单技能数据'!$F$22)*(1+J180)*(1-S180)*IF(AU180&lt;$F$10,0,IF(AU180&lt;$F$10+$F$11,0.25,IF(AU180&lt;$F$10+$F$11+AS180,AT180,1)))*(1+U180),0)*'模拟-单技能数据'!$I$22</f>
        <v>7956.2107573714466</v>
      </c>
      <c r="AW180" s="108">
        <f t="shared" ca="1" si="161"/>
        <v>0</v>
      </c>
      <c r="AX180" s="108" t="b">
        <f ca="1">AND(模拟模式!$P$10="有",AW179=0,RAND()&lt;IF(C180="净世破魔击·月",0.1*8/3,IF(C180="净世破魔击·日",0.1*4/3,0.1*2/3)))</f>
        <v>0</v>
      </c>
      <c r="AY180" s="47">
        <f ca="1">IF(AX180,(18+G180*0.722)*(1+J180)*(1-S180)*(1+$I$4)*IF(P180="会",'模拟-全程加成'!$J$3+'模拟-全程加成'!$J$4+'模拟-全程加成'!$J$5+('模拟-全程加成'!$I$4+'模拟-全程加成'!$I$5)/系数!$B$4+BG180*10%,IF(P180="命",1,IF(P180="识",0.25,0))),0)</f>
        <v>0</v>
      </c>
      <c r="AZ180" s="108">
        <f t="shared" si="162"/>
        <v>0.6275000000000065</v>
      </c>
      <c r="BA180" s="108" t="b">
        <f>AND(模拟模式!$Q$10="有",AZ179=0)</f>
        <v>0</v>
      </c>
      <c r="BB180" s="140">
        <f>IF(BA180,(0+G180*0.287)*(1+J180)*(1-S180)*(1+$I$4)*IF(P180="会",'模拟-全程加成'!$J$3+'模拟-全程加成'!$J$4+'模拟-全程加成'!$J$5+('模拟-全程加成'!$I$4+'模拟-全程加成'!$I$5)/系数!$B$4+BG180*10%,IF(P180="命",1,IF(P180="识",0.25,0))),0)</f>
        <v>0</v>
      </c>
      <c r="BC180" s="115" t="b">
        <f ca="1">AND(模拟模式!$R$7="伏明众生",E180=60,F180=20,DA180&lt;5,CZ179&lt;$F$4)</f>
        <v>0</v>
      </c>
      <c r="BD180" s="115">
        <f t="shared" ca="1" si="124"/>
        <v>0</v>
      </c>
      <c r="BE180" s="115" t="b">
        <f t="shared" ca="1" si="125"/>
        <v>0</v>
      </c>
      <c r="BF180" s="47">
        <f ca="1">IF(BC180,4*('模拟-单技能数据'!$D$24+G180*'模拟-单技能数据'!$F$24)*(1+J180)*(1+'模拟-单技能数据'!$J$24)*(1-S180)*(1+$I$3)*(('模拟-全程加成'!$J$3+'模拟-全程加成'!$J$4+'模拟-全程加成'!$J$5+('模拟-全程加成'!$I$4+'模拟-全程加成'!$I$5)/系数!$B$4+BG180*10%)*('模拟-全程加成'!$J$3+'模拟-全程加成'!$J$4+'模拟-全程加成'!$J$5+('模拟-全程加成'!$I$4+'模拟-全程加成'!$I$5)/系数!$B$4+BG180*10%)+(1-('模拟-全程加成'!$J$3+'模拟-全程加成'!$J$4+'模拟-全程加成'!$J$5+('模拟-全程加成'!$I$4+'模拟-全程加成'!$I$5)/系数!$B$4+BG180*10%)-$F$10-$F$11)+F166*0.25),0)*'模拟-单技能数据'!$I$24</f>
        <v>0</v>
      </c>
      <c r="BG180" s="115" t="b">
        <f ca="1">OR(AND(OR(C180="烈日斩",C180="银月斩"),模拟模式!$I$7="净身明礼"),AND(C180="净世破魔击·日",模拟模式!$J$7="洞若观火"),AND(C181="净世破魔击·月",模拟模式!$J$7="洞若观火"),AB180=1)</f>
        <v>1</v>
      </c>
      <c r="BH180" s="115" t="b">
        <f t="shared" ca="1" si="163"/>
        <v>1</v>
      </c>
      <c r="BI180" s="115">
        <f t="shared" ca="1" si="126"/>
        <v>6</v>
      </c>
      <c r="BJ180" s="115" t="b">
        <f t="shared" ca="1" si="137"/>
        <v>1</v>
      </c>
      <c r="BK180" s="115" t="b">
        <f ca="1">AND(C180="驱夜断愁",模拟模式!$P$7="天地诛戮")</f>
        <v>0</v>
      </c>
      <c r="BL180" s="57">
        <f t="shared" ca="1" si="127"/>
        <v>10.775000000000006</v>
      </c>
      <c r="BM180" s="115" t="b">
        <f t="shared" ca="1" si="138"/>
        <v>1</v>
      </c>
      <c r="BN180" s="115" t="b">
        <f ca="1">AND(OR(C180="赤日轮1",C180="赤日轮2",C180="赤日轮3",C180="幽月轮1",C180="幽月轮2",C180="幽月轮3"),AB180=1,模拟模式!$L$7="明光恒照")</f>
        <v>0</v>
      </c>
      <c r="BO180" s="117">
        <f t="shared" ca="1" si="128"/>
        <v>25.387500000000003</v>
      </c>
      <c r="BP180" s="115">
        <f t="shared" ca="1" si="164"/>
        <v>6</v>
      </c>
      <c r="BQ180" s="115" t="b">
        <f>模拟模式!$K$10="2600·水"</f>
        <v>0</v>
      </c>
      <c r="BR180" s="117">
        <f t="shared" si="165"/>
        <v>0</v>
      </c>
      <c r="BS180" s="115">
        <f t="shared" si="166"/>
        <v>0</v>
      </c>
      <c r="BT180" s="115">
        <f t="shared" ca="1" si="167"/>
        <v>0</v>
      </c>
      <c r="BU180" s="115" t="b">
        <f ca="1">AND(模拟模式!$K$10="2300·雷",BT179=0,RAND()&lt;IF(C180="净世破魔击·月",5*0.05*2/3,IF(C180="净世破魔击·日",3*0.05*2/3,0.05*2*2/3)))</f>
        <v>0</v>
      </c>
      <c r="BV180" s="115">
        <f t="shared" ca="1" si="168"/>
        <v>0</v>
      </c>
      <c r="BW180" s="115">
        <f t="shared" ca="1" si="169"/>
        <v>44.392499999999288</v>
      </c>
      <c r="BX180" s="164" t="b">
        <f t="shared" ca="1" si="170"/>
        <v>0</v>
      </c>
      <c r="BY180" s="115">
        <f t="shared" ca="1" si="171"/>
        <v>0</v>
      </c>
      <c r="BZ180" s="115">
        <f>IF(OR(模拟模式!$P$16="10人团",模拟模式!$P$16="25人团"),IF(B180/30&gt;CA179,1,0),0)</f>
        <v>0</v>
      </c>
      <c r="CA180" s="115">
        <f t="shared" si="147"/>
        <v>0</v>
      </c>
      <c r="CB180" s="115">
        <f ca="1">IF(BZ180=1,IF(模拟模式!$P$16="10人团",15,0)+IF(模拟模式!$P$16="25人团",IF(RAND()&lt;0.6,15,0)),MAX(0,CB179-$F$4))</f>
        <v>0</v>
      </c>
      <c r="CC180" s="115" t="b">
        <f t="shared" ca="1" si="139"/>
        <v>0</v>
      </c>
      <c r="CD180" s="115">
        <f>IF(模拟模式!$Q$16="1个",IF(B180/40&gt;CE179,1,0),0)</f>
        <v>0</v>
      </c>
      <c r="CE180" s="115">
        <f t="shared" si="140"/>
        <v>0</v>
      </c>
      <c r="CF180" s="115">
        <f>IF(OR(CD180=1,模拟模式!$Q$16="2个"),20,MAX(0,CF179-$F$4))</f>
        <v>0</v>
      </c>
      <c r="CG180" s="115" t="b">
        <f t="shared" si="141"/>
        <v>0</v>
      </c>
      <c r="CH180" s="115">
        <f t="shared" ca="1" si="172"/>
        <v>23.542500000000004</v>
      </c>
      <c r="CI180" s="115" t="b">
        <f t="shared" ca="1" si="173"/>
        <v>0</v>
      </c>
      <c r="CJ180" s="119">
        <f t="shared" ca="1" si="174"/>
        <v>0.05</v>
      </c>
      <c r="CK180" s="115">
        <f t="shared" ca="1" si="175"/>
        <v>1.5424999999999991</v>
      </c>
      <c r="CL180" s="115" t="b">
        <f ca="1">AND(模拟模式!$S$7="驱夷逐法",OR(AND(C180="净世破魔击·月",E179&gt;59),AND(C180="净世破魔击·日",F179&gt;59)))</f>
        <v>0</v>
      </c>
      <c r="CM180" s="115" t="b">
        <f ca="1">OR(CL180,AND(C180="净世破魔击·日",CL179,RAND()&lt;模拟模式!$U$23))</f>
        <v>0</v>
      </c>
      <c r="CN180" s="115" t="b">
        <f ca="1">IF(模拟模式!$M$7="辉耀红尘",AND(C180="净世破魔击·月",CL180,CV180=0,E179&lt;80),AND(C180="净世破魔击·月",CL180,E179&lt;100))</f>
        <v>0</v>
      </c>
      <c r="CO180" s="115" t="b">
        <f t="shared" ca="1" si="148"/>
        <v>0</v>
      </c>
      <c r="CP180" s="115" t="b">
        <f ca="1">AND(模拟模式!$O$7="用晦而明",OR(C180="净世破魔击·日",C180="净世破魔击·月",C180="驱夜断愁"),AB180)</f>
        <v>1</v>
      </c>
      <c r="CQ180" s="115" t="b">
        <f ca="1">OR(CP180,AND(CP179,RAND()&lt;模拟模式!$U$23))</f>
        <v>1</v>
      </c>
      <c r="CR180" s="115" t="b">
        <f ca="1">AND(模拟模式!$S$7="日月齐光",OR(C180="幽月轮1",C180="幽月轮2",C180="幽月轮3",CR179),NOT(OR(C180="赤日轮1",C180="赤日轮2",C180="赤日轮3")))</f>
        <v>0</v>
      </c>
      <c r="CS180" s="115" t="b">
        <f ca="1">AND(模拟模式!$S$7="日月齐光",OR(C180="赤日轮1",C180="赤日轮2",C180="赤日轮3",CS179),NOT(OR(C180="幽月轮1",C180="幽月轮2",C180="幽月轮3")))</f>
        <v>0</v>
      </c>
      <c r="CT180" s="115">
        <f t="shared" ca="1" si="176"/>
        <v>26.310000000000002</v>
      </c>
      <c r="CU180" s="115" t="b">
        <f ca="1">AND(模拟模式!$K$10="阴阳往极",CT179=0,RAND()&lt;IF(C180="净世破魔击·月",0.0275*7/3,IF(C180="净世破魔击·日",0.0275*3/3,0.0275*2/3)))</f>
        <v>0</v>
      </c>
      <c r="CV180" s="115">
        <f t="shared" ca="1" si="177"/>
        <v>0.38750000000000007</v>
      </c>
      <c r="CW180" s="115">
        <f t="shared" ca="1" si="149"/>
        <v>0</v>
      </c>
      <c r="CX180" s="115">
        <f t="shared" ca="1" si="150"/>
        <v>2.3099999999999996</v>
      </c>
      <c r="CY180" s="115">
        <f ca="1">MAX(IF($C180="驱夜断愁",IF(模拟模式!$R$7="万念俱寂",6,45),CY179-$F$4),0)</f>
        <v>0</v>
      </c>
      <c r="CZ180" s="115">
        <f t="shared" ca="1" si="151"/>
        <v>0</v>
      </c>
      <c r="DA180" s="115">
        <f ca="1">IF(模拟模式!$N$7="日月同辉",IF(DB179=2,0,MIN(6,IF(AND(OR(C180="赤日轮1",C180="赤日轮2",C180="赤日轮3",C180="幽月轮1",C180="幽月轮2",C180="幽月轮3"),AB180=1),DA179+1,DA179))),0)</f>
        <v>2</v>
      </c>
      <c r="DB180" s="115">
        <f t="shared" ca="1" si="152"/>
        <v>0</v>
      </c>
      <c r="DC180" s="115"/>
      <c r="DD180" s="115"/>
      <c r="DE180" s="115"/>
      <c r="DF180" s="115"/>
      <c r="DG180" s="115"/>
      <c r="DH180" s="115"/>
      <c r="DI180" s="115"/>
      <c r="DJ180" s="115"/>
      <c r="DK180" s="115"/>
      <c r="DL180" s="115"/>
      <c r="DM180" s="115"/>
    </row>
    <row r="181" spans="2:117" x14ac:dyDescent="0.2">
      <c r="B181" s="117">
        <f t="shared" si="153"/>
        <v>142.06500000000014</v>
      </c>
      <c r="C181" s="167" t="str">
        <f t="shared" ca="1" si="146"/>
        <v>净世破魔击·日</v>
      </c>
      <c r="D181" s="115">
        <f ca="1">IF(C181="赤日轮1",1,IF(C181="赤日轮2",2,IF(C181="赤日轮3",3,IF(C181="幽月轮1",4,IF(C181="幽月轮2",5,IF(C181="幽月轮3",6,IF(C181="烈日斩",7,IF(C181="银月斩",8,IF(C181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181="净世破魔击·月",17,IF(C181="驱夜断愁",18,0)))))))))))</f>
        <v>9</v>
      </c>
      <c r="E181" s="115">
        <f ca="1">IF(AND(CU181,OR(C181="幽月轮1",C181="幽月轮2",C181="幽月轮3",C181="银月斩",C181="驱夜断愁",C181="净世破魔击·月")),100,MIN(IF(OR(CN181,BE181),0,IF(OR($C181="赤日轮1",$C181="赤日轮2",$C181="赤日轮3"),E180+20+IF(模拟模式!$I$7="日月凌天",4,0)+IF(CR180,20,0),IF($C181="烈日斩",E180+40,IF($C181="驱夜断愁",IF(模拟模式!$R$7="万念俱寂",E180+20,E180+60),IF($C181="净世破魔击·月",IF(OR(DB180&gt;0,CV180&gt;0),100,IF(模拟模式!$M$7="辉耀红尘",E180+20,E180)),IF($C181="净世破魔击·日",E180-100,E180)))))),100))</f>
        <v>0</v>
      </c>
      <c r="F181" s="115">
        <f ca="1">IF(AND(CU181,OR(C181="赤日轮1",C181="赤日轮2",C181="赤日轮3",C181="烈日斩",C181="净世破魔击·日")),100,MIN(IF(CO181,0,IF(OR($C181="幽月轮1",$C181="幽月轮2",$C181="幽月轮3"),F180+20+IF(模拟模式!$I$7="日月凌天",4,0)+IF(CS180,20,0),IF($C181="银月斩",F180+40+IF(模拟模式!$X$12=1,5,0),IF($C181="驱夜断愁",IF(模拟模式!$R$7="万念俱寂",F180+20,F180+60),IF($C181="净世破魔击·月",IF(模拟模式!$M$7="辉耀红尘",F180-80,F180-100),IF(AND(C181="净世破魔击·日",OR(DB180&gt;0,CV180&gt;0)),100,F180)))))),100))</f>
        <v>100</v>
      </c>
      <c r="G181" s="117">
        <f ca="1">('模拟-全程加成'!$E$3+'模拟-全程加成'!$E$4+'模拟-全程加成'!$E$5+('模拟-全程加成'!$C$6-'模拟-全程加成'!$C$3)*系数!$B$9+BS181*23)*(1+'模拟-全程加成'!$F$4+'模拟-全程加成'!$F$5+BJ181*10%+BM181*20%+BP181*4%+CG181*30%)+$F$7*系数!$B$12</f>
        <v>21493.829400000002</v>
      </c>
      <c r="H181" s="45">
        <f ca="1">'模拟-全程加成'!$H$3+'模拟-全程加成'!$H$4+'模拟-全程加成'!$H$5+('模拟-全程加成'!$G$4+'模拟-全程加成'!$G$5+('模拟-全程加成'!$C$6-'模拟-全程加成'!$C$3)*系数!$B$13)/系数!$B$3+LOOKUP(D181,'模拟-单技能数据'!$A$2:$A$19,'模拟-单技能数据'!$K$2:$K$19)+BG181*10%+IF(BV181&gt;0,378,0)</f>
        <v>0.54185145527300216</v>
      </c>
      <c r="I181" s="45">
        <f ca="1">'模拟-全程加成'!$J$3+'模拟-全程加成'!$J$4+'模拟-全程加成'!$J$5+('模拟-全程加成'!$I$4+'模拟-全程加成'!$I$5)/系数!$B$4+LOOKUP(D181,'模拟-单技能数据'!$A$2:$A$19,'模拟-单技能数据'!$L$2:$L$19)+BG181*10%</f>
        <v>2.162482885499879</v>
      </c>
      <c r="J181" s="45">
        <f ca="1">(('模拟-全程加成'!$K$3+'模拟-全程加成'!$K$4+'模拟-全程加成'!$K$5+('模拟-全程加成'!$C$6-'模拟-全程加成'!$C$3)*系数!$B$10+IF(BV181&gt;0,882,0)+IF(BY181&gt;0,1831,0))*(1+'模拟-全程加成'!$L$4+'模拟-全程加成'!$L$5+CC181*20%))/系数!$B$5</f>
        <v>0.69723220422048726</v>
      </c>
      <c r="K181" s="119">
        <f ca="1">LOOKUP(D181,'模拟-单技能数据'!$A$2:$A$19,'模拟-单技能数据'!$J$2:$J$19)+IF(CM181,60%,0)+IF(DB180-DB181&gt;0,30%,0)+IF(OR(AND(OR(C181="赤日轮1",C181="赤日轮2",C181="赤日轮3"),CR181),AND(OR(C181="幽月轮1",C181="幽月轮2",C181="幽月轮3"),CS181)),35%,0)+CJ181</f>
        <v>0.25</v>
      </c>
      <c r="L181" s="119">
        <f ca="1">IF(AND(C181="烈日斩",模拟模式!$X$11=1),10%,0)+IF(AND(C181="驱夜断愁",AB181=1),30%,0)</f>
        <v>0</v>
      </c>
      <c r="M181" s="45">
        <f t="shared" ca="1" si="129"/>
        <v>0.54185145527300216</v>
      </c>
      <c r="N181" s="45">
        <f t="shared" ca="1" si="130"/>
        <v>0.40424854472699789</v>
      </c>
      <c r="O181" s="46">
        <f t="shared" ca="1" si="154"/>
        <v>6.9772348588856503E-2</v>
      </c>
      <c r="P181" s="46" t="str">
        <f t="shared" ca="1" si="155"/>
        <v>会</v>
      </c>
      <c r="Q181" s="45">
        <f t="shared" ca="1" si="156"/>
        <v>2.162482885499879</v>
      </c>
      <c r="R181" s="117">
        <f ca="1">模拟模式!$E$20*(1-IF(模拟模式!$J$19="有",0.15,0))*(1-IF(模拟模式!$K$19="有",0.3,0)-IF(CQ181,0.5,0))</f>
        <v>843.02999999999975</v>
      </c>
      <c r="S181" s="45">
        <f ca="1">R181/(R181+(185*模拟模式!$E$22-16800)*4.08224)</f>
        <v>8.389626085980037E-2</v>
      </c>
      <c r="T181" s="45" t="str">
        <f ca="1">LOOKUP(D181,'模拟-单技能数据'!$A$2:$A$19,'模拟-单技能数据'!$H$2:$H$19)</f>
        <v>阳</v>
      </c>
      <c r="U181" s="119">
        <f t="shared" ca="1" si="131"/>
        <v>0.2</v>
      </c>
      <c r="V181" s="47">
        <f ca="1">(1+L181)*(LOOKUP(D181,'模拟-单技能数据'!$A$2:$A$19,'模拟-单技能数据'!$D$2:$D$19)+G181*LOOKUP(D181,'模拟-单技能数据'!$A$2:$A$19,'模拟-单技能数据'!$F$2:$F$19))*(1+J181)*(1+K181)*(1-S181)*(1+U181)*Q181*LOOKUP(D181,'模拟-单技能数据'!$A$2:$A$19,'模拟-单技能数据'!$I$2:$I$20)</f>
        <v>142026.11696701168</v>
      </c>
      <c r="W181" s="47">
        <f ca="1">LOOKUP(D181,'模拟-单技能数据'!$A$2:$A$19,'模拟-单技能数据'!$G$2:$G$19)*$I$10</f>
        <v>723.0212870940959</v>
      </c>
      <c r="X181" s="47">
        <f t="shared" ca="1" si="157"/>
        <v>45281.344658539005</v>
      </c>
      <c r="Y181" s="47">
        <f t="shared" ca="1" si="132"/>
        <v>188030.4829126448</v>
      </c>
      <c r="Z181" s="49">
        <f t="shared" ca="1" si="133"/>
        <v>16191710.350601338</v>
      </c>
      <c r="AA181" s="97">
        <f t="shared" ca="1" si="134"/>
        <v>113973.95805160541</v>
      </c>
      <c r="AB181" s="115">
        <f ca="1">IF(OR(C181="赤日轮1",C181="赤日轮2",C181="赤日轮3"),IF(RAND()&lt;模拟模式!$Y$17,1,0),IF(OR(C181="幽月轮1",C181="幽月轮2",C181="幽月轮3"),IF(RAND()&lt;模拟模式!$Y$18,1,0),IF(C181="烈日斩",IF(RAND()&lt;模拟模式!$Y$19,1,0),IF(C181="银月斩",IF(RAND()&lt;模拟模式!$Y$20,1,0),IF(C181="驱夜断愁",IF(RAND()&lt;模拟模式!$Y$21,1,0),IF(C181="净世破魔击·日",IF(RAND()&lt;模拟模式!$Y$22,1,0),IF(C181="净世破魔击·月",IF(RAND()&lt;模拟模式!$Y$23,1,0),0)))))))</f>
        <v>1</v>
      </c>
      <c r="AC181" s="115" t="b">
        <f t="shared" ca="1" si="122"/>
        <v>0</v>
      </c>
      <c r="AD181" s="115" t="b">
        <f t="shared" ca="1" si="142"/>
        <v>1</v>
      </c>
      <c r="AE181" s="115">
        <f t="shared" ca="1" si="143"/>
        <v>3</v>
      </c>
      <c r="AF181" s="47">
        <f ca="1">IF(AC181,('模拟-单技能数据'!$D$20+G181*'模拟-单技能数据'!$F$20)*(1+J181)*(1+'模拟-单技能数据'!$J$20)*(1+U181),0)</f>
        <v>0</v>
      </c>
      <c r="AG181" s="61">
        <f t="shared" ca="1" si="135"/>
        <v>0.64185145527300214</v>
      </c>
      <c r="AH181" s="61">
        <f t="shared" ca="1" si="136"/>
        <v>2.2624828854998791</v>
      </c>
      <c r="AI181" s="62">
        <f t="shared" ca="1" si="158"/>
        <v>4.3745408942974517E-4</v>
      </c>
      <c r="AJ181" s="47">
        <f ca="1">IF(AD181,IF(AI181&lt;$F$10,0,IF(AI181&lt;$F$10+$F$11,0.25,IF(AI181&lt;$F$10+$F$11+AG181,AH181,1)))*IF(AF181&gt;0,AF181,IF(AF180&gt;0,AF180,IF(AF179&gt;0,AF179,IF(AF178&gt;0,AF178,IF(AF177&gt;0,AF177,IF(AF176&gt;0,AF176,IF(AF175&gt;0,AF175,IF(AF174&gt;0,AF174,IF(AF173&gt;0,AF173,IF(AF171&gt;0,AF171,IF(AF170&gt;0,AF170,IF(AF169&gt;0,AF169,0)))))))))))),0)*(1-$S181)*'模拟-单技能数据'!$I$20</f>
        <v>1062.6220839292735</v>
      </c>
      <c r="AK181" s="115" t="b">
        <f t="shared" ca="1" si="123"/>
        <v>1</v>
      </c>
      <c r="AL181" s="115" t="b">
        <f t="shared" ca="1" si="144"/>
        <v>1</v>
      </c>
      <c r="AM181" s="115">
        <f t="shared" ca="1" si="145"/>
        <v>5</v>
      </c>
      <c r="AN181" s="47">
        <f ca="1">IF(AK181,('模拟-单技能数据'!$D$21+G181*'模拟-单技能数据'!$F$21)*(1+J181)*(1+'模拟-单技能数据'!$J$21)*(1+U181),0)</f>
        <v>12670.936004857545</v>
      </c>
      <c r="AO181" s="61">
        <f ca="1">IF(AN181&gt;0,M181-'模拟-单技能数据'!$K$10,AO180)</f>
        <v>0.42185145527300216</v>
      </c>
      <c r="AP181" s="61">
        <f ca="1">IF(AN181&gt;0,I181-'模拟-单技能数据'!$L$10,AP180)</f>
        <v>2.162482885499879</v>
      </c>
      <c r="AQ181" s="63">
        <f t="shared" ca="1" si="159"/>
        <v>0.32523746303376411</v>
      </c>
      <c r="AR181" s="64">
        <f ca="1">IF(AL181,IF(AQ181&lt;$F$10,0,IF(AQ181&lt;$F$10+$F$11,0.25,IF(AQ181&lt;$F$10+$F$11+AO181,AP181,1)))*IF(AN181&gt;0,AN181,IF(AN180&gt;0,AN180,IF(AN179&gt;0,AN179,IF(AN178&gt;0,AN178,IF(AN177&gt;0,AN177,IF(AN176&gt;0,AN176,IF(AN175&gt;0,AN175,IF(AN174&gt;0,AN174,IF(AN173&gt;0,AN173,IF(AN171&gt;0,AN171,IF(AN170&gt;0,AN170,IF(AN169&gt;0,AN169,0)))))))))))),0)*(1-$S181)*'模拟-单技能数据'!$I$21</f>
        <v>25101.867467669974</v>
      </c>
      <c r="AS181" s="61">
        <f ca="1">IF(OR(C181="净世破魔击·日",C181="净世破魔击·月"),M181-'模拟-单技能数据'!$K$10,0)</f>
        <v>0.42185145527300216</v>
      </c>
      <c r="AT181" s="61">
        <f ca="1">IF(OR(C181="净世破魔击·日",C181="净世破魔击·月"),I181-'模拟-单技能数据'!$L$10,0)</f>
        <v>2.162482885499879</v>
      </c>
      <c r="AU181" s="62">
        <f t="shared" ca="1" si="160"/>
        <v>0.39781349089877771</v>
      </c>
      <c r="AV181" s="64">
        <f ca="1">IF(AS181&gt;0,('模拟-单技能数据'!$D$22+G181*'模拟-单技能数据'!$F$22)*(1+J181)*(1-S181)*IF(AU181&lt;$F$10,0,IF(AU181&lt;$F$10+$F$11,0.25,IF(AU181&lt;$F$10+$F$11+AS181,AT181,1)))*(1+U181),0)*'模拟-单技能数据'!$I$22</f>
        <v>19116.855106939758</v>
      </c>
      <c r="AW181" s="108">
        <f t="shared" ca="1" si="161"/>
        <v>0</v>
      </c>
      <c r="AX181" s="108" t="b">
        <f ca="1">AND(模拟模式!$P$10="有",AW180=0,RAND()&lt;IF(C181="净世破魔击·月",0.1*8/3,IF(C181="净世破魔击·日",0.1*4/3,0.1*2/3)))</f>
        <v>0</v>
      </c>
      <c r="AY181" s="47">
        <f ca="1">IF(AX181,(18+G181*0.722)*(1+J181)*(1-S181)*(1+$I$4)*IF(P181="会",'模拟-全程加成'!$J$3+'模拟-全程加成'!$J$4+'模拟-全程加成'!$J$5+('模拟-全程加成'!$I$4+'模拟-全程加成'!$I$5)/系数!$B$4+BG181*10%,IF(P181="命",1,IF(P181="识",0.25,0))),0)</f>
        <v>0</v>
      </c>
      <c r="AZ181" s="108">
        <f t="shared" si="162"/>
        <v>0</v>
      </c>
      <c r="BA181" s="108" t="b">
        <f>AND(模拟模式!$Q$10="有",AZ180=0)</f>
        <v>0</v>
      </c>
      <c r="BB181" s="140">
        <f>IF(BA181,(0+G181*0.287)*(1+J181)*(1-S181)*(1+$I$4)*IF(P181="会",'模拟-全程加成'!$J$3+'模拟-全程加成'!$J$4+'模拟-全程加成'!$J$5+('模拟-全程加成'!$I$4+'模拟-全程加成'!$I$5)/系数!$B$4+BG181*10%,IF(P181="命",1,IF(P181="识",0.25,0))),0)</f>
        <v>0</v>
      </c>
      <c r="BC181" s="115" t="b">
        <f ca="1">AND(模拟模式!$R$7="伏明众生",E181=60,F181=20,DA181&lt;5,CZ180&lt;$F$4)</f>
        <v>0</v>
      </c>
      <c r="BD181" s="115">
        <f t="shared" ca="1" si="124"/>
        <v>0</v>
      </c>
      <c r="BE181" s="115" t="b">
        <f t="shared" ca="1" si="125"/>
        <v>0</v>
      </c>
      <c r="BF181" s="47">
        <f ca="1">IF(BC181,4*('模拟-单技能数据'!$D$24+G181*'模拟-单技能数据'!$F$24)*(1+J181)*(1+'模拟-单技能数据'!$J$24)*(1-S181)*(1+$I$3)*(('模拟-全程加成'!$J$3+'模拟-全程加成'!$J$4+'模拟-全程加成'!$J$5+('模拟-全程加成'!$I$4+'模拟-全程加成'!$I$5)/系数!$B$4+BG181*10%)*('模拟-全程加成'!$J$3+'模拟-全程加成'!$J$4+'模拟-全程加成'!$J$5+('模拟-全程加成'!$I$4+'模拟-全程加成'!$I$5)/系数!$B$4+BG181*10%)+(1-('模拟-全程加成'!$J$3+'模拟-全程加成'!$J$4+'模拟-全程加成'!$J$5+('模拟-全程加成'!$I$4+'模拟-全程加成'!$I$5)/系数!$B$4+BG181*10%)-$F$10-$F$11)+F167*0.25),0)*'模拟-单技能数据'!$I$24</f>
        <v>0</v>
      </c>
      <c r="BG181" s="115" t="b">
        <f ca="1">OR(AND(OR(C181="烈日斩",C181="银月斩"),模拟模式!$I$7="净身明礼"),AND(C181="净世破魔击·日",模拟模式!$J$7="洞若观火"),AND(C182="净世破魔击·月",模拟模式!$J$7="洞若观火"),AB181=1)</f>
        <v>1</v>
      </c>
      <c r="BH181" s="115" t="b">
        <f t="shared" ca="1" si="163"/>
        <v>0</v>
      </c>
      <c r="BI181" s="115">
        <f t="shared" ca="1" si="126"/>
        <v>5.0774999999999997</v>
      </c>
      <c r="BJ181" s="115" t="b">
        <f t="shared" ca="1" si="137"/>
        <v>1</v>
      </c>
      <c r="BK181" s="115" t="b">
        <f ca="1">AND(C181="驱夜断愁",模拟模式!$P$7="天地诛戮")</f>
        <v>0</v>
      </c>
      <c r="BL181" s="57">
        <f t="shared" ca="1" si="127"/>
        <v>9.8525000000000063</v>
      </c>
      <c r="BM181" s="115" t="b">
        <f t="shared" ca="1" si="138"/>
        <v>1</v>
      </c>
      <c r="BN181" s="115" t="b">
        <f ca="1">AND(OR(C181="赤日轮1",C181="赤日轮2",C181="赤日轮3",C181="幽月轮1",C181="幽月轮2",C181="幽月轮3"),AB181=1,模拟模式!$L$7="明光恒照")</f>
        <v>0</v>
      </c>
      <c r="BO181" s="117">
        <f t="shared" ca="1" si="128"/>
        <v>24.465000000000003</v>
      </c>
      <c r="BP181" s="115">
        <f t="shared" ca="1" si="164"/>
        <v>6</v>
      </c>
      <c r="BQ181" s="115" t="b">
        <f>模拟模式!$K$10="2600·水"</f>
        <v>0</v>
      </c>
      <c r="BR181" s="117">
        <f t="shared" si="165"/>
        <v>0</v>
      </c>
      <c r="BS181" s="115">
        <f t="shared" si="166"/>
        <v>0</v>
      </c>
      <c r="BT181" s="115">
        <f t="shared" ca="1" si="167"/>
        <v>0</v>
      </c>
      <c r="BU181" s="115" t="b">
        <f ca="1">AND(模拟模式!$K$10="2300·雷",BT180=0,RAND()&lt;IF(C181="净世破魔击·月",5*0.05*2/3,IF(C181="净世破魔击·日",3*0.05*2/3,0.05*2*2/3)))</f>
        <v>0</v>
      </c>
      <c r="BV181" s="115">
        <f t="shared" ca="1" si="168"/>
        <v>0</v>
      </c>
      <c r="BW181" s="115">
        <f t="shared" ca="1" si="169"/>
        <v>43.469999999999288</v>
      </c>
      <c r="BX181" s="164" t="b">
        <f t="shared" ca="1" si="170"/>
        <v>0</v>
      </c>
      <c r="BY181" s="115">
        <f t="shared" ca="1" si="171"/>
        <v>0</v>
      </c>
      <c r="BZ181" s="115">
        <f>IF(OR(模拟模式!$P$16="10人团",模拟模式!$P$16="25人团"),IF(B181/30&gt;CA180,1,0),0)</f>
        <v>0</v>
      </c>
      <c r="CA181" s="115">
        <f t="shared" si="147"/>
        <v>0</v>
      </c>
      <c r="CB181" s="115">
        <f ca="1">IF(BZ181=1,IF(模拟模式!$P$16="10人团",15,0)+IF(模拟模式!$P$16="25人团",IF(RAND()&lt;0.6,15,0)),MAX(0,CB180-$F$4))</f>
        <v>0</v>
      </c>
      <c r="CC181" s="115" t="b">
        <f t="shared" ca="1" si="139"/>
        <v>0</v>
      </c>
      <c r="CD181" s="115">
        <f>IF(模拟模式!$Q$16="1个",IF(B181/40&gt;CE180,1,0),0)</f>
        <v>0</v>
      </c>
      <c r="CE181" s="115">
        <f t="shared" si="140"/>
        <v>0</v>
      </c>
      <c r="CF181" s="115">
        <f>IF(OR(CD181=1,模拟模式!$Q$16="2个"),20,MAX(0,CF180-$F$4))</f>
        <v>0</v>
      </c>
      <c r="CG181" s="115" t="b">
        <f t="shared" si="141"/>
        <v>0</v>
      </c>
      <c r="CH181" s="115">
        <f t="shared" ca="1" si="172"/>
        <v>22.620000000000005</v>
      </c>
      <c r="CI181" s="115" t="b">
        <f t="shared" ca="1" si="173"/>
        <v>0</v>
      </c>
      <c r="CJ181" s="119">
        <f t="shared" ca="1" si="174"/>
        <v>0.05</v>
      </c>
      <c r="CK181" s="115">
        <f t="shared" ca="1" si="175"/>
        <v>0.61999999999999911</v>
      </c>
      <c r="CL181" s="115" t="b">
        <f ca="1">AND(模拟模式!$S$7="驱夷逐法",OR(AND(C181="净世破魔击·月",E180&gt;59),AND(C181="净世破魔击·日",F180&gt;59)))</f>
        <v>0</v>
      </c>
      <c r="CM181" s="115" t="b">
        <f ca="1">OR(CL181,AND(C181="净世破魔击·日",CL180,RAND()&lt;模拟模式!$U$23))</f>
        <v>0</v>
      </c>
      <c r="CN181" s="115" t="b">
        <f ca="1">IF(模拟模式!$M$7="辉耀红尘",AND(C181="净世破魔击·月",CL181,CV181=0,E180&lt;80),AND(C181="净世破魔击·月",CL181,E180&lt;100))</f>
        <v>0</v>
      </c>
      <c r="CO181" s="115" t="b">
        <f t="shared" ca="1" si="148"/>
        <v>0</v>
      </c>
      <c r="CP181" s="115" t="b">
        <f ca="1">AND(模拟模式!$O$7="用晦而明",OR(C181="净世破魔击·日",C181="净世破魔击·月",C181="驱夜断愁"),AB181)</f>
        <v>1</v>
      </c>
      <c r="CQ181" s="115" t="b">
        <f ca="1">OR(CP181,AND(CP180,RAND()&lt;模拟模式!$U$23))</f>
        <v>1</v>
      </c>
      <c r="CR181" s="115" t="b">
        <f ca="1">AND(模拟模式!$S$7="日月齐光",OR(C181="幽月轮1",C181="幽月轮2",C181="幽月轮3",CR180),NOT(OR(C181="赤日轮1",C181="赤日轮2",C181="赤日轮3")))</f>
        <v>0</v>
      </c>
      <c r="CS181" s="115" t="b">
        <f ca="1">AND(模拟模式!$S$7="日月齐光",OR(C181="赤日轮1",C181="赤日轮2",C181="赤日轮3",CS180),NOT(OR(C181="幽月轮1",C181="幽月轮2",C181="幽月轮3")))</f>
        <v>0</v>
      </c>
      <c r="CT181" s="115">
        <f t="shared" ca="1" si="176"/>
        <v>25.387500000000003</v>
      </c>
      <c r="CU181" s="115" t="b">
        <f ca="1">AND(模拟模式!$K$10="阴阳往极",CT180=0,RAND()&lt;IF(C181="净世破魔击·月",0.0275*7/3,IF(C181="净世破魔击·日",0.0275*3/3,0.0275*2/3)))</f>
        <v>0</v>
      </c>
      <c r="CV181" s="115">
        <f t="shared" ca="1" si="177"/>
        <v>0</v>
      </c>
      <c r="CW181" s="115">
        <f t="shared" ca="1" si="149"/>
        <v>0</v>
      </c>
      <c r="CX181" s="115">
        <f t="shared" ca="1" si="150"/>
        <v>1.3874999999999997</v>
      </c>
      <c r="CY181" s="115">
        <f ca="1">MAX(IF($C181="驱夜断愁",IF(模拟模式!$R$7="万念俱寂",6,45),CY180-$F$4),0)</f>
        <v>0</v>
      </c>
      <c r="CZ181" s="115">
        <f t="shared" ca="1" si="151"/>
        <v>0</v>
      </c>
      <c r="DA181" s="115">
        <f ca="1">IF(模拟模式!$N$7="日月同辉",IF(DB180=2,0,MIN(6,IF(AND(OR(C181="赤日轮1",C181="赤日轮2",C181="赤日轮3",C181="幽月轮1",C181="幽月轮2",C181="幽月轮3"),AB181=1),DA180+1,DA180))),0)</f>
        <v>2</v>
      </c>
      <c r="DB181" s="115">
        <f t="shared" ca="1" si="152"/>
        <v>0</v>
      </c>
      <c r="DC181" s="115"/>
      <c r="DD181" s="115"/>
      <c r="DE181" s="115"/>
      <c r="DF181" s="115"/>
      <c r="DG181" s="115"/>
      <c r="DH181" s="115"/>
      <c r="DI181" s="115"/>
      <c r="DJ181" s="115"/>
      <c r="DK181" s="115"/>
      <c r="DL181" s="115"/>
      <c r="DM181" s="115"/>
    </row>
    <row r="182" spans="2:117" x14ac:dyDescent="0.2">
      <c r="B182" s="117">
        <f t="shared" si="153"/>
        <v>142.98750000000015</v>
      </c>
      <c r="C182" s="167" t="str">
        <f t="shared" ca="1" si="146"/>
        <v>净世破魔击·月</v>
      </c>
      <c r="D182" s="115">
        <f ca="1">IF(C182="赤日轮1",1,IF(C182="赤日轮2",2,IF(C182="赤日轮3",3,IF(C182="幽月轮1",4,IF(C182="幽月轮2",5,IF(C182="幽月轮3",6,IF(C182="烈日斩",7,IF(C182="银月斩",8,IF(C182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182="净世破魔击·月",17,IF(C182="驱夜断愁",18,0)))))))))))</f>
        <v>17</v>
      </c>
      <c r="E182" s="115">
        <f ca="1">IF(AND(CU182,OR(C182="幽月轮1",C182="幽月轮2",C182="幽月轮3",C182="银月斩",C182="驱夜断愁",C182="净世破魔击·月")),100,MIN(IF(OR(CN182,BE182),0,IF(OR($C182="赤日轮1",$C182="赤日轮2",$C182="赤日轮3"),E181+20+IF(模拟模式!$I$7="日月凌天",4,0)+IF(CR181,20,0),IF($C182="烈日斩",E181+40,IF($C182="驱夜断愁",IF(模拟模式!$R$7="万念俱寂",E181+20,E181+60),IF($C182="净世破魔击·月",IF(OR(DB181&gt;0,CV181&gt;0),100,IF(模拟模式!$M$7="辉耀红尘",E181+20,E181)),IF($C182="净世破魔击·日",E181-100,E181)))))),100))</f>
        <v>20</v>
      </c>
      <c r="F182" s="115">
        <f ca="1">IF(AND(CU182,OR(C182="赤日轮1",C182="赤日轮2",C182="赤日轮3",C182="烈日斩",C182="净世破魔击·日")),100,MIN(IF(CO182,0,IF(OR($C182="幽月轮1",$C182="幽月轮2",$C182="幽月轮3"),F181+20+IF(模拟模式!$I$7="日月凌天",4,0)+IF(CS181,20,0),IF($C182="银月斩",F181+40+IF(模拟模式!$X$12=1,5,0),IF($C182="驱夜断愁",IF(模拟模式!$R$7="万念俱寂",F181+20,F181+60),IF($C182="净世破魔击·月",IF(模拟模式!$M$7="辉耀红尘",F181-80,F181-100),IF(AND(C182="净世破魔击·日",OR(DB181&gt;0,CV181&gt;0)),100,F181)))))),100))</f>
        <v>20</v>
      </c>
      <c r="G182" s="117">
        <f ca="1">('模拟-全程加成'!$E$3+'模拟-全程加成'!$E$4+'模拟-全程加成'!$E$5+('模拟-全程加成'!$C$6-'模拟-全程加成'!$C$3)*系数!$B$9+BS182*23)*(1+'模拟-全程加成'!$F$4+'模拟-全程加成'!$F$5+BJ182*10%+BM182*20%+BP182*4%+CG182*30%)+$F$7*系数!$B$12</f>
        <v>21493.829400000002</v>
      </c>
      <c r="H182" s="45">
        <f ca="1">'模拟-全程加成'!$H$3+'模拟-全程加成'!$H$4+'模拟-全程加成'!$H$5+('模拟-全程加成'!$G$4+'模拟-全程加成'!$G$5+('模拟-全程加成'!$C$6-'模拟-全程加成'!$C$3)*系数!$B$13)/系数!$B$3+LOOKUP(D182,'模拟-单技能数据'!$A$2:$A$19,'模拟-单技能数据'!$K$2:$K$19)+BG182*10%+IF(BV182&gt;0,378,0)</f>
        <v>0.54185145527300216</v>
      </c>
      <c r="I182" s="45">
        <f ca="1">'模拟-全程加成'!$J$3+'模拟-全程加成'!$J$4+'模拟-全程加成'!$J$5+('模拟-全程加成'!$I$4+'模拟-全程加成'!$I$5)/系数!$B$4+LOOKUP(D182,'模拟-单技能数据'!$A$2:$A$19,'模拟-单技能数据'!$L$2:$L$19)+BG182*10%</f>
        <v>2.162482885499879</v>
      </c>
      <c r="J182" s="45">
        <f ca="1">(('模拟-全程加成'!$K$3+'模拟-全程加成'!$K$4+'模拟-全程加成'!$K$5+('模拟-全程加成'!$C$6-'模拟-全程加成'!$C$3)*系数!$B$10+IF(BV182&gt;0,882,0)+IF(BY182&gt;0,1831,0))*(1+'模拟-全程加成'!$L$4+'模拟-全程加成'!$L$5+CC182*20%))/系数!$B$5</f>
        <v>0.69723220422048726</v>
      </c>
      <c r="K182" s="119">
        <f ca="1">LOOKUP(D182,'模拟-单技能数据'!$A$2:$A$19,'模拟-单技能数据'!$J$2:$J$19)+IF(CM182,60%,0)+IF(DB181-DB182&gt;0,30%,0)+IF(OR(AND(OR(C182="赤日轮1",C182="赤日轮2",C182="赤日轮3"),CR182),AND(OR(C182="幽月轮1",C182="幽月轮2",C182="幽月轮3"),CS182)),35%,0)+CJ182</f>
        <v>0.2</v>
      </c>
      <c r="L182" s="119">
        <f ca="1">IF(AND(C182="烈日斩",模拟模式!$X$11=1),10%,0)+IF(AND(C182="驱夜断愁",AB182=1),30%,0)</f>
        <v>0</v>
      </c>
      <c r="M182" s="45">
        <f t="shared" ca="1" si="129"/>
        <v>0.54185145527300216</v>
      </c>
      <c r="N182" s="45">
        <f t="shared" ca="1" si="130"/>
        <v>0.40424854472699789</v>
      </c>
      <c r="O182" s="46">
        <f t="shared" ca="1" si="154"/>
        <v>0.45559657302592693</v>
      </c>
      <c r="P182" s="46" t="str">
        <f t="shared" ca="1" si="155"/>
        <v>会</v>
      </c>
      <c r="Q182" s="45">
        <f t="shared" ca="1" si="156"/>
        <v>2.162482885499879</v>
      </c>
      <c r="R182" s="117">
        <f ca="1">模拟模式!$E$20*(1-IF(模拟模式!$J$19="有",0.15,0))*(1-IF(模拟模式!$K$19="有",0.3,0)-IF(CQ182,0.5,0))</f>
        <v>843.02999999999975</v>
      </c>
      <c r="S182" s="45">
        <f ca="1">R182/(R182+(185*模拟模式!$E$22-16800)*4.08224)</f>
        <v>8.389626085980037E-2</v>
      </c>
      <c r="T182" s="45" t="str">
        <f ca="1">LOOKUP(D182,'模拟-单技能数据'!$A$2:$A$19,'模拟-单技能数据'!$H$2:$H$19)</f>
        <v>阴</v>
      </c>
      <c r="U182" s="119">
        <f t="shared" ca="1" si="131"/>
        <v>0.08</v>
      </c>
      <c r="V182" s="47">
        <f ca="1">(1+L182)*(LOOKUP(D182,'模拟-单技能数据'!$A$2:$A$19,'模拟-单技能数据'!$D$2:$D$19)+G182*LOOKUP(D182,'模拟-单技能数据'!$A$2:$A$19,'模拟-单技能数据'!$F$2:$F$19))*(1+J182)*(1+K182)*(1-S182)*(1+U182)*Q182*LOOKUP(D182,'模拟-单技能数据'!$A$2:$A$19,'模拟-单技能数据'!$I$2:$I$20)</f>
        <v>121694.14741267689</v>
      </c>
      <c r="W182" s="47">
        <f ca="1">LOOKUP(D182,'模拟-单技能数据'!$A$2:$A$19,'模拟-单技能数据'!$G$2:$G$19)*$I$10</f>
        <v>361.51064354704795</v>
      </c>
      <c r="X182" s="47">
        <f t="shared" ca="1" si="157"/>
        <v>30356.72808256518</v>
      </c>
      <c r="Y182" s="47">
        <f t="shared" ca="1" si="132"/>
        <v>152412.38613878912</v>
      </c>
      <c r="Z182" s="49">
        <f t="shared" ca="1" si="133"/>
        <v>16344122.736740127</v>
      </c>
      <c r="AA182" s="97">
        <f t="shared" ca="1" si="134"/>
        <v>114304.556249603</v>
      </c>
      <c r="AB182" s="115">
        <f ca="1">IF(OR(C182="赤日轮1",C182="赤日轮2",C182="赤日轮3"),IF(RAND()&lt;模拟模式!$Y$17,1,0),IF(OR(C182="幽月轮1",C182="幽月轮2",C182="幽月轮3"),IF(RAND()&lt;模拟模式!$Y$18,1,0),IF(C182="烈日斩",IF(RAND()&lt;模拟模式!$Y$19,1,0),IF(C182="银月斩",IF(RAND()&lt;模拟模式!$Y$20,1,0),IF(C182="驱夜断愁",IF(RAND()&lt;模拟模式!$Y$21,1,0),IF(C182="净世破魔击·日",IF(RAND()&lt;模拟模式!$Y$22,1,0),IF(C182="净世破魔击·月",IF(RAND()&lt;模拟模式!$Y$23,1,0),0)))))))</f>
        <v>1</v>
      </c>
      <c r="AC182" s="115" t="b">
        <f t="shared" ca="1" si="122"/>
        <v>0</v>
      </c>
      <c r="AD182" s="115" t="b">
        <f t="shared" ca="1" si="142"/>
        <v>0</v>
      </c>
      <c r="AE182" s="115">
        <f t="shared" ca="1" si="143"/>
        <v>3</v>
      </c>
      <c r="AF182" s="47">
        <f ca="1">IF(AC182,('模拟-单技能数据'!$D$20+G182*'模拟-单技能数据'!$F$20)*(1+J182)*(1+'模拟-单技能数据'!$J$20)*(1+U182),0)</f>
        <v>0</v>
      </c>
      <c r="AG182" s="61">
        <f t="shared" ca="1" si="135"/>
        <v>0.64185145527300214</v>
      </c>
      <c r="AH182" s="61">
        <f t="shared" ca="1" si="136"/>
        <v>2.2624828854998791</v>
      </c>
      <c r="AI182" s="62">
        <f t="shared" ca="1" si="158"/>
        <v>0.96609757174666511</v>
      </c>
      <c r="AJ182" s="47">
        <f ca="1">IF(AD182,IF(AI182&lt;$F$10,0,IF(AI182&lt;$F$10+$F$11,0.25,IF(AI182&lt;$F$10+$F$11+AG182,AH182,1)))*IF(AF182&gt;0,AF182,IF(AF181&gt;0,AF181,IF(AF180&gt;0,AF180,IF(AF179&gt;0,AF179,IF(AF178&gt;0,AF178,IF(AF177&gt;0,AF177,IF(AF176&gt;0,AF176,IF(AF175&gt;0,AF175,IF(AF174&gt;0,AF174,IF(AF172&gt;0,AF172,IF(AF171&gt;0,AF171,IF(AF170&gt;0,AF170,0)))))))))))),0)*(1-$S182)*'模拟-单技能数据'!$I$20</f>
        <v>0</v>
      </c>
      <c r="AK182" s="115" t="b">
        <f t="shared" ca="1" si="123"/>
        <v>0</v>
      </c>
      <c r="AL182" s="115" t="b">
        <f t="shared" ca="1" si="144"/>
        <v>0</v>
      </c>
      <c r="AM182" s="115">
        <f t="shared" ca="1" si="145"/>
        <v>5</v>
      </c>
      <c r="AN182" s="47">
        <f ca="1">IF(AK182,('模拟-单技能数据'!$D$21+G182*'模拟-单技能数据'!$F$21)*(1+J182)*(1+'模拟-单技能数据'!$J$21)*(1+U182),0)</f>
        <v>0</v>
      </c>
      <c r="AO182" s="61">
        <f ca="1">IF(AN182&gt;0,M182-'模拟-单技能数据'!$K$10,AO181)</f>
        <v>0.42185145527300216</v>
      </c>
      <c r="AP182" s="61">
        <f ca="1">IF(AN182&gt;0,I182-'模拟-单技能数据'!$L$10,AP181)</f>
        <v>2.162482885499879</v>
      </c>
      <c r="AQ182" s="63">
        <f t="shared" ca="1" si="159"/>
        <v>0.81929648875648686</v>
      </c>
      <c r="AR182" s="64">
        <f ca="1">IF(AL182,IF(AQ182&lt;$F$10,0,IF(AQ182&lt;$F$10+$F$11,0.25,IF(AQ182&lt;$F$10+$F$11+AO182,AP182,1)))*IF(AN182&gt;0,AN182,IF(AN181&gt;0,AN181,IF(AN180&gt;0,AN180,IF(AN179&gt;0,AN179,IF(AN178&gt;0,AN178,IF(AN177&gt;0,AN177,IF(AN176&gt;0,AN176,IF(AN175&gt;0,AN175,IF(AN174&gt;0,AN174,IF(AN172&gt;0,AN172,IF(AN171&gt;0,AN171,IF(AN170&gt;0,AN170,0)))))))))))),0)*(1-$S182)*'模拟-单技能数据'!$I$21</f>
        <v>0</v>
      </c>
      <c r="AS182" s="61">
        <f ca="1">IF(OR(C182="净世破魔击·日",C182="净世破魔击·月"),M182-'模拟-单技能数据'!$K$10,0)</f>
        <v>0.42185145527300216</v>
      </c>
      <c r="AT182" s="61">
        <f ca="1">IF(OR(C182="净世破魔击·日",C182="净世破魔击·月"),I182-'模拟-单技能数据'!$L$10,0)</f>
        <v>2.162482885499879</v>
      </c>
      <c r="AU182" s="62">
        <f t="shared" ca="1" si="160"/>
        <v>0.93819508370996718</v>
      </c>
      <c r="AV182" s="64">
        <f ca="1">IF(AS182&gt;0,('模拟-单技能数据'!$D$22+G182*'模拟-单技能数据'!$F$22)*(1+J182)*(1-S182)*IF(AU182&lt;$F$10,0,IF(AU182&lt;$F$10+$F$11,0.25,IF(AU182&lt;$F$10+$F$11+AS182,AT182,1)))*(1+U182),0)*'模拟-单技能数据'!$I$22</f>
        <v>7956.2107573714466</v>
      </c>
      <c r="AW182" s="108">
        <f t="shared" ca="1" si="161"/>
        <v>0</v>
      </c>
      <c r="AX182" s="108" t="b">
        <f ca="1">AND(模拟模式!$P$10="有",AW181=0,RAND()&lt;IF(C182="净世破魔击·月",0.1*8/3,IF(C182="净世破魔击·日",0.1*4/3,0.1*2/3)))</f>
        <v>0</v>
      </c>
      <c r="AY182" s="47">
        <f ca="1">IF(AX182,(18+G182*0.722)*(1+J182)*(1-S182)*(1+$I$4)*IF(P182="会",'模拟-全程加成'!$J$3+'模拟-全程加成'!$J$4+'模拟-全程加成'!$J$5+('模拟-全程加成'!$I$4+'模拟-全程加成'!$I$5)/系数!$B$4+BG182*10%,IF(P182="命",1,IF(P182="识",0.25,0))),0)</f>
        <v>0</v>
      </c>
      <c r="AZ182" s="108">
        <f t="shared" si="162"/>
        <v>19.077500000000001</v>
      </c>
      <c r="BA182" s="108" t="b">
        <f>AND(模拟模式!$Q$10="有",AZ181=0)</f>
        <v>1</v>
      </c>
      <c r="BB182" s="140">
        <f ca="1">IF(BA182,(0+G182*0.287)*(1+J182)*(1-S182)*(1+$I$4)*IF(P182="会",'模拟-全程加成'!$J$3+'模拟-全程加成'!$J$4+'模拟-全程加成'!$J$5+('模拟-全程加成'!$I$4+'模拟-全程加成'!$I$5)/系数!$B$4+BG182*10%,IF(P182="命",1,IF(P182="识",0.25,0))),0)</f>
        <v>22400.517325193734</v>
      </c>
      <c r="BC182" s="115" t="b">
        <f ca="1">AND(模拟模式!$R$7="伏明众生",E182=60,F182=20,DA182&lt;5,CZ181&lt;$F$4)</f>
        <v>0</v>
      </c>
      <c r="BD182" s="115">
        <f t="shared" ca="1" si="124"/>
        <v>0</v>
      </c>
      <c r="BE182" s="115" t="b">
        <f t="shared" ca="1" si="125"/>
        <v>0</v>
      </c>
      <c r="BF182" s="47">
        <f ca="1">IF(BC182,4*('模拟-单技能数据'!$D$24+G182*'模拟-单技能数据'!$F$24)*(1+J182)*(1+'模拟-单技能数据'!$J$24)*(1-S182)*(1+$I$3)*(('模拟-全程加成'!$J$3+'模拟-全程加成'!$J$4+'模拟-全程加成'!$J$5+('模拟-全程加成'!$I$4+'模拟-全程加成'!$I$5)/系数!$B$4+BG182*10%)*('模拟-全程加成'!$J$3+'模拟-全程加成'!$J$4+'模拟-全程加成'!$J$5+('模拟-全程加成'!$I$4+'模拟-全程加成'!$I$5)/系数!$B$4+BG182*10%)+(1-('模拟-全程加成'!$J$3+'模拟-全程加成'!$J$4+'模拟-全程加成'!$J$5+('模拟-全程加成'!$I$4+'模拟-全程加成'!$I$5)/系数!$B$4+BG182*10%)-$F$10-$F$11)+F168*0.25),0)*'模拟-单技能数据'!$I$24</f>
        <v>0</v>
      </c>
      <c r="BG182" s="115" t="b">
        <f ca="1">OR(AND(OR(C182="烈日斩",C182="银月斩"),模拟模式!$I$7="净身明礼"),AND(C182="净世破魔击·日",模拟模式!$J$7="洞若观火"),AND(C183="净世破魔击·月",模拟模式!$J$7="洞若观火"),AB182=1)</f>
        <v>1</v>
      </c>
      <c r="BH182" s="115" t="b">
        <f t="shared" ca="1" si="163"/>
        <v>0</v>
      </c>
      <c r="BI182" s="115">
        <f t="shared" ca="1" si="126"/>
        <v>4.1549999999999994</v>
      </c>
      <c r="BJ182" s="115" t="b">
        <f t="shared" ca="1" si="137"/>
        <v>1</v>
      </c>
      <c r="BK182" s="115" t="b">
        <f ca="1">AND(C182="驱夜断愁",模拟模式!$P$7="天地诛戮")</f>
        <v>0</v>
      </c>
      <c r="BL182" s="57">
        <f t="shared" ca="1" si="127"/>
        <v>8.9300000000000068</v>
      </c>
      <c r="BM182" s="115" t="b">
        <f t="shared" ca="1" si="138"/>
        <v>1</v>
      </c>
      <c r="BN182" s="115" t="b">
        <f ca="1">AND(OR(C182="赤日轮1",C182="赤日轮2",C182="赤日轮3",C182="幽月轮1",C182="幽月轮2",C182="幽月轮3"),AB182=1,模拟模式!$L$7="明光恒照")</f>
        <v>0</v>
      </c>
      <c r="BO182" s="117">
        <f t="shared" ca="1" si="128"/>
        <v>23.542500000000004</v>
      </c>
      <c r="BP182" s="115">
        <f t="shared" ca="1" si="164"/>
        <v>6</v>
      </c>
      <c r="BQ182" s="115" t="b">
        <f>模拟模式!$K$10="2600·水"</f>
        <v>0</v>
      </c>
      <c r="BR182" s="117">
        <f t="shared" si="165"/>
        <v>0</v>
      </c>
      <c r="BS182" s="115">
        <f t="shared" si="166"/>
        <v>0</v>
      </c>
      <c r="BT182" s="115">
        <f t="shared" ca="1" si="167"/>
        <v>0</v>
      </c>
      <c r="BU182" s="115" t="b">
        <f ca="1">AND(模拟模式!$K$10="2300·雷",BT181=0,RAND()&lt;IF(C182="净世破魔击·月",5*0.05*2/3,IF(C182="净世破魔击·日",3*0.05*2/3,0.05*2*2/3)))</f>
        <v>0</v>
      </c>
      <c r="BV182" s="115">
        <f t="shared" ca="1" si="168"/>
        <v>0</v>
      </c>
      <c r="BW182" s="115">
        <f t="shared" ca="1" si="169"/>
        <v>42.547499999999289</v>
      </c>
      <c r="BX182" s="164" t="b">
        <f t="shared" ca="1" si="170"/>
        <v>0</v>
      </c>
      <c r="BY182" s="115">
        <f t="shared" ca="1" si="171"/>
        <v>0</v>
      </c>
      <c r="BZ182" s="115">
        <f>IF(OR(模拟模式!$P$16="10人团",模拟模式!$P$16="25人团"),IF(B182/30&gt;CA181,1,0),0)</f>
        <v>0</v>
      </c>
      <c r="CA182" s="115">
        <f t="shared" si="147"/>
        <v>0</v>
      </c>
      <c r="CB182" s="115">
        <f ca="1">IF(BZ182=1,IF(模拟模式!$P$16="10人团",15,0)+IF(模拟模式!$P$16="25人团",IF(RAND()&lt;0.6,15,0)),MAX(0,CB181-$F$4))</f>
        <v>0</v>
      </c>
      <c r="CC182" s="115" t="b">
        <f t="shared" ca="1" si="139"/>
        <v>0</v>
      </c>
      <c r="CD182" s="115">
        <f>IF(模拟模式!$Q$16="1个",IF(B182/40&gt;CE181,1,0),0)</f>
        <v>0</v>
      </c>
      <c r="CE182" s="115">
        <f t="shared" si="140"/>
        <v>0</v>
      </c>
      <c r="CF182" s="115">
        <f>IF(OR(CD182=1,模拟模式!$Q$16="2个"),20,MAX(0,CF181-$F$4))</f>
        <v>0</v>
      </c>
      <c r="CG182" s="115" t="b">
        <f t="shared" si="141"/>
        <v>0</v>
      </c>
      <c r="CH182" s="115">
        <f t="shared" ca="1" si="172"/>
        <v>21.697500000000005</v>
      </c>
      <c r="CI182" s="115" t="b">
        <f t="shared" ca="1" si="173"/>
        <v>0</v>
      </c>
      <c r="CJ182" s="119">
        <f t="shared" ca="1" si="174"/>
        <v>0</v>
      </c>
      <c r="CK182" s="115">
        <f t="shared" ca="1" si="175"/>
        <v>0</v>
      </c>
      <c r="CL182" s="115" t="b">
        <f ca="1">AND(模拟模式!$S$7="驱夷逐法",OR(AND(C182="净世破魔击·月",E181&gt;59),AND(C182="净世破魔击·日",F181&gt;59)))</f>
        <v>0</v>
      </c>
      <c r="CM182" s="115" t="b">
        <f ca="1">OR(CL182,AND(C182="净世破魔击·日",CL181,RAND()&lt;模拟模式!$U$23))</f>
        <v>0</v>
      </c>
      <c r="CN182" s="115" t="b">
        <f ca="1">IF(模拟模式!$M$7="辉耀红尘",AND(C182="净世破魔击·月",CL182,CV182=0,E181&lt;80),AND(C182="净世破魔击·月",CL182,E181&lt;100))</f>
        <v>0</v>
      </c>
      <c r="CO182" s="115" t="b">
        <f t="shared" ca="1" si="148"/>
        <v>0</v>
      </c>
      <c r="CP182" s="115" t="b">
        <f ca="1">AND(模拟模式!$O$7="用晦而明",OR(C182="净世破魔击·日",C182="净世破魔击·月",C182="驱夜断愁"),AB182)</f>
        <v>1</v>
      </c>
      <c r="CQ182" s="115" t="b">
        <f ca="1">OR(CP182,AND(CP181,RAND()&lt;模拟模式!$U$23))</f>
        <v>1</v>
      </c>
      <c r="CR182" s="115" t="b">
        <f ca="1">AND(模拟模式!$S$7="日月齐光",OR(C182="幽月轮1",C182="幽月轮2",C182="幽月轮3",CR181),NOT(OR(C182="赤日轮1",C182="赤日轮2",C182="赤日轮3")))</f>
        <v>0</v>
      </c>
      <c r="CS182" s="115" t="b">
        <f ca="1">AND(模拟模式!$S$7="日月齐光",OR(C182="赤日轮1",C182="赤日轮2",C182="赤日轮3",CS181),NOT(OR(C182="幽月轮1",C182="幽月轮2",C182="幽月轮3")))</f>
        <v>0</v>
      </c>
      <c r="CT182" s="115">
        <f t="shared" ca="1" si="176"/>
        <v>24.465000000000003</v>
      </c>
      <c r="CU182" s="115" t="b">
        <f ca="1">AND(模拟模式!$K$10="阴阳往极",CT181=0,RAND()&lt;IF(C182="净世破魔击·月",0.0275*7/3,IF(C182="净世破魔击·日",0.0275*3/3,0.0275*2/3)))</f>
        <v>0</v>
      </c>
      <c r="CV182" s="115">
        <f t="shared" ca="1" si="177"/>
        <v>0</v>
      </c>
      <c r="CW182" s="115">
        <f t="shared" ca="1" si="149"/>
        <v>0</v>
      </c>
      <c r="CX182" s="115">
        <f t="shared" ca="1" si="150"/>
        <v>0.46499999999999975</v>
      </c>
      <c r="CY182" s="115">
        <f ca="1">MAX(IF($C182="驱夜断愁",IF(模拟模式!$R$7="万念俱寂",6,45),CY181-$F$4),0)</f>
        <v>0</v>
      </c>
      <c r="CZ182" s="115">
        <f t="shared" ca="1" si="151"/>
        <v>0</v>
      </c>
      <c r="DA182" s="115">
        <f ca="1">IF(模拟模式!$N$7="日月同辉",IF(DB181=2,0,MIN(6,IF(AND(OR(C182="赤日轮1",C182="赤日轮2",C182="赤日轮3",C182="幽月轮1",C182="幽月轮2",C182="幽月轮3"),AB182=1),DA181+1,DA181))),0)</f>
        <v>2</v>
      </c>
      <c r="DB182" s="115">
        <f t="shared" ca="1" si="152"/>
        <v>0</v>
      </c>
      <c r="DC182" s="115"/>
      <c r="DD182" s="115"/>
      <c r="DE182" s="115"/>
      <c r="DF182" s="115"/>
      <c r="DG182" s="115"/>
      <c r="DH182" s="115"/>
      <c r="DI182" s="115"/>
      <c r="DJ182" s="115"/>
      <c r="DK182" s="115"/>
      <c r="DL182" s="115"/>
      <c r="DM182" s="115"/>
    </row>
    <row r="183" spans="2:117" x14ac:dyDescent="0.2">
      <c r="B183" s="117">
        <f t="shared" si="153"/>
        <v>143.91000000000017</v>
      </c>
      <c r="C183" s="167" t="str">
        <f t="shared" ca="1" si="146"/>
        <v>银月斩</v>
      </c>
      <c r="D183" s="115">
        <f ca="1">IF(C183="赤日轮1",1,IF(C183="赤日轮2",2,IF(C183="赤日轮3",3,IF(C183="幽月轮1",4,IF(C183="幽月轮2",5,IF(C183="幽月轮3",6,IF(C183="烈日斩",7,IF(C183="银月斩",8,IF(C183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183="净世破魔击·月",17,IF(C183="驱夜断愁",18,0)))))))))))</f>
        <v>8</v>
      </c>
      <c r="E183" s="115">
        <f ca="1">IF(AND(CU183,OR(C183="幽月轮1",C183="幽月轮2",C183="幽月轮3",C183="银月斩",C183="驱夜断愁",C183="净世破魔击·月")),100,MIN(IF(OR(CN183,BE183),0,IF(OR($C183="赤日轮1",$C183="赤日轮2",$C183="赤日轮3"),E182+20+IF(模拟模式!$I$7="日月凌天",4,0)+IF(CR182,20,0),IF($C183="烈日斩",E182+40,IF($C183="驱夜断愁",IF(模拟模式!$R$7="万念俱寂",E182+20,E182+60),IF($C183="净世破魔击·月",IF(OR(DB182&gt;0,CV182&gt;0),100,IF(模拟模式!$M$7="辉耀红尘",E182+20,E182)),IF($C183="净世破魔击·日",E182-100,E182)))))),100))</f>
        <v>20</v>
      </c>
      <c r="F183" s="115">
        <f ca="1">IF(AND(CU183,OR(C183="赤日轮1",C183="赤日轮2",C183="赤日轮3",C183="烈日斩",C183="净世破魔击·日")),100,MIN(IF(CO183,0,IF(OR($C183="幽月轮1",$C183="幽月轮2",$C183="幽月轮3"),F182+20+IF(模拟模式!$I$7="日月凌天",4,0)+IF(CS182,20,0),IF($C183="银月斩",F182+40+IF(模拟模式!$X$12=1,5,0),IF($C183="驱夜断愁",IF(模拟模式!$R$7="万念俱寂",F182+20,F182+60),IF($C183="净世破魔击·月",IF(模拟模式!$M$7="辉耀红尘",F182-80,F182-100),IF(AND(C183="净世破魔击·日",OR(DB182&gt;0,CV182&gt;0)),100,F182)))))),100))</f>
        <v>65</v>
      </c>
      <c r="G183" s="117">
        <f ca="1">('模拟-全程加成'!$E$3+'模拟-全程加成'!$E$4+'模拟-全程加成'!$E$5+('模拟-全程加成'!$C$6-'模拟-全程加成'!$C$3)*系数!$B$9+BS183*23)*(1+'模拟-全程加成'!$F$4+'模拟-全程加成'!$F$5+BJ183*10%+BM183*20%+BP183*4%+CG183*30%)+$F$7*系数!$B$12</f>
        <v>21493.829400000002</v>
      </c>
      <c r="H183" s="45">
        <f ca="1">'模拟-全程加成'!$H$3+'模拟-全程加成'!$H$4+'模拟-全程加成'!$H$5+('模拟-全程加成'!$G$4+'模拟-全程加成'!$G$5+('模拟-全程加成'!$C$6-'模拟-全程加成'!$C$3)*系数!$B$13)/系数!$B$3+LOOKUP(D183,'模拟-单技能数据'!$A$2:$A$19,'模拟-单技能数据'!$K$2:$K$19)+BG183*10%+IF(BV183&gt;0,378,0)</f>
        <v>0.64185145527300214</v>
      </c>
      <c r="I183" s="45">
        <f ca="1">'模拟-全程加成'!$J$3+'模拟-全程加成'!$J$4+'模拟-全程加成'!$J$5+('模拟-全程加成'!$I$4+'模拟-全程加成'!$I$5)/系数!$B$4+LOOKUP(D183,'模拟-单技能数据'!$A$2:$A$19,'模拟-单技能数据'!$L$2:$L$19)+BG183*10%</f>
        <v>2.2624828854998791</v>
      </c>
      <c r="J183" s="45">
        <f ca="1">(('模拟-全程加成'!$K$3+'模拟-全程加成'!$K$4+'模拟-全程加成'!$K$5+('模拟-全程加成'!$C$6-'模拟-全程加成'!$C$3)*系数!$B$10+IF(BV183&gt;0,882,0)+IF(BY183&gt;0,1831,0))*(1+'模拟-全程加成'!$L$4+'模拟-全程加成'!$L$5+CC183*20%))/系数!$B$5</f>
        <v>0.69723220422048726</v>
      </c>
      <c r="K183" s="119">
        <f ca="1">LOOKUP(D183,'模拟-单技能数据'!$A$2:$A$19,'模拟-单技能数据'!$J$2:$J$19)+IF(CM183,60%,0)+IF(DB182-DB183&gt;0,30%,0)+IF(OR(AND(OR(C183="赤日轮1",C183="赤日轮2",C183="赤日轮3"),CR183),AND(OR(C183="幽月轮1",C183="幽月轮2",C183="幽月轮3"),CS183)),35%,0)+CJ183</f>
        <v>0.15</v>
      </c>
      <c r="L183" s="119">
        <f ca="1">IF(AND(C183="烈日斩",模拟模式!$X$11=1),10%,0)+IF(AND(C183="驱夜断愁",AB183=1),30%,0)</f>
        <v>0</v>
      </c>
      <c r="M183" s="45">
        <f t="shared" ca="1" si="129"/>
        <v>0.64185145527300214</v>
      </c>
      <c r="N183" s="45">
        <f t="shared" ca="1" si="130"/>
        <v>0.30424854472699792</v>
      </c>
      <c r="O183" s="46">
        <f t="shared" ca="1" si="154"/>
        <v>0.4071778416963181</v>
      </c>
      <c r="P183" s="46" t="str">
        <f t="shared" ca="1" si="155"/>
        <v>会</v>
      </c>
      <c r="Q183" s="45">
        <f t="shared" ca="1" si="156"/>
        <v>2.2624828854998791</v>
      </c>
      <c r="R183" s="117">
        <f ca="1">模拟模式!$E$20*(1-IF(模拟模式!$J$19="有",0.15,0))*(1-IF(模拟模式!$K$19="有",0.3,0)-IF(CQ183,0.5,0))</f>
        <v>843.02999999999975</v>
      </c>
      <c r="S183" s="45">
        <f ca="1">R183/(R183+(185*模拟模式!$E$22-16800)*4.08224)</f>
        <v>8.389626085980037E-2</v>
      </c>
      <c r="T183" s="45" t="str">
        <f ca="1">LOOKUP(D183,'模拟-单技能数据'!$A$2:$A$19,'模拟-单技能数据'!$H$2:$H$19)</f>
        <v>阴</v>
      </c>
      <c r="U183" s="119">
        <f t="shared" ca="1" si="131"/>
        <v>0.08</v>
      </c>
      <c r="V183" s="47">
        <f ca="1">(1+L183)*(LOOKUP(D183,'模拟-单技能数据'!$A$2:$A$19,'模拟-单技能数据'!$D$2:$D$19)+G183*LOOKUP(D183,'模拟-单技能数据'!$A$2:$A$19,'模拟-单技能数据'!$F$2:$F$19))*(1+J183)*(1+K183)*(1-S183)*(1+U183)*Q183*LOOKUP(D183,'模拟-单技能数据'!$A$2:$A$19,'模拟-单技能数据'!$I$2:$I$20)</f>
        <v>49855.474753700611</v>
      </c>
      <c r="W183" s="47">
        <f ca="1">LOOKUP(D183,'模拟-单技能数据'!$A$2:$A$19,'模拟-单技能数据'!$G$2:$G$19)*$I$10</f>
        <v>361.51064354704795</v>
      </c>
      <c r="X183" s="47">
        <f t="shared" ca="1" si="157"/>
        <v>15858.380188173272</v>
      </c>
      <c r="Y183" s="47">
        <f t="shared" ca="1" si="132"/>
        <v>66075.365585420921</v>
      </c>
      <c r="Z183" s="49">
        <f t="shared" ca="1" si="133"/>
        <v>16410198.102325547</v>
      </c>
      <c r="AA183" s="97">
        <f t="shared" ca="1" si="134"/>
        <v>114030.97840543068</v>
      </c>
      <c r="AB183" s="115">
        <f ca="1">IF(OR(C183="赤日轮1",C183="赤日轮2",C183="赤日轮3"),IF(RAND()&lt;模拟模式!$Y$17,1,0),IF(OR(C183="幽月轮1",C183="幽月轮2",C183="幽月轮3"),IF(RAND()&lt;模拟模式!$Y$18,1,0),IF(C183="烈日斩",IF(RAND()&lt;模拟模式!$Y$19,1,0),IF(C183="银月斩",IF(RAND()&lt;模拟模式!$Y$20,1,0),IF(C183="驱夜断愁",IF(RAND()&lt;模拟模式!$Y$21,1,0),IF(C183="净世破魔击·日",IF(RAND()&lt;模拟模式!$Y$22,1,0),IF(C183="净世破魔击·月",IF(RAND()&lt;模拟模式!$Y$23,1,0),0)))))))</f>
        <v>1</v>
      </c>
      <c r="AC183" s="115" t="b">
        <f t="shared" ca="1" si="122"/>
        <v>1</v>
      </c>
      <c r="AD183" s="115" t="b">
        <f t="shared" ca="1" si="142"/>
        <v>1</v>
      </c>
      <c r="AE183" s="115">
        <f t="shared" ca="1" si="143"/>
        <v>5</v>
      </c>
      <c r="AF183" s="47">
        <f ca="1">IF(AC183,('模拟-单技能数据'!$D$20+G183*'模拟-单技能数据'!$F$20)*(1+J183)*(1+'模拟-单技能数据'!$J$20)*(1+U183),0)</f>
        <v>4639.7456468263617</v>
      </c>
      <c r="AG183" s="61">
        <f t="shared" ca="1" si="135"/>
        <v>0.64185145527300214</v>
      </c>
      <c r="AH183" s="61">
        <f t="shared" ca="1" si="136"/>
        <v>2.2624828854998791</v>
      </c>
      <c r="AI183" s="62">
        <f t="shared" ca="1" si="158"/>
        <v>0.99083069711353611</v>
      </c>
      <c r="AJ183" s="47">
        <f ca="1">IF(AD183,IF(AI183&lt;$F$10,0,IF(AI183&lt;$F$10+$F$11,0.25,IF(AI183&lt;$F$10+$F$11+AG183,AH183,1)))*IF(AF183&gt;0,AF183,IF(AF182&gt;0,AF182,IF(AF181&gt;0,AF181,IF(AF180&gt;0,AF180,IF(AF179&gt;0,AF179,IF(AF178&gt;0,AF178,IF(AF177&gt;0,AF177,IF(AF176&gt;0,AF176,IF(AF175&gt;0,AF175,IF(AF173&gt;0,AF173,IF(AF172&gt;0,AF172,IF(AF171&gt;0,AF171,0)))))))))))),0)*(1-$S183)*'模拟-单技能数据'!$I$20</f>
        <v>4250.4883357170938</v>
      </c>
      <c r="AK183" s="115" t="b">
        <f t="shared" ca="1" si="123"/>
        <v>0</v>
      </c>
      <c r="AL183" s="115" t="b">
        <f t="shared" ca="1" si="144"/>
        <v>1</v>
      </c>
      <c r="AM183" s="115">
        <f t="shared" ca="1" si="145"/>
        <v>4</v>
      </c>
      <c r="AN183" s="47">
        <f ca="1">IF(AK183,('模拟-单技能数据'!$D$21+G183*'模拟-单技能数据'!$F$21)*(1+J183)*(1+'模拟-单技能数据'!$J$21)*(1+U183),0)</f>
        <v>0</v>
      </c>
      <c r="AO183" s="61">
        <f ca="1">IF(AN183&gt;0,M183-'模拟-单技能数据'!$K$10,AO182)</f>
        <v>0.42185145527300216</v>
      </c>
      <c r="AP183" s="61">
        <f ca="1">IF(AN183&gt;0,I183-'模拟-单技能数据'!$L$10,AP182)</f>
        <v>2.162482885499879</v>
      </c>
      <c r="AQ183" s="63">
        <f t="shared" ca="1" si="159"/>
        <v>0.59648184676392735</v>
      </c>
      <c r="AR183" s="64">
        <f ca="1">IF(AL183,IF(AQ183&lt;$F$10,0,IF(AQ183&lt;$F$10+$F$11,0.25,IF(AQ183&lt;$F$10+$F$11+AO183,AP183,1)))*IF(AN183&gt;0,AN183,IF(AN182&gt;0,AN182,IF(AN181&gt;0,AN181,IF(AN180&gt;0,AN180,IF(AN179&gt;0,AN179,IF(AN178&gt;0,AN178,IF(AN177&gt;0,AN177,IF(AN176&gt;0,AN176,IF(AN175&gt;0,AN175,IF(AN173&gt;0,AN173,IF(AN172&gt;0,AN172,IF(AN171&gt;0,AN171,0)))))))))))),0)*(1-$S183)*'模拟-单技能数据'!$I$21</f>
        <v>11607.89185245618</v>
      </c>
      <c r="AS183" s="61">
        <f ca="1">IF(OR(C183="净世破魔击·日",C183="净世破魔击·月"),M183-'模拟-单技能数据'!$K$10,0)</f>
        <v>0</v>
      </c>
      <c r="AT183" s="61">
        <f ca="1">IF(OR(C183="净世破魔击·日",C183="净世破魔击·月"),I183-'模拟-单技能数据'!$L$10,0)</f>
        <v>0</v>
      </c>
      <c r="AU183" s="62">
        <f t="shared" ca="1" si="160"/>
        <v>0.73371532681667517</v>
      </c>
      <c r="AV183" s="64">
        <f ca="1">IF(AS183&gt;0,('模拟-单技能数据'!$D$22+G183*'模拟-单技能数据'!$F$22)*(1+J183)*(1-S183)*IF(AU183&lt;$F$10,0,IF(AU183&lt;$F$10+$F$11,0.25,IF(AU183&lt;$F$10+$F$11+AS183,AT183,1)))*(1+U183),0)*'模拟-单技能数据'!$I$22</f>
        <v>0</v>
      </c>
      <c r="AW183" s="108">
        <f t="shared" ca="1" si="161"/>
        <v>0</v>
      </c>
      <c r="AX183" s="108" t="b">
        <f ca="1">AND(模拟模式!$P$10="有",AW182=0,RAND()&lt;IF(C183="净世破魔击·月",0.1*8/3,IF(C183="净世破魔击·日",0.1*4/3,0.1*2/3)))</f>
        <v>0</v>
      </c>
      <c r="AY183" s="47">
        <f ca="1">IF(AX183,(18+G183*0.722)*(1+J183)*(1-S183)*(1+$I$4)*IF(P183="会",'模拟-全程加成'!$J$3+'模拟-全程加成'!$J$4+'模拟-全程加成'!$J$5+('模拟-全程加成'!$I$4+'模拟-全程加成'!$I$5)/系数!$B$4+BG183*10%,IF(P183="命",1,IF(P183="识",0.25,0))),0)</f>
        <v>0</v>
      </c>
      <c r="AZ183" s="108">
        <f t="shared" si="162"/>
        <v>18.155000000000001</v>
      </c>
      <c r="BA183" s="108" t="b">
        <f>AND(模拟模式!$Q$10="有",AZ182=0)</f>
        <v>0</v>
      </c>
      <c r="BB183" s="140">
        <f>IF(BA183,(0+G183*0.287)*(1+J183)*(1-S183)*(1+$I$4)*IF(P183="会",'模拟-全程加成'!$J$3+'模拟-全程加成'!$J$4+'模拟-全程加成'!$J$5+('模拟-全程加成'!$I$4+'模拟-全程加成'!$I$5)/系数!$B$4+BG183*10%,IF(P183="命",1,IF(P183="识",0.25,0))),0)</f>
        <v>0</v>
      </c>
      <c r="BC183" s="115" t="b">
        <f ca="1">AND(模拟模式!$R$7="伏明众生",E183=60,F183=20,DA183&lt;5,CZ182&lt;$F$4)</f>
        <v>0</v>
      </c>
      <c r="BD183" s="115">
        <f t="shared" ca="1" si="124"/>
        <v>0</v>
      </c>
      <c r="BE183" s="115" t="b">
        <f t="shared" ca="1" si="125"/>
        <v>0</v>
      </c>
      <c r="BF183" s="47">
        <f ca="1">IF(BC183,4*('模拟-单技能数据'!$D$24+G183*'模拟-单技能数据'!$F$24)*(1+J183)*(1+'模拟-单技能数据'!$J$24)*(1-S183)*(1+$I$3)*(('模拟-全程加成'!$J$3+'模拟-全程加成'!$J$4+'模拟-全程加成'!$J$5+('模拟-全程加成'!$I$4+'模拟-全程加成'!$I$5)/系数!$B$4+BG183*10%)*('模拟-全程加成'!$J$3+'模拟-全程加成'!$J$4+'模拟-全程加成'!$J$5+('模拟-全程加成'!$I$4+'模拟-全程加成'!$I$5)/系数!$B$4+BG183*10%)+(1-('模拟-全程加成'!$J$3+'模拟-全程加成'!$J$4+'模拟-全程加成'!$J$5+('模拟-全程加成'!$I$4+'模拟-全程加成'!$I$5)/系数!$B$4+BG183*10%)-$F$10-$F$11)+F169*0.25),0)*'模拟-单技能数据'!$I$24</f>
        <v>0</v>
      </c>
      <c r="BG183" s="115" t="b">
        <f ca="1">OR(AND(OR(C183="烈日斩",C183="银月斩"),模拟模式!$I$7="净身明礼"),AND(C183="净世破魔击·日",模拟模式!$J$7="洞若观火"),AND(C184="净世破魔击·月",模拟模式!$J$7="洞若观火"),AB183=1)</f>
        <v>1</v>
      </c>
      <c r="BH183" s="115" t="b">
        <f t="shared" ca="1" si="163"/>
        <v>1</v>
      </c>
      <c r="BI183" s="115">
        <f t="shared" ca="1" si="126"/>
        <v>6</v>
      </c>
      <c r="BJ183" s="115" t="b">
        <f t="shared" ca="1" si="137"/>
        <v>1</v>
      </c>
      <c r="BK183" s="115" t="b">
        <f ca="1">AND(C183="驱夜断愁",模拟模式!$P$7="天地诛戮")</f>
        <v>0</v>
      </c>
      <c r="BL183" s="57">
        <f t="shared" ca="1" si="127"/>
        <v>8.0075000000000074</v>
      </c>
      <c r="BM183" s="115" t="b">
        <f t="shared" ca="1" si="138"/>
        <v>1</v>
      </c>
      <c r="BN183" s="115" t="b">
        <f ca="1">AND(OR(C183="赤日轮1",C183="赤日轮2",C183="赤日轮3",C183="幽月轮1",C183="幽月轮2",C183="幽月轮3"),AB183=1,模拟模式!$L$7="明光恒照")</f>
        <v>0</v>
      </c>
      <c r="BO183" s="117">
        <f t="shared" ca="1" si="128"/>
        <v>22.620000000000005</v>
      </c>
      <c r="BP183" s="115">
        <f t="shared" ca="1" si="164"/>
        <v>6</v>
      </c>
      <c r="BQ183" s="115" t="b">
        <f>模拟模式!$K$10="2600·水"</f>
        <v>0</v>
      </c>
      <c r="BR183" s="117">
        <f t="shared" si="165"/>
        <v>0</v>
      </c>
      <c r="BS183" s="115">
        <f t="shared" si="166"/>
        <v>0</v>
      </c>
      <c r="BT183" s="115">
        <f t="shared" ca="1" si="167"/>
        <v>0</v>
      </c>
      <c r="BU183" s="115" t="b">
        <f ca="1">AND(模拟模式!$K$10="2300·雷",BT182=0,RAND()&lt;IF(C183="净世破魔击·月",5*0.05*2/3,IF(C183="净世破魔击·日",3*0.05*2/3,0.05*2*2/3)))</f>
        <v>0</v>
      </c>
      <c r="BV183" s="115">
        <f t="shared" ca="1" si="168"/>
        <v>0</v>
      </c>
      <c r="BW183" s="115">
        <f t="shared" ca="1" si="169"/>
        <v>41.624999999999289</v>
      </c>
      <c r="BX183" s="164" t="b">
        <f t="shared" ca="1" si="170"/>
        <v>0</v>
      </c>
      <c r="BY183" s="115">
        <f t="shared" ca="1" si="171"/>
        <v>0</v>
      </c>
      <c r="BZ183" s="115">
        <f>IF(OR(模拟模式!$P$16="10人团",模拟模式!$P$16="25人团"),IF(B183/30&gt;CA182,1,0),0)</f>
        <v>0</v>
      </c>
      <c r="CA183" s="115">
        <f t="shared" si="147"/>
        <v>0</v>
      </c>
      <c r="CB183" s="115">
        <f ca="1">IF(BZ183=1,IF(模拟模式!$P$16="10人团",15,0)+IF(模拟模式!$P$16="25人团",IF(RAND()&lt;0.6,15,0)),MAX(0,CB182-$F$4))</f>
        <v>0</v>
      </c>
      <c r="CC183" s="115" t="b">
        <f t="shared" ca="1" si="139"/>
        <v>0</v>
      </c>
      <c r="CD183" s="115">
        <f>IF(模拟模式!$Q$16="1个",IF(B183/40&gt;CE182,1,0),0)</f>
        <v>0</v>
      </c>
      <c r="CE183" s="115">
        <f t="shared" si="140"/>
        <v>0</v>
      </c>
      <c r="CF183" s="115">
        <f>IF(OR(CD183=1,模拟模式!$Q$16="2个"),20,MAX(0,CF182-$F$4))</f>
        <v>0</v>
      </c>
      <c r="CG183" s="115" t="b">
        <f t="shared" si="141"/>
        <v>0</v>
      </c>
      <c r="CH183" s="115">
        <f t="shared" ca="1" si="172"/>
        <v>20.775000000000006</v>
      </c>
      <c r="CI183" s="115" t="b">
        <f t="shared" ca="1" si="173"/>
        <v>0</v>
      </c>
      <c r="CJ183" s="119">
        <f t="shared" ca="1" si="174"/>
        <v>0</v>
      </c>
      <c r="CK183" s="115">
        <f t="shared" ca="1" si="175"/>
        <v>0</v>
      </c>
      <c r="CL183" s="115" t="b">
        <f ca="1">AND(模拟模式!$S$7="驱夷逐法",OR(AND(C183="净世破魔击·月",E182&gt;59),AND(C183="净世破魔击·日",F182&gt;59)))</f>
        <v>0</v>
      </c>
      <c r="CM183" s="115" t="b">
        <f ca="1">OR(CL183,AND(C183="净世破魔击·日",CL182,RAND()&lt;模拟模式!$U$23))</f>
        <v>0</v>
      </c>
      <c r="CN183" s="115" t="b">
        <f ca="1">IF(模拟模式!$M$7="辉耀红尘",AND(C183="净世破魔击·月",CL183,CV183=0,E182&lt;80),AND(C183="净世破魔击·月",CL183,E182&lt;100))</f>
        <v>0</v>
      </c>
      <c r="CO183" s="115" t="b">
        <f t="shared" ca="1" si="148"/>
        <v>0</v>
      </c>
      <c r="CP183" s="115" t="b">
        <f ca="1">AND(模拟模式!$O$7="用晦而明",OR(C183="净世破魔击·日",C183="净世破魔击·月",C183="驱夜断愁"),AB183)</f>
        <v>0</v>
      </c>
      <c r="CQ183" s="115" t="b">
        <f ca="1">OR(CP183,AND(CP182,RAND()&lt;模拟模式!$U$23))</f>
        <v>1</v>
      </c>
      <c r="CR183" s="115" t="b">
        <f ca="1">AND(模拟模式!$S$7="日月齐光",OR(C183="幽月轮1",C183="幽月轮2",C183="幽月轮3",CR182),NOT(OR(C183="赤日轮1",C183="赤日轮2",C183="赤日轮3")))</f>
        <v>0</v>
      </c>
      <c r="CS183" s="115" t="b">
        <f ca="1">AND(模拟模式!$S$7="日月齐光",OR(C183="赤日轮1",C183="赤日轮2",C183="赤日轮3",CS182),NOT(OR(C183="幽月轮1",C183="幽月轮2",C183="幽月轮3")))</f>
        <v>0</v>
      </c>
      <c r="CT183" s="115">
        <f t="shared" ca="1" si="176"/>
        <v>23.542500000000004</v>
      </c>
      <c r="CU183" s="115" t="b">
        <f ca="1">AND(模拟模式!$K$10="阴阳往极",CT182=0,RAND()&lt;IF(C183="净世破魔击·月",0.0275*7/3,IF(C183="净世破魔击·日",0.0275*3/3,0.0275*2/3)))</f>
        <v>0</v>
      </c>
      <c r="CV183" s="115">
        <f t="shared" ca="1" si="177"/>
        <v>0</v>
      </c>
      <c r="CW183" s="115">
        <f t="shared" ca="1" si="149"/>
        <v>0</v>
      </c>
      <c r="CX183" s="115">
        <f t="shared" ca="1" si="150"/>
        <v>6</v>
      </c>
      <c r="CY183" s="115">
        <f ca="1">MAX(IF($C183="驱夜断愁",IF(模拟模式!$R$7="万念俱寂",6,45),CY182-$F$4),0)</f>
        <v>0</v>
      </c>
      <c r="CZ183" s="115">
        <f t="shared" ca="1" si="151"/>
        <v>0</v>
      </c>
      <c r="DA183" s="115">
        <f ca="1">IF(模拟模式!$N$7="日月同辉",IF(DB182=2,0,MIN(6,IF(AND(OR(C183="赤日轮1",C183="赤日轮2",C183="赤日轮3",C183="幽月轮1",C183="幽月轮2",C183="幽月轮3"),AB183=1),DA182+1,DA182))),0)</f>
        <v>2</v>
      </c>
      <c r="DB183" s="115">
        <f t="shared" ca="1" si="152"/>
        <v>0</v>
      </c>
      <c r="DC183" s="115"/>
      <c r="DD183" s="115"/>
      <c r="DE183" s="115"/>
      <c r="DF183" s="115"/>
      <c r="DG183" s="115"/>
      <c r="DH183" s="115"/>
      <c r="DI183" s="115"/>
      <c r="DJ183" s="115"/>
      <c r="DK183" s="115"/>
      <c r="DL183" s="115"/>
      <c r="DM183" s="115"/>
    </row>
    <row r="184" spans="2:117" x14ac:dyDescent="0.2">
      <c r="B184" s="117">
        <f t="shared" si="153"/>
        <v>144.83250000000018</v>
      </c>
      <c r="C184" s="167" t="str">
        <f t="shared" ca="1" si="146"/>
        <v>驱夜断愁</v>
      </c>
      <c r="D184" s="115">
        <f ca="1">IF(C184="赤日轮1",1,IF(C184="赤日轮2",2,IF(C184="赤日轮3",3,IF(C184="幽月轮1",4,IF(C184="幽月轮2",5,IF(C184="幽月轮3",6,IF(C184="烈日斩",7,IF(C184="银月斩",8,IF(C184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184="净世破魔击·月",17,IF(C184="驱夜断愁",18,0)))))))))))</f>
        <v>18</v>
      </c>
      <c r="E184" s="115">
        <f ca="1">IF(AND(CU184,OR(C184="幽月轮1",C184="幽月轮2",C184="幽月轮3",C184="银月斩",C184="驱夜断愁",C184="净世破魔击·月")),100,MIN(IF(OR(CN184,BE184),0,IF(OR($C184="赤日轮1",$C184="赤日轮2",$C184="赤日轮3"),E183+20+IF(模拟模式!$I$7="日月凌天",4,0)+IF(CR183,20,0),IF($C184="烈日斩",E183+40,IF($C184="驱夜断愁",IF(模拟模式!$R$7="万念俱寂",E183+20,E183+60),IF($C184="净世破魔击·月",IF(OR(DB183&gt;0,CV183&gt;0),100,IF(模拟模式!$M$7="辉耀红尘",E183+20,E183)),IF($C184="净世破魔击·日",E183-100,E183)))))),100))</f>
        <v>40</v>
      </c>
      <c r="F184" s="115">
        <f ca="1">IF(AND(CU184,OR(C184="赤日轮1",C184="赤日轮2",C184="赤日轮3",C184="烈日斩",C184="净世破魔击·日")),100,MIN(IF(CO184,0,IF(OR($C184="幽月轮1",$C184="幽月轮2",$C184="幽月轮3"),F183+20+IF(模拟模式!$I$7="日月凌天",4,0)+IF(CS183,20,0),IF($C184="银月斩",F183+40+IF(模拟模式!$X$12=1,5,0),IF($C184="驱夜断愁",IF(模拟模式!$R$7="万念俱寂",F183+20,F183+60),IF($C184="净世破魔击·月",IF(模拟模式!$M$7="辉耀红尘",F183-80,F183-100),IF(AND(C184="净世破魔击·日",OR(DB183&gt;0,CV183&gt;0)),100,F183)))))),100))</f>
        <v>85</v>
      </c>
      <c r="G184" s="117">
        <f ca="1">('模拟-全程加成'!$E$3+'模拟-全程加成'!$E$4+'模拟-全程加成'!$E$5+('模拟-全程加成'!$C$6-'模拟-全程加成'!$C$3)*系数!$B$9+BS184*23)*(1+'模拟-全程加成'!$F$4+'模拟-全程加成'!$F$5+BJ184*10%+BM184*20%+BP184*4%+CG184*30%)+$F$7*系数!$B$12</f>
        <v>21493.829400000002</v>
      </c>
      <c r="H184" s="45">
        <f ca="1">'模拟-全程加成'!$H$3+'模拟-全程加成'!$H$4+'模拟-全程加成'!$H$5+('模拟-全程加成'!$G$4+'模拟-全程加成'!$G$5+('模拟-全程加成'!$C$6-'模拟-全程加成'!$C$3)*系数!$B$13)/系数!$B$3+LOOKUP(D184,'模拟-单技能数据'!$A$2:$A$19,'模拟-单技能数据'!$K$2:$K$19)+BG184*10%+IF(BV184&gt;0,378,0)</f>
        <v>0.51185145527300213</v>
      </c>
      <c r="I184" s="45">
        <f ca="1">'模拟-全程加成'!$J$3+'模拟-全程加成'!$J$4+'模拟-全程加成'!$J$5+('模拟-全程加成'!$I$4+'模拟-全程加成'!$I$5)/系数!$B$4+LOOKUP(D184,'模拟-单技能数据'!$A$2:$A$19,'模拟-单技能数据'!$L$2:$L$19)+BG184*10%</f>
        <v>2.162482885499879</v>
      </c>
      <c r="J184" s="45">
        <f ca="1">(('模拟-全程加成'!$K$3+'模拟-全程加成'!$K$4+'模拟-全程加成'!$K$5+('模拟-全程加成'!$C$6-'模拟-全程加成'!$C$3)*系数!$B$10+IF(BV184&gt;0,882,0)+IF(BY184&gt;0,1831,0))*(1+'模拟-全程加成'!$L$4+'模拟-全程加成'!$L$5+CC184*20%))/系数!$B$5</f>
        <v>0.69723220422048726</v>
      </c>
      <c r="K184" s="119">
        <f ca="1">LOOKUP(D184,'模拟-单技能数据'!$A$2:$A$19,'模拟-单技能数据'!$J$2:$J$19)+IF(CM184,60%,0)+IF(DB183-DB184&gt;0,30%,0)+IF(OR(AND(OR(C184="赤日轮1",C184="赤日轮2",C184="赤日轮3"),CR184),AND(OR(C184="幽月轮1",C184="幽月轮2",C184="幽月轮3"),CS184)),35%,0)+CJ184</f>
        <v>0.14000000000000001</v>
      </c>
      <c r="L184" s="119">
        <f ca="1">IF(AND(C184="烈日斩",模拟模式!$X$11=1),10%,0)+IF(AND(C184="驱夜断愁",AB184=1),30%,0)</f>
        <v>0.3</v>
      </c>
      <c r="M184" s="45">
        <f t="shared" ca="1" si="129"/>
        <v>0.51185145527300213</v>
      </c>
      <c r="N184" s="45">
        <f t="shared" ca="1" si="130"/>
        <v>0.43424854472699792</v>
      </c>
      <c r="O184" s="46">
        <f t="shared" ca="1" si="154"/>
        <v>0.83859169263794298</v>
      </c>
      <c r="P184" s="46" t="str">
        <f t="shared" ca="1" si="155"/>
        <v>命</v>
      </c>
      <c r="Q184" s="45">
        <f t="shared" ca="1" si="156"/>
        <v>1</v>
      </c>
      <c r="R184" s="117">
        <f ca="1">模拟模式!$E$20*(1-IF(模拟模式!$J$19="有",0.15,0))*(1-IF(模拟模式!$K$19="有",0.3,0)-IF(CQ184,0.5,0))</f>
        <v>843.02999999999975</v>
      </c>
      <c r="S184" s="45">
        <f ca="1">R184/(R184+(185*模拟模式!$E$22-16800)*4.08224)</f>
        <v>8.389626085980037E-2</v>
      </c>
      <c r="T184" s="45" t="str">
        <f ca="1">LOOKUP(D184,'模拟-单技能数据'!$A$2:$A$19,'模拟-单技能数据'!$H$2:$H$19)</f>
        <v>阴</v>
      </c>
      <c r="U184" s="119">
        <f t="shared" ca="1" si="131"/>
        <v>0.08</v>
      </c>
      <c r="V184" s="47">
        <f ca="1">(1+L184)*(LOOKUP(D184,'模拟-单技能数据'!$A$2:$A$19,'模拟-单技能数据'!$D$2:$D$19)+G184*LOOKUP(D184,'模拟-单技能数据'!$A$2:$A$19,'模拟-单技能数据'!$F$2:$F$19))*(1+J184)*(1+K184)*(1-S184)*(1+U184)*Q184*LOOKUP(D184,'模拟-单技能数据'!$A$2:$A$19,'模拟-单技能数据'!$I$2:$I$20)</f>
        <v>61540.073489592025</v>
      </c>
      <c r="W184" s="47">
        <f ca="1">LOOKUP(D184,'模拟-单技能数据'!$A$2:$A$19,'模拟-单技能数据'!$G$2:$G$19)*$I$10</f>
        <v>723.0212870940959</v>
      </c>
      <c r="X184" s="47">
        <f t="shared" ca="1" si="157"/>
        <v>0</v>
      </c>
      <c r="Y184" s="47">
        <f t="shared" ca="1" si="132"/>
        <v>62263.094776686121</v>
      </c>
      <c r="Z184" s="49">
        <f t="shared" ca="1" si="133"/>
        <v>16472461.197102234</v>
      </c>
      <c r="AA184" s="97">
        <f t="shared" ca="1" si="134"/>
        <v>113734.56370015164</v>
      </c>
      <c r="AB184" s="115">
        <f ca="1">IF(OR(C184="赤日轮1",C184="赤日轮2",C184="赤日轮3"),IF(RAND()&lt;模拟模式!$Y$17,1,0),IF(OR(C184="幽月轮1",C184="幽月轮2",C184="幽月轮3"),IF(RAND()&lt;模拟模式!$Y$18,1,0),IF(C184="烈日斩",IF(RAND()&lt;模拟模式!$Y$19,1,0),IF(C184="银月斩",IF(RAND()&lt;模拟模式!$Y$20,1,0),IF(C184="驱夜断愁",IF(RAND()&lt;模拟模式!$Y$21,1,0),IF(C184="净世破魔击·日",IF(RAND()&lt;模拟模式!$Y$22,1,0),IF(C184="净世破魔击·月",IF(RAND()&lt;模拟模式!$Y$23,1,0),0)))))))</f>
        <v>1</v>
      </c>
      <c r="AC184" s="115" t="b">
        <f t="shared" ca="1" si="122"/>
        <v>0</v>
      </c>
      <c r="AD184" s="115" t="b">
        <f t="shared" ca="1" si="142"/>
        <v>0</v>
      </c>
      <c r="AE184" s="115">
        <f t="shared" ca="1" si="143"/>
        <v>5</v>
      </c>
      <c r="AF184" s="47">
        <f ca="1">IF(AC184,('模拟-单技能数据'!$D$20+G184*'模拟-单技能数据'!$F$20)*(1+J184)*(1+'模拟-单技能数据'!$J$20)*(1+U184),0)</f>
        <v>0</v>
      </c>
      <c r="AG184" s="61">
        <f t="shared" ca="1" si="135"/>
        <v>0.64185145527300214</v>
      </c>
      <c r="AH184" s="61">
        <f t="shared" ca="1" si="136"/>
        <v>2.2624828854998791</v>
      </c>
      <c r="AI184" s="62">
        <f t="shared" ca="1" si="158"/>
        <v>0.584266448130075</v>
      </c>
      <c r="AJ184" s="47">
        <f ca="1">IF(AD184,IF(AI184&lt;$F$10,0,IF(AI184&lt;$F$10+$F$11,0.25,IF(AI184&lt;$F$10+$F$11+AG184,AH184,1)))*IF(AF184&gt;0,AF184,IF(AF183&gt;0,AF183,IF(AF182&gt;0,AF182,IF(AF181&gt;0,AF181,IF(AF180&gt;0,AF180,IF(AF179&gt;0,AF179,IF(AF178&gt;0,AF178,IF(AF177&gt;0,AF177,IF(AF176&gt;0,AF176,IF(AF174&gt;0,AF174,IF(AF173&gt;0,AF173,IF(AF172&gt;0,AF172,0)))))))))))),0)*(1-$S184)*'模拟-单技能数据'!$I$20</f>
        <v>0</v>
      </c>
      <c r="AK184" s="115" t="b">
        <f t="shared" ca="1" si="123"/>
        <v>0</v>
      </c>
      <c r="AL184" s="115" t="b">
        <f t="shared" ca="1" si="144"/>
        <v>0</v>
      </c>
      <c r="AM184" s="115">
        <f t="shared" ca="1" si="145"/>
        <v>4</v>
      </c>
      <c r="AN184" s="47">
        <f ca="1">IF(AK184,('模拟-单技能数据'!$D$21+G184*'模拟-单技能数据'!$F$21)*(1+J184)*(1+'模拟-单技能数据'!$J$21)*(1+U184),0)</f>
        <v>0</v>
      </c>
      <c r="AO184" s="61">
        <f ca="1">IF(AN184&gt;0,M184-'模拟-单技能数据'!$K$10,AO183)</f>
        <v>0.42185145527300216</v>
      </c>
      <c r="AP184" s="61">
        <f ca="1">IF(AN184&gt;0,I184-'模拟-单技能数据'!$L$10,AP183)</f>
        <v>2.162482885499879</v>
      </c>
      <c r="AQ184" s="63">
        <f t="shared" ca="1" si="159"/>
        <v>0.79566168741464438</v>
      </c>
      <c r="AR184" s="64">
        <f ca="1">IF(AL184,IF(AQ184&lt;$F$10,0,IF(AQ184&lt;$F$10+$F$11,0.25,IF(AQ184&lt;$F$10+$F$11+AO184,AP184,1)))*IF(AN184&gt;0,AN184,IF(AN183&gt;0,AN183,IF(AN182&gt;0,AN182,IF(AN181&gt;0,AN181,IF(AN180&gt;0,AN180,IF(AN179&gt;0,AN179,IF(AN178&gt;0,AN178,IF(AN177&gt;0,AN177,IF(AN176&gt;0,AN176,IF(AN174&gt;0,AN174,IF(AN173&gt;0,AN173,IF(AN172&gt;0,AN172,0)))))))))))),0)*(1-$S184)*'模拟-单技能数据'!$I$21</f>
        <v>0</v>
      </c>
      <c r="AS184" s="61">
        <f ca="1">IF(OR(C184="净世破魔击·日",C184="净世破魔击·月"),M184-'模拟-单技能数据'!$K$10,0)</f>
        <v>0</v>
      </c>
      <c r="AT184" s="61">
        <f ca="1">IF(OR(C184="净世破魔击·日",C184="净世破魔击·月"),I184-'模拟-单技能数据'!$L$10,0)</f>
        <v>0</v>
      </c>
      <c r="AU184" s="62">
        <f t="shared" ca="1" si="160"/>
        <v>0.65808124501697074</v>
      </c>
      <c r="AV184" s="64">
        <f ca="1">IF(AS184&gt;0,('模拟-单技能数据'!$D$22+G184*'模拟-单技能数据'!$F$22)*(1+J184)*(1-S184)*IF(AU184&lt;$F$10,0,IF(AU184&lt;$F$10+$F$11,0.25,IF(AU184&lt;$F$10+$F$11+AS184,AT184,1)))*(1+U184),0)*'模拟-单技能数据'!$I$22</f>
        <v>0</v>
      </c>
      <c r="AW184" s="108">
        <f t="shared" ca="1" si="161"/>
        <v>0</v>
      </c>
      <c r="AX184" s="108" t="b">
        <f ca="1">AND(模拟模式!$P$10="有",AW183=0,RAND()&lt;IF(C184="净世破魔击·月",0.1*8/3,IF(C184="净世破魔击·日",0.1*4/3,0.1*2/3)))</f>
        <v>0</v>
      </c>
      <c r="AY184" s="47">
        <f ca="1">IF(AX184,(18+G184*0.722)*(1+J184)*(1-S184)*(1+$I$4)*IF(P184="会",'模拟-全程加成'!$J$3+'模拟-全程加成'!$J$4+'模拟-全程加成'!$J$5+('模拟-全程加成'!$I$4+'模拟-全程加成'!$I$5)/系数!$B$4+BG184*10%,IF(P184="命",1,IF(P184="识",0.25,0))),0)</f>
        <v>0</v>
      </c>
      <c r="AZ184" s="108">
        <f t="shared" si="162"/>
        <v>17.232500000000002</v>
      </c>
      <c r="BA184" s="108" t="b">
        <f>AND(模拟模式!$Q$10="有",AZ183=0)</f>
        <v>0</v>
      </c>
      <c r="BB184" s="140">
        <f>IF(BA184,(0+G184*0.287)*(1+J184)*(1-S184)*(1+$I$4)*IF(P184="会",'模拟-全程加成'!$J$3+'模拟-全程加成'!$J$4+'模拟-全程加成'!$J$5+('模拟-全程加成'!$I$4+'模拟-全程加成'!$I$5)/系数!$B$4+BG184*10%,IF(P184="命",1,IF(P184="识",0.25,0))),0)</f>
        <v>0</v>
      </c>
      <c r="BC184" s="115" t="b">
        <f ca="1">AND(模拟模式!$R$7="伏明众生",E184=60,F184=20,DA184&lt;5,CZ183&lt;$F$4)</f>
        <v>0</v>
      </c>
      <c r="BD184" s="115">
        <f t="shared" ca="1" si="124"/>
        <v>0</v>
      </c>
      <c r="BE184" s="115" t="b">
        <f t="shared" ca="1" si="125"/>
        <v>0</v>
      </c>
      <c r="BF184" s="47">
        <f ca="1">IF(BC184,4*('模拟-单技能数据'!$D$24+G184*'模拟-单技能数据'!$F$24)*(1+J184)*(1+'模拟-单技能数据'!$J$24)*(1-S184)*(1+$I$3)*(('模拟-全程加成'!$J$3+'模拟-全程加成'!$J$4+'模拟-全程加成'!$J$5+('模拟-全程加成'!$I$4+'模拟-全程加成'!$I$5)/系数!$B$4+BG184*10%)*('模拟-全程加成'!$J$3+'模拟-全程加成'!$J$4+'模拟-全程加成'!$J$5+('模拟-全程加成'!$I$4+'模拟-全程加成'!$I$5)/系数!$B$4+BG184*10%)+(1-('模拟-全程加成'!$J$3+'模拟-全程加成'!$J$4+'模拟-全程加成'!$J$5+('模拟-全程加成'!$I$4+'模拟-全程加成'!$I$5)/系数!$B$4+BG184*10%)-$F$10-$F$11)+F170*0.25),0)*'模拟-单技能数据'!$I$24</f>
        <v>0</v>
      </c>
      <c r="BG184" s="115" t="b">
        <f ca="1">OR(AND(OR(C184="烈日斩",C184="银月斩"),模拟模式!$I$7="净身明礼"),AND(C184="净世破魔击·日",模拟模式!$J$7="洞若观火"),AND(C185="净世破魔击·月",模拟模式!$J$7="洞若观火"),AB184=1)</f>
        <v>1</v>
      </c>
      <c r="BH184" s="115" t="b">
        <f t="shared" ca="1" si="163"/>
        <v>0</v>
      </c>
      <c r="BI184" s="115">
        <f t="shared" ca="1" si="126"/>
        <v>5.0774999999999997</v>
      </c>
      <c r="BJ184" s="115" t="b">
        <f t="shared" ca="1" si="137"/>
        <v>1</v>
      </c>
      <c r="BK184" s="115" t="b">
        <f ca="1">AND(C184="驱夜断愁",模拟模式!$P$7="天地诛戮")</f>
        <v>1</v>
      </c>
      <c r="BL184" s="57">
        <f t="shared" ca="1" si="127"/>
        <v>20</v>
      </c>
      <c r="BM184" s="115" t="b">
        <f t="shared" ca="1" si="138"/>
        <v>1</v>
      </c>
      <c r="BN184" s="115" t="b">
        <f ca="1">AND(OR(C184="赤日轮1",C184="赤日轮2",C184="赤日轮3",C184="幽月轮1",C184="幽月轮2",C184="幽月轮3"),AB184=1,模拟模式!$L$7="明光恒照")</f>
        <v>0</v>
      </c>
      <c r="BO184" s="117">
        <f t="shared" ca="1" si="128"/>
        <v>21.697500000000005</v>
      </c>
      <c r="BP184" s="115">
        <f t="shared" ca="1" si="164"/>
        <v>6</v>
      </c>
      <c r="BQ184" s="115" t="b">
        <f>模拟模式!$K$10="2600·水"</f>
        <v>0</v>
      </c>
      <c r="BR184" s="117">
        <f t="shared" si="165"/>
        <v>0</v>
      </c>
      <c r="BS184" s="115">
        <f t="shared" si="166"/>
        <v>0</v>
      </c>
      <c r="BT184" s="115">
        <f t="shared" ca="1" si="167"/>
        <v>0</v>
      </c>
      <c r="BU184" s="115" t="b">
        <f ca="1">AND(模拟模式!$K$10="2300·雷",BT183=0,RAND()&lt;IF(C184="净世破魔击·月",5*0.05*2/3,IF(C184="净世破魔击·日",3*0.05*2/3,0.05*2*2/3)))</f>
        <v>0</v>
      </c>
      <c r="BV184" s="115">
        <f t="shared" ca="1" si="168"/>
        <v>0</v>
      </c>
      <c r="BW184" s="115">
        <f t="shared" ca="1" si="169"/>
        <v>40.70249999999929</v>
      </c>
      <c r="BX184" s="164" t="b">
        <f t="shared" ca="1" si="170"/>
        <v>0</v>
      </c>
      <c r="BY184" s="115">
        <f t="shared" ca="1" si="171"/>
        <v>0</v>
      </c>
      <c r="BZ184" s="115">
        <f>IF(OR(模拟模式!$P$16="10人团",模拟模式!$P$16="25人团"),IF(B184/30&gt;CA183,1,0),0)</f>
        <v>0</v>
      </c>
      <c r="CA184" s="115">
        <f t="shared" si="147"/>
        <v>0</v>
      </c>
      <c r="CB184" s="115">
        <f ca="1">IF(BZ184=1,IF(模拟模式!$P$16="10人团",15,0)+IF(模拟模式!$P$16="25人团",IF(RAND()&lt;0.6,15,0)),MAX(0,CB183-$F$4))</f>
        <v>0</v>
      </c>
      <c r="CC184" s="115" t="b">
        <f t="shared" ca="1" si="139"/>
        <v>0</v>
      </c>
      <c r="CD184" s="115">
        <f>IF(模拟模式!$Q$16="1个",IF(B184/40&gt;CE183,1,0),0)</f>
        <v>0</v>
      </c>
      <c r="CE184" s="115">
        <f t="shared" si="140"/>
        <v>0</v>
      </c>
      <c r="CF184" s="115">
        <f>IF(OR(CD184=1,模拟模式!$Q$16="2个"),20,MAX(0,CF183-$F$4))</f>
        <v>0</v>
      </c>
      <c r="CG184" s="115" t="b">
        <f t="shared" si="141"/>
        <v>0</v>
      </c>
      <c r="CH184" s="115">
        <f t="shared" ca="1" si="172"/>
        <v>19.852500000000006</v>
      </c>
      <c r="CI184" s="115" t="b">
        <f t="shared" ca="1" si="173"/>
        <v>0</v>
      </c>
      <c r="CJ184" s="119">
        <f t="shared" ca="1" si="174"/>
        <v>0</v>
      </c>
      <c r="CK184" s="115">
        <f t="shared" ca="1" si="175"/>
        <v>0</v>
      </c>
      <c r="CL184" s="115" t="b">
        <f ca="1">AND(模拟模式!$S$7="驱夷逐法",OR(AND(C184="净世破魔击·月",E183&gt;59),AND(C184="净世破魔击·日",F183&gt;59)))</f>
        <v>0</v>
      </c>
      <c r="CM184" s="115" t="b">
        <f ca="1">OR(CL184,AND(C184="净世破魔击·日",CL183,RAND()&lt;模拟模式!$U$23))</f>
        <v>0</v>
      </c>
      <c r="CN184" s="115" t="b">
        <f ca="1">IF(模拟模式!$M$7="辉耀红尘",AND(C184="净世破魔击·月",CL184,CV184=0,E183&lt;80),AND(C184="净世破魔击·月",CL184,E183&lt;100))</f>
        <v>0</v>
      </c>
      <c r="CO184" s="115" t="b">
        <f t="shared" ca="1" si="148"/>
        <v>0</v>
      </c>
      <c r="CP184" s="115" t="b">
        <f ca="1">AND(模拟模式!$O$7="用晦而明",OR(C184="净世破魔击·日",C184="净世破魔击·月",C184="驱夜断愁"),AB184)</f>
        <v>1</v>
      </c>
      <c r="CQ184" s="115" t="b">
        <f ca="1">OR(CP184,AND(CP183,RAND()&lt;模拟模式!$U$23))</f>
        <v>1</v>
      </c>
      <c r="CR184" s="115" t="b">
        <f ca="1">AND(模拟模式!$S$7="日月齐光",OR(C184="幽月轮1",C184="幽月轮2",C184="幽月轮3",CR183),NOT(OR(C184="赤日轮1",C184="赤日轮2",C184="赤日轮3")))</f>
        <v>0</v>
      </c>
      <c r="CS184" s="115" t="b">
        <f ca="1">AND(模拟模式!$S$7="日月齐光",OR(C184="赤日轮1",C184="赤日轮2",C184="赤日轮3",CS183),NOT(OR(C184="幽月轮1",C184="幽月轮2",C184="幽月轮3")))</f>
        <v>0</v>
      </c>
      <c r="CT184" s="115">
        <f t="shared" ca="1" si="176"/>
        <v>22.620000000000005</v>
      </c>
      <c r="CU184" s="115" t="b">
        <f ca="1">AND(模拟模式!$K$10="阴阳往极",CT183=0,RAND()&lt;IF(C184="净世破魔击·月",0.0275*7/3,IF(C184="净世破魔击·日",0.0275*3/3,0.0275*2/3)))</f>
        <v>0</v>
      </c>
      <c r="CV184" s="115">
        <f t="shared" ca="1" si="177"/>
        <v>0</v>
      </c>
      <c r="CW184" s="115">
        <f t="shared" ca="1" si="149"/>
        <v>0</v>
      </c>
      <c r="CX184" s="115">
        <f t="shared" ca="1" si="150"/>
        <v>5.0774999999999997</v>
      </c>
      <c r="CY184" s="115">
        <f ca="1">MAX(IF($C184="驱夜断愁",IF(模拟模式!$R$7="万念俱寂",6,45),CY183-$F$4),0)</f>
        <v>6</v>
      </c>
      <c r="CZ184" s="115">
        <f t="shared" ca="1" si="151"/>
        <v>0</v>
      </c>
      <c r="DA184" s="115">
        <f ca="1">IF(模拟模式!$N$7="日月同辉",IF(DB183=2,0,MIN(6,IF(AND(OR(C184="赤日轮1",C184="赤日轮2",C184="赤日轮3",C184="幽月轮1",C184="幽月轮2",C184="幽月轮3"),AB184=1),DA183+1,DA183))),0)</f>
        <v>2</v>
      </c>
      <c r="DB184" s="115">
        <f t="shared" ca="1" si="152"/>
        <v>0</v>
      </c>
      <c r="DC184" s="115"/>
      <c r="DD184" s="115"/>
      <c r="DE184" s="115"/>
      <c r="DF184" s="115"/>
      <c r="DG184" s="115"/>
      <c r="DH184" s="115"/>
      <c r="DI184" s="115"/>
      <c r="DJ184" s="115"/>
      <c r="DK184" s="115"/>
      <c r="DL184" s="115"/>
      <c r="DM184" s="115"/>
    </row>
    <row r="185" spans="2:117" x14ac:dyDescent="0.2">
      <c r="B185" s="117">
        <f t="shared" si="153"/>
        <v>145.75500000000019</v>
      </c>
      <c r="C185" s="167" t="str">
        <f t="shared" ca="1" si="146"/>
        <v>烈日斩</v>
      </c>
      <c r="D185" s="115">
        <f ca="1">IF(C185="赤日轮1",1,IF(C185="赤日轮2",2,IF(C185="赤日轮3",3,IF(C185="幽月轮1",4,IF(C185="幽月轮2",5,IF(C185="幽月轮3",6,IF(C185="烈日斩",7,IF(C185="银月斩",8,IF(C185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185="净世破魔击·月",17,IF(C185="驱夜断愁",18,0)))))))))))</f>
        <v>7</v>
      </c>
      <c r="E185" s="115">
        <f ca="1">IF(AND(CU185,OR(C185="幽月轮1",C185="幽月轮2",C185="幽月轮3",C185="银月斩",C185="驱夜断愁",C185="净世破魔击·月")),100,MIN(IF(OR(CN185,BE185),0,IF(OR($C185="赤日轮1",$C185="赤日轮2",$C185="赤日轮3"),E184+20+IF(模拟模式!$I$7="日月凌天",4,0)+IF(CR184,20,0),IF($C185="烈日斩",E184+40,IF($C185="驱夜断愁",IF(模拟模式!$R$7="万念俱寂",E184+20,E184+60),IF($C185="净世破魔击·月",IF(OR(DB184&gt;0,CV184&gt;0),100,IF(模拟模式!$M$7="辉耀红尘",E184+20,E184)),IF($C185="净世破魔击·日",E184-100,E184)))))),100))</f>
        <v>80</v>
      </c>
      <c r="F185" s="115">
        <f ca="1">IF(AND(CU185,OR(C185="赤日轮1",C185="赤日轮2",C185="赤日轮3",C185="烈日斩",C185="净世破魔击·日")),100,MIN(IF(CO185,0,IF(OR($C185="幽月轮1",$C185="幽月轮2",$C185="幽月轮3"),F184+20+IF(模拟模式!$I$7="日月凌天",4,0)+IF(CS184,20,0),IF($C185="银月斩",F184+40+IF(模拟模式!$X$12=1,5,0),IF($C185="驱夜断愁",IF(模拟模式!$R$7="万念俱寂",F184+20,F184+60),IF($C185="净世破魔击·月",IF(模拟模式!$M$7="辉耀红尘",F184-80,F184-100),IF(AND(C185="净世破魔击·日",OR(DB184&gt;0,CV184&gt;0)),100,F184)))))),100))</f>
        <v>85</v>
      </c>
      <c r="G185" s="117">
        <f ca="1">('模拟-全程加成'!$E$3+'模拟-全程加成'!$E$4+'模拟-全程加成'!$E$5+('模拟-全程加成'!$C$6-'模拟-全程加成'!$C$3)*系数!$B$9+BS185*23)*(1+'模拟-全程加成'!$F$4+'模拟-全程加成'!$F$5+BJ185*10%+BM185*20%+BP185*4%+CG185*30%)+$F$7*系数!$B$12</f>
        <v>21493.829400000002</v>
      </c>
      <c r="H185" s="45">
        <f ca="1">'模拟-全程加成'!$H$3+'模拟-全程加成'!$H$4+'模拟-全程加成'!$H$5+('模拟-全程加成'!$G$4+'模拟-全程加成'!$G$5+('模拟-全程加成'!$C$6-'模拟-全程加成'!$C$3)*系数!$B$13)/系数!$B$3+LOOKUP(D185,'模拟-单技能数据'!$A$2:$A$19,'模拟-单技能数据'!$K$2:$K$19)+BG185*10%+IF(BV185&gt;0,378,0)</f>
        <v>0.56185145527300218</v>
      </c>
      <c r="I185" s="45">
        <f ca="1">'模拟-全程加成'!$J$3+'模拟-全程加成'!$J$4+'模拟-全程加成'!$J$5+('模拟-全程加成'!$I$4+'模拟-全程加成'!$I$5)/系数!$B$4+LOOKUP(D185,'模拟-单技能数据'!$A$2:$A$19,'模拟-单技能数据'!$L$2:$L$19)+BG185*10%</f>
        <v>2.2624828854998791</v>
      </c>
      <c r="J185" s="45">
        <f ca="1">(('模拟-全程加成'!$K$3+'模拟-全程加成'!$K$4+'模拟-全程加成'!$K$5+('模拟-全程加成'!$C$6-'模拟-全程加成'!$C$3)*系数!$B$10+IF(BV185&gt;0,882,0)+IF(BY185&gt;0,1831,0))*(1+'模拟-全程加成'!$L$4+'模拟-全程加成'!$L$5+CC185*20%))/系数!$B$5</f>
        <v>0.69723220422048726</v>
      </c>
      <c r="K185" s="119">
        <f ca="1">LOOKUP(D185,'模拟-单技能数据'!$A$2:$A$19,'模拟-单技能数据'!$J$2:$J$19)+IF(CM185,60%,0)+IF(DB184-DB185&gt;0,30%,0)+IF(OR(AND(OR(C185="赤日轮1",C185="赤日轮2",C185="赤日轮3"),CR185),AND(OR(C185="幽月轮1",C185="幽月轮2",C185="幽月轮3"),CS185)),35%,0)+CJ185</f>
        <v>0.24</v>
      </c>
      <c r="L185" s="119">
        <f ca="1">IF(AND(C185="烈日斩",模拟模式!$X$11=1),10%,0)+IF(AND(C185="驱夜断愁",AB185=1),30%,0)</f>
        <v>0.1</v>
      </c>
      <c r="M185" s="45">
        <f t="shared" ca="1" si="129"/>
        <v>0.56185145527300218</v>
      </c>
      <c r="N185" s="45">
        <f t="shared" ca="1" si="130"/>
        <v>0.38424854472699788</v>
      </c>
      <c r="O185" s="46">
        <f t="shared" ca="1" si="154"/>
        <v>0.41625528088829411</v>
      </c>
      <c r="P185" s="46" t="str">
        <f t="shared" ca="1" si="155"/>
        <v>会</v>
      </c>
      <c r="Q185" s="45">
        <f t="shared" ca="1" si="156"/>
        <v>2.2624828854998791</v>
      </c>
      <c r="R185" s="117">
        <f ca="1">模拟模式!$E$20*(1-IF(模拟模式!$J$19="有",0.15,0))*(1-IF(模拟模式!$K$19="有",0.3,0)-IF(CQ185,0.5,0))</f>
        <v>843.02999999999975</v>
      </c>
      <c r="S185" s="45">
        <f ca="1">R185/(R185+(185*模拟模式!$E$22-16800)*4.08224)</f>
        <v>8.389626085980037E-2</v>
      </c>
      <c r="T185" s="45" t="str">
        <f ca="1">LOOKUP(D185,'模拟-单技能数据'!$A$2:$A$19,'模拟-单技能数据'!$H$2:$H$19)</f>
        <v>阳</v>
      </c>
      <c r="U185" s="119">
        <f t="shared" ca="1" si="131"/>
        <v>0.2</v>
      </c>
      <c r="V185" s="47">
        <f ca="1">(1+L185)*(LOOKUP(D185,'模拟-单技能数据'!$A$2:$A$19,'模拟-单技能数据'!$D$2:$D$19)+G185*LOOKUP(D185,'模拟-单技能数据'!$A$2:$A$19,'模拟-单技能数据'!$F$2:$F$19))*(1+J185)*(1+K185)*(1-S185)*(1+U185)*Q185*LOOKUP(D185,'模拟-单技能数据'!$A$2:$A$19,'模拟-单技能数据'!$I$2:$I$20)</f>
        <v>110503.35617153208</v>
      </c>
      <c r="W185" s="47">
        <f ca="1">LOOKUP(D185,'模拟-单技能数据'!$A$2:$A$19,'模拟-单技能数据'!$G$2:$G$19)*$I$10</f>
        <v>361.51064354704795</v>
      </c>
      <c r="X185" s="47">
        <f t="shared" ca="1" si="157"/>
        <v>15858.380188173272</v>
      </c>
      <c r="Y185" s="47">
        <f t="shared" ca="1" si="132"/>
        <v>126723.24700325241</v>
      </c>
      <c r="Z185" s="49">
        <f t="shared" ca="1" si="133"/>
        <v>16599184.444105485</v>
      </c>
      <c r="AA185" s="97">
        <f t="shared" ca="1" si="134"/>
        <v>113884.15110360169</v>
      </c>
      <c r="AB185" s="115">
        <f ca="1">IF(OR(C185="赤日轮1",C185="赤日轮2",C185="赤日轮3"),IF(RAND()&lt;模拟模式!$Y$17,1,0),IF(OR(C185="幽月轮1",C185="幽月轮2",C185="幽月轮3"),IF(RAND()&lt;模拟模式!$Y$18,1,0),IF(C185="烈日斩",IF(RAND()&lt;模拟模式!$Y$19,1,0),IF(C185="银月斩",IF(RAND()&lt;模拟模式!$Y$20,1,0),IF(C185="驱夜断愁",IF(RAND()&lt;模拟模式!$Y$21,1,0),IF(C185="净世破魔击·日",IF(RAND()&lt;模拟模式!$Y$22,1,0),IF(C185="净世破魔击·月",IF(RAND()&lt;模拟模式!$Y$23,1,0),0)))))))</f>
        <v>1</v>
      </c>
      <c r="AC185" s="115" t="b">
        <f t="shared" ca="1" si="122"/>
        <v>0</v>
      </c>
      <c r="AD185" s="115" t="b">
        <f t="shared" ca="1" si="142"/>
        <v>1</v>
      </c>
      <c r="AE185" s="115">
        <f t="shared" ca="1" si="143"/>
        <v>4</v>
      </c>
      <c r="AF185" s="47">
        <f ca="1">IF(AC185,('模拟-单技能数据'!$D$20+G185*'模拟-单技能数据'!$F$20)*(1+J185)*(1+'模拟-单技能数据'!$J$20)*(1+U185),0)</f>
        <v>0</v>
      </c>
      <c r="AG185" s="61">
        <f t="shared" ca="1" si="135"/>
        <v>0.64185145527300214</v>
      </c>
      <c r="AH185" s="61">
        <f t="shared" ca="1" si="136"/>
        <v>2.2624828854998791</v>
      </c>
      <c r="AI185" s="62">
        <f t="shared" ca="1" si="158"/>
        <v>0.72806608725183586</v>
      </c>
      <c r="AJ185" s="47">
        <f ca="1">IF(AD185,IF(AI185&lt;$F$10,0,IF(AI185&lt;$F$10+$F$11,0.25,IF(AI185&lt;$F$10+$F$11+AG185,AH185,1)))*IF(AF185&gt;0,AF185,IF(AF184&gt;0,AF184,IF(AF183&gt;0,AF183,IF(AF182&gt;0,AF182,IF(AF181&gt;0,AF181,IF(AF180&gt;0,AF180,IF(AF179&gt;0,AF179,IF(AF178&gt;0,AF178,IF(AF177&gt;0,AF177,IF(AF175&gt;0,AF175,IF(AF174&gt;0,AF174,IF(AF173&gt;0,AF173,0)))))))))))),0)*(1-$S185)*'模拟-单技能数据'!$I$20</f>
        <v>4250.4883357170938</v>
      </c>
      <c r="AK185" s="115" t="b">
        <f t="shared" ca="1" si="123"/>
        <v>0</v>
      </c>
      <c r="AL185" s="115" t="b">
        <f t="shared" ca="1" si="144"/>
        <v>1</v>
      </c>
      <c r="AM185" s="115">
        <f t="shared" ca="1" si="145"/>
        <v>3</v>
      </c>
      <c r="AN185" s="47">
        <f ca="1">IF(AK185,('模拟-单技能数据'!$D$21+G185*'模拟-单技能数据'!$F$21)*(1+J185)*(1+'模拟-单技能数据'!$J$21)*(1+U185),0)</f>
        <v>0</v>
      </c>
      <c r="AO185" s="61">
        <f ca="1">IF(AN185&gt;0,M185-'模拟-单技能数据'!$K$10,AO184)</f>
        <v>0.42185145527300216</v>
      </c>
      <c r="AP185" s="61">
        <f ca="1">IF(AN185&gt;0,I185-'模拟-单技能数据'!$L$10,AP184)</f>
        <v>2.162482885499879</v>
      </c>
      <c r="AQ185" s="63">
        <f t="shared" ca="1" si="159"/>
        <v>0.69605743842976342</v>
      </c>
      <c r="AR185" s="64">
        <f ca="1">IF(AL185,IF(AQ185&lt;$F$10,0,IF(AQ185&lt;$F$10+$F$11,0.25,IF(AQ185&lt;$F$10+$F$11+AO185,AP185,1)))*IF(AN185&gt;0,AN185,IF(AN184&gt;0,AN184,IF(AN183&gt;0,AN183,IF(AN182&gt;0,AN182,IF(AN181&gt;0,AN181,IF(AN180&gt;0,AN180,IF(AN179&gt;0,AN179,IF(AN178&gt;0,AN178,IF(AN177&gt;0,AN177,IF(AN175&gt;0,AN175,IF(AN174&gt;0,AN174,IF(AN173&gt;0,AN173,0)))))))))))),0)*(1-$S185)*'模拟-单技能数据'!$I$21</f>
        <v>11607.89185245618</v>
      </c>
      <c r="AS185" s="61">
        <f ca="1">IF(OR(C185="净世破魔击·日",C185="净世破魔击·月"),M185-'模拟-单技能数据'!$K$10,0)</f>
        <v>0</v>
      </c>
      <c r="AT185" s="61">
        <f ca="1">IF(OR(C185="净世破魔击·日",C185="净世破魔击·月"),I185-'模拟-单技能数据'!$L$10,0)</f>
        <v>0</v>
      </c>
      <c r="AU185" s="62">
        <f t="shared" ca="1" si="160"/>
        <v>0.27836251762817066</v>
      </c>
      <c r="AV185" s="64">
        <f ca="1">IF(AS185&gt;0,('模拟-单技能数据'!$D$22+G185*'模拟-单技能数据'!$F$22)*(1+J185)*(1-S185)*IF(AU185&lt;$F$10,0,IF(AU185&lt;$F$10+$F$11,0.25,IF(AU185&lt;$F$10+$F$11+AS185,AT185,1)))*(1+U185),0)*'模拟-单技能数据'!$I$22</f>
        <v>0</v>
      </c>
      <c r="AW185" s="108">
        <f t="shared" ca="1" si="161"/>
        <v>0</v>
      </c>
      <c r="AX185" s="108" t="b">
        <f ca="1">AND(模拟模式!$P$10="有",AW184=0,RAND()&lt;IF(C185="净世破魔击·月",0.1*8/3,IF(C185="净世破魔击·日",0.1*4/3,0.1*2/3)))</f>
        <v>0</v>
      </c>
      <c r="AY185" s="47">
        <f ca="1">IF(AX185,(18+G185*0.722)*(1+J185)*(1-S185)*(1+$I$4)*IF(P185="会",'模拟-全程加成'!$J$3+'模拟-全程加成'!$J$4+'模拟-全程加成'!$J$5+('模拟-全程加成'!$I$4+'模拟-全程加成'!$I$5)/系数!$B$4+BG185*10%,IF(P185="命",1,IF(P185="识",0.25,0))),0)</f>
        <v>0</v>
      </c>
      <c r="AZ185" s="108">
        <f t="shared" si="162"/>
        <v>16.310000000000002</v>
      </c>
      <c r="BA185" s="108" t="b">
        <f>AND(模拟模式!$Q$10="有",AZ184=0)</f>
        <v>0</v>
      </c>
      <c r="BB185" s="140">
        <f>IF(BA185,(0+G185*0.287)*(1+J185)*(1-S185)*(1+$I$4)*IF(P185="会",'模拟-全程加成'!$J$3+'模拟-全程加成'!$J$4+'模拟-全程加成'!$J$5+('模拟-全程加成'!$I$4+'模拟-全程加成'!$I$5)/系数!$B$4+BG185*10%,IF(P185="命",1,IF(P185="识",0.25,0))),0)</f>
        <v>0</v>
      </c>
      <c r="BC185" s="115" t="b">
        <f ca="1">AND(模拟模式!$R$7="伏明众生",E185=60,F185=20,DA185&lt;5,CZ184&lt;$F$4)</f>
        <v>0</v>
      </c>
      <c r="BD185" s="115">
        <f t="shared" ca="1" si="124"/>
        <v>0</v>
      </c>
      <c r="BE185" s="115" t="b">
        <f t="shared" ca="1" si="125"/>
        <v>0</v>
      </c>
      <c r="BF185" s="47">
        <f ca="1">IF(BC185,4*('模拟-单技能数据'!$D$24+G185*'模拟-单技能数据'!$F$24)*(1+J185)*(1+'模拟-单技能数据'!$J$24)*(1-S185)*(1+$I$3)*(('模拟-全程加成'!$J$3+'模拟-全程加成'!$J$4+'模拟-全程加成'!$J$5+('模拟-全程加成'!$I$4+'模拟-全程加成'!$I$5)/系数!$B$4+BG185*10%)*('模拟-全程加成'!$J$3+'模拟-全程加成'!$J$4+'模拟-全程加成'!$J$5+('模拟-全程加成'!$I$4+'模拟-全程加成'!$I$5)/系数!$B$4+BG185*10%)+(1-('模拟-全程加成'!$J$3+'模拟-全程加成'!$J$4+'模拟-全程加成'!$J$5+('模拟-全程加成'!$I$4+'模拟-全程加成'!$I$5)/系数!$B$4+BG185*10%)-$F$10-$F$11)+F171*0.25),0)*'模拟-单技能数据'!$I$24</f>
        <v>0</v>
      </c>
      <c r="BG185" s="115" t="b">
        <f ca="1">OR(AND(OR(C185="烈日斩",C185="银月斩"),模拟模式!$I$7="净身明礼"),AND(C185="净世破魔击·日",模拟模式!$J$7="洞若观火"),AND(C186="净世破魔击·月",模拟模式!$J$7="洞若观火"),AB185=1)</f>
        <v>1</v>
      </c>
      <c r="BH185" s="115" t="b">
        <f t="shared" ca="1" si="163"/>
        <v>0</v>
      </c>
      <c r="BI185" s="115">
        <f t="shared" ca="1" si="126"/>
        <v>4.1549999999999994</v>
      </c>
      <c r="BJ185" s="115" t="b">
        <f t="shared" ca="1" si="137"/>
        <v>1</v>
      </c>
      <c r="BK185" s="115" t="b">
        <f ca="1">AND(C185="驱夜断愁",模拟模式!$P$7="天地诛戮")</f>
        <v>0</v>
      </c>
      <c r="BL185" s="57">
        <f t="shared" ca="1" si="127"/>
        <v>19.077500000000001</v>
      </c>
      <c r="BM185" s="115" t="b">
        <f t="shared" ca="1" si="138"/>
        <v>1</v>
      </c>
      <c r="BN185" s="115" t="b">
        <f ca="1">AND(OR(C185="赤日轮1",C185="赤日轮2",C185="赤日轮3",C185="幽月轮1",C185="幽月轮2",C185="幽月轮3"),AB185=1,模拟模式!$L$7="明光恒照")</f>
        <v>0</v>
      </c>
      <c r="BO185" s="117">
        <f t="shared" ca="1" si="128"/>
        <v>20.775000000000006</v>
      </c>
      <c r="BP185" s="115">
        <f t="shared" ca="1" si="164"/>
        <v>6</v>
      </c>
      <c r="BQ185" s="115" t="b">
        <f>模拟模式!$K$10="2600·水"</f>
        <v>0</v>
      </c>
      <c r="BR185" s="117">
        <f t="shared" si="165"/>
        <v>0</v>
      </c>
      <c r="BS185" s="115">
        <f t="shared" si="166"/>
        <v>0</v>
      </c>
      <c r="BT185" s="115">
        <f t="shared" ca="1" si="167"/>
        <v>0</v>
      </c>
      <c r="BU185" s="115" t="b">
        <f ca="1">AND(模拟模式!$K$10="2300·雷",BT184=0,RAND()&lt;IF(C185="净世破魔击·月",5*0.05*2/3,IF(C185="净世破魔击·日",3*0.05*2/3,0.05*2*2/3)))</f>
        <v>0</v>
      </c>
      <c r="BV185" s="115">
        <f t="shared" ca="1" si="168"/>
        <v>0</v>
      </c>
      <c r="BW185" s="115">
        <f t="shared" ca="1" si="169"/>
        <v>39.779999999999291</v>
      </c>
      <c r="BX185" s="164" t="b">
        <f t="shared" ca="1" si="170"/>
        <v>0</v>
      </c>
      <c r="BY185" s="115">
        <f t="shared" ca="1" si="171"/>
        <v>0</v>
      </c>
      <c r="BZ185" s="115">
        <f>IF(OR(模拟模式!$P$16="10人团",模拟模式!$P$16="25人团"),IF(B185/30&gt;CA184,1,0),0)</f>
        <v>0</v>
      </c>
      <c r="CA185" s="115">
        <f t="shared" si="147"/>
        <v>0</v>
      </c>
      <c r="CB185" s="115">
        <f ca="1">IF(BZ185=1,IF(模拟模式!$P$16="10人团",15,0)+IF(模拟模式!$P$16="25人团",IF(RAND()&lt;0.6,15,0)),MAX(0,CB184-$F$4))</f>
        <v>0</v>
      </c>
      <c r="CC185" s="115" t="b">
        <f t="shared" ca="1" si="139"/>
        <v>0</v>
      </c>
      <c r="CD185" s="115">
        <f>IF(模拟模式!$Q$16="1个",IF(B185/40&gt;CE184,1,0),0)</f>
        <v>0</v>
      </c>
      <c r="CE185" s="115">
        <f t="shared" si="140"/>
        <v>0</v>
      </c>
      <c r="CF185" s="115">
        <f>IF(OR(CD185=1,模拟模式!$Q$16="2个"),20,MAX(0,CF184-$F$4))</f>
        <v>0</v>
      </c>
      <c r="CG185" s="115" t="b">
        <f t="shared" si="141"/>
        <v>0</v>
      </c>
      <c r="CH185" s="115">
        <f t="shared" ca="1" si="172"/>
        <v>18.930000000000007</v>
      </c>
      <c r="CI185" s="115" t="b">
        <f t="shared" ca="1" si="173"/>
        <v>0</v>
      </c>
      <c r="CJ185" s="119">
        <f t="shared" ca="1" si="174"/>
        <v>0</v>
      </c>
      <c r="CK185" s="115">
        <f t="shared" ca="1" si="175"/>
        <v>0</v>
      </c>
      <c r="CL185" s="115" t="b">
        <f ca="1">AND(模拟模式!$S$7="驱夷逐法",OR(AND(C185="净世破魔击·月",E184&gt;59),AND(C185="净世破魔击·日",F184&gt;59)))</f>
        <v>0</v>
      </c>
      <c r="CM185" s="115" t="b">
        <f ca="1">OR(CL185,AND(C185="净世破魔击·日",CL184,RAND()&lt;模拟模式!$U$23))</f>
        <v>0</v>
      </c>
      <c r="CN185" s="115" t="b">
        <f ca="1">IF(模拟模式!$M$7="辉耀红尘",AND(C185="净世破魔击·月",CL185,CV185=0,E184&lt;80),AND(C185="净世破魔击·月",CL185,E184&lt;100))</f>
        <v>0</v>
      </c>
      <c r="CO185" s="115" t="b">
        <f t="shared" ca="1" si="148"/>
        <v>0</v>
      </c>
      <c r="CP185" s="115" t="b">
        <f ca="1">AND(模拟模式!$O$7="用晦而明",OR(C185="净世破魔击·日",C185="净世破魔击·月",C185="驱夜断愁"),AB185)</f>
        <v>0</v>
      </c>
      <c r="CQ185" s="115" t="b">
        <f ca="1">OR(CP185,AND(CP184,RAND()&lt;模拟模式!$U$23))</f>
        <v>1</v>
      </c>
      <c r="CR185" s="115" t="b">
        <f ca="1">AND(模拟模式!$S$7="日月齐光",OR(C185="幽月轮1",C185="幽月轮2",C185="幽月轮3",CR184),NOT(OR(C185="赤日轮1",C185="赤日轮2",C185="赤日轮3")))</f>
        <v>0</v>
      </c>
      <c r="CS185" s="115" t="b">
        <f ca="1">AND(模拟模式!$S$7="日月齐光",OR(C185="赤日轮1",C185="赤日轮2",C185="赤日轮3",CS184),NOT(OR(C185="幽月轮1",C185="幽月轮2",C185="幽月轮3")))</f>
        <v>0</v>
      </c>
      <c r="CT185" s="115">
        <f t="shared" ca="1" si="176"/>
        <v>21.697500000000005</v>
      </c>
      <c r="CU185" s="115" t="b">
        <f ca="1">AND(模拟模式!$K$10="阴阳往极",CT184=0,RAND()&lt;IF(C185="净世破魔击·月",0.0275*7/3,IF(C185="净世破魔击·日",0.0275*3/3,0.0275*2/3)))</f>
        <v>0</v>
      </c>
      <c r="CV185" s="115">
        <f t="shared" ca="1" si="177"/>
        <v>0</v>
      </c>
      <c r="CW185" s="115">
        <f t="shared" ca="1" si="149"/>
        <v>6</v>
      </c>
      <c r="CX185" s="115">
        <f t="shared" ca="1" si="150"/>
        <v>4.1549999999999994</v>
      </c>
      <c r="CY185" s="115">
        <f ca="1">MAX(IF($C185="驱夜断愁",IF(模拟模式!$R$7="万念俱寂",6,45),CY184-$F$4),0)</f>
        <v>5.0774999999999997</v>
      </c>
      <c r="CZ185" s="115">
        <f t="shared" ca="1" si="151"/>
        <v>0</v>
      </c>
      <c r="DA185" s="115">
        <f ca="1">IF(模拟模式!$N$7="日月同辉",IF(DB184=2,0,MIN(6,IF(AND(OR(C185="赤日轮1",C185="赤日轮2",C185="赤日轮3",C185="幽月轮1",C185="幽月轮2",C185="幽月轮3"),AB185=1),DA184+1,DA184))),0)</f>
        <v>2</v>
      </c>
      <c r="DB185" s="115">
        <f t="shared" ca="1" si="152"/>
        <v>0</v>
      </c>
      <c r="DC185" s="115"/>
      <c r="DD185" s="115"/>
      <c r="DE185" s="115"/>
      <c r="DF185" s="115"/>
      <c r="DG185" s="115"/>
      <c r="DH185" s="115"/>
      <c r="DI185" s="115"/>
      <c r="DJ185" s="115"/>
      <c r="DK185" s="115"/>
      <c r="DL185" s="115"/>
      <c r="DM185" s="115"/>
    </row>
    <row r="186" spans="2:117" x14ac:dyDescent="0.2">
      <c r="B186" s="117">
        <f t="shared" si="153"/>
        <v>146.67750000000021</v>
      </c>
      <c r="C186" s="167" t="str">
        <f t="shared" ca="1" si="146"/>
        <v>幽月轮1</v>
      </c>
      <c r="D186" s="115">
        <f ca="1">IF(C186="赤日轮1",1,IF(C186="赤日轮2",2,IF(C186="赤日轮3",3,IF(C186="幽月轮1",4,IF(C186="幽月轮2",5,IF(C186="幽月轮3",6,IF(C186="烈日斩",7,IF(C186="银月斩",8,IF(C186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186="净世破魔击·月",17,IF(C186="驱夜断愁",18,0)))))))))))</f>
        <v>4</v>
      </c>
      <c r="E186" s="115">
        <f ca="1">IF(AND(CU186,OR(C186="幽月轮1",C186="幽月轮2",C186="幽月轮3",C186="银月斩",C186="驱夜断愁",C186="净世破魔击·月")),100,MIN(IF(OR(CN186,BE186),0,IF(OR($C186="赤日轮1",$C186="赤日轮2",$C186="赤日轮3"),E185+20+IF(模拟模式!$I$7="日月凌天",4,0)+IF(CR185,20,0),IF($C186="烈日斩",E185+40,IF($C186="驱夜断愁",IF(模拟模式!$R$7="万念俱寂",E185+20,E185+60),IF($C186="净世破魔击·月",IF(OR(DB185&gt;0,CV185&gt;0),100,IF(模拟模式!$M$7="辉耀红尘",E185+20,E185)),IF($C186="净世破魔击·日",E185-100,E185)))))),100))</f>
        <v>80</v>
      </c>
      <c r="F186" s="115">
        <f ca="1">IF(AND(CU186,OR(C186="赤日轮1",C186="赤日轮2",C186="赤日轮3",C186="烈日斩",C186="净世破魔击·日")),100,MIN(IF(CO186,0,IF(OR($C186="幽月轮1",$C186="幽月轮2",$C186="幽月轮3"),F185+20+IF(模拟模式!$I$7="日月凌天",4,0)+IF(CS185,20,0),IF($C186="银月斩",F185+40+IF(模拟模式!$X$12=1,5,0),IF($C186="驱夜断愁",IF(模拟模式!$R$7="万念俱寂",F185+20,F185+60),IF($C186="净世破魔击·月",IF(模拟模式!$M$7="辉耀红尘",F185-80,F185-100),IF(AND(C186="净世破魔击·日",OR(DB185&gt;0,CV185&gt;0)),100,F185)))))),100))</f>
        <v>100</v>
      </c>
      <c r="G186" s="117">
        <f ca="1">('模拟-全程加成'!$E$3+'模拟-全程加成'!$E$4+'模拟-全程加成'!$E$5+('模拟-全程加成'!$C$6-'模拟-全程加成'!$C$3)*系数!$B$9+BS186*23)*(1+'模拟-全程加成'!$F$4+'模拟-全程加成'!$F$5+BJ186*10%+BM186*20%+BP186*4%+CG186*30%)+$F$7*系数!$B$12</f>
        <v>21493.829400000002</v>
      </c>
      <c r="H186" s="45">
        <f ca="1">'模拟-全程加成'!$H$3+'模拟-全程加成'!$H$4+'模拟-全程加成'!$H$5+('模拟-全程加成'!$G$4+'模拟-全程加成'!$G$5+('模拟-全程加成'!$C$6-'模拟-全程加成'!$C$3)*系数!$B$13)/系数!$B$3+LOOKUP(D186,'模拟-单技能数据'!$A$2:$A$19,'模拟-单技能数据'!$K$2:$K$19)+BG186*10%+IF(BV186&gt;0,378,0)</f>
        <v>0.51185145527300213</v>
      </c>
      <c r="I186" s="45">
        <f ca="1">'模拟-全程加成'!$J$3+'模拟-全程加成'!$J$4+'模拟-全程加成'!$J$5+('模拟-全程加成'!$I$4+'模拟-全程加成'!$I$5)/系数!$B$4+LOOKUP(D186,'模拟-单技能数据'!$A$2:$A$19,'模拟-单技能数据'!$L$2:$L$19)+BG186*10%</f>
        <v>2.162482885499879</v>
      </c>
      <c r="J186" s="45">
        <f ca="1">(('模拟-全程加成'!$K$3+'模拟-全程加成'!$K$4+'模拟-全程加成'!$K$5+('模拟-全程加成'!$C$6-'模拟-全程加成'!$C$3)*系数!$B$10+IF(BV186&gt;0,882,0)+IF(BY186&gt;0,1831,0))*(1+'模拟-全程加成'!$L$4+'模拟-全程加成'!$L$5+CC186*20%))/系数!$B$5</f>
        <v>0.69723220422048726</v>
      </c>
      <c r="K186" s="119">
        <f ca="1">LOOKUP(D186,'模拟-单技能数据'!$A$2:$A$19,'模拟-单技能数据'!$J$2:$J$19)+IF(CM186,60%,0)+IF(DB185-DB186&gt;0,30%,0)+IF(OR(AND(OR(C186="赤日轮1",C186="赤日轮2",C186="赤日轮3"),CR186),AND(OR(C186="幽月轮1",C186="幽月轮2",C186="幽月轮3"),CS186)),35%,0)+CJ186</f>
        <v>7.0000000000000007E-2</v>
      </c>
      <c r="L186" s="119">
        <f ca="1">IF(AND(C186="烈日斩",模拟模式!$X$11=1),10%,0)+IF(AND(C186="驱夜断愁",AB186=1),30%,0)</f>
        <v>0</v>
      </c>
      <c r="M186" s="45">
        <f t="shared" ca="1" si="129"/>
        <v>0.51185145527300213</v>
      </c>
      <c r="N186" s="45">
        <f t="shared" ca="1" si="130"/>
        <v>0.43424854472699792</v>
      </c>
      <c r="O186" s="46">
        <f t="shared" ca="1" si="154"/>
        <v>0.65774696783131315</v>
      </c>
      <c r="P186" s="46" t="str">
        <f t="shared" ca="1" si="155"/>
        <v>命</v>
      </c>
      <c r="Q186" s="45">
        <f t="shared" ca="1" si="156"/>
        <v>1</v>
      </c>
      <c r="R186" s="117">
        <f ca="1">模拟模式!$E$20*(1-IF(模拟模式!$J$19="有",0.15,0))*(1-IF(模拟模式!$K$19="有",0.3,0)-IF(CQ186,0.5,0))</f>
        <v>2950.6049999999996</v>
      </c>
      <c r="S186" s="45">
        <f ca="1">R186/(R186+(185*模拟模式!$E$22-16800)*4.08224)</f>
        <v>0.24272716014590323</v>
      </c>
      <c r="T186" s="45" t="str">
        <f ca="1">LOOKUP(D186,'模拟-单技能数据'!$A$2:$A$19,'模拟-单技能数据'!$H$2:$H$19)</f>
        <v>阴</v>
      </c>
      <c r="U186" s="119">
        <f t="shared" ca="1" si="131"/>
        <v>0.08</v>
      </c>
      <c r="V186" s="47">
        <f ca="1">(1+L186)*(LOOKUP(D186,'模拟-单技能数据'!$A$2:$A$19,'模拟-单技能数据'!$D$2:$D$19)+G186*LOOKUP(D186,'模拟-单技能数据'!$A$2:$A$19,'模拟-单技能数据'!$F$2:$F$19))*(1+J186)*(1+K186)*(1-S186)*(1+U186)*Q186*LOOKUP(D186,'模拟-单技能数据'!$A$2:$A$19,'模拟-单技能数据'!$I$2:$I$20)</f>
        <v>16939.18703301924</v>
      </c>
      <c r="W186" s="47">
        <f ca="1">LOOKUP(D186,'模拟-单技能数据'!$A$2:$A$19,'模拟-单技能数据'!$G$2:$G$19)*$I$10</f>
        <v>361.51064354704795</v>
      </c>
      <c r="X186" s="47">
        <f t="shared" ca="1" si="157"/>
        <v>0</v>
      </c>
      <c r="Y186" s="47">
        <f t="shared" ca="1" si="132"/>
        <v>17300.697676566288</v>
      </c>
      <c r="Z186" s="49">
        <f t="shared" ca="1" si="133"/>
        <v>16616485.141782051</v>
      </c>
      <c r="AA186" s="97">
        <f t="shared" ca="1" si="134"/>
        <v>113285.84917101824</v>
      </c>
      <c r="AB186" s="115">
        <f ca="1">IF(OR(C186="赤日轮1",C186="赤日轮2",C186="赤日轮3"),IF(RAND()&lt;模拟模式!$Y$17,1,0),IF(OR(C186="幽月轮1",C186="幽月轮2",C186="幽月轮3"),IF(RAND()&lt;模拟模式!$Y$18,1,0),IF(C186="烈日斩",IF(RAND()&lt;模拟模式!$Y$19,1,0),IF(C186="银月斩",IF(RAND()&lt;模拟模式!$Y$20,1,0),IF(C186="驱夜断愁",IF(RAND()&lt;模拟模式!$Y$21,1,0),IF(C186="净世破魔击·日",IF(RAND()&lt;模拟模式!$Y$22,1,0),IF(C186="净世破魔击·月",IF(RAND()&lt;模拟模式!$Y$23,1,0),0)))))))</f>
        <v>1</v>
      </c>
      <c r="AC186" s="115" t="b">
        <f t="shared" ca="1" si="122"/>
        <v>0</v>
      </c>
      <c r="AD186" s="115" t="b">
        <f t="shared" ca="1" si="142"/>
        <v>0</v>
      </c>
      <c r="AE186" s="115">
        <f t="shared" ca="1" si="143"/>
        <v>4</v>
      </c>
      <c r="AF186" s="47">
        <f ca="1">IF(AC186,('模拟-单技能数据'!$D$20+G186*'模拟-单技能数据'!$F$20)*(1+J186)*(1+'模拟-单技能数据'!$J$20)*(1+U186),0)</f>
        <v>0</v>
      </c>
      <c r="AG186" s="61">
        <f t="shared" ca="1" si="135"/>
        <v>0.64185145527300214</v>
      </c>
      <c r="AH186" s="61">
        <f t="shared" ca="1" si="136"/>
        <v>2.2624828854998791</v>
      </c>
      <c r="AI186" s="62">
        <f t="shared" ca="1" si="158"/>
        <v>0.47852801597362338</v>
      </c>
      <c r="AJ186" s="47">
        <f ca="1">IF(AD186,IF(AI186&lt;$F$10,0,IF(AI186&lt;$F$10+$F$11,0.25,IF(AI186&lt;$F$10+$F$11+AG186,AH186,1)))*IF(AF186&gt;0,AF186,IF(AF185&gt;0,AF185,IF(AF184&gt;0,AF184,IF(AF183&gt;0,AF183,IF(AF182&gt;0,AF182,IF(AF181&gt;0,AF181,IF(AF180&gt;0,AF180,IF(AF179&gt;0,AF179,IF(AF178&gt;0,AF178,IF(AF176&gt;0,AF176,IF(AF175&gt;0,AF175,IF(AF174&gt;0,AF174,0)))))))))))),0)*(1-$S186)*'模拟-单技能数据'!$I$20</f>
        <v>0</v>
      </c>
      <c r="AK186" s="115" t="b">
        <f t="shared" ca="1" si="123"/>
        <v>0</v>
      </c>
      <c r="AL186" s="115" t="b">
        <f t="shared" ca="1" si="144"/>
        <v>0</v>
      </c>
      <c r="AM186" s="115">
        <f t="shared" ca="1" si="145"/>
        <v>3</v>
      </c>
      <c r="AN186" s="47">
        <f ca="1">IF(AK186,('模拟-单技能数据'!$D$21+G186*'模拟-单技能数据'!$F$21)*(1+J186)*(1+'模拟-单技能数据'!$J$21)*(1+U186),0)</f>
        <v>0</v>
      </c>
      <c r="AO186" s="61">
        <f ca="1">IF(AN186&gt;0,M186-'模拟-单技能数据'!$K$10,AO185)</f>
        <v>0.42185145527300216</v>
      </c>
      <c r="AP186" s="61">
        <f ca="1">IF(AN186&gt;0,I186-'模拟-单技能数据'!$L$10,AP185)</f>
        <v>2.162482885499879</v>
      </c>
      <c r="AQ186" s="63">
        <f t="shared" ca="1" si="159"/>
        <v>0.37293991990410225</v>
      </c>
      <c r="AR186" s="64">
        <f ca="1">IF(AL186,IF(AQ186&lt;$F$10,0,IF(AQ186&lt;$F$10+$F$11,0.25,IF(AQ186&lt;$F$10+$F$11+AO186,AP186,1)))*IF(AN186&gt;0,AN186,IF(AN185&gt;0,AN185,IF(AN184&gt;0,AN184,IF(AN183&gt;0,AN183,IF(AN182&gt;0,AN182,IF(AN181&gt;0,AN181,IF(AN180&gt;0,AN180,IF(AN179&gt;0,AN179,IF(AN178&gt;0,AN178,IF(AN176&gt;0,AN176,IF(AN175&gt;0,AN175,IF(AN174&gt;0,AN174,0)))))))))))),0)*(1-$S186)*'模拟-单技能数据'!$I$21</f>
        <v>0</v>
      </c>
      <c r="AS186" s="61">
        <f ca="1">IF(OR(C186="净世破魔击·日",C186="净世破魔击·月"),M186-'模拟-单技能数据'!$K$10,0)</f>
        <v>0</v>
      </c>
      <c r="AT186" s="61">
        <f ca="1">IF(OR(C186="净世破魔击·日",C186="净世破魔击·月"),I186-'模拟-单技能数据'!$L$10,0)</f>
        <v>0</v>
      </c>
      <c r="AU186" s="62">
        <f t="shared" ca="1" si="160"/>
        <v>0.9675330048337446</v>
      </c>
      <c r="AV186" s="64">
        <f ca="1">IF(AS186&gt;0,('模拟-单技能数据'!$D$22+G186*'模拟-单技能数据'!$F$22)*(1+J186)*(1-S186)*IF(AU186&lt;$F$10,0,IF(AU186&lt;$F$10+$F$11,0.25,IF(AU186&lt;$F$10+$F$11+AS186,AT186,1)))*(1+U186),0)*'模拟-单技能数据'!$I$22</f>
        <v>0</v>
      </c>
      <c r="AW186" s="108">
        <f t="shared" ca="1" si="161"/>
        <v>0</v>
      </c>
      <c r="AX186" s="108" t="b">
        <f ca="1">AND(模拟模式!$P$10="有",AW185=0,RAND()&lt;IF(C186="净世破魔击·月",0.1*8/3,IF(C186="净世破魔击·日",0.1*4/3,0.1*2/3)))</f>
        <v>0</v>
      </c>
      <c r="AY186" s="47">
        <f ca="1">IF(AX186,(18+G186*0.722)*(1+J186)*(1-S186)*(1+$I$4)*IF(P186="会",'模拟-全程加成'!$J$3+'模拟-全程加成'!$J$4+'模拟-全程加成'!$J$5+('模拟-全程加成'!$I$4+'模拟-全程加成'!$I$5)/系数!$B$4+BG186*10%,IF(P186="命",1,IF(P186="识",0.25,0))),0)</f>
        <v>0</v>
      </c>
      <c r="AZ186" s="108">
        <f t="shared" si="162"/>
        <v>15.387500000000003</v>
      </c>
      <c r="BA186" s="108" t="b">
        <f>AND(模拟模式!$Q$10="有",AZ185=0)</f>
        <v>0</v>
      </c>
      <c r="BB186" s="140">
        <f>IF(BA186,(0+G186*0.287)*(1+J186)*(1-S186)*(1+$I$4)*IF(P186="会",'模拟-全程加成'!$J$3+'模拟-全程加成'!$J$4+'模拟-全程加成'!$J$5+('模拟-全程加成'!$I$4+'模拟-全程加成'!$I$5)/系数!$B$4+BG186*10%,IF(P186="命",1,IF(P186="识",0.25,0))),0)</f>
        <v>0</v>
      </c>
      <c r="BC186" s="115" t="b">
        <f ca="1">AND(模拟模式!$R$7="伏明众生",E186=60,F186=20,DA186&lt;5,CZ185&lt;$F$4)</f>
        <v>0</v>
      </c>
      <c r="BD186" s="115">
        <f t="shared" ca="1" si="124"/>
        <v>0</v>
      </c>
      <c r="BE186" s="115" t="b">
        <f t="shared" ca="1" si="125"/>
        <v>0</v>
      </c>
      <c r="BF186" s="47">
        <f ca="1">IF(BC186,4*('模拟-单技能数据'!$D$24+G186*'模拟-单技能数据'!$F$24)*(1+J186)*(1+'模拟-单技能数据'!$J$24)*(1-S186)*(1+$I$3)*(('模拟-全程加成'!$J$3+'模拟-全程加成'!$J$4+'模拟-全程加成'!$J$5+('模拟-全程加成'!$I$4+'模拟-全程加成'!$I$5)/系数!$B$4+BG186*10%)*('模拟-全程加成'!$J$3+'模拟-全程加成'!$J$4+'模拟-全程加成'!$J$5+('模拟-全程加成'!$I$4+'模拟-全程加成'!$I$5)/系数!$B$4+BG186*10%)+(1-('模拟-全程加成'!$J$3+'模拟-全程加成'!$J$4+'模拟-全程加成'!$J$5+('模拟-全程加成'!$I$4+'模拟-全程加成'!$I$5)/系数!$B$4+BG186*10%)-$F$10-$F$11)+F172*0.25),0)*'模拟-单技能数据'!$I$24</f>
        <v>0</v>
      </c>
      <c r="BG186" s="115" t="b">
        <f ca="1">OR(AND(OR(C186="烈日斩",C186="银月斩"),模拟模式!$I$7="净身明礼"),AND(C186="净世破魔击·日",模拟模式!$J$7="洞若观火"),AND(C187="净世破魔击·月",模拟模式!$J$7="洞若观火"),AB186=1)</f>
        <v>1</v>
      </c>
      <c r="BH186" s="115" t="b">
        <f t="shared" ca="1" si="163"/>
        <v>0</v>
      </c>
      <c r="BI186" s="115">
        <f t="shared" ca="1" si="126"/>
        <v>3.2324999999999995</v>
      </c>
      <c r="BJ186" s="115" t="b">
        <f t="shared" ca="1" si="137"/>
        <v>1</v>
      </c>
      <c r="BK186" s="115" t="b">
        <f ca="1">AND(C186="驱夜断愁",模拟模式!$P$7="天地诛戮")</f>
        <v>0</v>
      </c>
      <c r="BL186" s="57">
        <f t="shared" ca="1" si="127"/>
        <v>18.155000000000001</v>
      </c>
      <c r="BM186" s="115" t="b">
        <f t="shared" ca="1" si="138"/>
        <v>1</v>
      </c>
      <c r="BN186" s="115" t="b">
        <f ca="1">AND(OR(C186="赤日轮1",C186="赤日轮2",C186="赤日轮3",C186="幽月轮1",C186="幽月轮2",C186="幽月轮3"),AB186=1,模拟模式!$L$7="明光恒照")</f>
        <v>1</v>
      </c>
      <c r="BO186" s="117">
        <f t="shared" ca="1" si="128"/>
        <v>30</v>
      </c>
      <c r="BP186" s="115">
        <f t="shared" ca="1" si="164"/>
        <v>6</v>
      </c>
      <c r="BQ186" s="115" t="b">
        <f>模拟模式!$K$10="2600·水"</f>
        <v>0</v>
      </c>
      <c r="BR186" s="117">
        <f t="shared" si="165"/>
        <v>0</v>
      </c>
      <c r="BS186" s="115">
        <f t="shared" si="166"/>
        <v>0</v>
      </c>
      <c r="BT186" s="115">
        <f t="shared" ca="1" si="167"/>
        <v>0</v>
      </c>
      <c r="BU186" s="115" t="b">
        <f ca="1">AND(模拟模式!$K$10="2300·雷",BT185=0,RAND()&lt;IF(C186="净世破魔击·月",5*0.05*2/3,IF(C186="净世破魔击·日",3*0.05*2/3,0.05*2*2/3)))</f>
        <v>0</v>
      </c>
      <c r="BV186" s="115">
        <f t="shared" ca="1" si="168"/>
        <v>0</v>
      </c>
      <c r="BW186" s="115">
        <f t="shared" ca="1" si="169"/>
        <v>38.857499999999291</v>
      </c>
      <c r="BX186" s="164" t="b">
        <f t="shared" ca="1" si="170"/>
        <v>0</v>
      </c>
      <c r="BY186" s="115">
        <f t="shared" ca="1" si="171"/>
        <v>0</v>
      </c>
      <c r="BZ186" s="115">
        <f>IF(OR(模拟模式!$P$16="10人团",模拟模式!$P$16="25人团"),IF(B186/30&gt;CA185,1,0),0)</f>
        <v>0</v>
      </c>
      <c r="CA186" s="115">
        <f t="shared" si="147"/>
        <v>0</v>
      </c>
      <c r="CB186" s="115">
        <f ca="1">IF(BZ186=1,IF(模拟模式!$P$16="10人团",15,0)+IF(模拟模式!$P$16="25人团",IF(RAND()&lt;0.6,15,0)),MAX(0,CB185-$F$4))</f>
        <v>0</v>
      </c>
      <c r="CC186" s="115" t="b">
        <f t="shared" ca="1" si="139"/>
        <v>0</v>
      </c>
      <c r="CD186" s="115">
        <f>IF(模拟模式!$Q$16="1个",IF(B186/40&gt;CE185,1,0),0)</f>
        <v>0</v>
      </c>
      <c r="CE186" s="115">
        <f t="shared" si="140"/>
        <v>0</v>
      </c>
      <c r="CF186" s="115">
        <f>IF(OR(CD186=1,模拟模式!$Q$16="2个"),20,MAX(0,CF185-$F$4))</f>
        <v>0</v>
      </c>
      <c r="CG186" s="115" t="b">
        <f t="shared" si="141"/>
        <v>0</v>
      </c>
      <c r="CH186" s="115">
        <f t="shared" ca="1" si="172"/>
        <v>18.007500000000007</v>
      </c>
      <c r="CI186" s="115" t="b">
        <f t="shared" ca="1" si="173"/>
        <v>0</v>
      </c>
      <c r="CJ186" s="119">
        <f t="shared" ca="1" si="174"/>
        <v>0</v>
      </c>
      <c r="CK186" s="115">
        <f t="shared" ca="1" si="175"/>
        <v>0</v>
      </c>
      <c r="CL186" s="115" t="b">
        <f ca="1">AND(模拟模式!$S$7="驱夷逐法",OR(AND(C186="净世破魔击·月",E185&gt;59),AND(C186="净世破魔击·日",F185&gt;59)))</f>
        <v>0</v>
      </c>
      <c r="CM186" s="115" t="b">
        <f ca="1">OR(CL186,AND(C186="净世破魔击·日",CL185,RAND()&lt;模拟模式!$U$23))</f>
        <v>0</v>
      </c>
      <c r="CN186" s="115" t="b">
        <f ca="1">IF(模拟模式!$M$7="辉耀红尘",AND(C186="净世破魔击·月",CL186,CV186=0,E185&lt;80),AND(C186="净世破魔击·月",CL186,E185&lt;100))</f>
        <v>0</v>
      </c>
      <c r="CO186" s="115" t="b">
        <f t="shared" ca="1" si="148"/>
        <v>0</v>
      </c>
      <c r="CP186" s="115" t="b">
        <f ca="1">AND(模拟模式!$O$7="用晦而明",OR(C186="净世破魔击·日",C186="净世破魔击·月",C186="驱夜断愁"),AB186)</f>
        <v>0</v>
      </c>
      <c r="CQ186" s="115" t="b">
        <f ca="1">OR(CP186,AND(CP185,RAND()&lt;模拟模式!$U$23))</f>
        <v>0</v>
      </c>
      <c r="CR186" s="115" t="b">
        <f ca="1">AND(模拟模式!$S$7="日月齐光",OR(C186="幽月轮1",C186="幽月轮2",C186="幽月轮3",CR185),NOT(OR(C186="赤日轮1",C186="赤日轮2",C186="赤日轮3")))</f>
        <v>0</v>
      </c>
      <c r="CS186" s="115" t="b">
        <f ca="1">AND(模拟模式!$S$7="日月齐光",OR(C186="赤日轮1",C186="赤日轮2",C186="赤日轮3",CS185),NOT(OR(C186="幽月轮1",C186="幽月轮2",C186="幽月轮3")))</f>
        <v>0</v>
      </c>
      <c r="CT186" s="115">
        <f t="shared" ca="1" si="176"/>
        <v>20.775000000000006</v>
      </c>
      <c r="CU186" s="115" t="b">
        <f ca="1">AND(模拟模式!$K$10="阴阳往极",CT185=0,RAND()&lt;IF(C186="净世破魔击·月",0.0275*7/3,IF(C186="净世破魔击·日",0.0275*3/3,0.0275*2/3)))</f>
        <v>0</v>
      </c>
      <c r="CV186" s="115">
        <f t="shared" ca="1" si="177"/>
        <v>0</v>
      </c>
      <c r="CW186" s="115">
        <f t="shared" ca="1" si="149"/>
        <v>5.0774999999999997</v>
      </c>
      <c r="CX186" s="115">
        <f t="shared" ca="1" si="150"/>
        <v>3.2324999999999995</v>
      </c>
      <c r="CY186" s="115">
        <f ca="1">MAX(IF($C186="驱夜断愁",IF(模拟模式!$R$7="万念俱寂",6,45),CY185-$F$4),0)</f>
        <v>4.1549999999999994</v>
      </c>
      <c r="CZ186" s="115">
        <f t="shared" ca="1" si="151"/>
        <v>0</v>
      </c>
      <c r="DA186" s="115">
        <f ca="1">IF(模拟模式!$N$7="日月同辉",IF(DB185=2,0,MIN(6,IF(AND(OR(C186="赤日轮1",C186="赤日轮2",C186="赤日轮3",C186="幽月轮1",C186="幽月轮2",C186="幽月轮3"),AB186=1),DA185+1,DA185))),0)</f>
        <v>3</v>
      </c>
      <c r="DB186" s="115">
        <f t="shared" ca="1" si="152"/>
        <v>0</v>
      </c>
      <c r="DC186" s="115"/>
      <c r="DD186" s="115"/>
      <c r="DE186" s="115"/>
      <c r="DF186" s="115"/>
      <c r="DG186" s="115"/>
      <c r="DH186" s="115"/>
      <c r="DI186" s="115"/>
      <c r="DJ186" s="115"/>
      <c r="DK186" s="115"/>
      <c r="DL186" s="115"/>
      <c r="DM186" s="115"/>
    </row>
    <row r="187" spans="2:117" x14ac:dyDescent="0.2">
      <c r="B187" s="117">
        <f t="shared" si="153"/>
        <v>147.60000000000022</v>
      </c>
      <c r="C187" s="167" t="str">
        <f t="shared" ca="1" si="146"/>
        <v>净世破魔击·月</v>
      </c>
      <c r="D187" s="115">
        <f ca="1">IF(C187="赤日轮1",1,IF(C187="赤日轮2",2,IF(C187="赤日轮3",3,IF(C187="幽月轮1",4,IF(C187="幽月轮2",5,IF(C187="幽月轮3",6,IF(C187="烈日斩",7,IF(C187="银月斩",8,IF(C187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187="净世破魔击·月",17,IF(C187="驱夜断愁",18,0)))))))))))</f>
        <v>17</v>
      </c>
      <c r="E187" s="115">
        <f ca="1">IF(AND(CU187,OR(C187="幽月轮1",C187="幽月轮2",C187="幽月轮3",C187="银月斩",C187="驱夜断愁",C187="净世破魔击·月")),100,MIN(IF(OR(CN187,BE187),0,IF(OR($C187="赤日轮1",$C187="赤日轮2",$C187="赤日轮3"),E186+20+IF(模拟模式!$I$7="日月凌天",4,0)+IF(CR186,20,0),IF($C187="烈日斩",E186+40,IF($C187="驱夜断愁",IF(模拟模式!$R$7="万念俱寂",E186+20,E186+60),IF($C187="净世破魔击·月",IF(OR(DB186&gt;0,CV186&gt;0),100,IF(模拟模式!$M$7="辉耀红尘",E186+20,E186)),IF($C187="净世破魔击·日",E186-100,E186)))))),100))</f>
        <v>100</v>
      </c>
      <c r="F187" s="115">
        <f ca="1">IF(AND(CU187,OR(C187="赤日轮1",C187="赤日轮2",C187="赤日轮3",C187="烈日斩",C187="净世破魔击·日")),100,MIN(IF(CO187,0,IF(OR($C187="幽月轮1",$C187="幽月轮2",$C187="幽月轮3"),F186+20+IF(模拟模式!$I$7="日月凌天",4,0)+IF(CS186,20,0),IF($C187="银月斩",F186+40+IF(模拟模式!$X$12=1,5,0),IF($C187="驱夜断愁",IF(模拟模式!$R$7="万念俱寂",F186+20,F186+60),IF($C187="净世破魔击·月",IF(模拟模式!$M$7="辉耀红尘",F186-80,F186-100),IF(AND(C187="净世破魔击·日",OR(DB186&gt;0,CV186&gt;0)),100,F186)))))),100))</f>
        <v>20</v>
      </c>
      <c r="G187" s="117">
        <f ca="1">('模拟-全程加成'!$E$3+'模拟-全程加成'!$E$4+'模拟-全程加成'!$E$5+('模拟-全程加成'!$C$6-'模拟-全程加成'!$C$3)*系数!$B$9+BS187*23)*(1+'模拟-全程加成'!$F$4+'模拟-全程加成'!$F$5+BJ187*10%+BM187*20%+BP187*4%+CG187*30%)+$F$7*系数!$B$12</f>
        <v>21493.829400000002</v>
      </c>
      <c r="H187" s="45">
        <f ca="1">'模拟-全程加成'!$H$3+'模拟-全程加成'!$H$4+'模拟-全程加成'!$H$5+('模拟-全程加成'!$G$4+'模拟-全程加成'!$G$5+('模拟-全程加成'!$C$6-'模拟-全程加成'!$C$3)*系数!$B$13)/系数!$B$3+LOOKUP(D187,'模拟-单技能数据'!$A$2:$A$19,'模拟-单技能数据'!$K$2:$K$19)+BG187*10%+IF(BV187&gt;0,378,0)</f>
        <v>0.54185145527300216</v>
      </c>
      <c r="I187" s="45">
        <f ca="1">'模拟-全程加成'!$J$3+'模拟-全程加成'!$J$4+'模拟-全程加成'!$J$5+('模拟-全程加成'!$I$4+'模拟-全程加成'!$I$5)/系数!$B$4+LOOKUP(D187,'模拟-单技能数据'!$A$2:$A$19,'模拟-单技能数据'!$L$2:$L$19)+BG187*10%</f>
        <v>2.162482885499879</v>
      </c>
      <c r="J187" s="45">
        <f ca="1">(('模拟-全程加成'!$K$3+'模拟-全程加成'!$K$4+'模拟-全程加成'!$K$5+('模拟-全程加成'!$C$6-'模拟-全程加成'!$C$3)*系数!$B$10+IF(BV187&gt;0,882,0)+IF(BY187&gt;0,1831,0))*(1+'模拟-全程加成'!$L$4+'模拟-全程加成'!$L$5+CC187*20%))/系数!$B$5</f>
        <v>0.69723220422048726</v>
      </c>
      <c r="K187" s="119">
        <f ca="1">LOOKUP(D187,'模拟-单技能数据'!$A$2:$A$19,'模拟-单技能数据'!$J$2:$J$19)+IF(CM187,60%,0)+IF(DB186-DB187&gt;0,30%,0)+IF(OR(AND(OR(C187="赤日轮1",C187="赤日轮2",C187="赤日轮3"),CR187),AND(OR(C187="幽月轮1",C187="幽月轮2",C187="幽月轮3"),CS187)),35%,0)+CJ187</f>
        <v>0.8</v>
      </c>
      <c r="L187" s="119">
        <f ca="1">IF(AND(C187="烈日斩",模拟模式!$X$11=1),10%,0)+IF(AND(C187="驱夜断愁",AB187=1),30%,0)</f>
        <v>0</v>
      </c>
      <c r="M187" s="45">
        <f t="shared" ca="1" si="129"/>
        <v>0.54185145527300216</v>
      </c>
      <c r="N187" s="45">
        <f t="shared" ca="1" si="130"/>
        <v>0.40424854472699789</v>
      </c>
      <c r="O187" s="46">
        <f t="shared" ca="1" si="154"/>
        <v>0.16391657676680949</v>
      </c>
      <c r="P187" s="46" t="str">
        <f t="shared" ca="1" si="155"/>
        <v>会</v>
      </c>
      <c r="Q187" s="45">
        <f t="shared" ca="1" si="156"/>
        <v>2.162482885499879</v>
      </c>
      <c r="R187" s="117">
        <f ca="1">模拟模式!$E$20*(1-IF(模拟模式!$J$19="有",0.15,0))*(1-IF(模拟模式!$K$19="有",0.3,0)-IF(CQ187,0.5,0))</f>
        <v>843.02999999999975</v>
      </c>
      <c r="S187" s="45">
        <f ca="1">R187/(R187+(185*模拟模式!$E$22-16800)*4.08224)</f>
        <v>8.389626085980037E-2</v>
      </c>
      <c r="T187" s="45" t="str">
        <f ca="1">LOOKUP(D187,'模拟-单技能数据'!$A$2:$A$19,'模拟-单技能数据'!$H$2:$H$19)</f>
        <v>阴</v>
      </c>
      <c r="U187" s="119">
        <f t="shared" ca="1" si="131"/>
        <v>0.08</v>
      </c>
      <c r="V187" s="47">
        <f ca="1">(1+L187)*(LOOKUP(D187,'模拟-单技能数据'!$A$2:$A$19,'模拟-单技能数据'!$D$2:$D$19)+G187*LOOKUP(D187,'模拟-单技能数据'!$A$2:$A$19,'模拟-单技能数据'!$F$2:$F$19))*(1+J187)*(1+K187)*(1-S187)*(1+U187)*Q187*LOOKUP(D187,'模拟-单技能数据'!$A$2:$A$19,'模拟-单技能数据'!$I$2:$I$20)</f>
        <v>182541.2211190153</v>
      </c>
      <c r="W187" s="47">
        <f ca="1">LOOKUP(D187,'模拟-单技能数据'!$A$2:$A$19,'模拟-单技能数据'!$G$2:$G$19)*$I$10</f>
        <v>361.51064354704795</v>
      </c>
      <c r="X187" s="47">
        <f t="shared" ca="1" si="157"/>
        <v>42674.735339618208</v>
      </c>
      <c r="Y187" s="47">
        <f t="shared" ca="1" si="132"/>
        <v>225577.46710218056</v>
      </c>
      <c r="Z187" s="49">
        <f t="shared" ca="1" si="133"/>
        <v>16842062.60888423</v>
      </c>
      <c r="AA187" s="97">
        <f t="shared" ca="1" si="134"/>
        <v>114106.11523634286</v>
      </c>
      <c r="AB187" s="115">
        <f ca="1">IF(OR(C187="赤日轮1",C187="赤日轮2",C187="赤日轮3"),IF(RAND()&lt;模拟模式!$Y$17,1,0),IF(OR(C187="幽月轮1",C187="幽月轮2",C187="幽月轮3"),IF(RAND()&lt;模拟模式!$Y$18,1,0),IF(C187="烈日斩",IF(RAND()&lt;模拟模式!$Y$19,1,0),IF(C187="银月斩",IF(RAND()&lt;模拟模式!$Y$20,1,0),IF(C187="驱夜断愁",IF(RAND()&lt;模拟模式!$Y$21,1,0),IF(C187="净世破魔击·日",IF(RAND()&lt;模拟模式!$Y$22,1,0),IF(C187="净世破魔击·月",IF(RAND()&lt;模拟模式!$Y$23,1,0),0)))))))</f>
        <v>1</v>
      </c>
      <c r="AC187" s="115" t="b">
        <f t="shared" ca="1" si="122"/>
        <v>0</v>
      </c>
      <c r="AD187" s="115" t="b">
        <f t="shared" ca="1" si="142"/>
        <v>1</v>
      </c>
      <c r="AE187" s="115">
        <f t="shared" ca="1" si="143"/>
        <v>3</v>
      </c>
      <c r="AF187" s="47">
        <f ca="1">IF(AC187,('模拟-单技能数据'!$D$20+G187*'模拟-单技能数据'!$F$20)*(1+J187)*(1+'模拟-单技能数据'!$J$20)*(1+U187),0)</f>
        <v>0</v>
      </c>
      <c r="AG187" s="61">
        <f t="shared" ca="1" si="135"/>
        <v>0.64185145527300214</v>
      </c>
      <c r="AH187" s="61">
        <f t="shared" ca="1" si="136"/>
        <v>2.2624828854998791</v>
      </c>
      <c r="AI187" s="62">
        <f t="shared" ca="1" si="158"/>
        <v>0.23894595563545029</v>
      </c>
      <c r="AJ187" s="47">
        <f ca="1">IF(AD187,IF(AI187&lt;$F$10,0,IF(AI187&lt;$F$10+$F$11,0.25,IF(AI187&lt;$F$10+$F$11+AG187,AH187,1)))*IF(AF187&gt;0,AF187,IF(AF186&gt;0,AF186,IF(AF185&gt;0,AF185,IF(AF184&gt;0,AF184,IF(AF183&gt;0,AF183,IF(AF182&gt;0,AF182,IF(AF181&gt;0,AF181,IF(AF180&gt;0,AF180,IF(AF179&gt;0,AF179,IF(AF177&gt;0,AF177,IF(AF176&gt;0,AF176,IF(AF175&gt;0,AF175,0)))))))))))),0)*(1-$S187)*'模拟-单技能数据'!$I$20</f>
        <v>9616.6571145767884</v>
      </c>
      <c r="AK187" s="115" t="b">
        <f t="shared" ca="1" si="123"/>
        <v>0</v>
      </c>
      <c r="AL187" s="115" t="b">
        <f t="shared" ca="1" si="144"/>
        <v>1</v>
      </c>
      <c r="AM187" s="115">
        <f t="shared" ca="1" si="145"/>
        <v>2</v>
      </c>
      <c r="AN187" s="47">
        <f ca="1">IF(AK187,('模拟-单技能数据'!$D$21+G187*'模拟-单技能数据'!$F$21)*(1+J187)*(1+'模拟-单技能数据'!$J$21)*(1+U187),0)</f>
        <v>0</v>
      </c>
      <c r="AO187" s="61">
        <f ca="1">IF(AN187&gt;0,M187-'模拟-单技能数据'!$K$10,AO186)</f>
        <v>0.42185145527300216</v>
      </c>
      <c r="AP187" s="61">
        <f ca="1">IF(AN187&gt;0,I187-'模拟-单技能数据'!$L$10,AP186)</f>
        <v>2.162482885499879</v>
      </c>
      <c r="AQ187" s="63">
        <f t="shared" ca="1" si="159"/>
        <v>0.13408370427927963</v>
      </c>
      <c r="AR187" s="64">
        <f ca="1">IF(AL187,IF(AQ187&lt;$F$10,0,IF(AQ187&lt;$F$10+$F$11,0.25,IF(AQ187&lt;$F$10+$F$11+AO187,AP187,1)))*IF(AN187&gt;0,AN187,IF(AN186&gt;0,AN186,IF(AN185&gt;0,AN185,IF(AN184&gt;0,AN184,IF(AN183&gt;0,AN183,IF(AN182&gt;0,AN182,IF(AN181&gt;0,AN181,IF(AN180&gt;0,AN180,IF(AN179&gt;0,AN179,IF(AN177&gt;0,AN177,IF(AN176&gt;0,AN176,IF(AN175&gt;0,AN175,0)))))))))))),0)*(1-$S187)*'模拟-单技能数据'!$I$21</f>
        <v>25101.867467669974</v>
      </c>
      <c r="AS187" s="61">
        <f ca="1">IF(OR(C187="净世破魔击·日",C187="净世破魔击·月"),M187-'模拟-单技能数据'!$K$10,0)</f>
        <v>0.42185145527300216</v>
      </c>
      <c r="AT187" s="61">
        <f ca="1">IF(OR(C187="净世破魔击·日",C187="净世破魔击·月"),I187-'模拟-单技能数据'!$L$10,0)</f>
        <v>2.162482885499879</v>
      </c>
      <c r="AU187" s="62">
        <f t="shared" ca="1" si="160"/>
        <v>0.52015074516997328</v>
      </c>
      <c r="AV187" s="64">
        <f ca="1">IF(AS187&gt;0,('模拟-单技能数据'!$D$22+G187*'模拟-单技能数据'!$F$22)*(1+J187)*(1-S187)*IF(AU187&lt;$F$10,0,IF(AU187&lt;$F$10+$F$11,0.25,IF(AU187&lt;$F$10+$F$11+AS187,AT187,1)))*(1+U187),0)*'模拟-单技能数据'!$I$22</f>
        <v>7956.2107573714466</v>
      </c>
      <c r="AW187" s="108">
        <f t="shared" ca="1" si="161"/>
        <v>0</v>
      </c>
      <c r="AX187" s="108" t="b">
        <f ca="1">AND(模拟模式!$P$10="有",AW186=0,RAND()&lt;IF(C187="净世破魔击·月",0.1*8/3,IF(C187="净世破魔击·日",0.1*4/3,0.1*2/3)))</f>
        <v>0</v>
      </c>
      <c r="AY187" s="47">
        <f ca="1">IF(AX187,(18+G187*0.722)*(1+J187)*(1-S187)*(1+$I$4)*IF(P187="会",'模拟-全程加成'!$J$3+'模拟-全程加成'!$J$4+'模拟-全程加成'!$J$5+('模拟-全程加成'!$I$4+'模拟-全程加成'!$I$5)/系数!$B$4+BG187*10%,IF(P187="命",1,IF(P187="识",0.25,0))),0)</f>
        <v>0</v>
      </c>
      <c r="AZ187" s="108">
        <f t="shared" si="162"/>
        <v>14.465000000000003</v>
      </c>
      <c r="BA187" s="108" t="b">
        <f>AND(模拟模式!$Q$10="有",AZ186=0)</f>
        <v>0</v>
      </c>
      <c r="BB187" s="140">
        <f>IF(BA187,(0+G187*0.287)*(1+J187)*(1-S187)*(1+$I$4)*IF(P187="会",'模拟-全程加成'!$J$3+'模拟-全程加成'!$J$4+'模拟-全程加成'!$J$5+('模拟-全程加成'!$I$4+'模拟-全程加成'!$I$5)/系数!$B$4+BG187*10%,IF(P187="命",1,IF(P187="识",0.25,0))),0)</f>
        <v>0</v>
      </c>
      <c r="BC187" s="115" t="b">
        <f ca="1">AND(模拟模式!$R$7="伏明众生",E187=60,F187=20,DA187&lt;5,CZ186&lt;$F$4)</f>
        <v>0</v>
      </c>
      <c r="BD187" s="115">
        <f t="shared" ca="1" si="124"/>
        <v>0</v>
      </c>
      <c r="BE187" s="115" t="b">
        <f t="shared" ca="1" si="125"/>
        <v>0</v>
      </c>
      <c r="BF187" s="47">
        <f ca="1">IF(BC187,4*('模拟-单技能数据'!$D$24+G187*'模拟-单技能数据'!$F$24)*(1+J187)*(1+'模拟-单技能数据'!$J$24)*(1-S187)*(1+$I$3)*(('模拟-全程加成'!$J$3+'模拟-全程加成'!$J$4+'模拟-全程加成'!$J$5+('模拟-全程加成'!$I$4+'模拟-全程加成'!$I$5)/系数!$B$4+BG187*10%)*('模拟-全程加成'!$J$3+'模拟-全程加成'!$J$4+'模拟-全程加成'!$J$5+('模拟-全程加成'!$I$4+'模拟-全程加成'!$I$5)/系数!$B$4+BG187*10%)+(1-('模拟-全程加成'!$J$3+'模拟-全程加成'!$J$4+'模拟-全程加成'!$J$5+('模拟-全程加成'!$I$4+'模拟-全程加成'!$I$5)/系数!$B$4+BG187*10%)-$F$10-$F$11)+F173*0.25),0)*'模拟-单技能数据'!$I$24</f>
        <v>0</v>
      </c>
      <c r="BG187" s="115" t="b">
        <f ca="1">OR(AND(OR(C187="烈日斩",C187="银月斩"),模拟模式!$I$7="净身明礼"),AND(C187="净世破魔击·日",模拟模式!$J$7="洞若观火"),AND(C188="净世破魔击·月",模拟模式!$J$7="洞若观火"),AB187=1)</f>
        <v>1</v>
      </c>
      <c r="BH187" s="115" t="b">
        <f t="shared" ca="1" si="163"/>
        <v>0</v>
      </c>
      <c r="BI187" s="115">
        <f t="shared" ca="1" si="126"/>
        <v>2.3099999999999996</v>
      </c>
      <c r="BJ187" s="115" t="b">
        <f t="shared" ca="1" si="137"/>
        <v>1</v>
      </c>
      <c r="BK187" s="115" t="b">
        <f ca="1">AND(C187="驱夜断愁",模拟模式!$P$7="天地诛戮")</f>
        <v>0</v>
      </c>
      <c r="BL187" s="57">
        <f t="shared" ca="1" si="127"/>
        <v>17.232500000000002</v>
      </c>
      <c r="BM187" s="115" t="b">
        <f t="shared" ca="1" si="138"/>
        <v>1</v>
      </c>
      <c r="BN187" s="115" t="b">
        <f ca="1">AND(OR(C187="赤日轮1",C187="赤日轮2",C187="赤日轮3",C187="幽月轮1",C187="幽月轮2",C187="幽月轮3"),AB187=1,模拟模式!$L$7="明光恒照")</f>
        <v>0</v>
      </c>
      <c r="BO187" s="117">
        <f t="shared" ca="1" si="128"/>
        <v>29.077500000000001</v>
      </c>
      <c r="BP187" s="115">
        <f t="shared" ca="1" si="164"/>
        <v>6</v>
      </c>
      <c r="BQ187" s="115" t="b">
        <f>模拟模式!$K$10="2600·水"</f>
        <v>0</v>
      </c>
      <c r="BR187" s="117">
        <f t="shared" si="165"/>
        <v>0</v>
      </c>
      <c r="BS187" s="115">
        <f t="shared" si="166"/>
        <v>0</v>
      </c>
      <c r="BT187" s="115">
        <f t="shared" ca="1" si="167"/>
        <v>0</v>
      </c>
      <c r="BU187" s="115" t="b">
        <f ca="1">AND(模拟模式!$K$10="2300·雷",BT186=0,RAND()&lt;IF(C187="净世破魔击·月",5*0.05*2/3,IF(C187="净世破魔击·日",3*0.05*2/3,0.05*2*2/3)))</f>
        <v>0</v>
      </c>
      <c r="BV187" s="115">
        <f t="shared" ca="1" si="168"/>
        <v>0</v>
      </c>
      <c r="BW187" s="115">
        <f t="shared" ca="1" si="169"/>
        <v>37.934999999999292</v>
      </c>
      <c r="BX187" s="164" t="b">
        <f t="shared" ca="1" si="170"/>
        <v>0</v>
      </c>
      <c r="BY187" s="115">
        <f t="shared" ca="1" si="171"/>
        <v>0</v>
      </c>
      <c r="BZ187" s="115">
        <f>IF(OR(模拟模式!$P$16="10人团",模拟模式!$P$16="25人团"),IF(B187/30&gt;CA186,1,0),0)</f>
        <v>0</v>
      </c>
      <c r="CA187" s="115">
        <f t="shared" si="147"/>
        <v>0</v>
      </c>
      <c r="CB187" s="115">
        <f ca="1">IF(BZ187=1,IF(模拟模式!$P$16="10人团",15,0)+IF(模拟模式!$P$16="25人团",IF(RAND()&lt;0.6,15,0)),MAX(0,CB186-$F$4))</f>
        <v>0</v>
      </c>
      <c r="CC187" s="115" t="b">
        <f t="shared" ca="1" si="139"/>
        <v>0</v>
      </c>
      <c r="CD187" s="115">
        <f>IF(模拟模式!$Q$16="1个",IF(B187/40&gt;CE186,1,0),0)</f>
        <v>0</v>
      </c>
      <c r="CE187" s="115">
        <f t="shared" si="140"/>
        <v>0</v>
      </c>
      <c r="CF187" s="115">
        <f>IF(OR(CD187=1,模拟模式!$Q$16="2个"),20,MAX(0,CF186-$F$4))</f>
        <v>0</v>
      </c>
      <c r="CG187" s="115" t="b">
        <f t="shared" si="141"/>
        <v>0</v>
      </c>
      <c r="CH187" s="115">
        <f t="shared" ca="1" si="172"/>
        <v>17.085000000000008</v>
      </c>
      <c r="CI187" s="115" t="b">
        <f t="shared" ca="1" si="173"/>
        <v>0</v>
      </c>
      <c r="CJ187" s="119">
        <f t="shared" ca="1" si="174"/>
        <v>0</v>
      </c>
      <c r="CK187" s="115">
        <f t="shared" ca="1" si="175"/>
        <v>0</v>
      </c>
      <c r="CL187" s="115" t="b">
        <f ca="1">AND(模拟模式!$S$7="驱夷逐法",OR(AND(C187="净世破魔击·月",E186&gt;59),AND(C187="净世破魔击·日",F186&gt;59)))</f>
        <v>1</v>
      </c>
      <c r="CM187" s="115" t="b">
        <f ca="1">OR(CL187,AND(C187="净世破魔击·日",CL186,RAND()&lt;模拟模式!$U$23))</f>
        <v>1</v>
      </c>
      <c r="CN187" s="115" t="b">
        <f ca="1">IF(模拟模式!$M$7="辉耀红尘",AND(C187="净世破魔击·月",CL187,CV187=0,E186&lt;80),AND(C187="净世破魔击·月",CL187,E186&lt;100))</f>
        <v>0</v>
      </c>
      <c r="CO187" s="115" t="b">
        <f t="shared" ca="1" si="148"/>
        <v>0</v>
      </c>
      <c r="CP187" s="115" t="b">
        <f ca="1">AND(模拟模式!$O$7="用晦而明",OR(C187="净世破魔击·日",C187="净世破魔击·月",C187="驱夜断愁"),AB187)</f>
        <v>1</v>
      </c>
      <c r="CQ187" s="115" t="b">
        <f ca="1">OR(CP187,AND(CP186,RAND()&lt;模拟模式!$U$23))</f>
        <v>1</v>
      </c>
      <c r="CR187" s="115" t="b">
        <f ca="1">AND(模拟模式!$S$7="日月齐光",OR(C187="幽月轮1",C187="幽月轮2",C187="幽月轮3",CR186),NOT(OR(C187="赤日轮1",C187="赤日轮2",C187="赤日轮3")))</f>
        <v>0</v>
      </c>
      <c r="CS187" s="115" t="b">
        <f ca="1">AND(模拟模式!$S$7="日月齐光",OR(C187="赤日轮1",C187="赤日轮2",C187="赤日轮3",CS186),NOT(OR(C187="幽月轮1",C187="幽月轮2",C187="幽月轮3")))</f>
        <v>0</v>
      </c>
      <c r="CT187" s="115">
        <f t="shared" ca="1" si="176"/>
        <v>19.852500000000006</v>
      </c>
      <c r="CU187" s="115" t="b">
        <f ca="1">AND(模拟模式!$K$10="阴阳往极",CT186=0,RAND()&lt;IF(C187="净世破魔击·月",0.0275*7/3,IF(C187="净世破魔击·日",0.0275*3/3,0.0275*2/3)))</f>
        <v>0</v>
      </c>
      <c r="CV187" s="115">
        <f t="shared" ca="1" si="177"/>
        <v>0</v>
      </c>
      <c r="CW187" s="115">
        <f t="shared" ca="1" si="149"/>
        <v>4.1549999999999994</v>
      </c>
      <c r="CX187" s="115">
        <f t="shared" ca="1" si="150"/>
        <v>2.3099999999999996</v>
      </c>
      <c r="CY187" s="115">
        <f ca="1">MAX(IF($C187="驱夜断愁",IF(模拟模式!$R$7="万念俱寂",6,45),CY186-$F$4),0)</f>
        <v>3.2324999999999995</v>
      </c>
      <c r="CZ187" s="115">
        <f t="shared" ca="1" si="151"/>
        <v>0</v>
      </c>
      <c r="DA187" s="115">
        <f ca="1">IF(模拟模式!$N$7="日月同辉",IF(DB186=2,0,MIN(6,IF(AND(OR(C187="赤日轮1",C187="赤日轮2",C187="赤日轮3",C187="幽月轮1",C187="幽月轮2",C187="幽月轮3"),AB187=1),DA186+1,DA186))),0)</f>
        <v>3</v>
      </c>
      <c r="DB187" s="115">
        <f t="shared" ca="1" si="152"/>
        <v>0</v>
      </c>
      <c r="DC187" s="115"/>
      <c r="DD187" s="115"/>
      <c r="DE187" s="115"/>
      <c r="DF187" s="115"/>
      <c r="DG187" s="115"/>
      <c r="DH187" s="115"/>
      <c r="DI187" s="115"/>
      <c r="DJ187" s="115"/>
      <c r="DK187" s="115"/>
      <c r="DL187" s="115"/>
      <c r="DM187" s="115"/>
    </row>
    <row r="188" spans="2:117" x14ac:dyDescent="0.2">
      <c r="B188" s="117">
        <f t="shared" si="153"/>
        <v>148.52250000000024</v>
      </c>
      <c r="C188" s="167" t="str">
        <f t="shared" ca="1" si="146"/>
        <v>净世破魔击·日</v>
      </c>
      <c r="D188" s="115">
        <f ca="1">IF(C188="赤日轮1",1,IF(C188="赤日轮2",2,IF(C188="赤日轮3",3,IF(C188="幽月轮1",4,IF(C188="幽月轮2",5,IF(C188="幽月轮3",6,IF(C188="烈日斩",7,IF(C188="银月斩",8,IF(C188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188="净世破魔击·月",17,IF(C188="驱夜断愁",18,0)))))))))))</f>
        <v>9</v>
      </c>
      <c r="E188" s="115">
        <f ca="1">IF(AND(CU188,OR(C188="幽月轮1",C188="幽月轮2",C188="幽月轮3",C188="银月斩",C188="驱夜断愁",C188="净世破魔击·月")),100,MIN(IF(OR(CN188,BE188),0,IF(OR($C188="赤日轮1",$C188="赤日轮2",$C188="赤日轮3"),E187+20+IF(模拟模式!$I$7="日月凌天",4,0)+IF(CR187,20,0),IF($C188="烈日斩",E187+40,IF($C188="驱夜断愁",IF(模拟模式!$R$7="万念俱寂",E187+20,E187+60),IF($C188="净世破魔击·月",IF(OR(DB187&gt;0,CV187&gt;0),100,IF(模拟模式!$M$7="辉耀红尘",E187+20,E187)),IF($C188="净世破魔击·日",E187-100,E187)))))),100))</f>
        <v>0</v>
      </c>
      <c r="F188" s="115">
        <f ca="1">IF(AND(CU188,OR(C188="赤日轮1",C188="赤日轮2",C188="赤日轮3",C188="烈日斩",C188="净世破魔击·日")),100,MIN(IF(CO188,0,IF(OR($C188="幽月轮1",$C188="幽月轮2",$C188="幽月轮3"),F187+20+IF(模拟模式!$I$7="日月凌天",4,0)+IF(CS187,20,0),IF($C188="银月斩",F187+40+IF(模拟模式!$X$12=1,5,0),IF($C188="驱夜断愁",IF(模拟模式!$R$7="万念俱寂",F187+20,F187+60),IF($C188="净世破魔击·月",IF(模拟模式!$M$7="辉耀红尘",F187-80,F187-100),IF(AND(C188="净世破魔击·日",OR(DB187&gt;0,CV187&gt;0)),100,F187)))))),100))</f>
        <v>20</v>
      </c>
      <c r="G188" s="117">
        <f ca="1">('模拟-全程加成'!$E$3+'模拟-全程加成'!$E$4+'模拟-全程加成'!$E$5+('模拟-全程加成'!$C$6-'模拟-全程加成'!$C$3)*系数!$B$9+BS188*23)*(1+'模拟-全程加成'!$F$4+'模拟-全程加成'!$F$5+BJ188*10%+BM188*20%+BP188*4%+CG188*30%)+$F$7*系数!$B$12</f>
        <v>21493.829400000002</v>
      </c>
      <c r="H188" s="45">
        <f ca="1">'模拟-全程加成'!$H$3+'模拟-全程加成'!$H$4+'模拟-全程加成'!$H$5+('模拟-全程加成'!$G$4+'模拟-全程加成'!$G$5+('模拟-全程加成'!$C$6-'模拟-全程加成'!$C$3)*系数!$B$13)/系数!$B$3+LOOKUP(D188,'模拟-单技能数据'!$A$2:$A$19,'模拟-单技能数据'!$K$2:$K$19)+BG188*10%+IF(BV188&gt;0,378,0)</f>
        <v>0.54185145527300216</v>
      </c>
      <c r="I188" s="45">
        <f ca="1">'模拟-全程加成'!$J$3+'模拟-全程加成'!$J$4+'模拟-全程加成'!$J$5+('模拟-全程加成'!$I$4+'模拟-全程加成'!$I$5)/系数!$B$4+LOOKUP(D188,'模拟-单技能数据'!$A$2:$A$19,'模拟-单技能数据'!$L$2:$L$19)+BG188*10%</f>
        <v>2.162482885499879</v>
      </c>
      <c r="J188" s="45">
        <f ca="1">(('模拟-全程加成'!$K$3+'模拟-全程加成'!$K$4+'模拟-全程加成'!$K$5+('模拟-全程加成'!$C$6-'模拟-全程加成'!$C$3)*系数!$B$10+IF(BV188&gt;0,882,0)+IF(BY188&gt;0,1831,0))*(1+'模拟-全程加成'!$L$4+'模拟-全程加成'!$L$5+CC188*20%))/系数!$B$5</f>
        <v>0.69723220422048726</v>
      </c>
      <c r="K188" s="119">
        <f ca="1">LOOKUP(D188,'模拟-单技能数据'!$A$2:$A$19,'模拟-单技能数据'!$J$2:$J$19)+IF(CM188,60%,0)+IF(DB187-DB188&gt;0,30%,0)+IF(OR(AND(OR(C188="赤日轮1",C188="赤日轮2",C188="赤日轮3"),CR188),AND(OR(C188="幽月轮1",C188="幽月轮2",C188="幽月轮3"),CS188)),35%,0)+CJ188</f>
        <v>0.8</v>
      </c>
      <c r="L188" s="119">
        <f ca="1">IF(AND(C188="烈日斩",模拟模式!$X$11=1),10%,0)+IF(AND(C188="驱夜断愁",AB188=1),30%,0)</f>
        <v>0</v>
      </c>
      <c r="M188" s="45">
        <f t="shared" ca="1" si="129"/>
        <v>0.54185145527300216</v>
      </c>
      <c r="N188" s="45">
        <f t="shared" ca="1" si="130"/>
        <v>0.40424854472699789</v>
      </c>
      <c r="O188" s="46">
        <f t="shared" ca="1" si="154"/>
        <v>0.73547347935615404</v>
      </c>
      <c r="P188" s="46" t="str">
        <f t="shared" ca="1" si="155"/>
        <v>命</v>
      </c>
      <c r="Q188" s="45">
        <f t="shared" ca="1" si="156"/>
        <v>1</v>
      </c>
      <c r="R188" s="117">
        <f ca="1">模拟模式!$E$20*(1-IF(模拟模式!$J$19="有",0.15,0))*(1-IF(模拟模式!$K$19="有",0.3,0)-IF(CQ188,0.5,0))</f>
        <v>843.02999999999975</v>
      </c>
      <c r="S188" s="45">
        <f ca="1">R188/(R188+(185*模拟模式!$E$22-16800)*4.08224)</f>
        <v>8.389626085980037E-2</v>
      </c>
      <c r="T188" s="45" t="str">
        <f ca="1">LOOKUP(D188,'模拟-单技能数据'!$A$2:$A$19,'模拟-单技能数据'!$H$2:$H$19)</f>
        <v>阳</v>
      </c>
      <c r="U188" s="119">
        <f t="shared" ca="1" si="131"/>
        <v>0.2</v>
      </c>
      <c r="V188" s="47">
        <f ca="1">(1+L188)*(LOOKUP(D188,'模拟-单技能数据'!$A$2:$A$19,'模拟-单技能数据'!$D$2:$D$19)+G188*LOOKUP(D188,'模拟-单技能数据'!$A$2:$A$19,'模拟-单技能数据'!$F$2:$F$19))*(1+J188)*(1+K188)*(1-S188)*(1+U188)*Q188*LOOKUP(D188,'模拟-单技能数据'!$A$2:$A$19,'模拟-单技能数据'!$I$2:$I$20)</f>
        <v>94575.365106402023</v>
      </c>
      <c r="W188" s="47">
        <f ca="1">LOOKUP(D188,'模拟-单技能数据'!$A$2:$A$19,'模拟-单技能数据'!$G$2:$G$19)*$I$10</f>
        <v>723.0212870940959</v>
      </c>
      <c r="X188" s="47">
        <f t="shared" ca="1" si="157"/>
        <v>8840.2341748571616</v>
      </c>
      <c r="Y188" s="47">
        <f t="shared" ca="1" si="132"/>
        <v>104138.62056835329</v>
      </c>
      <c r="Z188" s="49">
        <f t="shared" ca="1" si="133"/>
        <v>16946201.229452584</v>
      </c>
      <c r="AA188" s="97">
        <f t="shared" ca="1" si="134"/>
        <v>114098.54553655209</v>
      </c>
      <c r="AB188" s="115">
        <f ca="1">IF(OR(C188="赤日轮1",C188="赤日轮2",C188="赤日轮3"),IF(RAND()&lt;模拟模式!$Y$17,1,0),IF(OR(C188="幽月轮1",C188="幽月轮2",C188="幽月轮3"),IF(RAND()&lt;模拟模式!$Y$18,1,0),IF(C188="烈日斩",IF(RAND()&lt;模拟模式!$Y$19,1,0),IF(C188="银月斩",IF(RAND()&lt;模拟模式!$Y$20,1,0),IF(C188="驱夜断愁",IF(RAND()&lt;模拟模式!$Y$21,1,0),IF(C188="净世破魔击·日",IF(RAND()&lt;模拟模式!$Y$22,1,0),IF(C188="净世破魔击·月",IF(RAND()&lt;模拟模式!$Y$23,1,0),0)))))))</f>
        <v>1</v>
      </c>
      <c r="AC188" s="115" t="b">
        <f t="shared" ca="1" si="122"/>
        <v>0</v>
      </c>
      <c r="AD188" s="115" t="b">
        <f t="shared" ca="1" si="142"/>
        <v>0</v>
      </c>
      <c r="AE188" s="115">
        <f t="shared" ca="1" si="143"/>
        <v>3</v>
      </c>
      <c r="AF188" s="47">
        <f ca="1">IF(AC188,('模拟-单技能数据'!$D$20+G188*'模拟-单技能数据'!$F$20)*(1+J188)*(1+'模拟-单技能数据'!$J$20)*(1+U188),0)</f>
        <v>0</v>
      </c>
      <c r="AG188" s="61">
        <f t="shared" ca="1" si="135"/>
        <v>0.64185145527300214</v>
      </c>
      <c r="AH188" s="61">
        <f t="shared" ca="1" si="136"/>
        <v>2.2624828854998791</v>
      </c>
      <c r="AI188" s="62">
        <f t="shared" ca="1" si="158"/>
        <v>0.9754511066839715</v>
      </c>
      <c r="AJ188" s="47">
        <f ca="1">IF(AD188,IF(AI188&lt;$F$10,0,IF(AI188&lt;$F$10+$F$11,0.25,IF(AI188&lt;$F$10+$F$11+AG188,AH188,1)))*IF(AF188&gt;0,AF188,IF(AF187&gt;0,AF187,IF(AF186&gt;0,AF186,IF(AF185&gt;0,AF185,IF(AF184&gt;0,AF184,IF(AF183&gt;0,AF183,IF(AF182&gt;0,AF182,IF(AF181&gt;0,AF181,IF(AF180&gt;0,AF180,IF(AF178&gt;0,AF178,IF(AF177&gt;0,AF177,IF(AF176&gt;0,AF176,0)))))))))))),0)*(1-$S188)*'模拟-单技能数据'!$I$20</f>
        <v>0</v>
      </c>
      <c r="AK188" s="115" t="b">
        <f t="shared" ca="1" si="123"/>
        <v>1</v>
      </c>
      <c r="AL188" s="115" t="b">
        <f t="shared" ca="1" si="144"/>
        <v>0</v>
      </c>
      <c r="AM188" s="115">
        <f t="shared" ca="1" si="145"/>
        <v>6</v>
      </c>
      <c r="AN188" s="47">
        <f ca="1">IF(AK188,('模拟-单技能数据'!$D$21+G188*'模拟-单技能数据'!$F$21)*(1+J188)*(1+'模拟-单技能数据'!$J$21)*(1+U188),0)</f>
        <v>12670.936004857545</v>
      </c>
      <c r="AO188" s="61">
        <f ca="1">IF(AN188&gt;0,M188-'模拟-单技能数据'!$K$10,AO187)</f>
        <v>0.42185145527300216</v>
      </c>
      <c r="AP188" s="61">
        <f ca="1">IF(AN188&gt;0,I188-'模拟-单技能数据'!$L$10,AP187)</f>
        <v>2.162482885499879</v>
      </c>
      <c r="AQ188" s="63">
        <f t="shared" ca="1" si="159"/>
        <v>9.3517451152225983E-2</v>
      </c>
      <c r="AR188" s="64">
        <f ca="1">IF(AL188,IF(AQ188&lt;$F$10,0,IF(AQ188&lt;$F$10+$F$11,0.25,IF(AQ188&lt;$F$10+$F$11+AO188,AP188,1)))*IF(AN188&gt;0,AN188,IF(AN187&gt;0,AN187,IF(AN186&gt;0,AN186,IF(AN185&gt;0,AN185,IF(AN184&gt;0,AN184,IF(AN183&gt;0,AN183,IF(AN182&gt;0,AN182,IF(AN181&gt;0,AN181,IF(AN180&gt;0,AN180,IF(AN178&gt;0,AN178,IF(AN177&gt;0,AN177,IF(AN176&gt;0,AN176,0)))))))))))),0)*(1-$S188)*'模拟-单技能数据'!$I$21</f>
        <v>0</v>
      </c>
      <c r="AS188" s="61">
        <f ca="1">IF(OR(C188="净世破魔击·日",C188="净世破魔击·月"),M188-'模拟-单技能数据'!$K$10,0)</f>
        <v>0.42185145527300216</v>
      </c>
      <c r="AT188" s="61">
        <f ca="1">IF(OR(C188="净世破魔击·日",C188="净世破魔击·月"),I188-'模拟-单技能数据'!$L$10,0)</f>
        <v>2.162482885499879</v>
      </c>
      <c r="AU188" s="62">
        <f t="shared" ca="1" si="160"/>
        <v>0.7834314087580061</v>
      </c>
      <c r="AV188" s="64">
        <f ca="1">IF(AS188&gt;0,('模拟-单技能数据'!$D$22+G188*'模拟-单技能数据'!$F$22)*(1+J188)*(1-S188)*IF(AU188&lt;$F$10,0,IF(AU188&lt;$F$10+$F$11,0.25,IF(AU188&lt;$F$10+$F$11+AS188,AT188,1)))*(1+U188),0)*'模拟-单技能数据'!$I$22</f>
        <v>8840.2341748571616</v>
      </c>
      <c r="AW188" s="108">
        <f t="shared" ca="1" si="161"/>
        <v>0</v>
      </c>
      <c r="AX188" s="108" t="b">
        <f ca="1">AND(模拟模式!$P$10="有",AW187=0,RAND()&lt;IF(C188="净世破魔击·月",0.1*8/3,IF(C188="净世破魔击·日",0.1*4/3,0.1*2/3)))</f>
        <v>0</v>
      </c>
      <c r="AY188" s="47">
        <f ca="1">IF(AX188,(18+G188*0.722)*(1+J188)*(1-S188)*(1+$I$4)*IF(P188="会",'模拟-全程加成'!$J$3+'模拟-全程加成'!$J$4+'模拟-全程加成'!$J$5+('模拟-全程加成'!$I$4+'模拟-全程加成'!$I$5)/系数!$B$4+BG188*10%,IF(P188="命",1,IF(P188="识",0.25,0))),0)</f>
        <v>0</v>
      </c>
      <c r="AZ188" s="108">
        <f t="shared" si="162"/>
        <v>13.542500000000004</v>
      </c>
      <c r="BA188" s="108" t="b">
        <f>AND(模拟模式!$Q$10="有",AZ187=0)</f>
        <v>0</v>
      </c>
      <c r="BB188" s="140">
        <f>IF(BA188,(0+G188*0.287)*(1+J188)*(1-S188)*(1+$I$4)*IF(P188="会",'模拟-全程加成'!$J$3+'模拟-全程加成'!$J$4+'模拟-全程加成'!$J$5+('模拟-全程加成'!$I$4+'模拟-全程加成'!$I$5)/系数!$B$4+BG188*10%,IF(P188="命",1,IF(P188="识",0.25,0))),0)</f>
        <v>0</v>
      </c>
      <c r="BC188" s="115" t="b">
        <f ca="1">AND(模拟模式!$R$7="伏明众生",E188=60,F188=20,DA188&lt;5,CZ187&lt;$F$4)</f>
        <v>0</v>
      </c>
      <c r="BD188" s="115">
        <f t="shared" ca="1" si="124"/>
        <v>0</v>
      </c>
      <c r="BE188" s="115" t="b">
        <f t="shared" ca="1" si="125"/>
        <v>0</v>
      </c>
      <c r="BF188" s="47">
        <f ca="1">IF(BC188,4*('模拟-单技能数据'!$D$24+G188*'模拟-单技能数据'!$F$24)*(1+J188)*(1+'模拟-单技能数据'!$J$24)*(1-S188)*(1+$I$3)*(('模拟-全程加成'!$J$3+'模拟-全程加成'!$J$4+'模拟-全程加成'!$J$5+('模拟-全程加成'!$I$4+'模拟-全程加成'!$I$5)/系数!$B$4+BG188*10%)*('模拟-全程加成'!$J$3+'模拟-全程加成'!$J$4+'模拟-全程加成'!$J$5+('模拟-全程加成'!$I$4+'模拟-全程加成'!$I$5)/系数!$B$4+BG188*10%)+(1-('模拟-全程加成'!$J$3+'模拟-全程加成'!$J$4+'模拟-全程加成'!$J$5+('模拟-全程加成'!$I$4+'模拟-全程加成'!$I$5)/系数!$B$4+BG188*10%)-$F$10-$F$11)+F174*0.25),0)*'模拟-单技能数据'!$I$24</f>
        <v>0</v>
      </c>
      <c r="BG188" s="115" t="b">
        <f ca="1">OR(AND(OR(C188="烈日斩",C188="银月斩"),模拟模式!$I$7="净身明礼"),AND(C188="净世破魔击·日",模拟模式!$J$7="洞若观火"),AND(C189="净世破魔击·月",模拟模式!$J$7="洞若观火"),AB188=1)</f>
        <v>1</v>
      </c>
      <c r="BH188" s="115" t="b">
        <f t="shared" ca="1" si="163"/>
        <v>0</v>
      </c>
      <c r="BI188" s="115">
        <f t="shared" ca="1" si="126"/>
        <v>1.3874999999999997</v>
      </c>
      <c r="BJ188" s="115" t="b">
        <f t="shared" ca="1" si="137"/>
        <v>1</v>
      </c>
      <c r="BK188" s="115" t="b">
        <f ca="1">AND(C188="驱夜断愁",模拟模式!$P$7="天地诛戮")</f>
        <v>0</v>
      </c>
      <c r="BL188" s="57">
        <f t="shared" ca="1" si="127"/>
        <v>16.310000000000002</v>
      </c>
      <c r="BM188" s="115" t="b">
        <f t="shared" ca="1" si="138"/>
        <v>1</v>
      </c>
      <c r="BN188" s="115" t="b">
        <f ca="1">AND(OR(C188="赤日轮1",C188="赤日轮2",C188="赤日轮3",C188="幽月轮1",C188="幽月轮2",C188="幽月轮3"),AB188=1,模拟模式!$L$7="明光恒照")</f>
        <v>0</v>
      </c>
      <c r="BO188" s="117">
        <f t="shared" ca="1" si="128"/>
        <v>28.155000000000001</v>
      </c>
      <c r="BP188" s="115">
        <f t="shared" ca="1" si="164"/>
        <v>6</v>
      </c>
      <c r="BQ188" s="115" t="b">
        <f>模拟模式!$K$10="2600·水"</f>
        <v>0</v>
      </c>
      <c r="BR188" s="117">
        <f t="shared" si="165"/>
        <v>0</v>
      </c>
      <c r="BS188" s="115">
        <f t="shared" si="166"/>
        <v>0</v>
      </c>
      <c r="BT188" s="115">
        <f t="shared" ca="1" si="167"/>
        <v>0</v>
      </c>
      <c r="BU188" s="115" t="b">
        <f ca="1">AND(模拟模式!$K$10="2300·雷",BT187=0,RAND()&lt;IF(C188="净世破魔击·月",5*0.05*2/3,IF(C188="净世破魔击·日",3*0.05*2/3,0.05*2*2/3)))</f>
        <v>0</v>
      </c>
      <c r="BV188" s="115">
        <f t="shared" ca="1" si="168"/>
        <v>0</v>
      </c>
      <c r="BW188" s="115">
        <f t="shared" ca="1" si="169"/>
        <v>37.012499999999292</v>
      </c>
      <c r="BX188" s="164" t="b">
        <f t="shared" ca="1" si="170"/>
        <v>0</v>
      </c>
      <c r="BY188" s="115">
        <f t="shared" ca="1" si="171"/>
        <v>0</v>
      </c>
      <c r="BZ188" s="115">
        <f>IF(OR(模拟模式!$P$16="10人团",模拟模式!$P$16="25人团"),IF(B188/30&gt;CA187,1,0),0)</f>
        <v>0</v>
      </c>
      <c r="CA188" s="115">
        <f t="shared" si="147"/>
        <v>0</v>
      </c>
      <c r="CB188" s="115">
        <f ca="1">IF(BZ188=1,IF(模拟模式!$P$16="10人团",15,0)+IF(模拟模式!$P$16="25人团",IF(RAND()&lt;0.6,15,0)),MAX(0,CB187-$F$4))</f>
        <v>0</v>
      </c>
      <c r="CC188" s="115" t="b">
        <f t="shared" ca="1" si="139"/>
        <v>0</v>
      </c>
      <c r="CD188" s="115">
        <f>IF(模拟模式!$Q$16="1个",IF(B188/40&gt;CE187,1,0),0)</f>
        <v>0</v>
      </c>
      <c r="CE188" s="115">
        <f t="shared" si="140"/>
        <v>0</v>
      </c>
      <c r="CF188" s="115">
        <f>IF(OR(CD188=1,模拟模式!$Q$16="2个"),20,MAX(0,CF187-$F$4))</f>
        <v>0</v>
      </c>
      <c r="CG188" s="115" t="b">
        <f t="shared" si="141"/>
        <v>0</v>
      </c>
      <c r="CH188" s="115">
        <f t="shared" ca="1" si="172"/>
        <v>16.162500000000009</v>
      </c>
      <c r="CI188" s="115" t="b">
        <f t="shared" ca="1" si="173"/>
        <v>0</v>
      </c>
      <c r="CJ188" s="119">
        <f t="shared" ca="1" si="174"/>
        <v>0</v>
      </c>
      <c r="CK188" s="115">
        <f t="shared" ca="1" si="175"/>
        <v>0</v>
      </c>
      <c r="CL188" s="115" t="b">
        <f ca="1">AND(模拟模式!$S$7="驱夷逐法",OR(AND(C188="净世破魔击·月",E187&gt;59),AND(C188="净世破魔击·日",F187&gt;59)))</f>
        <v>0</v>
      </c>
      <c r="CM188" s="115" t="b">
        <f ca="1">OR(CL188,AND(C188="净世破魔击·日",CL187,RAND()&lt;模拟模式!$U$23))</f>
        <v>1</v>
      </c>
      <c r="CN188" s="115" t="b">
        <f ca="1">IF(模拟模式!$M$7="辉耀红尘",AND(C188="净世破魔击·月",CL188,CV188=0,E187&lt;80),AND(C188="净世破魔击·月",CL188,E187&lt;100))</f>
        <v>0</v>
      </c>
      <c r="CO188" s="115" t="b">
        <f t="shared" ca="1" si="148"/>
        <v>0</v>
      </c>
      <c r="CP188" s="115" t="b">
        <f ca="1">AND(模拟模式!$O$7="用晦而明",OR(C188="净世破魔击·日",C188="净世破魔击·月",C188="驱夜断愁"),AB188)</f>
        <v>1</v>
      </c>
      <c r="CQ188" s="115" t="b">
        <f ca="1">OR(CP188,AND(CP187,RAND()&lt;模拟模式!$U$23))</f>
        <v>1</v>
      </c>
      <c r="CR188" s="115" t="b">
        <f ca="1">AND(模拟模式!$S$7="日月齐光",OR(C188="幽月轮1",C188="幽月轮2",C188="幽月轮3",CR187),NOT(OR(C188="赤日轮1",C188="赤日轮2",C188="赤日轮3")))</f>
        <v>0</v>
      </c>
      <c r="CS188" s="115" t="b">
        <f ca="1">AND(模拟模式!$S$7="日月齐光",OR(C188="赤日轮1",C188="赤日轮2",C188="赤日轮3",CS187),NOT(OR(C188="幽月轮1",C188="幽月轮2",C188="幽月轮3")))</f>
        <v>0</v>
      </c>
      <c r="CT188" s="115">
        <f t="shared" ca="1" si="176"/>
        <v>18.930000000000007</v>
      </c>
      <c r="CU188" s="115" t="b">
        <f ca="1">AND(模拟模式!$K$10="阴阳往极",CT187=0,RAND()&lt;IF(C188="净世破魔击·月",0.0275*7/3,IF(C188="净世破魔击·日",0.0275*3/3,0.0275*2/3)))</f>
        <v>0</v>
      </c>
      <c r="CV188" s="115">
        <f t="shared" ca="1" si="177"/>
        <v>0</v>
      </c>
      <c r="CW188" s="115">
        <f t="shared" ca="1" si="149"/>
        <v>3.2324999999999995</v>
      </c>
      <c r="CX188" s="115">
        <f t="shared" ca="1" si="150"/>
        <v>1.3874999999999997</v>
      </c>
      <c r="CY188" s="115">
        <f ca="1">MAX(IF($C188="驱夜断愁",IF(模拟模式!$R$7="万念俱寂",6,45),CY187-$F$4),0)</f>
        <v>2.3099999999999996</v>
      </c>
      <c r="CZ188" s="115">
        <f t="shared" ca="1" si="151"/>
        <v>0</v>
      </c>
      <c r="DA188" s="115">
        <f ca="1">IF(模拟模式!$N$7="日月同辉",IF(DB187=2,0,MIN(6,IF(AND(OR(C188="赤日轮1",C188="赤日轮2",C188="赤日轮3",C188="幽月轮1",C188="幽月轮2",C188="幽月轮3"),AB188=1),DA187+1,DA187))),0)</f>
        <v>3</v>
      </c>
      <c r="DB188" s="115">
        <f t="shared" ca="1" si="152"/>
        <v>0</v>
      </c>
      <c r="DC188" s="115"/>
      <c r="DD188" s="115"/>
      <c r="DE188" s="115"/>
      <c r="DF188" s="115"/>
      <c r="DG188" s="115"/>
      <c r="DH188" s="115"/>
      <c r="DI188" s="115"/>
      <c r="DJ188" s="115"/>
      <c r="DK188" s="115"/>
      <c r="DL188" s="115"/>
      <c r="DM188" s="115"/>
    </row>
    <row r="189" spans="2:117" x14ac:dyDescent="0.2">
      <c r="B189" s="117">
        <f t="shared" si="153"/>
        <v>149.44500000000025</v>
      </c>
      <c r="C189" s="167" t="str">
        <f t="shared" ca="1" si="146"/>
        <v>赤日轮1</v>
      </c>
      <c r="D189" s="115">
        <f ca="1">IF(C189="赤日轮1",1,IF(C189="赤日轮2",2,IF(C189="赤日轮3",3,IF(C189="幽月轮1",4,IF(C189="幽月轮2",5,IF(C189="幽月轮3",6,IF(C189="烈日斩",7,IF(C189="银月斩",8,IF(C189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189="净世破魔击·月",17,IF(C189="驱夜断愁",18,0)))))))))))</f>
        <v>1</v>
      </c>
      <c r="E189" s="115">
        <f ca="1">IF(AND(CU189,OR(C189="幽月轮1",C189="幽月轮2",C189="幽月轮3",C189="银月斩",C189="驱夜断愁",C189="净世破魔击·月")),100,MIN(IF(OR(CN189,BE189),0,IF(OR($C189="赤日轮1",$C189="赤日轮2",$C189="赤日轮3"),E188+20+IF(模拟模式!$I$7="日月凌天",4,0)+IF(CR188,20,0),IF($C189="烈日斩",E188+40,IF($C189="驱夜断愁",IF(模拟模式!$R$7="万念俱寂",E188+20,E188+60),IF($C189="净世破魔击·月",IF(OR(DB188&gt;0,CV188&gt;0),100,IF(模拟模式!$M$7="辉耀红尘",E188+20,E188)),IF($C189="净世破魔击·日",E188-100,E188)))))),100))</f>
        <v>20</v>
      </c>
      <c r="F189" s="115">
        <f ca="1">IF(AND(CU189,OR(C189="赤日轮1",C189="赤日轮2",C189="赤日轮3",C189="烈日斩",C189="净世破魔击·日")),100,MIN(IF(CO189,0,IF(OR($C189="幽月轮1",$C189="幽月轮2",$C189="幽月轮3"),F188+20+IF(模拟模式!$I$7="日月凌天",4,0)+IF(CS188,20,0),IF($C189="银月斩",F188+40+IF(模拟模式!$X$12=1,5,0),IF($C189="驱夜断愁",IF(模拟模式!$R$7="万念俱寂",F188+20,F188+60),IF($C189="净世破魔击·月",IF(模拟模式!$M$7="辉耀红尘",F188-80,F188-100),IF(AND(C189="净世破魔击·日",OR(DB188&gt;0,CV188&gt;0)),100,F188)))))),100))</f>
        <v>20</v>
      </c>
      <c r="G189" s="117">
        <f ca="1">('模拟-全程加成'!$E$3+'模拟-全程加成'!$E$4+'模拟-全程加成'!$E$5+('模拟-全程加成'!$C$6-'模拟-全程加成'!$C$3)*系数!$B$9+BS189*23)*(1+'模拟-全程加成'!$F$4+'模拟-全程加成'!$F$5+BJ189*10%+BM189*20%+BP189*4%+CG189*30%)+$F$7*系数!$B$12</f>
        <v>21493.829400000002</v>
      </c>
      <c r="H189" s="45">
        <f ca="1">'模拟-全程加成'!$H$3+'模拟-全程加成'!$H$4+'模拟-全程加成'!$H$5+('模拟-全程加成'!$G$4+'模拟-全程加成'!$G$5+('模拟-全程加成'!$C$6-'模拟-全程加成'!$C$3)*系数!$B$13)/系数!$B$3+LOOKUP(D189,'模拟-单技能数据'!$A$2:$A$19,'模拟-单技能数据'!$K$2:$K$19)+BG189*10%+IF(BV189&gt;0,378,0)</f>
        <v>0.4618514552730022</v>
      </c>
      <c r="I189" s="45">
        <f ca="1">'模拟-全程加成'!$J$3+'模拟-全程加成'!$J$4+'模拟-全程加成'!$J$5+('模拟-全程加成'!$I$4+'模拟-全程加成'!$I$5)/系数!$B$4+LOOKUP(D189,'模拟-单技能数据'!$A$2:$A$19,'模拟-单技能数据'!$L$2:$L$19)+BG189*10%</f>
        <v>2.162482885499879</v>
      </c>
      <c r="J189" s="45">
        <f ca="1">(('模拟-全程加成'!$K$3+'模拟-全程加成'!$K$4+'模拟-全程加成'!$K$5+('模拟-全程加成'!$C$6-'模拟-全程加成'!$C$3)*系数!$B$10+IF(BV189&gt;0,882,0)+IF(BY189&gt;0,1831,0))*(1+'模拟-全程加成'!$L$4+'模拟-全程加成'!$L$5+CC189*20%))/系数!$B$5</f>
        <v>0.69723220422048726</v>
      </c>
      <c r="K189" s="119">
        <f ca="1">LOOKUP(D189,'模拟-单技能数据'!$A$2:$A$19,'模拟-单技能数据'!$J$2:$J$19)+IF(CM189,60%,0)+IF(DB188-DB189&gt;0,30%,0)+IF(OR(AND(OR(C189="赤日轮1",C189="赤日轮2",C189="赤日轮3"),CR189),AND(OR(C189="幽月轮1",C189="幽月轮2",C189="幽月轮3"),CS189)),35%,0)+CJ189</f>
        <v>0.12</v>
      </c>
      <c r="L189" s="119">
        <f ca="1">IF(AND(C189="烈日斩",模拟模式!$X$11=1),10%,0)+IF(AND(C189="驱夜断愁",AB189=1),30%,0)</f>
        <v>0</v>
      </c>
      <c r="M189" s="45">
        <f t="shared" ca="1" si="129"/>
        <v>0.4618514552730022</v>
      </c>
      <c r="N189" s="45">
        <f t="shared" ca="1" si="130"/>
        <v>0.48424854472699785</v>
      </c>
      <c r="O189" s="46">
        <f t="shared" ca="1" si="154"/>
        <v>0.71975624974999164</v>
      </c>
      <c r="P189" s="46" t="str">
        <f t="shared" ca="1" si="155"/>
        <v>命</v>
      </c>
      <c r="Q189" s="45">
        <f t="shared" ca="1" si="156"/>
        <v>1</v>
      </c>
      <c r="R189" s="117">
        <f ca="1">模拟模式!$E$20*(1-IF(模拟模式!$J$19="有",0.15,0))*(1-IF(模拟模式!$K$19="有",0.3,0)-IF(CQ189,0.5,0))</f>
        <v>843.02999999999975</v>
      </c>
      <c r="S189" s="45">
        <f ca="1">R189/(R189+(185*模拟模式!$E$22-16800)*4.08224)</f>
        <v>8.389626085980037E-2</v>
      </c>
      <c r="T189" s="45" t="str">
        <f ca="1">LOOKUP(D189,'模拟-单技能数据'!$A$2:$A$19,'模拟-单技能数据'!$H$2:$H$19)</f>
        <v>阳</v>
      </c>
      <c r="U189" s="119">
        <f t="shared" ca="1" si="131"/>
        <v>0.2</v>
      </c>
      <c r="V189" s="47">
        <f ca="1">(1+L189)*(LOOKUP(D189,'模拟-单技能数据'!$A$2:$A$19,'模拟-单技能数据'!$D$2:$D$19)+G189*LOOKUP(D189,'模拟-单技能数据'!$A$2:$A$19,'模拟-单技能数据'!$F$2:$F$19))*(1+J189)*(1+K189)*(1-S189)*(1+U189)*Q189*LOOKUP(D189,'模拟-单技能数据'!$A$2:$A$19,'模拟-单技能数据'!$I$2:$I$20)</f>
        <v>26295.771631143321</v>
      </c>
      <c r="W189" s="47">
        <f ca="1">LOOKUP(D189,'模拟-单技能数据'!$A$2:$A$19,'模拟-单技能数据'!$G$2:$G$19)*$I$10</f>
        <v>361.51064354704795</v>
      </c>
      <c r="X189" s="47">
        <f t="shared" ca="1" si="157"/>
        <v>21224.54896703297</v>
      </c>
      <c r="Y189" s="47">
        <f t="shared" ca="1" si="132"/>
        <v>47881.831241723339</v>
      </c>
      <c r="Z189" s="49">
        <f t="shared" ca="1" si="133"/>
        <v>16994083.060694307</v>
      </c>
      <c r="AA189" s="97">
        <f t="shared" ca="1" si="134"/>
        <v>113714.6312067602</v>
      </c>
      <c r="AB189" s="115">
        <f ca="1">IF(OR(C189="赤日轮1",C189="赤日轮2",C189="赤日轮3"),IF(RAND()&lt;模拟模式!$Y$17,1,0),IF(OR(C189="幽月轮1",C189="幽月轮2",C189="幽月轮3"),IF(RAND()&lt;模拟模式!$Y$18,1,0),IF(C189="烈日斩",IF(RAND()&lt;模拟模式!$Y$19,1,0),IF(C189="银月斩",IF(RAND()&lt;模拟模式!$Y$20,1,0),IF(C189="驱夜断愁",IF(RAND()&lt;模拟模式!$Y$21,1,0),IF(C189="净世破魔击·日",IF(RAND()&lt;模拟模式!$Y$22,1,0),IF(C189="净世破魔击·月",IF(RAND()&lt;模拟模式!$Y$23,1,0),0)))))))</f>
        <v>1</v>
      </c>
      <c r="AC189" s="115" t="b">
        <f t="shared" ca="1" si="122"/>
        <v>0</v>
      </c>
      <c r="AD189" s="115" t="b">
        <f t="shared" ca="1" si="142"/>
        <v>1</v>
      </c>
      <c r="AE189" s="115">
        <f t="shared" ca="1" si="143"/>
        <v>2</v>
      </c>
      <c r="AF189" s="47">
        <f ca="1">IF(AC189,('模拟-单技能数据'!$D$20+G189*'模拟-单技能数据'!$F$20)*(1+J189)*(1+'模拟-单技能数据'!$J$20)*(1+U189),0)</f>
        <v>0</v>
      </c>
      <c r="AG189" s="61">
        <f t="shared" ca="1" si="135"/>
        <v>0.64185145527300214</v>
      </c>
      <c r="AH189" s="61">
        <f t="shared" ca="1" si="136"/>
        <v>2.2624828854998791</v>
      </c>
      <c r="AI189" s="62">
        <f t="shared" ca="1" si="158"/>
        <v>0.24323731263085069</v>
      </c>
      <c r="AJ189" s="47">
        <f ca="1">IF(AD189,IF(AI189&lt;$F$10,0,IF(AI189&lt;$F$10+$F$11,0.25,IF(AI189&lt;$F$10+$F$11+AG189,AH189,1)))*IF(AF189&gt;0,AF189,IF(AF188&gt;0,AF188,IF(AF187&gt;0,AF187,IF(AF186&gt;0,AF186,IF(AF185&gt;0,AF185,IF(AF184&gt;0,AF184,IF(AF183&gt;0,AF183,IF(AF182&gt;0,AF182,IF(AF181&gt;0,AF181,IF(AF179&gt;0,AF179,IF(AF178&gt;0,AF178,IF(AF177&gt;0,AF177,0)))))))))))),0)*(1-$S189)*'模拟-单技能数据'!$I$20</f>
        <v>9616.6571145767884</v>
      </c>
      <c r="AK189" s="115" t="b">
        <f t="shared" ca="1" si="123"/>
        <v>0</v>
      </c>
      <c r="AL189" s="115" t="b">
        <f t="shared" ca="1" si="144"/>
        <v>1</v>
      </c>
      <c r="AM189" s="115">
        <f t="shared" ca="1" si="145"/>
        <v>5</v>
      </c>
      <c r="AN189" s="47">
        <f ca="1">IF(AK189,('模拟-单技能数据'!$D$21+G189*'模拟-单技能数据'!$F$21)*(1+J189)*(1+'模拟-单技能数据'!$J$21)*(1+U189),0)</f>
        <v>0</v>
      </c>
      <c r="AO189" s="61">
        <f ca="1">IF(AN189&gt;0,M189-'模拟-单技能数据'!$K$10,AO188)</f>
        <v>0.42185145527300216</v>
      </c>
      <c r="AP189" s="61">
        <f ca="1">IF(AN189&gt;0,I189-'模拟-单技能数据'!$L$10,AP188)</f>
        <v>2.162482885499879</v>
      </c>
      <c r="AQ189" s="63">
        <f t="shared" ca="1" si="159"/>
        <v>0.97006310783531324</v>
      </c>
      <c r="AR189" s="64">
        <f ca="1">IF(AL189,IF(AQ189&lt;$F$10,0,IF(AQ189&lt;$F$10+$F$11,0.25,IF(AQ189&lt;$F$10+$F$11+AO189,AP189,1)))*IF(AN189&gt;0,AN189,IF(AN188&gt;0,AN188,IF(AN187&gt;0,AN187,IF(AN186&gt;0,AN186,IF(AN185&gt;0,AN185,IF(AN184&gt;0,AN184,IF(AN183&gt;0,AN183,IF(AN182&gt;0,AN182,IF(AN181&gt;0,AN181,IF(AN179&gt;0,AN179,IF(AN178&gt;0,AN178,IF(AN177&gt;0,AN177,0)))))))))))),0)*(1-$S189)*'模拟-单技能数据'!$I$21</f>
        <v>11607.89185245618</v>
      </c>
      <c r="AS189" s="61">
        <f ca="1">IF(OR(C189="净世破魔击·日",C189="净世破魔击·月"),M189-'模拟-单技能数据'!$K$10,0)</f>
        <v>0</v>
      </c>
      <c r="AT189" s="61">
        <f ca="1">IF(OR(C189="净世破魔击·日",C189="净世破魔击·月"),I189-'模拟-单技能数据'!$L$10,0)</f>
        <v>0</v>
      </c>
      <c r="AU189" s="62">
        <f t="shared" ca="1" si="160"/>
        <v>0.51361590585505723</v>
      </c>
      <c r="AV189" s="64">
        <f ca="1">IF(AS189&gt;0,('模拟-单技能数据'!$D$22+G189*'模拟-单技能数据'!$F$22)*(1+J189)*(1-S189)*IF(AU189&lt;$F$10,0,IF(AU189&lt;$F$10+$F$11,0.25,IF(AU189&lt;$F$10+$F$11+AS189,AT189,1)))*(1+U189),0)*'模拟-单技能数据'!$I$22</f>
        <v>0</v>
      </c>
      <c r="AW189" s="108">
        <f t="shared" ca="1" si="161"/>
        <v>0</v>
      </c>
      <c r="AX189" s="108" t="b">
        <f ca="1">AND(模拟模式!$P$10="有",AW188=0,RAND()&lt;IF(C189="净世破魔击·月",0.1*8/3,IF(C189="净世破魔击·日",0.1*4/3,0.1*2/3)))</f>
        <v>0</v>
      </c>
      <c r="AY189" s="47">
        <f ca="1">IF(AX189,(18+G189*0.722)*(1+J189)*(1-S189)*(1+$I$4)*IF(P189="会",'模拟-全程加成'!$J$3+'模拟-全程加成'!$J$4+'模拟-全程加成'!$J$5+('模拟-全程加成'!$I$4+'模拟-全程加成'!$I$5)/系数!$B$4+BG189*10%,IF(P189="命",1,IF(P189="识",0.25,0))),0)</f>
        <v>0</v>
      </c>
      <c r="AZ189" s="108">
        <f t="shared" si="162"/>
        <v>12.620000000000005</v>
      </c>
      <c r="BA189" s="108" t="b">
        <f>AND(模拟模式!$Q$10="有",AZ188=0)</f>
        <v>0</v>
      </c>
      <c r="BB189" s="140">
        <f>IF(BA189,(0+G189*0.287)*(1+J189)*(1-S189)*(1+$I$4)*IF(P189="会",'模拟-全程加成'!$J$3+'模拟-全程加成'!$J$4+'模拟-全程加成'!$J$5+('模拟-全程加成'!$I$4+'模拟-全程加成'!$I$5)/系数!$B$4+BG189*10%,IF(P189="命",1,IF(P189="识",0.25,0))),0)</f>
        <v>0</v>
      </c>
      <c r="BC189" s="115" t="b">
        <f ca="1">AND(模拟模式!$R$7="伏明众生",E189=60,F189=20,DA189&lt;5,CZ188&lt;$F$4)</f>
        <v>0</v>
      </c>
      <c r="BD189" s="115">
        <f t="shared" ca="1" si="124"/>
        <v>0</v>
      </c>
      <c r="BE189" s="115" t="b">
        <f t="shared" ca="1" si="125"/>
        <v>0</v>
      </c>
      <c r="BF189" s="47">
        <f ca="1">IF(BC189,4*('模拟-单技能数据'!$D$24+G189*'模拟-单技能数据'!$F$24)*(1+J189)*(1+'模拟-单技能数据'!$J$24)*(1-S189)*(1+$I$3)*(('模拟-全程加成'!$J$3+'模拟-全程加成'!$J$4+'模拟-全程加成'!$J$5+('模拟-全程加成'!$I$4+'模拟-全程加成'!$I$5)/系数!$B$4+BG189*10%)*('模拟-全程加成'!$J$3+'模拟-全程加成'!$J$4+'模拟-全程加成'!$J$5+('模拟-全程加成'!$I$4+'模拟-全程加成'!$I$5)/系数!$B$4+BG189*10%)+(1-('模拟-全程加成'!$J$3+'模拟-全程加成'!$J$4+'模拟-全程加成'!$J$5+('模拟-全程加成'!$I$4+'模拟-全程加成'!$I$5)/系数!$B$4+BG189*10%)-$F$10-$F$11)+F175*0.25),0)*'模拟-单技能数据'!$I$24</f>
        <v>0</v>
      </c>
      <c r="BG189" s="115" t="b">
        <f ca="1">OR(AND(OR(C189="烈日斩",C189="银月斩"),模拟模式!$I$7="净身明礼"),AND(C189="净世破魔击·日",模拟模式!$J$7="洞若观火"),AND(C190="净世破魔击·月",模拟模式!$J$7="洞若观火"),AB189=1)</f>
        <v>1</v>
      </c>
      <c r="BH189" s="115" t="b">
        <f t="shared" ca="1" si="163"/>
        <v>1</v>
      </c>
      <c r="BI189" s="115">
        <f t="shared" ca="1" si="126"/>
        <v>6</v>
      </c>
      <c r="BJ189" s="115" t="b">
        <f t="shared" ca="1" si="137"/>
        <v>1</v>
      </c>
      <c r="BK189" s="115" t="b">
        <f ca="1">AND(C189="驱夜断愁",模拟模式!$P$7="天地诛戮")</f>
        <v>0</v>
      </c>
      <c r="BL189" s="57">
        <f t="shared" ca="1" si="127"/>
        <v>15.387500000000003</v>
      </c>
      <c r="BM189" s="115" t="b">
        <f t="shared" ca="1" si="138"/>
        <v>1</v>
      </c>
      <c r="BN189" s="115" t="b">
        <f ca="1">AND(OR(C189="赤日轮1",C189="赤日轮2",C189="赤日轮3",C189="幽月轮1",C189="幽月轮2",C189="幽月轮3"),AB189=1,模拟模式!$L$7="明光恒照")</f>
        <v>1</v>
      </c>
      <c r="BO189" s="117">
        <f t="shared" ca="1" si="128"/>
        <v>30</v>
      </c>
      <c r="BP189" s="115">
        <f t="shared" ca="1" si="164"/>
        <v>6</v>
      </c>
      <c r="BQ189" s="115" t="b">
        <f>模拟模式!$K$10="2600·水"</f>
        <v>0</v>
      </c>
      <c r="BR189" s="117">
        <f t="shared" si="165"/>
        <v>0</v>
      </c>
      <c r="BS189" s="115">
        <f t="shared" si="166"/>
        <v>0</v>
      </c>
      <c r="BT189" s="115">
        <f t="shared" ca="1" si="167"/>
        <v>0</v>
      </c>
      <c r="BU189" s="115" t="b">
        <f ca="1">AND(模拟模式!$K$10="2300·雷",BT188=0,RAND()&lt;IF(C189="净世破魔击·月",5*0.05*2/3,IF(C189="净世破魔击·日",3*0.05*2/3,0.05*2*2/3)))</f>
        <v>0</v>
      </c>
      <c r="BV189" s="115">
        <f t="shared" ca="1" si="168"/>
        <v>0</v>
      </c>
      <c r="BW189" s="115">
        <f t="shared" ca="1" si="169"/>
        <v>36.089999999999293</v>
      </c>
      <c r="BX189" s="164" t="b">
        <f t="shared" ca="1" si="170"/>
        <v>0</v>
      </c>
      <c r="BY189" s="115">
        <f t="shared" ca="1" si="171"/>
        <v>0</v>
      </c>
      <c r="BZ189" s="115">
        <f>IF(OR(模拟模式!$P$16="10人团",模拟模式!$P$16="25人团"),IF(B189/30&gt;CA188,1,0),0)</f>
        <v>0</v>
      </c>
      <c r="CA189" s="115">
        <f t="shared" si="147"/>
        <v>0</v>
      </c>
      <c r="CB189" s="115">
        <f ca="1">IF(BZ189=1,IF(模拟模式!$P$16="10人团",15,0)+IF(模拟模式!$P$16="25人团",IF(RAND()&lt;0.6,15,0)),MAX(0,CB188-$F$4))</f>
        <v>0</v>
      </c>
      <c r="CC189" s="115" t="b">
        <f t="shared" ca="1" si="139"/>
        <v>0</v>
      </c>
      <c r="CD189" s="115">
        <f>IF(模拟模式!$Q$16="1个",IF(B189/40&gt;CE188,1,0),0)</f>
        <v>0</v>
      </c>
      <c r="CE189" s="115">
        <f t="shared" si="140"/>
        <v>0</v>
      </c>
      <c r="CF189" s="115">
        <f>IF(OR(CD189=1,模拟模式!$Q$16="2个"),20,MAX(0,CF188-$F$4))</f>
        <v>0</v>
      </c>
      <c r="CG189" s="115" t="b">
        <f t="shared" si="141"/>
        <v>0</v>
      </c>
      <c r="CH189" s="115">
        <f t="shared" ca="1" si="172"/>
        <v>15.240000000000009</v>
      </c>
      <c r="CI189" s="115" t="b">
        <f t="shared" ca="1" si="173"/>
        <v>0</v>
      </c>
      <c r="CJ189" s="119">
        <f t="shared" ca="1" si="174"/>
        <v>0</v>
      </c>
      <c r="CK189" s="115">
        <f t="shared" ca="1" si="175"/>
        <v>0</v>
      </c>
      <c r="CL189" s="115" t="b">
        <f ca="1">AND(模拟模式!$S$7="驱夷逐法",OR(AND(C189="净世破魔击·月",E188&gt;59),AND(C189="净世破魔击·日",F188&gt;59)))</f>
        <v>0</v>
      </c>
      <c r="CM189" s="115" t="b">
        <f ca="1">OR(CL189,AND(C189="净世破魔击·日",CL188,RAND()&lt;模拟模式!$U$23))</f>
        <v>0</v>
      </c>
      <c r="CN189" s="115" t="b">
        <f ca="1">IF(模拟模式!$M$7="辉耀红尘",AND(C189="净世破魔击·月",CL189,CV189=0,E188&lt;80),AND(C189="净世破魔击·月",CL189,E188&lt;100))</f>
        <v>0</v>
      </c>
      <c r="CO189" s="115" t="b">
        <f t="shared" ca="1" si="148"/>
        <v>0</v>
      </c>
      <c r="CP189" s="115" t="b">
        <f ca="1">AND(模拟模式!$O$7="用晦而明",OR(C189="净世破魔击·日",C189="净世破魔击·月",C189="驱夜断愁"),AB189)</f>
        <v>0</v>
      </c>
      <c r="CQ189" s="115" t="b">
        <f ca="1">OR(CP189,AND(CP188,RAND()&lt;模拟模式!$U$23))</f>
        <v>1</v>
      </c>
      <c r="CR189" s="115" t="b">
        <f ca="1">AND(模拟模式!$S$7="日月齐光",OR(C189="幽月轮1",C189="幽月轮2",C189="幽月轮3",CR188),NOT(OR(C189="赤日轮1",C189="赤日轮2",C189="赤日轮3")))</f>
        <v>0</v>
      </c>
      <c r="CS189" s="115" t="b">
        <f ca="1">AND(模拟模式!$S$7="日月齐光",OR(C189="赤日轮1",C189="赤日轮2",C189="赤日轮3",CS188),NOT(OR(C189="幽月轮1",C189="幽月轮2",C189="幽月轮3")))</f>
        <v>0</v>
      </c>
      <c r="CT189" s="115">
        <f t="shared" ca="1" si="176"/>
        <v>18.007500000000007</v>
      </c>
      <c r="CU189" s="115" t="b">
        <f ca="1">AND(模拟模式!$K$10="阴阳往极",CT188=0,RAND()&lt;IF(C189="净世破魔击·月",0.0275*7/3,IF(C189="净世破魔击·日",0.0275*3/3,0.0275*2/3)))</f>
        <v>0</v>
      </c>
      <c r="CV189" s="115">
        <f t="shared" ca="1" si="177"/>
        <v>0</v>
      </c>
      <c r="CW189" s="115">
        <f t="shared" ca="1" si="149"/>
        <v>2.3099999999999996</v>
      </c>
      <c r="CX189" s="115">
        <f t="shared" ca="1" si="150"/>
        <v>0.46499999999999975</v>
      </c>
      <c r="CY189" s="115">
        <f ca="1">MAX(IF($C189="驱夜断愁",IF(模拟模式!$R$7="万念俱寂",6,45),CY188-$F$4),0)</f>
        <v>1.3874999999999997</v>
      </c>
      <c r="CZ189" s="115">
        <f t="shared" ca="1" si="151"/>
        <v>0</v>
      </c>
      <c r="DA189" s="115">
        <f ca="1">IF(模拟模式!$N$7="日月同辉",IF(DB188=2,0,MIN(6,IF(AND(OR(C189="赤日轮1",C189="赤日轮2",C189="赤日轮3",C189="幽月轮1",C189="幽月轮2",C189="幽月轮3"),AB189=1),DA188+1,DA188))),0)</f>
        <v>4</v>
      </c>
      <c r="DB189" s="115">
        <f t="shared" ca="1" si="152"/>
        <v>0</v>
      </c>
      <c r="DC189" s="115"/>
      <c r="DD189" s="115"/>
      <c r="DE189" s="115"/>
      <c r="DF189" s="115"/>
      <c r="DG189" s="115"/>
      <c r="DH189" s="115"/>
      <c r="DI189" s="115"/>
      <c r="DJ189" s="115"/>
      <c r="DK189" s="115"/>
      <c r="DL189" s="115"/>
      <c r="DM189" s="115"/>
    </row>
    <row r="190" spans="2:117" x14ac:dyDescent="0.2">
      <c r="B190" s="117">
        <f t="shared" si="153"/>
        <v>150.36750000000026</v>
      </c>
      <c r="C190" s="167" t="str">
        <f t="shared" ca="1" si="146"/>
        <v>银月斩</v>
      </c>
      <c r="D190" s="115">
        <f ca="1">IF(C190="赤日轮1",1,IF(C190="赤日轮2",2,IF(C190="赤日轮3",3,IF(C190="幽月轮1",4,IF(C190="幽月轮2",5,IF(C190="幽月轮3",6,IF(C190="烈日斩",7,IF(C190="银月斩",8,IF(C190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190="净世破魔击·月",17,IF(C190="驱夜断愁",18,0)))))))))))</f>
        <v>8</v>
      </c>
      <c r="E190" s="115">
        <f ca="1">IF(AND(CU190,OR(C190="幽月轮1",C190="幽月轮2",C190="幽月轮3",C190="银月斩",C190="驱夜断愁",C190="净世破魔击·月")),100,MIN(IF(OR(CN190,BE190),0,IF(OR($C190="赤日轮1",$C190="赤日轮2",$C190="赤日轮3"),E189+20+IF(模拟模式!$I$7="日月凌天",4,0)+IF(CR189,20,0),IF($C190="烈日斩",E189+40,IF($C190="驱夜断愁",IF(模拟模式!$R$7="万念俱寂",E189+20,E189+60),IF($C190="净世破魔击·月",IF(OR(DB189&gt;0,CV189&gt;0),100,IF(模拟模式!$M$7="辉耀红尘",E189+20,E189)),IF($C190="净世破魔击·日",E189-100,E189)))))),100))</f>
        <v>20</v>
      </c>
      <c r="F190" s="115">
        <f ca="1">IF(AND(CU190,OR(C190="赤日轮1",C190="赤日轮2",C190="赤日轮3",C190="烈日斩",C190="净世破魔击·日")),100,MIN(IF(CO190,0,IF(OR($C190="幽月轮1",$C190="幽月轮2",$C190="幽月轮3"),F189+20+IF(模拟模式!$I$7="日月凌天",4,0)+IF(CS189,20,0),IF($C190="银月斩",F189+40+IF(模拟模式!$X$12=1,5,0),IF($C190="驱夜断愁",IF(模拟模式!$R$7="万念俱寂",F189+20,F189+60),IF($C190="净世破魔击·月",IF(模拟模式!$M$7="辉耀红尘",F189-80,F189-100),IF(AND(C190="净世破魔击·日",OR(DB189&gt;0,CV189&gt;0)),100,F189)))))),100))</f>
        <v>65</v>
      </c>
      <c r="G190" s="117">
        <f ca="1">('模拟-全程加成'!$E$3+'模拟-全程加成'!$E$4+'模拟-全程加成'!$E$5+('模拟-全程加成'!$C$6-'模拟-全程加成'!$C$3)*系数!$B$9+BS190*23)*(1+'模拟-全程加成'!$F$4+'模拟-全程加成'!$F$5+BJ190*10%+BM190*20%+BP190*4%+CG190*30%)+$F$7*系数!$B$12</f>
        <v>21493.829400000002</v>
      </c>
      <c r="H190" s="45">
        <f ca="1">'模拟-全程加成'!$H$3+'模拟-全程加成'!$H$4+'模拟-全程加成'!$H$5+('模拟-全程加成'!$G$4+'模拟-全程加成'!$G$5+('模拟-全程加成'!$C$6-'模拟-全程加成'!$C$3)*系数!$B$13)/系数!$B$3+LOOKUP(D190,'模拟-单技能数据'!$A$2:$A$19,'模拟-单技能数据'!$K$2:$K$19)+BG190*10%+IF(BV190&gt;0,378,0)</f>
        <v>0.64185145527300214</v>
      </c>
      <c r="I190" s="45">
        <f ca="1">'模拟-全程加成'!$J$3+'模拟-全程加成'!$J$4+'模拟-全程加成'!$J$5+('模拟-全程加成'!$I$4+'模拟-全程加成'!$I$5)/系数!$B$4+LOOKUP(D190,'模拟-单技能数据'!$A$2:$A$19,'模拟-单技能数据'!$L$2:$L$19)+BG190*10%</f>
        <v>2.2624828854998791</v>
      </c>
      <c r="J190" s="45">
        <f ca="1">(('模拟-全程加成'!$K$3+'模拟-全程加成'!$K$4+'模拟-全程加成'!$K$5+('模拟-全程加成'!$C$6-'模拟-全程加成'!$C$3)*系数!$B$10+IF(BV190&gt;0,882,0)+IF(BY190&gt;0,1831,0))*(1+'模拟-全程加成'!$L$4+'模拟-全程加成'!$L$5+CC190*20%))/系数!$B$5</f>
        <v>0.69723220422048726</v>
      </c>
      <c r="K190" s="119">
        <f ca="1">LOOKUP(D190,'模拟-单技能数据'!$A$2:$A$19,'模拟-单技能数据'!$J$2:$J$19)+IF(CM190,60%,0)+IF(DB189-DB190&gt;0,30%,0)+IF(OR(AND(OR(C190="赤日轮1",C190="赤日轮2",C190="赤日轮3"),CR190),AND(OR(C190="幽月轮1",C190="幽月轮2",C190="幽月轮3"),CS190)),35%,0)+CJ190</f>
        <v>0.15</v>
      </c>
      <c r="L190" s="119">
        <f ca="1">IF(AND(C190="烈日斩",模拟模式!$X$11=1),10%,0)+IF(AND(C190="驱夜断愁",AB190=1),30%,0)</f>
        <v>0</v>
      </c>
      <c r="M190" s="45">
        <f t="shared" ca="1" si="129"/>
        <v>0.64185145527300214</v>
      </c>
      <c r="N190" s="45">
        <f t="shared" ca="1" si="130"/>
        <v>0.30424854472699792</v>
      </c>
      <c r="O190" s="46">
        <f t="shared" ca="1" si="154"/>
        <v>0.42628685358672791</v>
      </c>
      <c r="P190" s="46" t="str">
        <f t="shared" ca="1" si="155"/>
        <v>会</v>
      </c>
      <c r="Q190" s="45">
        <f t="shared" ca="1" si="156"/>
        <v>2.2624828854998791</v>
      </c>
      <c r="R190" s="117">
        <f ca="1">模拟模式!$E$20*(1-IF(模拟模式!$J$19="有",0.15,0))*(1-IF(模拟模式!$K$19="有",0.3,0)-IF(CQ190,0.5,0))</f>
        <v>2950.6049999999996</v>
      </c>
      <c r="S190" s="45">
        <f ca="1">R190/(R190+(185*模拟模式!$E$22-16800)*4.08224)</f>
        <v>0.24272716014590323</v>
      </c>
      <c r="T190" s="45" t="str">
        <f ca="1">LOOKUP(D190,'模拟-单技能数据'!$A$2:$A$19,'模拟-单技能数据'!$H$2:$H$19)</f>
        <v>阴</v>
      </c>
      <c r="U190" s="119">
        <f t="shared" ca="1" si="131"/>
        <v>0.08</v>
      </c>
      <c r="V190" s="47">
        <f ca="1">(1+L190)*(LOOKUP(D190,'模拟-单技能数据'!$A$2:$A$19,'模拟-单技能数据'!$D$2:$D$19)+G190*LOOKUP(D190,'模拟-单技能数据'!$A$2:$A$19,'模拟-单技能数据'!$F$2:$F$19))*(1+J190)*(1+K190)*(1-S190)*(1+U190)*Q190*LOOKUP(D190,'模拟-单技能数据'!$A$2:$A$19,'模拟-单技能数据'!$I$2:$I$20)</f>
        <v>41211.704893206668</v>
      </c>
      <c r="W190" s="47">
        <f ca="1">LOOKUP(D190,'模拟-单技能数据'!$A$2:$A$19,'模拟-单技能数据'!$G$2:$G$19)*$I$10</f>
        <v>361.51064354704795</v>
      </c>
      <c r="X190" s="47">
        <f t="shared" ca="1" si="157"/>
        <v>0</v>
      </c>
      <c r="Y190" s="47">
        <f t="shared" ca="1" si="132"/>
        <v>41573.21553675372</v>
      </c>
      <c r="Z190" s="49">
        <f t="shared" ca="1" si="133"/>
        <v>17035656.276231062</v>
      </c>
      <c r="AA190" s="97">
        <f t="shared" ca="1" si="134"/>
        <v>113293.47283309912</v>
      </c>
      <c r="AB190" s="115">
        <f ca="1">IF(OR(C190="赤日轮1",C190="赤日轮2",C190="赤日轮3"),IF(RAND()&lt;模拟模式!$Y$17,1,0),IF(OR(C190="幽月轮1",C190="幽月轮2",C190="幽月轮3"),IF(RAND()&lt;模拟模式!$Y$18,1,0),IF(C190="烈日斩",IF(RAND()&lt;模拟模式!$Y$19,1,0),IF(C190="银月斩",IF(RAND()&lt;模拟模式!$Y$20,1,0),IF(C190="驱夜断愁",IF(RAND()&lt;模拟模式!$Y$21,1,0),IF(C190="净世破魔击·日",IF(RAND()&lt;模拟模式!$Y$22,1,0),IF(C190="净世破魔击·月",IF(RAND()&lt;模拟模式!$Y$23,1,0),0)))))))</f>
        <v>1</v>
      </c>
      <c r="AC190" s="115" t="b">
        <f t="shared" ca="1" si="122"/>
        <v>1</v>
      </c>
      <c r="AD190" s="115" t="b">
        <f t="shared" ca="1" si="142"/>
        <v>0</v>
      </c>
      <c r="AE190" s="115">
        <f t="shared" ca="1" si="143"/>
        <v>6</v>
      </c>
      <c r="AF190" s="47">
        <f ca="1">IF(AC190,('模拟-单技能数据'!$D$20+G190*'模拟-单技能数据'!$F$20)*(1+J190)*(1+'模拟-单技能数据'!$J$20)*(1+U190),0)</f>
        <v>4639.7456468263617</v>
      </c>
      <c r="AG190" s="61">
        <f t="shared" ca="1" si="135"/>
        <v>0.64185145527300214</v>
      </c>
      <c r="AH190" s="61">
        <f t="shared" ca="1" si="136"/>
        <v>2.2624828854998791</v>
      </c>
      <c r="AI190" s="62">
        <f t="shared" ca="1" si="158"/>
        <v>0.27170003360299111</v>
      </c>
      <c r="AJ190" s="47">
        <f ca="1">IF(AD190,IF(AI190&lt;$F$10,0,IF(AI190&lt;$F$10+$F$11,0.25,IF(AI190&lt;$F$10+$F$11+AG190,AH190,1)))*IF(AF190&gt;0,AF190,IF(AF189&gt;0,AF189,IF(AF188&gt;0,AF188,IF(AF187&gt;0,AF187,IF(AF186&gt;0,AF186,IF(AF185&gt;0,AF185,IF(AF184&gt;0,AF184,IF(AF183&gt;0,AF183,IF(AF182&gt;0,AF182,IF(AF180&gt;0,AF180,IF(AF179&gt;0,AF179,IF(AF178&gt;0,AF178,0)))))))))))),0)*(1-$S190)*'模拟-单技能数据'!$I$20</f>
        <v>0</v>
      </c>
      <c r="AK190" s="115" t="b">
        <f t="shared" ca="1" si="123"/>
        <v>0</v>
      </c>
      <c r="AL190" s="115" t="b">
        <f t="shared" ca="1" si="144"/>
        <v>0</v>
      </c>
      <c r="AM190" s="115">
        <f t="shared" ca="1" si="145"/>
        <v>5</v>
      </c>
      <c r="AN190" s="47">
        <f ca="1">IF(AK190,('模拟-单技能数据'!$D$21+G190*'模拟-单技能数据'!$F$21)*(1+J190)*(1+'模拟-单技能数据'!$J$21)*(1+U190),0)</f>
        <v>0</v>
      </c>
      <c r="AO190" s="61">
        <f ca="1">IF(AN190&gt;0,M190-'模拟-单技能数据'!$K$10,AO189)</f>
        <v>0.42185145527300216</v>
      </c>
      <c r="AP190" s="61">
        <f ca="1">IF(AN190&gt;0,I190-'模拟-单技能数据'!$L$10,AP189)</f>
        <v>2.162482885499879</v>
      </c>
      <c r="AQ190" s="63">
        <f t="shared" ca="1" si="159"/>
        <v>0.22974588613023927</v>
      </c>
      <c r="AR190" s="64">
        <f ca="1">IF(AL190,IF(AQ190&lt;$F$10,0,IF(AQ190&lt;$F$10+$F$11,0.25,IF(AQ190&lt;$F$10+$F$11+AO190,AP190,1)))*IF(AN190&gt;0,AN190,IF(AN189&gt;0,AN189,IF(AN188&gt;0,AN188,IF(AN187&gt;0,AN187,IF(AN186&gt;0,AN186,IF(AN185&gt;0,AN185,IF(AN184&gt;0,AN184,IF(AN183&gt;0,AN183,IF(AN182&gt;0,AN182,IF(AN180&gt;0,AN180,IF(AN179&gt;0,AN179,IF(AN178&gt;0,AN178,0)))))))))))),0)*(1-$S190)*'模拟-单技能数据'!$I$21</f>
        <v>0</v>
      </c>
      <c r="AS190" s="61">
        <f ca="1">IF(OR(C190="净世破魔击·日",C190="净世破魔击·月"),M190-'模拟-单技能数据'!$K$10,0)</f>
        <v>0</v>
      </c>
      <c r="AT190" s="61">
        <f ca="1">IF(OR(C190="净世破魔击·日",C190="净世破魔击·月"),I190-'模拟-单技能数据'!$L$10,0)</f>
        <v>0</v>
      </c>
      <c r="AU190" s="62">
        <f t="shared" ca="1" si="160"/>
        <v>0.78575893410487674</v>
      </c>
      <c r="AV190" s="64">
        <f ca="1">IF(AS190&gt;0,('模拟-单技能数据'!$D$22+G190*'模拟-单技能数据'!$F$22)*(1+J190)*(1-S190)*IF(AU190&lt;$F$10,0,IF(AU190&lt;$F$10+$F$11,0.25,IF(AU190&lt;$F$10+$F$11+AS190,AT190,1)))*(1+U190),0)*'模拟-单技能数据'!$I$22</f>
        <v>0</v>
      </c>
      <c r="AW190" s="108">
        <f t="shared" ca="1" si="161"/>
        <v>0</v>
      </c>
      <c r="AX190" s="108" t="b">
        <f ca="1">AND(模拟模式!$P$10="有",AW189=0,RAND()&lt;IF(C190="净世破魔击·月",0.1*8/3,IF(C190="净世破魔击·日",0.1*4/3,0.1*2/3)))</f>
        <v>0</v>
      </c>
      <c r="AY190" s="47">
        <f ca="1">IF(AX190,(18+G190*0.722)*(1+J190)*(1-S190)*(1+$I$4)*IF(P190="会",'模拟-全程加成'!$J$3+'模拟-全程加成'!$J$4+'模拟-全程加成'!$J$5+('模拟-全程加成'!$I$4+'模拟-全程加成'!$I$5)/系数!$B$4+BG190*10%,IF(P190="命",1,IF(P190="识",0.25,0))),0)</f>
        <v>0</v>
      </c>
      <c r="AZ190" s="108">
        <f t="shared" si="162"/>
        <v>11.697500000000005</v>
      </c>
      <c r="BA190" s="108" t="b">
        <f>AND(模拟模式!$Q$10="有",AZ189=0)</f>
        <v>0</v>
      </c>
      <c r="BB190" s="140">
        <f>IF(BA190,(0+G190*0.287)*(1+J190)*(1-S190)*(1+$I$4)*IF(P190="会",'模拟-全程加成'!$J$3+'模拟-全程加成'!$J$4+'模拟-全程加成'!$J$5+('模拟-全程加成'!$I$4+'模拟-全程加成'!$I$5)/系数!$B$4+BG190*10%,IF(P190="命",1,IF(P190="识",0.25,0))),0)</f>
        <v>0</v>
      </c>
      <c r="BC190" s="115" t="b">
        <f ca="1">AND(模拟模式!$R$7="伏明众生",E190=60,F190=20,DA190&lt;5,CZ189&lt;$F$4)</f>
        <v>0</v>
      </c>
      <c r="BD190" s="115">
        <f t="shared" ca="1" si="124"/>
        <v>0</v>
      </c>
      <c r="BE190" s="115" t="b">
        <f t="shared" ca="1" si="125"/>
        <v>0</v>
      </c>
      <c r="BF190" s="47">
        <f ca="1">IF(BC190,4*('模拟-单技能数据'!$D$24+G190*'模拟-单技能数据'!$F$24)*(1+J190)*(1+'模拟-单技能数据'!$J$24)*(1-S190)*(1+$I$3)*(('模拟-全程加成'!$J$3+'模拟-全程加成'!$J$4+'模拟-全程加成'!$J$5+('模拟-全程加成'!$I$4+'模拟-全程加成'!$I$5)/系数!$B$4+BG190*10%)*('模拟-全程加成'!$J$3+'模拟-全程加成'!$J$4+'模拟-全程加成'!$J$5+('模拟-全程加成'!$I$4+'模拟-全程加成'!$I$5)/系数!$B$4+BG190*10%)+(1-('模拟-全程加成'!$J$3+'模拟-全程加成'!$J$4+'模拟-全程加成'!$J$5+('模拟-全程加成'!$I$4+'模拟-全程加成'!$I$5)/系数!$B$4+BG190*10%)-$F$10-$F$11)+F176*0.25),0)*'模拟-单技能数据'!$I$24</f>
        <v>0</v>
      </c>
      <c r="BG190" s="115" t="b">
        <f ca="1">OR(AND(OR(C190="烈日斩",C190="银月斩"),模拟模式!$I$7="净身明礼"),AND(C190="净世破魔击·日",模拟模式!$J$7="洞若观火"),AND(C191="净世破魔击·月",模拟模式!$J$7="洞若观火"),AB190=1)</f>
        <v>1</v>
      </c>
      <c r="BH190" s="115" t="b">
        <f t="shared" ca="1" si="163"/>
        <v>0</v>
      </c>
      <c r="BI190" s="115">
        <f t="shared" ca="1" si="126"/>
        <v>5.0774999999999997</v>
      </c>
      <c r="BJ190" s="115" t="b">
        <f t="shared" ca="1" si="137"/>
        <v>1</v>
      </c>
      <c r="BK190" s="115" t="b">
        <f ca="1">AND(C190="驱夜断愁",模拟模式!$P$7="天地诛戮")</f>
        <v>0</v>
      </c>
      <c r="BL190" s="57">
        <f t="shared" ca="1" si="127"/>
        <v>14.465000000000003</v>
      </c>
      <c r="BM190" s="115" t="b">
        <f t="shared" ca="1" si="138"/>
        <v>1</v>
      </c>
      <c r="BN190" s="115" t="b">
        <f ca="1">AND(OR(C190="赤日轮1",C190="赤日轮2",C190="赤日轮3",C190="幽月轮1",C190="幽月轮2",C190="幽月轮3"),AB190=1,模拟模式!$L$7="明光恒照")</f>
        <v>0</v>
      </c>
      <c r="BO190" s="117">
        <f t="shared" ca="1" si="128"/>
        <v>29.077500000000001</v>
      </c>
      <c r="BP190" s="115">
        <f t="shared" ca="1" si="164"/>
        <v>6</v>
      </c>
      <c r="BQ190" s="115" t="b">
        <f>模拟模式!$K$10="2600·水"</f>
        <v>0</v>
      </c>
      <c r="BR190" s="117">
        <f t="shared" si="165"/>
        <v>0</v>
      </c>
      <c r="BS190" s="115">
        <f t="shared" si="166"/>
        <v>0</v>
      </c>
      <c r="BT190" s="115">
        <f t="shared" ca="1" si="167"/>
        <v>0</v>
      </c>
      <c r="BU190" s="115" t="b">
        <f ca="1">AND(模拟模式!$K$10="2300·雷",BT189=0,RAND()&lt;IF(C190="净世破魔击·月",5*0.05*2/3,IF(C190="净世破魔击·日",3*0.05*2/3,0.05*2*2/3)))</f>
        <v>0</v>
      </c>
      <c r="BV190" s="115">
        <f t="shared" ca="1" si="168"/>
        <v>0</v>
      </c>
      <c r="BW190" s="115">
        <f t="shared" ca="1" si="169"/>
        <v>35.167499999999293</v>
      </c>
      <c r="BX190" s="164" t="b">
        <f t="shared" ca="1" si="170"/>
        <v>0</v>
      </c>
      <c r="BY190" s="115">
        <f t="shared" ca="1" si="171"/>
        <v>0</v>
      </c>
      <c r="BZ190" s="115">
        <f>IF(OR(模拟模式!$P$16="10人团",模拟模式!$P$16="25人团"),IF(B190/30&gt;CA189,1,0),0)</f>
        <v>0</v>
      </c>
      <c r="CA190" s="115">
        <f t="shared" si="147"/>
        <v>0</v>
      </c>
      <c r="CB190" s="115">
        <f ca="1">IF(BZ190=1,IF(模拟模式!$P$16="10人团",15,0)+IF(模拟模式!$P$16="25人团",IF(RAND()&lt;0.6,15,0)),MAX(0,CB189-$F$4))</f>
        <v>0</v>
      </c>
      <c r="CC190" s="115" t="b">
        <f t="shared" ca="1" si="139"/>
        <v>0</v>
      </c>
      <c r="CD190" s="115">
        <f>IF(模拟模式!$Q$16="1个",IF(B190/40&gt;CE189,1,0),0)</f>
        <v>0</v>
      </c>
      <c r="CE190" s="115">
        <f t="shared" si="140"/>
        <v>0</v>
      </c>
      <c r="CF190" s="115">
        <f>IF(OR(CD190=1,模拟模式!$Q$16="2个"),20,MAX(0,CF189-$F$4))</f>
        <v>0</v>
      </c>
      <c r="CG190" s="115" t="b">
        <f t="shared" si="141"/>
        <v>0</v>
      </c>
      <c r="CH190" s="115">
        <f t="shared" ca="1" si="172"/>
        <v>14.31750000000001</v>
      </c>
      <c r="CI190" s="115" t="b">
        <f t="shared" ca="1" si="173"/>
        <v>0</v>
      </c>
      <c r="CJ190" s="119">
        <f t="shared" ca="1" si="174"/>
        <v>0</v>
      </c>
      <c r="CK190" s="115">
        <f t="shared" ca="1" si="175"/>
        <v>0</v>
      </c>
      <c r="CL190" s="115" t="b">
        <f ca="1">AND(模拟模式!$S$7="驱夷逐法",OR(AND(C190="净世破魔击·月",E189&gt;59),AND(C190="净世破魔击·日",F189&gt;59)))</f>
        <v>0</v>
      </c>
      <c r="CM190" s="115" t="b">
        <f ca="1">OR(CL190,AND(C190="净世破魔击·日",CL189,RAND()&lt;模拟模式!$U$23))</f>
        <v>0</v>
      </c>
      <c r="CN190" s="115" t="b">
        <f ca="1">IF(模拟模式!$M$7="辉耀红尘",AND(C190="净世破魔击·月",CL190,CV190=0,E189&lt;80),AND(C190="净世破魔击·月",CL190,E189&lt;100))</f>
        <v>0</v>
      </c>
      <c r="CO190" s="115" t="b">
        <f t="shared" ca="1" si="148"/>
        <v>0</v>
      </c>
      <c r="CP190" s="115" t="b">
        <f ca="1">AND(模拟模式!$O$7="用晦而明",OR(C190="净世破魔击·日",C190="净世破魔击·月",C190="驱夜断愁"),AB190)</f>
        <v>0</v>
      </c>
      <c r="CQ190" s="115" t="b">
        <f ca="1">OR(CP190,AND(CP189,RAND()&lt;模拟模式!$U$23))</f>
        <v>0</v>
      </c>
      <c r="CR190" s="115" t="b">
        <f ca="1">AND(模拟模式!$S$7="日月齐光",OR(C190="幽月轮1",C190="幽月轮2",C190="幽月轮3",CR189),NOT(OR(C190="赤日轮1",C190="赤日轮2",C190="赤日轮3")))</f>
        <v>0</v>
      </c>
      <c r="CS190" s="115" t="b">
        <f ca="1">AND(模拟模式!$S$7="日月齐光",OR(C190="赤日轮1",C190="赤日轮2",C190="赤日轮3",CS189),NOT(OR(C190="幽月轮1",C190="幽月轮2",C190="幽月轮3")))</f>
        <v>0</v>
      </c>
      <c r="CT190" s="115">
        <f t="shared" ca="1" si="176"/>
        <v>17.085000000000008</v>
      </c>
      <c r="CU190" s="115" t="b">
        <f ca="1">AND(模拟模式!$K$10="阴阳往极",CT189=0,RAND()&lt;IF(C190="净世破魔击·月",0.0275*7/3,IF(C190="净世破魔击·日",0.0275*3/3,0.0275*2/3)))</f>
        <v>0</v>
      </c>
      <c r="CV190" s="115">
        <f t="shared" ca="1" si="177"/>
        <v>0</v>
      </c>
      <c r="CW190" s="115">
        <f t="shared" ca="1" si="149"/>
        <v>1.3874999999999997</v>
      </c>
      <c r="CX190" s="115">
        <f t="shared" ca="1" si="150"/>
        <v>6</v>
      </c>
      <c r="CY190" s="115">
        <f ca="1">MAX(IF($C190="驱夜断愁",IF(模拟模式!$R$7="万念俱寂",6,45),CY189-$F$4),0)</f>
        <v>0.46499999999999975</v>
      </c>
      <c r="CZ190" s="115">
        <f t="shared" ca="1" si="151"/>
        <v>0</v>
      </c>
      <c r="DA190" s="115">
        <f ca="1">IF(模拟模式!$N$7="日月同辉",IF(DB189=2,0,MIN(6,IF(AND(OR(C190="赤日轮1",C190="赤日轮2",C190="赤日轮3",C190="幽月轮1",C190="幽月轮2",C190="幽月轮3"),AB190=1),DA189+1,DA189))),0)</f>
        <v>4</v>
      </c>
      <c r="DB190" s="115">
        <f t="shared" ca="1" si="152"/>
        <v>0</v>
      </c>
      <c r="DC190" s="115"/>
      <c r="DD190" s="115"/>
      <c r="DE190" s="115"/>
      <c r="DF190" s="115"/>
      <c r="DG190" s="115"/>
      <c r="DH190" s="115"/>
      <c r="DI190" s="115"/>
      <c r="DJ190" s="115"/>
      <c r="DK190" s="115"/>
      <c r="DL190" s="115"/>
      <c r="DM190" s="115"/>
    </row>
    <row r="191" spans="2:117" x14ac:dyDescent="0.2">
      <c r="B191" s="117">
        <f t="shared" si="153"/>
        <v>151.29000000000028</v>
      </c>
      <c r="C191" s="167" t="str">
        <f t="shared" ca="1" si="146"/>
        <v>驱夜断愁</v>
      </c>
      <c r="D191" s="115">
        <f ca="1">IF(C191="赤日轮1",1,IF(C191="赤日轮2",2,IF(C191="赤日轮3",3,IF(C191="幽月轮1",4,IF(C191="幽月轮2",5,IF(C191="幽月轮3",6,IF(C191="烈日斩",7,IF(C191="银月斩",8,IF(C191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191="净世破魔击·月",17,IF(C191="驱夜断愁",18,0)))))))))))</f>
        <v>18</v>
      </c>
      <c r="E191" s="115">
        <f ca="1">IF(AND(CU191,OR(C191="幽月轮1",C191="幽月轮2",C191="幽月轮3",C191="银月斩",C191="驱夜断愁",C191="净世破魔击·月")),100,MIN(IF(OR(CN191,BE191),0,IF(OR($C191="赤日轮1",$C191="赤日轮2",$C191="赤日轮3"),E190+20+IF(模拟模式!$I$7="日月凌天",4,0)+IF(CR190,20,0),IF($C191="烈日斩",E190+40,IF($C191="驱夜断愁",IF(模拟模式!$R$7="万念俱寂",E190+20,E190+60),IF($C191="净世破魔击·月",IF(OR(DB190&gt;0,CV190&gt;0),100,IF(模拟模式!$M$7="辉耀红尘",E190+20,E190)),IF($C191="净世破魔击·日",E190-100,E190)))))),100))</f>
        <v>40</v>
      </c>
      <c r="F191" s="115">
        <f ca="1">IF(AND(CU191,OR(C191="赤日轮1",C191="赤日轮2",C191="赤日轮3",C191="烈日斩",C191="净世破魔击·日")),100,MIN(IF(CO191,0,IF(OR($C191="幽月轮1",$C191="幽月轮2",$C191="幽月轮3"),F190+20+IF(模拟模式!$I$7="日月凌天",4,0)+IF(CS190,20,0),IF($C191="银月斩",F190+40+IF(模拟模式!$X$12=1,5,0),IF($C191="驱夜断愁",IF(模拟模式!$R$7="万念俱寂",F190+20,F190+60),IF($C191="净世破魔击·月",IF(模拟模式!$M$7="辉耀红尘",F190-80,F190-100),IF(AND(C191="净世破魔击·日",OR(DB190&gt;0,CV190&gt;0)),100,F190)))))),100))</f>
        <v>85</v>
      </c>
      <c r="G191" s="117">
        <f ca="1">('模拟-全程加成'!$E$3+'模拟-全程加成'!$E$4+'模拟-全程加成'!$E$5+('模拟-全程加成'!$C$6-'模拟-全程加成'!$C$3)*系数!$B$9+BS191*23)*(1+'模拟-全程加成'!$F$4+'模拟-全程加成'!$F$5+BJ191*10%+BM191*20%+BP191*4%+CG191*30%)+$F$7*系数!$B$12</f>
        <v>21493.829400000002</v>
      </c>
      <c r="H191" s="45">
        <f ca="1">'模拟-全程加成'!$H$3+'模拟-全程加成'!$H$4+'模拟-全程加成'!$H$5+('模拟-全程加成'!$G$4+'模拟-全程加成'!$G$5+('模拟-全程加成'!$C$6-'模拟-全程加成'!$C$3)*系数!$B$13)/系数!$B$3+LOOKUP(D191,'模拟-单技能数据'!$A$2:$A$19,'模拟-单技能数据'!$K$2:$K$19)+BG191*10%+IF(BV191&gt;0,378,0)</f>
        <v>0.51185145527300213</v>
      </c>
      <c r="I191" s="45">
        <f ca="1">'模拟-全程加成'!$J$3+'模拟-全程加成'!$J$4+'模拟-全程加成'!$J$5+('模拟-全程加成'!$I$4+'模拟-全程加成'!$I$5)/系数!$B$4+LOOKUP(D191,'模拟-单技能数据'!$A$2:$A$19,'模拟-单技能数据'!$L$2:$L$19)+BG191*10%</f>
        <v>2.162482885499879</v>
      </c>
      <c r="J191" s="45">
        <f ca="1">(('模拟-全程加成'!$K$3+'模拟-全程加成'!$K$4+'模拟-全程加成'!$K$5+('模拟-全程加成'!$C$6-'模拟-全程加成'!$C$3)*系数!$B$10+IF(BV191&gt;0,882,0)+IF(BY191&gt;0,1831,0))*(1+'模拟-全程加成'!$L$4+'模拟-全程加成'!$L$5+CC191*20%))/系数!$B$5</f>
        <v>0.69723220422048726</v>
      </c>
      <c r="K191" s="119">
        <f ca="1">LOOKUP(D191,'模拟-单技能数据'!$A$2:$A$19,'模拟-单技能数据'!$J$2:$J$19)+IF(CM191,60%,0)+IF(DB190-DB191&gt;0,30%,0)+IF(OR(AND(OR(C191="赤日轮1",C191="赤日轮2",C191="赤日轮3"),CR191),AND(OR(C191="幽月轮1",C191="幽月轮2",C191="幽月轮3"),CS191)),35%,0)+CJ191</f>
        <v>0.14000000000000001</v>
      </c>
      <c r="L191" s="119">
        <f ca="1">IF(AND(C191="烈日斩",模拟模式!$X$11=1),10%,0)+IF(AND(C191="驱夜断愁",AB191=1),30%,0)</f>
        <v>0.3</v>
      </c>
      <c r="M191" s="45">
        <f t="shared" ca="1" si="129"/>
        <v>0.51185145527300213</v>
      </c>
      <c r="N191" s="45">
        <f t="shared" ca="1" si="130"/>
        <v>0.43424854472699792</v>
      </c>
      <c r="O191" s="46">
        <f t="shared" ca="1" si="154"/>
        <v>0.22256239113047105</v>
      </c>
      <c r="P191" s="46" t="str">
        <f t="shared" ca="1" si="155"/>
        <v>会</v>
      </c>
      <c r="Q191" s="45">
        <f t="shared" ca="1" si="156"/>
        <v>2.162482885499879</v>
      </c>
      <c r="R191" s="117">
        <f ca="1">模拟模式!$E$20*(1-IF(模拟模式!$J$19="有",0.15,0))*(1-IF(模拟模式!$K$19="有",0.3,0)-IF(CQ191,0.5,0))</f>
        <v>843.02999999999975</v>
      </c>
      <c r="S191" s="45">
        <f ca="1">R191/(R191+(185*模拟模式!$E$22-16800)*4.08224)</f>
        <v>8.389626085980037E-2</v>
      </c>
      <c r="T191" s="45" t="str">
        <f ca="1">LOOKUP(D191,'模拟-单技能数据'!$A$2:$A$19,'模拟-单技能数据'!$H$2:$H$19)</f>
        <v>阴</v>
      </c>
      <c r="U191" s="119">
        <f t="shared" ca="1" si="131"/>
        <v>0.08</v>
      </c>
      <c r="V191" s="47">
        <f ca="1">(1+L191)*(LOOKUP(D191,'模拟-单技能数据'!$A$2:$A$19,'模拟-单技能数据'!$D$2:$D$19)+G191*LOOKUP(D191,'模拟-单技能数据'!$A$2:$A$19,'模拟-单技能数据'!$F$2:$F$19))*(1+J191)*(1+K191)*(1-S191)*(1+U191)*Q191*LOOKUP(D191,'模拟-单技能数据'!$A$2:$A$19,'模拟-单技能数据'!$I$2:$I$20)</f>
        <v>133079.35569364758</v>
      </c>
      <c r="W191" s="47">
        <f ca="1">LOOKUP(D191,'模拟-单技能数据'!$A$2:$A$19,'模拟-单技能数据'!$G$2:$G$19)*$I$10</f>
        <v>723.0212870940959</v>
      </c>
      <c r="X191" s="47">
        <f t="shared" ca="1" si="157"/>
        <v>34718.524582246762</v>
      </c>
      <c r="Y191" s="47">
        <f t="shared" ca="1" si="132"/>
        <v>168520.90156298844</v>
      </c>
      <c r="Z191" s="49">
        <f t="shared" ca="1" si="133"/>
        <v>17204177.17779405</v>
      </c>
      <c r="AA191" s="97">
        <f t="shared" ca="1" si="134"/>
        <v>113716.5521699651</v>
      </c>
      <c r="AB191" s="115">
        <f ca="1">IF(OR(C191="赤日轮1",C191="赤日轮2",C191="赤日轮3"),IF(RAND()&lt;模拟模式!$Y$17,1,0),IF(OR(C191="幽月轮1",C191="幽月轮2",C191="幽月轮3"),IF(RAND()&lt;模拟模式!$Y$18,1,0),IF(C191="烈日斩",IF(RAND()&lt;模拟模式!$Y$19,1,0),IF(C191="银月斩",IF(RAND()&lt;模拟模式!$Y$20,1,0),IF(C191="驱夜断愁",IF(RAND()&lt;模拟模式!$Y$21,1,0),IF(C191="净世破魔击·日",IF(RAND()&lt;模拟模式!$Y$22,1,0),IF(C191="净世破魔击·月",IF(RAND()&lt;模拟模式!$Y$23,1,0),0)))))))</f>
        <v>1</v>
      </c>
      <c r="AC191" s="115" t="b">
        <f t="shared" ca="1" si="122"/>
        <v>0</v>
      </c>
      <c r="AD191" s="115" t="b">
        <f t="shared" ca="1" si="142"/>
        <v>1</v>
      </c>
      <c r="AE191" s="115">
        <f t="shared" ca="1" si="143"/>
        <v>5</v>
      </c>
      <c r="AF191" s="47">
        <f ca="1">IF(AC191,('模拟-单技能数据'!$D$20+G191*'模拟-单技能数据'!$F$20)*(1+J191)*(1+'模拟-单技能数据'!$J$20)*(1+U191),0)</f>
        <v>0</v>
      </c>
      <c r="AG191" s="61">
        <f t="shared" ca="1" si="135"/>
        <v>0.64185145527300214</v>
      </c>
      <c r="AH191" s="61">
        <f t="shared" ca="1" si="136"/>
        <v>2.2624828854998791</v>
      </c>
      <c r="AI191" s="62">
        <f t="shared" ca="1" si="158"/>
        <v>0.51394043379849075</v>
      </c>
      <c r="AJ191" s="47">
        <f ca="1">IF(AD191,IF(AI191&lt;$F$10,0,IF(AI191&lt;$F$10+$F$11,0.25,IF(AI191&lt;$F$10+$F$11+AG191,AH191,1)))*IF(AF191&gt;0,AF191,IF(AF190&gt;0,AF190,IF(AF189&gt;0,AF189,IF(AF188&gt;0,AF188,IF(AF187&gt;0,AF187,IF(AF186&gt;0,AF186,IF(AF185&gt;0,AF185,IF(AF184&gt;0,AF184,IF(AF183&gt;0,AF183,IF(AF181&gt;0,AF181,IF(AF180&gt;0,AF180,IF(AF179&gt;0,AF179,0)))))))))))),0)*(1-$S191)*'模拟-单技能数据'!$I$20</f>
        <v>9616.6571145767884</v>
      </c>
      <c r="AK191" s="115" t="b">
        <f t="shared" ca="1" si="123"/>
        <v>0</v>
      </c>
      <c r="AL191" s="115" t="b">
        <f t="shared" ca="1" si="144"/>
        <v>1</v>
      </c>
      <c r="AM191" s="115">
        <f t="shared" ca="1" si="145"/>
        <v>4</v>
      </c>
      <c r="AN191" s="47">
        <f ca="1">IF(AK191,('模拟-单技能数据'!$D$21+G191*'模拟-单技能数据'!$F$21)*(1+J191)*(1+'模拟-单技能数据'!$J$21)*(1+U191),0)</f>
        <v>0</v>
      </c>
      <c r="AO191" s="61">
        <f ca="1">IF(AN191&gt;0,M191-'模拟-单技能数据'!$K$10,AO190)</f>
        <v>0.42185145527300216</v>
      </c>
      <c r="AP191" s="61">
        <f ca="1">IF(AN191&gt;0,I191-'模拟-单技能数据'!$L$10,AP190)</f>
        <v>2.162482885499879</v>
      </c>
      <c r="AQ191" s="63">
        <f t="shared" ca="1" si="159"/>
        <v>9.910547253109192E-2</v>
      </c>
      <c r="AR191" s="64">
        <f ca="1">IF(AL191,IF(AQ191&lt;$F$10,0,IF(AQ191&lt;$F$10+$F$11,0.25,IF(AQ191&lt;$F$10+$F$11+AO191,AP191,1)))*IF(AN191&gt;0,AN191,IF(AN190&gt;0,AN190,IF(AN189&gt;0,AN189,IF(AN188&gt;0,AN188,IF(AN187&gt;0,AN187,IF(AN186&gt;0,AN186,IF(AN185&gt;0,AN185,IF(AN184&gt;0,AN184,IF(AN183&gt;0,AN183,IF(AN181&gt;0,AN181,IF(AN180&gt;0,AN180,IF(AN179&gt;0,AN179,0)))))))))))),0)*(1-$S191)*'模拟-单技能数据'!$I$21</f>
        <v>25101.867467669974</v>
      </c>
      <c r="AS191" s="61">
        <f ca="1">IF(OR(C191="净世破魔击·日",C191="净世破魔击·月"),M191-'模拟-单技能数据'!$K$10,0)</f>
        <v>0</v>
      </c>
      <c r="AT191" s="61">
        <f ca="1">IF(OR(C191="净世破魔击·日",C191="净世破魔击·月"),I191-'模拟-单技能数据'!$L$10,0)</f>
        <v>0</v>
      </c>
      <c r="AU191" s="62">
        <f t="shared" ca="1" si="160"/>
        <v>0.58078349293741971</v>
      </c>
      <c r="AV191" s="64">
        <f ca="1">IF(AS191&gt;0,('模拟-单技能数据'!$D$22+G191*'模拟-单技能数据'!$F$22)*(1+J191)*(1-S191)*IF(AU191&lt;$F$10,0,IF(AU191&lt;$F$10+$F$11,0.25,IF(AU191&lt;$F$10+$F$11+AS191,AT191,1)))*(1+U191),0)*'模拟-单技能数据'!$I$22</f>
        <v>0</v>
      </c>
      <c r="AW191" s="108">
        <f t="shared" ca="1" si="161"/>
        <v>0</v>
      </c>
      <c r="AX191" s="108" t="b">
        <f ca="1">AND(模拟模式!$P$10="有",AW190=0,RAND()&lt;IF(C191="净世破魔击·月",0.1*8/3,IF(C191="净世破魔击·日",0.1*4/3,0.1*2/3)))</f>
        <v>0</v>
      </c>
      <c r="AY191" s="47">
        <f ca="1">IF(AX191,(18+G191*0.722)*(1+J191)*(1-S191)*(1+$I$4)*IF(P191="会",'模拟-全程加成'!$J$3+'模拟-全程加成'!$J$4+'模拟-全程加成'!$J$5+('模拟-全程加成'!$I$4+'模拟-全程加成'!$I$5)/系数!$B$4+BG191*10%,IF(P191="命",1,IF(P191="识",0.25,0))),0)</f>
        <v>0</v>
      </c>
      <c r="AZ191" s="108">
        <f t="shared" si="162"/>
        <v>10.775000000000006</v>
      </c>
      <c r="BA191" s="108" t="b">
        <f>AND(模拟模式!$Q$10="有",AZ190=0)</f>
        <v>0</v>
      </c>
      <c r="BB191" s="140">
        <f>IF(BA191,(0+G191*0.287)*(1+J191)*(1-S191)*(1+$I$4)*IF(P191="会",'模拟-全程加成'!$J$3+'模拟-全程加成'!$J$4+'模拟-全程加成'!$J$5+('模拟-全程加成'!$I$4+'模拟-全程加成'!$I$5)/系数!$B$4+BG191*10%,IF(P191="命",1,IF(P191="识",0.25,0))),0)</f>
        <v>0</v>
      </c>
      <c r="BC191" s="115" t="b">
        <f ca="1">AND(模拟模式!$R$7="伏明众生",E191=60,F191=20,DA191&lt;5,CZ190&lt;$F$4)</f>
        <v>0</v>
      </c>
      <c r="BD191" s="115">
        <f t="shared" ca="1" si="124"/>
        <v>0</v>
      </c>
      <c r="BE191" s="115" t="b">
        <f t="shared" ca="1" si="125"/>
        <v>0</v>
      </c>
      <c r="BF191" s="47">
        <f ca="1">IF(BC191,4*('模拟-单技能数据'!$D$24+G191*'模拟-单技能数据'!$F$24)*(1+J191)*(1+'模拟-单技能数据'!$J$24)*(1-S191)*(1+$I$3)*(('模拟-全程加成'!$J$3+'模拟-全程加成'!$J$4+'模拟-全程加成'!$J$5+('模拟-全程加成'!$I$4+'模拟-全程加成'!$I$5)/系数!$B$4+BG191*10%)*('模拟-全程加成'!$J$3+'模拟-全程加成'!$J$4+'模拟-全程加成'!$J$5+('模拟-全程加成'!$I$4+'模拟-全程加成'!$I$5)/系数!$B$4+BG191*10%)+(1-('模拟-全程加成'!$J$3+'模拟-全程加成'!$J$4+'模拟-全程加成'!$J$5+('模拟-全程加成'!$I$4+'模拟-全程加成'!$I$5)/系数!$B$4+BG191*10%)-$F$10-$F$11)+F177*0.25),0)*'模拟-单技能数据'!$I$24</f>
        <v>0</v>
      </c>
      <c r="BG191" s="115" t="b">
        <f ca="1">OR(AND(OR(C191="烈日斩",C191="银月斩"),模拟模式!$I$7="净身明礼"),AND(C191="净世破魔击·日",模拟模式!$J$7="洞若观火"),AND(C192="净世破魔击·月",模拟模式!$J$7="洞若观火"),AB191=1)</f>
        <v>1</v>
      </c>
      <c r="BH191" s="115" t="b">
        <f t="shared" ca="1" si="163"/>
        <v>0</v>
      </c>
      <c r="BI191" s="115">
        <f t="shared" ca="1" si="126"/>
        <v>4.1549999999999994</v>
      </c>
      <c r="BJ191" s="115" t="b">
        <f t="shared" ca="1" si="137"/>
        <v>1</v>
      </c>
      <c r="BK191" s="115" t="b">
        <f ca="1">AND(C191="驱夜断愁",模拟模式!$P$7="天地诛戮")</f>
        <v>1</v>
      </c>
      <c r="BL191" s="57">
        <f t="shared" ca="1" si="127"/>
        <v>20</v>
      </c>
      <c r="BM191" s="115" t="b">
        <f t="shared" ca="1" si="138"/>
        <v>1</v>
      </c>
      <c r="BN191" s="115" t="b">
        <f ca="1">AND(OR(C191="赤日轮1",C191="赤日轮2",C191="赤日轮3",C191="幽月轮1",C191="幽月轮2",C191="幽月轮3"),AB191=1,模拟模式!$L$7="明光恒照")</f>
        <v>0</v>
      </c>
      <c r="BO191" s="117">
        <f t="shared" ca="1" si="128"/>
        <v>28.155000000000001</v>
      </c>
      <c r="BP191" s="115">
        <f t="shared" ca="1" si="164"/>
        <v>6</v>
      </c>
      <c r="BQ191" s="115" t="b">
        <f>模拟模式!$K$10="2600·水"</f>
        <v>0</v>
      </c>
      <c r="BR191" s="117">
        <f t="shared" si="165"/>
        <v>0</v>
      </c>
      <c r="BS191" s="115">
        <f t="shared" si="166"/>
        <v>0</v>
      </c>
      <c r="BT191" s="115">
        <f t="shared" ca="1" si="167"/>
        <v>0</v>
      </c>
      <c r="BU191" s="115" t="b">
        <f ca="1">AND(模拟模式!$K$10="2300·雷",BT190=0,RAND()&lt;IF(C191="净世破魔击·月",5*0.05*2/3,IF(C191="净世破魔击·日",3*0.05*2/3,0.05*2*2/3)))</f>
        <v>0</v>
      </c>
      <c r="BV191" s="115">
        <f t="shared" ca="1" si="168"/>
        <v>0</v>
      </c>
      <c r="BW191" s="115">
        <f t="shared" ca="1" si="169"/>
        <v>34.244999999999294</v>
      </c>
      <c r="BX191" s="164" t="b">
        <f t="shared" ca="1" si="170"/>
        <v>0</v>
      </c>
      <c r="BY191" s="115">
        <f t="shared" ca="1" si="171"/>
        <v>0</v>
      </c>
      <c r="BZ191" s="115">
        <f>IF(OR(模拟模式!$P$16="10人团",模拟模式!$P$16="25人团"),IF(B191/30&gt;CA190,1,0),0)</f>
        <v>0</v>
      </c>
      <c r="CA191" s="115">
        <f t="shared" si="147"/>
        <v>0</v>
      </c>
      <c r="CB191" s="115">
        <f ca="1">IF(BZ191=1,IF(模拟模式!$P$16="10人团",15,0)+IF(模拟模式!$P$16="25人团",IF(RAND()&lt;0.6,15,0)),MAX(0,CB190-$F$4))</f>
        <v>0</v>
      </c>
      <c r="CC191" s="115" t="b">
        <f t="shared" ca="1" si="139"/>
        <v>0</v>
      </c>
      <c r="CD191" s="115">
        <f>IF(模拟模式!$Q$16="1个",IF(B191/40&gt;CE190,1,0),0)</f>
        <v>0</v>
      </c>
      <c r="CE191" s="115">
        <f t="shared" si="140"/>
        <v>0</v>
      </c>
      <c r="CF191" s="115">
        <f>IF(OR(CD191=1,模拟模式!$Q$16="2个"),20,MAX(0,CF190-$F$4))</f>
        <v>0</v>
      </c>
      <c r="CG191" s="115" t="b">
        <f t="shared" si="141"/>
        <v>0</v>
      </c>
      <c r="CH191" s="115">
        <f t="shared" ca="1" si="172"/>
        <v>13.39500000000001</v>
      </c>
      <c r="CI191" s="115" t="b">
        <f t="shared" ca="1" si="173"/>
        <v>0</v>
      </c>
      <c r="CJ191" s="119">
        <f t="shared" ca="1" si="174"/>
        <v>0</v>
      </c>
      <c r="CK191" s="115">
        <f t="shared" ca="1" si="175"/>
        <v>0</v>
      </c>
      <c r="CL191" s="115" t="b">
        <f ca="1">AND(模拟模式!$S$7="驱夷逐法",OR(AND(C191="净世破魔击·月",E190&gt;59),AND(C191="净世破魔击·日",F190&gt;59)))</f>
        <v>0</v>
      </c>
      <c r="CM191" s="115" t="b">
        <f ca="1">OR(CL191,AND(C191="净世破魔击·日",CL190,RAND()&lt;模拟模式!$U$23))</f>
        <v>0</v>
      </c>
      <c r="CN191" s="115" t="b">
        <f ca="1">IF(模拟模式!$M$7="辉耀红尘",AND(C191="净世破魔击·月",CL191,CV191=0,E190&lt;80),AND(C191="净世破魔击·月",CL191,E190&lt;100))</f>
        <v>0</v>
      </c>
      <c r="CO191" s="115" t="b">
        <f t="shared" ca="1" si="148"/>
        <v>0</v>
      </c>
      <c r="CP191" s="115" t="b">
        <f ca="1">AND(模拟模式!$O$7="用晦而明",OR(C191="净世破魔击·日",C191="净世破魔击·月",C191="驱夜断愁"),AB191)</f>
        <v>1</v>
      </c>
      <c r="CQ191" s="115" t="b">
        <f ca="1">OR(CP191,AND(CP190,RAND()&lt;模拟模式!$U$23))</f>
        <v>1</v>
      </c>
      <c r="CR191" s="115" t="b">
        <f ca="1">AND(模拟模式!$S$7="日月齐光",OR(C191="幽月轮1",C191="幽月轮2",C191="幽月轮3",CR190),NOT(OR(C191="赤日轮1",C191="赤日轮2",C191="赤日轮3")))</f>
        <v>0</v>
      </c>
      <c r="CS191" s="115" t="b">
        <f ca="1">AND(模拟模式!$S$7="日月齐光",OR(C191="赤日轮1",C191="赤日轮2",C191="赤日轮3",CS190),NOT(OR(C191="幽月轮1",C191="幽月轮2",C191="幽月轮3")))</f>
        <v>0</v>
      </c>
      <c r="CT191" s="115">
        <f t="shared" ca="1" si="176"/>
        <v>16.162500000000009</v>
      </c>
      <c r="CU191" s="115" t="b">
        <f ca="1">AND(模拟模式!$K$10="阴阳往极",CT190=0,RAND()&lt;IF(C191="净世破魔击·月",0.0275*7/3,IF(C191="净世破魔击·日",0.0275*3/3,0.0275*2/3)))</f>
        <v>0</v>
      </c>
      <c r="CV191" s="115">
        <f t="shared" ca="1" si="177"/>
        <v>0</v>
      </c>
      <c r="CW191" s="115">
        <f t="shared" ca="1" si="149"/>
        <v>0.46499999999999975</v>
      </c>
      <c r="CX191" s="115">
        <f t="shared" ca="1" si="150"/>
        <v>5.0774999999999997</v>
      </c>
      <c r="CY191" s="115">
        <f ca="1">MAX(IF($C191="驱夜断愁",IF(模拟模式!$R$7="万念俱寂",6,45),CY190-$F$4),0)</f>
        <v>6</v>
      </c>
      <c r="CZ191" s="115">
        <f t="shared" ca="1" si="151"/>
        <v>0</v>
      </c>
      <c r="DA191" s="115">
        <f ca="1">IF(模拟模式!$N$7="日月同辉",IF(DB190=2,0,MIN(6,IF(AND(OR(C191="赤日轮1",C191="赤日轮2",C191="赤日轮3",C191="幽月轮1",C191="幽月轮2",C191="幽月轮3"),AB191=1),DA190+1,DA190))),0)</f>
        <v>4</v>
      </c>
      <c r="DB191" s="115">
        <f t="shared" ca="1" si="152"/>
        <v>0</v>
      </c>
      <c r="DC191" s="115"/>
      <c r="DD191" s="115"/>
      <c r="DE191" s="115"/>
      <c r="DF191" s="115"/>
      <c r="DG191" s="115"/>
      <c r="DH191" s="115"/>
      <c r="DI191" s="115"/>
      <c r="DJ191" s="115"/>
      <c r="DK191" s="115"/>
      <c r="DL191" s="115"/>
      <c r="DM191" s="115"/>
    </row>
    <row r="192" spans="2:117" x14ac:dyDescent="0.2">
      <c r="B192" s="117">
        <f t="shared" si="153"/>
        <v>152.21250000000029</v>
      </c>
      <c r="C192" s="167" t="str">
        <f t="shared" ca="1" si="146"/>
        <v>烈日斩</v>
      </c>
      <c r="D192" s="115">
        <f ca="1">IF(C192="赤日轮1",1,IF(C192="赤日轮2",2,IF(C192="赤日轮3",3,IF(C192="幽月轮1",4,IF(C192="幽月轮2",5,IF(C192="幽月轮3",6,IF(C192="烈日斩",7,IF(C192="银月斩",8,IF(C192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192="净世破魔击·月",17,IF(C192="驱夜断愁",18,0)))))))))))</f>
        <v>7</v>
      </c>
      <c r="E192" s="115">
        <f ca="1">IF(AND(CU192,OR(C192="幽月轮1",C192="幽月轮2",C192="幽月轮3",C192="银月斩",C192="驱夜断愁",C192="净世破魔击·月")),100,MIN(IF(OR(CN192,BE192),0,IF(OR($C192="赤日轮1",$C192="赤日轮2",$C192="赤日轮3"),E191+20+IF(模拟模式!$I$7="日月凌天",4,0)+IF(CR191,20,0),IF($C192="烈日斩",E191+40,IF($C192="驱夜断愁",IF(模拟模式!$R$7="万念俱寂",E191+20,E191+60),IF($C192="净世破魔击·月",IF(OR(DB191&gt;0,CV191&gt;0),100,IF(模拟模式!$M$7="辉耀红尘",E191+20,E191)),IF($C192="净世破魔击·日",E191-100,E191)))))),100))</f>
        <v>80</v>
      </c>
      <c r="F192" s="115">
        <f ca="1">IF(AND(CU192,OR(C192="赤日轮1",C192="赤日轮2",C192="赤日轮3",C192="烈日斩",C192="净世破魔击·日")),100,MIN(IF(CO192,0,IF(OR($C192="幽月轮1",$C192="幽月轮2",$C192="幽月轮3"),F191+20+IF(模拟模式!$I$7="日月凌天",4,0)+IF(CS191,20,0),IF($C192="银月斩",F191+40+IF(模拟模式!$X$12=1,5,0),IF($C192="驱夜断愁",IF(模拟模式!$R$7="万念俱寂",F191+20,F191+60),IF($C192="净世破魔击·月",IF(模拟模式!$M$7="辉耀红尘",F191-80,F191-100),IF(AND(C192="净世破魔击·日",OR(DB191&gt;0,CV191&gt;0)),100,F191)))))),100))</f>
        <v>85</v>
      </c>
      <c r="G192" s="117">
        <f ca="1">('模拟-全程加成'!$E$3+'模拟-全程加成'!$E$4+'模拟-全程加成'!$E$5+('模拟-全程加成'!$C$6-'模拟-全程加成'!$C$3)*系数!$B$9+BS192*23)*(1+'模拟-全程加成'!$F$4+'模拟-全程加成'!$F$5+BJ192*10%+BM192*20%+BP192*4%+CG192*30%)+$F$7*系数!$B$12</f>
        <v>21493.829400000002</v>
      </c>
      <c r="H192" s="45">
        <f ca="1">'模拟-全程加成'!$H$3+'模拟-全程加成'!$H$4+'模拟-全程加成'!$H$5+('模拟-全程加成'!$G$4+'模拟-全程加成'!$G$5+('模拟-全程加成'!$C$6-'模拟-全程加成'!$C$3)*系数!$B$13)/系数!$B$3+LOOKUP(D192,'模拟-单技能数据'!$A$2:$A$19,'模拟-单技能数据'!$K$2:$K$19)+BG192*10%+IF(BV192&gt;0,378,0)</f>
        <v>0.56185145527300218</v>
      </c>
      <c r="I192" s="45">
        <f ca="1">'模拟-全程加成'!$J$3+'模拟-全程加成'!$J$4+'模拟-全程加成'!$J$5+('模拟-全程加成'!$I$4+'模拟-全程加成'!$I$5)/系数!$B$4+LOOKUP(D192,'模拟-单技能数据'!$A$2:$A$19,'模拟-单技能数据'!$L$2:$L$19)+BG192*10%</f>
        <v>2.2624828854998791</v>
      </c>
      <c r="J192" s="45">
        <f ca="1">(('模拟-全程加成'!$K$3+'模拟-全程加成'!$K$4+'模拟-全程加成'!$K$5+('模拟-全程加成'!$C$6-'模拟-全程加成'!$C$3)*系数!$B$10+IF(BV192&gt;0,882,0)+IF(BY192&gt;0,1831,0))*(1+'模拟-全程加成'!$L$4+'模拟-全程加成'!$L$5+CC192*20%))/系数!$B$5</f>
        <v>0.69723220422048726</v>
      </c>
      <c r="K192" s="119">
        <f ca="1">LOOKUP(D192,'模拟-单技能数据'!$A$2:$A$19,'模拟-单技能数据'!$J$2:$J$19)+IF(CM192,60%,0)+IF(DB191-DB192&gt;0,30%,0)+IF(OR(AND(OR(C192="赤日轮1",C192="赤日轮2",C192="赤日轮3"),CR192),AND(OR(C192="幽月轮1",C192="幽月轮2",C192="幽月轮3"),CS192)),35%,0)+CJ192</f>
        <v>0.24</v>
      </c>
      <c r="L192" s="119">
        <f ca="1">IF(AND(C192="烈日斩",模拟模式!$X$11=1),10%,0)+IF(AND(C192="驱夜断愁",AB192=1),30%,0)</f>
        <v>0.1</v>
      </c>
      <c r="M192" s="45">
        <f t="shared" ca="1" si="129"/>
        <v>0.56185145527300218</v>
      </c>
      <c r="N192" s="45">
        <f t="shared" ca="1" si="130"/>
        <v>0.38424854472699788</v>
      </c>
      <c r="O192" s="46">
        <f t="shared" ca="1" si="154"/>
        <v>0.27905961460480011</v>
      </c>
      <c r="P192" s="46" t="str">
        <f t="shared" ca="1" si="155"/>
        <v>会</v>
      </c>
      <c r="Q192" s="45">
        <f t="shared" ca="1" si="156"/>
        <v>2.2624828854998791</v>
      </c>
      <c r="R192" s="117">
        <f ca="1">模拟模式!$E$20*(1-IF(模拟模式!$J$19="有",0.15,0))*(1-IF(模拟模式!$K$19="有",0.3,0)-IF(CQ192,0.5,0))</f>
        <v>843.02999999999975</v>
      </c>
      <c r="S192" s="45">
        <f ca="1">R192/(R192+(185*模拟模式!$E$22-16800)*4.08224)</f>
        <v>8.389626085980037E-2</v>
      </c>
      <c r="T192" s="45" t="str">
        <f ca="1">LOOKUP(D192,'模拟-单技能数据'!$A$2:$A$19,'模拟-单技能数据'!$H$2:$H$19)</f>
        <v>阳</v>
      </c>
      <c r="U192" s="119">
        <f t="shared" ca="1" si="131"/>
        <v>0.2</v>
      </c>
      <c r="V192" s="47">
        <f ca="1">(1+L192)*(LOOKUP(D192,'模拟-单技能数据'!$A$2:$A$19,'模拟-单技能数据'!$D$2:$D$19)+G192*LOOKUP(D192,'模拟-单技能数据'!$A$2:$A$19,'模拟-单技能数据'!$F$2:$F$19))*(1+J192)*(1+K192)*(1-S192)*(1+U192)*Q192*LOOKUP(D192,'模拟-单技能数据'!$A$2:$A$19,'模拟-单技能数据'!$I$2:$I$20)</f>
        <v>110503.35617153208</v>
      </c>
      <c r="W192" s="47">
        <f ca="1">LOOKUP(D192,'模拟-单技能数据'!$A$2:$A$19,'模拟-单技能数据'!$G$2:$G$19)*$I$10</f>
        <v>361.51064354704795</v>
      </c>
      <c r="X192" s="47">
        <f t="shared" ca="1" si="157"/>
        <v>0</v>
      </c>
      <c r="Y192" s="47">
        <f t="shared" ca="1" si="132"/>
        <v>110864.86681507913</v>
      </c>
      <c r="Z192" s="49">
        <f t="shared" ca="1" si="133"/>
        <v>17315042.044609129</v>
      </c>
      <c r="AA192" s="97">
        <f t="shared" ca="1" si="134"/>
        <v>113755.71680781209</v>
      </c>
      <c r="AB192" s="115">
        <f ca="1">IF(OR(C192="赤日轮1",C192="赤日轮2",C192="赤日轮3"),IF(RAND()&lt;模拟模式!$Y$17,1,0),IF(OR(C192="幽月轮1",C192="幽月轮2",C192="幽月轮3"),IF(RAND()&lt;模拟模式!$Y$18,1,0),IF(C192="烈日斩",IF(RAND()&lt;模拟模式!$Y$19,1,0),IF(C192="银月斩",IF(RAND()&lt;模拟模式!$Y$20,1,0),IF(C192="驱夜断愁",IF(RAND()&lt;模拟模式!$Y$21,1,0),IF(C192="净世破魔击·日",IF(RAND()&lt;模拟模式!$Y$22,1,0),IF(C192="净世破魔击·月",IF(RAND()&lt;模拟模式!$Y$23,1,0),0)))))))</f>
        <v>1</v>
      </c>
      <c r="AC192" s="115" t="b">
        <f t="shared" ca="1" si="122"/>
        <v>0</v>
      </c>
      <c r="AD192" s="115" t="b">
        <f t="shared" ca="1" si="142"/>
        <v>0</v>
      </c>
      <c r="AE192" s="115">
        <f t="shared" ca="1" si="143"/>
        <v>5</v>
      </c>
      <c r="AF192" s="47">
        <f ca="1">IF(AC192,('模拟-单技能数据'!$D$20+G192*'模拟-单技能数据'!$F$20)*(1+J192)*(1+'模拟-单技能数据'!$J$20)*(1+U192),0)</f>
        <v>0</v>
      </c>
      <c r="AG192" s="61">
        <f t="shared" ca="1" si="135"/>
        <v>0.64185145527300214</v>
      </c>
      <c r="AH192" s="61">
        <f t="shared" ca="1" si="136"/>
        <v>2.2624828854998791</v>
      </c>
      <c r="AI192" s="62">
        <f t="shared" ca="1" si="158"/>
        <v>5.3043503005367754E-4</v>
      </c>
      <c r="AJ192" s="47">
        <f ca="1">IF(AD192,IF(AI192&lt;$F$10,0,IF(AI192&lt;$F$10+$F$11,0.25,IF(AI192&lt;$F$10+$F$11+AG192,AH192,1)))*IF(AF192&gt;0,AF192,IF(AF191&gt;0,AF191,IF(AF190&gt;0,AF190,IF(AF189&gt;0,AF189,IF(AF188&gt;0,AF188,IF(AF187&gt;0,AF187,IF(AF186&gt;0,AF186,IF(AF185&gt;0,AF185,IF(AF184&gt;0,AF184,IF(AF182&gt;0,AF182,IF(AF181&gt;0,AF181,IF(AF180&gt;0,AF180,0)))))))))))),0)*(1-$S192)*'模拟-单技能数据'!$I$20</f>
        <v>0</v>
      </c>
      <c r="AK192" s="115" t="b">
        <f t="shared" ca="1" si="123"/>
        <v>0</v>
      </c>
      <c r="AL192" s="115" t="b">
        <f t="shared" ca="1" si="144"/>
        <v>0</v>
      </c>
      <c r="AM192" s="115">
        <f t="shared" ca="1" si="145"/>
        <v>4</v>
      </c>
      <c r="AN192" s="47">
        <f ca="1">IF(AK192,('模拟-单技能数据'!$D$21+G192*'模拟-单技能数据'!$F$21)*(1+J192)*(1+'模拟-单技能数据'!$J$21)*(1+U192),0)</f>
        <v>0</v>
      </c>
      <c r="AO192" s="61">
        <f ca="1">IF(AN192&gt;0,M192-'模拟-单技能数据'!$K$10,AO191)</f>
        <v>0.42185145527300216</v>
      </c>
      <c r="AP192" s="61">
        <f ca="1">IF(AN192&gt;0,I192-'模拟-单技能数据'!$L$10,AP191)</f>
        <v>2.162482885499879</v>
      </c>
      <c r="AQ192" s="63">
        <f t="shared" ca="1" si="159"/>
        <v>0.92401319184365172</v>
      </c>
      <c r="AR192" s="64">
        <f ca="1">IF(AL192,IF(AQ192&lt;$F$10,0,IF(AQ192&lt;$F$10+$F$11,0.25,IF(AQ192&lt;$F$10+$F$11+AO192,AP192,1)))*IF(AN192&gt;0,AN192,IF(AN191&gt;0,AN191,IF(AN190&gt;0,AN190,IF(AN189&gt;0,AN189,IF(AN188&gt;0,AN188,IF(AN187&gt;0,AN187,IF(AN186&gt;0,AN186,IF(AN185&gt;0,AN185,IF(AN184&gt;0,AN184,IF(AN182&gt;0,AN182,IF(AN181&gt;0,AN181,IF(AN180&gt;0,AN180,0)))))))))))),0)*(1-$S192)*'模拟-单技能数据'!$I$21</f>
        <v>0</v>
      </c>
      <c r="AS192" s="61">
        <f ca="1">IF(OR(C192="净世破魔击·日",C192="净世破魔击·月"),M192-'模拟-单技能数据'!$K$10,0)</f>
        <v>0</v>
      </c>
      <c r="AT192" s="61">
        <f ca="1">IF(OR(C192="净世破魔击·日",C192="净世破魔击·月"),I192-'模拟-单技能数据'!$L$10,0)</f>
        <v>0</v>
      </c>
      <c r="AU192" s="62">
        <f t="shared" ca="1" si="160"/>
        <v>0.74412392868119837</v>
      </c>
      <c r="AV192" s="64">
        <f ca="1">IF(AS192&gt;0,('模拟-单技能数据'!$D$22+G192*'模拟-单技能数据'!$F$22)*(1+J192)*(1-S192)*IF(AU192&lt;$F$10,0,IF(AU192&lt;$F$10+$F$11,0.25,IF(AU192&lt;$F$10+$F$11+AS192,AT192,1)))*(1+U192),0)*'模拟-单技能数据'!$I$22</f>
        <v>0</v>
      </c>
      <c r="AW192" s="108">
        <f t="shared" ca="1" si="161"/>
        <v>0</v>
      </c>
      <c r="AX192" s="108" t="b">
        <f ca="1">AND(模拟模式!$P$10="有",AW191=0,RAND()&lt;IF(C192="净世破魔击·月",0.1*8/3,IF(C192="净世破魔击·日",0.1*4/3,0.1*2/3)))</f>
        <v>0</v>
      </c>
      <c r="AY192" s="47">
        <f ca="1">IF(AX192,(18+G192*0.722)*(1+J192)*(1-S192)*(1+$I$4)*IF(P192="会",'模拟-全程加成'!$J$3+'模拟-全程加成'!$J$4+'模拟-全程加成'!$J$5+('模拟-全程加成'!$I$4+'模拟-全程加成'!$I$5)/系数!$B$4+BG192*10%,IF(P192="命",1,IF(P192="识",0.25,0))),0)</f>
        <v>0</v>
      </c>
      <c r="AZ192" s="108">
        <f t="shared" si="162"/>
        <v>9.8525000000000063</v>
      </c>
      <c r="BA192" s="108" t="b">
        <f>AND(模拟模式!$Q$10="有",AZ191=0)</f>
        <v>0</v>
      </c>
      <c r="BB192" s="140">
        <f>IF(BA192,(0+G192*0.287)*(1+J192)*(1-S192)*(1+$I$4)*IF(P192="会",'模拟-全程加成'!$J$3+'模拟-全程加成'!$J$4+'模拟-全程加成'!$J$5+('模拟-全程加成'!$I$4+'模拟-全程加成'!$I$5)/系数!$B$4+BG192*10%,IF(P192="命",1,IF(P192="识",0.25,0))),0)</f>
        <v>0</v>
      </c>
      <c r="BC192" s="115" t="b">
        <f ca="1">AND(模拟模式!$R$7="伏明众生",E192=60,F192=20,DA192&lt;5,CZ191&lt;$F$4)</f>
        <v>0</v>
      </c>
      <c r="BD192" s="115">
        <f t="shared" ca="1" si="124"/>
        <v>0</v>
      </c>
      <c r="BE192" s="115" t="b">
        <f t="shared" ca="1" si="125"/>
        <v>0</v>
      </c>
      <c r="BF192" s="47">
        <f ca="1">IF(BC192,4*('模拟-单技能数据'!$D$24+G192*'模拟-单技能数据'!$F$24)*(1+J192)*(1+'模拟-单技能数据'!$J$24)*(1-S192)*(1+$I$3)*(('模拟-全程加成'!$J$3+'模拟-全程加成'!$J$4+'模拟-全程加成'!$J$5+('模拟-全程加成'!$I$4+'模拟-全程加成'!$I$5)/系数!$B$4+BG192*10%)*('模拟-全程加成'!$J$3+'模拟-全程加成'!$J$4+'模拟-全程加成'!$J$5+('模拟-全程加成'!$I$4+'模拟-全程加成'!$I$5)/系数!$B$4+BG192*10%)+(1-('模拟-全程加成'!$J$3+'模拟-全程加成'!$J$4+'模拟-全程加成'!$J$5+('模拟-全程加成'!$I$4+'模拟-全程加成'!$I$5)/系数!$B$4+BG192*10%)-$F$10-$F$11)+F178*0.25),0)*'模拟-单技能数据'!$I$24</f>
        <v>0</v>
      </c>
      <c r="BG192" s="115" t="b">
        <f ca="1">OR(AND(OR(C192="烈日斩",C192="银月斩"),模拟模式!$I$7="净身明礼"),AND(C192="净世破魔击·日",模拟模式!$J$7="洞若观火"),AND(C193="净世破魔击·月",模拟模式!$J$7="洞若观火"),AB192=1)</f>
        <v>1</v>
      </c>
      <c r="BH192" s="115" t="b">
        <f t="shared" ca="1" si="163"/>
        <v>0</v>
      </c>
      <c r="BI192" s="115">
        <f t="shared" ca="1" si="126"/>
        <v>3.2324999999999995</v>
      </c>
      <c r="BJ192" s="115" t="b">
        <f t="shared" ca="1" si="137"/>
        <v>1</v>
      </c>
      <c r="BK192" s="115" t="b">
        <f ca="1">AND(C192="驱夜断愁",模拟模式!$P$7="天地诛戮")</f>
        <v>0</v>
      </c>
      <c r="BL192" s="57">
        <f t="shared" ca="1" si="127"/>
        <v>19.077500000000001</v>
      </c>
      <c r="BM192" s="115" t="b">
        <f t="shared" ca="1" si="138"/>
        <v>1</v>
      </c>
      <c r="BN192" s="115" t="b">
        <f ca="1">AND(OR(C192="赤日轮1",C192="赤日轮2",C192="赤日轮3",C192="幽月轮1",C192="幽月轮2",C192="幽月轮3"),AB192=1,模拟模式!$L$7="明光恒照")</f>
        <v>0</v>
      </c>
      <c r="BO192" s="117">
        <f t="shared" ca="1" si="128"/>
        <v>27.232500000000002</v>
      </c>
      <c r="BP192" s="115">
        <f t="shared" ca="1" si="164"/>
        <v>6</v>
      </c>
      <c r="BQ192" s="115" t="b">
        <f>模拟模式!$K$10="2600·水"</f>
        <v>0</v>
      </c>
      <c r="BR192" s="117">
        <f t="shared" si="165"/>
        <v>0</v>
      </c>
      <c r="BS192" s="115">
        <f t="shared" si="166"/>
        <v>0</v>
      </c>
      <c r="BT192" s="115">
        <f t="shared" ca="1" si="167"/>
        <v>0</v>
      </c>
      <c r="BU192" s="115" t="b">
        <f ca="1">AND(模拟模式!$K$10="2300·雷",BT191=0,RAND()&lt;IF(C192="净世破魔击·月",5*0.05*2/3,IF(C192="净世破魔击·日",3*0.05*2/3,0.05*2*2/3)))</f>
        <v>0</v>
      </c>
      <c r="BV192" s="115">
        <f t="shared" ca="1" si="168"/>
        <v>0</v>
      </c>
      <c r="BW192" s="115">
        <f t="shared" ca="1" si="169"/>
        <v>33.322499999999295</v>
      </c>
      <c r="BX192" s="164" t="b">
        <f t="shared" ca="1" si="170"/>
        <v>0</v>
      </c>
      <c r="BY192" s="115">
        <f t="shared" ca="1" si="171"/>
        <v>0</v>
      </c>
      <c r="BZ192" s="115">
        <f>IF(OR(模拟模式!$P$16="10人团",模拟模式!$P$16="25人团"),IF(B192/30&gt;CA191,1,0),0)</f>
        <v>0</v>
      </c>
      <c r="CA192" s="115">
        <f t="shared" si="147"/>
        <v>0</v>
      </c>
      <c r="CB192" s="115">
        <f ca="1">IF(BZ192=1,IF(模拟模式!$P$16="10人团",15,0)+IF(模拟模式!$P$16="25人团",IF(RAND()&lt;0.6,15,0)),MAX(0,CB191-$F$4))</f>
        <v>0</v>
      </c>
      <c r="CC192" s="115" t="b">
        <f t="shared" ca="1" si="139"/>
        <v>0</v>
      </c>
      <c r="CD192" s="115">
        <f>IF(模拟模式!$Q$16="1个",IF(B192/40&gt;CE191,1,0),0)</f>
        <v>0</v>
      </c>
      <c r="CE192" s="115">
        <f t="shared" si="140"/>
        <v>0</v>
      </c>
      <c r="CF192" s="115">
        <f>IF(OR(CD192=1,模拟模式!$Q$16="2个"),20,MAX(0,CF191-$F$4))</f>
        <v>0</v>
      </c>
      <c r="CG192" s="115" t="b">
        <f t="shared" si="141"/>
        <v>0</v>
      </c>
      <c r="CH192" s="115">
        <f t="shared" ca="1" si="172"/>
        <v>12.472500000000011</v>
      </c>
      <c r="CI192" s="115" t="b">
        <f t="shared" ca="1" si="173"/>
        <v>0</v>
      </c>
      <c r="CJ192" s="119">
        <f t="shared" ca="1" si="174"/>
        <v>0</v>
      </c>
      <c r="CK192" s="115">
        <f t="shared" ca="1" si="175"/>
        <v>0</v>
      </c>
      <c r="CL192" s="115" t="b">
        <f ca="1">AND(模拟模式!$S$7="驱夷逐法",OR(AND(C192="净世破魔击·月",E191&gt;59),AND(C192="净世破魔击·日",F191&gt;59)))</f>
        <v>0</v>
      </c>
      <c r="CM192" s="115" t="b">
        <f ca="1">OR(CL192,AND(C192="净世破魔击·日",CL191,RAND()&lt;模拟模式!$U$23))</f>
        <v>0</v>
      </c>
      <c r="CN192" s="115" t="b">
        <f ca="1">IF(模拟模式!$M$7="辉耀红尘",AND(C192="净世破魔击·月",CL192,CV192=0,E191&lt;80),AND(C192="净世破魔击·月",CL192,E191&lt;100))</f>
        <v>0</v>
      </c>
      <c r="CO192" s="115" t="b">
        <f t="shared" ca="1" si="148"/>
        <v>0</v>
      </c>
      <c r="CP192" s="115" t="b">
        <f ca="1">AND(模拟模式!$O$7="用晦而明",OR(C192="净世破魔击·日",C192="净世破魔击·月",C192="驱夜断愁"),AB192)</f>
        <v>0</v>
      </c>
      <c r="CQ192" s="115" t="b">
        <f ca="1">OR(CP192,AND(CP191,RAND()&lt;模拟模式!$U$23))</f>
        <v>1</v>
      </c>
      <c r="CR192" s="115" t="b">
        <f ca="1">AND(模拟模式!$S$7="日月齐光",OR(C192="幽月轮1",C192="幽月轮2",C192="幽月轮3",CR191),NOT(OR(C192="赤日轮1",C192="赤日轮2",C192="赤日轮3")))</f>
        <v>0</v>
      </c>
      <c r="CS192" s="115" t="b">
        <f ca="1">AND(模拟模式!$S$7="日月齐光",OR(C192="赤日轮1",C192="赤日轮2",C192="赤日轮3",CS191),NOT(OR(C192="幽月轮1",C192="幽月轮2",C192="幽月轮3")))</f>
        <v>0</v>
      </c>
      <c r="CT192" s="115">
        <f t="shared" ca="1" si="176"/>
        <v>15.240000000000009</v>
      </c>
      <c r="CU192" s="115" t="b">
        <f ca="1">AND(模拟模式!$K$10="阴阳往极",CT191=0,RAND()&lt;IF(C192="净世破魔击·月",0.0275*7/3,IF(C192="净世破魔击·日",0.0275*3/3,0.0275*2/3)))</f>
        <v>0</v>
      </c>
      <c r="CV192" s="115">
        <f t="shared" ca="1" si="177"/>
        <v>0</v>
      </c>
      <c r="CW192" s="115">
        <f t="shared" ca="1" si="149"/>
        <v>6</v>
      </c>
      <c r="CX192" s="115">
        <f t="shared" ca="1" si="150"/>
        <v>4.1549999999999994</v>
      </c>
      <c r="CY192" s="115">
        <f ca="1">MAX(IF($C192="驱夜断愁",IF(模拟模式!$R$7="万念俱寂",6,45),CY191-$F$4),0)</f>
        <v>5.0774999999999997</v>
      </c>
      <c r="CZ192" s="115">
        <f t="shared" ca="1" si="151"/>
        <v>0</v>
      </c>
      <c r="DA192" s="115">
        <f ca="1">IF(模拟模式!$N$7="日月同辉",IF(DB191=2,0,MIN(6,IF(AND(OR(C192="赤日轮1",C192="赤日轮2",C192="赤日轮3",C192="幽月轮1",C192="幽月轮2",C192="幽月轮3"),AB192=1),DA191+1,DA191))),0)</f>
        <v>4</v>
      </c>
      <c r="DB192" s="115">
        <f t="shared" ca="1" si="152"/>
        <v>0</v>
      </c>
      <c r="DC192" s="115"/>
      <c r="DD192" s="115"/>
      <c r="DE192" s="115"/>
      <c r="DF192" s="115"/>
      <c r="DG192" s="115"/>
      <c r="DH192" s="115"/>
      <c r="DI192" s="115"/>
      <c r="DJ192" s="115"/>
      <c r="DK192" s="115"/>
      <c r="DL192" s="115"/>
      <c r="DM192" s="115"/>
    </row>
    <row r="193" spans="2:117" x14ac:dyDescent="0.2">
      <c r="B193" s="117">
        <f t="shared" si="153"/>
        <v>153.1350000000003</v>
      </c>
      <c r="C193" s="167" t="str">
        <f t="shared" ca="1" si="146"/>
        <v>幽月轮1</v>
      </c>
      <c r="D193" s="115">
        <f ca="1">IF(C193="赤日轮1",1,IF(C193="赤日轮2",2,IF(C193="赤日轮3",3,IF(C193="幽月轮1",4,IF(C193="幽月轮2",5,IF(C193="幽月轮3",6,IF(C193="烈日斩",7,IF(C193="银月斩",8,IF(C193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193="净世破魔击·月",17,IF(C193="驱夜断愁",18,0)))))))))))</f>
        <v>4</v>
      </c>
      <c r="E193" s="115">
        <f ca="1">IF(AND(CU193,OR(C193="幽月轮1",C193="幽月轮2",C193="幽月轮3",C193="银月斩",C193="驱夜断愁",C193="净世破魔击·月")),100,MIN(IF(OR(CN193,BE193),0,IF(OR($C193="赤日轮1",$C193="赤日轮2",$C193="赤日轮3"),E192+20+IF(模拟模式!$I$7="日月凌天",4,0)+IF(CR192,20,0),IF($C193="烈日斩",E192+40,IF($C193="驱夜断愁",IF(模拟模式!$R$7="万念俱寂",E192+20,E192+60),IF($C193="净世破魔击·月",IF(OR(DB192&gt;0,CV192&gt;0),100,IF(模拟模式!$M$7="辉耀红尘",E192+20,E192)),IF($C193="净世破魔击·日",E192-100,E192)))))),100))</f>
        <v>80</v>
      </c>
      <c r="F193" s="115">
        <f ca="1">IF(AND(CU193,OR(C193="赤日轮1",C193="赤日轮2",C193="赤日轮3",C193="烈日斩",C193="净世破魔击·日")),100,MIN(IF(CO193,0,IF(OR($C193="幽月轮1",$C193="幽月轮2",$C193="幽月轮3"),F192+20+IF(模拟模式!$I$7="日月凌天",4,0)+IF(CS192,20,0),IF($C193="银月斩",F192+40+IF(模拟模式!$X$12=1,5,0),IF($C193="驱夜断愁",IF(模拟模式!$R$7="万念俱寂",F192+20,F192+60),IF($C193="净世破魔击·月",IF(模拟模式!$M$7="辉耀红尘",F192-80,F192-100),IF(AND(C193="净世破魔击·日",OR(DB192&gt;0,CV192&gt;0)),100,F192)))))),100))</f>
        <v>100</v>
      </c>
      <c r="G193" s="117">
        <f ca="1">('模拟-全程加成'!$E$3+'模拟-全程加成'!$E$4+'模拟-全程加成'!$E$5+('模拟-全程加成'!$C$6-'模拟-全程加成'!$C$3)*系数!$B$9+BS193*23)*(1+'模拟-全程加成'!$F$4+'模拟-全程加成'!$F$5+BJ193*10%+BM193*20%+BP193*4%+CG193*30%)+$F$7*系数!$B$12</f>
        <v>21493.829400000002</v>
      </c>
      <c r="H193" s="45">
        <f ca="1">'模拟-全程加成'!$H$3+'模拟-全程加成'!$H$4+'模拟-全程加成'!$H$5+('模拟-全程加成'!$G$4+'模拟-全程加成'!$G$5+('模拟-全程加成'!$C$6-'模拟-全程加成'!$C$3)*系数!$B$13)/系数!$B$3+LOOKUP(D193,'模拟-单技能数据'!$A$2:$A$19,'模拟-单技能数据'!$K$2:$K$19)+BG193*10%+IF(BV193&gt;0,378,0)</f>
        <v>0.51185145527300213</v>
      </c>
      <c r="I193" s="45">
        <f ca="1">'模拟-全程加成'!$J$3+'模拟-全程加成'!$J$4+'模拟-全程加成'!$J$5+('模拟-全程加成'!$I$4+'模拟-全程加成'!$I$5)/系数!$B$4+LOOKUP(D193,'模拟-单技能数据'!$A$2:$A$19,'模拟-单技能数据'!$L$2:$L$19)+BG193*10%</f>
        <v>2.162482885499879</v>
      </c>
      <c r="J193" s="45">
        <f ca="1">(('模拟-全程加成'!$K$3+'模拟-全程加成'!$K$4+'模拟-全程加成'!$K$5+('模拟-全程加成'!$C$6-'模拟-全程加成'!$C$3)*系数!$B$10+IF(BV193&gt;0,882,0)+IF(BY193&gt;0,1831,0))*(1+'模拟-全程加成'!$L$4+'模拟-全程加成'!$L$5+CC193*20%))/系数!$B$5</f>
        <v>0.69723220422048726</v>
      </c>
      <c r="K193" s="119">
        <f ca="1">LOOKUP(D193,'模拟-单技能数据'!$A$2:$A$19,'模拟-单技能数据'!$J$2:$J$19)+IF(CM193,60%,0)+IF(DB192-DB193&gt;0,30%,0)+IF(OR(AND(OR(C193="赤日轮1",C193="赤日轮2",C193="赤日轮3"),CR193),AND(OR(C193="幽月轮1",C193="幽月轮2",C193="幽月轮3"),CS193)),35%,0)+CJ193</f>
        <v>7.0000000000000007E-2</v>
      </c>
      <c r="L193" s="119">
        <f ca="1">IF(AND(C193="烈日斩",模拟模式!$X$11=1),10%,0)+IF(AND(C193="驱夜断愁",AB193=1),30%,0)</f>
        <v>0</v>
      </c>
      <c r="M193" s="45">
        <f t="shared" ca="1" si="129"/>
        <v>0.51185145527300213</v>
      </c>
      <c r="N193" s="45">
        <f t="shared" ca="1" si="130"/>
        <v>0.43424854472699792</v>
      </c>
      <c r="O193" s="46">
        <f t="shared" ca="1" si="154"/>
        <v>0.48922249049560174</v>
      </c>
      <c r="P193" s="46" t="str">
        <f t="shared" ca="1" si="155"/>
        <v>会</v>
      </c>
      <c r="Q193" s="45">
        <f t="shared" ca="1" si="156"/>
        <v>2.162482885499879</v>
      </c>
      <c r="R193" s="117">
        <f ca="1">模拟模式!$E$20*(1-IF(模拟模式!$J$19="有",0.15,0))*(1-IF(模拟模式!$K$19="有",0.3,0)-IF(CQ193,0.5,0))</f>
        <v>2950.6049999999996</v>
      </c>
      <c r="S193" s="45">
        <f ca="1">R193/(R193+(185*模拟模式!$E$22-16800)*4.08224)</f>
        <v>0.24272716014590323</v>
      </c>
      <c r="T193" s="45" t="str">
        <f ca="1">LOOKUP(D193,'模拟-单技能数据'!$A$2:$A$19,'模拟-单技能数据'!$H$2:$H$19)</f>
        <v>阴</v>
      </c>
      <c r="U193" s="119">
        <f t="shared" ca="1" si="131"/>
        <v>0.08</v>
      </c>
      <c r="V193" s="47">
        <f ca="1">(1+L193)*(LOOKUP(D193,'模拟-单技能数据'!$A$2:$A$19,'模拟-单技能数据'!$D$2:$D$19)+G193*LOOKUP(D193,'模拟-单技能数据'!$A$2:$A$19,'模拟-单技能数据'!$F$2:$F$19))*(1+J193)*(1+K193)*(1-S193)*(1+U193)*Q193*LOOKUP(D193,'模拟-单技能数据'!$A$2:$A$19,'模拟-单技能数据'!$I$2:$I$20)</f>
        <v>36630.702053185581</v>
      </c>
      <c r="W193" s="47">
        <f ca="1">LOOKUP(D193,'模拟-单技能数据'!$A$2:$A$19,'模拟-单技能数据'!$G$2:$G$19)*$I$10</f>
        <v>361.51064354704795</v>
      </c>
      <c r="X193" s="47">
        <f t="shared" ca="1" si="157"/>
        <v>57110.09064954429</v>
      </c>
      <c r="Y193" s="47">
        <f t="shared" ca="1" si="132"/>
        <v>94102.303346276924</v>
      </c>
      <c r="Z193" s="49">
        <f t="shared" ca="1" si="133"/>
        <v>17409144.347955406</v>
      </c>
      <c r="AA193" s="97">
        <f t="shared" ca="1" si="134"/>
        <v>113684.9469288887</v>
      </c>
      <c r="AB193" s="115">
        <f ca="1">IF(OR(C193="赤日轮1",C193="赤日轮2",C193="赤日轮3"),IF(RAND()&lt;模拟模式!$Y$17,1,0),IF(OR(C193="幽月轮1",C193="幽月轮2",C193="幽月轮3"),IF(RAND()&lt;模拟模式!$Y$18,1,0),IF(C193="烈日斩",IF(RAND()&lt;模拟模式!$Y$19,1,0),IF(C193="银月斩",IF(RAND()&lt;模拟模式!$Y$20,1,0),IF(C193="驱夜断愁",IF(RAND()&lt;模拟模式!$Y$21,1,0),IF(C193="净世破魔击·日",IF(RAND()&lt;模拟模式!$Y$22,1,0),IF(C193="净世破魔击·月",IF(RAND()&lt;模拟模式!$Y$23,1,0),0)))))))</f>
        <v>1</v>
      </c>
      <c r="AC193" s="115" t="b">
        <f t="shared" ca="1" si="122"/>
        <v>0</v>
      </c>
      <c r="AD193" s="115" t="b">
        <f t="shared" ca="1" si="142"/>
        <v>1</v>
      </c>
      <c r="AE193" s="115">
        <f t="shared" ca="1" si="143"/>
        <v>4</v>
      </c>
      <c r="AF193" s="47">
        <f ca="1">IF(AC193,('模拟-单技能数据'!$D$20+G193*'模拟-单技能数据'!$F$20)*(1+J193)*(1+'模拟-单技能数据'!$J$20)*(1+U193),0)</f>
        <v>0</v>
      </c>
      <c r="AG193" s="61">
        <f t="shared" ca="1" si="135"/>
        <v>0.64185145527300214</v>
      </c>
      <c r="AH193" s="61">
        <f t="shared" ca="1" si="136"/>
        <v>2.2624828854998791</v>
      </c>
      <c r="AI193" s="62">
        <f t="shared" ca="1" si="158"/>
        <v>4.4786489476590363E-3</v>
      </c>
      <c r="AJ193" s="47">
        <f ca="1">IF(AD193,IF(AI193&lt;$F$10,0,IF(AI193&lt;$F$10+$F$11,0.25,IF(AI193&lt;$F$10+$F$11+AG193,AH193,1)))*IF(AF193&gt;0,AF193,IF(AF192&gt;0,AF192,IF(AF191&gt;0,AF191,IF(AF190&gt;0,AF190,IF(AF189&gt;0,AF189,IF(AF188&gt;0,AF188,IF(AF187&gt;0,AF187,IF(AF186&gt;0,AF186,IF(AF185&gt;0,AF185,IF(AF183&gt;0,AF183,IF(AF182&gt;0,AF182,IF(AF181&gt;0,AF181,0)))))))))))),0)*(1-$S193)*'模拟-单技能数据'!$I$20</f>
        <v>878.38834054322047</v>
      </c>
      <c r="AK193" s="115" t="b">
        <f t="shared" ca="1" si="123"/>
        <v>0</v>
      </c>
      <c r="AL193" s="115" t="b">
        <f t="shared" ca="1" si="144"/>
        <v>1</v>
      </c>
      <c r="AM193" s="115">
        <f t="shared" ca="1" si="145"/>
        <v>3</v>
      </c>
      <c r="AN193" s="47">
        <f ca="1">IF(AK193,('模拟-单技能数据'!$D$21+G193*'模拟-单技能数据'!$F$21)*(1+J193)*(1+'模拟-单技能数据'!$J$21)*(1+U193),0)</f>
        <v>0</v>
      </c>
      <c r="AO193" s="61">
        <f ca="1">IF(AN193&gt;0,M193-'模拟-单技能数据'!$K$10,AO192)</f>
        <v>0.42185145527300216</v>
      </c>
      <c r="AP193" s="61">
        <f ca="1">IF(AN193&gt;0,I193-'模拟-单技能数据'!$L$10,AP192)</f>
        <v>2.162482885499879</v>
      </c>
      <c r="AQ193" s="63">
        <f t="shared" ca="1" si="159"/>
        <v>0.92231074143748093</v>
      </c>
      <c r="AR193" s="64">
        <f ca="1">IF(AL193,IF(AQ193&lt;$F$10,0,IF(AQ193&lt;$F$10+$F$11,0.25,IF(AQ193&lt;$F$10+$F$11+AO193,AP193,1)))*IF(AN193&gt;0,AN193,IF(AN192&gt;0,AN192,IF(AN191&gt;0,AN191,IF(AN190&gt;0,AN190,IF(AN189&gt;0,AN189,IF(AN188&gt;0,AN188,IF(AN187&gt;0,AN187,IF(AN186&gt;0,AN186,IF(AN185&gt;0,AN185,IF(AN183&gt;0,AN183,IF(AN182&gt;0,AN182,IF(AN181&gt;0,AN181,0)))))))))))),0)*(1-$S193)*'模拟-单技能数据'!$I$21</f>
        <v>9595.3556920079973</v>
      </c>
      <c r="AS193" s="61">
        <f ca="1">IF(OR(C193="净世破魔击·日",C193="净世破魔击·月"),M193-'模拟-单技能数据'!$K$10,0)</f>
        <v>0</v>
      </c>
      <c r="AT193" s="61">
        <f ca="1">IF(OR(C193="净世破魔击·日",C193="净世破魔击·月"),I193-'模拟-单技能数据'!$L$10,0)</f>
        <v>0</v>
      </c>
      <c r="AU193" s="62">
        <f t="shared" ca="1" si="160"/>
        <v>0.51964371054875569</v>
      </c>
      <c r="AV193" s="64">
        <f ca="1">IF(AS193&gt;0,('模拟-单技能数据'!$D$22+G193*'模拟-单技能数据'!$F$22)*(1+J193)*(1-S193)*IF(AU193&lt;$F$10,0,IF(AU193&lt;$F$10+$F$11,0.25,IF(AU193&lt;$F$10+$F$11+AS193,AT193,1)))*(1+U193),0)*'模拟-单技能数据'!$I$22</f>
        <v>0</v>
      </c>
      <c r="AW193" s="108">
        <f t="shared" ca="1" si="161"/>
        <v>19.077500000000001</v>
      </c>
      <c r="AX193" s="108" t="b">
        <f ca="1">AND(模拟模式!$P$10="有",AW192=0,RAND()&lt;IF(C193="净世破魔击·月",0.1*8/3,IF(C193="净世破魔击·日",0.1*4/3,0.1*2/3)))</f>
        <v>1</v>
      </c>
      <c r="AY193" s="47">
        <f ca="1">IF(AX193,(18+G193*0.722)*(1+J193)*(1-S193)*(1+$I$4)*IF(P193="会",'模拟-全程加成'!$J$3+'模拟-全程加成'!$J$4+'模拟-全程加成'!$J$5+('模拟-全程加成'!$I$4+'模拟-全程加成'!$I$5)/系数!$B$4+BG193*10%,IF(P193="命",1,IF(P193="识",0.25,0))),0)</f>
        <v>46636.346616993069</v>
      </c>
      <c r="AZ193" s="108">
        <f t="shared" si="162"/>
        <v>8.9300000000000068</v>
      </c>
      <c r="BA193" s="108" t="b">
        <f>AND(模拟模式!$Q$10="有",AZ192=0)</f>
        <v>0</v>
      </c>
      <c r="BB193" s="140">
        <f>IF(BA193,(0+G193*0.287)*(1+J193)*(1-S193)*(1+$I$4)*IF(P193="会",'模拟-全程加成'!$J$3+'模拟-全程加成'!$J$4+'模拟-全程加成'!$J$5+('模拟-全程加成'!$I$4+'模拟-全程加成'!$I$5)/系数!$B$4+BG193*10%,IF(P193="命",1,IF(P193="识",0.25,0))),0)</f>
        <v>0</v>
      </c>
      <c r="BC193" s="115" t="b">
        <f ca="1">AND(模拟模式!$R$7="伏明众生",E193=60,F193=20,DA193&lt;5,CZ192&lt;$F$4)</f>
        <v>0</v>
      </c>
      <c r="BD193" s="115">
        <f t="shared" ca="1" si="124"/>
        <v>0</v>
      </c>
      <c r="BE193" s="115" t="b">
        <f t="shared" ca="1" si="125"/>
        <v>0</v>
      </c>
      <c r="BF193" s="47">
        <f ca="1">IF(BC193,4*('模拟-单技能数据'!$D$24+G193*'模拟-单技能数据'!$F$24)*(1+J193)*(1+'模拟-单技能数据'!$J$24)*(1-S193)*(1+$I$3)*(('模拟-全程加成'!$J$3+'模拟-全程加成'!$J$4+'模拟-全程加成'!$J$5+('模拟-全程加成'!$I$4+'模拟-全程加成'!$I$5)/系数!$B$4+BG193*10%)*('模拟-全程加成'!$J$3+'模拟-全程加成'!$J$4+'模拟-全程加成'!$J$5+('模拟-全程加成'!$I$4+'模拟-全程加成'!$I$5)/系数!$B$4+BG193*10%)+(1-('模拟-全程加成'!$J$3+'模拟-全程加成'!$J$4+'模拟-全程加成'!$J$5+('模拟-全程加成'!$I$4+'模拟-全程加成'!$I$5)/系数!$B$4+BG193*10%)-$F$10-$F$11)+F179*0.25),0)*'模拟-单技能数据'!$I$24</f>
        <v>0</v>
      </c>
      <c r="BG193" s="115" t="b">
        <f ca="1">OR(AND(OR(C193="烈日斩",C193="银月斩"),模拟模式!$I$7="净身明礼"),AND(C193="净世破魔击·日",模拟模式!$J$7="洞若观火"),AND(C194="净世破魔击·月",模拟模式!$J$7="洞若观火"),AB193=1)</f>
        <v>1</v>
      </c>
      <c r="BH193" s="115" t="b">
        <f t="shared" ca="1" si="163"/>
        <v>0</v>
      </c>
      <c r="BI193" s="115">
        <f t="shared" ca="1" si="126"/>
        <v>2.3099999999999996</v>
      </c>
      <c r="BJ193" s="115" t="b">
        <f t="shared" ca="1" si="137"/>
        <v>1</v>
      </c>
      <c r="BK193" s="115" t="b">
        <f ca="1">AND(C193="驱夜断愁",模拟模式!$P$7="天地诛戮")</f>
        <v>0</v>
      </c>
      <c r="BL193" s="57">
        <f t="shared" ca="1" si="127"/>
        <v>18.155000000000001</v>
      </c>
      <c r="BM193" s="115" t="b">
        <f t="shared" ca="1" si="138"/>
        <v>1</v>
      </c>
      <c r="BN193" s="115" t="b">
        <f ca="1">AND(OR(C193="赤日轮1",C193="赤日轮2",C193="赤日轮3",C193="幽月轮1",C193="幽月轮2",C193="幽月轮3"),AB193=1,模拟模式!$L$7="明光恒照")</f>
        <v>1</v>
      </c>
      <c r="BO193" s="117">
        <f t="shared" ca="1" si="128"/>
        <v>30</v>
      </c>
      <c r="BP193" s="115">
        <f t="shared" ca="1" si="164"/>
        <v>6</v>
      </c>
      <c r="BQ193" s="115" t="b">
        <f>模拟模式!$K$10="2600·水"</f>
        <v>0</v>
      </c>
      <c r="BR193" s="117">
        <f t="shared" si="165"/>
        <v>0</v>
      </c>
      <c r="BS193" s="115">
        <f t="shared" si="166"/>
        <v>0</v>
      </c>
      <c r="BT193" s="115">
        <f t="shared" ca="1" si="167"/>
        <v>0</v>
      </c>
      <c r="BU193" s="115" t="b">
        <f ca="1">AND(模拟模式!$K$10="2300·雷",BT192=0,RAND()&lt;IF(C193="净世破魔击·月",5*0.05*2/3,IF(C193="净世破魔击·日",3*0.05*2/3,0.05*2*2/3)))</f>
        <v>0</v>
      </c>
      <c r="BV193" s="115">
        <f t="shared" ca="1" si="168"/>
        <v>0</v>
      </c>
      <c r="BW193" s="115">
        <f t="shared" ca="1" si="169"/>
        <v>32.399999999999295</v>
      </c>
      <c r="BX193" s="164" t="b">
        <f t="shared" ca="1" si="170"/>
        <v>0</v>
      </c>
      <c r="BY193" s="115">
        <f t="shared" ca="1" si="171"/>
        <v>0</v>
      </c>
      <c r="BZ193" s="115">
        <f>IF(OR(模拟模式!$P$16="10人团",模拟模式!$P$16="25人团"),IF(B193/30&gt;CA192,1,0),0)</f>
        <v>0</v>
      </c>
      <c r="CA193" s="115">
        <f t="shared" si="147"/>
        <v>0</v>
      </c>
      <c r="CB193" s="115">
        <f ca="1">IF(BZ193=1,IF(模拟模式!$P$16="10人团",15,0)+IF(模拟模式!$P$16="25人团",IF(RAND()&lt;0.6,15,0)),MAX(0,CB192-$F$4))</f>
        <v>0</v>
      </c>
      <c r="CC193" s="115" t="b">
        <f t="shared" ca="1" si="139"/>
        <v>0</v>
      </c>
      <c r="CD193" s="115">
        <f>IF(模拟模式!$Q$16="1个",IF(B193/40&gt;CE192,1,0),0)</f>
        <v>0</v>
      </c>
      <c r="CE193" s="115">
        <f t="shared" si="140"/>
        <v>0</v>
      </c>
      <c r="CF193" s="115">
        <f>IF(OR(CD193=1,模拟模式!$Q$16="2个"),20,MAX(0,CF192-$F$4))</f>
        <v>0</v>
      </c>
      <c r="CG193" s="115" t="b">
        <f t="shared" si="141"/>
        <v>0</v>
      </c>
      <c r="CH193" s="115">
        <f t="shared" ca="1" si="172"/>
        <v>11.550000000000011</v>
      </c>
      <c r="CI193" s="115" t="b">
        <f t="shared" ca="1" si="173"/>
        <v>0</v>
      </c>
      <c r="CJ193" s="119">
        <f t="shared" ca="1" si="174"/>
        <v>0</v>
      </c>
      <c r="CK193" s="115">
        <f t="shared" ca="1" si="175"/>
        <v>0</v>
      </c>
      <c r="CL193" s="115" t="b">
        <f ca="1">AND(模拟模式!$S$7="驱夷逐法",OR(AND(C193="净世破魔击·月",E192&gt;59),AND(C193="净世破魔击·日",F192&gt;59)))</f>
        <v>0</v>
      </c>
      <c r="CM193" s="115" t="b">
        <f ca="1">OR(CL193,AND(C193="净世破魔击·日",CL192,RAND()&lt;模拟模式!$U$23))</f>
        <v>0</v>
      </c>
      <c r="CN193" s="115" t="b">
        <f ca="1">IF(模拟模式!$M$7="辉耀红尘",AND(C193="净世破魔击·月",CL193,CV193=0,E192&lt;80),AND(C193="净世破魔击·月",CL193,E192&lt;100))</f>
        <v>0</v>
      </c>
      <c r="CO193" s="115" t="b">
        <f t="shared" ca="1" si="148"/>
        <v>0</v>
      </c>
      <c r="CP193" s="115" t="b">
        <f ca="1">AND(模拟模式!$O$7="用晦而明",OR(C193="净世破魔击·日",C193="净世破魔击·月",C193="驱夜断愁"),AB193)</f>
        <v>0</v>
      </c>
      <c r="CQ193" s="115" t="b">
        <f ca="1">OR(CP193,AND(CP192,RAND()&lt;模拟模式!$U$23))</f>
        <v>0</v>
      </c>
      <c r="CR193" s="115" t="b">
        <f ca="1">AND(模拟模式!$S$7="日月齐光",OR(C193="幽月轮1",C193="幽月轮2",C193="幽月轮3",CR192),NOT(OR(C193="赤日轮1",C193="赤日轮2",C193="赤日轮3")))</f>
        <v>0</v>
      </c>
      <c r="CS193" s="115" t="b">
        <f ca="1">AND(模拟模式!$S$7="日月齐光",OR(C193="赤日轮1",C193="赤日轮2",C193="赤日轮3",CS192),NOT(OR(C193="幽月轮1",C193="幽月轮2",C193="幽月轮3")))</f>
        <v>0</v>
      </c>
      <c r="CT193" s="115">
        <f t="shared" ca="1" si="176"/>
        <v>14.31750000000001</v>
      </c>
      <c r="CU193" s="115" t="b">
        <f ca="1">AND(模拟模式!$K$10="阴阳往极",CT192=0,RAND()&lt;IF(C193="净世破魔击·月",0.0275*7/3,IF(C193="净世破魔击·日",0.0275*3/3,0.0275*2/3)))</f>
        <v>0</v>
      </c>
      <c r="CV193" s="115">
        <f t="shared" ca="1" si="177"/>
        <v>0</v>
      </c>
      <c r="CW193" s="115">
        <f t="shared" ca="1" si="149"/>
        <v>5.0774999999999997</v>
      </c>
      <c r="CX193" s="115">
        <f t="shared" ca="1" si="150"/>
        <v>3.2324999999999995</v>
      </c>
      <c r="CY193" s="115">
        <f ca="1">MAX(IF($C193="驱夜断愁",IF(模拟模式!$R$7="万念俱寂",6,45),CY192-$F$4),0)</f>
        <v>4.1549999999999994</v>
      </c>
      <c r="CZ193" s="115">
        <f t="shared" ca="1" si="151"/>
        <v>0</v>
      </c>
      <c r="DA193" s="115">
        <f ca="1">IF(模拟模式!$N$7="日月同辉",IF(DB192=2,0,MIN(6,IF(AND(OR(C193="赤日轮1",C193="赤日轮2",C193="赤日轮3",C193="幽月轮1",C193="幽月轮2",C193="幽月轮3"),AB193=1),DA192+1,DA192))),0)</f>
        <v>5</v>
      </c>
      <c r="DB193" s="115">
        <f t="shared" ca="1" si="152"/>
        <v>0</v>
      </c>
      <c r="DC193" s="115"/>
      <c r="DD193" s="115"/>
      <c r="DE193" s="115"/>
      <c r="DF193" s="115"/>
      <c r="DG193" s="115"/>
      <c r="DH193" s="115"/>
      <c r="DI193" s="115"/>
      <c r="DJ193" s="115"/>
      <c r="DK193" s="115"/>
      <c r="DL193" s="115"/>
      <c r="DM193" s="115"/>
    </row>
    <row r="194" spans="2:117" x14ac:dyDescent="0.2">
      <c r="B194" s="117">
        <f t="shared" si="153"/>
        <v>154.05750000000032</v>
      </c>
      <c r="C194" s="167" t="str">
        <f t="shared" ca="1" si="146"/>
        <v>净世破魔击·月</v>
      </c>
      <c r="D194" s="115">
        <f ca="1">IF(C194="赤日轮1",1,IF(C194="赤日轮2",2,IF(C194="赤日轮3",3,IF(C194="幽月轮1",4,IF(C194="幽月轮2",5,IF(C194="幽月轮3",6,IF(C194="烈日斩",7,IF(C194="银月斩",8,IF(C194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194="净世破魔击·月",17,IF(C194="驱夜断愁",18,0)))))))))))</f>
        <v>17</v>
      </c>
      <c r="E194" s="115">
        <f ca="1">IF(AND(CU194,OR(C194="幽月轮1",C194="幽月轮2",C194="幽月轮3",C194="银月斩",C194="驱夜断愁",C194="净世破魔击·月")),100,MIN(IF(OR(CN194,BE194),0,IF(OR($C194="赤日轮1",$C194="赤日轮2",$C194="赤日轮3"),E193+20+IF(模拟模式!$I$7="日月凌天",4,0)+IF(CR193,20,0),IF($C194="烈日斩",E193+40,IF($C194="驱夜断愁",IF(模拟模式!$R$7="万念俱寂",E193+20,E193+60),IF($C194="净世破魔击·月",IF(OR(DB193&gt;0,CV193&gt;0),100,IF(模拟模式!$M$7="辉耀红尘",E193+20,E193)),IF($C194="净世破魔击·日",E193-100,E193)))))),100))</f>
        <v>100</v>
      </c>
      <c r="F194" s="115">
        <f ca="1">IF(AND(CU194,OR(C194="赤日轮1",C194="赤日轮2",C194="赤日轮3",C194="烈日斩",C194="净世破魔击·日")),100,MIN(IF(CO194,0,IF(OR($C194="幽月轮1",$C194="幽月轮2",$C194="幽月轮3"),F193+20+IF(模拟模式!$I$7="日月凌天",4,0)+IF(CS193,20,0),IF($C194="银月斩",F193+40+IF(模拟模式!$X$12=1,5,0),IF($C194="驱夜断愁",IF(模拟模式!$R$7="万念俱寂",F193+20,F193+60),IF($C194="净世破魔击·月",IF(模拟模式!$M$7="辉耀红尘",F193-80,F193-100),IF(AND(C194="净世破魔击·日",OR(DB193&gt;0,CV193&gt;0)),100,F193)))))),100))</f>
        <v>20</v>
      </c>
      <c r="G194" s="117">
        <f ca="1">('模拟-全程加成'!$E$3+'模拟-全程加成'!$E$4+'模拟-全程加成'!$E$5+('模拟-全程加成'!$C$6-'模拟-全程加成'!$C$3)*系数!$B$9+BS194*23)*(1+'模拟-全程加成'!$F$4+'模拟-全程加成'!$F$5+BJ194*10%+BM194*20%+BP194*4%+CG194*30%)+$F$7*系数!$B$12</f>
        <v>21493.829400000002</v>
      </c>
      <c r="H194" s="45">
        <f ca="1">'模拟-全程加成'!$H$3+'模拟-全程加成'!$H$4+'模拟-全程加成'!$H$5+('模拟-全程加成'!$G$4+'模拟-全程加成'!$G$5+('模拟-全程加成'!$C$6-'模拟-全程加成'!$C$3)*系数!$B$13)/系数!$B$3+LOOKUP(D194,'模拟-单技能数据'!$A$2:$A$19,'模拟-单技能数据'!$K$2:$K$19)+BG194*10%+IF(BV194&gt;0,378,0)</f>
        <v>0.54185145527300216</v>
      </c>
      <c r="I194" s="45">
        <f ca="1">'模拟-全程加成'!$J$3+'模拟-全程加成'!$J$4+'模拟-全程加成'!$J$5+('模拟-全程加成'!$I$4+'模拟-全程加成'!$I$5)/系数!$B$4+LOOKUP(D194,'模拟-单技能数据'!$A$2:$A$19,'模拟-单技能数据'!$L$2:$L$19)+BG194*10%</f>
        <v>2.162482885499879</v>
      </c>
      <c r="J194" s="45">
        <f ca="1">(('模拟-全程加成'!$K$3+'模拟-全程加成'!$K$4+'模拟-全程加成'!$K$5+('模拟-全程加成'!$C$6-'模拟-全程加成'!$C$3)*系数!$B$10+IF(BV194&gt;0,882,0)+IF(BY194&gt;0,1831,0))*(1+'模拟-全程加成'!$L$4+'模拟-全程加成'!$L$5+CC194*20%))/系数!$B$5</f>
        <v>0.69723220422048726</v>
      </c>
      <c r="K194" s="119">
        <f ca="1">LOOKUP(D194,'模拟-单技能数据'!$A$2:$A$19,'模拟-单技能数据'!$J$2:$J$19)+IF(CM194,60%,0)+IF(DB193-DB194&gt;0,30%,0)+IF(OR(AND(OR(C194="赤日轮1",C194="赤日轮2",C194="赤日轮3"),CR194),AND(OR(C194="幽月轮1",C194="幽月轮2",C194="幽月轮3"),CS194)),35%,0)+CJ194</f>
        <v>0.8</v>
      </c>
      <c r="L194" s="119">
        <f ca="1">IF(AND(C194="烈日斩",模拟模式!$X$11=1),10%,0)+IF(AND(C194="驱夜断愁",AB194=1),30%,0)</f>
        <v>0</v>
      </c>
      <c r="M194" s="45">
        <f t="shared" ca="1" si="129"/>
        <v>0.54185145527300216</v>
      </c>
      <c r="N194" s="45">
        <f t="shared" ca="1" si="130"/>
        <v>0.40424854472699789</v>
      </c>
      <c r="O194" s="46">
        <f t="shared" ca="1" si="154"/>
        <v>0.62855586187692014</v>
      </c>
      <c r="P194" s="46" t="str">
        <f t="shared" ca="1" si="155"/>
        <v>命</v>
      </c>
      <c r="Q194" s="45">
        <f t="shared" ca="1" si="156"/>
        <v>1</v>
      </c>
      <c r="R194" s="117">
        <f ca="1">模拟模式!$E$20*(1-IF(模拟模式!$J$19="有",0.15,0))*(1-IF(模拟模式!$K$19="有",0.3,0)-IF(CQ194,0.5,0))</f>
        <v>843.02999999999975</v>
      </c>
      <c r="S194" s="45">
        <f ca="1">R194/(R194+(185*模拟模式!$E$22-16800)*4.08224)</f>
        <v>8.389626085980037E-2</v>
      </c>
      <c r="T194" s="45" t="str">
        <f ca="1">LOOKUP(D194,'模拟-单技能数据'!$A$2:$A$19,'模拟-单技能数据'!$H$2:$H$19)</f>
        <v>阴</v>
      </c>
      <c r="U194" s="119">
        <f t="shared" ca="1" si="131"/>
        <v>0.08</v>
      </c>
      <c r="V194" s="47">
        <f ca="1">(1+L194)*(LOOKUP(D194,'模拟-单技能数据'!$A$2:$A$19,'模拟-单技能数据'!$D$2:$D$19)+G194*LOOKUP(D194,'模拟-单技能数据'!$A$2:$A$19,'模拟-单技能数据'!$F$2:$F$19))*(1+J194)*(1+K194)*(1-S194)*(1+U194)*Q194*LOOKUP(D194,'模拟-单技能数据'!$A$2:$A$19,'模拟-单技能数据'!$I$2:$I$20)</f>
        <v>84412.793434348554</v>
      </c>
      <c r="W194" s="47">
        <f ca="1">LOOKUP(D194,'模拟-单技能数据'!$A$2:$A$19,'模拟-单技能数据'!$G$2:$G$19)*$I$10</f>
        <v>361.51064354704795</v>
      </c>
      <c r="X194" s="47">
        <f t="shared" ca="1" si="157"/>
        <v>17205.169596245785</v>
      </c>
      <c r="Y194" s="47">
        <f t="shared" ca="1" si="132"/>
        <v>101979.47367414139</v>
      </c>
      <c r="Z194" s="49">
        <f t="shared" ca="1" si="133"/>
        <v>17511123.821629547</v>
      </c>
      <c r="AA194" s="97">
        <f t="shared" ca="1" si="134"/>
        <v>113666.15595884336</v>
      </c>
      <c r="AB194" s="115">
        <f ca="1">IF(OR(C194="赤日轮1",C194="赤日轮2",C194="赤日轮3"),IF(RAND()&lt;模拟模式!$Y$17,1,0),IF(OR(C194="幽月轮1",C194="幽月轮2",C194="幽月轮3"),IF(RAND()&lt;模拟模式!$Y$18,1,0),IF(C194="烈日斩",IF(RAND()&lt;模拟模式!$Y$19,1,0),IF(C194="银月斩",IF(RAND()&lt;模拟模式!$Y$20,1,0),IF(C194="驱夜断愁",IF(RAND()&lt;模拟模式!$Y$21,1,0),IF(C194="净世破魔击·日",IF(RAND()&lt;模拟模式!$Y$22,1,0),IF(C194="净世破魔击·月",IF(RAND()&lt;模拟模式!$Y$23,1,0),0)))))))</f>
        <v>1</v>
      </c>
      <c r="AC194" s="115" t="b">
        <f t="shared" ref="AC194:AC257" ca="1" si="178">C194="银月斩"</f>
        <v>0</v>
      </c>
      <c r="AD194" s="115" t="b">
        <f t="shared" ca="1" si="142"/>
        <v>0</v>
      </c>
      <c r="AE194" s="115">
        <f t="shared" ca="1" si="143"/>
        <v>4</v>
      </c>
      <c r="AF194" s="47">
        <f ca="1">IF(AC194,('模拟-单技能数据'!$D$20+G194*'模拟-单技能数据'!$F$20)*(1+J194)*(1+'模拟-单技能数据'!$J$20)*(1+U194),0)</f>
        <v>0</v>
      </c>
      <c r="AG194" s="61">
        <f t="shared" ca="1" si="135"/>
        <v>0.64185145527300214</v>
      </c>
      <c r="AH194" s="61">
        <f t="shared" ca="1" si="136"/>
        <v>2.2624828854998791</v>
      </c>
      <c r="AI194" s="62">
        <f t="shared" ca="1" si="158"/>
        <v>0.88505363036861329</v>
      </c>
      <c r="AJ194" s="47">
        <f ca="1">IF(AD194,IF(AI194&lt;$F$10,0,IF(AI194&lt;$F$10+$F$11,0.25,IF(AI194&lt;$F$10+$F$11+AG194,AH194,1)))*IF(AF194&gt;0,AF194,IF(AF193&gt;0,AF193,IF(AF192&gt;0,AF192,IF(AF191&gt;0,AF191,IF(AF190&gt;0,AF190,IF(AF189&gt;0,AF189,IF(AF188&gt;0,AF188,IF(AF187&gt;0,AF187,IF(AF186&gt;0,AF186,IF(AF184&gt;0,AF184,IF(AF183&gt;0,AF183,IF(AF182&gt;0,AF182,0)))))))))))),0)*(1-$S194)*'模拟-单技能数据'!$I$20</f>
        <v>0</v>
      </c>
      <c r="AK194" s="115" t="b">
        <f t="shared" ref="AK194:AK257" ca="1" si="179">C194="净世破魔击·日"</f>
        <v>0</v>
      </c>
      <c r="AL194" s="115" t="b">
        <f t="shared" ca="1" si="144"/>
        <v>0</v>
      </c>
      <c r="AM194" s="115">
        <f t="shared" ca="1" si="145"/>
        <v>3</v>
      </c>
      <c r="AN194" s="47">
        <f ca="1">IF(AK194,('模拟-单技能数据'!$D$21+G194*'模拟-单技能数据'!$F$21)*(1+J194)*(1+'模拟-单技能数据'!$J$21)*(1+U194),0)</f>
        <v>0</v>
      </c>
      <c r="AO194" s="61">
        <f ca="1">IF(AN194&gt;0,M194-'模拟-单技能数据'!$K$10,AO193)</f>
        <v>0.42185145527300216</v>
      </c>
      <c r="AP194" s="61">
        <f ca="1">IF(AN194&gt;0,I194-'模拟-单技能数据'!$L$10,AP193)</f>
        <v>2.162482885499879</v>
      </c>
      <c r="AQ194" s="63">
        <f t="shared" ca="1" si="159"/>
        <v>0.96139139273938345</v>
      </c>
      <c r="AR194" s="64">
        <f ca="1">IF(AL194,IF(AQ194&lt;$F$10,0,IF(AQ194&lt;$F$10+$F$11,0.25,IF(AQ194&lt;$F$10+$F$11+AO194,AP194,1)))*IF(AN194&gt;0,AN194,IF(AN193&gt;0,AN193,IF(AN192&gt;0,AN192,IF(AN191&gt;0,AN191,IF(AN190&gt;0,AN190,IF(AN189&gt;0,AN189,IF(AN188&gt;0,AN188,IF(AN187&gt;0,AN187,IF(AN186&gt;0,AN186,IF(AN184&gt;0,AN184,IF(AN183&gt;0,AN183,IF(AN182&gt;0,AN182,0)))))))))))),0)*(1-$S194)*'模拟-单技能数据'!$I$21</f>
        <v>0</v>
      </c>
      <c r="AS194" s="61">
        <f ca="1">IF(OR(C194="净世破魔击·日",C194="净世破魔击·月"),M194-'模拟-单技能数据'!$K$10,0)</f>
        <v>0.42185145527300216</v>
      </c>
      <c r="AT194" s="61">
        <f ca="1">IF(OR(C194="净世破魔击·日",C194="净世破魔击·月"),I194-'模拟-单技能数据'!$L$10,0)</f>
        <v>2.162482885499879</v>
      </c>
      <c r="AU194" s="62">
        <f t="shared" ca="1" si="160"/>
        <v>0.44569981284264149</v>
      </c>
      <c r="AV194" s="64">
        <f ca="1">IF(AS194&gt;0,('模拟-单技能数据'!$D$22+G194*'模拟-单技能数据'!$F$22)*(1+J194)*(1-S194)*IF(AU194&lt;$F$10,0,IF(AU194&lt;$F$10+$F$11,0.25,IF(AU194&lt;$F$10+$F$11+AS194,AT194,1)))*(1+U194),0)*'模拟-单技能数据'!$I$22</f>
        <v>17205.169596245785</v>
      </c>
      <c r="AW194" s="108">
        <f t="shared" ca="1" si="161"/>
        <v>18.155000000000001</v>
      </c>
      <c r="AX194" s="108" t="b">
        <f ca="1">AND(模拟模式!$P$10="有",AW193=0,RAND()&lt;IF(C194="净世破魔击·月",0.1*8/3,IF(C194="净世破魔击·日",0.1*4/3,0.1*2/3)))</f>
        <v>0</v>
      </c>
      <c r="AY194" s="47">
        <f ca="1">IF(AX194,(18+G194*0.722)*(1+J194)*(1-S194)*(1+$I$4)*IF(P194="会",'模拟-全程加成'!$J$3+'模拟-全程加成'!$J$4+'模拟-全程加成'!$J$5+('模拟-全程加成'!$I$4+'模拟-全程加成'!$I$5)/系数!$B$4+BG194*10%,IF(P194="命",1,IF(P194="识",0.25,0))),0)</f>
        <v>0</v>
      </c>
      <c r="AZ194" s="108">
        <f t="shared" si="162"/>
        <v>8.0075000000000074</v>
      </c>
      <c r="BA194" s="108" t="b">
        <f>AND(模拟模式!$Q$10="有",AZ193=0)</f>
        <v>0</v>
      </c>
      <c r="BB194" s="140">
        <f>IF(BA194,(0+G194*0.287)*(1+J194)*(1-S194)*(1+$I$4)*IF(P194="会",'模拟-全程加成'!$J$3+'模拟-全程加成'!$J$4+'模拟-全程加成'!$J$5+('模拟-全程加成'!$I$4+'模拟-全程加成'!$I$5)/系数!$B$4+BG194*10%,IF(P194="命",1,IF(P194="识",0.25,0))),0)</f>
        <v>0</v>
      </c>
      <c r="BC194" s="115" t="b">
        <f ca="1">AND(模拟模式!$R$7="伏明众生",E194=60,F194=20,DA194&lt;5,CZ193&lt;$F$4)</f>
        <v>0</v>
      </c>
      <c r="BD194" s="115">
        <f t="shared" ref="BD194:BD257" ca="1" si="180">IF(BC194,6-$F$4,MAX(0,BD193-$F$4))</f>
        <v>0</v>
      </c>
      <c r="BE194" s="115" t="b">
        <f t="shared" ref="BE194:BE257" ca="1" si="181">AND(BD193&gt;0,BD193-$F$4&lt;0)</f>
        <v>0</v>
      </c>
      <c r="BF194" s="47">
        <f ca="1">IF(BC194,4*('模拟-单技能数据'!$D$24+G194*'模拟-单技能数据'!$F$24)*(1+J194)*(1+'模拟-单技能数据'!$J$24)*(1-S194)*(1+$I$3)*(('模拟-全程加成'!$J$3+'模拟-全程加成'!$J$4+'模拟-全程加成'!$J$5+('模拟-全程加成'!$I$4+'模拟-全程加成'!$I$5)/系数!$B$4+BG194*10%)*('模拟-全程加成'!$J$3+'模拟-全程加成'!$J$4+'模拟-全程加成'!$J$5+('模拟-全程加成'!$I$4+'模拟-全程加成'!$I$5)/系数!$B$4+BG194*10%)+(1-('模拟-全程加成'!$J$3+'模拟-全程加成'!$J$4+'模拟-全程加成'!$J$5+('模拟-全程加成'!$I$4+'模拟-全程加成'!$I$5)/系数!$B$4+BG194*10%)-$F$10-$F$11)+F180*0.25),0)*'模拟-单技能数据'!$I$24</f>
        <v>0</v>
      </c>
      <c r="BG194" s="115" t="b">
        <f ca="1">OR(AND(OR(C194="烈日斩",C194="银月斩"),模拟模式!$I$7="净身明礼"),AND(C194="净世破魔击·日",模拟模式!$J$7="洞若观火"),AND(C195="净世破魔击·月",模拟模式!$J$7="洞若观火"),AB194=1)</f>
        <v>1</v>
      </c>
      <c r="BH194" s="115" t="b">
        <f t="shared" ca="1" si="163"/>
        <v>0</v>
      </c>
      <c r="BI194" s="115">
        <f t="shared" ref="BI194:BI257" ca="1" si="182">IF(BH194,6,MAX(0,BI193-$F$4))</f>
        <v>1.3874999999999997</v>
      </c>
      <c r="BJ194" s="115" t="b">
        <f t="shared" ca="1" si="137"/>
        <v>1</v>
      </c>
      <c r="BK194" s="115" t="b">
        <f ca="1">AND(C194="驱夜断愁",模拟模式!$P$7="天地诛戮")</f>
        <v>0</v>
      </c>
      <c r="BL194" s="57">
        <f t="shared" ref="BL194:BL257" ca="1" si="183">IF(BK194,20,MAX(0,BL193-$F$4))</f>
        <v>17.232500000000002</v>
      </c>
      <c r="BM194" s="115" t="b">
        <f t="shared" ca="1" si="138"/>
        <v>1</v>
      </c>
      <c r="BN194" s="115" t="b">
        <f ca="1">AND(OR(C194="赤日轮1",C194="赤日轮2",C194="赤日轮3",C194="幽月轮1",C194="幽月轮2",C194="幽月轮3"),AB194=1,模拟模式!$L$7="明光恒照")</f>
        <v>0</v>
      </c>
      <c r="BO194" s="117">
        <f t="shared" ref="BO194:BO257" ca="1" si="184">IF(BN194,30,MAX(0,BO193-$F$4))</f>
        <v>29.077500000000001</v>
      </c>
      <c r="BP194" s="115">
        <f t="shared" ca="1" si="164"/>
        <v>6</v>
      </c>
      <c r="BQ194" s="115" t="b">
        <f>模拟模式!$K$10="2600·水"</f>
        <v>0</v>
      </c>
      <c r="BR194" s="117">
        <f t="shared" si="165"/>
        <v>0</v>
      </c>
      <c r="BS194" s="115">
        <f t="shared" si="166"/>
        <v>0</v>
      </c>
      <c r="BT194" s="115">
        <f t="shared" ca="1" si="167"/>
        <v>0</v>
      </c>
      <c r="BU194" s="115" t="b">
        <f ca="1">AND(模拟模式!$K$10="2300·雷",BT193=0,RAND()&lt;IF(C194="净世破魔击·月",5*0.05*2/3,IF(C194="净世破魔击·日",3*0.05*2/3,0.05*2*2/3)))</f>
        <v>0</v>
      </c>
      <c r="BV194" s="115">
        <f t="shared" ca="1" si="168"/>
        <v>0</v>
      </c>
      <c r="BW194" s="115">
        <f t="shared" ca="1" si="169"/>
        <v>31.477499999999296</v>
      </c>
      <c r="BX194" s="164" t="b">
        <f t="shared" ca="1" si="170"/>
        <v>0</v>
      </c>
      <c r="BY194" s="115">
        <f t="shared" ca="1" si="171"/>
        <v>0</v>
      </c>
      <c r="BZ194" s="115">
        <f>IF(OR(模拟模式!$P$16="10人团",模拟模式!$P$16="25人团"),IF(B194/30&gt;CA193,1,0),0)</f>
        <v>0</v>
      </c>
      <c r="CA194" s="115">
        <f t="shared" si="147"/>
        <v>0</v>
      </c>
      <c r="CB194" s="115">
        <f ca="1">IF(BZ194=1,IF(模拟模式!$P$16="10人团",15,0)+IF(模拟模式!$P$16="25人团",IF(RAND()&lt;0.6,15,0)),MAX(0,CB193-$F$4))</f>
        <v>0</v>
      </c>
      <c r="CC194" s="115" t="b">
        <f t="shared" ca="1" si="139"/>
        <v>0</v>
      </c>
      <c r="CD194" s="115">
        <f>IF(模拟模式!$Q$16="1个",IF(B194/40&gt;CE193,1,0),0)</f>
        <v>0</v>
      </c>
      <c r="CE194" s="115">
        <f t="shared" si="140"/>
        <v>0</v>
      </c>
      <c r="CF194" s="115">
        <f>IF(OR(CD194=1,模拟模式!$Q$16="2个"),20,MAX(0,CF193-$F$4))</f>
        <v>0</v>
      </c>
      <c r="CG194" s="115" t="b">
        <f t="shared" si="141"/>
        <v>0</v>
      </c>
      <c r="CH194" s="115">
        <f t="shared" ca="1" si="172"/>
        <v>10.627500000000012</v>
      </c>
      <c r="CI194" s="115" t="b">
        <f t="shared" ca="1" si="173"/>
        <v>0</v>
      </c>
      <c r="CJ194" s="119">
        <f t="shared" ca="1" si="174"/>
        <v>0</v>
      </c>
      <c r="CK194" s="115">
        <f t="shared" ca="1" si="175"/>
        <v>0</v>
      </c>
      <c r="CL194" s="115" t="b">
        <f ca="1">AND(模拟模式!$S$7="驱夷逐法",OR(AND(C194="净世破魔击·月",E193&gt;59),AND(C194="净世破魔击·日",F193&gt;59)))</f>
        <v>1</v>
      </c>
      <c r="CM194" s="115" t="b">
        <f ca="1">OR(CL194,AND(C194="净世破魔击·日",CL193,RAND()&lt;模拟模式!$U$23))</f>
        <v>1</v>
      </c>
      <c r="CN194" s="115" t="b">
        <f ca="1">IF(模拟模式!$M$7="辉耀红尘",AND(C194="净世破魔击·月",CL194,CV194=0,E193&lt;80),AND(C194="净世破魔击·月",CL194,E193&lt;100))</f>
        <v>0</v>
      </c>
      <c r="CO194" s="115" t="b">
        <f t="shared" ca="1" si="148"/>
        <v>0</v>
      </c>
      <c r="CP194" s="115" t="b">
        <f ca="1">AND(模拟模式!$O$7="用晦而明",OR(C194="净世破魔击·日",C194="净世破魔击·月",C194="驱夜断愁"),AB194)</f>
        <v>1</v>
      </c>
      <c r="CQ194" s="115" t="b">
        <f ca="1">OR(CP194,AND(CP193,RAND()&lt;模拟模式!$U$23))</f>
        <v>1</v>
      </c>
      <c r="CR194" s="115" t="b">
        <f ca="1">AND(模拟模式!$S$7="日月齐光",OR(C194="幽月轮1",C194="幽月轮2",C194="幽月轮3",CR193),NOT(OR(C194="赤日轮1",C194="赤日轮2",C194="赤日轮3")))</f>
        <v>0</v>
      </c>
      <c r="CS194" s="115" t="b">
        <f ca="1">AND(模拟模式!$S$7="日月齐光",OR(C194="赤日轮1",C194="赤日轮2",C194="赤日轮3",CS193),NOT(OR(C194="幽月轮1",C194="幽月轮2",C194="幽月轮3")))</f>
        <v>0</v>
      </c>
      <c r="CT194" s="115">
        <f t="shared" ca="1" si="176"/>
        <v>13.39500000000001</v>
      </c>
      <c r="CU194" s="115" t="b">
        <f ca="1">AND(模拟模式!$K$10="阴阳往极",CT193=0,RAND()&lt;IF(C194="净世破魔击·月",0.0275*7/3,IF(C194="净世破魔击·日",0.0275*3/3,0.0275*2/3)))</f>
        <v>0</v>
      </c>
      <c r="CV194" s="115">
        <f t="shared" ca="1" si="177"/>
        <v>0</v>
      </c>
      <c r="CW194" s="115">
        <f t="shared" ca="1" si="149"/>
        <v>4.1549999999999994</v>
      </c>
      <c r="CX194" s="115">
        <f t="shared" ca="1" si="150"/>
        <v>2.3099999999999996</v>
      </c>
      <c r="CY194" s="115">
        <f ca="1">MAX(IF($C194="驱夜断愁",IF(模拟模式!$R$7="万念俱寂",6,45),CY193-$F$4),0)</f>
        <v>3.2324999999999995</v>
      </c>
      <c r="CZ194" s="115">
        <f t="shared" ca="1" si="151"/>
        <v>0</v>
      </c>
      <c r="DA194" s="115">
        <f ca="1">IF(模拟模式!$N$7="日月同辉",IF(DB193=2,0,MIN(6,IF(AND(OR(C194="赤日轮1",C194="赤日轮2",C194="赤日轮3",C194="幽月轮1",C194="幽月轮2",C194="幽月轮3"),AB194=1),DA193+1,DA193))),0)</f>
        <v>5</v>
      </c>
      <c r="DB194" s="115">
        <f t="shared" ca="1" si="152"/>
        <v>0</v>
      </c>
      <c r="DC194" s="115"/>
      <c r="DD194" s="115"/>
      <c r="DE194" s="115"/>
      <c r="DF194" s="115"/>
      <c r="DG194" s="115"/>
      <c r="DH194" s="115"/>
      <c r="DI194" s="115"/>
      <c r="DJ194" s="115"/>
      <c r="DK194" s="115"/>
      <c r="DL194" s="115"/>
      <c r="DM194" s="115"/>
    </row>
    <row r="195" spans="2:117" x14ac:dyDescent="0.2">
      <c r="B195" s="117">
        <f t="shared" si="153"/>
        <v>154.98000000000033</v>
      </c>
      <c r="C195" s="167" t="str">
        <f t="shared" ca="1" si="146"/>
        <v>净世破魔击·日</v>
      </c>
      <c r="D195" s="115">
        <f ca="1">IF(C195="赤日轮1",1,IF(C195="赤日轮2",2,IF(C195="赤日轮3",3,IF(C195="幽月轮1",4,IF(C195="幽月轮2",5,IF(C195="幽月轮3",6,IF(C195="烈日斩",7,IF(C195="银月斩",8,IF(C195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195="净世破魔击·月",17,IF(C195="驱夜断愁",18,0)))))))))))</f>
        <v>9</v>
      </c>
      <c r="E195" s="115">
        <f ca="1">IF(AND(CU195,OR(C195="幽月轮1",C195="幽月轮2",C195="幽月轮3",C195="银月斩",C195="驱夜断愁",C195="净世破魔击·月")),100,MIN(IF(OR(CN195,BE195),0,IF(OR($C195="赤日轮1",$C195="赤日轮2",$C195="赤日轮3"),E194+20+IF(模拟模式!$I$7="日月凌天",4,0)+IF(CR194,20,0),IF($C195="烈日斩",E194+40,IF($C195="驱夜断愁",IF(模拟模式!$R$7="万念俱寂",E194+20,E194+60),IF($C195="净世破魔击·月",IF(OR(DB194&gt;0,CV194&gt;0),100,IF(模拟模式!$M$7="辉耀红尘",E194+20,E194)),IF($C195="净世破魔击·日",E194-100,E194)))))),100))</f>
        <v>0</v>
      </c>
      <c r="F195" s="115">
        <f ca="1">IF(AND(CU195,OR(C195="赤日轮1",C195="赤日轮2",C195="赤日轮3",C195="烈日斩",C195="净世破魔击·日")),100,MIN(IF(CO195,0,IF(OR($C195="幽月轮1",$C195="幽月轮2",$C195="幽月轮3"),F194+20+IF(模拟模式!$I$7="日月凌天",4,0)+IF(CS194,20,0),IF($C195="银月斩",F194+40+IF(模拟模式!$X$12=1,5,0),IF($C195="驱夜断愁",IF(模拟模式!$R$7="万念俱寂",F194+20,F194+60),IF($C195="净世破魔击·月",IF(模拟模式!$M$7="辉耀红尘",F194-80,F194-100),IF(AND(C195="净世破魔击·日",OR(DB194&gt;0,CV194&gt;0)),100,F194)))))),100))</f>
        <v>20</v>
      </c>
      <c r="G195" s="117">
        <f ca="1">('模拟-全程加成'!$E$3+'模拟-全程加成'!$E$4+'模拟-全程加成'!$E$5+('模拟-全程加成'!$C$6-'模拟-全程加成'!$C$3)*系数!$B$9+BS195*23)*(1+'模拟-全程加成'!$F$4+'模拟-全程加成'!$F$5+BJ195*10%+BM195*20%+BP195*4%+CG195*30%)+$F$7*系数!$B$12</f>
        <v>21493.829400000002</v>
      </c>
      <c r="H195" s="45">
        <f ca="1">'模拟-全程加成'!$H$3+'模拟-全程加成'!$H$4+'模拟-全程加成'!$H$5+('模拟-全程加成'!$G$4+'模拟-全程加成'!$G$5+('模拟-全程加成'!$C$6-'模拟-全程加成'!$C$3)*系数!$B$13)/系数!$B$3+LOOKUP(D195,'模拟-单技能数据'!$A$2:$A$19,'模拟-单技能数据'!$K$2:$K$19)+BG195*10%+IF(BV195&gt;0,378,0)</f>
        <v>0.54185145527300216</v>
      </c>
      <c r="I195" s="45">
        <f ca="1">'模拟-全程加成'!$J$3+'模拟-全程加成'!$J$4+'模拟-全程加成'!$J$5+('模拟-全程加成'!$I$4+'模拟-全程加成'!$I$5)/系数!$B$4+LOOKUP(D195,'模拟-单技能数据'!$A$2:$A$19,'模拟-单技能数据'!$L$2:$L$19)+BG195*10%</f>
        <v>2.162482885499879</v>
      </c>
      <c r="J195" s="45">
        <f ca="1">(('模拟-全程加成'!$K$3+'模拟-全程加成'!$K$4+'模拟-全程加成'!$K$5+('模拟-全程加成'!$C$6-'模拟-全程加成'!$C$3)*系数!$B$10+IF(BV195&gt;0,882,0)+IF(BY195&gt;0,1831,0))*(1+'模拟-全程加成'!$L$4+'模拟-全程加成'!$L$5+CC195*20%))/系数!$B$5</f>
        <v>0.69723220422048726</v>
      </c>
      <c r="K195" s="119">
        <f ca="1">LOOKUP(D195,'模拟-单技能数据'!$A$2:$A$19,'模拟-单技能数据'!$J$2:$J$19)+IF(CM195,60%,0)+IF(DB194-DB195&gt;0,30%,0)+IF(OR(AND(OR(C195="赤日轮1",C195="赤日轮2",C195="赤日轮3"),CR195),AND(OR(C195="幽月轮1",C195="幽月轮2",C195="幽月轮3"),CS195)),35%,0)+CJ195</f>
        <v>0.8</v>
      </c>
      <c r="L195" s="119">
        <f ca="1">IF(AND(C195="烈日斩",模拟模式!$X$11=1),10%,0)+IF(AND(C195="驱夜断愁",AB195=1),30%,0)</f>
        <v>0</v>
      </c>
      <c r="M195" s="45">
        <f t="shared" ref="M195:M258" ca="1" si="185">MIN(H195,1-$F$10-$F$11)</f>
        <v>0.54185145527300216</v>
      </c>
      <c r="N195" s="45">
        <f t="shared" ref="N195:N258" ca="1" si="186">1-$F$10-$F$11-M195</f>
        <v>0.40424854472699789</v>
      </c>
      <c r="O195" s="46">
        <f t="shared" ca="1" si="154"/>
        <v>0.77480261692550656</v>
      </c>
      <c r="P195" s="46" t="str">
        <f t="shared" ca="1" si="155"/>
        <v>命</v>
      </c>
      <c r="Q195" s="45">
        <f t="shared" ca="1" si="156"/>
        <v>1</v>
      </c>
      <c r="R195" s="117">
        <f ca="1">模拟模式!$E$20*(1-IF(模拟模式!$J$19="有",0.15,0))*(1-IF(模拟模式!$K$19="有",0.3,0)-IF(CQ195,0.5,0))</f>
        <v>843.02999999999975</v>
      </c>
      <c r="S195" s="45">
        <f ca="1">R195/(R195+(185*模拟模式!$E$22-16800)*4.08224)</f>
        <v>8.389626085980037E-2</v>
      </c>
      <c r="T195" s="45" t="str">
        <f ca="1">LOOKUP(D195,'模拟-单技能数据'!$A$2:$A$19,'模拟-单技能数据'!$H$2:$H$19)</f>
        <v>阳</v>
      </c>
      <c r="U195" s="119">
        <f t="shared" ref="U195:U258" ca="1" si="187">IF(T195="阳",$I$3,IF(T195="阴",$I$4,0))</f>
        <v>0.2</v>
      </c>
      <c r="V195" s="47">
        <f ca="1">(1+L195)*(LOOKUP(D195,'模拟-单技能数据'!$A$2:$A$19,'模拟-单技能数据'!$D$2:$D$19)+G195*LOOKUP(D195,'模拟-单技能数据'!$A$2:$A$19,'模拟-单技能数据'!$F$2:$F$19))*(1+J195)*(1+K195)*(1-S195)*(1+U195)*Q195*LOOKUP(D195,'模拟-单技能数据'!$A$2:$A$19,'模拟-单技能数据'!$I$2:$I$20)</f>
        <v>94575.365106402023</v>
      </c>
      <c r="W195" s="47">
        <f ca="1">LOOKUP(D195,'模拟-单技能数据'!$A$2:$A$19,'模拟-单技能数据'!$G$2:$G$19)*$I$10</f>
        <v>723.0212870940959</v>
      </c>
      <c r="X195" s="47">
        <f t="shared" ca="1" si="157"/>
        <v>53835.37968918652</v>
      </c>
      <c r="Y195" s="47">
        <f t="shared" ref="Y195:Y258" ca="1" si="188">V195+W195+X195</f>
        <v>149133.76608268265</v>
      </c>
      <c r="Z195" s="49">
        <f t="shared" ref="Z195:Z258" ca="1" si="189">Z194+Y195</f>
        <v>17660257.587712228</v>
      </c>
      <c r="AA195" s="97">
        <f t="shared" ref="AA195:AA258" ca="1" si="190">Z195/B195</f>
        <v>113951.84919158724</v>
      </c>
      <c r="AB195" s="115">
        <f ca="1">IF(OR(C195="赤日轮1",C195="赤日轮2",C195="赤日轮3"),IF(RAND()&lt;模拟模式!$Y$17,1,0),IF(OR(C195="幽月轮1",C195="幽月轮2",C195="幽月轮3"),IF(RAND()&lt;模拟模式!$Y$18,1,0),IF(C195="烈日斩",IF(RAND()&lt;模拟模式!$Y$19,1,0),IF(C195="银月斩",IF(RAND()&lt;模拟模式!$Y$20,1,0),IF(C195="驱夜断愁",IF(RAND()&lt;模拟模式!$Y$21,1,0),IF(C195="净世破魔击·日",IF(RAND()&lt;模拟模式!$Y$22,1,0),IF(C195="净世破魔击·月",IF(RAND()&lt;模拟模式!$Y$23,1,0),0)))))))</f>
        <v>1</v>
      </c>
      <c r="AC195" s="115" t="b">
        <f t="shared" ca="1" si="178"/>
        <v>0</v>
      </c>
      <c r="AD195" s="115" t="b">
        <f t="shared" ca="1" si="142"/>
        <v>1</v>
      </c>
      <c r="AE195" s="115">
        <f t="shared" ca="1" si="143"/>
        <v>3</v>
      </c>
      <c r="AF195" s="47">
        <f ca="1">IF(AC195,('模拟-单技能数据'!$D$20+G195*'模拟-单技能数据'!$F$20)*(1+J195)*(1+'模拟-单技能数据'!$J$20)*(1+U195),0)</f>
        <v>0</v>
      </c>
      <c r="AG195" s="61">
        <f t="shared" ref="AG195:AG258" ca="1" si="191">IF(AF195&gt;0,M195,AG194)</f>
        <v>0.64185145527300214</v>
      </c>
      <c r="AH195" s="61">
        <f t="shared" ref="AH195:AH258" ca="1" si="192">IF(AF195&gt;0,I195,AH194)</f>
        <v>2.2624828854998791</v>
      </c>
      <c r="AI195" s="62">
        <f t="shared" ca="1" si="158"/>
        <v>0.50434004884702965</v>
      </c>
      <c r="AJ195" s="47">
        <f ca="1">IF(AD195,IF(AI195&lt;$F$10,0,IF(AI195&lt;$F$10+$F$11,0.25,IF(AI195&lt;$F$10+$F$11+AG195,AH195,1)))*IF(AF195&gt;0,AF195,IF(AF194&gt;0,AF194,IF(AF193&gt;0,AF193,IF(AF192&gt;0,AF192,IF(AF191&gt;0,AF191,IF(AF190&gt;0,AF190,IF(AF189&gt;0,AF189,IF(AF188&gt;0,AF188,IF(AF187&gt;0,AF187,IF(AF185&gt;0,AF185,IF(AF184&gt;0,AF184,IF(AF183&gt;0,AF183,0)))))))))))),0)*(1-$S195)*'模拟-单技能数据'!$I$20</f>
        <v>9616.6571145767884</v>
      </c>
      <c r="AK195" s="115" t="b">
        <f t="shared" ca="1" si="179"/>
        <v>1</v>
      </c>
      <c r="AL195" s="115" t="b">
        <f t="shared" ca="1" si="144"/>
        <v>1</v>
      </c>
      <c r="AM195" s="115">
        <f t="shared" ca="1" si="145"/>
        <v>5</v>
      </c>
      <c r="AN195" s="47">
        <f ca="1">IF(AK195,('模拟-单技能数据'!$D$21+G195*'模拟-单技能数据'!$F$21)*(1+J195)*(1+'模拟-单技能数据'!$J$21)*(1+U195),0)</f>
        <v>12670.936004857545</v>
      </c>
      <c r="AO195" s="61">
        <f ca="1">IF(AN195&gt;0,M195-'模拟-单技能数据'!$K$10,AO194)</f>
        <v>0.42185145527300216</v>
      </c>
      <c r="AP195" s="61">
        <f ca="1">IF(AN195&gt;0,I195-'模拟-单技能数据'!$L$10,AP194)</f>
        <v>2.162482885499879</v>
      </c>
      <c r="AQ195" s="63">
        <f t="shared" ca="1" si="159"/>
        <v>8.7546344645199281E-2</v>
      </c>
      <c r="AR195" s="64">
        <f ca="1">IF(AL195,IF(AQ195&lt;$F$10,0,IF(AQ195&lt;$F$10+$F$11,0.25,IF(AQ195&lt;$F$10+$F$11+AO195,AP195,1)))*IF(AN195&gt;0,AN195,IF(AN194&gt;0,AN194,IF(AN193&gt;0,AN193,IF(AN192&gt;0,AN192,IF(AN191&gt;0,AN191,IF(AN190&gt;0,AN190,IF(AN189&gt;0,AN189,IF(AN188&gt;0,AN188,IF(AN187&gt;0,AN187,IF(AN185&gt;0,AN185,IF(AN184&gt;0,AN184,IF(AN183&gt;0,AN183,0)))))))))))),0)*(1-$S195)*'模拟-单技能数据'!$I$21</f>
        <v>25101.867467669974</v>
      </c>
      <c r="AS195" s="61">
        <f ca="1">IF(OR(C195="净世破魔击·日",C195="净世破魔击·月"),M195-'模拟-单技能数据'!$K$10,0)</f>
        <v>0.42185145527300216</v>
      </c>
      <c r="AT195" s="61">
        <f ca="1">IF(OR(C195="净世破魔击·日",C195="净世破魔击·月"),I195-'模拟-单技能数据'!$L$10,0)</f>
        <v>2.162482885499879</v>
      </c>
      <c r="AU195" s="62">
        <f t="shared" ca="1" si="160"/>
        <v>0.26997535982498744</v>
      </c>
      <c r="AV195" s="64">
        <f ca="1">IF(AS195&gt;0,('模拟-单技能数据'!$D$22+G195*'模拟-单技能数据'!$F$22)*(1+J195)*(1-S195)*IF(AU195&lt;$F$10,0,IF(AU195&lt;$F$10+$F$11,0.25,IF(AU195&lt;$F$10+$F$11+AS195,AT195,1)))*(1+U195),0)*'模拟-单技能数据'!$I$22</f>
        <v>19116.855106939758</v>
      </c>
      <c r="AW195" s="108">
        <f t="shared" ca="1" si="161"/>
        <v>17.232500000000002</v>
      </c>
      <c r="AX195" s="108" t="b">
        <f ca="1">AND(模拟模式!$P$10="有",AW194=0,RAND()&lt;IF(C195="净世破魔击·月",0.1*8/3,IF(C195="净世破魔击·日",0.1*4/3,0.1*2/3)))</f>
        <v>0</v>
      </c>
      <c r="AY195" s="47">
        <f ca="1">IF(AX195,(18+G195*0.722)*(1+J195)*(1-S195)*(1+$I$4)*IF(P195="会",'模拟-全程加成'!$J$3+'模拟-全程加成'!$J$4+'模拟-全程加成'!$J$5+('模拟-全程加成'!$I$4+'模拟-全程加成'!$I$5)/系数!$B$4+BG195*10%,IF(P195="命",1,IF(P195="识",0.25,0))),0)</f>
        <v>0</v>
      </c>
      <c r="AZ195" s="108">
        <f t="shared" si="162"/>
        <v>7.0850000000000071</v>
      </c>
      <c r="BA195" s="108" t="b">
        <f>AND(模拟模式!$Q$10="有",AZ194=0)</f>
        <v>0</v>
      </c>
      <c r="BB195" s="140">
        <f>IF(BA195,(0+G195*0.287)*(1+J195)*(1-S195)*(1+$I$4)*IF(P195="会",'模拟-全程加成'!$J$3+'模拟-全程加成'!$J$4+'模拟-全程加成'!$J$5+('模拟-全程加成'!$I$4+'模拟-全程加成'!$I$5)/系数!$B$4+BG195*10%,IF(P195="命",1,IF(P195="识",0.25,0))),0)</f>
        <v>0</v>
      </c>
      <c r="BC195" s="115" t="b">
        <f ca="1">AND(模拟模式!$R$7="伏明众生",E195=60,F195=20,DA195&lt;5,CZ194&lt;$F$4)</f>
        <v>0</v>
      </c>
      <c r="BD195" s="115">
        <f t="shared" ca="1" si="180"/>
        <v>0</v>
      </c>
      <c r="BE195" s="115" t="b">
        <f t="shared" ca="1" si="181"/>
        <v>0</v>
      </c>
      <c r="BF195" s="47">
        <f ca="1">IF(BC195,4*('模拟-单技能数据'!$D$24+G195*'模拟-单技能数据'!$F$24)*(1+J195)*(1+'模拟-单技能数据'!$J$24)*(1-S195)*(1+$I$3)*(('模拟-全程加成'!$J$3+'模拟-全程加成'!$J$4+'模拟-全程加成'!$J$5+('模拟-全程加成'!$I$4+'模拟-全程加成'!$I$5)/系数!$B$4+BG195*10%)*('模拟-全程加成'!$J$3+'模拟-全程加成'!$J$4+'模拟-全程加成'!$J$5+('模拟-全程加成'!$I$4+'模拟-全程加成'!$I$5)/系数!$B$4+BG195*10%)+(1-('模拟-全程加成'!$J$3+'模拟-全程加成'!$J$4+'模拟-全程加成'!$J$5+('模拟-全程加成'!$I$4+'模拟-全程加成'!$I$5)/系数!$B$4+BG195*10%)-$F$10-$F$11)+F181*0.25),0)*'模拟-单技能数据'!$I$24</f>
        <v>0</v>
      </c>
      <c r="BG195" s="115" t="b">
        <f ca="1">OR(AND(OR(C195="烈日斩",C195="银月斩"),模拟模式!$I$7="净身明礼"),AND(C195="净世破魔击·日",模拟模式!$J$7="洞若观火"),AND(C196="净世破魔击·月",模拟模式!$J$7="洞若观火"),AB195=1)</f>
        <v>1</v>
      </c>
      <c r="BH195" s="115" t="b">
        <f t="shared" ca="1" si="163"/>
        <v>0</v>
      </c>
      <c r="BI195" s="115">
        <f t="shared" ca="1" si="182"/>
        <v>0.46499999999999975</v>
      </c>
      <c r="BJ195" s="115" t="b">
        <f t="shared" ref="BJ195:BJ258" ca="1" si="193">BI195&gt;0</f>
        <v>1</v>
      </c>
      <c r="BK195" s="115" t="b">
        <f ca="1">AND(C195="驱夜断愁",模拟模式!$P$7="天地诛戮")</f>
        <v>0</v>
      </c>
      <c r="BL195" s="57">
        <f t="shared" ca="1" si="183"/>
        <v>16.310000000000002</v>
      </c>
      <c r="BM195" s="115" t="b">
        <f t="shared" ref="BM195:BM258" ca="1" si="194">BL195&gt;0</f>
        <v>1</v>
      </c>
      <c r="BN195" s="115" t="b">
        <f ca="1">AND(OR(C195="赤日轮1",C195="赤日轮2",C195="赤日轮3",C195="幽月轮1",C195="幽月轮2",C195="幽月轮3"),AB195=1,模拟模式!$L$7="明光恒照")</f>
        <v>0</v>
      </c>
      <c r="BO195" s="117">
        <f t="shared" ca="1" si="184"/>
        <v>28.155000000000001</v>
      </c>
      <c r="BP195" s="115">
        <f t="shared" ca="1" si="164"/>
        <v>6</v>
      </c>
      <c r="BQ195" s="115" t="b">
        <f>模拟模式!$K$10="2600·水"</f>
        <v>0</v>
      </c>
      <c r="BR195" s="117">
        <f t="shared" si="165"/>
        <v>0</v>
      </c>
      <c r="BS195" s="115">
        <f t="shared" si="166"/>
        <v>0</v>
      </c>
      <c r="BT195" s="115">
        <f t="shared" ca="1" si="167"/>
        <v>0</v>
      </c>
      <c r="BU195" s="115" t="b">
        <f ca="1">AND(模拟模式!$K$10="2300·雷",BT194=0,RAND()&lt;IF(C195="净世破魔击·月",5*0.05*2/3,IF(C195="净世破魔击·日",3*0.05*2/3,0.05*2*2/3)))</f>
        <v>0</v>
      </c>
      <c r="BV195" s="115">
        <f t="shared" ca="1" si="168"/>
        <v>0</v>
      </c>
      <c r="BW195" s="115">
        <f t="shared" ca="1" si="169"/>
        <v>30.554999999999296</v>
      </c>
      <c r="BX195" s="164" t="b">
        <f t="shared" ca="1" si="170"/>
        <v>0</v>
      </c>
      <c r="BY195" s="115">
        <f t="shared" ca="1" si="171"/>
        <v>0</v>
      </c>
      <c r="BZ195" s="115">
        <f>IF(OR(模拟模式!$P$16="10人团",模拟模式!$P$16="25人团"),IF(B195/30&gt;CA194,1,0),0)</f>
        <v>0</v>
      </c>
      <c r="CA195" s="115">
        <f t="shared" si="147"/>
        <v>0</v>
      </c>
      <c r="CB195" s="115">
        <f ca="1">IF(BZ195=1,IF(模拟模式!$P$16="10人团",15,0)+IF(模拟模式!$P$16="25人团",IF(RAND()&lt;0.6,15,0)),MAX(0,CB194-$F$4))</f>
        <v>0</v>
      </c>
      <c r="CC195" s="115" t="b">
        <f t="shared" ref="CC195:CC258" ca="1" si="195">CB195&gt;0</f>
        <v>0</v>
      </c>
      <c r="CD195" s="115">
        <f>IF(模拟模式!$Q$16="1个",IF(B195/40&gt;CE194,1,0),0)</f>
        <v>0</v>
      </c>
      <c r="CE195" s="115">
        <f t="shared" ref="CE195:CE258" si="196">CE194+CD195</f>
        <v>0</v>
      </c>
      <c r="CF195" s="115">
        <f>IF(OR(CD195=1,模拟模式!$Q$16="2个"),20,MAX(0,CF194-$F$4))</f>
        <v>0</v>
      </c>
      <c r="CG195" s="115" t="b">
        <f t="shared" ref="CG195:CG258" si="197">CF195&gt;0</f>
        <v>0</v>
      </c>
      <c r="CH195" s="115">
        <f t="shared" ca="1" si="172"/>
        <v>9.7050000000000125</v>
      </c>
      <c r="CI195" s="115" t="b">
        <f t="shared" ca="1" si="173"/>
        <v>0</v>
      </c>
      <c r="CJ195" s="119">
        <f t="shared" ca="1" si="174"/>
        <v>0</v>
      </c>
      <c r="CK195" s="115">
        <f t="shared" ca="1" si="175"/>
        <v>0</v>
      </c>
      <c r="CL195" s="115" t="b">
        <f ca="1">AND(模拟模式!$S$7="驱夷逐法",OR(AND(C195="净世破魔击·月",E194&gt;59),AND(C195="净世破魔击·日",F194&gt;59)))</f>
        <v>0</v>
      </c>
      <c r="CM195" s="115" t="b">
        <f ca="1">OR(CL195,AND(C195="净世破魔击·日",CL194,RAND()&lt;模拟模式!$U$23))</f>
        <v>1</v>
      </c>
      <c r="CN195" s="115" t="b">
        <f ca="1">IF(模拟模式!$M$7="辉耀红尘",AND(C195="净世破魔击·月",CL195,CV195=0,E194&lt;80),AND(C195="净世破魔击·月",CL195,E194&lt;100))</f>
        <v>0</v>
      </c>
      <c r="CO195" s="115" t="b">
        <f t="shared" ca="1" si="148"/>
        <v>0</v>
      </c>
      <c r="CP195" s="115" t="b">
        <f ca="1">AND(模拟模式!$O$7="用晦而明",OR(C195="净世破魔击·日",C195="净世破魔击·月",C195="驱夜断愁"),AB195)</f>
        <v>1</v>
      </c>
      <c r="CQ195" s="115" t="b">
        <f ca="1">OR(CP195,AND(CP194,RAND()&lt;模拟模式!$U$23))</f>
        <v>1</v>
      </c>
      <c r="CR195" s="115" t="b">
        <f ca="1">AND(模拟模式!$S$7="日月齐光",OR(C195="幽月轮1",C195="幽月轮2",C195="幽月轮3",CR194),NOT(OR(C195="赤日轮1",C195="赤日轮2",C195="赤日轮3")))</f>
        <v>0</v>
      </c>
      <c r="CS195" s="115" t="b">
        <f ca="1">AND(模拟模式!$S$7="日月齐光",OR(C195="赤日轮1",C195="赤日轮2",C195="赤日轮3",CS194),NOT(OR(C195="幽月轮1",C195="幽月轮2",C195="幽月轮3")))</f>
        <v>0</v>
      </c>
      <c r="CT195" s="115">
        <f t="shared" ca="1" si="176"/>
        <v>12.472500000000011</v>
      </c>
      <c r="CU195" s="115" t="b">
        <f ca="1">AND(模拟模式!$K$10="阴阳往极",CT194=0,RAND()&lt;IF(C195="净世破魔击·月",0.0275*7/3,IF(C195="净世破魔击·日",0.0275*3/3,0.0275*2/3)))</f>
        <v>0</v>
      </c>
      <c r="CV195" s="115">
        <f t="shared" ca="1" si="177"/>
        <v>0</v>
      </c>
      <c r="CW195" s="115">
        <f t="shared" ca="1" si="149"/>
        <v>3.2324999999999995</v>
      </c>
      <c r="CX195" s="115">
        <f t="shared" ca="1" si="150"/>
        <v>1.3874999999999997</v>
      </c>
      <c r="CY195" s="115">
        <f ca="1">MAX(IF($C195="驱夜断愁",IF(模拟模式!$R$7="万念俱寂",6,45),CY194-$F$4),0)</f>
        <v>2.3099999999999996</v>
      </c>
      <c r="CZ195" s="115">
        <f t="shared" ca="1" si="151"/>
        <v>0</v>
      </c>
      <c r="DA195" s="115">
        <f ca="1">IF(模拟模式!$N$7="日月同辉",IF(DB194=2,0,MIN(6,IF(AND(OR(C195="赤日轮1",C195="赤日轮2",C195="赤日轮3",C195="幽月轮1",C195="幽月轮2",C195="幽月轮3"),AB195=1),DA194+1,DA194))),0)</f>
        <v>5</v>
      </c>
      <c r="DB195" s="115">
        <f t="shared" ca="1" si="152"/>
        <v>0</v>
      </c>
      <c r="DC195" s="115"/>
      <c r="DD195" s="115"/>
      <c r="DE195" s="115"/>
      <c r="DF195" s="115"/>
      <c r="DG195" s="115"/>
      <c r="DH195" s="115"/>
      <c r="DI195" s="115"/>
      <c r="DJ195" s="115"/>
      <c r="DK195" s="115"/>
      <c r="DL195" s="115"/>
      <c r="DM195" s="115"/>
    </row>
    <row r="196" spans="2:117" x14ac:dyDescent="0.2">
      <c r="B196" s="117">
        <f t="shared" si="153"/>
        <v>155.90250000000034</v>
      </c>
      <c r="C196" s="167" t="str">
        <f t="shared" ca="1" si="146"/>
        <v>赤日轮1</v>
      </c>
      <c r="D196" s="115">
        <f ca="1">IF(C196="赤日轮1",1,IF(C196="赤日轮2",2,IF(C196="赤日轮3",3,IF(C196="幽月轮1",4,IF(C196="幽月轮2",5,IF(C196="幽月轮3",6,IF(C196="烈日斩",7,IF(C196="银月斩",8,IF(C196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196="净世破魔击·月",17,IF(C196="驱夜断愁",18,0)))))))))))</f>
        <v>1</v>
      </c>
      <c r="E196" s="115">
        <f ca="1">IF(AND(CU196,OR(C196="幽月轮1",C196="幽月轮2",C196="幽月轮3",C196="银月斩",C196="驱夜断愁",C196="净世破魔击·月")),100,MIN(IF(OR(CN196,BE196),0,IF(OR($C196="赤日轮1",$C196="赤日轮2",$C196="赤日轮3"),E195+20+IF(模拟模式!$I$7="日月凌天",4,0)+IF(CR195,20,0),IF($C196="烈日斩",E195+40,IF($C196="驱夜断愁",IF(模拟模式!$R$7="万念俱寂",E195+20,E195+60),IF($C196="净世破魔击·月",IF(OR(DB195&gt;0,CV195&gt;0),100,IF(模拟模式!$M$7="辉耀红尘",E195+20,E195)),IF($C196="净世破魔击·日",E195-100,E195)))))),100))</f>
        <v>20</v>
      </c>
      <c r="F196" s="115">
        <f ca="1">IF(AND(CU196,OR(C196="赤日轮1",C196="赤日轮2",C196="赤日轮3",C196="烈日斩",C196="净世破魔击·日")),100,MIN(IF(CO196,0,IF(OR($C196="幽月轮1",$C196="幽月轮2",$C196="幽月轮3"),F195+20+IF(模拟模式!$I$7="日月凌天",4,0)+IF(CS195,20,0),IF($C196="银月斩",F195+40+IF(模拟模式!$X$12=1,5,0),IF($C196="驱夜断愁",IF(模拟模式!$R$7="万念俱寂",F195+20,F195+60),IF($C196="净世破魔击·月",IF(模拟模式!$M$7="辉耀红尘",F195-80,F195-100),IF(AND(C196="净世破魔击·日",OR(DB195&gt;0,CV195&gt;0)),100,F195)))))),100))</f>
        <v>20</v>
      </c>
      <c r="G196" s="117">
        <f ca="1">('模拟-全程加成'!$E$3+'模拟-全程加成'!$E$4+'模拟-全程加成'!$E$5+('模拟-全程加成'!$C$6-'模拟-全程加成'!$C$3)*系数!$B$9+BS196*23)*(1+'模拟-全程加成'!$F$4+'模拟-全程加成'!$F$5+BJ196*10%+BM196*20%+BP196*4%+CG196*30%)+$F$7*系数!$B$12</f>
        <v>20583.127400000001</v>
      </c>
      <c r="H196" s="45">
        <f ca="1">'模拟-全程加成'!$H$3+'模拟-全程加成'!$H$4+'模拟-全程加成'!$H$5+('模拟-全程加成'!$G$4+'模拟-全程加成'!$G$5+('模拟-全程加成'!$C$6-'模拟-全程加成'!$C$3)*系数!$B$13)/系数!$B$3+LOOKUP(D196,'模拟-单技能数据'!$A$2:$A$19,'模拟-单技能数据'!$K$2:$K$19)+BG196*10%+IF(BV196&gt;0,378,0)</f>
        <v>0.4618514552730022</v>
      </c>
      <c r="I196" s="45">
        <f ca="1">'模拟-全程加成'!$J$3+'模拟-全程加成'!$J$4+'模拟-全程加成'!$J$5+('模拟-全程加成'!$I$4+'模拟-全程加成'!$I$5)/系数!$B$4+LOOKUP(D196,'模拟-单技能数据'!$A$2:$A$19,'模拟-单技能数据'!$L$2:$L$19)+BG196*10%</f>
        <v>2.162482885499879</v>
      </c>
      <c r="J196" s="45">
        <f ca="1">(('模拟-全程加成'!$K$3+'模拟-全程加成'!$K$4+'模拟-全程加成'!$K$5+('模拟-全程加成'!$C$6-'模拟-全程加成'!$C$3)*系数!$B$10+IF(BV196&gt;0,882,0)+IF(BY196&gt;0,1831,0))*(1+'模拟-全程加成'!$L$4+'模拟-全程加成'!$L$5+CC196*20%))/系数!$B$5</f>
        <v>0.69723220422048726</v>
      </c>
      <c r="K196" s="119">
        <f ca="1">LOOKUP(D196,'模拟-单技能数据'!$A$2:$A$19,'模拟-单技能数据'!$J$2:$J$19)+IF(CM196,60%,0)+IF(DB195-DB196&gt;0,30%,0)+IF(OR(AND(OR(C196="赤日轮1",C196="赤日轮2",C196="赤日轮3"),CR196),AND(OR(C196="幽月轮1",C196="幽月轮2",C196="幽月轮3"),CS196)),35%,0)+CJ196</f>
        <v>0.12</v>
      </c>
      <c r="L196" s="119">
        <f ca="1">IF(AND(C196="烈日斩",模拟模式!$X$11=1),10%,0)+IF(AND(C196="驱夜断愁",AB196=1),30%,0)</f>
        <v>0</v>
      </c>
      <c r="M196" s="45">
        <f t="shared" ca="1" si="185"/>
        <v>0.4618514552730022</v>
      </c>
      <c r="N196" s="45">
        <f t="shared" ca="1" si="186"/>
        <v>0.48424854472699785</v>
      </c>
      <c r="O196" s="46">
        <f t="shared" ca="1" si="154"/>
        <v>0.68629851375253481</v>
      </c>
      <c r="P196" s="46" t="str">
        <f t="shared" ca="1" si="155"/>
        <v>命</v>
      </c>
      <c r="Q196" s="45">
        <f t="shared" ca="1" si="156"/>
        <v>1</v>
      </c>
      <c r="R196" s="117">
        <f ca="1">模拟模式!$E$20*(1-IF(模拟模式!$J$19="有",0.15,0))*(1-IF(模拟模式!$K$19="有",0.3,0)-IF(CQ196,0.5,0))</f>
        <v>843.02999999999975</v>
      </c>
      <c r="S196" s="45">
        <f ca="1">R196/(R196+(185*模拟模式!$E$22-16800)*4.08224)</f>
        <v>8.389626085980037E-2</v>
      </c>
      <c r="T196" s="45" t="str">
        <f ca="1">LOOKUP(D196,'模拟-单技能数据'!$A$2:$A$19,'模拟-单技能数据'!$H$2:$H$19)</f>
        <v>阳</v>
      </c>
      <c r="U196" s="119">
        <f t="shared" ca="1" si="187"/>
        <v>0.2</v>
      </c>
      <c r="V196" s="47">
        <f ca="1">(1+L196)*(LOOKUP(D196,'模拟-单技能数据'!$A$2:$A$19,'模拟-单技能数据'!$D$2:$D$19)+G196*LOOKUP(D196,'模拟-单技能数据'!$A$2:$A$19,'模拟-单技能数据'!$F$2:$F$19))*(1+J196)*(1+K196)*(1-S196)*(1+U196)*Q196*LOOKUP(D196,'模拟-单技能数据'!$A$2:$A$19,'模拟-单技能数据'!$I$2:$I$20)</f>
        <v>25194.44799269021</v>
      </c>
      <c r="W196" s="47">
        <f ca="1">LOOKUP(D196,'模拟-单技能数据'!$A$2:$A$19,'模拟-单技能数据'!$G$2:$G$19)*$I$10</f>
        <v>361.51064354704795</v>
      </c>
      <c r="X196" s="47">
        <f t="shared" ca="1" si="157"/>
        <v>0</v>
      </c>
      <c r="Y196" s="47">
        <f t="shared" ca="1" si="188"/>
        <v>25555.958636237257</v>
      </c>
      <c r="Z196" s="49">
        <f t="shared" ca="1" si="189"/>
        <v>17685813.546348464</v>
      </c>
      <c r="AA196" s="97">
        <f t="shared" ca="1" si="190"/>
        <v>113441.50059395087</v>
      </c>
      <c r="AB196" s="115">
        <f ca="1">IF(OR(C196="赤日轮1",C196="赤日轮2",C196="赤日轮3"),IF(RAND()&lt;模拟模式!$Y$17,1,0),IF(OR(C196="幽月轮1",C196="幽月轮2",C196="幽月轮3"),IF(RAND()&lt;模拟模式!$Y$18,1,0),IF(C196="烈日斩",IF(RAND()&lt;模拟模式!$Y$19,1,0),IF(C196="银月斩",IF(RAND()&lt;模拟模式!$Y$20,1,0),IF(C196="驱夜断愁",IF(RAND()&lt;模拟模式!$Y$21,1,0),IF(C196="净世破魔击·日",IF(RAND()&lt;模拟模式!$Y$22,1,0),IF(C196="净世破魔击·月",IF(RAND()&lt;模拟模式!$Y$23,1,0),0)))))))</f>
        <v>1</v>
      </c>
      <c r="AC196" s="115" t="b">
        <f t="shared" ca="1" si="178"/>
        <v>0</v>
      </c>
      <c r="AD196" s="115" t="b">
        <f t="shared" ref="AD196:AD259" ca="1" si="198">IF(AD195+AD194=1,IF(AE195&gt;0,NOT(AD195),FALSE),AC196)</f>
        <v>0</v>
      </c>
      <c r="AE196" s="115">
        <f t="shared" ref="AE196:AE259" ca="1" si="199">IF(AC196,IF(AD194+AD195=0,6,6-AD196),AE195-AD196)</f>
        <v>3</v>
      </c>
      <c r="AF196" s="47">
        <f ca="1">IF(AC196,('模拟-单技能数据'!$D$20+G196*'模拟-单技能数据'!$F$20)*(1+J196)*(1+'模拟-单技能数据'!$J$20)*(1+U196),0)</f>
        <v>0</v>
      </c>
      <c r="AG196" s="61">
        <f t="shared" ca="1" si="191"/>
        <v>0.64185145527300214</v>
      </c>
      <c r="AH196" s="61">
        <f t="shared" ca="1" si="192"/>
        <v>2.2624828854998791</v>
      </c>
      <c r="AI196" s="62">
        <f t="shared" ca="1" si="158"/>
        <v>0.81645139771737774</v>
      </c>
      <c r="AJ196" s="47">
        <f ca="1">IF(AD196,IF(AI196&lt;$F$10,0,IF(AI196&lt;$F$10+$F$11,0.25,IF(AI196&lt;$F$10+$F$11+AG196,AH196,1)))*IF(AF196&gt;0,AF196,IF(AF195&gt;0,AF195,IF(AF194&gt;0,AF194,IF(AF193&gt;0,AF193,IF(AF192&gt;0,AF192,IF(AF191&gt;0,AF191,IF(AF190&gt;0,AF190,IF(AF189&gt;0,AF189,IF(AF188&gt;0,AF188,IF(AF186&gt;0,AF186,IF(AF185&gt;0,AF185,IF(AF184&gt;0,AF184,0)))))))))))),0)*(1-$S196)*'模拟-单技能数据'!$I$20</f>
        <v>0</v>
      </c>
      <c r="AK196" s="115" t="b">
        <f t="shared" ca="1" si="179"/>
        <v>0</v>
      </c>
      <c r="AL196" s="115" t="b">
        <f t="shared" ref="AL196:AL259" ca="1" si="200">IF(AL195+AL194=1,IF(AM195&gt;0,NOT(AL195),FALSE),AK196)</f>
        <v>0</v>
      </c>
      <c r="AM196" s="115">
        <f t="shared" ref="AM196:AM259" ca="1" si="201">IF(AK196,IF(AL194+AL195=0,6,6-AL196),AM195-AL196)</f>
        <v>5</v>
      </c>
      <c r="AN196" s="47">
        <f ca="1">IF(AK196,('模拟-单技能数据'!$D$21+G196*'模拟-单技能数据'!$F$21)*(1+J196)*(1+'模拟-单技能数据'!$J$21)*(1+U196),0)</f>
        <v>0</v>
      </c>
      <c r="AO196" s="61">
        <f ca="1">IF(AN196&gt;0,M196-'模拟-单技能数据'!$K$10,AO195)</f>
        <v>0.42185145527300216</v>
      </c>
      <c r="AP196" s="61">
        <f ca="1">IF(AN196&gt;0,I196-'模拟-单技能数据'!$L$10,AP195)</f>
        <v>2.162482885499879</v>
      </c>
      <c r="AQ196" s="63">
        <f t="shared" ca="1" si="159"/>
        <v>0.55729576690414739</v>
      </c>
      <c r="AR196" s="64">
        <f ca="1">IF(AL196,IF(AQ196&lt;$F$10,0,IF(AQ196&lt;$F$10+$F$11,0.25,IF(AQ196&lt;$F$10+$F$11+AO196,AP196,1)))*IF(AN196&gt;0,AN196,IF(AN195&gt;0,AN195,IF(AN194&gt;0,AN194,IF(AN193&gt;0,AN193,IF(AN192&gt;0,AN192,IF(AN191&gt;0,AN191,IF(AN190&gt;0,AN190,IF(AN189&gt;0,AN189,IF(AN188&gt;0,AN188,IF(AN186&gt;0,AN186,IF(AN185&gt;0,AN185,IF(AN184&gt;0,AN184,0)))))))))))),0)*(1-$S196)*'模拟-单技能数据'!$I$21</f>
        <v>0</v>
      </c>
      <c r="AS196" s="61">
        <f ca="1">IF(OR(C196="净世破魔击·日",C196="净世破魔击·月"),M196-'模拟-单技能数据'!$K$10,0)</f>
        <v>0</v>
      </c>
      <c r="AT196" s="61">
        <f ca="1">IF(OR(C196="净世破魔击·日",C196="净世破魔击·月"),I196-'模拟-单技能数据'!$L$10,0)</f>
        <v>0</v>
      </c>
      <c r="AU196" s="62">
        <f t="shared" ca="1" si="160"/>
        <v>0.38930122338837969</v>
      </c>
      <c r="AV196" s="64">
        <f ca="1">IF(AS196&gt;0,('模拟-单技能数据'!$D$22+G196*'模拟-单技能数据'!$F$22)*(1+J196)*(1-S196)*IF(AU196&lt;$F$10,0,IF(AU196&lt;$F$10+$F$11,0.25,IF(AU196&lt;$F$10+$F$11+AS196,AT196,1)))*(1+U196),0)*'模拟-单技能数据'!$I$22</f>
        <v>0</v>
      </c>
      <c r="AW196" s="108">
        <f t="shared" ca="1" si="161"/>
        <v>16.310000000000002</v>
      </c>
      <c r="AX196" s="108" t="b">
        <f ca="1">AND(模拟模式!$P$10="有",AW195=0,RAND()&lt;IF(C196="净世破魔击·月",0.1*8/3,IF(C196="净世破魔击·日",0.1*4/3,0.1*2/3)))</f>
        <v>0</v>
      </c>
      <c r="AY196" s="47">
        <f ca="1">IF(AX196,(18+G196*0.722)*(1+J196)*(1-S196)*(1+$I$4)*IF(P196="会",'模拟-全程加成'!$J$3+'模拟-全程加成'!$J$4+'模拟-全程加成'!$J$5+('模拟-全程加成'!$I$4+'模拟-全程加成'!$I$5)/系数!$B$4+BG196*10%,IF(P196="命",1,IF(P196="识",0.25,0))),0)</f>
        <v>0</v>
      </c>
      <c r="AZ196" s="108">
        <f t="shared" si="162"/>
        <v>6.1625000000000068</v>
      </c>
      <c r="BA196" s="108" t="b">
        <f>AND(模拟模式!$Q$10="有",AZ195=0)</f>
        <v>0</v>
      </c>
      <c r="BB196" s="140">
        <f>IF(BA196,(0+G196*0.287)*(1+J196)*(1-S196)*(1+$I$4)*IF(P196="会",'模拟-全程加成'!$J$3+'模拟-全程加成'!$J$4+'模拟-全程加成'!$J$5+('模拟-全程加成'!$I$4+'模拟-全程加成'!$I$5)/系数!$B$4+BG196*10%,IF(P196="命",1,IF(P196="识",0.25,0))),0)</f>
        <v>0</v>
      </c>
      <c r="BC196" s="115" t="b">
        <f ca="1">AND(模拟模式!$R$7="伏明众生",E196=60,F196=20,DA196&lt;5,CZ195&lt;$F$4)</f>
        <v>0</v>
      </c>
      <c r="BD196" s="115">
        <f t="shared" ca="1" si="180"/>
        <v>0</v>
      </c>
      <c r="BE196" s="115" t="b">
        <f t="shared" ca="1" si="181"/>
        <v>0</v>
      </c>
      <c r="BF196" s="47">
        <f ca="1">IF(BC196,4*('模拟-单技能数据'!$D$24+G196*'模拟-单技能数据'!$F$24)*(1+J196)*(1+'模拟-单技能数据'!$J$24)*(1-S196)*(1+$I$3)*(('模拟-全程加成'!$J$3+'模拟-全程加成'!$J$4+'模拟-全程加成'!$J$5+('模拟-全程加成'!$I$4+'模拟-全程加成'!$I$5)/系数!$B$4+BG196*10%)*('模拟-全程加成'!$J$3+'模拟-全程加成'!$J$4+'模拟-全程加成'!$J$5+('模拟-全程加成'!$I$4+'模拟-全程加成'!$I$5)/系数!$B$4+BG196*10%)+(1-('模拟-全程加成'!$J$3+'模拟-全程加成'!$J$4+'模拟-全程加成'!$J$5+('模拟-全程加成'!$I$4+'模拟-全程加成'!$I$5)/系数!$B$4+BG196*10%)-$F$10-$F$11)+F182*0.25),0)*'模拟-单技能数据'!$I$24</f>
        <v>0</v>
      </c>
      <c r="BG196" s="115" t="b">
        <f ca="1">OR(AND(OR(C196="烈日斩",C196="银月斩"),模拟模式!$I$7="净身明礼"),AND(C196="净世破魔击·日",模拟模式!$J$7="洞若观火"),AND(C197="净世破魔击·月",模拟模式!$J$7="洞若观火"),AB196=1)</f>
        <v>1</v>
      </c>
      <c r="BH196" s="115" t="b">
        <f t="shared" ca="1" si="163"/>
        <v>0</v>
      </c>
      <c r="BI196" s="115">
        <f t="shared" ca="1" si="182"/>
        <v>0</v>
      </c>
      <c r="BJ196" s="115" t="b">
        <f t="shared" ca="1" si="193"/>
        <v>0</v>
      </c>
      <c r="BK196" s="115" t="b">
        <f ca="1">AND(C196="驱夜断愁",模拟模式!$P$7="天地诛戮")</f>
        <v>0</v>
      </c>
      <c r="BL196" s="57">
        <f t="shared" ca="1" si="183"/>
        <v>15.387500000000003</v>
      </c>
      <c r="BM196" s="115" t="b">
        <f t="shared" ca="1" si="194"/>
        <v>1</v>
      </c>
      <c r="BN196" s="115" t="b">
        <f ca="1">AND(OR(C196="赤日轮1",C196="赤日轮2",C196="赤日轮3",C196="幽月轮1",C196="幽月轮2",C196="幽月轮3"),AB196=1,模拟模式!$L$7="明光恒照")</f>
        <v>1</v>
      </c>
      <c r="BO196" s="117">
        <f t="shared" ca="1" si="184"/>
        <v>30</v>
      </c>
      <c r="BP196" s="115">
        <f t="shared" ca="1" si="164"/>
        <v>6</v>
      </c>
      <c r="BQ196" s="115" t="b">
        <f>模拟模式!$K$10="2600·水"</f>
        <v>0</v>
      </c>
      <c r="BR196" s="117">
        <f t="shared" si="165"/>
        <v>0</v>
      </c>
      <c r="BS196" s="115">
        <f t="shared" si="166"/>
        <v>0</v>
      </c>
      <c r="BT196" s="115">
        <f t="shared" ca="1" si="167"/>
        <v>0</v>
      </c>
      <c r="BU196" s="115" t="b">
        <f ca="1">AND(模拟模式!$K$10="2300·雷",BT195=0,RAND()&lt;IF(C196="净世破魔击·月",5*0.05*2/3,IF(C196="净世破魔击·日",3*0.05*2/3,0.05*2*2/3)))</f>
        <v>0</v>
      </c>
      <c r="BV196" s="115">
        <f t="shared" ca="1" si="168"/>
        <v>0</v>
      </c>
      <c r="BW196" s="115">
        <f t="shared" ca="1" si="169"/>
        <v>29.632499999999297</v>
      </c>
      <c r="BX196" s="164" t="b">
        <f t="shared" ca="1" si="170"/>
        <v>0</v>
      </c>
      <c r="BY196" s="115">
        <f t="shared" ca="1" si="171"/>
        <v>0</v>
      </c>
      <c r="BZ196" s="115">
        <f>IF(OR(模拟模式!$P$16="10人团",模拟模式!$P$16="25人团"),IF(B196/30&gt;CA195,1,0),0)</f>
        <v>0</v>
      </c>
      <c r="CA196" s="115">
        <f t="shared" si="147"/>
        <v>0</v>
      </c>
      <c r="CB196" s="115">
        <f ca="1">IF(BZ196=1,IF(模拟模式!$P$16="10人团",15,0)+IF(模拟模式!$P$16="25人团",IF(RAND()&lt;0.6,15,0)),MAX(0,CB195-$F$4))</f>
        <v>0</v>
      </c>
      <c r="CC196" s="115" t="b">
        <f t="shared" ca="1" si="195"/>
        <v>0</v>
      </c>
      <c r="CD196" s="115">
        <f>IF(模拟模式!$Q$16="1个",IF(B196/40&gt;CE195,1,0),0)</f>
        <v>0</v>
      </c>
      <c r="CE196" s="115">
        <f t="shared" si="196"/>
        <v>0</v>
      </c>
      <c r="CF196" s="115">
        <f>IF(OR(CD196=1,模拟模式!$Q$16="2个"),20,MAX(0,CF195-$F$4))</f>
        <v>0</v>
      </c>
      <c r="CG196" s="115" t="b">
        <f t="shared" si="197"/>
        <v>0</v>
      </c>
      <c r="CH196" s="115">
        <f t="shared" ca="1" si="172"/>
        <v>8.7825000000000131</v>
      </c>
      <c r="CI196" s="115" t="b">
        <f t="shared" ca="1" si="173"/>
        <v>0</v>
      </c>
      <c r="CJ196" s="119">
        <f t="shared" ca="1" si="174"/>
        <v>0</v>
      </c>
      <c r="CK196" s="115">
        <f t="shared" ca="1" si="175"/>
        <v>0</v>
      </c>
      <c r="CL196" s="115" t="b">
        <f ca="1">AND(模拟模式!$S$7="驱夷逐法",OR(AND(C196="净世破魔击·月",E195&gt;59),AND(C196="净世破魔击·日",F195&gt;59)))</f>
        <v>0</v>
      </c>
      <c r="CM196" s="115" t="b">
        <f ca="1">OR(CL196,AND(C196="净世破魔击·日",CL195,RAND()&lt;模拟模式!$U$23))</f>
        <v>0</v>
      </c>
      <c r="CN196" s="115" t="b">
        <f ca="1">IF(模拟模式!$M$7="辉耀红尘",AND(C196="净世破魔击·月",CL196,CV196=0,E195&lt;80),AND(C196="净世破魔击·月",CL196,E195&lt;100))</f>
        <v>0</v>
      </c>
      <c r="CO196" s="115" t="b">
        <f t="shared" ca="1" si="148"/>
        <v>0</v>
      </c>
      <c r="CP196" s="115" t="b">
        <f ca="1">AND(模拟模式!$O$7="用晦而明",OR(C196="净世破魔击·日",C196="净世破魔击·月",C196="驱夜断愁"),AB196)</f>
        <v>0</v>
      </c>
      <c r="CQ196" s="115" t="b">
        <f ca="1">OR(CP196,AND(CP195,RAND()&lt;模拟模式!$U$23))</f>
        <v>1</v>
      </c>
      <c r="CR196" s="115" t="b">
        <f ca="1">AND(模拟模式!$S$7="日月齐光",OR(C196="幽月轮1",C196="幽月轮2",C196="幽月轮3",CR195),NOT(OR(C196="赤日轮1",C196="赤日轮2",C196="赤日轮3")))</f>
        <v>0</v>
      </c>
      <c r="CS196" s="115" t="b">
        <f ca="1">AND(模拟模式!$S$7="日月齐光",OR(C196="赤日轮1",C196="赤日轮2",C196="赤日轮3",CS195),NOT(OR(C196="幽月轮1",C196="幽月轮2",C196="幽月轮3")))</f>
        <v>0</v>
      </c>
      <c r="CT196" s="115">
        <f t="shared" ca="1" si="176"/>
        <v>11.550000000000011</v>
      </c>
      <c r="CU196" s="115" t="b">
        <f ca="1">AND(模拟模式!$K$10="阴阳往极",CT195=0,RAND()&lt;IF(C196="净世破魔击·月",0.0275*7/3,IF(C196="净世破魔击·日",0.0275*3/3,0.0275*2/3)))</f>
        <v>0</v>
      </c>
      <c r="CV196" s="115">
        <f t="shared" ca="1" si="177"/>
        <v>0</v>
      </c>
      <c r="CW196" s="115">
        <f t="shared" ca="1" si="149"/>
        <v>2.3099999999999996</v>
      </c>
      <c r="CX196" s="115">
        <f t="shared" ca="1" si="150"/>
        <v>0.46499999999999975</v>
      </c>
      <c r="CY196" s="115">
        <f ca="1">MAX(IF($C196="驱夜断愁",IF(模拟模式!$R$7="万念俱寂",6,45),CY195-$F$4),0)</f>
        <v>1.3874999999999997</v>
      </c>
      <c r="CZ196" s="115">
        <f t="shared" ca="1" si="151"/>
        <v>0</v>
      </c>
      <c r="DA196" s="115">
        <f ca="1">IF(模拟模式!$N$7="日月同辉",IF(DB195=2,0,MIN(6,IF(AND(OR(C196="赤日轮1",C196="赤日轮2",C196="赤日轮3",C196="幽月轮1",C196="幽月轮2",C196="幽月轮3"),AB196=1),DA195+1,DA195))),0)</f>
        <v>6</v>
      </c>
      <c r="DB196" s="115">
        <f t="shared" ca="1" si="152"/>
        <v>2</v>
      </c>
      <c r="DC196" s="115"/>
      <c r="DD196" s="115"/>
      <c r="DE196" s="115"/>
      <c r="DF196" s="115"/>
      <c r="DG196" s="115"/>
      <c r="DH196" s="115"/>
      <c r="DI196" s="115"/>
      <c r="DJ196" s="115"/>
      <c r="DK196" s="115"/>
      <c r="DL196" s="115"/>
      <c r="DM196" s="115"/>
    </row>
    <row r="197" spans="2:117" x14ac:dyDescent="0.2">
      <c r="B197" s="117">
        <f t="shared" si="153"/>
        <v>156.82500000000036</v>
      </c>
      <c r="C197" s="167" t="str">
        <f t="shared" ca="1" si="146"/>
        <v>银月斩</v>
      </c>
      <c r="D197" s="115">
        <f ca="1">IF(C197="赤日轮1",1,IF(C197="赤日轮2",2,IF(C197="赤日轮3",3,IF(C197="幽月轮1",4,IF(C197="幽月轮2",5,IF(C197="幽月轮3",6,IF(C197="烈日斩",7,IF(C197="银月斩",8,IF(C197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197="净世破魔击·月",17,IF(C197="驱夜断愁",18,0)))))))))))</f>
        <v>8</v>
      </c>
      <c r="E197" s="115">
        <f ca="1">IF(AND(CU197,OR(C197="幽月轮1",C197="幽月轮2",C197="幽月轮3",C197="银月斩",C197="驱夜断愁",C197="净世破魔击·月")),100,MIN(IF(OR(CN197,BE197),0,IF(OR($C197="赤日轮1",$C197="赤日轮2",$C197="赤日轮3"),E196+20+IF(模拟模式!$I$7="日月凌天",4,0)+IF(CR196,20,0),IF($C197="烈日斩",E196+40,IF($C197="驱夜断愁",IF(模拟模式!$R$7="万念俱寂",E196+20,E196+60),IF($C197="净世破魔击·月",IF(OR(DB196&gt;0,CV196&gt;0),100,IF(模拟模式!$M$7="辉耀红尘",E196+20,E196)),IF($C197="净世破魔击·日",E196-100,E196)))))),100))</f>
        <v>20</v>
      </c>
      <c r="F197" s="115">
        <f ca="1">IF(AND(CU197,OR(C197="赤日轮1",C197="赤日轮2",C197="赤日轮3",C197="烈日斩",C197="净世破魔击·日")),100,MIN(IF(CO197,0,IF(OR($C197="幽月轮1",$C197="幽月轮2",$C197="幽月轮3"),F196+20+IF(模拟模式!$I$7="日月凌天",4,0)+IF(CS196,20,0),IF($C197="银月斩",F196+40+IF(模拟模式!$X$12=1,5,0),IF($C197="驱夜断愁",IF(模拟模式!$R$7="万念俱寂",F196+20,F196+60),IF($C197="净世破魔击·月",IF(模拟模式!$M$7="辉耀红尘",F196-80,F196-100),IF(AND(C197="净世破魔击·日",OR(DB196&gt;0,CV196&gt;0)),100,F196)))))),100))</f>
        <v>65</v>
      </c>
      <c r="G197" s="117">
        <f ca="1">('模拟-全程加成'!$E$3+'模拟-全程加成'!$E$4+'模拟-全程加成'!$E$5+('模拟-全程加成'!$C$6-'模拟-全程加成'!$C$3)*系数!$B$9+BS197*23)*(1+'模拟-全程加成'!$F$4+'模拟-全程加成'!$F$5+BJ197*10%+BM197*20%+BP197*4%+CG197*30%)+$F$7*系数!$B$12</f>
        <v>20583.127400000001</v>
      </c>
      <c r="H197" s="45">
        <f ca="1">'模拟-全程加成'!$H$3+'模拟-全程加成'!$H$4+'模拟-全程加成'!$H$5+('模拟-全程加成'!$G$4+'模拟-全程加成'!$G$5+('模拟-全程加成'!$C$6-'模拟-全程加成'!$C$3)*系数!$B$13)/系数!$B$3+LOOKUP(D197,'模拟-单技能数据'!$A$2:$A$19,'模拟-单技能数据'!$K$2:$K$19)+BG197*10%+IF(BV197&gt;0,378,0)</f>
        <v>0.64185145527300214</v>
      </c>
      <c r="I197" s="45">
        <f ca="1">'模拟-全程加成'!$J$3+'模拟-全程加成'!$J$4+'模拟-全程加成'!$J$5+('模拟-全程加成'!$I$4+'模拟-全程加成'!$I$5)/系数!$B$4+LOOKUP(D197,'模拟-单技能数据'!$A$2:$A$19,'模拟-单技能数据'!$L$2:$L$19)+BG197*10%</f>
        <v>2.2624828854998791</v>
      </c>
      <c r="J197" s="45">
        <f ca="1">(('模拟-全程加成'!$K$3+'模拟-全程加成'!$K$4+'模拟-全程加成'!$K$5+('模拟-全程加成'!$C$6-'模拟-全程加成'!$C$3)*系数!$B$10+IF(BV197&gt;0,882,0)+IF(BY197&gt;0,1831,0))*(1+'模拟-全程加成'!$L$4+'模拟-全程加成'!$L$5+CC197*20%))/系数!$B$5</f>
        <v>0.69723220422048726</v>
      </c>
      <c r="K197" s="119">
        <f ca="1">LOOKUP(D197,'模拟-单技能数据'!$A$2:$A$19,'模拟-单技能数据'!$J$2:$J$19)+IF(CM197,60%,0)+IF(DB196-DB197&gt;0,30%,0)+IF(OR(AND(OR(C197="赤日轮1",C197="赤日轮2",C197="赤日轮3"),CR197),AND(OR(C197="幽月轮1",C197="幽月轮2",C197="幽月轮3"),CS197)),35%,0)+CJ197</f>
        <v>0.15</v>
      </c>
      <c r="L197" s="119">
        <f ca="1">IF(AND(C197="烈日斩",模拟模式!$X$11=1),10%,0)+IF(AND(C197="驱夜断愁",AB197=1),30%,0)</f>
        <v>0</v>
      </c>
      <c r="M197" s="45">
        <f t="shared" ca="1" si="185"/>
        <v>0.64185145527300214</v>
      </c>
      <c r="N197" s="45">
        <f t="shared" ca="1" si="186"/>
        <v>0.30424854472699792</v>
      </c>
      <c r="O197" s="46">
        <f t="shared" ca="1" si="154"/>
        <v>0.75274583689050156</v>
      </c>
      <c r="P197" s="46" t="str">
        <f t="shared" ca="1" si="155"/>
        <v>命</v>
      </c>
      <c r="Q197" s="45">
        <f t="shared" ca="1" si="156"/>
        <v>1</v>
      </c>
      <c r="R197" s="117">
        <f ca="1">模拟模式!$E$20*(1-IF(模拟模式!$J$19="有",0.15,0))*(1-IF(模拟模式!$K$19="有",0.3,0)-IF(CQ197,0.5,0))</f>
        <v>2950.6049999999996</v>
      </c>
      <c r="S197" s="45">
        <f ca="1">R197/(R197+(185*模拟模式!$E$22-16800)*4.08224)</f>
        <v>0.24272716014590323</v>
      </c>
      <c r="T197" s="45" t="str">
        <f ca="1">LOOKUP(D197,'模拟-单技能数据'!$A$2:$A$19,'模拟-单技能数据'!$H$2:$H$19)</f>
        <v>阴</v>
      </c>
      <c r="U197" s="119">
        <f t="shared" ca="1" si="187"/>
        <v>0.08</v>
      </c>
      <c r="V197" s="47">
        <f ca="1">(1+L197)*(LOOKUP(D197,'模拟-单技能数据'!$A$2:$A$19,'模拟-单技能数据'!$D$2:$D$19)+G197*LOOKUP(D197,'模拟-单技能数据'!$A$2:$A$19,'模拟-单技能数据'!$F$2:$F$19))*(1+J197)*(1+K197)*(1-S197)*(1+U197)*Q197*LOOKUP(D197,'模拟-单技能数据'!$A$2:$A$19,'模拟-单技能数据'!$I$2:$I$20)</f>
        <v>17450.434922549593</v>
      </c>
      <c r="W197" s="47">
        <f ca="1">LOOKUP(D197,'模拟-单技能数据'!$A$2:$A$19,'模拟-单技能数据'!$G$2:$G$19)*$I$10</f>
        <v>361.51064354704795</v>
      </c>
      <c r="X197" s="47">
        <f t="shared" ca="1" si="157"/>
        <v>17215.943230540266</v>
      </c>
      <c r="Y197" s="47">
        <f t="shared" ca="1" si="188"/>
        <v>35027.888796636908</v>
      </c>
      <c r="Z197" s="49">
        <f t="shared" ca="1" si="189"/>
        <v>17720841.435145102</v>
      </c>
      <c r="AA197" s="97">
        <f t="shared" ca="1" si="190"/>
        <v>112997.55418552566</v>
      </c>
      <c r="AB197" s="115">
        <f ca="1">IF(OR(C197="赤日轮1",C197="赤日轮2",C197="赤日轮3"),IF(RAND()&lt;模拟模式!$Y$17,1,0),IF(OR(C197="幽月轮1",C197="幽月轮2",C197="幽月轮3"),IF(RAND()&lt;模拟模式!$Y$18,1,0),IF(C197="烈日斩",IF(RAND()&lt;模拟模式!$Y$19,1,0),IF(C197="银月斩",IF(RAND()&lt;模拟模式!$Y$20,1,0),IF(C197="驱夜断愁",IF(RAND()&lt;模拟模式!$Y$21,1,0),IF(C197="净世破魔击·日",IF(RAND()&lt;模拟模式!$Y$22,1,0),IF(C197="净世破魔击·月",IF(RAND()&lt;模拟模式!$Y$23,1,0),0)))))))</f>
        <v>1</v>
      </c>
      <c r="AC197" s="115" t="b">
        <f t="shared" ca="1" si="178"/>
        <v>1</v>
      </c>
      <c r="AD197" s="115" t="b">
        <f t="shared" ca="1" si="198"/>
        <v>1</v>
      </c>
      <c r="AE197" s="115">
        <f t="shared" ca="1" si="199"/>
        <v>5</v>
      </c>
      <c r="AF197" s="47">
        <f ca="1">IF(AC197,('模拟-单技能数据'!$D$20+G197*'模拟-单技能数据'!$F$20)*(1+J197)*(1+'模拟-单技能数据'!$J$20)*(1+U197),0)</f>
        <v>4447.8565560098323</v>
      </c>
      <c r="AG197" s="61">
        <f t="shared" ca="1" si="191"/>
        <v>0.64185145527300214</v>
      </c>
      <c r="AH197" s="61">
        <f t="shared" ca="1" si="192"/>
        <v>2.2624828854998791</v>
      </c>
      <c r="AI197" s="62">
        <f t="shared" ca="1" si="158"/>
        <v>0.3858712647879351</v>
      </c>
      <c r="AJ197" s="47">
        <f ca="1">IF(AD197,IF(AI197&lt;$F$10,0,IF(AI197&lt;$F$10+$F$11,0.25,IF(AI197&lt;$F$10+$F$11+AG197,AH197,1)))*IF(AF197&gt;0,AF197,IF(AF196&gt;0,AF196,IF(AF195&gt;0,AF195,IF(AF194&gt;0,AF194,IF(AF193&gt;0,AF193,IF(AF192&gt;0,AF192,IF(AF191&gt;0,AF191,IF(AF190&gt;0,AF190,IF(AF189&gt;0,AF189,IF(AF187&gt;0,AF187,IF(AF186&gt;0,AF186,IF(AF185&gt;0,AF185,0)))))))))))),0)*(1-$S197)*'模拟-单技能数据'!$I$20</f>
        <v>7620.5875385322679</v>
      </c>
      <c r="AK197" s="115" t="b">
        <f t="shared" ca="1" si="179"/>
        <v>0</v>
      </c>
      <c r="AL197" s="115" t="b">
        <f t="shared" ca="1" si="200"/>
        <v>1</v>
      </c>
      <c r="AM197" s="115">
        <f t="shared" ca="1" si="201"/>
        <v>4</v>
      </c>
      <c r="AN197" s="47">
        <f ca="1">IF(AK197,('模拟-单技能数据'!$D$21+G197*'模拟-单技能数据'!$F$21)*(1+J197)*(1+'模拟-单技能数据'!$J$21)*(1+U197),0)</f>
        <v>0</v>
      </c>
      <c r="AO197" s="61">
        <f ca="1">IF(AN197&gt;0,M197-'模拟-单技能数据'!$K$10,AO196)</f>
        <v>0.42185145527300216</v>
      </c>
      <c r="AP197" s="61">
        <f ca="1">IF(AN197&gt;0,I197-'模拟-单技能数据'!$L$10,AP196)</f>
        <v>2.162482885499879</v>
      </c>
      <c r="AQ197" s="63">
        <f t="shared" ca="1" si="159"/>
        <v>0.6247400654131573</v>
      </c>
      <c r="AR197" s="64">
        <f ca="1">IF(AL197,IF(AQ197&lt;$F$10,0,IF(AQ197&lt;$F$10+$F$11,0.25,IF(AQ197&lt;$F$10+$F$11+AO197,AP197,1)))*IF(AN197&gt;0,AN197,IF(AN196&gt;0,AN196,IF(AN195&gt;0,AN195,IF(AN194&gt;0,AN194,IF(AN193&gt;0,AN193,IF(AN192&gt;0,AN192,IF(AN191&gt;0,AN191,IF(AN190&gt;0,AN190,IF(AN189&gt;0,AN189,IF(AN187&gt;0,AN187,IF(AN186&gt;0,AN186,IF(AN185&gt;0,AN185,0)))))))))))),0)*(1-$S197)*'模拟-单技能数据'!$I$21</f>
        <v>9595.3556920079973</v>
      </c>
      <c r="AS197" s="61">
        <f ca="1">IF(OR(C197="净世破魔击·日",C197="净世破魔击·月"),M197-'模拟-单技能数据'!$K$10,0)</f>
        <v>0</v>
      </c>
      <c r="AT197" s="61">
        <f ca="1">IF(OR(C197="净世破魔击·日",C197="净世破魔击·月"),I197-'模拟-单技能数据'!$L$10,0)</f>
        <v>0</v>
      </c>
      <c r="AU197" s="62">
        <f t="shared" ca="1" si="160"/>
        <v>0.78023534953474893</v>
      </c>
      <c r="AV197" s="64">
        <f ca="1">IF(AS197&gt;0,('模拟-单技能数据'!$D$22+G197*'模拟-单技能数据'!$F$22)*(1+J197)*(1-S197)*IF(AU197&lt;$F$10,0,IF(AU197&lt;$F$10+$F$11,0.25,IF(AU197&lt;$F$10+$F$11+AS197,AT197,1)))*(1+U197),0)*'模拟-单技能数据'!$I$22</f>
        <v>0</v>
      </c>
      <c r="AW197" s="108">
        <f t="shared" ca="1" si="161"/>
        <v>15.387500000000003</v>
      </c>
      <c r="AX197" s="108" t="b">
        <f ca="1">AND(模拟模式!$P$10="有",AW196=0,RAND()&lt;IF(C197="净世破魔击·月",0.1*8/3,IF(C197="净世破魔击·日",0.1*4/3,0.1*2/3)))</f>
        <v>0</v>
      </c>
      <c r="AY197" s="47">
        <f ca="1">IF(AX197,(18+G197*0.722)*(1+J197)*(1-S197)*(1+$I$4)*IF(P197="会",'模拟-全程加成'!$J$3+'模拟-全程加成'!$J$4+'模拟-全程加成'!$J$5+('模拟-全程加成'!$I$4+'模拟-全程加成'!$I$5)/系数!$B$4+BG197*10%,IF(P197="命",1,IF(P197="识",0.25,0))),0)</f>
        <v>0</v>
      </c>
      <c r="AZ197" s="108">
        <f t="shared" si="162"/>
        <v>5.2400000000000064</v>
      </c>
      <c r="BA197" s="108" t="b">
        <f>AND(模拟模式!$Q$10="有",AZ196=0)</f>
        <v>0</v>
      </c>
      <c r="BB197" s="140">
        <f>IF(BA197,(0+G197*0.287)*(1+J197)*(1-S197)*(1+$I$4)*IF(P197="会",'模拟-全程加成'!$J$3+'模拟-全程加成'!$J$4+'模拟-全程加成'!$J$5+('模拟-全程加成'!$I$4+'模拟-全程加成'!$I$5)/系数!$B$4+BG197*10%,IF(P197="命",1,IF(P197="识",0.25,0))),0)</f>
        <v>0</v>
      </c>
      <c r="BC197" s="115" t="b">
        <f ca="1">AND(模拟模式!$R$7="伏明众生",E197=60,F197=20,DA197&lt;5,CZ196&lt;$F$4)</f>
        <v>0</v>
      </c>
      <c r="BD197" s="115">
        <f t="shared" ca="1" si="180"/>
        <v>0</v>
      </c>
      <c r="BE197" s="115" t="b">
        <f t="shared" ca="1" si="181"/>
        <v>0</v>
      </c>
      <c r="BF197" s="47">
        <f ca="1">IF(BC197,4*('模拟-单技能数据'!$D$24+G197*'模拟-单技能数据'!$F$24)*(1+J197)*(1+'模拟-单技能数据'!$J$24)*(1-S197)*(1+$I$3)*(('模拟-全程加成'!$J$3+'模拟-全程加成'!$J$4+'模拟-全程加成'!$J$5+('模拟-全程加成'!$I$4+'模拟-全程加成'!$I$5)/系数!$B$4+BG197*10%)*('模拟-全程加成'!$J$3+'模拟-全程加成'!$J$4+'模拟-全程加成'!$J$5+('模拟-全程加成'!$I$4+'模拟-全程加成'!$I$5)/系数!$B$4+BG197*10%)+(1-('模拟-全程加成'!$J$3+'模拟-全程加成'!$J$4+'模拟-全程加成'!$J$5+('模拟-全程加成'!$I$4+'模拟-全程加成'!$I$5)/系数!$B$4+BG197*10%)-$F$10-$F$11)+F183*0.25),0)*'模拟-单技能数据'!$I$24</f>
        <v>0</v>
      </c>
      <c r="BG197" s="115" t="b">
        <f ca="1">OR(AND(OR(C197="烈日斩",C197="银月斩"),模拟模式!$I$7="净身明礼"),AND(C197="净世破魔击·日",模拟模式!$J$7="洞若观火"),AND(C198="净世破魔击·月",模拟模式!$J$7="洞若观火"),AB197=1)</f>
        <v>1</v>
      </c>
      <c r="BH197" s="115" t="b">
        <f t="shared" ca="1" si="163"/>
        <v>0</v>
      </c>
      <c r="BI197" s="115">
        <f t="shared" ca="1" si="182"/>
        <v>0</v>
      </c>
      <c r="BJ197" s="115" t="b">
        <f t="shared" ca="1" si="193"/>
        <v>0</v>
      </c>
      <c r="BK197" s="115" t="b">
        <f ca="1">AND(C197="驱夜断愁",模拟模式!$P$7="天地诛戮")</f>
        <v>0</v>
      </c>
      <c r="BL197" s="57">
        <f t="shared" ca="1" si="183"/>
        <v>14.465000000000003</v>
      </c>
      <c r="BM197" s="115" t="b">
        <f t="shared" ca="1" si="194"/>
        <v>1</v>
      </c>
      <c r="BN197" s="115" t="b">
        <f ca="1">AND(OR(C197="赤日轮1",C197="赤日轮2",C197="赤日轮3",C197="幽月轮1",C197="幽月轮2",C197="幽月轮3"),AB197=1,模拟模式!$L$7="明光恒照")</f>
        <v>0</v>
      </c>
      <c r="BO197" s="117">
        <f t="shared" ca="1" si="184"/>
        <v>29.077500000000001</v>
      </c>
      <c r="BP197" s="115">
        <f t="shared" ca="1" si="164"/>
        <v>6</v>
      </c>
      <c r="BQ197" s="115" t="b">
        <f>模拟模式!$K$10="2600·水"</f>
        <v>0</v>
      </c>
      <c r="BR197" s="117">
        <f t="shared" si="165"/>
        <v>0</v>
      </c>
      <c r="BS197" s="115">
        <f t="shared" si="166"/>
        <v>0</v>
      </c>
      <c r="BT197" s="115">
        <f t="shared" ca="1" si="167"/>
        <v>0</v>
      </c>
      <c r="BU197" s="115" t="b">
        <f ca="1">AND(模拟模式!$K$10="2300·雷",BT196=0,RAND()&lt;IF(C197="净世破魔击·月",5*0.05*2/3,IF(C197="净世破魔击·日",3*0.05*2/3,0.05*2*2/3)))</f>
        <v>0</v>
      </c>
      <c r="BV197" s="115">
        <f t="shared" ca="1" si="168"/>
        <v>0</v>
      </c>
      <c r="BW197" s="115">
        <f t="shared" ca="1" si="169"/>
        <v>28.709999999999297</v>
      </c>
      <c r="BX197" s="164" t="b">
        <f t="shared" ca="1" si="170"/>
        <v>0</v>
      </c>
      <c r="BY197" s="115">
        <f t="shared" ca="1" si="171"/>
        <v>0</v>
      </c>
      <c r="BZ197" s="115">
        <f>IF(OR(模拟模式!$P$16="10人团",模拟模式!$P$16="25人团"),IF(B197/30&gt;CA196,1,0),0)</f>
        <v>0</v>
      </c>
      <c r="CA197" s="115">
        <f t="shared" si="147"/>
        <v>0</v>
      </c>
      <c r="CB197" s="115">
        <f ca="1">IF(BZ197=1,IF(模拟模式!$P$16="10人团",15,0)+IF(模拟模式!$P$16="25人团",IF(RAND()&lt;0.6,15,0)),MAX(0,CB196-$F$4))</f>
        <v>0</v>
      </c>
      <c r="CC197" s="115" t="b">
        <f t="shared" ca="1" si="195"/>
        <v>0</v>
      </c>
      <c r="CD197" s="115">
        <f>IF(模拟模式!$Q$16="1个",IF(B197/40&gt;CE196,1,0),0)</f>
        <v>0</v>
      </c>
      <c r="CE197" s="115">
        <f t="shared" si="196"/>
        <v>0</v>
      </c>
      <c r="CF197" s="115">
        <f>IF(OR(CD197=1,模拟模式!$Q$16="2个"),20,MAX(0,CF196-$F$4))</f>
        <v>0</v>
      </c>
      <c r="CG197" s="115" t="b">
        <f t="shared" si="197"/>
        <v>0</v>
      </c>
      <c r="CH197" s="115">
        <f t="shared" ca="1" si="172"/>
        <v>7.8600000000000128</v>
      </c>
      <c r="CI197" s="115" t="b">
        <f t="shared" ca="1" si="173"/>
        <v>0</v>
      </c>
      <c r="CJ197" s="119">
        <f t="shared" ca="1" si="174"/>
        <v>0</v>
      </c>
      <c r="CK197" s="115">
        <f t="shared" ca="1" si="175"/>
        <v>0</v>
      </c>
      <c r="CL197" s="115" t="b">
        <f ca="1">AND(模拟模式!$S$7="驱夷逐法",OR(AND(C197="净世破魔击·月",E196&gt;59),AND(C197="净世破魔击·日",F196&gt;59)))</f>
        <v>0</v>
      </c>
      <c r="CM197" s="115" t="b">
        <f ca="1">OR(CL197,AND(C197="净世破魔击·日",CL196,RAND()&lt;模拟模式!$U$23))</f>
        <v>0</v>
      </c>
      <c r="CN197" s="115" t="b">
        <f ca="1">IF(模拟模式!$M$7="辉耀红尘",AND(C197="净世破魔击·月",CL197,CV197=0,E196&lt;80),AND(C197="净世破魔击·月",CL197,E196&lt;100))</f>
        <v>0</v>
      </c>
      <c r="CO197" s="115" t="b">
        <f t="shared" ca="1" si="148"/>
        <v>0</v>
      </c>
      <c r="CP197" s="115" t="b">
        <f ca="1">AND(模拟模式!$O$7="用晦而明",OR(C197="净世破魔击·日",C197="净世破魔击·月",C197="驱夜断愁"),AB197)</f>
        <v>0</v>
      </c>
      <c r="CQ197" s="115" t="b">
        <f ca="1">OR(CP197,AND(CP196,RAND()&lt;模拟模式!$U$23))</f>
        <v>0</v>
      </c>
      <c r="CR197" s="115" t="b">
        <f ca="1">AND(模拟模式!$S$7="日月齐光",OR(C197="幽月轮1",C197="幽月轮2",C197="幽月轮3",CR196),NOT(OR(C197="赤日轮1",C197="赤日轮2",C197="赤日轮3")))</f>
        <v>0</v>
      </c>
      <c r="CS197" s="115" t="b">
        <f ca="1">AND(模拟模式!$S$7="日月齐光",OR(C197="赤日轮1",C197="赤日轮2",C197="赤日轮3",CS196),NOT(OR(C197="幽月轮1",C197="幽月轮2",C197="幽月轮3")))</f>
        <v>0</v>
      </c>
      <c r="CT197" s="115">
        <f t="shared" ca="1" si="176"/>
        <v>10.627500000000012</v>
      </c>
      <c r="CU197" s="115" t="b">
        <f ca="1">AND(模拟模式!$K$10="阴阳往极",CT196=0,RAND()&lt;IF(C197="净世破魔击·月",0.0275*7/3,IF(C197="净世破魔击·日",0.0275*3/3,0.0275*2/3)))</f>
        <v>0</v>
      </c>
      <c r="CV197" s="115">
        <f t="shared" ca="1" si="177"/>
        <v>0</v>
      </c>
      <c r="CW197" s="115">
        <f t="shared" ca="1" si="149"/>
        <v>1.3874999999999997</v>
      </c>
      <c r="CX197" s="115">
        <f t="shared" ca="1" si="150"/>
        <v>6</v>
      </c>
      <c r="CY197" s="115">
        <f ca="1">MAX(IF($C197="驱夜断愁",IF(模拟模式!$R$7="万念俱寂",6,45),CY196-$F$4),0)</f>
        <v>0.46499999999999975</v>
      </c>
      <c r="CZ197" s="115">
        <f t="shared" ca="1" si="151"/>
        <v>0</v>
      </c>
      <c r="DA197" s="115">
        <f ca="1">IF(模拟模式!$N$7="日月同辉",IF(DB196=2,0,MIN(6,IF(AND(OR(C197="赤日轮1",C197="赤日轮2",C197="赤日轮3",C197="幽月轮1",C197="幽月轮2",C197="幽月轮3"),AB197=1),DA196+1,DA196))),0)</f>
        <v>0</v>
      </c>
      <c r="DB197" s="115">
        <f t="shared" ca="1" si="152"/>
        <v>2</v>
      </c>
      <c r="DC197" s="115"/>
      <c r="DD197" s="115"/>
      <c r="DE197" s="115"/>
      <c r="DF197" s="115"/>
      <c r="DG197" s="115"/>
      <c r="DH197" s="115"/>
      <c r="DI197" s="115"/>
      <c r="DJ197" s="115"/>
      <c r="DK197" s="115"/>
      <c r="DL197" s="115"/>
      <c r="DM197" s="115"/>
    </row>
    <row r="198" spans="2:117" x14ac:dyDescent="0.2">
      <c r="B198" s="117">
        <f t="shared" si="153"/>
        <v>157.74750000000037</v>
      </c>
      <c r="C198" s="167" t="str">
        <f t="shared" ca="1" si="146"/>
        <v>驱夜断愁</v>
      </c>
      <c r="D198" s="115">
        <f ca="1">IF(C198="赤日轮1",1,IF(C198="赤日轮2",2,IF(C198="赤日轮3",3,IF(C198="幽月轮1",4,IF(C198="幽月轮2",5,IF(C198="幽月轮3",6,IF(C198="烈日斩",7,IF(C198="银月斩",8,IF(C198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198="净世破魔击·月",17,IF(C198="驱夜断愁",18,0)))))))))))</f>
        <v>18</v>
      </c>
      <c r="E198" s="115">
        <f ca="1">IF(AND(CU198,OR(C198="幽月轮1",C198="幽月轮2",C198="幽月轮3",C198="银月斩",C198="驱夜断愁",C198="净世破魔击·月")),100,MIN(IF(OR(CN198,BE198),0,IF(OR($C198="赤日轮1",$C198="赤日轮2",$C198="赤日轮3"),E197+20+IF(模拟模式!$I$7="日月凌天",4,0)+IF(CR197,20,0),IF($C198="烈日斩",E197+40,IF($C198="驱夜断愁",IF(模拟模式!$R$7="万念俱寂",E197+20,E197+60),IF($C198="净世破魔击·月",IF(OR(DB197&gt;0,CV197&gt;0),100,IF(模拟模式!$M$7="辉耀红尘",E197+20,E197)),IF($C198="净世破魔击·日",E197-100,E197)))))),100))</f>
        <v>40</v>
      </c>
      <c r="F198" s="115">
        <f ca="1">IF(AND(CU198,OR(C198="赤日轮1",C198="赤日轮2",C198="赤日轮3",C198="烈日斩",C198="净世破魔击·日")),100,MIN(IF(CO198,0,IF(OR($C198="幽月轮1",$C198="幽月轮2",$C198="幽月轮3"),F197+20+IF(模拟模式!$I$7="日月凌天",4,0)+IF(CS197,20,0),IF($C198="银月斩",F197+40+IF(模拟模式!$X$12=1,5,0),IF($C198="驱夜断愁",IF(模拟模式!$R$7="万念俱寂",F197+20,F197+60),IF($C198="净世破魔击·月",IF(模拟模式!$M$7="辉耀红尘",F197-80,F197-100),IF(AND(C198="净世破魔击·日",OR(DB197&gt;0,CV197&gt;0)),100,F197)))))),100))</f>
        <v>85</v>
      </c>
      <c r="G198" s="117">
        <f ca="1">('模拟-全程加成'!$E$3+'模拟-全程加成'!$E$4+'模拟-全程加成'!$E$5+('模拟-全程加成'!$C$6-'模拟-全程加成'!$C$3)*系数!$B$9+BS198*23)*(1+'模拟-全程加成'!$F$4+'模拟-全程加成'!$F$5+BJ198*10%+BM198*20%+BP198*4%+CG198*30%)+$F$7*系数!$B$12</f>
        <v>20583.127400000001</v>
      </c>
      <c r="H198" s="45">
        <f ca="1">'模拟-全程加成'!$H$3+'模拟-全程加成'!$H$4+'模拟-全程加成'!$H$5+('模拟-全程加成'!$G$4+'模拟-全程加成'!$G$5+('模拟-全程加成'!$C$6-'模拟-全程加成'!$C$3)*系数!$B$13)/系数!$B$3+LOOKUP(D198,'模拟-单技能数据'!$A$2:$A$19,'模拟-单技能数据'!$K$2:$K$19)+BG198*10%+IF(BV198&gt;0,378,0)</f>
        <v>0.51185145527300213</v>
      </c>
      <c r="I198" s="45">
        <f ca="1">'模拟-全程加成'!$J$3+'模拟-全程加成'!$J$4+'模拟-全程加成'!$J$5+('模拟-全程加成'!$I$4+'模拟-全程加成'!$I$5)/系数!$B$4+LOOKUP(D198,'模拟-单技能数据'!$A$2:$A$19,'模拟-单技能数据'!$L$2:$L$19)+BG198*10%</f>
        <v>2.162482885499879</v>
      </c>
      <c r="J198" s="45">
        <f ca="1">(('模拟-全程加成'!$K$3+'模拟-全程加成'!$K$4+'模拟-全程加成'!$K$5+('模拟-全程加成'!$C$6-'模拟-全程加成'!$C$3)*系数!$B$10+IF(BV198&gt;0,882,0)+IF(BY198&gt;0,1831,0))*(1+'模拟-全程加成'!$L$4+'模拟-全程加成'!$L$5+CC198*20%))/系数!$B$5</f>
        <v>0.69723220422048726</v>
      </c>
      <c r="K198" s="119">
        <f ca="1">LOOKUP(D198,'模拟-单技能数据'!$A$2:$A$19,'模拟-单技能数据'!$J$2:$J$19)+IF(CM198,60%,0)+IF(DB197-DB198&gt;0,30%,0)+IF(OR(AND(OR(C198="赤日轮1",C198="赤日轮2",C198="赤日轮3"),CR198),AND(OR(C198="幽月轮1",C198="幽月轮2",C198="幽月轮3"),CS198)),35%,0)+CJ198</f>
        <v>0.14000000000000001</v>
      </c>
      <c r="L198" s="119">
        <f ca="1">IF(AND(C198="烈日斩",模拟模式!$X$11=1),10%,0)+IF(AND(C198="驱夜断愁",AB198=1),30%,0)</f>
        <v>0.3</v>
      </c>
      <c r="M198" s="45">
        <f t="shared" ca="1" si="185"/>
        <v>0.51185145527300213</v>
      </c>
      <c r="N198" s="45">
        <f t="shared" ca="1" si="186"/>
        <v>0.43424854472699792</v>
      </c>
      <c r="O198" s="46">
        <f t="shared" ca="1" si="154"/>
        <v>0.36632629017540586</v>
      </c>
      <c r="P198" s="46" t="str">
        <f t="shared" ca="1" si="155"/>
        <v>会</v>
      </c>
      <c r="Q198" s="45">
        <f t="shared" ca="1" si="156"/>
        <v>2.162482885499879</v>
      </c>
      <c r="R198" s="117">
        <f ca="1">模拟模式!$E$20*(1-IF(模拟模式!$J$19="有",0.15,0))*(1-IF(模拟模式!$K$19="有",0.3,0)-IF(CQ198,0.5,0))</f>
        <v>843.02999999999975</v>
      </c>
      <c r="S198" s="45">
        <f ca="1">R198/(R198+(185*模拟模式!$E$22-16800)*4.08224)</f>
        <v>8.389626085980037E-2</v>
      </c>
      <c r="T198" s="45" t="str">
        <f ca="1">LOOKUP(D198,'模拟-单技能数据'!$A$2:$A$19,'模拟-单技能数据'!$H$2:$H$19)</f>
        <v>阴</v>
      </c>
      <c r="U198" s="119">
        <f t="shared" ca="1" si="187"/>
        <v>0.08</v>
      </c>
      <c r="V198" s="47">
        <f ca="1">(1+L198)*(LOOKUP(D198,'模拟-单技能数据'!$A$2:$A$19,'模拟-单技能数据'!$D$2:$D$19)+G198*LOOKUP(D198,'模拟-单技能数据'!$A$2:$A$19,'模拟-单技能数据'!$F$2:$F$19))*(1+J198)*(1+K198)*(1-S198)*(1+U198)*Q198*LOOKUP(D198,'模拟-单技能数据'!$A$2:$A$19,'模拟-单技能数据'!$I$2:$I$20)</f>
        <v>127463.41908070058</v>
      </c>
      <c r="W198" s="47">
        <f ca="1">LOOKUP(D198,'模拟-单技能数据'!$A$2:$A$19,'模拟-单技能数据'!$G$2:$G$19)*$I$10</f>
        <v>723.0212870940959</v>
      </c>
      <c r="X198" s="47">
        <f t="shared" ca="1" si="157"/>
        <v>0</v>
      </c>
      <c r="Y198" s="47">
        <f t="shared" ca="1" si="188"/>
        <v>128186.44036779468</v>
      </c>
      <c r="Z198" s="49">
        <f t="shared" ca="1" si="189"/>
        <v>17849027.875512898</v>
      </c>
      <c r="AA198" s="97">
        <f t="shared" ca="1" si="190"/>
        <v>113149.35498510503</v>
      </c>
      <c r="AB198" s="115">
        <f ca="1">IF(OR(C198="赤日轮1",C198="赤日轮2",C198="赤日轮3"),IF(RAND()&lt;模拟模式!$Y$17,1,0),IF(OR(C198="幽月轮1",C198="幽月轮2",C198="幽月轮3"),IF(RAND()&lt;模拟模式!$Y$18,1,0),IF(C198="烈日斩",IF(RAND()&lt;模拟模式!$Y$19,1,0),IF(C198="银月斩",IF(RAND()&lt;模拟模式!$Y$20,1,0),IF(C198="驱夜断愁",IF(RAND()&lt;模拟模式!$Y$21,1,0),IF(C198="净世破魔击·日",IF(RAND()&lt;模拟模式!$Y$22,1,0),IF(C198="净世破魔击·月",IF(RAND()&lt;模拟模式!$Y$23,1,0),0)))))))</f>
        <v>1</v>
      </c>
      <c r="AC198" s="115" t="b">
        <f t="shared" ca="1" si="178"/>
        <v>0</v>
      </c>
      <c r="AD198" s="115" t="b">
        <f t="shared" ca="1" si="198"/>
        <v>0</v>
      </c>
      <c r="AE198" s="115">
        <f t="shared" ca="1" si="199"/>
        <v>5</v>
      </c>
      <c r="AF198" s="47">
        <f ca="1">IF(AC198,('模拟-单技能数据'!$D$20+G198*'模拟-单技能数据'!$F$20)*(1+J198)*(1+'模拟-单技能数据'!$J$20)*(1+U198),0)</f>
        <v>0</v>
      </c>
      <c r="AG198" s="61">
        <f t="shared" ca="1" si="191"/>
        <v>0.64185145527300214</v>
      </c>
      <c r="AH198" s="61">
        <f t="shared" ca="1" si="192"/>
        <v>2.2624828854998791</v>
      </c>
      <c r="AI198" s="62">
        <f t="shared" ca="1" si="158"/>
        <v>0.92417556690732017</v>
      </c>
      <c r="AJ198" s="47">
        <f ca="1">IF(AD198,IF(AI198&lt;$F$10,0,IF(AI198&lt;$F$10+$F$11,0.25,IF(AI198&lt;$F$10+$F$11+AG198,AH198,1)))*IF(AF198&gt;0,AF198,IF(AF197&gt;0,AF197,IF(AF196&gt;0,AF196,IF(AF195&gt;0,AF195,IF(AF194&gt;0,AF194,IF(AF193&gt;0,AF193,IF(AF192&gt;0,AF192,IF(AF191&gt;0,AF191,IF(AF190&gt;0,AF190,IF(AF188&gt;0,AF188,IF(AF187&gt;0,AF187,IF(AF186&gt;0,AF186,0)))))))))))),0)*(1-$S198)*'模拟-单技能数据'!$I$20</f>
        <v>0</v>
      </c>
      <c r="AK198" s="115" t="b">
        <f t="shared" ca="1" si="179"/>
        <v>0</v>
      </c>
      <c r="AL198" s="115" t="b">
        <f t="shared" ca="1" si="200"/>
        <v>0</v>
      </c>
      <c r="AM198" s="115">
        <f t="shared" ca="1" si="201"/>
        <v>4</v>
      </c>
      <c r="AN198" s="47">
        <f ca="1">IF(AK198,('模拟-单技能数据'!$D$21+G198*'模拟-单技能数据'!$F$21)*(1+J198)*(1+'模拟-单技能数据'!$J$21)*(1+U198),0)</f>
        <v>0</v>
      </c>
      <c r="AO198" s="61">
        <f ca="1">IF(AN198&gt;0,M198-'模拟-单技能数据'!$K$10,AO197)</f>
        <v>0.42185145527300216</v>
      </c>
      <c r="AP198" s="61">
        <f ca="1">IF(AN198&gt;0,I198-'模拟-单技能数据'!$L$10,AP197)</f>
        <v>2.162482885499879</v>
      </c>
      <c r="AQ198" s="63">
        <f t="shared" ca="1" si="159"/>
        <v>0.23398869697714098</v>
      </c>
      <c r="AR198" s="64">
        <f ca="1">IF(AL198,IF(AQ198&lt;$F$10,0,IF(AQ198&lt;$F$10+$F$11,0.25,IF(AQ198&lt;$F$10+$F$11+AO198,AP198,1)))*IF(AN198&gt;0,AN198,IF(AN197&gt;0,AN197,IF(AN196&gt;0,AN196,IF(AN195&gt;0,AN195,IF(AN194&gt;0,AN194,IF(AN193&gt;0,AN193,IF(AN192&gt;0,AN192,IF(AN191&gt;0,AN191,IF(AN190&gt;0,AN190,IF(AN188&gt;0,AN188,IF(AN187&gt;0,AN187,IF(AN186&gt;0,AN186,0)))))))))))),0)*(1-$S198)*'模拟-单技能数据'!$I$21</f>
        <v>0</v>
      </c>
      <c r="AS198" s="61">
        <f ca="1">IF(OR(C198="净世破魔击·日",C198="净世破魔击·月"),M198-'模拟-单技能数据'!$K$10,0)</f>
        <v>0</v>
      </c>
      <c r="AT198" s="61">
        <f ca="1">IF(OR(C198="净世破魔击·日",C198="净世破魔击·月"),I198-'模拟-单技能数据'!$L$10,0)</f>
        <v>0</v>
      </c>
      <c r="AU198" s="62">
        <f t="shared" ca="1" si="160"/>
        <v>2.9222986022369835E-2</v>
      </c>
      <c r="AV198" s="64">
        <f ca="1">IF(AS198&gt;0,('模拟-单技能数据'!$D$22+G198*'模拟-单技能数据'!$F$22)*(1+J198)*(1-S198)*IF(AU198&lt;$F$10,0,IF(AU198&lt;$F$10+$F$11,0.25,IF(AU198&lt;$F$10+$F$11+AS198,AT198,1)))*(1+U198),0)*'模拟-单技能数据'!$I$22</f>
        <v>0</v>
      </c>
      <c r="AW198" s="108">
        <f t="shared" ca="1" si="161"/>
        <v>14.465000000000003</v>
      </c>
      <c r="AX198" s="108" t="b">
        <f ca="1">AND(模拟模式!$P$10="有",AW197=0,RAND()&lt;IF(C198="净世破魔击·月",0.1*8/3,IF(C198="净世破魔击·日",0.1*4/3,0.1*2/3)))</f>
        <v>0</v>
      </c>
      <c r="AY198" s="47">
        <f ca="1">IF(AX198,(18+G198*0.722)*(1+J198)*(1-S198)*(1+$I$4)*IF(P198="会",'模拟-全程加成'!$J$3+'模拟-全程加成'!$J$4+'模拟-全程加成'!$J$5+('模拟-全程加成'!$I$4+'模拟-全程加成'!$I$5)/系数!$B$4+BG198*10%,IF(P198="命",1,IF(P198="识",0.25,0))),0)</f>
        <v>0</v>
      </c>
      <c r="AZ198" s="108">
        <f t="shared" si="162"/>
        <v>4.3175000000000061</v>
      </c>
      <c r="BA198" s="108" t="b">
        <f>AND(模拟模式!$Q$10="有",AZ197=0)</f>
        <v>0</v>
      </c>
      <c r="BB198" s="140">
        <f>IF(BA198,(0+G198*0.287)*(1+J198)*(1-S198)*(1+$I$4)*IF(P198="会",'模拟-全程加成'!$J$3+'模拟-全程加成'!$J$4+'模拟-全程加成'!$J$5+('模拟-全程加成'!$I$4+'模拟-全程加成'!$I$5)/系数!$B$4+BG198*10%,IF(P198="命",1,IF(P198="识",0.25,0))),0)</f>
        <v>0</v>
      </c>
      <c r="BC198" s="115" t="b">
        <f ca="1">AND(模拟模式!$R$7="伏明众生",E198=60,F198=20,DA198&lt;5,CZ197&lt;$F$4)</f>
        <v>0</v>
      </c>
      <c r="BD198" s="115">
        <f t="shared" ca="1" si="180"/>
        <v>0</v>
      </c>
      <c r="BE198" s="115" t="b">
        <f t="shared" ca="1" si="181"/>
        <v>0</v>
      </c>
      <c r="BF198" s="47">
        <f ca="1">IF(BC198,4*('模拟-单技能数据'!$D$24+G198*'模拟-单技能数据'!$F$24)*(1+J198)*(1+'模拟-单技能数据'!$J$24)*(1-S198)*(1+$I$3)*(('模拟-全程加成'!$J$3+'模拟-全程加成'!$J$4+'模拟-全程加成'!$J$5+('模拟-全程加成'!$I$4+'模拟-全程加成'!$I$5)/系数!$B$4+BG198*10%)*('模拟-全程加成'!$J$3+'模拟-全程加成'!$J$4+'模拟-全程加成'!$J$5+('模拟-全程加成'!$I$4+'模拟-全程加成'!$I$5)/系数!$B$4+BG198*10%)+(1-('模拟-全程加成'!$J$3+'模拟-全程加成'!$J$4+'模拟-全程加成'!$J$5+('模拟-全程加成'!$I$4+'模拟-全程加成'!$I$5)/系数!$B$4+BG198*10%)-$F$10-$F$11)+F184*0.25),0)*'模拟-单技能数据'!$I$24</f>
        <v>0</v>
      </c>
      <c r="BG198" s="115" t="b">
        <f ca="1">OR(AND(OR(C198="烈日斩",C198="银月斩"),模拟模式!$I$7="净身明礼"),AND(C198="净世破魔击·日",模拟模式!$J$7="洞若观火"),AND(C199="净世破魔击·月",模拟模式!$J$7="洞若观火"),AB198=1)</f>
        <v>1</v>
      </c>
      <c r="BH198" s="115" t="b">
        <f t="shared" ca="1" si="163"/>
        <v>0</v>
      </c>
      <c r="BI198" s="115">
        <f t="shared" ca="1" si="182"/>
        <v>0</v>
      </c>
      <c r="BJ198" s="115" t="b">
        <f t="shared" ca="1" si="193"/>
        <v>0</v>
      </c>
      <c r="BK198" s="115" t="b">
        <f ca="1">AND(C198="驱夜断愁",模拟模式!$P$7="天地诛戮")</f>
        <v>1</v>
      </c>
      <c r="BL198" s="57">
        <f t="shared" ca="1" si="183"/>
        <v>20</v>
      </c>
      <c r="BM198" s="115" t="b">
        <f t="shared" ca="1" si="194"/>
        <v>1</v>
      </c>
      <c r="BN198" s="115" t="b">
        <f ca="1">AND(OR(C198="赤日轮1",C198="赤日轮2",C198="赤日轮3",C198="幽月轮1",C198="幽月轮2",C198="幽月轮3"),AB198=1,模拟模式!$L$7="明光恒照")</f>
        <v>0</v>
      </c>
      <c r="BO198" s="117">
        <f t="shared" ca="1" si="184"/>
        <v>28.155000000000001</v>
      </c>
      <c r="BP198" s="115">
        <f t="shared" ca="1" si="164"/>
        <v>6</v>
      </c>
      <c r="BQ198" s="115" t="b">
        <f>模拟模式!$K$10="2600·水"</f>
        <v>0</v>
      </c>
      <c r="BR198" s="117">
        <f t="shared" si="165"/>
        <v>0</v>
      </c>
      <c r="BS198" s="115">
        <f t="shared" si="166"/>
        <v>0</v>
      </c>
      <c r="BT198" s="115">
        <f t="shared" ca="1" si="167"/>
        <v>0</v>
      </c>
      <c r="BU198" s="115" t="b">
        <f ca="1">AND(模拟模式!$K$10="2300·雷",BT197=0,RAND()&lt;IF(C198="净世破魔击·月",5*0.05*2/3,IF(C198="净世破魔击·日",3*0.05*2/3,0.05*2*2/3)))</f>
        <v>0</v>
      </c>
      <c r="BV198" s="115">
        <f t="shared" ca="1" si="168"/>
        <v>0</v>
      </c>
      <c r="BW198" s="115">
        <f t="shared" ca="1" si="169"/>
        <v>27.787499999999298</v>
      </c>
      <c r="BX198" s="164" t="b">
        <f t="shared" ca="1" si="170"/>
        <v>0</v>
      </c>
      <c r="BY198" s="115">
        <f t="shared" ca="1" si="171"/>
        <v>0</v>
      </c>
      <c r="BZ198" s="115">
        <f>IF(OR(模拟模式!$P$16="10人团",模拟模式!$P$16="25人团"),IF(B198/30&gt;CA197,1,0),0)</f>
        <v>0</v>
      </c>
      <c r="CA198" s="115">
        <f t="shared" si="147"/>
        <v>0</v>
      </c>
      <c r="CB198" s="115">
        <f ca="1">IF(BZ198=1,IF(模拟模式!$P$16="10人团",15,0)+IF(模拟模式!$P$16="25人团",IF(RAND()&lt;0.6,15,0)),MAX(0,CB197-$F$4))</f>
        <v>0</v>
      </c>
      <c r="CC198" s="115" t="b">
        <f t="shared" ca="1" si="195"/>
        <v>0</v>
      </c>
      <c r="CD198" s="115">
        <f>IF(模拟模式!$Q$16="1个",IF(B198/40&gt;CE197,1,0),0)</f>
        <v>0</v>
      </c>
      <c r="CE198" s="115">
        <f t="shared" si="196"/>
        <v>0</v>
      </c>
      <c r="CF198" s="115">
        <f>IF(OR(CD198=1,模拟模式!$Q$16="2个"),20,MAX(0,CF197-$F$4))</f>
        <v>0</v>
      </c>
      <c r="CG198" s="115" t="b">
        <f t="shared" si="197"/>
        <v>0</v>
      </c>
      <c r="CH198" s="115">
        <f t="shared" ca="1" si="172"/>
        <v>6.9375000000000124</v>
      </c>
      <c r="CI198" s="115" t="b">
        <f t="shared" ca="1" si="173"/>
        <v>0</v>
      </c>
      <c r="CJ198" s="119">
        <f t="shared" ca="1" si="174"/>
        <v>0</v>
      </c>
      <c r="CK198" s="115">
        <f t="shared" ca="1" si="175"/>
        <v>0</v>
      </c>
      <c r="CL198" s="115" t="b">
        <f ca="1">AND(模拟模式!$S$7="驱夷逐法",OR(AND(C198="净世破魔击·月",E197&gt;59),AND(C198="净世破魔击·日",F197&gt;59)))</f>
        <v>0</v>
      </c>
      <c r="CM198" s="115" t="b">
        <f ca="1">OR(CL198,AND(C198="净世破魔击·日",CL197,RAND()&lt;模拟模式!$U$23))</f>
        <v>0</v>
      </c>
      <c r="CN198" s="115" t="b">
        <f ca="1">IF(模拟模式!$M$7="辉耀红尘",AND(C198="净世破魔击·月",CL198,CV198=0,E197&lt;80),AND(C198="净世破魔击·月",CL198,E197&lt;100))</f>
        <v>0</v>
      </c>
      <c r="CO198" s="115" t="b">
        <f t="shared" ca="1" si="148"/>
        <v>0</v>
      </c>
      <c r="CP198" s="115" t="b">
        <f ca="1">AND(模拟模式!$O$7="用晦而明",OR(C198="净世破魔击·日",C198="净世破魔击·月",C198="驱夜断愁"),AB198)</f>
        <v>1</v>
      </c>
      <c r="CQ198" s="115" t="b">
        <f ca="1">OR(CP198,AND(CP197,RAND()&lt;模拟模式!$U$23))</f>
        <v>1</v>
      </c>
      <c r="CR198" s="115" t="b">
        <f ca="1">AND(模拟模式!$S$7="日月齐光",OR(C198="幽月轮1",C198="幽月轮2",C198="幽月轮3",CR197),NOT(OR(C198="赤日轮1",C198="赤日轮2",C198="赤日轮3")))</f>
        <v>0</v>
      </c>
      <c r="CS198" s="115" t="b">
        <f ca="1">AND(模拟模式!$S$7="日月齐光",OR(C198="赤日轮1",C198="赤日轮2",C198="赤日轮3",CS197),NOT(OR(C198="幽月轮1",C198="幽月轮2",C198="幽月轮3")))</f>
        <v>0</v>
      </c>
      <c r="CT198" s="115">
        <f t="shared" ca="1" si="176"/>
        <v>9.7050000000000125</v>
      </c>
      <c r="CU198" s="115" t="b">
        <f ca="1">AND(模拟模式!$K$10="阴阳往极",CT197=0,RAND()&lt;IF(C198="净世破魔击·月",0.0275*7/3,IF(C198="净世破魔击·日",0.0275*3/3,0.0275*2/3)))</f>
        <v>0</v>
      </c>
      <c r="CV198" s="115">
        <f t="shared" ca="1" si="177"/>
        <v>0</v>
      </c>
      <c r="CW198" s="115">
        <f t="shared" ca="1" si="149"/>
        <v>0.46499999999999975</v>
      </c>
      <c r="CX198" s="115">
        <f t="shared" ca="1" si="150"/>
        <v>5.0774999999999997</v>
      </c>
      <c r="CY198" s="115">
        <f ca="1">MAX(IF($C198="驱夜断愁",IF(模拟模式!$R$7="万念俱寂",6,45),CY197-$F$4),0)</f>
        <v>6</v>
      </c>
      <c r="CZ198" s="115">
        <f t="shared" ca="1" si="151"/>
        <v>0</v>
      </c>
      <c r="DA198" s="115">
        <f ca="1">IF(模拟模式!$N$7="日月同辉",IF(DB197=2,0,MIN(6,IF(AND(OR(C198="赤日轮1",C198="赤日轮2",C198="赤日轮3",C198="幽月轮1",C198="幽月轮2",C198="幽月轮3"),AB198=1),DA197+1,DA197))),0)</f>
        <v>0</v>
      </c>
      <c r="DB198" s="115">
        <f t="shared" ca="1" si="152"/>
        <v>2</v>
      </c>
      <c r="DC198" s="115"/>
      <c r="DD198" s="115"/>
      <c r="DE198" s="115"/>
      <c r="DF198" s="115"/>
      <c r="DG198" s="115"/>
      <c r="DH198" s="115"/>
      <c r="DI198" s="115"/>
      <c r="DJ198" s="115"/>
      <c r="DK198" s="115"/>
      <c r="DL198" s="115"/>
      <c r="DM198" s="115"/>
    </row>
    <row r="199" spans="2:117" x14ac:dyDescent="0.2">
      <c r="B199" s="117">
        <f t="shared" si="153"/>
        <v>158.67000000000039</v>
      </c>
      <c r="C199" s="167" t="str">
        <f t="shared" ca="1" si="146"/>
        <v>烈日斩</v>
      </c>
      <c r="D199" s="115">
        <f ca="1">IF(C199="赤日轮1",1,IF(C199="赤日轮2",2,IF(C199="赤日轮3",3,IF(C199="幽月轮1",4,IF(C199="幽月轮2",5,IF(C199="幽月轮3",6,IF(C199="烈日斩",7,IF(C199="银月斩",8,IF(C199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199="净世破魔击·月",17,IF(C199="驱夜断愁",18,0)))))))))))</f>
        <v>7</v>
      </c>
      <c r="E199" s="115">
        <f ca="1">IF(AND(CU199,OR(C199="幽月轮1",C199="幽月轮2",C199="幽月轮3",C199="银月斩",C199="驱夜断愁",C199="净世破魔击·月")),100,MIN(IF(OR(CN199,BE199),0,IF(OR($C199="赤日轮1",$C199="赤日轮2",$C199="赤日轮3"),E198+20+IF(模拟模式!$I$7="日月凌天",4,0)+IF(CR198,20,0),IF($C199="烈日斩",E198+40,IF($C199="驱夜断愁",IF(模拟模式!$R$7="万念俱寂",E198+20,E198+60),IF($C199="净世破魔击·月",IF(OR(DB198&gt;0,CV198&gt;0),100,IF(模拟模式!$M$7="辉耀红尘",E198+20,E198)),IF($C199="净世破魔击·日",E198-100,E198)))))),100))</f>
        <v>80</v>
      </c>
      <c r="F199" s="115">
        <f ca="1">IF(AND(CU199,OR(C199="赤日轮1",C199="赤日轮2",C199="赤日轮3",C199="烈日斩",C199="净世破魔击·日")),100,MIN(IF(CO199,0,IF(OR($C199="幽月轮1",$C199="幽月轮2",$C199="幽月轮3"),F198+20+IF(模拟模式!$I$7="日月凌天",4,0)+IF(CS198,20,0),IF($C199="银月斩",F198+40+IF(模拟模式!$X$12=1,5,0),IF($C199="驱夜断愁",IF(模拟模式!$R$7="万念俱寂",F198+20,F198+60),IF($C199="净世破魔击·月",IF(模拟模式!$M$7="辉耀红尘",F198-80,F198-100),IF(AND(C199="净世破魔击·日",OR(DB198&gt;0,CV198&gt;0)),100,F198)))))),100))</f>
        <v>85</v>
      </c>
      <c r="G199" s="117">
        <f ca="1">('模拟-全程加成'!$E$3+'模拟-全程加成'!$E$4+'模拟-全程加成'!$E$5+('模拟-全程加成'!$C$6-'模拟-全程加成'!$C$3)*系数!$B$9+BS199*23)*(1+'模拟-全程加成'!$F$4+'模拟-全程加成'!$F$5+BJ199*10%+BM199*20%+BP199*4%+CG199*30%)+$F$7*系数!$B$12</f>
        <v>20583.127400000001</v>
      </c>
      <c r="H199" s="45">
        <f ca="1">'模拟-全程加成'!$H$3+'模拟-全程加成'!$H$4+'模拟-全程加成'!$H$5+('模拟-全程加成'!$G$4+'模拟-全程加成'!$G$5+('模拟-全程加成'!$C$6-'模拟-全程加成'!$C$3)*系数!$B$13)/系数!$B$3+LOOKUP(D199,'模拟-单技能数据'!$A$2:$A$19,'模拟-单技能数据'!$K$2:$K$19)+BG199*10%+IF(BV199&gt;0,378,0)</f>
        <v>0.56185145527300218</v>
      </c>
      <c r="I199" s="45">
        <f ca="1">'模拟-全程加成'!$J$3+'模拟-全程加成'!$J$4+'模拟-全程加成'!$J$5+('模拟-全程加成'!$I$4+'模拟-全程加成'!$I$5)/系数!$B$4+LOOKUP(D199,'模拟-单技能数据'!$A$2:$A$19,'模拟-单技能数据'!$L$2:$L$19)+BG199*10%</f>
        <v>2.2624828854998791</v>
      </c>
      <c r="J199" s="45">
        <f ca="1">(('模拟-全程加成'!$K$3+'模拟-全程加成'!$K$4+'模拟-全程加成'!$K$5+('模拟-全程加成'!$C$6-'模拟-全程加成'!$C$3)*系数!$B$10+IF(BV199&gt;0,882,0)+IF(BY199&gt;0,1831,0))*(1+'模拟-全程加成'!$L$4+'模拟-全程加成'!$L$5+CC199*20%))/系数!$B$5</f>
        <v>0.69723220422048726</v>
      </c>
      <c r="K199" s="119">
        <f ca="1">LOOKUP(D199,'模拟-单技能数据'!$A$2:$A$19,'模拟-单技能数据'!$J$2:$J$19)+IF(CM199,60%,0)+IF(DB198-DB199&gt;0,30%,0)+IF(OR(AND(OR(C199="赤日轮1",C199="赤日轮2",C199="赤日轮3"),CR199),AND(OR(C199="幽月轮1",C199="幽月轮2",C199="幽月轮3"),CS199)),35%,0)+CJ199</f>
        <v>0.24</v>
      </c>
      <c r="L199" s="119">
        <f ca="1">IF(AND(C199="烈日斩",模拟模式!$X$11=1),10%,0)+IF(AND(C199="驱夜断愁",AB199=1),30%,0)</f>
        <v>0.1</v>
      </c>
      <c r="M199" s="45">
        <f t="shared" ca="1" si="185"/>
        <v>0.56185145527300218</v>
      </c>
      <c r="N199" s="45">
        <f t="shared" ca="1" si="186"/>
        <v>0.38424854472699788</v>
      </c>
      <c r="O199" s="46">
        <f t="shared" ca="1" si="154"/>
        <v>0.49969330894397002</v>
      </c>
      <c r="P199" s="46" t="str">
        <f t="shared" ca="1" si="155"/>
        <v>会</v>
      </c>
      <c r="Q199" s="45">
        <f t="shared" ca="1" si="156"/>
        <v>2.2624828854998791</v>
      </c>
      <c r="R199" s="117">
        <f ca="1">模拟模式!$E$20*(1-IF(模拟模式!$J$19="有",0.15,0))*(1-IF(模拟模式!$K$19="有",0.3,0)-IF(CQ199,0.5,0))</f>
        <v>843.02999999999975</v>
      </c>
      <c r="S199" s="45">
        <f ca="1">R199/(R199+(185*模拟模式!$E$22-16800)*4.08224)</f>
        <v>8.389626085980037E-2</v>
      </c>
      <c r="T199" s="45" t="str">
        <f ca="1">LOOKUP(D199,'模拟-单技能数据'!$A$2:$A$19,'模拟-单技能数据'!$H$2:$H$19)</f>
        <v>阳</v>
      </c>
      <c r="U199" s="119">
        <f t="shared" ca="1" si="187"/>
        <v>0.2</v>
      </c>
      <c r="V199" s="47">
        <f ca="1">(1+L199)*(LOOKUP(D199,'模拟-单技能数据'!$A$2:$A$19,'模拟-单技能数据'!$D$2:$D$19)+G199*LOOKUP(D199,'模拟-单技能数据'!$A$2:$A$19,'模拟-单技能数据'!$F$2:$F$19))*(1+J199)*(1+K199)*(1-S199)*(1+U199)*Q199*LOOKUP(D199,'模拟-单技能数据'!$A$2:$A$19,'模拟-单技能数据'!$I$2:$I$20)</f>
        <v>105861.05199666526</v>
      </c>
      <c r="W199" s="47">
        <f ca="1">LOOKUP(D199,'模拟-单技能数据'!$A$2:$A$19,'模拟-单技能数据'!$G$2:$G$19)*$I$10</f>
        <v>361.51064354704795</v>
      </c>
      <c r="X199" s="47">
        <f t="shared" ca="1" si="157"/>
        <v>15682.589874576037</v>
      </c>
      <c r="Y199" s="47">
        <f t="shared" ca="1" si="188"/>
        <v>121905.15251478835</v>
      </c>
      <c r="Z199" s="49">
        <f t="shared" ca="1" si="189"/>
        <v>17970933.028027687</v>
      </c>
      <c r="AA199" s="97">
        <f t="shared" ca="1" si="190"/>
        <v>113259.80354211661</v>
      </c>
      <c r="AB199" s="115">
        <f ca="1">IF(OR(C199="赤日轮1",C199="赤日轮2",C199="赤日轮3"),IF(RAND()&lt;模拟模式!$Y$17,1,0),IF(OR(C199="幽月轮1",C199="幽月轮2",C199="幽月轮3"),IF(RAND()&lt;模拟模式!$Y$18,1,0),IF(C199="烈日斩",IF(RAND()&lt;模拟模式!$Y$19,1,0),IF(C199="银月斩",IF(RAND()&lt;模拟模式!$Y$20,1,0),IF(C199="驱夜断愁",IF(RAND()&lt;模拟模式!$Y$21,1,0),IF(C199="净世破魔击·日",IF(RAND()&lt;模拟模式!$Y$22,1,0),IF(C199="净世破魔击·月",IF(RAND()&lt;模拟模式!$Y$23,1,0),0)))))))</f>
        <v>1</v>
      </c>
      <c r="AC199" s="115" t="b">
        <f t="shared" ca="1" si="178"/>
        <v>0</v>
      </c>
      <c r="AD199" s="115" t="b">
        <f t="shared" ca="1" si="198"/>
        <v>1</v>
      </c>
      <c r="AE199" s="115">
        <f t="shared" ca="1" si="199"/>
        <v>4</v>
      </c>
      <c r="AF199" s="47">
        <f ca="1">IF(AC199,('模拟-单技能数据'!$D$20+G199*'模拟-单技能数据'!$F$20)*(1+J199)*(1+'模拟-单技能数据'!$J$20)*(1+U199),0)</f>
        <v>0</v>
      </c>
      <c r="AG199" s="61">
        <f t="shared" ca="1" si="191"/>
        <v>0.64185145527300214</v>
      </c>
      <c r="AH199" s="61">
        <f t="shared" ca="1" si="192"/>
        <v>2.2624828854998791</v>
      </c>
      <c r="AI199" s="62">
        <f t="shared" ca="1" si="158"/>
        <v>0.74447782042412669</v>
      </c>
      <c r="AJ199" s="47">
        <f ca="1">IF(AD199,IF(AI199&lt;$F$10,0,IF(AI199&lt;$F$10+$F$11,0.25,IF(AI199&lt;$F$10+$F$11+AG199,AH199,1)))*IF(AF199&gt;0,AF199,IF(AF198&gt;0,AF198,IF(AF197&gt;0,AF197,IF(AF196&gt;0,AF196,IF(AF195&gt;0,AF195,IF(AF194&gt;0,AF194,IF(AF193&gt;0,AF193,IF(AF192&gt;0,AF192,IF(AF191&gt;0,AF191,IF(AF189&gt;0,AF189,IF(AF188&gt;0,AF188,IF(AF187&gt;0,AF187,0)))))))))))),0)*(1-$S199)*'模拟-单技能数据'!$I$20</f>
        <v>4074.6980221198578</v>
      </c>
      <c r="AK199" s="115" t="b">
        <f t="shared" ca="1" si="179"/>
        <v>0</v>
      </c>
      <c r="AL199" s="115" t="b">
        <f t="shared" ca="1" si="200"/>
        <v>1</v>
      </c>
      <c r="AM199" s="115">
        <f t="shared" ca="1" si="201"/>
        <v>3</v>
      </c>
      <c r="AN199" s="47">
        <f ca="1">IF(AK199,('模拟-单技能数据'!$D$21+G199*'模拟-单技能数据'!$F$21)*(1+J199)*(1+'模拟-单技能数据'!$J$21)*(1+U199),0)</f>
        <v>0</v>
      </c>
      <c r="AO199" s="61">
        <f ca="1">IF(AN199&gt;0,M199-'模拟-单技能数据'!$K$10,AO198)</f>
        <v>0.42185145527300216</v>
      </c>
      <c r="AP199" s="61">
        <f ca="1">IF(AN199&gt;0,I199-'模拟-单技能数据'!$L$10,AP198)</f>
        <v>2.162482885499879</v>
      </c>
      <c r="AQ199" s="63">
        <f t="shared" ca="1" si="159"/>
        <v>0.55158397335604992</v>
      </c>
      <c r="AR199" s="64">
        <f ca="1">IF(AL199,IF(AQ199&lt;$F$10,0,IF(AQ199&lt;$F$10+$F$11,0.25,IF(AQ199&lt;$F$10+$F$11+AO199,AP199,1)))*IF(AN199&gt;0,AN199,IF(AN198&gt;0,AN198,IF(AN197&gt;0,AN197,IF(AN196&gt;0,AN196,IF(AN195&gt;0,AN195,IF(AN194&gt;0,AN194,IF(AN193&gt;0,AN193,IF(AN192&gt;0,AN192,IF(AN191&gt;0,AN191,IF(AN189&gt;0,AN189,IF(AN188&gt;0,AN188,IF(AN187&gt;0,AN187,0)))))))))))),0)*(1-$S199)*'模拟-单技能数据'!$I$21</f>
        <v>11607.89185245618</v>
      </c>
      <c r="AS199" s="61">
        <f ca="1">IF(OR(C199="净世破魔击·日",C199="净世破魔击·月"),M199-'模拟-单技能数据'!$K$10,0)</f>
        <v>0</v>
      </c>
      <c r="AT199" s="61">
        <f ca="1">IF(OR(C199="净世破魔击·日",C199="净世破魔击·月"),I199-'模拟-单技能数据'!$L$10,0)</f>
        <v>0</v>
      </c>
      <c r="AU199" s="62">
        <f t="shared" ca="1" si="160"/>
        <v>0.29822921083017861</v>
      </c>
      <c r="AV199" s="64">
        <f ca="1">IF(AS199&gt;0,('模拟-单技能数据'!$D$22+G199*'模拟-单技能数据'!$F$22)*(1+J199)*(1-S199)*IF(AU199&lt;$F$10,0,IF(AU199&lt;$F$10+$F$11,0.25,IF(AU199&lt;$F$10+$F$11+AS199,AT199,1)))*(1+U199),0)*'模拟-单技能数据'!$I$22</f>
        <v>0</v>
      </c>
      <c r="AW199" s="108">
        <f t="shared" ca="1" si="161"/>
        <v>13.542500000000004</v>
      </c>
      <c r="AX199" s="108" t="b">
        <f ca="1">AND(模拟模式!$P$10="有",AW198=0,RAND()&lt;IF(C199="净世破魔击·月",0.1*8/3,IF(C199="净世破魔击·日",0.1*4/3,0.1*2/3)))</f>
        <v>0</v>
      </c>
      <c r="AY199" s="47">
        <f ca="1">IF(AX199,(18+G199*0.722)*(1+J199)*(1-S199)*(1+$I$4)*IF(P199="会",'模拟-全程加成'!$J$3+'模拟-全程加成'!$J$4+'模拟-全程加成'!$J$5+('模拟-全程加成'!$I$4+'模拟-全程加成'!$I$5)/系数!$B$4+BG199*10%,IF(P199="命",1,IF(P199="识",0.25,0))),0)</f>
        <v>0</v>
      </c>
      <c r="AZ199" s="108">
        <f t="shared" si="162"/>
        <v>3.3950000000000062</v>
      </c>
      <c r="BA199" s="108" t="b">
        <f>AND(模拟模式!$Q$10="有",AZ198=0)</f>
        <v>0</v>
      </c>
      <c r="BB199" s="140">
        <f>IF(BA199,(0+G199*0.287)*(1+J199)*(1-S199)*(1+$I$4)*IF(P199="会",'模拟-全程加成'!$J$3+'模拟-全程加成'!$J$4+'模拟-全程加成'!$J$5+('模拟-全程加成'!$I$4+'模拟-全程加成'!$I$5)/系数!$B$4+BG199*10%,IF(P199="命",1,IF(P199="识",0.25,0))),0)</f>
        <v>0</v>
      </c>
      <c r="BC199" s="115" t="b">
        <f ca="1">AND(模拟模式!$R$7="伏明众生",E199=60,F199=20,DA199&lt;5,CZ198&lt;$F$4)</f>
        <v>0</v>
      </c>
      <c r="BD199" s="115">
        <f t="shared" ca="1" si="180"/>
        <v>0</v>
      </c>
      <c r="BE199" s="115" t="b">
        <f t="shared" ca="1" si="181"/>
        <v>0</v>
      </c>
      <c r="BF199" s="47">
        <f ca="1">IF(BC199,4*('模拟-单技能数据'!$D$24+G199*'模拟-单技能数据'!$F$24)*(1+J199)*(1+'模拟-单技能数据'!$J$24)*(1-S199)*(1+$I$3)*(('模拟-全程加成'!$J$3+'模拟-全程加成'!$J$4+'模拟-全程加成'!$J$5+('模拟-全程加成'!$I$4+'模拟-全程加成'!$I$5)/系数!$B$4+BG199*10%)*('模拟-全程加成'!$J$3+'模拟-全程加成'!$J$4+'模拟-全程加成'!$J$5+('模拟-全程加成'!$I$4+'模拟-全程加成'!$I$5)/系数!$B$4+BG199*10%)+(1-('模拟-全程加成'!$J$3+'模拟-全程加成'!$J$4+'模拟-全程加成'!$J$5+('模拟-全程加成'!$I$4+'模拟-全程加成'!$I$5)/系数!$B$4+BG199*10%)-$F$10-$F$11)+F185*0.25),0)*'模拟-单技能数据'!$I$24</f>
        <v>0</v>
      </c>
      <c r="BG199" s="115" t="b">
        <f ca="1">OR(AND(OR(C199="烈日斩",C199="银月斩"),模拟模式!$I$7="净身明礼"),AND(C199="净世破魔击·日",模拟模式!$J$7="洞若观火"),AND(C200="净世破魔击·月",模拟模式!$J$7="洞若观火"),AB199=1)</f>
        <v>1</v>
      </c>
      <c r="BH199" s="115" t="b">
        <f t="shared" ca="1" si="163"/>
        <v>0</v>
      </c>
      <c r="BI199" s="115">
        <f t="shared" ca="1" si="182"/>
        <v>0</v>
      </c>
      <c r="BJ199" s="115" t="b">
        <f t="shared" ca="1" si="193"/>
        <v>0</v>
      </c>
      <c r="BK199" s="115" t="b">
        <f ca="1">AND(C199="驱夜断愁",模拟模式!$P$7="天地诛戮")</f>
        <v>0</v>
      </c>
      <c r="BL199" s="57">
        <f t="shared" ca="1" si="183"/>
        <v>19.077500000000001</v>
      </c>
      <c r="BM199" s="115" t="b">
        <f t="shared" ca="1" si="194"/>
        <v>1</v>
      </c>
      <c r="BN199" s="115" t="b">
        <f ca="1">AND(OR(C199="赤日轮1",C199="赤日轮2",C199="赤日轮3",C199="幽月轮1",C199="幽月轮2",C199="幽月轮3"),AB199=1,模拟模式!$L$7="明光恒照")</f>
        <v>0</v>
      </c>
      <c r="BO199" s="117">
        <f t="shared" ca="1" si="184"/>
        <v>27.232500000000002</v>
      </c>
      <c r="BP199" s="115">
        <f t="shared" ca="1" si="164"/>
        <v>6</v>
      </c>
      <c r="BQ199" s="115" t="b">
        <f>模拟模式!$K$10="2600·水"</f>
        <v>0</v>
      </c>
      <c r="BR199" s="117">
        <f t="shared" si="165"/>
        <v>0</v>
      </c>
      <c r="BS199" s="115">
        <f t="shared" si="166"/>
        <v>0</v>
      </c>
      <c r="BT199" s="115">
        <f t="shared" ca="1" si="167"/>
        <v>0</v>
      </c>
      <c r="BU199" s="115" t="b">
        <f ca="1">AND(模拟模式!$K$10="2300·雷",BT198=0,RAND()&lt;IF(C199="净世破魔击·月",5*0.05*2/3,IF(C199="净世破魔击·日",3*0.05*2/3,0.05*2*2/3)))</f>
        <v>0</v>
      </c>
      <c r="BV199" s="115">
        <f t="shared" ca="1" si="168"/>
        <v>0</v>
      </c>
      <c r="BW199" s="115">
        <f t="shared" ca="1" si="169"/>
        <v>26.864999999999299</v>
      </c>
      <c r="BX199" s="164" t="b">
        <f t="shared" ca="1" si="170"/>
        <v>0</v>
      </c>
      <c r="BY199" s="115">
        <f t="shared" ca="1" si="171"/>
        <v>0</v>
      </c>
      <c r="BZ199" s="115">
        <f>IF(OR(模拟模式!$P$16="10人团",模拟模式!$P$16="25人团"),IF(B199/30&gt;CA198,1,0),0)</f>
        <v>0</v>
      </c>
      <c r="CA199" s="115">
        <f t="shared" si="147"/>
        <v>0</v>
      </c>
      <c r="CB199" s="115">
        <f ca="1">IF(BZ199=1,IF(模拟模式!$P$16="10人团",15,0)+IF(模拟模式!$P$16="25人团",IF(RAND()&lt;0.6,15,0)),MAX(0,CB198-$F$4))</f>
        <v>0</v>
      </c>
      <c r="CC199" s="115" t="b">
        <f t="shared" ca="1" si="195"/>
        <v>0</v>
      </c>
      <c r="CD199" s="115">
        <f>IF(模拟模式!$Q$16="1个",IF(B199/40&gt;CE198,1,0),0)</f>
        <v>0</v>
      </c>
      <c r="CE199" s="115">
        <f t="shared" si="196"/>
        <v>0</v>
      </c>
      <c r="CF199" s="115">
        <f>IF(OR(CD199=1,模拟模式!$Q$16="2个"),20,MAX(0,CF198-$F$4))</f>
        <v>0</v>
      </c>
      <c r="CG199" s="115" t="b">
        <f t="shared" si="197"/>
        <v>0</v>
      </c>
      <c r="CH199" s="115">
        <f t="shared" ca="1" si="172"/>
        <v>6.0150000000000121</v>
      </c>
      <c r="CI199" s="115" t="b">
        <f t="shared" ca="1" si="173"/>
        <v>0</v>
      </c>
      <c r="CJ199" s="119">
        <f t="shared" ca="1" si="174"/>
        <v>0</v>
      </c>
      <c r="CK199" s="115">
        <f t="shared" ca="1" si="175"/>
        <v>0</v>
      </c>
      <c r="CL199" s="115" t="b">
        <f ca="1">AND(模拟模式!$S$7="驱夷逐法",OR(AND(C199="净世破魔击·月",E198&gt;59),AND(C199="净世破魔击·日",F198&gt;59)))</f>
        <v>0</v>
      </c>
      <c r="CM199" s="115" t="b">
        <f ca="1">OR(CL199,AND(C199="净世破魔击·日",CL198,RAND()&lt;模拟模式!$U$23))</f>
        <v>0</v>
      </c>
      <c r="CN199" s="115" t="b">
        <f ca="1">IF(模拟模式!$M$7="辉耀红尘",AND(C199="净世破魔击·月",CL199,CV199=0,E198&lt;80),AND(C199="净世破魔击·月",CL199,E198&lt;100))</f>
        <v>0</v>
      </c>
      <c r="CO199" s="115" t="b">
        <f t="shared" ca="1" si="148"/>
        <v>0</v>
      </c>
      <c r="CP199" s="115" t="b">
        <f ca="1">AND(模拟模式!$O$7="用晦而明",OR(C199="净世破魔击·日",C199="净世破魔击·月",C199="驱夜断愁"),AB199)</f>
        <v>0</v>
      </c>
      <c r="CQ199" s="115" t="b">
        <f ca="1">OR(CP199,AND(CP198,RAND()&lt;模拟模式!$U$23))</f>
        <v>1</v>
      </c>
      <c r="CR199" s="115" t="b">
        <f ca="1">AND(模拟模式!$S$7="日月齐光",OR(C199="幽月轮1",C199="幽月轮2",C199="幽月轮3",CR198),NOT(OR(C199="赤日轮1",C199="赤日轮2",C199="赤日轮3")))</f>
        <v>0</v>
      </c>
      <c r="CS199" s="115" t="b">
        <f ca="1">AND(模拟模式!$S$7="日月齐光",OR(C199="赤日轮1",C199="赤日轮2",C199="赤日轮3",CS198),NOT(OR(C199="幽月轮1",C199="幽月轮2",C199="幽月轮3")))</f>
        <v>0</v>
      </c>
      <c r="CT199" s="115">
        <f t="shared" ca="1" si="176"/>
        <v>8.7825000000000131</v>
      </c>
      <c r="CU199" s="115" t="b">
        <f ca="1">AND(模拟模式!$K$10="阴阳往极",CT198=0,RAND()&lt;IF(C199="净世破魔击·月",0.0275*7/3,IF(C199="净世破魔击·日",0.0275*3/3,0.0275*2/3)))</f>
        <v>0</v>
      </c>
      <c r="CV199" s="115">
        <f t="shared" ca="1" si="177"/>
        <v>0</v>
      </c>
      <c r="CW199" s="115">
        <f t="shared" ca="1" si="149"/>
        <v>6</v>
      </c>
      <c r="CX199" s="115">
        <f t="shared" ca="1" si="150"/>
        <v>4.1549999999999994</v>
      </c>
      <c r="CY199" s="115">
        <f ca="1">MAX(IF($C199="驱夜断愁",IF(模拟模式!$R$7="万念俱寂",6,45),CY198-$F$4),0)</f>
        <v>5.0774999999999997</v>
      </c>
      <c r="CZ199" s="115">
        <f t="shared" ca="1" si="151"/>
        <v>0</v>
      </c>
      <c r="DA199" s="115">
        <f ca="1">IF(模拟模式!$N$7="日月同辉",IF(DB198=2,0,MIN(6,IF(AND(OR(C199="赤日轮1",C199="赤日轮2",C199="赤日轮3",C199="幽月轮1",C199="幽月轮2",C199="幽月轮3"),AB199=1),DA198+1,DA198))),0)</f>
        <v>0</v>
      </c>
      <c r="DB199" s="115">
        <f t="shared" ca="1" si="152"/>
        <v>2</v>
      </c>
      <c r="DC199" s="115"/>
      <c r="DD199" s="115"/>
      <c r="DE199" s="115"/>
      <c r="DF199" s="115"/>
      <c r="DG199" s="115"/>
      <c r="DH199" s="115"/>
      <c r="DI199" s="115"/>
      <c r="DJ199" s="115"/>
      <c r="DK199" s="115"/>
      <c r="DL199" s="115"/>
      <c r="DM199" s="115"/>
    </row>
    <row r="200" spans="2:117" x14ac:dyDescent="0.2">
      <c r="B200" s="117">
        <f t="shared" si="153"/>
        <v>159.5925000000004</v>
      </c>
      <c r="C200" s="167" t="str">
        <f t="shared" ca="1" si="146"/>
        <v>幽月轮1</v>
      </c>
      <c r="D200" s="115">
        <f ca="1">IF(C200="赤日轮1",1,IF(C200="赤日轮2",2,IF(C200="赤日轮3",3,IF(C200="幽月轮1",4,IF(C200="幽月轮2",5,IF(C200="幽月轮3",6,IF(C200="烈日斩",7,IF(C200="银月斩",8,IF(C200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200="净世破魔击·月",17,IF(C200="驱夜断愁",18,0)))))))))))</f>
        <v>4</v>
      </c>
      <c r="E200" s="115">
        <f ca="1">IF(AND(CU200,OR(C200="幽月轮1",C200="幽月轮2",C200="幽月轮3",C200="银月斩",C200="驱夜断愁",C200="净世破魔击·月")),100,MIN(IF(OR(CN200,BE200),0,IF(OR($C200="赤日轮1",$C200="赤日轮2",$C200="赤日轮3"),E199+20+IF(模拟模式!$I$7="日月凌天",4,0)+IF(CR199,20,0),IF($C200="烈日斩",E199+40,IF($C200="驱夜断愁",IF(模拟模式!$R$7="万念俱寂",E199+20,E199+60),IF($C200="净世破魔击·月",IF(OR(DB199&gt;0,CV199&gt;0),100,IF(模拟模式!$M$7="辉耀红尘",E199+20,E199)),IF($C200="净世破魔击·日",E199-100,E199)))))),100))</f>
        <v>80</v>
      </c>
      <c r="F200" s="115">
        <f ca="1">IF(AND(CU200,OR(C200="赤日轮1",C200="赤日轮2",C200="赤日轮3",C200="烈日斩",C200="净世破魔击·日")),100,MIN(IF(CO200,0,IF(OR($C200="幽月轮1",$C200="幽月轮2",$C200="幽月轮3"),F199+20+IF(模拟模式!$I$7="日月凌天",4,0)+IF(CS199,20,0),IF($C200="银月斩",F199+40+IF(模拟模式!$X$12=1,5,0),IF($C200="驱夜断愁",IF(模拟模式!$R$7="万念俱寂",F199+20,F199+60),IF($C200="净世破魔击·月",IF(模拟模式!$M$7="辉耀红尘",F199-80,F199-100),IF(AND(C200="净世破魔击·日",OR(DB199&gt;0,CV199&gt;0)),100,F199)))))),100))</f>
        <v>100</v>
      </c>
      <c r="G200" s="117">
        <f ca="1">('模拟-全程加成'!$E$3+'模拟-全程加成'!$E$4+'模拟-全程加成'!$E$5+('模拟-全程加成'!$C$6-'模拟-全程加成'!$C$3)*系数!$B$9+BS200*23)*(1+'模拟-全程加成'!$F$4+'模拟-全程加成'!$F$5+BJ200*10%+BM200*20%+BP200*4%+CG200*30%)+$F$7*系数!$B$12</f>
        <v>20583.127400000001</v>
      </c>
      <c r="H200" s="45">
        <f ca="1">'模拟-全程加成'!$H$3+'模拟-全程加成'!$H$4+'模拟-全程加成'!$H$5+('模拟-全程加成'!$G$4+'模拟-全程加成'!$G$5+('模拟-全程加成'!$C$6-'模拟-全程加成'!$C$3)*系数!$B$13)/系数!$B$3+LOOKUP(D200,'模拟-单技能数据'!$A$2:$A$19,'模拟-单技能数据'!$K$2:$K$19)+BG200*10%+IF(BV200&gt;0,378,0)</f>
        <v>0.51185145527300213</v>
      </c>
      <c r="I200" s="45">
        <f ca="1">'模拟-全程加成'!$J$3+'模拟-全程加成'!$J$4+'模拟-全程加成'!$J$5+('模拟-全程加成'!$I$4+'模拟-全程加成'!$I$5)/系数!$B$4+LOOKUP(D200,'模拟-单技能数据'!$A$2:$A$19,'模拟-单技能数据'!$L$2:$L$19)+BG200*10%</f>
        <v>2.162482885499879</v>
      </c>
      <c r="J200" s="45">
        <f ca="1">(('模拟-全程加成'!$K$3+'模拟-全程加成'!$K$4+'模拟-全程加成'!$K$5+('模拟-全程加成'!$C$6-'模拟-全程加成'!$C$3)*系数!$B$10+IF(BV200&gt;0,882,0)+IF(BY200&gt;0,1831,0))*(1+'模拟-全程加成'!$L$4+'模拟-全程加成'!$L$5+CC200*20%))/系数!$B$5</f>
        <v>0.69723220422048726</v>
      </c>
      <c r="K200" s="119">
        <f ca="1">LOOKUP(D200,'模拟-单技能数据'!$A$2:$A$19,'模拟-单技能数据'!$J$2:$J$19)+IF(CM200,60%,0)+IF(DB199-DB200&gt;0,30%,0)+IF(OR(AND(OR(C200="赤日轮1",C200="赤日轮2",C200="赤日轮3"),CR200),AND(OR(C200="幽月轮1",C200="幽月轮2",C200="幽月轮3"),CS200)),35%,0)+CJ200</f>
        <v>7.0000000000000007E-2</v>
      </c>
      <c r="L200" s="119">
        <f ca="1">IF(AND(C200="烈日斩",模拟模式!$X$11=1),10%,0)+IF(AND(C200="驱夜断愁",AB200=1),30%,0)</f>
        <v>0</v>
      </c>
      <c r="M200" s="45">
        <f t="shared" ca="1" si="185"/>
        <v>0.51185145527300213</v>
      </c>
      <c r="N200" s="45">
        <f t="shared" ca="1" si="186"/>
        <v>0.43424854472699792</v>
      </c>
      <c r="O200" s="46">
        <f t="shared" ca="1" si="154"/>
        <v>0.22443920385517024</v>
      </c>
      <c r="P200" s="46" t="str">
        <f t="shared" ca="1" si="155"/>
        <v>会</v>
      </c>
      <c r="Q200" s="45">
        <f t="shared" ca="1" si="156"/>
        <v>2.162482885499879</v>
      </c>
      <c r="R200" s="117">
        <f ca="1">模拟模式!$E$20*(1-IF(模拟模式!$J$19="有",0.15,0))*(1-IF(模拟模式!$K$19="有",0.3,0)-IF(CQ200,0.5,0))</f>
        <v>2950.6049999999996</v>
      </c>
      <c r="S200" s="45">
        <f ca="1">R200/(R200+(185*模拟模式!$E$22-16800)*4.08224)</f>
        <v>0.24272716014590323</v>
      </c>
      <c r="T200" s="45" t="str">
        <f ca="1">LOOKUP(D200,'模拟-单技能数据'!$A$2:$A$19,'模拟-单技能数据'!$H$2:$H$19)</f>
        <v>阴</v>
      </c>
      <c r="U200" s="119">
        <f t="shared" ca="1" si="187"/>
        <v>0.08</v>
      </c>
      <c r="V200" s="47">
        <f ca="1">(1+L200)*(LOOKUP(D200,'模拟-单技能数据'!$A$2:$A$19,'模拟-单技能数据'!$D$2:$D$19)+G200*LOOKUP(D200,'模拟-单技能数据'!$A$2:$A$19,'模拟-单技能数据'!$F$2:$F$19))*(1+J200)*(1+K200)*(1-S200)*(1+U200)*Q200*LOOKUP(D200,'模拟-单技能数据'!$A$2:$A$19,'模拟-单技能数据'!$I$2:$I$20)</f>
        <v>35088.919370823241</v>
      </c>
      <c r="W200" s="47">
        <f ca="1">LOOKUP(D200,'模拟-单技能数据'!$A$2:$A$19,'模拟-单技能数据'!$G$2:$G$19)*$I$10</f>
        <v>361.51064354704795</v>
      </c>
      <c r="X200" s="47">
        <f t="shared" ca="1" si="157"/>
        <v>0</v>
      </c>
      <c r="Y200" s="47">
        <f t="shared" ca="1" si="188"/>
        <v>35450.430014370286</v>
      </c>
      <c r="Z200" s="49">
        <f t="shared" ca="1" si="189"/>
        <v>18006383.458042059</v>
      </c>
      <c r="AA200" s="97">
        <f t="shared" ca="1" si="190"/>
        <v>112827.25352408174</v>
      </c>
      <c r="AB200" s="115">
        <f ca="1">IF(OR(C200="赤日轮1",C200="赤日轮2",C200="赤日轮3"),IF(RAND()&lt;模拟模式!$Y$17,1,0),IF(OR(C200="幽月轮1",C200="幽月轮2",C200="幽月轮3"),IF(RAND()&lt;模拟模式!$Y$18,1,0),IF(C200="烈日斩",IF(RAND()&lt;模拟模式!$Y$19,1,0),IF(C200="银月斩",IF(RAND()&lt;模拟模式!$Y$20,1,0),IF(C200="驱夜断愁",IF(RAND()&lt;模拟模式!$Y$21,1,0),IF(C200="净世破魔击·日",IF(RAND()&lt;模拟模式!$Y$22,1,0),IF(C200="净世破魔击·月",IF(RAND()&lt;模拟模式!$Y$23,1,0),0)))))))</f>
        <v>1</v>
      </c>
      <c r="AC200" s="115" t="b">
        <f t="shared" ca="1" si="178"/>
        <v>0</v>
      </c>
      <c r="AD200" s="115" t="b">
        <f t="shared" ca="1" si="198"/>
        <v>0</v>
      </c>
      <c r="AE200" s="115">
        <f t="shared" ca="1" si="199"/>
        <v>4</v>
      </c>
      <c r="AF200" s="47">
        <f ca="1">IF(AC200,('模拟-单技能数据'!$D$20+G200*'模拟-单技能数据'!$F$20)*(1+J200)*(1+'模拟-单技能数据'!$J$20)*(1+U200),0)</f>
        <v>0</v>
      </c>
      <c r="AG200" s="61">
        <f t="shared" ca="1" si="191"/>
        <v>0.64185145527300214</v>
      </c>
      <c r="AH200" s="61">
        <f t="shared" ca="1" si="192"/>
        <v>2.2624828854998791</v>
      </c>
      <c r="AI200" s="62">
        <f t="shared" ca="1" si="158"/>
        <v>0.20649614368056057</v>
      </c>
      <c r="AJ200" s="47">
        <f ca="1">IF(AD200,IF(AI200&lt;$F$10,0,IF(AI200&lt;$F$10+$F$11,0.25,IF(AI200&lt;$F$10+$F$11+AG200,AH200,1)))*IF(AF200&gt;0,AF200,IF(AF199&gt;0,AF199,IF(AF198&gt;0,AF198,IF(AF197&gt;0,AF197,IF(AF196&gt;0,AF196,IF(AF195&gt;0,AF195,IF(AF194&gt;0,AF194,IF(AF193&gt;0,AF193,IF(AF192&gt;0,AF192,IF(AF190&gt;0,AF190,IF(AF189&gt;0,AF189,IF(AF188&gt;0,AF188,0)))))))))))),0)*(1-$S200)*'模拟-单技能数据'!$I$20</f>
        <v>0</v>
      </c>
      <c r="AK200" s="115" t="b">
        <f t="shared" ca="1" si="179"/>
        <v>0</v>
      </c>
      <c r="AL200" s="115" t="b">
        <f t="shared" ca="1" si="200"/>
        <v>0</v>
      </c>
      <c r="AM200" s="115">
        <f t="shared" ca="1" si="201"/>
        <v>3</v>
      </c>
      <c r="AN200" s="47">
        <f ca="1">IF(AK200,('模拟-单技能数据'!$D$21+G200*'模拟-单技能数据'!$F$21)*(1+J200)*(1+'模拟-单技能数据'!$J$21)*(1+U200),0)</f>
        <v>0</v>
      </c>
      <c r="AO200" s="61">
        <f ca="1">IF(AN200&gt;0,M200-'模拟-单技能数据'!$K$10,AO199)</f>
        <v>0.42185145527300216</v>
      </c>
      <c r="AP200" s="61">
        <f ca="1">IF(AN200&gt;0,I200-'模拟-单技能数据'!$L$10,AP199)</f>
        <v>2.162482885499879</v>
      </c>
      <c r="AQ200" s="63">
        <f t="shared" ca="1" si="159"/>
        <v>0.98791376485450078</v>
      </c>
      <c r="AR200" s="64">
        <f ca="1">IF(AL200,IF(AQ200&lt;$F$10,0,IF(AQ200&lt;$F$10+$F$11,0.25,IF(AQ200&lt;$F$10+$F$11+AO200,AP200,1)))*IF(AN200&gt;0,AN200,IF(AN199&gt;0,AN199,IF(AN198&gt;0,AN198,IF(AN197&gt;0,AN197,IF(AN196&gt;0,AN196,IF(AN195&gt;0,AN195,IF(AN194&gt;0,AN194,IF(AN193&gt;0,AN193,IF(AN192&gt;0,AN192,IF(AN190&gt;0,AN190,IF(AN189&gt;0,AN189,IF(AN188&gt;0,AN188,0)))))))))))),0)*(1-$S200)*'模拟-单技能数据'!$I$21</f>
        <v>0</v>
      </c>
      <c r="AS200" s="61">
        <f ca="1">IF(OR(C200="净世破魔击·日",C200="净世破魔击·月"),M200-'模拟-单技能数据'!$K$10,0)</f>
        <v>0</v>
      </c>
      <c r="AT200" s="61">
        <f ca="1">IF(OR(C200="净世破魔击·日",C200="净世破魔击·月"),I200-'模拟-单技能数据'!$L$10,0)</f>
        <v>0</v>
      </c>
      <c r="AU200" s="62">
        <f t="shared" ca="1" si="160"/>
        <v>0.88473238298042733</v>
      </c>
      <c r="AV200" s="64">
        <f ca="1">IF(AS200&gt;0,('模拟-单技能数据'!$D$22+G200*'模拟-单技能数据'!$F$22)*(1+J200)*(1-S200)*IF(AU200&lt;$F$10,0,IF(AU200&lt;$F$10+$F$11,0.25,IF(AU200&lt;$F$10+$F$11+AS200,AT200,1)))*(1+U200),0)*'模拟-单技能数据'!$I$22</f>
        <v>0</v>
      </c>
      <c r="AW200" s="108">
        <f t="shared" ca="1" si="161"/>
        <v>12.620000000000005</v>
      </c>
      <c r="AX200" s="108" t="b">
        <f ca="1">AND(模拟模式!$P$10="有",AW199=0,RAND()&lt;IF(C200="净世破魔击·月",0.1*8/3,IF(C200="净世破魔击·日",0.1*4/3,0.1*2/3)))</f>
        <v>0</v>
      </c>
      <c r="AY200" s="47">
        <f ca="1">IF(AX200,(18+G200*0.722)*(1+J200)*(1-S200)*(1+$I$4)*IF(P200="会",'模拟-全程加成'!$J$3+'模拟-全程加成'!$J$4+'模拟-全程加成'!$J$5+('模拟-全程加成'!$I$4+'模拟-全程加成'!$I$5)/系数!$B$4+BG200*10%,IF(P200="命",1,IF(P200="识",0.25,0))),0)</f>
        <v>0</v>
      </c>
      <c r="AZ200" s="108">
        <f t="shared" si="162"/>
        <v>2.4725000000000064</v>
      </c>
      <c r="BA200" s="108" t="b">
        <f>AND(模拟模式!$Q$10="有",AZ199=0)</f>
        <v>0</v>
      </c>
      <c r="BB200" s="140">
        <f>IF(BA200,(0+G200*0.287)*(1+J200)*(1-S200)*(1+$I$4)*IF(P200="会",'模拟-全程加成'!$J$3+'模拟-全程加成'!$J$4+'模拟-全程加成'!$J$5+('模拟-全程加成'!$I$4+'模拟-全程加成'!$I$5)/系数!$B$4+BG200*10%,IF(P200="命",1,IF(P200="识",0.25,0))),0)</f>
        <v>0</v>
      </c>
      <c r="BC200" s="115" t="b">
        <f ca="1">AND(模拟模式!$R$7="伏明众生",E200=60,F200=20,DA200&lt;5,CZ199&lt;$F$4)</f>
        <v>0</v>
      </c>
      <c r="BD200" s="115">
        <f t="shared" ca="1" si="180"/>
        <v>0</v>
      </c>
      <c r="BE200" s="115" t="b">
        <f t="shared" ca="1" si="181"/>
        <v>0</v>
      </c>
      <c r="BF200" s="47">
        <f ca="1">IF(BC200,4*('模拟-单技能数据'!$D$24+G200*'模拟-单技能数据'!$F$24)*(1+J200)*(1+'模拟-单技能数据'!$J$24)*(1-S200)*(1+$I$3)*(('模拟-全程加成'!$J$3+'模拟-全程加成'!$J$4+'模拟-全程加成'!$J$5+('模拟-全程加成'!$I$4+'模拟-全程加成'!$I$5)/系数!$B$4+BG200*10%)*('模拟-全程加成'!$J$3+'模拟-全程加成'!$J$4+'模拟-全程加成'!$J$5+('模拟-全程加成'!$I$4+'模拟-全程加成'!$I$5)/系数!$B$4+BG200*10%)+(1-('模拟-全程加成'!$J$3+'模拟-全程加成'!$J$4+'模拟-全程加成'!$J$5+('模拟-全程加成'!$I$4+'模拟-全程加成'!$I$5)/系数!$B$4+BG200*10%)-$F$10-$F$11)+F186*0.25),0)*'模拟-单技能数据'!$I$24</f>
        <v>0</v>
      </c>
      <c r="BG200" s="115" t="b">
        <f ca="1">OR(AND(OR(C200="烈日斩",C200="银月斩"),模拟模式!$I$7="净身明礼"),AND(C200="净世破魔击·日",模拟模式!$J$7="洞若观火"),AND(C201="净世破魔击·月",模拟模式!$J$7="洞若观火"),AB200=1)</f>
        <v>1</v>
      </c>
      <c r="BH200" s="115" t="b">
        <f t="shared" ca="1" si="163"/>
        <v>0</v>
      </c>
      <c r="BI200" s="115">
        <f t="shared" ca="1" si="182"/>
        <v>0</v>
      </c>
      <c r="BJ200" s="115" t="b">
        <f t="shared" ca="1" si="193"/>
        <v>0</v>
      </c>
      <c r="BK200" s="115" t="b">
        <f ca="1">AND(C200="驱夜断愁",模拟模式!$P$7="天地诛戮")</f>
        <v>0</v>
      </c>
      <c r="BL200" s="57">
        <f t="shared" ca="1" si="183"/>
        <v>18.155000000000001</v>
      </c>
      <c r="BM200" s="115" t="b">
        <f t="shared" ca="1" si="194"/>
        <v>1</v>
      </c>
      <c r="BN200" s="115" t="b">
        <f ca="1">AND(OR(C200="赤日轮1",C200="赤日轮2",C200="赤日轮3",C200="幽月轮1",C200="幽月轮2",C200="幽月轮3"),AB200=1,模拟模式!$L$7="明光恒照")</f>
        <v>1</v>
      </c>
      <c r="BO200" s="117">
        <f t="shared" ca="1" si="184"/>
        <v>30</v>
      </c>
      <c r="BP200" s="115">
        <f t="shared" ca="1" si="164"/>
        <v>6</v>
      </c>
      <c r="BQ200" s="115" t="b">
        <f>模拟模式!$K$10="2600·水"</f>
        <v>0</v>
      </c>
      <c r="BR200" s="117">
        <f t="shared" si="165"/>
        <v>0</v>
      </c>
      <c r="BS200" s="115">
        <f t="shared" si="166"/>
        <v>0</v>
      </c>
      <c r="BT200" s="115">
        <f t="shared" ca="1" si="167"/>
        <v>0</v>
      </c>
      <c r="BU200" s="115" t="b">
        <f ca="1">AND(模拟模式!$K$10="2300·雷",BT199=0,RAND()&lt;IF(C200="净世破魔击·月",5*0.05*2/3,IF(C200="净世破魔击·日",3*0.05*2/3,0.05*2*2/3)))</f>
        <v>0</v>
      </c>
      <c r="BV200" s="115">
        <f t="shared" ca="1" si="168"/>
        <v>0</v>
      </c>
      <c r="BW200" s="115">
        <f t="shared" ca="1" si="169"/>
        <v>25.942499999999299</v>
      </c>
      <c r="BX200" s="164" t="b">
        <f t="shared" ca="1" si="170"/>
        <v>0</v>
      </c>
      <c r="BY200" s="115">
        <f t="shared" ca="1" si="171"/>
        <v>0</v>
      </c>
      <c r="BZ200" s="115">
        <f>IF(OR(模拟模式!$P$16="10人团",模拟模式!$P$16="25人团"),IF(B200/30&gt;CA199,1,0),0)</f>
        <v>0</v>
      </c>
      <c r="CA200" s="115">
        <f t="shared" si="147"/>
        <v>0</v>
      </c>
      <c r="CB200" s="115">
        <f ca="1">IF(BZ200=1,IF(模拟模式!$P$16="10人团",15,0)+IF(模拟模式!$P$16="25人团",IF(RAND()&lt;0.6,15,0)),MAX(0,CB199-$F$4))</f>
        <v>0</v>
      </c>
      <c r="CC200" s="115" t="b">
        <f t="shared" ca="1" si="195"/>
        <v>0</v>
      </c>
      <c r="CD200" s="115">
        <f>IF(模拟模式!$Q$16="1个",IF(B200/40&gt;CE199,1,0),0)</f>
        <v>0</v>
      </c>
      <c r="CE200" s="115">
        <f t="shared" si="196"/>
        <v>0</v>
      </c>
      <c r="CF200" s="115">
        <f>IF(OR(CD200=1,模拟模式!$Q$16="2个"),20,MAX(0,CF199-$F$4))</f>
        <v>0</v>
      </c>
      <c r="CG200" s="115" t="b">
        <f t="shared" si="197"/>
        <v>0</v>
      </c>
      <c r="CH200" s="115">
        <f t="shared" ca="1" si="172"/>
        <v>5.0925000000000118</v>
      </c>
      <c r="CI200" s="115" t="b">
        <f t="shared" ca="1" si="173"/>
        <v>0</v>
      </c>
      <c r="CJ200" s="119">
        <f t="shared" ca="1" si="174"/>
        <v>0</v>
      </c>
      <c r="CK200" s="115">
        <f t="shared" ca="1" si="175"/>
        <v>0</v>
      </c>
      <c r="CL200" s="115" t="b">
        <f ca="1">AND(模拟模式!$S$7="驱夷逐法",OR(AND(C200="净世破魔击·月",E199&gt;59),AND(C200="净世破魔击·日",F199&gt;59)))</f>
        <v>0</v>
      </c>
      <c r="CM200" s="115" t="b">
        <f ca="1">OR(CL200,AND(C200="净世破魔击·日",CL199,RAND()&lt;模拟模式!$U$23))</f>
        <v>0</v>
      </c>
      <c r="CN200" s="115" t="b">
        <f ca="1">IF(模拟模式!$M$7="辉耀红尘",AND(C200="净世破魔击·月",CL200,CV200=0,E199&lt;80),AND(C200="净世破魔击·月",CL200,E199&lt;100))</f>
        <v>0</v>
      </c>
      <c r="CO200" s="115" t="b">
        <f t="shared" ca="1" si="148"/>
        <v>0</v>
      </c>
      <c r="CP200" s="115" t="b">
        <f ca="1">AND(模拟模式!$O$7="用晦而明",OR(C200="净世破魔击·日",C200="净世破魔击·月",C200="驱夜断愁"),AB200)</f>
        <v>0</v>
      </c>
      <c r="CQ200" s="115" t="b">
        <f ca="1">OR(CP200,AND(CP199,RAND()&lt;模拟模式!$U$23))</f>
        <v>0</v>
      </c>
      <c r="CR200" s="115" t="b">
        <f ca="1">AND(模拟模式!$S$7="日月齐光",OR(C200="幽月轮1",C200="幽月轮2",C200="幽月轮3",CR199),NOT(OR(C200="赤日轮1",C200="赤日轮2",C200="赤日轮3")))</f>
        <v>0</v>
      </c>
      <c r="CS200" s="115" t="b">
        <f ca="1">AND(模拟模式!$S$7="日月齐光",OR(C200="赤日轮1",C200="赤日轮2",C200="赤日轮3",CS199),NOT(OR(C200="幽月轮1",C200="幽月轮2",C200="幽月轮3")))</f>
        <v>0</v>
      </c>
      <c r="CT200" s="115">
        <f t="shared" ca="1" si="176"/>
        <v>7.8600000000000128</v>
      </c>
      <c r="CU200" s="115" t="b">
        <f ca="1">AND(模拟模式!$K$10="阴阳往极",CT199=0,RAND()&lt;IF(C200="净世破魔击·月",0.0275*7/3,IF(C200="净世破魔击·日",0.0275*3/3,0.0275*2/3)))</f>
        <v>0</v>
      </c>
      <c r="CV200" s="115">
        <f t="shared" ca="1" si="177"/>
        <v>0</v>
      </c>
      <c r="CW200" s="115">
        <f t="shared" ca="1" si="149"/>
        <v>5.0774999999999997</v>
      </c>
      <c r="CX200" s="115">
        <f t="shared" ca="1" si="150"/>
        <v>3.2324999999999995</v>
      </c>
      <c r="CY200" s="115">
        <f ca="1">MAX(IF($C200="驱夜断愁",IF(模拟模式!$R$7="万念俱寂",6,45),CY199-$F$4),0)</f>
        <v>4.1549999999999994</v>
      </c>
      <c r="CZ200" s="115">
        <f t="shared" ca="1" si="151"/>
        <v>0</v>
      </c>
      <c r="DA200" s="115">
        <f ca="1">IF(模拟模式!$N$7="日月同辉",IF(DB199=2,0,MIN(6,IF(AND(OR(C200="赤日轮1",C200="赤日轮2",C200="赤日轮3",C200="幽月轮1",C200="幽月轮2",C200="幽月轮3"),AB200=1),DA199+1,DA199))),0)</f>
        <v>0</v>
      </c>
      <c r="DB200" s="115">
        <f t="shared" ca="1" si="152"/>
        <v>2</v>
      </c>
      <c r="DC200" s="115"/>
      <c r="DD200" s="115"/>
      <c r="DE200" s="115"/>
      <c r="DF200" s="115"/>
      <c r="DG200" s="115"/>
      <c r="DH200" s="115"/>
      <c r="DI200" s="115"/>
      <c r="DJ200" s="115"/>
      <c r="DK200" s="115"/>
      <c r="DL200" s="115"/>
      <c r="DM200" s="115"/>
    </row>
    <row r="201" spans="2:117" x14ac:dyDescent="0.2">
      <c r="B201" s="117">
        <f t="shared" si="153"/>
        <v>160.51500000000041</v>
      </c>
      <c r="C201" s="167" t="str">
        <f t="shared" ca="1" si="146"/>
        <v>净世破魔击·月</v>
      </c>
      <c r="D201" s="115">
        <f ca="1">IF(C201="赤日轮1",1,IF(C201="赤日轮2",2,IF(C201="赤日轮3",3,IF(C201="幽月轮1",4,IF(C201="幽月轮2",5,IF(C201="幽月轮3",6,IF(C201="烈日斩",7,IF(C201="银月斩",8,IF(C201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201="净世破魔击·月",17,IF(C201="驱夜断愁",18,0)))))))))))</f>
        <v>17</v>
      </c>
      <c r="E201" s="115">
        <f ca="1">IF(AND(CU201,OR(C201="幽月轮1",C201="幽月轮2",C201="幽月轮3",C201="银月斩",C201="驱夜断愁",C201="净世破魔击·月")),100,MIN(IF(OR(CN201,BE201),0,IF(OR($C201="赤日轮1",$C201="赤日轮2",$C201="赤日轮3"),E200+20+IF(模拟模式!$I$7="日月凌天",4,0)+IF(CR200,20,0),IF($C201="烈日斩",E200+40,IF($C201="驱夜断愁",IF(模拟模式!$R$7="万念俱寂",E200+20,E200+60),IF($C201="净世破魔击·月",IF(OR(DB200&gt;0,CV200&gt;0),100,IF(模拟模式!$M$7="辉耀红尘",E200+20,E200)),IF($C201="净世破魔击·日",E200-100,E200)))))),100))</f>
        <v>100</v>
      </c>
      <c r="F201" s="115">
        <f ca="1">IF(AND(CU201,OR(C201="赤日轮1",C201="赤日轮2",C201="赤日轮3",C201="烈日斩",C201="净世破魔击·日")),100,MIN(IF(CO201,0,IF(OR($C201="幽月轮1",$C201="幽月轮2",$C201="幽月轮3"),F200+20+IF(模拟模式!$I$7="日月凌天",4,0)+IF(CS200,20,0),IF($C201="银月斩",F200+40+IF(模拟模式!$X$12=1,5,0),IF($C201="驱夜断愁",IF(模拟模式!$R$7="万念俱寂",F200+20,F200+60),IF($C201="净世破魔击·月",IF(模拟模式!$M$7="辉耀红尘",F200-80,F200-100),IF(AND(C201="净世破魔击·日",OR(DB200&gt;0,CV200&gt;0)),100,F200)))))),100))</f>
        <v>20</v>
      </c>
      <c r="G201" s="117">
        <f ca="1">('模拟-全程加成'!$E$3+'模拟-全程加成'!$E$4+'模拟-全程加成'!$E$5+('模拟-全程加成'!$C$6-'模拟-全程加成'!$C$3)*系数!$B$9+BS201*23)*(1+'模拟-全程加成'!$F$4+'模拟-全程加成'!$F$5+BJ201*10%+BM201*20%+BP201*4%+CG201*30%)+$F$7*系数!$B$12</f>
        <v>20583.127400000001</v>
      </c>
      <c r="H201" s="45">
        <f ca="1">'模拟-全程加成'!$H$3+'模拟-全程加成'!$H$4+'模拟-全程加成'!$H$5+('模拟-全程加成'!$G$4+'模拟-全程加成'!$G$5+('模拟-全程加成'!$C$6-'模拟-全程加成'!$C$3)*系数!$B$13)/系数!$B$3+LOOKUP(D201,'模拟-单技能数据'!$A$2:$A$19,'模拟-单技能数据'!$K$2:$K$19)+BG201*10%+IF(BV201&gt;0,378,0)</f>
        <v>0.54185145527300216</v>
      </c>
      <c r="I201" s="45">
        <f ca="1">'模拟-全程加成'!$J$3+'模拟-全程加成'!$J$4+'模拟-全程加成'!$J$5+('模拟-全程加成'!$I$4+'模拟-全程加成'!$I$5)/系数!$B$4+LOOKUP(D201,'模拟-单技能数据'!$A$2:$A$19,'模拟-单技能数据'!$L$2:$L$19)+BG201*10%</f>
        <v>2.162482885499879</v>
      </c>
      <c r="J201" s="45">
        <f ca="1">(('模拟-全程加成'!$K$3+'模拟-全程加成'!$K$4+'模拟-全程加成'!$K$5+('模拟-全程加成'!$C$6-'模拟-全程加成'!$C$3)*系数!$B$10+IF(BV201&gt;0,882,0)+IF(BY201&gt;0,1831,0))*(1+'模拟-全程加成'!$L$4+'模拟-全程加成'!$L$5+CC201*20%))/系数!$B$5</f>
        <v>0.69723220422048726</v>
      </c>
      <c r="K201" s="119">
        <f ca="1">LOOKUP(D201,'模拟-单技能数据'!$A$2:$A$19,'模拟-单技能数据'!$J$2:$J$19)+IF(CM201,60%,0)+IF(DB200-DB201&gt;0,30%,0)+IF(OR(AND(OR(C201="赤日轮1",C201="赤日轮2",C201="赤日轮3"),CR201),AND(OR(C201="幽月轮1",C201="幽月轮2",C201="幽月轮3"),CS201)),35%,0)+CJ201</f>
        <v>1.1000000000000001</v>
      </c>
      <c r="L201" s="119">
        <f ca="1">IF(AND(C201="烈日斩",模拟模式!$X$11=1),10%,0)+IF(AND(C201="驱夜断愁",AB201=1),30%,0)</f>
        <v>0</v>
      </c>
      <c r="M201" s="45">
        <f t="shared" ca="1" si="185"/>
        <v>0.54185145527300216</v>
      </c>
      <c r="N201" s="45">
        <f t="shared" ca="1" si="186"/>
        <v>0.40424854472699789</v>
      </c>
      <c r="O201" s="46">
        <f t="shared" ca="1" si="154"/>
        <v>0.38414305004414917</v>
      </c>
      <c r="P201" s="46" t="str">
        <f t="shared" ca="1" si="155"/>
        <v>会</v>
      </c>
      <c r="Q201" s="45">
        <f t="shared" ca="1" si="156"/>
        <v>2.162482885499879</v>
      </c>
      <c r="R201" s="117">
        <f ca="1">模拟模式!$E$20*(1-IF(模拟模式!$J$19="有",0.15,0))*(1-IF(模拟模式!$K$19="有",0.3,0)-IF(CQ201,0.5,0))</f>
        <v>843.02999999999975</v>
      </c>
      <c r="S201" s="45">
        <f ca="1">R201/(R201+(185*模拟模式!$E$22-16800)*4.08224)</f>
        <v>8.389626085980037E-2</v>
      </c>
      <c r="T201" s="45" t="str">
        <f ca="1">LOOKUP(D201,'模拟-单技能数据'!$A$2:$A$19,'模拟-单技能数据'!$H$2:$H$19)</f>
        <v>阴</v>
      </c>
      <c r="U201" s="119">
        <f t="shared" ca="1" si="187"/>
        <v>0.08</v>
      </c>
      <c r="V201" s="47">
        <f ca="1">(1+L201)*(LOOKUP(D201,'模拟-单技能数据'!$A$2:$A$19,'模拟-单技能数据'!$D$2:$D$19)+G201*LOOKUP(D201,'模拟-单技能数据'!$A$2:$A$19,'模拟-单技能数据'!$F$2:$F$19))*(1+J201)*(1+K201)*(1-S201)*(1+U201)*Q201*LOOKUP(D201,'模拟-单技能数据'!$A$2:$A$19,'模拟-单技能数据'!$I$2:$I$20)</f>
        <v>204013.08685584151</v>
      </c>
      <c r="W201" s="47">
        <f ca="1">LOOKUP(D201,'模拟-单技能数据'!$A$2:$A$19,'模拟-单技能数据'!$G$2:$G$19)*$I$10</f>
        <v>361.51064354704795</v>
      </c>
      <c r="X201" s="47">
        <f t="shared" ca="1" si="157"/>
        <v>14616.122737338752</v>
      </c>
      <c r="Y201" s="47">
        <f t="shared" ca="1" si="188"/>
        <v>218990.72023672733</v>
      </c>
      <c r="Z201" s="49">
        <f t="shared" ca="1" si="189"/>
        <v>18225374.178278785</v>
      </c>
      <c r="AA201" s="97">
        <f t="shared" ca="1" si="190"/>
        <v>113543.12169129825</v>
      </c>
      <c r="AB201" s="115">
        <f ca="1">IF(OR(C201="赤日轮1",C201="赤日轮2",C201="赤日轮3"),IF(RAND()&lt;模拟模式!$Y$17,1,0),IF(OR(C201="幽月轮1",C201="幽月轮2",C201="幽月轮3"),IF(RAND()&lt;模拟模式!$Y$18,1,0),IF(C201="烈日斩",IF(RAND()&lt;模拟模式!$Y$19,1,0),IF(C201="银月斩",IF(RAND()&lt;模拟模式!$Y$20,1,0),IF(C201="驱夜断愁",IF(RAND()&lt;模拟模式!$Y$21,1,0),IF(C201="净世破魔击·日",IF(RAND()&lt;模拟模式!$Y$22,1,0),IF(C201="净世破魔击·月",IF(RAND()&lt;模拟模式!$Y$23,1,0),0)))))))</f>
        <v>1</v>
      </c>
      <c r="AC201" s="115" t="b">
        <f t="shared" ca="1" si="178"/>
        <v>0</v>
      </c>
      <c r="AD201" s="115" t="b">
        <f t="shared" ca="1" si="198"/>
        <v>1</v>
      </c>
      <c r="AE201" s="115">
        <f t="shared" ca="1" si="199"/>
        <v>3</v>
      </c>
      <c r="AF201" s="47">
        <f ca="1">IF(AC201,('模拟-单技能数据'!$D$20+G201*'模拟-单技能数据'!$F$20)*(1+J201)*(1+'模拟-单技能数据'!$J$20)*(1+U201),0)</f>
        <v>0</v>
      </c>
      <c r="AG201" s="61">
        <f t="shared" ca="1" si="191"/>
        <v>0.64185145527300214</v>
      </c>
      <c r="AH201" s="61">
        <f t="shared" ca="1" si="192"/>
        <v>2.2624828854998791</v>
      </c>
      <c r="AI201" s="62">
        <f t="shared" ca="1" si="158"/>
        <v>0.99947331382472304</v>
      </c>
      <c r="AJ201" s="47">
        <f ca="1">IF(AD201,IF(AI201&lt;$F$10,0,IF(AI201&lt;$F$10+$F$11,0.25,IF(AI201&lt;$F$10+$F$11+AG201,AH201,1)))*IF(AF201&gt;0,AF201,IF(AF200&gt;0,AF200,IF(AF199&gt;0,AF199,IF(AF198&gt;0,AF198,IF(AF197&gt;0,AF197,IF(AF196&gt;0,AF196,IF(AF195&gt;0,AF195,IF(AF194&gt;0,AF194,IF(AF193&gt;0,AF193,IF(AF191&gt;0,AF191,IF(AF190&gt;0,AF190,IF(AF189&gt;0,AF189,0)))))))))))),0)*(1-$S201)*'模拟-单技能数据'!$I$20</f>
        <v>4074.6980221198578</v>
      </c>
      <c r="AK201" s="115" t="b">
        <f t="shared" ca="1" si="179"/>
        <v>0</v>
      </c>
      <c r="AL201" s="115" t="b">
        <f t="shared" ca="1" si="200"/>
        <v>1</v>
      </c>
      <c r="AM201" s="115">
        <f t="shared" ca="1" si="201"/>
        <v>2</v>
      </c>
      <c r="AN201" s="47">
        <f ca="1">IF(AK201,('模拟-单技能数据'!$D$21+G201*'模拟-单技能数据'!$F$21)*(1+J201)*(1+'模拟-单技能数据'!$J$21)*(1+U201),0)</f>
        <v>0</v>
      </c>
      <c r="AO201" s="61">
        <f ca="1">IF(AN201&gt;0,M201-'模拟-单技能数据'!$K$10,AO200)</f>
        <v>0.42185145527300216</v>
      </c>
      <c r="AP201" s="61">
        <f ca="1">IF(AN201&gt;0,I201-'模拟-单技能数据'!$L$10,AP200)</f>
        <v>2.162482885499879</v>
      </c>
      <c r="AQ201" s="63">
        <f t="shared" ca="1" si="159"/>
        <v>2.9389203316652512E-2</v>
      </c>
      <c r="AR201" s="64">
        <f ca="1">IF(AL201,IF(AQ201&lt;$F$10,0,IF(AQ201&lt;$F$10+$F$11,0.25,IF(AQ201&lt;$F$10+$F$11+AO201,AP201,1)))*IF(AN201&gt;0,AN201,IF(AN200&gt;0,AN200,IF(AN199&gt;0,AN199,IF(AN198&gt;0,AN198,IF(AN197&gt;0,AN197,IF(AN196&gt;0,AN196,IF(AN195&gt;0,AN195,IF(AN194&gt;0,AN194,IF(AN193&gt;0,AN193,IF(AN191&gt;0,AN191,IF(AN190&gt;0,AN190,IF(AN189&gt;0,AN189,0)))))))))))),0)*(1-$S201)*'模拟-单技能数据'!$I$21</f>
        <v>2901.9729631140449</v>
      </c>
      <c r="AS201" s="61">
        <f ca="1">IF(OR(C201="净世破魔击·日",C201="净世破魔击·月"),M201-'模拟-单技能数据'!$K$10,0)</f>
        <v>0.42185145527300216</v>
      </c>
      <c r="AT201" s="61">
        <f ca="1">IF(OR(C201="净世破魔击·日",C201="净世破魔击·月"),I201-'模拟-单技能数据'!$L$10,0)</f>
        <v>2.162482885499879</v>
      </c>
      <c r="AU201" s="62">
        <f t="shared" ca="1" si="160"/>
        <v>0.56362089079909317</v>
      </c>
      <c r="AV201" s="64">
        <f ca="1">IF(AS201&gt;0,('模拟-单技能数据'!$D$22+G201*'模拟-单技能数据'!$F$22)*(1+J201)*(1-S201)*IF(AU201&lt;$F$10,0,IF(AU201&lt;$F$10+$F$11,0.25,IF(AU201&lt;$F$10+$F$11+AS201,AT201,1)))*(1+U201),0)*'模拟-单技能数据'!$I$22</f>
        <v>7639.4517521048492</v>
      </c>
      <c r="AW201" s="108">
        <f t="shared" ca="1" si="161"/>
        <v>11.697500000000005</v>
      </c>
      <c r="AX201" s="108" t="b">
        <f ca="1">AND(模拟模式!$P$10="有",AW200=0,RAND()&lt;IF(C201="净世破魔击·月",0.1*8/3,IF(C201="净世破魔击·日",0.1*4/3,0.1*2/3)))</f>
        <v>0</v>
      </c>
      <c r="AY201" s="47">
        <f ca="1">IF(AX201,(18+G201*0.722)*(1+J201)*(1-S201)*(1+$I$4)*IF(P201="会",'模拟-全程加成'!$J$3+'模拟-全程加成'!$J$4+'模拟-全程加成'!$J$5+('模拟-全程加成'!$I$4+'模拟-全程加成'!$I$5)/系数!$B$4+BG201*10%,IF(P201="命",1,IF(P201="识",0.25,0))),0)</f>
        <v>0</v>
      </c>
      <c r="AZ201" s="108">
        <f t="shared" si="162"/>
        <v>1.5500000000000065</v>
      </c>
      <c r="BA201" s="108" t="b">
        <f>AND(模拟模式!$Q$10="有",AZ200=0)</f>
        <v>0</v>
      </c>
      <c r="BB201" s="140">
        <f>IF(BA201,(0+G201*0.287)*(1+J201)*(1-S201)*(1+$I$4)*IF(P201="会",'模拟-全程加成'!$J$3+'模拟-全程加成'!$J$4+'模拟-全程加成'!$J$5+('模拟-全程加成'!$I$4+'模拟-全程加成'!$I$5)/系数!$B$4+BG201*10%,IF(P201="命",1,IF(P201="识",0.25,0))),0)</f>
        <v>0</v>
      </c>
      <c r="BC201" s="115" t="b">
        <f ca="1">AND(模拟模式!$R$7="伏明众生",E201=60,F201=20,DA201&lt;5,CZ200&lt;$F$4)</f>
        <v>0</v>
      </c>
      <c r="BD201" s="115">
        <f t="shared" ca="1" si="180"/>
        <v>0</v>
      </c>
      <c r="BE201" s="115" t="b">
        <f t="shared" ca="1" si="181"/>
        <v>0</v>
      </c>
      <c r="BF201" s="47">
        <f ca="1">IF(BC201,4*('模拟-单技能数据'!$D$24+G201*'模拟-单技能数据'!$F$24)*(1+J201)*(1+'模拟-单技能数据'!$J$24)*(1-S201)*(1+$I$3)*(('模拟-全程加成'!$J$3+'模拟-全程加成'!$J$4+'模拟-全程加成'!$J$5+('模拟-全程加成'!$I$4+'模拟-全程加成'!$I$5)/系数!$B$4+BG201*10%)*('模拟-全程加成'!$J$3+'模拟-全程加成'!$J$4+'模拟-全程加成'!$J$5+('模拟-全程加成'!$I$4+'模拟-全程加成'!$I$5)/系数!$B$4+BG201*10%)+(1-('模拟-全程加成'!$J$3+'模拟-全程加成'!$J$4+'模拟-全程加成'!$J$5+('模拟-全程加成'!$I$4+'模拟-全程加成'!$I$5)/系数!$B$4+BG201*10%)-$F$10-$F$11)+F187*0.25),0)*'模拟-单技能数据'!$I$24</f>
        <v>0</v>
      </c>
      <c r="BG201" s="115" t="b">
        <f ca="1">OR(AND(OR(C201="烈日斩",C201="银月斩"),模拟模式!$I$7="净身明礼"),AND(C201="净世破魔击·日",模拟模式!$J$7="洞若观火"),AND(C202="净世破魔击·月",模拟模式!$J$7="洞若观火"),AB201=1)</f>
        <v>1</v>
      </c>
      <c r="BH201" s="115" t="b">
        <f t="shared" ca="1" si="163"/>
        <v>0</v>
      </c>
      <c r="BI201" s="115">
        <f t="shared" ca="1" si="182"/>
        <v>0</v>
      </c>
      <c r="BJ201" s="115" t="b">
        <f t="shared" ca="1" si="193"/>
        <v>0</v>
      </c>
      <c r="BK201" s="115" t="b">
        <f ca="1">AND(C201="驱夜断愁",模拟模式!$P$7="天地诛戮")</f>
        <v>0</v>
      </c>
      <c r="BL201" s="57">
        <f t="shared" ca="1" si="183"/>
        <v>17.232500000000002</v>
      </c>
      <c r="BM201" s="115" t="b">
        <f t="shared" ca="1" si="194"/>
        <v>1</v>
      </c>
      <c r="BN201" s="115" t="b">
        <f ca="1">AND(OR(C201="赤日轮1",C201="赤日轮2",C201="赤日轮3",C201="幽月轮1",C201="幽月轮2",C201="幽月轮3"),AB201=1,模拟模式!$L$7="明光恒照")</f>
        <v>0</v>
      </c>
      <c r="BO201" s="117">
        <f t="shared" ca="1" si="184"/>
        <v>29.077500000000001</v>
      </c>
      <c r="BP201" s="115">
        <f t="shared" ca="1" si="164"/>
        <v>6</v>
      </c>
      <c r="BQ201" s="115" t="b">
        <f>模拟模式!$K$10="2600·水"</f>
        <v>0</v>
      </c>
      <c r="BR201" s="117">
        <f t="shared" si="165"/>
        <v>0</v>
      </c>
      <c r="BS201" s="115">
        <f t="shared" si="166"/>
        <v>0</v>
      </c>
      <c r="BT201" s="115">
        <f t="shared" ca="1" si="167"/>
        <v>0</v>
      </c>
      <c r="BU201" s="115" t="b">
        <f ca="1">AND(模拟模式!$K$10="2300·雷",BT200=0,RAND()&lt;IF(C201="净世破魔击·月",5*0.05*2/3,IF(C201="净世破魔击·日",3*0.05*2/3,0.05*2*2/3)))</f>
        <v>0</v>
      </c>
      <c r="BV201" s="115">
        <f t="shared" ca="1" si="168"/>
        <v>0</v>
      </c>
      <c r="BW201" s="115">
        <f t="shared" ca="1" si="169"/>
        <v>25.0199999999993</v>
      </c>
      <c r="BX201" s="164" t="b">
        <f t="shared" ca="1" si="170"/>
        <v>0</v>
      </c>
      <c r="BY201" s="115">
        <f t="shared" ca="1" si="171"/>
        <v>0</v>
      </c>
      <c r="BZ201" s="115">
        <f>IF(OR(模拟模式!$P$16="10人团",模拟模式!$P$16="25人团"),IF(B201/30&gt;CA200,1,0),0)</f>
        <v>0</v>
      </c>
      <c r="CA201" s="115">
        <f t="shared" si="147"/>
        <v>0</v>
      </c>
      <c r="CB201" s="115">
        <f ca="1">IF(BZ201=1,IF(模拟模式!$P$16="10人团",15,0)+IF(模拟模式!$P$16="25人团",IF(RAND()&lt;0.6,15,0)),MAX(0,CB200-$F$4))</f>
        <v>0</v>
      </c>
      <c r="CC201" s="115" t="b">
        <f t="shared" ca="1" si="195"/>
        <v>0</v>
      </c>
      <c r="CD201" s="115">
        <f>IF(模拟模式!$Q$16="1个",IF(B201/40&gt;CE200,1,0),0)</f>
        <v>0</v>
      </c>
      <c r="CE201" s="115">
        <f t="shared" si="196"/>
        <v>0</v>
      </c>
      <c r="CF201" s="115">
        <f>IF(OR(CD201=1,模拟模式!$Q$16="2个"),20,MAX(0,CF200-$F$4))</f>
        <v>0</v>
      </c>
      <c r="CG201" s="115" t="b">
        <f t="shared" si="197"/>
        <v>0</v>
      </c>
      <c r="CH201" s="115">
        <f t="shared" ca="1" si="172"/>
        <v>4.1700000000000115</v>
      </c>
      <c r="CI201" s="115" t="b">
        <f t="shared" ca="1" si="173"/>
        <v>0</v>
      </c>
      <c r="CJ201" s="119">
        <f t="shared" ca="1" si="174"/>
        <v>0</v>
      </c>
      <c r="CK201" s="115">
        <f t="shared" ca="1" si="175"/>
        <v>0</v>
      </c>
      <c r="CL201" s="115" t="b">
        <f ca="1">AND(模拟模式!$S$7="驱夷逐法",OR(AND(C201="净世破魔击·月",E200&gt;59),AND(C201="净世破魔击·日",F200&gt;59)))</f>
        <v>1</v>
      </c>
      <c r="CM201" s="115" t="b">
        <f ca="1">OR(CL201,AND(C201="净世破魔击·日",CL200,RAND()&lt;模拟模式!$U$23))</f>
        <v>1</v>
      </c>
      <c r="CN201" s="115" t="b">
        <f ca="1">IF(模拟模式!$M$7="辉耀红尘",AND(C201="净世破魔击·月",CL201,CV201=0,E200&lt;80),AND(C201="净世破魔击·月",CL201,E200&lt;100))</f>
        <v>0</v>
      </c>
      <c r="CO201" s="115" t="b">
        <f t="shared" ca="1" si="148"/>
        <v>0</v>
      </c>
      <c r="CP201" s="115" t="b">
        <f ca="1">AND(模拟模式!$O$7="用晦而明",OR(C201="净世破魔击·日",C201="净世破魔击·月",C201="驱夜断愁"),AB201)</f>
        <v>1</v>
      </c>
      <c r="CQ201" s="115" t="b">
        <f ca="1">OR(CP201,AND(CP200,RAND()&lt;模拟模式!$U$23))</f>
        <v>1</v>
      </c>
      <c r="CR201" s="115" t="b">
        <f ca="1">AND(模拟模式!$S$7="日月齐光",OR(C201="幽月轮1",C201="幽月轮2",C201="幽月轮3",CR200),NOT(OR(C201="赤日轮1",C201="赤日轮2",C201="赤日轮3")))</f>
        <v>0</v>
      </c>
      <c r="CS201" s="115" t="b">
        <f ca="1">AND(模拟模式!$S$7="日月齐光",OR(C201="赤日轮1",C201="赤日轮2",C201="赤日轮3",CS200),NOT(OR(C201="幽月轮1",C201="幽月轮2",C201="幽月轮3")))</f>
        <v>0</v>
      </c>
      <c r="CT201" s="115">
        <f t="shared" ca="1" si="176"/>
        <v>6.9375000000000124</v>
      </c>
      <c r="CU201" s="115" t="b">
        <f ca="1">AND(模拟模式!$K$10="阴阳往极",CT200=0,RAND()&lt;IF(C201="净世破魔击·月",0.0275*7/3,IF(C201="净世破魔击·日",0.0275*3/3,0.0275*2/3)))</f>
        <v>0</v>
      </c>
      <c r="CV201" s="115">
        <f t="shared" ca="1" si="177"/>
        <v>0</v>
      </c>
      <c r="CW201" s="115">
        <f t="shared" ca="1" si="149"/>
        <v>4.1549999999999994</v>
      </c>
      <c r="CX201" s="115">
        <f t="shared" ca="1" si="150"/>
        <v>2.3099999999999996</v>
      </c>
      <c r="CY201" s="115">
        <f ca="1">MAX(IF($C201="驱夜断愁",IF(模拟模式!$R$7="万念俱寂",6,45),CY200-$F$4),0)</f>
        <v>3.2324999999999995</v>
      </c>
      <c r="CZ201" s="115">
        <f t="shared" ca="1" si="151"/>
        <v>0</v>
      </c>
      <c r="DA201" s="115">
        <f ca="1">IF(模拟模式!$N$7="日月同辉",IF(DB200=2,0,MIN(6,IF(AND(OR(C201="赤日轮1",C201="赤日轮2",C201="赤日轮3",C201="幽月轮1",C201="幽月轮2",C201="幽月轮3"),AB201=1),DA200+1,DA200))),0)</f>
        <v>0</v>
      </c>
      <c r="DB201" s="115">
        <f t="shared" ca="1" si="152"/>
        <v>1</v>
      </c>
      <c r="DC201" s="115"/>
      <c r="DD201" s="115"/>
      <c r="DE201" s="115"/>
      <c r="DF201" s="115"/>
      <c r="DG201" s="115"/>
      <c r="DH201" s="115"/>
      <c r="DI201" s="115"/>
      <c r="DJ201" s="115"/>
      <c r="DK201" s="115"/>
      <c r="DL201" s="115"/>
      <c r="DM201" s="115"/>
    </row>
    <row r="202" spans="2:117" x14ac:dyDescent="0.2">
      <c r="B202" s="117">
        <f t="shared" si="153"/>
        <v>161.43750000000043</v>
      </c>
      <c r="C202" s="167" t="str">
        <f t="shared" ca="1" si="146"/>
        <v>净世破魔击·日</v>
      </c>
      <c r="D202" s="115">
        <f ca="1">IF(C202="赤日轮1",1,IF(C202="赤日轮2",2,IF(C202="赤日轮3",3,IF(C202="幽月轮1",4,IF(C202="幽月轮2",5,IF(C202="幽月轮3",6,IF(C202="烈日斩",7,IF(C202="银月斩",8,IF(C202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202="净世破魔击·月",17,IF(C202="驱夜断愁",18,0)))))))))))</f>
        <v>9</v>
      </c>
      <c r="E202" s="115">
        <f ca="1">IF(AND(CU202,OR(C202="幽月轮1",C202="幽月轮2",C202="幽月轮3",C202="银月斩",C202="驱夜断愁",C202="净世破魔击·月")),100,MIN(IF(OR(CN202,BE202),0,IF(OR($C202="赤日轮1",$C202="赤日轮2",$C202="赤日轮3"),E201+20+IF(模拟模式!$I$7="日月凌天",4,0)+IF(CR201,20,0),IF($C202="烈日斩",E201+40,IF($C202="驱夜断愁",IF(模拟模式!$R$7="万念俱寂",E201+20,E201+60),IF($C202="净世破魔击·月",IF(OR(DB201&gt;0,CV201&gt;0),100,IF(模拟模式!$M$7="辉耀红尘",E201+20,E201)),IF($C202="净世破魔击·日",E201-100,E201)))))),100))</f>
        <v>0</v>
      </c>
      <c r="F202" s="115">
        <f ca="1">IF(AND(CU202,OR(C202="赤日轮1",C202="赤日轮2",C202="赤日轮3",C202="烈日斩",C202="净世破魔击·日")),100,MIN(IF(CO202,0,IF(OR($C202="幽月轮1",$C202="幽月轮2",$C202="幽月轮3"),F201+20+IF(模拟模式!$I$7="日月凌天",4,0)+IF(CS201,20,0),IF($C202="银月斩",F201+40+IF(模拟模式!$X$12=1,5,0),IF($C202="驱夜断愁",IF(模拟模式!$R$7="万念俱寂",F201+20,F201+60),IF($C202="净世破魔击·月",IF(模拟模式!$M$7="辉耀红尘",F201-80,F201-100),IF(AND(C202="净世破魔击·日",OR(DB201&gt;0,CV201&gt;0)),100,F201)))))),100))</f>
        <v>100</v>
      </c>
      <c r="G202" s="117">
        <f ca="1">('模拟-全程加成'!$E$3+'模拟-全程加成'!$E$4+'模拟-全程加成'!$E$5+('模拟-全程加成'!$C$6-'模拟-全程加成'!$C$3)*系数!$B$9+BS202*23)*(1+'模拟-全程加成'!$F$4+'模拟-全程加成'!$F$5+BJ202*10%+BM202*20%+BP202*4%+CG202*30%)+$F$7*系数!$B$12</f>
        <v>20583.127400000001</v>
      </c>
      <c r="H202" s="45">
        <f ca="1">'模拟-全程加成'!$H$3+'模拟-全程加成'!$H$4+'模拟-全程加成'!$H$5+('模拟-全程加成'!$G$4+'模拟-全程加成'!$G$5+('模拟-全程加成'!$C$6-'模拟-全程加成'!$C$3)*系数!$B$13)/系数!$B$3+LOOKUP(D202,'模拟-单技能数据'!$A$2:$A$19,'模拟-单技能数据'!$K$2:$K$19)+BG202*10%+IF(BV202&gt;0,378,0)</f>
        <v>0.54185145527300216</v>
      </c>
      <c r="I202" s="45">
        <f ca="1">'模拟-全程加成'!$J$3+'模拟-全程加成'!$J$4+'模拟-全程加成'!$J$5+('模拟-全程加成'!$I$4+'模拟-全程加成'!$I$5)/系数!$B$4+LOOKUP(D202,'模拟-单技能数据'!$A$2:$A$19,'模拟-单技能数据'!$L$2:$L$19)+BG202*10%</f>
        <v>2.162482885499879</v>
      </c>
      <c r="J202" s="45">
        <f ca="1">(('模拟-全程加成'!$K$3+'模拟-全程加成'!$K$4+'模拟-全程加成'!$K$5+('模拟-全程加成'!$C$6-'模拟-全程加成'!$C$3)*系数!$B$10+IF(BV202&gt;0,882,0)+IF(BY202&gt;0,1831,0))*(1+'模拟-全程加成'!$L$4+'模拟-全程加成'!$L$5+CC202*20%))/系数!$B$5</f>
        <v>0.69723220422048726</v>
      </c>
      <c r="K202" s="119">
        <f ca="1">LOOKUP(D202,'模拟-单技能数据'!$A$2:$A$19,'模拟-单技能数据'!$J$2:$J$19)+IF(CM202,60%,0)+IF(DB201-DB202&gt;0,30%,0)+IF(OR(AND(OR(C202="赤日轮1",C202="赤日轮2",C202="赤日轮3"),CR202),AND(OR(C202="幽月轮1",C202="幽月轮2",C202="幽月轮3"),CS202)),35%,0)+CJ202</f>
        <v>1.1000000000000001</v>
      </c>
      <c r="L202" s="119">
        <f ca="1">IF(AND(C202="烈日斩",模拟模式!$X$11=1),10%,0)+IF(AND(C202="驱夜断愁",AB202=1),30%,0)</f>
        <v>0</v>
      </c>
      <c r="M202" s="45">
        <f t="shared" ca="1" si="185"/>
        <v>0.54185145527300216</v>
      </c>
      <c r="N202" s="45">
        <f t="shared" ca="1" si="186"/>
        <v>0.40424854472699789</v>
      </c>
      <c r="O202" s="46">
        <f t="shared" ca="1" si="154"/>
        <v>2.6141733336313422E-3</v>
      </c>
      <c r="P202" s="46" t="str">
        <f t="shared" ca="1" si="155"/>
        <v>识</v>
      </c>
      <c r="Q202" s="45">
        <f t="shared" ca="1" si="156"/>
        <v>0.25</v>
      </c>
      <c r="R202" s="117">
        <f ca="1">模拟模式!$E$20*(1-IF(模拟模式!$J$19="有",0.15,0))*(1-IF(模拟模式!$K$19="有",0.3,0)-IF(CQ202,0.5,0))</f>
        <v>843.02999999999975</v>
      </c>
      <c r="S202" s="45">
        <f ca="1">R202/(R202+(185*模拟模式!$E$22-16800)*4.08224)</f>
        <v>8.389626085980037E-2</v>
      </c>
      <c r="T202" s="45" t="str">
        <f ca="1">LOOKUP(D202,'模拟-单技能数据'!$A$2:$A$19,'模拟-单技能数据'!$H$2:$H$19)</f>
        <v>阳</v>
      </c>
      <c r="U202" s="119">
        <f t="shared" ca="1" si="187"/>
        <v>0.2</v>
      </c>
      <c r="V202" s="47">
        <f ca="1">(1+L202)*(LOOKUP(D202,'模拟-单技能数据'!$A$2:$A$19,'模拟-单技能数据'!$D$2:$D$19)+G202*LOOKUP(D202,'模拟-单技能数据'!$A$2:$A$19,'模拟-单技能数据'!$F$2:$F$19))*(1+J202)*(1+K202)*(1-S202)*(1+U202)*Q202*LOOKUP(D202,'模拟-单技能数据'!$A$2:$A$19,'模拟-单技能数据'!$I$2:$I$20)</f>
        <v>26424.30747472445</v>
      </c>
      <c r="W202" s="47">
        <f ca="1">LOOKUP(D202,'模拟-单技能数据'!$A$2:$A$19,'模拟-单技能数据'!$G$2:$G$19)*$I$10</f>
        <v>723.0212870940959</v>
      </c>
      <c r="X202" s="47">
        <f t="shared" ca="1" si="157"/>
        <v>8488.2797245609418</v>
      </c>
      <c r="Y202" s="47">
        <f t="shared" ca="1" si="188"/>
        <v>35635.608486379489</v>
      </c>
      <c r="Z202" s="49">
        <f t="shared" ca="1" si="189"/>
        <v>18261009.786765166</v>
      </c>
      <c r="AA202" s="97">
        <f t="shared" ca="1" si="190"/>
        <v>113115.0432010228</v>
      </c>
      <c r="AB202" s="115">
        <f ca="1">IF(OR(C202="赤日轮1",C202="赤日轮2",C202="赤日轮3"),IF(RAND()&lt;模拟模式!$Y$17,1,0),IF(OR(C202="幽月轮1",C202="幽月轮2",C202="幽月轮3"),IF(RAND()&lt;模拟模式!$Y$18,1,0),IF(C202="烈日斩",IF(RAND()&lt;模拟模式!$Y$19,1,0),IF(C202="银月斩",IF(RAND()&lt;模拟模式!$Y$20,1,0),IF(C202="驱夜断愁",IF(RAND()&lt;模拟模式!$Y$21,1,0),IF(C202="净世破魔击·日",IF(RAND()&lt;模拟模式!$Y$22,1,0),IF(C202="净世破魔击·月",IF(RAND()&lt;模拟模式!$Y$23,1,0),0)))))))</f>
        <v>1</v>
      </c>
      <c r="AC202" s="115" t="b">
        <f t="shared" ca="1" si="178"/>
        <v>0</v>
      </c>
      <c r="AD202" s="115" t="b">
        <f t="shared" ca="1" si="198"/>
        <v>0</v>
      </c>
      <c r="AE202" s="115">
        <f t="shared" ca="1" si="199"/>
        <v>3</v>
      </c>
      <c r="AF202" s="47">
        <f ca="1">IF(AC202,('模拟-单技能数据'!$D$20+G202*'模拟-单技能数据'!$F$20)*(1+J202)*(1+'模拟-单技能数据'!$J$20)*(1+U202),0)</f>
        <v>0</v>
      </c>
      <c r="AG202" s="61">
        <f t="shared" ca="1" si="191"/>
        <v>0.64185145527300214</v>
      </c>
      <c r="AH202" s="61">
        <f t="shared" ca="1" si="192"/>
        <v>2.2624828854998791</v>
      </c>
      <c r="AI202" s="62">
        <f t="shared" ca="1" si="158"/>
        <v>0.62290973158170659</v>
      </c>
      <c r="AJ202" s="47">
        <f ca="1">IF(AD202,IF(AI202&lt;$F$10,0,IF(AI202&lt;$F$10+$F$11,0.25,IF(AI202&lt;$F$10+$F$11+AG202,AH202,1)))*IF(AF202&gt;0,AF202,IF(AF201&gt;0,AF201,IF(AF200&gt;0,AF200,IF(AF199&gt;0,AF199,IF(AF198&gt;0,AF198,IF(AF197&gt;0,AF197,IF(AF196&gt;0,AF196,IF(AF195&gt;0,AF195,IF(AF194&gt;0,AF194,IF(AF192&gt;0,AF192,IF(AF191&gt;0,AF191,IF(AF190&gt;0,AF190,0)))))))))))),0)*(1-$S202)*'模拟-单技能数据'!$I$20</f>
        <v>0</v>
      </c>
      <c r="AK202" s="115" t="b">
        <f t="shared" ca="1" si="179"/>
        <v>1</v>
      </c>
      <c r="AL202" s="115" t="b">
        <f t="shared" ca="1" si="200"/>
        <v>0</v>
      </c>
      <c r="AM202" s="115">
        <f t="shared" ca="1" si="201"/>
        <v>6</v>
      </c>
      <c r="AN202" s="47">
        <f ca="1">IF(AK202,('模拟-单技能数据'!$D$21+G202*'模拟-单技能数据'!$F$21)*(1+J202)*(1+'模拟-单技能数据'!$J$21)*(1+U202),0)</f>
        <v>12136.56601728573</v>
      </c>
      <c r="AO202" s="61">
        <f ca="1">IF(AN202&gt;0,M202-'模拟-单技能数据'!$K$10,AO201)</f>
        <v>0.42185145527300216</v>
      </c>
      <c r="AP202" s="61">
        <f ca="1">IF(AN202&gt;0,I202-'模拟-单技能数据'!$L$10,AP201)</f>
        <v>2.162482885499879</v>
      </c>
      <c r="AQ202" s="63">
        <f t="shared" ca="1" si="159"/>
        <v>0.82732304266303769</v>
      </c>
      <c r="AR202" s="64">
        <f ca="1">IF(AL202,IF(AQ202&lt;$F$10,0,IF(AQ202&lt;$F$10+$F$11,0.25,IF(AQ202&lt;$F$10+$F$11+AO202,AP202,1)))*IF(AN202&gt;0,AN202,IF(AN201&gt;0,AN201,IF(AN200&gt;0,AN200,IF(AN199&gt;0,AN199,IF(AN198&gt;0,AN198,IF(AN197&gt;0,AN197,IF(AN196&gt;0,AN196,IF(AN195&gt;0,AN195,IF(AN194&gt;0,AN194,IF(AN192&gt;0,AN192,IF(AN191&gt;0,AN191,IF(AN190&gt;0,AN190,0)))))))))))),0)*(1-$S202)*'模拟-单技能数据'!$I$21</f>
        <v>0</v>
      </c>
      <c r="AS202" s="61">
        <f ca="1">IF(OR(C202="净世破魔击·日",C202="净世破魔击·月"),M202-'模拟-单技能数据'!$K$10,0)</f>
        <v>0.42185145527300216</v>
      </c>
      <c r="AT202" s="61">
        <f ca="1">IF(OR(C202="净世破魔击·日",C202="净世破魔击·月"),I202-'模拟-单技能数据'!$L$10,0)</f>
        <v>2.162482885499879</v>
      </c>
      <c r="AU202" s="62">
        <f t="shared" ca="1" si="160"/>
        <v>0.73529703205242047</v>
      </c>
      <c r="AV202" s="64">
        <f ca="1">IF(AS202&gt;0,('模拟-单技能数据'!$D$22+G202*'模拟-单技能数据'!$F$22)*(1+J202)*(1-S202)*IF(AU202&lt;$F$10,0,IF(AU202&lt;$F$10+$F$11,0.25,IF(AU202&lt;$F$10+$F$11+AS202,AT202,1)))*(1+U202),0)*'模拟-单技能数据'!$I$22</f>
        <v>8488.2797245609418</v>
      </c>
      <c r="AW202" s="108">
        <f t="shared" ca="1" si="161"/>
        <v>10.775000000000006</v>
      </c>
      <c r="AX202" s="108" t="b">
        <f ca="1">AND(模拟模式!$P$10="有",AW201=0,RAND()&lt;IF(C202="净世破魔击·月",0.1*8/3,IF(C202="净世破魔击·日",0.1*4/3,0.1*2/3)))</f>
        <v>0</v>
      </c>
      <c r="AY202" s="47">
        <f ca="1">IF(AX202,(18+G202*0.722)*(1+J202)*(1-S202)*(1+$I$4)*IF(P202="会",'模拟-全程加成'!$J$3+'模拟-全程加成'!$J$4+'模拟-全程加成'!$J$5+('模拟-全程加成'!$I$4+'模拟-全程加成'!$I$5)/系数!$B$4+BG202*10%,IF(P202="命",1,IF(P202="识",0.25,0))),0)</f>
        <v>0</v>
      </c>
      <c r="AZ202" s="108">
        <f t="shared" si="162"/>
        <v>0.6275000000000065</v>
      </c>
      <c r="BA202" s="108" t="b">
        <f>AND(模拟模式!$Q$10="有",AZ201=0)</f>
        <v>0</v>
      </c>
      <c r="BB202" s="140">
        <f>IF(BA202,(0+G202*0.287)*(1+J202)*(1-S202)*(1+$I$4)*IF(P202="会",'模拟-全程加成'!$J$3+'模拟-全程加成'!$J$4+'模拟-全程加成'!$J$5+('模拟-全程加成'!$I$4+'模拟-全程加成'!$I$5)/系数!$B$4+BG202*10%,IF(P202="命",1,IF(P202="识",0.25,0))),0)</f>
        <v>0</v>
      </c>
      <c r="BC202" s="115" t="b">
        <f ca="1">AND(模拟模式!$R$7="伏明众生",E202=60,F202=20,DA202&lt;5,CZ201&lt;$F$4)</f>
        <v>0</v>
      </c>
      <c r="BD202" s="115">
        <f t="shared" ca="1" si="180"/>
        <v>0</v>
      </c>
      <c r="BE202" s="115" t="b">
        <f t="shared" ca="1" si="181"/>
        <v>0</v>
      </c>
      <c r="BF202" s="47">
        <f ca="1">IF(BC202,4*('模拟-单技能数据'!$D$24+G202*'模拟-单技能数据'!$F$24)*(1+J202)*(1+'模拟-单技能数据'!$J$24)*(1-S202)*(1+$I$3)*(('模拟-全程加成'!$J$3+'模拟-全程加成'!$J$4+'模拟-全程加成'!$J$5+('模拟-全程加成'!$I$4+'模拟-全程加成'!$I$5)/系数!$B$4+BG202*10%)*('模拟-全程加成'!$J$3+'模拟-全程加成'!$J$4+'模拟-全程加成'!$J$5+('模拟-全程加成'!$I$4+'模拟-全程加成'!$I$5)/系数!$B$4+BG202*10%)+(1-('模拟-全程加成'!$J$3+'模拟-全程加成'!$J$4+'模拟-全程加成'!$J$5+('模拟-全程加成'!$I$4+'模拟-全程加成'!$I$5)/系数!$B$4+BG202*10%)-$F$10-$F$11)+F188*0.25),0)*'模拟-单技能数据'!$I$24</f>
        <v>0</v>
      </c>
      <c r="BG202" s="115" t="b">
        <f ca="1">OR(AND(OR(C202="烈日斩",C202="银月斩"),模拟模式!$I$7="净身明礼"),AND(C202="净世破魔击·日",模拟模式!$J$7="洞若观火"),AND(C203="净世破魔击·月",模拟模式!$J$7="洞若观火"),AB202=1)</f>
        <v>1</v>
      </c>
      <c r="BH202" s="115" t="b">
        <f t="shared" ca="1" si="163"/>
        <v>0</v>
      </c>
      <c r="BI202" s="115">
        <f t="shared" ca="1" si="182"/>
        <v>0</v>
      </c>
      <c r="BJ202" s="115" t="b">
        <f t="shared" ca="1" si="193"/>
        <v>0</v>
      </c>
      <c r="BK202" s="115" t="b">
        <f ca="1">AND(C202="驱夜断愁",模拟模式!$P$7="天地诛戮")</f>
        <v>0</v>
      </c>
      <c r="BL202" s="57">
        <f t="shared" ca="1" si="183"/>
        <v>16.310000000000002</v>
      </c>
      <c r="BM202" s="115" t="b">
        <f t="shared" ca="1" si="194"/>
        <v>1</v>
      </c>
      <c r="BN202" s="115" t="b">
        <f ca="1">AND(OR(C202="赤日轮1",C202="赤日轮2",C202="赤日轮3",C202="幽月轮1",C202="幽月轮2",C202="幽月轮3"),AB202=1,模拟模式!$L$7="明光恒照")</f>
        <v>0</v>
      </c>
      <c r="BO202" s="117">
        <f t="shared" ca="1" si="184"/>
        <v>28.155000000000001</v>
      </c>
      <c r="BP202" s="115">
        <f t="shared" ca="1" si="164"/>
        <v>6</v>
      </c>
      <c r="BQ202" s="115" t="b">
        <f>模拟模式!$K$10="2600·水"</f>
        <v>0</v>
      </c>
      <c r="BR202" s="117">
        <f t="shared" si="165"/>
        <v>0</v>
      </c>
      <c r="BS202" s="115">
        <f t="shared" si="166"/>
        <v>0</v>
      </c>
      <c r="BT202" s="115">
        <f t="shared" ca="1" si="167"/>
        <v>0</v>
      </c>
      <c r="BU202" s="115" t="b">
        <f ca="1">AND(模拟模式!$K$10="2300·雷",BT201=0,RAND()&lt;IF(C202="净世破魔击·月",5*0.05*2/3,IF(C202="净世破魔击·日",3*0.05*2/3,0.05*2*2/3)))</f>
        <v>0</v>
      </c>
      <c r="BV202" s="115">
        <f t="shared" ca="1" si="168"/>
        <v>0</v>
      </c>
      <c r="BW202" s="115">
        <f t="shared" ca="1" si="169"/>
        <v>24.0974999999993</v>
      </c>
      <c r="BX202" s="164" t="b">
        <f t="shared" ca="1" si="170"/>
        <v>0</v>
      </c>
      <c r="BY202" s="115">
        <f t="shared" ca="1" si="171"/>
        <v>0</v>
      </c>
      <c r="BZ202" s="115">
        <f>IF(OR(模拟模式!$P$16="10人团",模拟模式!$P$16="25人团"),IF(B202/30&gt;CA201,1,0),0)</f>
        <v>0</v>
      </c>
      <c r="CA202" s="115">
        <f t="shared" si="147"/>
        <v>0</v>
      </c>
      <c r="CB202" s="115">
        <f ca="1">IF(BZ202=1,IF(模拟模式!$P$16="10人团",15,0)+IF(模拟模式!$P$16="25人团",IF(RAND()&lt;0.6,15,0)),MAX(0,CB201-$F$4))</f>
        <v>0</v>
      </c>
      <c r="CC202" s="115" t="b">
        <f t="shared" ca="1" si="195"/>
        <v>0</v>
      </c>
      <c r="CD202" s="115">
        <f>IF(模拟模式!$Q$16="1个",IF(B202/40&gt;CE201,1,0),0)</f>
        <v>0</v>
      </c>
      <c r="CE202" s="115">
        <f t="shared" si="196"/>
        <v>0</v>
      </c>
      <c r="CF202" s="115">
        <f>IF(OR(CD202=1,模拟模式!$Q$16="2个"),20,MAX(0,CF201-$F$4))</f>
        <v>0</v>
      </c>
      <c r="CG202" s="115" t="b">
        <f t="shared" si="197"/>
        <v>0</v>
      </c>
      <c r="CH202" s="115">
        <f t="shared" ca="1" si="172"/>
        <v>3.2475000000000116</v>
      </c>
      <c r="CI202" s="115" t="b">
        <f t="shared" ca="1" si="173"/>
        <v>0</v>
      </c>
      <c r="CJ202" s="119">
        <f t="shared" ca="1" si="174"/>
        <v>0</v>
      </c>
      <c r="CK202" s="115">
        <f t="shared" ca="1" si="175"/>
        <v>0</v>
      </c>
      <c r="CL202" s="115" t="b">
        <f ca="1">AND(模拟模式!$S$7="驱夷逐法",OR(AND(C202="净世破魔击·月",E201&gt;59),AND(C202="净世破魔击·日",F201&gt;59)))</f>
        <v>0</v>
      </c>
      <c r="CM202" s="115" t="b">
        <f ca="1">OR(CL202,AND(C202="净世破魔击·日",CL201,RAND()&lt;模拟模式!$U$23))</f>
        <v>1</v>
      </c>
      <c r="CN202" s="115" t="b">
        <f ca="1">IF(模拟模式!$M$7="辉耀红尘",AND(C202="净世破魔击·月",CL202,CV202=0,E201&lt;80),AND(C202="净世破魔击·月",CL202,E201&lt;100))</f>
        <v>0</v>
      </c>
      <c r="CO202" s="115" t="b">
        <f t="shared" ca="1" si="148"/>
        <v>0</v>
      </c>
      <c r="CP202" s="115" t="b">
        <f ca="1">AND(模拟模式!$O$7="用晦而明",OR(C202="净世破魔击·日",C202="净世破魔击·月",C202="驱夜断愁"),AB202)</f>
        <v>1</v>
      </c>
      <c r="CQ202" s="115" t="b">
        <f ca="1">OR(CP202,AND(CP201,RAND()&lt;模拟模式!$U$23))</f>
        <v>1</v>
      </c>
      <c r="CR202" s="115" t="b">
        <f ca="1">AND(模拟模式!$S$7="日月齐光",OR(C202="幽月轮1",C202="幽月轮2",C202="幽月轮3",CR201),NOT(OR(C202="赤日轮1",C202="赤日轮2",C202="赤日轮3")))</f>
        <v>0</v>
      </c>
      <c r="CS202" s="115" t="b">
        <f ca="1">AND(模拟模式!$S$7="日月齐光",OR(C202="赤日轮1",C202="赤日轮2",C202="赤日轮3",CS201),NOT(OR(C202="幽月轮1",C202="幽月轮2",C202="幽月轮3")))</f>
        <v>0</v>
      </c>
      <c r="CT202" s="115">
        <f t="shared" ca="1" si="176"/>
        <v>6.0150000000000121</v>
      </c>
      <c r="CU202" s="115" t="b">
        <f ca="1">AND(模拟模式!$K$10="阴阳往极",CT201=0,RAND()&lt;IF(C202="净世破魔击·月",0.0275*7/3,IF(C202="净世破魔击·日",0.0275*3/3,0.0275*2/3)))</f>
        <v>0</v>
      </c>
      <c r="CV202" s="115">
        <f t="shared" ca="1" si="177"/>
        <v>0</v>
      </c>
      <c r="CW202" s="115">
        <f t="shared" ca="1" si="149"/>
        <v>3.2324999999999995</v>
      </c>
      <c r="CX202" s="115">
        <f t="shared" ca="1" si="150"/>
        <v>1.3874999999999997</v>
      </c>
      <c r="CY202" s="115">
        <f ca="1">MAX(IF($C202="驱夜断愁",IF(模拟模式!$R$7="万念俱寂",6,45),CY201-$F$4),0)</f>
        <v>2.3099999999999996</v>
      </c>
      <c r="CZ202" s="115">
        <f t="shared" ca="1" si="151"/>
        <v>0</v>
      </c>
      <c r="DA202" s="115">
        <f ca="1">IF(模拟模式!$N$7="日月同辉",IF(DB201=2,0,MIN(6,IF(AND(OR(C202="赤日轮1",C202="赤日轮2",C202="赤日轮3",C202="幽月轮1",C202="幽月轮2",C202="幽月轮3"),AB202=1),DA201+1,DA201))),0)</f>
        <v>0</v>
      </c>
      <c r="DB202" s="115">
        <f t="shared" ca="1" si="152"/>
        <v>0</v>
      </c>
      <c r="DC202" s="115"/>
      <c r="DD202" s="115"/>
      <c r="DE202" s="115"/>
      <c r="DF202" s="115"/>
      <c r="DG202" s="115"/>
      <c r="DH202" s="115"/>
      <c r="DI202" s="115"/>
      <c r="DJ202" s="115"/>
      <c r="DK202" s="115"/>
      <c r="DL202" s="115"/>
      <c r="DM202" s="115"/>
    </row>
    <row r="203" spans="2:117" x14ac:dyDescent="0.2">
      <c r="B203" s="117">
        <f t="shared" si="153"/>
        <v>162.36000000000044</v>
      </c>
      <c r="C203" s="167" t="str">
        <f t="shared" ca="1" si="146"/>
        <v>净世破魔击·月</v>
      </c>
      <c r="D203" s="115">
        <f ca="1">IF(C203="赤日轮1",1,IF(C203="赤日轮2",2,IF(C203="赤日轮3",3,IF(C203="幽月轮1",4,IF(C203="幽月轮2",5,IF(C203="幽月轮3",6,IF(C203="烈日斩",7,IF(C203="银月斩",8,IF(C203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203="净世破魔击·月",17,IF(C203="驱夜断愁",18,0)))))))))))</f>
        <v>17</v>
      </c>
      <c r="E203" s="115">
        <f ca="1">IF(AND(CU203,OR(C203="幽月轮1",C203="幽月轮2",C203="幽月轮3",C203="银月斩",C203="驱夜断愁",C203="净世破魔击·月")),100,MIN(IF(OR(CN203,BE203),0,IF(OR($C203="赤日轮1",$C203="赤日轮2",$C203="赤日轮3"),E202+20+IF(模拟模式!$I$7="日月凌天",4,0)+IF(CR202,20,0),IF($C203="烈日斩",E202+40,IF($C203="驱夜断愁",IF(模拟模式!$R$7="万念俱寂",E202+20,E202+60),IF($C203="净世破魔击·月",IF(OR(DB202&gt;0,CV202&gt;0),100,IF(模拟模式!$M$7="辉耀红尘",E202+20,E202)),IF($C203="净世破魔击·日",E202-100,E202)))))),100))</f>
        <v>20</v>
      </c>
      <c r="F203" s="115">
        <f ca="1">IF(AND(CU203,OR(C203="赤日轮1",C203="赤日轮2",C203="赤日轮3",C203="烈日斩",C203="净世破魔击·日")),100,MIN(IF(CO203,0,IF(OR($C203="幽月轮1",$C203="幽月轮2",$C203="幽月轮3"),F202+20+IF(模拟模式!$I$7="日月凌天",4,0)+IF(CS202,20,0),IF($C203="银月斩",F202+40+IF(模拟模式!$X$12=1,5,0),IF($C203="驱夜断愁",IF(模拟模式!$R$7="万念俱寂",F202+20,F202+60),IF($C203="净世破魔击·月",IF(模拟模式!$M$7="辉耀红尘",F202-80,F202-100),IF(AND(C203="净世破魔击·日",OR(DB202&gt;0,CV202&gt;0)),100,F202)))))),100))</f>
        <v>20</v>
      </c>
      <c r="G203" s="117">
        <f ca="1">('模拟-全程加成'!$E$3+'模拟-全程加成'!$E$4+'模拟-全程加成'!$E$5+('模拟-全程加成'!$C$6-'模拟-全程加成'!$C$3)*系数!$B$9+BS203*23)*(1+'模拟-全程加成'!$F$4+'模拟-全程加成'!$F$5+BJ203*10%+BM203*20%+BP203*4%+CG203*30%)+$F$7*系数!$B$12</f>
        <v>20583.127400000001</v>
      </c>
      <c r="H203" s="45">
        <f ca="1">'模拟-全程加成'!$H$3+'模拟-全程加成'!$H$4+'模拟-全程加成'!$H$5+('模拟-全程加成'!$G$4+'模拟-全程加成'!$G$5+('模拟-全程加成'!$C$6-'模拟-全程加成'!$C$3)*系数!$B$13)/系数!$B$3+LOOKUP(D203,'模拟-单技能数据'!$A$2:$A$19,'模拟-单技能数据'!$K$2:$K$19)+BG203*10%+IF(BV203&gt;0,378,0)</f>
        <v>0.54185145527300216</v>
      </c>
      <c r="I203" s="45">
        <f ca="1">'模拟-全程加成'!$J$3+'模拟-全程加成'!$J$4+'模拟-全程加成'!$J$5+('模拟-全程加成'!$I$4+'模拟-全程加成'!$I$5)/系数!$B$4+LOOKUP(D203,'模拟-单技能数据'!$A$2:$A$19,'模拟-单技能数据'!$L$2:$L$19)+BG203*10%</f>
        <v>2.162482885499879</v>
      </c>
      <c r="J203" s="45">
        <f ca="1">(('模拟-全程加成'!$K$3+'模拟-全程加成'!$K$4+'模拟-全程加成'!$K$5+('模拟-全程加成'!$C$6-'模拟-全程加成'!$C$3)*系数!$B$10+IF(BV203&gt;0,882,0)+IF(BY203&gt;0,1831,0))*(1+'模拟-全程加成'!$L$4+'模拟-全程加成'!$L$5+CC203*20%))/系数!$B$5</f>
        <v>0.69723220422048726</v>
      </c>
      <c r="K203" s="119">
        <f ca="1">LOOKUP(D203,'模拟-单技能数据'!$A$2:$A$19,'模拟-单技能数据'!$J$2:$J$19)+IF(CM203,60%,0)+IF(DB202-DB203&gt;0,30%,0)+IF(OR(AND(OR(C203="赤日轮1",C203="赤日轮2",C203="赤日轮3"),CR203),AND(OR(C203="幽月轮1",C203="幽月轮2",C203="幽月轮3"),CS203)),35%,0)+CJ203</f>
        <v>0.2</v>
      </c>
      <c r="L203" s="119">
        <f ca="1">IF(AND(C203="烈日斩",模拟模式!$X$11=1),10%,0)+IF(AND(C203="驱夜断愁",AB203=1),30%,0)</f>
        <v>0</v>
      </c>
      <c r="M203" s="45">
        <f t="shared" ca="1" si="185"/>
        <v>0.54185145527300216</v>
      </c>
      <c r="N203" s="45">
        <f t="shared" ca="1" si="186"/>
        <v>0.40424854472699789</v>
      </c>
      <c r="O203" s="46">
        <f t="shared" ca="1" si="154"/>
        <v>8.2387915088688035E-2</v>
      </c>
      <c r="P203" s="46" t="str">
        <f t="shared" ca="1" si="155"/>
        <v>会</v>
      </c>
      <c r="Q203" s="45">
        <f t="shared" ca="1" si="156"/>
        <v>2.162482885499879</v>
      </c>
      <c r="R203" s="117">
        <f ca="1">模拟模式!$E$20*(1-IF(模拟模式!$J$19="有",0.15,0))*(1-IF(模拟模式!$K$19="有",0.3,0)-IF(CQ203,0.5,0))</f>
        <v>843.02999999999975</v>
      </c>
      <c r="S203" s="45">
        <f ca="1">R203/(R203+(185*模拟模式!$E$22-16800)*4.08224)</f>
        <v>8.389626085980037E-2</v>
      </c>
      <c r="T203" s="45" t="str">
        <f ca="1">LOOKUP(D203,'模拟-单技能数据'!$A$2:$A$19,'模拟-单技能数据'!$H$2:$H$19)</f>
        <v>阴</v>
      </c>
      <c r="U203" s="119">
        <f t="shared" ca="1" si="187"/>
        <v>0.08</v>
      </c>
      <c r="V203" s="47">
        <f ca="1">(1+L203)*(LOOKUP(D203,'模拟-单技能数据'!$A$2:$A$19,'模拟-单技能数据'!$D$2:$D$19)+G203*LOOKUP(D203,'模拟-单技能数据'!$A$2:$A$19,'模拟-单技能数据'!$F$2:$F$19))*(1+J203)*(1+K203)*(1-S203)*(1+U203)*Q203*LOOKUP(D203,'模拟-单技能数据'!$A$2:$A$19,'模拟-单技能数据'!$I$2:$I$20)</f>
        <v>116578.90677476654</v>
      </c>
      <c r="W203" s="47">
        <f ca="1">LOOKUP(D203,'模拟-单技能数据'!$A$2:$A$19,'模拟-单技能数据'!$G$2:$G$19)*$I$10</f>
        <v>361.51064354704795</v>
      </c>
      <c r="X203" s="47">
        <f t="shared" ca="1" si="157"/>
        <v>27976.739799488569</v>
      </c>
      <c r="Y203" s="47">
        <f t="shared" ca="1" si="188"/>
        <v>144917.15721780216</v>
      </c>
      <c r="Z203" s="49">
        <f t="shared" ca="1" si="189"/>
        <v>18405926.943982966</v>
      </c>
      <c r="AA203" s="97">
        <f t="shared" ca="1" si="190"/>
        <v>113364.91096318624</v>
      </c>
      <c r="AB203" s="115">
        <f ca="1">IF(OR(C203="赤日轮1",C203="赤日轮2",C203="赤日轮3"),IF(RAND()&lt;模拟模式!$Y$17,1,0),IF(OR(C203="幽月轮1",C203="幽月轮2",C203="幽月轮3"),IF(RAND()&lt;模拟模式!$Y$18,1,0),IF(C203="烈日斩",IF(RAND()&lt;模拟模式!$Y$19,1,0),IF(C203="银月斩",IF(RAND()&lt;模拟模式!$Y$20,1,0),IF(C203="驱夜断愁",IF(RAND()&lt;模拟模式!$Y$21,1,0),IF(C203="净世破魔击·日",IF(RAND()&lt;模拟模式!$Y$22,1,0),IF(C203="净世破魔击·月",IF(RAND()&lt;模拟模式!$Y$23,1,0),0)))))))</f>
        <v>1</v>
      </c>
      <c r="AC203" s="115" t="b">
        <f t="shared" ca="1" si="178"/>
        <v>0</v>
      </c>
      <c r="AD203" s="115" t="b">
        <f t="shared" ca="1" si="198"/>
        <v>1</v>
      </c>
      <c r="AE203" s="115">
        <f t="shared" ca="1" si="199"/>
        <v>2</v>
      </c>
      <c r="AF203" s="47">
        <f ca="1">IF(AC203,('模拟-单技能数据'!$D$20+G203*'模拟-单技能数据'!$F$20)*(1+J203)*(1+'模拟-单技能数据'!$J$20)*(1+U203),0)</f>
        <v>0</v>
      </c>
      <c r="AG203" s="61">
        <f t="shared" ca="1" si="191"/>
        <v>0.64185145527300214</v>
      </c>
      <c r="AH203" s="61">
        <f t="shared" ca="1" si="192"/>
        <v>2.2624828854998791</v>
      </c>
      <c r="AI203" s="62">
        <f t="shared" ca="1" si="158"/>
        <v>8.4216512664489263E-2</v>
      </c>
      <c r="AJ203" s="47">
        <f ca="1">IF(AD203,IF(AI203&lt;$F$10,0,IF(AI203&lt;$F$10+$F$11,0.25,IF(AI203&lt;$F$10+$F$11+AG203,AH203,1)))*IF(AF203&gt;0,AF203,IF(AF202&gt;0,AF202,IF(AF201&gt;0,AF201,IF(AF200&gt;0,AF200,IF(AF199&gt;0,AF199,IF(AF198&gt;0,AF198,IF(AF197&gt;0,AF197,IF(AF196&gt;0,AF196,IF(AF195&gt;0,AF195,IF(AF193&gt;0,AF193,IF(AF192&gt;0,AF192,IF(AF191&gt;0,AF191,0)))))))))))),0)*(1-$S203)*'模拟-单技能数据'!$I$20</f>
        <v>9218.9345386263849</v>
      </c>
      <c r="AK203" s="115" t="b">
        <f t="shared" ca="1" si="179"/>
        <v>0</v>
      </c>
      <c r="AL203" s="115" t="b">
        <f t="shared" ca="1" si="200"/>
        <v>1</v>
      </c>
      <c r="AM203" s="115">
        <f t="shared" ca="1" si="201"/>
        <v>5</v>
      </c>
      <c r="AN203" s="47">
        <f ca="1">IF(AK203,('模拟-单技能数据'!$D$21+G203*'模拟-单技能数据'!$F$21)*(1+J203)*(1+'模拟-单技能数据'!$J$21)*(1+U203),0)</f>
        <v>0</v>
      </c>
      <c r="AO203" s="61">
        <f ca="1">IF(AN203&gt;0,M203-'模拟-单技能数据'!$K$10,AO202)</f>
        <v>0.42185145527300216</v>
      </c>
      <c r="AP203" s="61">
        <f ca="1">IF(AN203&gt;0,I203-'模拟-单技能数据'!$L$10,AP202)</f>
        <v>2.162482885499879</v>
      </c>
      <c r="AQ203" s="63">
        <f t="shared" ca="1" si="159"/>
        <v>0.63474794345806806</v>
      </c>
      <c r="AR203" s="64">
        <f ca="1">IF(AL203,IF(AQ203&lt;$F$10,0,IF(AQ203&lt;$F$10+$F$11,0.25,IF(AQ203&lt;$F$10+$F$11+AO203,AP203,1)))*IF(AN203&gt;0,AN203,IF(AN202&gt;0,AN202,IF(AN201&gt;0,AN201,IF(AN200&gt;0,AN200,IF(AN199&gt;0,AN199,IF(AN198&gt;0,AN198,IF(AN197&gt;0,AN197,IF(AN196&gt;0,AN196,IF(AN195&gt;0,AN195,IF(AN193&gt;0,AN193,IF(AN192&gt;0,AN192,IF(AN191&gt;0,AN191,0)))))))))))),0)*(1-$S203)*'模拟-单技能数据'!$I$21</f>
        <v>11118.353508757338</v>
      </c>
      <c r="AS203" s="61">
        <f ca="1">IF(OR(C203="净世破魔击·日",C203="净世破魔击·月"),M203-'模拟-单技能数据'!$K$10,0)</f>
        <v>0.42185145527300216</v>
      </c>
      <c r="AT203" s="61">
        <f ca="1">IF(OR(C203="净世破魔击·日",C203="净世破魔击·月"),I203-'模拟-单技能数据'!$L$10,0)</f>
        <v>2.162482885499879</v>
      </c>
      <c r="AU203" s="62">
        <f t="shared" ca="1" si="160"/>
        <v>0.71944898581513173</v>
      </c>
      <c r="AV203" s="64">
        <f ca="1">IF(AS203&gt;0,('模拟-单技能数据'!$D$22+G203*'模拟-单技能数据'!$F$22)*(1+J203)*(1-S203)*IF(AU203&lt;$F$10,0,IF(AU203&lt;$F$10+$F$11,0.25,IF(AU203&lt;$F$10+$F$11+AS203,AT203,1)))*(1+U203),0)*'模拟-单技能数据'!$I$22</f>
        <v>7639.4517521048492</v>
      </c>
      <c r="AW203" s="108">
        <f t="shared" ca="1" si="161"/>
        <v>9.8525000000000063</v>
      </c>
      <c r="AX203" s="108" t="b">
        <f ca="1">AND(模拟模式!$P$10="有",AW202=0,RAND()&lt;IF(C203="净世破魔击·月",0.1*8/3,IF(C203="净世破魔击·日",0.1*4/3,0.1*2/3)))</f>
        <v>0</v>
      </c>
      <c r="AY203" s="47">
        <f ca="1">IF(AX203,(18+G203*0.722)*(1+J203)*(1-S203)*(1+$I$4)*IF(P203="会",'模拟-全程加成'!$J$3+'模拟-全程加成'!$J$4+'模拟-全程加成'!$J$5+('模拟-全程加成'!$I$4+'模拟-全程加成'!$I$5)/系数!$B$4+BG203*10%,IF(P203="命",1,IF(P203="识",0.25,0))),0)</f>
        <v>0</v>
      </c>
      <c r="AZ203" s="108">
        <f t="shared" si="162"/>
        <v>0</v>
      </c>
      <c r="BA203" s="108" t="b">
        <f>AND(模拟模式!$Q$10="有",AZ202=0)</f>
        <v>0</v>
      </c>
      <c r="BB203" s="140">
        <f>IF(BA203,(0+G203*0.287)*(1+J203)*(1-S203)*(1+$I$4)*IF(P203="会",'模拟-全程加成'!$J$3+'模拟-全程加成'!$J$4+'模拟-全程加成'!$J$5+('模拟-全程加成'!$I$4+'模拟-全程加成'!$I$5)/系数!$B$4+BG203*10%,IF(P203="命",1,IF(P203="识",0.25,0))),0)</f>
        <v>0</v>
      </c>
      <c r="BC203" s="115" t="b">
        <f ca="1">AND(模拟模式!$R$7="伏明众生",E203=60,F203=20,DA203&lt;5,CZ202&lt;$F$4)</f>
        <v>0</v>
      </c>
      <c r="BD203" s="115">
        <f t="shared" ca="1" si="180"/>
        <v>0</v>
      </c>
      <c r="BE203" s="115" t="b">
        <f t="shared" ca="1" si="181"/>
        <v>0</v>
      </c>
      <c r="BF203" s="47">
        <f ca="1">IF(BC203,4*('模拟-单技能数据'!$D$24+G203*'模拟-单技能数据'!$F$24)*(1+J203)*(1+'模拟-单技能数据'!$J$24)*(1-S203)*(1+$I$3)*(('模拟-全程加成'!$J$3+'模拟-全程加成'!$J$4+'模拟-全程加成'!$J$5+('模拟-全程加成'!$I$4+'模拟-全程加成'!$I$5)/系数!$B$4+BG203*10%)*('模拟-全程加成'!$J$3+'模拟-全程加成'!$J$4+'模拟-全程加成'!$J$5+('模拟-全程加成'!$I$4+'模拟-全程加成'!$I$5)/系数!$B$4+BG203*10%)+(1-('模拟-全程加成'!$J$3+'模拟-全程加成'!$J$4+'模拟-全程加成'!$J$5+('模拟-全程加成'!$I$4+'模拟-全程加成'!$I$5)/系数!$B$4+BG203*10%)-$F$10-$F$11)+F189*0.25),0)*'模拟-单技能数据'!$I$24</f>
        <v>0</v>
      </c>
      <c r="BG203" s="115" t="b">
        <f ca="1">OR(AND(OR(C203="烈日斩",C203="银月斩"),模拟模式!$I$7="净身明礼"),AND(C203="净世破魔击·日",模拟模式!$J$7="洞若观火"),AND(C204="净世破魔击·月",模拟模式!$J$7="洞若观火"),AB203=1)</f>
        <v>1</v>
      </c>
      <c r="BH203" s="115" t="b">
        <f t="shared" ca="1" si="163"/>
        <v>0</v>
      </c>
      <c r="BI203" s="115">
        <f t="shared" ca="1" si="182"/>
        <v>0</v>
      </c>
      <c r="BJ203" s="115" t="b">
        <f t="shared" ca="1" si="193"/>
        <v>0</v>
      </c>
      <c r="BK203" s="115" t="b">
        <f ca="1">AND(C203="驱夜断愁",模拟模式!$P$7="天地诛戮")</f>
        <v>0</v>
      </c>
      <c r="BL203" s="57">
        <f t="shared" ca="1" si="183"/>
        <v>15.387500000000003</v>
      </c>
      <c r="BM203" s="115" t="b">
        <f t="shared" ca="1" si="194"/>
        <v>1</v>
      </c>
      <c r="BN203" s="115" t="b">
        <f ca="1">AND(OR(C203="赤日轮1",C203="赤日轮2",C203="赤日轮3",C203="幽月轮1",C203="幽月轮2",C203="幽月轮3"),AB203=1,模拟模式!$L$7="明光恒照")</f>
        <v>0</v>
      </c>
      <c r="BO203" s="117">
        <f t="shared" ca="1" si="184"/>
        <v>27.232500000000002</v>
      </c>
      <c r="BP203" s="115">
        <f t="shared" ca="1" si="164"/>
        <v>6</v>
      </c>
      <c r="BQ203" s="115" t="b">
        <f>模拟模式!$K$10="2600·水"</f>
        <v>0</v>
      </c>
      <c r="BR203" s="117">
        <f t="shared" si="165"/>
        <v>0</v>
      </c>
      <c r="BS203" s="115">
        <f t="shared" si="166"/>
        <v>0</v>
      </c>
      <c r="BT203" s="115">
        <f t="shared" ca="1" si="167"/>
        <v>0</v>
      </c>
      <c r="BU203" s="115" t="b">
        <f ca="1">AND(模拟模式!$K$10="2300·雷",BT202=0,RAND()&lt;IF(C203="净世破魔击·月",5*0.05*2/3,IF(C203="净世破魔击·日",3*0.05*2/3,0.05*2*2/3)))</f>
        <v>0</v>
      </c>
      <c r="BV203" s="115">
        <f t="shared" ca="1" si="168"/>
        <v>0</v>
      </c>
      <c r="BW203" s="115">
        <f t="shared" ca="1" si="169"/>
        <v>23.174999999999301</v>
      </c>
      <c r="BX203" s="164" t="b">
        <f t="shared" ca="1" si="170"/>
        <v>0</v>
      </c>
      <c r="BY203" s="115">
        <f t="shared" ca="1" si="171"/>
        <v>0</v>
      </c>
      <c r="BZ203" s="115">
        <f>IF(OR(模拟模式!$P$16="10人团",模拟模式!$P$16="25人团"),IF(B203/30&gt;CA202,1,0),0)</f>
        <v>0</v>
      </c>
      <c r="CA203" s="115">
        <f t="shared" si="147"/>
        <v>0</v>
      </c>
      <c r="CB203" s="115">
        <f ca="1">IF(BZ203=1,IF(模拟模式!$P$16="10人团",15,0)+IF(模拟模式!$P$16="25人团",IF(RAND()&lt;0.6,15,0)),MAX(0,CB202-$F$4))</f>
        <v>0</v>
      </c>
      <c r="CC203" s="115" t="b">
        <f t="shared" ca="1" si="195"/>
        <v>0</v>
      </c>
      <c r="CD203" s="115">
        <f>IF(模拟模式!$Q$16="1个",IF(B203/40&gt;CE202,1,0),0)</f>
        <v>0</v>
      </c>
      <c r="CE203" s="115">
        <f t="shared" si="196"/>
        <v>0</v>
      </c>
      <c r="CF203" s="115">
        <f>IF(OR(CD203=1,模拟模式!$Q$16="2个"),20,MAX(0,CF202-$F$4))</f>
        <v>0</v>
      </c>
      <c r="CG203" s="115" t="b">
        <f t="shared" si="197"/>
        <v>0</v>
      </c>
      <c r="CH203" s="115">
        <f t="shared" ca="1" si="172"/>
        <v>2.3250000000000117</v>
      </c>
      <c r="CI203" s="115" t="b">
        <f t="shared" ca="1" si="173"/>
        <v>0</v>
      </c>
      <c r="CJ203" s="119">
        <f t="shared" ca="1" si="174"/>
        <v>0</v>
      </c>
      <c r="CK203" s="115">
        <f t="shared" ca="1" si="175"/>
        <v>0</v>
      </c>
      <c r="CL203" s="115" t="b">
        <f ca="1">AND(模拟模式!$S$7="驱夷逐法",OR(AND(C203="净世破魔击·月",E202&gt;59),AND(C203="净世破魔击·日",F202&gt;59)))</f>
        <v>0</v>
      </c>
      <c r="CM203" s="115" t="b">
        <f ca="1">OR(CL203,AND(C203="净世破魔击·日",CL202,RAND()&lt;模拟模式!$U$23))</f>
        <v>0</v>
      </c>
      <c r="CN203" s="115" t="b">
        <f ca="1">IF(模拟模式!$M$7="辉耀红尘",AND(C203="净世破魔击·月",CL203,CV203=0,E202&lt;80),AND(C203="净世破魔击·月",CL203,E202&lt;100))</f>
        <v>0</v>
      </c>
      <c r="CO203" s="115" t="b">
        <f t="shared" ca="1" si="148"/>
        <v>0</v>
      </c>
      <c r="CP203" s="115" t="b">
        <f ca="1">AND(模拟模式!$O$7="用晦而明",OR(C203="净世破魔击·日",C203="净世破魔击·月",C203="驱夜断愁"),AB203)</f>
        <v>1</v>
      </c>
      <c r="CQ203" s="115" t="b">
        <f ca="1">OR(CP203,AND(CP202,RAND()&lt;模拟模式!$U$23))</f>
        <v>1</v>
      </c>
      <c r="CR203" s="115" t="b">
        <f ca="1">AND(模拟模式!$S$7="日月齐光",OR(C203="幽月轮1",C203="幽月轮2",C203="幽月轮3",CR202),NOT(OR(C203="赤日轮1",C203="赤日轮2",C203="赤日轮3")))</f>
        <v>0</v>
      </c>
      <c r="CS203" s="115" t="b">
        <f ca="1">AND(模拟模式!$S$7="日月齐光",OR(C203="赤日轮1",C203="赤日轮2",C203="赤日轮3",CS202),NOT(OR(C203="幽月轮1",C203="幽月轮2",C203="幽月轮3")))</f>
        <v>0</v>
      </c>
      <c r="CT203" s="115">
        <f t="shared" ca="1" si="176"/>
        <v>5.0925000000000118</v>
      </c>
      <c r="CU203" s="115" t="b">
        <f ca="1">AND(模拟模式!$K$10="阴阳往极",CT202=0,RAND()&lt;IF(C203="净世破魔击·月",0.0275*7/3,IF(C203="净世破魔击·日",0.0275*3/3,0.0275*2/3)))</f>
        <v>0</v>
      </c>
      <c r="CV203" s="115">
        <f t="shared" ca="1" si="177"/>
        <v>0</v>
      </c>
      <c r="CW203" s="115">
        <f t="shared" ca="1" si="149"/>
        <v>2.3099999999999996</v>
      </c>
      <c r="CX203" s="115">
        <f t="shared" ca="1" si="150"/>
        <v>0.46499999999999975</v>
      </c>
      <c r="CY203" s="115">
        <f ca="1">MAX(IF($C203="驱夜断愁",IF(模拟模式!$R$7="万念俱寂",6,45),CY202-$F$4),0)</f>
        <v>1.3874999999999997</v>
      </c>
      <c r="CZ203" s="115">
        <f t="shared" ca="1" si="151"/>
        <v>0</v>
      </c>
      <c r="DA203" s="115">
        <f ca="1">IF(模拟模式!$N$7="日月同辉",IF(DB202=2,0,MIN(6,IF(AND(OR(C203="赤日轮1",C203="赤日轮2",C203="赤日轮3",C203="幽月轮1",C203="幽月轮2",C203="幽月轮3"),AB203=1),DA202+1,DA202))),0)</f>
        <v>0</v>
      </c>
      <c r="DB203" s="115">
        <f t="shared" ca="1" si="152"/>
        <v>0</v>
      </c>
      <c r="DC203" s="115"/>
      <c r="DD203" s="115"/>
      <c r="DE203" s="115"/>
      <c r="DF203" s="115"/>
      <c r="DG203" s="115"/>
      <c r="DH203" s="115"/>
      <c r="DI203" s="115"/>
      <c r="DJ203" s="115"/>
      <c r="DK203" s="115"/>
      <c r="DL203" s="115"/>
      <c r="DM203" s="115"/>
    </row>
    <row r="204" spans="2:117" x14ac:dyDescent="0.2">
      <c r="B204" s="117">
        <f t="shared" si="153"/>
        <v>163.28250000000045</v>
      </c>
      <c r="C204" s="167" t="str">
        <f t="shared" ca="1" si="146"/>
        <v>银月斩</v>
      </c>
      <c r="D204" s="115">
        <f ca="1">IF(C204="赤日轮1",1,IF(C204="赤日轮2",2,IF(C204="赤日轮3",3,IF(C204="幽月轮1",4,IF(C204="幽月轮2",5,IF(C204="幽月轮3",6,IF(C204="烈日斩",7,IF(C204="银月斩",8,IF(C204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204="净世破魔击·月",17,IF(C204="驱夜断愁",18,0)))))))))))</f>
        <v>8</v>
      </c>
      <c r="E204" s="115">
        <f ca="1">IF(AND(CU204,OR(C204="幽月轮1",C204="幽月轮2",C204="幽月轮3",C204="银月斩",C204="驱夜断愁",C204="净世破魔击·月")),100,MIN(IF(OR(CN204,BE204),0,IF(OR($C204="赤日轮1",$C204="赤日轮2",$C204="赤日轮3"),E203+20+IF(模拟模式!$I$7="日月凌天",4,0)+IF(CR203,20,0),IF($C204="烈日斩",E203+40,IF($C204="驱夜断愁",IF(模拟模式!$R$7="万念俱寂",E203+20,E203+60),IF($C204="净世破魔击·月",IF(OR(DB203&gt;0,CV203&gt;0),100,IF(模拟模式!$M$7="辉耀红尘",E203+20,E203)),IF($C204="净世破魔击·日",E203-100,E203)))))),100))</f>
        <v>20</v>
      </c>
      <c r="F204" s="115">
        <f ca="1">IF(AND(CU204,OR(C204="赤日轮1",C204="赤日轮2",C204="赤日轮3",C204="烈日斩",C204="净世破魔击·日")),100,MIN(IF(CO204,0,IF(OR($C204="幽月轮1",$C204="幽月轮2",$C204="幽月轮3"),F203+20+IF(模拟模式!$I$7="日月凌天",4,0)+IF(CS203,20,0),IF($C204="银月斩",F203+40+IF(模拟模式!$X$12=1,5,0),IF($C204="驱夜断愁",IF(模拟模式!$R$7="万念俱寂",F203+20,F203+60),IF($C204="净世破魔击·月",IF(模拟模式!$M$7="辉耀红尘",F203-80,F203-100),IF(AND(C204="净世破魔击·日",OR(DB203&gt;0,CV203&gt;0)),100,F203)))))),100))</f>
        <v>65</v>
      </c>
      <c r="G204" s="117">
        <f ca="1">('模拟-全程加成'!$E$3+'模拟-全程加成'!$E$4+'模拟-全程加成'!$E$5+('模拟-全程加成'!$C$6-'模拟-全程加成'!$C$3)*系数!$B$9+BS204*23)*(1+'模拟-全程加成'!$F$4+'模拟-全程加成'!$F$5+BJ204*10%+BM204*20%+BP204*4%+CG204*30%)+$F$7*系数!$B$12</f>
        <v>20583.127400000001</v>
      </c>
      <c r="H204" s="45">
        <f ca="1">'模拟-全程加成'!$H$3+'模拟-全程加成'!$H$4+'模拟-全程加成'!$H$5+('模拟-全程加成'!$G$4+'模拟-全程加成'!$G$5+('模拟-全程加成'!$C$6-'模拟-全程加成'!$C$3)*系数!$B$13)/系数!$B$3+LOOKUP(D204,'模拟-单技能数据'!$A$2:$A$19,'模拟-单技能数据'!$K$2:$K$19)+BG204*10%+IF(BV204&gt;0,378,0)</f>
        <v>0.64185145527300214</v>
      </c>
      <c r="I204" s="45">
        <f ca="1">'模拟-全程加成'!$J$3+'模拟-全程加成'!$J$4+'模拟-全程加成'!$J$5+('模拟-全程加成'!$I$4+'模拟-全程加成'!$I$5)/系数!$B$4+LOOKUP(D204,'模拟-单技能数据'!$A$2:$A$19,'模拟-单技能数据'!$L$2:$L$19)+BG204*10%</f>
        <v>2.2624828854998791</v>
      </c>
      <c r="J204" s="45">
        <f ca="1">(('模拟-全程加成'!$K$3+'模拟-全程加成'!$K$4+'模拟-全程加成'!$K$5+('模拟-全程加成'!$C$6-'模拟-全程加成'!$C$3)*系数!$B$10+IF(BV204&gt;0,882,0)+IF(BY204&gt;0,1831,0))*(1+'模拟-全程加成'!$L$4+'模拟-全程加成'!$L$5+CC204*20%))/系数!$B$5</f>
        <v>0.69723220422048726</v>
      </c>
      <c r="K204" s="119">
        <f ca="1">LOOKUP(D204,'模拟-单技能数据'!$A$2:$A$19,'模拟-单技能数据'!$J$2:$J$19)+IF(CM204,60%,0)+IF(DB203-DB204&gt;0,30%,0)+IF(OR(AND(OR(C204="赤日轮1",C204="赤日轮2",C204="赤日轮3"),CR204),AND(OR(C204="幽月轮1",C204="幽月轮2",C204="幽月轮3"),CS204)),35%,0)+CJ204</f>
        <v>0.15</v>
      </c>
      <c r="L204" s="119">
        <f ca="1">IF(AND(C204="烈日斩",模拟模式!$X$11=1),10%,0)+IF(AND(C204="驱夜断愁",AB204=1),30%,0)</f>
        <v>0</v>
      </c>
      <c r="M204" s="45">
        <f t="shared" ca="1" si="185"/>
        <v>0.64185145527300214</v>
      </c>
      <c r="N204" s="45">
        <f t="shared" ca="1" si="186"/>
        <v>0.30424854472699792</v>
      </c>
      <c r="O204" s="46">
        <f t="shared" ca="1" si="154"/>
        <v>0.69306468316324954</v>
      </c>
      <c r="P204" s="46" t="str">
        <f t="shared" ca="1" si="155"/>
        <v>会</v>
      </c>
      <c r="Q204" s="45">
        <f t="shared" ca="1" si="156"/>
        <v>2.2624828854998791</v>
      </c>
      <c r="R204" s="117">
        <f ca="1">模拟模式!$E$20*(1-IF(模拟模式!$J$19="有",0.15,0))*(1-IF(模拟模式!$K$19="有",0.3,0)-IF(CQ204,0.5,0))</f>
        <v>843.02999999999975</v>
      </c>
      <c r="S204" s="45">
        <f ca="1">R204/(R204+(185*模拟模式!$E$22-16800)*4.08224)</f>
        <v>8.389626085980037E-2</v>
      </c>
      <c r="T204" s="45" t="str">
        <f ca="1">LOOKUP(D204,'模拟-单技能数据'!$A$2:$A$19,'模拟-单技能数据'!$H$2:$H$19)</f>
        <v>阴</v>
      </c>
      <c r="U204" s="119">
        <f t="shared" ca="1" si="187"/>
        <v>0.08</v>
      </c>
      <c r="V204" s="47">
        <f ca="1">(1+L204)*(LOOKUP(D204,'模拟-单技能数据'!$A$2:$A$19,'模拟-单技能数据'!$D$2:$D$19)+G204*LOOKUP(D204,'模拟-单技能数据'!$A$2:$A$19,'模拟-单技能数据'!$F$2:$F$19))*(1+J204)*(1+K204)*(1-S204)*(1+U204)*Q204*LOOKUP(D204,'模拟-单技能数据'!$A$2:$A$19,'模拟-单技能数据'!$I$2:$I$20)</f>
        <v>47762.146138749486</v>
      </c>
      <c r="W204" s="47">
        <f ca="1">LOOKUP(D204,'模拟-单技能数据'!$A$2:$A$19,'模拟-单技能数据'!$G$2:$G$19)*$I$10</f>
        <v>361.51064354704795</v>
      </c>
      <c r="X204" s="47">
        <f t="shared" ca="1" si="157"/>
        <v>21451.398601422319</v>
      </c>
      <c r="Y204" s="47">
        <f t="shared" ca="1" si="188"/>
        <v>69575.055383718849</v>
      </c>
      <c r="Z204" s="49">
        <f t="shared" ca="1" si="189"/>
        <v>18475501.999366686</v>
      </c>
      <c r="AA204" s="97">
        <f t="shared" ca="1" si="190"/>
        <v>113150.53358055293</v>
      </c>
      <c r="AB204" s="115">
        <f ca="1">IF(OR(C204="赤日轮1",C204="赤日轮2",C204="赤日轮3"),IF(RAND()&lt;模拟模式!$Y$17,1,0),IF(OR(C204="幽月轮1",C204="幽月轮2",C204="幽月轮3"),IF(RAND()&lt;模拟模式!$Y$18,1,0),IF(C204="烈日斩",IF(RAND()&lt;模拟模式!$Y$19,1,0),IF(C204="银月斩",IF(RAND()&lt;模拟模式!$Y$20,1,0),IF(C204="驱夜断愁",IF(RAND()&lt;模拟模式!$Y$21,1,0),IF(C204="净世破魔击·日",IF(RAND()&lt;模拟模式!$Y$22,1,0),IF(C204="净世破魔击·月",IF(RAND()&lt;模拟模式!$Y$23,1,0),0)))))))</f>
        <v>1</v>
      </c>
      <c r="AC204" s="115" t="b">
        <f t="shared" ca="1" si="178"/>
        <v>1</v>
      </c>
      <c r="AD204" s="115" t="b">
        <f t="shared" ca="1" si="198"/>
        <v>0</v>
      </c>
      <c r="AE204" s="115">
        <f t="shared" ca="1" si="199"/>
        <v>6</v>
      </c>
      <c r="AF204" s="47">
        <f ca="1">IF(AC204,('模拟-单技能数据'!$D$20+G204*'模拟-单技能数据'!$F$20)*(1+J204)*(1+'模拟-单技能数据'!$J$20)*(1+U204),0)</f>
        <v>4447.8565560098323</v>
      </c>
      <c r="AG204" s="61">
        <f t="shared" ca="1" si="191"/>
        <v>0.64185145527300214</v>
      </c>
      <c r="AH204" s="61">
        <f t="shared" ca="1" si="192"/>
        <v>2.2624828854998791</v>
      </c>
      <c r="AI204" s="62">
        <f t="shared" ca="1" si="158"/>
        <v>7.2607993475582444E-2</v>
      </c>
      <c r="AJ204" s="47">
        <f ca="1">IF(AD204,IF(AI204&lt;$F$10,0,IF(AI204&lt;$F$10+$F$11,0.25,IF(AI204&lt;$F$10+$F$11+AG204,AH204,1)))*IF(AF204&gt;0,AF204,IF(AF203&gt;0,AF203,IF(AF202&gt;0,AF202,IF(AF201&gt;0,AF201,IF(AF200&gt;0,AF200,IF(AF199&gt;0,AF199,IF(AF198&gt;0,AF198,IF(AF197&gt;0,AF197,IF(AF196&gt;0,AF196,IF(AF194&gt;0,AF194,IF(AF193&gt;0,AF193,IF(AF192&gt;0,AF192,0)))))))))))),0)*(1-$S204)*'模拟-单技能数据'!$I$20</f>
        <v>0</v>
      </c>
      <c r="AK204" s="115" t="b">
        <f t="shared" ca="1" si="179"/>
        <v>0</v>
      </c>
      <c r="AL204" s="115" t="b">
        <f t="shared" ca="1" si="200"/>
        <v>0</v>
      </c>
      <c r="AM204" s="115">
        <f t="shared" ca="1" si="201"/>
        <v>5</v>
      </c>
      <c r="AN204" s="47">
        <f ca="1">IF(AK204,('模拟-单技能数据'!$D$21+G204*'模拟-单技能数据'!$F$21)*(1+J204)*(1+'模拟-单技能数据'!$J$21)*(1+U204),0)</f>
        <v>0</v>
      </c>
      <c r="AO204" s="61">
        <f ca="1">IF(AN204&gt;0,M204-'模拟-单技能数据'!$K$10,AO203)</f>
        <v>0.42185145527300216</v>
      </c>
      <c r="AP204" s="61">
        <f ca="1">IF(AN204&gt;0,I204-'模拟-单技能数据'!$L$10,AP203)</f>
        <v>2.162482885499879</v>
      </c>
      <c r="AQ204" s="63">
        <f t="shared" ca="1" si="159"/>
        <v>0.25319025224941205</v>
      </c>
      <c r="AR204" s="64">
        <f ca="1">IF(AL204,IF(AQ204&lt;$F$10,0,IF(AQ204&lt;$F$10+$F$11,0.25,IF(AQ204&lt;$F$10+$F$11+AO204,AP204,1)))*IF(AN204&gt;0,AN204,IF(AN203&gt;0,AN203,IF(AN202&gt;0,AN202,IF(AN201&gt;0,AN201,IF(AN200&gt;0,AN200,IF(AN199&gt;0,AN199,IF(AN198&gt;0,AN198,IF(AN197&gt;0,AN197,IF(AN196&gt;0,AN196,IF(AN194&gt;0,AN194,IF(AN193&gt;0,AN193,IF(AN192&gt;0,AN192,0)))))))))))),0)*(1-$S204)*'模拟-单技能数据'!$I$21</f>
        <v>0</v>
      </c>
      <c r="AS204" s="61">
        <f ca="1">IF(OR(C204="净世破魔击·日",C204="净世破魔击·月"),M204-'模拟-单技能数据'!$K$10,0)</f>
        <v>0</v>
      </c>
      <c r="AT204" s="61">
        <f ca="1">IF(OR(C204="净世破魔击·日",C204="净世破魔击·月"),I204-'模拟-单技能数据'!$L$10,0)</f>
        <v>0</v>
      </c>
      <c r="AU204" s="62">
        <f t="shared" ca="1" si="160"/>
        <v>0.56173986157029254</v>
      </c>
      <c r="AV204" s="64">
        <f ca="1">IF(AS204&gt;0,('模拟-单技能数据'!$D$22+G204*'模拟-单技能数据'!$F$22)*(1+J204)*(1-S204)*IF(AU204&lt;$F$10,0,IF(AU204&lt;$F$10+$F$11,0.25,IF(AU204&lt;$F$10+$F$11+AS204,AT204,1)))*(1+U204),0)*'模拟-单技能数据'!$I$22</f>
        <v>0</v>
      </c>
      <c r="AW204" s="108">
        <f t="shared" ca="1" si="161"/>
        <v>8.9300000000000068</v>
      </c>
      <c r="AX204" s="108" t="b">
        <f ca="1">AND(模拟模式!$P$10="有",AW203=0,RAND()&lt;IF(C204="净世破魔击·月",0.1*8/3,IF(C204="净世破魔击·日",0.1*4/3,0.1*2/3)))</f>
        <v>0</v>
      </c>
      <c r="AY204" s="47">
        <f ca="1">IF(AX204,(18+G204*0.722)*(1+J204)*(1-S204)*(1+$I$4)*IF(P204="会",'模拟-全程加成'!$J$3+'模拟-全程加成'!$J$4+'模拟-全程加成'!$J$5+('模拟-全程加成'!$I$4+'模拟-全程加成'!$I$5)/系数!$B$4+BG204*10%,IF(P204="命",1,IF(P204="识",0.25,0))),0)</f>
        <v>0</v>
      </c>
      <c r="AZ204" s="108">
        <f t="shared" si="162"/>
        <v>19.077500000000001</v>
      </c>
      <c r="BA204" s="108" t="b">
        <f>AND(模拟模式!$Q$10="有",AZ203=0)</f>
        <v>1</v>
      </c>
      <c r="BB204" s="140">
        <f ca="1">IF(BA204,(0+G204*0.287)*(1+J204)*(1-S204)*(1+$I$4)*IF(P204="会",'模拟-全程加成'!$J$3+'模拟-全程加成'!$J$4+'模拟-全程加成'!$J$5+('模拟-全程加成'!$I$4+'模拟-全程加成'!$I$5)/系数!$B$4+BG204*10%,IF(P204="命",1,IF(P204="识",0.25,0))),0)</f>
        <v>21451.398601422319</v>
      </c>
      <c r="BC204" s="115" t="b">
        <f ca="1">AND(模拟模式!$R$7="伏明众生",E204=60,F204=20,DA204&lt;5,CZ203&lt;$F$4)</f>
        <v>0</v>
      </c>
      <c r="BD204" s="115">
        <f t="shared" ca="1" si="180"/>
        <v>0</v>
      </c>
      <c r="BE204" s="115" t="b">
        <f t="shared" ca="1" si="181"/>
        <v>0</v>
      </c>
      <c r="BF204" s="47">
        <f ca="1">IF(BC204,4*('模拟-单技能数据'!$D$24+G204*'模拟-单技能数据'!$F$24)*(1+J204)*(1+'模拟-单技能数据'!$J$24)*(1-S204)*(1+$I$3)*(('模拟-全程加成'!$J$3+'模拟-全程加成'!$J$4+'模拟-全程加成'!$J$5+('模拟-全程加成'!$I$4+'模拟-全程加成'!$I$5)/系数!$B$4+BG204*10%)*('模拟-全程加成'!$J$3+'模拟-全程加成'!$J$4+'模拟-全程加成'!$J$5+('模拟-全程加成'!$I$4+'模拟-全程加成'!$I$5)/系数!$B$4+BG204*10%)+(1-('模拟-全程加成'!$J$3+'模拟-全程加成'!$J$4+'模拟-全程加成'!$J$5+('模拟-全程加成'!$I$4+'模拟-全程加成'!$I$5)/系数!$B$4+BG204*10%)-$F$10-$F$11)+F190*0.25),0)*'模拟-单技能数据'!$I$24</f>
        <v>0</v>
      </c>
      <c r="BG204" s="115" t="b">
        <f ca="1">OR(AND(OR(C204="烈日斩",C204="银月斩"),模拟模式!$I$7="净身明礼"),AND(C204="净世破魔击·日",模拟模式!$J$7="洞若观火"),AND(C205="净世破魔击·月",模拟模式!$J$7="洞若观火"),AB204=1)</f>
        <v>1</v>
      </c>
      <c r="BH204" s="115" t="b">
        <f t="shared" ca="1" si="163"/>
        <v>0</v>
      </c>
      <c r="BI204" s="115">
        <f t="shared" ca="1" si="182"/>
        <v>0</v>
      </c>
      <c r="BJ204" s="115" t="b">
        <f t="shared" ca="1" si="193"/>
        <v>0</v>
      </c>
      <c r="BK204" s="115" t="b">
        <f ca="1">AND(C204="驱夜断愁",模拟模式!$P$7="天地诛戮")</f>
        <v>0</v>
      </c>
      <c r="BL204" s="57">
        <f t="shared" ca="1" si="183"/>
        <v>14.465000000000003</v>
      </c>
      <c r="BM204" s="115" t="b">
        <f t="shared" ca="1" si="194"/>
        <v>1</v>
      </c>
      <c r="BN204" s="115" t="b">
        <f ca="1">AND(OR(C204="赤日轮1",C204="赤日轮2",C204="赤日轮3",C204="幽月轮1",C204="幽月轮2",C204="幽月轮3"),AB204=1,模拟模式!$L$7="明光恒照")</f>
        <v>0</v>
      </c>
      <c r="BO204" s="117">
        <f t="shared" ca="1" si="184"/>
        <v>26.310000000000002</v>
      </c>
      <c r="BP204" s="115">
        <f t="shared" ca="1" si="164"/>
        <v>6</v>
      </c>
      <c r="BQ204" s="115" t="b">
        <f>模拟模式!$K$10="2600·水"</f>
        <v>0</v>
      </c>
      <c r="BR204" s="117">
        <f t="shared" si="165"/>
        <v>0</v>
      </c>
      <c r="BS204" s="115">
        <f t="shared" si="166"/>
        <v>0</v>
      </c>
      <c r="BT204" s="115">
        <f t="shared" ca="1" si="167"/>
        <v>0</v>
      </c>
      <c r="BU204" s="115" t="b">
        <f ca="1">AND(模拟模式!$K$10="2300·雷",BT203=0,RAND()&lt;IF(C204="净世破魔击·月",5*0.05*2/3,IF(C204="净世破魔击·日",3*0.05*2/3,0.05*2*2/3)))</f>
        <v>0</v>
      </c>
      <c r="BV204" s="115">
        <f t="shared" ca="1" si="168"/>
        <v>0</v>
      </c>
      <c r="BW204" s="115">
        <f t="shared" ca="1" si="169"/>
        <v>22.252499999999301</v>
      </c>
      <c r="BX204" s="164" t="b">
        <f t="shared" ca="1" si="170"/>
        <v>0</v>
      </c>
      <c r="BY204" s="115">
        <f t="shared" ca="1" si="171"/>
        <v>0</v>
      </c>
      <c r="BZ204" s="115">
        <f>IF(OR(模拟模式!$P$16="10人团",模拟模式!$P$16="25人团"),IF(B204/30&gt;CA203,1,0),0)</f>
        <v>0</v>
      </c>
      <c r="CA204" s="115">
        <f t="shared" si="147"/>
        <v>0</v>
      </c>
      <c r="CB204" s="115">
        <f ca="1">IF(BZ204=1,IF(模拟模式!$P$16="10人团",15,0)+IF(模拟模式!$P$16="25人团",IF(RAND()&lt;0.6,15,0)),MAX(0,CB203-$F$4))</f>
        <v>0</v>
      </c>
      <c r="CC204" s="115" t="b">
        <f t="shared" ca="1" si="195"/>
        <v>0</v>
      </c>
      <c r="CD204" s="115">
        <f>IF(模拟模式!$Q$16="1个",IF(B204/40&gt;CE203,1,0),0)</f>
        <v>0</v>
      </c>
      <c r="CE204" s="115">
        <f t="shared" si="196"/>
        <v>0</v>
      </c>
      <c r="CF204" s="115">
        <f>IF(OR(CD204=1,模拟模式!$Q$16="2个"),20,MAX(0,CF203-$F$4))</f>
        <v>0</v>
      </c>
      <c r="CG204" s="115" t="b">
        <f t="shared" si="197"/>
        <v>0</v>
      </c>
      <c r="CH204" s="115">
        <f t="shared" ca="1" si="172"/>
        <v>1.4025000000000118</v>
      </c>
      <c r="CI204" s="115" t="b">
        <f t="shared" ca="1" si="173"/>
        <v>0</v>
      </c>
      <c r="CJ204" s="119">
        <f t="shared" ca="1" si="174"/>
        <v>0</v>
      </c>
      <c r="CK204" s="115">
        <f t="shared" ca="1" si="175"/>
        <v>0</v>
      </c>
      <c r="CL204" s="115" t="b">
        <f ca="1">AND(模拟模式!$S$7="驱夷逐法",OR(AND(C204="净世破魔击·月",E203&gt;59),AND(C204="净世破魔击·日",F203&gt;59)))</f>
        <v>0</v>
      </c>
      <c r="CM204" s="115" t="b">
        <f ca="1">OR(CL204,AND(C204="净世破魔击·日",CL203,RAND()&lt;模拟模式!$U$23))</f>
        <v>0</v>
      </c>
      <c r="CN204" s="115" t="b">
        <f ca="1">IF(模拟模式!$M$7="辉耀红尘",AND(C204="净世破魔击·月",CL204,CV204=0,E203&lt;80),AND(C204="净世破魔击·月",CL204,E203&lt;100))</f>
        <v>0</v>
      </c>
      <c r="CO204" s="115" t="b">
        <f t="shared" ca="1" si="148"/>
        <v>0</v>
      </c>
      <c r="CP204" s="115" t="b">
        <f ca="1">AND(模拟模式!$O$7="用晦而明",OR(C204="净世破魔击·日",C204="净世破魔击·月",C204="驱夜断愁"),AB204)</f>
        <v>0</v>
      </c>
      <c r="CQ204" s="115" t="b">
        <f ca="1">OR(CP204,AND(CP203,RAND()&lt;模拟模式!$U$23))</f>
        <v>1</v>
      </c>
      <c r="CR204" s="115" t="b">
        <f ca="1">AND(模拟模式!$S$7="日月齐光",OR(C204="幽月轮1",C204="幽月轮2",C204="幽月轮3",CR203),NOT(OR(C204="赤日轮1",C204="赤日轮2",C204="赤日轮3")))</f>
        <v>0</v>
      </c>
      <c r="CS204" s="115" t="b">
        <f ca="1">AND(模拟模式!$S$7="日月齐光",OR(C204="赤日轮1",C204="赤日轮2",C204="赤日轮3",CS203),NOT(OR(C204="幽月轮1",C204="幽月轮2",C204="幽月轮3")))</f>
        <v>0</v>
      </c>
      <c r="CT204" s="115">
        <f t="shared" ca="1" si="176"/>
        <v>4.1700000000000115</v>
      </c>
      <c r="CU204" s="115" t="b">
        <f ca="1">AND(模拟模式!$K$10="阴阳往极",CT203=0,RAND()&lt;IF(C204="净世破魔击·月",0.0275*7/3,IF(C204="净世破魔击·日",0.0275*3/3,0.0275*2/3)))</f>
        <v>0</v>
      </c>
      <c r="CV204" s="115">
        <f t="shared" ca="1" si="177"/>
        <v>0</v>
      </c>
      <c r="CW204" s="115">
        <f t="shared" ca="1" si="149"/>
        <v>1.3874999999999997</v>
      </c>
      <c r="CX204" s="115">
        <f t="shared" ca="1" si="150"/>
        <v>6</v>
      </c>
      <c r="CY204" s="115">
        <f ca="1">MAX(IF($C204="驱夜断愁",IF(模拟模式!$R$7="万念俱寂",6,45),CY203-$F$4),0)</f>
        <v>0.46499999999999975</v>
      </c>
      <c r="CZ204" s="115">
        <f t="shared" ca="1" si="151"/>
        <v>0</v>
      </c>
      <c r="DA204" s="115">
        <f ca="1">IF(模拟模式!$N$7="日月同辉",IF(DB203=2,0,MIN(6,IF(AND(OR(C204="赤日轮1",C204="赤日轮2",C204="赤日轮3",C204="幽月轮1",C204="幽月轮2",C204="幽月轮3"),AB204=1),DA203+1,DA203))),0)</f>
        <v>0</v>
      </c>
      <c r="DB204" s="115">
        <f t="shared" ca="1" si="152"/>
        <v>0</v>
      </c>
      <c r="DC204" s="115"/>
      <c r="DD204" s="115"/>
      <c r="DE204" s="115"/>
      <c r="DF204" s="115"/>
      <c r="DG204" s="115"/>
      <c r="DH204" s="115"/>
      <c r="DI204" s="115"/>
      <c r="DJ204" s="115"/>
      <c r="DK204" s="115"/>
      <c r="DL204" s="115"/>
      <c r="DM204" s="115"/>
    </row>
    <row r="205" spans="2:117" x14ac:dyDescent="0.2">
      <c r="B205" s="117">
        <f t="shared" si="153"/>
        <v>164.20500000000047</v>
      </c>
      <c r="C205" s="167" t="str">
        <f t="shared" ca="1" si="146"/>
        <v>驱夜断愁</v>
      </c>
      <c r="D205" s="115">
        <f ca="1">IF(C205="赤日轮1",1,IF(C205="赤日轮2",2,IF(C205="赤日轮3",3,IF(C205="幽月轮1",4,IF(C205="幽月轮2",5,IF(C205="幽月轮3",6,IF(C205="烈日斩",7,IF(C205="银月斩",8,IF(C205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205="净世破魔击·月",17,IF(C205="驱夜断愁",18,0)))))))))))</f>
        <v>18</v>
      </c>
      <c r="E205" s="115">
        <f ca="1">IF(AND(CU205,OR(C205="幽月轮1",C205="幽月轮2",C205="幽月轮3",C205="银月斩",C205="驱夜断愁",C205="净世破魔击·月")),100,MIN(IF(OR(CN205,BE205),0,IF(OR($C205="赤日轮1",$C205="赤日轮2",$C205="赤日轮3"),E204+20+IF(模拟模式!$I$7="日月凌天",4,0)+IF(CR204,20,0),IF($C205="烈日斩",E204+40,IF($C205="驱夜断愁",IF(模拟模式!$R$7="万念俱寂",E204+20,E204+60),IF($C205="净世破魔击·月",IF(OR(DB204&gt;0,CV204&gt;0),100,IF(模拟模式!$M$7="辉耀红尘",E204+20,E204)),IF($C205="净世破魔击·日",E204-100,E204)))))),100))</f>
        <v>40</v>
      </c>
      <c r="F205" s="115">
        <f ca="1">IF(AND(CU205,OR(C205="赤日轮1",C205="赤日轮2",C205="赤日轮3",C205="烈日斩",C205="净世破魔击·日")),100,MIN(IF(CO205,0,IF(OR($C205="幽月轮1",$C205="幽月轮2",$C205="幽月轮3"),F204+20+IF(模拟模式!$I$7="日月凌天",4,0)+IF(CS204,20,0),IF($C205="银月斩",F204+40+IF(模拟模式!$X$12=1,5,0),IF($C205="驱夜断愁",IF(模拟模式!$R$7="万念俱寂",F204+20,F204+60),IF($C205="净世破魔击·月",IF(模拟模式!$M$7="辉耀红尘",F204-80,F204-100),IF(AND(C205="净世破魔击·日",OR(DB204&gt;0,CV204&gt;0)),100,F204)))))),100))</f>
        <v>85</v>
      </c>
      <c r="G205" s="117">
        <f ca="1">('模拟-全程加成'!$E$3+'模拟-全程加成'!$E$4+'模拟-全程加成'!$E$5+('模拟-全程加成'!$C$6-'模拟-全程加成'!$C$3)*系数!$B$9+BS205*23)*(1+'模拟-全程加成'!$F$4+'模拟-全程加成'!$F$5+BJ205*10%+BM205*20%+BP205*4%+CG205*30%)+$F$7*系数!$B$12</f>
        <v>20583.127400000001</v>
      </c>
      <c r="H205" s="45">
        <f ca="1">'模拟-全程加成'!$H$3+'模拟-全程加成'!$H$4+'模拟-全程加成'!$H$5+('模拟-全程加成'!$G$4+'模拟-全程加成'!$G$5+('模拟-全程加成'!$C$6-'模拟-全程加成'!$C$3)*系数!$B$13)/系数!$B$3+LOOKUP(D205,'模拟-单技能数据'!$A$2:$A$19,'模拟-单技能数据'!$K$2:$K$19)+BG205*10%+IF(BV205&gt;0,378,0)</f>
        <v>0.51185145527300213</v>
      </c>
      <c r="I205" s="45">
        <f ca="1">'模拟-全程加成'!$J$3+'模拟-全程加成'!$J$4+'模拟-全程加成'!$J$5+('模拟-全程加成'!$I$4+'模拟-全程加成'!$I$5)/系数!$B$4+LOOKUP(D205,'模拟-单技能数据'!$A$2:$A$19,'模拟-单技能数据'!$L$2:$L$19)+BG205*10%</f>
        <v>2.162482885499879</v>
      </c>
      <c r="J205" s="45">
        <f ca="1">(('模拟-全程加成'!$K$3+'模拟-全程加成'!$K$4+'模拟-全程加成'!$K$5+('模拟-全程加成'!$C$6-'模拟-全程加成'!$C$3)*系数!$B$10+IF(BV205&gt;0,882,0)+IF(BY205&gt;0,1831,0))*(1+'模拟-全程加成'!$L$4+'模拟-全程加成'!$L$5+CC205*20%))/系数!$B$5</f>
        <v>0.69723220422048726</v>
      </c>
      <c r="K205" s="119">
        <f ca="1">LOOKUP(D205,'模拟-单技能数据'!$A$2:$A$19,'模拟-单技能数据'!$J$2:$J$19)+IF(CM205,60%,0)+IF(DB204-DB205&gt;0,30%,0)+IF(OR(AND(OR(C205="赤日轮1",C205="赤日轮2",C205="赤日轮3"),CR205),AND(OR(C205="幽月轮1",C205="幽月轮2",C205="幽月轮3"),CS205)),35%,0)+CJ205</f>
        <v>0.14000000000000001</v>
      </c>
      <c r="L205" s="119">
        <f ca="1">IF(AND(C205="烈日斩",模拟模式!$X$11=1),10%,0)+IF(AND(C205="驱夜断愁",AB205=1),30%,0)</f>
        <v>0.3</v>
      </c>
      <c r="M205" s="45">
        <f t="shared" ca="1" si="185"/>
        <v>0.51185145527300213</v>
      </c>
      <c r="N205" s="45">
        <f t="shared" ca="1" si="186"/>
        <v>0.43424854472699792</v>
      </c>
      <c r="O205" s="46">
        <f t="shared" ca="1" si="154"/>
        <v>0.30794614900109563</v>
      </c>
      <c r="P205" s="46" t="str">
        <f t="shared" ca="1" si="155"/>
        <v>会</v>
      </c>
      <c r="Q205" s="45">
        <f t="shared" ca="1" si="156"/>
        <v>2.162482885499879</v>
      </c>
      <c r="R205" s="117">
        <f ca="1">模拟模式!$E$20*(1-IF(模拟模式!$J$19="有",0.15,0))*(1-IF(模拟模式!$K$19="有",0.3,0)-IF(CQ205,0.5,0))</f>
        <v>843.02999999999975</v>
      </c>
      <c r="S205" s="45">
        <f ca="1">R205/(R205+(185*模拟模式!$E$22-16800)*4.08224)</f>
        <v>8.389626085980037E-2</v>
      </c>
      <c r="T205" s="45" t="str">
        <f ca="1">LOOKUP(D205,'模拟-单技能数据'!$A$2:$A$19,'模拟-单技能数据'!$H$2:$H$19)</f>
        <v>阴</v>
      </c>
      <c r="U205" s="119">
        <f t="shared" ca="1" si="187"/>
        <v>0.08</v>
      </c>
      <c r="V205" s="47">
        <f ca="1">(1+L205)*(LOOKUP(D205,'模拟-单技能数据'!$A$2:$A$19,'模拟-单技能数据'!$D$2:$D$19)+G205*LOOKUP(D205,'模拟-单技能数据'!$A$2:$A$19,'模拟-单技能数据'!$F$2:$F$19))*(1+J205)*(1+K205)*(1-S205)*(1+U205)*Q205*LOOKUP(D205,'模拟-单技能数据'!$A$2:$A$19,'模拟-单技能数据'!$I$2:$I$20)</f>
        <v>127463.41908070058</v>
      </c>
      <c r="W205" s="47">
        <f ca="1">LOOKUP(D205,'模拟-单技能数据'!$A$2:$A$19,'模拟-单技能数据'!$G$2:$G$19)*$I$10</f>
        <v>723.0212870940959</v>
      </c>
      <c r="X205" s="47">
        <f t="shared" ca="1" si="157"/>
        <v>20337.288047383721</v>
      </c>
      <c r="Y205" s="47">
        <f t="shared" ca="1" si="188"/>
        <v>148523.7284151784</v>
      </c>
      <c r="Z205" s="49">
        <f t="shared" ca="1" si="189"/>
        <v>18624025.727781866</v>
      </c>
      <c r="AA205" s="97">
        <f t="shared" ca="1" si="190"/>
        <v>113419.3582886137</v>
      </c>
      <c r="AB205" s="115">
        <f ca="1">IF(OR(C205="赤日轮1",C205="赤日轮2",C205="赤日轮3"),IF(RAND()&lt;模拟模式!$Y$17,1,0),IF(OR(C205="幽月轮1",C205="幽月轮2",C205="幽月轮3"),IF(RAND()&lt;模拟模式!$Y$18,1,0),IF(C205="烈日斩",IF(RAND()&lt;模拟模式!$Y$19,1,0),IF(C205="银月斩",IF(RAND()&lt;模拟模式!$Y$20,1,0),IF(C205="驱夜断愁",IF(RAND()&lt;模拟模式!$Y$21,1,0),IF(C205="净世破魔击·日",IF(RAND()&lt;模拟模式!$Y$22,1,0),IF(C205="净世破魔击·月",IF(RAND()&lt;模拟模式!$Y$23,1,0),0)))))))</f>
        <v>1</v>
      </c>
      <c r="AC205" s="115" t="b">
        <f t="shared" ca="1" si="178"/>
        <v>0</v>
      </c>
      <c r="AD205" s="115" t="b">
        <f t="shared" ca="1" si="198"/>
        <v>1</v>
      </c>
      <c r="AE205" s="115">
        <f t="shared" ca="1" si="199"/>
        <v>5</v>
      </c>
      <c r="AF205" s="47">
        <f ca="1">IF(AC205,('模拟-单技能数据'!$D$20+G205*'模拟-单技能数据'!$F$20)*(1+J205)*(1+'模拟-单技能数据'!$J$20)*(1+U205),0)</f>
        <v>0</v>
      </c>
      <c r="AG205" s="61">
        <f t="shared" ca="1" si="191"/>
        <v>0.64185145527300214</v>
      </c>
      <c r="AH205" s="61">
        <f t="shared" ca="1" si="192"/>
        <v>2.2624828854998791</v>
      </c>
      <c r="AI205" s="62">
        <f t="shared" ca="1" si="158"/>
        <v>0.43241076072936147</v>
      </c>
      <c r="AJ205" s="47">
        <f ca="1">IF(AD205,IF(AI205&lt;$F$10,0,IF(AI205&lt;$F$10+$F$11,0.25,IF(AI205&lt;$F$10+$F$11+AG205,AH205,1)))*IF(AF205&gt;0,AF205,IF(AF204&gt;0,AF204,IF(AF203&gt;0,AF203,IF(AF202&gt;0,AF202,IF(AF201&gt;0,AF201,IF(AF200&gt;0,AF200,IF(AF199&gt;0,AF199,IF(AF198&gt;0,AF198,IF(AF197&gt;0,AF197,IF(AF195&gt;0,AF195,IF(AF194&gt;0,AF194,IF(AF193&gt;0,AF193,0)))))))))))),0)*(1-$S205)*'模拟-单技能数据'!$I$20</f>
        <v>9218.9345386263849</v>
      </c>
      <c r="AK205" s="115" t="b">
        <f t="shared" ca="1" si="179"/>
        <v>0</v>
      </c>
      <c r="AL205" s="115" t="b">
        <f t="shared" ca="1" si="200"/>
        <v>1</v>
      </c>
      <c r="AM205" s="115">
        <f t="shared" ca="1" si="201"/>
        <v>4</v>
      </c>
      <c r="AN205" s="47">
        <f ca="1">IF(AK205,('模拟-单技能数据'!$D$21+G205*'模拟-单技能数据'!$F$21)*(1+J205)*(1+'模拟-单技能数据'!$J$21)*(1+U205),0)</f>
        <v>0</v>
      </c>
      <c r="AO205" s="61">
        <f ca="1">IF(AN205&gt;0,M205-'模拟-单技能数据'!$K$10,AO204)</f>
        <v>0.42185145527300216</v>
      </c>
      <c r="AP205" s="61">
        <f ca="1">IF(AN205&gt;0,I205-'模拟-单技能数据'!$L$10,AP204)</f>
        <v>2.162482885499879</v>
      </c>
      <c r="AQ205" s="63">
        <f t="shared" ca="1" si="159"/>
        <v>0.81740222484321079</v>
      </c>
      <c r="AR205" s="64">
        <f ca="1">IF(AL205,IF(AQ205&lt;$F$10,0,IF(AQ205&lt;$F$10+$F$11,0.25,IF(AQ205&lt;$F$10+$F$11+AO205,AP205,1)))*IF(AN205&gt;0,AN205,IF(AN204&gt;0,AN204,IF(AN203&gt;0,AN203,IF(AN202&gt;0,AN202,IF(AN201&gt;0,AN201,IF(AN200&gt;0,AN200,IF(AN199&gt;0,AN199,IF(AN198&gt;0,AN198,IF(AN197&gt;0,AN197,IF(AN195&gt;0,AN195,IF(AN194&gt;0,AN194,IF(AN193&gt;0,AN193,0)))))))))))),0)*(1-$S205)*'模拟-单技能数据'!$I$21</f>
        <v>11118.353508757338</v>
      </c>
      <c r="AS205" s="61">
        <f ca="1">IF(OR(C205="净世破魔击·日",C205="净世破魔击·月"),M205-'模拟-单技能数据'!$K$10,0)</f>
        <v>0</v>
      </c>
      <c r="AT205" s="61">
        <f ca="1">IF(OR(C205="净世破魔击·日",C205="净世破魔击·月"),I205-'模拟-单技能数据'!$L$10,0)</f>
        <v>0</v>
      </c>
      <c r="AU205" s="62">
        <f t="shared" ca="1" si="160"/>
        <v>0.99505048488587244</v>
      </c>
      <c r="AV205" s="64">
        <f ca="1">IF(AS205&gt;0,('模拟-单技能数据'!$D$22+G205*'模拟-单技能数据'!$F$22)*(1+J205)*(1-S205)*IF(AU205&lt;$F$10,0,IF(AU205&lt;$F$10+$F$11,0.25,IF(AU205&lt;$F$10+$F$11+AS205,AT205,1)))*(1+U205),0)*'模拟-单技能数据'!$I$22</f>
        <v>0</v>
      </c>
      <c r="AW205" s="108">
        <f t="shared" ca="1" si="161"/>
        <v>8.0075000000000074</v>
      </c>
      <c r="AX205" s="108" t="b">
        <f ca="1">AND(模拟模式!$P$10="有",AW204=0,RAND()&lt;IF(C205="净世破魔击·月",0.1*8/3,IF(C205="净世破魔击·日",0.1*4/3,0.1*2/3)))</f>
        <v>0</v>
      </c>
      <c r="AY205" s="47">
        <f ca="1">IF(AX205,(18+G205*0.722)*(1+J205)*(1-S205)*(1+$I$4)*IF(P205="会",'模拟-全程加成'!$J$3+'模拟-全程加成'!$J$4+'模拟-全程加成'!$J$5+('模拟-全程加成'!$I$4+'模拟-全程加成'!$I$5)/系数!$B$4+BG205*10%,IF(P205="命",1,IF(P205="识",0.25,0))),0)</f>
        <v>0</v>
      </c>
      <c r="AZ205" s="108">
        <f t="shared" si="162"/>
        <v>18.155000000000001</v>
      </c>
      <c r="BA205" s="108" t="b">
        <f>AND(模拟模式!$Q$10="有",AZ204=0)</f>
        <v>0</v>
      </c>
      <c r="BB205" s="140">
        <f>IF(BA205,(0+G205*0.287)*(1+J205)*(1-S205)*(1+$I$4)*IF(P205="会",'模拟-全程加成'!$J$3+'模拟-全程加成'!$J$4+'模拟-全程加成'!$J$5+('模拟-全程加成'!$I$4+'模拟-全程加成'!$I$5)/系数!$B$4+BG205*10%,IF(P205="命",1,IF(P205="识",0.25,0))),0)</f>
        <v>0</v>
      </c>
      <c r="BC205" s="115" t="b">
        <f ca="1">AND(模拟模式!$R$7="伏明众生",E205=60,F205=20,DA205&lt;5,CZ204&lt;$F$4)</f>
        <v>0</v>
      </c>
      <c r="BD205" s="115">
        <f t="shared" ca="1" si="180"/>
        <v>0</v>
      </c>
      <c r="BE205" s="115" t="b">
        <f t="shared" ca="1" si="181"/>
        <v>0</v>
      </c>
      <c r="BF205" s="47">
        <f ca="1">IF(BC205,4*('模拟-单技能数据'!$D$24+G205*'模拟-单技能数据'!$F$24)*(1+J205)*(1+'模拟-单技能数据'!$J$24)*(1-S205)*(1+$I$3)*(('模拟-全程加成'!$J$3+'模拟-全程加成'!$J$4+'模拟-全程加成'!$J$5+('模拟-全程加成'!$I$4+'模拟-全程加成'!$I$5)/系数!$B$4+BG205*10%)*('模拟-全程加成'!$J$3+'模拟-全程加成'!$J$4+'模拟-全程加成'!$J$5+('模拟-全程加成'!$I$4+'模拟-全程加成'!$I$5)/系数!$B$4+BG205*10%)+(1-('模拟-全程加成'!$J$3+'模拟-全程加成'!$J$4+'模拟-全程加成'!$J$5+('模拟-全程加成'!$I$4+'模拟-全程加成'!$I$5)/系数!$B$4+BG205*10%)-$F$10-$F$11)+F191*0.25),0)*'模拟-单技能数据'!$I$24</f>
        <v>0</v>
      </c>
      <c r="BG205" s="115" t="b">
        <f ca="1">OR(AND(OR(C205="烈日斩",C205="银月斩"),模拟模式!$I$7="净身明礼"),AND(C205="净世破魔击·日",模拟模式!$J$7="洞若观火"),AND(C206="净世破魔击·月",模拟模式!$J$7="洞若观火"),AB205=1)</f>
        <v>1</v>
      </c>
      <c r="BH205" s="115" t="b">
        <f t="shared" ca="1" si="163"/>
        <v>0</v>
      </c>
      <c r="BI205" s="115">
        <f t="shared" ca="1" si="182"/>
        <v>0</v>
      </c>
      <c r="BJ205" s="115" t="b">
        <f t="shared" ca="1" si="193"/>
        <v>0</v>
      </c>
      <c r="BK205" s="115" t="b">
        <f ca="1">AND(C205="驱夜断愁",模拟模式!$P$7="天地诛戮")</f>
        <v>1</v>
      </c>
      <c r="BL205" s="57">
        <f t="shared" ca="1" si="183"/>
        <v>20</v>
      </c>
      <c r="BM205" s="115" t="b">
        <f t="shared" ca="1" si="194"/>
        <v>1</v>
      </c>
      <c r="BN205" s="115" t="b">
        <f ca="1">AND(OR(C205="赤日轮1",C205="赤日轮2",C205="赤日轮3",C205="幽月轮1",C205="幽月轮2",C205="幽月轮3"),AB205=1,模拟模式!$L$7="明光恒照")</f>
        <v>0</v>
      </c>
      <c r="BO205" s="117">
        <f t="shared" ca="1" si="184"/>
        <v>25.387500000000003</v>
      </c>
      <c r="BP205" s="115">
        <f t="shared" ca="1" si="164"/>
        <v>6</v>
      </c>
      <c r="BQ205" s="115" t="b">
        <f>模拟模式!$K$10="2600·水"</f>
        <v>0</v>
      </c>
      <c r="BR205" s="117">
        <f t="shared" si="165"/>
        <v>0</v>
      </c>
      <c r="BS205" s="115">
        <f t="shared" si="166"/>
        <v>0</v>
      </c>
      <c r="BT205" s="115">
        <f t="shared" ca="1" si="167"/>
        <v>0</v>
      </c>
      <c r="BU205" s="115" t="b">
        <f ca="1">AND(模拟模式!$K$10="2300·雷",BT204=0,RAND()&lt;IF(C205="净世破魔击·月",5*0.05*2/3,IF(C205="净世破魔击·日",3*0.05*2/3,0.05*2*2/3)))</f>
        <v>0</v>
      </c>
      <c r="BV205" s="115">
        <f t="shared" ca="1" si="168"/>
        <v>0</v>
      </c>
      <c r="BW205" s="115">
        <f t="shared" ca="1" si="169"/>
        <v>21.329999999999302</v>
      </c>
      <c r="BX205" s="164" t="b">
        <f t="shared" ca="1" si="170"/>
        <v>0</v>
      </c>
      <c r="BY205" s="115">
        <f t="shared" ca="1" si="171"/>
        <v>0</v>
      </c>
      <c r="BZ205" s="115">
        <f>IF(OR(模拟模式!$P$16="10人团",模拟模式!$P$16="25人团"),IF(B205/30&gt;CA204,1,0),0)</f>
        <v>0</v>
      </c>
      <c r="CA205" s="115">
        <f t="shared" si="147"/>
        <v>0</v>
      </c>
      <c r="CB205" s="115">
        <f ca="1">IF(BZ205=1,IF(模拟模式!$P$16="10人团",15,0)+IF(模拟模式!$P$16="25人团",IF(RAND()&lt;0.6,15,0)),MAX(0,CB204-$F$4))</f>
        <v>0</v>
      </c>
      <c r="CC205" s="115" t="b">
        <f t="shared" ca="1" si="195"/>
        <v>0</v>
      </c>
      <c r="CD205" s="115">
        <f>IF(模拟模式!$Q$16="1个",IF(B205/40&gt;CE204,1,0),0)</f>
        <v>0</v>
      </c>
      <c r="CE205" s="115">
        <f t="shared" si="196"/>
        <v>0</v>
      </c>
      <c r="CF205" s="115">
        <f>IF(OR(CD205=1,模拟模式!$Q$16="2个"),20,MAX(0,CF204-$F$4))</f>
        <v>0</v>
      </c>
      <c r="CG205" s="115" t="b">
        <f t="shared" si="197"/>
        <v>0</v>
      </c>
      <c r="CH205" s="115">
        <f t="shared" ca="1" si="172"/>
        <v>0.48000000000001186</v>
      </c>
      <c r="CI205" s="115" t="b">
        <f t="shared" ca="1" si="173"/>
        <v>0</v>
      </c>
      <c r="CJ205" s="119">
        <f t="shared" ca="1" si="174"/>
        <v>0</v>
      </c>
      <c r="CK205" s="115">
        <f t="shared" ca="1" si="175"/>
        <v>0</v>
      </c>
      <c r="CL205" s="115" t="b">
        <f ca="1">AND(模拟模式!$S$7="驱夷逐法",OR(AND(C205="净世破魔击·月",E204&gt;59),AND(C205="净世破魔击·日",F204&gt;59)))</f>
        <v>0</v>
      </c>
      <c r="CM205" s="115" t="b">
        <f ca="1">OR(CL205,AND(C205="净世破魔击·日",CL204,RAND()&lt;模拟模式!$U$23))</f>
        <v>0</v>
      </c>
      <c r="CN205" s="115" t="b">
        <f ca="1">IF(模拟模式!$M$7="辉耀红尘",AND(C205="净世破魔击·月",CL205,CV205=0,E204&lt;80),AND(C205="净世破魔击·月",CL205,E204&lt;100))</f>
        <v>0</v>
      </c>
      <c r="CO205" s="115" t="b">
        <f t="shared" ca="1" si="148"/>
        <v>0</v>
      </c>
      <c r="CP205" s="115" t="b">
        <f ca="1">AND(模拟模式!$O$7="用晦而明",OR(C205="净世破魔击·日",C205="净世破魔击·月",C205="驱夜断愁"),AB205)</f>
        <v>1</v>
      </c>
      <c r="CQ205" s="115" t="b">
        <f ca="1">OR(CP205,AND(CP204,RAND()&lt;模拟模式!$U$23))</f>
        <v>1</v>
      </c>
      <c r="CR205" s="115" t="b">
        <f ca="1">AND(模拟模式!$S$7="日月齐光",OR(C205="幽月轮1",C205="幽月轮2",C205="幽月轮3",CR204),NOT(OR(C205="赤日轮1",C205="赤日轮2",C205="赤日轮3")))</f>
        <v>0</v>
      </c>
      <c r="CS205" s="115" t="b">
        <f ca="1">AND(模拟模式!$S$7="日月齐光",OR(C205="赤日轮1",C205="赤日轮2",C205="赤日轮3",CS204),NOT(OR(C205="幽月轮1",C205="幽月轮2",C205="幽月轮3")))</f>
        <v>0</v>
      </c>
      <c r="CT205" s="115">
        <f t="shared" ca="1" si="176"/>
        <v>3.2475000000000116</v>
      </c>
      <c r="CU205" s="115" t="b">
        <f ca="1">AND(模拟模式!$K$10="阴阳往极",CT204=0,RAND()&lt;IF(C205="净世破魔击·月",0.0275*7/3,IF(C205="净世破魔击·日",0.0275*3/3,0.0275*2/3)))</f>
        <v>0</v>
      </c>
      <c r="CV205" s="115">
        <f t="shared" ca="1" si="177"/>
        <v>0</v>
      </c>
      <c r="CW205" s="115">
        <f t="shared" ca="1" si="149"/>
        <v>0.46499999999999975</v>
      </c>
      <c r="CX205" s="115">
        <f t="shared" ca="1" si="150"/>
        <v>5.0774999999999997</v>
      </c>
      <c r="CY205" s="115">
        <f ca="1">MAX(IF($C205="驱夜断愁",IF(模拟模式!$R$7="万念俱寂",6,45),CY204-$F$4),0)</f>
        <v>6</v>
      </c>
      <c r="CZ205" s="115">
        <f t="shared" ca="1" si="151"/>
        <v>0</v>
      </c>
      <c r="DA205" s="115">
        <f ca="1">IF(模拟模式!$N$7="日月同辉",IF(DB204=2,0,MIN(6,IF(AND(OR(C205="赤日轮1",C205="赤日轮2",C205="赤日轮3",C205="幽月轮1",C205="幽月轮2",C205="幽月轮3"),AB205=1),DA204+1,DA204))),0)</f>
        <v>0</v>
      </c>
      <c r="DB205" s="115">
        <f t="shared" ca="1" si="152"/>
        <v>0</v>
      </c>
      <c r="DC205" s="115"/>
      <c r="DD205" s="115"/>
      <c r="DE205" s="115"/>
      <c r="DF205" s="115"/>
      <c r="DG205" s="115"/>
      <c r="DH205" s="115"/>
      <c r="DI205" s="115"/>
      <c r="DJ205" s="115"/>
      <c r="DK205" s="115"/>
      <c r="DL205" s="115"/>
      <c r="DM205" s="115"/>
    </row>
    <row r="206" spans="2:117" x14ac:dyDescent="0.2">
      <c r="B206" s="117">
        <f t="shared" si="153"/>
        <v>165.12750000000048</v>
      </c>
      <c r="C206" s="167" t="str">
        <f t="shared" ca="1" si="146"/>
        <v>烈日斩</v>
      </c>
      <c r="D206" s="115">
        <f ca="1">IF(C206="赤日轮1",1,IF(C206="赤日轮2",2,IF(C206="赤日轮3",3,IF(C206="幽月轮1",4,IF(C206="幽月轮2",5,IF(C206="幽月轮3",6,IF(C206="烈日斩",7,IF(C206="银月斩",8,IF(C206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206="净世破魔击·月",17,IF(C206="驱夜断愁",18,0)))))))))))</f>
        <v>7</v>
      </c>
      <c r="E206" s="115">
        <f ca="1">IF(AND(CU206,OR(C206="幽月轮1",C206="幽月轮2",C206="幽月轮3",C206="银月斩",C206="驱夜断愁",C206="净世破魔击·月")),100,MIN(IF(OR(CN206,BE206),0,IF(OR($C206="赤日轮1",$C206="赤日轮2",$C206="赤日轮3"),E205+20+IF(模拟模式!$I$7="日月凌天",4,0)+IF(CR205,20,0),IF($C206="烈日斩",E205+40,IF($C206="驱夜断愁",IF(模拟模式!$R$7="万念俱寂",E205+20,E205+60),IF($C206="净世破魔击·月",IF(OR(DB205&gt;0,CV205&gt;0),100,IF(模拟模式!$M$7="辉耀红尘",E205+20,E205)),IF($C206="净世破魔击·日",E205-100,E205)))))),100))</f>
        <v>80</v>
      </c>
      <c r="F206" s="115">
        <f ca="1">IF(AND(CU206,OR(C206="赤日轮1",C206="赤日轮2",C206="赤日轮3",C206="烈日斩",C206="净世破魔击·日")),100,MIN(IF(CO206,0,IF(OR($C206="幽月轮1",$C206="幽月轮2",$C206="幽月轮3"),F205+20+IF(模拟模式!$I$7="日月凌天",4,0)+IF(CS205,20,0),IF($C206="银月斩",F205+40+IF(模拟模式!$X$12=1,5,0),IF($C206="驱夜断愁",IF(模拟模式!$R$7="万念俱寂",F205+20,F205+60),IF($C206="净世破魔击·月",IF(模拟模式!$M$7="辉耀红尘",F205-80,F205-100),IF(AND(C206="净世破魔击·日",OR(DB205&gt;0,CV205&gt;0)),100,F205)))))),100))</f>
        <v>85</v>
      </c>
      <c r="G206" s="117">
        <f ca="1">('模拟-全程加成'!$E$3+'模拟-全程加成'!$E$4+'模拟-全程加成'!$E$5+('模拟-全程加成'!$C$6-'模拟-全程加成'!$C$3)*系数!$B$9+BS206*23)*(1+'模拟-全程加成'!$F$4+'模拟-全程加成'!$F$5+BJ206*10%+BM206*20%+BP206*4%+CG206*30%)+$F$7*系数!$B$12</f>
        <v>20583.127400000001</v>
      </c>
      <c r="H206" s="45">
        <f ca="1">'模拟-全程加成'!$H$3+'模拟-全程加成'!$H$4+'模拟-全程加成'!$H$5+('模拟-全程加成'!$G$4+'模拟-全程加成'!$G$5+('模拟-全程加成'!$C$6-'模拟-全程加成'!$C$3)*系数!$B$13)/系数!$B$3+LOOKUP(D206,'模拟-单技能数据'!$A$2:$A$19,'模拟-单技能数据'!$K$2:$K$19)+BG206*10%+IF(BV206&gt;0,378,0)</f>
        <v>0.56185145527300218</v>
      </c>
      <c r="I206" s="45">
        <f ca="1">'模拟-全程加成'!$J$3+'模拟-全程加成'!$J$4+'模拟-全程加成'!$J$5+('模拟-全程加成'!$I$4+'模拟-全程加成'!$I$5)/系数!$B$4+LOOKUP(D206,'模拟-单技能数据'!$A$2:$A$19,'模拟-单技能数据'!$L$2:$L$19)+BG206*10%</f>
        <v>2.2624828854998791</v>
      </c>
      <c r="J206" s="45">
        <f ca="1">(('模拟-全程加成'!$K$3+'模拟-全程加成'!$K$4+'模拟-全程加成'!$K$5+('模拟-全程加成'!$C$6-'模拟-全程加成'!$C$3)*系数!$B$10+IF(BV206&gt;0,882,0)+IF(BY206&gt;0,1831,0))*(1+'模拟-全程加成'!$L$4+'模拟-全程加成'!$L$5+CC206*20%))/系数!$B$5</f>
        <v>0.69723220422048726</v>
      </c>
      <c r="K206" s="119">
        <f ca="1">LOOKUP(D206,'模拟-单技能数据'!$A$2:$A$19,'模拟-单技能数据'!$J$2:$J$19)+IF(CM206,60%,0)+IF(DB205-DB206&gt;0,30%,0)+IF(OR(AND(OR(C206="赤日轮1",C206="赤日轮2",C206="赤日轮3"),CR206),AND(OR(C206="幽月轮1",C206="幽月轮2",C206="幽月轮3"),CS206)),35%,0)+CJ206</f>
        <v>0.24</v>
      </c>
      <c r="L206" s="119">
        <f ca="1">IF(AND(C206="烈日斩",模拟模式!$X$11=1),10%,0)+IF(AND(C206="驱夜断愁",AB206=1),30%,0)</f>
        <v>0.1</v>
      </c>
      <c r="M206" s="45">
        <f t="shared" ca="1" si="185"/>
        <v>0.56185145527300218</v>
      </c>
      <c r="N206" s="45">
        <f t="shared" ca="1" si="186"/>
        <v>0.38424854472699788</v>
      </c>
      <c r="O206" s="46">
        <f t="shared" ca="1" si="154"/>
        <v>0.30793233636824702</v>
      </c>
      <c r="P206" s="46" t="str">
        <f t="shared" ca="1" si="155"/>
        <v>会</v>
      </c>
      <c r="Q206" s="45">
        <f t="shared" ca="1" si="156"/>
        <v>2.2624828854998791</v>
      </c>
      <c r="R206" s="117">
        <f ca="1">模拟模式!$E$20*(1-IF(模拟模式!$J$19="有",0.15,0))*(1-IF(模拟模式!$K$19="有",0.3,0)-IF(CQ206,0.5,0))</f>
        <v>843.02999999999975</v>
      </c>
      <c r="S206" s="45">
        <f ca="1">R206/(R206+(185*模拟模式!$E$22-16800)*4.08224)</f>
        <v>8.389626085980037E-2</v>
      </c>
      <c r="T206" s="45" t="str">
        <f ca="1">LOOKUP(D206,'模拟-单技能数据'!$A$2:$A$19,'模拟-单技能数据'!$H$2:$H$19)</f>
        <v>阳</v>
      </c>
      <c r="U206" s="119">
        <f t="shared" ca="1" si="187"/>
        <v>0.2</v>
      </c>
      <c r="V206" s="47">
        <f ca="1">(1+L206)*(LOOKUP(D206,'模拟-单技能数据'!$A$2:$A$19,'模拟-单技能数据'!$D$2:$D$19)+G206*LOOKUP(D206,'模拟-单技能数据'!$A$2:$A$19,'模拟-单技能数据'!$F$2:$F$19))*(1+J206)*(1+K206)*(1-S206)*(1+U206)*Q206*LOOKUP(D206,'模拟-单技能数据'!$A$2:$A$19,'模拟-单技能数据'!$I$2:$I$20)</f>
        <v>105861.05199666526</v>
      </c>
      <c r="W206" s="47">
        <f ca="1">LOOKUP(D206,'模拟-单技能数据'!$A$2:$A$19,'模拟-单技能数据'!$G$2:$G$19)*$I$10</f>
        <v>361.51064354704795</v>
      </c>
      <c r="X206" s="47">
        <f t="shared" ca="1" si="157"/>
        <v>0</v>
      </c>
      <c r="Y206" s="47">
        <f t="shared" ca="1" si="188"/>
        <v>106222.56264021232</v>
      </c>
      <c r="Z206" s="49">
        <f t="shared" ca="1" si="189"/>
        <v>18730248.290422078</v>
      </c>
      <c r="AA206" s="97">
        <f t="shared" ca="1" si="190"/>
        <v>113429.00661865542</v>
      </c>
      <c r="AB206" s="115">
        <f ca="1">IF(OR(C206="赤日轮1",C206="赤日轮2",C206="赤日轮3"),IF(RAND()&lt;模拟模式!$Y$17,1,0),IF(OR(C206="幽月轮1",C206="幽月轮2",C206="幽月轮3"),IF(RAND()&lt;模拟模式!$Y$18,1,0),IF(C206="烈日斩",IF(RAND()&lt;模拟模式!$Y$19,1,0),IF(C206="银月斩",IF(RAND()&lt;模拟模式!$Y$20,1,0),IF(C206="驱夜断愁",IF(RAND()&lt;模拟模式!$Y$21,1,0),IF(C206="净世破魔击·日",IF(RAND()&lt;模拟模式!$Y$22,1,0),IF(C206="净世破魔击·月",IF(RAND()&lt;模拟模式!$Y$23,1,0),0)))))))</f>
        <v>1</v>
      </c>
      <c r="AC206" s="115" t="b">
        <f t="shared" ca="1" si="178"/>
        <v>0</v>
      </c>
      <c r="AD206" s="115" t="b">
        <f t="shared" ca="1" si="198"/>
        <v>0</v>
      </c>
      <c r="AE206" s="115">
        <f t="shared" ca="1" si="199"/>
        <v>5</v>
      </c>
      <c r="AF206" s="47">
        <f ca="1">IF(AC206,('模拟-单技能数据'!$D$20+G206*'模拟-单技能数据'!$F$20)*(1+J206)*(1+'模拟-单技能数据'!$J$20)*(1+U206),0)</f>
        <v>0</v>
      </c>
      <c r="AG206" s="61">
        <f t="shared" ca="1" si="191"/>
        <v>0.64185145527300214</v>
      </c>
      <c r="AH206" s="61">
        <f t="shared" ca="1" si="192"/>
        <v>2.2624828854998791</v>
      </c>
      <c r="AI206" s="62">
        <f t="shared" ca="1" si="158"/>
        <v>0.98319877288623858</v>
      </c>
      <c r="AJ206" s="47">
        <f ca="1">IF(AD206,IF(AI206&lt;$F$10,0,IF(AI206&lt;$F$10+$F$11,0.25,IF(AI206&lt;$F$10+$F$11+AG206,AH206,1)))*IF(AF206&gt;0,AF206,IF(AF205&gt;0,AF205,IF(AF204&gt;0,AF204,IF(AF203&gt;0,AF203,IF(AF202&gt;0,AF202,IF(AF201&gt;0,AF201,IF(AF200&gt;0,AF200,IF(AF199&gt;0,AF199,IF(AF198&gt;0,AF198,IF(AF196&gt;0,AF196,IF(AF195&gt;0,AF195,IF(AF194&gt;0,AF194,0)))))))))))),0)*(1-$S206)*'模拟-单技能数据'!$I$20</f>
        <v>0</v>
      </c>
      <c r="AK206" s="115" t="b">
        <f t="shared" ca="1" si="179"/>
        <v>0</v>
      </c>
      <c r="AL206" s="115" t="b">
        <f t="shared" ca="1" si="200"/>
        <v>0</v>
      </c>
      <c r="AM206" s="115">
        <f t="shared" ca="1" si="201"/>
        <v>4</v>
      </c>
      <c r="AN206" s="47">
        <f ca="1">IF(AK206,('模拟-单技能数据'!$D$21+G206*'模拟-单技能数据'!$F$21)*(1+J206)*(1+'模拟-单技能数据'!$J$21)*(1+U206),0)</f>
        <v>0</v>
      </c>
      <c r="AO206" s="61">
        <f ca="1">IF(AN206&gt;0,M206-'模拟-单技能数据'!$K$10,AO205)</f>
        <v>0.42185145527300216</v>
      </c>
      <c r="AP206" s="61">
        <f ca="1">IF(AN206&gt;0,I206-'模拟-单技能数据'!$L$10,AP205)</f>
        <v>2.162482885499879</v>
      </c>
      <c r="AQ206" s="63">
        <f t="shared" ca="1" si="159"/>
        <v>0.38385499303333115</v>
      </c>
      <c r="AR206" s="64">
        <f ca="1">IF(AL206,IF(AQ206&lt;$F$10,0,IF(AQ206&lt;$F$10+$F$11,0.25,IF(AQ206&lt;$F$10+$F$11+AO206,AP206,1)))*IF(AN206&gt;0,AN206,IF(AN205&gt;0,AN205,IF(AN204&gt;0,AN204,IF(AN203&gt;0,AN203,IF(AN202&gt;0,AN202,IF(AN201&gt;0,AN201,IF(AN200&gt;0,AN200,IF(AN199&gt;0,AN199,IF(AN198&gt;0,AN198,IF(AN196&gt;0,AN196,IF(AN195&gt;0,AN195,IF(AN194&gt;0,AN194,0)))))))))))),0)*(1-$S206)*'模拟-单技能数据'!$I$21</f>
        <v>0</v>
      </c>
      <c r="AS206" s="61">
        <f ca="1">IF(OR(C206="净世破魔击·日",C206="净世破魔击·月"),M206-'模拟-单技能数据'!$K$10,0)</f>
        <v>0</v>
      </c>
      <c r="AT206" s="61">
        <f ca="1">IF(OR(C206="净世破魔击·日",C206="净世破魔击·月"),I206-'模拟-单技能数据'!$L$10,0)</f>
        <v>0</v>
      </c>
      <c r="AU206" s="62">
        <f t="shared" ca="1" si="160"/>
        <v>2.0498536989488336E-3</v>
      </c>
      <c r="AV206" s="64">
        <f ca="1">IF(AS206&gt;0,('模拟-单技能数据'!$D$22+G206*'模拟-单技能数据'!$F$22)*(1+J206)*(1-S206)*IF(AU206&lt;$F$10,0,IF(AU206&lt;$F$10+$F$11,0.25,IF(AU206&lt;$F$10+$F$11+AS206,AT206,1)))*(1+U206),0)*'模拟-单技能数据'!$I$22</f>
        <v>0</v>
      </c>
      <c r="AW206" s="108">
        <f t="shared" ca="1" si="161"/>
        <v>7.0850000000000071</v>
      </c>
      <c r="AX206" s="108" t="b">
        <f ca="1">AND(模拟模式!$P$10="有",AW205=0,RAND()&lt;IF(C206="净世破魔击·月",0.1*8/3,IF(C206="净世破魔击·日",0.1*4/3,0.1*2/3)))</f>
        <v>0</v>
      </c>
      <c r="AY206" s="47">
        <f ca="1">IF(AX206,(18+G206*0.722)*(1+J206)*(1-S206)*(1+$I$4)*IF(P206="会",'模拟-全程加成'!$J$3+'模拟-全程加成'!$J$4+'模拟-全程加成'!$J$5+('模拟-全程加成'!$I$4+'模拟-全程加成'!$I$5)/系数!$B$4+BG206*10%,IF(P206="命",1,IF(P206="识",0.25,0))),0)</f>
        <v>0</v>
      </c>
      <c r="AZ206" s="108">
        <f t="shared" si="162"/>
        <v>17.232500000000002</v>
      </c>
      <c r="BA206" s="108" t="b">
        <f>AND(模拟模式!$Q$10="有",AZ205=0)</f>
        <v>0</v>
      </c>
      <c r="BB206" s="140">
        <f>IF(BA206,(0+G206*0.287)*(1+J206)*(1-S206)*(1+$I$4)*IF(P206="会",'模拟-全程加成'!$J$3+'模拟-全程加成'!$J$4+'模拟-全程加成'!$J$5+('模拟-全程加成'!$I$4+'模拟-全程加成'!$I$5)/系数!$B$4+BG206*10%,IF(P206="命",1,IF(P206="识",0.25,0))),0)</f>
        <v>0</v>
      </c>
      <c r="BC206" s="115" t="b">
        <f ca="1">AND(模拟模式!$R$7="伏明众生",E206=60,F206=20,DA206&lt;5,CZ205&lt;$F$4)</f>
        <v>0</v>
      </c>
      <c r="BD206" s="115">
        <f t="shared" ca="1" si="180"/>
        <v>0</v>
      </c>
      <c r="BE206" s="115" t="b">
        <f t="shared" ca="1" si="181"/>
        <v>0</v>
      </c>
      <c r="BF206" s="47">
        <f ca="1">IF(BC206,4*('模拟-单技能数据'!$D$24+G206*'模拟-单技能数据'!$F$24)*(1+J206)*(1+'模拟-单技能数据'!$J$24)*(1-S206)*(1+$I$3)*(('模拟-全程加成'!$J$3+'模拟-全程加成'!$J$4+'模拟-全程加成'!$J$5+('模拟-全程加成'!$I$4+'模拟-全程加成'!$I$5)/系数!$B$4+BG206*10%)*('模拟-全程加成'!$J$3+'模拟-全程加成'!$J$4+'模拟-全程加成'!$J$5+('模拟-全程加成'!$I$4+'模拟-全程加成'!$I$5)/系数!$B$4+BG206*10%)+(1-('模拟-全程加成'!$J$3+'模拟-全程加成'!$J$4+'模拟-全程加成'!$J$5+('模拟-全程加成'!$I$4+'模拟-全程加成'!$I$5)/系数!$B$4+BG206*10%)-$F$10-$F$11)+F192*0.25),0)*'模拟-单技能数据'!$I$24</f>
        <v>0</v>
      </c>
      <c r="BG206" s="115" t="b">
        <f ca="1">OR(AND(OR(C206="烈日斩",C206="银月斩"),模拟模式!$I$7="净身明礼"),AND(C206="净世破魔击·日",模拟模式!$J$7="洞若观火"),AND(C207="净世破魔击·月",模拟模式!$J$7="洞若观火"),AB206=1)</f>
        <v>1</v>
      </c>
      <c r="BH206" s="115" t="b">
        <f t="shared" ca="1" si="163"/>
        <v>0</v>
      </c>
      <c r="BI206" s="115">
        <f t="shared" ca="1" si="182"/>
        <v>0</v>
      </c>
      <c r="BJ206" s="115" t="b">
        <f t="shared" ca="1" si="193"/>
        <v>0</v>
      </c>
      <c r="BK206" s="115" t="b">
        <f ca="1">AND(C206="驱夜断愁",模拟模式!$P$7="天地诛戮")</f>
        <v>0</v>
      </c>
      <c r="BL206" s="57">
        <f t="shared" ca="1" si="183"/>
        <v>19.077500000000001</v>
      </c>
      <c r="BM206" s="115" t="b">
        <f t="shared" ca="1" si="194"/>
        <v>1</v>
      </c>
      <c r="BN206" s="115" t="b">
        <f ca="1">AND(OR(C206="赤日轮1",C206="赤日轮2",C206="赤日轮3",C206="幽月轮1",C206="幽月轮2",C206="幽月轮3"),AB206=1,模拟模式!$L$7="明光恒照")</f>
        <v>0</v>
      </c>
      <c r="BO206" s="117">
        <f t="shared" ca="1" si="184"/>
        <v>24.465000000000003</v>
      </c>
      <c r="BP206" s="115">
        <f t="shared" ca="1" si="164"/>
        <v>6</v>
      </c>
      <c r="BQ206" s="115" t="b">
        <f>模拟模式!$K$10="2600·水"</f>
        <v>0</v>
      </c>
      <c r="BR206" s="117">
        <f t="shared" si="165"/>
        <v>0</v>
      </c>
      <c r="BS206" s="115">
        <f t="shared" si="166"/>
        <v>0</v>
      </c>
      <c r="BT206" s="115">
        <f t="shared" ca="1" si="167"/>
        <v>0</v>
      </c>
      <c r="BU206" s="115" t="b">
        <f ca="1">AND(模拟模式!$K$10="2300·雷",BT205=0,RAND()&lt;IF(C206="净世破魔击·月",5*0.05*2/3,IF(C206="净世破魔击·日",3*0.05*2/3,0.05*2*2/3)))</f>
        <v>0</v>
      </c>
      <c r="BV206" s="115">
        <f t="shared" ca="1" si="168"/>
        <v>0</v>
      </c>
      <c r="BW206" s="115">
        <f t="shared" ca="1" si="169"/>
        <v>20.407499999999303</v>
      </c>
      <c r="BX206" s="164" t="b">
        <f t="shared" ca="1" si="170"/>
        <v>0</v>
      </c>
      <c r="BY206" s="115">
        <f t="shared" ca="1" si="171"/>
        <v>0</v>
      </c>
      <c r="BZ206" s="115">
        <f>IF(OR(模拟模式!$P$16="10人团",模拟模式!$P$16="25人团"),IF(B206/30&gt;CA205,1,0),0)</f>
        <v>0</v>
      </c>
      <c r="CA206" s="115">
        <f t="shared" si="147"/>
        <v>0</v>
      </c>
      <c r="CB206" s="115">
        <f ca="1">IF(BZ206=1,IF(模拟模式!$P$16="10人团",15,0)+IF(模拟模式!$P$16="25人团",IF(RAND()&lt;0.6,15,0)),MAX(0,CB205-$F$4))</f>
        <v>0</v>
      </c>
      <c r="CC206" s="115" t="b">
        <f t="shared" ca="1" si="195"/>
        <v>0</v>
      </c>
      <c r="CD206" s="115">
        <f>IF(模拟模式!$Q$16="1个",IF(B206/40&gt;CE205,1,0),0)</f>
        <v>0</v>
      </c>
      <c r="CE206" s="115">
        <f t="shared" si="196"/>
        <v>0</v>
      </c>
      <c r="CF206" s="115">
        <f>IF(OR(CD206=1,模拟模式!$Q$16="2个"),20,MAX(0,CF205-$F$4))</f>
        <v>0</v>
      </c>
      <c r="CG206" s="115" t="b">
        <f t="shared" si="197"/>
        <v>0</v>
      </c>
      <c r="CH206" s="115">
        <f t="shared" ca="1" si="172"/>
        <v>0</v>
      </c>
      <c r="CI206" s="115" t="b">
        <f t="shared" ca="1" si="173"/>
        <v>0</v>
      </c>
      <c r="CJ206" s="119">
        <f t="shared" ca="1" si="174"/>
        <v>0</v>
      </c>
      <c r="CK206" s="115">
        <f t="shared" ca="1" si="175"/>
        <v>0</v>
      </c>
      <c r="CL206" s="115" t="b">
        <f ca="1">AND(模拟模式!$S$7="驱夷逐法",OR(AND(C206="净世破魔击·月",E205&gt;59),AND(C206="净世破魔击·日",F205&gt;59)))</f>
        <v>0</v>
      </c>
      <c r="CM206" s="115" t="b">
        <f ca="1">OR(CL206,AND(C206="净世破魔击·日",CL205,RAND()&lt;模拟模式!$U$23))</f>
        <v>0</v>
      </c>
      <c r="CN206" s="115" t="b">
        <f ca="1">IF(模拟模式!$M$7="辉耀红尘",AND(C206="净世破魔击·月",CL206,CV206=0,E205&lt;80),AND(C206="净世破魔击·月",CL206,E205&lt;100))</f>
        <v>0</v>
      </c>
      <c r="CO206" s="115" t="b">
        <f t="shared" ca="1" si="148"/>
        <v>0</v>
      </c>
      <c r="CP206" s="115" t="b">
        <f ca="1">AND(模拟模式!$O$7="用晦而明",OR(C206="净世破魔击·日",C206="净世破魔击·月",C206="驱夜断愁"),AB206)</f>
        <v>0</v>
      </c>
      <c r="CQ206" s="115" t="b">
        <f ca="1">OR(CP206,AND(CP205,RAND()&lt;模拟模式!$U$23))</f>
        <v>1</v>
      </c>
      <c r="CR206" s="115" t="b">
        <f ca="1">AND(模拟模式!$S$7="日月齐光",OR(C206="幽月轮1",C206="幽月轮2",C206="幽月轮3",CR205),NOT(OR(C206="赤日轮1",C206="赤日轮2",C206="赤日轮3")))</f>
        <v>0</v>
      </c>
      <c r="CS206" s="115" t="b">
        <f ca="1">AND(模拟模式!$S$7="日月齐光",OR(C206="赤日轮1",C206="赤日轮2",C206="赤日轮3",CS205),NOT(OR(C206="幽月轮1",C206="幽月轮2",C206="幽月轮3")))</f>
        <v>0</v>
      </c>
      <c r="CT206" s="115">
        <f t="shared" ca="1" si="176"/>
        <v>2.3250000000000117</v>
      </c>
      <c r="CU206" s="115" t="b">
        <f ca="1">AND(模拟模式!$K$10="阴阳往极",CT205=0,RAND()&lt;IF(C206="净世破魔击·月",0.0275*7/3,IF(C206="净世破魔击·日",0.0275*3/3,0.0275*2/3)))</f>
        <v>0</v>
      </c>
      <c r="CV206" s="115">
        <f t="shared" ca="1" si="177"/>
        <v>0</v>
      </c>
      <c r="CW206" s="115">
        <f t="shared" ca="1" si="149"/>
        <v>6</v>
      </c>
      <c r="CX206" s="115">
        <f t="shared" ca="1" si="150"/>
        <v>4.1549999999999994</v>
      </c>
      <c r="CY206" s="115">
        <f ca="1">MAX(IF($C206="驱夜断愁",IF(模拟模式!$R$7="万念俱寂",6,45),CY205-$F$4),0)</f>
        <v>5.0774999999999997</v>
      </c>
      <c r="CZ206" s="115">
        <f t="shared" ca="1" si="151"/>
        <v>0</v>
      </c>
      <c r="DA206" s="115">
        <f ca="1">IF(模拟模式!$N$7="日月同辉",IF(DB205=2,0,MIN(6,IF(AND(OR(C206="赤日轮1",C206="赤日轮2",C206="赤日轮3",C206="幽月轮1",C206="幽月轮2",C206="幽月轮3"),AB206=1),DA205+1,DA205))),0)</f>
        <v>0</v>
      </c>
      <c r="DB206" s="115">
        <f t="shared" ca="1" si="152"/>
        <v>0</v>
      </c>
      <c r="DC206" s="115"/>
      <c r="DD206" s="115"/>
      <c r="DE206" s="115"/>
      <c r="DF206" s="115"/>
      <c r="DG206" s="115"/>
      <c r="DH206" s="115"/>
      <c r="DI206" s="115"/>
      <c r="DJ206" s="115"/>
      <c r="DK206" s="115"/>
      <c r="DL206" s="115"/>
      <c r="DM206" s="115"/>
    </row>
    <row r="207" spans="2:117" x14ac:dyDescent="0.2">
      <c r="B207" s="117">
        <f t="shared" si="153"/>
        <v>166.05000000000049</v>
      </c>
      <c r="C207" s="167" t="str">
        <f t="shared" ca="1" si="146"/>
        <v>幽月轮1</v>
      </c>
      <c r="D207" s="115">
        <f ca="1">IF(C207="赤日轮1",1,IF(C207="赤日轮2",2,IF(C207="赤日轮3",3,IF(C207="幽月轮1",4,IF(C207="幽月轮2",5,IF(C207="幽月轮3",6,IF(C207="烈日斩",7,IF(C207="银月斩",8,IF(C207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207="净世破魔击·月",17,IF(C207="驱夜断愁",18,0)))))))))))</f>
        <v>4</v>
      </c>
      <c r="E207" s="115">
        <f ca="1">IF(AND(CU207,OR(C207="幽月轮1",C207="幽月轮2",C207="幽月轮3",C207="银月斩",C207="驱夜断愁",C207="净世破魔击·月")),100,MIN(IF(OR(CN207,BE207),0,IF(OR($C207="赤日轮1",$C207="赤日轮2",$C207="赤日轮3"),E206+20+IF(模拟模式!$I$7="日月凌天",4,0)+IF(CR206,20,0),IF($C207="烈日斩",E206+40,IF($C207="驱夜断愁",IF(模拟模式!$R$7="万念俱寂",E206+20,E206+60),IF($C207="净世破魔击·月",IF(OR(DB206&gt;0,CV206&gt;0),100,IF(模拟模式!$M$7="辉耀红尘",E206+20,E206)),IF($C207="净世破魔击·日",E206-100,E206)))))),100))</f>
        <v>80</v>
      </c>
      <c r="F207" s="115">
        <f ca="1">IF(AND(CU207,OR(C207="赤日轮1",C207="赤日轮2",C207="赤日轮3",C207="烈日斩",C207="净世破魔击·日")),100,MIN(IF(CO207,0,IF(OR($C207="幽月轮1",$C207="幽月轮2",$C207="幽月轮3"),F206+20+IF(模拟模式!$I$7="日月凌天",4,0)+IF(CS206,20,0),IF($C207="银月斩",F206+40+IF(模拟模式!$X$12=1,5,0),IF($C207="驱夜断愁",IF(模拟模式!$R$7="万念俱寂",F206+20,F206+60),IF($C207="净世破魔击·月",IF(模拟模式!$M$7="辉耀红尘",F206-80,F206-100),IF(AND(C207="净世破魔击·日",OR(DB206&gt;0,CV206&gt;0)),100,F206)))))),100))</f>
        <v>100</v>
      </c>
      <c r="G207" s="117">
        <f ca="1">('模拟-全程加成'!$E$3+'模拟-全程加成'!$E$4+'模拟-全程加成'!$E$5+('模拟-全程加成'!$C$6-'模拟-全程加成'!$C$3)*系数!$B$9+BS207*23)*(1+'模拟-全程加成'!$F$4+'模拟-全程加成'!$F$5+BJ207*10%+BM207*20%+BP207*4%+CG207*30%)+$F$7*系数!$B$12</f>
        <v>20583.127400000001</v>
      </c>
      <c r="H207" s="45">
        <f ca="1">'模拟-全程加成'!$H$3+'模拟-全程加成'!$H$4+'模拟-全程加成'!$H$5+('模拟-全程加成'!$G$4+'模拟-全程加成'!$G$5+('模拟-全程加成'!$C$6-'模拟-全程加成'!$C$3)*系数!$B$13)/系数!$B$3+LOOKUP(D207,'模拟-单技能数据'!$A$2:$A$19,'模拟-单技能数据'!$K$2:$K$19)+BG207*10%+IF(BV207&gt;0,378,0)</f>
        <v>0.51185145527300213</v>
      </c>
      <c r="I207" s="45">
        <f ca="1">'模拟-全程加成'!$J$3+'模拟-全程加成'!$J$4+'模拟-全程加成'!$J$5+('模拟-全程加成'!$I$4+'模拟-全程加成'!$I$5)/系数!$B$4+LOOKUP(D207,'模拟-单技能数据'!$A$2:$A$19,'模拟-单技能数据'!$L$2:$L$19)+BG207*10%</f>
        <v>2.162482885499879</v>
      </c>
      <c r="J207" s="45">
        <f ca="1">(('模拟-全程加成'!$K$3+'模拟-全程加成'!$K$4+'模拟-全程加成'!$K$5+('模拟-全程加成'!$C$6-'模拟-全程加成'!$C$3)*系数!$B$10+IF(BV207&gt;0,882,0)+IF(BY207&gt;0,1831,0))*(1+'模拟-全程加成'!$L$4+'模拟-全程加成'!$L$5+CC207*20%))/系数!$B$5</f>
        <v>0.69723220422048726</v>
      </c>
      <c r="K207" s="119">
        <f ca="1">LOOKUP(D207,'模拟-单技能数据'!$A$2:$A$19,'模拟-单技能数据'!$J$2:$J$19)+IF(CM207,60%,0)+IF(DB206-DB207&gt;0,30%,0)+IF(OR(AND(OR(C207="赤日轮1",C207="赤日轮2",C207="赤日轮3"),CR207),AND(OR(C207="幽月轮1",C207="幽月轮2",C207="幽月轮3"),CS207)),35%,0)+CJ207</f>
        <v>7.0000000000000007E-2</v>
      </c>
      <c r="L207" s="119">
        <f ca="1">IF(AND(C207="烈日斩",模拟模式!$X$11=1),10%,0)+IF(AND(C207="驱夜断愁",AB207=1),30%,0)</f>
        <v>0</v>
      </c>
      <c r="M207" s="45">
        <f t="shared" ca="1" si="185"/>
        <v>0.51185145527300213</v>
      </c>
      <c r="N207" s="45">
        <f t="shared" ca="1" si="186"/>
        <v>0.43424854472699792</v>
      </c>
      <c r="O207" s="46">
        <f t="shared" ca="1" si="154"/>
        <v>0.73638429746449119</v>
      </c>
      <c r="P207" s="46" t="str">
        <f t="shared" ca="1" si="155"/>
        <v>命</v>
      </c>
      <c r="Q207" s="45">
        <f t="shared" ca="1" si="156"/>
        <v>1</v>
      </c>
      <c r="R207" s="117">
        <f ca="1">模拟模式!$E$20*(1-IF(模拟模式!$J$19="有",0.15,0))*(1-IF(模拟模式!$K$19="有",0.3,0)-IF(CQ207,0.5,0))</f>
        <v>2950.6049999999996</v>
      </c>
      <c r="S207" s="45">
        <f ca="1">R207/(R207+(185*模拟模式!$E$22-16800)*4.08224)</f>
        <v>0.24272716014590323</v>
      </c>
      <c r="T207" s="45" t="str">
        <f ca="1">LOOKUP(D207,'模拟-单技能数据'!$A$2:$A$19,'模拟-单技能数据'!$H$2:$H$19)</f>
        <v>阴</v>
      </c>
      <c r="U207" s="119">
        <f t="shared" ca="1" si="187"/>
        <v>0.08</v>
      </c>
      <c r="V207" s="47">
        <f ca="1">(1+L207)*(LOOKUP(D207,'模拟-单技能数据'!$A$2:$A$19,'模拟-单技能数据'!$D$2:$D$19)+G207*LOOKUP(D207,'模拟-单技能数据'!$A$2:$A$19,'模拟-单技能数据'!$F$2:$F$19))*(1+J207)*(1+K207)*(1-S207)*(1+U207)*Q207*LOOKUP(D207,'模拟-单技能数据'!$A$2:$A$19,'模拟-单技能数据'!$I$2:$I$20)</f>
        <v>16226.218300318291</v>
      </c>
      <c r="W207" s="47">
        <f ca="1">LOOKUP(D207,'模拟-单技能数据'!$A$2:$A$19,'模拟-单技能数据'!$G$2:$G$19)*$I$10</f>
        <v>361.51064354704795</v>
      </c>
      <c r="X207" s="47">
        <f t="shared" ca="1" si="157"/>
        <v>23242.954719083282</v>
      </c>
      <c r="Y207" s="47">
        <f t="shared" ca="1" si="188"/>
        <v>39830.683662948621</v>
      </c>
      <c r="Z207" s="49">
        <f t="shared" ca="1" si="189"/>
        <v>18770078.974085025</v>
      </c>
      <c r="AA207" s="97">
        <f t="shared" ca="1" si="190"/>
        <v>113038.71709777157</v>
      </c>
      <c r="AB207" s="115">
        <f ca="1">IF(OR(C207="赤日轮1",C207="赤日轮2",C207="赤日轮3"),IF(RAND()&lt;模拟模式!$Y$17,1,0),IF(OR(C207="幽月轮1",C207="幽月轮2",C207="幽月轮3"),IF(RAND()&lt;模拟模式!$Y$18,1,0),IF(C207="烈日斩",IF(RAND()&lt;模拟模式!$Y$19,1,0),IF(C207="银月斩",IF(RAND()&lt;模拟模式!$Y$20,1,0),IF(C207="驱夜断愁",IF(RAND()&lt;模拟模式!$Y$21,1,0),IF(C207="净世破魔击·日",IF(RAND()&lt;模拟模式!$Y$22,1,0),IF(C207="净世破魔击·月",IF(RAND()&lt;模拟模式!$Y$23,1,0),0)))))))</f>
        <v>1</v>
      </c>
      <c r="AC207" s="115" t="b">
        <f t="shared" ca="1" si="178"/>
        <v>0</v>
      </c>
      <c r="AD207" s="115" t="b">
        <f t="shared" ca="1" si="198"/>
        <v>1</v>
      </c>
      <c r="AE207" s="115">
        <f t="shared" ca="1" si="199"/>
        <v>4</v>
      </c>
      <c r="AF207" s="47">
        <f ca="1">IF(AC207,('模拟-单技能数据'!$D$20+G207*'模拟-单技能数据'!$F$20)*(1+J207)*(1+'模拟-单技能数据'!$J$20)*(1+U207),0)</f>
        <v>0</v>
      </c>
      <c r="AG207" s="61">
        <f t="shared" ca="1" si="191"/>
        <v>0.64185145527300214</v>
      </c>
      <c r="AH207" s="61">
        <f t="shared" ca="1" si="192"/>
        <v>2.2624828854998791</v>
      </c>
      <c r="AI207" s="62">
        <f t="shared" ca="1" si="158"/>
        <v>0.71900585132504002</v>
      </c>
      <c r="AJ207" s="47">
        <f ca="1">IF(AD207,IF(AI207&lt;$F$10,0,IF(AI207&lt;$F$10+$F$11,0.25,IF(AI207&lt;$F$10+$F$11+AG207,AH207,1)))*IF(AF207&gt;0,AF207,IF(AF206&gt;0,AF206,IF(AF205&gt;0,AF205,IF(AF204&gt;0,AF204,IF(AF203&gt;0,AF203,IF(AF202&gt;0,AF202,IF(AF201&gt;0,AF201,IF(AF200&gt;0,AF200,IF(AF199&gt;0,AF199,IF(AF197&gt;0,AF197,IF(AF196&gt;0,AF196,IF(AF195&gt;0,AF195,0)))))))))))),0)*(1-$S207)*'模拟-单技能数据'!$I$20</f>
        <v>3368.2409654332282</v>
      </c>
      <c r="AK207" s="115" t="b">
        <f t="shared" ca="1" si="179"/>
        <v>0</v>
      </c>
      <c r="AL207" s="115" t="b">
        <f t="shared" ca="1" si="200"/>
        <v>1</v>
      </c>
      <c r="AM207" s="115">
        <f t="shared" ca="1" si="201"/>
        <v>3</v>
      </c>
      <c r="AN207" s="47">
        <f ca="1">IF(AK207,('模拟-单技能数据'!$D$21+G207*'模拟-单技能数据'!$F$21)*(1+J207)*(1+'模拟-单技能数据'!$J$21)*(1+U207),0)</f>
        <v>0</v>
      </c>
      <c r="AO207" s="61">
        <f ca="1">IF(AN207&gt;0,M207-'模拟-单技能数据'!$K$10,AO206)</f>
        <v>0.42185145527300216</v>
      </c>
      <c r="AP207" s="61">
        <f ca="1">IF(AN207&gt;0,I207-'模拟-单技能数据'!$L$10,AP206)</f>
        <v>2.162482885499879</v>
      </c>
      <c r="AQ207" s="63">
        <f t="shared" ca="1" si="159"/>
        <v>0.13585126387907909</v>
      </c>
      <c r="AR207" s="64">
        <f ca="1">IF(AL207,IF(AQ207&lt;$F$10,0,IF(AQ207&lt;$F$10+$F$11,0.25,IF(AQ207&lt;$F$10+$F$11+AO207,AP207,1)))*IF(AN207&gt;0,AN207,IF(AN206&gt;0,AN206,IF(AN205&gt;0,AN205,IF(AN204&gt;0,AN204,IF(AN203&gt;0,AN203,IF(AN202&gt;0,AN202,IF(AN201&gt;0,AN201,IF(AN200&gt;0,AN200,IF(AN199&gt;0,AN199,IF(AN197&gt;0,AN197,IF(AN196&gt;0,AN196,IF(AN195&gt;0,AN195,0)))))))))))),0)*(1-$S207)*'模拟-单技能数据'!$I$21</f>
        <v>19874.713753650052</v>
      </c>
      <c r="AS207" s="61">
        <f ca="1">IF(OR(C207="净世破魔击·日",C207="净世破魔击·月"),M207-'模拟-单技能数据'!$K$10,0)</f>
        <v>0</v>
      </c>
      <c r="AT207" s="61">
        <f ca="1">IF(OR(C207="净世破魔击·日",C207="净世破魔击·月"),I207-'模拟-单技能数据'!$L$10,0)</f>
        <v>0</v>
      </c>
      <c r="AU207" s="62">
        <f t="shared" ca="1" si="160"/>
        <v>0.5778153777469851</v>
      </c>
      <c r="AV207" s="64">
        <f ca="1">IF(AS207&gt;0,('模拟-单技能数据'!$D$22+G207*'模拟-单技能数据'!$F$22)*(1+J207)*(1-S207)*IF(AU207&lt;$F$10,0,IF(AU207&lt;$F$10+$F$11,0.25,IF(AU207&lt;$F$10+$F$11+AS207,AT207,1)))*(1+U207),0)*'模拟-单技能数据'!$I$22</f>
        <v>0</v>
      </c>
      <c r="AW207" s="108">
        <f t="shared" ca="1" si="161"/>
        <v>6.1625000000000068</v>
      </c>
      <c r="AX207" s="108" t="b">
        <f ca="1">AND(模拟模式!$P$10="有",AW206=0,RAND()&lt;IF(C207="净世破魔击·月",0.1*8/3,IF(C207="净世破魔击·日",0.1*4/3,0.1*2/3)))</f>
        <v>0</v>
      </c>
      <c r="AY207" s="47">
        <f ca="1">IF(AX207,(18+G207*0.722)*(1+J207)*(1-S207)*(1+$I$4)*IF(P207="会",'模拟-全程加成'!$J$3+'模拟-全程加成'!$J$4+'模拟-全程加成'!$J$5+('模拟-全程加成'!$I$4+'模拟-全程加成'!$I$5)/系数!$B$4+BG207*10%,IF(P207="命",1,IF(P207="识",0.25,0))),0)</f>
        <v>0</v>
      </c>
      <c r="AZ207" s="108">
        <f t="shared" si="162"/>
        <v>16.310000000000002</v>
      </c>
      <c r="BA207" s="108" t="b">
        <f>AND(模拟模式!$Q$10="有",AZ206=0)</f>
        <v>0</v>
      </c>
      <c r="BB207" s="140">
        <f>IF(BA207,(0+G207*0.287)*(1+J207)*(1-S207)*(1+$I$4)*IF(P207="会",'模拟-全程加成'!$J$3+'模拟-全程加成'!$J$4+'模拟-全程加成'!$J$5+('模拟-全程加成'!$I$4+'模拟-全程加成'!$I$5)/系数!$B$4+BG207*10%,IF(P207="命",1,IF(P207="识",0.25,0))),0)</f>
        <v>0</v>
      </c>
      <c r="BC207" s="115" t="b">
        <f ca="1">AND(模拟模式!$R$7="伏明众生",E207=60,F207=20,DA207&lt;5,CZ206&lt;$F$4)</f>
        <v>0</v>
      </c>
      <c r="BD207" s="115">
        <f t="shared" ca="1" si="180"/>
        <v>0</v>
      </c>
      <c r="BE207" s="115" t="b">
        <f t="shared" ca="1" si="181"/>
        <v>0</v>
      </c>
      <c r="BF207" s="47">
        <f ca="1">IF(BC207,4*('模拟-单技能数据'!$D$24+G207*'模拟-单技能数据'!$F$24)*(1+J207)*(1+'模拟-单技能数据'!$J$24)*(1-S207)*(1+$I$3)*(('模拟-全程加成'!$J$3+'模拟-全程加成'!$J$4+'模拟-全程加成'!$J$5+('模拟-全程加成'!$I$4+'模拟-全程加成'!$I$5)/系数!$B$4+BG207*10%)*('模拟-全程加成'!$J$3+'模拟-全程加成'!$J$4+'模拟-全程加成'!$J$5+('模拟-全程加成'!$I$4+'模拟-全程加成'!$I$5)/系数!$B$4+BG207*10%)+(1-('模拟-全程加成'!$J$3+'模拟-全程加成'!$J$4+'模拟-全程加成'!$J$5+('模拟-全程加成'!$I$4+'模拟-全程加成'!$I$5)/系数!$B$4+BG207*10%)-$F$10-$F$11)+F193*0.25),0)*'模拟-单技能数据'!$I$24</f>
        <v>0</v>
      </c>
      <c r="BG207" s="115" t="b">
        <f ca="1">OR(AND(OR(C207="烈日斩",C207="银月斩"),模拟模式!$I$7="净身明礼"),AND(C207="净世破魔击·日",模拟模式!$J$7="洞若观火"),AND(C208="净世破魔击·月",模拟模式!$J$7="洞若观火"),AB207=1)</f>
        <v>1</v>
      </c>
      <c r="BH207" s="115" t="b">
        <f t="shared" ca="1" si="163"/>
        <v>0</v>
      </c>
      <c r="BI207" s="115">
        <f t="shared" ca="1" si="182"/>
        <v>0</v>
      </c>
      <c r="BJ207" s="115" t="b">
        <f t="shared" ca="1" si="193"/>
        <v>0</v>
      </c>
      <c r="BK207" s="115" t="b">
        <f ca="1">AND(C207="驱夜断愁",模拟模式!$P$7="天地诛戮")</f>
        <v>0</v>
      </c>
      <c r="BL207" s="57">
        <f t="shared" ca="1" si="183"/>
        <v>18.155000000000001</v>
      </c>
      <c r="BM207" s="115" t="b">
        <f t="shared" ca="1" si="194"/>
        <v>1</v>
      </c>
      <c r="BN207" s="115" t="b">
        <f ca="1">AND(OR(C207="赤日轮1",C207="赤日轮2",C207="赤日轮3",C207="幽月轮1",C207="幽月轮2",C207="幽月轮3"),AB207=1,模拟模式!$L$7="明光恒照")</f>
        <v>1</v>
      </c>
      <c r="BO207" s="117">
        <f t="shared" ca="1" si="184"/>
        <v>30</v>
      </c>
      <c r="BP207" s="115">
        <f t="shared" ca="1" si="164"/>
        <v>6</v>
      </c>
      <c r="BQ207" s="115" t="b">
        <f>模拟模式!$K$10="2600·水"</f>
        <v>0</v>
      </c>
      <c r="BR207" s="117">
        <f t="shared" si="165"/>
        <v>0</v>
      </c>
      <c r="BS207" s="115">
        <f t="shared" si="166"/>
        <v>0</v>
      </c>
      <c r="BT207" s="115">
        <f t="shared" ca="1" si="167"/>
        <v>0</v>
      </c>
      <c r="BU207" s="115" t="b">
        <f ca="1">AND(模拟模式!$K$10="2300·雷",BT206=0,RAND()&lt;IF(C207="净世破魔击·月",5*0.05*2/3,IF(C207="净世破魔击·日",3*0.05*2/3,0.05*2*2/3)))</f>
        <v>0</v>
      </c>
      <c r="BV207" s="115">
        <f t="shared" ca="1" si="168"/>
        <v>0</v>
      </c>
      <c r="BW207" s="115">
        <f t="shared" ca="1" si="169"/>
        <v>19.484999999999303</v>
      </c>
      <c r="BX207" s="164" t="b">
        <f t="shared" ca="1" si="170"/>
        <v>0</v>
      </c>
      <c r="BY207" s="115">
        <f t="shared" ca="1" si="171"/>
        <v>0</v>
      </c>
      <c r="BZ207" s="115">
        <f>IF(OR(模拟模式!$P$16="10人团",模拟模式!$P$16="25人团"),IF(B207/30&gt;CA206,1,0),0)</f>
        <v>0</v>
      </c>
      <c r="CA207" s="115">
        <f t="shared" si="147"/>
        <v>0</v>
      </c>
      <c r="CB207" s="115">
        <f ca="1">IF(BZ207=1,IF(模拟模式!$P$16="10人团",15,0)+IF(模拟模式!$P$16="25人团",IF(RAND()&lt;0.6,15,0)),MAX(0,CB206-$F$4))</f>
        <v>0</v>
      </c>
      <c r="CC207" s="115" t="b">
        <f t="shared" ca="1" si="195"/>
        <v>0</v>
      </c>
      <c r="CD207" s="115">
        <f>IF(模拟模式!$Q$16="1个",IF(B207/40&gt;CE206,1,0),0)</f>
        <v>0</v>
      </c>
      <c r="CE207" s="115">
        <f t="shared" si="196"/>
        <v>0</v>
      </c>
      <c r="CF207" s="115">
        <f>IF(OR(CD207=1,模拟模式!$Q$16="2个"),20,MAX(0,CF206-$F$4))</f>
        <v>0</v>
      </c>
      <c r="CG207" s="115" t="b">
        <f t="shared" si="197"/>
        <v>0</v>
      </c>
      <c r="CH207" s="115">
        <f t="shared" ca="1" si="172"/>
        <v>0</v>
      </c>
      <c r="CI207" s="115" t="b">
        <f t="shared" ca="1" si="173"/>
        <v>0</v>
      </c>
      <c r="CJ207" s="119">
        <f t="shared" ca="1" si="174"/>
        <v>0</v>
      </c>
      <c r="CK207" s="115">
        <f t="shared" ca="1" si="175"/>
        <v>0</v>
      </c>
      <c r="CL207" s="115" t="b">
        <f ca="1">AND(模拟模式!$S$7="驱夷逐法",OR(AND(C207="净世破魔击·月",E206&gt;59),AND(C207="净世破魔击·日",F206&gt;59)))</f>
        <v>0</v>
      </c>
      <c r="CM207" s="115" t="b">
        <f ca="1">OR(CL207,AND(C207="净世破魔击·日",CL206,RAND()&lt;模拟模式!$U$23))</f>
        <v>0</v>
      </c>
      <c r="CN207" s="115" t="b">
        <f ca="1">IF(模拟模式!$M$7="辉耀红尘",AND(C207="净世破魔击·月",CL207,CV207=0,E206&lt;80),AND(C207="净世破魔击·月",CL207,E206&lt;100))</f>
        <v>0</v>
      </c>
      <c r="CO207" s="115" t="b">
        <f t="shared" ca="1" si="148"/>
        <v>0</v>
      </c>
      <c r="CP207" s="115" t="b">
        <f ca="1">AND(模拟模式!$O$7="用晦而明",OR(C207="净世破魔击·日",C207="净世破魔击·月",C207="驱夜断愁"),AB207)</f>
        <v>0</v>
      </c>
      <c r="CQ207" s="115" t="b">
        <f ca="1">OR(CP207,AND(CP206,RAND()&lt;模拟模式!$U$23))</f>
        <v>0</v>
      </c>
      <c r="CR207" s="115" t="b">
        <f ca="1">AND(模拟模式!$S$7="日月齐光",OR(C207="幽月轮1",C207="幽月轮2",C207="幽月轮3",CR206),NOT(OR(C207="赤日轮1",C207="赤日轮2",C207="赤日轮3")))</f>
        <v>0</v>
      </c>
      <c r="CS207" s="115" t="b">
        <f ca="1">AND(模拟模式!$S$7="日月齐光",OR(C207="赤日轮1",C207="赤日轮2",C207="赤日轮3",CS206),NOT(OR(C207="幽月轮1",C207="幽月轮2",C207="幽月轮3")))</f>
        <v>0</v>
      </c>
      <c r="CT207" s="115">
        <f t="shared" ca="1" si="176"/>
        <v>1.4025000000000118</v>
      </c>
      <c r="CU207" s="115" t="b">
        <f ca="1">AND(模拟模式!$K$10="阴阳往极",CT206=0,RAND()&lt;IF(C207="净世破魔击·月",0.0275*7/3,IF(C207="净世破魔击·日",0.0275*3/3,0.0275*2/3)))</f>
        <v>0</v>
      </c>
      <c r="CV207" s="115">
        <f t="shared" ca="1" si="177"/>
        <v>0</v>
      </c>
      <c r="CW207" s="115">
        <f t="shared" ca="1" si="149"/>
        <v>5.0774999999999997</v>
      </c>
      <c r="CX207" s="115">
        <f t="shared" ca="1" si="150"/>
        <v>3.2324999999999995</v>
      </c>
      <c r="CY207" s="115">
        <f ca="1">MAX(IF($C207="驱夜断愁",IF(模拟模式!$R$7="万念俱寂",6,45),CY206-$F$4),0)</f>
        <v>4.1549999999999994</v>
      </c>
      <c r="CZ207" s="115">
        <f t="shared" ca="1" si="151"/>
        <v>0</v>
      </c>
      <c r="DA207" s="115">
        <f ca="1">IF(模拟模式!$N$7="日月同辉",IF(DB206=2,0,MIN(6,IF(AND(OR(C207="赤日轮1",C207="赤日轮2",C207="赤日轮3",C207="幽月轮1",C207="幽月轮2",C207="幽月轮3"),AB207=1),DA206+1,DA206))),0)</f>
        <v>1</v>
      </c>
      <c r="DB207" s="115">
        <f t="shared" ca="1" si="152"/>
        <v>0</v>
      </c>
      <c r="DC207" s="115"/>
      <c r="DD207" s="115"/>
      <c r="DE207" s="115"/>
      <c r="DF207" s="115"/>
      <c r="DG207" s="115"/>
      <c r="DH207" s="115"/>
      <c r="DI207" s="115"/>
      <c r="DJ207" s="115"/>
      <c r="DK207" s="115"/>
      <c r="DL207" s="115"/>
      <c r="DM207" s="115"/>
    </row>
    <row r="208" spans="2:117" x14ac:dyDescent="0.2">
      <c r="B208" s="117">
        <f t="shared" si="153"/>
        <v>166.97250000000051</v>
      </c>
      <c r="C208" s="167" t="str">
        <f t="shared" ca="1" si="146"/>
        <v>净世破魔击·月</v>
      </c>
      <c r="D208" s="115">
        <f ca="1">IF(C208="赤日轮1",1,IF(C208="赤日轮2",2,IF(C208="赤日轮3",3,IF(C208="幽月轮1",4,IF(C208="幽月轮2",5,IF(C208="幽月轮3",6,IF(C208="烈日斩",7,IF(C208="银月斩",8,IF(C208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208="净世破魔击·月",17,IF(C208="驱夜断愁",18,0)))))))))))</f>
        <v>17</v>
      </c>
      <c r="E208" s="115">
        <f ca="1">IF(AND(CU208,OR(C208="幽月轮1",C208="幽月轮2",C208="幽月轮3",C208="银月斩",C208="驱夜断愁",C208="净世破魔击·月")),100,MIN(IF(OR(CN208,BE208),0,IF(OR($C208="赤日轮1",$C208="赤日轮2",$C208="赤日轮3"),E207+20+IF(模拟模式!$I$7="日月凌天",4,0)+IF(CR207,20,0),IF($C208="烈日斩",E207+40,IF($C208="驱夜断愁",IF(模拟模式!$R$7="万念俱寂",E207+20,E207+60),IF($C208="净世破魔击·月",IF(OR(DB207&gt;0,CV207&gt;0),100,IF(模拟模式!$M$7="辉耀红尘",E207+20,E207)),IF($C208="净世破魔击·日",E207-100,E207)))))),100))</f>
        <v>100</v>
      </c>
      <c r="F208" s="115">
        <f ca="1">IF(AND(CU208,OR(C208="赤日轮1",C208="赤日轮2",C208="赤日轮3",C208="烈日斩",C208="净世破魔击·日")),100,MIN(IF(CO208,0,IF(OR($C208="幽月轮1",$C208="幽月轮2",$C208="幽月轮3"),F207+20+IF(模拟模式!$I$7="日月凌天",4,0)+IF(CS207,20,0),IF($C208="银月斩",F207+40+IF(模拟模式!$X$12=1,5,0),IF($C208="驱夜断愁",IF(模拟模式!$R$7="万念俱寂",F207+20,F207+60),IF($C208="净世破魔击·月",IF(模拟模式!$M$7="辉耀红尘",F207-80,F207-100),IF(AND(C208="净世破魔击·日",OR(DB207&gt;0,CV207&gt;0)),100,F207)))))),100))</f>
        <v>20</v>
      </c>
      <c r="G208" s="117">
        <f ca="1">('模拟-全程加成'!$E$3+'模拟-全程加成'!$E$4+'模拟-全程加成'!$E$5+('模拟-全程加成'!$C$6-'模拟-全程加成'!$C$3)*系数!$B$9+BS208*23)*(1+'模拟-全程加成'!$F$4+'模拟-全程加成'!$F$5+BJ208*10%+BM208*20%+BP208*4%+CG208*30%)+$F$7*系数!$B$12</f>
        <v>20583.127400000001</v>
      </c>
      <c r="H208" s="45">
        <f ca="1">'模拟-全程加成'!$H$3+'模拟-全程加成'!$H$4+'模拟-全程加成'!$H$5+('模拟-全程加成'!$G$4+'模拟-全程加成'!$G$5+('模拟-全程加成'!$C$6-'模拟-全程加成'!$C$3)*系数!$B$13)/系数!$B$3+LOOKUP(D208,'模拟-单技能数据'!$A$2:$A$19,'模拟-单技能数据'!$K$2:$K$19)+BG208*10%+IF(BV208&gt;0,378,0)</f>
        <v>0.54185145527300216</v>
      </c>
      <c r="I208" s="45">
        <f ca="1">'模拟-全程加成'!$J$3+'模拟-全程加成'!$J$4+'模拟-全程加成'!$J$5+('模拟-全程加成'!$I$4+'模拟-全程加成'!$I$5)/系数!$B$4+LOOKUP(D208,'模拟-单技能数据'!$A$2:$A$19,'模拟-单技能数据'!$L$2:$L$19)+BG208*10%</f>
        <v>2.162482885499879</v>
      </c>
      <c r="J208" s="45">
        <f ca="1">(('模拟-全程加成'!$K$3+'模拟-全程加成'!$K$4+'模拟-全程加成'!$K$5+('模拟-全程加成'!$C$6-'模拟-全程加成'!$C$3)*系数!$B$10+IF(BV208&gt;0,882,0)+IF(BY208&gt;0,1831,0))*(1+'模拟-全程加成'!$L$4+'模拟-全程加成'!$L$5+CC208*20%))/系数!$B$5</f>
        <v>0.69723220422048726</v>
      </c>
      <c r="K208" s="119">
        <f ca="1">LOOKUP(D208,'模拟-单技能数据'!$A$2:$A$19,'模拟-单技能数据'!$J$2:$J$19)+IF(CM208,60%,0)+IF(DB207-DB208&gt;0,30%,0)+IF(OR(AND(OR(C208="赤日轮1",C208="赤日轮2",C208="赤日轮3"),CR208),AND(OR(C208="幽月轮1",C208="幽月轮2",C208="幽月轮3"),CS208)),35%,0)+CJ208</f>
        <v>0.81</v>
      </c>
      <c r="L208" s="119">
        <f ca="1">IF(AND(C208="烈日斩",模拟模式!$X$11=1),10%,0)+IF(AND(C208="驱夜断愁",AB208=1),30%,0)</f>
        <v>0</v>
      </c>
      <c r="M208" s="45">
        <f t="shared" ca="1" si="185"/>
        <v>0.54185145527300216</v>
      </c>
      <c r="N208" s="45">
        <f t="shared" ca="1" si="186"/>
        <v>0.40424854472699789</v>
      </c>
      <c r="O208" s="46">
        <f t="shared" ca="1" si="154"/>
        <v>0.66910114340519333</v>
      </c>
      <c r="P208" s="46" t="str">
        <f t="shared" ca="1" si="155"/>
        <v>命</v>
      </c>
      <c r="Q208" s="45">
        <f t="shared" ca="1" si="156"/>
        <v>1</v>
      </c>
      <c r="R208" s="117">
        <f ca="1">模拟模式!$E$20*(1-IF(模拟模式!$J$19="有",0.15,0))*(1-IF(模拟模式!$K$19="有",0.3,0)-IF(CQ208,0.5,0))</f>
        <v>843.02999999999975</v>
      </c>
      <c r="S208" s="45">
        <f ca="1">R208/(R208+(185*模拟模式!$E$22-16800)*4.08224)</f>
        <v>8.389626085980037E-2</v>
      </c>
      <c r="T208" s="45" t="str">
        <f ca="1">LOOKUP(D208,'模拟-单技能数据'!$A$2:$A$19,'模拟-单技能数据'!$H$2:$H$19)</f>
        <v>阴</v>
      </c>
      <c r="U208" s="119">
        <f t="shared" ca="1" si="187"/>
        <v>0.08</v>
      </c>
      <c r="V208" s="47">
        <f ca="1">(1+L208)*(LOOKUP(D208,'模拟-单技能数据'!$A$2:$A$19,'模拟-单技能数据'!$D$2:$D$19)+G208*LOOKUP(D208,'模拟-单技能数据'!$A$2:$A$19,'模拟-单技能数据'!$F$2:$F$19))*(1+J208)*(1+K208)*(1-S208)*(1+U208)*Q208*LOOKUP(D208,'模拟-单技能数据'!$A$2:$A$19,'模拟-单技能数据'!$I$2:$I$20)</f>
        <v>81313.869455800319</v>
      </c>
      <c r="W208" s="47">
        <f ca="1">LOOKUP(D208,'模拟-单技能数据'!$A$2:$A$19,'模拟-单技能数据'!$G$2:$G$19)*$I$10</f>
        <v>361.51064354704795</v>
      </c>
      <c r="X208" s="47">
        <f t="shared" ca="1" si="157"/>
        <v>7639.4517521048492</v>
      </c>
      <c r="Y208" s="47">
        <f t="shared" ca="1" si="188"/>
        <v>89314.831851452225</v>
      </c>
      <c r="Z208" s="49">
        <f t="shared" ca="1" si="189"/>
        <v>18859393.805936478</v>
      </c>
      <c r="AA208" s="97">
        <f t="shared" ca="1" si="190"/>
        <v>112949.10123485257</v>
      </c>
      <c r="AB208" s="115">
        <f ca="1">IF(OR(C208="赤日轮1",C208="赤日轮2",C208="赤日轮3"),IF(RAND()&lt;模拟模式!$Y$17,1,0),IF(OR(C208="幽月轮1",C208="幽月轮2",C208="幽月轮3"),IF(RAND()&lt;模拟模式!$Y$18,1,0),IF(C208="烈日斩",IF(RAND()&lt;模拟模式!$Y$19,1,0),IF(C208="银月斩",IF(RAND()&lt;模拟模式!$Y$20,1,0),IF(C208="驱夜断愁",IF(RAND()&lt;模拟模式!$Y$21,1,0),IF(C208="净世破魔击·日",IF(RAND()&lt;模拟模式!$Y$22,1,0),IF(C208="净世破魔击·月",IF(RAND()&lt;模拟模式!$Y$23,1,0),0)))))))</f>
        <v>1</v>
      </c>
      <c r="AC208" s="115" t="b">
        <f t="shared" ca="1" si="178"/>
        <v>0</v>
      </c>
      <c r="AD208" s="115" t="b">
        <f t="shared" ca="1" si="198"/>
        <v>0</v>
      </c>
      <c r="AE208" s="115">
        <f t="shared" ca="1" si="199"/>
        <v>4</v>
      </c>
      <c r="AF208" s="47">
        <f ca="1">IF(AC208,('模拟-单技能数据'!$D$20+G208*'模拟-单技能数据'!$F$20)*(1+J208)*(1+'模拟-单技能数据'!$J$20)*(1+U208),0)</f>
        <v>0</v>
      </c>
      <c r="AG208" s="61">
        <f t="shared" ca="1" si="191"/>
        <v>0.64185145527300214</v>
      </c>
      <c r="AH208" s="61">
        <f t="shared" ca="1" si="192"/>
        <v>2.2624828854998791</v>
      </c>
      <c r="AI208" s="62">
        <f t="shared" ca="1" si="158"/>
        <v>0.13079626761412666</v>
      </c>
      <c r="AJ208" s="47">
        <f ca="1">IF(AD208,IF(AI208&lt;$F$10,0,IF(AI208&lt;$F$10+$F$11,0.25,IF(AI208&lt;$F$10+$F$11+AG208,AH208,1)))*IF(AF208&gt;0,AF208,IF(AF207&gt;0,AF207,IF(AF206&gt;0,AF206,IF(AF205&gt;0,AF205,IF(AF204&gt;0,AF204,IF(AF203&gt;0,AF203,IF(AF202&gt;0,AF202,IF(AF201&gt;0,AF201,IF(AF200&gt;0,AF200,IF(AF198&gt;0,AF198,IF(AF197&gt;0,AF197,IF(AF196&gt;0,AF196,0)))))))))))),0)*(1-$S208)*'模拟-单技能数据'!$I$20</f>
        <v>0</v>
      </c>
      <c r="AK208" s="115" t="b">
        <f t="shared" ca="1" si="179"/>
        <v>0</v>
      </c>
      <c r="AL208" s="115" t="b">
        <f t="shared" ca="1" si="200"/>
        <v>0</v>
      </c>
      <c r="AM208" s="115">
        <f t="shared" ca="1" si="201"/>
        <v>3</v>
      </c>
      <c r="AN208" s="47">
        <f ca="1">IF(AK208,('模拟-单技能数据'!$D$21+G208*'模拟-单技能数据'!$F$21)*(1+J208)*(1+'模拟-单技能数据'!$J$21)*(1+U208),0)</f>
        <v>0</v>
      </c>
      <c r="AO208" s="61">
        <f ca="1">IF(AN208&gt;0,M208-'模拟-单技能数据'!$K$10,AO207)</f>
        <v>0.42185145527300216</v>
      </c>
      <c r="AP208" s="61">
        <f ca="1">IF(AN208&gt;0,I208-'模拟-单技能数据'!$L$10,AP207)</f>
        <v>2.162482885499879</v>
      </c>
      <c r="AQ208" s="63">
        <f t="shared" ca="1" si="159"/>
        <v>0.82883856445751636</v>
      </c>
      <c r="AR208" s="64">
        <f ca="1">IF(AL208,IF(AQ208&lt;$F$10,0,IF(AQ208&lt;$F$10+$F$11,0.25,IF(AQ208&lt;$F$10+$F$11+AO208,AP208,1)))*IF(AN208&gt;0,AN208,IF(AN207&gt;0,AN207,IF(AN206&gt;0,AN206,IF(AN205&gt;0,AN205,IF(AN204&gt;0,AN204,IF(AN203&gt;0,AN203,IF(AN202&gt;0,AN202,IF(AN201&gt;0,AN201,IF(AN200&gt;0,AN200,IF(AN198&gt;0,AN198,IF(AN197&gt;0,AN197,IF(AN196&gt;0,AN196,0)))))))))))),0)*(1-$S208)*'模拟-单技能数据'!$I$21</f>
        <v>0</v>
      </c>
      <c r="AS208" s="61">
        <f ca="1">IF(OR(C208="净世破魔击·日",C208="净世破魔击·月"),M208-'模拟-单技能数据'!$K$10,0)</f>
        <v>0.42185145527300216</v>
      </c>
      <c r="AT208" s="61">
        <f ca="1">IF(OR(C208="净世破魔击·日",C208="净世破魔击·月"),I208-'模拟-单技能数据'!$L$10,0)</f>
        <v>2.162482885499879</v>
      </c>
      <c r="AU208" s="62">
        <f t="shared" ca="1" si="160"/>
        <v>0.63185981400152491</v>
      </c>
      <c r="AV208" s="64">
        <f ca="1">IF(AS208&gt;0,('模拟-单技能数据'!$D$22+G208*'模拟-单技能数据'!$F$22)*(1+J208)*(1-S208)*IF(AU208&lt;$F$10,0,IF(AU208&lt;$F$10+$F$11,0.25,IF(AU208&lt;$F$10+$F$11+AS208,AT208,1)))*(1+U208),0)*'模拟-单技能数据'!$I$22</f>
        <v>7639.4517521048492</v>
      </c>
      <c r="AW208" s="108">
        <f t="shared" ca="1" si="161"/>
        <v>5.2400000000000064</v>
      </c>
      <c r="AX208" s="108" t="b">
        <f ca="1">AND(模拟模式!$P$10="有",AW207=0,RAND()&lt;IF(C208="净世破魔击·月",0.1*8/3,IF(C208="净世破魔击·日",0.1*4/3,0.1*2/3)))</f>
        <v>0</v>
      </c>
      <c r="AY208" s="47">
        <f ca="1">IF(AX208,(18+G208*0.722)*(1+J208)*(1-S208)*(1+$I$4)*IF(P208="会",'模拟-全程加成'!$J$3+'模拟-全程加成'!$J$4+'模拟-全程加成'!$J$5+('模拟-全程加成'!$I$4+'模拟-全程加成'!$I$5)/系数!$B$4+BG208*10%,IF(P208="命",1,IF(P208="识",0.25,0))),0)</f>
        <v>0</v>
      </c>
      <c r="AZ208" s="108">
        <f t="shared" si="162"/>
        <v>15.387500000000003</v>
      </c>
      <c r="BA208" s="108" t="b">
        <f>AND(模拟模式!$Q$10="有",AZ207=0)</f>
        <v>0</v>
      </c>
      <c r="BB208" s="140">
        <f>IF(BA208,(0+G208*0.287)*(1+J208)*(1-S208)*(1+$I$4)*IF(P208="会",'模拟-全程加成'!$J$3+'模拟-全程加成'!$J$4+'模拟-全程加成'!$J$5+('模拟-全程加成'!$I$4+'模拟-全程加成'!$I$5)/系数!$B$4+BG208*10%,IF(P208="命",1,IF(P208="识",0.25,0))),0)</f>
        <v>0</v>
      </c>
      <c r="BC208" s="115" t="b">
        <f ca="1">AND(模拟模式!$R$7="伏明众生",E208=60,F208=20,DA208&lt;5,CZ207&lt;$F$4)</f>
        <v>0</v>
      </c>
      <c r="BD208" s="115">
        <f t="shared" ca="1" si="180"/>
        <v>0</v>
      </c>
      <c r="BE208" s="115" t="b">
        <f t="shared" ca="1" si="181"/>
        <v>0</v>
      </c>
      <c r="BF208" s="47">
        <f ca="1">IF(BC208,4*('模拟-单技能数据'!$D$24+G208*'模拟-单技能数据'!$F$24)*(1+J208)*(1+'模拟-单技能数据'!$J$24)*(1-S208)*(1+$I$3)*(('模拟-全程加成'!$J$3+'模拟-全程加成'!$J$4+'模拟-全程加成'!$J$5+('模拟-全程加成'!$I$4+'模拟-全程加成'!$I$5)/系数!$B$4+BG208*10%)*('模拟-全程加成'!$J$3+'模拟-全程加成'!$J$4+'模拟-全程加成'!$J$5+('模拟-全程加成'!$I$4+'模拟-全程加成'!$I$5)/系数!$B$4+BG208*10%)+(1-('模拟-全程加成'!$J$3+'模拟-全程加成'!$J$4+'模拟-全程加成'!$J$5+('模拟-全程加成'!$I$4+'模拟-全程加成'!$I$5)/系数!$B$4+BG208*10%)-$F$10-$F$11)+F194*0.25),0)*'模拟-单技能数据'!$I$24</f>
        <v>0</v>
      </c>
      <c r="BG208" s="115" t="b">
        <f ca="1">OR(AND(OR(C208="烈日斩",C208="银月斩"),模拟模式!$I$7="净身明礼"),AND(C208="净世破魔击·日",模拟模式!$J$7="洞若观火"),AND(C209="净世破魔击·月",模拟模式!$J$7="洞若观火"),AB208=1)</f>
        <v>1</v>
      </c>
      <c r="BH208" s="115" t="b">
        <f t="shared" ca="1" si="163"/>
        <v>0</v>
      </c>
      <c r="BI208" s="115">
        <f t="shared" ca="1" si="182"/>
        <v>0</v>
      </c>
      <c r="BJ208" s="115" t="b">
        <f t="shared" ca="1" si="193"/>
        <v>0</v>
      </c>
      <c r="BK208" s="115" t="b">
        <f ca="1">AND(C208="驱夜断愁",模拟模式!$P$7="天地诛戮")</f>
        <v>0</v>
      </c>
      <c r="BL208" s="57">
        <f t="shared" ca="1" si="183"/>
        <v>17.232500000000002</v>
      </c>
      <c r="BM208" s="115" t="b">
        <f t="shared" ca="1" si="194"/>
        <v>1</v>
      </c>
      <c r="BN208" s="115" t="b">
        <f ca="1">AND(OR(C208="赤日轮1",C208="赤日轮2",C208="赤日轮3",C208="幽月轮1",C208="幽月轮2",C208="幽月轮3"),AB208=1,模拟模式!$L$7="明光恒照")</f>
        <v>0</v>
      </c>
      <c r="BO208" s="117">
        <f t="shared" ca="1" si="184"/>
        <v>29.077500000000001</v>
      </c>
      <c r="BP208" s="115">
        <f t="shared" ca="1" si="164"/>
        <v>6</v>
      </c>
      <c r="BQ208" s="115" t="b">
        <f>模拟模式!$K$10="2600·水"</f>
        <v>0</v>
      </c>
      <c r="BR208" s="117">
        <f t="shared" si="165"/>
        <v>0</v>
      </c>
      <c r="BS208" s="115">
        <f t="shared" si="166"/>
        <v>0</v>
      </c>
      <c r="BT208" s="115">
        <f t="shared" ca="1" si="167"/>
        <v>0</v>
      </c>
      <c r="BU208" s="115" t="b">
        <f ca="1">AND(模拟模式!$K$10="2300·雷",BT207=0,RAND()&lt;IF(C208="净世破魔击·月",5*0.05*2/3,IF(C208="净世破魔击·日",3*0.05*2/3,0.05*2*2/3)))</f>
        <v>0</v>
      </c>
      <c r="BV208" s="115">
        <f t="shared" ca="1" si="168"/>
        <v>0</v>
      </c>
      <c r="BW208" s="115">
        <f t="shared" ca="1" si="169"/>
        <v>18.562499999999304</v>
      </c>
      <c r="BX208" s="164" t="b">
        <f t="shared" ca="1" si="170"/>
        <v>0</v>
      </c>
      <c r="BY208" s="115">
        <f t="shared" ca="1" si="171"/>
        <v>0</v>
      </c>
      <c r="BZ208" s="115">
        <f>IF(OR(模拟模式!$P$16="10人团",模拟模式!$P$16="25人团"),IF(B208/30&gt;CA207,1,0),0)</f>
        <v>0</v>
      </c>
      <c r="CA208" s="115">
        <f t="shared" si="147"/>
        <v>0</v>
      </c>
      <c r="CB208" s="115">
        <f ca="1">IF(BZ208=1,IF(模拟模式!$P$16="10人团",15,0)+IF(模拟模式!$P$16="25人团",IF(RAND()&lt;0.6,15,0)),MAX(0,CB207-$F$4))</f>
        <v>0</v>
      </c>
      <c r="CC208" s="115" t="b">
        <f t="shared" ca="1" si="195"/>
        <v>0</v>
      </c>
      <c r="CD208" s="115">
        <f>IF(模拟模式!$Q$16="1个",IF(B208/40&gt;CE207,1,0),0)</f>
        <v>0</v>
      </c>
      <c r="CE208" s="115">
        <f t="shared" si="196"/>
        <v>0</v>
      </c>
      <c r="CF208" s="115">
        <f>IF(OR(CD208=1,模拟模式!$Q$16="2个"),20,MAX(0,CF207-$F$4))</f>
        <v>0</v>
      </c>
      <c r="CG208" s="115" t="b">
        <f t="shared" si="197"/>
        <v>0</v>
      </c>
      <c r="CH208" s="115">
        <f t="shared" ca="1" si="172"/>
        <v>29.077500000000001</v>
      </c>
      <c r="CI208" s="115" t="b">
        <f t="shared" ca="1" si="173"/>
        <v>1</v>
      </c>
      <c r="CJ208" s="119">
        <f t="shared" ca="1" si="174"/>
        <v>0.01</v>
      </c>
      <c r="CK208" s="115">
        <f t="shared" ca="1" si="175"/>
        <v>7.0774999999999997</v>
      </c>
      <c r="CL208" s="115" t="b">
        <f ca="1">AND(模拟模式!$S$7="驱夷逐法",OR(AND(C208="净世破魔击·月",E207&gt;59),AND(C208="净世破魔击·日",F207&gt;59)))</f>
        <v>1</v>
      </c>
      <c r="CM208" s="115" t="b">
        <f ca="1">OR(CL208,AND(C208="净世破魔击·日",CL207,RAND()&lt;模拟模式!$U$23))</f>
        <v>1</v>
      </c>
      <c r="CN208" s="115" t="b">
        <f ca="1">IF(模拟模式!$M$7="辉耀红尘",AND(C208="净世破魔击·月",CL208,CV208=0,E207&lt;80),AND(C208="净世破魔击·月",CL208,E207&lt;100))</f>
        <v>0</v>
      </c>
      <c r="CO208" s="115" t="b">
        <f t="shared" ca="1" si="148"/>
        <v>0</v>
      </c>
      <c r="CP208" s="115" t="b">
        <f ca="1">AND(模拟模式!$O$7="用晦而明",OR(C208="净世破魔击·日",C208="净世破魔击·月",C208="驱夜断愁"),AB208)</f>
        <v>1</v>
      </c>
      <c r="CQ208" s="115" t="b">
        <f ca="1">OR(CP208,AND(CP207,RAND()&lt;模拟模式!$U$23))</f>
        <v>1</v>
      </c>
      <c r="CR208" s="115" t="b">
        <f ca="1">AND(模拟模式!$S$7="日月齐光",OR(C208="幽月轮1",C208="幽月轮2",C208="幽月轮3",CR207),NOT(OR(C208="赤日轮1",C208="赤日轮2",C208="赤日轮3")))</f>
        <v>0</v>
      </c>
      <c r="CS208" s="115" t="b">
        <f ca="1">AND(模拟模式!$S$7="日月齐光",OR(C208="赤日轮1",C208="赤日轮2",C208="赤日轮3",CS207),NOT(OR(C208="幽月轮1",C208="幽月轮2",C208="幽月轮3")))</f>
        <v>0</v>
      </c>
      <c r="CT208" s="115">
        <f t="shared" ca="1" si="176"/>
        <v>0.48000000000001186</v>
      </c>
      <c r="CU208" s="115" t="b">
        <f ca="1">AND(模拟模式!$K$10="阴阳往极",CT207=0,RAND()&lt;IF(C208="净世破魔击·月",0.0275*7/3,IF(C208="净世破魔击·日",0.0275*3/3,0.0275*2/3)))</f>
        <v>0</v>
      </c>
      <c r="CV208" s="115">
        <f t="shared" ca="1" si="177"/>
        <v>0</v>
      </c>
      <c r="CW208" s="115">
        <f t="shared" ca="1" si="149"/>
        <v>4.1549999999999994</v>
      </c>
      <c r="CX208" s="115">
        <f t="shared" ca="1" si="150"/>
        <v>2.3099999999999996</v>
      </c>
      <c r="CY208" s="115">
        <f ca="1">MAX(IF($C208="驱夜断愁",IF(模拟模式!$R$7="万念俱寂",6,45),CY207-$F$4),0)</f>
        <v>3.2324999999999995</v>
      </c>
      <c r="CZ208" s="115">
        <f t="shared" ca="1" si="151"/>
        <v>0</v>
      </c>
      <c r="DA208" s="115">
        <f ca="1">IF(模拟模式!$N$7="日月同辉",IF(DB207=2,0,MIN(6,IF(AND(OR(C208="赤日轮1",C208="赤日轮2",C208="赤日轮3",C208="幽月轮1",C208="幽月轮2",C208="幽月轮3"),AB208=1),DA207+1,DA207))),0)</f>
        <v>1</v>
      </c>
      <c r="DB208" s="115">
        <f t="shared" ca="1" si="152"/>
        <v>0</v>
      </c>
      <c r="DC208" s="115"/>
      <c r="DD208" s="115"/>
      <c r="DE208" s="115"/>
      <c r="DF208" s="115"/>
      <c r="DG208" s="115"/>
      <c r="DH208" s="115"/>
      <c r="DI208" s="115"/>
      <c r="DJ208" s="115"/>
      <c r="DK208" s="115"/>
      <c r="DL208" s="115"/>
      <c r="DM208" s="115"/>
    </row>
    <row r="209" spans="2:117" x14ac:dyDescent="0.2">
      <c r="B209" s="117">
        <f t="shared" si="153"/>
        <v>167.89500000000052</v>
      </c>
      <c r="C209" s="167" t="str">
        <f t="shared" ca="1" si="146"/>
        <v>净世破魔击·日</v>
      </c>
      <c r="D209" s="115">
        <f ca="1">IF(C209="赤日轮1",1,IF(C209="赤日轮2",2,IF(C209="赤日轮3",3,IF(C209="幽月轮1",4,IF(C209="幽月轮2",5,IF(C209="幽月轮3",6,IF(C209="烈日斩",7,IF(C209="银月斩",8,IF(C209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209="净世破魔击·月",17,IF(C209="驱夜断愁",18,0)))))))))))</f>
        <v>9</v>
      </c>
      <c r="E209" s="115">
        <f ca="1">IF(AND(CU209,OR(C209="幽月轮1",C209="幽月轮2",C209="幽月轮3",C209="银月斩",C209="驱夜断愁",C209="净世破魔击·月")),100,MIN(IF(OR(CN209,BE209),0,IF(OR($C209="赤日轮1",$C209="赤日轮2",$C209="赤日轮3"),E208+20+IF(模拟模式!$I$7="日月凌天",4,0)+IF(CR208,20,0),IF($C209="烈日斩",E208+40,IF($C209="驱夜断愁",IF(模拟模式!$R$7="万念俱寂",E208+20,E208+60),IF($C209="净世破魔击·月",IF(OR(DB208&gt;0,CV208&gt;0),100,IF(模拟模式!$M$7="辉耀红尘",E208+20,E208)),IF($C209="净世破魔击·日",E208-100,E208)))))),100))</f>
        <v>0</v>
      </c>
      <c r="F209" s="115">
        <f ca="1">IF(AND(CU209,OR(C209="赤日轮1",C209="赤日轮2",C209="赤日轮3",C209="烈日斩",C209="净世破魔击·日")),100,MIN(IF(CO209,0,IF(OR($C209="幽月轮1",$C209="幽月轮2",$C209="幽月轮3"),F208+20+IF(模拟模式!$I$7="日月凌天",4,0)+IF(CS208,20,0),IF($C209="银月斩",F208+40+IF(模拟模式!$X$12=1,5,0),IF($C209="驱夜断愁",IF(模拟模式!$R$7="万念俱寂",F208+20,F208+60),IF($C209="净世破魔击·月",IF(模拟模式!$M$7="辉耀红尘",F208-80,F208-100),IF(AND(C209="净世破魔击·日",OR(DB208&gt;0,CV208&gt;0)),100,F208)))))),100))</f>
        <v>20</v>
      </c>
      <c r="G209" s="117">
        <f ca="1">('模拟-全程加成'!$E$3+'模拟-全程加成'!$E$4+'模拟-全程加成'!$E$5+('模拟-全程加成'!$C$6-'模拟-全程加成'!$C$3)*系数!$B$9+BS209*23)*(1+'模拟-全程加成'!$F$4+'模拟-全程加成'!$F$5+BJ209*10%+BM209*20%+BP209*4%+CG209*30%)+$F$7*系数!$B$12</f>
        <v>20583.127400000001</v>
      </c>
      <c r="H209" s="45">
        <f ca="1">'模拟-全程加成'!$H$3+'模拟-全程加成'!$H$4+'模拟-全程加成'!$H$5+('模拟-全程加成'!$G$4+'模拟-全程加成'!$G$5+('模拟-全程加成'!$C$6-'模拟-全程加成'!$C$3)*系数!$B$13)/系数!$B$3+LOOKUP(D209,'模拟-单技能数据'!$A$2:$A$19,'模拟-单技能数据'!$K$2:$K$19)+BG209*10%+IF(BV209&gt;0,378,0)</f>
        <v>0.54185145527300216</v>
      </c>
      <c r="I209" s="45">
        <f ca="1">'模拟-全程加成'!$J$3+'模拟-全程加成'!$J$4+'模拟-全程加成'!$J$5+('模拟-全程加成'!$I$4+'模拟-全程加成'!$I$5)/系数!$B$4+LOOKUP(D209,'模拟-单技能数据'!$A$2:$A$19,'模拟-单技能数据'!$L$2:$L$19)+BG209*10%</f>
        <v>2.162482885499879</v>
      </c>
      <c r="J209" s="45">
        <f ca="1">(('模拟-全程加成'!$K$3+'模拟-全程加成'!$K$4+'模拟-全程加成'!$K$5+('模拟-全程加成'!$C$6-'模拟-全程加成'!$C$3)*系数!$B$10+IF(BV209&gt;0,882,0)+IF(BY209&gt;0,1831,0))*(1+'模拟-全程加成'!$L$4+'模拟-全程加成'!$L$5+CC209*20%))/系数!$B$5</f>
        <v>0.69723220422048726</v>
      </c>
      <c r="K209" s="119">
        <f ca="1">LOOKUP(D209,'模拟-单技能数据'!$A$2:$A$19,'模拟-单技能数据'!$J$2:$J$19)+IF(CM209,60%,0)+IF(DB208-DB209&gt;0,30%,0)+IF(OR(AND(OR(C209="赤日轮1",C209="赤日轮2",C209="赤日轮3"),CR209),AND(OR(C209="幽月轮1",C209="幽月轮2",C209="幽月轮3"),CS209)),35%,0)+CJ209</f>
        <v>0.81</v>
      </c>
      <c r="L209" s="119">
        <f ca="1">IF(AND(C209="烈日斩",模拟模式!$X$11=1),10%,0)+IF(AND(C209="驱夜断愁",AB209=1),30%,0)</f>
        <v>0</v>
      </c>
      <c r="M209" s="45">
        <f t="shared" ca="1" si="185"/>
        <v>0.54185145527300216</v>
      </c>
      <c r="N209" s="45">
        <f t="shared" ca="1" si="186"/>
        <v>0.40424854472699789</v>
      </c>
      <c r="O209" s="46">
        <f t="shared" ca="1" si="154"/>
        <v>0.13324477800575008</v>
      </c>
      <c r="P209" s="46" t="str">
        <f t="shared" ca="1" si="155"/>
        <v>会</v>
      </c>
      <c r="Q209" s="45">
        <f t="shared" ca="1" si="156"/>
        <v>2.162482885499879</v>
      </c>
      <c r="R209" s="117">
        <f ca="1">模拟模式!$E$20*(1-IF(模拟模式!$J$19="有",0.15,0))*(1-IF(模拟模式!$K$19="有",0.3,0)-IF(CQ209,0.5,0))</f>
        <v>843.02999999999975</v>
      </c>
      <c r="S209" s="45">
        <f ca="1">R209/(R209+(185*模拟模式!$E$22-16800)*4.08224)</f>
        <v>8.389626085980037E-2</v>
      </c>
      <c r="T209" s="45" t="str">
        <f ca="1">LOOKUP(D209,'模拟-单技能数据'!$A$2:$A$19,'模拟-单技能数据'!$H$2:$H$19)</f>
        <v>阳</v>
      </c>
      <c r="U209" s="119">
        <f t="shared" ca="1" si="187"/>
        <v>0.2</v>
      </c>
      <c r="V209" s="47">
        <f ca="1">(1+L209)*(LOOKUP(D209,'模拟-单技能数据'!$A$2:$A$19,'模拟-单技能数据'!$D$2:$D$19)+G209*LOOKUP(D209,'模拟-单技能数据'!$A$2:$A$19,'模拟-单技能数据'!$F$2:$F$19))*(1+J209)*(1+K209)*(1-S209)*(1+U209)*Q209*LOOKUP(D209,'模拟-单技能数据'!$A$2:$A$19,'模拟-单技能数据'!$I$2:$I$20)</f>
        <v>197004.23608048278</v>
      </c>
      <c r="W209" s="47">
        <f ca="1">LOOKUP(D209,'模拟-单技能数据'!$A$2:$A$19,'模拟-单技能数据'!$G$2:$G$19)*$I$10</f>
        <v>723.0212870940959</v>
      </c>
      <c r="X209" s="47">
        <f t="shared" ca="1" si="157"/>
        <v>36606.226924306073</v>
      </c>
      <c r="Y209" s="47">
        <f t="shared" ca="1" si="188"/>
        <v>234333.48429188295</v>
      </c>
      <c r="Z209" s="49">
        <f t="shared" ca="1" si="189"/>
        <v>19093727.290228359</v>
      </c>
      <c r="AA209" s="97">
        <f t="shared" ca="1" si="190"/>
        <v>113724.21626747848</v>
      </c>
      <c r="AB209" s="115">
        <f ca="1">IF(OR(C209="赤日轮1",C209="赤日轮2",C209="赤日轮3"),IF(RAND()&lt;模拟模式!$Y$17,1,0),IF(OR(C209="幽月轮1",C209="幽月轮2",C209="幽月轮3"),IF(RAND()&lt;模拟模式!$Y$18,1,0),IF(C209="烈日斩",IF(RAND()&lt;模拟模式!$Y$19,1,0),IF(C209="银月斩",IF(RAND()&lt;模拟模式!$Y$20,1,0),IF(C209="驱夜断愁",IF(RAND()&lt;模拟模式!$Y$21,1,0),IF(C209="净世破魔击·日",IF(RAND()&lt;模拟模式!$Y$22,1,0),IF(C209="净世破魔击·月",IF(RAND()&lt;模拟模式!$Y$23,1,0),0)))))))</f>
        <v>1</v>
      </c>
      <c r="AC209" s="115" t="b">
        <f t="shared" ca="1" si="178"/>
        <v>0</v>
      </c>
      <c r="AD209" s="115" t="b">
        <f t="shared" ca="1" si="198"/>
        <v>1</v>
      </c>
      <c r="AE209" s="115">
        <f t="shared" ca="1" si="199"/>
        <v>3</v>
      </c>
      <c r="AF209" s="47">
        <f ca="1">IF(AC209,('模拟-单技能数据'!$D$20+G209*'模拟-单技能数据'!$F$20)*(1+J209)*(1+'模拟-单技能数据'!$J$20)*(1+U209),0)</f>
        <v>0</v>
      </c>
      <c r="AG209" s="61">
        <f t="shared" ca="1" si="191"/>
        <v>0.64185145527300214</v>
      </c>
      <c r="AH209" s="61">
        <f t="shared" ca="1" si="192"/>
        <v>2.2624828854998791</v>
      </c>
      <c r="AI209" s="62">
        <f t="shared" ca="1" si="158"/>
        <v>0.95215900920203944</v>
      </c>
      <c r="AJ209" s="47">
        <f ca="1">IF(AD209,IF(AI209&lt;$F$10,0,IF(AI209&lt;$F$10+$F$11,0.25,IF(AI209&lt;$F$10+$F$11+AG209,AH209,1)))*IF(AF209&gt;0,AF209,IF(AF208&gt;0,AF208,IF(AF207&gt;0,AF207,IF(AF206&gt;0,AF206,IF(AF205&gt;0,AF205,IF(AF204&gt;0,AF204,IF(AF203&gt;0,AF203,IF(AF202&gt;0,AF202,IF(AF201&gt;0,AF201,IF(AF199&gt;0,AF199,IF(AF198&gt;0,AF198,IF(AF197&gt;0,AF197,0)))))))))))),0)*(1-$S209)*'模拟-单技能数据'!$I$20</f>
        <v>4074.6980221198578</v>
      </c>
      <c r="AK209" s="115" t="b">
        <f t="shared" ca="1" si="179"/>
        <v>1</v>
      </c>
      <c r="AL209" s="115" t="b">
        <f t="shared" ca="1" si="200"/>
        <v>1</v>
      </c>
      <c r="AM209" s="115">
        <f t="shared" ca="1" si="201"/>
        <v>5</v>
      </c>
      <c r="AN209" s="47">
        <f ca="1">IF(AK209,('模拟-单技能数据'!$D$21+G209*'模拟-单技能数据'!$F$21)*(1+J209)*(1+'模拟-单技能数据'!$J$21)*(1+U209),0)</f>
        <v>12136.56601728573</v>
      </c>
      <c r="AO209" s="61">
        <f ca="1">IF(AN209&gt;0,M209-'模拟-单技能数据'!$K$10,AO208)</f>
        <v>0.42185145527300216</v>
      </c>
      <c r="AP209" s="61">
        <f ca="1">IF(AN209&gt;0,I209-'模拟-单技能数据'!$L$10,AP208)</f>
        <v>2.162482885499879</v>
      </c>
      <c r="AQ209" s="63">
        <f t="shared" ca="1" si="159"/>
        <v>7.1930463717341242E-2</v>
      </c>
      <c r="AR209" s="64">
        <f ca="1">IF(AL209,IF(AQ209&lt;$F$10,0,IF(AQ209&lt;$F$10+$F$11,0.25,IF(AQ209&lt;$F$10+$F$11+AO209,AP209,1)))*IF(AN209&gt;0,AN209,IF(AN208&gt;0,AN208,IF(AN207&gt;0,AN207,IF(AN206&gt;0,AN206,IF(AN205&gt;0,AN205,IF(AN204&gt;0,AN204,IF(AN203&gt;0,AN203,IF(AN202&gt;0,AN202,IF(AN201&gt;0,AN201,IF(AN199&gt;0,AN199,IF(AN198&gt;0,AN198,IF(AN197&gt;0,AN197,0)))))))))))),0)*(1-$S209)*'模拟-单技能数据'!$I$21</f>
        <v>24043.249177625272</v>
      </c>
      <c r="AS209" s="61">
        <f ca="1">IF(OR(C209="净世破魔击·日",C209="净世破魔击·月"),M209-'模拟-单技能数据'!$K$10,0)</f>
        <v>0.42185145527300216</v>
      </c>
      <c r="AT209" s="61">
        <f ca="1">IF(OR(C209="净世破魔击·日",C209="净世破魔击·月"),I209-'模拟-单技能数据'!$L$10,0)</f>
        <v>2.162482885499879</v>
      </c>
      <c r="AU209" s="62">
        <f t="shared" ca="1" si="160"/>
        <v>0.6033782248331957</v>
      </c>
      <c r="AV209" s="64">
        <f ca="1">IF(AS209&gt;0,('模拟-单技能数据'!$D$22+G209*'模拟-单技能数据'!$F$22)*(1+J209)*(1-S209)*IF(AU209&lt;$F$10,0,IF(AU209&lt;$F$10+$F$11,0.25,IF(AU209&lt;$F$10+$F$11+AS209,AT209,1)))*(1+U209),0)*'模拟-单技能数据'!$I$22</f>
        <v>8488.2797245609418</v>
      </c>
      <c r="AW209" s="108">
        <f t="shared" ca="1" si="161"/>
        <v>4.3175000000000061</v>
      </c>
      <c r="AX209" s="108" t="b">
        <f ca="1">AND(模拟模式!$P$10="有",AW208=0,RAND()&lt;IF(C209="净世破魔击·月",0.1*8/3,IF(C209="净世破魔击·日",0.1*4/3,0.1*2/3)))</f>
        <v>0</v>
      </c>
      <c r="AY209" s="47">
        <f ca="1">IF(AX209,(18+G209*0.722)*(1+J209)*(1-S209)*(1+$I$4)*IF(P209="会",'模拟-全程加成'!$J$3+'模拟-全程加成'!$J$4+'模拟-全程加成'!$J$5+('模拟-全程加成'!$I$4+'模拟-全程加成'!$I$5)/系数!$B$4+BG209*10%,IF(P209="命",1,IF(P209="识",0.25,0))),0)</f>
        <v>0</v>
      </c>
      <c r="AZ209" s="108">
        <f t="shared" si="162"/>
        <v>14.465000000000003</v>
      </c>
      <c r="BA209" s="108" t="b">
        <f>AND(模拟模式!$Q$10="有",AZ208=0)</f>
        <v>0</v>
      </c>
      <c r="BB209" s="140">
        <f>IF(BA209,(0+G209*0.287)*(1+J209)*(1-S209)*(1+$I$4)*IF(P209="会",'模拟-全程加成'!$J$3+'模拟-全程加成'!$J$4+'模拟-全程加成'!$J$5+('模拟-全程加成'!$I$4+'模拟-全程加成'!$I$5)/系数!$B$4+BG209*10%,IF(P209="命",1,IF(P209="识",0.25,0))),0)</f>
        <v>0</v>
      </c>
      <c r="BC209" s="115" t="b">
        <f ca="1">AND(模拟模式!$R$7="伏明众生",E209=60,F209=20,DA209&lt;5,CZ208&lt;$F$4)</f>
        <v>0</v>
      </c>
      <c r="BD209" s="115">
        <f t="shared" ca="1" si="180"/>
        <v>0</v>
      </c>
      <c r="BE209" s="115" t="b">
        <f t="shared" ca="1" si="181"/>
        <v>0</v>
      </c>
      <c r="BF209" s="47">
        <f ca="1">IF(BC209,4*('模拟-单技能数据'!$D$24+G209*'模拟-单技能数据'!$F$24)*(1+J209)*(1+'模拟-单技能数据'!$J$24)*(1-S209)*(1+$I$3)*(('模拟-全程加成'!$J$3+'模拟-全程加成'!$J$4+'模拟-全程加成'!$J$5+('模拟-全程加成'!$I$4+'模拟-全程加成'!$I$5)/系数!$B$4+BG209*10%)*('模拟-全程加成'!$J$3+'模拟-全程加成'!$J$4+'模拟-全程加成'!$J$5+('模拟-全程加成'!$I$4+'模拟-全程加成'!$I$5)/系数!$B$4+BG209*10%)+(1-('模拟-全程加成'!$J$3+'模拟-全程加成'!$J$4+'模拟-全程加成'!$J$5+('模拟-全程加成'!$I$4+'模拟-全程加成'!$I$5)/系数!$B$4+BG209*10%)-$F$10-$F$11)+F195*0.25),0)*'模拟-单技能数据'!$I$24</f>
        <v>0</v>
      </c>
      <c r="BG209" s="115" t="b">
        <f ca="1">OR(AND(OR(C209="烈日斩",C209="银月斩"),模拟模式!$I$7="净身明礼"),AND(C209="净世破魔击·日",模拟模式!$J$7="洞若观火"),AND(C210="净世破魔击·月",模拟模式!$J$7="洞若观火"),AB209=1)</f>
        <v>1</v>
      </c>
      <c r="BH209" s="115" t="b">
        <f t="shared" ca="1" si="163"/>
        <v>0</v>
      </c>
      <c r="BI209" s="115">
        <f t="shared" ca="1" si="182"/>
        <v>0</v>
      </c>
      <c r="BJ209" s="115" t="b">
        <f t="shared" ca="1" si="193"/>
        <v>0</v>
      </c>
      <c r="BK209" s="115" t="b">
        <f ca="1">AND(C209="驱夜断愁",模拟模式!$P$7="天地诛戮")</f>
        <v>0</v>
      </c>
      <c r="BL209" s="57">
        <f t="shared" ca="1" si="183"/>
        <v>16.310000000000002</v>
      </c>
      <c r="BM209" s="115" t="b">
        <f t="shared" ca="1" si="194"/>
        <v>1</v>
      </c>
      <c r="BN209" s="115" t="b">
        <f ca="1">AND(OR(C209="赤日轮1",C209="赤日轮2",C209="赤日轮3",C209="幽月轮1",C209="幽月轮2",C209="幽月轮3"),AB209=1,模拟模式!$L$7="明光恒照")</f>
        <v>0</v>
      </c>
      <c r="BO209" s="117">
        <f t="shared" ca="1" si="184"/>
        <v>28.155000000000001</v>
      </c>
      <c r="BP209" s="115">
        <f t="shared" ca="1" si="164"/>
        <v>6</v>
      </c>
      <c r="BQ209" s="115" t="b">
        <f>模拟模式!$K$10="2600·水"</f>
        <v>0</v>
      </c>
      <c r="BR209" s="117">
        <f t="shared" si="165"/>
        <v>0</v>
      </c>
      <c r="BS209" s="115">
        <f t="shared" si="166"/>
        <v>0</v>
      </c>
      <c r="BT209" s="115">
        <f t="shared" ca="1" si="167"/>
        <v>0</v>
      </c>
      <c r="BU209" s="115" t="b">
        <f ca="1">AND(模拟模式!$K$10="2300·雷",BT208=0,RAND()&lt;IF(C209="净世破魔击·月",5*0.05*2/3,IF(C209="净世破魔击·日",3*0.05*2/3,0.05*2*2/3)))</f>
        <v>0</v>
      </c>
      <c r="BV209" s="115">
        <f t="shared" ca="1" si="168"/>
        <v>0</v>
      </c>
      <c r="BW209" s="115">
        <f t="shared" ca="1" si="169"/>
        <v>17.639999999999304</v>
      </c>
      <c r="BX209" s="164" t="b">
        <f t="shared" ca="1" si="170"/>
        <v>0</v>
      </c>
      <c r="BY209" s="115">
        <f t="shared" ca="1" si="171"/>
        <v>0</v>
      </c>
      <c r="BZ209" s="115">
        <f>IF(OR(模拟模式!$P$16="10人团",模拟模式!$P$16="25人团"),IF(B209/30&gt;CA208,1,0),0)</f>
        <v>0</v>
      </c>
      <c r="CA209" s="115">
        <f t="shared" si="147"/>
        <v>0</v>
      </c>
      <c r="CB209" s="115">
        <f ca="1">IF(BZ209=1,IF(模拟模式!$P$16="10人团",15,0)+IF(模拟模式!$P$16="25人团",IF(RAND()&lt;0.6,15,0)),MAX(0,CB208-$F$4))</f>
        <v>0</v>
      </c>
      <c r="CC209" s="115" t="b">
        <f t="shared" ca="1" si="195"/>
        <v>0</v>
      </c>
      <c r="CD209" s="115">
        <f>IF(模拟模式!$Q$16="1个",IF(B209/40&gt;CE208,1,0),0)</f>
        <v>0</v>
      </c>
      <c r="CE209" s="115">
        <f t="shared" si="196"/>
        <v>0</v>
      </c>
      <c r="CF209" s="115">
        <f>IF(OR(CD209=1,模拟模式!$Q$16="2个"),20,MAX(0,CF208-$F$4))</f>
        <v>0</v>
      </c>
      <c r="CG209" s="115" t="b">
        <f t="shared" si="197"/>
        <v>0</v>
      </c>
      <c r="CH209" s="115">
        <f t="shared" ca="1" si="172"/>
        <v>28.155000000000001</v>
      </c>
      <c r="CI209" s="115" t="b">
        <f t="shared" ca="1" si="173"/>
        <v>0</v>
      </c>
      <c r="CJ209" s="119">
        <f t="shared" ca="1" si="174"/>
        <v>0.01</v>
      </c>
      <c r="CK209" s="115">
        <f t="shared" ca="1" si="175"/>
        <v>6.1549999999999994</v>
      </c>
      <c r="CL209" s="115" t="b">
        <f ca="1">AND(模拟模式!$S$7="驱夷逐法",OR(AND(C209="净世破魔击·月",E208&gt;59),AND(C209="净世破魔击·日",F208&gt;59)))</f>
        <v>0</v>
      </c>
      <c r="CM209" s="115" t="b">
        <f ca="1">OR(CL209,AND(C209="净世破魔击·日",CL208,RAND()&lt;模拟模式!$U$23))</f>
        <v>1</v>
      </c>
      <c r="CN209" s="115" t="b">
        <f ca="1">IF(模拟模式!$M$7="辉耀红尘",AND(C209="净世破魔击·月",CL209,CV209=0,E208&lt;80),AND(C209="净世破魔击·月",CL209,E208&lt;100))</f>
        <v>0</v>
      </c>
      <c r="CO209" s="115" t="b">
        <f t="shared" ca="1" si="148"/>
        <v>0</v>
      </c>
      <c r="CP209" s="115" t="b">
        <f ca="1">AND(模拟模式!$O$7="用晦而明",OR(C209="净世破魔击·日",C209="净世破魔击·月",C209="驱夜断愁"),AB209)</f>
        <v>1</v>
      </c>
      <c r="CQ209" s="115" t="b">
        <f ca="1">OR(CP209,AND(CP208,RAND()&lt;模拟模式!$U$23))</f>
        <v>1</v>
      </c>
      <c r="CR209" s="115" t="b">
        <f ca="1">AND(模拟模式!$S$7="日月齐光",OR(C209="幽月轮1",C209="幽月轮2",C209="幽月轮3",CR208),NOT(OR(C209="赤日轮1",C209="赤日轮2",C209="赤日轮3")))</f>
        <v>0</v>
      </c>
      <c r="CS209" s="115" t="b">
        <f ca="1">AND(模拟模式!$S$7="日月齐光",OR(C209="赤日轮1",C209="赤日轮2",C209="赤日轮3",CS208),NOT(OR(C209="幽月轮1",C209="幽月轮2",C209="幽月轮3")))</f>
        <v>0</v>
      </c>
      <c r="CT209" s="115">
        <f t="shared" ca="1" si="176"/>
        <v>0</v>
      </c>
      <c r="CU209" s="115" t="b">
        <f ca="1">AND(模拟模式!$K$10="阴阳往极",CT208=0,RAND()&lt;IF(C209="净世破魔击·月",0.0275*7/3,IF(C209="净世破魔击·日",0.0275*3/3,0.0275*2/3)))</f>
        <v>0</v>
      </c>
      <c r="CV209" s="115">
        <f t="shared" ca="1" si="177"/>
        <v>0</v>
      </c>
      <c r="CW209" s="115">
        <f t="shared" ca="1" si="149"/>
        <v>3.2324999999999995</v>
      </c>
      <c r="CX209" s="115">
        <f t="shared" ca="1" si="150"/>
        <v>1.3874999999999997</v>
      </c>
      <c r="CY209" s="115">
        <f ca="1">MAX(IF($C209="驱夜断愁",IF(模拟模式!$R$7="万念俱寂",6,45),CY208-$F$4),0)</f>
        <v>2.3099999999999996</v>
      </c>
      <c r="CZ209" s="115">
        <f t="shared" ca="1" si="151"/>
        <v>0</v>
      </c>
      <c r="DA209" s="115">
        <f ca="1">IF(模拟模式!$N$7="日月同辉",IF(DB208=2,0,MIN(6,IF(AND(OR(C209="赤日轮1",C209="赤日轮2",C209="赤日轮3",C209="幽月轮1",C209="幽月轮2",C209="幽月轮3"),AB209=1),DA208+1,DA208))),0)</f>
        <v>1</v>
      </c>
      <c r="DB209" s="115">
        <f t="shared" ca="1" si="152"/>
        <v>0</v>
      </c>
      <c r="DC209" s="115"/>
      <c r="DD209" s="115"/>
      <c r="DE209" s="115"/>
      <c r="DF209" s="115"/>
      <c r="DG209" s="115"/>
      <c r="DH209" s="115"/>
      <c r="DI209" s="115"/>
      <c r="DJ209" s="115"/>
      <c r="DK209" s="115"/>
      <c r="DL209" s="115"/>
      <c r="DM209" s="115"/>
    </row>
    <row r="210" spans="2:117" x14ac:dyDescent="0.2">
      <c r="B210" s="117">
        <f t="shared" si="153"/>
        <v>168.81750000000054</v>
      </c>
      <c r="C210" s="167" t="str">
        <f t="shared" ca="1" si="146"/>
        <v>赤日轮1</v>
      </c>
      <c r="D210" s="115">
        <f ca="1">IF(C210="赤日轮1",1,IF(C210="赤日轮2",2,IF(C210="赤日轮3",3,IF(C210="幽月轮1",4,IF(C210="幽月轮2",5,IF(C210="幽月轮3",6,IF(C210="烈日斩",7,IF(C210="银月斩",8,IF(C210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210="净世破魔击·月",17,IF(C210="驱夜断愁",18,0)))))))))))</f>
        <v>1</v>
      </c>
      <c r="E210" s="115">
        <f ca="1">IF(AND(CU210,OR(C210="幽月轮1",C210="幽月轮2",C210="幽月轮3",C210="银月斩",C210="驱夜断愁",C210="净世破魔击·月")),100,MIN(IF(OR(CN210,BE210),0,IF(OR($C210="赤日轮1",$C210="赤日轮2",$C210="赤日轮3"),E209+20+IF(模拟模式!$I$7="日月凌天",4,0)+IF(CR209,20,0),IF($C210="烈日斩",E209+40,IF($C210="驱夜断愁",IF(模拟模式!$R$7="万念俱寂",E209+20,E209+60),IF($C210="净世破魔击·月",IF(OR(DB209&gt;0,CV209&gt;0),100,IF(模拟模式!$M$7="辉耀红尘",E209+20,E209)),IF($C210="净世破魔击·日",E209-100,E209)))))),100))</f>
        <v>20</v>
      </c>
      <c r="F210" s="115">
        <f ca="1">IF(AND(CU210,OR(C210="赤日轮1",C210="赤日轮2",C210="赤日轮3",C210="烈日斩",C210="净世破魔击·日")),100,MIN(IF(CO210,0,IF(OR($C210="幽月轮1",$C210="幽月轮2",$C210="幽月轮3"),F209+20+IF(模拟模式!$I$7="日月凌天",4,0)+IF(CS209,20,0),IF($C210="银月斩",F209+40+IF(模拟模式!$X$12=1,5,0),IF($C210="驱夜断愁",IF(模拟模式!$R$7="万念俱寂",F209+20,F209+60),IF($C210="净世破魔击·月",IF(模拟模式!$M$7="辉耀红尘",F209-80,F209-100),IF(AND(C210="净世破魔击·日",OR(DB209&gt;0,CV209&gt;0)),100,F209)))))),100))</f>
        <v>20</v>
      </c>
      <c r="G210" s="117">
        <f ca="1">('模拟-全程加成'!$E$3+'模拟-全程加成'!$E$4+'模拟-全程加成'!$E$5+('模拟-全程加成'!$C$6-'模拟-全程加成'!$C$3)*系数!$B$9+BS210*23)*(1+'模拟-全程加成'!$F$4+'模拟-全程加成'!$F$5+BJ210*10%+BM210*20%+BP210*4%+CG210*30%)+$F$7*系数!$B$12</f>
        <v>20583.127400000001</v>
      </c>
      <c r="H210" s="45">
        <f ca="1">'模拟-全程加成'!$H$3+'模拟-全程加成'!$H$4+'模拟-全程加成'!$H$5+('模拟-全程加成'!$G$4+'模拟-全程加成'!$G$5+('模拟-全程加成'!$C$6-'模拟-全程加成'!$C$3)*系数!$B$13)/系数!$B$3+LOOKUP(D210,'模拟-单技能数据'!$A$2:$A$19,'模拟-单技能数据'!$K$2:$K$19)+BG210*10%+IF(BV210&gt;0,378,0)</f>
        <v>0.4618514552730022</v>
      </c>
      <c r="I210" s="45">
        <f ca="1">'模拟-全程加成'!$J$3+'模拟-全程加成'!$J$4+'模拟-全程加成'!$J$5+('模拟-全程加成'!$I$4+'模拟-全程加成'!$I$5)/系数!$B$4+LOOKUP(D210,'模拟-单技能数据'!$A$2:$A$19,'模拟-单技能数据'!$L$2:$L$19)+BG210*10%</f>
        <v>2.162482885499879</v>
      </c>
      <c r="J210" s="45">
        <f ca="1">(('模拟-全程加成'!$K$3+'模拟-全程加成'!$K$4+'模拟-全程加成'!$K$5+('模拟-全程加成'!$C$6-'模拟-全程加成'!$C$3)*系数!$B$10+IF(BV210&gt;0,882,0)+IF(BY210&gt;0,1831,0))*(1+'模拟-全程加成'!$L$4+'模拟-全程加成'!$L$5+CC210*20%))/系数!$B$5</f>
        <v>0.69723220422048726</v>
      </c>
      <c r="K210" s="119">
        <f ca="1">LOOKUP(D210,'模拟-单技能数据'!$A$2:$A$19,'模拟-单技能数据'!$J$2:$J$19)+IF(CM210,60%,0)+IF(DB209-DB210&gt;0,30%,0)+IF(OR(AND(OR(C210="赤日轮1",C210="赤日轮2",C210="赤日轮3"),CR210),AND(OR(C210="幽月轮1",C210="幽月轮2",C210="幽月轮3"),CS210)),35%,0)+CJ210</f>
        <v>0.13</v>
      </c>
      <c r="L210" s="119">
        <f ca="1">IF(AND(C210="烈日斩",模拟模式!$X$11=1),10%,0)+IF(AND(C210="驱夜断愁",AB210=1),30%,0)</f>
        <v>0</v>
      </c>
      <c r="M210" s="45">
        <f t="shared" ca="1" si="185"/>
        <v>0.4618514552730022</v>
      </c>
      <c r="N210" s="45">
        <f t="shared" ca="1" si="186"/>
        <v>0.48424854472699785</v>
      </c>
      <c r="O210" s="46">
        <f t="shared" ca="1" si="154"/>
        <v>0.25471533655344603</v>
      </c>
      <c r="P210" s="46" t="str">
        <f t="shared" ca="1" si="155"/>
        <v>会</v>
      </c>
      <c r="Q210" s="45">
        <f t="shared" ca="1" si="156"/>
        <v>2.162482885499879</v>
      </c>
      <c r="R210" s="117">
        <f ca="1">模拟模式!$E$20*(1-IF(模拟模式!$J$19="有",0.15,0))*(1-IF(模拟模式!$K$19="有",0.3,0)-IF(CQ210,0.5,0))</f>
        <v>843.02999999999975</v>
      </c>
      <c r="S210" s="45">
        <f ca="1">R210/(R210+(185*模拟模式!$E$22-16800)*4.08224)</f>
        <v>8.389626085980037E-2</v>
      </c>
      <c r="T210" s="45" t="str">
        <f ca="1">LOOKUP(D210,'模拟-单技能数据'!$A$2:$A$19,'模拟-单技能数据'!$H$2:$H$19)</f>
        <v>阳</v>
      </c>
      <c r="U210" s="119">
        <f t="shared" ca="1" si="187"/>
        <v>0.2</v>
      </c>
      <c r="V210" s="47">
        <f ca="1">(1+L210)*(LOOKUP(D210,'模拟-单技能数据'!$A$2:$A$19,'模拟-单技能数据'!$D$2:$D$19)+G210*LOOKUP(D210,'模拟-单技能数据'!$A$2:$A$19,'模拟-单技能数据'!$F$2:$F$19))*(1+J210)*(1+K210)*(1-S210)*(1+U210)*Q210*LOOKUP(D210,'模拟-单技能数据'!$A$2:$A$19,'模拟-单技能数据'!$I$2:$I$20)</f>
        <v>54969.0140455398</v>
      </c>
      <c r="W210" s="47">
        <f ca="1">LOOKUP(D210,'模拟-单技能数据'!$A$2:$A$19,'模拟-单技能数据'!$G$2:$G$19)*$I$10</f>
        <v>361.51064354704795</v>
      </c>
      <c r="X210" s="47">
        <f t="shared" ca="1" si="157"/>
        <v>0</v>
      </c>
      <c r="Y210" s="47">
        <f t="shared" ca="1" si="188"/>
        <v>55330.524689086844</v>
      </c>
      <c r="Z210" s="49">
        <f t="shared" ca="1" si="189"/>
        <v>19149057.814917445</v>
      </c>
      <c r="AA210" s="97">
        <f t="shared" ca="1" si="190"/>
        <v>113430.52595209255</v>
      </c>
      <c r="AB210" s="115">
        <f ca="1">IF(OR(C210="赤日轮1",C210="赤日轮2",C210="赤日轮3"),IF(RAND()&lt;模拟模式!$Y$17,1,0),IF(OR(C210="幽月轮1",C210="幽月轮2",C210="幽月轮3"),IF(RAND()&lt;模拟模式!$Y$18,1,0),IF(C210="烈日斩",IF(RAND()&lt;模拟模式!$Y$19,1,0),IF(C210="银月斩",IF(RAND()&lt;模拟模式!$Y$20,1,0),IF(C210="驱夜断愁",IF(RAND()&lt;模拟模式!$Y$21,1,0),IF(C210="净世破魔击·日",IF(RAND()&lt;模拟模式!$Y$22,1,0),IF(C210="净世破魔击·月",IF(RAND()&lt;模拟模式!$Y$23,1,0),0)))))))</f>
        <v>1</v>
      </c>
      <c r="AC210" s="115" t="b">
        <f t="shared" ca="1" si="178"/>
        <v>0</v>
      </c>
      <c r="AD210" s="115" t="b">
        <f t="shared" ca="1" si="198"/>
        <v>0</v>
      </c>
      <c r="AE210" s="115">
        <f t="shared" ca="1" si="199"/>
        <v>3</v>
      </c>
      <c r="AF210" s="47">
        <f ca="1">IF(AC210,('模拟-单技能数据'!$D$20+G210*'模拟-单技能数据'!$F$20)*(1+J210)*(1+'模拟-单技能数据'!$J$20)*(1+U210),0)</f>
        <v>0</v>
      </c>
      <c r="AG210" s="61">
        <f t="shared" ca="1" si="191"/>
        <v>0.64185145527300214</v>
      </c>
      <c r="AH210" s="61">
        <f t="shared" ca="1" si="192"/>
        <v>2.2624828854998791</v>
      </c>
      <c r="AI210" s="62">
        <f t="shared" ca="1" si="158"/>
        <v>0.32876941544979965</v>
      </c>
      <c r="AJ210" s="47">
        <f ca="1">IF(AD210,IF(AI210&lt;$F$10,0,IF(AI210&lt;$F$10+$F$11,0.25,IF(AI210&lt;$F$10+$F$11+AG210,AH210,1)))*IF(AF210&gt;0,AF210,IF(AF209&gt;0,AF209,IF(AF208&gt;0,AF208,IF(AF207&gt;0,AF207,IF(AF206&gt;0,AF206,IF(AF205&gt;0,AF205,IF(AF204&gt;0,AF204,IF(AF203&gt;0,AF203,IF(AF202&gt;0,AF202,IF(AF200&gt;0,AF200,IF(AF199&gt;0,AF199,IF(AF198&gt;0,AF198,0)))))))))))),0)*(1-$S210)*'模拟-单技能数据'!$I$20</f>
        <v>0</v>
      </c>
      <c r="AK210" s="115" t="b">
        <f t="shared" ca="1" si="179"/>
        <v>0</v>
      </c>
      <c r="AL210" s="115" t="b">
        <f t="shared" ca="1" si="200"/>
        <v>0</v>
      </c>
      <c r="AM210" s="115">
        <f t="shared" ca="1" si="201"/>
        <v>5</v>
      </c>
      <c r="AN210" s="47">
        <f ca="1">IF(AK210,('模拟-单技能数据'!$D$21+G210*'模拟-单技能数据'!$F$21)*(1+J210)*(1+'模拟-单技能数据'!$J$21)*(1+U210),0)</f>
        <v>0</v>
      </c>
      <c r="AO210" s="61">
        <f ca="1">IF(AN210&gt;0,M210-'模拟-单技能数据'!$K$10,AO209)</f>
        <v>0.42185145527300216</v>
      </c>
      <c r="AP210" s="61">
        <f ca="1">IF(AN210&gt;0,I210-'模拟-单技能数据'!$L$10,AP209)</f>
        <v>2.162482885499879</v>
      </c>
      <c r="AQ210" s="63">
        <f t="shared" ca="1" si="159"/>
        <v>0.404592481203636</v>
      </c>
      <c r="AR210" s="64">
        <f ca="1">IF(AL210,IF(AQ210&lt;$F$10,0,IF(AQ210&lt;$F$10+$F$11,0.25,IF(AQ210&lt;$F$10+$F$11+AO210,AP210,1)))*IF(AN210&gt;0,AN210,IF(AN209&gt;0,AN209,IF(AN208&gt;0,AN208,IF(AN207&gt;0,AN207,IF(AN206&gt;0,AN206,IF(AN205&gt;0,AN205,IF(AN204&gt;0,AN204,IF(AN203&gt;0,AN203,IF(AN202&gt;0,AN202,IF(AN200&gt;0,AN200,IF(AN199&gt;0,AN199,IF(AN198&gt;0,AN198,0)))))))))))),0)*(1-$S210)*'模拟-单技能数据'!$I$21</f>
        <v>0</v>
      </c>
      <c r="AS210" s="61">
        <f ca="1">IF(OR(C210="净世破魔击·日",C210="净世破魔击·月"),M210-'模拟-单技能数据'!$K$10,0)</f>
        <v>0</v>
      </c>
      <c r="AT210" s="61">
        <f ca="1">IF(OR(C210="净世破魔击·日",C210="净世破魔击·月"),I210-'模拟-单技能数据'!$L$10,0)</f>
        <v>0</v>
      </c>
      <c r="AU210" s="62">
        <f t="shared" ca="1" si="160"/>
        <v>0.92857235551116213</v>
      </c>
      <c r="AV210" s="64">
        <f ca="1">IF(AS210&gt;0,('模拟-单技能数据'!$D$22+G210*'模拟-单技能数据'!$F$22)*(1+J210)*(1-S210)*IF(AU210&lt;$F$10,0,IF(AU210&lt;$F$10+$F$11,0.25,IF(AU210&lt;$F$10+$F$11+AS210,AT210,1)))*(1+U210),0)*'模拟-单技能数据'!$I$22</f>
        <v>0</v>
      </c>
      <c r="AW210" s="108">
        <f t="shared" ca="1" si="161"/>
        <v>3.3950000000000062</v>
      </c>
      <c r="AX210" s="108" t="b">
        <f ca="1">AND(模拟模式!$P$10="有",AW209=0,RAND()&lt;IF(C210="净世破魔击·月",0.1*8/3,IF(C210="净世破魔击·日",0.1*4/3,0.1*2/3)))</f>
        <v>0</v>
      </c>
      <c r="AY210" s="47">
        <f ca="1">IF(AX210,(18+G210*0.722)*(1+J210)*(1-S210)*(1+$I$4)*IF(P210="会",'模拟-全程加成'!$J$3+'模拟-全程加成'!$J$4+'模拟-全程加成'!$J$5+('模拟-全程加成'!$I$4+'模拟-全程加成'!$I$5)/系数!$B$4+BG210*10%,IF(P210="命",1,IF(P210="识",0.25,0))),0)</f>
        <v>0</v>
      </c>
      <c r="AZ210" s="108">
        <f t="shared" si="162"/>
        <v>13.542500000000004</v>
      </c>
      <c r="BA210" s="108" t="b">
        <f>AND(模拟模式!$Q$10="有",AZ209=0)</f>
        <v>0</v>
      </c>
      <c r="BB210" s="140">
        <f>IF(BA210,(0+G210*0.287)*(1+J210)*(1-S210)*(1+$I$4)*IF(P210="会",'模拟-全程加成'!$J$3+'模拟-全程加成'!$J$4+'模拟-全程加成'!$J$5+('模拟-全程加成'!$I$4+'模拟-全程加成'!$I$5)/系数!$B$4+BG210*10%,IF(P210="命",1,IF(P210="识",0.25,0))),0)</f>
        <v>0</v>
      </c>
      <c r="BC210" s="115" t="b">
        <f ca="1">AND(模拟模式!$R$7="伏明众生",E210=60,F210=20,DA210&lt;5,CZ209&lt;$F$4)</f>
        <v>0</v>
      </c>
      <c r="BD210" s="115">
        <f t="shared" ca="1" si="180"/>
        <v>0</v>
      </c>
      <c r="BE210" s="115" t="b">
        <f t="shared" ca="1" si="181"/>
        <v>0</v>
      </c>
      <c r="BF210" s="47">
        <f ca="1">IF(BC210,4*('模拟-单技能数据'!$D$24+G210*'模拟-单技能数据'!$F$24)*(1+J210)*(1+'模拟-单技能数据'!$J$24)*(1-S210)*(1+$I$3)*(('模拟-全程加成'!$J$3+'模拟-全程加成'!$J$4+'模拟-全程加成'!$J$5+('模拟-全程加成'!$I$4+'模拟-全程加成'!$I$5)/系数!$B$4+BG210*10%)*('模拟-全程加成'!$J$3+'模拟-全程加成'!$J$4+'模拟-全程加成'!$J$5+('模拟-全程加成'!$I$4+'模拟-全程加成'!$I$5)/系数!$B$4+BG210*10%)+(1-('模拟-全程加成'!$J$3+'模拟-全程加成'!$J$4+'模拟-全程加成'!$J$5+('模拟-全程加成'!$I$4+'模拟-全程加成'!$I$5)/系数!$B$4+BG210*10%)-$F$10-$F$11)+F196*0.25),0)*'模拟-单技能数据'!$I$24</f>
        <v>0</v>
      </c>
      <c r="BG210" s="115" t="b">
        <f ca="1">OR(AND(OR(C210="烈日斩",C210="银月斩"),模拟模式!$I$7="净身明礼"),AND(C210="净世破魔击·日",模拟模式!$J$7="洞若观火"),AND(C211="净世破魔击·月",模拟模式!$J$7="洞若观火"),AB210=1)</f>
        <v>1</v>
      </c>
      <c r="BH210" s="115" t="b">
        <f t="shared" ca="1" si="163"/>
        <v>0</v>
      </c>
      <c r="BI210" s="115">
        <f t="shared" ca="1" si="182"/>
        <v>0</v>
      </c>
      <c r="BJ210" s="115" t="b">
        <f t="shared" ca="1" si="193"/>
        <v>0</v>
      </c>
      <c r="BK210" s="115" t="b">
        <f ca="1">AND(C210="驱夜断愁",模拟模式!$P$7="天地诛戮")</f>
        <v>0</v>
      </c>
      <c r="BL210" s="57">
        <f t="shared" ca="1" si="183"/>
        <v>15.387500000000003</v>
      </c>
      <c r="BM210" s="115" t="b">
        <f t="shared" ca="1" si="194"/>
        <v>1</v>
      </c>
      <c r="BN210" s="115" t="b">
        <f ca="1">AND(OR(C210="赤日轮1",C210="赤日轮2",C210="赤日轮3",C210="幽月轮1",C210="幽月轮2",C210="幽月轮3"),AB210=1,模拟模式!$L$7="明光恒照")</f>
        <v>1</v>
      </c>
      <c r="BO210" s="117">
        <f t="shared" ca="1" si="184"/>
        <v>30</v>
      </c>
      <c r="BP210" s="115">
        <f t="shared" ca="1" si="164"/>
        <v>6</v>
      </c>
      <c r="BQ210" s="115" t="b">
        <f>模拟模式!$K$10="2600·水"</f>
        <v>0</v>
      </c>
      <c r="BR210" s="117">
        <f t="shared" si="165"/>
        <v>0</v>
      </c>
      <c r="BS210" s="115">
        <f t="shared" si="166"/>
        <v>0</v>
      </c>
      <c r="BT210" s="115">
        <f t="shared" ca="1" si="167"/>
        <v>0</v>
      </c>
      <c r="BU210" s="115" t="b">
        <f ca="1">AND(模拟模式!$K$10="2300·雷",BT209=0,RAND()&lt;IF(C210="净世破魔击·月",5*0.05*2/3,IF(C210="净世破魔击·日",3*0.05*2/3,0.05*2*2/3)))</f>
        <v>0</v>
      </c>
      <c r="BV210" s="115">
        <f t="shared" ca="1" si="168"/>
        <v>0</v>
      </c>
      <c r="BW210" s="115">
        <f t="shared" ca="1" si="169"/>
        <v>16.717499999999305</v>
      </c>
      <c r="BX210" s="164" t="b">
        <f t="shared" ca="1" si="170"/>
        <v>0</v>
      </c>
      <c r="BY210" s="115">
        <f t="shared" ca="1" si="171"/>
        <v>0</v>
      </c>
      <c r="BZ210" s="115">
        <f>IF(OR(模拟模式!$P$16="10人团",模拟模式!$P$16="25人团"),IF(B210/30&gt;CA209,1,0),0)</f>
        <v>0</v>
      </c>
      <c r="CA210" s="115">
        <f t="shared" si="147"/>
        <v>0</v>
      </c>
      <c r="CB210" s="115">
        <f ca="1">IF(BZ210=1,IF(模拟模式!$P$16="10人团",15,0)+IF(模拟模式!$P$16="25人团",IF(RAND()&lt;0.6,15,0)),MAX(0,CB209-$F$4))</f>
        <v>0</v>
      </c>
      <c r="CC210" s="115" t="b">
        <f t="shared" ca="1" si="195"/>
        <v>0</v>
      </c>
      <c r="CD210" s="115">
        <f>IF(模拟模式!$Q$16="1个",IF(B210/40&gt;CE209,1,0),0)</f>
        <v>0</v>
      </c>
      <c r="CE210" s="115">
        <f t="shared" si="196"/>
        <v>0</v>
      </c>
      <c r="CF210" s="115">
        <f>IF(OR(CD210=1,模拟模式!$Q$16="2个"),20,MAX(0,CF209-$F$4))</f>
        <v>0</v>
      </c>
      <c r="CG210" s="115" t="b">
        <f t="shared" si="197"/>
        <v>0</v>
      </c>
      <c r="CH210" s="115">
        <f t="shared" ca="1" si="172"/>
        <v>27.232500000000002</v>
      </c>
      <c r="CI210" s="115" t="b">
        <f t="shared" ca="1" si="173"/>
        <v>0</v>
      </c>
      <c r="CJ210" s="119">
        <f t="shared" ca="1" si="174"/>
        <v>0.01</v>
      </c>
      <c r="CK210" s="115">
        <f t="shared" ca="1" si="175"/>
        <v>5.232499999999999</v>
      </c>
      <c r="CL210" s="115" t="b">
        <f ca="1">AND(模拟模式!$S$7="驱夷逐法",OR(AND(C210="净世破魔击·月",E209&gt;59),AND(C210="净世破魔击·日",F209&gt;59)))</f>
        <v>0</v>
      </c>
      <c r="CM210" s="115" t="b">
        <f ca="1">OR(CL210,AND(C210="净世破魔击·日",CL209,RAND()&lt;模拟模式!$U$23))</f>
        <v>0</v>
      </c>
      <c r="CN210" s="115" t="b">
        <f ca="1">IF(模拟模式!$M$7="辉耀红尘",AND(C210="净世破魔击·月",CL210,CV210=0,E209&lt;80),AND(C210="净世破魔击·月",CL210,E209&lt;100))</f>
        <v>0</v>
      </c>
      <c r="CO210" s="115" t="b">
        <f t="shared" ca="1" si="148"/>
        <v>0</v>
      </c>
      <c r="CP210" s="115" t="b">
        <f ca="1">AND(模拟模式!$O$7="用晦而明",OR(C210="净世破魔击·日",C210="净世破魔击·月",C210="驱夜断愁"),AB210)</f>
        <v>0</v>
      </c>
      <c r="CQ210" s="115" t="b">
        <f ca="1">OR(CP210,AND(CP209,RAND()&lt;模拟模式!$U$23))</f>
        <v>1</v>
      </c>
      <c r="CR210" s="115" t="b">
        <f ca="1">AND(模拟模式!$S$7="日月齐光",OR(C210="幽月轮1",C210="幽月轮2",C210="幽月轮3",CR209),NOT(OR(C210="赤日轮1",C210="赤日轮2",C210="赤日轮3")))</f>
        <v>0</v>
      </c>
      <c r="CS210" s="115" t="b">
        <f ca="1">AND(模拟模式!$S$7="日月齐光",OR(C210="赤日轮1",C210="赤日轮2",C210="赤日轮3",CS209),NOT(OR(C210="幽月轮1",C210="幽月轮2",C210="幽月轮3")))</f>
        <v>0</v>
      </c>
      <c r="CT210" s="115">
        <f t="shared" ca="1" si="176"/>
        <v>0</v>
      </c>
      <c r="CU210" s="115" t="b">
        <f ca="1">AND(模拟模式!$K$10="阴阳往极",CT209=0,RAND()&lt;IF(C210="净世破魔击·月",0.0275*7/3,IF(C210="净世破魔击·日",0.0275*3/3,0.0275*2/3)))</f>
        <v>0</v>
      </c>
      <c r="CV210" s="115">
        <f t="shared" ca="1" si="177"/>
        <v>0</v>
      </c>
      <c r="CW210" s="115">
        <f t="shared" ca="1" si="149"/>
        <v>2.3099999999999996</v>
      </c>
      <c r="CX210" s="115">
        <f t="shared" ca="1" si="150"/>
        <v>0.46499999999999975</v>
      </c>
      <c r="CY210" s="115">
        <f ca="1">MAX(IF($C210="驱夜断愁",IF(模拟模式!$R$7="万念俱寂",6,45),CY209-$F$4),0)</f>
        <v>1.3874999999999997</v>
      </c>
      <c r="CZ210" s="115">
        <f t="shared" ca="1" si="151"/>
        <v>0</v>
      </c>
      <c r="DA210" s="115">
        <f ca="1">IF(模拟模式!$N$7="日月同辉",IF(DB209=2,0,MIN(6,IF(AND(OR(C210="赤日轮1",C210="赤日轮2",C210="赤日轮3",C210="幽月轮1",C210="幽月轮2",C210="幽月轮3"),AB210=1),DA209+1,DA209))),0)</f>
        <v>2</v>
      </c>
      <c r="DB210" s="115">
        <f t="shared" ca="1" si="152"/>
        <v>0</v>
      </c>
      <c r="DC210" s="115"/>
      <c r="DD210" s="115"/>
      <c r="DE210" s="115"/>
      <c r="DF210" s="115"/>
      <c r="DG210" s="115"/>
      <c r="DH210" s="115"/>
      <c r="DI210" s="115"/>
      <c r="DJ210" s="115"/>
      <c r="DK210" s="115"/>
      <c r="DL210" s="115"/>
      <c r="DM210" s="115"/>
    </row>
    <row r="211" spans="2:117" x14ac:dyDescent="0.2">
      <c r="B211" s="117">
        <f t="shared" si="153"/>
        <v>169.74000000000055</v>
      </c>
      <c r="C211" s="167" t="str">
        <f t="shared" ca="1" si="146"/>
        <v>银月斩</v>
      </c>
      <c r="D211" s="115">
        <f ca="1">IF(C211="赤日轮1",1,IF(C211="赤日轮2",2,IF(C211="赤日轮3",3,IF(C211="幽月轮1",4,IF(C211="幽月轮2",5,IF(C211="幽月轮3",6,IF(C211="烈日斩",7,IF(C211="银月斩",8,IF(C211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211="净世破魔击·月",17,IF(C211="驱夜断愁",18,0)))))))))))</f>
        <v>8</v>
      </c>
      <c r="E211" s="115">
        <f ca="1">IF(AND(CU211,OR(C211="幽月轮1",C211="幽月轮2",C211="幽月轮3",C211="银月斩",C211="驱夜断愁",C211="净世破魔击·月")),100,MIN(IF(OR(CN211,BE211),0,IF(OR($C211="赤日轮1",$C211="赤日轮2",$C211="赤日轮3"),E210+20+IF(模拟模式!$I$7="日月凌天",4,0)+IF(CR210,20,0),IF($C211="烈日斩",E210+40,IF($C211="驱夜断愁",IF(模拟模式!$R$7="万念俱寂",E210+20,E210+60),IF($C211="净世破魔击·月",IF(OR(DB210&gt;0,CV210&gt;0),100,IF(模拟模式!$M$7="辉耀红尘",E210+20,E210)),IF($C211="净世破魔击·日",E210-100,E210)))))),100))</f>
        <v>100</v>
      </c>
      <c r="F211" s="115">
        <f ca="1">IF(AND(CU211,OR(C211="赤日轮1",C211="赤日轮2",C211="赤日轮3",C211="烈日斩",C211="净世破魔击·日")),100,MIN(IF(CO211,0,IF(OR($C211="幽月轮1",$C211="幽月轮2",$C211="幽月轮3"),F210+20+IF(模拟模式!$I$7="日月凌天",4,0)+IF(CS210,20,0),IF($C211="银月斩",F210+40+IF(模拟模式!$X$12=1,5,0),IF($C211="驱夜断愁",IF(模拟模式!$R$7="万念俱寂",F210+20,F210+60),IF($C211="净世破魔击·月",IF(模拟模式!$M$7="辉耀红尘",F210-80,F210-100),IF(AND(C211="净世破魔击·日",OR(DB210&gt;0,CV210&gt;0)),100,F210)))))),100))</f>
        <v>65</v>
      </c>
      <c r="G211" s="117">
        <f ca="1">('模拟-全程加成'!$E$3+'模拟-全程加成'!$E$4+'模拟-全程加成'!$E$5+('模拟-全程加成'!$C$6-'模拟-全程加成'!$C$3)*系数!$B$9+BS211*23)*(1+'模拟-全程加成'!$F$4+'模拟-全程加成'!$F$5+BJ211*10%+BM211*20%+BP211*4%+CG211*30%)+$F$7*系数!$B$12</f>
        <v>20583.127400000001</v>
      </c>
      <c r="H211" s="45">
        <f ca="1">'模拟-全程加成'!$H$3+'模拟-全程加成'!$H$4+'模拟-全程加成'!$H$5+('模拟-全程加成'!$G$4+'模拟-全程加成'!$G$5+('模拟-全程加成'!$C$6-'模拟-全程加成'!$C$3)*系数!$B$13)/系数!$B$3+LOOKUP(D211,'模拟-单技能数据'!$A$2:$A$19,'模拟-单技能数据'!$K$2:$K$19)+BG211*10%+IF(BV211&gt;0,378,0)</f>
        <v>0.64185145527300214</v>
      </c>
      <c r="I211" s="45">
        <f ca="1">'模拟-全程加成'!$J$3+'模拟-全程加成'!$J$4+'模拟-全程加成'!$J$5+('模拟-全程加成'!$I$4+'模拟-全程加成'!$I$5)/系数!$B$4+LOOKUP(D211,'模拟-单技能数据'!$A$2:$A$19,'模拟-单技能数据'!$L$2:$L$19)+BG211*10%</f>
        <v>2.2624828854998791</v>
      </c>
      <c r="J211" s="45">
        <f ca="1">(('模拟-全程加成'!$K$3+'模拟-全程加成'!$K$4+'模拟-全程加成'!$K$5+('模拟-全程加成'!$C$6-'模拟-全程加成'!$C$3)*系数!$B$10+IF(BV211&gt;0,882,0)+IF(BY211&gt;0,1831,0))*(1+'模拟-全程加成'!$L$4+'模拟-全程加成'!$L$5+CC211*20%))/系数!$B$5</f>
        <v>0.69723220422048726</v>
      </c>
      <c r="K211" s="119">
        <f ca="1">LOOKUP(D211,'模拟-单技能数据'!$A$2:$A$19,'模拟-单技能数据'!$J$2:$J$19)+IF(CM211,60%,0)+IF(DB210-DB211&gt;0,30%,0)+IF(OR(AND(OR(C211="赤日轮1",C211="赤日轮2",C211="赤日轮3"),CR211),AND(OR(C211="幽月轮1",C211="幽月轮2",C211="幽月轮3"),CS211)),35%,0)+CJ211</f>
        <v>0.16</v>
      </c>
      <c r="L211" s="119">
        <f ca="1">IF(AND(C211="烈日斩",模拟模式!$X$11=1),10%,0)+IF(AND(C211="驱夜断愁",AB211=1),30%,0)</f>
        <v>0</v>
      </c>
      <c r="M211" s="45">
        <f t="shared" ca="1" si="185"/>
        <v>0.64185145527300214</v>
      </c>
      <c r="N211" s="45">
        <f t="shared" ca="1" si="186"/>
        <v>0.30424854472699792</v>
      </c>
      <c r="O211" s="46">
        <f t="shared" ca="1" si="154"/>
        <v>0.31671331604199426</v>
      </c>
      <c r="P211" s="46" t="str">
        <f t="shared" ca="1" si="155"/>
        <v>会</v>
      </c>
      <c r="Q211" s="45">
        <f t="shared" ca="1" si="156"/>
        <v>2.2624828854998791</v>
      </c>
      <c r="R211" s="117">
        <f ca="1">模拟模式!$E$20*(1-IF(模拟模式!$J$19="有",0.15,0))*(1-IF(模拟模式!$K$19="有",0.3,0)-IF(CQ211,0.5,0))</f>
        <v>2950.6049999999996</v>
      </c>
      <c r="S211" s="45">
        <f ca="1">R211/(R211+(185*模拟模式!$E$22-16800)*4.08224)</f>
        <v>0.24272716014590323</v>
      </c>
      <c r="T211" s="45" t="str">
        <f ca="1">LOOKUP(D211,'模拟-单技能数据'!$A$2:$A$19,'模拟-单技能数据'!$H$2:$H$19)</f>
        <v>阴</v>
      </c>
      <c r="U211" s="119">
        <f t="shared" ca="1" si="187"/>
        <v>0.08</v>
      </c>
      <c r="V211" s="47">
        <f ca="1">(1+L211)*(LOOKUP(D211,'模拟-单技能数据'!$A$2:$A$19,'模拟-单技能数据'!$D$2:$D$19)+G211*LOOKUP(D211,'模拟-单技能数据'!$A$2:$A$19,'模拟-单技能数据'!$F$2:$F$19))*(1+J211)*(1+K211)*(1-S211)*(1+U211)*Q211*LOOKUP(D211,'模拟-单技能数据'!$A$2:$A$19,'模拟-单技能数据'!$I$2:$I$20)</f>
        <v>39824.626099030873</v>
      </c>
      <c r="W211" s="47">
        <f ca="1">LOOKUP(D211,'模拟-单技能数据'!$A$2:$A$19,'模拟-单技能数据'!$G$2:$G$19)*$I$10</f>
        <v>361.51064354704795</v>
      </c>
      <c r="X211" s="47">
        <f t="shared" ca="1" si="157"/>
        <v>16811.279352518959</v>
      </c>
      <c r="Y211" s="47">
        <f t="shared" ca="1" si="188"/>
        <v>56997.41609509688</v>
      </c>
      <c r="Z211" s="49">
        <f t="shared" ca="1" si="189"/>
        <v>19206055.231012542</v>
      </c>
      <c r="AA211" s="97">
        <f t="shared" ca="1" si="190"/>
        <v>113149.84818553364</v>
      </c>
      <c r="AB211" s="115">
        <f ca="1">IF(OR(C211="赤日轮1",C211="赤日轮2",C211="赤日轮3"),IF(RAND()&lt;模拟模式!$Y$17,1,0),IF(OR(C211="幽月轮1",C211="幽月轮2",C211="幽月轮3"),IF(RAND()&lt;模拟模式!$Y$18,1,0),IF(C211="烈日斩",IF(RAND()&lt;模拟模式!$Y$19,1,0),IF(C211="银月斩",IF(RAND()&lt;模拟模式!$Y$20,1,0),IF(C211="驱夜断愁",IF(RAND()&lt;模拟模式!$Y$21,1,0),IF(C211="净世破魔击·日",IF(RAND()&lt;模拟模式!$Y$22,1,0),IF(C211="净世破魔击·月",IF(RAND()&lt;模拟模式!$Y$23,1,0),0)))))))</f>
        <v>1</v>
      </c>
      <c r="AC211" s="115" t="b">
        <f t="shared" ca="1" si="178"/>
        <v>1</v>
      </c>
      <c r="AD211" s="115" t="b">
        <f t="shared" ca="1" si="198"/>
        <v>1</v>
      </c>
      <c r="AE211" s="115">
        <f t="shared" ca="1" si="199"/>
        <v>5</v>
      </c>
      <c r="AF211" s="47">
        <f ca="1">IF(AC211,('模拟-单技能数据'!$D$20+G211*'模拟-单技能数据'!$F$20)*(1+J211)*(1+'模拟-单技能数据'!$J$20)*(1+U211),0)</f>
        <v>4447.8565560098323</v>
      </c>
      <c r="AG211" s="61">
        <f t="shared" ca="1" si="191"/>
        <v>0.64185145527300214</v>
      </c>
      <c r="AH211" s="61">
        <f t="shared" ca="1" si="192"/>
        <v>2.2624828854998791</v>
      </c>
      <c r="AI211" s="62">
        <f t="shared" ca="1" si="158"/>
        <v>0.51096021916449397</v>
      </c>
      <c r="AJ211" s="47">
        <f ca="1">IF(AD211,IF(AI211&lt;$F$10,0,IF(AI211&lt;$F$10+$F$11,0.25,IF(AI211&lt;$F$10+$F$11+AG211,AH211,1)))*IF(AF211&gt;0,AF211,IF(AF210&gt;0,AF210,IF(AF209&gt;0,AF209,IF(AF208&gt;0,AF208,IF(AF207&gt;0,AF207,IF(AF206&gt;0,AF206,IF(AF205&gt;0,AF205,IF(AF204&gt;0,AF204,IF(AF203&gt;0,AF203,IF(AF201&gt;0,AF201,IF(AF200&gt;0,AF200,IF(AF199&gt;0,AF199,0)))))))))))),0)*(1-$S211)*'模拟-单技能数据'!$I$20</f>
        <v>7620.5875385322679</v>
      </c>
      <c r="AK211" s="115" t="b">
        <f t="shared" ca="1" si="179"/>
        <v>0</v>
      </c>
      <c r="AL211" s="115" t="b">
        <f t="shared" ca="1" si="200"/>
        <v>1</v>
      </c>
      <c r="AM211" s="115">
        <f t="shared" ca="1" si="201"/>
        <v>4</v>
      </c>
      <c r="AN211" s="47">
        <f ca="1">IF(AK211,('模拟-单技能数据'!$D$21+G211*'模拟-单技能数据'!$F$21)*(1+J211)*(1+'模拟-单技能数据'!$J$21)*(1+U211),0)</f>
        <v>0</v>
      </c>
      <c r="AO211" s="61">
        <f ca="1">IF(AN211&gt;0,M211-'模拟-单技能数据'!$K$10,AO210)</f>
        <v>0.42185145527300216</v>
      </c>
      <c r="AP211" s="61">
        <f ca="1">IF(AN211&gt;0,I211-'模拟-单技能数据'!$L$10,AP210)</f>
        <v>2.162482885499879</v>
      </c>
      <c r="AQ211" s="63">
        <f t="shared" ca="1" si="159"/>
        <v>0.63559178990819531</v>
      </c>
      <c r="AR211" s="64">
        <f ca="1">IF(AL211,IF(AQ211&lt;$F$10,0,IF(AQ211&lt;$F$10+$F$11,0.25,IF(AQ211&lt;$F$10+$F$11+AO211,AP211,1)))*IF(AN211&gt;0,AN211,IF(AN210&gt;0,AN210,IF(AN209&gt;0,AN209,IF(AN208&gt;0,AN208,IF(AN207&gt;0,AN207,IF(AN206&gt;0,AN206,IF(AN205&gt;0,AN205,IF(AN204&gt;0,AN204,IF(AN203&gt;0,AN203,IF(AN201&gt;0,AN201,IF(AN200&gt;0,AN200,IF(AN199&gt;0,AN199,0)))))))))))),0)*(1-$S211)*'模拟-单技能数据'!$I$21</f>
        <v>9190.6918139866902</v>
      </c>
      <c r="AS211" s="61">
        <f ca="1">IF(OR(C211="净世破魔击·日",C211="净世破魔击·月"),M211-'模拟-单技能数据'!$K$10,0)</f>
        <v>0</v>
      </c>
      <c r="AT211" s="61">
        <f ca="1">IF(OR(C211="净世破魔击·日",C211="净世破魔击·月"),I211-'模拟-单技能数据'!$L$10,0)</f>
        <v>0</v>
      </c>
      <c r="AU211" s="62">
        <f t="shared" ca="1" si="160"/>
        <v>0.50601053828613851</v>
      </c>
      <c r="AV211" s="64">
        <f ca="1">IF(AS211&gt;0,('模拟-单技能数据'!$D$22+G211*'模拟-单技能数据'!$F$22)*(1+J211)*(1-S211)*IF(AU211&lt;$F$10,0,IF(AU211&lt;$F$10+$F$11,0.25,IF(AU211&lt;$F$10+$F$11+AS211,AT211,1)))*(1+U211),0)*'模拟-单技能数据'!$I$22</f>
        <v>0</v>
      </c>
      <c r="AW211" s="108">
        <f t="shared" ca="1" si="161"/>
        <v>2.4725000000000064</v>
      </c>
      <c r="AX211" s="108" t="b">
        <f ca="1">AND(模拟模式!$P$10="有",AW210=0,RAND()&lt;IF(C211="净世破魔击·月",0.1*8/3,IF(C211="净世破魔击·日",0.1*4/3,0.1*2/3)))</f>
        <v>0</v>
      </c>
      <c r="AY211" s="47">
        <f ca="1">IF(AX211,(18+G211*0.722)*(1+J211)*(1-S211)*(1+$I$4)*IF(P211="会",'模拟-全程加成'!$J$3+'模拟-全程加成'!$J$4+'模拟-全程加成'!$J$5+('模拟-全程加成'!$I$4+'模拟-全程加成'!$I$5)/系数!$B$4+BG211*10%,IF(P211="命",1,IF(P211="识",0.25,0))),0)</f>
        <v>0</v>
      </c>
      <c r="AZ211" s="108">
        <f t="shared" si="162"/>
        <v>12.620000000000005</v>
      </c>
      <c r="BA211" s="108" t="b">
        <f>AND(模拟模式!$Q$10="有",AZ210=0)</f>
        <v>0</v>
      </c>
      <c r="BB211" s="140">
        <f>IF(BA211,(0+G211*0.287)*(1+J211)*(1-S211)*(1+$I$4)*IF(P211="会",'模拟-全程加成'!$J$3+'模拟-全程加成'!$J$4+'模拟-全程加成'!$J$5+('模拟-全程加成'!$I$4+'模拟-全程加成'!$I$5)/系数!$B$4+BG211*10%,IF(P211="命",1,IF(P211="识",0.25,0))),0)</f>
        <v>0</v>
      </c>
      <c r="BC211" s="115" t="b">
        <f ca="1">AND(模拟模式!$R$7="伏明众生",E211=60,F211=20,DA211&lt;5,CZ210&lt;$F$4)</f>
        <v>0</v>
      </c>
      <c r="BD211" s="115">
        <f t="shared" ca="1" si="180"/>
        <v>0</v>
      </c>
      <c r="BE211" s="115" t="b">
        <f t="shared" ca="1" si="181"/>
        <v>0</v>
      </c>
      <c r="BF211" s="47">
        <f ca="1">IF(BC211,4*('模拟-单技能数据'!$D$24+G211*'模拟-单技能数据'!$F$24)*(1+J211)*(1+'模拟-单技能数据'!$J$24)*(1-S211)*(1+$I$3)*(('模拟-全程加成'!$J$3+'模拟-全程加成'!$J$4+'模拟-全程加成'!$J$5+('模拟-全程加成'!$I$4+'模拟-全程加成'!$I$5)/系数!$B$4+BG211*10%)*('模拟-全程加成'!$J$3+'模拟-全程加成'!$J$4+'模拟-全程加成'!$J$5+('模拟-全程加成'!$I$4+'模拟-全程加成'!$I$5)/系数!$B$4+BG211*10%)+(1-('模拟-全程加成'!$J$3+'模拟-全程加成'!$J$4+'模拟-全程加成'!$J$5+('模拟-全程加成'!$I$4+'模拟-全程加成'!$I$5)/系数!$B$4+BG211*10%)-$F$10-$F$11)+F197*0.25),0)*'模拟-单技能数据'!$I$24</f>
        <v>0</v>
      </c>
      <c r="BG211" s="115" t="b">
        <f ca="1">OR(AND(OR(C211="烈日斩",C211="银月斩"),模拟模式!$I$7="净身明礼"),AND(C211="净世破魔击·日",模拟模式!$J$7="洞若观火"),AND(C212="净世破魔击·月",模拟模式!$J$7="洞若观火"),AB211=1)</f>
        <v>1</v>
      </c>
      <c r="BH211" s="115" t="b">
        <f t="shared" ca="1" si="163"/>
        <v>0</v>
      </c>
      <c r="BI211" s="115">
        <f t="shared" ca="1" si="182"/>
        <v>0</v>
      </c>
      <c r="BJ211" s="115" t="b">
        <f t="shared" ca="1" si="193"/>
        <v>0</v>
      </c>
      <c r="BK211" s="115" t="b">
        <f ca="1">AND(C211="驱夜断愁",模拟模式!$P$7="天地诛戮")</f>
        <v>0</v>
      </c>
      <c r="BL211" s="57">
        <f t="shared" ca="1" si="183"/>
        <v>14.465000000000003</v>
      </c>
      <c r="BM211" s="115" t="b">
        <f t="shared" ca="1" si="194"/>
        <v>1</v>
      </c>
      <c r="BN211" s="115" t="b">
        <f ca="1">AND(OR(C211="赤日轮1",C211="赤日轮2",C211="赤日轮3",C211="幽月轮1",C211="幽月轮2",C211="幽月轮3"),AB211=1,模拟模式!$L$7="明光恒照")</f>
        <v>0</v>
      </c>
      <c r="BO211" s="117">
        <f t="shared" ca="1" si="184"/>
        <v>29.077500000000001</v>
      </c>
      <c r="BP211" s="115">
        <f t="shared" ca="1" si="164"/>
        <v>6</v>
      </c>
      <c r="BQ211" s="115" t="b">
        <f>模拟模式!$K$10="2600·水"</f>
        <v>0</v>
      </c>
      <c r="BR211" s="117">
        <f t="shared" si="165"/>
        <v>0</v>
      </c>
      <c r="BS211" s="115">
        <f t="shared" si="166"/>
        <v>0</v>
      </c>
      <c r="BT211" s="115">
        <f t="shared" ca="1" si="167"/>
        <v>0</v>
      </c>
      <c r="BU211" s="115" t="b">
        <f ca="1">AND(模拟模式!$K$10="2300·雷",BT210=0,RAND()&lt;IF(C211="净世破魔击·月",5*0.05*2/3,IF(C211="净世破魔击·日",3*0.05*2/3,0.05*2*2/3)))</f>
        <v>0</v>
      </c>
      <c r="BV211" s="115">
        <f t="shared" ca="1" si="168"/>
        <v>0</v>
      </c>
      <c r="BW211" s="115">
        <f t="shared" ca="1" si="169"/>
        <v>15.794999999999305</v>
      </c>
      <c r="BX211" s="164" t="b">
        <f t="shared" ca="1" si="170"/>
        <v>0</v>
      </c>
      <c r="BY211" s="115">
        <f t="shared" ca="1" si="171"/>
        <v>0</v>
      </c>
      <c r="BZ211" s="115">
        <f>IF(OR(模拟模式!$P$16="10人团",模拟模式!$P$16="25人团"),IF(B211/30&gt;CA210,1,0),0)</f>
        <v>0</v>
      </c>
      <c r="CA211" s="115">
        <f t="shared" si="147"/>
        <v>0</v>
      </c>
      <c r="CB211" s="115">
        <f ca="1">IF(BZ211=1,IF(模拟模式!$P$16="10人团",15,0)+IF(模拟模式!$P$16="25人团",IF(RAND()&lt;0.6,15,0)),MAX(0,CB210-$F$4))</f>
        <v>0</v>
      </c>
      <c r="CC211" s="115" t="b">
        <f t="shared" ca="1" si="195"/>
        <v>0</v>
      </c>
      <c r="CD211" s="115">
        <f>IF(模拟模式!$Q$16="1个",IF(B211/40&gt;CE210,1,0),0)</f>
        <v>0</v>
      </c>
      <c r="CE211" s="115">
        <f t="shared" si="196"/>
        <v>0</v>
      </c>
      <c r="CF211" s="115">
        <f>IF(OR(CD211=1,模拟模式!$Q$16="2个"),20,MAX(0,CF210-$F$4))</f>
        <v>0</v>
      </c>
      <c r="CG211" s="115" t="b">
        <f t="shared" si="197"/>
        <v>0</v>
      </c>
      <c r="CH211" s="115">
        <f t="shared" ca="1" si="172"/>
        <v>26.310000000000002</v>
      </c>
      <c r="CI211" s="115" t="b">
        <f t="shared" ca="1" si="173"/>
        <v>0</v>
      </c>
      <c r="CJ211" s="119">
        <f t="shared" ca="1" si="174"/>
        <v>0.01</v>
      </c>
      <c r="CK211" s="115">
        <f t="shared" ca="1" si="175"/>
        <v>4.3099999999999987</v>
      </c>
      <c r="CL211" s="115" t="b">
        <f ca="1">AND(模拟模式!$S$7="驱夷逐法",OR(AND(C211="净世破魔击·月",E210&gt;59),AND(C211="净世破魔击·日",F210&gt;59)))</f>
        <v>0</v>
      </c>
      <c r="CM211" s="115" t="b">
        <f ca="1">OR(CL211,AND(C211="净世破魔击·日",CL210,RAND()&lt;模拟模式!$U$23))</f>
        <v>0</v>
      </c>
      <c r="CN211" s="115" t="b">
        <f ca="1">IF(模拟模式!$M$7="辉耀红尘",AND(C211="净世破魔击·月",CL211,CV211=0,E210&lt;80),AND(C211="净世破魔击·月",CL211,E210&lt;100))</f>
        <v>0</v>
      </c>
      <c r="CO211" s="115" t="b">
        <f t="shared" ca="1" si="148"/>
        <v>0</v>
      </c>
      <c r="CP211" s="115" t="b">
        <f ca="1">AND(模拟模式!$O$7="用晦而明",OR(C211="净世破魔击·日",C211="净世破魔击·月",C211="驱夜断愁"),AB211)</f>
        <v>0</v>
      </c>
      <c r="CQ211" s="115" t="b">
        <f ca="1">OR(CP211,AND(CP210,RAND()&lt;模拟模式!$U$23))</f>
        <v>0</v>
      </c>
      <c r="CR211" s="115" t="b">
        <f ca="1">AND(模拟模式!$S$7="日月齐光",OR(C211="幽月轮1",C211="幽月轮2",C211="幽月轮3",CR210),NOT(OR(C211="赤日轮1",C211="赤日轮2",C211="赤日轮3")))</f>
        <v>0</v>
      </c>
      <c r="CS211" s="115" t="b">
        <f ca="1">AND(模拟模式!$S$7="日月齐光",OR(C211="赤日轮1",C211="赤日轮2",C211="赤日轮3",CS210),NOT(OR(C211="幽月轮1",C211="幽月轮2",C211="幽月轮3")))</f>
        <v>0</v>
      </c>
      <c r="CT211" s="115">
        <f t="shared" ca="1" si="176"/>
        <v>30</v>
      </c>
      <c r="CU211" s="115" t="b">
        <f ca="1">AND(模拟模式!$K$10="阴阳往极",CT210=0,RAND()&lt;IF(C211="净世破魔击·月",0.0275*7/3,IF(C211="净世破魔击·日",0.0275*3/3,0.0275*2/3)))</f>
        <v>1</v>
      </c>
      <c r="CV211" s="115">
        <f t="shared" ca="1" si="177"/>
        <v>4.0774999999999997</v>
      </c>
      <c r="CW211" s="115">
        <f t="shared" ca="1" si="149"/>
        <v>1.3874999999999997</v>
      </c>
      <c r="CX211" s="115">
        <f t="shared" ca="1" si="150"/>
        <v>6</v>
      </c>
      <c r="CY211" s="115">
        <f ca="1">MAX(IF($C211="驱夜断愁",IF(模拟模式!$R$7="万念俱寂",6,45),CY210-$F$4),0)</f>
        <v>0.46499999999999975</v>
      </c>
      <c r="CZ211" s="115">
        <f t="shared" ca="1" si="151"/>
        <v>0</v>
      </c>
      <c r="DA211" s="115">
        <f ca="1">IF(模拟模式!$N$7="日月同辉",IF(DB210=2,0,MIN(6,IF(AND(OR(C211="赤日轮1",C211="赤日轮2",C211="赤日轮3",C211="幽月轮1",C211="幽月轮2",C211="幽月轮3"),AB211=1),DA210+1,DA210))),0)</f>
        <v>2</v>
      </c>
      <c r="DB211" s="115">
        <f t="shared" ca="1" si="152"/>
        <v>0</v>
      </c>
      <c r="DC211" s="115"/>
      <c r="DD211" s="115"/>
      <c r="DE211" s="115"/>
      <c r="DF211" s="115"/>
      <c r="DG211" s="115"/>
      <c r="DH211" s="115"/>
      <c r="DI211" s="115"/>
      <c r="DJ211" s="115"/>
      <c r="DK211" s="115"/>
      <c r="DL211" s="115"/>
      <c r="DM211" s="115"/>
    </row>
    <row r="212" spans="2:117" x14ac:dyDescent="0.2">
      <c r="B212" s="117">
        <f t="shared" si="153"/>
        <v>170.66250000000056</v>
      </c>
      <c r="C212" s="167" t="str">
        <f t="shared" ca="1" si="146"/>
        <v>净世破魔击·日</v>
      </c>
      <c r="D212" s="115">
        <f ca="1">IF(C212="赤日轮1",1,IF(C212="赤日轮2",2,IF(C212="赤日轮3",3,IF(C212="幽月轮1",4,IF(C212="幽月轮2",5,IF(C212="幽月轮3",6,IF(C212="烈日斩",7,IF(C212="银月斩",8,IF(C212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212="净世破魔击·月",17,IF(C212="驱夜断愁",18,0)))))))))))</f>
        <v>9</v>
      </c>
      <c r="E212" s="115">
        <f ca="1">IF(AND(CU212,OR(C212="幽月轮1",C212="幽月轮2",C212="幽月轮3",C212="银月斩",C212="驱夜断愁",C212="净世破魔击·月")),100,MIN(IF(OR(CN212,BE212),0,IF(OR($C212="赤日轮1",$C212="赤日轮2",$C212="赤日轮3"),E211+20+IF(模拟模式!$I$7="日月凌天",4,0)+IF(CR211,20,0),IF($C212="烈日斩",E211+40,IF($C212="驱夜断愁",IF(模拟模式!$R$7="万念俱寂",E211+20,E211+60),IF($C212="净世破魔击·月",IF(OR(DB211&gt;0,CV211&gt;0),100,IF(模拟模式!$M$7="辉耀红尘",E211+20,E211)),IF($C212="净世破魔击·日",E211-100,E211)))))),100))</f>
        <v>0</v>
      </c>
      <c r="F212" s="115">
        <f ca="1">IF(AND(CU212,OR(C212="赤日轮1",C212="赤日轮2",C212="赤日轮3",C212="烈日斩",C212="净世破魔击·日")),100,MIN(IF(CO212,0,IF(OR($C212="幽月轮1",$C212="幽月轮2",$C212="幽月轮3"),F211+20+IF(模拟模式!$I$7="日月凌天",4,0)+IF(CS211,20,0),IF($C212="银月斩",F211+40+IF(模拟模式!$X$12=1,5,0),IF($C212="驱夜断愁",IF(模拟模式!$R$7="万念俱寂",F211+20,F211+60),IF($C212="净世破魔击·月",IF(模拟模式!$M$7="辉耀红尘",F211-80,F211-100),IF(AND(C212="净世破魔击·日",OR(DB211&gt;0,CV211&gt;0)),100,F211)))))),100))</f>
        <v>100</v>
      </c>
      <c r="G212" s="117">
        <f ca="1">('模拟-全程加成'!$E$3+'模拟-全程加成'!$E$4+'模拟-全程加成'!$E$5+('模拟-全程加成'!$C$6-'模拟-全程加成'!$C$3)*系数!$B$9+BS212*23)*(1+'模拟-全程加成'!$F$4+'模拟-全程加成'!$F$5+BJ212*10%+BM212*20%+BP212*4%+CG212*30%)+$F$7*系数!$B$12</f>
        <v>20583.127400000001</v>
      </c>
      <c r="H212" s="45">
        <f ca="1">'模拟-全程加成'!$H$3+'模拟-全程加成'!$H$4+'模拟-全程加成'!$H$5+('模拟-全程加成'!$G$4+'模拟-全程加成'!$G$5+('模拟-全程加成'!$C$6-'模拟-全程加成'!$C$3)*系数!$B$13)/系数!$B$3+LOOKUP(D212,'模拟-单技能数据'!$A$2:$A$19,'模拟-单技能数据'!$K$2:$K$19)+BG212*10%+IF(BV212&gt;0,378,0)</f>
        <v>0.54185145527300216</v>
      </c>
      <c r="I212" s="45">
        <f ca="1">'模拟-全程加成'!$J$3+'模拟-全程加成'!$J$4+'模拟-全程加成'!$J$5+('模拟-全程加成'!$I$4+'模拟-全程加成'!$I$5)/系数!$B$4+LOOKUP(D212,'模拟-单技能数据'!$A$2:$A$19,'模拟-单技能数据'!$L$2:$L$19)+BG212*10%</f>
        <v>2.162482885499879</v>
      </c>
      <c r="J212" s="45">
        <f ca="1">(('模拟-全程加成'!$K$3+'模拟-全程加成'!$K$4+'模拟-全程加成'!$K$5+('模拟-全程加成'!$C$6-'模拟-全程加成'!$C$3)*系数!$B$10+IF(BV212&gt;0,882,0)+IF(BY212&gt;0,1831,0))*(1+'模拟-全程加成'!$L$4+'模拟-全程加成'!$L$5+CC212*20%))/系数!$B$5</f>
        <v>0.69723220422048726</v>
      </c>
      <c r="K212" s="119">
        <f ca="1">LOOKUP(D212,'模拟-单技能数据'!$A$2:$A$19,'模拟-单技能数据'!$J$2:$J$19)+IF(CM212,60%,0)+IF(DB211-DB212&gt;0,30%,0)+IF(OR(AND(OR(C212="赤日轮1",C212="赤日轮2",C212="赤日轮3"),CR212),AND(OR(C212="幽月轮1",C212="幽月轮2",C212="幽月轮3"),CS212)),35%,0)+CJ212</f>
        <v>0.81</v>
      </c>
      <c r="L212" s="119">
        <f ca="1">IF(AND(C212="烈日斩",模拟模式!$X$11=1),10%,0)+IF(AND(C212="驱夜断愁",AB212=1),30%,0)</f>
        <v>0</v>
      </c>
      <c r="M212" s="45">
        <f t="shared" ca="1" si="185"/>
        <v>0.54185145527300216</v>
      </c>
      <c r="N212" s="45">
        <f t="shared" ca="1" si="186"/>
        <v>0.40424854472699789</v>
      </c>
      <c r="O212" s="46">
        <f t="shared" ca="1" si="154"/>
        <v>1.6521066641547622E-2</v>
      </c>
      <c r="P212" s="46" t="str">
        <f t="shared" ca="1" si="155"/>
        <v>识</v>
      </c>
      <c r="Q212" s="45">
        <f t="shared" ca="1" si="156"/>
        <v>0.25</v>
      </c>
      <c r="R212" s="117">
        <f ca="1">模拟模式!$E$20*(1-IF(模拟模式!$J$19="有",0.15,0))*(1-IF(模拟模式!$K$19="有",0.3,0)-IF(CQ212,0.5,0))</f>
        <v>843.02999999999975</v>
      </c>
      <c r="S212" s="45">
        <f ca="1">R212/(R212+(185*模拟模式!$E$22-16800)*4.08224)</f>
        <v>8.389626085980037E-2</v>
      </c>
      <c r="T212" s="45" t="str">
        <f ca="1">LOOKUP(D212,'模拟-单技能数据'!$A$2:$A$19,'模拟-单技能数据'!$H$2:$H$19)</f>
        <v>阳</v>
      </c>
      <c r="U212" s="119">
        <f t="shared" ca="1" si="187"/>
        <v>0.2</v>
      </c>
      <c r="V212" s="47">
        <f ca="1">(1+L212)*(LOOKUP(D212,'模拟-单技能数据'!$A$2:$A$19,'模拟-单技能数据'!$D$2:$D$19)+G212*LOOKUP(D212,'模拟-单技能数据'!$A$2:$A$19,'模拟-单技能数据'!$F$2:$F$19))*(1+J212)*(1+K212)*(1-S212)*(1+U212)*Q212*LOOKUP(D212,'模拟-单技能数据'!$A$2:$A$19,'模拟-单技能数据'!$I$2:$I$20)</f>
        <v>22775.236442500598</v>
      </c>
      <c r="W212" s="47">
        <f ca="1">LOOKUP(D212,'模拟-单技能数据'!$A$2:$A$19,'模拟-单技能数据'!$G$2:$G$19)*$I$10</f>
        <v>723.0212870940959</v>
      </c>
      <c r="X212" s="47">
        <f t="shared" ca="1" si="157"/>
        <v>8488.2797245609418</v>
      </c>
      <c r="Y212" s="47">
        <f t="shared" ca="1" si="188"/>
        <v>31986.537454155638</v>
      </c>
      <c r="Z212" s="49">
        <f t="shared" ca="1" si="189"/>
        <v>19238041.768466696</v>
      </c>
      <c r="AA212" s="97">
        <f t="shared" ca="1" si="190"/>
        <v>112725.65307824878</v>
      </c>
      <c r="AB212" s="115">
        <f ca="1">IF(OR(C212="赤日轮1",C212="赤日轮2",C212="赤日轮3"),IF(RAND()&lt;模拟模式!$Y$17,1,0),IF(OR(C212="幽月轮1",C212="幽月轮2",C212="幽月轮3"),IF(RAND()&lt;模拟模式!$Y$18,1,0),IF(C212="烈日斩",IF(RAND()&lt;模拟模式!$Y$19,1,0),IF(C212="银月斩",IF(RAND()&lt;模拟模式!$Y$20,1,0),IF(C212="驱夜断愁",IF(RAND()&lt;模拟模式!$Y$21,1,0),IF(C212="净世破魔击·日",IF(RAND()&lt;模拟模式!$Y$22,1,0),IF(C212="净世破魔击·月",IF(RAND()&lt;模拟模式!$Y$23,1,0),0)))))))</f>
        <v>1</v>
      </c>
      <c r="AC212" s="115" t="b">
        <f t="shared" ca="1" si="178"/>
        <v>0</v>
      </c>
      <c r="AD212" s="115" t="b">
        <f t="shared" ca="1" si="198"/>
        <v>0</v>
      </c>
      <c r="AE212" s="115">
        <f t="shared" ca="1" si="199"/>
        <v>5</v>
      </c>
      <c r="AF212" s="47">
        <f ca="1">IF(AC212,('模拟-单技能数据'!$D$20+G212*'模拟-单技能数据'!$F$20)*(1+J212)*(1+'模拟-单技能数据'!$J$20)*(1+U212),0)</f>
        <v>0</v>
      </c>
      <c r="AG212" s="61">
        <f t="shared" ca="1" si="191"/>
        <v>0.64185145527300214</v>
      </c>
      <c r="AH212" s="61">
        <f t="shared" ca="1" si="192"/>
        <v>2.2624828854998791</v>
      </c>
      <c r="AI212" s="62">
        <f t="shared" ca="1" si="158"/>
        <v>2.0709450117062267E-2</v>
      </c>
      <c r="AJ212" s="47">
        <f ca="1">IF(AD212,IF(AI212&lt;$F$10,0,IF(AI212&lt;$F$10+$F$11,0.25,IF(AI212&lt;$F$10+$F$11+AG212,AH212,1)))*IF(AF212&gt;0,AF212,IF(AF211&gt;0,AF211,IF(AF210&gt;0,AF210,IF(AF209&gt;0,AF209,IF(AF208&gt;0,AF208,IF(AF207&gt;0,AF207,IF(AF206&gt;0,AF206,IF(AF205&gt;0,AF205,IF(AF204&gt;0,AF204,IF(AF202&gt;0,AF202,IF(AF201&gt;0,AF201,IF(AF200&gt;0,AF200,0)))))))))))),0)*(1-$S212)*'模拟-单技能数据'!$I$20</f>
        <v>0</v>
      </c>
      <c r="AK212" s="115" t="b">
        <f t="shared" ca="1" si="179"/>
        <v>1</v>
      </c>
      <c r="AL212" s="115" t="b">
        <f t="shared" ca="1" si="200"/>
        <v>0</v>
      </c>
      <c r="AM212" s="115">
        <f t="shared" ca="1" si="201"/>
        <v>6</v>
      </c>
      <c r="AN212" s="47">
        <f ca="1">IF(AK212,('模拟-单技能数据'!$D$21+G212*'模拟-单技能数据'!$F$21)*(1+J212)*(1+'模拟-单技能数据'!$J$21)*(1+U212),0)</f>
        <v>12136.56601728573</v>
      </c>
      <c r="AO212" s="61">
        <f ca="1">IF(AN212&gt;0,M212-'模拟-单技能数据'!$K$10,AO211)</f>
        <v>0.42185145527300216</v>
      </c>
      <c r="AP212" s="61">
        <f ca="1">IF(AN212&gt;0,I212-'模拟-单技能数据'!$L$10,AP211)</f>
        <v>2.162482885499879</v>
      </c>
      <c r="AQ212" s="63">
        <f t="shared" ca="1" si="159"/>
        <v>0.90343206069362503</v>
      </c>
      <c r="AR212" s="64">
        <f ca="1">IF(AL212,IF(AQ212&lt;$F$10,0,IF(AQ212&lt;$F$10+$F$11,0.25,IF(AQ212&lt;$F$10+$F$11+AO212,AP212,1)))*IF(AN212&gt;0,AN212,IF(AN211&gt;0,AN211,IF(AN210&gt;0,AN210,IF(AN209&gt;0,AN209,IF(AN208&gt;0,AN208,IF(AN207&gt;0,AN207,IF(AN206&gt;0,AN206,IF(AN205&gt;0,AN205,IF(AN204&gt;0,AN204,IF(AN202&gt;0,AN202,IF(AN201&gt;0,AN201,IF(AN200&gt;0,AN200,0)))))))))))),0)*(1-$S212)*'模拟-单技能数据'!$I$21</f>
        <v>0</v>
      </c>
      <c r="AS212" s="61">
        <f ca="1">IF(OR(C212="净世破魔击·日",C212="净世破魔击·月"),M212-'模拟-单技能数据'!$K$10,0)</f>
        <v>0.42185145527300216</v>
      </c>
      <c r="AT212" s="61">
        <f ca="1">IF(OR(C212="净世破魔击·日",C212="净世破魔击·月"),I212-'模拟-单技能数据'!$L$10,0)</f>
        <v>2.162482885499879</v>
      </c>
      <c r="AU212" s="62">
        <f t="shared" ca="1" si="160"/>
        <v>0.85335010938448674</v>
      </c>
      <c r="AV212" s="64">
        <f ca="1">IF(AS212&gt;0,('模拟-单技能数据'!$D$22+G212*'模拟-单技能数据'!$F$22)*(1+J212)*(1-S212)*IF(AU212&lt;$F$10,0,IF(AU212&lt;$F$10+$F$11,0.25,IF(AU212&lt;$F$10+$F$11+AS212,AT212,1)))*(1+U212),0)*'模拟-单技能数据'!$I$22</f>
        <v>8488.2797245609418</v>
      </c>
      <c r="AW212" s="108">
        <f t="shared" ca="1" si="161"/>
        <v>1.5500000000000065</v>
      </c>
      <c r="AX212" s="108" t="b">
        <f ca="1">AND(模拟模式!$P$10="有",AW211=0,RAND()&lt;IF(C212="净世破魔击·月",0.1*8/3,IF(C212="净世破魔击·日",0.1*4/3,0.1*2/3)))</f>
        <v>0</v>
      </c>
      <c r="AY212" s="47">
        <f ca="1">IF(AX212,(18+G212*0.722)*(1+J212)*(1-S212)*(1+$I$4)*IF(P212="会",'模拟-全程加成'!$J$3+'模拟-全程加成'!$J$4+'模拟-全程加成'!$J$5+('模拟-全程加成'!$I$4+'模拟-全程加成'!$I$5)/系数!$B$4+BG212*10%,IF(P212="命",1,IF(P212="识",0.25,0))),0)</f>
        <v>0</v>
      </c>
      <c r="AZ212" s="108">
        <f t="shared" si="162"/>
        <v>11.697500000000005</v>
      </c>
      <c r="BA212" s="108" t="b">
        <f>AND(模拟模式!$Q$10="有",AZ211=0)</f>
        <v>0</v>
      </c>
      <c r="BB212" s="140">
        <f>IF(BA212,(0+G212*0.287)*(1+J212)*(1-S212)*(1+$I$4)*IF(P212="会",'模拟-全程加成'!$J$3+'模拟-全程加成'!$J$4+'模拟-全程加成'!$J$5+('模拟-全程加成'!$I$4+'模拟-全程加成'!$I$5)/系数!$B$4+BG212*10%,IF(P212="命",1,IF(P212="识",0.25,0))),0)</f>
        <v>0</v>
      </c>
      <c r="BC212" s="115" t="b">
        <f ca="1">AND(模拟模式!$R$7="伏明众生",E212=60,F212=20,DA212&lt;5,CZ211&lt;$F$4)</f>
        <v>0</v>
      </c>
      <c r="BD212" s="115">
        <f t="shared" ca="1" si="180"/>
        <v>0</v>
      </c>
      <c r="BE212" s="115" t="b">
        <f t="shared" ca="1" si="181"/>
        <v>0</v>
      </c>
      <c r="BF212" s="47">
        <f ca="1">IF(BC212,4*('模拟-单技能数据'!$D$24+G212*'模拟-单技能数据'!$F$24)*(1+J212)*(1+'模拟-单技能数据'!$J$24)*(1-S212)*(1+$I$3)*(('模拟-全程加成'!$J$3+'模拟-全程加成'!$J$4+'模拟-全程加成'!$J$5+('模拟-全程加成'!$I$4+'模拟-全程加成'!$I$5)/系数!$B$4+BG212*10%)*('模拟-全程加成'!$J$3+'模拟-全程加成'!$J$4+'模拟-全程加成'!$J$5+('模拟-全程加成'!$I$4+'模拟-全程加成'!$I$5)/系数!$B$4+BG212*10%)+(1-('模拟-全程加成'!$J$3+'模拟-全程加成'!$J$4+'模拟-全程加成'!$J$5+('模拟-全程加成'!$I$4+'模拟-全程加成'!$I$5)/系数!$B$4+BG212*10%)-$F$10-$F$11)+F198*0.25),0)*'模拟-单技能数据'!$I$24</f>
        <v>0</v>
      </c>
      <c r="BG212" s="115" t="b">
        <f ca="1">OR(AND(OR(C212="烈日斩",C212="银月斩"),模拟模式!$I$7="净身明礼"),AND(C212="净世破魔击·日",模拟模式!$J$7="洞若观火"),AND(C213="净世破魔击·月",模拟模式!$J$7="洞若观火"),AB212=1)</f>
        <v>1</v>
      </c>
      <c r="BH212" s="115" t="b">
        <f t="shared" ca="1" si="163"/>
        <v>0</v>
      </c>
      <c r="BI212" s="115">
        <f t="shared" ca="1" si="182"/>
        <v>0</v>
      </c>
      <c r="BJ212" s="115" t="b">
        <f t="shared" ca="1" si="193"/>
        <v>0</v>
      </c>
      <c r="BK212" s="115" t="b">
        <f ca="1">AND(C212="驱夜断愁",模拟模式!$P$7="天地诛戮")</f>
        <v>0</v>
      </c>
      <c r="BL212" s="57">
        <f t="shared" ca="1" si="183"/>
        <v>13.542500000000004</v>
      </c>
      <c r="BM212" s="115" t="b">
        <f t="shared" ca="1" si="194"/>
        <v>1</v>
      </c>
      <c r="BN212" s="115" t="b">
        <f ca="1">AND(OR(C212="赤日轮1",C212="赤日轮2",C212="赤日轮3",C212="幽月轮1",C212="幽月轮2",C212="幽月轮3"),AB212=1,模拟模式!$L$7="明光恒照")</f>
        <v>0</v>
      </c>
      <c r="BO212" s="117">
        <f t="shared" ca="1" si="184"/>
        <v>28.155000000000001</v>
      </c>
      <c r="BP212" s="115">
        <f t="shared" ca="1" si="164"/>
        <v>6</v>
      </c>
      <c r="BQ212" s="115" t="b">
        <f>模拟模式!$K$10="2600·水"</f>
        <v>0</v>
      </c>
      <c r="BR212" s="117">
        <f t="shared" si="165"/>
        <v>0</v>
      </c>
      <c r="BS212" s="115">
        <f t="shared" si="166"/>
        <v>0</v>
      </c>
      <c r="BT212" s="115">
        <f t="shared" ca="1" si="167"/>
        <v>0</v>
      </c>
      <c r="BU212" s="115" t="b">
        <f ca="1">AND(模拟模式!$K$10="2300·雷",BT211=0,RAND()&lt;IF(C212="净世破魔击·月",5*0.05*2/3,IF(C212="净世破魔击·日",3*0.05*2/3,0.05*2*2/3)))</f>
        <v>0</v>
      </c>
      <c r="BV212" s="115">
        <f t="shared" ca="1" si="168"/>
        <v>0</v>
      </c>
      <c r="BW212" s="115">
        <f t="shared" ca="1" si="169"/>
        <v>14.872499999999306</v>
      </c>
      <c r="BX212" s="164" t="b">
        <f t="shared" ca="1" si="170"/>
        <v>0</v>
      </c>
      <c r="BY212" s="115">
        <f t="shared" ca="1" si="171"/>
        <v>0</v>
      </c>
      <c r="BZ212" s="115">
        <f>IF(OR(模拟模式!$P$16="10人团",模拟模式!$P$16="25人团"),IF(B212/30&gt;CA211,1,0),0)</f>
        <v>0</v>
      </c>
      <c r="CA212" s="115">
        <f t="shared" si="147"/>
        <v>0</v>
      </c>
      <c r="CB212" s="115">
        <f ca="1">IF(BZ212=1,IF(模拟模式!$P$16="10人团",15,0)+IF(模拟模式!$P$16="25人团",IF(RAND()&lt;0.6,15,0)),MAX(0,CB211-$F$4))</f>
        <v>0</v>
      </c>
      <c r="CC212" s="115" t="b">
        <f t="shared" ca="1" si="195"/>
        <v>0</v>
      </c>
      <c r="CD212" s="115">
        <f>IF(模拟模式!$Q$16="1个",IF(B212/40&gt;CE211,1,0),0)</f>
        <v>0</v>
      </c>
      <c r="CE212" s="115">
        <f t="shared" si="196"/>
        <v>0</v>
      </c>
      <c r="CF212" s="115">
        <f>IF(OR(CD212=1,模拟模式!$Q$16="2个"),20,MAX(0,CF211-$F$4))</f>
        <v>0</v>
      </c>
      <c r="CG212" s="115" t="b">
        <f t="shared" si="197"/>
        <v>0</v>
      </c>
      <c r="CH212" s="115">
        <f t="shared" ca="1" si="172"/>
        <v>25.387500000000003</v>
      </c>
      <c r="CI212" s="115" t="b">
        <f t="shared" ca="1" si="173"/>
        <v>0</v>
      </c>
      <c r="CJ212" s="119">
        <f t="shared" ca="1" si="174"/>
        <v>0.01</v>
      </c>
      <c r="CK212" s="115">
        <f t="shared" ca="1" si="175"/>
        <v>3.3874999999999988</v>
      </c>
      <c r="CL212" s="115" t="b">
        <f ca="1">AND(模拟模式!$S$7="驱夷逐法",OR(AND(C212="净世破魔击·月",E211&gt;59),AND(C212="净世破魔击·日",F211&gt;59)))</f>
        <v>1</v>
      </c>
      <c r="CM212" s="115" t="b">
        <f ca="1">OR(CL212,AND(C212="净世破魔击·日",CL211,RAND()&lt;模拟模式!$U$23))</f>
        <v>1</v>
      </c>
      <c r="CN212" s="115" t="b">
        <f ca="1">IF(模拟模式!$M$7="辉耀红尘",AND(C212="净世破魔击·月",CL212,CV212=0,E211&lt;80),AND(C212="净世破魔击·月",CL212,E211&lt;100))</f>
        <v>0</v>
      </c>
      <c r="CO212" s="115" t="b">
        <f t="shared" ca="1" si="148"/>
        <v>0</v>
      </c>
      <c r="CP212" s="115" t="b">
        <f ca="1">AND(模拟模式!$O$7="用晦而明",OR(C212="净世破魔击·日",C212="净世破魔击·月",C212="驱夜断愁"),AB212)</f>
        <v>1</v>
      </c>
      <c r="CQ212" s="115" t="b">
        <f ca="1">OR(CP212,AND(CP211,RAND()&lt;模拟模式!$U$23))</f>
        <v>1</v>
      </c>
      <c r="CR212" s="115" t="b">
        <f ca="1">AND(模拟模式!$S$7="日月齐光",OR(C212="幽月轮1",C212="幽月轮2",C212="幽月轮3",CR211),NOT(OR(C212="赤日轮1",C212="赤日轮2",C212="赤日轮3")))</f>
        <v>0</v>
      </c>
      <c r="CS212" s="115" t="b">
        <f ca="1">AND(模拟模式!$S$7="日月齐光",OR(C212="赤日轮1",C212="赤日轮2",C212="赤日轮3",CS211),NOT(OR(C212="幽月轮1",C212="幽月轮2",C212="幽月轮3")))</f>
        <v>0</v>
      </c>
      <c r="CT212" s="115">
        <f t="shared" ca="1" si="176"/>
        <v>29.077500000000001</v>
      </c>
      <c r="CU212" s="115" t="b">
        <f ca="1">AND(模拟模式!$K$10="阴阳往极",CT211=0,RAND()&lt;IF(C212="净世破魔击·月",0.0275*7/3,IF(C212="净世破魔击·日",0.0275*3/3,0.0275*2/3)))</f>
        <v>0</v>
      </c>
      <c r="CV212" s="115">
        <f t="shared" ca="1" si="177"/>
        <v>3.1549999999999998</v>
      </c>
      <c r="CW212" s="115">
        <f t="shared" ca="1" si="149"/>
        <v>0.46499999999999975</v>
      </c>
      <c r="CX212" s="115">
        <f t="shared" ca="1" si="150"/>
        <v>5.0774999999999997</v>
      </c>
      <c r="CY212" s="115">
        <f ca="1">MAX(IF($C212="驱夜断愁",IF(模拟模式!$R$7="万念俱寂",6,45),CY211-$F$4),0)</f>
        <v>0</v>
      </c>
      <c r="CZ212" s="115">
        <f t="shared" ca="1" si="151"/>
        <v>0</v>
      </c>
      <c r="DA212" s="115">
        <f ca="1">IF(模拟模式!$N$7="日月同辉",IF(DB211=2,0,MIN(6,IF(AND(OR(C212="赤日轮1",C212="赤日轮2",C212="赤日轮3",C212="幽月轮1",C212="幽月轮2",C212="幽月轮3"),AB212=1),DA211+1,DA211))),0)</f>
        <v>2</v>
      </c>
      <c r="DB212" s="115">
        <f t="shared" ca="1" si="152"/>
        <v>0</v>
      </c>
      <c r="DC212" s="115"/>
      <c r="DD212" s="115"/>
      <c r="DE212" s="115"/>
      <c r="DF212" s="115"/>
      <c r="DG212" s="115"/>
      <c r="DH212" s="115"/>
      <c r="DI212" s="115"/>
      <c r="DJ212" s="115"/>
      <c r="DK212" s="115"/>
      <c r="DL212" s="115"/>
      <c r="DM212" s="115"/>
    </row>
    <row r="213" spans="2:117" x14ac:dyDescent="0.2">
      <c r="B213" s="117">
        <f t="shared" si="153"/>
        <v>171.58500000000058</v>
      </c>
      <c r="C213" s="167" t="str">
        <f t="shared" ca="1" si="146"/>
        <v>净世破魔击·月</v>
      </c>
      <c r="D213" s="115">
        <f ca="1">IF(C213="赤日轮1",1,IF(C213="赤日轮2",2,IF(C213="赤日轮3",3,IF(C213="幽月轮1",4,IF(C213="幽月轮2",5,IF(C213="幽月轮3",6,IF(C213="烈日斩",7,IF(C213="银月斩",8,IF(C213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213="净世破魔击·月",17,IF(C213="驱夜断愁",18,0)))))))))))</f>
        <v>17</v>
      </c>
      <c r="E213" s="115">
        <f ca="1">IF(AND(CU213,OR(C213="幽月轮1",C213="幽月轮2",C213="幽月轮3",C213="银月斩",C213="驱夜断愁",C213="净世破魔击·月")),100,MIN(IF(OR(CN213,BE213),0,IF(OR($C213="赤日轮1",$C213="赤日轮2",$C213="赤日轮3"),E212+20+IF(模拟模式!$I$7="日月凌天",4,0)+IF(CR212,20,0),IF($C213="烈日斩",E212+40,IF($C213="驱夜断愁",IF(模拟模式!$R$7="万念俱寂",E212+20,E212+60),IF($C213="净世破魔击·月",IF(OR(DB212&gt;0,CV212&gt;0),100,IF(模拟模式!$M$7="辉耀红尘",E212+20,E212)),IF($C213="净世破魔击·日",E212-100,E212)))))),100))</f>
        <v>100</v>
      </c>
      <c r="F213" s="115">
        <f ca="1">IF(AND(CU213,OR(C213="赤日轮1",C213="赤日轮2",C213="赤日轮3",C213="烈日斩",C213="净世破魔击·日")),100,MIN(IF(CO213,0,IF(OR($C213="幽月轮1",$C213="幽月轮2",$C213="幽月轮3"),F212+20+IF(模拟模式!$I$7="日月凌天",4,0)+IF(CS212,20,0),IF($C213="银月斩",F212+40+IF(模拟模式!$X$12=1,5,0),IF($C213="驱夜断愁",IF(模拟模式!$R$7="万念俱寂",F212+20,F212+60),IF($C213="净世破魔击·月",IF(模拟模式!$M$7="辉耀红尘",F212-80,F212-100),IF(AND(C213="净世破魔击·日",OR(DB212&gt;0,CV212&gt;0)),100,F212)))))),100))</f>
        <v>20</v>
      </c>
      <c r="G213" s="117">
        <f ca="1">('模拟-全程加成'!$E$3+'模拟-全程加成'!$E$4+'模拟-全程加成'!$E$5+('模拟-全程加成'!$C$6-'模拟-全程加成'!$C$3)*系数!$B$9+BS213*23)*(1+'模拟-全程加成'!$F$4+'模拟-全程加成'!$F$5+BJ213*10%+BM213*20%+BP213*4%+CG213*30%)+$F$7*系数!$B$12</f>
        <v>20583.127400000001</v>
      </c>
      <c r="H213" s="45">
        <f ca="1">'模拟-全程加成'!$H$3+'模拟-全程加成'!$H$4+'模拟-全程加成'!$H$5+('模拟-全程加成'!$G$4+'模拟-全程加成'!$G$5+('模拟-全程加成'!$C$6-'模拟-全程加成'!$C$3)*系数!$B$13)/系数!$B$3+LOOKUP(D213,'模拟-单技能数据'!$A$2:$A$19,'模拟-单技能数据'!$K$2:$K$19)+BG213*10%+IF(BV213&gt;0,378,0)</f>
        <v>0.54185145527300216</v>
      </c>
      <c r="I213" s="45">
        <f ca="1">'模拟-全程加成'!$J$3+'模拟-全程加成'!$J$4+'模拟-全程加成'!$J$5+('模拟-全程加成'!$I$4+'模拟-全程加成'!$I$5)/系数!$B$4+LOOKUP(D213,'模拟-单技能数据'!$A$2:$A$19,'模拟-单技能数据'!$L$2:$L$19)+BG213*10%</f>
        <v>2.162482885499879</v>
      </c>
      <c r="J213" s="45">
        <f ca="1">(('模拟-全程加成'!$K$3+'模拟-全程加成'!$K$4+'模拟-全程加成'!$K$5+('模拟-全程加成'!$C$6-'模拟-全程加成'!$C$3)*系数!$B$10+IF(BV213&gt;0,882,0)+IF(BY213&gt;0,1831,0))*(1+'模拟-全程加成'!$L$4+'模拟-全程加成'!$L$5+CC213*20%))/系数!$B$5</f>
        <v>0.69723220422048726</v>
      </c>
      <c r="K213" s="119">
        <f ca="1">LOOKUP(D213,'模拟-单技能数据'!$A$2:$A$19,'模拟-单技能数据'!$J$2:$J$19)+IF(CM213,60%,0)+IF(DB212-DB213&gt;0,30%,0)+IF(OR(AND(OR(C213="赤日轮1",C213="赤日轮2",C213="赤日轮3"),CR213),AND(OR(C213="幽月轮1",C213="幽月轮2",C213="幽月轮3"),CS213)),35%,0)+CJ213</f>
        <v>0.21000000000000002</v>
      </c>
      <c r="L213" s="119">
        <f ca="1">IF(AND(C213="烈日斩",模拟模式!$X$11=1),10%,0)+IF(AND(C213="驱夜断愁",AB213=1),30%,0)</f>
        <v>0</v>
      </c>
      <c r="M213" s="45">
        <f t="shared" ca="1" si="185"/>
        <v>0.54185145527300216</v>
      </c>
      <c r="N213" s="45">
        <f t="shared" ca="1" si="186"/>
        <v>0.40424854472699789</v>
      </c>
      <c r="O213" s="46">
        <f t="shared" ca="1" si="154"/>
        <v>0.39591872743729972</v>
      </c>
      <c r="P213" s="46" t="str">
        <f t="shared" ca="1" si="155"/>
        <v>会</v>
      </c>
      <c r="Q213" s="45">
        <f t="shared" ca="1" si="156"/>
        <v>2.162482885499879</v>
      </c>
      <c r="R213" s="117">
        <f ca="1">模拟模式!$E$20*(1-IF(模拟模式!$J$19="有",0.15,0))*(1-IF(模拟模式!$K$19="有",0.3,0)-IF(CQ213,0.5,0))</f>
        <v>843.02999999999975</v>
      </c>
      <c r="S213" s="45">
        <f ca="1">R213/(R213+(185*模拟模式!$E$22-16800)*4.08224)</f>
        <v>8.389626085980037E-2</v>
      </c>
      <c r="T213" s="45" t="str">
        <f ca="1">LOOKUP(D213,'模拟-单技能数据'!$A$2:$A$19,'模拟-单技能数据'!$H$2:$H$19)</f>
        <v>阴</v>
      </c>
      <c r="U213" s="119">
        <f t="shared" ca="1" si="187"/>
        <v>0.08</v>
      </c>
      <c r="V213" s="47">
        <f ca="1">(1+L213)*(LOOKUP(D213,'模拟-单技能数据'!$A$2:$A$19,'模拟-单技能数据'!$D$2:$D$19)+G213*LOOKUP(D213,'模拟-单技能数据'!$A$2:$A$19,'模拟-单技能数据'!$F$2:$F$19))*(1+J213)*(1+K213)*(1-S213)*(1+U213)*Q213*LOOKUP(D213,'模拟-单技能数据'!$A$2:$A$19,'模拟-单技能数据'!$I$2:$I$20)</f>
        <v>117550.39766455625</v>
      </c>
      <c r="W213" s="47">
        <f ca="1">LOOKUP(D213,'模拟-单技能数据'!$A$2:$A$19,'模拟-单技能数据'!$G$2:$G$19)*$I$10</f>
        <v>361.51064354704795</v>
      </c>
      <c r="X213" s="47">
        <f t="shared" ca="1" si="157"/>
        <v>27976.739799488569</v>
      </c>
      <c r="Y213" s="47">
        <f t="shared" ca="1" si="188"/>
        <v>145888.64810759187</v>
      </c>
      <c r="Z213" s="49">
        <f t="shared" ca="1" si="189"/>
        <v>19383930.416574288</v>
      </c>
      <c r="AA213" s="97">
        <f t="shared" ca="1" si="190"/>
        <v>112969.84244878178</v>
      </c>
      <c r="AB213" s="115">
        <f ca="1">IF(OR(C213="赤日轮1",C213="赤日轮2",C213="赤日轮3"),IF(RAND()&lt;模拟模式!$Y$17,1,0),IF(OR(C213="幽月轮1",C213="幽月轮2",C213="幽月轮3"),IF(RAND()&lt;模拟模式!$Y$18,1,0),IF(C213="烈日斩",IF(RAND()&lt;模拟模式!$Y$19,1,0),IF(C213="银月斩",IF(RAND()&lt;模拟模式!$Y$20,1,0),IF(C213="驱夜断愁",IF(RAND()&lt;模拟模式!$Y$21,1,0),IF(C213="净世破魔击·日",IF(RAND()&lt;模拟模式!$Y$22,1,0),IF(C213="净世破魔击·月",IF(RAND()&lt;模拟模式!$Y$23,1,0),0)))))))</f>
        <v>1</v>
      </c>
      <c r="AC213" s="115" t="b">
        <f t="shared" ca="1" si="178"/>
        <v>0</v>
      </c>
      <c r="AD213" s="115" t="b">
        <f t="shared" ca="1" si="198"/>
        <v>1</v>
      </c>
      <c r="AE213" s="115">
        <f t="shared" ca="1" si="199"/>
        <v>4</v>
      </c>
      <c r="AF213" s="47">
        <f ca="1">IF(AC213,('模拟-单技能数据'!$D$20+G213*'模拟-单技能数据'!$F$20)*(1+J213)*(1+'模拟-单技能数据'!$J$20)*(1+U213),0)</f>
        <v>0</v>
      </c>
      <c r="AG213" s="61">
        <f t="shared" ca="1" si="191"/>
        <v>0.64185145527300214</v>
      </c>
      <c r="AH213" s="61">
        <f t="shared" ca="1" si="192"/>
        <v>2.2624828854998791</v>
      </c>
      <c r="AI213" s="62">
        <f t="shared" ca="1" si="158"/>
        <v>0.66813000655342614</v>
      </c>
      <c r="AJ213" s="47">
        <f ca="1">IF(AD213,IF(AI213&lt;$F$10,0,IF(AI213&lt;$F$10+$F$11,0.25,IF(AI213&lt;$F$10+$F$11+AG213,AH213,1)))*IF(AF213&gt;0,AF213,IF(AF212&gt;0,AF212,IF(AF211&gt;0,AF211,IF(AF210&gt;0,AF210,IF(AF209&gt;0,AF209,IF(AF208&gt;0,AF208,IF(AF207&gt;0,AF207,IF(AF206&gt;0,AF206,IF(AF205&gt;0,AF205,IF(AF203&gt;0,AF203,IF(AF202&gt;0,AF202,IF(AF201&gt;0,AF201,0)))))))))))),0)*(1-$S213)*'模拟-单技能数据'!$I$20</f>
        <v>9218.9345386263849</v>
      </c>
      <c r="AK213" s="115" t="b">
        <f t="shared" ca="1" si="179"/>
        <v>0</v>
      </c>
      <c r="AL213" s="115" t="b">
        <f t="shared" ca="1" si="200"/>
        <v>1</v>
      </c>
      <c r="AM213" s="115">
        <f t="shared" ca="1" si="201"/>
        <v>5</v>
      </c>
      <c r="AN213" s="47">
        <f ca="1">IF(AK213,('模拟-单技能数据'!$D$21+G213*'模拟-单技能数据'!$F$21)*(1+J213)*(1+'模拟-单技能数据'!$J$21)*(1+U213),0)</f>
        <v>0</v>
      </c>
      <c r="AO213" s="61">
        <f ca="1">IF(AN213&gt;0,M213-'模拟-单技能数据'!$K$10,AO212)</f>
        <v>0.42185145527300216</v>
      </c>
      <c r="AP213" s="61">
        <f ca="1">IF(AN213&gt;0,I213-'模拟-单技能数据'!$L$10,AP212)</f>
        <v>2.162482885499879</v>
      </c>
      <c r="AQ213" s="63">
        <f t="shared" ca="1" si="159"/>
        <v>0.58932235928435828</v>
      </c>
      <c r="AR213" s="64">
        <f ca="1">IF(AL213,IF(AQ213&lt;$F$10,0,IF(AQ213&lt;$F$10+$F$11,0.25,IF(AQ213&lt;$F$10+$F$11+AO213,AP213,1)))*IF(AN213&gt;0,AN213,IF(AN212&gt;0,AN212,IF(AN211&gt;0,AN211,IF(AN210&gt;0,AN210,IF(AN209&gt;0,AN209,IF(AN208&gt;0,AN208,IF(AN207&gt;0,AN207,IF(AN206&gt;0,AN206,IF(AN205&gt;0,AN205,IF(AN203&gt;0,AN203,IF(AN202&gt;0,AN202,IF(AN201&gt;0,AN201,0)))))))))))),0)*(1-$S213)*'模拟-单技能数据'!$I$21</f>
        <v>11118.353508757338</v>
      </c>
      <c r="AS213" s="61">
        <f ca="1">IF(OR(C213="净世破魔击·日",C213="净世破魔击·月"),M213-'模拟-单技能数据'!$K$10,0)</f>
        <v>0.42185145527300216</v>
      </c>
      <c r="AT213" s="61">
        <f ca="1">IF(OR(C213="净世破魔击·日",C213="净世破魔击·月"),I213-'模拟-单技能数据'!$L$10,0)</f>
        <v>2.162482885499879</v>
      </c>
      <c r="AU213" s="62">
        <f t="shared" ca="1" si="160"/>
        <v>0.96686099308635809</v>
      </c>
      <c r="AV213" s="64">
        <f ca="1">IF(AS213&gt;0,('模拟-单技能数据'!$D$22+G213*'模拟-单技能数据'!$F$22)*(1+J213)*(1-S213)*IF(AU213&lt;$F$10,0,IF(AU213&lt;$F$10+$F$11,0.25,IF(AU213&lt;$F$10+$F$11+AS213,AT213,1)))*(1+U213),0)*'模拟-单技能数据'!$I$22</f>
        <v>7639.4517521048492</v>
      </c>
      <c r="AW213" s="108">
        <f t="shared" ca="1" si="161"/>
        <v>0.6275000000000065</v>
      </c>
      <c r="AX213" s="108" t="b">
        <f ca="1">AND(模拟模式!$P$10="有",AW212=0,RAND()&lt;IF(C213="净世破魔击·月",0.1*8/3,IF(C213="净世破魔击·日",0.1*4/3,0.1*2/3)))</f>
        <v>0</v>
      </c>
      <c r="AY213" s="47">
        <f ca="1">IF(AX213,(18+G213*0.722)*(1+J213)*(1-S213)*(1+$I$4)*IF(P213="会",'模拟-全程加成'!$J$3+'模拟-全程加成'!$J$4+'模拟-全程加成'!$J$5+('模拟-全程加成'!$I$4+'模拟-全程加成'!$I$5)/系数!$B$4+BG213*10%,IF(P213="命",1,IF(P213="识",0.25,0))),0)</f>
        <v>0</v>
      </c>
      <c r="AZ213" s="108">
        <f t="shared" si="162"/>
        <v>10.775000000000006</v>
      </c>
      <c r="BA213" s="108" t="b">
        <f>AND(模拟模式!$Q$10="有",AZ212=0)</f>
        <v>0</v>
      </c>
      <c r="BB213" s="140">
        <f>IF(BA213,(0+G213*0.287)*(1+J213)*(1-S213)*(1+$I$4)*IF(P213="会",'模拟-全程加成'!$J$3+'模拟-全程加成'!$J$4+'模拟-全程加成'!$J$5+('模拟-全程加成'!$I$4+'模拟-全程加成'!$I$5)/系数!$B$4+BG213*10%,IF(P213="命",1,IF(P213="识",0.25,0))),0)</f>
        <v>0</v>
      </c>
      <c r="BC213" s="115" t="b">
        <f ca="1">AND(模拟模式!$R$7="伏明众生",E213=60,F213=20,DA213&lt;5,CZ212&lt;$F$4)</f>
        <v>0</v>
      </c>
      <c r="BD213" s="115">
        <f t="shared" ca="1" si="180"/>
        <v>0</v>
      </c>
      <c r="BE213" s="115" t="b">
        <f t="shared" ca="1" si="181"/>
        <v>0</v>
      </c>
      <c r="BF213" s="47">
        <f ca="1">IF(BC213,4*('模拟-单技能数据'!$D$24+G213*'模拟-单技能数据'!$F$24)*(1+J213)*(1+'模拟-单技能数据'!$J$24)*(1-S213)*(1+$I$3)*(('模拟-全程加成'!$J$3+'模拟-全程加成'!$J$4+'模拟-全程加成'!$J$5+('模拟-全程加成'!$I$4+'模拟-全程加成'!$I$5)/系数!$B$4+BG213*10%)*('模拟-全程加成'!$J$3+'模拟-全程加成'!$J$4+'模拟-全程加成'!$J$5+('模拟-全程加成'!$I$4+'模拟-全程加成'!$I$5)/系数!$B$4+BG213*10%)+(1-('模拟-全程加成'!$J$3+'模拟-全程加成'!$J$4+'模拟-全程加成'!$J$5+('模拟-全程加成'!$I$4+'模拟-全程加成'!$I$5)/系数!$B$4+BG213*10%)-$F$10-$F$11)+F199*0.25),0)*'模拟-单技能数据'!$I$24</f>
        <v>0</v>
      </c>
      <c r="BG213" s="115" t="b">
        <f ca="1">OR(AND(OR(C213="烈日斩",C213="银月斩"),模拟模式!$I$7="净身明礼"),AND(C213="净世破魔击·日",模拟模式!$J$7="洞若观火"),AND(C214="净世破魔击·月",模拟模式!$J$7="洞若观火"),AB213=1)</f>
        <v>1</v>
      </c>
      <c r="BH213" s="115" t="b">
        <f t="shared" ca="1" si="163"/>
        <v>0</v>
      </c>
      <c r="BI213" s="115">
        <f t="shared" ca="1" si="182"/>
        <v>0</v>
      </c>
      <c r="BJ213" s="115" t="b">
        <f t="shared" ca="1" si="193"/>
        <v>0</v>
      </c>
      <c r="BK213" s="115" t="b">
        <f ca="1">AND(C213="驱夜断愁",模拟模式!$P$7="天地诛戮")</f>
        <v>0</v>
      </c>
      <c r="BL213" s="57">
        <f t="shared" ca="1" si="183"/>
        <v>12.620000000000005</v>
      </c>
      <c r="BM213" s="115" t="b">
        <f t="shared" ca="1" si="194"/>
        <v>1</v>
      </c>
      <c r="BN213" s="115" t="b">
        <f ca="1">AND(OR(C213="赤日轮1",C213="赤日轮2",C213="赤日轮3",C213="幽月轮1",C213="幽月轮2",C213="幽月轮3"),AB213=1,模拟模式!$L$7="明光恒照")</f>
        <v>0</v>
      </c>
      <c r="BO213" s="117">
        <f t="shared" ca="1" si="184"/>
        <v>27.232500000000002</v>
      </c>
      <c r="BP213" s="115">
        <f t="shared" ca="1" si="164"/>
        <v>6</v>
      </c>
      <c r="BQ213" s="115" t="b">
        <f>模拟模式!$K$10="2600·水"</f>
        <v>0</v>
      </c>
      <c r="BR213" s="117">
        <f t="shared" si="165"/>
        <v>0</v>
      </c>
      <c r="BS213" s="115">
        <f t="shared" si="166"/>
        <v>0</v>
      </c>
      <c r="BT213" s="115">
        <f t="shared" ca="1" si="167"/>
        <v>0</v>
      </c>
      <c r="BU213" s="115" t="b">
        <f ca="1">AND(模拟模式!$K$10="2300·雷",BT212=0,RAND()&lt;IF(C213="净世破魔击·月",5*0.05*2/3,IF(C213="净世破魔击·日",3*0.05*2/3,0.05*2*2/3)))</f>
        <v>0</v>
      </c>
      <c r="BV213" s="115">
        <f t="shared" ca="1" si="168"/>
        <v>0</v>
      </c>
      <c r="BW213" s="115">
        <f t="shared" ca="1" si="169"/>
        <v>13.949999999999307</v>
      </c>
      <c r="BX213" s="164" t="b">
        <f t="shared" ca="1" si="170"/>
        <v>0</v>
      </c>
      <c r="BY213" s="115">
        <f t="shared" ca="1" si="171"/>
        <v>0</v>
      </c>
      <c r="BZ213" s="115">
        <f>IF(OR(模拟模式!$P$16="10人团",模拟模式!$P$16="25人团"),IF(B213/30&gt;CA212,1,0),0)</f>
        <v>0</v>
      </c>
      <c r="CA213" s="115">
        <f t="shared" si="147"/>
        <v>0</v>
      </c>
      <c r="CB213" s="115">
        <f ca="1">IF(BZ213=1,IF(模拟模式!$P$16="10人团",15,0)+IF(模拟模式!$P$16="25人团",IF(RAND()&lt;0.6,15,0)),MAX(0,CB212-$F$4))</f>
        <v>0</v>
      </c>
      <c r="CC213" s="115" t="b">
        <f t="shared" ca="1" si="195"/>
        <v>0</v>
      </c>
      <c r="CD213" s="115">
        <f>IF(模拟模式!$Q$16="1个",IF(B213/40&gt;CE212,1,0),0)</f>
        <v>0</v>
      </c>
      <c r="CE213" s="115">
        <f t="shared" si="196"/>
        <v>0</v>
      </c>
      <c r="CF213" s="115">
        <f>IF(OR(CD213=1,模拟模式!$Q$16="2个"),20,MAX(0,CF212-$F$4))</f>
        <v>0</v>
      </c>
      <c r="CG213" s="115" t="b">
        <f t="shared" si="197"/>
        <v>0</v>
      </c>
      <c r="CH213" s="115">
        <f t="shared" ca="1" si="172"/>
        <v>24.465000000000003</v>
      </c>
      <c r="CI213" s="115" t="b">
        <f t="shared" ca="1" si="173"/>
        <v>0</v>
      </c>
      <c r="CJ213" s="119">
        <f t="shared" ca="1" si="174"/>
        <v>0.01</v>
      </c>
      <c r="CK213" s="115">
        <f t="shared" ca="1" si="175"/>
        <v>2.464999999999999</v>
      </c>
      <c r="CL213" s="115" t="b">
        <f ca="1">AND(模拟模式!$S$7="驱夷逐法",OR(AND(C213="净世破魔击·月",E212&gt;59),AND(C213="净世破魔击·日",F212&gt;59)))</f>
        <v>0</v>
      </c>
      <c r="CM213" s="115" t="b">
        <f ca="1">OR(CL213,AND(C213="净世破魔击·日",CL212,RAND()&lt;模拟模式!$U$23))</f>
        <v>0</v>
      </c>
      <c r="CN213" s="115" t="b">
        <f ca="1">IF(模拟模式!$M$7="辉耀红尘",AND(C213="净世破魔击·月",CL213,CV213=0,E212&lt;80),AND(C213="净世破魔击·月",CL213,E212&lt;100))</f>
        <v>0</v>
      </c>
      <c r="CO213" s="115" t="b">
        <f t="shared" ca="1" si="148"/>
        <v>0</v>
      </c>
      <c r="CP213" s="115" t="b">
        <f ca="1">AND(模拟模式!$O$7="用晦而明",OR(C213="净世破魔击·日",C213="净世破魔击·月",C213="驱夜断愁"),AB213)</f>
        <v>1</v>
      </c>
      <c r="CQ213" s="115" t="b">
        <f ca="1">OR(CP213,AND(CP212,RAND()&lt;模拟模式!$U$23))</f>
        <v>1</v>
      </c>
      <c r="CR213" s="115" t="b">
        <f ca="1">AND(模拟模式!$S$7="日月齐光",OR(C213="幽月轮1",C213="幽月轮2",C213="幽月轮3",CR212),NOT(OR(C213="赤日轮1",C213="赤日轮2",C213="赤日轮3")))</f>
        <v>0</v>
      </c>
      <c r="CS213" s="115" t="b">
        <f ca="1">AND(模拟模式!$S$7="日月齐光",OR(C213="赤日轮1",C213="赤日轮2",C213="赤日轮3",CS212),NOT(OR(C213="幽月轮1",C213="幽月轮2",C213="幽月轮3")))</f>
        <v>0</v>
      </c>
      <c r="CT213" s="115">
        <f t="shared" ca="1" si="176"/>
        <v>28.155000000000001</v>
      </c>
      <c r="CU213" s="115" t="b">
        <f ca="1">AND(模拟模式!$K$10="阴阳往极",CT212=0,RAND()&lt;IF(C213="净世破魔击·月",0.0275*7/3,IF(C213="净世破魔击·日",0.0275*3/3,0.0275*2/3)))</f>
        <v>0</v>
      </c>
      <c r="CV213" s="115">
        <f t="shared" ca="1" si="177"/>
        <v>2.2324999999999999</v>
      </c>
      <c r="CW213" s="115">
        <f t="shared" ca="1" si="149"/>
        <v>0</v>
      </c>
      <c r="CX213" s="115">
        <f t="shared" ca="1" si="150"/>
        <v>4.1549999999999994</v>
      </c>
      <c r="CY213" s="115">
        <f ca="1">MAX(IF($C213="驱夜断愁",IF(模拟模式!$R$7="万念俱寂",6,45),CY212-$F$4),0)</f>
        <v>0</v>
      </c>
      <c r="CZ213" s="115">
        <f t="shared" ca="1" si="151"/>
        <v>0</v>
      </c>
      <c r="DA213" s="115">
        <f ca="1">IF(模拟模式!$N$7="日月同辉",IF(DB212=2,0,MIN(6,IF(AND(OR(C213="赤日轮1",C213="赤日轮2",C213="赤日轮3",C213="幽月轮1",C213="幽月轮2",C213="幽月轮3"),AB213=1),DA212+1,DA212))),0)</f>
        <v>2</v>
      </c>
      <c r="DB213" s="115">
        <f t="shared" ca="1" si="152"/>
        <v>0</v>
      </c>
      <c r="DC213" s="115"/>
      <c r="DD213" s="115"/>
      <c r="DE213" s="115"/>
      <c r="DF213" s="115"/>
      <c r="DG213" s="115"/>
      <c r="DH213" s="115"/>
      <c r="DI213" s="115"/>
      <c r="DJ213" s="115"/>
      <c r="DK213" s="115"/>
      <c r="DL213" s="115"/>
      <c r="DM213" s="115"/>
    </row>
    <row r="214" spans="2:117" x14ac:dyDescent="0.2">
      <c r="B214" s="117">
        <f t="shared" si="153"/>
        <v>172.50750000000059</v>
      </c>
      <c r="C214" s="167" t="str">
        <f t="shared" ca="1" si="146"/>
        <v>净世破魔击·日</v>
      </c>
      <c r="D214" s="115">
        <f ca="1">IF(C214="赤日轮1",1,IF(C214="赤日轮2",2,IF(C214="赤日轮3",3,IF(C214="幽月轮1",4,IF(C214="幽月轮2",5,IF(C214="幽月轮3",6,IF(C214="烈日斩",7,IF(C214="银月斩",8,IF(C214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214="净世破魔击·月",17,IF(C214="驱夜断愁",18,0)))))))))))</f>
        <v>9</v>
      </c>
      <c r="E214" s="115">
        <f ca="1">IF(AND(CU214,OR(C214="幽月轮1",C214="幽月轮2",C214="幽月轮3",C214="银月斩",C214="驱夜断愁",C214="净世破魔击·月")),100,MIN(IF(OR(CN214,BE214),0,IF(OR($C214="赤日轮1",$C214="赤日轮2",$C214="赤日轮3"),E213+20+IF(模拟模式!$I$7="日月凌天",4,0)+IF(CR213,20,0),IF($C214="烈日斩",E213+40,IF($C214="驱夜断愁",IF(模拟模式!$R$7="万念俱寂",E213+20,E213+60),IF($C214="净世破魔击·月",IF(OR(DB213&gt;0,CV213&gt;0),100,IF(模拟模式!$M$7="辉耀红尘",E213+20,E213)),IF($C214="净世破魔击·日",E213-100,E213)))))),100))</f>
        <v>0</v>
      </c>
      <c r="F214" s="115">
        <f ca="1">IF(AND(CU214,OR(C214="赤日轮1",C214="赤日轮2",C214="赤日轮3",C214="烈日斩",C214="净世破魔击·日")),100,MIN(IF(CO214,0,IF(OR($C214="幽月轮1",$C214="幽月轮2",$C214="幽月轮3"),F213+20+IF(模拟模式!$I$7="日月凌天",4,0)+IF(CS213,20,0),IF($C214="银月斩",F213+40+IF(模拟模式!$X$12=1,5,0),IF($C214="驱夜断愁",IF(模拟模式!$R$7="万念俱寂",F213+20,F213+60),IF($C214="净世破魔击·月",IF(模拟模式!$M$7="辉耀红尘",F213-80,F213-100),IF(AND(C214="净世破魔击·日",OR(DB213&gt;0,CV213&gt;0)),100,F213)))))),100))</f>
        <v>100</v>
      </c>
      <c r="G214" s="117">
        <f ca="1">('模拟-全程加成'!$E$3+'模拟-全程加成'!$E$4+'模拟-全程加成'!$E$5+('模拟-全程加成'!$C$6-'模拟-全程加成'!$C$3)*系数!$B$9+BS214*23)*(1+'模拟-全程加成'!$F$4+'模拟-全程加成'!$F$5+BJ214*10%+BM214*20%+BP214*4%+CG214*30%)+$F$7*系数!$B$12</f>
        <v>20583.127400000001</v>
      </c>
      <c r="H214" s="45">
        <f ca="1">'模拟-全程加成'!$H$3+'模拟-全程加成'!$H$4+'模拟-全程加成'!$H$5+('模拟-全程加成'!$G$4+'模拟-全程加成'!$G$5+('模拟-全程加成'!$C$6-'模拟-全程加成'!$C$3)*系数!$B$13)/系数!$B$3+LOOKUP(D214,'模拟-单技能数据'!$A$2:$A$19,'模拟-单技能数据'!$K$2:$K$19)+BG214*10%+IF(BV214&gt;0,378,0)</f>
        <v>0.54185145527300216</v>
      </c>
      <c r="I214" s="45">
        <f ca="1">'模拟-全程加成'!$J$3+'模拟-全程加成'!$J$4+'模拟-全程加成'!$J$5+('模拟-全程加成'!$I$4+'模拟-全程加成'!$I$5)/系数!$B$4+LOOKUP(D214,'模拟-单技能数据'!$A$2:$A$19,'模拟-单技能数据'!$L$2:$L$19)+BG214*10%</f>
        <v>2.162482885499879</v>
      </c>
      <c r="J214" s="45">
        <f ca="1">(('模拟-全程加成'!$K$3+'模拟-全程加成'!$K$4+'模拟-全程加成'!$K$5+('模拟-全程加成'!$C$6-'模拟-全程加成'!$C$3)*系数!$B$10+IF(BV214&gt;0,882,0)+IF(BY214&gt;0,1831,0))*(1+'模拟-全程加成'!$L$4+'模拟-全程加成'!$L$5+CC214*20%))/系数!$B$5</f>
        <v>0.69723220422048726</v>
      </c>
      <c r="K214" s="119">
        <f ca="1">LOOKUP(D214,'模拟-单技能数据'!$A$2:$A$19,'模拟-单技能数据'!$J$2:$J$19)+IF(CM214,60%,0)+IF(DB213-DB214&gt;0,30%,0)+IF(OR(AND(OR(C214="赤日轮1",C214="赤日轮2",C214="赤日轮3"),CR214),AND(OR(C214="幽月轮1",C214="幽月轮2",C214="幽月轮3"),CS214)),35%,0)+CJ214</f>
        <v>0.21000000000000002</v>
      </c>
      <c r="L214" s="119">
        <f ca="1">IF(AND(C214="烈日斩",模拟模式!$X$11=1),10%,0)+IF(AND(C214="驱夜断愁",AB214=1),30%,0)</f>
        <v>0</v>
      </c>
      <c r="M214" s="45">
        <f t="shared" ca="1" si="185"/>
        <v>0.54185145527300216</v>
      </c>
      <c r="N214" s="45">
        <f t="shared" ca="1" si="186"/>
        <v>0.40424854472699789</v>
      </c>
      <c r="O214" s="46">
        <f t="shared" ca="1" si="154"/>
        <v>0.50931872020464719</v>
      </c>
      <c r="P214" s="46" t="str">
        <f t="shared" ca="1" si="155"/>
        <v>会</v>
      </c>
      <c r="Q214" s="45">
        <f t="shared" ca="1" si="156"/>
        <v>2.162482885499879</v>
      </c>
      <c r="R214" s="117">
        <f ca="1">模拟模式!$E$20*(1-IF(模拟模式!$J$19="有",0.15,0))*(1-IF(模拟模式!$K$19="有",0.3,0)-IF(CQ214,0.5,0))</f>
        <v>843.02999999999975</v>
      </c>
      <c r="S214" s="45">
        <f ca="1">R214/(R214+(185*模拟模式!$E$22-16800)*4.08224)</f>
        <v>8.389626085980037E-2</v>
      </c>
      <c r="T214" s="45" t="str">
        <f ca="1">LOOKUP(D214,'模拟-单技能数据'!$A$2:$A$19,'模拟-单技能数据'!$H$2:$H$19)</f>
        <v>阳</v>
      </c>
      <c r="U214" s="119">
        <f t="shared" ca="1" si="187"/>
        <v>0.2</v>
      </c>
      <c r="V214" s="47">
        <f ca="1">(1+L214)*(LOOKUP(D214,'模拟-单技能数据'!$A$2:$A$19,'模拟-单技能数据'!$D$2:$D$19)+G214*LOOKUP(D214,'模拟-单技能数据'!$A$2:$A$19,'模拟-单技能数据'!$F$2:$F$19))*(1+J214)*(1+K214)*(1-S214)*(1+U214)*Q214*LOOKUP(D214,'模拟-单技能数据'!$A$2:$A$19,'模拟-单技能数据'!$I$2:$I$20)</f>
        <v>131698.96445159343</v>
      </c>
      <c r="W214" s="47">
        <f ca="1">LOOKUP(D214,'模拟-单技能数据'!$A$2:$A$19,'模拟-单技能数据'!$G$2:$G$19)*$I$10</f>
        <v>723.0212870940959</v>
      </c>
      <c r="X214" s="47">
        <f t="shared" ca="1" si="157"/>
        <v>8488.2797245609418</v>
      </c>
      <c r="Y214" s="47">
        <f t="shared" ca="1" si="188"/>
        <v>140910.26546324848</v>
      </c>
      <c r="Z214" s="49">
        <f t="shared" ca="1" si="189"/>
        <v>19524840.682037536</v>
      </c>
      <c r="AA214" s="97">
        <f t="shared" ca="1" si="190"/>
        <v>113182.56123378676</v>
      </c>
      <c r="AB214" s="115">
        <f ca="1">IF(OR(C214="赤日轮1",C214="赤日轮2",C214="赤日轮3"),IF(RAND()&lt;模拟模式!$Y$17,1,0),IF(OR(C214="幽月轮1",C214="幽月轮2",C214="幽月轮3"),IF(RAND()&lt;模拟模式!$Y$18,1,0),IF(C214="烈日斩",IF(RAND()&lt;模拟模式!$Y$19,1,0),IF(C214="银月斩",IF(RAND()&lt;模拟模式!$Y$20,1,0),IF(C214="驱夜断愁",IF(RAND()&lt;模拟模式!$Y$21,1,0),IF(C214="净世破魔击·日",IF(RAND()&lt;模拟模式!$Y$22,1,0),IF(C214="净世破魔击·月",IF(RAND()&lt;模拟模式!$Y$23,1,0),0)))))))</f>
        <v>1</v>
      </c>
      <c r="AC214" s="115" t="b">
        <f t="shared" ca="1" si="178"/>
        <v>0</v>
      </c>
      <c r="AD214" s="115" t="b">
        <f t="shared" ca="1" si="198"/>
        <v>0</v>
      </c>
      <c r="AE214" s="115">
        <f t="shared" ca="1" si="199"/>
        <v>4</v>
      </c>
      <c r="AF214" s="47">
        <f ca="1">IF(AC214,('模拟-单技能数据'!$D$20+G214*'模拟-单技能数据'!$F$20)*(1+J214)*(1+'模拟-单技能数据'!$J$20)*(1+U214),0)</f>
        <v>0</v>
      </c>
      <c r="AG214" s="61">
        <f t="shared" ca="1" si="191"/>
        <v>0.64185145527300214</v>
      </c>
      <c r="AH214" s="61">
        <f t="shared" ca="1" si="192"/>
        <v>2.2624828854998791</v>
      </c>
      <c r="AI214" s="62">
        <f t="shared" ca="1" si="158"/>
        <v>0.65181442161878611</v>
      </c>
      <c r="AJ214" s="47">
        <f ca="1">IF(AD214,IF(AI214&lt;$F$10,0,IF(AI214&lt;$F$10+$F$11,0.25,IF(AI214&lt;$F$10+$F$11+AG214,AH214,1)))*IF(AF214&gt;0,AF214,IF(AF213&gt;0,AF213,IF(AF212&gt;0,AF212,IF(AF211&gt;0,AF211,IF(AF210&gt;0,AF210,IF(AF209&gt;0,AF209,IF(AF208&gt;0,AF208,IF(AF207&gt;0,AF207,IF(AF206&gt;0,AF206,IF(AF204&gt;0,AF204,IF(AF203&gt;0,AF203,IF(AF202&gt;0,AF202,0)))))))))))),0)*(1-$S214)*'模拟-单技能数据'!$I$20</f>
        <v>0</v>
      </c>
      <c r="AK214" s="115" t="b">
        <f t="shared" ca="1" si="179"/>
        <v>1</v>
      </c>
      <c r="AL214" s="115" t="b">
        <f t="shared" ca="1" si="200"/>
        <v>0</v>
      </c>
      <c r="AM214" s="115">
        <f t="shared" ca="1" si="201"/>
        <v>6</v>
      </c>
      <c r="AN214" s="47">
        <f ca="1">IF(AK214,('模拟-单技能数据'!$D$21+G214*'模拟-单技能数据'!$F$21)*(1+J214)*(1+'模拟-单技能数据'!$J$21)*(1+U214),0)</f>
        <v>12136.56601728573</v>
      </c>
      <c r="AO214" s="61">
        <f ca="1">IF(AN214&gt;0,M214-'模拟-单技能数据'!$K$10,AO213)</f>
        <v>0.42185145527300216</v>
      </c>
      <c r="AP214" s="61">
        <f ca="1">IF(AN214&gt;0,I214-'模拟-单技能数据'!$L$10,AP213)</f>
        <v>2.162482885499879</v>
      </c>
      <c r="AQ214" s="63">
        <f t="shared" ca="1" si="159"/>
        <v>6.2385565327705006E-3</v>
      </c>
      <c r="AR214" s="64">
        <f ca="1">IF(AL214,IF(AQ214&lt;$F$10,0,IF(AQ214&lt;$F$10+$F$11,0.25,IF(AQ214&lt;$F$10+$F$11+AO214,AP214,1)))*IF(AN214&gt;0,AN214,IF(AN213&gt;0,AN213,IF(AN212&gt;0,AN212,IF(AN211&gt;0,AN211,IF(AN210&gt;0,AN210,IF(AN209&gt;0,AN209,IF(AN208&gt;0,AN208,IF(AN207&gt;0,AN207,IF(AN206&gt;0,AN206,IF(AN204&gt;0,AN204,IF(AN203&gt;0,AN203,IF(AN202&gt;0,AN202,0)))))))))))),0)*(1-$S214)*'模拟-单技能数据'!$I$21</f>
        <v>0</v>
      </c>
      <c r="AS214" s="61">
        <f ca="1">IF(OR(C214="净世破魔击·日",C214="净世破魔击·月"),M214-'模拟-单技能数据'!$K$10,0)</f>
        <v>0.42185145527300216</v>
      </c>
      <c r="AT214" s="61">
        <f ca="1">IF(OR(C214="净世破魔击·日",C214="净世破魔击·月"),I214-'模拟-单技能数据'!$L$10,0)</f>
        <v>2.162482885499879</v>
      </c>
      <c r="AU214" s="62">
        <f t="shared" ca="1" si="160"/>
        <v>0.92190694470333667</v>
      </c>
      <c r="AV214" s="64">
        <f ca="1">IF(AS214&gt;0,('模拟-单技能数据'!$D$22+G214*'模拟-单技能数据'!$F$22)*(1+J214)*(1-S214)*IF(AU214&lt;$F$10,0,IF(AU214&lt;$F$10+$F$11,0.25,IF(AU214&lt;$F$10+$F$11+AS214,AT214,1)))*(1+U214),0)*'模拟-单技能数据'!$I$22</f>
        <v>8488.2797245609418</v>
      </c>
      <c r="AW214" s="108">
        <f t="shared" ca="1" si="161"/>
        <v>0</v>
      </c>
      <c r="AX214" s="108" t="b">
        <f ca="1">AND(模拟模式!$P$10="有",AW213=0,RAND()&lt;IF(C214="净世破魔击·月",0.1*8/3,IF(C214="净世破魔击·日",0.1*4/3,0.1*2/3)))</f>
        <v>0</v>
      </c>
      <c r="AY214" s="47">
        <f ca="1">IF(AX214,(18+G214*0.722)*(1+J214)*(1-S214)*(1+$I$4)*IF(P214="会",'模拟-全程加成'!$J$3+'模拟-全程加成'!$J$4+'模拟-全程加成'!$J$5+('模拟-全程加成'!$I$4+'模拟-全程加成'!$I$5)/系数!$B$4+BG214*10%,IF(P214="命",1,IF(P214="识",0.25,0))),0)</f>
        <v>0</v>
      </c>
      <c r="AZ214" s="108">
        <f t="shared" si="162"/>
        <v>9.8525000000000063</v>
      </c>
      <c r="BA214" s="108" t="b">
        <f>AND(模拟模式!$Q$10="有",AZ213=0)</f>
        <v>0</v>
      </c>
      <c r="BB214" s="140">
        <f>IF(BA214,(0+G214*0.287)*(1+J214)*(1-S214)*(1+$I$4)*IF(P214="会",'模拟-全程加成'!$J$3+'模拟-全程加成'!$J$4+'模拟-全程加成'!$J$5+('模拟-全程加成'!$I$4+'模拟-全程加成'!$I$5)/系数!$B$4+BG214*10%,IF(P214="命",1,IF(P214="识",0.25,0))),0)</f>
        <v>0</v>
      </c>
      <c r="BC214" s="115" t="b">
        <f ca="1">AND(模拟模式!$R$7="伏明众生",E214=60,F214=20,DA214&lt;5,CZ213&lt;$F$4)</f>
        <v>0</v>
      </c>
      <c r="BD214" s="115">
        <f t="shared" ca="1" si="180"/>
        <v>0</v>
      </c>
      <c r="BE214" s="115" t="b">
        <f t="shared" ca="1" si="181"/>
        <v>0</v>
      </c>
      <c r="BF214" s="47">
        <f ca="1">IF(BC214,4*('模拟-单技能数据'!$D$24+G214*'模拟-单技能数据'!$F$24)*(1+J214)*(1+'模拟-单技能数据'!$J$24)*(1-S214)*(1+$I$3)*(('模拟-全程加成'!$J$3+'模拟-全程加成'!$J$4+'模拟-全程加成'!$J$5+('模拟-全程加成'!$I$4+'模拟-全程加成'!$I$5)/系数!$B$4+BG214*10%)*('模拟-全程加成'!$J$3+'模拟-全程加成'!$J$4+'模拟-全程加成'!$J$5+('模拟-全程加成'!$I$4+'模拟-全程加成'!$I$5)/系数!$B$4+BG214*10%)+(1-('模拟-全程加成'!$J$3+'模拟-全程加成'!$J$4+'模拟-全程加成'!$J$5+('模拟-全程加成'!$I$4+'模拟-全程加成'!$I$5)/系数!$B$4+BG214*10%)-$F$10-$F$11)+F200*0.25),0)*'模拟-单技能数据'!$I$24</f>
        <v>0</v>
      </c>
      <c r="BG214" s="115" t="b">
        <f ca="1">OR(AND(OR(C214="烈日斩",C214="银月斩"),模拟模式!$I$7="净身明礼"),AND(C214="净世破魔击·日",模拟模式!$J$7="洞若观火"),AND(C215="净世破魔击·月",模拟模式!$J$7="洞若观火"),AB214=1)</f>
        <v>1</v>
      </c>
      <c r="BH214" s="115" t="b">
        <f t="shared" ca="1" si="163"/>
        <v>0</v>
      </c>
      <c r="BI214" s="115">
        <f t="shared" ca="1" si="182"/>
        <v>0</v>
      </c>
      <c r="BJ214" s="115" t="b">
        <f t="shared" ca="1" si="193"/>
        <v>0</v>
      </c>
      <c r="BK214" s="115" t="b">
        <f ca="1">AND(C214="驱夜断愁",模拟模式!$P$7="天地诛戮")</f>
        <v>0</v>
      </c>
      <c r="BL214" s="57">
        <f t="shared" ca="1" si="183"/>
        <v>11.697500000000005</v>
      </c>
      <c r="BM214" s="115" t="b">
        <f t="shared" ca="1" si="194"/>
        <v>1</v>
      </c>
      <c r="BN214" s="115" t="b">
        <f ca="1">AND(OR(C214="赤日轮1",C214="赤日轮2",C214="赤日轮3",C214="幽月轮1",C214="幽月轮2",C214="幽月轮3"),AB214=1,模拟模式!$L$7="明光恒照")</f>
        <v>0</v>
      </c>
      <c r="BO214" s="117">
        <f t="shared" ca="1" si="184"/>
        <v>26.310000000000002</v>
      </c>
      <c r="BP214" s="115">
        <f t="shared" ca="1" si="164"/>
        <v>6</v>
      </c>
      <c r="BQ214" s="115" t="b">
        <f>模拟模式!$K$10="2600·水"</f>
        <v>0</v>
      </c>
      <c r="BR214" s="117">
        <f t="shared" si="165"/>
        <v>0</v>
      </c>
      <c r="BS214" s="115">
        <f t="shared" si="166"/>
        <v>0</v>
      </c>
      <c r="BT214" s="115">
        <f t="shared" ca="1" si="167"/>
        <v>0</v>
      </c>
      <c r="BU214" s="115" t="b">
        <f ca="1">AND(模拟模式!$K$10="2300·雷",BT213=0,RAND()&lt;IF(C214="净世破魔击·月",5*0.05*2/3,IF(C214="净世破魔击·日",3*0.05*2/3,0.05*2*2/3)))</f>
        <v>0</v>
      </c>
      <c r="BV214" s="115">
        <f t="shared" ca="1" si="168"/>
        <v>0</v>
      </c>
      <c r="BW214" s="115">
        <f t="shared" ca="1" si="169"/>
        <v>13.027499999999307</v>
      </c>
      <c r="BX214" s="164" t="b">
        <f t="shared" ca="1" si="170"/>
        <v>0</v>
      </c>
      <c r="BY214" s="115">
        <f t="shared" ca="1" si="171"/>
        <v>0</v>
      </c>
      <c r="BZ214" s="115">
        <f>IF(OR(模拟模式!$P$16="10人团",模拟模式!$P$16="25人团"),IF(B214/30&gt;CA213,1,0),0)</f>
        <v>0</v>
      </c>
      <c r="CA214" s="115">
        <f t="shared" si="147"/>
        <v>0</v>
      </c>
      <c r="CB214" s="115">
        <f ca="1">IF(BZ214=1,IF(模拟模式!$P$16="10人团",15,0)+IF(模拟模式!$P$16="25人团",IF(RAND()&lt;0.6,15,0)),MAX(0,CB213-$F$4))</f>
        <v>0</v>
      </c>
      <c r="CC214" s="115" t="b">
        <f t="shared" ca="1" si="195"/>
        <v>0</v>
      </c>
      <c r="CD214" s="115">
        <f>IF(模拟模式!$Q$16="1个",IF(B214/40&gt;CE213,1,0),0)</f>
        <v>0</v>
      </c>
      <c r="CE214" s="115">
        <f t="shared" si="196"/>
        <v>0</v>
      </c>
      <c r="CF214" s="115">
        <f>IF(OR(CD214=1,模拟模式!$Q$16="2个"),20,MAX(0,CF213-$F$4))</f>
        <v>0</v>
      </c>
      <c r="CG214" s="115" t="b">
        <f t="shared" si="197"/>
        <v>0</v>
      </c>
      <c r="CH214" s="115">
        <f t="shared" ca="1" si="172"/>
        <v>23.542500000000004</v>
      </c>
      <c r="CI214" s="115" t="b">
        <f t="shared" ca="1" si="173"/>
        <v>0</v>
      </c>
      <c r="CJ214" s="119">
        <f t="shared" ca="1" si="174"/>
        <v>0.01</v>
      </c>
      <c r="CK214" s="115">
        <f t="shared" ca="1" si="175"/>
        <v>1.5424999999999991</v>
      </c>
      <c r="CL214" s="115" t="b">
        <f ca="1">AND(模拟模式!$S$7="驱夷逐法",OR(AND(C214="净世破魔击·月",E213&gt;59),AND(C214="净世破魔击·日",F213&gt;59)))</f>
        <v>0</v>
      </c>
      <c r="CM214" s="115" t="b">
        <f ca="1">OR(CL214,AND(C214="净世破魔击·日",CL213,RAND()&lt;模拟模式!$U$23))</f>
        <v>0</v>
      </c>
      <c r="CN214" s="115" t="b">
        <f ca="1">IF(模拟模式!$M$7="辉耀红尘",AND(C214="净世破魔击·月",CL214,CV214=0,E213&lt;80),AND(C214="净世破魔击·月",CL214,E213&lt;100))</f>
        <v>0</v>
      </c>
      <c r="CO214" s="115" t="b">
        <f t="shared" ca="1" si="148"/>
        <v>0</v>
      </c>
      <c r="CP214" s="115" t="b">
        <f ca="1">AND(模拟模式!$O$7="用晦而明",OR(C214="净世破魔击·日",C214="净世破魔击·月",C214="驱夜断愁"),AB214)</f>
        <v>1</v>
      </c>
      <c r="CQ214" s="115" t="b">
        <f ca="1">OR(CP214,AND(CP213,RAND()&lt;模拟模式!$U$23))</f>
        <v>1</v>
      </c>
      <c r="CR214" s="115" t="b">
        <f ca="1">AND(模拟模式!$S$7="日月齐光",OR(C214="幽月轮1",C214="幽月轮2",C214="幽月轮3",CR213),NOT(OR(C214="赤日轮1",C214="赤日轮2",C214="赤日轮3")))</f>
        <v>0</v>
      </c>
      <c r="CS214" s="115" t="b">
        <f ca="1">AND(模拟模式!$S$7="日月齐光",OR(C214="赤日轮1",C214="赤日轮2",C214="赤日轮3",CS213),NOT(OR(C214="幽月轮1",C214="幽月轮2",C214="幽月轮3")))</f>
        <v>0</v>
      </c>
      <c r="CT214" s="115">
        <f t="shared" ca="1" si="176"/>
        <v>27.232500000000002</v>
      </c>
      <c r="CU214" s="115" t="b">
        <f ca="1">AND(模拟模式!$K$10="阴阳往极",CT213=0,RAND()&lt;IF(C214="净世破魔击·月",0.0275*7/3,IF(C214="净世破魔击·日",0.0275*3/3,0.0275*2/3)))</f>
        <v>0</v>
      </c>
      <c r="CV214" s="115">
        <f t="shared" ca="1" si="177"/>
        <v>1.31</v>
      </c>
      <c r="CW214" s="115">
        <f t="shared" ca="1" si="149"/>
        <v>0</v>
      </c>
      <c r="CX214" s="115">
        <f t="shared" ca="1" si="150"/>
        <v>3.2324999999999995</v>
      </c>
      <c r="CY214" s="115">
        <f ca="1">MAX(IF($C214="驱夜断愁",IF(模拟模式!$R$7="万念俱寂",6,45),CY213-$F$4),0)</f>
        <v>0</v>
      </c>
      <c r="CZ214" s="115">
        <f t="shared" ca="1" si="151"/>
        <v>0</v>
      </c>
      <c r="DA214" s="115">
        <f ca="1">IF(模拟模式!$N$7="日月同辉",IF(DB213=2,0,MIN(6,IF(AND(OR(C214="赤日轮1",C214="赤日轮2",C214="赤日轮3",C214="幽月轮1",C214="幽月轮2",C214="幽月轮3"),AB214=1),DA213+1,DA213))),0)</f>
        <v>2</v>
      </c>
      <c r="DB214" s="115">
        <f t="shared" ca="1" si="152"/>
        <v>0</v>
      </c>
      <c r="DC214" s="115"/>
      <c r="DD214" s="115"/>
      <c r="DE214" s="115"/>
      <c r="DF214" s="115"/>
      <c r="DG214" s="115"/>
      <c r="DH214" s="115"/>
      <c r="DI214" s="115"/>
      <c r="DJ214" s="115"/>
      <c r="DK214" s="115"/>
      <c r="DL214" s="115"/>
      <c r="DM214" s="115"/>
    </row>
    <row r="215" spans="2:117" x14ac:dyDescent="0.2">
      <c r="B215" s="117">
        <f t="shared" si="153"/>
        <v>173.4300000000006</v>
      </c>
      <c r="C215" s="167" t="str">
        <f t="shared" ca="1" si="146"/>
        <v>净世破魔击·月</v>
      </c>
      <c r="D215" s="115">
        <f ca="1">IF(C215="赤日轮1",1,IF(C215="赤日轮2",2,IF(C215="赤日轮3",3,IF(C215="幽月轮1",4,IF(C215="幽月轮2",5,IF(C215="幽月轮3",6,IF(C215="烈日斩",7,IF(C215="银月斩",8,IF(C215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215="净世破魔击·月",17,IF(C215="驱夜断愁",18,0)))))))))))</f>
        <v>17</v>
      </c>
      <c r="E215" s="115">
        <f ca="1">IF(AND(CU215,OR(C215="幽月轮1",C215="幽月轮2",C215="幽月轮3",C215="银月斩",C215="驱夜断愁",C215="净世破魔击·月")),100,MIN(IF(OR(CN215,BE215),0,IF(OR($C215="赤日轮1",$C215="赤日轮2",$C215="赤日轮3"),E214+20+IF(模拟模式!$I$7="日月凌天",4,0)+IF(CR214,20,0),IF($C215="烈日斩",E214+40,IF($C215="驱夜断愁",IF(模拟模式!$R$7="万念俱寂",E214+20,E214+60),IF($C215="净世破魔击·月",IF(OR(DB214&gt;0,CV214&gt;0),100,IF(模拟模式!$M$7="辉耀红尘",E214+20,E214)),IF($C215="净世破魔击·日",E214-100,E214)))))),100))</f>
        <v>100</v>
      </c>
      <c r="F215" s="115">
        <f ca="1">IF(AND(CU215,OR(C215="赤日轮1",C215="赤日轮2",C215="赤日轮3",C215="烈日斩",C215="净世破魔击·日")),100,MIN(IF(CO215,0,IF(OR($C215="幽月轮1",$C215="幽月轮2",$C215="幽月轮3"),F214+20+IF(模拟模式!$I$7="日月凌天",4,0)+IF(CS214,20,0),IF($C215="银月斩",F214+40+IF(模拟模式!$X$12=1,5,0),IF($C215="驱夜断愁",IF(模拟模式!$R$7="万念俱寂",F214+20,F214+60),IF($C215="净世破魔击·月",IF(模拟模式!$M$7="辉耀红尘",F214-80,F214-100),IF(AND(C215="净世破魔击·日",OR(DB214&gt;0,CV214&gt;0)),100,F214)))))),100))</f>
        <v>20</v>
      </c>
      <c r="G215" s="117">
        <f ca="1">('模拟-全程加成'!$E$3+'模拟-全程加成'!$E$4+'模拟-全程加成'!$E$5+('模拟-全程加成'!$C$6-'模拟-全程加成'!$C$3)*系数!$B$9+BS215*23)*(1+'模拟-全程加成'!$F$4+'模拟-全程加成'!$F$5+BJ215*10%+BM215*20%+BP215*4%+CG215*30%)+$F$7*系数!$B$12</f>
        <v>20583.127400000001</v>
      </c>
      <c r="H215" s="45">
        <f ca="1">'模拟-全程加成'!$H$3+'模拟-全程加成'!$H$4+'模拟-全程加成'!$H$5+('模拟-全程加成'!$G$4+'模拟-全程加成'!$G$5+('模拟-全程加成'!$C$6-'模拟-全程加成'!$C$3)*系数!$B$13)/系数!$B$3+LOOKUP(D215,'模拟-单技能数据'!$A$2:$A$19,'模拟-单技能数据'!$K$2:$K$19)+BG215*10%+IF(BV215&gt;0,378,0)</f>
        <v>0.54185145527300216</v>
      </c>
      <c r="I215" s="45">
        <f ca="1">'模拟-全程加成'!$J$3+'模拟-全程加成'!$J$4+'模拟-全程加成'!$J$5+('模拟-全程加成'!$I$4+'模拟-全程加成'!$I$5)/系数!$B$4+LOOKUP(D215,'模拟-单技能数据'!$A$2:$A$19,'模拟-单技能数据'!$L$2:$L$19)+BG215*10%</f>
        <v>2.162482885499879</v>
      </c>
      <c r="J215" s="45">
        <f ca="1">(('模拟-全程加成'!$K$3+'模拟-全程加成'!$K$4+'模拟-全程加成'!$K$5+('模拟-全程加成'!$C$6-'模拟-全程加成'!$C$3)*系数!$B$10+IF(BV215&gt;0,882,0)+IF(BY215&gt;0,1831,0))*(1+'模拟-全程加成'!$L$4+'模拟-全程加成'!$L$5+CC215*20%))/系数!$B$5</f>
        <v>0.69723220422048726</v>
      </c>
      <c r="K215" s="119">
        <f ca="1">LOOKUP(D215,'模拟-单技能数据'!$A$2:$A$19,'模拟-单技能数据'!$J$2:$J$19)+IF(CM215,60%,0)+IF(DB214-DB215&gt;0,30%,0)+IF(OR(AND(OR(C215="赤日轮1",C215="赤日轮2",C215="赤日轮3"),CR215),AND(OR(C215="幽月轮1",C215="幽月轮2",C215="幽月轮3"),CS215)),35%,0)+CJ215</f>
        <v>0.21000000000000002</v>
      </c>
      <c r="L215" s="119">
        <f ca="1">IF(AND(C215="烈日斩",模拟模式!$X$11=1),10%,0)+IF(AND(C215="驱夜断愁",AB215=1),30%,0)</f>
        <v>0</v>
      </c>
      <c r="M215" s="45">
        <f t="shared" ca="1" si="185"/>
        <v>0.54185145527300216</v>
      </c>
      <c r="N215" s="45">
        <f t="shared" ca="1" si="186"/>
        <v>0.40424854472699789</v>
      </c>
      <c r="O215" s="46">
        <f t="shared" ca="1" si="154"/>
        <v>0.51558962535090913</v>
      </c>
      <c r="P215" s="46" t="str">
        <f t="shared" ca="1" si="155"/>
        <v>会</v>
      </c>
      <c r="Q215" s="45">
        <f t="shared" ca="1" si="156"/>
        <v>2.162482885499879</v>
      </c>
      <c r="R215" s="117">
        <f ca="1">模拟模式!$E$20*(1-IF(模拟模式!$J$19="有",0.15,0))*(1-IF(模拟模式!$K$19="有",0.3,0)-IF(CQ215,0.5,0))</f>
        <v>843.02999999999975</v>
      </c>
      <c r="S215" s="45">
        <f ca="1">R215/(R215+(185*模拟模式!$E$22-16800)*4.08224)</f>
        <v>8.389626085980037E-2</v>
      </c>
      <c r="T215" s="45" t="str">
        <f ca="1">LOOKUP(D215,'模拟-单技能数据'!$A$2:$A$19,'模拟-单技能数据'!$H$2:$H$19)</f>
        <v>阴</v>
      </c>
      <c r="U215" s="119">
        <f t="shared" ca="1" si="187"/>
        <v>0.08</v>
      </c>
      <c r="V215" s="47">
        <f ca="1">(1+L215)*(LOOKUP(D215,'模拟-单技能数据'!$A$2:$A$19,'模拟-单技能数据'!$D$2:$D$19)+G215*LOOKUP(D215,'模拟-单技能数据'!$A$2:$A$19,'模拟-单技能数据'!$F$2:$F$19))*(1+J215)*(1+K215)*(1-S215)*(1+U215)*Q215*LOOKUP(D215,'模拟-单技能数据'!$A$2:$A$19,'模拟-单技能数据'!$I$2:$I$20)</f>
        <v>117550.39766455625</v>
      </c>
      <c r="W215" s="47">
        <f ca="1">LOOKUP(D215,'模拟-单技能数据'!$A$2:$A$19,'模拟-单技能数据'!$G$2:$G$19)*$I$10</f>
        <v>361.51064354704795</v>
      </c>
      <c r="X215" s="47">
        <f t="shared" ca="1" si="157"/>
        <v>90887.67762433202</v>
      </c>
      <c r="Y215" s="47">
        <f t="shared" ca="1" si="188"/>
        <v>208799.58593243532</v>
      </c>
      <c r="Z215" s="49">
        <f t="shared" ca="1" si="189"/>
        <v>19733640.26796997</v>
      </c>
      <c r="AA215" s="97">
        <f t="shared" ca="1" si="190"/>
        <v>113784.46790042035</v>
      </c>
      <c r="AB215" s="115">
        <f ca="1">IF(OR(C215="赤日轮1",C215="赤日轮2",C215="赤日轮3"),IF(RAND()&lt;模拟模式!$Y$17,1,0),IF(OR(C215="幽月轮1",C215="幽月轮2",C215="幽月轮3"),IF(RAND()&lt;模拟模式!$Y$18,1,0),IF(C215="烈日斩",IF(RAND()&lt;模拟模式!$Y$19,1,0),IF(C215="银月斩",IF(RAND()&lt;模拟模式!$Y$20,1,0),IF(C215="驱夜断愁",IF(RAND()&lt;模拟模式!$Y$21,1,0),IF(C215="净世破魔击·日",IF(RAND()&lt;模拟模式!$Y$22,1,0),IF(C215="净世破魔击·月",IF(RAND()&lt;模拟模式!$Y$23,1,0),0)))))))</f>
        <v>1</v>
      </c>
      <c r="AC215" s="115" t="b">
        <f t="shared" ca="1" si="178"/>
        <v>0</v>
      </c>
      <c r="AD215" s="115" t="b">
        <f t="shared" ca="1" si="198"/>
        <v>1</v>
      </c>
      <c r="AE215" s="115">
        <f t="shared" ca="1" si="199"/>
        <v>3</v>
      </c>
      <c r="AF215" s="47">
        <f ca="1">IF(AC215,('模拟-单技能数据'!$D$20+G215*'模拟-单技能数据'!$F$20)*(1+J215)*(1+'模拟-单技能数据'!$J$20)*(1+U215),0)</f>
        <v>0</v>
      </c>
      <c r="AG215" s="61">
        <f t="shared" ca="1" si="191"/>
        <v>0.64185145527300214</v>
      </c>
      <c r="AH215" s="61">
        <f t="shared" ca="1" si="192"/>
        <v>2.2624828854998791</v>
      </c>
      <c r="AI215" s="62">
        <f t="shared" ca="1" si="158"/>
        <v>0.34001418514419246</v>
      </c>
      <c r="AJ215" s="47">
        <f ca="1">IF(AD215,IF(AI215&lt;$F$10,0,IF(AI215&lt;$F$10+$F$11,0.25,IF(AI215&lt;$F$10+$F$11+AG215,AH215,1)))*IF(AF215&gt;0,AF215,IF(AF214&gt;0,AF214,IF(AF213&gt;0,AF213,IF(AF212&gt;0,AF212,IF(AF211&gt;0,AF211,IF(AF210&gt;0,AF210,IF(AF209&gt;0,AF209,IF(AF208&gt;0,AF208,IF(AF207&gt;0,AF207,IF(AF205&gt;0,AF205,IF(AF204&gt;0,AF204,IF(AF203&gt;0,AF203,0)))))))))))),0)*(1-$S215)*'模拟-单技能数据'!$I$20</f>
        <v>9218.9345386263849</v>
      </c>
      <c r="AK215" s="115" t="b">
        <f t="shared" ca="1" si="179"/>
        <v>0</v>
      </c>
      <c r="AL215" s="115" t="b">
        <f t="shared" ca="1" si="200"/>
        <v>1</v>
      </c>
      <c r="AM215" s="115">
        <f t="shared" ca="1" si="201"/>
        <v>5</v>
      </c>
      <c r="AN215" s="47">
        <f ca="1">IF(AK215,('模拟-单技能数据'!$D$21+G215*'模拟-单技能数据'!$F$21)*(1+J215)*(1+'模拟-单技能数据'!$J$21)*(1+U215),0)</f>
        <v>0</v>
      </c>
      <c r="AO215" s="61">
        <f ca="1">IF(AN215&gt;0,M215-'模拟-单技能数据'!$K$10,AO214)</f>
        <v>0.42185145527300216</v>
      </c>
      <c r="AP215" s="61">
        <f ca="1">IF(AN215&gt;0,I215-'模拟-单技能数据'!$L$10,AP214)</f>
        <v>2.162482885499879</v>
      </c>
      <c r="AQ215" s="63">
        <f t="shared" ca="1" si="159"/>
        <v>0.65659792938355277</v>
      </c>
      <c r="AR215" s="64">
        <f ca="1">IF(AL215,IF(AQ215&lt;$F$10,0,IF(AQ215&lt;$F$10+$F$11,0.25,IF(AQ215&lt;$F$10+$F$11+AO215,AP215,1)))*IF(AN215&gt;0,AN215,IF(AN214&gt;0,AN214,IF(AN213&gt;0,AN213,IF(AN212&gt;0,AN212,IF(AN211&gt;0,AN211,IF(AN210&gt;0,AN210,IF(AN209&gt;0,AN209,IF(AN208&gt;0,AN208,IF(AN207&gt;0,AN207,IF(AN205&gt;0,AN205,IF(AN204&gt;0,AN204,IF(AN203&gt;0,AN203,0)))))))))))),0)*(1-$S215)*'模拟-单技能数据'!$I$21</f>
        <v>11118.353508757338</v>
      </c>
      <c r="AS215" s="61">
        <f ca="1">IF(OR(C215="净世破魔击·日",C215="净世破魔击·月"),M215-'模拟-单技能数据'!$K$10,0)</f>
        <v>0.42185145527300216</v>
      </c>
      <c r="AT215" s="61">
        <f ca="1">IF(OR(C215="净世破魔击·日",C215="净世破魔击·月"),I215-'模拟-单技能数据'!$L$10,0)</f>
        <v>2.162482885499879</v>
      </c>
      <c r="AU215" s="62">
        <f t="shared" ca="1" si="160"/>
        <v>8.8922133683175808E-2</v>
      </c>
      <c r="AV215" s="64">
        <f ca="1">IF(AS215&gt;0,('模拟-单技能数据'!$D$22+G215*'模拟-单技能数据'!$F$22)*(1+J215)*(1-S215)*IF(AU215&lt;$F$10,0,IF(AU215&lt;$F$10+$F$11,0.25,IF(AU215&lt;$F$10+$F$11+AS215,AT215,1)))*(1+U215),0)*'模拟-单技能数据'!$I$22</f>
        <v>16520.1836685288</v>
      </c>
      <c r="AW215" s="108">
        <f t="shared" ca="1" si="161"/>
        <v>19.077500000000001</v>
      </c>
      <c r="AX215" s="108" t="b">
        <f ca="1">AND(模拟模式!$P$10="有",AW214=0,RAND()&lt;IF(C215="净世破魔击·月",0.1*8/3,IF(C215="净世破魔击·日",0.1*4/3,0.1*2/3)))</f>
        <v>1</v>
      </c>
      <c r="AY215" s="47">
        <f ca="1">IF(AX215,(18+G215*0.722)*(1+J215)*(1-S215)*(1+$I$4)*IF(P215="会",'模拟-全程加成'!$J$3+'模拟-全程加成'!$J$4+'模拟-全程加成'!$J$5+('模拟-全程加成'!$I$4+'模拟-全程加成'!$I$5)/系数!$B$4+BG215*10%,IF(P215="命",1,IF(P215="识",0.25,0))),0)</f>
        <v>54030.205908419506</v>
      </c>
      <c r="AZ215" s="108">
        <f t="shared" si="162"/>
        <v>8.9300000000000068</v>
      </c>
      <c r="BA215" s="108" t="b">
        <f>AND(模拟模式!$Q$10="有",AZ214=0)</f>
        <v>0</v>
      </c>
      <c r="BB215" s="140">
        <f>IF(BA215,(0+G215*0.287)*(1+J215)*(1-S215)*(1+$I$4)*IF(P215="会",'模拟-全程加成'!$J$3+'模拟-全程加成'!$J$4+'模拟-全程加成'!$J$5+('模拟-全程加成'!$I$4+'模拟-全程加成'!$I$5)/系数!$B$4+BG215*10%,IF(P215="命",1,IF(P215="识",0.25,0))),0)</f>
        <v>0</v>
      </c>
      <c r="BC215" s="115" t="b">
        <f ca="1">AND(模拟模式!$R$7="伏明众生",E215=60,F215=20,DA215&lt;5,CZ214&lt;$F$4)</f>
        <v>0</v>
      </c>
      <c r="BD215" s="115">
        <f t="shared" ca="1" si="180"/>
        <v>0</v>
      </c>
      <c r="BE215" s="115" t="b">
        <f t="shared" ca="1" si="181"/>
        <v>0</v>
      </c>
      <c r="BF215" s="47">
        <f ca="1">IF(BC215,4*('模拟-单技能数据'!$D$24+G215*'模拟-单技能数据'!$F$24)*(1+J215)*(1+'模拟-单技能数据'!$J$24)*(1-S215)*(1+$I$3)*(('模拟-全程加成'!$J$3+'模拟-全程加成'!$J$4+'模拟-全程加成'!$J$5+('模拟-全程加成'!$I$4+'模拟-全程加成'!$I$5)/系数!$B$4+BG215*10%)*('模拟-全程加成'!$J$3+'模拟-全程加成'!$J$4+'模拟-全程加成'!$J$5+('模拟-全程加成'!$I$4+'模拟-全程加成'!$I$5)/系数!$B$4+BG215*10%)+(1-('模拟-全程加成'!$J$3+'模拟-全程加成'!$J$4+'模拟-全程加成'!$J$5+('模拟-全程加成'!$I$4+'模拟-全程加成'!$I$5)/系数!$B$4+BG215*10%)-$F$10-$F$11)+F201*0.25),0)*'模拟-单技能数据'!$I$24</f>
        <v>0</v>
      </c>
      <c r="BG215" s="115" t="b">
        <f ca="1">OR(AND(OR(C215="烈日斩",C215="银月斩"),模拟模式!$I$7="净身明礼"),AND(C215="净世破魔击·日",模拟模式!$J$7="洞若观火"),AND(C216="净世破魔击·月",模拟模式!$J$7="洞若观火"),AB215=1)</f>
        <v>1</v>
      </c>
      <c r="BH215" s="115" t="b">
        <f t="shared" ca="1" si="163"/>
        <v>0</v>
      </c>
      <c r="BI215" s="115">
        <f t="shared" ca="1" si="182"/>
        <v>0</v>
      </c>
      <c r="BJ215" s="115" t="b">
        <f t="shared" ca="1" si="193"/>
        <v>0</v>
      </c>
      <c r="BK215" s="115" t="b">
        <f ca="1">AND(C215="驱夜断愁",模拟模式!$P$7="天地诛戮")</f>
        <v>0</v>
      </c>
      <c r="BL215" s="57">
        <f t="shared" ca="1" si="183"/>
        <v>10.775000000000006</v>
      </c>
      <c r="BM215" s="115" t="b">
        <f t="shared" ca="1" si="194"/>
        <v>1</v>
      </c>
      <c r="BN215" s="115" t="b">
        <f ca="1">AND(OR(C215="赤日轮1",C215="赤日轮2",C215="赤日轮3",C215="幽月轮1",C215="幽月轮2",C215="幽月轮3"),AB215=1,模拟模式!$L$7="明光恒照")</f>
        <v>0</v>
      </c>
      <c r="BO215" s="117">
        <f t="shared" ca="1" si="184"/>
        <v>25.387500000000003</v>
      </c>
      <c r="BP215" s="115">
        <f t="shared" ca="1" si="164"/>
        <v>6</v>
      </c>
      <c r="BQ215" s="115" t="b">
        <f>模拟模式!$K$10="2600·水"</f>
        <v>0</v>
      </c>
      <c r="BR215" s="117">
        <f t="shared" si="165"/>
        <v>0</v>
      </c>
      <c r="BS215" s="115">
        <f t="shared" si="166"/>
        <v>0</v>
      </c>
      <c r="BT215" s="115">
        <f t="shared" ca="1" si="167"/>
        <v>0</v>
      </c>
      <c r="BU215" s="115" t="b">
        <f ca="1">AND(模拟模式!$K$10="2300·雷",BT214=0,RAND()&lt;IF(C215="净世破魔击·月",5*0.05*2/3,IF(C215="净世破魔击·日",3*0.05*2/3,0.05*2*2/3)))</f>
        <v>0</v>
      </c>
      <c r="BV215" s="115">
        <f t="shared" ca="1" si="168"/>
        <v>0</v>
      </c>
      <c r="BW215" s="115">
        <f t="shared" ca="1" si="169"/>
        <v>12.104999999999308</v>
      </c>
      <c r="BX215" s="164" t="b">
        <f t="shared" ca="1" si="170"/>
        <v>0</v>
      </c>
      <c r="BY215" s="115">
        <f t="shared" ca="1" si="171"/>
        <v>0</v>
      </c>
      <c r="BZ215" s="115">
        <f>IF(OR(模拟模式!$P$16="10人团",模拟模式!$P$16="25人团"),IF(B215/30&gt;CA214,1,0),0)</f>
        <v>0</v>
      </c>
      <c r="CA215" s="115">
        <f t="shared" si="147"/>
        <v>0</v>
      </c>
      <c r="CB215" s="115">
        <f ca="1">IF(BZ215=1,IF(模拟模式!$P$16="10人团",15,0)+IF(模拟模式!$P$16="25人团",IF(RAND()&lt;0.6,15,0)),MAX(0,CB214-$F$4))</f>
        <v>0</v>
      </c>
      <c r="CC215" s="115" t="b">
        <f t="shared" ca="1" si="195"/>
        <v>0</v>
      </c>
      <c r="CD215" s="115">
        <f>IF(模拟模式!$Q$16="1个",IF(B215/40&gt;CE214,1,0),0)</f>
        <v>0</v>
      </c>
      <c r="CE215" s="115">
        <f t="shared" si="196"/>
        <v>0</v>
      </c>
      <c r="CF215" s="115">
        <f>IF(OR(CD215=1,模拟模式!$Q$16="2个"),20,MAX(0,CF214-$F$4))</f>
        <v>0</v>
      </c>
      <c r="CG215" s="115" t="b">
        <f t="shared" si="197"/>
        <v>0</v>
      </c>
      <c r="CH215" s="115">
        <f t="shared" ca="1" si="172"/>
        <v>22.620000000000005</v>
      </c>
      <c r="CI215" s="115" t="b">
        <f t="shared" ca="1" si="173"/>
        <v>0</v>
      </c>
      <c r="CJ215" s="119">
        <f t="shared" ca="1" si="174"/>
        <v>0.01</v>
      </c>
      <c r="CK215" s="115">
        <f t="shared" ca="1" si="175"/>
        <v>0.61999999999999911</v>
      </c>
      <c r="CL215" s="115" t="b">
        <f ca="1">AND(模拟模式!$S$7="驱夷逐法",OR(AND(C215="净世破魔击·月",E214&gt;59),AND(C215="净世破魔击·日",F214&gt;59)))</f>
        <v>0</v>
      </c>
      <c r="CM215" s="115" t="b">
        <f ca="1">OR(CL215,AND(C215="净世破魔击·日",CL214,RAND()&lt;模拟模式!$U$23))</f>
        <v>0</v>
      </c>
      <c r="CN215" s="115" t="b">
        <f ca="1">IF(模拟模式!$M$7="辉耀红尘",AND(C215="净世破魔击·月",CL215,CV215=0,E214&lt;80),AND(C215="净世破魔击·月",CL215,E214&lt;100))</f>
        <v>0</v>
      </c>
      <c r="CO215" s="115" t="b">
        <f t="shared" ca="1" si="148"/>
        <v>0</v>
      </c>
      <c r="CP215" s="115" t="b">
        <f ca="1">AND(模拟模式!$O$7="用晦而明",OR(C215="净世破魔击·日",C215="净世破魔击·月",C215="驱夜断愁"),AB215)</f>
        <v>1</v>
      </c>
      <c r="CQ215" s="115" t="b">
        <f ca="1">OR(CP215,AND(CP214,RAND()&lt;模拟模式!$U$23))</f>
        <v>1</v>
      </c>
      <c r="CR215" s="115" t="b">
        <f ca="1">AND(模拟模式!$S$7="日月齐光",OR(C215="幽月轮1",C215="幽月轮2",C215="幽月轮3",CR214),NOT(OR(C215="赤日轮1",C215="赤日轮2",C215="赤日轮3")))</f>
        <v>0</v>
      </c>
      <c r="CS215" s="115" t="b">
        <f ca="1">AND(模拟模式!$S$7="日月齐光",OR(C215="赤日轮1",C215="赤日轮2",C215="赤日轮3",CS214),NOT(OR(C215="幽月轮1",C215="幽月轮2",C215="幽月轮3")))</f>
        <v>0</v>
      </c>
      <c r="CT215" s="115">
        <f t="shared" ca="1" si="176"/>
        <v>26.310000000000002</v>
      </c>
      <c r="CU215" s="115" t="b">
        <f ca="1">AND(模拟模式!$K$10="阴阳往极",CT214=0,RAND()&lt;IF(C215="净世破魔击·月",0.0275*7/3,IF(C215="净世破魔击·日",0.0275*3/3,0.0275*2/3)))</f>
        <v>0</v>
      </c>
      <c r="CV215" s="115">
        <f t="shared" ca="1" si="177"/>
        <v>0.38750000000000007</v>
      </c>
      <c r="CW215" s="115">
        <f t="shared" ca="1" si="149"/>
        <v>0</v>
      </c>
      <c r="CX215" s="115">
        <f t="shared" ca="1" si="150"/>
        <v>2.3099999999999996</v>
      </c>
      <c r="CY215" s="115">
        <f ca="1">MAX(IF($C215="驱夜断愁",IF(模拟模式!$R$7="万念俱寂",6,45),CY214-$F$4),0)</f>
        <v>0</v>
      </c>
      <c r="CZ215" s="115">
        <f t="shared" ca="1" si="151"/>
        <v>0</v>
      </c>
      <c r="DA215" s="115">
        <f ca="1">IF(模拟模式!$N$7="日月同辉",IF(DB214=2,0,MIN(6,IF(AND(OR(C215="赤日轮1",C215="赤日轮2",C215="赤日轮3",C215="幽月轮1",C215="幽月轮2",C215="幽月轮3"),AB215=1),DA214+1,DA214))),0)</f>
        <v>2</v>
      </c>
      <c r="DB215" s="115">
        <f t="shared" ca="1" si="152"/>
        <v>0</v>
      </c>
      <c r="DC215" s="115"/>
      <c r="DD215" s="115"/>
      <c r="DE215" s="115"/>
      <c r="DF215" s="115"/>
      <c r="DG215" s="115"/>
      <c r="DH215" s="115"/>
      <c r="DI215" s="115"/>
      <c r="DJ215" s="115"/>
      <c r="DK215" s="115"/>
      <c r="DL215" s="115"/>
      <c r="DM215" s="115"/>
    </row>
    <row r="216" spans="2:117" x14ac:dyDescent="0.2">
      <c r="B216" s="117">
        <f t="shared" si="153"/>
        <v>174.35250000000062</v>
      </c>
      <c r="C216" s="167" t="str">
        <f t="shared" ca="1" si="146"/>
        <v>净世破魔击·日</v>
      </c>
      <c r="D216" s="115">
        <f ca="1">IF(C216="赤日轮1",1,IF(C216="赤日轮2",2,IF(C216="赤日轮3",3,IF(C216="幽月轮1",4,IF(C216="幽月轮2",5,IF(C216="幽月轮3",6,IF(C216="烈日斩",7,IF(C216="银月斩",8,IF(C216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216="净世破魔击·月",17,IF(C216="驱夜断愁",18,0)))))))))))</f>
        <v>9</v>
      </c>
      <c r="E216" s="115">
        <f ca="1">IF(AND(CU216,OR(C216="幽月轮1",C216="幽月轮2",C216="幽月轮3",C216="银月斩",C216="驱夜断愁",C216="净世破魔击·月")),100,MIN(IF(OR(CN216,BE216),0,IF(OR($C216="赤日轮1",$C216="赤日轮2",$C216="赤日轮3"),E215+20+IF(模拟模式!$I$7="日月凌天",4,0)+IF(CR215,20,0),IF($C216="烈日斩",E215+40,IF($C216="驱夜断愁",IF(模拟模式!$R$7="万念俱寂",E215+20,E215+60),IF($C216="净世破魔击·月",IF(OR(DB215&gt;0,CV215&gt;0),100,IF(模拟模式!$M$7="辉耀红尘",E215+20,E215)),IF($C216="净世破魔击·日",E215-100,E215)))))),100))</f>
        <v>0</v>
      </c>
      <c r="F216" s="115">
        <f ca="1">IF(AND(CU216,OR(C216="赤日轮1",C216="赤日轮2",C216="赤日轮3",C216="烈日斩",C216="净世破魔击·日")),100,MIN(IF(CO216,0,IF(OR($C216="幽月轮1",$C216="幽月轮2",$C216="幽月轮3"),F215+20+IF(模拟模式!$I$7="日月凌天",4,0)+IF(CS215,20,0),IF($C216="银月斩",F215+40+IF(模拟模式!$X$12=1,5,0),IF($C216="驱夜断愁",IF(模拟模式!$R$7="万念俱寂",F215+20,F215+60),IF($C216="净世破魔击·月",IF(模拟模式!$M$7="辉耀红尘",F215-80,F215-100),IF(AND(C216="净世破魔击·日",OR(DB215&gt;0,CV215&gt;0)),100,F215)))))),100))</f>
        <v>100</v>
      </c>
      <c r="G216" s="117">
        <f ca="1">('模拟-全程加成'!$E$3+'模拟-全程加成'!$E$4+'模拟-全程加成'!$E$5+('模拟-全程加成'!$C$6-'模拟-全程加成'!$C$3)*系数!$B$9+BS216*23)*(1+'模拟-全程加成'!$F$4+'模拟-全程加成'!$F$5+BJ216*10%+BM216*20%+BP216*4%+CG216*30%)+$F$7*系数!$B$12</f>
        <v>20583.127400000001</v>
      </c>
      <c r="H216" s="45">
        <f ca="1">'模拟-全程加成'!$H$3+'模拟-全程加成'!$H$4+'模拟-全程加成'!$H$5+('模拟-全程加成'!$G$4+'模拟-全程加成'!$G$5+('模拟-全程加成'!$C$6-'模拟-全程加成'!$C$3)*系数!$B$13)/系数!$B$3+LOOKUP(D216,'模拟-单技能数据'!$A$2:$A$19,'模拟-单技能数据'!$K$2:$K$19)+BG216*10%+IF(BV216&gt;0,378,0)</f>
        <v>0.54185145527300216</v>
      </c>
      <c r="I216" s="45">
        <f ca="1">'模拟-全程加成'!$J$3+'模拟-全程加成'!$J$4+'模拟-全程加成'!$J$5+('模拟-全程加成'!$I$4+'模拟-全程加成'!$I$5)/系数!$B$4+LOOKUP(D216,'模拟-单技能数据'!$A$2:$A$19,'模拟-单技能数据'!$L$2:$L$19)+BG216*10%</f>
        <v>2.162482885499879</v>
      </c>
      <c r="J216" s="45">
        <f ca="1">(('模拟-全程加成'!$K$3+'模拟-全程加成'!$K$4+'模拟-全程加成'!$K$5+('模拟-全程加成'!$C$6-'模拟-全程加成'!$C$3)*系数!$B$10+IF(BV216&gt;0,882,0)+IF(BY216&gt;0,1831,0))*(1+'模拟-全程加成'!$L$4+'模拟-全程加成'!$L$5+CC216*20%))/系数!$B$5</f>
        <v>0.69723220422048726</v>
      </c>
      <c r="K216" s="119">
        <f ca="1">LOOKUP(D216,'模拟-单技能数据'!$A$2:$A$19,'模拟-单技能数据'!$J$2:$J$19)+IF(CM216,60%,0)+IF(DB215-DB216&gt;0,30%,0)+IF(OR(AND(OR(C216="赤日轮1",C216="赤日轮2",C216="赤日轮3"),CR216),AND(OR(C216="幽月轮1",C216="幽月轮2",C216="幽月轮3"),CS216)),35%,0)+CJ216</f>
        <v>0.2</v>
      </c>
      <c r="L216" s="119">
        <f ca="1">IF(AND(C216="烈日斩",模拟模式!$X$11=1),10%,0)+IF(AND(C216="驱夜断愁",AB216=1),30%,0)</f>
        <v>0</v>
      </c>
      <c r="M216" s="45">
        <f t="shared" ca="1" si="185"/>
        <v>0.54185145527300216</v>
      </c>
      <c r="N216" s="45">
        <f t="shared" ca="1" si="186"/>
        <v>0.40424854472699789</v>
      </c>
      <c r="O216" s="46">
        <f t="shared" ca="1" si="154"/>
        <v>0.9998576503736587</v>
      </c>
      <c r="P216" s="46" t="str">
        <f t="shared" ca="1" si="155"/>
        <v>命</v>
      </c>
      <c r="Q216" s="45">
        <f t="shared" ca="1" si="156"/>
        <v>1</v>
      </c>
      <c r="R216" s="117">
        <f ca="1">模拟模式!$E$20*(1-IF(模拟模式!$J$19="有",0.15,0))*(1-IF(模拟模式!$K$19="有",0.3,0)-IF(CQ216,0.5,0))</f>
        <v>843.02999999999975</v>
      </c>
      <c r="S216" s="45">
        <f ca="1">R216/(R216+(185*模拟模式!$E$22-16800)*4.08224)</f>
        <v>8.389626085980037E-2</v>
      </c>
      <c r="T216" s="45" t="str">
        <f ca="1">LOOKUP(D216,'模拟-单技能数据'!$A$2:$A$19,'模拟-单技能数据'!$H$2:$H$19)</f>
        <v>阳</v>
      </c>
      <c r="U216" s="119">
        <f t="shared" ca="1" si="187"/>
        <v>0.2</v>
      </c>
      <c r="V216" s="47">
        <f ca="1">(1+L216)*(LOOKUP(D216,'模拟-单技能数据'!$A$2:$A$19,'模拟-单技能数据'!$D$2:$D$19)+G216*LOOKUP(D216,'模拟-单技能数据'!$A$2:$A$19,'模拟-单技能数据'!$F$2:$F$19))*(1+J216)*(1+K216)*(1-S216)*(1+U216)*Q216*LOOKUP(D216,'模拟-单技能数据'!$A$2:$A$19,'模拟-单技能数据'!$I$2:$I$20)</f>
        <v>60398.417085084453</v>
      </c>
      <c r="W216" s="47">
        <f ca="1">LOOKUP(D216,'模拟-单技能数据'!$A$2:$A$19,'模拟-单技能数据'!$G$2:$G$19)*$I$10</f>
        <v>723.0212870940959</v>
      </c>
      <c r="X216" s="47">
        <f t="shared" ca="1" si="157"/>
        <v>8488.2797245609418</v>
      </c>
      <c r="Y216" s="47">
        <f t="shared" ca="1" si="188"/>
        <v>69609.718096739496</v>
      </c>
      <c r="Z216" s="49">
        <f t="shared" ca="1" si="189"/>
        <v>19803249.98606671</v>
      </c>
      <c r="AA216" s="97">
        <f t="shared" ca="1" si="190"/>
        <v>113581.680710438</v>
      </c>
      <c r="AB216" s="115">
        <f ca="1">IF(OR(C216="赤日轮1",C216="赤日轮2",C216="赤日轮3"),IF(RAND()&lt;模拟模式!$Y$17,1,0),IF(OR(C216="幽月轮1",C216="幽月轮2",C216="幽月轮3"),IF(RAND()&lt;模拟模式!$Y$18,1,0),IF(C216="烈日斩",IF(RAND()&lt;模拟模式!$Y$19,1,0),IF(C216="银月斩",IF(RAND()&lt;模拟模式!$Y$20,1,0),IF(C216="驱夜断愁",IF(RAND()&lt;模拟模式!$Y$21,1,0),IF(C216="净世破魔击·日",IF(RAND()&lt;模拟模式!$Y$22,1,0),IF(C216="净世破魔击·月",IF(RAND()&lt;模拟模式!$Y$23,1,0),0)))))))</f>
        <v>1</v>
      </c>
      <c r="AC216" s="115" t="b">
        <f t="shared" ca="1" si="178"/>
        <v>0</v>
      </c>
      <c r="AD216" s="115" t="b">
        <f t="shared" ca="1" si="198"/>
        <v>0</v>
      </c>
      <c r="AE216" s="115">
        <f t="shared" ca="1" si="199"/>
        <v>3</v>
      </c>
      <c r="AF216" s="47">
        <f ca="1">IF(AC216,('模拟-单技能数据'!$D$20+G216*'模拟-单技能数据'!$F$20)*(1+J216)*(1+'模拟-单技能数据'!$J$20)*(1+U216),0)</f>
        <v>0</v>
      </c>
      <c r="AG216" s="61">
        <f t="shared" ca="1" si="191"/>
        <v>0.64185145527300214</v>
      </c>
      <c r="AH216" s="61">
        <f t="shared" ca="1" si="192"/>
        <v>2.2624828854998791</v>
      </c>
      <c r="AI216" s="62">
        <f t="shared" ca="1" si="158"/>
        <v>0.10646445456872211</v>
      </c>
      <c r="AJ216" s="47">
        <f ca="1">IF(AD216,IF(AI216&lt;$F$10,0,IF(AI216&lt;$F$10+$F$11,0.25,IF(AI216&lt;$F$10+$F$11+AG216,AH216,1)))*IF(AF216&gt;0,AF216,IF(AF215&gt;0,AF215,IF(AF214&gt;0,AF214,IF(AF213&gt;0,AF213,IF(AF212&gt;0,AF212,IF(AF211&gt;0,AF211,IF(AF210&gt;0,AF210,IF(AF209&gt;0,AF209,IF(AF208&gt;0,AF208,IF(AF206&gt;0,AF206,IF(AF205&gt;0,AF205,IF(AF204&gt;0,AF204,0)))))))))))),0)*(1-$S216)*'模拟-单技能数据'!$I$20</f>
        <v>0</v>
      </c>
      <c r="AK216" s="115" t="b">
        <f t="shared" ca="1" si="179"/>
        <v>1</v>
      </c>
      <c r="AL216" s="115" t="b">
        <f t="shared" ca="1" si="200"/>
        <v>0</v>
      </c>
      <c r="AM216" s="115">
        <f t="shared" ca="1" si="201"/>
        <v>6</v>
      </c>
      <c r="AN216" s="47">
        <f ca="1">IF(AK216,('模拟-单技能数据'!$D$21+G216*'模拟-单技能数据'!$F$21)*(1+J216)*(1+'模拟-单技能数据'!$J$21)*(1+U216),0)</f>
        <v>12136.56601728573</v>
      </c>
      <c r="AO216" s="61">
        <f ca="1">IF(AN216&gt;0,M216-'模拟-单技能数据'!$K$10,AO215)</f>
        <v>0.42185145527300216</v>
      </c>
      <c r="AP216" s="61">
        <f ca="1">IF(AN216&gt;0,I216-'模拟-单技能数据'!$L$10,AP215)</f>
        <v>2.162482885499879</v>
      </c>
      <c r="AQ216" s="63">
        <f t="shared" ca="1" si="159"/>
        <v>0.64035869701995218</v>
      </c>
      <c r="AR216" s="64">
        <f ca="1">IF(AL216,IF(AQ216&lt;$F$10,0,IF(AQ216&lt;$F$10+$F$11,0.25,IF(AQ216&lt;$F$10+$F$11+AO216,AP216,1)))*IF(AN216&gt;0,AN216,IF(AN215&gt;0,AN215,IF(AN214&gt;0,AN214,IF(AN213&gt;0,AN213,IF(AN212&gt;0,AN212,IF(AN211&gt;0,AN211,IF(AN210&gt;0,AN210,IF(AN209&gt;0,AN209,IF(AN208&gt;0,AN208,IF(AN206&gt;0,AN206,IF(AN205&gt;0,AN205,IF(AN204&gt;0,AN204,0)))))))))))),0)*(1-$S216)*'模拟-单技能数据'!$I$21</f>
        <v>0</v>
      </c>
      <c r="AS216" s="61">
        <f ca="1">IF(OR(C216="净世破魔击·日",C216="净世破魔击·月"),M216-'模拟-单技能数据'!$K$10,0)</f>
        <v>0.42185145527300216</v>
      </c>
      <c r="AT216" s="61">
        <f ca="1">IF(OR(C216="净世破魔击·日",C216="净世破魔击·月"),I216-'模拟-单技能数据'!$L$10,0)</f>
        <v>2.162482885499879</v>
      </c>
      <c r="AU216" s="62">
        <f t="shared" ca="1" si="160"/>
        <v>0.55500978961900793</v>
      </c>
      <c r="AV216" s="64">
        <f ca="1">IF(AS216&gt;0,('模拟-单技能数据'!$D$22+G216*'模拟-单技能数据'!$F$22)*(1+J216)*(1-S216)*IF(AU216&lt;$F$10,0,IF(AU216&lt;$F$10+$F$11,0.25,IF(AU216&lt;$F$10+$F$11+AS216,AT216,1)))*(1+U216),0)*'模拟-单技能数据'!$I$22</f>
        <v>8488.2797245609418</v>
      </c>
      <c r="AW216" s="108">
        <f t="shared" ca="1" si="161"/>
        <v>18.155000000000001</v>
      </c>
      <c r="AX216" s="108" t="b">
        <f ca="1">AND(模拟模式!$P$10="有",AW215=0,RAND()&lt;IF(C216="净世破魔击·月",0.1*8/3,IF(C216="净世破魔击·日",0.1*4/3,0.1*2/3)))</f>
        <v>0</v>
      </c>
      <c r="AY216" s="47">
        <f ca="1">IF(AX216,(18+G216*0.722)*(1+J216)*(1-S216)*(1+$I$4)*IF(P216="会",'模拟-全程加成'!$J$3+'模拟-全程加成'!$J$4+'模拟-全程加成'!$J$5+('模拟-全程加成'!$I$4+'模拟-全程加成'!$I$5)/系数!$B$4+BG216*10%,IF(P216="命",1,IF(P216="识",0.25,0))),0)</f>
        <v>0</v>
      </c>
      <c r="AZ216" s="108">
        <f t="shared" si="162"/>
        <v>8.0075000000000074</v>
      </c>
      <c r="BA216" s="108" t="b">
        <f>AND(模拟模式!$Q$10="有",AZ215=0)</f>
        <v>0</v>
      </c>
      <c r="BB216" s="140">
        <f>IF(BA216,(0+G216*0.287)*(1+J216)*(1-S216)*(1+$I$4)*IF(P216="会",'模拟-全程加成'!$J$3+'模拟-全程加成'!$J$4+'模拟-全程加成'!$J$5+('模拟-全程加成'!$I$4+'模拟-全程加成'!$I$5)/系数!$B$4+BG216*10%,IF(P216="命",1,IF(P216="识",0.25,0))),0)</f>
        <v>0</v>
      </c>
      <c r="BC216" s="115" t="b">
        <f ca="1">AND(模拟模式!$R$7="伏明众生",E216=60,F216=20,DA216&lt;5,CZ215&lt;$F$4)</f>
        <v>0</v>
      </c>
      <c r="BD216" s="115">
        <f t="shared" ca="1" si="180"/>
        <v>0</v>
      </c>
      <c r="BE216" s="115" t="b">
        <f t="shared" ca="1" si="181"/>
        <v>0</v>
      </c>
      <c r="BF216" s="47">
        <f ca="1">IF(BC216,4*('模拟-单技能数据'!$D$24+G216*'模拟-单技能数据'!$F$24)*(1+J216)*(1+'模拟-单技能数据'!$J$24)*(1-S216)*(1+$I$3)*(('模拟-全程加成'!$J$3+'模拟-全程加成'!$J$4+'模拟-全程加成'!$J$5+('模拟-全程加成'!$I$4+'模拟-全程加成'!$I$5)/系数!$B$4+BG216*10%)*('模拟-全程加成'!$J$3+'模拟-全程加成'!$J$4+'模拟-全程加成'!$J$5+('模拟-全程加成'!$I$4+'模拟-全程加成'!$I$5)/系数!$B$4+BG216*10%)+(1-('模拟-全程加成'!$J$3+'模拟-全程加成'!$J$4+'模拟-全程加成'!$J$5+('模拟-全程加成'!$I$4+'模拟-全程加成'!$I$5)/系数!$B$4+BG216*10%)-$F$10-$F$11)+F202*0.25),0)*'模拟-单技能数据'!$I$24</f>
        <v>0</v>
      </c>
      <c r="BG216" s="115" t="b">
        <f ca="1">OR(AND(OR(C216="烈日斩",C216="银月斩"),模拟模式!$I$7="净身明礼"),AND(C216="净世破魔击·日",模拟模式!$J$7="洞若观火"),AND(C217="净世破魔击·月",模拟模式!$J$7="洞若观火"),AB216=1)</f>
        <v>1</v>
      </c>
      <c r="BH216" s="115" t="b">
        <f t="shared" ca="1" si="163"/>
        <v>0</v>
      </c>
      <c r="BI216" s="115">
        <f t="shared" ca="1" si="182"/>
        <v>0</v>
      </c>
      <c r="BJ216" s="115" t="b">
        <f t="shared" ca="1" si="193"/>
        <v>0</v>
      </c>
      <c r="BK216" s="115" t="b">
        <f ca="1">AND(C216="驱夜断愁",模拟模式!$P$7="天地诛戮")</f>
        <v>0</v>
      </c>
      <c r="BL216" s="57">
        <f t="shared" ca="1" si="183"/>
        <v>9.8525000000000063</v>
      </c>
      <c r="BM216" s="115" t="b">
        <f t="shared" ca="1" si="194"/>
        <v>1</v>
      </c>
      <c r="BN216" s="115" t="b">
        <f ca="1">AND(OR(C216="赤日轮1",C216="赤日轮2",C216="赤日轮3",C216="幽月轮1",C216="幽月轮2",C216="幽月轮3"),AB216=1,模拟模式!$L$7="明光恒照")</f>
        <v>0</v>
      </c>
      <c r="BO216" s="117">
        <f t="shared" ca="1" si="184"/>
        <v>24.465000000000003</v>
      </c>
      <c r="BP216" s="115">
        <f t="shared" ca="1" si="164"/>
        <v>6</v>
      </c>
      <c r="BQ216" s="115" t="b">
        <f>模拟模式!$K$10="2600·水"</f>
        <v>0</v>
      </c>
      <c r="BR216" s="117">
        <f t="shared" si="165"/>
        <v>0</v>
      </c>
      <c r="BS216" s="115">
        <f t="shared" si="166"/>
        <v>0</v>
      </c>
      <c r="BT216" s="115">
        <f t="shared" ca="1" si="167"/>
        <v>0</v>
      </c>
      <c r="BU216" s="115" t="b">
        <f ca="1">AND(模拟模式!$K$10="2300·雷",BT215=0,RAND()&lt;IF(C216="净世破魔击·月",5*0.05*2/3,IF(C216="净世破魔击·日",3*0.05*2/3,0.05*2*2/3)))</f>
        <v>0</v>
      </c>
      <c r="BV216" s="115">
        <f t="shared" ca="1" si="168"/>
        <v>0</v>
      </c>
      <c r="BW216" s="115">
        <f t="shared" ca="1" si="169"/>
        <v>11.182499999999308</v>
      </c>
      <c r="BX216" s="164" t="b">
        <f t="shared" ca="1" si="170"/>
        <v>0</v>
      </c>
      <c r="BY216" s="115">
        <f t="shared" ca="1" si="171"/>
        <v>0</v>
      </c>
      <c r="BZ216" s="115">
        <f>IF(OR(模拟模式!$P$16="10人团",模拟模式!$P$16="25人团"),IF(B216/30&gt;CA215,1,0),0)</f>
        <v>0</v>
      </c>
      <c r="CA216" s="115">
        <f t="shared" si="147"/>
        <v>0</v>
      </c>
      <c r="CB216" s="115">
        <f ca="1">IF(BZ216=1,IF(模拟模式!$P$16="10人团",15,0)+IF(模拟模式!$P$16="25人团",IF(RAND()&lt;0.6,15,0)),MAX(0,CB215-$F$4))</f>
        <v>0</v>
      </c>
      <c r="CC216" s="115" t="b">
        <f t="shared" ca="1" si="195"/>
        <v>0</v>
      </c>
      <c r="CD216" s="115">
        <f>IF(模拟模式!$Q$16="1个",IF(B216/40&gt;CE215,1,0),0)</f>
        <v>0</v>
      </c>
      <c r="CE216" s="115">
        <f t="shared" si="196"/>
        <v>0</v>
      </c>
      <c r="CF216" s="115">
        <f>IF(OR(CD216=1,模拟模式!$Q$16="2个"),20,MAX(0,CF215-$F$4))</f>
        <v>0</v>
      </c>
      <c r="CG216" s="115" t="b">
        <f t="shared" si="197"/>
        <v>0</v>
      </c>
      <c r="CH216" s="115">
        <f t="shared" ca="1" si="172"/>
        <v>21.697500000000005</v>
      </c>
      <c r="CI216" s="115" t="b">
        <f t="shared" ca="1" si="173"/>
        <v>0</v>
      </c>
      <c r="CJ216" s="119">
        <f t="shared" ca="1" si="174"/>
        <v>0</v>
      </c>
      <c r="CK216" s="115">
        <f t="shared" ca="1" si="175"/>
        <v>0</v>
      </c>
      <c r="CL216" s="115" t="b">
        <f ca="1">AND(模拟模式!$S$7="驱夷逐法",OR(AND(C216="净世破魔击·月",E215&gt;59),AND(C216="净世破魔击·日",F215&gt;59)))</f>
        <v>0</v>
      </c>
      <c r="CM216" s="115" t="b">
        <f ca="1">OR(CL216,AND(C216="净世破魔击·日",CL215,RAND()&lt;模拟模式!$U$23))</f>
        <v>0</v>
      </c>
      <c r="CN216" s="115" t="b">
        <f ca="1">IF(模拟模式!$M$7="辉耀红尘",AND(C216="净世破魔击·月",CL216,CV216=0,E215&lt;80),AND(C216="净世破魔击·月",CL216,E215&lt;100))</f>
        <v>0</v>
      </c>
      <c r="CO216" s="115" t="b">
        <f t="shared" ca="1" si="148"/>
        <v>0</v>
      </c>
      <c r="CP216" s="115" t="b">
        <f ca="1">AND(模拟模式!$O$7="用晦而明",OR(C216="净世破魔击·日",C216="净世破魔击·月",C216="驱夜断愁"),AB216)</f>
        <v>1</v>
      </c>
      <c r="CQ216" s="115" t="b">
        <f ca="1">OR(CP216,AND(CP215,RAND()&lt;模拟模式!$U$23))</f>
        <v>1</v>
      </c>
      <c r="CR216" s="115" t="b">
        <f ca="1">AND(模拟模式!$S$7="日月齐光",OR(C216="幽月轮1",C216="幽月轮2",C216="幽月轮3",CR215),NOT(OR(C216="赤日轮1",C216="赤日轮2",C216="赤日轮3")))</f>
        <v>0</v>
      </c>
      <c r="CS216" s="115" t="b">
        <f ca="1">AND(模拟模式!$S$7="日月齐光",OR(C216="赤日轮1",C216="赤日轮2",C216="赤日轮3",CS215),NOT(OR(C216="幽月轮1",C216="幽月轮2",C216="幽月轮3")))</f>
        <v>0</v>
      </c>
      <c r="CT216" s="115">
        <f t="shared" ca="1" si="176"/>
        <v>25.387500000000003</v>
      </c>
      <c r="CU216" s="115" t="b">
        <f ca="1">AND(模拟模式!$K$10="阴阳往极",CT215=0,RAND()&lt;IF(C216="净世破魔击·月",0.0275*7/3,IF(C216="净世破魔击·日",0.0275*3/3,0.0275*2/3)))</f>
        <v>0</v>
      </c>
      <c r="CV216" s="115">
        <f t="shared" ca="1" si="177"/>
        <v>0</v>
      </c>
      <c r="CW216" s="115">
        <f t="shared" ca="1" si="149"/>
        <v>0</v>
      </c>
      <c r="CX216" s="115">
        <f t="shared" ca="1" si="150"/>
        <v>1.3874999999999997</v>
      </c>
      <c r="CY216" s="115">
        <f ca="1">MAX(IF($C216="驱夜断愁",IF(模拟模式!$R$7="万念俱寂",6,45),CY215-$F$4),0)</f>
        <v>0</v>
      </c>
      <c r="CZ216" s="115">
        <f t="shared" ca="1" si="151"/>
        <v>0</v>
      </c>
      <c r="DA216" s="115">
        <f ca="1">IF(模拟模式!$N$7="日月同辉",IF(DB215=2,0,MIN(6,IF(AND(OR(C216="赤日轮1",C216="赤日轮2",C216="赤日轮3",C216="幽月轮1",C216="幽月轮2",C216="幽月轮3"),AB216=1),DA215+1,DA215))),0)</f>
        <v>2</v>
      </c>
      <c r="DB216" s="115">
        <f t="shared" ca="1" si="152"/>
        <v>0</v>
      </c>
      <c r="DC216" s="115"/>
      <c r="DD216" s="115"/>
      <c r="DE216" s="115"/>
      <c r="DF216" s="115"/>
      <c r="DG216" s="115"/>
      <c r="DH216" s="115"/>
      <c r="DI216" s="115"/>
      <c r="DJ216" s="115"/>
      <c r="DK216" s="115"/>
      <c r="DL216" s="115"/>
      <c r="DM216" s="115"/>
    </row>
    <row r="217" spans="2:117" x14ac:dyDescent="0.2">
      <c r="B217" s="117">
        <f t="shared" si="153"/>
        <v>175.27500000000063</v>
      </c>
      <c r="C217" s="167" t="str">
        <f t="shared" ca="1" si="146"/>
        <v>净世破魔击·月</v>
      </c>
      <c r="D217" s="115">
        <f ca="1">IF(C217="赤日轮1",1,IF(C217="赤日轮2",2,IF(C217="赤日轮3",3,IF(C217="幽月轮1",4,IF(C217="幽月轮2",5,IF(C217="幽月轮3",6,IF(C217="烈日斩",7,IF(C217="银月斩",8,IF(C217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217="净世破魔击·月",17,IF(C217="驱夜断愁",18,0)))))))))))</f>
        <v>17</v>
      </c>
      <c r="E217" s="115">
        <f ca="1">IF(AND(CU217,OR(C217="幽月轮1",C217="幽月轮2",C217="幽月轮3",C217="银月斩",C217="驱夜断愁",C217="净世破魔击·月")),100,MIN(IF(OR(CN217,BE217),0,IF(OR($C217="赤日轮1",$C217="赤日轮2",$C217="赤日轮3"),E216+20+IF(模拟模式!$I$7="日月凌天",4,0)+IF(CR216,20,0),IF($C217="烈日斩",E216+40,IF($C217="驱夜断愁",IF(模拟模式!$R$7="万念俱寂",E216+20,E216+60),IF($C217="净世破魔击·月",IF(OR(DB216&gt;0,CV216&gt;0),100,IF(模拟模式!$M$7="辉耀红尘",E216+20,E216)),IF($C217="净世破魔击·日",E216-100,E216)))))),100))</f>
        <v>20</v>
      </c>
      <c r="F217" s="115">
        <f ca="1">IF(AND(CU217,OR(C217="赤日轮1",C217="赤日轮2",C217="赤日轮3",C217="烈日斩",C217="净世破魔击·日")),100,MIN(IF(CO217,0,IF(OR($C217="幽月轮1",$C217="幽月轮2",$C217="幽月轮3"),F216+20+IF(模拟模式!$I$7="日月凌天",4,0)+IF(CS216,20,0),IF($C217="银月斩",F216+40+IF(模拟模式!$X$12=1,5,0),IF($C217="驱夜断愁",IF(模拟模式!$R$7="万念俱寂",F216+20,F216+60),IF($C217="净世破魔击·月",IF(模拟模式!$M$7="辉耀红尘",F216-80,F216-100),IF(AND(C217="净世破魔击·日",OR(DB216&gt;0,CV216&gt;0)),100,F216)))))),100))</f>
        <v>20</v>
      </c>
      <c r="G217" s="117">
        <f ca="1">('模拟-全程加成'!$E$3+'模拟-全程加成'!$E$4+'模拟-全程加成'!$E$5+('模拟-全程加成'!$C$6-'模拟-全程加成'!$C$3)*系数!$B$9+BS217*23)*(1+'模拟-全程加成'!$F$4+'模拟-全程加成'!$F$5+BJ217*10%+BM217*20%+BP217*4%+CG217*30%)+$F$7*系数!$B$12</f>
        <v>20583.127400000001</v>
      </c>
      <c r="H217" s="45">
        <f ca="1">'模拟-全程加成'!$H$3+'模拟-全程加成'!$H$4+'模拟-全程加成'!$H$5+('模拟-全程加成'!$G$4+'模拟-全程加成'!$G$5+('模拟-全程加成'!$C$6-'模拟-全程加成'!$C$3)*系数!$B$13)/系数!$B$3+LOOKUP(D217,'模拟-单技能数据'!$A$2:$A$19,'模拟-单技能数据'!$K$2:$K$19)+BG217*10%+IF(BV217&gt;0,378,0)</f>
        <v>0.54185145527300216</v>
      </c>
      <c r="I217" s="45">
        <f ca="1">'模拟-全程加成'!$J$3+'模拟-全程加成'!$J$4+'模拟-全程加成'!$J$5+('模拟-全程加成'!$I$4+'模拟-全程加成'!$I$5)/系数!$B$4+LOOKUP(D217,'模拟-单技能数据'!$A$2:$A$19,'模拟-单技能数据'!$L$2:$L$19)+BG217*10%</f>
        <v>2.162482885499879</v>
      </c>
      <c r="J217" s="45">
        <f ca="1">(('模拟-全程加成'!$K$3+'模拟-全程加成'!$K$4+'模拟-全程加成'!$K$5+('模拟-全程加成'!$C$6-'模拟-全程加成'!$C$3)*系数!$B$10+IF(BV217&gt;0,882,0)+IF(BY217&gt;0,1831,0))*(1+'模拟-全程加成'!$L$4+'模拟-全程加成'!$L$5+CC217*20%))/系数!$B$5</f>
        <v>0.69723220422048726</v>
      </c>
      <c r="K217" s="119">
        <f ca="1">LOOKUP(D217,'模拟-单技能数据'!$A$2:$A$19,'模拟-单技能数据'!$J$2:$J$19)+IF(CM217,60%,0)+IF(DB216-DB217&gt;0,30%,0)+IF(OR(AND(OR(C217="赤日轮1",C217="赤日轮2",C217="赤日轮3"),CR217),AND(OR(C217="幽月轮1",C217="幽月轮2",C217="幽月轮3"),CS217)),35%,0)+CJ217</f>
        <v>0.2</v>
      </c>
      <c r="L217" s="119">
        <f ca="1">IF(AND(C217="烈日斩",模拟模式!$X$11=1),10%,0)+IF(AND(C217="驱夜断愁",AB217=1),30%,0)</f>
        <v>0</v>
      </c>
      <c r="M217" s="45">
        <f t="shared" ca="1" si="185"/>
        <v>0.54185145527300216</v>
      </c>
      <c r="N217" s="45">
        <f t="shared" ca="1" si="186"/>
        <v>0.40424854472699789</v>
      </c>
      <c r="O217" s="46">
        <f t="shared" ca="1" si="154"/>
        <v>0.10662203295406336</v>
      </c>
      <c r="P217" s="46" t="str">
        <f t="shared" ca="1" si="155"/>
        <v>会</v>
      </c>
      <c r="Q217" s="45">
        <f t="shared" ca="1" si="156"/>
        <v>2.162482885499879</v>
      </c>
      <c r="R217" s="117">
        <f ca="1">模拟模式!$E$20*(1-IF(模拟模式!$J$19="有",0.15,0))*(1-IF(模拟模式!$K$19="有",0.3,0)-IF(CQ217,0.5,0))</f>
        <v>843.02999999999975</v>
      </c>
      <c r="S217" s="45">
        <f ca="1">R217/(R217+(185*模拟模式!$E$22-16800)*4.08224)</f>
        <v>8.389626085980037E-2</v>
      </c>
      <c r="T217" s="45" t="str">
        <f ca="1">LOOKUP(D217,'模拟-单技能数据'!$A$2:$A$19,'模拟-单技能数据'!$H$2:$H$19)</f>
        <v>阴</v>
      </c>
      <c r="U217" s="119">
        <f t="shared" ca="1" si="187"/>
        <v>0.08</v>
      </c>
      <c r="V217" s="47">
        <f ca="1">(1+L217)*(LOOKUP(D217,'模拟-单技能数据'!$A$2:$A$19,'模拟-单技能数据'!$D$2:$D$19)+G217*LOOKUP(D217,'模拟-单技能数据'!$A$2:$A$19,'模拟-单技能数据'!$F$2:$F$19))*(1+J217)*(1+K217)*(1-S217)*(1+U217)*Q217*LOOKUP(D217,'模拟-单技能数据'!$A$2:$A$19,'模拟-单技能数据'!$I$2:$I$20)</f>
        <v>116578.90677476654</v>
      </c>
      <c r="W217" s="47">
        <f ca="1">LOOKUP(D217,'模拟-单技能数据'!$A$2:$A$19,'模拟-单技能数据'!$G$2:$G$19)*$I$10</f>
        <v>361.51064354704795</v>
      </c>
      <c r="X217" s="47">
        <f t="shared" ca="1" si="157"/>
        <v>35172.046654277874</v>
      </c>
      <c r="Y217" s="47">
        <f t="shared" ca="1" si="188"/>
        <v>152112.46407259145</v>
      </c>
      <c r="Z217" s="49">
        <f t="shared" ca="1" si="189"/>
        <v>19955362.450139303</v>
      </c>
      <c r="AA217" s="97">
        <f t="shared" ca="1" si="190"/>
        <v>113851.73270654246</v>
      </c>
      <c r="AB217" s="115">
        <f ca="1">IF(OR(C217="赤日轮1",C217="赤日轮2",C217="赤日轮3"),IF(RAND()&lt;模拟模式!$Y$17,1,0),IF(OR(C217="幽月轮1",C217="幽月轮2",C217="幽月轮3"),IF(RAND()&lt;模拟模式!$Y$18,1,0),IF(C217="烈日斩",IF(RAND()&lt;模拟模式!$Y$19,1,0),IF(C217="银月斩",IF(RAND()&lt;模拟模式!$Y$20,1,0),IF(C217="驱夜断愁",IF(RAND()&lt;模拟模式!$Y$21,1,0),IF(C217="净世破魔击·日",IF(RAND()&lt;模拟模式!$Y$22,1,0),IF(C217="净世破魔击·月",IF(RAND()&lt;模拟模式!$Y$23,1,0),0)))))))</f>
        <v>1</v>
      </c>
      <c r="AC217" s="115" t="b">
        <f t="shared" ca="1" si="178"/>
        <v>0</v>
      </c>
      <c r="AD217" s="115" t="b">
        <f t="shared" ca="1" si="198"/>
        <v>1</v>
      </c>
      <c r="AE217" s="115">
        <f t="shared" ca="1" si="199"/>
        <v>2</v>
      </c>
      <c r="AF217" s="47">
        <f ca="1">IF(AC217,('模拟-单技能数据'!$D$20+G217*'模拟-单技能数据'!$F$20)*(1+J217)*(1+'模拟-单技能数据'!$J$20)*(1+U217),0)</f>
        <v>0</v>
      </c>
      <c r="AG217" s="61">
        <f t="shared" ca="1" si="191"/>
        <v>0.64185145527300214</v>
      </c>
      <c r="AH217" s="61">
        <f t="shared" ca="1" si="192"/>
        <v>2.2624828854998791</v>
      </c>
      <c r="AI217" s="62">
        <f t="shared" ca="1" si="158"/>
        <v>0.31472053559318736</v>
      </c>
      <c r="AJ217" s="47">
        <f ca="1">IF(AD217,IF(AI217&lt;$F$10,0,IF(AI217&lt;$F$10+$F$11,0.25,IF(AI217&lt;$F$10+$F$11+AG217,AH217,1)))*IF(AF217&gt;0,AF217,IF(AF216&gt;0,AF216,IF(AF215&gt;0,AF215,IF(AF214&gt;0,AF214,IF(AF213&gt;0,AF213,IF(AF212&gt;0,AF212,IF(AF211&gt;0,AF211,IF(AF210&gt;0,AF210,IF(AF209&gt;0,AF209,IF(AF207&gt;0,AF207,IF(AF206&gt;0,AF206,IF(AF205&gt;0,AF205,0)))))))))))),0)*(1-$S217)*'模拟-单技能数据'!$I$20</f>
        <v>9218.9345386263849</v>
      </c>
      <c r="AK217" s="115" t="b">
        <f t="shared" ca="1" si="179"/>
        <v>0</v>
      </c>
      <c r="AL217" s="115" t="b">
        <f t="shared" ca="1" si="200"/>
        <v>1</v>
      </c>
      <c r="AM217" s="115">
        <f t="shared" ca="1" si="201"/>
        <v>5</v>
      </c>
      <c r="AN217" s="47">
        <f ca="1">IF(AK217,('模拟-单技能数据'!$D$21+G217*'模拟-单技能数据'!$F$21)*(1+J217)*(1+'模拟-单技能数据'!$J$21)*(1+U217),0)</f>
        <v>0</v>
      </c>
      <c r="AO217" s="61">
        <f ca="1">IF(AN217&gt;0,M217-'模拟-单技能数据'!$K$10,AO216)</f>
        <v>0.42185145527300216</v>
      </c>
      <c r="AP217" s="61">
        <f ca="1">IF(AN217&gt;0,I217-'模拟-单技能数据'!$L$10,AP216)</f>
        <v>2.162482885499879</v>
      </c>
      <c r="AQ217" s="63">
        <f t="shared" ca="1" si="159"/>
        <v>0.36734851531968238</v>
      </c>
      <c r="AR217" s="64">
        <f ca="1">IF(AL217,IF(AQ217&lt;$F$10,0,IF(AQ217&lt;$F$10+$F$11,0.25,IF(AQ217&lt;$F$10+$F$11+AO217,AP217,1)))*IF(AN217&gt;0,AN217,IF(AN216&gt;0,AN216,IF(AN215&gt;0,AN215,IF(AN214&gt;0,AN214,IF(AN213&gt;0,AN213,IF(AN212&gt;0,AN212,IF(AN211&gt;0,AN211,IF(AN210&gt;0,AN210,IF(AN209&gt;0,AN209,IF(AN207&gt;0,AN207,IF(AN206&gt;0,AN206,IF(AN205&gt;0,AN205,0)))))))))))),0)*(1-$S217)*'模拟-单技能数据'!$I$21</f>
        <v>24043.249177625272</v>
      </c>
      <c r="AS217" s="61">
        <f ca="1">IF(OR(C217="净世破魔击·日",C217="净世破魔击·月"),M217-'模拟-单技能数据'!$K$10,0)</f>
        <v>0.42185145527300216</v>
      </c>
      <c r="AT217" s="61">
        <f ca="1">IF(OR(C217="净世破魔击·日",C217="净世破魔击·月"),I217-'模拟-单技能数据'!$L$10,0)</f>
        <v>2.162482885499879</v>
      </c>
      <c r="AU217" s="62">
        <f t="shared" ca="1" si="160"/>
        <v>3.9257412240766287E-2</v>
      </c>
      <c r="AV217" s="64">
        <f ca="1">IF(AS217&gt;0,('模拟-单技能数据'!$D$22+G217*'模拟-单技能数据'!$F$22)*(1+J217)*(1-S217)*IF(AU217&lt;$F$10,0,IF(AU217&lt;$F$10+$F$11,0.25,IF(AU217&lt;$F$10+$F$11+AS217,AT217,1)))*(1+U217),0)*'模拟-单技能数据'!$I$22</f>
        <v>1909.8629380262123</v>
      </c>
      <c r="AW217" s="108">
        <f t="shared" ca="1" si="161"/>
        <v>17.232500000000002</v>
      </c>
      <c r="AX217" s="108" t="b">
        <f ca="1">AND(模拟模式!$P$10="有",AW216=0,RAND()&lt;IF(C217="净世破魔击·月",0.1*8/3,IF(C217="净世破魔击·日",0.1*4/3,0.1*2/3)))</f>
        <v>0</v>
      </c>
      <c r="AY217" s="47">
        <f ca="1">IF(AX217,(18+G217*0.722)*(1+J217)*(1-S217)*(1+$I$4)*IF(P217="会",'模拟-全程加成'!$J$3+'模拟-全程加成'!$J$4+'模拟-全程加成'!$J$5+('模拟-全程加成'!$I$4+'模拟-全程加成'!$I$5)/系数!$B$4+BG217*10%,IF(P217="命",1,IF(P217="识",0.25,0))),0)</f>
        <v>0</v>
      </c>
      <c r="AZ217" s="108">
        <f t="shared" si="162"/>
        <v>7.0850000000000071</v>
      </c>
      <c r="BA217" s="108" t="b">
        <f>AND(模拟模式!$Q$10="有",AZ216=0)</f>
        <v>0</v>
      </c>
      <c r="BB217" s="140">
        <f>IF(BA217,(0+G217*0.287)*(1+J217)*(1-S217)*(1+$I$4)*IF(P217="会",'模拟-全程加成'!$J$3+'模拟-全程加成'!$J$4+'模拟-全程加成'!$J$5+('模拟-全程加成'!$I$4+'模拟-全程加成'!$I$5)/系数!$B$4+BG217*10%,IF(P217="命",1,IF(P217="识",0.25,0))),0)</f>
        <v>0</v>
      </c>
      <c r="BC217" s="115" t="b">
        <f ca="1">AND(模拟模式!$R$7="伏明众生",E217=60,F217=20,DA217&lt;5,CZ216&lt;$F$4)</f>
        <v>0</v>
      </c>
      <c r="BD217" s="115">
        <f t="shared" ca="1" si="180"/>
        <v>0</v>
      </c>
      <c r="BE217" s="115" t="b">
        <f t="shared" ca="1" si="181"/>
        <v>0</v>
      </c>
      <c r="BF217" s="47">
        <f ca="1">IF(BC217,4*('模拟-单技能数据'!$D$24+G217*'模拟-单技能数据'!$F$24)*(1+J217)*(1+'模拟-单技能数据'!$J$24)*(1-S217)*(1+$I$3)*(('模拟-全程加成'!$J$3+'模拟-全程加成'!$J$4+'模拟-全程加成'!$J$5+('模拟-全程加成'!$I$4+'模拟-全程加成'!$I$5)/系数!$B$4+BG217*10%)*('模拟-全程加成'!$J$3+'模拟-全程加成'!$J$4+'模拟-全程加成'!$J$5+('模拟-全程加成'!$I$4+'模拟-全程加成'!$I$5)/系数!$B$4+BG217*10%)+(1-('模拟-全程加成'!$J$3+'模拟-全程加成'!$J$4+'模拟-全程加成'!$J$5+('模拟-全程加成'!$I$4+'模拟-全程加成'!$I$5)/系数!$B$4+BG217*10%)-$F$10-$F$11)+F203*0.25),0)*'模拟-单技能数据'!$I$24</f>
        <v>0</v>
      </c>
      <c r="BG217" s="115" t="b">
        <f ca="1">OR(AND(OR(C217="烈日斩",C217="银月斩"),模拟模式!$I$7="净身明礼"),AND(C217="净世破魔击·日",模拟模式!$J$7="洞若观火"),AND(C218="净世破魔击·月",模拟模式!$J$7="洞若观火"),AB217=1)</f>
        <v>1</v>
      </c>
      <c r="BH217" s="115" t="b">
        <f t="shared" ca="1" si="163"/>
        <v>0</v>
      </c>
      <c r="BI217" s="115">
        <f t="shared" ca="1" si="182"/>
        <v>0</v>
      </c>
      <c r="BJ217" s="115" t="b">
        <f t="shared" ca="1" si="193"/>
        <v>0</v>
      </c>
      <c r="BK217" s="115" t="b">
        <f ca="1">AND(C217="驱夜断愁",模拟模式!$P$7="天地诛戮")</f>
        <v>0</v>
      </c>
      <c r="BL217" s="57">
        <f t="shared" ca="1" si="183"/>
        <v>8.9300000000000068</v>
      </c>
      <c r="BM217" s="115" t="b">
        <f t="shared" ca="1" si="194"/>
        <v>1</v>
      </c>
      <c r="BN217" s="115" t="b">
        <f ca="1">AND(OR(C217="赤日轮1",C217="赤日轮2",C217="赤日轮3",C217="幽月轮1",C217="幽月轮2",C217="幽月轮3"),AB217=1,模拟模式!$L$7="明光恒照")</f>
        <v>0</v>
      </c>
      <c r="BO217" s="117">
        <f t="shared" ca="1" si="184"/>
        <v>23.542500000000004</v>
      </c>
      <c r="BP217" s="115">
        <f t="shared" ca="1" si="164"/>
        <v>6</v>
      </c>
      <c r="BQ217" s="115" t="b">
        <f>模拟模式!$K$10="2600·水"</f>
        <v>0</v>
      </c>
      <c r="BR217" s="117">
        <f t="shared" si="165"/>
        <v>0</v>
      </c>
      <c r="BS217" s="115">
        <f t="shared" si="166"/>
        <v>0</v>
      </c>
      <c r="BT217" s="115">
        <f t="shared" ca="1" si="167"/>
        <v>0</v>
      </c>
      <c r="BU217" s="115" t="b">
        <f ca="1">AND(模拟模式!$K$10="2300·雷",BT216=0,RAND()&lt;IF(C217="净世破魔击·月",5*0.05*2/3,IF(C217="净世破魔击·日",3*0.05*2/3,0.05*2*2/3)))</f>
        <v>0</v>
      </c>
      <c r="BV217" s="115">
        <f t="shared" ca="1" si="168"/>
        <v>0</v>
      </c>
      <c r="BW217" s="115">
        <f t="shared" ca="1" si="169"/>
        <v>10.259999999999309</v>
      </c>
      <c r="BX217" s="164" t="b">
        <f t="shared" ca="1" si="170"/>
        <v>0</v>
      </c>
      <c r="BY217" s="115">
        <f t="shared" ca="1" si="171"/>
        <v>0</v>
      </c>
      <c r="BZ217" s="115">
        <f>IF(OR(模拟模式!$P$16="10人团",模拟模式!$P$16="25人团"),IF(B217/30&gt;CA216,1,0),0)</f>
        <v>0</v>
      </c>
      <c r="CA217" s="115">
        <f t="shared" si="147"/>
        <v>0</v>
      </c>
      <c r="CB217" s="115">
        <f ca="1">IF(BZ217=1,IF(模拟模式!$P$16="10人团",15,0)+IF(模拟模式!$P$16="25人团",IF(RAND()&lt;0.6,15,0)),MAX(0,CB216-$F$4))</f>
        <v>0</v>
      </c>
      <c r="CC217" s="115" t="b">
        <f t="shared" ca="1" si="195"/>
        <v>0</v>
      </c>
      <c r="CD217" s="115">
        <f>IF(模拟模式!$Q$16="1个",IF(B217/40&gt;CE216,1,0),0)</f>
        <v>0</v>
      </c>
      <c r="CE217" s="115">
        <f t="shared" si="196"/>
        <v>0</v>
      </c>
      <c r="CF217" s="115">
        <f>IF(OR(CD217=1,模拟模式!$Q$16="2个"),20,MAX(0,CF216-$F$4))</f>
        <v>0</v>
      </c>
      <c r="CG217" s="115" t="b">
        <f t="shared" si="197"/>
        <v>0</v>
      </c>
      <c r="CH217" s="115">
        <f t="shared" ca="1" si="172"/>
        <v>20.775000000000006</v>
      </c>
      <c r="CI217" s="115" t="b">
        <f t="shared" ca="1" si="173"/>
        <v>0</v>
      </c>
      <c r="CJ217" s="119">
        <f t="shared" ca="1" si="174"/>
        <v>0</v>
      </c>
      <c r="CK217" s="115">
        <f t="shared" ca="1" si="175"/>
        <v>0</v>
      </c>
      <c r="CL217" s="115" t="b">
        <f ca="1">AND(模拟模式!$S$7="驱夷逐法",OR(AND(C217="净世破魔击·月",E216&gt;59),AND(C217="净世破魔击·日",F216&gt;59)))</f>
        <v>0</v>
      </c>
      <c r="CM217" s="115" t="b">
        <f ca="1">OR(CL217,AND(C217="净世破魔击·日",CL216,RAND()&lt;模拟模式!$U$23))</f>
        <v>0</v>
      </c>
      <c r="CN217" s="115" t="b">
        <f ca="1">IF(模拟模式!$M$7="辉耀红尘",AND(C217="净世破魔击·月",CL217,CV217=0,E216&lt;80),AND(C217="净世破魔击·月",CL217,E216&lt;100))</f>
        <v>0</v>
      </c>
      <c r="CO217" s="115" t="b">
        <f t="shared" ca="1" si="148"/>
        <v>0</v>
      </c>
      <c r="CP217" s="115" t="b">
        <f ca="1">AND(模拟模式!$O$7="用晦而明",OR(C217="净世破魔击·日",C217="净世破魔击·月",C217="驱夜断愁"),AB217)</f>
        <v>1</v>
      </c>
      <c r="CQ217" s="115" t="b">
        <f ca="1">OR(CP217,AND(CP216,RAND()&lt;模拟模式!$U$23))</f>
        <v>1</v>
      </c>
      <c r="CR217" s="115" t="b">
        <f ca="1">AND(模拟模式!$S$7="日月齐光",OR(C217="幽月轮1",C217="幽月轮2",C217="幽月轮3",CR216),NOT(OR(C217="赤日轮1",C217="赤日轮2",C217="赤日轮3")))</f>
        <v>0</v>
      </c>
      <c r="CS217" s="115" t="b">
        <f ca="1">AND(模拟模式!$S$7="日月齐光",OR(C217="赤日轮1",C217="赤日轮2",C217="赤日轮3",CS216),NOT(OR(C217="幽月轮1",C217="幽月轮2",C217="幽月轮3")))</f>
        <v>0</v>
      </c>
      <c r="CT217" s="115">
        <f t="shared" ca="1" si="176"/>
        <v>24.465000000000003</v>
      </c>
      <c r="CU217" s="115" t="b">
        <f ca="1">AND(模拟模式!$K$10="阴阳往极",CT216=0,RAND()&lt;IF(C217="净世破魔击·月",0.0275*7/3,IF(C217="净世破魔击·日",0.0275*3/3,0.0275*2/3)))</f>
        <v>0</v>
      </c>
      <c r="CV217" s="115">
        <f t="shared" ca="1" si="177"/>
        <v>0</v>
      </c>
      <c r="CW217" s="115">
        <f t="shared" ca="1" si="149"/>
        <v>0</v>
      </c>
      <c r="CX217" s="115">
        <f t="shared" ca="1" si="150"/>
        <v>0.46499999999999975</v>
      </c>
      <c r="CY217" s="115">
        <f ca="1">MAX(IF($C217="驱夜断愁",IF(模拟模式!$R$7="万念俱寂",6,45),CY216-$F$4),0)</f>
        <v>0</v>
      </c>
      <c r="CZ217" s="115">
        <f t="shared" ca="1" si="151"/>
        <v>0</v>
      </c>
      <c r="DA217" s="115">
        <f ca="1">IF(模拟模式!$N$7="日月同辉",IF(DB216=2,0,MIN(6,IF(AND(OR(C217="赤日轮1",C217="赤日轮2",C217="赤日轮3",C217="幽月轮1",C217="幽月轮2",C217="幽月轮3"),AB217=1),DA216+1,DA216))),0)</f>
        <v>2</v>
      </c>
      <c r="DB217" s="115">
        <f t="shared" ca="1" si="152"/>
        <v>0</v>
      </c>
      <c r="DC217" s="115"/>
      <c r="DD217" s="115"/>
      <c r="DE217" s="115"/>
      <c r="DF217" s="115"/>
      <c r="DG217" s="115"/>
      <c r="DH217" s="115"/>
      <c r="DI217" s="115"/>
      <c r="DJ217" s="115"/>
      <c r="DK217" s="115"/>
      <c r="DL217" s="115"/>
      <c r="DM217" s="115"/>
    </row>
    <row r="218" spans="2:117" x14ac:dyDescent="0.2">
      <c r="B218" s="117">
        <f t="shared" si="153"/>
        <v>176.19750000000064</v>
      </c>
      <c r="C218" s="167" t="str">
        <f t="shared" ca="1" si="146"/>
        <v>银月斩</v>
      </c>
      <c r="D218" s="115">
        <f ca="1">IF(C218="赤日轮1",1,IF(C218="赤日轮2",2,IF(C218="赤日轮3",3,IF(C218="幽月轮1",4,IF(C218="幽月轮2",5,IF(C218="幽月轮3",6,IF(C218="烈日斩",7,IF(C218="银月斩",8,IF(C218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218="净世破魔击·月",17,IF(C218="驱夜断愁",18,0)))))))))))</f>
        <v>8</v>
      </c>
      <c r="E218" s="115">
        <f ca="1">IF(AND(CU218,OR(C218="幽月轮1",C218="幽月轮2",C218="幽月轮3",C218="银月斩",C218="驱夜断愁",C218="净世破魔击·月")),100,MIN(IF(OR(CN218,BE218),0,IF(OR($C218="赤日轮1",$C218="赤日轮2",$C218="赤日轮3"),E217+20+IF(模拟模式!$I$7="日月凌天",4,0)+IF(CR217,20,0),IF($C218="烈日斩",E217+40,IF($C218="驱夜断愁",IF(模拟模式!$R$7="万念俱寂",E217+20,E217+60),IF($C218="净世破魔击·月",IF(OR(DB217&gt;0,CV217&gt;0),100,IF(模拟模式!$M$7="辉耀红尘",E217+20,E217)),IF($C218="净世破魔击·日",E217-100,E217)))))),100))</f>
        <v>20</v>
      </c>
      <c r="F218" s="115">
        <f ca="1">IF(AND(CU218,OR(C218="赤日轮1",C218="赤日轮2",C218="赤日轮3",C218="烈日斩",C218="净世破魔击·日")),100,MIN(IF(CO218,0,IF(OR($C218="幽月轮1",$C218="幽月轮2",$C218="幽月轮3"),F217+20+IF(模拟模式!$I$7="日月凌天",4,0)+IF(CS217,20,0),IF($C218="银月斩",F217+40+IF(模拟模式!$X$12=1,5,0),IF($C218="驱夜断愁",IF(模拟模式!$R$7="万念俱寂",F217+20,F217+60),IF($C218="净世破魔击·月",IF(模拟模式!$M$7="辉耀红尘",F217-80,F217-100),IF(AND(C218="净世破魔击·日",OR(DB217&gt;0,CV217&gt;0)),100,F217)))))),100))</f>
        <v>65</v>
      </c>
      <c r="G218" s="117">
        <f ca="1">('模拟-全程加成'!$E$3+'模拟-全程加成'!$E$4+'模拟-全程加成'!$E$5+('模拟-全程加成'!$C$6-'模拟-全程加成'!$C$3)*系数!$B$9+BS218*23)*(1+'模拟-全程加成'!$F$4+'模拟-全程加成'!$F$5+BJ218*10%+BM218*20%+BP218*4%+CG218*30%)+$F$7*系数!$B$12</f>
        <v>20583.127400000001</v>
      </c>
      <c r="H218" s="45">
        <f ca="1">'模拟-全程加成'!$H$3+'模拟-全程加成'!$H$4+'模拟-全程加成'!$H$5+('模拟-全程加成'!$G$4+'模拟-全程加成'!$G$5+('模拟-全程加成'!$C$6-'模拟-全程加成'!$C$3)*系数!$B$13)/系数!$B$3+LOOKUP(D218,'模拟-单技能数据'!$A$2:$A$19,'模拟-单技能数据'!$K$2:$K$19)+BG218*10%+IF(BV218&gt;0,378,0)</f>
        <v>0.64185145527300214</v>
      </c>
      <c r="I218" s="45">
        <f ca="1">'模拟-全程加成'!$J$3+'模拟-全程加成'!$J$4+'模拟-全程加成'!$J$5+('模拟-全程加成'!$I$4+'模拟-全程加成'!$I$5)/系数!$B$4+LOOKUP(D218,'模拟-单技能数据'!$A$2:$A$19,'模拟-单技能数据'!$L$2:$L$19)+BG218*10%</f>
        <v>2.2624828854998791</v>
      </c>
      <c r="J218" s="45">
        <f ca="1">(('模拟-全程加成'!$K$3+'模拟-全程加成'!$K$4+'模拟-全程加成'!$K$5+('模拟-全程加成'!$C$6-'模拟-全程加成'!$C$3)*系数!$B$10+IF(BV218&gt;0,882,0)+IF(BY218&gt;0,1831,0))*(1+'模拟-全程加成'!$L$4+'模拟-全程加成'!$L$5+CC218*20%))/系数!$B$5</f>
        <v>0.69723220422048726</v>
      </c>
      <c r="K218" s="119">
        <f ca="1">LOOKUP(D218,'模拟-单技能数据'!$A$2:$A$19,'模拟-单技能数据'!$J$2:$J$19)+IF(CM218,60%,0)+IF(DB217-DB218&gt;0,30%,0)+IF(OR(AND(OR(C218="赤日轮1",C218="赤日轮2",C218="赤日轮3"),CR218),AND(OR(C218="幽月轮1",C218="幽月轮2",C218="幽月轮3"),CS218)),35%,0)+CJ218</f>
        <v>0.15</v>
      </c>
      <c r="L218" s="119">
        <f ca="1">IF(AND(C218="烈日斩",模拟模式!$X$11=1),10%,0)+IF(AND(C218="驱夜断愁",AB218=1),30%,0)</f>
        <v>0</v>
      </c>
      <c r="M218" s="45">
        <f t="shared" ca="1" si="185"/>
        <v>0.64185145527300214</v>
      </c>
      <c r="N218" s="45">
        <f t="shared" ca="1" si="186"/>
        <v>0.30424854472699792</v>
      </c>
      <c r="O218" s="46">
        <f t="shared" ca="1" si="154"/>
        <v>0.59299548529821311</v>
      </c>
      <c r="P218" s="46" t="str">
        <f t="shared" ca="1" si="155"/>
        <v>会</v>
      </c>
      <c r="Q218" s="45">
        <f t="shared" ca="1" si="156"/>
        <v>2.2624828854998791</v>
      </c>
      <c r="R218" s="117">
        <f ca="1">模拟模式!$E$20*(1-IF(模拟模式!$J$19="有",0.15,0))*(1-IF(模拟模式!$K$19="有",0.3,0)-IF(CQ218,0.5,0))</f>
        <v>843.02999999999975</v>
      </c>
      <c r="S218" s="45">
        <f ca="1">R218/(R218+(185*模拟模式!$E$22-16800)*4.08224)</f>
        <v>8.389626085980037E-2</v>
      </c>
      <c r="T218" s="45" t="str">
        <f ca="1">LOOKUP(D218,'模拟-单技能数据'!$A$2:$A$19,'模拟-单技能数据'!$H$2:$H$19)</f>
        <v>阴</v>
      </c>
      <c r="U218" s="119">
        <f t="shared" ca="1" si="187"/>
        <v>0.08</v>
      </c>
      <c r="V218" s="47">
        <f ca="1">(1+L218)*(LOOKUP(D218,'模拟-单技能数据'!$A$2:$A$19,'模拟-单技能数据'!$D$2:$D$19)+G218*LOOKUP(D218,'模拟-单技能数据'!$A$2:$A$19,'模拟-单技能数据'!$F$2:$F$19))*(1+J218)*(1+K218)*(1-S218)*(1+U218)*Q218*LOOKUP(D218,'模拟-单技能数据'!$A$2:$A$19,'模拟-单技能数据'!$I$2:$I$20)</f>
        <v>47762.146138749486</v>
      </c>
      <c r="W218" s="47">
        <f ca="1">LOOKUP(D218,'模拟-单技能数据'!$A$2:$A$19,'模拟-单技能数据'!$G$2:$G$19)*$I$10</f>
        <v>361.51064354704795</v>
      </c>
      <c r="X218" s="47">
        <f t="shared" ca="1" si="157"/>
        <v>0</v>
      </c>
      <c r="Y218" s="47">
        <f t="shared" ca="1" si="188"/>
        <v>48123.65678229653</v>
      </c>
      <c r="Z218" s="49">
        <f t="shared" ca="1" si="189"/>
        <v>20003486.106921598</v>
      </c>
      <c r="AA218" s="97">
        <f t="shared" ca="1" si="190"/>
        <v>113528.77371654834</v>
      </c>
      <c r="AB218" s="115">
        <f ca="1">IF(OR(C218="赤日轮1",C218="赤日轮2",C218="赤日轮3"),IF(RAND()&lt;模拟模式!$Y$17,1,0),IF(OR(C218="幽月轮1",C218="幽月轮2",C218="幽月轮3"),IF(RAND()&lt;模拟模式!$Y$18,1,0),IF(C218="烈日斩",IF(RAND()&lt;模拟模式!$Y$19,1,0),IF(C218="银月斩",IF(RAND()&lt;模拟模式!$Y$20,1,0),IF(C218="驱夜断愁",IF(RAND()&lt;模拟模式!$Y$21,1,0),IF(C218="净世破魔击·日",IF(RAND()&lt;模拟模式!$Y$22,1,0),IF(C218="净世破魔击·月",IF(RAND()&lt;模拟模式!$Y$23,1,0),0)))))))</f>
        <v>1</v>
      </c>
      <c r="AC218" s="115" t="b">
        <f t="shared" ca="1" si="178"/>
        <v>1</v>
      </c>
      <c r="AD218" s="115" t="b">
        <f t="shared" ca="1" si="198"/>
        <v>0</v>
      </c>
      <c r="AE218" s="115">
        <f t="shared" ca="1" si="199"/>
        <v>6</v>
      </c>
      <c r="AF218" s="47">
        <f ca="1">IF(AC218,('模拟-单技能数据'!$D$20+G218*'模拟-单技能数据'!$F$20)*(1+J218)*(1+'模拟-单技能数据'!$J$20)*(1+U218),0)</f>
        <v>4447.8565560098323</v>
      </c>
      <c r="AG218" s="61">
        <f t="shared" ca="1" si="191"/>
        <v>0.64185145527300214</v>
      </c>
      <c r="AH218" s="61">
        <f t="shared" ca="1" si="192"/>
        <v>2.2624828854998791</v>
      </c>
      <c r="AI218" s="62">
        <f t="shared" ca="1" si="158"/>
        <v>0.28805071896636958</v>
      </c>
      <c r="AJ218" s="47">
        <f ca="1">IF(AD218,IF(AI218&lt;$F$10,0,IF(AI218&lt;$F$10+$F$11,0.25,IF(AI218&lt;$F$10+$F$11+AG218,AH218,1)))*IF(AF218&gt;0,AF218,IF(AF217&gt;0,AF217,IF(AF216&gt;0,AF216,IF(AF215&gt;0,AF215,IF(AF214&gt;0,AF214,IF(AF213&gt;0,AF213,IF(AF212&gt;0,AF212,IF(AF211&gt;0,AF211,IF(AF210&gt;0,AF210,IF(AF208&gt;0,AF208,IF(AF207&gt;0,AF207,IF(AF206&gt;0,AF206,0)))))))))))),0)*(1-$S218)*'模拟-单技能数据'!$I$20</f>
        <v>0</v>
      </c>
      <c r="AK218" s="115" t="b">
        <f t="shared" ca="1" si="179"/>
        <v>0</v>
      </c>
      <c r="AL218" s="115" t="b">
        <f t="shared" ca="1" si="200"/>
        <v>0</v>
      </c>
      <c r="AM218" s="115">
        <f t="shared" ca="1" si="201"/>
        <v>5</v>
      </c>
      <c r="AN218" s="47">
        <f ca="1">IF(AK218,('模拟-单技能数据'!$D$21+G218*'模拟-单技能数据'!$F$21)*(1+J218)*(1+'模拟-单技能数据'!$J$21)*(1+U218),0)</f>
        <v>0</v>
      </c>
      <c r="AO218" s="61">
        <f ca="1">IF(AN218&gt;0,M218-'模拟-单技能数据'!$K$10,AO217)</f>
        <v>0.42185145527300216</v>
      </c>
      <c r="AP218" s="61">
        <f ca="1">IF(AN218&gt;0,I218-'模拟-单技能数据'!$L$10,AP217)</f>
        <v>2.162482885499879</v>
      </c>
      <c r="AQ218" s="63">
        <f t="shared" ca="1" si="159"/>
        <v>0.65667737782375912</v>
      </c>
      <c r="AR218" s="64">
        <f ca="1">IF(AL218,IF(AQ218&lt;$F$10,0,IF(AQ218&lt;$F$10+$F$11,0.25,IF(AQ218&lt;$F$10+$F$11+AO218,AP218,1)))*IF(AN218&gt;0,AN218,IF(AN217&gt;0,AN217,IF(AN216&gt;0,AN216,IF(AN215&gt;0,AN215,IF(AN214&gt;0,AN214,IF(AN213&gt;0,AN213,IF(AN212&gt;0,AN212,IF(AN211&gt;0,AN211,IF(AN210&gt;0,AN210,IF(AN208&gt;0,AN208,IF(AN207&gt;0,AN207,IF(AN206&gt;0,AN206,0)))))))))))),0)*(1-$S218)*'模拟-单技能数据'!$I$21</f>
        <v>0</v>
      </c>
      <c r="AS218" s="61">
        <f ca="1">IF(OR(C218="净世破魔击·日",C218="净世破魔击·月"),M218-'模拟-单技能数据'!$K$10,0)</f>
        <v>0</v>
      </c>
      <c r="AT218" s="61">
        <f ca="1">IF(OR(C218="净世破魔击·日",C218="净世破魔击·月"),I218-'模拟-单技能数据'!$L$10,0)</f>
        <v>0</v>
      </c>
      <c r="AU218" s="62">
        <f t="shared" ca="1" si="160"/>
        <v>0.65862819059449074</v>
      </c>
      <c r="AV218" s="64">
        <f ca="1">IF(AS218&gt;0,('模拟-单技能数据'!$D$22+G218*'模拟-单技能数据'!$F$22)*(1+J218)*(1-S218)*IF(AU218&lt;$F$10,0,IF(AU218&lt;$F$10+$F$11,0.25,IF(AU218&lt;$F$10+$F$11+AS218,AT218,1)))*(1+U218),0)*'模拟-单技能数据'!$I$22</f>
        <v>0</v>
      </c>
      <c r="AW218" s="108">
        <f t="shared" ca="1" si="161"/>
        <v>16.310000000000002</v>
      </c>
      <c r="AX218" s="108" t="b">
        <f ca="1">AND(模拟模式!$P$10="有",AW217=0,RAND()&lt;IF(C218="净世破魔击·月",0.1*8/3,IF(C218="净世破魔击·日",0.1*4/3,0.1*2/3)))</f>
        <v>0</v>
      </c>
      <c r="AY218" s="47">
        <f ca="1">IF(AX218,(18+G218*0.722)*(1+J218)*(1-S218)*(1+$I$4)*IF(P218="会",'模拟-全程加成'!$J$3+'模拟-全程加成'!$J$4+'模拟-全程加成'!$J$5+('模拟-全程加成'!$I$4+'模拟-全程加成'!$I$5)/系数!$B$4+BG218*10%,IF(P218="命",1,IF(P218="识",0.25,0))),0)</f>
        <v>0</v>
      </c>
      <c r="AZ218" s="108">
        <f t="shared" si="162"/>
        <v>6.1625000000000068</v>
      </c>
      <c r="BA218" s="108" t="b">
        <f>AND(模拟模式!$Q$10="有",AZ217=0)</f>
        <v>0</v>
      </c>
      <c r="BB218" s="140">
        <f>IF(BA218,(0+G218*0.287)*(1+J218)*(1-S218)*(1+$I$4)*IF(P218="会",'模拟-全程加成'!$J$3+'模拟-全程加成'!$J$4+'模拟-全程加成'!$J$5+('模拟-全程加成'!$I$4+'模拟-全程加成'!$I$5)/系数!$B$4+BG218*10%,IF(P218="命",1,IF(P218="识",0.25,0))),0)</f>
        <v>0</v>
      </c>
      <c r="BC218" s="115" t="b">
        <f ca="1">AND(模拟模式!$R$7="伏明众生",E218=60,F218=20,DA218&lt;5,CZ217&lt;$F$4)</f>
        <v>0</v>
      </c>
      <c r="BD218" s="115">
        <f t="shared" ca="1" si="180"/>
        <v>0</v>
      </c>
      <c r="BE218" s="115" t="b">
        <f t="shared" ca="1" si="181"/>
        <v>0</v>
      </c>
      <c r="BF218" s="47">
        <f ca="1">IF(BC218,4*('模拟-单技能数据'!$D$24+G218*'模拟-单技能数据'!$F$24)*(1+J218)*(1+'模拟-单技能数据'!$J$24)*(1-S218)*(1+$I$3)*(('模拟-全程加成'!$J$3+'模拟-全程加成'!$J$4+'模拟-全程加成'!$J$5+('模拟-全程加成'!$I$4+'模拟-全程加成'!$I$5)/系数!$B$4+BG218*10%)*('模拟-全程加成'!$J$3+'模拟-全程加成'!$J$4+'模拟-全程加成'!$J$5+('模拟-全程加成'!$I$4+'模拟-全程加成'!$I$5)/系数!$B$4+BG218*10%)+(1-('模拟-全程加成'!$J$3+'模拟-全程加成'!$J$4+'模拟-全程加成'!$J$5+('模拟-全程加成'!$I$4+'模拟-全程加成'!$I$5)/系数!$B$4+BG218*10%)-$F$10-$F$11)+F204*0.25),0)*'模拟-单技能数据'!$I$24</f>
        <v>0</v>
      </c>
      <c r="BG218" s="115" t="b">
        <f ca="1">OR(AND(OR(C218="烈日斩",C218="银月斩"),模拟模式!$I$7="净身明礼"),AND(C218="净世破魔击·日",模拟模式!$J$7="洞若观火"),AND(C219="净世破魔击·月",模拟模式!$J$7="洞若观火"),AB218=1)</f>
        <v>1</v>
      </c>
      <c r="BH218" s="115" t="b">
        <f t="shared" ca="1" si="163"/>
        <v>0</v>
      </c>
      <c r="BI218" s="115">
        <f t="shared" ca="1" si="182"/>
        <v>0</v>
      </c>
      <c r="BJ218" s="115" t="b">
        <f t="shared" ca="1" si="193"/>
        <v>0</v>
      </c>
      <c r="BK218" s="115" t="b">
        <f ca="1">AND(C218="驱夜断愁",模拟模式!$P$7="天地诛戮")</f>
        <v>0</v>
      </c>
      <c r="BL218" s="57">
        <f t="shared" ca="1" si="183"/>
        <v>8.0075000000000074</v>
      </c>
      <c r="BM218" s="115" t="b">
        <f t="shared" ca="1" si="194"/>
        <v>1</v>
      </c>
      <c r="BN218" s="115" t="b">
        <f ca="1">AND(OR(C218="赤日轮1",C218="赤日轮2",C218="赤日轮3",C218="幽月轮1",C218="幽月轮2",C218="幽月轮3"),AB218=1,模拟模式!$L$7="明光恒照")</f>
        <v>0</v>
      </c>
      <c r="BO218" s="117">
        <f t="shared" ca="1" si="184"/>
        <v>22.620000000000005</v>
      </c>
      <c r="BP218" s="115">
        <f t="shared" ca="1" si="164"/>
        <v>6</v>
      </c>
      <c r="BQ218" s="115" t="b">
        <f>模拟模式!$K$10="2600·水"</f>
        <v>0</v>
      </c>
      <c r="BR218" s="117">
        <f t="shared" si="165"/>
        <v>0</v>
      </c>
      <c r="BS218" s="115">
        <f t="shared" si="166"/>
        <v>0</v>
      </c>
      <c r="BT218" s="115">
        <f t="shared" ca="1" si="167"/>
        <v>0</v>
      </c>
      <c r="BU218" s="115" t="b">
        <f ca="1">AND(模拟模式!$K$10="2300·雷",BT217=0,RAND()&lt;IF(C218="净世破魔击·月",5*0.05*2/3,IF(C218="净世破魔击·日",3*0.05*2/3,0.05*2*2/3)))</f>
        <v>0</v>
      </c>
      <c r="BV218" s="115">
        <f t="shared" ca="1" si="168"/>
        <v>0</v>
      </c>
      <c r="BW218" s="115">
        <f t="shared" ca="1" si="169"/>
        <v>9.3374999999993094</v>
      </c>
      <c r="BX218" s="164" t="b">
        <f t="shared" ca="1" si="170"/>
        <v>0</v>
      </c>
      <c r="BY218" s="115">
        <f t="shared" ca="1" si="171"/>
        <v>0</v>
      </c>
      <c r="BZ218" s="115">
        <f>IF(OR(模拟模式!$P$16="10人团",模拟模式!$P$16="25人团"),IF(B218/30&gt;CA217,1,0),0)</f>
        <v>0</v>
      </c>
      <c r="CA218" s="115">
        <f t="shared" si="147"/>
        <v>0</v>
      </c>
      <c r="CB218" s="115">
        <f ca="1">IF(BZ218=1,IF(模拟模式!$P$16="10人团",15,0)+IF(模拟模式!$P$16="25人团",IF(RAND()&lt;0.6,15,0)),MAX(0,CB217-$F$4))</f>
        <v>0</v>
      </c>
      <c r="CC218" s="115" t="b">
        <f t="shared" ca="1" si="195"/>
        <v>0</v>
      </c>
      <c r="CD218" s="115">
        <f>IF(模拟模式!$Q$16="1个",IF(B218/40&gt;CE217,1,0),0)</f>
        <v>0</v>
      </c>
      <c r="CE218" s="115">
        <f t="shared" si="196"/>
        <v>0</v>
      </c>
      <c r="CF218" s="115">
        <f>IF(OR(CD218=1,模拟模式!$Q$16="2个"),20,MAX(0,CF217-$F$4))</f>
        <v>0</v>
      </c>
      <c r="CG218" s="115" t="b">
        <f t="shared" si="197"/>
        <v>0</v>
      </c>
      <c r="CH218" s="115">
        <f t="shared" ca="1" si="172"/>
        <v>19.852500000000006</v>
      </c>
      <c r="CI218" s="115" t="b">
        <f t="shared" ca="1" si="173"/>
        <v>0</v>
      </c>
      <c r="CJ218" s="119">
        <f t="shared" ca="1" si="174"/>
        <v>0</v>
      </c>
      <c r="CK218" s="115">
        <f t="shared" ca="1" si="175"/>
        <v>0</v>
      </c>
      <c r="CL218" s="115" t="b">
        <f ca="1">AND(模拟模式!$S$7="驱夷逐法",OR(AND(C218="净世破魔击·月",E217&gt;59),AND(C218="净世破魔击·日",F217&gt;59)))</f>
        <v>0</v>
      </c>
      <c r="CM218" s="115" t="b">
        <f ca="1">OR(CL218,AND(C218="净世破魔击·日",CL217,RAND()&lt;模拟模式!$U$23))</f>
        <v>0</v>
      </c>
      <c r="CN218" s="115" t="b">
        <f ca="1">IF(模拟模式!$M$7="辉耀红尘",AND(C218="净世破魔击·月",CL218,CV218=0,E217&lt;80),AND(C218="净世破魔击·月",CL218,E217&lt;100))</f>
        <v>0</v>
      </c>
      <c r="CO218" s="115" t="b">
        <f t="shared" ca="1" si="148"/>
        <v>0</v>
      </c>
      <c r="CP218" s="115" t="b">
        <f ca="1">AND(模拟模式!$O$7="用晦而明",OR(C218="净世破魔击·日",C218="净世破魔击·月",C218="驱夜断愁"),AB218)</f>
        <v>0</v>
      </c>
      <c r="CQ218" s="115" t="b">
        <f ca="1">OR(CP218,AND(CP217,RAND()&lt;模拟模式!$U$23))</f>
        <v>1</v>
      </c>
      <c r="CR218" s="115" t="b">
        <f ca="1">AND(模拟模式!$S$7="日月齐光",OR(C218="幽月轮1",C218="幽月轮2",C218="幽月轮3",CR217),NOT(OR(C218="赤日轮1",C218="赤日轮2",C218="赤日轮3")))</f>
        <v>0</v>
      </c>
      <c r="CS218" s="115" t="b">
        <f ca="1">AND(模拟模式!$S$7="日月齐光",OR(C218="赤日轮1",C218="赤日轮2",C218="赤日轮3",CS217),NOT(OR(C218="幽月轮1",C218="幽月轮2",C218="幽月轮3")))</f>
        <v>0</v>
      </c>
      <c r="CT218" s="115">
        <f t="shared" ca="1" si="176"/>
        <v>23.542500000000004</v>
      </c>
      <c r="CU218" s="115" t="b">
        <f ca="1">AND(模拟模式!$K$10="阴阳往极",CT217=0,RAND()&lt;IF(C218="净世破魔击·月",0.0275*7/3,IF(C218="净世破魔击·日",0.0275*3/3,0.0275*2/3)))</f>
        <v>0</v>
      </c>
      <c r="CV218" s="115">
        <f t="shared" ca="1" si="177"/>
        <v>0</v>
      </c>
      <c r="CW218" s="115">
        <f t="shared" ca="1" si="149"/>
        <v>0</v>
      </c>
      <c r="CX218" s="115">
        <f t="shared" ca="1" si="150"/>
        <v>6</v>
      </c>
      <c r="CY218" s="115">
        <f ca="1">MAX(IF($C218="驱夜断愁",IF(模拟模式!$R$7="万念俱寂",6,45),CY217-$F$4),0)</f>
        <v>0</v>
      </c>
      <c r="CZ218" s="115">
        <f t="shared" ca="1" si="151"/>
        <v>0</v>
      </c>
      <c r="DA218" s="115">
        <f ca="1">IF(模拟模式!$N$7="日月同辉",IF(DB217=2,0,MIN(6,IF(AND(OR(C218="赤日轮1",C218="赤日轮2",C218="赤日轮3",C218="幽月轮1",C218="幽月轮2",C218="幽月轮3"),AB218=1),DA217+1,DA217))),0)</f>
        <v>2</v>
      </c>
      <c r="DB218" s="115">
        <f t="shared" ca="1" si="152"/>
        <v>0</v>
      </c>
      <c r="DC218" s="115"/>
      <c r="DD218" s="115"/>
      <c r="DE218" s="115"/>
      <c r="DF218" s="115"/>
      <c r="DG218" s="115"/>
      <c r="DH218" s="115"/>
      <c r="DI218" s="115"/>
      <c r="DJ218" s="115"/>
      <c r="DK218" s="115"/>
      <c r="DL218" s="115"/>
      <c r="DM218" s="115"/>
    </row>
    <row r="219" spans="2:117" x14ac:dyDescent="0.2">
      <c r="B219" s="117">
        <f t="shared" si="153"/>
        <v>177.12000000000066</v>
      </c>
      <c r="C219" s="167" t="str">
        <f t="shared" ca="1" si="146"/>
        <v>驱夜断愁</v>
      </c>
      <c r="D219" s="115">
        <f ca="1">IF(C219="赤日轮1",1,IF(C219="赤日轮2",2,IF(C219="赤日轮3",3,IF(C219="幽月轮1",4,IF(C219="幽月轮2",5,IF(C219="幽月轮3",6,IF(C219="烈日斩",7,IF(C219="银月斩",8,IF(C219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219="净世破魔击·月",17,IF(C219="驱夜断愁",18,0)))))))))))</f>
        <v>18</v>
      </c>
      <c r="E219" s="115">
        <f ca="1">IF(AND(CU219,OR(C219="幽月轮1",C219="幽月轮2",C219="幽月轮3",C219="银月斩",C219="驱夜断愁",C219="净世破魔击·月")),100,MIN(IF(OR(CN219,BE219),0,IF(OR($C219="赤日轮1",$C219="赤日轮2",$C219="赤日轮3"),E218+20+IF(模拟模式!$I$7="日月凌天",4,0)+IF(CR218,20,0),IF($C219="烈日斩",E218+40,IF($C219="驱夜断愁",IF(模拟模式!$R$7="万念俱寂",E218+20,E218+60),IF($C219="净世破魔击·月",IF(OR(DB218&gt;0,CV218&gt;0),100,IF(模拟模式!$M$7="辉耀红尘",E218+20,E218)),IF($C219="净世破魔击·日",E218-100,E218)))))),100))</f>
        <v>40</v>
      </c>
      <c r="F219" s="115">
        <f ca="1">IF(AND(CU219,OR(C219="赤日轮1",C219="赤日轮2",C219="赤日轮3",C219="烈日斩",C219="净世破魔击·日")),100,MIN(IF(CO219,0,IF(OR($C219="幽月轮1",$C219="幽月轮2",$C219="幽月轮3"),F218+20+IF(模拟模式!$I$7="日月凌天",4,0)+IF(CS218,20,0),IF($C219="银月斩",F218+40+IF(模拟模式!$X$12=1,5,0),IF($C219="驱夜断愁",IF(模拟模式!$R$7="万念俱寂",F218+20,F218+60),IF($C219="净世破魔击·月",IF(模拟模式!$M$7="辉耀红尘",F218-80,F218-100),IF(AND(C219="净世破魔击·日",OR(DB218&gt;0,CV218&gt;0)),100,F218)))))),100))</f>
        <v>85</v>
      </c>
      <c r="G219" s="117">
        <f ca="1">('模拟-全程加成'!$E$3+'模拟-全程加成'!$E$4+'模拟-全程加成'!$E$5+('模拟-全程加成'!$C$6-'模拟-全程加成'!$C$3)*系数!$B$9+BS219*23)*(1+'模拟-全程加成'!$F$4+'模拟-全程加成'!$F$5+BJ219*10%+BM219*20%+BP219*4%+CG219*30%)+$F$7*系数!$B$12</f>
        <v>21493.829400000002</v>
      </c>
      <c r="H219" s="45">
        <f ca="1">'模拟-全程加成'!$H$3+'模拟-全程加成'!$H$4+'模拟-全程加成'!$H$5+('模拟-全程加成'!$G$4+'模拟-全程加成'!$G$5+('模拟-全程加成'!$C$6-'模拟-全程加成'!$C$3)*系数!$B$13)/系数!$B$3+LOOKUP(D219,'模拟-单技能数据'!$A$2:$A$19,'模拟-单技能数据'!$K$2:$K$19)+BG219*10%+IF(BV219&gt;0,378,0)</f>
        <v>0.51185145527300213</v>
      </c>
      <c r="I219" s="45">
        <f ca="1">'模拟-全程加成'!$J$3+'模拟-全程加成'!$J$4+'模拟-全程加成'!$J$5+('模拟-全程加成'!$I$4+'模拟-全程加成'!$I$5)/系数!$B$4+LOOKUP(D219,'模拟-单技能数据'!$A$2:$A$19,'模拟-单技能数据'!$L$2:$L$19)+BG219*10%</f>
        <v>2.162482885499879</v>
      </c>
      <c r="J219" s="45">
        <f ca="1">(('模拟-全程加成'!$K$3+'模拟-全程加成'!$K$4+'模拟-全程加成'!$K$5+('模拟-全程加成'!$C$6-'模拟-全程加成'!$C$3)*系数!$B$10+IF(BV219&gt;0,882,0)+IF(BY219&gt;0,1831,0))*(1+'模拟-全程加成'!$L$4+'模拟-全程加成'!$L$5+CC219*20%))/系数!$B$5</f>
        <v>0.69723220422048726</v>
      </c>
      <c r="K219" s="119">
        <f ca="1">LOOKUP(D219,'模拟-单技能数据'!$A$2:$A$19,'模拟-单技能数据'!$J$2:$J$19)+IF(CM219,60%,0)+IF(DB218-DB219&gt;0,30%,0)+IF(OR(AND(OR(C219="赤日轮1",C219="赤日轮2",C219="赤日轮3"),CR219),AND(OR(C219="幽月轮1",C219="幽月轮2",C219="幽月轮3"),CS219)),35%,0)+CJ219</f>
        <v>0.14000000000000001</v>
      </c>
      <c r="L219" s="119">
        <f ca="1">IF(AND(C219="烈日斩",模拟模式!$X$11=1),10%,0)+IF(AND(C219="驱夜断愁",AB219=1),30%,0)</f>
        <v>0.3</v>
      </c>
      <c r="M219" s="45">
        <f t="shared" ca="1" si="185"/>
        <v>0.51185145527300213</v>
      </c>
      <c r="N219" s="45">
        <f t="shared" ca="1" si="186"/>
        <v>0.43424854472699792</v>
      </c>
      <c r="O219" s="46">
        <f t="shared" ca="1" si="154"/>
        <v>0.13687596188876483</v>
      </c>
      <c r="P219" s="46" t="str">
        <f t="shared" ca="1" si="155"/>
        <v>会</v>
      </c>
      <c r="Q219" s="45">
        <f t="shared" ca="1" si="156"/>
        <v>2.162482885499879</v>
      </c>
      <c r="R219" s="117">
        <f ca="1">模拟模式!$E$20*(1-IF(模拟模式!$J$19="有",0.15,0))*(1-IF(模拟模式!$K$19="有",0.3,0)-IF(CQ219,0.5,0))</f>
        <v>843.02999999999975</v>
      </c>
      <c r="S219" s="45">
        <f ca="1">R219/(R219+(185*模拟模式!$E$22-16800)*4.08224)</f>
        <v>8.389626085980037E-2</v>
      </c>
      <c r="T219" s="45" t="str">
        <f ca="1">LOOKUP(D219,'模拟-单技能数据'!$A$2:$A$19,'模拟-单技能数据'!$H$2:$H$19)</f>
        <v>阴</v>
      </c>
      <c r="U219" s="119">
        <f t="shared" ca="1" si="187"/>
        <v>0.08</v>
      </c>
      <c r="V219" s="47">
        <f ca="1">(1+L219)*(LOOKUP(D219,'模拟-单技能数据'!$A$2:$A$19,'模拟-单技能数据'!$D$2:$D$19)+G219*LOOKUP(D219,'模拟-单技能数据'!$A$2:$A$19,'模拟-单技能数据'!$F$2:$F$19))*(1+J219)*(1+K219)*(1-S219)*(1+U219)*Q219*LOOKUP(D219,'模拟-单技能数据'!$A$2:$A$19,'模拟-单技能数据'!$I$2:$I$20)</f>
        <v>133079.35569364758</v>
      </c>
      <c r="W219" s="47">
        <f ca="1">LOOKUP(D219,'模拟-单技能数据'!$A$2:$A$19,'模拟-单技能数据'!$G$2:$G$19)*$I$10</f>
        <v>723.0212870940959</v>
      </c>
      <c r="X219" s="47">
        <f t="shared" ca="1" si="157"/>
        <v>20337.288047383721</v>
      </c>
      <c r="Y219" s="47">
        <f t="shared" ca="1" si="188"/>
        <v>154139.6650281254</v>
      </c>
      <c r="Z219" s="49">
        <f t="shared" ca="1" si="189"/>
        <v>20157625.771949723</v>
      </c>
      <c r="AA219" s="97">
        <f t="shared" ca="1" si="190"/>
        <v>113807.7335814682</v>
      </c>
      <c r="AB219" s="115">
        <f ca="1">IF(OR(C219="赤日轮1",C219="赤日轮2",C219="赤日轮3"),IF(RAND()&lt;模拟模式!$Y$17,1,0),IF(OR(C219="幽月轮1",C219="幽月轮2",C219="幽月轮3"),IF(RAND()&lt;模拟模式!$Y$18,1,0),IF(C219="烈日斩",IF(RAND()&lt;模拟模式!$Y$19,1,0),IF(C219="银月斩",IF(RAND()&lt;模拟模式!$Y$20,1,0),IF(C219="驱夜断愁",IF(RAND()&lt;模拟模式!$Y$21,1,0),IF(C219="净世破魔击·日",IF(RAND()&lt;模拟模式!$Y$22,1,0),IF(C219="净世破魔击·月",IF(RAND()&lt;模拟模式!$Y$23,1,0),0)))))))</f>
        <v>1</v>
      </c>
      <c r="AC219" s="115" t="b">
        <f t="shared" ca="1" si="178"/>
        <v>0</v>
      </c>
      <c r="AD219" s="115" t="b">
        <f t="shared" ca="1" si="198"/>
        <v>1</v>
      </c>
      <c r="AE219" s="115">
        <f t="shared" ca="1" si="199"/>
        <v>5</v>
      </c>
      <c r="AF219" s="47">
        <f ca="1">IF(AC219,('模拟-单技能数据'!$D$20+G219*'模拟-单技能数据'!$F$20)*(1+J219)*(1+'模拟-单技能数据'!$J$20)*(1+U219),0)</f>
        <v>0</v>
      </c>
      <c r="AG219" s="61">
        <f t="shared" ca="1" si="191"/>
        <v>0.64185145527300214</v>
      </c>
      <c r="AH219" s="61">
        <f t="shared" ca="1" si="192"/>
        <v>2.2624828854998791</v>
      </c>
      <c r="AI219" s="62">
        <f t="shared" ca="1" si="158"/>
        <v>0.49618866015082641</v>
      </c>
      <c r="AJ219" s="47">
        <f ca="1">IF(AD219,IF(AI219&lt;$F$10,0,IF(AI219&lt;$F$10+$F$11,0.25,IF(AI219&lt;$F$10+$F$11+AG219,AH219,1)))*IF(AF219&gt;0,AF219,IF(AF218&gt;0,AF218,IF(AF217&gt;0,AF217,IF(AF216&gt;0,AF216,IF(AF215&gt;0,AF215,IF(AF214&gt;0,AF214,IF(AF213&gt;0,AF213,IF(AF212&gt;0,AF212,IF(AF211&gt;0,AF211,IF(AF209&gt;0,AF209,IF(AF208&gt;0,AF208,IF(AF207&gt;0,AF207,0)))))))))))),0)*(1-$S219)*'模拟-单技能数据'!$I$20</f>
        <v>9218.9345386263849</v>
      </c>
      <c r="AK219" s="115" t="b">
        <f t="shared" ca="1" si="179"/>
        <v>0</v>
      </c>
      <c r="AL219" s="115" t="b">
        <f t="shared" ca="1" si="200"/>
        <v>1</v>
      </c>
      <c r="AM219" s="115">
        <f t="shared" ca="1" si="201"/>
        <v>4</v>
      </c>
      <c r="AN219" s="47">
        <f ca="1">IF(AK219,('模拟-单技能数据'!$D$21+G219*'模拟-单技能数据'!$F$21)*(1+J219)*(1+'模拟-单技能数据'!$J$21)*(1+U219),0)</f>
        <v>0</v>
      </c>
      <c r="AO219" s="61">
        <f ca="1">IF(AN219&gt;0,M219-'模拟-单技能数据'!$K$10,AO218)</f>
        <v>0.42185145527300216</v>
      </c>
      <c r="AP219" s="61">
        <f ca="1">IF(AN219&gt;0,I219-'模拟-单技能数据'!$L$10,AP218)</f>
        <v>2.162482885499879</v>
      </c>
      <c r="AQ219" s="63">
        <f t="shared" ca="1" si="159"/>
        <v>0.72267900829441323</v>
      </c>
      <c r="AR219" s="64">
        <f ca="1">IF(AL219,IF(AQ219&lt;$F$10,0,IF(AQ219&lt;$F$10+$F$11,0.25,IF(AQ219&lt;$F$10+$F$11+AO219,AP219,1)))*IF(AN219&gt;0,AN219,IF(AN218&gt;0,AN218,IF(AN217&gt;0,AN217,IF(AN216&gt;0,AN216,IF(AN215&gt;0,AN215,IF(AN214&gt;0,AN214,IF(AN213&gt;0,AN213,IF(AN212&gt;0,AN212,IF(AN211&gt;0,AN211,IF(AN209&gt;0,AN209,IF(AN208&gt;0,AN208,IF(AN207&gt;0,AN207,0)))))))))))),0)*(1-$S219)*'模拟-单技能数据'!$I$21</f>
        <v>11118.353508757338</v>
      </c>
      <c r="AS219" s="61">
        <f ca="1">IF(OR(C219="净世破魔击·日",C219="净世破魔击·月"),M219-'模拟-单技能数据'!$K$10,0)</f>
        <v>0</v>
      </c>
      <c r="AT219" s="61">
        <f ca="1">IF(OR(C219="净世破魔击·日",C219="净世破魔击·月"),I219-'模拟-单技能数据'!$L$10,0)</f>
        <v>0</v>
      </c>
      <c r="AU219" s="62">
        <f t="shared" ca="1" si="160"/>
        <v>0.80641158542797453</v>
      </c>
      <c r="AV219" s="64">
        <f ca="1">IF(AS219&gt;0,('模拟-单技能数据'!$D$22+G219*'模拟-单技能数据'!$F$22)*(1+J219)*(1-S219)*IF(AU219&lt;$F$10,0,IF(AU219&lt;$F$10+$F$11,0.25,IF(AU219&lt;$F$10+$F$11+AS219,AT219,1)))*(1+U219),0)*'模拟-单技能数据'!$I$22</f>
        <v>0</v>
      </c>
      <c r="AW219" s="108">
        <f t="shared" ca="1" si="161"/>
        <v>15.387500000000003</v>
      </c>
      <c r="AX219" s="108" t="b">
        <f ca="1">AND(模拟模式!$P$10="有",AW218=0,RAND()&lt;IF(C219="净世破魔击·月",0.1*8/3,IF(C219="净世破魔击·日",0.1*4/3,0.1*2/3)))</f>
        <v>0</v>
      </c>
      <c r="AY219" s="47">
        <f ca="1">IF(AX219,(18+G219*0.722)*(1+J219)*(1-S219)*(1+$I$4)*IF(P219="会",'模拟-全程加成'!$J$3+'模拟-全程加成'!$J$4+'模拟-全程加成'!$J$5+('模拟-全程加成'!$I$4+'模拟-全程加成'!$I$5)/系数!$B$4+BG219*10%,IF(P219="命",1,IF(P219="识",0.25,0))),0)</f>
        <v>0</v>
      </c>
      <c r="AZ219" s="108">
        <f t="shared" si="162"/>
        <v>5.2400000000000064</v>
      </c>
      <c r="BA219" s="108" t="b">
        <f>AND(模拟模式!$Q$10="有",AZ218=0)</f>
        <v>0</v>
      </c>
      <c r="BB219" s="140">
        <f>IF(BA219,(0+G219*0.287)*(1+J219)*(1-S219)*(1+$I$4)*IF(P219="会",'模拟-全程加成'!$J$3+'模拟-全程加成'!$J$4+'模拟-全程加成'!$J$5+('模拟-全程加成'!$I$4+'模拟-全程加成'!$I$5)/系数!$B$4+BG219*10%,IF(P219="命",1,IF(P219="识",0.25,0))),0)</f>
        <v>0</v>
      </c>
      <c r="BC219" s="115" t="b">
        <f ca="1">AND(模拟模式!$R$7="伏明众生",E219=60,F219=20,DA219&lt;5,CZ218&lt;$F$4)</f>
        <v>0</v>
      </c>
      <c r="BD219" s="115">
        <f t="shared" ca="1" si="180"/>
        <v>0</v>
      </c>
      <c r="BE219" s="115" t="b">
        <f t="shared" ca="1" si="181"/>
        <v>0</v>
      </c>
      <c r="BF219" s="47">
        <f ca="1">IF(BC219,4*('模拟-单技能数据'!$D$24+G219*'模拟-单技能数据'!$F$24)*(1+J219)*(1+'模拟-单技能数据'!$J$24)*(1-S219)*(1+$I$3)*(('模拟-全程加成'!$J$3+'模拟-全程加成'!$J$4+'模拟-全程加成'!$J$5+('模拟-全程加成'!$I$4+'模拟-全程加成'!$I$5)/系数!$B$4+BG219*10%)*('模拟-全程加成'!$J$3+'模拟-全程加成'!$J$4+'模拟-全程加成'!$J$5+('模拟-全程加成'!$I$4+'模拟-全程加成'!$I$5)/系数!$B$4+BG219*10%)+(1-('模拟-全程加成'!$J$3+'模拟-全程加成'!$J$4+'模拟-全程加成'!$J$5+('模拟-全程加成'!$I$4+'模拟-全程加成'!$I$5)/系数!$B$4+BG219*10%)-$F$10-$F$11)+F205*0.25),0)*'模拟-单技能数据'!$I$24</f>
        <v>0</v>
      </c>
      <c r="BG219" s="115" t="b">
        <f ca="1">OR(AND(OR(C219="烈日斩",C219="银月斩"),模拟模式!$I$7="净身明礼"),AND(C219="净世破魔击·日",模拟模式!$J$7="洞若观火"),AND(C220="净世破魔击·月",模拟模式!$J$7="洞若观火"),AB219=1)</f>
        <v>1</v>
      </c>
      <c r="BH219" s="115" t="b">
        <f t="shared" ca="1" si="163"/>
        <v>1</v>
      </c>
      <c r="BI219" s="115">
        <f t="shared" ca="1" si="182"/>
        <v>6</v>
      </c>
      <c r="BJ219" s="115" t="b">
        <f t="shared" ca="1" si="193"/>
        <v>1</v>
      </c>
      <c r="BK219" s="115" t="b">
        <f ca="1">AND(C219="驱夜断愁",模拟模式!$P$7="天地诛戮")</f>
        <v>1</v>
      </c>
      <c r="BL219" s="57">
        <f t="shared" ca="1" si="183"/>
        <v>20</v>
      </c>
      <c r="BM219" s="115" t="b">
        <f t="shared" ca="1" si="194"/>
        <v>1</v>
      </c>
      <c r="BN219" s="115" t="b">
        <f ca="1">AND(OR(C219="赤日轮1",C219="赤日轮2",C219="赤日轮3",C219="幽月轮1",C219="幽月轮2",C219="幽月轮3"),AB219=1,模拟模式!$L$7="明光恒照")</f>
        <v>0</v>
      </c>
      <c r="BO219" s="117">
        <f t="shared" ca="1" si="184"/>
        <v>21.697500000000005</v>
      </c>
      <c r="BP219" s="115">
        <f t="shared" ca="1" si="164"/>
        <v>6</v>
      </c>
      <c r="BQ219" s="115" t="b">
        <f>模拟模式!$K$10="2600·水"</f>
        <v>0</v>
      </c>
      <c r="BR219" s="117">
        <f t="shared" si="165"/>
        <v>0</v>
      </c>
      <c r="BS219" s="115">
        <f t="shared" si="166"/>
        <v>0</v>
      </c>
      <c r="BT219" s="115">
        <f t="shared" ca="1" si="167"/>
        <v>0</v>
      </c>
      <c r="BU219" s="115" t="b">
        <f ca="1">AND(模拟模式!$K$10="2300·雷",BT218=0,RAND()&lt;IF(C219="净世破魔击·月",5*0.05*2/3,IF(C219="净世破魔击·日",3*0.05*2/3,0.05*2*2/3)))</f>
        <v>0</v>
      </c>
      <c r="BV219" s="115">
        <f t="shared" ca="1" si="168"/>
        <v>0</v>
      </c>
      <c r="BW219" s="115">
        <f t="shared" ca="1" si="169"/>
        <v>8.4149999999993099</v>
      </c>
      <c r="BX219" s="164" t="b">
        <f t="shared" ca="1" si="170"/>
        <v>0</v>
      </c>
      <c r="BY219" s="115">
        <f t="shared" ca="1" si="171"/>
        <v>0</v>
      </c>
      <c r="BZ219" s="115">
        <f>IF(OR(模拟模式!$P$16="10人团",模拟模式!$P$16="25人团"),IF(B219/30&gt;CA218,1,0),0)</f>
        <v>0</v>
      </c>
      <c r="CA219" s="115">
        <f t="shared" si="147"/>
        <v>0</v>
      </c>
      <c r="CB219" s="115">
        <f ca="1">IF(BZ219=1,IF(模拟模式!$P$16="10人团",15,0)+IF(模拟模式!$P$16="25人团",IF(RAND()&lt;0.6,15,0)),MAX(0,CB218-$F$4))</f>
        <v>0</v>
      </c>
      <c r="CC219" s="115" t="b">
        <f t="shared" ca="1" si="195"/>
        <v>0</v>
      </c>
      <c r="CD219" s="115">
        <f>IF(模拟模式!$Q$16="1个",IF(B219/40&gt;CE218,1,0),0)</f>
        <v>0</v>
      </c>
      <c r="CE219" s="115">
        <f t="shared" si="196"/>
        <v>0</v>
      </c>
      <c r="CF219" s="115">
        <f>IF(OR(CD219=1,模拟模式!$Q$16="2个"),20,MAX(0,CF218-$F$4))</f>
        <v>0</v>
      </c>
      <c r="CG219" s="115" t="b">
        <f t="shared" si="197"/>
        <v>0</v>
      </c>
      <c r="CH219" s="115">
        <f t="shared" ca="1" si="172"/>
        <v>18.930000000000007</v>
      </c>
      <c r="CI219" s="115" t="b">
        <f t="shared" ca="1" si="173"/>
        <v>0</v>
      </c>
      <c r="CJ219" s="119">
        <f t="shared" ca="1" si="174"/>
        <v>0</v>
      </c>
      <c r="CK219" s="115">
        <f t="shared" ca="1" si="175"/>
        <v>0</v>
      </c>
      <c r="CL219" s="115" t="b">
        <f ca="1">AND(模拟模式!$S$7="驱夷逐法",OR(AND(C219="净世破魔击·月",E218&gt;59),AND(C219="净世破魔击·日",F218&gt;59)))</f>
        <v>0</v>
      </c>
      <c r="CM219" s="115" t="b">
        <f ca="1">OR(CL219,AND(C219="净世破魔击·日",CL218,RAND()&lt;模拟模式!$U$23))</f>
        <v>0</v>
      </c>
      <c r="CN219" s="115" t="b">
        <f ca="1">IF(模拟模式!$M$7="辉耀红尘",AND(C219="净世破魔击·月",CL219,CV219=0,E218&lt;80),AND(C219="净世破魔击·月",CL219,E218&lt;100))</f>
        <v>0</v>
      </c>
      <c r="CO219" s="115" t="b">
        <f t="shared" ca="1" si="148"/>
        <v>0</v>
      </c>
      <c r="CP219" s="115" t="b">
        <f ca="1">AND(模拟模式!$O$7="用晦而明",OR(C219="净世破魔击·日",C219="净世破魔击·月",C219="驱夜断愁"),AB219)</f>
        <v>1</v>
      </c>
      <c r="CQ219" s="115" t="b">
        <f ca="1">OR(CP219,AND(CP218,RAND()&lt;模拟模式!$U$23))</f>
        <v>1</v>
      </c>
      <c r="CR219" s="115" t="b">
        <f ca="1">AND(模拟模式!$S$7="日月齐光",OR(C219="幽月轮1",C219="幽月轮2",C219="幽月轮3",CR218),NOT(OR(C219="赤日轮1",C219="赤日轮2",C219="赤日轮3")))</f>
        <v>0</v>
      </c>
      <c r="CS219" s="115" t="b">
        <f ca="1">AND(模拟模式!$S$7="日月齐光",OR(C219="赤日轮1",C219="赤日轮2",C219="赤日轮3",CS218),NOT(OR(C219="幽月轮1",C219="幽月轮2",C219="幽月轮3")))</f>
        <v>0</v>
      </c>
      <c r="CT219" s="115">
        <f t="shared" ca="1" si="176"/>
        <v>22.620000000000005</v>
      </c>
      <c r="CU219" s="115" t="b">
        <f ca="1">AND(模拟模式!$K$10="阴阳往极",CT218=0,RAND()&lt;IF(C219="净世破魔击·月",0.0275*7/3,IF(C219="净世破魔击·日",0.0275*3/3,0.0275*2/3)))</f>
        <v>0</v>
      </c>
      <c r="CV219" s="115">
        <f t="shared" ca="1" si="177"/>
        <v>0</v>
      </c>
      <c r="CW219" s="115">
        <f t="shared" ca="1" si="149"/>
        <v>0</v>
      </c>
      <c r="CX219" s="115">
        <f t="shared" ca="1" si="150"/>
        <v>5.0774999999999997</v>
      </c>
      <c r="CY219" s="115">
        <f ca="1">MAX(IF($C219="驱夜断愁",IF(模拟模式!$R$7="万念俱寂",6,45),CY218-$F$4),0)</f>
        <v>6</v>
      </c>
      <c r="CZ219" s="115">
        <f t="shared" ca="1" si="151"/>
        <v>0</v>
      </c>
      <c r="DA219" s="115">
        <f ca="1">IF(模拟模式!$N$7="日月同辉",IF(DB218=2,0,MIN(6,IF(AND(OR(C219="赤日轮1",C219="赤日轮2",C219="赤日轮3",C219="幽月轮1",C219="幽月轮2",C219="幽月轮3"),AB219=1),DA218+1,DA218))),0)</f>
        <v>2</v>
      </c>
      <c r="DB219" s="115">
        <f t="shared" ca="1" si="152"/>
        <v>0</v>
      </c>
      <c r="DC219" s="115"/>
      <c r="DD219" s="115"/>
      <c r="DE219" s="115"/>
      <c r="DF219" s="115"/>
      <c r="DG219" s="115"/>
      <c r="DH219" s="115"/>
      <c r="DI219" s="115"/>
      <c r="DJ219" s="115"/>
      <c r="DK219" s="115"/>
      <c r="DL219" s="115"/>
      <c r="DM219" s="115"/>
    </row>
    <row r="220" spans="2:117" x14ac:dyDescent="0.2">
      <c r="B220" s="117">
        <f t="shared" si="153"/>
        <v>178.04250000000067</v>
      </c>
      <c r="C220" s="167" t="str">
        <f t="shared" ref="C220:C283" ca="1" si="202">IF(F219=100,"净世破魔击·月",IF(E219=100,"净世破魔击·日",IF(E219&lt;20,IF(C219="赤日轮1","赤日轮2",IF(C219="赤日轮2","赤日轮3","赤日轮1")),IF(AND(E219&gt;19,F219&lt;44,CX219&lt;$F$4),"银月斩",IF(AND(E219&lt;40,CY219&lt;$F$4),"驱夜断愁",IF(AND(E219&lt;60,CW219&lt;$F$4),"烈日斩",IF(C219="幽月轮1","幽月轮2",IF(C219="幽月轮2","幽月轮3","幽月轮1"))))))))</f>
        <v>烈日斩</v>
      </c>
      <c r="D220" s="115">
        <f ca="1">IF(C220="赤日轮1",1,IF(C220="赤日轮2",2,IF(C220="赤日轮3",3,IF(C220="幽月轮1",4,IF(C220="幽月轮2",5,IF(C220="幽月轮3",6,IF(C220="烈日斩",7,IF(C220="银月斩",8,IF(C220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220="净世破魔击·月",17,IF(C220="驱夜断愁",18,0)))))))))))</f>
        <v>7</v>
      </c>
      <c r="E220" s="115">
        <f ca="1">IF(AND(CU220,OR(C220="幽月轮1",C220="幽月轮2",C220="幽月轮3",C220="银月斩",C220="驱夜断愁",C220="净世破魔击·月")),100,MIN(IF(OR(CN220,BE220),0,IF(OR($C220="赤日轮1",$C220="赤日轮2",$C220="赤日轮3"),E219+20+IF(模拟模式!$I$7="日月凌天",4,0)+IF(CR219,20,0),IF($C220="烈日斩",E219+40,IF($C220="驱夜断愁",IF(模拟模式!$R$7="万念俱寂",E219+20,E219+60),IF($C220="净世破魔击·月",IF(OR(DB219&gt;0,CV219&gt;0),100,IF(模拟模式!$M$7="辉耀红尘",E219+20,E219)),IF($C220="净世破魔击·日",E219-100,E219)))))),100))</f>
        <v>80</v>
      </c>
      <c r="F220" s="115">
        <f ca="1">IF(AND(CU220,OR(C220="赤日轮1",C220="赤日轮2",C220="赤日轮3",C220="烈日斩",C220="净世破魔击·日")),100,MIN(IF(CO220,0,IF(OR($C220="幽月轮1",$C220="幽月轮2",$C220="幽月轮3"),F219+20+IF(模拟模式!$I$7="日月凌天",4,0)+IF(CS219,20,0),IF($C220="银月斩",F219+40+IF(模拟模式!$X$12=1,5,0),IF($C220="驱夜断愁",IF(模拟模式!$R$7="万念俱寂",F219+20,F219+60),IF($C220="净世破魔击·月",IF(模拟模式!$M$7="辉耀红尘",F219-80,F219-100),IF(AND(C220="净世破魔击·日",OR(DB219&gt;0,CV219&gt;0)),100,F219)))))),100))</f>
        <v>85</v>
      </c>
      <c r="G220" s="117">
        <f ca="1">('模拟-全程加成'!$E$3+'模拟-全程加成'!$E$4+'模拟-全程加成'!$E$5+('模拟-全程加成'!$C$6-'模拟-全程加成'!$C$3)*系数!$B$9+BS220*23)*(1+'模拟-全程加成'!$F$4+'模拟-全程加成'!$F$5+BJ220*10%+BM220*20%+BP220*4%+CG220*30%)+$F$7*系数!$B$12</f>
        <v>21493.829400000002</v>
      </c>
      <c r="H220" s="45">
        <f ca="1">'模拟-全程加成'!$H$3+'模拟-全程加成'!$H$4+'模拟-全程加成'!$H$5+('模拟-全程加成'!$G$4+'模拟-全程加成'!$G$5+('模拟-全程加成'!$C$6-'模拟-全程加成'!$C$3)*系数!$B$13)/系数!$B$3+LOOKUP(D220,'模拟-单技能数据'!$A$2:$A$19,'模拟-单技能数据'!$K$2:$K$19)+BG220*10%+IF(BV220&gt;0,378,0)</f>
        <v>0.56185145527300218</v>
      </c>
      <c r="I220" s="45">
        <f ca="1">'模拟-全程加成'!$J$3+'模拟-全程加成'!$J$4+'模拟-全程加成'!$J$5+('模拟-全程加成'!$I$4+'模拟-全程加成'!$I$5)/系数!$B$4+LOOKUP(D220,'模拟-单技能数据'!$A$2:$A$19,'模拟-单技能数据'!$L$2:$L$19)+BG220*10%</f>
        <v>2.2624828854998791</v>
      </c>
      <c r="J220" s="45">
        <f ca="1">(('模拟-全程加成'!$K$3+'模拟-全程加成'!$K$4+'模拟-全程加成'!$K$5+('模拟-全程加成'!$C$6-'模拟-全程加成'!$C$3)*系数!$B$10+IF(BV220&gt;0,882,0)+IF(BY220&gt;0,1831,0))*(1+'模拟-全程加成'!$L$4+'模拟-全程加成'!$L$5+CC220*20%))/系数!$B$5</f>
        <v>0.69723220422048726</v>
      </c>
      <c r="K220" s="119">
        <f ca="1">LOOKUP(D220,'模拟-单技能数据'!$A$2:$A$19,'模拟-单技能数据'!$J$2:$J$19)+IF(CM220,60%,0)+IF(DB219-DB220&gt;0,30%,0)+IF(OR(AND(OR(C220="赤日轮1",C220="赤日轮2",C220="赤日轮3"),CR220),AND(OR(C220="幽月轮1",C220="幽月轮2",C220="幽月轮3"),CS220)),35%,0)+CJ220</f>
        <v>0.24</v>
      </c>
      <c r="L220" s="119">
        <f ca="1">IF(AND(C220="烈日斩",模拟模式!$X$11=1),10%,0)+IF(AND(C220="驱夜断愁",AB220=1),30%,0)</f>
        <v>0.1</v>
      </c>
      <c r="M220" s="45">
        <f t="shared" ca="1" si="185"/>
        <v>0.56185145527300218</v>
      </c>
      <c r="N220" s="45">
        <f t="shared" ca="1" si="186"/>
        <v>0.38424854472699788</v>
      </c>
      <c r="O220" s="46">
        <f t="shared" ca="1" si="154"/>
        <v>5.2117019253378194E-3</v>
      </c>
      <c r="P220" s="46" t="str">
        <f t="shared" ca="1" si="155"/>
        <v>识</v>
      </c>
      <c r="Q220" s="45">
        <f t="shared" ca="1" si="156"/>
        <v>0.25</v>
      </c>
      <c r="R220" s="117">
        <f ca="1">模拟模式!$E$20*(1-IF(模拟模式!$J$19="有",0.15,0))*(1-IF(模拟模式!$K$19="有",0.3,0)-IF(CQ220,0.5,0))</f>
        <v>843.02999999999975</v>
      </c>
      <c r="S220" s="45">
        <f ca="1">R220/(R220+(185*模拟模式!$E$22-16800)*4.08224)</f>
        <v>8.389626085980037E-2</v>
      </c>
      <c r="T220" s="45" t="str">
        <f ca="1">LOOKUP(D220,'模拟-单技能数据'!$A$2:$A$19,'模拟-单技能数据'!$H$2:$H$19)</f>
        <v>阳</v>
      </c>
      <c r="U220" s="119">
        <f t="shared" ca="1" si="187"/>
        <v>0.2</v>
      </c>
      <c r="V220" s="47">
        <f ca="1">(1+L220)*(LOOKUP(D220,'模拟-单技能数据'!$A$2:$A$19,'模拟-单技能数据'!$D$2:$D$19)+G220*LOOKUP(D220,'模拟-单技能数据'!$A$2:$A$19,'模拟-单技能数据'!$F$2:$F$19))*(1+J220)*(1+K220)*(1-S220)*(1+U220)*Q220*LOOKUP(D220,'模拟-单技能数据'!$A$2:$A$19,'模拟-单技能数据'!$I$2:$I$20)</f>
        <v>12210.407963717831</v>
      </c>
      <c r="W220" s="47">
        <f ca="1">LOOKUP(D220,'模拟-单技能数据'!$A$2:$A$19,'模拟-单技能数据'!$G$2:$G$19)*$I$10</f>
        <v>361.51064354704795</v>
      </c>
      <c r="X220" s="47">
        <f t="shared" ca="1" si="157"/>
        <v>0</v>
      </c>
      <c r="Y220" s="47">
        <f t="shared" ca="1" si="188"/>
        <v>12571.918607264879</v>
      </c>
      <c r="Z220" s="49">
        <f t="shared" ca="1" si="189"/>
        <v>20170197.690556988</v>
      </c>
      <c r="AA220" s="97">
        <f t="shared" ca="1" si="190"/>
        <v>113288.66810203694</v>
      </c>
      <c r="AB220" s="115">
        <f ca="1">IF(OR(C220="赤日轮1",C220="赤日轮2",C220="赤日轮3"),IF(RAND()&lt;模拟模式!$Y$17,1,0),IF(OR(C220="幽月轮1",C220="幽月轮2",C220="幽月轮3"),IF(RAND()&lt;模拟模式!$Y$18,1,0),IF(C220="烈日斩",IF(RAND()&lt;模拟模式!$Y$19,1,0),IF(C220="银月斩",IF(RAND()&lt;模拟模式!$Y$20,1,0),IF(C220="驱夜断愁",IF(RAND()&lt;模拟模式!$Y$21,1,0),IF(C220="净世破魔击·日",IF(RAND()&lt;模拟模式!$Y$22,1,0),IF(C220="净世破魔击·月",IF(RAND()&lt;模拟模式!$Y$23,1,0),0)))))))</f>
        <v>1</v>
      </c>
      <c r="AC220" s="115" t="b">
        <f t="shared" ca="1" si="178"/>
        <v>0</v>
      </c>
      <c r="AD220" s="115" t="b">
        <f t="shared" ca="1" si="198"/>
        <v>0</v>
      </c>
      <c r="AE220" s="115">
        <f t="shared" ca="1" si="199"/>
        <v>5</v>
      </c>
      <c r="AF220" s="47">
        <f ca="1">IF(AC220,('模拟-单技能数据'!$D$20+G220*'模拟-单技能数据'!$F$20)*(1+J220)*(1+'模拟-单技能数据'!$J$20)*(1+U220),0)</f>
        <v>0</v>
      </c>
      <c r="AG220" s="61">
        <f t="shared" ca="1" si="191"/>
        <v>0.64185145527300214</v>
      </c>
      <c r="AH220" s="61">
        <f t="shared" ca="1" si="192"/>
        <v>2.2624828854998791</v>
      </c>
      <c r="AI220" s="62">
        <f t="shared" ca="1" si="158"/>
        <v>0.4350796785562866</v>
      </c>
      <c r="AJ220" s="47">
        <f ca="1">IF(AD220,IF(AI220&lt;$F$10,0,IF(AI220&lt;$F$10+$F$11,0.25,IF(AI220&lt;$F$10+$F$11+AG220,AH220,1)))*IF(AF220&gt;0,AF220,IF(AF219&gt;0,AF219,IF(AF218&gt;0,AF218,IF(AF217&gt;0,AF217,IF(AF216&gt;0,AF216,IF(AF215&gt;0,AF215,IF(AF214&gt;0,AF214,IF(AF213&gt;0,AF213,IF(AF212&gt;0,AF212,IF(AF210&gt;0,AF210,IF(AF209&gt;0,AF209,IF(AF208&gt;0,AF208,0)))))))))))),0)*(1-$S220)*'模拟-单技能数据'!$I$20</f>
        <v>0</v>
      </c>
      <c r="AK220" s="115" t="b">
        <f t="shared" ca="1" si="179"/>
        <v>0</v>
      </c>
      <c r="AL220" s="115" t="b">
        <f t="shared" ca="1" si="200"/>
        <v>0</v>
      </c>
      <c r="AM220" s="115">
        <f t="shared" ca="1" si="201"/>
        <v>4</v>
      </c>
      <c r="AN220" s="47">
        <f ca="1">IF(AK220,('模拟-单技能数据'!$D$21+G220*'模拟-单技能数据'!$F$21)*(1+J220)*(1+'模拟-单技能数据'!$J$21)*(1+U220),0)</f>
        <v>0</v>
      </c>
      <c r="AO220" s="61">
        <f ca="1">IF(AN220&gt;0,M220-'模拟-单技能数据'!$K$10,AO219)</f>
        <v>0.42185145527300216</v>
      </c>
      <c r="AP220" s="61">
        <f ca="1">IF(AN220&gt;0,I220-'模拟-单技能数据'!$L$10,AP219)</f>
        <v>2.162482885499879</v>
      </c>
      <c r="AQ220" s="63">
        <f t="shared" ca="1" si="159"/>
        <v>0.63311253225805264</v>
      </c>
      <c r="AR220" s="64">
        <f ca="1">IF(AL220,IF(AQ220&lt;$F$10,0,IF(AQ220&lt;$F$10+$F$11,0.25,IF(AQ220&lt;$F$10+$F$11+AO220,AP220,1)))*IF(AN220&gt;0,AN220,IF(AN219&gt;0,AN219,IF(AN218&gt;0,AN218,IF(AN217&gt;0,AN217,IF(AN216&gt;0,AN216,IF(AN215&gt;0,AN215,IF(AN214&gt;0,AN214,IF(AN213&gt;0,AN213,IF(AN212&gt;0,AN212,IF(AN210&gt;0,AN210,IF(AN209&gt;0,AN209,IF(AN208&gt;0,AN208,0)))))))))))),0)*(1-$S220)*'模拟-单技能数据'!$I$21</f>
        <v>0</v>
      </c>
      <c r="AS220" s="61">
        <f ca="1">IF(OR(C220="净世破魔击·日",C220="净世破魔击·月"),M220-'模拟-单技能数据'!$K$10,0)</f>
        <v>0</v>
      </c>
      <c r="AT220" s="61">
        <f ca="1">IF(OR(C220="净世破魔击·日",C220="净世破魔击·月"),I220-'模拟-单技能数据'!$L$10,0)</f>
        <v>0</v>
      </c>
      <c r="AU220" s="62">
        <f t="shared" ca="1" si="160"/>
        <v>0.84498234547093187</v>
      </c>
      <c r="AV220" s="64">
        <f ca="1">IF(AS220&gt;0,('模拟-单技能数据'!$D$22+G220*'模拟-单技能数据'!$F$22)*(1+J220)*(1-S220)*IF(AU220&lt;$F$10,0,IF(AU220&lt;$F$10+$F$11,0.25,IF(AU220&lt;$F$10+$F$11+AS220,AT220,1)))*(1+U220),0)*'模拟-单技能数据'!$I$22</f>
        <v>0</v>
      </c>
      <c r="AW220" s="108">
        <f t="shared" ca="1" si="161"/>
        <v>14.465000000000003</v>
      </c>
      <c r="AX220" s="108" t="b">
        <f ca="1">AND(模拟模式!$P$10="有",AW219=0,RAND()&lt;IF(C220="净世破魔击·月",0.1*8/3,IF(C220="净世破魔击·日",0.1*4/3,0.1*2/3)))</f>
        <v>0</v>
      </c>
      <c r="AY220" s="47">
        <f ca="1">IF(AX220,(18+G220*0.722)*(1+J220)*(1-S220)*(1+$I$4)*IF(P220="会",'模拟-全程加成'!$J$3+'模拟-全程加成'!$J$4+'模拟-全程加成'!$J$5+('模拟-全程加成'!$I$4+'模拟-全程加成'!$I$5)/系数!$B$4+BG220*10%,IF(P220="命",1,IF(P220="识",0.25,0))),0)</f>
        <v>0</v>
      </c>
      <c r="AZ220" s="108">
        <f t="shared" si="162"/>
        <v>4.3175000000000061</v>
      </c>
      <c r="BA220" s="108" t="b">
        <f>AND(模拟模式!$Q$10="有",AZ219=0)</f>
        <v>0</v>
      </c>
      <c r="BB220" s="140">
        <f>IF(BA220,(0+G220*0.287)*(1+J220)*(1-S220)*(1+$I$4)*IF(P220="会",'模拟-全程加成'!$J$3+'模拟-全程加成'!$J$4+'模拟-全程加成'!$J$5+('模拟-全程加成'!$I$4+'模拟-全程加成'!$I$5)/系数!$B$4+BG220*10%,IF(P220="命",1,IF(P220="识",0.25,0))),0)</f>
        <v>0</v>
      </c>
      <c r="BC220" s="115" t="b">
        <f ca="1">AND(模拟模式!$R$7="伏明众生",E220=60,F220=20,DA220&lt;5,CZ219&lt;$F$4)</f>
        <v>0</v>
      </c>
      <c r="BD220" s="115">
        <f t="shared" ca="1" si="180"/>
        <v>0</v>
      </c>
      <c r="BE220" s="115" t="b">
        <f t="shared" ca="1" si="181"/>
        <v>0</v>
      </c>
      <c r="BF220" s="47">
        <f ca="1">IF(BC220,4*('模拟-单技能数据'!$D$24+G220*'模拟-单技能数据'!$F$24)*(1+J220)*(1+'模拟-单技能数据'!$J$24)*(1-S220)*(1+$I$3)*(('模拟-全程加成'!$J$3+'模拟-全程加成'!$J$4+'模拟-全程加成'!$J$5+('模拟-全程加成'!$I$4+'模拟-全程加成'!$I$5)/系数!$B$4+BG220*10%)*('模拟-全程加成'!$J$3+'模拟-全程加成'!$J$4+'模拟-全程加成'!$J$5+('模拟-全程加成'!$I$4+'模拟-全程加成'!$I$5)/系数!$B$4+BG220*10%)+(1-('模拟-全程加成'!$J$3+'模拟-全程加成'!$J$4+'模拟-全程加成'!$J$5+('模拟-全程加成'!$I$4+'模拟-全程加成'!$I$5)/系数!$B$4+BG220*10%)-$F$10-$F$11)+F206*0.25),0)*'模拟-单技能数据'!$I$24</f>
        <v>0</v>
      </c>
      <c r="BG220" s="115" t="b">
        <f ca="1">OR(AND(OR(C220="烈日斩",C220="银月斩"),模拟模式!$I$7="净身明礼"),AND(C220="净世破魔击·日",模拟模式!$J$7="洞若观火"),AND(C221="净世破魔击·月",模拟模式!$J$7="洞若观火"),AB220=1)</f>
        <v>1</v>
      </c>
      <c r="BH220" s="115" t="b">
        <f t="shared" ca="1" si="163"/>
        <v>0</v>
      </c>
      <c r="BI220" s="115">
        <f t="shared" ca="1" si="182"/>
        <v>5.0774999999999997</v>
      </c>
      <c r="BJ220" s="115" t="b">
        <f t="shared" ca="1" si="193"/>
        <v>1</v>
      </c>
      <c r="BK220" s="115" t="b">
        <f ca="1">AND(C220="驱夜断愁",模拟模式!$P$7="天地诛戮")</f>
        <v>0</v>
      </c>
      <c r="BL220" s="57">
        <f t="shared" ca="1" si="183"/>
        <v>19.077500000000001</v>
      </c>
      <c r="BM220" s="115" t="b">
        <f t="shared" ca="1" si="194"/>
        <v>1</v>
      </c>
      <c r="BN220" s="115" t="b">
        <f ca="1">AND(OR(C220="赤日轮1",C220="赤日轮2",C220="赤日轮3",C220="幽月轮1",C220="幽月轮2",C220="幽月轮3"),AB220=1,模拟模式!$L$7="明光恒照")</f>
        <v>0</v>
      </c>
      <c r="BO220" s="117">
        <f t="shared" ca="1" si="184"/>
        <v>20.775000000000006</v>
      </c>
      <c r="BP220" s="115">
        <f t="shared" ca="1" si="164"/>
        <v>6</v>
      </c>
      <c r="BQ220" s="115" t="b">
        <f>模拟模式!$K$10="2600·水"</f>
        <v>0</v>
      </c>
      <c r="BR220" s="117">
        <f t="shared" si="165"/>
        <v>0</v>
      </c>
      <c r="BS220" s="115">
        <f t="shared" si="166"/>
        <v>0</v>
      </c>
      <c r="BT220" s="115">
        <f t="shared" ca="1" si="167"/>
        <v>0</v>
      </c>
      <c r="BU220" s="115" t="b">
        <f ca="1">AND(模拟模式!$K$10="2300·雷",BT219=0,RAND()&lt;IF(C220="净世破魔击·月",5*0.05*2/3,IF(C220="净世破魔击·日",3*0.05*2/3,0.05*2*2/3)))</f>
        <v>0</v>
      </c>
      <c r="BV220" s="115">
        <f t="shared" ca="1" si="168"/>
        <v>0</v>
      </c>
      <c r="BW220" s="115">
        <f t="shared" ca="1" si="169"/>
        <v>7.4924999999993096</v>
      </c>
      <c r="BX220" s="164" t="b">
        <f t="shared" ca="1" si="170"/>
        <v>0</v>
      </c>
      <c r="BY220" s="115">
        <f t="shared" ca="1" si="171"/>
        <v>0</v>
      </c>
      <c r="BZ220" s="115">
        <f>IF(OR(模拟模式!$P$16="10人团",模拟模式!$P$16="25人团"),IF(B220/30&gt;CA219,1,0),0)</f>
        <v>0</v>
      </c>
      <c r="CA220" s="115">
        <f t="shared" ref="CA220:CA283" si="203">CA219+BZ220</f>
        <v>0</v>
      </c>
      <c r="CB220" s="115">
        <f ca="1">IF(BZ220=1,IF(模拟模式!$P$16="10人团",15,0)+IF(模拟模式!$P$16="25人团",IF(RAND()&lt;0.6,15,0)),MAX(0,CB219-$F$4))</f>
        <v>0</v>
      </c>
      <c r="CC220" s="115" t="b">
        <f t="shared" ca="1" si="195"/>
        <v>0</v>
      </c>
      <c r="CD220" s="115">
        <f>IF(模拟模式!$Q$16="1个",IF(B220/40&gt;CE219,1,0),0)</f>
        <v>0</v>
      </c>
      <c r="CE220" s="115">
        <f t="shared" si="196"/>
        <v>0</v>
      </c>
      <c r="CF220" s="115">
        <f>IF(OR(CD220=1,模拟模式!$Q$16="2个"),20,MAX(0,CF219-$F$4))</f>
        <v>0</v>
      </c>
      <c r="CG220" s="115" t="b">
        <f t="shared" si="197"/>
        <v>0</v>
      </c>
      <c r="CH220" s="115">
        <f t="shared" ca="1" si="172"/>
        <v>18.007500000000007</v>
      </c>
      <c r="CI220" s="115" t="b">
        <f t="shared" ca="1" si="173"/>
        <v>0</v>
      </c>
      <c r="CJ220" s="119">
        <f t="shared" ca="1" si="174"/>
        <v>0</v>
      </c>
      <c r="CK220" s="115">
        <f t="shared" ca="1" si="175"/>
        <v>0</v>
      </c>
      <c r="CL220" s="115" t="b">
        <f ca="1">AND(模拟模式!$S$7="驱夷逐法",OR(AND(C220="净世破魔击·月",E219&gt;59),AND(C220="净世破魔击·日",F219&gt;59)))</f>
        <v>0</v>
      </c>
      <c r="CM220" s="115" t="b">
        <f ca="1">OR(CL220,AND(C220="净世破魔击·日",CL219,RAND()&lt;模拟模式!$U$23))</f>
        <v>0</v>
      </c>
      <c r="CN220" s="115" t="b">
        <f ca="1">IF(模拟模式!$M$7="辉耀红尘",AND(C220="净世破魔击·月",CL220,CV220=0,E219&lt;80),AND(C220="净世破魔击·月",CL220,E219&lt;100))</f>
        <v>0</v>
      </c>
      <c r="CO220" s="115" t="b">
        <f t="shared" ref="CO220:CO283" ca="1" si="204">AND(C220="净世破魔击·日",CL220,CV220=0)</f>
        <v>0</v>
      </c>
      <c r="CP220" s="115" t="b">
        <f ca="1">AND(模拟模式!$O$7="用晦而明",OR(C220="净世破魔击·日",C220="净世破魔击·月",C220="驱夜断愁"),AB220)</f>
        <v>0</v>
      </c>
      <c r="CQ220" s="115" t="b">
        <f ca="1">OR(CP220,AND(CP219,RAND()&lt;模拟模式!$U$23))</f>
        <v>1</v>
      </c>
      <c r="CR220" s="115" t="b">
        <f ca="1">AND(模拟模式!$S$7="日月齐光",OR(C220="幽月轮1",C220="幽月轮2",C220="幽月轮3",CR219),NOT(OR(C220="赤日轮1",C220="赤日轮2",C220="赤日轮3")))</f>
        <v>0</v>
      </c>
      <c r="CS220" s="115" t="b">
        <f ca="1">AND(模拟模式!$S$7="日月齐光",OR(C220="赤日轮1",C220="赤日轮2",C220="赤日轮3",CS219),NOT(OR(C220="幽月轮1",C220="幽月轮2",C220="幽月轮3")))</f>
        <v>0</v>
      </c>
      <c r="CT220" s="115">
        <f t="shared" ca="1" si="176"/>
        <v>21.697500000000005</v>
      </c>
      <c r="CU220" s="115" t="b">
        <f ca="1">AND(模拟模式!$K$10="阴阳往极",CT219=0,RAND()&lt;IF(C220="净世破魔击·月",0.0275*7/3,IF(C220="净世破魔击·日",0.0275*3/3,0.0275*2/3)))</f>
        <v>0</v>
      </c>
      <c r="CV220" s="115">
        <f t="shared" ca="1" si="177"/>
        <v>0</v>
      </c>
      <c r="CW220" s="115">
        <f t="shared" ref="CW220:CW283" ca="1" si="205">MAX(IF($C220="烈日斩",6,CW219-$F$4),0)</f>
        <v>6</v>
      </c>
      <c r="CX220" s="115">
        <f t="shared" ref="CX220:CX283" ca="1" si="206">MAX(IF($C220="银月斩",6,CX219-$F$4),0)</f>
        <v>4.1549999999999994</v>
      </c>
      <c r="CY220" s="115">
        <f ca="1">MAX(IF($C220="驱夜断愁",IF(模拟模式!$R$7="万念俱寂",6,45),CY219-$F$4),0)</f>
        <v>5.0774999999999997</v>
      </c>
      <c r="CZ220" s="115">
        <f t="shared" ref="CZ220:CZ283" ca="1" si="207">IF(BC220,25,MAX(0,CZ219-$F$4))</f>
        <v>0</v>
      </c>
      <c r="DA220" s="115">
        <f ca="1">IF(模拟模式!$N$7="日月同辉",IF(DB219=2,0,MIN(6,IF(AND(OR(C220="赤日轮1",C220="赤日轮2",C220="赤日轮3",C220="幽月轮1",C220="幽月轮2",C220="幽月轮3"),AB220=1),DA219+1,DA219))),0)</f>
        <v>2</v>
      </c>
      <c r="DB220" s="115">
        <f t="shared" ref="DB220:DB283" ca="1" si="208">MAX(0,IF(DA220=6,2,IF(OR(C220="净世破魔击·月",C220="净世破魔击·日"),DB219-1,DB219)))</f>
        <v>0</v>
      </c>
      <c r="DC220" s="115"/>
      <c r="DD220" s="115"/>
      <c r="DE220" s="115"/>
      <c r="DF220" s="115"/>
      <c r="DG220" s="115"/>
      <c r="DH220" s="115"/>
      <c r="DI220" s="115"/>
      <c r="DJ220" s="115"/>
      <c r="DK220" s="115"/>
      <c r="DL220" s="115"/>
      <c r="DM220" s="115"/>
    </row>
    <row r="221" spans="2:117" x14ac:dyDescent="0.2">
      <c r="B221" s="117">
        <f t="shared" ref="B221:B284" si="209">B220+$F$4</f>
        <v>178.96500000000069</v>
      </c>
      <c r="C221" s="167" t="str">
        <f t="shared" ca="1" si="202"/>
        <v>幽月轮1</v>
      </c>
      <c r="D221" s="115">
        <f ca="1">IF(C221="赤日轮1",1,IF(C221="赤日轮2",2,IF(C221="赤日轮3",3,IF(C221="幽月轮1",4,IF(C221="幽月轮2",5,IF(C221="幽月轮3",6,IF(C221="烈日斩",7,IF(C221="银月斩",8,IF(C221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221="净世破魔击·月",17,IF(C221="驱夜断愁",18,0)))))))))))</f>
        <v>4</v>
      </c>
      <c r="E221" s="115">
        <f ca="1">IF(AND(CU221,OR(C221="幽月轮1",C221="幽月轮2",C221="幽月轮3",C221="银月斩",C221="驱夜断愁",C221="净世破魔击·月")),100,MIN(IF(OR(CN221,BE221),0,IF(OR($C221="赤日轮1",$C221="赤日轮2",$C221="赤日轮3"),E220+20+IF(模拟模式!$I$7="日月凌天",4,0)+IF(CR220,20,0),IF($C221="烈日斩",E220+40,IF($C221="驱夜断愁",IF(模拟模式!$R$7="万念俱寂",E220+20,E220+60),IF($C221="净世破魔击·月",IF(OR(DB220&gt;0,CV220&gt;0),100,IF(模拟模式!$M$7="辉耀红尘",E220+20,E220)),IF($C221="净世破魔击·日",E220-100,E220)))))),100))</f>
        <v>80</v>
      </c>
      <c r="F221" s="115">
        <f ca="1">IF(AND(CU221,OR(C221="赤日轮1",C221="赤日轮2",C221="赤日轮3",C221="烈日斩",C221="净世破魔击·日")),100,MIN(IF(CO221,0,IF(OR($C221="幽月轮1",$C221="幽月轮2",$C221="幽月轮3"),F220+20+IF(模拟模式!$I$7="日月凌天",4,0)+IF(CS220,20,0),IF($C221="银月斩",F220+40+IF(模拟模式!$X$12=1,5,0),IF($C221="驱夜断愁",IF(模拟模式!$R$7="万念俱寂",F220+20,F220+60),IF($C221="净世破魔击·月",IF(模拟模式!$M$7="辉耀红尘",F220-80,F220-100),IF(AND(C221="净世破魔击·日",OR(DB220&gt;0,CV220&gt;0)),100,F220)))))),100))</f>
        <v>100</v>
      </c>
      <c r="G221" s="117">
        <f ca="1">('模拟-全程加成'!$E$3+'模拟-全程加成'!$E$4+'模拟-全程加成'!$E$5+('模拟-全程加成'!$C$6-'模拟-全程加成'!$C$3)*系数!$B$9+BS221*23)*(1+'模拟-全程加成'!$F$4+'模拟-全程加成'!$F$5+BJ221*10%+BM221*20%+BP221*4%+CG221*30%)+$F$7*系数!$B$12</f>
        <v>21493.829400000002</v>
      </c>
      <c r="H221" s="45">
        <f ca="1">'模拟-全程加成'!$H$3+'模拟-全程加成'!$H$4+'模拟-全程加成'!$H$5+('模拟-全程加成'!$G$4+'模拟-全程加成'!$G$5+('模拟-全程加成'!$C$6-'模拟-全程加成'!$C$3)*系数!$B$13)/系数!$B$3+LOOKUP(D221,'模拟-单技能数据'!$A$2:$A$19,'模拟-单技能数据'!$K$2:$K$19)+BG221*10%+IF(BV221&gt;0,378,0)</f>
        <v>0.51185145527300213</v>
      </c>
      <c r="I221" s="45">
        <f ca="1">'模拟-全程加成'!$J$3+'模拟-全程加成'!$J$4+'模拟-全程加成'!$J$5+('模拟-全程加成'!$I$4+'模拟-全程加成'!$I$5)/系数!$B$4+LOOKUP(D221,'模拟-单技能数据'!$A$2:$A$19,'模拟-单技能数据'!$L$2:$L$19)+BG221*10%</f>
        <v>2.162482885499879</v>
      </c>
      <c r="J221" s="45">
        <f ca="1">(('模拟-全程加成'!$K$3+'模拟-全程加成'!$K$4+'模拟-全程加成'!$K$5+('模拟-全程加成'!$C$6-'模拟-全程加成'!$C$3)*系数!$B$10+IF(BV221&gt;0,882,0)+IF(BY221&gt;0,1831,0))*(1+'模拟-全程加成'!$L$4+'模拟-全程加成'!$L$5+CC221*20%))/系数!$B$5</f>
        <v>0.69723220422048726</v>
      </c>
      <c r="K221" s="119">
        <f ca="1">LOOKUP(D221,'模拟-单技能数据'!$A$2:$A$19,'模拟-单技能数据'!$J$2:$J$19)+IF(CM221,60%,0)+IF(DB220-DB221&gt;0,30%,0)+IF(OR(AND(OR(C221="赤日轮1",C221="赤日轮2",C221="赤日轮3"),CR221),AND(OR(C221="幽月轮1",C221="幽月轮2",C221="幽月轮3"),CS221)),35%,0)+CJ221</f>
        <v>7.0000000000000007E-2</v>
      </c>
      <c r="L221" s="119">
        <f ca="1">IF(AND(C221="烈日斩",模拟模式!$X$11=1),10%,0)+IF(AND(C221="驱夜断愁",AB221=1),30%,0)</f>
        <v>0</v>
      </c>
      <c r="M221" s="45">
        <f t="shared" ca="1" si="185"/>
        <v>0.51185145527300213</v>
      </c>
      <c r="N221" s="45">
        <f t="shared" ca="1" si="186"/>
        <v>0.43424854472699792</v>
      </c>
      <c r="O221" s="46">
        <f t="shared" ref="O221:O284" ca="1" si="210">RAND()</f>
        <v>7.4087289948718715E-2</v>
      </c>
      <c r="P221" s="46" t="str">
        <f t="shared" ref="P221:P284" ca="1" si="211">IF(O221&lt;$F$10,"偏",IF(O221&lt;$F$10+$F$11,"识",IF(O221&lt;$F$10+$F$11+H221,"会","命")))</f>
        <v>会</v>
      </c>
      <c r="Q221" s="45">
        <f t="shared" ref="Q221:Q284" ca="1" si="212">IF(P221="会",I221,IF(P221="命",1,IF(P221="识",0.25,0)))</f>
        <v>2.162482885499879</v>
      </c>
      <c r="R221" s="117">
        <f ca="1">模拟模式!$E$20*(1-IF(模拟模式!$J$19="有",0.15,0))*(1-IF(模拟模式!$K$19="有",0.3,0)-IF(CQ221,0.5,0))</f>
        <v>2950.6049999999996</v>
      </c>
      <c r="S221" s="45">
        <f ca="1">R221/(R221+(185*模拟模式!$E$22-16800)*4.08224)</f>
        <v>0.24272716014590323</v>
      </c>
      <c r="T221" s="45" t="str">
        <f ca="1">LOOKUP(D221,'模拟-单技能数据'!$A$2:$A$19,'模拟-单技能数据'!$H$2:$H$19)</f>
        <v>阴</v>
      </c>
      <c r="U221" s="119">
        <f t="shared" ca="1" si="187"/>
        <v>0.08</v>
      </c>
      <c r="V221" s="47">
        <f ca="1">(1+L221)*(LOOKUP(D221,'模拟-单技能数据'!$A$2:$A$19,'模拟-单技能数据'!$D$2:$D$19)+G221*LOOKUP(D221,'模拟-单技能数据'!$A$2:$A$19,'模拟-单技能数据'!$F$2:$F$19))*(1+J221)*(1+K221)*(1-S221)*(1+U221)*Q221*LOOKUP(D221,'模拟-单技能数据'!$A$2:$A$19,'模拟-单技能数据'!$I$2:$I$20)</f>
        <v>36630.702053185581</v>
      </c>
      <c r="W221" s="47">
        <f ca="1">LOOKUP(D221,'模拟-单技能数据'!$A$2:$A$19,'模拟-单技能数据'!$G$2:$G$19)*$I$10</f>
        <v>361.51064354704795</v>
      </c>
      <c r="X221" s="47">
        <f t="shared" ref="X221:X284" ca="1" si="213">AJ221+AR221+AV221+BF221+AY221+BB221</f>
        <v>23242.954719083282</v>
      </c>
      <c r="Y221" s="47">
        <f t="shared" ca="1" si="188"/>
        <v>60235.167415815915</v>
      </c>
      <c r="Z221" s="49">
        <f t="shared" ca="1" si="189"/>
        <v>20230432.857972804</v>
      </c>
      <c r="AA221" s="97">
        <f t="shared" ca="1" si="190"/>
        <v>113041.28102127637</v>
      </c>
      <c r="AB221" s="115">
        <f ca="1">IF(OR(C221="赤日轮1",C221="赤日轮2",C221="赤日轮3"),IF(RAND()&lt;模拟模式!$Y$17,1,0),IF(OR(C221="幽月轮1",C221="幽月轮2",C221="幽月轮3"),IF(RAND()&lt;模拟模式!$Y$18,1,0),IF(C221="烈日斩",IF(RAND()&lt;模拟模式!$Y$19,1,0),IF(C221="银月斩",IF(RAND()&lt;模拟模式!$Y$20,1,0),IF(C221="驱夜断愁",IF(RAND()&lt;模拟模式!$Y$21,1,0),IF(C221="净世破魔击·日",IF(RAND()&lt;模拟模式!$Y$22,1,0),IF(C221="净世破魔击·月",IF(RAND()&lt;模拟模式!$Y$23,1,0),0)))))))</f>
        <v>1</v>
      </c>
      <c r="AC221" s="115" t="b">
        <f t="shared" ca="1" si="178"/>
        <v>0</v>
      </c>
      <c r="AD221" s="115" t="b">
        <f t="shared" ca="1" si="198"/>
        <v>1</v>
      </c>
      <c r="AE221" s="115">
        <f t="shared" ca="1" si="199"/>
        <v>4</v>
      </c>
      <c r="AF221" s="47">
        <f ca="1">IF(AC221,('模拟-单技能数据'!$D$20+G221*'模拟-单技能数据'!$F$20)*(1+J221)*(1+'模拟-单技能数据'!$J$20)*(1+U221),0)</f>
        <v>0</v>
      </c>
      <c r="AG221" s="61">
        <f t="shared" ca="1" si="191"/>
        <v>0.64185145527300214</v>
      </c>
      <c r="AH221" s="61">
        <f t="shared" ca="1" si="192"/>
        <v>2.2624828854998791</v>
      </c>
      <c r="AI221" s="62">
        <f t="shared" ref="AI221:AI284" ca="1" si="214">RAND()</f>
        <v>0.82503238888651698</v>
      </c>
      <c r="AJ221" s="47">
        <f ca="1">IF(AD221,IF(AI221&lt;$F$10,0,IF(AI221&lt;$F$10+$F$11,0.25,IF(AI221&lt;$F$10+$F$11+AG221,AH221,1)))*IF(AF221&gt;0,AF221,IF(AF220&gt;0,AF220,IF(AF219&gt;0,AF219,IF(AF218&gt;0,AF218,IF(AF217&gt;0,AF217,IF(AF216&gt;0,AF216,IF(AF215&gt;0,AF215,IF(AF214&gt;0,AF214,IF(AF213&gt;0,AF213,IF(AF211&gt;0,AF211,IF(AF210&gt;0,AF210,IF(AF209&gt;0,AF209,0)))))))))))),0)*(1-$S221)*'模拟-单技能数据'!$I$20</f>
        <v>3368.2409654332282</v>
      </c>
      <c r="AK221" s="115" t="b">
        <f t="shared" ca="1" si="179"/>
        <v>0</v>
      </c>
      <c r="AL221" s="115" t="b">
        <f t="shared" ca="1" si="200"/>
        <v>1</v>
      </c>
      <c r="AM221" s="115">
        <f t="shared" ca="1" si="201"/>
        <v>3</v>
      </c>
      <c r="AN221" s="47">
        <f ca="1">IF(AK221,('模拟-单技能数据'!$D$21+G221*'模拟-单技能数据'!$F$21)*(1+J221)*(1+'模拟-单技能数据'!$J$21)*(1+U221),0)</f>
        <v>0</v>
      </c>
      <c r="AO221" s="61">
        <f ca="1">IF(AN221&gt;0,M221-'模拟-单技能数据'!$K$10,AO220)</f>
        <v>0.42185145527300216</v>
      </c>
      <c r="AP221" s="61">
        <f ca="1">IF(AN221&gt;0,I221-'模拟-单技能数据'!$L$10,AP220)</f>
        <v>2.162482885499879</v>
      </c>
      <c r="AQ221" s="63">
        <f t="shared" ref="AQ221:AQ284" ca="1" si="215">RAND()</f>
        <v>0.10101191920564279</v>
      </c>
      <c r="AR221" s="64">
        <f ca="1">IF(AL221,IF(AQ221&lt;$F$10,0,IF(AQ221&lt;$F$10+$F$11,0.25,IF(AQ221&lt;$F$10+$F$11+AO221,AP221,1)))*IF(AN221&gt;0,AN221,IF(AN220&gt;0,AN220,IF(AN219&gt;0,AN219,IF(AN218&gt;0,AN218,IF(AN217&gt;0,AN217,IF(AN216&gt;0,AN216,IF(AN215&gt;0,AN215,IF(AN214&gt;0,AN214,IF(AN213&gt;0,AN213,IF(AN211&gt;0,AN211,IF(AN210&gt;0,AN210,IF(AN209&gt;0,AN209,0)))))))))))),0)*(1-$S221)*'模拟-单技能数据'!$I$21</f>
        <v>19874.713753650052</v>
      </c>
      <c r="AS221" s="61">
        <f ca="1">IF(OR(C221="净世破魔击·日",C221="净世破魔击·月"),M221-'模拟-单技能数据'!$K$10,0)</f>
        <v>0</v>
      </c>
      <c r="AT221" s="61">
        <f ca="1">IF(OR(C221="净世破魔击·日",C221="净世破魔击·月"),I221-'模拟-单技能数据'!$L$10,0)</f>
        <v>0</v>
      </c>
      <c r="AU221" s="62">
        <f t="shared" ref="AU221:AU284" ca="1" si="216">RAND()</f>
        <v>0.32676304814445722</v>
      </c>
      <c r="AV221" s="64">
        <f ca="1">IF(AS221&gt;0,('模拟-单技能数据'!$D$22+G221*'模拟-单技能数据'!$F$22)*(1+J221)*(1-S221)*IF(AU221&lt;$F$10,0,IF(AU221&lt;$F$10+$F$11,0.25,IF(AU221&lt;$F$10+$F$11+AS221,AT221,1)))*(1+U221),0)*'模拟-单技能数据'!$I$22</f>
        <v>0</v>
      </c>
      <c r="AW221" s="108">
        <f t="shared" ref="AW221:AW284" ca="1" si="217">IF(AX221,20-$F$4,MAX(AW220-$F$4,0))</f>
        <v>13.542500000000004</v>
      </c>
      <c r="AX221" s="108" t="b">
        <f ca="1">AND(模拟模式!$P$10="有",AW220=0,RAND()&lt;IF(C221="净世破魔击·月",0.1*8/3,IF(C221="净世破魔击·日",0.1*4/3,0.1*2/3)))</f>
        <v>0</v>
      </c>
      <c r="AY221" s="47">
        <f ca="1">IF(AX221,(18+G221*0.722)*(1+J221)*(1-S221)*(1+$I$4)*IF(P221="会",'模拟-全程加成'!$J$3+'模拟-全程加成'!$J$4+'模拟-全程加成'!$J$5+('模拟-全程加成'!$I$4+'模拟-全程加成'!$I$5)/系数!$B$4+BG221*10%,IF(P221="命",1,IF(P221="识",0.25,0))),0)</f>
        <v>0</v>
      </c>
      <c r="AZ221" s="108">
        <f t="shared" ref="AZ221:AZ284" si="218">IF(BA221,20-$F$4,MAX(AZ220-$F$4,0))</f>
        <v>3.3950000000000062</v>
      </c>
      <c r="BA221" s="108" t="b">
        <f>AND(模拟模式!$Q$10="有",AZ220=0)</f>
        <v>0</v>
      </c>
      <c r="BB221" s="140">
        <f>IF(BA221,(0+G221*0.287)*(1+J221)*(1-S221)*(1+$I$4)*IF(P221="会",'模拟-全程加成'!$J$3+'模拟-全程加成'!$J$4+'模拟-全程加成'!$J$5+('模拟-全程加成'!$I$4+'模拟-全程加成'!$I$5)/系数!$B$4+BG221*10%,IF(P221="命",1,IF(P221="识",0.25,0))),0)</f>
        <v>0</v>
      </c>
      <c r="BC221" s="115" t="b">
        <f ca="1">AND(模拟模式!$R$7="伏明众生",E221=60,F221=20,DA221&lt;5,CZ220&lt;$F$4)</f>
        <v>0</v>
      </c>
      <c r="BD221" s="115">
        <f t="shared" ca="1" si="180"/>
        <v>0</v>
      </c>
      <c r="BE221" s="115" t="b">
        <f t="shared" ca="1" si="181"/>
        <v>0</v>
      </c>
      <c r="BF221" s="47">
        <f ca="1">IF(BC221,4*('模拟-单技能数据'!$D$24+G221*'模拟-单技能数据'!$F$24)*(1+J221)*(1+'模拟-单技能数据'!$J$24)*(1-S221)*(1+$I$3)*(('模拟-全程加成'!$J$3+'模拟-全程加成'!$J$4+'模拟-全程加成'!$J$5+('模拟-全程加成'!$I$4+'模拟-全程加成'!$I$5)/系数!$B$4+BG221*10%)*('模拟-全程加成'!$J$3+'模拟-全程加成'!$J$4+'模拟-全程加成'!$J$5+('模拟-全程加成'!$I$4+'模拟-全程加成'!$I$5)/系数!$B$4+BG221*10%)+(1-('模拟-全程加成'!$J$3+'模拟-全程加成'!$J$4+'模拟-全程加成'!$J$5+('模拟-全程加成'!$I$4+'模拟-全程加成'!$I$5)/系数!$B$4+BG221*10%)-$F$10-$F$11)+F207*0.25),0)*'模拟-单技能数据'!$I$24</f>
        <v>0</v>
      </c>
      <c r="BG221" s="115" t="b">
        <f ca="1">OR(AND(OR(C221="烈日斩",C221="银月斩"),模拟模式!$I$7="净身明礼"),AND(C221="净世破魔击·日",模拟模式!$J$7="洞若观火"),AND(C222="净世破魔击·月",模拟模式!$J$7="洞若观火"),AB221=1)</f>
        <v>1</v>
      </c>
      <c r="BH221" s="115" t="b">
        <f t="shared" ref="BH221:BH284" ca="1" si="219">RAND()&lt;IF(C221="净世破魔击·月",4*$I$7,IF(C221="净世破魔击·日",2*$I$7,$I$7))</f>
        <v>0</v>
      </c>
      <c r="BI221" s="115">
        <f t="shared" ca="1" si="182"/>
        <v>4.1549999999999994</v>
      </c>
      <c r="BJ221" s="115" t="b">
        <f t="shared" ca="1" si="193"/>
        <v>1</v>
      </c>
      <c r="BK221" s="115" t="b">
        <f ca="1">AND(C221="驱夜断愁",模拟模式!$P$7="天地诛戮")</f>
        <v>0</v>
      </c>
      <c r="BL221" s="57">
        <f t="shared" ca="1" si="183"/>
        <v>18.155000000000001</v>
      </c>
      <c r="BM221" s="115" t="b">
        <f t="shared" ca="1" si="194"/>
        <v>1</v>
      </c>
      <c r="BN221" s="115" t="b">
        <f ca="1">AND(OR(C221="赤日轮1",C221="赤日轮2",C221="赤日轮3",C221="幽月轮1",C221="幽月轮2",C221="幽月轮3"),AB221=1,模拟模式!$L$7="明光恒照")</f>
        <v>1</v>
      </c>
      <c r="BO221" s="117">
        <f t="shared" ca="1" si="184"/>
        <v>30</v>
      </c>
      <c r="BP221" s="115">
        <f t="shared" ref="BP221:BP284" ca="1" si="220">IF(BO221&gt;0,MIN(6,IF(BN221,BP220+1,BP220)),0)</f>
        <v>6</v>
      </c>
      <c r="BQ221" s="115" t="b">
        <f>模拟模式!$K$10="2600·水"</f>
        <v>0</v>
      </c>
      <c r="BR221" s="117">
        <f t="shared" ref="BR221:BR284" si="221">IF(BQ221,6,MAX(0,BR220-$F$4))</f>
        <v>0</v>
      </c>
      <c r="BS221" s="115">
        <f t="shared" ref="BS221:BS284" si="222">IF(BR221&gt;0,MIN(10,IF(BQ221,BS220+IF(C221="净世破魔击·月",4,IF(C221="净世破魔击·日",2,1)),BS220)),0)</f>
        <v>0</v>
      </c>
      <c r="BT221" s="115">
        <f t="shared" ref="BT221:BT284" ca="1" si="223">IF(BU221,60-$F$4,MAX(0,BT220-$F$4))</f>
        <v>0</v>
      </c>
      <c r="BU221" s="115" t="b">
        <f ca="1">AND(模拟模式!$K$10="2300·雷",BT220=0,RAND()&lt;IF(C221="净世破魔击·月",5*0.05*2/3,IF(C221="净世破魔击·日",3*0.05*2/3,0.05*2*2/3)))</f>
        <v>0</v>
      </c>
      <c r="BV221" s="115">
        <f t="shared" ref="BV221:BV284" ca="1" si="224">IF(BU221,15-$F$4,MAX(0,BV220-$F$4))</f>
        <v>0</v>
      </c>
      <c r="BW221" s="115">
        <f t="shared" ref="BW221:BW284" ca="1" si="225">IF(BX221,180-$F$4,MAX(0,BW220-$F$4))</f>
        <v>6.5699999999993093</v>
      </c>
      <c r="BX221" s="164" t="b">
        <f t="shared" ref="BX221:BX284" ca="1" si="226">AND(BW220=0,OR(AND(E220=80,F220=100),CU221))</f>
        <v>0</v>
      </c>
      <c r="BY221" s="115">
        <f t="shared" ref="BY221:BY284" ca="1" si="227">IF(BX221,15-$F$4,MAX(0,BY220-$F$4))</f>
        <v>0</v>
      </c>
      <c r="BZ221" s="115">
        <f>IF(OR(模拟模式!$P$16="10人团",模拟模式!$P$16="25人团"),IF(B221/30&gt;CA220,1,0),0)</f>
        <v>0</v>
      </c>
      <c r="CA221" s="115">
        <f t="shared" si="203"/>
        <v>0</v>
      </c>
      <c r="CB221" s="115">
        <f ca="1">IF(BZ221=1,IF(模拟模式!$P$16="10人团",15,0)+IF(模拟模式!$P$16="25人团",IF(RAND()&lt;0.6,15,0)),MAX(0,CB220-$F$4))</f>
        <v>0</v>
      </c>
      <c r="CC221" s="115" t="b">
        <f t="shared" ca="1" si="195"/>
        <v>0</v>
      </c>
      <c r="CD221" s="115">
        <f>IF(模拟模式!$Q$16="1个",IF(B221/40&gt;CE220,1,0),0)</f>
        <v>0</v>
      </c>
      <c r="CE221" s="115">
        <f t="shared" si="196"/>
        <v>0</v>
      </c>
      <c r="CF221" s="115">
        <f>IF(OR(CD221=1,模拟模式!$Q$16="2个"),20,MAX(0,CF220-$F$4))</f>
        <v>0</v>
      </c>
      <c r="CG221" s="115" t="b">
        <f t="shared" si="197"/>
        <v>0</v>
      </c>
      <c r="CH221" s="115">
        <f t="shared" ref="CH221:CH284" ca="1" si="228">IF(CI221,30-$F$4,MAX(0,CH220-$F$4))</f>
        <v>17.085000000000008</v>
      </c>
      <c r="CI221" s="115" t="b">
        <f t="shared" ref="CI221:CI284" ca="1" si="229">AND(CH220=0,RAND()&lt;IF(C221="净世破魔击·月",4*0.2*2/3,IF(C221="净世破魔击·日",2*0.2*2/3,0.2*2/3)))</f>
        <v>0</v>
      </c>
      <c r="CJ221" s="119">
        <f t="shared" ref="CJ221:CJ284" ca="1" si="230">IF(CI221,IF(RAND()&lt;0.7,0.05,0.01),IF(CK221&gt;0,CJ220,0))</f>
        <v>0</v>
      </c>
      <c r="CK221" s="115">
        <f t="shared" ref="CK221:CK284" ca="1" si="231">IF(CI221,8-$F$4,MAX(0,CK220-$F$4))</f>
        <v>0</v>
      </c>
      <c r="CL221" s="115" t="b">
        <f ca="1">AND(模拟模式!$S$7="驱夷逐法",OR(AND(C221="净世破魔击·月",E220&gt;59),AND(C221="净世破魔击·日",F220&gt;59)))</f>
        <v>0</v>
      </c>
      <c r="CM221" s="115" t="b">
        <f ca="1">OR(CL221,AND(C221="净世破魔击·日",CL220,RAND()&lt;模拟模式!$U$23))</f>
        <v>0</v>
      </c>
      <c r="CN221" s="115" t="b">
        <f ca="1">IF(模拟模式!$M$7="辉耀红尘",AND(C221="净世破魔击·月",CL221,CV221=0,E220&lt;80),AND(C221="净世破魔击·月",CL221,E220&lt;100))</f>
        <v>0</v>
      </c>
      <c r="CO221" s="115" t="b">
        <f t="shared" ca="1" si="204"/>
        <v>0</v>
      </c>
      <c r="CP221" s="115" t="b">
        <f ca="1">AND(模拟模式!$O$7="用晦而明",OR(C221="净世破魔击·日",C221="净世破魔击·月",C221="驱夜断愁"),AB221)</f>
        <v>0</v>
      </c>
      <c r="CQ221" s="115" t="b">
        <f ca="1">OR(CP221,AND(CP220,RAND()&lt;模拟模式!$U$23))</f>
        <v>0</v>
      </c>
      <c r="CR221" s="115" t="b">
        <f ca="1">AND(模拟模式!$S$7="日月齐光",OR(C221="幽月轮1",C221="幽月轮2",C221="幽月轮3",CR220),NOT(OR(C221="赤日轮1",C221="赤日轮2",C221="赤日轮3")))</f>
        <v>0</v>
      </c>
      <c r="CS221" s="115" t="b">
        <f ca="1">AND(模拟模式!$S$7="日月齐光",OR(C221="赤日轮1",C221="赤日轮2",C221="赤日轮3",CS220),NOT(OR(C221="幽月轮1",C221="幽月轮2",C221="幽月轮3")))</f>
        <v>0</v>
      </c>
      <c r="CT221" s="115">
        <f t="shared" ref="CT221:CT284" ca="1" si="232">IF(CU221,30,MAX(CT220-$F$4,0))</f>
        <v>20.775000000000006</v>
      </c>
      <c r="CU221" s="115" t="b">
        <f ca="1">AND(模拟模式!$K$10="阴阳往极",CT220=0,RAND()&lt;IF(C221="净世破魔击·月",0.0275*7/3,IF(C221="净世破魔击·日",0.0275*3/3,0.0275*2/3)))</f>
        <v>0</v>
      </c>
      <c r="CV221" s="115">
        <f t="shared" ref="CV221:CV284" ca="1" si="233">IF(CU221,5-$F$4,MAX(CV220-$F$4,0))</f>
        <v>0</v>
      </c>
      <c r="CW221" s="115">
        <f t="shared" ca="1" si="205"/>
        <v>5.0774999999999997</v>
      </c>
      <c r="CX221" s="115">
        <f t="shared" ca="1" si="206"/>
        <v>3.2324999999999995</v>
      </c>
      <c r="CY221" s="115">
        <f ca="1">MAX(IF($C221="驱夜断愁",IF(模拟模式!$R$7="万念俱寂",6,45),CY220-$F$4),0)</f>
        <v>4.1549999999999994</v>
      </c>
      <c r="CZ221" s="115">
        <f t="shared" ca="1" si="207"/>
        <v>0</v>
      </c>
      <c r="DA221" s="115">
        <f ca="1">IF(模拟模式!$N$7="日月同辉",IF(DB220=2,0,MIN(6,IF(AND(OR(C221="赤日轮1",C221="赤日轮2",C221="赤日轮3",C221="幽月轮1",C221="幽月轮2",C221="幽月轮3"),AB221=1),DA220+1,DA220))),0)</f>
        <v>3</v>
      </c>
      <c r="DB221" s="115">
        <f t="shared" ca="1" si="208"/>
        <v>0</v>
      </c>
      <c r="DC221" s="115"/>
      <c r="DD221" s="115"/>
      <c r="DE221" s="115"/>
      <c r="DF221" s="115"/>
      <c r="DG221" s="115"/>
      <c r="DH221" s="115"/>
      <c r="DI221" s="115"/>
      <c r="DJ221" s="115"/>
      <c r="DK221" s="115"/>
      <c r="DL221" s="115"/>
      <c r="DM221" s="115"/>
    </row>
    <row r="222" spans="2:117" x14ac:dyDescent="0.2">
      <c r="B222" s="117">
        <f t="shared" si="209"/>
        <v>179.8875000000007</v>
      </c>
      <c r="C222" s="167" t="str">
        <f t="shared" ca="1" si="202"/>
        <v>净世破魔击·月</v>
      </c>
      <c r="D222" s="115">
        <f ca="1">IF(C222="赤日轮1",1,IF(C222="赤日轮2",2,IF(C222="赤日轮3",3,IF(C222="幽月轮1",4,IF(C222="幽月轮2",5,IF(C222="幽月轮3",6,IF(C222="烈日斩",7,IF(C222="银月斩",8,IF(C222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222="净世破魔击·月",17,IF(C222="驱夜断愁",18,0)))))))))))</f>
        <v>17</v>
      </c>
      <c r="E222" s="115">
        <f ca="1">IF(AND(CU222,OR(C222="幽月轮1",C222="幽月轮2",C222="幽月轮3",C222="银月斩",C222="驱夜断愁",C222="净世破魔击·月")),100,MIN(IF(OR(CN222,BE222),0,IF(OR($C222="赤日轮1",$C222="赤日轮2",$C222="赤日轮3"),E221+20+IF(模拟模式!$I$7="日月凌天",4,0)+IF(CR221,20,0),IF($C222="烈日斩",E221+40,IF($C222="驱夜断愁",IF(模拟模式!$R$7="万念俱寂",E221+20,E221+60),IF($C222="净世破魔击·月",IF(OR(DB221&gt;0,CV221&gt;0),100,IF(模拟模式!$M$7="辉耀红尘",E221+20,E221)),IF($C222="净世破魔击·日",E221-100,E221)))))),100))</f>
        <v>100</v>
      </c>
      <c r="F222" s="115">
        <f ca="1">IF(AND(CU222,OR(C222="赤日轮1",C222="赤日轮2",C222="赤日轮3",C222="烈日斩",C222="净世破魔击·日")),100,MIN(IF(CO222,0,IF(OR($C222="幽月轮1",$C222="幽月轮2",$C222="幽月轮3"),F221+20+IF(模拟模式!$I$7="日月凌天",4,0)+IF(CS221,20,0),IF($C222="银月斩",F221+40+IF(模拟模式!$X$12=1,5,0),IF($C222="驱夜断愁",IF(模拟模式!$R$7="万念俱寂",F221+20,F221+60),IF($C222="净世破魔击·月",IF(模拟模式!$M$7="辉耀红尘",F221-80,F221-100),IF(AND(C222="净世破魔击·日",OR(DB221&gt;0,CV221&gt;0)),100,F221)))))),100))</f>
        <v>20</v>
      </c>
      <c r="G222" s="117">
        <f ca="1">('模拟-全程加成'!$E$3+'模拟-全程加成'!$E$4+'模拟-全程加成'!$E$5+('模拟-全程加成'!$C$6-'模拟-全程加成'!$C$3)*系数!$B$9+BS222*23)*(1+'模拟-全程加成'!$F$4+'模拟-全程加成'!$F$5+BJ222*10%+BM222*20%+BP222*4%+CG222*30%)+$F$7*系数!$B$12</f>
        <v>21493.829400000002</v>
      </c>
      <c r="H222" s="45">
        <f ca="1">'模拟-全程加成'!$H$3+'模拟-全程加成'!$H$4+'模拟-全程加成'!$H$5+('模拟-全程加成'!$G$4+'模拟-全程加成'!$G$5+('模拟-全程加成'!$C$6-'模拟-全程加成'!$C$3)*系数!$B$13)/系数!$B$3+LOOKUP(D222,'模拟-单技能数据'!$A$2:$A$19,'模拟-单技能数据'!$K$2:$K$19)+BG222*10%+IF(BV222&gt;0,378,0)</f>
        <v>0.54185145527300216</v>
      </c>
      <c r="I222" s="45">
        <f ca="1">'模拟-全程加成'!$J$3+'模拟-全程加成'!$J$4+'模拟-全程加成'!$J$5+('模拟-全程加成'!$I$4+'模拟-全程加成'!$I$5)/系数!$B$4+LOOKUP(D222,'模拟-单技能数据'!$A$2:$A$19,'模拟-单技能数据'!$L$2:$L$19)+BG222*10%</f>
        <v>2.162482885499879</v>
      </c>
      <c r="J222" s="45">
        <f ca="1">(('模拟-全程加成'!$K$3+'模拟-全程加成'!$K$4+'模拟-全程加成'!$K$5+('模拟-全程加成'!$C$6-'模拟-全程加成'!$C$3)*系数!$B$10+IF(BV222&gt;0,882,0)+IF(BY222&gt;0,1831,0))*(1+'模拟-全程加成'!$L$4+'模拟-全程加成'!$L$5+CC222*20%))/系数!$B$5</f>
        <v>0.69723220422048726</v>
      </c>
      <c r="K222" s="119">
        <f ca="1">LOOKUP(D222,'模拟-单技能数据'!$A$2:$A$19,'模拟-单技能数据'!$J$2:$J$19)+IF(CM222,60%,0)+IF(DB221-DB222&gt;0,30%,0)+IF(OR(AND(OR(C222="赤日轮1",C222="赤日轮2",C222="赤日轮3"),CR222),AND(OR(C222="幽月轮1",C222="幽月轮2",C222="幽月轮3"),CS222)),35%,0)+CJ222</f>
        <v>0.8</v>
      </c>
      <c r="L222" s="119">
        <f ca="1">IF(AND(C222="烈日斩",模拟模式!$X$11=1),10%,0)+IF(AND(C222="驱夜断愁",AB222=1),30%,0)</f>
        <v>0</v>
      </c>
      <c r="M222" s="45">
        <f t="shared" ca="1" si="185"/>
        <v>0.54185145527300216</v>
      </c>
      <c r="N222" s="45">
        <f t="shared" ca="1" si="186"/>
        <v>0.40424854472699789</v>
      </c>
      <c r="O222" s="46">
        <f t="shared" ca="1" si="210"/>
        <v>0.33836112512806471</v>
      </c>
      <c r="P222" s="46" t="str">
        <f t="shared" ca="1" si="211"/>
        <v>会</v>
      </c>
      <c r="Q222" s="45">
        <f t="shared" ca="1" si="212"/>
        <v>2.162482885499879</v>
      </c>
      <c r="R222" s="117">
        <f ca="1">模拟模式!$E$20*(1-IF(模拟模式!$J$19="有",0.15,0))*(1-IF(模拟模式!$K$19="有",0.3,0)-IF(CQ222,0.5,0))</f>
        <v>843.02999999999975</v>
      </c>
      <c r="S222" s="45">
        <f ca="1">R222/(R222+(185*模拟模式!$E$22-16800)*4.08224)</f>
        <v>8.389626085980037E-2</v>
      </c>
      <c r="T222" s="45" t="str">
        <f ca="1">LOOKUP(D222,'模拟-单技能数据'!$A$2:$A$19,'模拟-单技能数据'!$H$2:$H$19)</f>
        <v>阴</v>
      </c>
      <c r="U222" s="119">
        <f t="shared" ca="1" si="187"/>
        <v>0.08</v>
      </c>
      <c r="V222" s="47">
        <f ca="1">(1+L222)*(LOOKUP(D222,'模拟-单技能数据'!$A$2:$A$19,'模拟-单技能数据'!$D$2:$D$19)+G222*LOOKUP(D222,'模拟-单技能数据'!$A$2:$A$19,'模拟-单技能数据'!$F$2:$F$19))*(1+J222)*(1+K222)*(1-S222)*(1+U222)*Q222*LOOKUP(D222,'模拟-单技能数据'!$A$2:$A$19,'模拟-单技能数据'!$I$2:$I$20)</f>
        <v>182541.2211190153</v>
      </c>
      <c r="W222" s="47">
        <f ca="1">LOOKUP(D222,'模拟-单技能数据'!$A$2:$A$19,'模拟-单技能数据'!$G$2:$G$19)*$I$10</f>
        <v>361.51064354704795</v>
      </c>
      <c r="X222" s="47">
        <f t="shared" ca="1" si="213"/>
        <v>7956.2107573714466</v>
      </c>
      <c r="Y222" s="47">
        <f t="shared" ca="1" si="188"/>
        <v>190858.9425199338</v>
      </c>
      <c r="Z222" s="49">
        <f t="shared" ca="1" si="189"/>
        <v>20421291.800492737</v>
      </c>
      <c r="AA222" s="97">
        <f t="shared" ca="1" si="190"/>
        <v>113522.57272179922</v>
      </c>
      <c r="AB222" s="115">
        <f ca="1">IF(OR(C222="赤日轮1",C222="赤日轮2",C222="赤日轮3"),IF(RAND()&lt;模拟模式!$Y$17,1,0),IF(OR(C222="幽月轮1",C222="幽月轮2",C222="幽月轮3"),IF(RAND()&lt;模拟模式!$Y$18,1,0),IF(C222="烈日斩",IF(RAND()&lt;模拟模式!$Y$19,1,0),IF(C222="银月斩",IF(RAND()&lt;模拟模式!$Y$20,1,0),IF(C222="驱夜断愁",IF(RAND()&lt;模拟模式!$Y$21,1,0),IF(C222="净世破魔击·日",IF(RAND()&lt;模拟模式!$Y$22,1,0),IF(C222="净世破魔击·月",IF(RAND()&lt;模拟模式!$Y$23,1,0),0)))))))</f>
        <v>1</v>
      </c>
      <c r="AC222" s="115" t="b">
        <f t="shared" ca="1" si="178"/>
        <v>0</v>
      </c>
      <c r="AD222" s="115" t="b">
        <f t="shared" ca="1" si="198"/>
        <v>0</v>
      </c>
      <c r="AE222" s="115">
        <f t="shared" ca="1" si="199"/>
        <v>4</v>
      </c>
      <c r="AF222" s="47">
        <f ca="1">IF(AC222,('模拟-单技能数据'!$D$20+G222*'模拟-单技能数据'!$F$20)*(1+J222)*(1+'模拟-单技能数据'!$J$20)*(1+U222),0)</f>
        <v>0</v>
      </c>
      <c r="AG222" s="61">
        <f t="shared" ca="1" si="191"/>
        <v>0.64185145527300214</v>
      </c>
      <c r="AH222" s="61">
        <f t="shared" ca="1" si="192"/>
        <v>2.2624828854998791</v>
      </c>
      <c r="AI222" s="62">
        <f t="shared" ca="1" si="214"/>
        <v>0.99671400378582675</v>
      </c>
      <c r="AJ222" s="47">
        <f ca="1">IF(AD222,IF(AI222&lt;$F$10,0,IF(AI222&lt;$F$10+$F$11,0.25,IF(AI222&lt;$F$10+$F$11+AG222,AH222,1)))*IF(AF222&gt;0,AF222,IF(AF221&gt;0,AF221,IF(AF220&gt;0,AF220,IF(AF219&gt;0,AF219,IF(AF218&gt;0,AF218,IF(AF217&gt;0,AF217,IF(AF216&gt;0,AF216,IF(AF215&gt;0,AF215,IF(AF214&gt;0,AF214,IF(AF212&gt;0,AF212,IF(AF211&gt;0,AF211,IF(AF210&gt;0,AF210,0)))))))))))),0)*(1-$S222)*'模拟-单技能数据'!$I$20</f>
        <v>0</v>
      </c>
      <c r="AK222" s="115" t="b">
        <f t="shared" ca="1" si="179"/>
        <v>0</v>
      </c>
      <c r="AL222" s="115" t="b">
        <f t="shared" ca="1" si="200"/>
        <v>0</v>
      </c>
      <c r="AM222" s="115">
        <f t="shared" ca="1" si="201"/>
        <v>3</v>
      </c>
      <c r="AN222" s="47">
        <f ca="1">IF(AK222,('模拟-单技能数据'!$D$21+G222*'模拟-单技能数据'!$F$21)*(1+J222)*(1+'模拟-单技能数据'!$J$21)*(1+U222),0)</f>
        <v>0</v>
      </c>
      <c r="AO222" s="61">
        <f ca="1">IF(AN222&gt;0,M222-'模拟-单技能数据'!$K$10,AO221)</f>
        <v>0.42185145527300216</v>
      </c>
      <c r="AP222" s="61">
        <f ca="1">IF(AN222&gt;0,I222-'模拟-单技能数据'!$L$10,AP221)</f>
        <v>2.162482885499879</v>
      </c>
      <c r="AQ222" s="63">
        <f t="shared" ca="1" si="215"/>
        <v>0.16932519515240108</v>
      </c>
      <c r="AR222" s="64">
        <f ca="1">IF(AL222,IF(AQ222&lt;$F$10,0,IF(AQ222&lt;$F$10+$F$11,0.25,IF(AQ222&lt;$F$10+$F$11+AO222,AP222,1)))*IF(AN222&gt;0,AN222,IF(AN221&gt;0,AN221,IF(AN220&gt;0,AN220,IF(AN219&gt;0,AN219,IF(AN218&gt;0,AN218,IF(AN217&gt;0,AN217,IF(AN216&gt;0,AN216,IF(AN215&gt;0,AN215,IF(AN214&gt;0,AN214,IF(AN212&gt;0,AN212,IF(AN211&gt;0,AN211,IF(AN210&gt;0,AN210,0)))))))))))),0)*(1-$S222)*'模拟-单技能数据'!$I$21</f>
        <v>0</v>
      </c>
      <c r="AS222" s="61">
        <f ca="1">IF(OR(C222="净世破魔击·日",C222="净世破魔击·月"),M222-'模拟-单技能数据'!$K$10,0)</f>
        <v>0.42185145527300216</v>
      </c>
      <c r="AT222" s="61">
        <f ca="1">IF(OR(C222="净世破魔击·日",C222="净世破魔击·月"),I222-'模拟-单技能数据'!$L$10,0)</f>
        <v>2.162482885499879</v>
      </c>
      <c r="AU222" s="62">
        <f t="shared" ca="1" si="216"/>
        <v>0.8722746982417392</v>
      </c>
      <c r="AV222" s="64">
        <f ca="1">IF(AS222&gt;0,('模拟-单技能数据'!$D$22+G222*'模拟-单技能数据'!$F$22)*(1+J222)*(1-S222)*IF(AU222&lt;$F$10,0,IF(AU222&lt;$F$10+$F$11,0.25,IF(AU222&lt;$F$10+$F$11+AS222,AT222,1)))*(1+U222),0)*'模拟-单技能数据'!$I$22</f>
        <v>7956.2107573714466</v>
      </c>
      <c r="AW222" s="108">
        <f t="shared" ca="1" si="217"/>
        <v>12.620000000000005</v>
      </c>
      <c r="AX222" s="108" t="b">
        <f ca="1">AND(模拟模式!$P$10="有",AW221=0,RAND()&lt;IF(C222="净世破魔击·月",0.1*8/3,IF(C222="净世破魔击·日",0.1*4/3,0.1*2/3)))</f>
        <v>0</v>
      </c>
      <c r="AY222" s="47">
        <f ca="1">IF(AX222,(18+G222*0.722)*(1+J222)*(1-S222)*(1+$I$4)*IF(P222="会",'模拟-全程加成'!$J$3+'模拟-全程加成'!$J$4+'模拟-全程加成'!$J$5+('模拟-全程加成'!$I$4+'模拟-全程加成'!$I$5)/系数!$B$4+BG222*10%,IF(P222="命",1,IF(P222="识",0.25,0))),0)</f>
        <v>0</v>
      </c>
      <c r="AZ222" s="108">
        <f t="shared" si="218"/>
        <v>2.4725000000000064</v>
      </c>
      <c r="BA222" s="108" t="b">
        <f>AND(模拟模式!$Q$10="有",AZ221=0)</f>
        <v>0</v>
      </c>
      <c r="BB222" s="140">
        <f>IF(BA222,(0+G222*0.287)*(1+J222)*(1-S222)*(1+$I$4)*IF(P222="会",'模拟-全程加成'!$J$3+'模拟-全程加成'!$J$4+'模拟-全程加成'!$J$5+('模拟-全程加成'!$I$4+'模拟-全程加成'!$I$5)/系数!$B$4+BG222*10%,IF(P222="命",1,IF(P222="识",0.25,0))),0)</f>
        <v>0</v>
      </c>
      <c r="BC222" s="115" t="b">
        <f ca="1">AND(模拟模式!$R$7="伏明众生",E222=60,F222=20,DA222&lt;5,CZ221&lt;$F$4)</f>
        <v>0</v>
      </c>
      <c r="BD222" s="115">
        <f t="shared" ca="1" si="180"/>
        <v>0</v>
      </c>
      <c r="BE222" s="115" t="b">
        <f t="shared" ca="1" si="181"/>
        <v>0</v>
      </c>
      <c r="BF222" s="47">
        <f ca="1">IF(BC222,4*('模拟-单技能数据'!$D$24+G222*'模拟-单技能数据'!$F$24)*(1+J222)*(1+'模拟-单技能数据'!$J$24)*(1-S222)*(1+$I$3)*(('模拟-全程加成'!$J$3+'模拟-全程加成'!$J$4+'模拟-全程加成'!$J$5+('模拟-全程加成'!$I$4+'模拟-全程加成'!$I$5)/系数!$B$4+BG222*10%)*('模拟-全程加成'!$J$3+'模拟-全程加成'!$J$4+'模拟-全程加成'!$J$5+('模拟-全程加成'!$I$4+'模拟-全程加成'!$I$5)/系数!$B$4+BG222*10%)+(1-('模拟-全程加成'!$J$3+'模拟-全程加成'!$J$4+'模拟-全程加成'!$J$5+('模拟-全程加成'!$I$4+'模拟-全程加成'!$I$5)/系数!$B$4+BG222*10%)-$F$10-$F$11)+F208*0.25),0)*'模拟-单技能数据'!$I$24</f>
        <v>0</v>
      </c>
      <c r="BG222" s="115" t="b">
        <f ca="1">OR(AND(OR(C222="烈日斩",C222="银月斩"),模拟模式!$I$7="净身明礼"),AND(C222="净世破魔击·日",模拟模式!$J$7="洞若观火"),AND(C223="净世破魔击·月",模拟模式!$J$7="洞若观火"),AB222=1)</f>
        <v>1</v>
      </c>
      <c r="BH222" s="115" t="b">
        <f t="shared" ca="1" si="219"/>
        <v>0</v>
      </c>
      <c r="BI222" s="115">
        <f t="shared" ca="1" si="182"/>
        <v>3.2324999999999995</v>
      </c>
      <c r="BJ222" s="115" t="b">
        <f t="shared" ca="1" si="193"/>
        <v>1</v>
      </c>
      <c r="BK222" s="115" t="b">
        <f ca="1">AND(C222="驱夜断愁",模拟模式!$P$7="天地诛戮")</f>
        <v>0</v>
      </c>
      <c r="BL222" s="57">
        <f t="shared" ca="1" si="183"/>
        <v>17.232500000000002</v>
      </c>
      <c r="BM222" s="115" t="b">
        <f t="shared" ca="1" si="194"/>
        <v>1</v>
      </c>
      <c r="BN222" s="115" t="b">
        <f ca="1">AND(OR(C222="赤日轮1",C222="赤日轮2",C222="赤日轮3",C222="幽月轮1",C222="幽月轮2",C222="幽月轮3"),AB222=1,模拟模式!$L$7="明光恒照")</f>
        <v>0</v>
      </c>
      <c r="BO222" s="117">
        <f t="shared" ca="1" si="184"/>
        <v>29.077500000000001</v>
      </c>
      <c r="BP222" s="115">
        <f t="shared" ca="1" si="220"/>
        <v>6</v>
      </c>
      <c r="BQ222" s="115" t="b">
        <f>模拟模式!$K$10="2600·水"</f>
        <v>0</v>
      </c>
      <c r="BR222" s="117">
        <f t="shared" si="221"/>
        <v>0</v>
      </c>
      <c r="BS222" s="115">
        <f t="shared" si="222"/>
        <v>0</v>
      </c>
      <c r="BT222" s="115">
        <f t="shared" ca="1" si="223"/>
        <v>0</v>
      </c>
      <c r="BU222" s="115" t="b">
        <f ca="1">AND(模拟模式!$K$10="2300·雷",BT221=0,RAND()&lt;IF(C222="净世破魔击·月",5*0.05*2/3,IF(C222="净世破魔击·日",3*0.05*2/3,0.05*2*2/3)))</f>
        <v>0</v>
      </c>
      <c r="BV222" s="115">
        <f t="shared" ca="1" si="224"/>
        <v>0</v>
      </c>
      <c r="BW222" s="115">
        <f t="shared" ca="1" si="225"/>
        <v>5.647499999999309</v>
      </c>
      <c r="BX222" s="164" t="b">
        <f t="shared" ca="1" si="226"/>
        <v>0</v>
      </c>
      <c r="BY222" s="115">
        <f t="shared" ca="1" si="227"/>
        <v>0</v>
      </c>
      <c r="BZ222" s="115">
        <f>IF(OR(模拟模式!$P$16="10人团",模拟模式!$P$16="25人团"),IF(B222/30&gt;CA221,1,0),0)</f>
        <v>0</v>
      </c>
      <c r="CA222" s="115">
        <f t="shared" si="203"/>
        <v>0</v>
      </c>
      <c r="CB222" s="115">
        <f ca="1">IF(BZ222=1,IF(模拟模式!$P$16="10人团",15,0)+IF(模拟模式!$P$16="25人团",IF(RAND()&lt;0.6,15,0)),MAX(0,CB221-$F$4))</f>
        <v>0</v>
      </c>
      <c r="CC222" s="115" t="b">
        <f t="shared" ca="1" si="195"/>
        <v>0</v>
      </c>
      <c r="CD222" s="115">
        <f>IF(模拟模式!$Q$16="1个",IF(B222/40&gt;CE221,1,0),0)</f>
        <v>0</v>
      </c>
      <c r="CE222" s="115">
        <f t="shared" si="196"/>
        <v>0</v>
      </c>
      <c r="CF222" s="115">
        <f>IF(OR(CD222=1,模拟模式!$Q$16="2个"),20,MAX(0,CF221-$F$4))</f>
        <v>0</v>
      </c>
      <c r="CG222" s="115" t="b">
        <f t="shared" si="197"/>
        <v>0</v>
      </c>
      <c r="CH222" s="115">
        <f t="shared" ca="1" si="228"/>
        <v>16.162500000000009</v>
      </c>
      <c r="CI222" s="115" t="b">
        <f t="shared" ca="1" si="229"/>
        <v>0</v>
      </c>
      <c r="CJ222" s="119">
        <f t="shared" ca="1" si="230"/>
        <v>0</v>
      </c>
      <c r="CK222" s="115">
        <f t="shared" ca="1" si="231"/>
        <v>0</v>
      </c>
      <c r="CL222" s="115" t="b">
        <f ca="1">AND(模拟模式!$S$7="驱夷逐法",OR(AND(C222="净世破魔击·月",E221&gt;59),AND(C222="净世破魔击·日",F221&gt;59)))</f>
        <v>1</v>
      </c>
      <c r="CM222" s="115" t="b">
        <f ca="1">OR(CL222,AND(C222="净世破魔击·日",CL221,RAND()&lt;模拟模式!$U$23))</f>
        <v>1</v>
      </c>
      <c r="CN222" s="115" t="b">
        <f ca="1">IF(模拟模式!$M$7="辉耀红尘",AND(C222="净世破魔击·月",CL222,CV222=0,E221&lt;80),AND(C222="净世破魔击·月",CL222,E221&lt;100))</f>
        <v>0</v>
      </c>
      <c r="CO222" s="115" t="b">
        <f t="shared" ca="1" si="204"/>
        <v>0</v>
      </c>
      <c r="CP222" s="115" t="b">
        <f ca="1">AND(模拟模式!$O$7="用晦而明",OR(C222="净世破魔击·日",C222="净世破魔击·月",C222="驱夜断愁"),AB222)</f>
        <v>1</v>
      </c>
      <c r="CQ222" s="115" t="b">
        <f ca="1">OR(CP222,AND(CP221,RAND()&lt;模拟模式!$U$23))</f>
        <v>1</v>
      </c>
      <c r="CR222" s="115" t="b">
        <f ca="1">AND(模拟模式!$S$7="日月齐光",OR(C222="幽月轮1",C222="幽月轮2",C222="幽月轮3",CR221),NOT(OR(C222="赤日轮1",C222="赤日轮2",C222="赤日轮3")))</f>
        <v>0</v>
      </c>
      <c r="CS222" s="115" t="b">
        <f ca="1">AND(模拟模式!$S$7="日月齐光",OR(C222="赤日轮1",C222="赤日轮2",C222="赤日轮3",CS221),NOT(OR(C222="幽月轮1",C222="幽月轮2",C222="幽月轮3")))</f>
        <v>0</v>
      </c>
      <c r="CT222" s="115">
        <f t="shared" ca="1" si="232"/>
        <v>19.852500000000006</v>
      </c>
      <c r="CU222" s="115" t="b">
        <f ca="1">AND(模拟模式!$K$10="阴阳往极",CT221=0,RAND()&lt;IF(C222="净世破魔击·月",0.0275*7/3,IF(C222="净世破魔击·日",0.0275*3/3,0.0275*2/3)))</f>
        <v>0</v>
      </c>
      <c r="CV222" s="115">
        <f t="shared" ca="1" si="233"/>
        <v>0</v>
      </c>
      <c r="CW222" s="115">
        <f t="shared" ca="1" si="205"/>
        <v>4.1549999999999994</v>
      </c>
      <c r="CX222" s="115">
        <f t="shared" ca="1" si="206"/>
        <v>2.3099999999999996</v>
      </c>
      <c r="CY222" s="115">
        <f ca="1">MAX(IF($C222="驱夜断愁",IF(模拟模式!$R$7="万念俱寂",6,45),CY221-$F$4),0)</f>
        <v>3.2324999999999995</v>
      </c>
      <c r="CZ222" s="115">
        <f t="shared" ca="1" si="207"/>
        <v>0</v>
      </c>
      <c r="DA222" s="115">
        <f ca="1">IF(模拟模式!$N$7="日月同辉",IF(DB221=2,0,MIN(6,IF(AND(OR(C222="赤日轮1",C222="赤日轮2",C222="赤日轮3",C222="幽月轮1",C222="幽月轮2",C222="幽月轮3"),AB222=1),DA221+1,DA221))),0)</f>
        <v>3</v>
      </c>
      <c r="DB222" s="115">
        <f t="shared" ca="1" si="208"/>
        <v>0</v>
      </c>
      <c r="DC222" s="115"/>
      <c r="DD222" s="115"/>
      <c r="DE222" s="115"/>
      <c r="DF222" s="115"/>
      <c r="DG222" s="115"/>
      <c r="DH222" s="115"/>
      <c r="DI222" s="115"/>
      <c r="DJ222" s="115"/>
      <c r="DK222" s="115"/>
      <c r="DL222" s="115"/>
      <c r="DM222" s="115"/>
    </row>
    <row r="223" spans="2:117" x14ac:dyDescent="0.2">
      <c r="B223" s="117">
        <f t="shared" si="209"/>
        <v>180.81000000000071</v>
      </c>
      <c r="C223" s="167" t="str">
        <f t="shared" ca="1" si="202"/>
        <v>净世破魔击·日</v>
      </c>
      <c r="D223" s="115">
        <f ca="1">IF(C223="赤日轮1",1,IF(C223="赤日轮2",2,IF(C223="赤日轮3",3,IF(C223="幽月轮1",4,IF(C223="幽月轮2",5,IF(C223="幽月轮3",6,IF(C223="烈日斩",7,IF(C223="银月斩",8,IF(C223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223="净世破魔击·月",17,IF(C223="驱夜断愁",18,0)))))))))))</f>
        <v>9</v>
      </c>
      <c r="E223" s="115">
        <f ca="1">IF(AND(CU223,OR(C223="幽月轮1",C223="幽月轮2",C223="幽月轮3",C223="银月斩",C223="驱夜断愁",C223="净世破魔击·月")),100,MIN(IF(OR(CN223,BE223),0,IF(OR($C223="赤日轮1",$C223="赤日轮2",$C223="赤日轮3"),E222+20+IF(模拟模式!$I$7="日月凌天",4,0)+IF(CR222,20,0),IF($C223="烈日斩",E222+40,IF($C223="驱夜断愁",IF(模拟模式!$R$7="万念俱寂",E222+20,E222+60),IF($C223="净世破魔击·月",IF(OR(DB222&gt;0,CV222&gt;0),100,IF(模拟模式!$M$7="辉耀红尘",E222+20,E222)),IF($C223="净世破魔击·日",E222-100,E222)))))),100))</f>
        <v>0</v>
      </c>
      <c r="F223" s="115">
        <f ca="1">IF(AND(CU223,OR(C223="赤日轮1",C223="赤日轮2",C223="赤日轮3",C223="烈日斩",C223="净世破魔击·日")),100,MIN(IF(CO223,0,IF(OR($C223="幽月轮1",$C223="幽月轮2",$C223="幽月轮3"),F222+20+IF(模拟模式!$I$7="日月凌天",4,0)+IF(CS222,20,0),IF($C223="银月斩",F222+40+IF(模拟模式!$X$12=1,5,0),IF($C223="驱夜断愁",IF(模拟模式!$R$7="万念俱寂",F222+20,F222+60),IF($C223="净世破魔击·月",IF(模拟模式!$M$7="辉耀红尘",F222-80,F222-100),IF(AND(C223="净世破魔击·日",OR(DB222&gt;0,CV222&gt;0)),100,F222)))))),100))</f>
        <v>20</v>
      </c>
      <c r="G223" s="117">
        <f ca="1">('模拟-全程加成'!$E$3+'模拟-全程加成'!$E$4+'模拟-全程加成'!$E$5+('模拟-全程加成'!$C$6-'模拟-全程加成'!$C$3)*系数!$B$9+BS223*23)*(1+'模拟-全程加成'!$F$4+'模拟-全程加成'!$F$5+BJ223*10%+BM223*20%+BP223*4%+CG223*30%)+$F$7*系数!$B$12</f>
        <v>21493.829400000002</v>
      </c>
      <c r="H223" s="45">
        <f ca="1">'模拟-全程加成'!$H$3+'模拟-全程加成'!$H$4+'模拟-全程加成'!$H$5+('模拟-全程加成'!$G$4+'模拟-全程加成'!$G$5+('模拟-全程加成'!$C$6-'模拟-全程加成'!$C$3)*系数!$B$13)/系数!$B$3+LOOKUP(D223,'模拟-单技能数据'!$A$2:$A$19,'模拟-单技能数据'!$K$2:$K$19)+BG223*10%+IF(BV223&gt;0,378,0)</f>
        <v>0.54185145527300216</v>
      </c>
      <c r="I223" s="45">
        <f ca="1">'模拟-全程加成'!$J$3+'模拟-全程加成'!$J$4+'模拟-全程加成'!$J$5+('模拟-全程加成'!$I$4+'模拟-全程加成'!$I$5)/系数!$B$4+LOOKUP(D223,'模拟-单技能数据'!$A$2:$A$19,'模拟-单技能数据'!$L$2:$L$19)+BG223*10%</f>
        <v>2.162482885499879</v>
      </c>
      <c r="J223" s="45">
        <f ca="1">(('模拟-全程加成'!$K$3+'模拟-全程加成'!$K$4+'模拟-全程加成'!$K$5+('模拟-全程加成'!$C$6-'模拟-全程加成'!$C$3)*系数!$B$10+IF(BV223&gt;0,882,0)+IF(BY223&gt;0,1831,0))*(1+'模拟-全程加成'!$L$4+'模拟-全程加成'!$L$5+CC223*20%))/系数!$B$5</f>
        <v>0.69723220422048726</v>
      </c>
      <c r="K223" s="119">
        <f ca="1">LOOKUP(D223,'模拟-单技能数据'!$A$2:$A$19,'模拟-单技能数据'!$J$2:$J$19)+IF(CM223,60%,0)+IF(DB222-DB223&gt;0,30%,0)+IF(OR(AND(OR(C223="赤日轮1",C223="赤日轮2",C223="赤日轮3"),CR223),AND(OR(C223="幽月轮1",C223="幽月轮2",C223="幽月轮3"),CS223)),35%,0)+CJ223</f>
        <v>0.8</v>
      </c>
      <c r="L223" s="119">
        <f ca="1">IF(AND(C223="烈日斩",模拟模式!$X$11=1),10%,0)+IF(AND(C223="驱夜断愁",AB223=1),30%,0)</f>
        <v>0</v>
      </c>
      <c r="M223" s="45">
        <f t="shared" ca="1" si="185"/>
        <v>0.54185145527300216</v>
      </c>
      <c r="N223" s="45">
        <f t="shared" ca="1" si="186"/>
        <v>0.40424854472699789</v>
      </c>
      <c r="O223" s="46">
        <f t="shared" ca="1" si="210"/>
        <v>0.50156647939212395</v>
      </c>
      <c r="P223" s="46" t="str">
        <f t="shared" ca="1" si="211"/>
        <v>会</v>
      </c>
      <c r="Q223" s="45">
        <f t="shared" ca="1" si="212"/>
        <v>2.162482885499879</v>
      </c>
      <c r="R223" s="117">
        <f ca="1">模拟模式!$E$20*(1-IF(模拟模式!$J$19="有",0.15,0))*(1-IF(模拟模式!$K$19="有",0.3,0)-IF(CQ223,0.5,0))</f>
        <v>843.02999999999975</v>
      </c>
      <c r="S223" s="45">
        <f ca="1">R223/(R223+(185*模拟模式!$E$22-16800)*4.08224)</f>
        <v>8.389626085980037E-2</v>
      </c>
      <c r="T223" s="45" t="str">
        <f ca="1">LOOKUP(D223,'模拟-单技能数据'!$A$2:$A$19,'模拟-单技能数据'!$H$2:$H$19)</f>
        <v>阳</v>
      </c>
      <c r="U223" s="119">
        <f t="shared" ca="1" si="187"/>
        <v>0.2</v>
      </c>
      <c r="V223" s="47">
        <f ca="1">(1+L223)*(LOOKUP(D223,'模拟-单技能数据'!$A$2:$A$19,'模拟-单技能数据'!$D$2:$D$19)+G223*LOOKUP(D223,'模拟-单技能数据'!$A$2:$A$19,'模拟-单技能数据'!$F$2:$F$19))*(1+J223)*(1+K223)*(1-S223)*(1+U223)*Q223*LOOKUP(D223,'模拟-单技能数据'!$A$2:$A$19,'模拟-单技能数据'!$I$2:$I$20)</f>
        <v>204517.60843249681</v>
      </c>
      <c r="W223" s="47">
        <f ca="1">LOOKUP(D223,'模拟-单技能数据'!$A$2:$A$19,'模拟-单技能数据'!$G$2:$G$19)*$I$10</f>
        <v>723.0212870940959</v>
      </c>
      <c r="X223" s="47">
        <f t="shared" ca="1" si="213"/>
        <v>48293.420596729586</v>
      </c>
      <c r="Y223" s="47">
        <f t="shared" ca="1" si="188"/>
        <v>253534.0503163205</v>
      </c>
      <c r="Z223" s="49">
        <f t="shared" ca="1" si="189"/>
        <v>20674825.850809056</v>
      </c>
      <c r="AA223" s="97">
        <f t="shared" ca="1" si="190"/>
        <v>114345.58846750166</v>
      </c>
      <c r="AB223" s="115">
        <f ca="1">IF(OR(C223="赤日轮1",C223="赤日轮2",C223="赤日轮3"),IF(RAND()&lt;模拟模式!$Y$17,1,0),IF(OR(C223="幽月轮1",C223="幽月轮2",C223="幽月轮3"),IF(RAND()&lt;模拟模式!$Y$18,1,0),IF(C223="烈日斩",IF(RAND()&lt;模拟模式!$Y$19,1,0),IF(C223="银月斩",IF(RAND()&lt;模拟模式!$Y$20,1,0),IF(C223="驱夜断愁",IF(RAND()&lt;模拟模式!$Y$21,1,0),IF(C223="净世破魔击·日",IF(RAND()&lt;模拟模式!$Y$22,1,0),IF(C223="净世破魔击·月",IF(RAND()&lt;模拟模式!$Y$23,1,0),0)))))))</f>
        <v>1</v>
      </c>
      <c r="AC223" s="115" t="b">
        <f t="shared" ca="1" si="178"/>
        <v>0</v>
      </c>
      <c r="AD223" s="115" t="b">
        <f t="shared" ca="1" si="198"/>
        <v>1</v>
      </c>
      <c r="AE223" s="115">
        <f t="shared" ca="1" si="199"/>
        <v>3</v>
      </c>
      <c r="AF223" s="47">
        <f ca="1">IF(AC223,('模拟-单技能数据'!$D$20+G223*'模拟-单技能数据'!$F$20)*(1+J223)*(1+'模拟-单技能数据'!$J$20)*(1+U223),0)</f>
        <v>0</v>
      </c>
      <c r="AG223" s="61">
        <f t="shared" ca="1" si="191"/>
        <v>0.64185145527300214</v>
      </c>
      <c r="AH223" s="61">
        <f t="shared" ca="1" si="192"/>
        <v>2.2624828854998791</v>
      </c>
      <c r="AI223" s="62">
        <f t="shared" ca="1" si="214"/>
        <v>0.99836418408041672</v>
      </c>
      <c r="AJ223" s="47">
        <f ca="1">IF(AD223,IF(AI223&lt;$F$10,0,IF(AI223&lt;$F$10+$F$11,0.25,IF(AI223&lt;$F$10+$F$11+AG223,AH223,1)))*IF(AF223&gt;0,AF223,IF(AF222&gt;0,AF222,IF(AF221&gt;0,AF221,IF(AF220&gt;0,AF220,IF(AF219&gt;0,AF219,IF(AF218&gt;0,AF218,IF(AF217&gt;0,AF217,IF(AF216&gt;0,AF216,IF(AF215&gt;0,AF215,IF(AF213&gt;0,AF213,IF(AF212&gt;0,AF212,IF(AF211&gt;0,AF211,0)))))))))))),0)*(1-$S223)*'模拟-单技能数据'!$I$20</f>
        <v>4074.6980221198578</v>
      </c>
      <c r="AK223" s="115" t="b">
        <f t="shared" ca="1" si="179"/>
        <v>1</v>
      </c>
      <c r="AL223" s="115" t="b">
        <f t="shared" ca="1" si="200"/>
        <v>1</v>
      </c>
      <c r="AM223" s="115">
        <f t="shared" ca="1" si="201"/>
        <v>5</v>
      </c>
      <c r="AN223" s="47">
        <f ca="1">IF(AK223,('模拟-单技能数据'!$D$21+G223*'模拟-单技能数据'!$F$21)*(1+J223)*(1+'模拟-单技能数据'!$J$21)*(1+U223),0)</f>
        <v>12670.936004857545</v>
      </c>
      <c r="AO223" s="61">
        <f ca="1">IF(AN223&gt;0,M223-'模拟-单技能数据'!$K$10,AO222)</f>
        <v>0.42185145527300216</v>
      </c>
      <c r="AP223" s="61">
        <f ca="1">IF(AN223&gt;0,I223-'模拟-单技能数据'!$L$10,AP222)</f>
        <v>2.162482885499879</v>
      </c>
      <c r="AQ223" s="63">
        <f t="shared" ca="1" si="215"/>
        <v>0.2998377064126142</v>
      </c>
      <c r="AR223" s="64">
        <f ca="1">IF(AL223,IF(AQ223&lt;$F$10,0,IF(AQ223&lt;$F$10+$F$11,0.25,IF(AQ223&lt;$F$10+$F$11+AO223,AP223,1)))*IF(AN223&gt;0,AN223,IF(AN222&gt;0,AN222,IF(AN221&gt;0,AN221,IF(AN220&gt;0,AN220,IF(AN219&gt;0,AN219,IF(AN218&gt;0,AN218,IF(AN217&gt;0,AN217,IF(AN216&gt;0,AN216,IF(AN215&gt;0,AN215,IF(AN213&gt;0,AN213,IF(AN212&gt;0,AN212,IF(AN211&gt;0,AN211,0)))))))))))),0)*(1-$S223)*'模拟-单技能数据'!$I$21</f>
        <v>25101.867467669974</v>
      </c>
      <c r="AS223" s="61">
        <f ca="1">IF(OR(C223="净世破魔击·日",C223="净世破魔击·月"),M223-'模拟-单技能数据'!$K$10,0)</f>
        <v>0.42185145527300216</v>
      </c>
      <c r="AT223" s="61">
        <f ca="1">IF(OR(C223="净世破魔击·日",C223="净世破魔击·月"),I223-'模拟-单技能数据'!$L$10,0)</f>
        <v>2.162482885499879</v>
      </c>
      <c r="AU223" s="62">
        <f t="shared" ca="1" si="216"/>
        <v>5.4040109895977517E-2</v>
      </c>
      <c r="AV223" s="64">
        <f ca="1">IF(AS223&gt;0,('模拟-单技能数据'!$D$22+G223*'模拟-单技能数据'!$F$22)*(1+J223)*(1-S223)*IF(AU223&lt;$F$10,0,IF(AU223&lt;$F$10+$F$11,0.25,IF(AU223&lt;$F$10+$F$11+AS223,AT223,1)))*(1+U223),0)*'模拟-单技能数据'!$I$22</f>
        <v>19116.855106939758</v>
      </c>
      <c r="AW223" s="108">
        <f t="shared" ca="1" si="217"/>
        <v>11.697500000000005</v>
      </c>
      <c r="AX223" s="108" t="b">
        <f ca="1">AND(模拟模式!$P$10="有",AW222=0,RAND()&lt;IF(C223="净世破魔击·月",0.1*8/3,IF(C223="净世破魔击·日",0.1*4/3,0.1*2/3)))</f>
        <v>0</v>
      </c>
      <c r="AY223" s="47">
        <f ca="1">IF(AX223,(18+G223*0.722)*(1+J223)*(1-S223)*(1+$I$4)*IF(P223="会",'模拟-全程加成'!$J$3+'模拟-全程加成'!$J$4+'模拟-全程加成'!$J$5+('模拟-全程加成'!$I$4+'模拟-全程加成'!$I$5)/系数!$B$4+BG223*10%,IF(P223="命",1,IF(P223="识",0.25,0))),0)</f>
        <v>0</v>
      </c>
      <c r="AZ223" s="108">
        <f t="shared" si="218"/>
        <v>1.5500000000000065</v>
      </c>
      <c r="BA223" s="108" t="b">
        <f>AND(模拟模式!$Q$10="有",AZ222=0)</f>
        <v>0</v>
      </c>
      <c r="BB223" s="140">
        <f>IF(BA223,(0+G223*0.287)*(1+J223)*(1-S223)*(1+$I$4)*IF(P223="会",'模拟-全程加成'!$J$3+'模拟-全程加成'!$J$4+'模拟-全程加成'!$J$5+('模拟-全程加成'!$I$4+'模拟-全程加成'!$I$5)/系数!$B$4+BG223*10%,IF(P223="命",1,IF(P223="识",0.25,0))),0)</f>
        <v>0</v>
      </c>
      <c r="BC223" s="115" t="b">
        <f ca="1">AND(模拟模式!$R$7="伏明众生",E223=60,F223=20,DA223&lt;5,CZ222&lt;$F$4)</f>
        <v>0</v>
      </c>
      <c r="BD223" s="115">
        <f t="shared" ca="1" si="180"/>
        <v>0</v>
      </c>
      <c r="BE223" s="115" t="b">
        <f t="shared" ca="1" si="181"/>
        <v>0</v>
      </c>
      <c r="BF223" s="47">
        <f ca="1">IF(BC223,4*('模拟-单技能数据'!$D$24+G223*'模拟-单技能数据'!$F$24)*(1+J223)*(1+'模拟-单技能数据'!$J$24)*(1-S223)*(1+$I$3)*(('模拟-全程加成'!$J$3+'模拟-全程加成'!$J$4+'模拟-全程加成'!$J$5+('模拟-全程加成'!$I$4+'模拟-全程加成'!$I$5)/系数!$B$4+BG223*10%)*('模拟-全程加成'!$J$3+'模拟-全程加成'!$J$4+'模拟-全程加成'!$J$5+('模拟-全程加成'!$I$4+'模拟-全程加成'!$I$5)/系数!$B$4+BG223*10%)+(1-('模拟-全程加成'!$J$3+'模拟-全程加成'!$J$4+'模拟-全程加成'!$J$5+('模拟-全程加成'!$I$4+'模拟-全程加成'!$I$5)/系数!$B$4+BG223*10%)-$F$10-$F$11)+F209*0.25),0)*'模拟-单技能数据'!$I$24</f>
        <v>0</v>
      </c>
      <c r="BG223" s="115" t="b">
        <f ca="1">OR(AND(OR(C223="烈日斩",C223="银月斩"),模拟模式!$I$7="净身明礼"),AND(C223="净世破魔击·日",模拟模式!$J$7="洞若观火"),AND(C224="净世破魔击·月",模拟模式!$J$7="洞若观火"),AB223=1)</f>
        <v>1</v>
      </c>
      <c r="BH223" s="115" t="b">
        <f t="shared" ca="1" si="219"/>
        <v>0</v>
      </c>
      <c r="BI223" s="115">
        <f t="shared" ca="1" si="182"/>
        <v>2.3099999999999996</v>
      </c>
      <c r="BJ223" s="115" t="b">
        <f t="shared" ca="1" si="193"/>
        <v>1</v>
      </c>
      <c r="BK223" s="115" t="b">
        <f ca="1">AND(C223="驱夜断愁",模拟模式!$P$7="天地诛戮")</f>
        <v>0</v>
      </c>
      <c r="BL223" s="57">
        <f t="shared" ca="1" si="183"/>
        <v>16.310000000000002</v>
      </c>
      <c r="BM223" s="115" t="b">
        <f t="shared" ca="1" si="194"/>
        <v>1</v>
      </c>
      <c r="BN223" s="115" t="b">
        <f ca="1">AND(OR(C223="赤日轮1",C223="赤日轮2",C223="赤日轮3",C223="幽月轮1",C223="幽月轮2",C223="幽月轮3"),AB223=1,模拟模式!$L$7="明光恒照")</f>
        <v>0</v>
      </c>
      <c r="BO223" s="117">
        <f t="shared" ca="1" si="184"/>
        <v>28.155000000000001</v>
      </c>
      <c r="BP223" s="115">
        <f t="shared" ca="1" si="220"/>
        <v>6</v>
      </c>
      <c r="BQ223" s="115" t="b">
        <f>模拟模式!$K$10="2600·水"</f>
        <v>0</v>
      </c>
      <c r="BR223" s="117">
        <f t="shared" si="221"/>
        <v>0</v>
      </c>
      <c r="BS223" s="115">
        <f t="shared" si="222"/>
        <v>0</v>
      </c>
      <c r="BT223" s="115">
        <f t="shared" ca="1" si="223"/>
        <v>0</v>
      </c>
      <c r="BU223" s="115" t="b">
        <f ca="1">AND(模拟模式!$K$10="2300·雷",BT222=0,RAND()&lt;IF(C223="净世破魔击·月",5*0.05*2/3,IF(C223="净世破魔击·日",3*0.05*2/3,0.05*2*2/3)))</f>
        <v>0</v>
      </c>
      <c r="BV223" s="115">
        <f t="shared" ca="1" si="224"/>
        <v>0</v>
      </c>
      <c r="BW223" s="115">
        <f t="shared" ca="1" si="225"/>
        <v>4.7249999999993086</v>
      </c>
      <c r="BX223" s="164" t="b">
        <f t="shared" ca="1" si="226"/>
        <v>0</v>
      </c>
      <c r="BY223" s="115">
        <f t="shared" ca="1" si="227"/>
        <v>0</v>
      </c>
      <c r="BZ223" s="115">
        <f>IF(OR(模拟模式!$P$16="10人团",模拟模式!$P$16="25人团"),IF(B223/30&gt;CA222,1,0),0)</f>
        <v>0</v>
      </c>
      <c r="CA223" s="115">
        <f t="shared" si="203"/>
        <v>0</v>
      </c>
      <c r="CB223" s="115">
        <f ca="1">IF(BZ223=1,IF(模拟模式!$P$16="10人团",15,0)+IF(模拟模式!$P$16="25人团",IF(RAND()&lt;0.6,15,0)),MAX(0,CB222-$F$4))</f>
        <v>0</v>
      </c>
      <c r="CC223" s="115" t="b">
        <f t="shared" ca="1" si="195"/>
        <v>0</v>
      </c>
      <c r="CD223" s="115">
        <f>IF(模拟模式!$Q$16="1个",IF(B223/40&gt;CE222,1,0),0)</f>
        <v>0</v>
      </c>
      <c r="CE223" s="115">
        <f t="shared" si="196"/>
        <v>0</v>
      </c>
      <c r="CF223" s="115">
        <f>IF(OR(CD223=1,模拟模式!$Q$16="2个"),20,MAX(0,CF222-$F$4))</f>
        <v>0</v>
      </c>
      <c r="CG223" s="115" t="b">
        <f t="shared" si="197"/>
        <v>0</v>
      </c>
      <c r="CH223" s="115">
        <f t="shared" ca="1" si="228"/>
        <v>15.240000000000009</v>
      </c>
      <c r="CI223" s="115" t="b">
        <f t="shared" ca="1" si="229"/>
        <v>0</v>
      </c>
      <c r="CJ223" s="119">
        <f t="shared" ca="1" si="230"/>
        <v>0</v>
      </c>
      <c r="CK223" s="115">
        <f t="shared" ca="1" si="231"/>
        <v>0</v>
      </c>
      <c r="CL223" s="115" t="b">
        <f ca="1">AND(模拟模式!$S$7="驱夷逐法",OR(AND(C223="净世破魔击·月",E222&gt;59),AND(C223="净世破魔击·日",F222&gt;59)))</f>
        <v>0</v>
      </c>
      <c r="CM223" s="115" t="b">
        <f ca="1">OR(CL223,AND(C223="净世破魔击·日",CL222,RAND()&lt;模拟模式!$U$23))</f>
        <v>1</v>
      </c>
      <c r="CN223" s="115" t="b">
        <f ca="1">IF(模拟模式!$M$7="辉耀红尘",AND(C223="净世破魔击·月",CL223,CV223=0,E222&lt;80),AND(C223="净世破魔击·月",CL223,E222&lt;100))</f>
        <v>0</v>
      </c>
      <c r="CO223" s="115" t="b">
        <f t="shared" ca="1" si="204"/>
        <v>0</v>
      </c>
      <c r="CP223" s="115" t="b">
        <f ca="1">AND(模拟模式!$O$7="用晦而明",OR(C223="净世破魔击·日",C223="净世破魔击·月",C223="驱夜断愁"),AB223)</f>
        <v>1</v>
      </c>
      <c r="CQ223" s="115" t="b">
        <f ca="1">OR(CP223,AND(CP222,RAND()&lt;模拟模式!$U$23))</f>
        <v>1</v>
      </c>
      <c r="CR223" s="115" t="b">
        <f ca="1">AND(模拟模式!$S$7="日月齐光",OR(C223="幽月轮1",C223="幽月轮2",C223="幽月轮3",CR222),NOT(OR(C223="赤日轮1",C223="赤日轮2",C223="赤日轮3")))</f>
        <v>0</v>
      </c>
      <c r="CS223" s="115" t="b">
        <f ca="1">AND(模拟模式!$S$7="日月齐光",OR(C223="赤日轮1",C223="赤日轮2",C223="赤日轮3",CS222),NOT(OR(C223="幽月轮1",C223="幽月轮2",C223="幽月轮3")))</f>
        <v>0</v>
      </c>
      <c r="CT223" s="115">
        <f t="shared" ca="1" si="232"/>
        <v>18.930000000000007</v>
      </c>
      <c r="CU223" s="115" t="b">
        <f ca="1">AND(模拟模式!$K$10="阴阳往极",CT222=0,RAND()&lt;IF(C223="净世破魔击·月",0.0275*7/3,IF(C223="净世破魔击·日",0.0275*3/3,0.0275*2/3)))</f>
        <v>0</v>
      </c>
      <c r="CV223" s="115">
        <f t="shared" ca="1" si="233"/>
        <v>0</v>
      </c>
      <c r="CW223" s="115">
        <f t="shared" ca="1" si="205"/>
        <v>3.2324999999999995</v>
      </c>
      <c r="CX223" s="115">
        <f t="shared" ca="1" si="206"/>
        <v>1.3874999999999997</v>
      </c>
      <c r="CY223" s="115">
        <f ca="1">MAX(IF($C223="驱夜断愁",IF(模拟模式!$R$7="万念俱寂",6,45),CY222-$F$4),0)</f>
        <v>2.3099999999999996</v>
      </c>
      <c r="CZ223" s="115">
        <f t="shared" ca="1" si="207"/>
        <v>0</v>
      </c>
      <c r="DA223" s="115">
        <f ca="1">IF(模拟模式!$N$7="日月同辉",IF(DB222=2,0,MIN(6,IF(AND(OR(C223="赤日轮1",C223="赤日轮2",C223="赤日轮3",C223="幽月轮1",C223="幽月轮2",C223="幽月轮3"),AB223=1),DA222+1,DA222))),0)</f>
        <v>3</v>
      </c>
      <c r="DB223" s="115">
        <f t="shared" ca="1" si="208"/>
        <v>0</v>
      </c>
      <c r="DC223" s="115"/>
      <c r="DD223" s="115"/>
      <c r="DE223" s="115"/>
      <c r="DF223" s="115"/>
      <c r="DG223" s="115"/>
      <c r="DH223" s="115"/>
      <c r="DI223" s="115"/>
      <c r="DJ223" s="115"/>
      <c r="DK223" s="115"/>
      <c r="DL223" s="115"/>
      <c r="DM223" s="115"/>
    </row>
    <row r="224" spans="2:117" x14ac:dyDescent="0.2">
      <c r="B224" s="117">
        <f t="shared" si="209"/>
        <v>181.73250000000073</v>
      </c>
      <c r="C224" s="167" t="str">
        <f t="shared" ca="1" si="202"/>
        <v>赤日轮1</v>
      </c>
      <c r="D224" s="115">
        <f ca="1">IF(C224="赤日轮1",1,IF(C224="赤日轮2",2,IF(C224="赤日轮3",3,IF(C224="幽月轮1",4,IF(C224="幽月轮2",5,IF(C224="幽月轮3",6,IF(C224="烈日斩",7,IF(C224="银月斩",8,IF(C224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224="净世破魔击·月",17,IF(C224="驱夜断愁",18,0)))))))))))</f>
        <v>1</v>
      </c>
      <c r="E224" s="115">
        <f ca="1">IF(AND(CU224,OR(C224="幽月轮1",C224="幽月轮2",C224="幽月轮3",C224="银月斩",C224="驱夜断愁",C224="净世破魔击·月")),100,MIN(IF(OR(CN224,BE224),0,IF(OR($C224="赤日轮1",$C224="赤日轮2",$C224="赤日轮3"),E223+20+IF(模拟模式!$I$7="日月凌天",4,0)+IF(CR223,20,0),IF($C224="烈日斩",E223+40,IF($C224="驱夜断愁",IF(模拟模式!$R$7="万念俱寂",E223+20,E223+60),IF($C224="净世破魔击·月",IF(OR(DB223&gt;0,CV223&gt;0),100,IF(模拟模式!$M$7="辉耀红尘",E223+20,E223)),IF($C224="净世破魔击·日",E223-100,E223)))))),100))</f>
        <v>20</v>
      </c>
      <c r="F224" s="115">
        <f ca="1">IF(AND(CU224,OR(C224="赤日轮1",C224="赤日轮2",C224="赤日轮3",C224="烈日斩",C224="净世破魔击·日")),100,MIN(IF(CO224,0,IF(OR($C224="幽月轮1",$C224="幽月轮2",$C224="幽月轮3"),F223+20+IF(模拟模式!$I$7="日月凌天",4,0)+IF(CS223,20,0),IF($C224="银月斩",F223+40+IF(模拟模式!$X$12=1,5,0),IF($C224="驱夜断愁",IF(模拟模式!$R$7="万念俱寂",F223+20,F223+60),IF($C224="净世破魔击·月",IF(模拟模式!$M$7="辉耀红尘",F223-80,F223-100),IF(AND(C224="净世破魔击·日",OR(DB223&gt;0,CV223&gt;0)),100,F223)))))),100))</f>
        <v>20</v>
      </c>
      <c r="G224" s="117">
        <f ca="1">('模拟-全程加成'!$E$3+'模拟-全程加成'!$E$4+'模拟-全程加成'!$E$5+('模拟-全程加成'!$C$6-'模拟-全程加成'!$C$3)*系数!$B$9+BS224*23)*(1+'模拟-全程加成'!$F$4+'模拟-全程加成'!$F$5+BJ224*10%+BM224*20%+BP224*4%+CG224*30%)+$F$7*系数!$B$12</f>
        <v>21493.829400000002</v>
      </c>
      <c r="H224" s="45">
        <f ca="1">'模拟-全程加成'!$H$3+'模拟-全程加成'!$H$4+'模拟-全程加成'!$H$5+('模拟-全程加成'!$G$4+'模拟-全程加成'!$G$5+('模拟-全程加成'!$C$6-'模拟-全程加成'!$C$3)*系数!$B$13)/系数!$B$3+LOOKUP(D224,'模拟-单技能数据'!$A$2:$A$19,'模拟-单技能数据'!$K$2:$K$19)+BG224*10%+IF(BV224&gt;0,378,0)</f>
        <v>0.4618514552730022</v>
      </c>
      <c r="I224" s="45">
        <f ca="1">'模拟-全程加成'!$J$3+'模拟-全程加成'!$J$4+'模拟-全程加成'!$J$5+('模拟-全程加成'!$I$4+'模拟-全程加成'!$I$5)/系数!$B$4+LOOKUP(D224,'模拟-单技能数据'!$A$2:$A$19,'模拟-单技能数据'!$L$2:$L$19)+BG224*10%</f>
        <v>2.162482885499879</v>
      </c>
      <c r="J224" s="45">
        <f ca="1">(('模拟-全程加成'!$K$3+'模拟-全程加成'!$K$4+'模拟-全程加成'!$K$5+('模拟-全程加成'!$C$6-'模拟-全程加成'!$C$3)*系数!$B$10+IF(BV224&gt;0,882,0)+IF(BY224&gt;0,1831,0))*(1+'模拟-全程加成'!$L$4+'模拟-全程加成'!$L$5+CC224*20%))/系数!$B$5</f>
        <v>0.69723220422048726</v>
      </c>
      <c r="K224" s="119">
        <f ca="1">LOOKUP(D224,'模拟-单技能数据'!$A$2:$A$19,'模拟-单技能数据'!$J$2:$J$19)+IF(CM224,60%,0)+IF(DB223-DB224&gt;0,30%,0)+IF(OR(AND(OR(C224="赤日轮1",C224="赤日轮2",C224="赤日轮3"),CR224),AND(OR(C224="幽月轮1",C224="幽月轮2",C224="幽月轮3"),CS224)),35%,0)+CJ224</f>
        <v>0.12</v>
      </c>
      <c r="L224" s="119">
        <f ca="1">IF(AND(C224="烈日斩",模拟模式!$X$11=1),10%,0)+IF(AND(C224="驱夜断愁",AB224=1),30%,0)</f>
        <v>0</v>
      </c>
      <c r="M224" s="45">
        <f t="shared" ca="1" si="185"/>
        <v>0.4618514552730022</v>
      </c>
      <c r="N224" s="45">
        <f t="shared" ca="1" si="186"/>
        <v>0.48424854472699785</v>
      </c>
      <c r="O224" s="46">
        <f t="shared" ca="1" si="210"/>
        <v>0.32124587422989714</v>
      </c>
      <c r="P224" s="46" t="str">
        <f t="shared" ca="1" si="211"/>
        <v>会</v>
      </c>
      <c r="Q224" s="45">
        <f t="shared" ca="1" si="212"/>
        <v>2.162482885499879</v>
      </c>
      <c r="R224" s="117">
        <f ca="1">模拟模式!$E$20*(1-IF(模拟模式!$J$19="有",0.15,0))*(1-IF(模拟模式!$K$19="有",0.3,0)-IF(CQ224,0.5,0))</f>
        <v>843.02999999999975</v>
      </c>
      <c r="S224" s="45">
        <f ca="1">R224/(R224+(185*模拟模式!$E$22-16800)*4.08224)</f>
        <v>8.389626085980037E-2</v>
      </c>
      <c r="T224" s="45" t="str">
        <f ca="1">LOOKUP(D224,'模拟-单技能数据'!$A$2:$A$19,'模拟-单技能数据'!$H$2:$H$19)</f>
        <v>阳</v>
      </c>
      <c r="U224" s="119">
        <f t="shared" ca="1" si="187"/>
        <v>0.2</v>
      </c>
      <c r="V224" s="47">
        <f ca="1">(1+L224)*(LOOKUP(D224,'模拟-单技能数据'!$A$2:$A$19,'模拟-单技能数据'!$D$2:$D$19)+G224*LOOKUP(D224,'模拟-单技能数据'!$A$2:$A$19,'模拟-单技能数据'!$F$2:$F$19))*(1+J224)*(1+K224)*(1-S224)*(1+U224)*Q224*LOOKUP(D224,'模拟-单技能数据'!$A$2:$A$19,'模拟-单技能数据'!$I$2:$I$20)</f>
        <v>56864.156113360666</v>
      </c>
      <c r="W224" s="47">
        <f ca="1">LOOKUP(D224,'模拟-单技能数据'!$A$2:$A$19,'模拟-单技能数据'!$G$2:$G$19)*$I$10</f>
        <v>361.51064354704795</v>
      </c>
      <c r="X224" s="47">
        <f t="shared" ca="1" si="213"/>
        <v>0</v>
      </c>
      <c r="Y224" s="47">
        <f t="shared" ca="1" si="188"/>
        <v>57225.666756907711</v>
      </c>
      <c r="Z224" s="49">
        <f t="shared" ca="1" si="189"/>
        <v>20732051.517565966</v>
      </c>
      <c r="AA224" s="97">
        <f t="shared" ca="1" si="190"/>
        <v>114080.04356714337</v>
      </c>
      <c r="AB224" s="115">
        <f ca="1">IF(OR(C224="赤日轮1",C224="赤日轮2",C224="赤日轮3"),IF(RAND()&lt;模拟模式!$Y$17,1,0),IF(OR(C224="幽月轮1",C224="幽月轮2",C224="幽月轮3"),IF(RAND()&lt;模拟模式!$Y$18,1,0),IF(C224="烈日斩",IF(RAND()&lt;模拟模式!$Y$19,1,0),IF(C224="银月斩",IF(RAND()&lt;模拟模式!$Y$20,1,0),IF(C224="驱夜断愁",IF(RAND()&lt;模拟模式!$Y$21,1,0),IF(C224="净世破魔击·日",IF(RAND()&lt;模拟模式!$Y$22,1,0),IF(C224="净世破魔击·月",IF(RAND()&lt;模拟模式!$Y$23,1,0),0)))))))</f>
        <v>1</v>
      </c>
      <c r="AC224" s="115" t="b">
        <f t="shared" ca="1" si="178"/>
        <v>0</v>
      </c>
      <c r="AD224" s="115" t="b">
        <f t="shared" ca="1" si="198"/>
        <v>0</v>
      </c>
      <c r="AE224" s="115">
        <f t="shared" ca="1" si="199"/>
        <v>3</v>
      </c>
      <c r="AF224" s="47">
        <f ca="1">IF(AC224,('模拟-单技能数据'!$D$20+G224*'模拟-单技能数据'!$F$20)*(1+J224)*(1+'模拟-单技能数据'!$J$20)*(1+U224),0)</f>
        <v>0</v>
      </c>
      <c r="AG224" s="61">
        <f t="shared" ca="1" si="191"/>
        <v>0.64185145527300214</v>
      </c>
      <c r="AH224" s="61">
        <f t="shared" ca="1" si="192"/>
        <v>2.2624828854998791</v>
      </c>
      <c r="AI224" s="62">
        <f t="shared" ca="1" si="214"/>
        <v>0.17789437160445087</v>
      </c>
      <c r="AJ224" s="47">
        <f ca="1">IF(AD224,IF(AI224&lt;$F$10,0,IF(AI224&lt;$F$10+$F$11,0.25,IF(AI224&lt;$F$10+$F$11+AG224,AH224,1)))*IF(AF224&gt;0,AF224,IF(AF223&gt;0,AF223,IF(AF222&gt;0,AF222,IF(AF221&gt;0,AF221,IF(AF220&gt;0,AF220,IF(AF219&gt;0,AF219,IF(AF218&gt;0,AF218,IF(AF217&gt;0,AF217,IF(AF216&gt;0,AF216,IF(AF214&gt;0,AF214,IF(AF213&gt;0,AF213,IF(AF212&gt;0,AF212,0)))))))))))),0)*(1-$S224)*'模拟-单技能数据'!$I$20</f>
        <v>0</v>
      </c>
      <c r="AK224" s="115" t="b">
        <f t="shared" ca="1" si="179"/>
        <v>0</v>
      </c>
      <c r="AL224" s="115" t="b">
        <f t="shared" ca="1" si="200"/>
        <v>0</v>
      </c>
      <c r="AM224" s="115">
        <f t="shared" ca="1" si="201"/>
        <v>5</v>
      </c>
      <c r="AN224" s="47">
        <f ca="1">IF(AK224,('模拟-单技能数据'!$D$21+G224*'模拟-单技能数据'!$F$21)*(1+J224)*(1+'模拟-单技能数据'!$J$21)*(1+U224),0)</f>
        <v>0</v>
      </c>
      <c r="AO224" s="61">
        <f ca="1">IF(AN224&gt;0,M224-'模拟-单技能数据'!$K$10,AO223)</f>
        <v>0.42185145527300216</v>
      </c>
      <c r="AP224" s="61">
        <f ca="1">IF(AN224&gt;0,I224-'模拟-单技能数据'!$L$10,AP223)</f>
        <v>2.162482885499879</v>
      </c>
      <c r="AQ224" s="63">
        <f t="shared" ca="1" si="215"/>
        <v>0.39924321092833037</v>
      </c>
      <c r="AR224" s="64">
        <f ca="1">IF(AL224,IF(AQ224&lt;$F$10,0,IF(AQ224&lt;$F$10+$F$11,0.25,IF(AQ224&lt;$F$10+$F$11+AO224,AP224,1)))*IF(AN224&gt;0,AN224,IF(AN223&gt;0,AN223,IF(AN222&gt;0,AN222,IF(AN221&gt;0,AN221,IF(AN220&gt;0,AN220,IF(AN219&gt;0,AN219,IF(AN218&gt;0,AN218,IF(AN217&gt;0,AN217,IF(AN216&gt;0,AN216,IF(AN214&gt;0,AN214,IF(AN213&gt;0,AN213,IF(AN212&gt;0,AN212,0)))))))))))),0)*(1-$S224)*'模拟-单技能数据'!$I$21</f>
        <v>0</v>
      </c>
      <c r="AS224" s="61">
        <f ca="1">IF(OR(C224="净世破魔击·日",C224="净世破魔击·月"),M224-'模拟-单技能数据'!$K$10,0)</f>
        <v>0</v>
      </c>
      <c r="AT224" s="61">
        <f ca="1">IF(OR(C224="净世破魔击·日",C224="净世破魔击·月"),I224-'模拟-单技能数据'!$L$10,0)</f>
        <v>0</v>
      </c>
      <c r="AU224" s="62">
        <f t="shared" ca="1" si="216"/>
        <v>6.2429126344685559E-2</v>
      </c>
      <c r="AV224" s="64">
        <f ca="1">IF(AS224&gt;0,('模拟-单技能数据'!$D$22+G224*'模拟-单技能数据'!$F$22)*(1+J224)*(1-S224)*IF(AU224&lt;$F$10,0,IF(AU224&lt;$F$10+$F$11,0.25,IF(AU224&lt;$F$10+$F$11+AS224,AT224,1)))*(1+U224),0)*'模拟-单技能数据'!$I$22</f>
        <v>0</v>
      </c>
      <c r="AW224" s="108">
        <f t="shared" ca="1" si="217"/>
        <v>10.775000000000006</v>
      </c>
      <c r="AX224" s="108" t="b">
        <f ca="1">AND(模拟模式!$P$10="有",AW223=0,RAND()&lt;IF(C224="净世破魔击·月",0.1*8/3,IF(C224="净世破魔击·日",0.1*4/3,0.1*2/3)))</f>
        <v>0</v>
      </c>
      <c r="AY224" s="47">
        <f ca="1">IF(AX224,(18+G224*0.722)*(1+J224)*(1-S224)*(1+$I$4)*IF(P224="会",'模拟-全程加成'!$J$3+'模拟-全程加成'!$J$4+'模拟-全程加成'!$J$5+('模拟-全程加成'!$I$4+'模拟-全程加成'!$I$5)/系数!$B$4+BG224*10%,IF(P224="命",1,IF(P224="识",0.25,0))),0)</f>
        <v>0</v>
      </c>
      <c r="AZ224" s="108">
        <f t="shared" si="218"/>
        <v>0.6275000000000065</v>
      </c>
      <c r="BA224" s="108" t="b">
        <f>AND(模拟模式!$Q$10="有",AZ223=0)</f>
        <v>0</v>
      </c>
      <c r="BB224" s="140">
        <f>IF(BA224,(0+G224*0.287)*(1+J224)*(1-S224)*(1+$I$4)*IF(P224="会",'模拟-全程加成'!$J$3+'模拟-全程加成'!$J$4+'模拟-全程加成'!$J$5+('模拟-全程加成'!$I$4+'模拟-全程加成'!$I$5)/系数!$B$4+BG224*10%,IF(P224="命",1,IF(P224="识",0.25,0))),0)</f>
        <v>0</v>
      </c>
      <c r="BC224" s="115" t="b">
        <f ca="1">AND(模拟模式!$R$7="伏明众生",E224=60,F224=20,DA224&lt;5,CZ223&lt;$F$4)</f>
        <v>0</v>
      </c>
      <c r="BD224" s="115">
        <f t="shared" ca="1" si="180"/>
        <v>0</v>
      </c>
      <c r="BE224" s="115" t="b">
        <f t="shared" ca="1" si="181"/>
        <v>0</v>
      </c>
      <c r="BF224" s="47">
        <f ca="1">IF(BC224,4*('模拟-单技能数据'!$D$24+G224*'模拟-单技能数据'!$F$24)*(1+J224)*(1+'模拟-单技能数据'!$J$24)*(1-S224)*(1+$I$3)*(('模拟-全程加成'!$J$3+'模拟-全程加成'!$J$4+'模拟-全程加成'!$J$5+('模拟-全程加成'!$I$4+'模拟-全程加成'!$I$5)/系数!$B$4+BG224*10%)*('模拟-全程加成'!$J$3+'模拟-全程加成'!$J$4+'模拟-全程加成'!$J$5+('模拟-全程加成'!$I$4+'模拟-全程加成'!$I$5)/系数!$B$4+BG224*10%)+(1-('模拟-全程加成'!$J$3+'模拟-全程加成'!$J$4+'模拟-全程加成'!$J$5+('模拟-全程加成'!$I$4+'模拟-全程加成'!$I$5)/系数!$B$4+BG224*10%)-$F$10-$F$11)+F210*0.25),0)*'模拟-单技能数据'!$I$24</f>
        <v>0</v>
      </c>
      <c r="BG224" s="115" t="b">
        <f ca="1">OR(AND(OR(C224="烈日斩",C224="银月斩"),模拟模式!$I$7="净身明礼"),AND(C224="净世破魔击·日",模拟模式!$J$7="洞若观火"),AND(C225="净世破魔击·月",模拟模式!$J$7="洞若观火"),AB224=1)</f>
        <v>1</v>
      </c>
      <c r="BH224" s="115" t="b">
        <f t="shared" ca="1" si="219"/>
        <v>0</v>
      </c>
      <c r="BI224" s="115">
        <f t="shared" ca="1" si="182"/>
        <v>1.3874999999999997</v>
      </c>
      <c r="BJ224" s="115" t="b">
        <f t="shared" ca="1" si="193"/>
        <v>1</v>
      </c>
      <c r="BK224" s="115" t="b">
        <f ca="1">AND(C224="驱夜断愁",模拟模式!$P$7="天地诛戮")</f>
        <v>0</v>
      </c>
      <c r="BL224" s="57">
        <f t="shared" ca="1" si="183"/>
        <v>15.387500000000003</v>
      </c>
      <c r="BM224" s="115" t="b">
        <f t="shared" ca="1" si="194"/>
        <v>1</v>
      </c>
      <c r="BN224" s="115" t="b">
        <f ca="1">AND(OR(C224="赤日轮1",C224="赤日轮2",C224="赤日轮3",C224="幽月轮1",C224="幽月轮2",C224="幽月轮3"),AB224=1,模拟模式!$L$7="明光恒照")</f>
        <v>1</v>
      </c>
      <c r="BO224" s="117">
        <f t="shared" ca="1" si="184"/>
        <v>30</v>
      </c>
      <c r="BP224" s="115">
        <f t="shared" ca="1" si="220"/>
        <v>6</v>
      </c>
      <c r="BQ224" s="115" t="b">
        <f>模拟模式!$K$10="2600·水"</f>
        <v>0</v>
      </c>
      <c r="BR224" s="117">
        <f t="shared" si="221"/>
        <v>0</v>
      </c>
      <c r="BS224" s="115">
        <f t="shared" si="222"/>
        <v>0</v>
      </c>
      <c r="BT224" s="115">
        <f t="shared" ca="1" si="223"/>
        <v>0</v>
      </c>
      <c r="BU224" s="115" t="b">
        <f ca="1">AND(模拟模式!$K$10="2300·雷",BT223=0,RAND()&lt;IF(C224="净世破魔击·月",5*0.05*2/3,IF(C224="净世破魔击·日",3*0.05*2/3,0.05*2*2/3)))</f>
        <v>0</v>
      </c>
      <c r="BV224" s="115">
        <f t="shared" ca="1" si="224"/>
        <v>0</v>
      </c>
      <c r="BW224" s="115">
        <f t="shared" ca="1" si="225"/>
        <v>3.8024999999993088</v>
      </c>
      <c r="BX224" s="164" t="b">
        <f t="shared" ca="1" si="226"/>
        <v>0</v>
      </c>
      <c r="BY224" s="115">
        <f t="shared" ca="1" si="227"/>
        <v>0</v>
      </c>
      <c r="BZ224" s="115">
        <f>IF(OR(模拟模式!$P$16="10人团",模拟模式!$P$16="25人团"),IF(B224/30&gt;CA223,1,0),0)</f>
        <v>0</v>
      </c>
      <c r="CA224" s="115">
        <f t="shared" si="203"/>
        <v>0</v>
      </c>
      <c r="CB224" s="115">
        <f ca="1">IF(BZ224=1,IF(模拟模式!$P$16="10人团",15,0)+IF(模拟模式!$P$16="25人团",IF(RAND()&lt;0.6,15,0)),MAX(0,CB223-$F$4))</f>
        <v>0</v>
      </c>
      <c r="CC224" s="115" t="b">
        <f t="shared" ca="1" si="195"/>
        <v>0</v>
      </c>
      <c r="CD224" s="115">
        <f>IF(模拟模式!$Q$16="1个",IF(B224/40&gt;CE223,1,0),0)</f>
        <v>0</v>
      </c>
      <c r="CE224" s="115">
        <f t="shared" si="196"/>
        <v>0</v>
      </c>
      <c r="CF224" s="115">
        <f>IF(OR(CD224=1,模拟模式!$Q$16="2个"),20,MAX(0,CF223-$F$4))</f>
        <v>0</v>
      </c>
      <c r="CG224" s="115" t="b">
        <f t="shared" si="197"/>
        <v>0</v>
      </c>
      <c r="CH224" s="115">
        <f t="shared" ca="1" si="228"/>
        <v>14.31750000000001</v>
      </c>
      <c r="CI224" s="115" t="b">
        <f t="shared" ca="1" si="229"/>
        <v>0</v>
      </c>
      <c r="CJ224" s="119">
        <f t="shared" ca="1" si="230"/>
        <v>0</v>
      </c>
      <c r="CK224" s="115">
        <f t="shared" ca="1" si="231"/>
        <v>0</v>
      </c>
      <c r="CL224" s="115" t="b">
        <f ca="1">AND(模拟模式!$S$7="驱夷逐法",OR(AND(C224="净世破魔击·月",E223&gt;59),AND(C224="净世破魔击·日",F223&gt;59)))</f>
        <v>0</v>
      </c>
      <c r="CM224" s="115" t="b">
        <f ca="1">OR(CL224,AND(C224="净世破魔击·日",CL223,RAND()&lt;模拟模式!$U$23))</f>
        <v>0</v>
      </c>
      <c r="CN224" s="115" t="b">
        <f ca="1">IF(模拟模式!$M$7="辉耀红尘",AND(C224="净世破魔击·月",CL224,CV224=0,E223&lt;80),AND(C224="净世破魔击·月",CL224,E223&lt;100))</f>
        <v>0</v>
      </c>
      <c r="CO224" s="115" t="b">
        <f t="shared" ca="1" si="204"/>
        <v>0</v>
      </c>
      <c r="CP224" s="115" t="b">
        <f ca="1">AND(模拟模式!$O$7="用晦而明",OR(C224="净世破魔击·日",C224="净世破魔击·月",C224="驱夜断愁"),AB224)</f>
        <v>0</v>
      </c>
      <c r="CQ224" s="115" t="b">
        <f ca="1">OR(CP224,AND(CP223,RAND()&lt;模拟模式!$U$23))</f>
        <v>1</v>
      </c>
      <c r="CR224" s="115" t="b">
        <f ca="1">AND(模拟模式!$S$7="日月齐光",OR(C224="幽月轮1",C224="幽月轮2",C224="幽月轮3",CR223),NOT(OR(C224="赤日轮1",C224="赤日轮2",C224="赤日轮3")))</f>
        <v>0</v>
      </c>
      <c r="CS224" s="115" t="b">
        <f ca="1">AND(模拟模式!$S$7="日月齐光",OR(C224="赤日轮1",C224="赤日轮2",C224="赤日轮3",CS223),NOT(OR(C224="幽月轮1",C224="幽月轮2",C224="幽月轮3")))</f>
        <v>0</v>
      </c>
      <c r="CT224" s="115">
        <f t="shared" ca="1" si="232"/>
        <v>18.007500000000007</v>
      </c>
      <c r="CU224" s="115" t="b">
        <f ca="1">AND(模拟模式!$K$10="阴阳往极",CT223=0,RAND()&lt;IF(C224="净世破魔击·月",0.0275*7/3,IF(C224="净世破魔击·日",0.0275*3/3,0.0275*2/3)))</f>
        <v>0</v>
      </c>
      <c r="CV224" s="115">
        <f t="shared" ca="1" si="233"/>
        <v>0</v>
      </c>
      <c r="CW224" s="115">
        <f t="shared" ca="1" si="205"/>
        <v>2.3099999999999996</v>
      </c>
      <c r="CX224" s="115">
        <f t="shared" ca="1" si="206"/>
        <v>0.46499999999999975</v>
      </c>
      <c r="CY224" s="115">
        <f ca="1">MAX(IF($C224="驱夜断愁",IF(模拟模式!$R$7="万念俱寂",6,45),CY223-$F$4),0)</f>
        <v>1.3874999999999997</v>
      </c>
      <c r="CZ224" s="115">
        <f t="shared" ca="1" si="207"/>
        <v>0</v>
      </c>
      <c r="DA224" s="115">
        <f ca="1">IF(模拟模式!$N$7="日月同辉",IF(DB223=2,0,MIN(6,IF(AND(OR(C224="赤日轮1",C224="赤日轮2",C224="赤日轮3",C224="幽月轮1",C224="幽月轮2",C224="幽月轮3"),AB224=1),DA223+1,DA223))),0)</f>
        <v>4</v>
      </c>
      <c r="DB224" s="115">
        <f t="shared" ca="1" si="208"/>
        <v>0</v>
      </c>
      <c r="DC224" s="115"/>
      <c r="DD224" s="115"/>
      <c r="DE224" s="115"/>
      <c r="DF224" s="115"/>
      <c r="DG224" s="115"/>
      <c r="DH224" s="115"/>
      <c r="DI224" s="115"/>
      <c r="DJ224" s="115"/>
      <c r="DK224" s="115"/>
      <c r="DL224" s="115"/>
      <c r="DM224" s="115"/>
    </row>
    <row r="225" spans="2:117" x14ac:dyDescent="0.2">
      <c r="B225" s="117">
        <f t="shared" si="209"/>
        <v>182.65500000000074</v>
      </c>
      <c r="C225" s="167" t="str">
        <f t="shared" ca="1" si="202"/>
        <v>银月斩</v>
      </c>
      <c r="D225" s="115">
        <f ca="1">IF(C225="赤日轮1",1,IF(C225="赤日轮2",2,IF(C225="赤日轮3",3,IF(C225="幽月轮1",4,IF(C225="幽月轮2",5,IF(C225="幽月轮3",6,IF(C225="烈日斩",7,IF(C225="银月斩",8,IF(C225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225="净世破魔击·月",17,IF(C225="驱夜断愁",18,0)))))))))))</f>
        <v>8</v>
      </c>
      <c r="E225" s="115">
        <f ca="1">IF(AND(CU225,OR(C225="幽月轮1",C225="幽月轮2",C225="幽月轮3",C225="银月斩",C225="驱夜断愁",C225="净世破魔击·月")),100,MIN(IF(OR(CN225,BE225),0,IF(OR($C225="赤日轮1",$C225="赤日轮2",$C225="赤日轮3"),E224+20+IF(模拟模式!$I$7="日月凌天",4,0)+IF(CR224,20,0),IF($C225="烈日斩",E224+40,IF($C225="驱夜断愁",IF(模拟模式!$R$7="万念俱寂",E224+20,E224+60),IF($C225="净世破魔击·月",IF(OR(DB224&gt;0,CV224&gt;0),100,IF(模拟模式!$M$7="辉耀红尘",E224+20,E224)),IF($C225="净世破魔击·日",E224-100,E224)))))),100))</f>
        <v>20</v>
      </c>
      <c r="F225" s="115">
        <f ca="1">IF(AND(CU225,OR(C225="赤日轮1",C225="赤日轮2",C225="赤日轮3",C225="烈日斩",C225="净世破魔击·日")),100,MIN(IF(CO225,0,IF(OR($C225="幽月轮1",$C225="幽月轮2",$C225="幽月轮3"),F224+20+IF(模拟模式!$I$7="日月凌天",4,0)+IF(CS224,20,0),IF($C225="银月斩",F224+40+IF(模拟模式!$X$12=1,5,0),IF($C225="驱夜断愁",IF(模拟模式!$R$7="万念俱寂",F224+20,F224+60),IF($C225="净世破魔击·月",IF(模拟模式!$M$7="辉耀红尘",F224-80,F224-100),IF(AND(C225="净世破魔击·日",OR(DB224&gt;0,CV224&gt;0)),100,F224)))))),100))</f>
        <v>65</v>
      </c>
      <c r="G225" s="117">
        <f ca="1">('模拟-全程加成'!$E$3+'模拟-全程加成'!$E$4+'模拟-全程加成'!$E$5+('模拟-全程加成'!$C$6-'模拟-全程加成'!$C$3)*系数!$B$9+BS225*23)*(1+'模拟-全程加成'!$F$4+'模拟-全程加成'!$F$5+BJ225*10%+BM225*20%+BP225*4%+CG225*30%)+$F$7*系数!$B$12</f>
        <v>21493.829400000002</v>
      </c>
      <c r="H225" s="45">
        <f ca="1">'模拟-全程加成'!$H$3+'模拟-全程加成'!$H$4+'模拟-全程加成'!$H$5+('模拟-全程加成'!$G$4+'模拟-全程加成'!$G$5+('模拟-全程加成'!$C$6-'模拟-全程加成'!$C$3)*系数!$B$13)/系数!$B$3+LOOKUP(D225,'模拟-单技能数据'!$A$2:$A$19,'模拟-单技能数据'!$K$2:$K$19)+BG225*10%+IF(BV225&gt;0,378,0)</f>
        <v>0.64185145527300214</v>
      </c>
      <c r="I225" s="45">
        <f ca="1">'模拟-全程加成'!$J$3+'模拟-全程加成'!$J$4+'模拟-全程加成'!$J$5+('模拟-全程加成'!$I$4+'模拟-全程加成'!$I$5)/系数!$B$4+LOOKUP(D225,'模拟-单技能数据'!$A$2:$A$19,'模拟-单技能数据'!$L$2:$L$19)+BG225*10%</f>
        <v>2.2624828854998791</v>
      </c>
      <c r="J225" s="45">
        <f ca="1">(('模拟-全程加成'!$K$3+'模拟-全程加成'!$K$4+'模拟-全程加成'!$K$5+('模拟-全程加成'!$C$6-'模拟-全程加成'!$C$3)*系数!$B$10+IF(BV225&gt;0,882,0)+IF(BY225&gt;0,1831,0))*(1+'模拟-全程加成'!$L$4+'模拟-全程加成'!$L$5+CC225*20%))/系数!$B$5</f>
        <v>0.69723220422048726</v>
      </c>
      <c r="K225" s="119">
        <f ca="1">LOOKUP(D225,'模拟-单技能数据'!$A$2:$A$19,'模拟-单技能数据'!$J$2:$J$19)+IF(CM225,60%,0)+IF(DB224-DB225&gt;0,30%,0)+IF(OR(AND(OR(C225="赤日轮1",C225="赤日轮2",C225="赤日轮3"),CR225),AND(OR(C225="幽月轮1",C225="幽月轮2",C225="幽月轮3"),CS225)),35%,0)+CJ225</f>
        <v>0.15</v>
      </c>
      <c r="L225" s="119">
        <f ca="1">IF(AND(C225="烈日斩",模拟模式!$X$11=1),10%,0)+IF(AND(C225="驱夜断愁",AB225=1),30%,0)</f>
        <v>0</v>
      </c>
      <c r="M225" s="45">
        <f t="shared" ca="1" si="185"/>
        <v>0.64185145527300214</v>
      </c>
      <c r="N225" s="45">
        <f t="shared" ca="1" si="186"/>
        <v>0.30424854472699792</v>
      </c>
      <c r="O225" s="46">
        <f t="shared" ca="1" si="210"/>
        <v>0.27236935569058851</v>
      </c>
      <c r="P225" s="46" t="str">
        <f t="shared" ca="1" si="211"/>
        <v>会</v>
      </c>
      <c r="Q225" s="45">
        <f t="shared" ca="1" si="212"/>
        <v>2.2624828854998791</v>
      </c>
      <c r="R225" s="117">
        <f ca="1">模拟模式!$E$20*(1-IF(模拟模式!$J$19="有",0.15,0))*(1-IF(模拟模式!$K$19="有",0.3,0)-IF(CQ225,0.5,0))</f>
        <v>2950.6049999999996</v>
      </c>
      <c r="S225" s="45">
        <f ca="1">R225/(R225+(185*模拟模式!$E$22-16800)*4.08224)</f>
        <v>0.24272716014590323</v>
      </c>
      <c r="T225" s="45" t="str">
        <f ca="1">LOOKUP(D225,'模拟-单技能数据'!$A$2:$A$19,'模拟-单技能数据'!$H$2:$H$19)</f>
        <v>阴</v>
      </c>
      <c r="U225" s="119">
        <f t="shared" ca="1" si="187"/>
        <v>0.08</v>
      </c>
      <c r="V225" s="47">
        <f ca="1">(1+L225)*(LOOKUP(D225,'模拟-单技能数据'!$A$2:$A$19,'模拟-单技能数据'!$D$2:$D$19)+G225*LOOKUP(D225,'模拟-单技能数据'!$A$2:$A$19,'模拟-单技能数据'!$F$2:$F$19))*(1+J225)*(1+K225)*(1-S225)*(1+U225)*Q225*LOOKUP(D225,'模拟-单技能数据'!$A$2:$A$19,'模拟-单技能数据'!$I$2:$I$20)</f>
        <v>41211.704893206668</v>
      </c>
      <c r="W225" s="47">
        <f ca="1">LOOKUP(D225,'模拟-单技能数据'!$A$2:$A$19,'模拟-单技能数据'!$G$2:$G$19)*$I$10</f>
        <v>361.51064354704795</v>
      </c>
      <c r="X225" s="47">
        <f t="shared" ca="1" si="213"/>
        <v>13108.90905418088</v>
      </c>
      <c r="Y225" s="47">
        <f t="shared" ca="1" si="188"/>
        <v>54682.124590934603</v>
      </c>
      <c r="Z225" s="49">
        <f t="shared" ca="1" si="189"/>
        <v>20786733.642156899</v>
      </c>
      <c r="AA225" s="97">
        <f t="shared" ca="1" si="190"/>
        <v>113803.25554820188</v>
      </c>
      <c r="AB225" s="115">
        <f ca="1">IF(OR(C225="赤日轮1",C225="赤日轮2",C225="赤日轮3"),IF(RAND()&lt;模拟模式!$Y$17,1,0),IF(OR(C225="幽月轮1",C225="幽月轮2",C225="幽月轮3"),IF(RAND()&lt;模拟模式!$Y$18,1,0),IF(C225="烈日斩",IF(RAND()&lt;模拟模式!$Y$19,1,0),IF(C225="银月斩",IF(RAND()&lt;模拟模式!$Y$20,1,0),IF(C225="驱夜断愁",IF(RAND()&lt;模拟模式!$Y$21,1,0),IF(C225="净世破魔击·日",IF(RAND()&lt;模拟模式!$Y$22,1,0),IF(C225="净世破魔击·月",IF(RAND()&lt;模拟模式!$Y$23,1,0),0)))))))</f>
        <v>1</v>
      </c>
      <c r="AC225" s="115" t="b">
        <f t="shared" ca="1" si="178"/>
        <v>1</v>
      </c>
      <c r="AD225" s="115" t="b">
        <f t="shared" ca="1" si="198"/>
        <v>1</v>
      </c>
      <c r="AE225" s="115">
        <f t="shared" ca="1" si="199"/>
        <v>5</v>
      </c>
      <c r="AF225" s="47">
        <f ca="1">IF(AC225,('模拟-单技能数据'!$D$20+G225*'模拟-单技能数据'!$F$20)*(1+J225)*(1+'模拟-单技能数据'!$J$20)*(1+U225),0)</f>
        <v>4639.7456468263617</v>
      </c>
      <c r="AG225" s="61">
        <f t="shared" ca="1" si="191"/>
        <v>0.64185145527300214</v>
      </c>
      <c r="AH225" s="61">
        <f t="shared" ca="1" si="192"/>
        <v>2.2624828854998791</v>
      </c>
      <c r="AI225" s="62">
        <f t="shared" ca="1" si="214"/>
        <v>0.92367976944524266</v>
      </c>
      <c r="AJ225" s="47">
        <f ca="1">IF(AD225,IF(AI225&lt;$F$10,0,IF(AI225&lt;$F$10+$F$11,0.25,IF(AI225&lt;$F$10+$F$11+AG225,AH225,1)))*IF(AF225&gt;0,AF225,IF(AF224&gt;0,AF224,IF(AF223&gt;0,AF223,IF(AF222&gt;0,AF222,IF(AF221&gt;0,AF221,IF(AF220&gt;0,AF220,IF(AF219&gt;0,AF219,IF(AF218&gt;0,AF218,IF(AF217&gt;0,AF217,IF(AF215&gt;0,AF215,IF(AF214&gt;0,AF214,IF(AF213&gt;0,AF213,0)))))))))))),0)*(1-$S225)*'模拟-单技能数据'!$I$20</f>
        <v>3513.5533621728819</v>
      </c>
      <c r="AK225" s="115" t="b">
        <f t="shared" ca="1" si="179"/>
        <v>0</v>
      </c>
      <c r="AL225" s="115" t="b">
        <f t="shared" ca="1" si="200"/>
        <v>1</v>
      </c>
      <c r="AM225" s="115">
        <f t="shared" ca="1" si="201"/>
        <v>4</v>
      </c>
      <c r="AN225" s="47">
        <f ca="1">IF(AK225,('模拟-单技能数据'!$D$21+G225*'模拟-单技能数据'!$F$21)*(1+J225)*(1+'模拟-单技能数据'!$J$21)*(1+U225),0)</f>
        <v>0</v>
      </c>
      <c r="AO225" s="61">
        <f ca="1">IF(AN225&gt;0,M225-'模拟-单技能数据'!$K$10,AO224)</f>
        <v>0.42185145527300216</v>
      </c>
      <c r="AP225" s="61">
        <f ca="1">IF(AN225&gt;0,I225-'模拟-单技能数据'!$L$10,AP224)</f>
        <v>2.162482885499879</v>
      </c>
      <c r="AQ225" s="63">
        <f t="shared" ca="1" si="215"/>
        <v>0.67533394707792593</v>
      </c>
      <c r="AR225" s="64">
        <f ca="1">IF(AL225,IF(AQ225&lt;$F$10,0,IF(AQ225&lt;$F$10+$F$11,0.25,IF(AQ225&lt;$F$10+$F$11+AO225,AP225,1)))*IF(AN225&gt;0,AN225,IF(AN224&gt;0,AN224,IF(AN223&gt;0,AN223,IF(AN222&gt;0,AN222,IF(AN221&gt;0,AN221,IF(AN220&gt;0,AN220,IF(AN219&gt;0,AN219,IF(AN218&gt;0,AN218,IF(AN217&gt;0,AN217,IF(AN215&gt;0,AN215,IF(AN214&gt;0,AN214,IF(AN213&gt;0,AN213,0)))))))))))),0)*(1-$S225)*'模拟-单技能数据'!$I$21</f>
        <v>9595.3556920079973</v>
      </c>
      <c r="AS225" s="61">
        <f ca="1">IF(OR(C225="净世破魔击·日",C225="净世破魔击·月"),M225-'模拟-单技能数据'!$K$10,0)</f>
        <v>0</v>
      </c>
      <c r="AT225" s="61">
        <f ca="1">IF(OR(C225="净世破魔击·日",C225="净世破魔击·月"),I225-'模拟-单技能数据'!$L$10,0)</f>
        <v>0</v>
      </c>
      <c r="AU225" s="62">
        <f t="shared" ca="1" si="216"/>
        <v>0.61679917420118957</v>
      </c>
      <c r="AV225" s="64">
        <f ca="1">IF(AS225&gt;0,('模拟-单技能数据'!$D$22+G225*'模拟-单技能数据'!$F$22)*(1+J225)*(1-S225)*IF(AU225&lt;$F$10,0,IF(AU225&lt;$F$10+$F$11,0.25,IF(AU225&lt;$F$10+$F$11+AS225,AT225,1)))*(1+U225),0)*'模拟-单技能数据'!$I$22</f>
        <v>0</v>
      </c>
      <c r="AW225" s="108">
        <f t="shared" ca="1" si="217"/>
        <v>9.8525000000000063</v>
      </c>
      <c r="AX225" s="108" t="b">
        <f ca="1">AND(模拟模式!$P$10="有",AW224=0,RAND()&lt;IF(C225="净世破魔击·月",0.1*8/3,IF(C225="净世破魔击·日",0.1*4/3,0.1*2/3)))</f>
        <v>0</v>
      </c>
      <c r="AY225" s="47">
        <f ca="1">IF(AX225,(18+G225*0.722)*(1+J225)*(1-S225)*(1+$I$4)*IF(P225="会",'模拟-全程加成'!$J$3+'模拟-全程加成'!$J$4+'模拟-全程加成'!$J$5+('模拟-全程加成'!$I$4+'模拟-全程加成'!$I$5)/系数!$B$4+BG225*10%,IF(P225="命",1,IF(P225="识",0.25,0))),0)</f>
        <v>0</v>
      </c>
      <c r="AZ225" s="108">
        <f t="shared" si="218"/>
        <v>0</v>
      </c>
      <c r="BA225" s="108" t="b">
        <f>AND(模拟模式!$Q$10="有",AZ224=0)</f>
        <v>0</v>
      </c>
      <c r="BB225" s="140">
        <f>IF(BA225,(0+G225*0.287)*(1+J225)*(1-S225)*(1+$I$4)*IF(P225="会",'模拟-全程加成'!$J$3+'模拟-全程加成'!$J$4+'模拟-全程加成'!$J$5+('模拟-全程加成'!$I$4+'模拟-全程加成'!$I$5)/系数!$B$4+BG225*10%,IF(P225="命",1,IF(P225="识",0.25,0))),0)</f>
        <v>0</v>
      </c>
      <c r="BC225" s="115" t="b">
        <f ca="1">AND(模拟模式!$R$7="伏明众生",E225=60,F225=20,DA225&lt;5,CZ224&lt;$F$4)</f>
        <v>0</v>
      </c>
      <c r="BD225" s="115">
        <f t="shared" ca="1" si="180"/>
        <v>0</v>
      </c>
      <c r="BE225" s="115" t="b">
        <f t="shared" ca="1" si="181"/>
        <v>0</v>
      </c>
      <c r="BF225" s="47">
        <f ca="1">IF(BC225,4*('模拟-单技能数据'!$D$24+G225*'模拟-单技能数据'!$F$24)*(1+J225)*(1+'模拟-单技能数据'!$J$24)*(1-S225)*(1+$I$3)*(('模拟-全程加成'!$J$3+'模拟-全程加成'!$J$4+'模拟-全程加成'!$J$5+('模拟-全程加成'!$I$4+'模拟-全程加成'!$I$5)/系数!$B$4+BG225*10%)*('模拟-全程加成'!$J$3+'模拟-全程加成'!$J$4+'模拟-全程加成'!$J$5+('模拟-全程加成'!$I$4+'模拟-全程加成'!$I$5)/系数!$B$4+BG225*10%)+(1-('模拟-全程加成'!$J$3+'模拟-全程加成'!$J$4+'模拟-全程加成'!$J$5+('模拟-全程加成'!$I$4+'模拟-全程加成'!$I$5)/系数!$B$4+BG225*10%)-$F$10-$F$11)+F211*0.25),0)*'模拟-单技能数据'!$I$24</f>
        <v>0</v>
      </c>
      <c r="BG225" s="115" t="b">
        <f ca="1">OR(AND(OR(C225="烈日斩",C225="银月斩"),模拟模式!$I$7="净身明礼"),AND(C225="净世破魔击·日",模拟模式!$J$7="洞若观火"),AND(C226="净世破魔击·月",模拟模式!$J$7="洞若观火"),AB225=1)</f>
        <v>1</v>
      </c>
      <c r="BH225" s="115" t="b">
        <f t="shared" ca="1" si="219"/>
        <v>0</v>
      </c>
      <c r="BI225" s="115">
        <f t="shared" ca="1" si="182"/>
        <v>0.46499999999999975</v>
      </c>
      <c r="BJ225" s="115" t="b">
        <f t="shared" ca="1" si="193"/>
        <v>1</v>
      </c>
      <c r="BK225" s="115" t="b">
        <f ca="1">AND(C225="驱夜断愁",模拟模式!$P$7="天地诛戮")</f>
        <v>0</v>
      </c>
      <c r="BL225" s="57">
        <f t="shared" ca="1" si="183"/>
        <v>14.465000000000003</v>
      </c>
      <c r="BM225" s="115" t="b">
        <f t="shared" ca="1" si="194"/>
        <v>1</v>
      </c>
      <c r="BN225" s="115" t="b">
        <f ca="1">AND(OR(C225="赤日轮1",C225="赤日轮2",C225="赤日轮3",C225="幽月轮1",C225="幽月轮2",C225="幽月轮3"),AB225=1,模拟模式!$L$7="明光恒照")</f>
        <v>0</v>
      </c>
      <c r="BO225" s="117">
        <f t="shared" ca="1" si="184"/>
        <v>29.077500000000001</v>
      </c>
      <c r="BP225" s="115">
        <f t="shared" ca="1" si="220"/>
        <v>6</v>
      </c>
      <c r="BQ225" s="115" t="b">
        <f>模拟模式!$K$10="2600·水"</f>
        <v>0</v>
      </c>
      <c r="BR225" s="117">
        <f t="shared" si="221"/>
        <v>0</v>
      </c>
      <c r="BS225" s="115">
        <f t="shared" si="222"/>
        <v>0</v>
      </c>
      <c r="BT225" s="115">
        <f t="shared" ca="1" si="223"/>
        <v>0</v>
      </c>
      <c r="BU225" s="115" t="b">
        <f ca="1">AND(模拟模式!$K$10="2300·雷",BT224=0,RAND()&lt;IF(C225="净世破魔击·月",5*0.05*2/3,IF(C225="净世破魔击·日",3*0.05*2/3,0.05*2*2/3)))</f>
        <v>0</v>
      </c>
      <c r="BV225" s="115">
        <f t="shared" ca="1" si="224"/>
        <v>0</v>
      </c>
      <c r="BW225" s="115">
        <f t="shared" ca="1" si="225"/>
        <v>2.8799999999993089</v>
      </c>
      <c r="BX225" s="164" t="b">
        <f t="shared" ca="1" si="226"/>
        <v>0</v>
      </c>
      <c r="BY225" s="115">
        <f t="shared" ca="1" si="227"/>
        <v>0</v>
      </c>
      <c r="BZ225" s="115">
        <f>IF(OR(模拟模式!$P$16="10人团",模拟模式!$P$16="25人团"),IF(B225/30&gt;CA224,1,0),0)</f>
        <v>0</v>
      </c>
      <c r="CA225" s="115">
        <f t="shared" si="203"/>
        <v>0</v>
      </c>
      <c r="CB225" s="115">
        <f ca="1">IF(BZ225=1,IF(模拟模式!$P$16="10人团",15,0)+IF(模拟模式!$P$16="25人团",IF(RAND()&lt;0.6,15,0)),MAX(0,CB224-$F$4))</f>
        <v>0</v>
      </c>
      <c r="CC225" s="115" t="b">
        <f t="shared" ca="1" si="195"/>
        <v>0</v>
      </c>
      <c r="CD225" s="115">
        <f>IF(模拟模式!$Q$16="1个",IF(B225/40&gt;CE224,1,0),0)</f>
        <v>0</v>
      </c>
      <c r="CE225" s="115">
        <f t="shared" si="196"/>
        <v>0</v>
      </c>
      <c r="CF225" s="115">
        <f>IF(OR(CD225=1,模拟模式!$Q$16="2个"),20,MAX(0,CF224-$F$4))</f>
        <v>0</v>
      </c>
      <c r="CG225" s="115" t="b">
        <f t="shared" si="197"/>
        <v>0</v>
      </c>
      <c r="CH225" s="115">
        <f t="shared" ca="1" si="228"/>
        <v>13.39500000000001</v>
      </c>
      <c r="CI225" s="115" t="b">
        <f t="shared" ca="1" si="229"/>
        <v>0</v>
      </c>
      <c r="CJ225" s="119">
        <f t="shared" ca="1" si="230"/>
        <v>0</v>
      </c>
      <c r="CK225" s="115">
        <f t="shared" ca="1" si="231"/>
        <v>0</v>
      </c>
      <c r="CL225" s="115" t="b">
        <f ca="1">AND(模拟模式!$S$7="驱夷逐法",OR(AND(C225="净世破魔击·月",E224&gt;59),AND(C225="净世破魔击·日",F224&gt;59)))</f>
        <v>0</v>
      </c>
      <c r="CM225" s="115" t="b">
        <f ca="1">OR(CL225,AND(C225="净世破魔击·日",CL224,RAND()&lt;模拟模式!$U$23))</f>
        <v>0</v>
      </c>
      <c r="CN225" s="115" t="b">
        <f ca="1">IF(模拟模式!$M$7="辉耀红尘",AND(C225="净世破魔击·月",CL225,CV225=0,E224&lt;80),AND(C225="净世破魔击·月",CL225,E224&lt;100))</f>
        <v>0</v>
      </c>
      <c r="CO225" s="115" t="b">
        <f t="shared" ca="1" si="204"/>
        <v>0</v>
      </c>
      <c r="CP225" s="115" t="b">
        <f ca="1">AND(模拟模式!$O$7="用晦而明",OR(C225="净世破魔击·日",C225="净世破魔击·月",C225="驱夜断愁"),AB225)</f>
        <v>0</v>
      </c>
      <c r="CQ225" s="115" t="b">
        <f ca="1">OR(CP225,AND(CP224,RAND()&lt;模拟模式!$U$23))</f>
        <v>0</v>
      </c>
      <c r="CR225" s="115" t="b">
        <f ca="1">AND(模拟模式!$S$7="日月齐光",OR(C225="幽月轮1",C225="幽月轮2",C225="幽月轮3",CR224),NOT(OR(C225="赤日轮1",C225="赤日轮2",C225="赤日轮3")))</f>
        <v>0</v>
      </c>
      <c r="CS225" s="115" t="b">
        <f ca="1">AND(模拟模式!$S$7="日月齐光",OR(C225="赤日轮1",C225="赤日轮2",C225="赤日轮3",CS224),NOT(OR(C225="幽月轮1",C225="幽月轮2",C225="幽月轮3")))</f>
        <v>0</v>
      </c>
      <c r="CT225" s="115">
        <f t="shared" ca="1" si="232"/>
        <v>17.085000000000008</v>
      </c>
      <c r="CU225" s="115" t="b">
        <f ca="1">AND(模拟模式!$K$10="阴阳往极",CT224=0,RAND()&lt;IF(C225="净世破魔击·月",0.0275*7/3,IF(C225="净世破魔击·日",0.0275*3/3,0.0275*2/3)))</f>
        <v>0</v>
      </c>
      <c r="CV225" s="115">
        <f t="shared" ca="1" si="233"/>
        <v>0</v>
      </c>
      <c r="CW225" s="115">
        <f t="shared" ca="1" si="205"/>
        <v>1.3874999999999997</v>
      </c>
      <c r="CX225" s="115">
        <f t="shared" ca="1" si="206"/>
        <v>6</v>
      </c>
      <c r="CY225" s="115">
        <f ca="1">MAX(IF($C225="驱夜断愁",IF(模拟模式!$R$7="万念俱寂",6,45),CY224-$F$4),0)</f>
        <v>0.46499999999999975</v>
      </c>
      <c r="CZ225" s="115">
        <f t="shared" ca="1" si="207"/>
        <v>0</v>
      </c>
      <c r="DA225" s="115">
        <f ca="1">IF(模拟模式!$N$7="日月同辉",IF(DB224=2,0,MIN(6,IF(AND(OR(C225="赤日轮1",C225="赤日轮2",C225="赤日轮3",C225="幽月轮1",C225="幽月轮2",C225="幽月轮3"),AB225=1),DA224+1,DA224))),0)</f>
        <v>4</v>
      </c>
      <c r="DB225" s="115">
        <f t="shared" ca="1" si="208"/>
        <v>0</v>
      </c>
      <c r="DC225" s="115"/>
      <c r="DD225" s="115"/>
      <c r="DE225" s="115"/>
      <c r="DF225" s="115"/>
      <c r="DG225" s="115"/>
      <c r="DH225" s="115"/>
      <c r="DI225" s="115"/>
      <c r="DJ225" s="115"/>
      <c r="DK225" s="115"/>
      <c r="DL225" s="115"/>
      <c r="DM225" s="115"/>
    </row>
    <row r="226" spans="2:117" x14ac:dyDescent="0.2">
      <c r="B226" s="117">
        <f t="shared" si="209"/>
        <v>183.57750000000075</v>
      </c>
      <c r="C226" s="167" t="str">
        <f t="shared" ca="1" si="202"/>
        <v>驱夜断愁</v>
      </c>
      <c r="D226" s="115">
        <f ca="1">IF(C226="赤日轮1",1,IF(C226="赤日轮2",2,IF(C226="赤日轮3",3,IF(C226="幽月轮1",4,IF(C226="幽月轮2",5,IF(C226="幽月轮3",6,IF(C226="烈日斩",7,IF(C226="银月斩",8,IF(C226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226="净世破魔击·月",17,IF(C226="驱夜断愁",18,0)))))))))))</f>
        <v>18</v>
      </c>
      <c r="E226" s="115">
        <f ca="1">IF(AND(CU226,OR(C226="幽月轮1",C226="幽月轮2",C226="幽月轮3",C226="银月斩",C226="驱夜断愁",C226="净世破魔击·月")),100,MIN(IF(OR(CN226,BE226),0,IF(OR($C226="赤日轮1",$C226="赤日轮2",$C226="赤日轮3"),E225+20+IF(模拟模式!$I$7="日月凌天",4,0)+IF(CR225,20,0),IF($C226="烈日斩",E225+40,IF($C226="驱夜断愁",IF(模拟模式!$R$7="万念俱寂",E225+20,E225+60),IF($C226="净世破魔击·月",IF(OR(DB225&gt;0,CV225&gt;0),100,IF(模拟模式!$M$7="辉耀红尘",E225+20,E225)),IF($C226="净世破魔击·日",E225-100,E225)))))),100))</f>
        <v>40</v>
      </c>
      <c r="F226" s="115">
        <f ca="1">IF(AND(CU226,OR(C226="赤日轮1",C226="赤日轮2",C226="赤日轮3",C226="烈日斩",C226="净世破魔击·日")),100,MIN(IF(CO226,0,IF(OR($C226="幽月轮1",$C226="幽月轮2",$C226="幽月轮3"),F225+20+IF(模拟模式!$I$7="日月凌天",4,0)+IF(CS225,20,0),IF($C226="银月斩",F225+40+IF(模拟模式!$X$12=1,5,0),IF($C226="驱夜断愁",IF(模拟模式!$R$7="万念俱寂",F225+20,F225+60),IF($C226="净世破魔击·月",IF(模拟模式!$M$7="辉耀红尘",F225-80,F225-100),IF(AND(C226="净世破魔击·日",OR(DB225&gt;0,CV225&gt;0)),100,F225)))))),100))</f>
        <v>85</v>
      </c>
      <c r="G226" s="117">
        <f ca="1">('模拟-全程加成'!$E$3+'模拟-全程加成'!$E$4+'模拟-全程加成'!$E$5+('模拟-全程加成'!$C$6-'模拟-全程加成'!$C$3)*系数!$B$9+BS226*23)*(1+'模拟-全程加成'!$F$4+'模拟-全程加成'!$F$5+BJ226*10%+BM226*20%+BP226*4%+CG226*30%)+$F$7*系数!$B$12</f>
        <v>20583.127400000001</v>
      </c>
      <c r="H226" s="45">
        <f ca="1">'模拟-全程加成'!$H$3+'模拟-全程加成'!$H$4+'模拟-全程加成'!$H$5+('模拟-全程加成'!$G$4+'模拟-全程加成'!$G$5+('模拟-全程加成'!$C$6-'模拟-全程加成'!$C$3)*系数!$B$13)/系数!$B$3+LOOKUP(D226,'模拟-单技能数据'!$A$2:$A$19,'模拟-单技能数据'!$K$2:$K$19)+BG226*10%+IF(BV226&gt;0,378,0)</f>
        <v>0.51185145527300213</v>
      </c>
      <c r="I226" s="45">
        <f ca="1">'模拟-全程加成'!$J$3+'模拟-全程加成'!$J$4+'模拟-全程加成'!$J$5+('模拟-全程加成'!$I$4+'模拟-全程加成'!$I$5)/系数!$B$4+LOOKUP(D226,'模拟-单技能数据'!$A$2:$A$19,'模拟-单技能数据'!$L$2:$L$19)+BG226*10%</f>
        <v>2.162482885499879</v>
      </c>
      <c r="J226" s="45">
        <f ca="1">(('模拟-全程加成'!$K$3+'模拟-全程加成'!$K$4+'模拟-全程加成'!$K$5+('模拟-全程加成'!$C$6-'模拟-全程加成'!$C$3)*系数!$B$10+IF(BV226&gt;0,882,0)+IF(BY226&gt;0,1831,0))*(1+'模拟-全程加成'!$L$4+'模拟-全程加成'!$L$5+CC226*20%))/系数!$B$5</f>
        <v>0.69723220422048726</v>
      </c>
      <c r="K226" s="119">
        <f ca="1">LOOKUP(D226,'模拟-单技能数据'!$A$2:$A$19,'模拟-单技能数据'!$J$2:$J$19)+IF(CM226,60%,0)+IF(DB225-DB226&gt;0,30%,0)+IF(OR(AND(OR(C226="赤日轮1",C226="赤日轮2",C226="赤日轮3"),CR226),AND(OR(C226="幽月轮1",C226="幽月轮2",C226="幽月轮3"),CS226)),35%,0)+CJ226</f>
        <v>0.14000000000000001</v>
      </c>
      <c r="L226" s="119">
        <f ca="1">IF(AND(C226="烈日斩",模拟模式!$X$11=1),10%,0)+IF(AND(C226="驱夜断愁",AB226=1),30%,0)</f>
        <v>0.3</v>
      </c>
      <c r="M226" s="45">
        <f t="shared" ca="1" si="185"/>
        <v>0.51185145527300213</v>
      </c>
      <c r="N226" s="45">
        <f t="shared" ca="1" si="186"/>
        <v>0.43424854472699792</v>
      </c>
      <c r="O226" s="46">
        <f t="shared" ca="1" si="210"/>
        <v>0.37936317141149289</v>
      </c>
      <c r="P226" s="46" t="str">
        <f t="shared" ca="1" si="211"/>
        <v>会</v>
      </c>
      <c r="Q226" s="45">
        <f t="shared" ca="1" si="212"/>
        <v>2.162482885499879</v>
      </c>
      <c r="R226" s="117">
        <f ca="1">模拟模式!$E$20*(1-IF(模拟模式!$J$19="有",0.15,0))*(1-IF(模拟模式!$K$19="有",0.3,0)-IF(CQ226,0.5,0))</f>
        <v>843.02999999999975</v>
      </c>
      <c r="S226" s="45">
        <f ca="1">R226/(R226+(185*模拟模式!$E$22-16800)*4.08224)</f>
        <v>8.389626085980037E-2</v>
      </c>
      <c r="T226" s="45" t="str">
        <f ca="1">LOOKUP(D226,'模拟-单技能数据'!$A$2:$A$19,'模拟-单技能数据'!$H$2:$H$19)</f>
        <v>阴</v>
      </c>
      <c r="U226" s="119">
        <f t="shared" ca="1" si="187"/>
        <v>0.08</v>
      </c>
      <c r="V226" s="47">
        <f ca="1">(1+L226)*(LOOKUP(D226,'模拟-单技能数据'!$A$2:$A$19,'模拟-单技能数据'!$D$2:$D$19)+G226*LOOKUP(D226,'模拟-单技能数据'!$A$2:$A$19,'模拟-单技能数据'!$F$2:$F$19))*(1+J226)*(1+K226)*(1-S226)*(1+U226)*Q226*LOOKUP(D226,'模拟-单技能数据'!$A$2:$A$19,'模拟-单技能数据'!$I$2:$I$20)</f>
        <v>127463.41908070058</v>
      </c>
      <c r="W226" s="47">
        <f ca="1">LOOKUP(D226,'模拟-单技能数据'!$A$2:$A$19,'模拟-单技能数据'!$G$2:$G$19)*$I$10</f>
        <v>723.0212870940959</v>
      </c>
      <c r="X226" s="47">
        <f t="shared" ca="1" si="213"/>
        <v>21451.398601422319</v>
      </c>
      <c r="Y226" s="47">
        <f t="shared" ca="1" si="188"/>
        <v>149637.838969217</v>
      </c>
      <c r="Z226" s="49">
        <f t="shared" ca="1" si="189"/>
        <v>20936371.481126115</v>
      </c>
      <c r="AA226" s="97">
        <f t="shared" ca="1" si="190"/>
        <v>114046.50069385425</v>
      </c>
      <c r="AB226" s="115">
        <f ca="1">IF(OR(C226="赤日轮1",C226="赤日轮2",C226="赤日轮3"),IF(RAND()&lt;模拟模式!$Y$17,1,0),IF(OR(C226="幽月轮1",C226="幽月轮2",C226="幽月轮3"),IF(RAND()&lt;模拟模式!$Y$18,1,0),IF(C226="烈日斩",IF(RAND()&lt;模拟模式!$Y$19,1,0),IF(C226="银月斩",IF(RAND()&lt;模拟模式!$Y$20,1,0),IF(C226="驱夜断愁",IF(RAND()&lt;模拟模式!$Y$21,1,0),IF(C226="净世破魔击·日",IF(RAND()&lt;模拟模式!$Y$22,1,0),IF(C226="净世破魔击·月",IF(RAND()&lt;模拟模式!$Y$23,1,0),0)))))))</f>
        <v>1</v>
      </c>
      <c r="AC226" s="115" t="b">
        <f t="shared" ca="1" si="178"/>
        <v>0</v>
      </c>
      <c r="AD226" s="115" t="b">
        <f t="shared" ca="1" si="198"/>
        <v>0</v>
      </c>
      <c r="AE226" s="115">
        <f t="shared" ca="1" si="199"/>
        <v>5</v>
      </c>
      <c r="AF226" s="47">
        <f ca="1">IF(AC226,('模拟-单技能数据'!$D$20+G226*'模拟-单技能数据'!$F$20)*(1+J226)*(1+'模拟-单技能数据'!$J$20)*(1+U226),0)</f>
        <v>0</v>
      </c>
      <c r="AG226" s="61">
        <f t="shared" ca="1" si="191"/>
        <v>0.64185145527300214</v>
      </c>
      <c r="AH226" s="61">
        <f t="shared" ca="1" si="192"/>
        <v>2.2624828854998791</v>
      </c>
      <c r="AI226" s="62">
        <f t="shared" ca="1" si="214"/>
        <v>0.44054820940327966</v>
      </c>
      <c r="AJ226" s="47">
        <f ca="1">IF(AD226,IF(AI226&lt;$F$10,0,IF(AI226&lt;$F$10+$F$11,0.25,IF(AI226&lt;$F$10+$F$11+AG226,AH226,1)))*IF(AF226&gt;0,AF226,IF(AF225&gt;0,AF225,IF(AF224&gt;0,AF224,IF(AF223&gt;0,AF223,IF(AF222&gt;0,AF222,IF(AF221&gt;0,AF221,IF(AF220&gt;0,AF220,IF(AF219&gt;0,AF219,IF(AF218&gt;0,AF218,IF(AF216&gt;0,AF216,IF(AF215&gt;0,AF215,IF(AF214&gt;0,AF214,0)))))))))))),0)*(1-$S226)*'模拟-单技能数据'!$I$20</f>
        <v>0</v>
      </c>
      <c r="AK226" s="115" t="b">
        <f t="shared" ca="1" si="179"/>
        <v>0</v>
      </c>
      <c r="AL226" s="115" t="b">
        <f t="shared" ca="1" si="200"/>
        <v>0</v>
      </c>
      <c r="AM226" s="115">
        <f t="shared" ca="1" si="201"/>
        <v>4</v>
      </c>
      <c r="AN226" s="47">
        <f ca="1">IF(AK226,('模拟-单技能数据'!$D$21+G226*'模拟-单技能数据'!$F$21)*(1+J226)*(1+'模拟-单技能数据'!$J$21)*(1+U226),0)</f>
        <v>0</v>
      </c>
      <c r="AO226" s="61">
        <f ca="1">IF(AN226&gt;0,M226-'模拟-单技能数据'!$K$10,AO225)</f>
        <v>0.42185145527300216</v>
      </c>
      <c r="AP226" s="61">
        <f ca="1">IF(AN226&gt;0,I226-'模拟-单技能数据'!$L$10,AP225)</f>
        <v>2.162482885499879</v>
      </c>
      <c r="AQ226" s="63">
        <f t="shared" ca="1" si="215"/>
        <v>0.32141667602832769</v>
      </c>
      <c r="AR226" s="64">
        <f ca="1">IF(AL226,IF(AQ226&lt;$F$10,0,IF(AQ226&lt;$F$10+$F$11,0.25,IF(AQ226&lt;$F$10+$F$11+AO226,AP226,1)))*IF(AN226&gt;0,AN226,IF(AN225&gt;0,AN225,IF(AN224&gt;0,AN224,IF(AN223&gt;0,AN223,IF(AN222&gt;0,AN222,IF(AN221&gt;0,AN221,IF(AN220&gt;0,AN220,IF(AN219&gt;0,AN219,IF(AN218&gt;0,AN218,IF(AN216&gt;0,AN216,IF(AN215&gt;0,AN215,IF(AN214&gt;0,AN214,0)))))))))))),0)*(1-$S226)*'模拟-单技能数据'!$I$21</f>
        <v>0</v>
      </c>
      <c r="AS226" s="61">
        <f ca="1">IF(OR(C226="净世破魔击·日",C226="净世破魔击·月"),M226-'模拟-单技能数据'!$K$10,0)</f>
        <v>0</v>
      </c>
      <c r="AT226" s="61">
        <f ca="1">IF(OR(C226="净世破魔击·日",C226="净世破魔击·月"),I226-'模拟-单技能数据'!$L$10,0)</f>
        <v>0</v>
      </c>
      <c r="AU226" s="62">
        <f t="shared" ca="1" si="216"/>
        <v>0.10442754062288373</v>
      </c>
      <c r="AV226" s="64">
        <f ca="1">IF(AS226&gt;0,('模拟-单技能数据'!$D$22+G226*'模拟-单技能数据'!$F$22)*(1+J226)*(1-S226)*IF(AU226&lt;$F$10,0,IF(AU226&lt;$F$10+$F$11,0.25,IF(AU226&lt;$F$10+$F$11+AS226,AT226,1)))*(1+U226),0)*'模拟-单技能数据'!$I$22</f>
        <v>0</v>
      </c>
      <c r="AW226" s="108">
        <f t="shared" ca="1" si="217"/>
        <v>8.9300000000000068</v>
      </c>
      <c r="AX226" s="108" t="b">
        <f ca="1">AND(模拟模式!$P$10="有",AW225=0,RAND()&lt;IF(C226="净世破魔击·月",0.1*8/3,IF(C226="净世破魔击·日",0.1*4/3,0.1*2/3)))</f>
        <v>0</v>
      </c>
      <c r="AY226" s="47">
        <f ca="1">IF(AX226,(18+G226*0.722)*(1+J226)*(1-S226)*(1+$I$4)*IF(P226="会",'模拟-全程加成'!$J$3+'模拟-全程加成'!$J$4+'模拟-全程加成'!$J$5+('模拟-全程加成'!$I$4+'模拟-全程加成'!$I$5)/系数!$B$4+BG226*10%,IF(P226="命",1,IF(P226="识",0.25,0))),0)</f>
        <v>0</v>
      </c>
      <c r="AZ226" s="108">
        <f t="shared" si="218"/>
        <v>19.077500000000001</v>
      </c>
      <c r="BA226" s="108" t="b">
        <f>AND(模拟模式!$Q$10="有",AZ225=0)</f>
        <v>1</v>
      </c>
      <c r="BB226" s="140">
        <f ca="1">IF(BA226,(0+G226*0.287)*(1+J226)*(1-S226)*(1+$I$4)*IF(P226="会",'模拟-全程加成'!$J$3+'模拟-全程加成'!$J$4+'模拟-全程加成'!$J$5+('模拟-全程加成'!$I$4+'模拟-全程加成'!$I$5)/系数!$B$4+BG226*10%,IF(P226="命",1,IF(P226="识",0.25,0))),0)</f>
        <v>21451.398601422319</v>
      </c>
      <c r="BC226" s="115" t="b">
        <f ca="1">AND(模拟模式!$R$7="伏明众生",E226=60,F226=20,DA226&lt;5,CZ225&lt;$F$4)</f>
        <v>0</v>
      </c>
      <c r="BD226" s="115">
        <f t="shared" ca="1" si="180"/>
        <v>0</v>
      </c>
      <c r="BE226" s="115" t="b">
        <f t="shared" ca="1" si="181"/>
        <v>0</v>
      </c>
      <c r="BF226" s="47">
        <f ca="1">IF(BC226,4*('模拟-单技能数据'!$D$24+G226*'模拟-单技能数据'!$F$24)*(1+J226)*(1+'模拟-单技能数据'!$J$24)*(1-S226)*(1+$I$3)*(('模拟-全程加成'!$J$3+'模拟-全程加成'!$J$4+'模拟-全程加成'!$J$5+('模拟-全程加成'!$I$4+'模拟-全程加成'!$I$5)/系数!$B$4+BG226*10%)*('模拟-全程加成'!$J$3+'模拟-全程加成'!$J$4+'模拟-全程加成'!$J$5+('模拟-全程加成'!$I$4+'模拟-全程加成'!$I$5)/系数!$B$4+BG226*10%)+(1-('模拟-全程加成'!$J$3+'模拟-全程加成'!$J$4+'模拟-全程加成'!$J$5+('模拟-全程加成'!$I$4+'模拟-全程加成'!$I$5)/系数!$B$4+BG226*10%)-$F$10-$F$11)+F212*0.25),0)*'模拟-单技能数据'!$I$24</f>
        <v>0</v>
      </c>
      <c r="BG226" s="115" t="b">
        <f ca="1">OR(AND(OR(C226="烈日斩",C226="银月斩"),模拟模式!$I$7="净身明礼"),AND(C226="净世破魔击·日",模拟模式!$J$7="洞若观火"),AND(C227="净世破魔击·月",模拟模式!$J$7="洞若观火"),AB226=1)</f>
        <v>1</v>
      </c>
      <c r="BH226" s="115" t="b">
        <f t="shared" ca="1" si="219"/>
        <v>0</v>
      </c>
      <c r="BI226" s="115">
        <f t="shared" ca="1" si="182"/>
        <v>0</v>
      </c>
      <c r="BJ226" s="115" t="b">
        <f t="shared" ca="1" si="193"/>
        <v>0</v>
      </c>
      <c r="BK226" s="115" t="b">
        <f ca="1">AND(C226="驱夜断愁",模拟模式!$P$7="天地诛戮")</f>
        <v>1</v>
      </c>
      <c r="BL226" s="57">
        <f t="shared" ca="1" si="183"/>
        <v>20</v>
      </c>
      <c r="BM226" s="115" t="b">
        <f t="shared" ca="1" si="194"/>
        <v>1</v>
      </c>
      <c r="BN226" s="115" t="b">
        <f ca="1">AND(OR(C226="赤日轮1",C226="赤日轮2",C226="赤日轮3",C226="幽月轮1",C226="幽月轮2",C226="幽月轮3"),AB226=1,模拟模式!$L$7="明光恒照")</f>
        <v>0</v>
      </c>
      <c r="BO226" s="117">
        <f t="shared" ca="1" si="184"/>
        <v>28.155000000000001</v>
      </c>
      <c r="BP226" s="115">
        <f t="shared" ca="1" si="220"/>
        <v>6</v>
      </c>
      <c r="BQ226" s="115" t="b">
        <f>模拟模式!$K$10="2600·水"</f>
        <v>0</v>
      </c>
      <c r="BR226" s="117">
        <f t="shared" si="221"/>
        <v>0</v>
      </c>
      <c r="BS226" s="115">
        <f t="shared" si="222"/>
        <v>0</v>
      </c>
      <c r="BT226" s="115">
        <f t="shared" ca="1" si="223"/>
        <v>0</v>
      </c>
      <c r="BU226" s="115" t="b">
        <f ca="1">AND(模拟模式!$K$10="2300·雷",BT225=0,RAND()&lt;IF(C226="净世破魔击·月",5*0.05*2/3,IF(C226="净世破魔击·日",3*0.05*2/3,0.05*2*2/3)))</f>
        <v>0</v>
      </c>
      <c r="BV226" s="115">
        <f t="shared" ca="1" si="224"/>
        <v>0</v>
      </c>
      <c r="BW226" s="115">
        <f t="shared" ca="1" si="225"/>
        <v>1.957499999999309</v>
      </c>
      <c r="BX226" s="164" t="b">
        <f t="shared" ca="1" si="226"/>
        <v>0</v>
      </c>
      <c r="BY226" s="115">
        <f t="shared" ca="1" si="227"/>
        <v>0</v>
      </c>
      <c r="BZ226" s="115">
        <f>IF(OR(模拟模式!$P$16="10人团",模拟模式!$P$16="25人团"),IF(B226/30&gt;CA225,1,0),0)</f>
        <v>0</v>
      </c>
      <c r="CA226" s="115">
        <f t="shared" si="203"/>
        <v>0</v>
      </c>
      <c r="CB226" s="115">
        <f ca="1">IF(BZ226=1,IF(模拟模式!$P$16="10人团",15,0)+IF(模拟模式!$P$16="25人团",IF(RAND()&lt;0.6,15,0)),MAX(0,CB225-$F$4))</f>
        <v>0</v>
      </c>
      <c r="CC226" s="115" t="b">
        <f t="shared" ca="1" si="195"/>
        <v>0</v>
      </c>
      <c r="CD226" s="115">
        <f>IF(模拟模式!$Q$16="1个",IF(B226/40&gt;CE225,1,0),0)</f>
        <v>0</v>
      </c>
      <c r="CE226" s="115">
        <f t="shared" si="196"/>
        <v>0</v>
      </c>
      <c r="CF226" s="115">
        <f>IF(OR(CD226=1,模拟模式!$Q$16="2个"),20,MAX(0,CF225-$F$4))</f>
        <v>0</v>
      </c>
      <c r="CG226" s="115" t="b">
        <f t="shared" si="197"/>
        <v>0</v>
      </c>
      <c r="CH226" s="115">
        <f t="shared" ca="1" si="228"/>
        <v>12.472500000000011</v>
      </c>
      <c r="CI226" s="115" t="b">
        <f t="shared" ca="1" si="229"/>
        <v>0</v>
      </c>
      <c r="CJ226" s="119">
        <f t="shared" ca="1" si="230"/>
        <v>0</v>
      </c>
      <c r="CK226" s="115">
        <f t="shared" ca="1" si="231"/>
        <v>0</v>
      </c>
      <c r="CL226" s="115" t="b">
        <f ca="1">AND(模拟模式!$S$7="驱夷逐法",OR(AND(C226="净世破魔击·月",E225&gt;59),AND(C226="净世破魔击·日",F225&gt;59)))</f>
        <v>0</v>
      </c>
      <c r="CM226" s="115" t="b">
        <f ca="1">OR(CL226,AND(C226="净世破魔击·日",CL225,RAND()&lt;模拟模式!$U$23))</f>
        <v>0</v>
      </c>
      <c r="CN226" s="115" t="b">
        <f ca="1">IF(模拟模式!$M$7="辉耀红尘",AND(C226="净世破魔击·月",CL226,CV226=0,E225&lt;80),AND(C226="净世破魔击·月",CL226,E225&lt;100))</f>
        <v>0</v>
      </c>
      <c r="CO226" s="115" t="b">
        <f t="shared" ca="1" si="204"/>
        <v>0</v>
      </c>
      <c r="CP226" s="115" t="b">
        <f ca="1">AND(模拟模式!$O$7="用晦而明",OR(C226="净世破魔击·日",C226="净世破魔击·月",C226="驱夜断愁"),AB226)</f>
        <v>1</v>
      </c>
      <c r="CQ226" s="115" t="b">
        <f ca="1">OR(CP226,AND(CP225,RAND()&lt;模拟模式!$U$23))</f>
        <v>1</v>
      </c>
      <c r="CR226" s="115" t="b">
        <f ca="1">AND(模拟模式!$S$7="日月齐光",OR(C226="幽月轮1",C226="幽月轮2",C226="幽月轮3",CR225),NOT(OR(C226="赤日轮1",C226="赤日轮2",C226="赤日轮3")))</f>
        <v>0</v>
      </c>
      <c r="CS226" s="115" t="b">
        <f ca="1">AND(模拟模式!$S$7="日月齐光",OR(C226="赤日轮1",C226="赤日轮2",C226="赤日轮3",CS225),NOT(OR(C226="幽月轮1",C226="幽月轮2",C226="幽月轮3")))</f>
        <v>0</v>
      </c>
      <c r="CT226" s="115">
        <f t="shared" ca="1" si="232"/>
        <v>16.162500000000009</v>
      </c>
      <c r="CU226" s="115" t="b">
        <f ca="1">AND(模拟模式!$K$10="阴阳往极",CT225=0,RAND()&lt;IF(C226="净世破魔击·月",0.0275*7/3,IF(C226="净世破魔击·日",0.0275*3/3,0.0275*2/3)))</f>
        <v>0</v>
      </c>
      <c r="CV226" s="115">
        <f t="shared" ca="1" si="233"/>
        <v>0</v>
      </c>
      <c r="CW226" s="115">
        <f t="shared" ca="1" si="205"/>
        <v>0.46499999999999975</v>
      </c>
      <c r="CX226" s="115">
        <f t="shared" ca="1" si="206"/>
        <v>5.0774999999999997</v>
      </c>
      <c r="CY226" s="115">
        <f ca="1">MAX(IF($C226="驱夜断愁",IF(模拟模式!$R$7="万念俱寂",6,45),CY225-$F$4),0)</f>
        <v>6</v>
      </c>
      <c r="CZ226" s="115">
        <f t="shared" ca="1" si="207"/>
        <v>0</v>
      </c>
      <c r="DA226" s="115">
        <f ca="1">IF(模拟模式!$N$7="日月同辉",IF(DB225=2,0,MIN(6,IF(AND(OR(C226="赤日轮1",C226="赤日轮2",C226="赤日轮3",C226="幽月轮1",C226="幽月轮2",C226="幽月轮3"),AB226=1),DA225+1,DA225))),0)</f>
        <v>4</v>
      </c>
      <c r="DB226" s="115">
        <f t="shared" ca="1" si="208"/>
        <v>0</v>
      </c>
      <c r="DC226" s="115"/>
      <c r="DD226" s="115"/>
      <c r="DE226" s="115"/>
      <c r="DF226" s="115"/>
      <c r="DG226" s="115"/>
      <c r="DH226" s="115"/>
      <c r="DI226" s="115"/>
      <c r="DJ226" s="115"/>
      <c r="DK226" s="115"/>
      <c r="DL226" s="115"/>
      <c r="DM226" s="115"/>
    </row>
    <row r="227" spans="2:117" x14ac:dyDescent="0.2">
      <c r="B227" s="117">
        <f t="shared" si="209"/>
        <v>184.50000000000077</v>
      </c>
      <c r="C227" s="167" t="str">
        <f t="shared" ca="1" si="202"/>
        <v>烈日斩</v>
      </c>
      <c r="D227" s="115">
        <f ca="1">IF(C227="赤日轮1",1,IF(C227="赤日轮2",2,IF(C227="赤日轮3",3,IF(C227="幽月轮1",4,IF(C227="幽月轮2",5,IF(C227="幽月轮3",6,IF(C227="烈日斩",7,IF(C227="银月斩",8,IF(C227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227="净世破魔击·月",17,IF(C227="驱夜断愁",18,0)))))))))))</f>
        <v>7</v>
      </c>
      <c r="E227" s="115">
        <f ca="1">IF(AND(CU227,OR(C227="幽月轮1",C227="幽月轮2",C227="幽月轮3",C227="银月斩",C227="驱夜断愁",C227="净世破魔击·月")),100,MIN(IF(OR(CN227,BE227),0,IF(OR($C227="赤日轮1",$C227="赤日轮2",$C227="赤日轮3"),E226+20+IF(模拟模式!$I$7="日月凌天",4,0)+IF(CR226,20,0),IF($C227="烈日斩",E226+40,IF($C227="驱夜断愁",IF(模拟模式!$R$7="万念俱寂",E226+20,E226+60),IF($C227="净世破魔击·月",IF(OR(DB226&gt;0,CV226&gt;0),100,IF(模拟模式!$M$7="辉耀红尘",E226+20,E226)),IF($C227="净世破魔击·日",E226-100,E226)))))),100))</f>
        <v>80</v>
      </c>
      <c r="F227" s="115">
        <f ca="1">IF(AND(CU227,OR(C227="赤日轮1",C227="赤日轮2",C227="赤日轮3",C227="烈日斩",C227="净世破魔击·日")),100,MIN(IF(CO227,0,IF(OR($C227="幽月轮1",$C227="幽月轮2",$C227="幽月轮3"),F226+20+IF(模拟模式!$I$7="日月凌天",4,0)+IF(CS226,20,0),IF($C227="银月斩",F226+40+IF(模拟模式!$X$12=1,5,0),IF($C227="驱夜断愁",IF(模拟模式!$R$7="万念俱寂",F226+20,F226+60),IF($C227="净世破魔击·月",IF(模拟模式!$M$7="辉耀红尘",F226-80,F226-100),IF(AND(C227="净世破魔击·日",OR(DB226&gt;0,CV226&gt;0)),100,F226)))))),100))</f>
        <v>85</v>
      </c>
      <c r="G227" s="117">
        <f ca="1">('模拟-全程加成'!$E$3+'模拟-全程加成'!$E$4+'模拟-全程加成'!$E$5+('模拟-全程加成'!$C$6-'模拟-全程加成'!$C$3)*系数!$B$9+BS227*23)*(1+'模拟-全程加成'!$F$4+'模拟-全程加成'!$F$5+BJ227*10%+BM227*20%+BP227*4%+CG227*30%)+$F$7*系数!$B$12</f>
        <v>20583.127400000001</v>
      </c>
      <c r="H227" s="45">
        <f ca="1">'模拟-全程加成'!$H$3+'模拟-全程加成'!$H$4+'模拟-全程加成'!$H$5+('模拟-全程加成'!$G$4+'模拟-全程加成'!$G$5+('模拟-全程加成'!$C$6-'模拟-全程加成'!$C$3)*系数!$B$13)/系数!$B$3+LOOKUP(D227,'模拟-单技能数据'!$A$2:$A$19,'模拟-单技能数据'!$K$2:$K$19)+BG227*10%+IF(BV227&gt;0,378,0)</f>
        <v>0.56185145527300218</v>
      </c>
      <c r="I227" s="45">
        <f ca="1">'模拟-全程加成'!$J$3+'模拟-全程加成'!$J$4+'模拟-全程加成'!$J$5+('模拟-全程加成'!$I$4+'模拟-全程加成'!$I$5)/系数!$B$4+LOOKUP(D227,'模拟-单技能数据'!$A$2:$A$19,'模拟-单技能数据'!$L$2:$L$19)+BG227*10%</f>
        <v>2.2624828854998791</v>
      </c>
      <c r="J227" s="45">
        <f ca="1">(('模拟-全程加成'!$K$3+'模拟-全程加成'!$K$4+'模拟-全程加成'!$K$5+('模拟-全程加成'!$C$6-'模拟-全程加成'!$C$3)*系数!$B$10+IF(BV227&gt;0,882,0)+IF(BY227&gt;0,1831,0))*(1+'模拟-全程加成'!$L$4+'模拟-全程加成'!$L$5+CC227*20%))/系数!$B$5</f>
        <v>0.69723220422048726</v>
      </c>
      <c r="K227" s="119">
        <f ca="1">LOOKUP(D227,'模拟-单技能数据'!$A$2:$A$19,'模拟-单技能数据'!$J$2:$J$19)+IF(CM227,60%,0)+IF(DB226-DB227&gt;0,30%,0)+IF(OR(AND(OR(C227="赤日轮1",C227="赤日轮2",C227="赤日轮3"),CR227),AND(OR(C227="幽月轮1",C227="幽月轮2",C227="幽月轮3"),CS227)),35%,0)+CJ227</f>
        <v>0.24</v>
      </c>
      <c r="L227" s="119">
        <f ca="1">IF(AND(C227="烈日斩",模拟模式!$X$11=1),10%,0)+IF(AND(C227="驱夜断愁",AB227=1),30%,0)</f>
        <v>0.1</v>
      </c>
      <c r="M227" s="45">
        <f t="shared" ca="1" si="185"/>
        <v>0.56185145527300218</v>
      </c>
      <c r="N227" s="45">
        <f t="shared" ca="1" si="186"/>
        <v>0.38424854472699788</v>
      </c>
      <c r="O227" s="46">
        <f t="shared" ca="1" si="210"/>
        <v>0.6140835025364747</v>
      </c>
      <c r="P227" s="46" t="str">
        <f t="shared" ca="1" si="211"/>
        <v>会</v>
      </c>
      <c r="Q227" s="45">
        <f t="shared" ca="1" si="212"/>
        <v>2.2624828854998791</v>
      </c>
      <c r="R227" s="117">
        <f ca="1">模拟模式!$E$20*(1-IF(模拟模式!$J$19="有",0.15,0))*(1-IF(模拟模式!$K$19="有",0.3,0)-IF(CQ227,0.5,0))</f>
        <v>843.02999999999975</v>
      </c>
      <c r="S227" s="45">
        <f ca="1">R227/(R227+(185*模拟模式!$E$22-16800)*4.08224)</f>
        <v>8.389626085980037E-2</v>
      </c>
      <c r="T227" s="45" t="str">
        <f ca="1">LOOKUP(D227,'模拟-单技能数据'!$A$2:$A$19,'模拟-单技能数据'!$H$2:$H$19)</f>
        <v>阳</v>
      </c>
      <c r="U227" s="119">
        <f t="shared" ca="1" si="187"/>
        <v>0.2</v>
      </c>
      <c r="V227" s="47">
        <f ca="1">(1+L227)*(LOOKUP(D227,'模拟-单技能数据'!$A$2:$A$19,'模拟-单技能数据'!$D$2:$D$19)+G227*LOOKUP(D227,'模拟-单技能数据'!$A$2:$A$19,'模拟-单技能数据'!$F$2:$F$19))*(1+J227)*(1+K227)*(1-S227)*(1+U227)*Q227*LOOKUP(D227,'模拟-单技能数据'!$A$2:$A$19,'模拟-单技能数据'!$I$2:$I$20)</f>
        <v>105861.05199666526</v>
      </c>
      <c r="W227" s="47">
        <f ca="1">LOOKUP(D227,'模拟-单技能数据'!$A$2:$A$19,'模拟-单技能数据'!$G$2:$G$19)*$I$10</f>
        <v>361.51064354704795</v>
      </c>
      <c r="X227" s="47">
        <f t="shared" ca="1" si="213"/>
        <v>21224.54896703297</v>
      </c>
      <c r="Y227" s="47">
        <f t="shared" ca="1" si="188"/>
        <v>127447.11160724529</v>
      </c>
      <c r="Z227" s="49">
        <f t="shared" ca="1" si="189"/>
        <v>21063818.592733361</v>
      </c>
      <c r="AA227" s="97">
        <f t="shared" ca="1" si="190"/>
        <v>114167.03844299878</v>
      </c>
      <c r="AB227" s="115">
        <f ca="1">IF(OR(C227="赤日轮1",C227="赤日轮2",C227="赤日轮3"),IF(RAND()&lt;模拟模式!$Y$17,1,0),IF(OR(C227="幽月轮1",C227="幽月轮2",C227="幽月轮3"),IF(RAND()&lt;模拟模式!$Y$18,1,0),IF(C227="烈日斩",IF(RAND()&lt;模拟模式!$Y$19,1,0),IF(C227="银月斩",IF(RAND()&lt;模拟模式!$Y$20,1,0),IF(C227="驱夜断愁",IF(RAND()&lt;模拟模式!$Y$21,1,0),IF(C227="净世破魔击·日",IF(RAND()&lt;模拟模式!$Y$22,1,0),IF(C227="净世破魔击·月",IF(RAND()&lt;模拟模式!$Y$23,1,0),0)))))))</f>
        <v>1</v>
      </c>
      <c r="AC227" s="115" t="b">
        <f t="shared" ca="1" si="178"/>
        <v>0</v>
      </c>
      <c r="AD227" s="115" t="b">
        <f t="shared" ca="1" si="198"/>
        <v>1</v>
      </c>
      <c r="AE227" s="115">
        <f t="shared" ca="1" si="199"/>
        <v>4</v>
      </c>
      <c r="AF227" s="47">
        <f ca="1">IF(AC227,('模拟-单技能数据'!$D$20+G227*'模拟-单技能数据'!$F$20)*(1+J227)*(1+'模拟-单技能数据'!$J$20)*(1+U227),0)</f>
        <v>0</v>
      </c>
      <c r="AG227" s="61">
        <f t="shared" ca="1" si="191"/>
        <v>0.64185145527300214</v>
      </c>
      <c r="AH227" s="61">
        <f t="shared" ca="1" si="192"/>
        <v>2.2624828854998791</v>
      </c>
      <c r="AI227" s="62">
        <f t="shared" ca="1" si="214"/>
        <v>0.21007134733671406</v>
      </c>
      <c r="AJ227" s="47">
        <f ca="1">IF(AD227,IF(AI227&lt;$F$10,0,IF(AI227&lt;$F$10+$F$11,0.25,IF(AI227&lt;$F$10+$F$11+AG227,AH227,1)))*IF(AF227&gt;0,AF227,IF(AF226&gt;0,AF226,IF(AF225&gt;0,AF225,IF(AF224&gt;0,AF224,IF(AF223&gt;0,AF223,IF(AF222&gt;0,AF222,IF(AF221&gt;0,AF221,IF(AF220&gt;0,AF220,IF(AF219&gt;0,AF219,IF(AF217&gt;0,AF217,IF(AF216&gt;0,AF216,IF(AF215&gt;0,AF215,0)))))))))))),0)*(1-$S227)*'模拟-单技能数据'!$I$20</f>
        <v>9616.6571145767884</v>
      </c>
      <c r="AK227" s="115" t="b">
        <f t="shared" ca="1" si="179"/>
        <v>0</v>
      </c>
      <c r="AL227" s="115" t="b">
        <f t="shared" ca="1" si="200"/>
        <v>1</v>
      </c>
      <c r="AM227" s="115">
        <f t="shared" ca="1" si="201"/>
        <v>3</v>
      </c>
      <c r="AN227" s="47">
        <f ca="1">IF(AK227,('模拟-单技能数据'!$D$21+G227*'模拟-单技能数据'!$F$21)*(1+J227)*(1+'模拟-单技能数据'!$J$21)*(1+U227),0)</f>
        <v>0</v>
      </c>
      <c r="AO227" s="61">
        <f ca="1">IF(AN227&gt;0,M227-'模拟-单技能数据'!$K$10,AO226)</f>
        <v>0.42185145527300216</v>
      </c>
      <c r="AP227" s="61">
        <f ca="1">IF(AN227&gt;0,I227-'模拟-单技能数据'!$L$10,AP226)</f>
        <v>2.162482885499879</v>
      </c>
      <c r="AQ227" s="63">
        <f t="shared" ca="1" si="215"/>
        <v>0.74325587218804279</v>
      </c>
      <c r="AR227" s="64">
        <f ca="1">IF(AL227,IF(AQ227&lt;$F$10,0,IF(AQ227&lt;$F$10+$F$11,0.25,IF(AQ227&lt;$F$10+$F$11+AO227,AP227,1)))*IF(AN227&gt;0,AN227,IF(AN226&gt;0,AN226,IF(AN225&gt;0,AN225,IF(AN224&gt;0,AN224,IF(AN223&gt;0,AN223,IF(AN222&gt;0,AN222,IF(AN221&gt;0,AN221,IF(AN220&gt;0,AN220,IF(AN219&gt;0,AN219,IF(AN217&gt;0,AN217,IF(AN216&gt;0,AN216,IF(AN215&gt;0,AN215,0)))))))))))),0)*(1-$S227)*'模拟-单技能数据'!$I$21</f>
        <v>11607.89185245618</v>
      </c>
      <c r="AS227" s="61">
        <f ca="1">IF(OR(C227="净世破魔击·日",C227="净世破魔击·月"),M227-'模拟-单技能数据'!$K$10,0)</f>
        <v>0</v>
      </c>
      <c r="AT227" s="61">
        <f ca="1">IF(OR(C227="净世破魔击·日",C227="净世破魔击·月"),I227-'模拟-单技能数据'!$L$10,0)</f>
        <v>0</v>
      </c>
      <c r="AU227" s="62">
        <f t="shared" ca="1" si="216"/>
        <v>0.20386155036704445</v>
      </c>
      <c r="AV227" s="64">
        <f ca="1">IF(AS227&gt;0,('模拟-单技能数据'!$D$22+G227*'模拟-单技能数据'!$F$22)*(1+J227)*(1-S227)*IF(AU227&lt;$F$10,0,IF(AU227&lt;$F$10+$F$11,0.25,IF(AU227&lt;$F$10+$F$11+AS227,AT227,1)))*(1+U227),0)*'模拟-单技能数据'!$I$22</f>
        <v>0</v>
      </c>
      <c r="AW227" s="108">
        <f t="shared" ca="1" si="217"/>
        <v>8.0075000000000074</v>
      </c>
      <c r="AX227" s="108" t="b">
        <f ca="1">AND(模拟模式!$P$10="有",AW226=0,RAND()&lt;IF(C227="净世破魔击·月",0.1*8/3,IF(C227="净世破魔击·日",0.1*4/3,0.1*2/3)))</f>
        <v>0</v>
      </c>
      <c r="AY227" s="47">
        <f ca="1">IF(AX227,(18+G227*0.722)*(1+J227)*(1-S227)*(1+$I$4)*IF(P227="会",'模拟-全程加成'!$J$3+'模拟-全程加成'!$J$4+'模拟-全程加成'!$J$5+('模拟-全程加成'!$I$4+'模拟-全程加成'!$I$5)/系数!$B$4+BG227*10%,IF(P227="命",1,IF(P227="识",0.25,0))),0)</f>
        <v>0</v>
      </c>
      <c r="AZ227" s="108">
        <f t="shared" si="218"/>
        <v>18.155000000000001</v>
      </c>
      <c r="BA227" s="108" t="b">
        <f>AND(模拟模式!$Q$10="有",AZ226=0)</f>
        <v>0</v>
      </c>
      <c r="BB227" s="140">
        <f>IF(BA227,(0+G227*0.287)*(1+J227)*(1-S227)*(1+$I$4)*IF(P227="会",'模拟-全程加成'!$J$3+'模拟-全程加成'!$J$4+'模拟-全程加成'!$J$5+('模拟-全程加成'!$I$4+'模拟-全程加成'!$I$5)/系数!$B$4+BG227*10%,IF(P227="命",1,IF(P227="识",0.25,0))),0)</f>
        <v>0</v>
      </c>
      <c r="BC227" s="115" t="b">
        <f ca="1">AND(模拟模式!$R$7="伏明众生",E227=60,F227=20,DA227&lt;5,CZ226&lt;$F$4)</f>
        <v>0</v>
      </c>
      <c r="BD227" s="115">
        <f t="shared" ca="1" si="180"/>
        <v>0</v>
      </c>
      <c r="BE227" s="115" t="b">
        <f t="shared" ca="1" si="181"/>
        <v>0</v>
      </c>
      <c r="BF227" s="47">
        <f ca="1">IF(BC227,4*('模拟-单技能数据'!$D$24+G227*'模拟-单技能数据'!$F$24)*(1+J227)*(1+'模拟-单技能数据'!$J$24)*(1-S227)*(1+$I$3)*(('模拟-全程加成'!$J$3+'模拟-全程加成'!$J$4+'模拟-全程加成'!$J$5+('模拟-全程加成'!$I$4+'模拟-全程加成'!$I$5)/系数!$B$4+BG227*10%)*('模拟-全程加成'!$J$3+'模拟-全程加成'!$J$4+'模拟-全程加成'!$J$5+('模拟-全程加成'!$I$4+'模拟-全程加成'!$I$5)/系数!$B$4+BG227*10%)+(1-('模拟-全程加成'!$J$3+'模拟-全程加成'!$J$4+'模拟-全程加成'!$J$5+('模拟-全程加成'!$I$4+'模拟-全程加成'!$I$5)/系数!$B$4+BG227*10%)-$F$10-$F$11)+F213*0.25),0)*'模拟-单技能数据'!$I$24</f>
        <v>0</v>
      </c>
      <c r="BG227" s="115" t="b">
        <f ca="1">OR(AND(OR(C227="烈日斩",C227="银月斩"),模拟模式!$I$7="净身明礼"),AND(C227="净世破魔击·日",模拟模式!$J$7="洞若观火"),AND(C228="净世破魔击·月",模拟模式!$J$7="洞若观火"),AB227=1)</f>
        <v>1</v>
      </c>
      <c r="BH227" s="115" t="b">
        <f t="shared" ca="1" si="219"/>
        <v>0</v>
      </c>
      <c r="BI227" s="115">
        <f t="shared" ca="1" si="182"/>
        <v>0</v>
      </c>
      <c r="BJ227" s="115" t="b">
        <f t="shared" ca="1" si="193"/>
        <v>0</v>
      </c>
      <c r="BK227" s="115" t="b">
        <f ca="1">AND(C227="驱夜断愁",模拟模式!$P$7="天地诛戮")</f>
        <v>0</v>
      </c>
      <c r="BL227" s="57">
        <f t="shared" ca="1" si="183"/>
        <v>19.077500000000001</v>
      </c>
      <c r="BM227" s="115" t="b">
        <f t="shared" ca="1" si="194"/>
        <v>1</v>
      </c>
      <c r="BN227" s="115" t="b">
        <f ca="1">AND(OR(C227="赤日轮1",C227="赤日轮2",C227="赤日轮3",C227="幽月轮1",C227="幽月轮2",C227="幽月轮3"),AB227=1,模拟模式!$L$7="明光恒照")</f>
        <v>0</v>
      </c>
      <c r="BO227" s="117">
        <f t="shared" ca="1" si="184"/>
        <v>27.232500000000002</v>
      </c>
      <c r="BP227" s="115">
        <f t="shared" ca="1" si="220"/>
        <v>6</v>
      </c>
      <c r="BQ227" s="115" t="b">
        <f>模拟模式!$K$10="2600·水"</f>
        <v>0</v>
      </c>
      <c r="BR227" s="117">
        <f t="shared" si="221"/>
        <v>0</v>
      </c>
      <c r="BS227" s="115">
        <f t="shared" si="222"/>
        <v>0</v>
      </c>
      <c r="BT227" s="115">
        <f t="shared" ca="1" si="223"/>
        <v>0</v>
      </c>
      <c r="BU227" s="115" t="b">
        <f ca="1">AND(模拟模式!$K$10="2300·雷",BT226=0,RAND()&lt;IF(C227="净世破魔击·月",5*0.05*2/3,IF(C227="净世破魔击·日",3*0.05*2/3,0.05*2*2/3)))</f>
        <v>0</v>
      </c>
      <c r="BV227" s="115">
        <f t="shared" ca="1" si="224"/>
        <v>0</v>
      </c>
      <c r="BW227" s="115">
        <f t="shared" ca="1" si="225"/>
        <v>1.0349999999993091</v>
      </c>
      <c r="BX227" s="164" t="b">
        <f t="shared" ca="1" si="226"/>
        <v>0</v>
      </c>
      <c r="BY227" s="115">
        <f t="shared" ca="1" si="227"/>
        <v>0</v>
      </c>
      <c r="BZ227" s="115">
        <f>IF(OR(模拟模式!$P$16="10人团",模拟模式!$P$16="25人团"),IF(B227/30&gt;CA226,1,0),0)</f>
        <v>0</v>
      </c>
      <c r="CA227" s="115">
        <f t="shared" si="203"/>
        <v>0</v>
      </c>
      <c r="CB227" s="115">
        <f ca="1">IF(BZ227=1,IF(模拟模式!$P$16="10人团",15,0)+IF(模拟模式!$P$16="25人团",IF(RAND()&lt;0.6,15,0)),MAX(0,CB226-$F$4))</f>
        <v>0</v>
      </c>
      <c r="CC227" s="115" t="b">
        <f t="shared" ca="1" si="195"/>
        <v>0</v>
      </c>
      <c r="CD227" s="115">
        <f>IF(模拟模式!$Q$16="1个",IF(B227/40&gt;CE226,1,0),0)</f>
        <v>0</v>
      </c>
      <c r="CE227" s="115">
        <f t="shared" si="196"/>
        <v>0</v>
      </c>
      <c r="CF227" s="115">
        <f>IF(OR(CD227=1,模拟模式!$Q$16="2个"),20,MAX(0,CF226-$F$4))</f>
        <v>0</v>
      </c>
      <c r="CG227" s="115" t="b">
        <f t="shared" si="197"/>
        <v>0</v>
      </c>
      <c r="CH227" s="115">
        <f t="shared" ca="1" si="228"/>
        <v>11.550000000000011</v>
      </c>
      <c r="CI227" s="115" t="b">
        <f t="shared" ca="1" si="229"/>
        <v>0</v>
      </c>
      <c r="CJ227" s="119">
        <f t="shared" ca="1" si="230"/>
        <v>0</v>
      </c>
      <c r="CK227" s="115">
        <f t="shared" ca="1" si="231"/>
        <v>0</v>
      </c>
      <c r="CL227" s="115" t="b">
        <f ca="1">AND(模拟模式!$S$7="驱夷逐法",OR(AND(C227="净世破魔击·月",E226&gt;59),AND(C227="净世破魔击·日",F226&gt;59)))</f>
        <v>0</v>
      </c>
      <c r="CM227" s="115" t="b">
        <f ca="1">OR(CL227,AND(C227="净世破魔击·日",CL226,RAND()&lt;模拟模式!$U$23))</f>
        <v>0</v>
      </c>
      <c r="CN227" s="115" t="b">
        <f ca="1">IF(模拟模式!$M$7="辉耀红尘",AND(C227="净世破魔击·月",CL227,CV227=0,E226&lt;80),AND(C227="净世破魔击·月",CL227,E226&lt;100))</f>
        <v>0</v>
      </c>
      <c r="CO227" s="115" t="b">
        <f t="shared" ca="1" si="204"/>
        <v>0</v>
      </c>
      <c r="CP227" s="115" t="b">
        <f ca="1">AND(模拟模式!$O$7="用晦而明",OR(C227="净世破魔击·日",C227="净世破魔击·月",C227="驱夜断愁"),AB227)</f>
        <v>0</v>
      </c>
      <c r="CQ227" s="115" t="b">
        <f ca="1">OR(CP227,AND(CP226,RAND()&lt;模拟模式!$U$23))</f>
        <v>1</v>
      </c>
      <c r="CR227" s="115" t="b">
        <f ca="1">AND(模拟模式!$S$7="日月齐光",OR(C227="幽月轮1",C227="幽月轮2",C227="幽月轮3",CR226),NOT(OR(C227="赤日轮1",C227="赤日轮2",C227="赤日轮3")))</f>
        <v>0</v>
      </c>
      <c r="CS227" s="115" t="b">
        <f ca="1">AND(模拟模式!$S$7="日月齐光",OR(C227="赤日轮1",C227="赤日轮2",C227="赤日轮3",CS226),NOT(OR(C227="幽月轮1",C227="幽月轮2",C227="幽月轮3")))</f>
        <v>0</v>
      </c>
      <c r="CT227" s="115">
        <f t="shared" ca="1" si="232"/>
        <v>15.240000000000009</v>
      </c>
      <c r="CU227" s="115" t="b">
        <f ca="1">AND(模拟模式!$K$10="阴阳往极",CT226=0,RAND()&lt;IF(C227="净世破魔击·月",0.0275*7/3,IF(C227="净世破魔击·日",0.0275*3/3,0.0275*2/3)))</f>
        <v>0</v>
      </c>
      <c r="CV227" s="115">
        <f t="shared" ca="1" si="233"/>
        <v>0</v>
      </c>
      <c r="CW227" s="115">
        <f t="shared" ca="1" si="205"/>
        <v>6</v>
      </c>
      <c r="CX227" s="115">
        <f t="shared" ca="1" si="206"/>
        <v>4.1549999999999994</v>
      </c>
      <c r="CY227" s="115">
        <f ca="1">MAX(IF($C227="驱夜断愁",IF(模拟模式!$R$7="万念俱寂",6,45),CY226-$F$4),0)</f>
        <v>5.0774999999999997</v>
      </c>
      <c r="CZ227" s="115">
        <f t="shared" ca="1" si="207"/>
        <v>0</v>
      </c>
      <c r="DA227" s="115">
        <f ca="1">IF(模拟模式!$N$7="日月同辉",IF(DB226=2,0,MIN(6,IF(AND(OR(C227="赤日轮1",C227="赤日轮2",C227="赤日轮3",C227="幽月轮1",C227="幽月轮2",C227="幽月轮3"),AB227=1),DA226+1,DA226))),0)</f>
        <v>4</v>
      </c>
      <c r="DB227" s="115">
        <f t="shared" ca="1" si="208"/>
        <v>0</v>
      </c>
      <c r="DC227" s="115"/>
      <c r="DD227" s="115"/>
      <c r="DE227" s="115"/>
      <c r="DF227" s="115"/>
      <c r="DG227" s="115"/>
      <c r="DH227" s="115"/>
      <c r="DI227" s="115"/>
      <c r="DJ227" s="115"/>
      <c r="DK227" s="115"/>
      <c r="DL227" s="115"/>
      <c r="DM227" s="115"/>
    </row>
    <row r="228" spans="2:117" x14ac:dyDescent="0.2">
      <c r="B228" s="117">
        <f t="shared" si="209"/>
        <v>185.42250000000078</v>
      </c>
      <c r="C228" s="167" t="str">
        <f t="shared" ca="1" si="202"/>
        <v>幽月轮1</v>
      </c>
      <c r="D228" s="115">
        <f ca="1">IF(C228="赤日轮1",1,IF(C228="赤日轮2",2,IF(C228="赤日轮3",3,IF(C228="幽月轮1",4,IF(C228="幽月轮2",5,IF(C228="幽月轮3",6,IF(C228="烈日斩",7,IF(C228="银月斩",8,IF(C228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228="净世破魔击·月",17,IF(C228="驱夜断愁",18,0)))))))))))</f>
        <v>4</v>
      </c>
      <c r="E228" s="115">
        <f ca="1">IF(AND(CU228,OR(C228="幽月轮1",C228="幽月轮2",C228="幽月轮3",C228="银月斩",C228="驱夜断愁",C228="净世破魔击·月")),100,MIN(IF(OR(CN228,BE228),0,IF(OR($C228="赤日轮1",$C228="赤日轮2",$C228="赤日轮3"),E227+20+IF(模拟模式!$I$7="日月凌天",4,0)+IF(CR227,20,0),IF($C228="烈日斩",E227+40,IF($C228="驱夜断愁",IF(模拟模式!$R$7="万念俱寂",E227+20,E227+60),IF($C228="净世破魔击·月",IF(OR(DB227&gt;0,CV227&gt;0),100,IF(模拟模式!$M$7="辉耀红尘",E227+20,E227)),IF($C228="净世破魔击·日",E227-100,E227)))))),100))</f>
        <v>80</v>
      </c>
      <c r="F228" s="115">
        <f ca="1">IF(AND(CU228,OR(C228="赤日轮1",C228="赤日轮2",C228="赤日轮3",C228="烈日斩",C228="净世破魔击·日")),100,MIN(IF(CO228,0,IF(OR($C228="幽月轮1",$C228="幽月轮2",$C228="幽月轮3"),F227+20+IF(模拟模式!$I$7="日月凌天",4,0)+IF(CS227,20,0),IF($C228="银月斩",F227+40+IF(模拟模式!$X$12=1,5,0),IF($C228="驱夜断愁",IF(模拟模式!$R$7="万念俱寂",F227+20,F227+60),IF($C228="净世破魔击·月",IF(模拟模式!$M$7="辉耀红尘",F227-80,F227-100),IF(AND(C228="净世破魔击·日",OR(DB227&gt;0,CV227&gt;0)),100,F227)))))),100))</f>
        <v>100</v>
      </c>
      <c r="G228" s="117">
        <f ca="1">('模拟-全程加成'!$E$3+'模拟-全程加成'!$E$4+'模拟-全程加成'!$E$5+('模拟-全程加成'!$C$6-'模拟-全程加成'!$C$3)*系数!$B$9+BS228*23)*(1+'模拟-全程加成'!$F$4+'模拟-全程加成'!$F$5+BJ228*10%+BM228*20%+BP228*4%+CG228*30%)+$F$7*系数!$B$12</f>
        <v>20583.127400000001</v>
      </c>
      <c r="H228" s="45">
        <f ca="1">'模拟-全程加成'!$H$3+'模拟-全程加成'!$H$4+'模拟-全程加成'!$H$5+('模拟-全程加成'!$G$4+'模拟-全程加成'!$G$5+('模拟-全程加成'!$C$6-'模拟-全程加成'!$C$3)*系数!$B$13)/系数!$B$3+LOOKUP(D228,'模拟-单技能数据'!$A$2:$A$19,'模拟-单技能数据'!$K$2:$K$19)+BG228*10%+IF(BV228&gt;0,378,0)</f>
        <v>0.51185145527300213</v>
      </c>
      <c r="I228" s="45">
        <f ca="1">'模拟-全程加成'!$J$3+'模拟-全程加成'!$J$4+'模拟-全程加成'!$J$5+('模拟-全程加成'!$I$4+'模拟-全程加成'!$I$5)/系数!$B$4+LOOKUP(D228,'模拟-单技能数据'!$A$2:$A$19,'模拟-单技能数据'!$L$2:$L$19)+BG228*10%</f>
        <v>2.162482885499879</v>
      </c>
      <c r="J228" s="45">
        <f ca="1">(('模拟-全程加成'!$K$3+'模拟-全程加成'!$K$4+'模拟-全程加成'!$K$5+('模拟-全程加成'!$C$6-'模拟-全程加成'!$C$3)*系数!$B$10+IF(BV228&gt;0,882,0)+IF(BY228&gt;0,1831,0))*(1+'模拟-全程加成'!$L$4+'模拟-全程加成'!$L$5+CC228*20%))/系数!$B$5</f>
        <v>0.69723220422048726</v>
      </c>
      <c r="K228" s="119">
        <f ca="1">LOOKUP(D228,'模拟-单技能数据'!$A$2:$A$19,'模拟-单技能数据'!$J$2:$J$19)+IF(CM228,60%,0)+IF(DB227-DB228&gt;0,30%,0)+IF(OR(AND(OR(C228="赤日轮1",C228="赤日轮2",C228="赤日轮3"),CR228),AND(OR(C228="幽月轮1",C228="幽月轮2",C228="幽月轮3"),CS228)),35%,0)+CJ228</f>
        <v>7.0000000000000007E-2</v>
      </c>
      <c r="L228" s="119">
        <f ca="1">IF(AND(C228="烈日斩",模拟模式!$X$11=1),10%,0)+IF(AND(C228="驱夜断愁",AB228=1),30%,0)</f>
        <v>0</v>
      </c>
      <c r="M228" s="45">
        <f t="shared" ca="1" si="185"/>
        <v>0.51185145527300213</v>
      </c>
      <c r="N228" s="45">
        <f t="shared" ca="1" si="186"/>
        <v>0.43424854472699792</v>
      </c>
      <c r="O228" s="46">
        <f t="shared" ca="1" si="210"/>
        <v>0.74405662470777523</v>
      </c>
      <c r="P228" s="46" t="str">
        <f t="shared" ca="1" si="211"/>
        <v>命</v>
      </c>
      <c r="Q228" s="45">
        <f t="shared" ca="1" si="212"/>
        <v>1</v>
      </c>
      <c r="R228" s="117">
        <f ca="1">模拟模式!$E$20*(1-IF(模拟模式!$J$19="有",0.15,0))*(1-IF(模拟模式!$K$19="有",0.3,0)-IF(CQ228,0.5,0))</f>
        <v>2950.6049999999996</v>
      </c>
      <c r="S228" s="45">
        <f ca="1">R228/(R228+(185*模拟模式!$E$22-16800)*4.08224)</f>
        <v>0.24272716014590323</v>
      </c>
      <c r="T228" s="45" t="str">
        <f ca="1">LOOKUP(D228,'模拟-单技能数据'!$A$2:$A$19,'模拟-单技能数据'!$H$2:$H$19)</f>
        <v>阴</v>
      </c>
      <c r="U228" s="119">
        <f t="shared" ca="1" si="187"/>
        <v>0.08</v>
      </c>
      <c r="V228" s="47">
        <f ca="1">(1+L228)*(LOOKUP(D228,'模拟-单技能数据'!$A$2:$A$19,'模拟-单技能数据'!$D$2:$D$19)+G228*LOOKUP(D228,'模拟-单技能数据'!$A$2:$A$19,'模拟-单技能数据'!$F$2:$F$19))*(1+J228)*(1+K228)*(1-S228)*(1+U228)*Q228*LOOKUP(D228,'模拟-单技能数据'!$A$2:$A$19,'模拟-单技能数据'!$I$2:$I$20)</f>
        <v>16226.218300318291</v>
      </c>
      <c r="W228" s="47">
        <f ca="1">LOOKUP(D228,'模拟-单技能数据'!$A$2:$A$19,'模拟-单技能数据'!$G$2:$G$19)*$I$10</f>
        <v>361.51064354704795</v>
      </c>
      <c r="X228" s="47">
        <f t="shared" ca="1" si="213"/>
        <v>0</v>
      </c>
      <c r="Y228" s="47">
        <f t="shared" ca="1" si="188"/>
        <v>16587.728943865339</v>
      </c>
      <c r="Z228" s="49">
        <f t="shared" ca="1" si="189"/>
        <v>21080406.321677227</v>
      </c>
      <c r="AA228" s="97">
        <f t="shared" ca="1" si="190"/>
        <v>113688.50232133176</v>
      </c>
      <c r="AB228" s="115">
        <f ca="1">IF(OR(C228="赤日轮1",C228="赤日轮2",C228="赤日轮3"),IF(RAND()&lt;模拟模式!$Y$17,1,0),IF(OR(C228="幽月轮1",C228="幽月轮2",C228="幽月轮3"),IF(RAND()&lt;模拟模式!$Y$18,1,0),IF(C228="烈日斩",IF(RAND()&lt;模拟模式!$Y$19,1,0),IF(C228="银月斩",IF(RAND()&lt;模拟模式!$Y$20,1,0),IF(C228="驱夜断愁",IF(RAND()&lt;模拟模式!$Y$21,1,0),IF(C228="净世破魔击·日",IF(RAND()&lt;模拟模式!$Y$22,1,0),IF(C228="净世破魔击·月",IF(RAND()&lt;模拟模式!$Y$23,1,0),0)))))))</f>
        <v>1</v>
      </c>
      <c r="AC228" s="115" t="b">
        <f t="shared" ca="1" si="178"/>
        <v>0</v>
      </c>
      <c r="AD228" s="115" t="b">
        <f t="shared" ca="1" si="198"/>
        <v>0</v>
      </c>
      <c r="AE228" s="115">
        <f t="shared" ca="1" si="199"/>
        <v>4</v>
      </c>
      <c r="AF228" s="47">
        <f ca="1">IF(AC228,('模拟-单技能数据'!$D$20+G228*'模拟-单技能数据'!$F$20)*(1+J228)*(1+'模拟-单技能数据'!$J$20)*(1+U228),0)</f>
        <v>0</v>
      </c>
      <c r="AG228" s="61">
        <f t="shared" ca="1" si="191"/>
        <v>0.64185145527300214</v>
      </c>
      <c r="AH228" s="61">
        <f t="shared" ca="1" si="192"/>
        <v>2.2624828854998791</v>
      </c>
      <c r="AI228" s="62">
        <f t="shared" ca="1" si="214"/>
        <v>0.63652434928861279</v>
      </c>
      <c r="AJ228" s="47">
        <f ca="1">IF(AD228,IF(AI228&lt;$F$10,0,IF(AI228&lt;$F$10+$F$11,0.25,IF(AI228&lt;$F$10+$F$11+AG228,AH228,1)))*IF(AF228&gt;0,AF228,IF(AF227&gt;0,AF227,IF(AF226&gt;0,AF226,IF(AF225&gt;0,AF225,IF(AF224&gt;0,AF224,IF(AF223&gt;0,AF223,IF(AF222&gt;0,AF222,IF(AF221&gt;0,AF221,IF(AF220&gt;0,AF220,IF(AF218&gt;0,AF218,IF(AF217&gt;0,AF217,IF(AF216&gt;0,AF216,0)))))))))))),0)*(1-$S228)*'模拟-单技能数据'!$I$20</f>
        <v>0</v>
      </c>
      <c r="AK228" s="115" t="b">
        <f t="shared" ca="1" si="179"/>
        <v>0</v>
      </c>
      <c r="AL228" s="115" t="b">
        <f t="shared" ca="1" si="200"/>
        <v>0</v>
      </c>
      <c r="AM228" s="115">
        <f t="shared" ca="1" si="201"/>
        <v>3</v>
      </c>
      <c r="AN228" s="47">
        <f ca="1">IF(AK228,('模拟-单技能数据'!$D$21+G228*'模拟-单技能数据'!$F$21)*(1+J228)*(1+'模拟-单技能数据'!$J$21)*(1+U228),0)</f>
        <v>0</v>
      </c>
      <c r="AO228" s="61">
        <f ca="1">IF(AN228&gt;0,M228-'模拟-单技能数据'!$K$10,AO227)</f>
        <v>0.42185145527300216</v>
      </c>
      <c r="AP228" s="61">
        <f ca="1">IF(AN228&gt;0,I228-'模拟-单技能数据'!$L$10,AP227)</f>
        <v>2.162482885499879</v>
      </c>
      <c r="AQ228" s="63">
        <f t="shared" ca="1" si="215"/>
        <v>0.23926302346034556</v>
      </c>
      <c r="AR228" s="64">
        <f ca="1">IF(AL228,IF(AQ228&lt;$F$10,0,IF(AQ228&lt;$F$10+$F$11,0.25,IF(AQ228&lt;$F$10+$F$11+AO228,AP228,1)))*IF(AN228&gt;0,AN228,IF(AN227&gt;0,AN227,IF(AN226&gt;0,AN226,IF(AN225&gt;0,AN225,IF(AN224&gt;0,AN224,IF(AN223&gt;0,AN223,IF(AN222&gt;0,AN222,IF(AN221&gt;0,AN221,IF(AN220&gt;0,AN220,IF(AN218&gt;0,AN218,IF(AN217&gt;0,AN217,IF(AN216&gt;0,AN216,0)))))))))))),0)*(1-$S228)*'模拟-单技能数据'!$I$21</f>
        <v>0</v>
      </c>
      <c r="AS228" s="61">
        <f ca="1">IF(OR(C228="净世破魔击·日",C228="净世破魔击·月"),M228-'模拟-单技能数据'!$K$10,0)</f>
        <v>0</v>
      </c>
      <c r="AT228" s="61">
        <f ca="1">IF(OR(C228="净世破魔击·日",C228="净世破魔击·月"),I228-'模拟-单技能数据'!$L$10,0)</f>
        <v>0</v>
      </c>
      <c r="AU228" s="62">
        <f t="shared" ca="1" si="216"/>
        <v>0.5274459007186616</v>
      </c>
      <c r="AV228" s="64">
        <f ca="1">IF(AS228&gt;0,('模拟-单技能数据'!$D$22+G228*'模拟-单技能数据'!$F$22)*(1+J228)*(1-S228)*IF(AU228&lt;$F$10,0,IF(AU228&lt;$F$10+$F$11,0.25,IF(AU228&lt;$F$10+$F$11+AS228,AT228,1)))*(1+U228),0)*'模拟-单技能数据'!$I$22</f>
        <v>0</v>
      </c>
      <c r="AW228" s="108">
        <f t="shared" ca="1" si="217"/>
        <v>7.0850000000000071</v>
      </c>
      <c r="AX228" s="108" t="b">
        <f ca="1">AND(模拟模式!$P$10="有",AW227=0,RAND()&lt;IF(C228="净世破魔击·月",0.1*8/3,IF(C228="净世破魔击·日",0.1*4/3,0.1*2/3)))</f>
        <v>0</v>
      </c>
      <c r="AY228" s="47">
        <f ca="1">IF(AX228,(18+G228*0.722)*(1+J228)*(1-S228)*(1+$I$4)*IF(P228="会",'模拟-全程加成'!$J$3+'模拟-全程加成'!$J$4+'模拟-全程加成'!$J$5+('模拟-全程加成'!$I$4+'模拟-全程加成'!$I$5)/系数!$B$4+BG228*10%,IF(P228="命",1,IF(P228="识",0.25,0))),0)</f>
        <v>0</v>
      </c>
      <c r="AZ228" s="108">
        <f t="shared" si="218"/>
        <v>17.232500000000002</v>
      </c>
      <c r="BA228" s="108" t="b">
        <f>AND(模拟模式!$Q$10="有",AZ227=0)</f>
        <v>0</v>
      </c>
      <c r="BB228" s="140">
        <f>IF(BA228,(0+G228*0.287)*(1+J228)*(1-S228)*(1+$I$4)*IF(P228="会",'模拟-全程加成'!$J$3+'模拟-全程加成'!$J$4+'模拟-全程加成'!$J$5+('模拟-全程加成'!$I$4+'模拟-全程加成'!$I$5)/系数!$B$4+BG228*10%,IF(P228="命",1,IF(P228="识",0.25,0))),0)</f>
        <v>0</v>
      </c>
      <c r="BC228" s="115" t="b">
        <f ca="1">AND(模拟模式!$R$7="伏明众生",E228=60,F228=20,DA228&lt;5,CZ227&lt;$F$4)</f>
        <v>0</v>
      </c>
      <c r="BD228" s="115">
        <f t="shared" ca="1" si="180"/>
        <v>0</v>
      </c>
      <c r="BE228" s="115" t="b">
        <f t="shared" ca="1" si="181"/>
        <v>0</v>
      </c>
      <c r="BF228" s="47">
        <f ca="1">IF(BC228,4*('模拟-单技能数据'!$D$24+G228*'模拟-单技能数据'!$F$24)*(1+J228)*(1+'模拟-单技能数据'!$J$24)*(1-S228)*(1+$I$3)*(('模拟-全程加成'!$J$3+'模拟-全程加成'!$J$4+'模拟-全程加成'!$J$5+('模拟-全程加成'!$I$4+'模拟-全程加成'!$I$5)/系数!$B$4+BG228*10%)*('模拟-全程加成'!$J$3+'模拟-全程加成'!$J$4+'模拟-全程加成'!$J$5+('模拟-全程加成'!$I$4+'模拟-全程加成'!$I$5)/系数!$B$4+BG228*10%)+(1-('模拟-全程加成'!$J$3+'模拟-全程加成'!$J$4+'模拟-全程加成'!$J$5+('模拟-全程加成'!$I$4+'模拟-全程加成'!$I$5)/系数!$B$4+BG228*10%)-$F$10-$F$11)+F214*0.25),0)*'模拟-单技能数据'!$I$24</f>
        <v>0</v>
      </c>
      <c r="BG228" s="115" t="b">
        <f ca="1">OR(AND(OR(C228="烈日斩",C228="银月斩"),模拟模式!$I$7="净身明礼"),AND(C228="净世破魔击·日",模拟模式!$J$7="洞若观火"),AND(C229="净世破魔击·月",模拟模式!$J$7="洞若观火"),AB228=1)</f>
        <v>1</v>
      </c>
      <c r="BH228" s="115" t="b">
        <f t="shared" ca="1" si="219"/>
        <v>0</v>
      </c>
      <c r="BI228" s="115">
        <f t="shared" ca="1" si="182"/>
        <v>0</v>
      </c>
      <c r="BJ228" s="115" t="b">
        <f t="shared" ca="1" si="193"/>
        <v>0</v>
      </c>
      <c r="BK228" s="115" t="b">
        <f ca="1">AND(C228="驱夜断愁",模拟模式!$P$7="天地诛戮")</f>
        <v>0</v>
      </c>
      <c r="BL228" s="57">
        <f t="shared" ca="1" si="183"/>
        <v>18.155000000000001</v>
      </c>
      <c r="BM228" s="115" t="b">
        <f t="shared" ca="1" si="194"/>
        <v>1</v>
      </c>
      <c r="BN228" s="115" t="b">
        <f ca="1">AND(OR(C228="赤日轮1",C228="赤日轮2",C228="赤日轮3",C228="幽月轮1",C228="幽月轮2",C228="幽月轮3"),AB228=1,模拟模式!$L$7="明光恒照")</f>
        <v>1</v>
      </c>
      <c r="BO228" s="117">
        <f t="shared" ca="1" si="184"/>
        <v>30</v>
      </c>
      <c r="BP228" s="115">
        <f t="shared" ca="1" si="220"/>
        <v>6</v>
      </c>
      <c r="BQ228" s="115" t="b">
        <f>模拟模式!$K$10="2600·水"</f>
        <v>0</v>
      </c>
      <c r="BR228" s="117">
        <f t="shared" si="221"/>
        <v>0</v>
      </c>
      <c r="BS228" s="115">
        <f t="shared" si="222"/>
        <v>0</v>
      </c>
      <c r="BT228" s="115">
        <f t="shared" ca="1" si="223"/>
        <v>0</v>
      </c>
      <c r="BU228" s="115" t="b">
        <f ca="1">AND(模拟模式!$K$10="2300·雷",BT227=0,RAND()&lt;IF(C228="净世破魔击·月",5*0.05*2/3,IF(C228="净世破魔击·日",3*0.05*2/3,0.05*2*2/3)))</f>
        <v>0</v>
      </c>
      <c r="BV228" s="115">
        <f t="shared" ca="1" si="224"/>
        <v>0</v>
      </c>
      <c r="BW228" s="115">
        <f t="shared" ca="1" si="225"/>
        <v>0.11249999999930915</v>
      </c>
      <c r="BX228" s="164" t="b">
        <f t="shared" ca="1" si="226"/>
        <v>0</v>
      </c>
      <c r="BY228" s="115">
        <f t="shared" ca="1" si="227"/>
        <v>0</v>
      </c>
      <c r="BZ228" s="115">
        <f>IF(OR(模拟模式!$P$16="10人团",模拟模式!$P$16="25人团"),IF(B228/30&gt;CA227,1,0),0)</f>
        <v>0</v>
      </c>
      <c r="CA228" s="115">
        <f t="shared" si="203"/>
        <v>0</v>
      </c>
      <c r="CB228" s="115">
        <f ca="1">IF(BZ228=1,IF(模拟模式!$P$16="10人团",15,0)+IF(模拟模式!$P$16="25人团",IF(RAND()&lt;0.6,15,0)),MAX(0,CB227-$F$4))</f>
        <v>0</v>
      </c>
      <c r="CC228" s="115" t="b">
        <f t="shared" ca="1" si="195"/>
        <v>0</v>
      </c>
      <c r="CD228" s="115">
        <f>IF(模拟模式!$Q$16="1个",IF(B228/40&gt;CE227,1,0),0)</f>
        <v>0</v>
      </c>
      <c r="CE228" s="115">
        <f t="shared" si="196"/>
        <v>0</v>
      </c>
      <c r="CF228" s="115">
        <f>IF(OR(CD228=1,模拟模式!$Q$16="2个"),20,MAX(0,CF227-$F$4))</f>
        <v>0</v>
      </c>
      <c r="CG228" s="115" t="b">
        <f t="shared" si="197"/>
        <v>0</v>
      </c>
      <c r="CH228" s="115">
        <f t="shared" ca="1" si="228"/>
        <v>10.627500000000012</v>
      </c>
      <c r="CI228" s="115" t="b">
        <f t="shared" ca="1" si="229"/>
        <v>0</v>
      </c>
      <c r="CJ228" s="119">
        <f t="shared" ca="1" si="230"/>
        <v>0</v>
      </c>
      <c r="CK228" s="115">
        <f t="shared" ca="1" si="231"/>
        <v>0</v>
      </c>
      <c r="CL228" s="115" t="b">
        <f ca="1">AND(模拟模式!$S$7="驱夷逐法",OR(AND(C228="净世破魔击·月",E227&gt;59),AND(C228="净世破魔击·日",F227&gt;59)))</f>
        <v>0</v>
      </c>
      <c r="CM228" s="115" t="b">
        <f ca="1">OR(CL228,AND(C228="净世破魔击·日",CL227,RAND()&lt;模拟模式!$U$23))</f>
        <v>0</v>
      </c>
      <c r="CN228" s="115" t="b">
        <f ca="1">IF(模拟模式!$M$7="辉耀红尘",AND(C228="净世破魔击·月",CL228,CV228=0,E227&lt;80),AND(C228="净世破魔击·月",CL228,E227&lt;100))</f>
        <v>0</v>
      </c>
      <c r="CO228" s="115" t="b">
        <f t="shared" ca="1" si="204"/>
        <v>0</v>
      </c>
      <c r="CP228" s="115" t="b">
        <f ca="1">AND(模拟模式!$O$7="用晦而明",OR(C228="净世破魔击·日",C228="净世破魔击·月",C228="驱夜断愁"),AB228)</f>
        <v>0</v>
      </c>
      <c r="CQ228" s="115" t="b">
        <f ca="1">OR(CP228,AND(CP227,RAND()&lt;模拟模式!$U$23))</f>
        <v>0</v>
      </c>
      <c r="CR228" s="115" t="b">
        <f ca="1">AND(模拟模式!$S$7="日月齐光",OR(C228="幽月轮1",C228="幽月轮2",C228="幽月轮3",CR227),NOT(OR(C228="赤日轮1",C228="赤日轮2",C228="赤日轮3")))</f>
        <v>0</v>
      </c>
      <c r="CS228" s="115" t="b">
        <f ca="1">AND(模拟模式!$S$7="日月齐光",OR(C228="赤日轮1",C228="赤日轮2",C228="赤日轮3",CS227),NOT(OR(C228="幽月轮1",C228="幽月轮2",C228="幽月轮3")))</f>
        <v>0</v>
      </c>
      <c r="CT228" s="115">
        <f t="shared" ca="1" si="232"/>
        <v>14.31750000000001</v>
      </c>
      <c r="CU228" s="115" t="b">
        <f ca="1">AND(模拟模式!$K$10="阴阳往极",CT227=0,RAND()&lt;IF(C228="净世破魔击·月",0.0275*7/3,IF(C228="净世破魔击·日",0.0275*3/3,0.0275*2/3)))</f>
        <v>0</v>
      </c>
      <c r="CV228" s="115">
        <f t="shared" ca="1" si="233"/>
        <v>0</v>
      </c>
      <c r="CW228" s="115">
        <f t="shared" ca="1" si="205"/>
        <v>5.0774999999999997</v>
      </c>
      <c r="CX228" s="115">
        <f t="shared" ca="1" si="206"/>
        <v>3.2324999999999995</v>
      </c>
      <c r="CY228" s="115">
        <f ca="1">MAX(IF($C228="驱夜断愁",IF(模拟模式!$R$7="万念俱寂",6,45),CY227-$F$4),0)</f>
        <v>4.1549999999999994</v>
      </c>
      <c r="CZ228" s="115">
        <f t="shared" ca="1" si="207"/>
        <v>0</v>
      </c>
      <c r="DA228" s="115">
        <f ca="1">IF(模拟模式!$N$7="日月同辉",IF(DB227=2,0,MIN(6,IF(AND(OR(C228="赤日轮1",C228="赤日轮2",C228="赤日轮3",C228="幽月轮1",C228="幽月轮2",C228="幽月轮3"),AB228=1),DA227+1,DA227))),0)</f>
        <v>5</v>
      </c>
      <c r="DB228" s="115">
        <f t="shared" ca="1" si="208"/>
        <v>0</v>
      </c>
      <c r="DC228" s="115"/>
      <c r="DD228" s="115"/>
      <c r="DE228" s="115"/>
      <c r="DF228" s="115"/>
      <c r="DG228" s="115"/>
      <c r="DH228" s="115"/>
      <c r="DI228" s="115"/>
      <c r="DJ228" s="115"/>
      <c r="DK228" s="115"/>
      <c r="DL228" s="115"/>
      <c r="DM228" s="115"/>
    </row>
    <row r="229" spans="2:117" x14ac:dyDescent="0.2">
      <c r="B229" s="117">
        <f t="shared" si="209"/>
        <v>186.34500000000079</v>
      </c>
      <c r="C229" s="167" t="str">
        <f t="shared" ca="1" si="202"/>
        <v>净世破魔击·月</v>
      </c>
      <c r="D229" s="115">
        <f ca="1">IF(C229="赤日轮1",1,IF(C229="赤日轮2",2,IF(C229="赤日轮3",3,IF(C229="幽月轮1",4,IF(C229="幽月轮2",5,IF(C229="幽月轮3",6,IF(C229="烈日斩",7,IF(C229="银月斩",8,IF(C229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229="净世破魔击·月",17,IF(C229="驱夜断愁",18,0)))))))))))</f>
        <v>17</v>
      </c>
      <c r="E229" s="115">
        <f ca="1">IF(AND(CU229,OR(C229="幽月轮1",C229="幽月轮2",C229="幽月轮3",C229="银月斩",C229="驱夜断愁",C229="净世破魔击·月")),100,MIN(IF(OR(CN229,BE229),0,IF(OR($C229="赤日轮1",$C229="赤日轮2",$C229="赤日轮3"),E228+20+IF(模拟模式!$I$7="日月凌天",4,0)+IF(CR228,20,0),IF($C229="烈日斩",E228+40,IF($C229="驱夜断愁",IF(模拟模式!$R$7="万念俱寂",E228+20,E228+60),IF($C229="净世破魔击·月",IF(OR(DB228&gt;0,CV228&gt;0),100,IF(模拟模式!$M$7="辉耀红尘",E228+20,E228)),IF($C229="净世破魔击·日",E228-100,E228)))))),100))</f>
        <v>100</v>
      </c>
      <c r="F229" s="115">
        <f ca="1">IF(AND(CU229,OR(C229="赤日轮1",C229="赤日轮2",C229="赤日轮3",C229="烈日斩",C229="净世破魔击·日")),100,MIN(IF(CO229,0,IF(OR($C229="幽月轮1",$C229="幽月轮2",$C229="幽月轮3"),F228+20+IF(模拟模式!$I$7="日月凌天",4,0)+IF(CS228,20,0),IF($C229="银月斩",F228+40+IF(模拟模式!$X$12=1,5,0),IF($C229="驱夜断愁",IF(模拟模式!$R$7="万念俱寂",F228+20,F228+60),IF($C229="净世破魔击·月",IF(模拟模式!$M$7="辉耀红尘",F228-80,F228-100),IF(AND(C229="净世破魔击·日",OR(DB228&gt;0,CV228&gt;0)),100,F228)))))),100))</f>
        <v>20</v>
      </c>
      <c r="G229" s="117">
        <f ca="1">('模拟-全程加成'!$E$3+'模拟-全程加成'!$E$4+'模拟-全程加成'!$E$5+('模拟-全程加成'!$C$6-'模拟-全程加成'!$C$3)*系数!$B$9+BS229*23)*(1+'模拟-全程加成'!$F$4+'模拟-全程加成'!$F$5+BJ229*10%+BM229*20%+BP229*4%+CG229*30%)+$F$7*系数!$B$12</f>
        <v>21493.829400000002</v>
      </c>
      <c r="H229" s="45">
        <f ca="1">'模拟-全程加成'!$H$3+'模拟-全程加成'!$H$4+'模拟-全程加成'!$H$5+('模拟-全程加成'!$G$4+'模拟-全程加成'!$G$5+('模拟-全程加成'!$C$6-'模拟-全程加成'!$C$3)*系数!$B$13)/系数!$B$3+LOOKUP(D229,'模拟-单技能数据'!$A$2:$A$19,'模拟-单技能数据'!$K$2:$K$19)+BG229*10%+IF(BV229&gt;0,378,0)</f>
        <v>0.54185145527300216</v>
      </c>
      <c r="I229" s="45">
        <f ca="1">'模拟-全程加成'!$J$3+'模拟-全程加成'!$J$4+'模拟-全程加成'!$J$5+('模拟-全程加成'!$I$4+'模拟-全程加成'!$I$5)/系数!$B$4+LOOKUP(D229,'模拟-单技能数据'!$A$2:$A$19,'模拟-单技能数据'!$L$2:$L$19)+BG229*10%</f>
        <v>2.162482885499879</v>
      </c>
      <c r="J229" s="45">
        <f ca="1">(('模拟-全程加成'!$K$3+'模拟-全程加成'!$K$4+'模拟-全程加成'!$K$5+('模拟-全程加成'!$C$6-'模拟-全程加成'!$C$3)*系数!$B$10+IF(BV229&gt;0,882,0)+IF(BY229&gt;0,1831,0))*(1+'模拟-全程加成'!$L$4+'模拟-全程加成'!$L$5+CC229*20%))/系数!$B$5</f>
        <v>0.69723220422048726</v>
      </c>
      <c r="K229" s="119">
        <f ca="1">LOOKUP(D229,'模拟-单技能数据'!$A$2:$A$19,'模拟-单技能数据'!$J$2:$J$19)+IF(CM229,60%,0)+IF(DB228-DB229&gt;0,30%,0)+IF(OR(AND(OR(C229="赤日轮1",C229="赤日轮2",C229="赤日轮3"),CR229),AND(OR(C229="幽月轮1",C229="幽月轮2",C229="幽月轮3"),CS229)),35%,0)+CJ229</f>
        <v>0.8</v>
      </c>
      <c r="L229" s="119">
        <f ca="1">IF(AND(C229="烈日斩",模拟模式!$X$11=1),10%,0)+IF(AND(C229="驱夜断愁",AB229=1),30%,0)</f>
        <v>0</v>
      </c>
      <c r="M229" s="45">
        <f t="shared" ca="1" si="185"/>
        <v>0.54185145527300216</v>
      </c>
      <c r="N229" s="45">
        <f t="shared" ca="1" si="186"/>
        <v>0.40424854472699789</v>
      </c>
      <c r="O229" s="46">
        <f t="shared" ca="1" si="210"/>
        <v>0.53030875235548769</v>
      </c>
      <c r="P229" s="46" t="str">
        <f t="shared" ca="1" si="211"/>
        <v>会</v>
      </c>
      <c r="Q229" s="45">
        <f t="shared" ca="1" si="212"/>
        <v>2.162482885499879</v>
      </c>
      <c r="R229" s="117">
        <f ca="1">模拟模式!$E$20*(1-IF(模拟模式!$J$19="有",0.15,0))*(1-IF(模拟模式!$K$19="有",0.3,0)-IF(CQ229,0.5,0))</f>
        <v>843.02999999999975</v>
      </c>
      <c r="S229" s="45">
        <f ca="1">R229/(R229+(185*模拟模式!$E$22-16800)*4.08224)</f>
        <v>8.389626085980037E-2</v>
      </c>
      <c r="T229" s="45" t="str">
        <f ca="1">LOOKUP(D229,'模拟-单技能数据'!$A$2:$A$19,'模拟-单技能数据'!$H$2:$H$19)</f>
        <v>阴</v>
      </c>
      <c r="U229" s="119">
        <f t="shared" ca="1" si="187"/>
        <v>0.08</v>
      </c>
      <c r="V229" s="47">
        <f ca="1">(1+L229)*(LOOKUP(D229,'模拟-单技能数据'!$A$2:$A$19,'模拟-单技能数据'!$D$2:$D$19)+G229*LOOKUP(D229,'模拟-单技能数据'!$A$2:$A$19,'模拟-单技能数据'!$F$2:$F$19))*(1+J229)*(1+K229)*(1-S229)*(1+U229)*Q229*LOOKUP(D229,'模拟-单技能数据'!$A$2:$A$19,'模拟-单技能数据'!$I$2:$I$20)</f>
        <v>182541.2211190153</v>
      </c>
      <c r="W229" s="47">
        <f ca="1">LOOKUP(D229,'模拟-单技能数据'!$A$2:$A$19,'模拟-单技能数据'!$G$2:$G$19)*$I$10</f>
        <v>361.51064354704795</v>
      </c>
      <c r="X229" s="47">
        <f t="shared" ca="1" si="213"/>
        <v>29180.759724404415</v>
      </c>
      <c r="Y229" s="47">
        <f t="shared" ca="1" si="188"/>
        <v>212083.49148696678</v>
      </c>
      <c r="Z229" s="49">
        <f t="shared" ca="1" si="189"/>
        <v>21292489.813164193</v>
      </c>
      <c r="AA229" s="97">
        <f t="shared" ca="1" si="190"/>
        <v>114263.81074439401</v>
      </c>
      <c r="AB229" s="115">
        <f ca="1">IF(OR(C229="赤日轮1",C229="赤日轮2",C229="赤日轮3"),IF(RAND()&lt;模拟模式!$Y$17,1,0),IF(OR(C229="幽月轮1",C229="幽月轮2",C229="幽月轮3"),IF(RAND()&lt;模拟模式!$Y$18,1,0),IF(C229="烈日斩",IF(RAND()&lt;模拟模式!$Y$19,1,0),IF(C229="银月斩",IF(RAND()&lt;模拟模式!$Y$20,1,0),IF(C229="驱夜断愁",IF(RAND()&lt;模拟模式!$Y$21,1,0),IF(C229="净世破魔击·日",IF(RAND()&lt;模拟模式!$Y$22,1,0),IF(C229="净世破魔击·月",IF(RAND()&lt;模拟模式!$Y$23,1,0),0)))))))</f>
        <v>1</v>
      </c>
      <c r="AC229" s="115" t="b">
        <f t="shared" ca="1" si="178"/>
        <v>0</v>
      </c>
      <c r="AD229" s="115" t="b">
        <f t="shared" ca="1" si="198"/>
        <v>1</v>
      </c>
      <c r="AE229" s="115">
        <f t="shared" ca="1" si="199"/>
        <v>3</v>
      </c>
      <c r="AF229" s="47">
        <f ca="1">IF(AC229,('模拟-单技能数据'!$D$20+G229*'模拟-单技能数据'!$F$20)*(1+J229)*(1+'模拟-单技能数据'!$J$20)*(1+U229),0)</f>
        <v>0</v>
      </c>
      <c r="AG229" s="61">
        <f t="shared" ca="1" si="191"/>
        <v>0.64185145527300214</v>
      </c>
      <c r="AH229" s="61">
        <f t="shared" ca="1" si="192"/>
        <v>2.2624828854998791</v>
      </c>
      <c r="AI229" s="62">
        <f t="shared" ca="1" si="214"/>
        <v>0.63429952054884131</v>
      </c>
      <c r="AJ229" s="47">
        <f ca="1">IF(AD229,IF(AI229&lt;$F$10,0,IF(AI229&lt;$F$10+$F$11,0.25,IF(AI229&lt;$F$10+$F$11+AG229,AH229,1)))*IF(AF229&gt;0,AF229,IF(AF228&gt;0,AF228,IF(AF227&gt;0,AF227,IF(AF226&gt;0,AF226,IF(AF225&gt;0,AF225,IF(AF224&gt;0,AF224,IF(AF223&gt;0,AF223,IF(AF222&gt;0,AF222,IF(AF221&gt;0,AF221,IF(AF219&gt;0,AF219,IF(AF218&gt;0,AF218,IF(AF217&gt;0,AF217,0)))))))))))),0)*(1-$S229)*'模拟-单技能数据'!$I$20</f>
        <v>9616.6571145767884</v>
      </c>
      <c r="AK229" s="115" t="b">
        <f t="shared" ca="1" si="179"/>
        <v>0</v>
      </c>
      <c r="AL229" s="115" t="b">
        <f t="shared" ca="1" si="200"/>
        <v>1</v>
      </c>
      <c r="AM229" s="115">
        <f t="shared" ca="1" si="201"/>
        <v>2</v>
      </c>
      <c r="AN229" s="47">
        <f ca="1">IF(AK229,('模拟-单技能数据'!$D$21+G229*'模拟-单技能数据'!$F$21)*(1+J229)*(1+'模拟-单技能数据'!$J$21)*(1+U229),0)</f>
        <v>0</v>
      </c>
      <c r="AO229" s="61">
        <f ca="1">IF(AN229&gt;0,M229-'模拟-单技能数据'!$K$10,AO228)</f>
        <v>0.42185145527300216</v>
      </c>
      <c r="AP229" s="61">
        <f ca="1">IF(AN229&gt;0,I229-'模拟-单技能数据'!$L$10,AP228)</f>
        <v>2.162482885499879</v>
      </c>
      <c r="AQ229" s="63">
        <f t="shared" ca="1" si="215"/>
        <v>0.73656950459928305</v>
      </c>
      <c r="AR229" s="64">
        <f ca="1">IF(AL229,IF(AQ229&lt;$F$10,0,IF(AQ229&lt;$F$10+$F$11,0.25,IF(AQ229&lt;$F$10+$F$11+AO229,AP229,1)))*IF(AN229&gt;0,AN229,IF(AN228&gt;0,AN228,IF(AN227&gt;0,AN227,IF(AN226&gt;0,AN226,IF(AN225&gt;0,AN225,IF(AN224&gt;0,AN224,IF(AN223&gt;0,AN223,IF(AN222&gt;0,AN222,IF(AN221&gt;0,AN221,IF(AN219&gt;0,AN219,IF(AN218&gt;0,AN218,IF(AN217&gt;0,AN217,0)))))))))))),0)*(1-$S229)*'模拟-单技能数据'!$I$21</f>
        <v>11607.89185245618</v>
      </c>
      <c r="AS229" s="61">
        <f ca="1">IF(OR(C229="净世破魔击·日",C229="净世破魔击·月"),M229-'模拟-单技能数据'!$K$10,0)</f>
        <v>0.42185145527300216</v>
      </c>
      <c r="AT229" s="61">
        <f ca="1">IF(OR(C229="净世破魔击·日",C229="净世破魔击·月"),I229-'模拟-单技能数据'!$L$10,0)</f>
        <v>2.162482885499879</v>
      </c>
      <c r="AU229" s="62">
        <f t="shared" ca="1" si="216"/>
        <v>0.55203884340325238</v>
      </c>
      <c r="AV229" s="64">
        <f ca="1">IF(AS229&gt;0,('模拟-单技能数据'!$D$22+G229*'模拟-单技能数据'!$F$22)*(1+J229)*(1-S229)*IF(AU229&lt;$F$10,0,IF(AU229&lt;$F$10+$F$11,0.25,IF(AU229&lt;$F$10+$F$11+AS229,AT229,1)))*(1+U229),0)*'模拟-单技能数据'!$I$22</f>
        <v>7956.2107573714466</v>
      </c>
      <c r="AW229" s="108">
        <f t="shared" ca="1" si="217"/>
        <v>6.1625000000000068</v>
      </c>
      <c r="AX229" s="108" t="b">
        <f ca="1">AND(模拟模式!$P$10="有",AW228=0,RAND()&lt;IF(C229="净世破魔击·月",0.1*8/3,IF(C229="净世破魔击·日",0.1*4/3,0.1*2/3)))</f>
        <v>0</v>
      </c>
      <c r="AY229" s="47">
        <f ca="1">IF(AX229,(18+G229*0.722)*(1+J229)*(1-S229)*(1+$I$4)*IF(P229="会",'模拟-全程加成'!$J$3+'模拟-全程加成'!$J$4+'模拟-全程加成'!$J$5+('模拟-全程加成'!$I$4+'模拟-全程加成'!$I$5)/系数!$B$4+BG229*10%,IF(P229="命",1,IF(P229="识",0.25,0))),0)</f>
        <v>0</v>
      </c>
      <c r="AZ229" s="108">
        <f t="shared" si="218"/>
        <v>16.310000000000002</v>
      </c>
      <c r="BA229" s="108" t="b">
        <f>AND(模拟模式!$Q$10="有",AZ228=0)</f>
        <v>0</v>
      </c>
      <c r="BB229" s="140">
        <f>IF(BA229,(0+G229*0.287)*(1+J229)*(1-S229)*(1+$I$4)*IF(P229="会",'模拟-全程加成'!$J$3+'模拟-全程加成'!$J$4+'模拟-全程加成'!$J$5+('模拟-全程加成'!$I$4+'模拟-全程加成'!$I$5)/系数!$B$4+BG229*10%,IF(P229="命",1,IF(P229="识",0.25,0))),0)</f>
        <v>0</v>
      </c>
      <c r="BC229" s="115" t="b">
        <f ca="1">AND(模拟模式!$R$7="伏明众生",E229=60,F229=20,DA229&lt;5,CZ228&lt;$F$4)</f>
        <v>0</v>
      </c>
      <c r="BD229" s="115">
        <f t="shared" ca="1" si="180"/>
        <v>0</v>
      </c>
      <c r="BE229" s="115" t="b">
        <f t="shared" ca="1" si="181"/>
        <v>0</v>
      </c>
      <c r="BF229" s="47">
        <f ca="1">IF(BC229,4*('模拟-单技能数据'!$D$24+G229*'模拟-单技能数据'!$F$24)*(1+J229)*(1+'模拟-单技能数据'!$J$24)*(1-S229)*(1+$I$3)*(('模拟-全程加成'!$J$3+'模拟-全程加成'!$J$4+'模拟-全程加成'!$J$5+('模拟-全程加成'!$I$4+'模拟-全程加成'!$I$5)/系数!$B$4+BG229*10%)*('模拟-全程加成'!$J$3+'模拟-全程加成'!$J$4+'模拟-全程加成'!$J$5+('模拟-全程加成'!$I$4+'模拟-全程加成'!$I$5)/系数!$B$4+BG229*10%)+(1-('模拟-全程加成'!$J$3+'模拟-全程加成'!$J$4+'模拟-全程加成'!$J$5+('模拟-全程加成'!$I$4+'模拟-全程加成'!$I$5)/系数!$B$4+BG229*10%)-$F$10-$F$11)+F215*0.25),0)*'模拟-单技能数据'!$I$24</f>
        <v>0</v>
      </c>
      <c r="BG229" s="115" t="b">
        <f ca="1">OR(AND(OR(C229="烈日斩",C229="银月斩"),模拟模式!$I$7="净身明礼"),AND(C229="净世破魔击·日",模拟模式!$J$7="洞若观火"),AND(C230="净世破魔击·月",模拟模式!$J$7="洞若观火"),AB229=1)</f>
        <v>1</v>
      </c>
      <c r="BH229" s="115" t="b">
        <f t="shared" ca="1" si="219"/>
        <v>1</v>
      </c>
      <c r="BI229" s="115">
        <f t="shared" ca="1" si="182"/>
        <v>6</v>
      </c>
      <c r="BJ229" s="115" t="b">
        <f t="shared" ca="1" si="193"/>
        <v>1</v>
      </c>
      <c r="BK229" s="115" t="b">
        <f ca="1">AND(C229="驱夜断愁",模拟模式!$P$7="天地诛戮")</f>
        <v>0</v>
      </c>
      <c r="BL229" s="57">
        <f t="shared" ca="1" si="183"/>
        <v>17.232500000000002</v>
      </c>
      <c r="BM229" s="115" t="b">
        <f t="shared" ca="1" si="194"/>
        <v>1</v>
      </c>
      <c r="BN229" s="115" t="b">
        <f ca="1">AND(OR(C229="赤日轮1",C229="赤日轮2",C229="赤日轮3",C229="幽月轮1",C229="幽月轮2",C229="幽月轮3"),AB229=1,模拟模式!$L$7="明光恒照")</f>
        <v>0</v>
      </c>
      <c r="BO229" s="117">
        <f t="shared" ca="1" si="184"/>
        <v>29.077500000000001</v>
      </c>
      <c r="BP229" s="115">
        <f t="shared" ca="1" si="220"/>
        <v>6</v>
      </c>
      <c r="BQ229" s="115" t="b">
        <f>模拟模式!$K$10="2600·水"</f>
        <v>0</v>
      </c>
      <c r="BR229" s="117">
        <f t="shared" si="221"/>
        <v>0</v>
      </c>
      <c r="BS229" s="115">
        <f t="shared" si="222"/>
        <v>0</v>
      </c>
      <c r="BT229" s="115">
        <f t="shared" ca="1" si="223"/>
        <v>0</v>
      </c>
      <c r="BU229" s="115" t="b">
        <f ca="1">AND(模拟模式!$K$10="2300·雷",BT228=0,RAND()&lt;IF(C229="净世破魔击·月",5*0.05*2/3,IF(C229="净世破魔击·日",3*0.05*2/3,0.05*2*2/3)))</f>
        <v>0</v>
      </c>
      <c r="BV229" s="115">
        <f t="shared" ca="1" si="224"/>
        <v>0</v>
      </c>
      <c r="BW229" s="115">
        <f t="shared" ca="1" si="225"/>
        <v>0</v>
      </c>
      <c r="BX229" s="164" t="b">
        <f t="shared" ca="1" si="226"/>
        <v>0</v>
      </c>
      <c r="BY229" s="115">
        <f t="shared" ca="1" si="227"/>
        <v>0</v>
      </c>
      <c r="BZ229" s="115">
        <f>IF(OR(模拟模式!$P$16="10人团",模拟模式!$P$16="25人团"),IF(B229/30&gt;CA228,1,0),0)</f>
        <v>0</v>
      </c>
      <c r="CA229" s="115">
        <f t="shared" si="203"/>
        <v>0</v>
      </c>
      <c r="CB229" s="115">
        <f ca="1">IF(BZ229=1,IF(模拟模式!$P$16="10人团",15,0)+IF(模拟模式!$P$16="25人团",IF(RAND()&lt;0.6,15,0)),MAX(0,CB228-$F$4))</f>
        <v>0</v>
      </c>
      <c r="CC229" s="115" t="b">
        <f t="shared" ca="1" si="195"/>
        <v>0</v>
      </c>
      <c r="CD229" s="115">
        <f>IF(模拟模式!$Q$16="1个",IF(B229/40&gt;CE228,1,0),0)</f>
        <v>0</v>
      </c>
      <c r="CE229" s="115">
        <f t="shared" si="196"/>
        <v>0</v>
      </c>
      <c r="CF229" s="115">
        <f>IF(OR(CD229=1,模拟模式!$Q$16="2个"),20,MAX(0,CF228-$F$4))</f>
        <v>0</v>
      </c>
      <c r="CG229" s="115" t="b">
        <f t="shared" si="197"/>
        <v>0</v>
      </c>
      <c r="CH229" s="115">
        <f t="shared" ca="1" si="228"/>
        <v>9.7050000000000125</v>
      </c>
      <c r="CI229" s="115" t="b">
        <f t="shared" ca="1" si="229"/>
        <v>0</v>
      </c>
      <c r="CJ229" s="119">
        <f t="shared" ca="1" si="230"/>
        <v>0</v>
      </c>
      <c r="CK229" s="115">
        <f t="shared" ca="1" si="231"/>
        <v>0</v>
      </c>
      <c r="CL229" s="115" t="b">
        <f ca="1">AND(模拟模式!$S$7="驱夷逐法",OR(AND(C229="净世破魔击·月",E228&gt;59),AND(C229="净世破魔击·日",F228&gt;59)))</f>
        <v>1</v>
      </c>
      <c r="CM229" s="115" t="b">
        <f ca="1">OR(CL229,AND(C229="净世破魔击·日",CL228,RAND()&lt;模拟模式!$U$23))</f>
        <v>1</v>
      </c>
      <c r="CN229" s="115" t="b">
        <f ca="1">IF(模拟模式!$M$7="辉耀红尘",AND(C229="净世破魔击·月",CL229,CV229=0,E228&lt;80),AND(C229="净世破魔击·月",CL229,E228&lt;100))</f>
        <v>0</v>
      </c>
      <c r="CO229" s="115" t="b">
        <f t="shared" ca="1" si="204"/>
        <v>0</v>
      </c>
      <c r="CP229" s="115" t="b">
        <f ca="1">AND(模拟模式!$O$7="用晦而明",OR(C229="净世破魔击·日",C229="净世破魔击·月",C229="驱夜断愁"),AB229)</f>
        <v>1</v>
      </c>
      <c r="CQ229" s="115" t="b">
        <f ca="1">OR(CP229,AND(CP228,RAND()&lt;模拟模式!$U$23))</f>
        <v>1</v>
      </c>
      <c r="CR229" s="115" t="b">
        <f ca="1">AND(模拟模式!$S$7="日月齐光",OR(C229="幽月轮1",C229="幽月轮2",C229="幽月轮3",CR228),NOT(OR(C229="赤日轮1",C229="赤日轮2",C229="赤日轮3")))</f>
        <v>0</v>
      </c>
      <c r="CS229" s="115" t="b">
        <f ca="1">AND(模拟模式!$S$7="日月齐光",OR(C229="赤日轮1",C229="赤日轮2",C229="赤日轮3",CS228),NOT(OR(C229="幽月轮1",C229="幽月轮2",C229="幽月轮3")))</f>
        <v>0</v>
      </c>
      <c r="CT229" s="115">
        <f t="shared" ca="1" si="232"/>
        <v>13.39500000000001</v>
      </c>
      <c r="CU229" s="115" t="b">
        <f ca="1">AND(模拟模式!$K$10="阴阳往极",CT228=0,RAND()&lt;IF(C229="净世破魔击·月",0.0275*7/3,IF(C229="净世破魔击·日",0.0275*3/3,0.0275*2/3)))</f>
        <v>0</v>
      </c>
      <c r="CV229" s="115">
        <f t="shared" ca="1" si="233"/>
        <v>0</v>
      </c>
      <c r="CW229" s="115">
        <f t="shared" ca="1" si="205"/>
        <v>4.1549999999999994</v>
      </c>
      <c r="CX229" s="115">
        <f t="shared" ca="1" si="206"/>
        <v>2.3099999999999996</v>
      </c>
      <c r="CY229" s="115">
        <f ca="1">MAX(IF($C229="驱夜断愁",IF(模拟模式!$R$7="万念俱寂",6,45),CY228-$F$4),0)</f>
        <v>3.2324999999999995</v>
      </c>
      <c r="CZ229" s="115">
        <f t="shared" ca="1" si="207"/>
        <v>0</v>
      </c>
      <c r="DA229" s="115">
        <f ca="1">IF(模拟模式!$N$7="日月同辉",IF(DB228=2,0,MIN(6,IF(AND(OR(C229="赤日轮1",C229="赤日轮2",C229="赤日轮3",C229="幽月轮1",C229="幽月轮2",C229="幽月轮3"),AB229=1),DA228+1,DA228))),0)</f>
        <v>5</v>
      </c>
      <c r="DB229" s="115">
        <f t="shared" ca="1" si="208"/>
        <v>0</v>
      </c>
      <c r="DC229" s="115"/>
      <c r="DD229" s="115"/>
      <c r="DE229" s="115"/>
      <c r="DF229" s="115"/>
      <c r="DG229" s="115"/>
      <c r="DH229" s="115"/>
      <c r="DI229" s="115"/>
      <c r="DJ229" s="115"/>
      <c r="DK229" s="115"/>
      <c r="DL229" s="115"/>
      <c r="DM229" s="115"/>
    </row>
    <row r="230" spans="2:117" x14ac:dyDescent="0.2">
      <c r="B230" s="117">
        <f t="shared" si="209"/>
        <v>187.26750000000081</v>
      </c>
      <c r="C230" s="167" t="str">
        <f t="shared" ca="1" si="202"/>
        <v>净世破魔击·日</v>
      </c>
      <c r="D230" s="115">
        <f ca="1">IF(C230="赤日轮1",1,IF(C230="赤日轮2",2,IF(C230="赤日轮3",3,IF(C230="幽月轮1",4,IF(C230="幽月轮2",5,IF(C230="幽月轮3",6,IF(C230="烈日斩",7,IF(C230="银月斩",8,IF(C230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230="净世破魔击·月",17,IF(C230="驱夜断愁",18,0)))))))))))</f>
        <v>9</v>
      </c>
      <c r="E230" s="115">
        <f ca="1">IF(AND(CU230,OR(C230="幽月轮1",C230="幽月轮2",C230="幽月轮3",C230="银月斩",C230="驱夜断愁",C230="净世破魔击·月")),100,MIN(IF(OR(CN230,BE230),0,IF(OR($C230="赤日轮1",$C230="赤日轮2",$C230="赤日轮3"),E229+20+IF(模拟模式!$I$7="日月凌天",4,0)+IF(CR229,20,0),IF($C230="烈日斩",E229+40,IF($C230="驱夜断愁",IF(模拟模式!$R$7="万念俱寂",E229+20,E229+60),IF($C230="净世破魔击·月",IF(OR(DB229&gt;0,CV229&gt;0),100,IF(模拟模式!$M$7="辉耀红尘",E229+20,E229)),IF($C230="净世破魔击·日",E229-100,E229)))))),100))</f>
        <v>0</v>
      </c>
      <c r="F230" s="115">
        <f ca="1">IF(AND(CU230,OR(C230="赤日轮1",C230="赤日轮2",C230="赤日轮3",C230="烈日斩",C230="净世破魔击·日")),100,MIN(IF(CO230,0,IF(OR($C230="幽月轮1",$C230="幽月轮2",$C230="幽月轮3"),F229+20+IF(模拟模式!$I$7="日月凌天",4,0)+IF(CS229,20,0),IF($C230="银月斩",F229+40+IF(模拟模式!$X$12=1,5,0),IF($C230="驱夜断愁",IF(模拟模式!$R$7="万念俱寂",F229+20,F229+60),IF($C230="净世破魔击·月",IF(模拟模式!$M$7="辉耀红尘",F229-80,F229-100),IF(AND(C230="净世破魔击·日",OR(DB229&gt;0,CV229&gt;0)),100,F229)))))),100))</f>
        <v>20</v>
      </c>
      <c r="G230" s="117">
        <f ca="1">('模拟-全程加成'!$E$3+'模拟-全程加成'!$E$4+'模拟-全程加成'!$E$5+('模拟-全程加成'!$C$6-'模拟-全程加成'!$C$3)*系数!$B$9+BS230*23)*(1+'模拟-全程加成'!$F$4+'模拟-全程加成'!$F$5+BJ230*10%+BM230*20%+BP230*4%+CG230*30%)+$F$7*系数!$B$12</f>
        <v>21493.829400000002</v>
      </c>
      <c r="H230" s="45">
        <f ca="1">'模拟-全程加成'!$H$3+'模拟-全程加成'!$H$4+'模拟-全程加成'!$H$5+('模拟-全程加成'!$G$4+'模拟-全程加成'!$G$5+('模拟-全程加成'!$C$6-'模拟-全程加成'!$C$3)*系数!$B$13)/系数!$B$3+LOOKUP(D230,'模拟-单技能数据'!$A$2:$A$19,'模拟-单技能数据'!$K$2:$K$19)+BG230*10%+IF(BV230&gt;0,378,0)</f>
        <v>0.54185145527300216</v>
      </c>
      <c r="I230" s="45">
        <f ca="1">'模拟-全程加成'!$J$3+'模拟-全程加成'!$J$4+'模拟-全程加成'!$J$5+('模拟-全程加成'!$I$4+'模拟-全程加成'!$I$5)/系数!$B$4+LOOKUP(D230,'模拟-单技能数据'!$A$2:$A$19,'模拟-单技能数据'!$L$2:$L$19)+BG230*10%</f>
        <v>2.162482885499879</v>
      </c>
      <c r="J230" s="45">
        <f ca="1">(('模拟-全程加成'!$K$3+'模拟-全程加成'!$K$4+'模拟-全程加成'!$K$5+('模拟-全程加成'!$C$6-'模拟-全程加成'!$C$3)*系数!$B$10+IF(BV230&gt;0,882,0)+IF(BY230&gt;0,1831,0))*(1+'模拟-全程加成'!$L$4+'模拟-全程加成'!$L$5+CC230*20%))/系数!$B$5</f>
        <v>0.69723220422048726</v>
      </c>
      <c r="K230" s="119">
        <f ca="1">LOOKUP(D230,'模拟-单技能数据'!$A$2:$A$19,'模拟-单技能数据'!$J$2:$J$19)+IF(CM230,60%,0)+IF(DB229-DB230&gt;0,30%,0)+IF(OR(AND(OR(C230="赤日轮1",C230="赤日轮2",C230="赤日轮3"),CR230),AND(OR(C230="幽月轮1",C230="幽月轮2",C230="幽月轮3"),CS230)),35%,0)+CJ230</f>
        <v>0.8</v>
      </c>
      <c r="L230" s="119">
        <f ca="1">IF(AND(C230="烈日斩",模拟模式!$X$11=1),10%,0)+IF(AND(C230="驱夜断愁",AB230=1),30%,0)</f>
        <v>0</v>
      </c>
      <c r="M230" s="45">
        <f t="shared" ca="1" si="185"/>
        <v>0.54185145527300216</v>
      </c>
      <c r="N230" s="45">
        <f t="shared" ca="1" si="186"/>
        <v>0.40424854472699789</v>
      </c>
      <c r="O230" s="46">
        <f t="shared" ca="1" si="210"/>
        <v>0.58613453941095173</v>
      </c>
      <c r="P230" s="46" t="str">
        <f t="shared" ca="1" si="211"/>
        <v>会</v>
      </c>
      <c r="Q230" s="45">
        <f t="shared" ca="1" si="212"/>
        <v>2.162482885499879</v>
      </c>
      <c r="R230" s="117">
        <f ca="1">模拟模式!$E$20*(1-IF(模拟模式!$J$19="有",0.15,0))*(1-IF(模拟模式!$K$19="有",0.3,0)-IF(CQ230,0.5,0))</f>
        <v>843.02999999999975</v>
      </c>
      <c r="S230" s="45">
        <f ca="1">R230/(R230+(185*模拟模式!$E$22-16800)*4.08224)</f>
        <v>8.389626085980037E-2</v>
      </c>
      <c r="T230" s="45" t="str">
        <f ca="1">LOOKUP(D230,'模拟-单技能数据'!$A$2:$A$19,'模拟-单技能数据'!$H$2:$H$19)</f>
        <v>阳</v>
      </c>
      <c r="U230" s="119">
        <f t="shared" ca="1" si="187"/>
        <v>0.2</v>
      </c>
      <c r="V230" s="47">
        <f ca="1">(1+L230)*(LOOKUP(D230,'模拟-单技能数据'!$A$2:$A$19,'模拟-单技能数据'!$D$2:$D$19)+G230*LOOKUP(D230,'模拟-单技能数据'!$A$2:$A$19,'模拟-单技能数据'!$F$2:$F$19))*(1+J230)*(1+K230)*(1-S230)*(1+U230)*Q230*LOOKUP(D230,'模拟-单技能数据'!$A$2:$A$19,'模拟-单技能数据'!$I$2:$I$20)</f>
        <v>204517.60843249681</v>
      </c>
      <c r="W230" s="47">
        <f ca="1">LOOKUP(D230,'模拟-单技能数据'!$A$2:$A$19,'模拟-单技能数据'!$G$2:$G$19)*$I$10</f>
        <v>723.0212870940959</v>
      </c>
      <c r="X230" s="47">
        <f t="shared" ca="1" si="213"/>
        <v>8840.2341748571616</v>
      </c>
      <c r="Y230" s="47">
        <f t="shared" ca="1" si="188"/>
        <v>214080.86389444806</v>
      </c>
      <c r="Z230" s="49">
        <f t="shared" ca="1" si="189"/>
        <v>21506570.677058641</v>
      </c>
      <c r="AA230" s="97">
        <f t="shared" ca="1" si="190"/>
        <v>114844.11698270414</v>
      </c>
      <c r="AB230" s="115">
        <f ca="1">IF(OR(C230="赤日轮1",C230="赤日轮2",C230="赤日轮3"),IF(RAND()&lt;模拟模式!$Y$17,1,0),IF(OR(C230="幽月轮1",C230="幽月轮2",C230="幽月轮3"),IF(RAND()&lt;模拟模式!$Y$18,1,0),IF(C230="烈日斩",IF(RAND()&lt;模拟模式!$Y$19,1,0),IF(C230="银月斩",IF(RAND()&lt;模拟模式!$Y$20,1,0),IF(C230="驱夜断愁",IF(RAND()&lt;模拟模式!$Y$21,1,0),IF(C230="净世破魔击·日",IF(RAND()&lt;模拟模式!$Y$22,1,0),IF(C230="净世破魔击·月",IF(RAND()&lt;模拟模式!$Y$23,1,0),0)))))))</f>
        <v>1</v>
      </c>
      <c r="AC230" s="115" t="b">
        <f t="shared" ca="1" si="178"/>
        <v>0</v>
      </c>
      <c r="AD230" s="115" t="b">
        <f t="shared" ca="1" si="198"/>
        <v>0</v>
      </c>
      <c r="AE230" s="115">
        <f t="shared" ca="1" si="199"/>
        <v>3</v>
      </c>
      <c r="AF230" s="47">
        <f ca="1">IF(AC230,('模拟-单技能数据'!$D$20+G230*'模拟-单技能数据'!$F$20)*(1+J230)*(1+'模拟-单技能数据'!$J$20)*(1+U230),0)</f>
        <v>0</v>
      </c>
      <c r="AG230" s="61">
        <f t="shared" ca="1" si="191"/>
        <v>0.64185145527300214</v>
      </c>
      <c r="AH230" s="61">
        <f t="shared" ca="1" si="192"/>
        <v>2.2624828854998791</v>
      </c>
      <c r="AI230" s="62">
        <f t="shared" ca="1" si="214"/>
        <v>0.89663417411627333</v>
      </c>
      <c r="AJ230" s="47">
        <f ca="1">IF(AD230,IF(AI230&lt;$F$10,0,IF(AI230&lt;$F$10+$F$11,0.25,IF(AI230&lt;$F$10+$F$11+AG230,AH230,1)))*IF(AF230&gt;0,AF230,IF(AF229&gt;0,AF229,IF(AF228&gt;0,AF228,IF(AF227&gt;0,AF227,IF(AF226&gt;0,AF226,IF(AF225&gt;0,AF225,IF(AF224&gt;0,AF224,IF(AF223&gt;0,AF223,IF(AF222&gt;0,AF222,IF(AF220&gt;0,AF220,IF(AF219&gt;0,AF219,IF(AF218&gt;0,AF218,0)))))))))))),0)*(1-$S230)*'模拟-单技能数据'!$I$20</f>
        <v>0</v>
      </c>
      <c r="AK230" s="115" t="b">
        <f t="shared" ca="1" si="179"/>
        <v>1</v>
      </c>
      <c r="AL230" s="115" t="b">
        <f t="shared" ca="1" si="200"/>
        <v>0</v>
      </c>
      <c r="AM230" s="115">
        <f t="shared" ca="1" si="201"/>
        <v>6</v>
      </c>
      <c r="AN230" s="47">
        <f ca="1">IF(AK230,('模拟-单技能数据'!$D$21+G230*'模拟-单技能数据'!$F$21)*(1+J230)*(1+'模拟-单技能数据'!$J$21)*(1+U230),0)</f>
        <v>12670.936004857545</v>
      </c>
      <c r="AO230" s="61">
        <f ca="1">IF(AN230&gt;0,M230-'模拟-单技能数据'!$K$10,AO229)</f>
        <v>0.42185145527300216</v>
      </c>
      <c r="AP230" s="61">
        <f ca="1">IF(AN230&gt;0,I230-'模拟-单技能数据'!$L$10,AP229)</f>
        <v>2.162482885499879</v>
      </c>
      <c r="AQ230" s="63">
        <f t="shared" ca="1" si="215"/>
        <v>0.36257926893971459</v>
      </c>
      <c r="AR230" s="64">
        <f ca="1">IF(AL230,IF(AQ230&lt;$F$10,0,IF(AQ230&lt;$F$10+$F$11,0.25,IF(AQ230&lt;$F$10+$F$11+AO230,AP230,1)))*IF(AN230&gt;0,AN230,IF(AN229&gt;0,AN229,IF(AN228&gt;0,AN228,IF(AN227&gt;0,AN227,IF(AN226&gt;0,AN226,IF(AN225&gt;0,AN225,IF(AN224&gt;0,AN224,IF(AN223&gt;0,AN223,IF(AN222&gt;0,AN222,IF(AN220&gt;0,AN220,IF(AN219&gt;0,AN219,IF(AN218&gt;0,AN218,0)))))))))))),0)*(1-$S230)*'模拟-单技能数据'!$I$21</f>
        <v>0</v>
      </c>
      <c r="AS230" s="61">
        <f ca="1">IF(OR(C230="净世破魔击·日",C230="净世破魔击·月"),M230-'模拟-单技能数据'!$K$10,0)</f>
        <v>0.42185145527300216</v>
      </c>
      <c r="AT230" s="61">
        <f ca="1">IF(OR(C230="净世破魔击·日",C230="净世破魔击·月"),I230-'模拟-单技能数据'!$L$10,0)</f>
        <v>2.162482885499879</v>
      </c>
      <c r="AU230" s="62">
        <f t="shared" ca="1" si="216"/>
        <v>0.91684695034982067</v>
      </c>
      <c r="AV230" s="64">
        <f ca="1">IF(AS230&gt;0,('模拟-单技能数据'!$D$22+G230*'模拟-单技能数据'!$F$22)*(1+J230)*(1-S230)*IF(AU230&lt;$F$10,0,IF(AU230&lt;$F$10+$F$11,0.25,IF(AU230&lt;$F$10+$F$11+AS230,AT230,1)))*(1+U230),0)*'模拟-单技能数据'!$I$22</f>
        <v>8840.2341748571616</v>
      </c>
      <c r="AW230" s="108">
        <f t="shared" ca="1" si="217"/>
        <v>5.2400000000000064</v>
      </c>
      <c r="AX230" s="108" t="b">
        <f ca="1">AND(模拟模式!$P$10="有",AW229=0,RAND()&lt;IF(C230="净世破魔击·月",0.1*8/3,IF(C230="净世破魔击·日",0.1*4/3,0.1*2/3)))</f>
        <v>0</v>
      </c>
      <c r="AY230" s="47">
        <f ca="1">IF(AX230,(18+G230*0.722)*(1+J230)*(1-S230)*(1+$I$4)*IF(P230="会",'模拟-全程加成'!$J$3+'模拟-全程加成'!$J$4+'模拟-全程加成'!$J$5+('模拟-全程加成'!$I$4+'模拟-全程加成'!$I$5)/系数!$B$4+BG230*10%,IF(P230="命",1,IF(P230="识",0.25,0))),0)</f>
        <v>0</v>
      </c>
      <c r="AZ230" s="108">
        <f t="shared" si="218"/>
        <v>15.387500000000003</v>
      </c>
      <c r="BA230" s="108" t="b">
        <f>AND(模拟模式!$Q$10="有",AZ229=0)</f>
        <v>0</v>
      </c>
      <c r="BB230" s="140">
        <f>IF(BA230,(0+G230*0.287)*(1+J230)*(1-S230)*(1+$I$4)*IF(P230="会",'模拟-全程加成'!$J$3+'模拟-全程加成'!$J$4+'模拟-全程加成'!$J$5+('模拟-全程加成'!$I$4+'模拟-全程加成'!$I$5)/系数!$B$4+BG230*10%,IF(P230="命",1,IF(P230="识",0.25,0))),0)</f>
        <v>0</v>
      </c>
      <c r="BC230" s="115" t="b">
        <f ca="1">AND(模拟模式!$R$7="伏明众生",E230=60,F230=20,DA230&lt;5,CZ229&lt;$F$4)</f>
        <v>0</v>
      </c>
      <c r="BD230" s="115">
        <f t="shared" ca="1" si="180"/>
        <v>0</v>
      </c>
      <c r="BE230" s="115" t="b">
        <f t="shared" ca="1" si="181"/>
        <v>0</v>
      </c>
      <c r="BF230" s="47">
        <f ca="1">IF(BC230,4*('模拟-单技能数据'!$D$24+G230*'模拟-单技能数据'!$F$24)*(1+J230)*(1+'模拟-单技能数据'!$J$24)*(1-S230)*(1+$I$3)*(('模拟-全程加成'!$J$3+'模拟-全程加成'!$J$4+'模拟-全程加成'!$J$5+('模拟-全程加成'!$I$4+'模拟-全程加成'!$I$5)/系数!$B$4+BG230*10%)*('模拟-全程加成'!$J$3+'模拟-全程加成'!$J$4+'模拟-全程加成'!$J$5+('模拟-全程加成'!$I$4+'模拟-全程加成'!$I$5)/系数!$B$4+BG230*10%)+(1-('模拟-全程加成'!$J$3+'模拟-全程加成'!$J$4+'模拟-全程加成'!$J$5+('模拟-全程加成'!$I$4+'模拟-全程加成'!$I$5)/系数!$B$4+BG230*10%)-$F$10-$F$11)+F216*0.25),0)*'模拟-单技能数据'!$I$24</f>
        <v>0</v>
      </c>
      <c r="BG230" s="115" t="b">
        <f ca="1">OR(AND(OR(C230="烈日斩",C230="银月斩"),模拟模式!$I$7="净身明礼"),AND(C230="净世破魔击·日",模拟模式!$J$7="洞若观火"),AND(C231="净世破魔击·月",模拟模式!$J$7="洞若观火"),AB230=1)</f>
        <v>1</v>
      </c>
      <c r="BH230" s="115" t="b">
        <f t="shared" ca="1" si="219"/>
        <v>1</v>
      </c>
      <c r="BI230" s="115">
        <f t="shared" ca="1" si="182"/>
        <v>6</v>
      </c>
      <c r="BJ230" s="115" t="b">
        <f t="shared" ca="1" si="193"/>
        <v>1</v>
      </c>
      <c r="BK230" s="115" t="b">
        <f ca="1">AND(C230="驱夜断愁",模拟模式!$P$7="天地诛戮")</f>
        <v>0</v>
      </c>
      <c r="BL230" s="57">
        <f t="shared" ca="1" si="183"/>
        <v>16.310000000000002</v>
      </c>
      <c r="BM230" s="115" t="b">
        <f t="shared" ca="1" si="194"/>
        <v>1</v>
      </c>
      <c r="BN230" s="115" t="b">
        <f ca="1">AND(OR(C230="赤日轮1",C230="赤日轮2",C230="赤日轮3",C230="幽月轮1",C230="幽月轮2",C230="幽月轮3"),AB230=1,模拟模式!$L$7="明光恒照")</f>
        <v>0</v>
      </c>
      <c r="BO230" s="117">
        <f t="shared" ca="1" si="184"/>
        <v>28.155000000000001</v>
      </c>
      <c r="BP230" s="115">
        <f t="shared" ca="1" si="220"/>
        <v>6</v>
      </c>
      <c r="BQ230" s="115" t="b">
        <f>模拟模式!$K$10="2600·水"</f>
        <v>0</v>
      </c>
      <c r="BR230" s="117">
        <f t="shared" si="221"/>
        <v>0</v>
      </c>
      <c r="BS230" s="115">
        <f t="shared" si="222"/>
        <v>0</v>
      </c>
      <c r="BT230" s="115">
        <f t="shared" ca="1" si="223"/>
        <v>0</v>
      </c>
      <c r="BU230" s="115" t="b">
        <f ca="1">AND(模拟模式!$K$10="2300·雷",BT229=0,RAND()&lt;IF(C230="净世破魔击·月",5*0.05*2/3,IF(C230="净世破魔击·日",3*0.05*2/3,0.05*2*2/3)))</f>
        <v>0</v>
      </c>
      <c r="BV230" s="115">
        <f t="shared" ca="1" si="224"/>
        <v>0</v>
      </c>
      <c r="BW230" s="115">
        <f t="shared" ca="1" si="225"/>
        <v>0</v>
      </c>
      <c r="BX230" s="164" t="b">
        <f t="shared" ca="1" si="226"/>
        <v>0</v>
      </c>
      <c r="BY230" s="115">
        <f t="shared" ca="1" si="227"/>
        <v>0</v>
      </c>
      <c r="BZ230" s="115">
        <f>IF(OR(模拟模式!$P$16="10人团",模拟模式!$P$16="25人团"),IF(B230/30&gt;CA229,1,0),0)</f>
        <v>0</v>
      </c>
      <c r="CA230" s="115">
        <f t="shared" si="203"/>
        <v>0</v>
      </c>
      <c r="CB230" s="115">
        <f ca="1">IF(BZ230=1,IF(模拟模式!$P$16="10人团",15,0)+IF(模拟模式!$P$16="25人团",IF(RAND()&lt;0.6,15,0)),MAX(0,CB229-$F$4))</f>
        <v>0</v>
      </c>
      <c r="CC230" s="115" t="b">
        <f t="shared" ca="1" si="195"/>
        <v>0</v>
      </c>
      <c r="CD230" s="115">
        <f>IF(模拟模式!$Q$16="1个",IF(B230/40&gt;CE229,1,0),0)</f>
        <v>0</v>
      </c>
      <c r="CE230" s="115">
        <f t="shared" si="196"/>
        <v>0</v>
      </c>
      <c r="CF230" s="115">
        <f>IF(OR(CD230=1,模拟模式!$Q$16="2个"),20,MAX(0,CF229-$F$4))</f>
        <v>0</v>
      </c>
      <c r="CG230" s="115" t="b">
        <f t="shared" si="197"/>
        <v>0</v>
      </c>
      <c r="CH230" s="115">
        <f t="shared" ca="1" si="228"/>
        <v>8.7825000000000131</v>
      </c>
      <c r="CI230" s="115" t="b">
        <f t="shared" ca="1" si="229"/>
        <v>0</v>
      </c>
      <c r="CJ230" s="119">
        <f t="shared" ca="1" si="230"/>
        <v>0</v>
      </c>
      <c r="CK230" s="115">
        <f t="shared" ca="1" si="231"/>
        <v>0</v>
      </c>
      <c r="CL230" s="115" t="b">
        <f ca="1">AND(模拟模式!$S$7="驱夷逐法",OR(AND(C230="净世破魔击·月",E229&gt;59),AND(C230="净世破魔击·日",F229&gt;59)))</f>
        <v>0</v>
      </c>
      <c r="CM230" s="115" t="b">
        <f ca="1">OR(CL230,AND(C230="净世破魔击·日",CL229,RAND()&lt;模拟模式!$U$23))</f>
        <v>1</v>
      </c>
      <c r="CN230" s="115" t="b">
        <f ca="1">IF(模拟模式!$M$7="辉耀红尘",AND(C230="净世破魔击·月",CL230,CV230=0,E229&lt;80),AND(C230="净世破魔击·月",CL230,E229&lt;100))</f>
        <v>0</v>
      </c>
      <c r="CO230" s="115" t="b">
        <f t="shared" ca="1" si="204"/>
        <v>0</v>
      </c>
      <c r="CP230" s="115" t="b">
        <f ca="1">AND(模拟模式!$O$7="用晦而明",OR(C230="净世破魔击·日",C230="净世破魔击·月",C230="驱夜断愁"),AB230)</f>
        <v>1</v>
      </c>
      <c r="CQ230" s="115" t="b">
        <f ca="1">OR(CP230,AND(CP229,RAND()&lt;模拟模式!$U$23))</f>
        <v>1</v>
      </c>
      <c r="CR230" s="115" t="b">
        <f ca="1">AND(模拟模式!$S$7="日月齐光",OR(C230="幽月轮1",C230="幽月轮2",C230="幽月轮3",CR229),NOT(OR(C230="赤日轮1",C230="赤日轮2",C230="赤日轮3")))</f>
        <v>0</v>
      </c>
      <c r="CS230" s="115" t="b">
        <f ca="1">AND(模拟模式!$S$7="日月齐光",OR(C230="赤日轮1",C230="赤日轮2",C230="赤日轮3",CS229),NOT(OR(C230="幽月轮1",C230="幽月轮2",C230="幽月轮3")))</f>
        <v>0</v>
      </c>
      <c r="CT230" s="115">
        <f t="shared" ca="1" si="232"/>
        <v>12.472500000000011</v>
      </c>
      <c r="CU230" s="115" t="b">
        <f ca="1">AND(模拟模式!$K$10="阴阳往极",CT229=0,RAND()&lt;IF(C230="净世破魔击·月",0.0275*7/3,IF(C230="净世破魔击·日",0.0275*3/3,0.0275*2/3)))</f>
        <v>0</v>
      </c>
      <c r="CV230" s="115">
        <f t="shared" ca="1" si="233"/>
        <v>0</v>
      </c>
      <c r="CW230" s="115">
        <f t="shared" ca="1" si="205"/>
        <v>3.2324999999999995</v>
      </c>
      <c r="CX230" s="115">
        <f t="shared" ca="1" si="206"/>
        <v>1.3874999999999997</v>
      </c>
      <c r="CY230" s="115">
        <f ca="1">MAX(IF($C230="驱夜断愁",IF(模拟模式!$R$7="万念俱寂",6,45),CY229-$F$4),0)</f>
        <v>2.3099999999999996</v>
      </c>
      <c r="CZ230" s="115">
        <f t="shared" ca="1" si="207"/>
        <v>0</v>
      </c>
      <c r="DA230" s="115">
        <f ca="1">IF(模拟模式!$N$7="日月同辉",IF(DB229=2,0,MIN(6,IF(AND(OR(C230="赤日轮1",C230="赤日轮2",C230="赤日轮3",C230="幽月轮1",C230="幽月轮2",C230="幽月轮3"),AB230=1),DA229+1,DA229))),0)</f>
        <v>5</v>
      </c>
      <c r="DB230" s="115">
        <f t="shared" ca="1" si="208"/>
        <v>0</v>
      </c>
      <c r="DC230" s="115"/>
      <c r="DD230" s="115"/>
      <c r="DE230" s="115"/>
      <c r="DF230" s="115"/>
      <c r="DG230" s="115"/>
      <c r="DH230" s="115"/>
      <c r="DI230" s="115"/>
      <c r="DJ230" s="115"/>
      <c r="DK230" s="115"/>
      <c r="DL230" s="115"/>
      <c r="DM230" s="115"/>
    </row>
    <row r="231" spans="2:117" x14ac:dyDescent="0.2">
      <c r="B231" s="117">
        <f t="shared" si="209"/>
        <v>188.19000000000082</v>
      </c>
      <c r="C231" s="167" t="str">
        <f t="shared" ca="1" si="202"/>
        <v>赤日轮1</v>
      </c>
      <c r="D231" s="115">
        <f ca="1">IF(C231="赤日轮1",1,IF(C231="赤日轮2",2,IF(C231="赤日轮3",3,IF(C231="幽月轮1",4,IF(C231="幽月轮2",5,IF(C231="幽月轮3",6,IF(C231="烈日斩",7,IF(C231="银月斩",8,IF(C231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231="净世破魔击·月",17,IF(C231="驱夜断愁",18,0)))))))))))</f>
        <v>1</v>
      </c>
      <c r="E231" s="115">
        <f ca="1">IF(AND(CU231,OR(C231="幽月轮1",C231="幽月轮2",C231="幽月轮3",C231="银月斩",C231="驱夜断愁",C231="净世破魔击·月")),100,MIN(IF(OR(CN231,BE231),0,IF(OR($C231="赤日轮1",$C231="赤日轮2",$C231="赤日轮3"),E230+20+IF(模拟模式!$I$7="日月凌天",4,0)+IF(CR230,20,0),IF($C231="烈日斩",E230+40,IF($C231="驱夜断愁",IF(模拟模式!$R$7="万念俱寂",E230+20,E230+60),IF($C231="净世破魔击·月",IF(OR(DB230&gt;0,CV230&gt;0),100,IF(模拟模式!$M$7="辉耀红尘",E230+20,E230)),IF($C231="净世破魔击·日",E230-100,E230)))))),100))</f>
        <v>20</v>
      </c>
      <c r="F231" s="115">
        <f ca="1">IF(AND(CU231,OR(C231="赤日轮1",C231="赤日轮2",C231="赤日轮3",C231="烈日斩",C231="净世破魔击·日")),100,MIN(IF(CO231,0,IF(OR($C231="幽月轮1",$C231="幽月轮2",$C231="幽月轮3"),F230+20+IF(模拟模式!$I$7="日月凌天",4,0)+IF(CS230,20,0),IF($C231="银月斩",F230+40+IF(模拟模式!$X$12=1,5,0),IF($C231="驱夜断愁",IF(模拟模式!$R$7="万念俱寂",F230+20,F230+60),IF($C231="净世破魔击·月",IF(模拟模式!$M$7="辉耀红尘",F230-80,F230-100),IF(AND(C231="净世破魔击·日",OR(DB230&gt;0,CV230&gt;0)),100,F230)))))),100))</f>
        <v>20</v>
      </c>
      <c r="G231" s="117">
        <f ca="1">('模拟-全程加成'!$E$3+'模拟-全程加成'!$E$4+'模拟-全程加成'!$E$5+('模拟-全程加成'!$C$6-'模拟-全程加成'!$C$3)*系数!$B$9+BS231*23)*(1+'模拟-全程加成'!$F$4+'模拟-全程加成'!$F$5+BJ231*10%+BM231*20%+BP231*4%+CG231*30%)+$F$7*系数!$B$12</f>
        <v>21493.829400000002</v>
      </c>
      <c r="H231" s="45">
        <f ca="1">'模拟-全程加成'!$H$3+'模拟-全程加成'!$H$4+'模拟-全程加成'!$H$5+('模拟-全程加成'!$G$4+'模拟-全程加成'!$G$5+('模拟-全程加成'!$C$6-'模拟-全程加成'!$C$3)*系数!$B$13)/系数!$B$3+LOOKUP(D231,'模拟-单技能数据'!$A$2:$A$19,'模拟-单技能数据'!$K$2:$K$19)+BG231*10%+IF(BV231&gt;0,378,0)</f>
        <v>0.4618514552730022</v>
      </c>
      <c r="I231" s="45">
        <f ca="1">'模拟-全程加成'!$J$3+'模拟-全程加成'!$J$4+'模拟-全程加成'!$J$5+('模拟-全程加成'!$I$4+'模拟-全程加成'!$I$5)/系数!$B$4+LOOKUP(D231,'模拟-单技能数据'!$A$2:$A$19,'模拟-单技能数据'!$L$2:$L$19)+BG231*10%</f>
        <v>2.162482885499879</v>
      </c>
      <c r="J231" s="45">
        <f ca="1">(('模拟-全程加成'!$K$3+'模拟-全程加成'!$K$4+'模拟-全程加成'!$K$5+('模拟-全程加成'!$C$6-'模拟-全程加成'!$C$3)*系数!$B$10+IF(BV231&gt;0,882,0)+IF(BY231&gt;0,1831,0))*(1+'模拟-全程加成'!$L$4+'模拟-全程加成'!$L$5+CC231*20%))/系数!$B$5</f>
        <v>0.69723220422048726</v>
      </c>
      <c r="K231" s="119">
        <f ca="1">LOOKUP(D231,'模拟-单技能数据'!$A$2:$A$19,'模拟-单技能数据'!$J$2:$J$19)+IF(CM231,60%,0)+IF(DB230-DB231&gt;0,30%,0)+IF(OR(AND(OR(C231="赤日轮1",C231="赤日轮2",C231="赤日轮3"),CR231),AND(OR(C231="幽月轮1",C231="幽月轮2",C231="幽月轮3"),CS231)),35%,0)+CJ231</f>
        <v>0.12</v>
      </c>
      <c r="L231" s="119">
        <f ca="1">IF(AND(C231="烈日斩",模拟模式!$X$11=1),10%,0)+IF(AND(C231="驱夜断愁",AB231=1),30%,0)</f>
        <v>0</v>
      </c>
      <c r="M231" s="45">
        <f t="shared" ca="1" si="185"/>
        <v>0.4618514552730022</v>
      </c>
      <c r="N231" s="45">
        <f t="shared" ca="1" si="186"/>
        <v>0.48424854472699785</v>
      </c>
      <c r="O231" s="46">
        <f t="shared" ca="1" si="210"/>
        <v>0.76597589844053249</v>
      </c>
      <c r="P231" s="46" t="str">
        <f t="shared" ca="1" si="211"/>
        <v>命</v>
      </c>
      <c r="Q231" s="45">
        <f t="shared" ca="1" si="212"/>
        <v>1</v>
      </c>
      <c r="R231" s="117">
        <f ca="1">模拟模式!$E$20*(1-IF(模拟模式!$J$19="有",0.15,0))*(1-IF(模拟模式!$K$19="有",0.3,0)-IF(CQ231,0.5,0))</f>
        <v>843.02999999999975</v>
      </c>
      <c r="S231" s="45">
        <f ca="1">R231/(R231+(185*模拟模式!$E$22-16800)*4.08224)</f>
        <v>8.389626085980037E-2</v>
      </c>
      <c r="T231" s="45" t="str">
        <f ca="1">LOOKUP(D231,'模拟-单技能数据'!$A$2:$A$19,'模拟-单技能数据'!$H$2:$H$19)</f>
        <v>阳</v>
      </c>
      <c r="U231" s="119">
        <f t="shared" ca="1" si="187"/>
        <v>0.2</v>
      </c>
      <c r="V231" s="47">
        <f ca="1">(1+L231)*(LOOKUP(D231,'模拟-单技能数据'!$A$2:$A$19,'模拟-单技能数据'!$D$2:$D$19)+G231*LOOKUP(D231,'模拟-单技能数据'!$A$2:$A$19,'模拟-单技能数据'!$F$2:$F$19))*(1+J231)*(1+K231)*(1-S231)*(1+U231)*Q231*LOOKUP(D231,'模拟-单技能数据'!$A$2:$A$19,'模拟-单技能数据'!$I$2:$I$20)</f>
        <v>26295.771631143321</v>
      </c>
      <c r="W231" s="47">
        <f ca="1">LOOKUP(D231,'模拟-单技能数据'!$A$2:$A$19,'模拟-单技能数据'!$G$2:$G$19)*$I$10</f>
        <v>361.51064354704795</v>
      </c>
      <c r="X231" s="47">
        <f t="shared" ca="1" si="213"/>
        <v>21224.54896703297</v>
      </c>
      <c r="Y231" s="47">
        <f t="shared" ca="1" si="188"/>
        <v>47881.831241723339</v>
      </c>
      <c r="Z231" s="49">
        <f t="shared" ca="1" si="189"/>
        <v>21554452.508300364</v>
      </c>
      <c r="AA231" s="97">
        <f t="shared" ca="1" si="190"/>
        <v>114535.58907646671</v>
      </c>
      <c r="AB231" s="115">
        <f ca="1">IF(OR(C231="赤日轮1",C231="赤日轮2",C231="赤日轮3"),IF(RAND()&lt;模拟模式!$Y$17,1,0),IF(OR(C231="幽月轮1",C231="幽月轮2",C231="幽月轮3"),IF(RAND()&lt;模拟模式!$Y$18,1,0),IF(C231="烈日斩",IF(RAND()&lt;模拟模式!$Y$19,1,0),IF(C231="银月斩",IF(RAND()&lt;模拟模式!$Y$20,1,0),IF(C231="驱夜断愁",IF(RAND()&lt;模拟模式!$Y$21,1,0),IF(C231="净世破魔击·日",IF(RAND()&lt;模拟模式!$Y$22,1,0),IF(C231="净世破魔击·月",IF(RAND()&lt;模拟模式!$Y$23,1,0),0)))))))</f>
        <v>1</v>
      </c>
      <c r="AC231" s="115" t="b">
        <f t="shared" ca="1" si="178"/>
        <v>0</v>
      </c>
      <c r="AD231" s="115" t="b">
        <f t="shared" ca="1" si="198"/>
        <v>1</v>
      </c>
      <c r="AE231" s="115">
        <f t="shared" ca="1" si="199"/>
        <v>2</v>
      </c>
      <c r="AF231" s="47">
        <f ca="1">IF(AC231,('模拟-单技能数据'!$D$20+G231*'模拟-单技能数据'!$F$20)*(1+J231)*(1+'模拟-单技能数据'!$J$20)*(1+U231),0)</f>
        <v>0</v>
      </c>
      <c r="AG231" s="61">
        <f t="shared" ca="1" si="191"/>
        <v>0.64185145527300214</v>
      </c>
      <c r="AH231" s="61">
        <f t="shared" ca="1" si="192"/>
        <v>2.2624828854998791</v>
      </c>
      <c r="AI231" s="62">
        <f t="shared" ca="1" si="214"/>
        <v>0.26803384691411303</v>
      </c>
      <c r="AJ231" s="47">
        <f ca="1">IF(AD231,IF(AI231&lt;$F$10,0,IF(AI231&lt;$F$10+$F$11,0.25,IF(AI231&lt;$F$10+$F$11+AG231,AH231,1)))*IF(AF231&gt;0,AF231,IF(AF230&gt;0,AF230,IF(AF229&gt;0,AF229,IF(AF228&gt;0,AF228,IF(AF227&gt;0,AF227,IF(AF226&gt;0,AF226,IF(AF225&gt;0,AF225,IF(AF224&gt;0,AF224,IF(AF223&gt;0,AF223,IF(AF221&gt;0,AF221,IF(AF220&gt;0,AF220,IF(AF219&gt;0,AF219,0)))))))))))),0)*(1-$S231)*'模拟-单技能数据'!$I$20</f>
        <v>9616.6571145767884</v>
      </c>
      <c r="AK231" s="115" t="b">
        <f t="shared" ca="1" si="179"/>
        <v>0</v>
      </c>
      <c r="AL231" s="115" t="b">
        <f t="shared" ca="1" si="200"/>
        <v>1</v>
      </c>
      <c r="AM231" s="115">
        <f t="shared" ca="1" si="201"/>
        <v>5</v>
      </c>
      <c r="AN231" s="47">
        <f ca="1">IF(AK231,('模拟-单技能数据'!$D$21+G231*'模拟-单技能数据'!$F$21)*(1+J231)*(1+'模拟-单技能数据'!$J$21)*(1+U231),0)</f>
        <v>0</v>
      </c>
      <c r="AO231" s="61">
        <f ca="1">IF(AN231&gt;0,M231-'模拟-单技能数据'!$K$10,AO230)</f>
        <v>0.42185145527300216</v>
      </c>
      <c r="AP231" s="61">
        <f ca="1">IF(AN231&gt;0,I231-'模拟-单技能数据'!$L$10,AP230)</f>
        <v>2.162482885499879</v>
      </c>
      <c r="AQ231" s="63">
        <f t="shared" ca="1" si="215"/>
        <v>0.54087049078599381</v>
      </c>
      <c r="AR231" s="64">
        <f ca="1">IF(AL231,IF(AQ231&lt;$F$10,0,IF(AQ231&lt;$F$10+$F$11,0.25,IF(AQ231&lt;$F$10+$F$11+AO231,AP231,1)))*IF(AN231&gt;0,AN231,IF(AN230&gt;0,AN230,IF(AN229&gt;0,AN229,IF(AN228&gt;0,AN228,IF(AN227&gt;0,AN227,IF(AN226&gt;0,AN226,IF(AN225&gt;0,AN225,IF(AN224&gt;0,AN224,IF(AN223&gt;0,AN223,IF(AN221&gt;0,AN221,IF(AN220&gt;0,AN220,IF(AN219&gt;0,AN219,0)))))))))))),0)*(1-$S231)*'模拟-单技能数据'!$I$21</f>
        <v>11607.89185245618</v>
      </c>
      <c r="AS231" s="61">
        <f ca="1">IF(OR(C231="净世破魔击·日",C231="净世破魔击·月"),M231-'模拟-单技能数据'!$K$10,0)</f>
        <v>0</v>
      </c>
      <c r="AT231" s="61">
        <f ca="1">IF(OR(C231="净世破魔击·日",C231="净世破魔击·月"),I231-'模拟-单技能数据'!$L$10,0)</f>
        <v>0</v>
      </c>
      <c r="AU231" s="62">
        <f t="shared" ca="1" si="216"/>
        <v>0.65324728290550804</v>
      </c>
      <c r="AV231" s="64">
        <f ca="1">IF(AS231&gt;0,('模拟-单技能数据'!$D$22+G231*'模拟-单技能数据'!$F$22)*(1+J231)*(1-S231)*IF(AU231&lt;$F$10,0,IF(AU231&lt;$F$10+$F$11,0.25,IF(AU231&lt;$F$10+$F$11+AS231,AT231,1)))*(1+U231),0)*'模拟-单技能数据'!$I$22</f>
        <v>0</v>
      </c>
      <c r="AW231" s="108">
        <f t="shared" ca="1" si="217"/>
        <v>4.3175000000000061</v>
      </c>
      <c r="AX231" s="108" t="b">
        <f ca="1">AND(模拟模式!$P$10="有",AW230=0,RAND()&lt;IF(C231="净世破魔击·月",0.1*8/3,IF(C231="净世破魔击·日",0.1*4/3,0.1*2/3)))</f>
        <v>0</v>
      </c>
      <c r="AY231" s="47">
        <f ca="1">IF(AX231,(18+G231*0.722)*(1+J231)*(1-S231)*(1+$I$4)*IF(P231="会",'模拟-全程加成'!$J$3+'模拟-全程加成'!$J$4+'模拟-全程加成'!$J$5+('模拟-全程加成'!$I$4+'模拟-全程加成'!$I$5)/系数!$B$4+BG231*10%,IF(P231="命",1,IF(P231="识",0.25,0))),0)</f>
        <v>0</v>
      </c>
      <c r="AZ231" s="108">
        <f t="shared" si="218"/>
        <v>14.465000000000003</v>
      </c>
      <c r="BA231" s="108" t="b">
        <f>AND(模拟模式!$Q$10="有",AZ230=0)</f>
        <v>0</v>
      </c>
      <c r="BB231" s="140">
        <f>IF(BA231,(0+G231*0.287)*(1+J231)*(1-S231)*(1+$I$4)*IF(P231="会",'模拟-全程加成'!$J$3+'模拟-全程加成'!$J$4+'模拟-全程加成'!$J$5+('模拟-全程加成'!$I$4+'模拟-全程加成'!$I$5)/系数!$B$4+BG231*10%,IF(P231="命",1,IF(P231="识",0.25,0))),0)</f>
        <v>0</v>
      </c>
      <c r="BC231" s="115" t="b">
        <f ca="1">AND(模拟模式!$R$7="伏明众生",E231=60,F231=20,DA231&lt;5,CZ230&lt;$F$4)</f>
        <v>0</v>
      </c>
      <c r="BD231" s="115">
        <f t="shared" ca="1" si="180"/>
        <v>0</v>
      </c>
      <c r="BE231" s="115" t="b">
        <f t="shared" ca="1" si="181"/>
        <v>0</v>
      </c>
      <c r="BF231" s="47">
        <f ca="1">IF(BC231,4*('模拟-单技能数据'!$D$24+G231*'模拟-单技能数据'!$F$24)*(1+J231)*(1+'模拟-单技能数据'!$J$24)*(1-S231)*(1+$I$3)*(('模拟-全程加成'!$J$3+'模拟-全程加成'!$J$4+'模拟-全程加成'!$J$5+('模拟-全程加成'!$I$4+'模拟-全程加成'!$I$5)/系数!$B$4+BG231*10%)*('模拟-全程加成'!$J$3+'模拟-全程加成'!$J$4+'模拟-全程加成'!$J$5+('模拟-全程加成'!$I$4+'模拟-全程加成'!$I$5)/系数!$B$4+BG231*10%)+(1-('模拟-全程加成'!$J$3+'模拟-全程加成'!$J$4+'模拟-全程加成'!$J$5+('模拟-全程加成'!$I$4+'模拟-全程加成'!$I$5)/系数!$B$4+BG231*10%)-$F$10-$F$11)+F217*0.25),0)*'模拟-单技能数据'!$I$24</f>
        <v>0</v>
      </c>
      <c r="BG231" s="115" t="b">
        <f ca="1">OR(AND(OR(C231="烈日斩",C231="银月斩"),模拟模式!$I$7="净身明礼"),AND(C231="净世破魔击·日",模拟模式!$J$7="洞若观火"),AND(C232="净世破魔击·月",模拟模式!$J$7="洞若观火"),AB231=1)</f>
        <v>1</v>
      </c>
      <c r="BH231" s="115" t="b">
        <f t="shared" ca="1" si="219"/>
        <v>0</v>
      </c>
      <c r="BI231" s="115">
        <f t="shared" ca="1" si="182"/>
        <v>5.0774999999999997</v>
      </c>
      <c r="BJ231" s="115" t="b">
        <f t="shared" ca="1" si="193"/>
        <v>1</v>
      </c>
      <c r="BK231" s="115" t="b">
        <f ca="1">AND(C231="驱夜断愁",模拟模式!$P$7="天地诛戮")</f>
        <v>0</v>
      </c>
      <c r="BL231" s="57">
        <f t="shared" ca="1" si="183"/>
        <v>15.387500000000003</v>
      </c>
      <c r="BM231" s="115" t="b">
        <f t="shared" ca="1" si="194"/>
        <v>1</v>
      </c>
      <c r="BN231" s="115" t="b">
        <f ca="1">AND(OR(C231="赤日轮1",C231="赤日轮2",C231="赤日轮3",C231="幽月轮1",C231="幽月轮2",C231="幽月轮3"),AB231=1,模拟模式!$L$7="明光恒照")</f>
        <v>1</v>
      </c>
      <c r="BO231" s="117">
        <f t="shared" ca="1" si="184"/>
        <v>30</v>
      </c>
      <c r="BP231" s="115">
        <f t="shared" ca="1" si="220"/>
        <v>6</v>
      </c>
      <c r="BQ231" s="115" t="b">
        <f>模拟模式!$K$10="2600·水"</f>
        <v>0</v>
      </c>
      <c r="BR231" s="117">
        <f t="shared" si="221"/>
        <v>0</v>
      </c>
      <c r="BS231" s="115">
        <f t="shared" si="222"/>
        <v>0</v>
      </c>
      <c r="BT231" s="115">
        <f t="shared" ca="1" si="223"/>
        <v>0</v>
      </c>
      <c r="BU231" s="115" t="b">
        <f ca="1">AND(模拟模式!$K$10="2300·雷",BT230=0,RAND()&lt;IF(C231="净世破魔击·月",5*0.05*2/3,IF(C231="净世破魔击·日",3*0.05*2/3,0.05*2*2/3)))</f>
        <v>0</v>
      </c>
      <c r="BV231" s="115">
        <f t="shared" ca="1" si="224"/>
        <v>0</v>
      </c>
      <c r="BW231" s="115">
        <f t="shared" ca="1" si="225"/>
        <v>0</v>
      </c>
      <c r="BX231" s="164" t="b">
        <f t="shared" ca="1" si="226"/>
        <v>0</v>
      </c>
      <c r="BY231" s="115">
        <f t="shared" ca="1" si="227"/>
        <v>0</v>
      </c>
      <c r="BZ231" s="115">
        <f>IF(OR(模拟模式!$P$16="10人团",模拟模式!$P$16="25人团"),IF(B231/30&gt;CA230,1,0),0)</f>
        <v>0</v>
      </c>
      <c r="CA231" s="115">
        <f t="shared" si="203"/>
        <v>0</v>
      </c>
      <c r="CB231" s="115">
        <f ca="1">IF(BZ231=1,IF(模拟模式!$P$16="10人团",15,0)+IF(模拟模式!$P$16="25人团",IF(RAND()&lt;0.6,15,0)),MAX(0,CB230-$F$4))</f>
        <v>0</v>
      </c>
      <c r="CC231" s="115" t="b">
        <f t="shared" ca="1" si="195"/>
        <v>0</v>
      </c>
      <c r="CD231" s="115">
        <f>IF(模拟模式!$Q$16="1个",IF(B231/40&gt;CE230,1,0),0)</f>
        <v>0</v>
      </c>
      <c r="CE231" s="115">
        <f t="shared" si="196"/>
        <v>0</v>
      </c>
      <c r="CF231" s="115">
        <f>IF(OR(CD231=1,模拟模式!$Q$16="2个"),20,MAX(0,CF230-$F$4))</f>
        <v>0</v>
      </c>
      <c r="CG231" s="115" t="b">
        <f t="shared" si="197"/>
        <v>0</v>
      </c>
      <c r="CH231" s="115">
        <f t="shared" ca="1" si="228"/>
        <v>7.8600000000000128</v>
      </c>
      <c r="CI231" s="115" t="b">
        <f t="shared" ca="1" si="229"/>
        <v>0</v>
      </c>
      <c r="CJ231" s="119">
        <f t="shared" ca="1" si="230"/>
        <v>0</v>
      </c>
      <c r="CK231" s="115">
        <f t="shared" ca="1" si="231"/>
        <v>0</v>
      </c>
      <c r="CL231" s="115" t="b">
        <f ca="1">AND(模拟模式!$S$7="驱夷逐法",OR(AND(C231="净世破魔击·月",E230&gt;59),AND(C231="净世破魔击·日",F230&gt;59)))</f>
        <v>0</v>
      </c>
      <c r="CM231" s="115" t="b">
        <f ca="1">OR(CL231,AND(C231="净世破魔击·日",CL230,RAND()&lt;模拟模式!$U$23))</f>
        <v>0</v>
      </c>
      <c r="CN231" s="115" t="b">
        <f ca="1">IF(模拟模式!$M$7="辉耀红尘",AND(C231="净世破魔击·月",CL231,CV231=0,E230&lt;80),AND(C231="净世破魔击·月",CL231,E230&lt;100))</f>
        <v>0</v>
      </c>
      <c r="CO231" s="115" t="b">
        <f t="shared" ca="1" si="204"/>
        <v>0</v>
      </c>
      <c r="CP231" s="115" t="b">
        <f ca="1">AND(模拟模式!$O$7="用晦而明",OR(C231="净世破魔击·日",C231="净世破魔击·月",C231="驱夜断愁"),AB231)</f>
        <v>0</v>
      </c>
      <c r="CQ231" s="115" t="b">
        <f ca="1">OR(CP231,AND(CP230,RAND()&lt;模拟模式!$U$23))</f>
        <v>1</v>
      </c>
      <c r="CR231" s="115" t="b">
        <f ca="1">AND(模拟模式!$S$7="日月齐光",OR(C231="幽月轮1",C231="幽月轮2",C231="幽月轮3",CR230),NOT(OR(C231="赤日轮1",C231="赤日轮2",C231="赤日轮3")))</f>
        <v>0</v>
      </c>
      <c r="CS231" s="115" t="b">
        <f ca="1">AND(模拟模式!$S$7="日月齐光",OR(C231="赤日轮1",C231="赤日轮2",C231="赤日轮3",CS230),NOT(OR(C231="幽月轮1",C231="幽月轮2",C231="幽月轮3")))</f>
        <v>0</v>
      </c>
      <c r="CT231" s="115">
        <f t="shared" ca="1" si="232"/>
        <v>11.550000000000011</v>
      </c>
      <c r="CU231" s="115" t="b">
        <f ca="1">AND(模拟模式!$K$10="阴阳往极",CT230=0,RAND()&lt;IF(C231="净世破魔击·月",0.0275*7/3,IF(C231="净世破魔击·日",0.0275*3/3,0.0275*2/3)))</f>
        <v>0</v>
      </c>
      <c r="CV231" s="115">
        <f t="shared" ca="1" si="233"/>
        <v>0</v>
      </c>
      <c r="CW231" s="115">
        <f t="shared" ca="1" si="205"/>
        <v>2.3099999999999996</v>
      </c>
      <c r="CX231" s="115">
        <f t="shared" ca="1" si="206"/>
        <v>0.46499999999999975</v>
      </c>
      <c r="CY231" s="115">
        <f ca="1">MAX(IF($C231="驱夜断愁",IF(模拟模式!$R$7="万念俱寂",6,45),CY230-$F$4),0)</f>
        <v>1.3874999999999997</v>
      </c>
      <c r="CZ231" s="115">
        <f t="shared" ca="1" si="207"/>
        <v>0</v>
      </c>
      <c r="DA231" s="115">
        <f ca="1">IF(模拟模式!$N$7="日月同辉",IF(DB230=2,0,MIN(6,IF(AND(OR(C231="赤日轮1",C231="赤日轮2",C231="赤日轮3",C231="幽月轮1",C231="幽月轮2",C231="幽月轮3"),AB231=1),DA230+1,DA230))),0)</f>
        <v>6</v>
      </c>
      <c r="DB231" s="115">
        <f t="shared" ca="1" si="208"/>
        <v>2</v>
      </c>
      <c r="DC231" s="115"/>
      <c r="DD231" s="115"/>
      <c r="DE231" s="115"/>
      <c r="DF231" s="115"/>
      <c r="DG231" s="115"/>
      <c r="DH231" s="115"/>
      <c r="DI231" s="115"/>
      <c r="DJ231" s="115"/>
      <c r="DK231" s="115"/>
      <c r="DL231" s="115"/>
      <c r="DM231" s="115"/>
    </row>
    <row r="232" spans="2:117" x14ac:dyDescent="0.2">
      <c r="B232" s="117">
        <f t="shared" si="209"/>
        <v>189.11250000000084</v>
      </c>
      <c r="C232" s="167" t="str">
        <f t="shared" ca="1" si="202"/>
        <v>银月斩</v>
      </c>
      <c r="D232" s="115">
        <f ca="1">IF(C232="赤日轮1",1,IF(C232="赤日轮2",2,IF(C232="赤日轮3",3,IF(C232="幽月轮1",4,IF(C232="幽月轮2",5,IF(C232="幽月轮3",6,IF(C232="烈日斩",7,IF(C232="银月斩",8,IF(C232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232="净世破魔击·月",17,IF(C232="驱夜断愁",18,0)))))))))))</f>
        <v>8</v>
      </c>
      <c r="E232" s="115">
        <f ca="1">IF(AND(CU232,OR(C232="幽月轮1",C232="幽月轮2",C232="幽月轮3",C232="银月斩",C232="驱夜断愁",C232="净世破魔击·月")),100,MIN(IF(OR(CN232,BE232),0,IF(OR($C232="赤日轮1",$C232="赤日轮2",$C232="赤日轮3"),E231+20+IF(模拟模式!$I$7="日月凌天",4,0)+IF(CR231,20,0),IF($C232="烈日斩",E231+40,IF($C232="驱夜断愁",IF(模拟模式!$R$7="万念俱寂",E231+20,E231+60),IF($C232="净世破魔击·月",IF(OR(DB231&gt;0,CV231&gt;0),100,IF(模拟模式!$M$7="辉耀红尘",E231+20,E231)),IF($C232="净世破魔击·日",E231-100,E231)))))),100))</f>
        <v>20</v>
      </c>
      <c r="F232" s="115">
        <f ca="1">IF(AND(CU232,OR(C232="赤日轮1",C232="赤日轮2",C232="赤日轮3",C232="烈日斩",C232="净世破魔击·日")),100,MIN(IF(CO232,0,IF(OR($C232="幽月轮1",$C232="幽月轮2",$C232="幽月轮3"),F231+20+IF(模拟模式!$I$7="日月凌天",4,0)+IF(CS231,20,0),IF($C232="银月斩",F231+40+IF(模拟模式!$X$12=1,5,0),IF($C232="驱夜断愁",IF(模拟模式!$R$7="万念俱寂",F231+20,F231+60),IF($C232="净世破魔击·月",IF(模拟模式!$M$7="辉耀红尘",F231-80,F231-100),IF(AND(C232="净世破魔击·日",OR(DB231&gt;0,CV231&gt;0)),100,F231)))))),100))</f>
        <v>65</v>
      </c>
      <c r="G232" s="117">
        <f ca="1">('模拟-全程加成'!$E$3+'模拟-全程加成'!$E$4+'模拟-全程加成'!$E$5+('模拟-全程加成'!$C$6-'模拟-全程加成'!$C$3)*系数!$B$9+BS232*23)*(1+'模拟-全程加成'!$F$4+'模拟-全程加成'!$F$5+BJ232*10%+BM232*20%+BP232*4%+CG232*30%)+$F$7*系数!$B$12</f>
        <v>21493.829400000002</v>
      </c>
      <c r="H232" s="45">
        <f ca="1">'模拟-全程加成'!$H$3+'模拟-全程加成'!$H$4+'模拟-全程加成'!$H$5+('模拟-全程加成'!$G$4+'模拟-全程加成'!$G$5+('模拟-全程加成'!$C$6-'模拟-全程加成'!$C$3)*系数!$B$13)/系数!$B$3+LOOKUP(D232,'模拟-单技能数据'!$A$2:$A$19,'模拟-单技能数据'!$K$2:$K$19)+BG232*10%+IF(BV232&gt;0,378,0)</f>
        <v>0.64185145527300214</v>
      </c>
      <c r="I232" s="45">
        <f ca="1">'模拟-全程加成'!$J$3+'模拟-全程加成'!$J$4+'模拟-全程加成'!$J$5+('模拟-全程加成'!$I$4+'模拟-全程加成'!$I$5)/系数!$B$4+LOOKUP(D232,'模拟-单技能数据'!$A$2:$A$19,'模拟-单技能数据'!$L$2:$L$19)+BG232*10%</f>
        <v>2.2624828854998791</v>
      </c>
      <c r="J232" s="45">
        <f ca="1">(('模拟-全程加成'!$K$3+'模拟-全程加成'!$K$4+'模拟-全程加成'!$K$5+('模拟-全程加成'!$C$6-'模拟-全程加成'!$C$3)*系数!$B$10+IF(BV232&gt;0,882,0)+IF(BY232&gt;0,1831,0))*(1+'模拟-全程加成'!$L$4+'模拟-全程加成'!$L$5+CC232*20%))/系数!$B$5</f>
        <v>0.69723220422048726</v>
      </c>
      <c r="K232" s="119">
        <f ca="1">LOOKUP(D232,'模拟-单技能数据'!$A$2:$A$19,'模拟-单技能数据'!$J$2:$J$19)+IF(CM232,60%,0)+IF(DB231-DB232&gt;0,30%,0)+IF(OR(AND(OR(C232="赤日轮1",C232="赤日轮2",C232="赤日轮3"),CR232),AND(OR(C232="幽月轮1",C232="幽月轮2",C232="幽月轮3"),CS232)),35%,0)+CJ232</f>
        <v>0.15</v>
      </c>
      <c r="L232" s="119">
        <f ca="1">IF(AND(C232="烈日斩",模拟模式!$X$11=1),10%,0)+IF(AND(C232="驱夜断愁",AB232=1),30%,0)</f>
        <v>0</v>
      </c>
      <c r="M232" s="45">
        <f t="shared" ca="1" si="185"/>
        <v>0.64185145527300214</v>
      </c>
      <c r="N232" s="45">
        <f t="shared" ca="1" si="186"/>
        <v>0.30424854472699792</v>
      </c>
      <c r="O232" s="46">
        <f t="shared" ca="1" si="210"/>
        <v>0.56412121903964152</v>
      </c>
      <c r="P232" s="46" t="str">
        <f t="shared" ca="1" si="211"/>
        <v>会</v>
      </c>
      <c r="Q232" s="45">
        <f t="shared" ca="1" si="212"/>
        <v>2.2624828854998791</v>
      </c>
      <c r="R232" s="117">
        <f ca="1">模拟模式!$E$20*(1-IF(模拟模式!$J$19="有",0.15,0))*(1-IF(模拟模式!$K$19="有",0.3,0)-IF(CQ232,0.5,0))</f>
        <v>2950.6049999999996</v>
      </c>
      <c r="S232" s="45">
        <f ca="1">R232/(R232+(185*模拟模式!$E$22-16800)*4.08224)</f>
        <v>0.24272716014590323</v>
      </c>
      <c r="T232" s="45" t="str">
        <f ca="1">LOOKUP(D232,'模拟-单技能数据'!$A$2:$A$19,'模拟-单技能数据'!$H$2:$H$19)</f>
        <v>阴</v>
      </c>
      <c r="U232" s="119">
        <f t="shared" ca="1" si="187"/>
        <v>0.08</v>
      </c>
      <c r="V232" s="47">
        <f ca="1">(1+L232)*(LOOKUP(D232,'模拟-单技能数据'!$A$2:$A$19,'模拟-单技能数据'!$D$2:$D$19)+G232*LOOKUP(D232,'模拟-单技能数据'!$A$2:$A$19,'模拟-单技能数据'!$F$2:$F$19))*(1+J232)*(1+K232)*(1-S232)*(1+U232)*Q232*LOOKUP(D232,'模拟-单技能数据'!$A$2:$A$19,'模拟-单技能数据'!$I$2:$I$20)</f>
        <v>41211.704893206668</v>
      </c>
      <c r="W232" s="47">
        <f ca="1">LOOKUP(D232,'模拟-单技能数据'!$A$2:$A$19,'模拟-单技能数据'!$G$2:$G$19)*$I$10</f>
        <v>361.51064354704795</v>
      </c>
      <c r="X232" s="47">
        <f t="shared" ca="1" si="213"/>
        <v>0</v>
      </c>
      <c r="Y232" s="47">
        <f t="shared" ca="1" si="188"/>
        <v>41573.21553675372</v>
      </c>
      <c r="Z232" s="49">
        <f t="shared" ca="1" si="189"/>
        <v>21596025.723837119</v>
      </c>
      <c r="AA232" s="97">
        <f t="shared" ca="1" si="190"/>
        <v>114196.71213609372</v>
      </c>
      <c r="AB232" s="115">
        <f ca="1">IF(OR(C232="赤日轮1",C232="赤日轮2",C232="赤日轮3"),IF(RAND()&lt;模拟模式!$Y$17,1,0),IF(OR(C232="幽月轮1",C232="幽月轮2",C232="幽月轮3"),IF(RAND()&lt;模拟模式!$Y$18,1,0),IF(C232="烈日斩",IF(RAND()&lt;模拟模式!$Y$19,1,0),IF(C232="银月斩",IF(RAND()&lt;模拟模式!$Y$20,1,0),IF(C232="驱夜断愁",IF(RAND()&lt;模拟模式!$Y$21,1,0),IF(C232="净世破魔击·日",IF(RAND()&lt;模拟模式!$Y$22,1,0),IF(C232="净世破魔击·月",IF(RAND()&lt;模拟模式!$Y$23,1,0),0)))))))</f>
        <v>1</v>
      </c>
      <c r="AC232" s="115" t="b">
        <f t="shared" ca="1" si="178"/>
        <v>1</v>
      </c>
      <c r="AD232" s="115" t="b">
        <f t="shared" ca="1" si="198"/>
        <v>0</v>
      </c>
      <c r="AE232" s="115">
        <f t="shared" ca="1" si="199"/>
        <v>6</v>
      </c>
      <c r="AF232" s="47">
        <f ca="1">IF(AC232,('模拟-单技能数据'!$D$20+G232*'模拟-单技能数据'!$F$20)*(1+J232)*(1+'模拟-单技能数据'!$J$20)*(1+U232),0)</f>
        <v>4639.7456468263617</v>
      </c>
      <c r="AG232" s="61">
        <f t="shared" ca="1" si="191"/>
        <v>0.64185145527300214</v>
      </c>
      <c r="AH232" s="61">
        <f t="shared" ca="1" si="192"/>
        <v>2.2624828854998791</v>
      </c>
      <c r="AI232" s="62">
        <f t="shared" ca="1" si="214"/>
        <v>0.90032029314477291</v>
      </c>
      <c r="AJ232" s="47">
        <f ca="1">IF(AD232,IF(AI232&lt;$F$10,0,IF(AI232&lt;$F$10+$F$11,0.25,IF(AI232&lt;$F$10+$F$11+AG232,AH232,1)))*IF(AF232&gt;0,AF232,IF(AF231&gt;0,AF231,IF(AF230&gt;0,AF230,IF(AF229&gt;0,AF229,IF(AF228&gt;0,AF228,IF(AF227&gt;0,AF227,IF(AF226&gt;0,AF226,IF(AF225&gt;0,AF225,IF(AF224&gt;0,AF224,IF(AF222&gt;0,AF222,IF(AF221&gt;0,AF221,IF(AF220&gt;0,AF220,0)))))))))))),0)*(1-$S232)*'模拟-单技能数据'!$I$20</f>
        <v>0</v>
      </c>
      <c r="AK232" s="115" t="b">
        <f t="shared" ca="1" si="179"/>
        <v>0</v>
      </c>
      <c r="AL232" s="115" t="b">
        <f t="shared" ca="1" si="200"/>
        <v>0</v>
      </c>
      <c r="AM232" s="115">
        <f t="shared" ca="1" si="201"/>
        <v>5</v>
      </c>
      <c r="AN232" s="47">
        <f ca="1">IF(AK232,('模拟-单技能数据'!$D$21+G232*'模拟-单技能数据'!$F$21)*(1+J232)*(1+'模拟-单技能数据'!$J$21)*(1+U232),0)</f>
        <v>0</v>
      </c>
      <c r="AO232" s="61">
        <f ca="1">IF(AN232&gt;0,M232-'模拟-单技能数据'!$K$10,AO231)</f>
        <v>0.42185145527300216</v>
      </c>
      <c r="AP232" s="61">
        <f ca="1">IF(AN232&gt;0,I232-'模拟-单技能数据'!$L$10,AP231)</f>
        <v>2.162482885499879</v>
      </c>
      <c r="AQ232" s="63">
        <f t="shared" ca="1" si="215"/>
        <v>0.78355829794655618</v>
      </c>
      <c r="AR232" s="64">
        <f ca="1">IF(AL232,IF(AQ232&lt;$F$10,0,IF(AQ232&lt;$F$10+$F$11,0.25,IF(AQ232&lt;$F$10+$F$11+AO232,AP232,1)))*IF(AN232&gt;0,AN232,IF(AN231&gt;0,AN231,IF(AN230&gt;0,AN230,IF(AN229&gt;0,AN229,IF(AN228&gt;0,AN228,IF(AN227&gt;0,AN227,IF(AN226&gt;0,AN226,IF(AN225&gt;0,AN225,IF(AN224&gt;0,AN224,IF(AN222&gt;0,AN222,IF(AN221&gt;0,AN221,IF(AN220&gt;0,AN220,0)))))))))))),0)*(1-$S232)*'模拟-单技能数据'!$I$21</f>
        <v>0</v>
      </c>
      <c r="AS232" s="61">
        <f ca="1">IF(OR(C232="净世破魔击·日",C232="净世破魔击·月"),M232-'模拟-单技能数据'!$K$10,0)</f>
        <v>0</v>
      </c>
      <c r="AT232" s="61">
        <f ca="1">IF(OR(C232="净世破魔击·日",C232="净世破魔击·月"),I232-'模拟-单技能数据'!$L$10,0)</f>
        <v>0</v>
      </c>
      <c r="AU232" s="62">
        <f t="shared" ca="1" si="216"/>
        <v>0.21551170215403781</v>
      </c>
      <c r="AV232" s="64">
        <f ca="1">IF(AS232&gt;0,('模拟-单技能数据'!$D$22+G232*'模拟-单技能数据'!$F$22)*(1+J232)*(1-S232)*IF(AU232&lt;$F$10,0,IF(AU232&lt;$F$10+$F$11,0.25,IF(AU232&lt;$F$10+$F$11+AS232,AT232,1)))*(1+U232),0)*'模拟-单技能数据'!$I$22</f>
        <v>0</v>
      </c>
      <c r="AW232" s="108">
        <f t="shared" ca="1" si="217"/>
        <v>3.3950000000000062</v>
      </c>
      <c r="AX232" s="108" t="b">
        <f ca="1">AND(模拟模式!$P$10="有",AW231=0,RAND()&lt;IF(C232="净世破魔击·月",0.1*8/3,IF(C232="净世破魔击·日",0.1*4/3,0.1*2/3)))</f>
        <v>0</v>
      </c>
      <c r="AY232" s="47">
        <f ca="1">IF(AX232,(18+G232*0.722)*(1+J232)*(1-S232)*(1+$I$4)*IF(P232="会",'模拟-全程加成'!$J$3+'模拟-全程加成'!$J$4+'模拟-全程加成'!$J$5+('模拟-全程加成'!$I$4+'模拟-全程加成'!$I$5)/系数!$B$4+BG232*10%,IF(P232="命",1,IF(P232="识",0.25,0))),0)</f>
        <v>0</v>
      </c>
      <c r="AZ232" s="108">
        <f t="shared" si="218"/>
        <v>13.542500000000004</v>
      </c>
      <c r="BA232" s="108" t="b">
        <f>AND(模拟模式!$Q$10="有",AZ231=0)</f>
        <v>0</v>
      </c>
      <c r="BB232" s="140">
        <f>IF(BA232,(0+G232*0.287)*(1+J232)*(1-S232)*(1+$I$4)*IF(P232="会",'模拟-全程加成'!$J$3+'模拟-全程加成'!$J$4+'模拟-全程加成'!$J$5+('模拟-全程加成'!$I$4+'模拟-全程加成'!$I$5)/系数!$B$4+BG232*10%,IF(P232="命",1,IF(P232="识",0.25,0))),0)</f>
        <v>0</v>
      </c>
      <c r="BC232" s="115" t="b">
        <f ca="1">AND(模拟模式!$R$7="伏明众生",E232=60,F232=20,DA232&lt;5,CZ231&lt;$F$4)</f>
        <v>0</v>
      </c>
      <c r="BD232" s="115">
        <f t="shared" ca="1" si="180"/>
        <v>0</v>
      </c>
      <c r="BE232" s="115" t="b">
        <f t="shared" ca="1" si="181"/>
        <v>0</v>
      </c>
      <c r="BF232" s="47">
        <f ca="1">IF(BC232,4*('模拟-单技能数据'!$D$24+G232*'模拟-单技能数据'!$F$24)*(1+J232)*(1+'模拟-单技能数据'!$J$24)*(1-S232)*(1+$I$3)*(('模拟-全程加成'!$J$3+'模拟-全程加成'!$J$4+'模拟-全程加成'!$J$5+('模拟-全程加成'!$I$4+'模拟-全程加成'!$I$5)/系数!$B$4+BG232*10%)*('模拟-全程加成'!$J$3+'模拟-全程加成'!$J$4+'模拟-全程加成'!$J$5+('模拟-全程加成'!$I$4+'模拟-全程加成'!$I$5)/系数!$B$4+BG232*10%)+(1-('模拟-全程加成'!$J$3+'模拟-全程加成'!$J$4+'模拟-全程加成'!$J$5+('模拟-全程加成'!$I$4+'模拟-全程加成'!$I$5)/系数!$B$4+BG232*10%)-$F$10-$F$11)+F218*0.25),0)*'模拟-单技能数据'!$I$24</f>
        <v>0</v>
      </c>
      <c r="BG232" s="115" t="b">
        <f ca="1">OR(AND(OR(C232="烈日斩",C232="银月斩"),模拟模式!$I$7="净身明礼"),AND(C232="净世破魔击·日",模拟模式!$J$7="洞若观火"),AND(C233="净世破魔击·月",模拟模式!$J$7="洞若观火"),AB232=1)</f>
        <v>1</v>
      </c>
      <c r="BH232" s="115" t="b">
        <f t="shared" ca="1" si="219"/>
        <v>1</v>
      </c>
      <c r="BI232" s="115">
        <f t="shared" ca="1" si="182"/>
        <v>6</v>
      </c>
      <c r="BJ232" s="115" t="b">
        <f t="shared" ca="1" si="193"/>
        <v>1</v>
      </c>
      <c r="BK232" s="115" t="b">
        <f ca="1">AND(C232="驱夜断愁",模拟模式!$P$7="天地诛戮")</f>
        <v>0</v>
      </c>
      <c r="BL232" s="57">
        <f t="shared" ca="1" si="183"/>
        <v>14.465000000000003</v>
      </c>
      <c r="BM232" s="115" t="b">
        <f t="shared" ca="1" si="194"/>
        <v>1</v>
      </c>
      <c r="BN232" s="115" t="b">
        <f ca="1">AND(OR(C232="赤日轮1",C232="赤日轮2",C232="赤日轮3",C232="幽月轮1",C232="幽月轮2",C232="幽月轮3"),AB232=1,模拟模式!$L$7="明光恒照")</f>
        <v>0</v>
      </c>
      <c r="BO232" s="117">
        <f t="shared" ca="1" si="184"/>
        <v>29.077500000000001</v>
      </c>
      <c r="BP232" s="115">
        <f t="shared" ca="1" si="220"/>
        <v>6</v>
      </c>
      <c r="BQ232" s="115" t="b">
        <f>模拟模式!$K$10="2600·水"</f>
        <v>0</v>
      </c>
      <c r="BR232" s="117">
        <f t="shared" si="221"/>
        <v>0</v>
      </c>
      <c r="BS232" s="115">
        <f t="shared" si="222"/>
        <v>0</v>
      </c>
      <c r="BT232" s="115">
        <f t="shared" ca="1" si="223"/>
        <v>0</v>
      </c>
      <c r="BU232" s="115" t="b">
        <f ca="1">AND(模拟模式!$K$10="2300·雷",BT231=0,RAND()&lt;IF(C232="净世破魔击·月",5*0.05*2/3,IF(C232="净世破魔击·日",3*0.05*2/3,0.05*2*2/3)))</f>
        <v>0</v>
      </c>
      <c r="BV232" s="115">
        <f t="shared" ca="1" si="224"/>
        <v>0</v>
      </c>
      <c r="BW232" s="115">
        <f t="shared" ca="1" si="225"/>
        <v>0</v>
      </c>
      <c r="BX232" s="164" t="b">
        <f t="shared" ca="1" si="226"/>
        <v>0</v>
      </c>
      <c r="BY232" s="115">
        <f t="shared" ca="1" si="227"/>
        <v>0</v>
      </c>
      <c r="BZ232" s="115">
        <f>IF(OR(模拟模式!$P$16="10人团",模拟模式!$P$16="25人团"),IF(B232/30&gt;CA231,1,0),0)</f>
        <v>0</v>
      </c>
      <c r="CA232" s="115">
        <f t="shared" si="203"/>
        <v>0</v>
      </c>
      <c r="CB232" s="115">
        <f ca="1">IF(BZ232=1,IF(模拟模式!$P$16="10人团",15,0)+IF(模拟模式!$P$16="25人团",IF(RAND()&lt;0.6,15,0)),MAX(0,CB231-$F$4))</f>
        <v>0</v>
      </c>
      <c r="CC232" s="115" t="b">
        <f t="shared" ca="1" si="195"/>
        <v>0</v>
      </c>
      <c r="CD232" s="115">
        <f>IF(模拟模式!$Q$16="1个",IF(B232/40&gt;CE231,1,0),0)</f>
        <v>0</v>
      </c>
      <c r="CE232" s="115">
        <f t="shared" si="196"/>
        <v>0</v>
      </c>
      <c r="CF232" s="115">
        <f>IF(OR(CD232=1,模拟模式!$Q$16="2个"),20,MAX(0,CF231-$F$4))</f>
        <v>0</v>
      </c>
      <c r="CG232" s="115" t="b">
        <f t="shared" si="197"/>
        <v>0</v>
      </c>
      <c r="CH232" s="115">
        <f t="shared" ca="1" si="228"/>
        <v>6.9375000000000124</v>
      </c>
      <c r="CI232" s="115" t="b">
        <f t="shared" ca="1" si="229"/>
        <v>0</v>
      </c>
      <c r="CJ232" s="119">
        <f t="shared" ca="1" si="230"/>
        <v>0</v>
      </c>
      <c r="CK232" s="115">
        <f t="shared" ca="1" si="231"/>
        <v>0</v>
      </c>
      <c r="CL232" s="115" t="b">
        <f ca="1">AND(模拟模式!$S$7="驱夷逐法",OR(AND(C232="净世破魔击·月",E231&gt;59),AND(C232="净世破魔击·日",F231&gt;59)))</f>
        <v>0</v>
      </c>
      <c r="CM232" s="115" t="b">
        <f ca="1">OR(CL232,AND(C232="净世破魔击·日",CL231,RAND()&lt;模拟模式!$U$23))</f>
        <v>0</v>
      </c>
      <c r="CN232" s="115" t="b">
        <f ca="1">IF(模拟模式!$M$7="辉耀红尘",AND(C232="净世破魔击·月",CL232,CV232=0,E231&lt;80),AND(C232="净世破魔击·月",CL232,E231&lt;100))</f>
        <v>0</v>
      </c>
      <c r="CO232" s="115" t="b">
        <f t="shared" ca="1" si="204"/>
        <v>0</v>
      </c>
      <c r="CP232" s="115" t="b">
        <f ca="1">AND(模拟模式!$O$7="用晦而明",OR(C232="净世破魔击·日",C232="净世破魔击·月",C232="驱夜断愁"),AB232)</f>
        <v>0</v>
      </c>
      <c r="CQ232" s="115" t="b">
        <f ca="1">OR(CP232,AND(CP231,RAND()&lt;模拟模式!$U$23))</f>
        <v>0</v>
      </c>
      <c r="CR232" s="115" t="b">
        <f ca="1">AND(模拟模式!$S$7="日月齐光",OR(C232="幽月轮1",C232="幽月轮2",C232="幽月轮3",CR231),NOT(OR(C232="赤日轮1",C232="赤日轮2",C232="赤日轮3")))</f>
        <v>0</v>
      </c>
      <c r="CS232" s="115" t="b">
        <f ca="1">AND(模拟模式!$S$7="日月齐光",OR(C232="赤日轮1",C232="赤日轮2",C232="赤日轮3",CS231),NOT(OR(C232="幽月轮1",C232="幽月轮2",C232="幽月轮3")))</f>
        <v>0</v>
      </c>
      <c r="CT232" s="115">
        <f t="shared" ca="1" si="232"/>
        <v>10.627500000000012</v>
      </c>
      <c r="CU232" s="115" t="b">
        <f ca="1">AND(模拟模式!$K$10="阴阳往极",CT231=0,RAND()&lt;IF(C232="净世破魔击·月",0.0275*7/3,IF(C232="净世破魔击·日",0.0275*3/3,0.0275*2/3)))</f>
        <v>0</v>
      </c>
      <c r="CV232" s="115">
        <f t="shared" ca="1" si="233"/>
        <v>0</v>
      </c>
      <c r="CW232" s="115">
        <f t="shared" ca="1" si="205"/>
        <v>1.3874999999999997</v>
      </c>
      <c r="CX232" s="115">
        <f t="shared" ca="1" si="206"/>
        <v>6</v>
      </c>
      <c r="CY232" s="115">
        <f ca="1">MAX(IF($C232="驱夜断愁",IF(模拟模式!$R$7="万念俱寂",6,45),CY231-$F$4),0)</f>
        <v>0.46499999999999975</v>
      </c>
      <c r="CZ232" s="115">
        <f t="shared" ca="1" si="207"/>
        <v>0</v>
      </c>
      <c r="DA232" s="115">
        <f ca="1">IF(模拟模式!$N$7="日月同辉",IF(DB231=2,0,MIN(6,IF(AND(OR(C232="赤日轮1",C232="赤日轮2",C232="赤日轮3",C232="幽月轮1",C232="幽月轮2",C232="幽月轮3"),AB232=1),DA231+1,DA231))),0)</f>
        <v>0</v>
      </c>
      <c r="DB232" s="115">
        <f t="shared" ca="1" si="208"/>
        <v>2</v>
      </c>
      <c r="DC232" s="115"/>
      <c r="DD232" s="115"/>
      <c r="DE232" s="115"/>
      <c r="DF232" s="115"/>
      <c r="DG232" s="115"/>
      <c r="DH232" s="115"/>
      <c r="DI232" s="115"/>
      <c r="DJ232" s="115"/>
      <c r="DK232" s="115"/>
      <c r="DL232" s="115"/>
      <c r="DM232" s="115"/>
    </row>
    <row r="233" spans="2:117" x14ac:dyDescent="0.2">
      <c r="B233" s="117">
        <f t="shared" si="209"/>
        <v>190.03500000000085</v>
      </c>
      <c r="C233" s="167" t="str">
        <f t="shared" ca="1" si="202"/>
        <v>驱夜断愁</v>
      </c>
      <c r="D233" s="115">
        <f ca="1">IF(C233="赤日轮1",1,IF(C233="赤日轮2",2,IF(C233="赤日轮3",3,IF(C233="幽月轮1",4,IF(C233="幽月轮2",5,IF(C233="幽月轮3",6,IF(C233="烈日斩",7,IF(C233="银月斩",8,IF(C233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233="净世破魔击·月",17,IF(C233="驱夜断愁",18,0)))))))))))</f>
        <v>18</v>
      </c>
      <c r="E233" s="115">
        <f ca="1">IF(AND(CU233,OR(C233="幽月轮1",C233="幽月轮2",C233="幽月轮3",C233="银月斩",C233="驱夜断愁",C233="净世破魔击·月")),100,MIN(IF(OR(CN233,BE233),0,IF(OR($C233="赤日轮1",$C233="赤日轮2",$C233="赤日轮3"),E232+20+IF(模拟模式!$I$7="日月凌天",4,0)+IF(CR232,20,0),IF($C233="烈日斩",E232+40,IF($C233="驱夜断愁",IF(模拟模式!$R$7="万念俱寂",E232+20,E232+60),IF($C233="净世破魔击·月",IF(OR(DB232&gt;0,CV232&gt;0),100,IF(模拟模式!$M$7="辉耀红尘",E232+20,E232)),IF($C233="净世破魔击·日",E232-100,E232)))))),100))</f>
        <v>40</v>
      </c>
      <c r="F233" s="115">
        <f ca="1">IF(AND(CU233,OR(C233="赤日轮1",C233="赤日轮2",C233="赤日轮3",C233="烈日斩",C233="净世破魔击·日")),100,MIN(IF(CO233,0,IF(OR($C233="幽月轮1",$C233="幽月轮2",$C233="幽月轮3"),F232+20+IF(模拟模式!$I$7="日月凌天",4,0)+IF(CS232,20,0),IF($C233="银月斩",F232+40+IF(模拟模式!$X$12=1,5,0),IF($C233="驱夜断愁",IF(模拟模式!$R$7="万念俱寂",F232+20,F232+60),IF($C233="净世破魔击·月",IF(模拟模式!$M$7="辉耀红尘",F232-80,F232-100),IF(AND(C233="净世破魔击·日",OR(DB232&gt;0,CV232&gt;0)),100,F232)))))),100))</f>
        <v>85</v>
      </c>
      <c r="G233" s="117">
        <f ca="1">('模拟-全程加成'!$E$3+'模拟-全程加成'!$E$4+'模拟-全程加成'!$E$5+('模拟-全程加成'!$C$6-'模拟-全程加成'!$C$3)*系数!$B$9+BS233*23)*(1+'模拟-全程加成'!$F$4+'模拟-全程加成'!$F$5+BJ233*10%+BM233*20%+BP233*4%+CG233*30%)+$F$7*系数!$B$12</f>
        <v>21493.829400000002</v>
      </c>
      <c r="H233" s="45">
        <f ca="1">'模拟-全程加成'!$H$3+'模拟-全程加成'!$H$4+'模拟-全程加成'!$H$5+('模拟-全程加成'!$G$4+'模拟-全程加成'!$G$5+('模拟-全程加成'!$C$6-'模拟-全程加成'!$C$3)*系数!$B$13)/系数!$B$3+LOOKUP(D233,'模拟-单技能数据'!$A$2:$A$19,'模拟-单技能数据'!$K$2:$K$19)+BG233*10%+IF(BV233&gt;0,378,0)</f>
        <v>0.51185145527300213</v>
      </c>
      <c r="I233" s="45">
        <f ca="1">'模拟-全程加成'!$J$3+'模拟-全程加成'!$J$4+'模拟-全程加成'!$J$5+('模拟-全程加成'!$I$4+'模拟-全程加成'!$I$5)/系数!$B$4+LOOKUP(D233,'模拟-单技能数据'!$A$2:$A$19,'模拟-单技能数据'!$L$2:$L$19)+BG233*10%</f>
        <v>2.162482885499879</v>
      </c>
      <c r="J233" s="45">
        <f ca="1">(('模拟-全程加成'!$K$3+'模拟-全程加成'!$K$4+'模拟-全程加成'!$K$5+('模拟-全程加成'!$C$6-'模拟-全程加成'!$C$3)*系数!$B$10+IF(BV233&gt;0,882,0)+IF(BY233&gt;0,1831,0))*(1+'模拟-全程加成'!$L$4+'模拟-全程加成'!$L$5+CC233*20%))/系数!$B$5</f>
        <v>0.69723220422048726</v>
      </c>
      <c r="K233" s="119">
        <f ca="1">LOOKUP(D233,'模拟-单技能数据'!$A$2:$A$19,'模拟-单技能数据'!$J$2:$J$19)+IF(CM233,60%,0)+IF(DB232-DB233&gt;0,30%,0)+IF(OR(AND(OR(C233="赤日轮1",C233="赤日轮2",C233="赤日轮3"),CR233),AND(OR(C233="幽月轮1",C233="幽月轮2",C233="幽月轮3"),CS233)),35%,0)+CJ233</f>
        <v>0.14000000000000001</v>
      </c>
      <c r="L233" s="119">
        <f ca="1">IF(AND(C233="烈日斩",模拟模式!$X$11=1),10%,0)+IF(AND(C233="驱夜断愁",AB233=1),30%,0)</f>
        <v>0.3</v>
      </c>
      <c r="M233" s="45">
        <f t="shared" ca="1" si="185"/>
        <v>0.51185145527300213</v>
      </c>
      <c r="N233" s="45">
        <f t="shared" ca="1" si="186"/>
        <v>0.43424854472699792</v>
      </c>
      <c r="O233" s="46">
        <f t="shared" ca="1" si="210"/>
        <v>0.20199775543053278</v>
      </c>
      <c r="P233" s="46" t="str">
        <f t="shared" ca="1" si="211"/>
        <v>会</v>
      </c>
      <c r="Q233" s="45">
        <f t="shared" ca="1" si="212"/>
        <v>2.162482885499879</v>
      </c>
      <c r="R233" s="117">
        <f ca="1">模拟模式!$E$20*(1-IF(模拟模式!$J$19="有",0.15,0))*(1-IF(模拟模式!$K$19="有",0.3,0)-IF(CQ233,0.5,0))</f>
        <v>843.02999999999975</v>
      </c>
      <c r="S233" s="45">
        <f ca="1">R233/(R233+(185*模拟模式!$E$22-16800)*4.08224)</f>
        <v>8.389626085980037E-2</v>
      </c>
      <c r="T233" s="45" t="str">
        <f ca="1">LOOKUP(D233,'模拟-单技能数据'!$A$2:$A$19,'模拟-单技能数据'!$H$2:$H$19)</f>
        <v>阴</v>
      </c>
      <c r="U233" s="119">
        <f t="shared" ca="1" si="187"/>
        <v>0.08</v>
      </c>
      <c r="V233" s="47">
        <f ca="1">(1+L233)*(LOOKUP(D233,'模拟-单技能数据'!$A$2:$A$19,'模拟-单技能数据'!$D$2:$D$19)+G233*LOOKUP(D233,'模拟-单技能数据'!$A$2:$A$19,'模拟-单技能数据'!$F$2:$F$19))*(1+J233)*(1+K233)*(1-S233)*(1+U233)*Q233*LOOKUP(D233,'模拟-单技能数据'!$A$2:$A$19,'模拟-单技能数据'!$I$2:$I$20)</f>
        <v>133079.35569364758</v>
      </c>
      <c r="W233" s="47">
        <f ca="1">LOOKUP(D233,'模拟-单技能数据'!$A$2:$A$19,'模拟-单技能数据'!$G$2:$G$19)*$I$10</f>
        <v>723.0212870940959</v>
      </c>
      <c r="X233" s="47">
        <f t="shared" ca="1" si="213"/>
        <v>29352.355803387069</v>
      </c>
      <c r="Y233" s="47">
        <f t="shared" ca="1" si="188"/>
        <v>163154.73278412875</v>
      </c>
      <c r="Z233" s="49">
        <f t="shared" ca="1" si="189"/>
        <v>21759180.456621248</v>
      </c>
      <c r="AA233" s="97">
        <f t="shared" ca="1" si="190"/>
        <v>114500.91013035047</v>
      </c>
      <c r="AB233" s="115">
        <f ca="1">IF(OR(C233="赤日轮1",C233="赤日轮2",C233="赤日轮3"),IF(RAND()&lt;模拟模式!$Y$17,1,0),IF(OR(C233="幽月轮1",C233="幽月轮2",C233="幽月轮3"),IF(RAND()&lt;模拟模式!$Y$18,1,0),IF(C233="烈日斩",IF(RAND()&lt;模拟模式!$Y$19,1,0),IF(C233="银月斩",IF(RAND()&lt;模拟模式!$Y$20,1,0),IF(C233="驱夜断愁",IF(RAND()&lt;模拟模式!$Y$21,1,0),IF(C233="净世破魔击·日",IF(RAND()&lt;模拟模式!$Y$22,1,0),IF(C233="净世破魔击·月",IF(RAND()&lt;模拟模式!$Y$23,1,0),0)))))))</f>
        <v>1</v>
      </c>
      <c r="AC233" s="115" t="b">
        <f t="shared" ca="1" si="178"/>
        <v>0</v>
      </c>
      <c r="AD233" s="115" t="b">
        <f t="shared" ca="1" si="198"/>
        <v>1</v>
      </c>
      <c r="AE233" s="115">
        <f t="shared" ca="1" si="199"/>
        <v>5</v>
      </c>
      <c r="AF233" s="47">
        <f ca="1">IF(AC233,('模拟-单技能数据'!$D$20+G233*'模拟-单技能数据'!$F$20)*(1+J233)*(1+'模拟-单技能数据'!$J$20)*(1+U233),0)</f>
        <v>0</v>
      </c>
      <c r="AG233" s="61">
        <f t="shared" ca="1" si="191"/>
        <v>0.64185145527300214</v>
      </c>
      <c r="AH233" s="61">
        <f t="shared" ca="1" si="192"/>
        <v>2.2624828854998791</v>
      </c>
      <c r="AI233" s="62">
        <f t="shared" ca="1" si="214"/>
        <v>0.94771629146228331</v>
      </c>
      <c r="AJ233" s="47">
        <f ca="1">IF(AD233,IF(AI233&lt;$F$10,0,IF(AI233&lt;$F$10+$F$11,0.25,IF(AI233&lt;$F$10+$F$11+AG233,AH233,1)))*IF(AF233&gt;0,AF233,IF(AF232&gt;0,AF232,IF(AF231&gt;0,AF231,IF(AF230&gt;0,AF230,IF(AF229&gt;0,AF229,IF(AF228&gt;0,AF228,IF(AF227&gt;0,AF227,IF(AF226&gt;0,AF226,IF(AF225&gt;0,AF225,IF(AF223&gt;0,AF223,IF(AF222&gt;0,AF222,IF(AF221&gt;0,AF221,0)))))))))))),0)*(1-$S233)*'模拟-单技能数据'!$I$20</f>
        <v>4250.4883357170938</v>
      </c>
      <c r="AK233" s="115" t="b">
        <f t="shared" ca="1" si="179"/>
        <v>0</v>
      </c>
      <c r="AL233" s="115" t="b">
        <f t="shared" ca="1" si="200"/>
        <v>1</v>
      </c>
      <c r="AM233" s="115">
        <f t="shared" ca="1" si="201"/>
        <v>4</v>
      </c>
      <c r="AN233" s="47">
        <f ca="1">IF(AK233,('模拟-单技能数据'!$D$21+G233*'模拟-单技能数据'!$F$21)*(1+J233)*(1+'模拟-单技能数据'!$J$21)*(1+U233),0)</f>
        <v>0</v>
      </c>
      <c r="AO233" s="61">
        <f ca="1">IF(AN233&gt;0,M233-'模拟-单技能数据'!$K$10,AO232)</f>
        <v>0.42185145527300216</v>
      </c>
      <c r="AP233" s="61">
        <f ca="1">IF(AN233&gt;0,I233-'模拟-单技能数据'!$L$10,AP232)</f>
        <v>2.162482885499879</v>
      </c>
      <c r="AQ233" s="63">
        <f t="shared" ca="1" si="215"/>
        <v>0.4218675406873279</v>
      </c>
      <c r="AR233" s="64">
        <f ca="1">IF(AL233,IF(AQ233&lt;$F$10,0,IF(AQ233&lt;$F$10+$F$11,0.25,IF(AQ233&lt;$F$10+$F$11+AO233,AP233,1)))*IF(AN233&gt;0,AN233,IF(AN232&gt;0,AN232,IF(AN231&gt;0,AN231,IF(AN230&gt;0,AN230,IF(AN229&gt;0,AN229,IF(AN228&gt;0,AN228,IF(AN227&gt;0,AN227,IF(AN226&gt;0,AN226,IF(AN225&gt;0,AN225,IF(AN223&gt;0,AN223,IF(AN222&gt;0,AN222,IF(AN221&gt;0,AN221,0)))))))))))),0)*(1-$S233)*'模拟-单技能数据'!$I$21</f>
        <v>25101.867467669974</v>
      </c>
      <c r="AS233" s="61">
        <f ca="1">IF(OR(C233="净世破魔击·日",C233="净世破魔击·月"),M233-'模拟-单技能数据'!$K$10,0)</f>
        <v>0</v>
      </c>
      <c r="AT233" s="61">
        <f ca="1">IF(OR(C233="净世破魔击·日",C233="净世破魔击·月"),I233-'模拟-单技能数据'!$L$10,0)</f>
        <v>0</v>
      </c>
      <c r="AU233" s="62">
        <f t="shared" ca="1" si="216"/>
        <v>0.24995150520697507</v>
      </c>
      <c r="AV233" s="64">
        <f ca="1">IF(AS233&gt;0,('模拟-单技能数据'!$D$22+G233*'模拟-单技能数据'!$F$22)*(1+J233)*(1-S233)*IF(AU233&lt;$F$10,0,IF(AU233&lt;$F$10+$F$11,0.25,IF(AU233&lt;$F$10+$F$11+AS233,AT233,1)))*(1+U233),0)*'模拟-单技能数据'!$I$22</f>
        <v>0</v>
      </c>
      <c r="AW233" s="108">
        <f t="shared" ca="1" si="217"/>
        <v>2.4725000000000064</v>
      </c>
      <c r="AX233" s="108" t="b">
        <f ca="1">AND(模拟模式!$P$10="有",AW232=0,RAND()&lt;IF(C233="净世破魔击·月",0.1*8/3,IF(C233="净世破魔击·日",0.1*4/3,0.1*2/3)))</f>
        <v>0</v>
      </c>
      <c r="AY233" s="47">
        <f ca="1">IF(AX233,(18+G233*0.722)*(1+J233)*(1-S233)*(1+$I$4)*IF(P233="会",'模拟-全程加成'!$J$3+'模拟-全程加成'!$J$4+'模拟-全程加成'!$J$5+('模拟-全程加成'!$I$4+'模拟-全程加成'!$I$5)/系数!$B$4+BG233*10%,IF(P233="命",1,IF(P233="识",0.25,0))),0)</f>
        <v>0</v>
      </c>
      <c r="AZ233" s="108">
        <f t="shared" si="218"/>
        <v>12.620000000000005</v>
      </c>
      <c r="BA233" s="108" t="b">
        <f>AND(模拟模式!$Q$10="有",AZ232=0)</f>
        <v>0</v>
      </c>
      <c r="BB233" s="140">
        <f>IF(BA233,(0+G233*0.287)*(1+J233)*(1-S233)*(1+$I$4)*IF(P233="会",'模拟-全程加成'!$J$3+'模拟-全程加成'!$J$4+'模拟-全程加成'!$J$5+('模拟-全程加成'!$I$4+'模拟-全程加成'!$I$5)/系数!$B$4+BG233*10%,IF(P233="命",1,IF(P233="识",0.25,0))),0)</f>
        <v>0</v>
      </c>
      <c r="BC233" s="115" t="b">
        <f ca="1">AND(模拟模式!$R$7="伏明众生",E233=60,F233=20,DA233&lt;5,CZ232&lt;$F$4)</f>
        <v>0</v>
      </c>
      <c r="BD233" s="115">
        <f t="shared" ca="1" si="180"/>
        <v>0</v>
      </c>
      <c r="BE233" s="115" t="b">
        <f t="shared" ca="1" si="181"/>
        <v>0</v>
      </c>
      <c r="BF233" s="47">
        <f ca="1">IF(BC233,4*('模拟-单技能数据'!$D$24+G233*'模拟-单技能数据'!$F$24)*(1+J233)*(1+'模拟-单技能数据'!$J$24)*(1-S233)*(1+$I$3)*(('模拟-全程加成'!$J$3+'模拟-全程加成'!$J$4+'模拟-全程加成'!$J$5+('模拟-全程加成'!$I$4+'模拟-全程加成'!$I$5)/系数!$B$4+BG233*10%)*('模拟-全程加成'!$J$3+'模拟-全程加成'!$J$4+'模拟-全程加成'!$J$5+('模拟-全程加成'!$I$4+'模拟-全程加成'!$I$5)/系数!$B$4+BG233*10%)+(1-('模拟-全程加成'!$J$3+'模拟-全程加成'!$J$4+'模拟-全程加成'!$J$5+('模拟-全程加成'!$I$4+'模拟-全程加成'!$I$5)/系数!$B$4+BG233*10%)-$F$10-$F$11)+F219*0.25),0)*'模拟-单技能数据'!$I$24</f>
        <v>0</v>
      </c>
      <c r="BG233" s="115" t="b">
        <f ca="1">OR(AND(OR(C233="烈日斩",C233="银月斩"),模拟模式!$I$7="净身明礼"),AND(C233="净世破魔击·日",模拟模式!$J$7="洞若观火"),AND(C234="净世破魔击·月",模拟模式!$J$7="洞若观火"),AB233=1)</f>
        <v>1</v>
      </c>
      <c r="BH233" s="115" t="b">
        <f t="shared" ca="1" si="219"/>
        <v>0</v>
      </c>
      <c r="BI233" s="115">
        <f t="shared" ca="1" si="182"/>
        <v>5.0774999999999997</v>
      </c>
      <c r="BJ233" s="115" t="b">
        <f t="shared" ca="1" si="193"/>
        <v>1</v>
      </c>
      <c r="BK233" s="115" t="b">
        <f ca="1">AND(C233="驱夜断愁",模拟模式!$P$7="天地诛戮")</f>
        <v>1</v>
      </c>
      <c r="BL233" s="57">
        <f t="shared" ca="1" si="183"/>
        <v>20</v>
      </c>
      <c r="BM233" s="115" t="b">
        <f t="shared" ca="1" si="194"/>
        <v>1</v>
      </c>
      <c r="BN233" s="115" t="b">
        <f ca="1">AND(OR(C233="赤日轮1",C233="赤日轮2",C233="赤日轮3",C233="幽月轮1",C233="幽月轮2",C233="幽月轮3"),AB233=1,模拟模式!$L$7="明光恒照")</f>
        <v>0</v>
      </c>
      <c r="BO233" s="117">
        <f t="shared" ca="1" si="184"/>
        <v>28.155000000000001</v>
      </c>
      <c r="BP233" s="115">
        <f t="shared" ca="1" si="220"/>
        <v>6</v>
      </c>
      <c r="BQ233" s="115" t="b">
        <f>模拟模式!$K$10="2600·水"</f>
        <v>0</v>
      </c>
      <c r="BR233" s="117">
        <f t="shared" si="221"/>
        <v>0</v>
      </c>
      <c r="BS233" s="115">
        <f t="shared" si="222"/>
        <v>0</v>
      </c>
      <c r="BT233" s="115">
        <f t="shared" ca="1" si="223"/>
        <v>0</v>
      </c>
      <c r="BU233" s="115" t="b">
        <f ca="1">AND(模拟模式!$K$10="2300·雷",BT232=0,RAND()&lt;IF(C233="净世破魔击·月",5*0.05*2/3,IF(C233="净世破魔击·日",3*0.05*2/3,0.05*2*2/3)))</f>
        <v>0</v>
      </c>
      <c r="BV233" s="115">
        <f t="shared" ca="1" si="224"/>
        <v>0</v>
      </c>
      <c r="BW233" s="115">
        <f t="shared" ca="1" si="225"/>
        <v>0</v>
      </c>
      <c r="BX233" s="164" t="b">
        <f t="shared" ca="1" si="226"/>
        <v>0</v>
      </c>
      <c r="BY233" s="115">
        <f t="shared" ca="1" si="227"/>
        <v>0</v>
      </c>
      <c r="BZ233" s="115">
        <f>IF(OR(模拟模式!$P$16="10人团",模拟模式!$P$16="25人团"),IF(B233/30&gt;CA232,1,0),0)</f>
        <v>0</v>
      </c>
      <c r="CA233" s="115">
        <f t="shared" si="203"/>
        <v>0</v>
      </c>
      <c r="CB233" s="115">
        <f ca="1">IF(BZ233=1,IF(模拟模式!$P$16="10人团",15,0)+IF(模拟模式!$P$16="25人团",IF(RAND()&lt;0.6,15,0)),MAX(0,CB232-$F$4))</f>
        <v>0</v>
      </c>
      <c r="CC233" s="115" t="b">
        <f t="shared" ca="1" si="195"/>
        <v>0</v>
      </c>
      <c r="CD233" s="115">
        <f>IF(模拟模式!$Q$16="1个",IF(B233/40&gt;CE232,1,0),0)</f>
        <v>0</v>
      </c>
      <c r="CE233" s="115">
        <f t="shared" si="196"/>
        <v>0</v>
      </c>
      <c r="CF233" s="115">
        <f>IF(OR(CD233=1,模拟模式!$Q$16="2个"),20,MAX(0,CF232-$F$4))</f>
        <v>0</v>
      </c>
      <c r="CG233" s="115" t="b">
        <f t="shared" si="197"/>
        <v>0</v>
      </c>
      <c r="CH233" s="115">
        <f t="shared" ca="1" si="228"/>
        <v>6.0150000000000121</v>
      </c>
      <c r="CI233" s="115" t="b">
        <f t="shared" ca="1" si="229"/>
        <v>0</v>
      </c>
      <c r="CJ233" s="119">
        <f t="shared" ca="1" si="230"/>
        <v>0</v>
      </c>
      <c r="CK233" s="115">
        <f t="shared" ca="1" si="231"/>
        <v>0</v>
      </c>
      <c r="CL233" s="115" t="b">
        <f ca="1">AND(模拟模式!$S$7="驱夷逐法",OR(AND(C233="净世破魔击·月",E232&gt;59),AND(C233="净世破魔击·日",F232&gt;59)))</f>
        <v>0</v>
      </c>
      <c r="CM233" s="115" t="b">
        <f ca="1">OR(CL233,AND(C233="净世破魔击·日",CL232,RAND()&lt;模拟模式!$U$23))</f>
        <v>0</v>
      </c>
      <c r="CN233" s="115" t="b">
        <f ca="1">IF(模拟模式!$M$7="辉耀红尘",AND(C233="净世破魔击·月",CL233,CV233=0,E232&lt;80),AND(C233="净世破魔击·月",CL233,E232&lt;100))</f>
        <v>0</v>
      </c>
      <c r="CO233" s="115" t="b">
        <f t="shared" ca="1" si="204"/>
        <v>0</v>
      </c>
      <c r="CP233" s="115" t="b">
        <f ca="1">AND(模拟模式!$O$7="用晦而明",OR(C233="净世破魔击·日",C233="净世破魔击·月",C233="驱夜断愁"),AB233)</f>
        <v>1</v>
      </c>
      <c r="CQ233" s="115" t="b">
        <f ca="1">OR(CP233,AND(CP232,RAND()&lt;模拟模式!$U$23))</f>
        <v>1</v>
      </c>
      <c r="CR233" s="115" t="b">
        <f ca="1">AND(模拟模式!$S$7="日月齐光",OR(C233="幽月轮1",C233="幽月轮2",C233="幽月轮3",CR232),NOT(OR(C233="赤日轮1",C233="赤日轮2",C233="赤日轮3")))</f>
        <v>0</v>
      </c>
      <c r="CS233" s="115" t="b">
        <f ca="1">AND(模拟模式!$S$7="日月齐光",OR(C233="赤日轮1",C233="赤日轮2",C233="赤日轮3",CS232),NOT(OR(C233="幽月轮1",C233="幽月轮2",C233="幽月轮3")))</f>
        <v>0</v>
      </c>
      <c r="CT233" s="115">
        <f t="shared" ca="1" si="232"/>
        <v>9.7050000000000125</v>
      </c>
      <c r="CU233" s="115" t="b">
        <f ca="1">AND(模拟模式!$K$10="阴阳往极",CT232=0,RAND()&lt;IF(C233="净世破魔击·月",0.0275*7/3,IF(C233="净世破魔击·日",0.0275*3/3,0.0275*2/3)))</f>
        <v>0</v>
      </c>
      <c r="CV233" s="115">
        <f t="shared" ca="1" si="233"/>
        <v>0</v>
      </c>
      <c r="CW233" s="115">
        <f t="shared" ca="1" si="205"/>
        <v>0.46499999999999975</v>
      </c>
      <c r="CX233" s="115">
        <f t="shared" ca="1" si="206"/>
        <v>5.0774999999999997</v>
      </c>
      <c r="CY233" s="115">
        <f ca="1">MAX(IF($C233="驱夜断愁",IF(模拟模式!$R$7="万念俱寂",6,45),CY232-$F$4),0)</f>
        <v>6</v>
      </c>
      <c r="CZ233" s="115">
        <f t="shared" ca="1" si="207"/>
        <v>0</v>
      </c>
      <c r="DA233" s="115">
        <f ca="1">IF(模拟模式!$N$7="日月同辉",IF(DB232=2,0,MIN(6,IF(AND(OR(C233="赤日轮1",C233="赤日轮2",C233="赤日轮3",C233="幽月轮1",C233="幽月轮2",C233="幽月轮3"),AB233=1),DA232+1,DA232))),0)</f>
        <v>0</v>
      </c>
      <c r="DB233" s="115">
        <f t="shared" ca="1" si="208"/>
        <v>2</v>
      </c>
      <c r="DC233" s="115"/>
      <c r="DD233" s="115"/>
      <c r="DE233" s="115"/>
      <c r="DF233" s="115"/>
      <c r="DG233" s="115"/>
      <c r="DH233" s="115"/>
      <c r="DI233" s="115"/>
      <c r="DJ233" s="115"/>
      <c r="DK233" s="115"/>
      <c r="DL233" s="115"/>
      <c r="DM233" s="115"/>
    </row>
    <row r="234" spans="2:117" x14ac:dyDescent="0.2">
      <c r="B234" s="117">
        <f t="shared" si="209"/>
        <v>190.95750000000086</v>
      </c>
      <c r="C234" s="167" t="str">
        <f t="shared" ca="1" si="202"/>
        <v>烈日斩</v>
      </c>
      <c r="D234" s="115">
        <f ca="1">IF(C234="赤日轮1",1,IF(C234="赤日轮2",2,IF(C234="赤日轮3",3,IF(C234="幽月轮1",4,IF(C234="幽月轮2",5,IF(C234="幽月轮3",6,IF(C234="烈日斩",7,IF(C234="银月斩",8,IF(C234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234="净世破魔击·月",17,IF(C234="驱夜断愁",18,0)))))))))))</f>
        <v>7</v>
      </c>
      <c r="E234" s="115">
        <f ca="1">IF(AND(CU234,OR(C234="幽月轮1",C234="幽月轮2",C234="幽月轮3",C234="银月斩",C234="驱夜断愁",C234="净世破魔击·月")),100,MIN(IF(OR(CN234,BE234),0,IF(OR($C234="赤日轮1",$C234="赤日轮2",$C234="赤日轮3"),E233+20+IF(模拟模式!$I$7="日月凌天",4,0)+IF(CR233,20,0),IF($C234="烈日斩",E233+40,IF($C234="驱夜断愁",IF(模拟模式!$R$7="万念俱寂",E233+20,E233+60),IF($C234="净世破魔击·月",IF(OR(DB233&gt;0,CV233&gt;0),100,IF(模拟模式!$M$7="辉耀红尘",E233+20,E233)),IF($C234="净世破魔击·日",E233-100,E233)))))),100))</f>
        <v>80</v>
      </c>
      <c r="F234" s="115">
        <f ca="1">IF(AND(CU234,OR(C234="赤日轮1",C234="赤日轮2",C234="赤日轮3",C234="烈日斩",C234="净世破魔击·日")),100,MIN(IF(CO234,0,IF(OR($C234="幽月轮1",$C234="幽月轮2",$C234="幽月轮3"),F233+20+IF(模拟模式!$I$7="日月凌天",4,0)+IF(CS233,20,0),IF($C234="银月斩",F233+40+IF(模拟模式!$X$12=1,5,0),IF($C234="驱夜断愁",IF(模拟模式!$R$7="万念俱寂",F233+20,F233+60),IF($C234="净世破魔击·月",IF(模拟模式!$M$7="辉耀红尘",F233-80,F233-100),IF(AND(C234="净世破魔击·日",OR(DB233&gt;0,CV233&gt;0)),100,F233)))))),100))</f>
        <v>85</v>
      </c>
      <c r="G234" s="117">
        <f ca="1">('模拟-全程加成'!$E$3+'模拟-全程加成'!$E$4+'模拟-全程加成'!$E$5+('模拟-全程加成'!$C$6-'模拟-全程加成'!$C$3)*系数!$B$9+BS234*23)*(1+'模拟-全程加成'!$F$4+'模拟-全程加成'!$F$5+BJ234*10%+BM234*20%+BP234*4%+CG234*30%)+$F$7*系数!$B$12</f>
        <v>21493.829400000002</v>
      </c>
      <c r="H234" s="45">
        <f ca="1">'模拟-全程加成'!$H$3+'模拟-全程加成'!$H$4+'模拟-全程加成'!$H$5+('模拟-全程加成'!$G$4+'模拟-全程加成'!$G$5+('模拟-全程加成'!$C$6-'模拟-全程加成'!$C$3)*系数!$B$13)/系数!$B$3+LOOKUP(D234,'模拟-单技能数据'!$A$2:$A$19,'模拟-单技能数据'!$K$2:$K$19)+BG234*10%+IF(BV234&gt;0,378,0)</f>
        <v>0.56185145527300218</v>
      </c>
      <c r="I234" s="45">
        <f ca="1">'模拟-全程加成'!$J$3+'模拟-全程加成'!$J$4+'模拟-全程加成'!$J$5+('模拟-全程加成'!$I$4+'模拟-全程加成'!$I$5)/系数!$B$4+LOOKUP(D234,'模拟-单技能数据'!$A$2:$A$19,'模拟-单技能数据'!$L$2:$L$19)+BG234*10%</f>
        <v>2.2624828854998791</v>
      </c>
      <c r="J234" s="45">
        <f ca="1">(('模拟-全程加成'!$K$3+'模拟-全程加成'!$K$4+'模拟-全程加成'!$K$5+('模拟-全程加成'!$C$6-'模拟-全程加成'!$C$3)*系数!$B$10+IF(BV234&gt;0,882,0)+IF(BY234&gt;0,1831,0))*(1+'模拟-全程加成'!$L$4+'模拟-全程加成'!$L$5+CC234*20%))/系数!$B$5</f>
        <v>0.69723220422048726</v>
      </c>
      <c r="K234" s="119">
        <f ca="1">LOOKUP(D234,'模拟-单技能数据'!$A$2:$A$19,'模拟-单技能数据'!$J$2:$J$19)+IF(CM234,60%,0)+IF(DB233-DB234&gt;0,30%,0)+IF(OR(AND(OR(C234="赤日轮1",C234="赤日轮2",C234="赤日轮3"),CR234),AND(OR(C234="幽月轮1",C234="幽月轮2",C234="幽月轮3"),CS234)),35%,0)+CJ234</f>
        <v>0.24</v>
      </c>
      <c r="L234" s="119">
        <f ca="1">IF(AND(C234="烈日斩",模拟模式!$X$11=1),10%,0)+IF(AND(C234="驱夜断愁",AB234=1),30%,0)</f>
        <v>0.1</v>
      </c>
      <c r="M234" s="45">
        <f t="shared" ca="1" si="185"/>
        <v>0.56185145527300218</v>
      </c>
      <c r="N234" s="45">
        <f t="shared" ca="1" si="186"/>
        <v>0.38424854472699788</v>
      </c>
      <c r="O234" s="46">
        <f t="shared" ca="1" si="210"/>
        <v>0.90693576701561107</v>
      </c>
      <c r="P234" s="46" t="str">
        <f t="shared" ca="1" si="211"/>
        <v>命</v>
      </c>
      <c r="Q234" s="45">
        <f t="shared" ca="1" si="212"/>
        <v>1</v>
      </c>
      <c r="R234" s="117">
        <f ca="1">模拟模式!$E$20*(1-IF(模拟模式!$J$19="有",0.15,0))*(1-IF(模拟模式!$K$19="有",0.3,0)-IF(CQ234,0.5,0))</f>
        <v>843.02999999999975</v>
      </c>
      <c r="S234" s="45">
        <f ca="1">R234/(R234+(185*模拟模式!$E$22-16800)*4.08224)</f>
        <v>8.389626085980037E-2</v>
      </c>
      <c r="T234" s="45" t="str">
        <f ca="1">LOOKUP(D234,'模拟-单技能数据'!$A$2:$A$19,'模拟-单技能数据'!$H$2:$H$19)</f>
        <v>阳</v>
      </c>
      <c r="U234" s="119">
        <f t="shared" ca="1" si="187"/>
        <v>0.2</v>
      </c>
      <c r="V234" s="47">
        <f ca="1">(1+L234)*(LOOKUP(D234,'模拟-单技能数据'!$A$2:$A$19,'模拟-单技能数据'!$D$2:$D$19)+G234*LOOKUP(D234,'模拟-单技能数据'!$A$2:$A$19,'模拟-单技能数据'!$F$2:$F$19))*(1+J234)*(1+K234)*(1-S234)*(1+U234)*Q234*LOOKUP(D234,'模拟-单技能数据'!$A$2:$A$19,'模拟-单技能数据'!$I$2:$I$20)</f>
        <v>48841.631854871324</v>
      </c>
      <c r="W234" s="47">
        <f ca="1">LOOKUP(D234,'模拟-单技能数据'!$A$2:$A$19,'模拟-单技能数据'!$G$2:$G$19)*$I$10</f>
        <v>361.51064354704795</v>
      </c>
      <c r="X234" s="47">
        <f t="shared" ca="1" si="213"/>
        <v>0</v>
      </c>
      <c r="Y234" s="47">
        <f t="shared" ca="1" si="188"/>
        <v>49203.142498418369</v>
      </c>
      <c r="Z234" s="49">
        <f t="shared" ca="1" si="189"/>
        <v>21808383.599119667</v>
      </c>
      <c r="AA234" s="97">
        <f t="shared" ca="1" si="190"/>
        <v>114205.43104680134</v>
      </c>
      <c r="AB234" s="115">
        <f ca="1">IF(OR(C234="赤日轮1",C234="赤日轮2",C234="赤日轮3"),IF(RAND()&lt;模拟模式!$Y$17,1,0),IF(OR(C234="幽月轮1",C234="幽月轮2",C234="幽月轮3"),IF(RAND()&lt;模拟模式!$Y$18,1,0),IF(C234="烈日斩",IF(RAND()&lt;模拟模式!$Y$19,1,0),IF(C234="银月斩",IF(RAND()&lt;模拟模式!$Y$20,1,0),IF(C234="驱夜断愁",IF(RAND()&lt;模拟模式!$Y$21,1,0),IF(C234="净世破魔击·日",IF(RAND()&lt;模拟模式!$Y$22,1,0),IF(C234="净世破魔击·月",IF(RAND()&lt;模拟模式!$Y$23,1,0),0)))))))</f>
        <v>1</v>
      </c>
      <c r="AC234" s="115" t="b">
        <f t="shared" ca="1" si="178"/>
        <v>0</v>
      </c>
      <c r="AD234" s="115" t="b">
        <f t="shared" ca="1" si="198"/>
        <v>0</v>
      </c>
      <c r="AE234" s="115">
        <f t="shared" ca="1" si="199"/>
        <v>5</v>
      </c>
      <c r="AF234" s="47">
        <f ca="1">IF(AC234,('模拟-单技能数据'!$D$20+G234*'模拟-单技能数据'!$F$20)*(1+J234)*(1+'模拟-单技能数据'!$J$20)*(1+U234),0)</f>
        <v>0</v>
      </c>
      <c r="AG234" s="61">
        <f t="shared" ca="1" si="191"/>
        <v>0.64185145527300214</v>
      </c>
      <c r="AH234" s="61">
        <f t="shared" ca="1" si="192"/>
        <v>2.2624828854998791</v>
      </c>
      <c r="AI234" s="62">
        <f t="shared" ca="1" si="214"/>
        <v>0.77531988964688403</v>
      </c>
      <c r="AJ234" s="47">
        <f ca="1">IF(AD234,IF(AI234&lt;$F$10,0,IF(AI234&lt;$F$10+$F$11,0.25,IF(AI234&lt;$F$10+$F$11+AG234,AH234,1)))*IF(AF234&gt;0,AF234,IF(AF233&gt;0,AF233,IF(AF232&gt;0,AF232,IF(AF231&gt;0,AF231,IF(AF230&gt;0,AF230,IF(AF229&gt;0,AF229,IF(AF228&gt;0,AF228,IF(AF227&gt;0,AF227,IF(AF226&gt;0,AF226,IF(AF224&gt;0,AF224,IF(AF223&gt;0,AF223,IF(AF222&gt;0,AF222,0)))))))))))),0)*(1-$S234)*'模拟-单技能数据'!$I$20</f>
        <v>0</v>
      </c>
      <c r="AK234" s="115" t="b">
        <f t="shared" ca="1" si="179"/>
        <v>0</v>
      </c>
      <c r="AL234" s="115" t="b">
        <f t="shared" ca="1" si="200"/>
        <v>0</v>
      </c>
      <c r="AM234" s="115">
        <f t="shared" ca="1" si="201"/>
        <v>4</v>
      </c>
      <c r="AN234" s="47">
        <f ca="1">IF(AK234,('模拟-单技能数据'!$D$21+G234*'模拟-单技能数据'!$F$21)*(1+J234)*(1+'模拟-单技能数据'!$J$21)*(1+U234),0)</f>
        <v>0</v>
      </c>
      <c r="AO234" s="61">
        <f ca="1">IF(AN234&gt;0,M234-'模拟-单技能数据'!$K$10,AO233)</f>
        <v>0.42185145527300216</v>
      </c>
      <c r="AP234" s="61">
        <f ca="1">IF(AN234&gt;0,I234-'模拟-单技能数据'!$L$10,AP233)</f>
        <v>2.162482885499879</v>
      </c>
      <c r="AQ234" s="63">
        <f t="shared" ca="1" si="215"/>
        <v>0.7934539964427072</v>
      </c>
      <c r="AR234" s="64">
        <f ca="1">IF(AL234,IF(AQ234&lt;$F$10,0,IF(AQ234&lt;$F$10+$F$11,0.25,IF(AQ234&lt;$F$10+$F$11+AO234,AP234,1)))*IF(AN234&gt;0,AN234,IF(AN233&gt;0,AN233,IF(AN232&gt;0,AN232,IF(AN231&gt;0,AN231,IF(AN230&gt;0,AN230,IF(AN229&gt;0,AN229,IF(AN228&gt;0,AN228,IF(AN227&gt;0,AN227,IF(AN226&gt;0,AN226,IF(AN224&gt;0,AN224,IF(AN223&gt;0,AN223,IF(AN222&gt;0,AN222,0)))))))))))),0)*(1-$S234)*'模拟-单技能数据'!$I$21</f>
        <v>0</v>
      </c>
      <c r="AS234" s="61">
        <f ca="1">IF(OR(C234="净世破魔击·日",C234="净世破魔击·月"),M234-'模拟-单技能数据'!$K$10,0)</f>
        <v>0</v>
      </c>
      <c r="AT234" s="61">
        <f ca="1">IF(OR(C234="净世破魔击·日",C234="净世破魔击·月"),I234-'模拟-单技能数据'!$L$10,0)</f>
        <v>0</v>
      </c>
      <c r="AU234" s="62">
        <f t="shared" ca="1" si="216"/>
        <v>0.79757579111763655</v>
      </c>
      <c r="AV234" s="64">
        <f ca="1">IF(AS234&gt;0,('模拟-单技能数据'!$D$22+G234*'模拟-单技能数据'!$F$22)*(1+J234)*(1-S234)*IF(AU234&lt;$F$10,0,IF(AU234&lt;$F$10+$F$11,0.25,IF(AU234&lt;$F$10+$F$11+AS234,AT234,1)))*(1+U234),0)*'模拟-单技能数据'!$I$22</f>
        <v>0</v>
      </c>
      <c r="AW234" s="108">
        <f t="shared" ca="1" si="217"/>
        <v>1.5500000000000065</v>
      </c>
      <c r="AX234" s="108" t="b">
        <f ca="1">AND(模拟模式!$P$10="有",AW233=0,RAND()&lt;IF(C234="净世破魔击·月",0.1*8/3,IF(C234="净世破魔击·日",0.1*4/3,0.1*2/3)))</f>
        <v>0</v>
      </c>
      <c r="AY234" s="47">
        <f ca="1">IF(AX234,(18+G234*0.722)*(1+J234)*(1-S234)*(1+$I$4)*IF(P234="会",'模拟-全程加成'!$J$3+'模拟-全程加成'!$J$4+'模拟-全程加成'!$J$5+('模拟-全程加成'!$I$4+'模拟-全程加成'!$I$5)/系数!$B$4+BG234*10%,IF(P234="命",1,IF(P234="识",0.25,0))),0)</f>
        <v>0</v>
      </c>
      <c r="AZ234" s="108">
        <f t="shared" si="218"/>
        <v>11.697500000000005</v>
      </c>
      <c r="BA234" s="108" t="b">
        <f>AND(模拟模式!$Q$10="有",AZ233=0)</f>
        <v>0</v>
      </c>
      <c r="BB234" s="140">
        <f>IF(BA234,(0+G234*0.287)*(1+J234)*(1-S234)*(1+$I$4)*IF(P234="会",'模拟-全程加成'!$J$3+'模拟-全程加成'!$J$4+'模拟-全程加成'!$J$5+('模拟-全程加成'!$I$4+'模拟-全程加成'!$I$5)/系数!$B$4+BG234*10%,IF(P234="命",1,IF(P234="识",0.25,0))),0)</f>
        <v>0</v>
      </c>
      <c r="BC234" s="115" t="b">
        <f ca="1">AND(模拟模式!$R$7="伏明众生",E234=60,F234=20,DA234&lt;5,CZ233&lt;$F$4)</f>
        <v>0</v>
      </c>
      <c r="BD234" s="115">
        <f t="shared" ca="1" si="180"/>
        <v>0</v>
      </c>
      <c r="BE234" s="115" t="b">
        <f t="shared" ca="1" si="181"/>
        <v>0</v>
      </c>
      <c r="BF234" s="47">
        <f ca="1">IF(BC234,4*('模拟-单技能数据'!$D$24+G234*'模拟-单技能数据'!$F$24)*(1+J234)*(1+'模拟-单技能数据'!$J$24)*(1-S234)*(1+$I$3)*(('模拟-全程加成'!$J$3+'模拟-全程加成'!$J$4+'模拟-全程加成'!$J$5+('模拟-全程加成'!$I$4+'模拟-全程加成'!$I$5)/系数!$B$4+BG234*10%)*('模拟-全程加成'!$J$3+'模拟-全程加成'!$J$4+'模拟-全程加成'!$J$5+('模拟-全程加成'!$I$4+'模拟-全程加成'!$I$5)/系数!$B$4+BG234*10%)+(1-('模拟-全程加成'!$J$3+'模拟-全程加成'!$J$4+'模拟-全程加成'!$J$5+('模拟-全程加成'!$I$4+'模拟-全程加成'!$I$5)/系数!$B$4+BG234*10%)-$F$10-$F$11)+F220*0.25),0)*'模拟-单技能数据'!$I$24</f>
        <v>0</v>
      </c>
      <c r="BG234" s="115" t="b">
        <f ca="1">OR(AND(OR(C234="烈日斩",C234="银月斩"),模拟模式!$I$7="净身明礼"),AND(C234="净世破魔击·日",模拟模式!$J$7="洞若观火"),AND(C235="净世破魔击·月",模拟模式!$J$7="洞若观火"),AB234=1)</f>
        <v>1</v>
      </c>
      <c r="BH234" s="115" t="b">
        <f t="shared" ca="1" si="219"/>
        <v>0</v>
      </c>
      <c r="BI234" s="115">
        <f t="shared" ca="1" si="182"/>
        <v>4.1549999999999994</v>
      </c>
      <c r="BJ234" s="115" t="b">
        <f t="shared" ca="1" si="193"/>
        <v>1</v>
      </c>
      <c r="BK234" s="115" t="b">
        <f ca="1">AND(C234="驱夜断愁",模拟模式!$P$7="天地诛戮")</f>
        <v>0</v>
      </c>
      <c r="BL234" s="57">
        <f t="shared" ca="1" si="183"/>
        <v>19.077500000000001</v>
      </c>
      <c r="BM234" s="115" t="b">
        <f t="shared" ca="1" si="194"/>
        <v>1</v>
      </c>
      <c r="BN234" s="115" t="b">
        <f ca="1">AND(OR(C234="赤日轮1",C234="赤日轮2",C234="赤日轮3",C234="幽月轮1",C234="幽月轮2",C234="幽月轮3"),AB234=1,模拟模式!$L$7="明光恒照")</f>
        <v>0</v>
      </c>
      <c r="BO234" s="117">
        <f t="shared" ca="1" si="184"/>
        <v>27.232500000000002</v>
      </c>
      <c r="BP234" s="115">
        <f t="shared" ca="1" si="220"/>
        <v>6</v>
      </c>
      <c r="BQ234" s="115" t="b">
        <f>模拟模式!$K$10="2600·水"</f>
        <v>0</v>
      </c>
      <c r="BR234" s="117">
        <f t="shared" si="221"/>
        <v>0</v>
      </c>
      <c r="BS234" s="115">
        <f t="shared" si="222"/>
        <v>0</v>
      </c>
      <c r="BT234" s="115">
        <f t="shared" ca="1" si="223"/>
        <v>0</v>
      </c>
      <c r="BU234" s="115" t="b">
        <f ca="1">AND(模拟模式!$K$10="2300·雷",BT233=0,RAND()&lt;IF(C234="净世破魔击·月",5*0.05*2/3,IF(C234="净世破魔击·日",3*0.05*2/3,0.05*2*2/3)))</f>
        <v>0</v>
      </c>
      <c r="BV234" s="115">
        <f t="shared" ca="1" si="224"/>
        <v>0</v>
      </c>
      <c r="BW234" s="115">
        <f t="shared" ca="1" si="225"/>
        <v>0</v>
      </c>
      <c r="BX234" s="164" t="b">
        <f t="shared" ca="1" si="226"/>
        <v>0</v>
      </c>
      <c r="BY234" s="115">
        <f t="shared" ca="1" si="227"/>
        <v>0</v>
      </c>
      <c r="BZ234" s="115">
        <f>IF(OR(模拟模式!$P$16="10人团",模拟模式!$P$16="25人团"),IF(B234/30&gt;CA233,1,0),0)</f>
        <v>0</v>
      </c>
      <c r="CA234" s="115">
        <f t="shared" si="203"/>
        <v>0</v>
      </c>
      <c r="CB234" s="115">
        <f ca="1">IF(BZ234=1,IF(模拟模式!$P$16="10人团",15,0)+IF(模拟模式!$P$16="25人团",IF(RAND()&lt;0.6,15,0)),MAX(0,CB233-$F$4))</f>
        <v>0</v>
      </c>
      <c r="CC234" s="115" t="b">
        <f t="shared" ca="1" si="195"/>
        <v>0</v>
      </c>
      <c r="CD234" s="115">
        <f>IF(模拟模式!$Q$16="1个",IF(B234/40&gt;CE233,1,0),0)</f>
        <v>0</v>
      </c>
      <c r="CE234" s="115">
        <f t="shared" si="196"/>
        <v>0</v>
      </c>
      <c r="CF234" s="115">
        <f>IF(OR(CD234=1,模拟模式!$Q$16="2个"),20,MAX(0,CF233-$F$4))</f>
        <v>0</v>
      </c>
      <c r="CG234" s="115" t="b">
        <f t="shared" si="197"/>
        <v>0</v>
      </c>
      <c r="CH234" s="115">
        <f t="shared" ca="1" si="228"/>
        <v>5.0925000000000118</v>
      </c>
      <c r="CI234" s="115" t="b">
        <f t="shared" ca="1" si="229"/>
        <v>0</v>
      </c>
      <c r="CJ234" s="119">
        <f t="shared" ca="1" si="230"/>
        <v>0</v>
      </c>
      <c r="CK234" s="115">
        <f t="shared" ca="1" si="231"/>
        <v>0</v>
      </c>
      <c r="CL234" s="115" t="b">
        <f ca="1">AND(模拟模式!$S$7="驱夷逐法",OR(AND(C234="净世破魔击·月",E233&gt;59),AND(C234="净世破魔击·日",F233&gt;59)))</f>
        <v>0</v>
      </c>
      <c r="CM234" s="115" t="b">
        <f ca="1">OR(CL234,AND(C234="净世破魔击·日",CL233,RAND()&lt;模拟模式!$U$23))</f>
        <v>0</v>
      </c>
      <c r="CN234" s="115" t="b">
        <f ca="1">IF(模拟模式!$M$7="辉耀红尘",AND(C234="净世破魔击·月",CL234,CV234=0,E233&lt;80),AND(C234="净世破魔击·月",CL234,E233&lt;100))</f>
        <v>0</v>
      </c>
      <c r="CO234" s="115" t="b">
        <f t="shared" ca="1" si="204"/>
        <v>0</v>
      </c>
      <c r="CP234" s="115" t="b">
        <f ca="1">AND(模拟模式!$O$7="用晦而明",OR(C234="净世破魔击·日",C234="净世破魔击·月",C234="驱夜断愁"),AB234)</f>
        <v>0</v>
      </c>
      <c r="CQ234" s="115" t="b">
        <f ca="1">OR(CP234,AND(CP233,RAND()&lt;模拟模式!$U$23))</f>
        <v>1</v>
      </c>
      <c r="CR234" s="115" t="b">
        <f ca="1">AND(模拟模式!$S$7="日月齐光",OR(C234="幽月轮1",C234="幽月轮2",C234="幽月轮3",CR233),NOT(OR(C234="赤日轮1",C234="赤日轮2",C234="赤日轮3")))</f>
        <v>0</v>
      </c>
      <c r="CS234" s="115" t="b">
        <f ca="1">AND(模拟模式!$S$7="日月齐光",OR(C234="赤日轮1",C234="赤日轮2",C234="赤日轮3",CS233),NOT(OR(C234="幽月轮1",C234="幽月轮2",C234="幽月轮3")))</f>
        <v>0</v>
      </c>
      <c r="CT234" s="115">
        <f t="shared" ca="1" si="232"/>
        <v>8.7825000000000131</v>
      </c>
      <c r="CU234" s="115" t="b">
        <f ca="1">AND(模拟模式!$K$10="阴阳往极",CT233=0,RAND()&lt;IF(C234="净世破魔击·月",0.0275*7/3,IF(C234="净世破魔击·日",0.0275*3/3,0.0275*2/3)))</f>
        <v>0</v>
      </c>
      <c r="CV234" s="115">
        <f t="shared" ca="1" si="233"/>
        <v>0</v>
      </c>
      <c r="CW234" s="115">
        <f t="shared" ca="1" si="205"/>
        <v>6</v>
      </c>
      <c r="CX234" s="115">
        <f t="shared" ca="1" si="206"/>
        <v>4.1549999999999994</v>
      </c>
      <c r="CY234" s="115">
        <f ca="1">MAX(IF($C234="驱夜断愁",IF(模拟模式!$R$7="万念俱寂",6,45),CY233-$F$4),0)</f>
        <v>5.0774999999999997</v>
      </c>
      <c r="CZ234" s="115">
        <f t="shared" ca="1" si="207"/>
        <v>0</v>
      </c>
      <c r="DA234" s="115">
        <f ca="1">IF(模拟模式!$N$7="日月同辉",IF(DB233=2,0,MIN(6,IF(AND(OR(C234="赤日轮1",C234="赤日轮2",C234="赤日轮3",C234="幽月轮1",C234="幽月轮2",C234="幽月轮3"),AB234=1),DA233+1,DA233))),0)</f>
        <v>0</v>
      </c>
      <c r="DB234" s="115">
        <f t="shared" ca="1" si="208"/>
        <v>2</v>
      </c>
      <c r="DC234" s="115"/>
      <c r="DD234" s="115"/>
      <c r="DE234" s="115"/>
      <c r="DF234" s="115"/>
      <c r="DG234" s="115"/>
      <c r="DH234" s="115"/>
      <c r="DI234" s="115"/>
      <c r="DJ234" s="115"/>
      <c r="DK234" s="115"/>
      <c r="DL234" s="115"/>
      <c r="DM234" s="115"/>
    </row>
    <row r="235" spans="2:117" x14ac:dyDescent="0.2">
      <c r="B235" s="117">
        <f t="shared" si="209"/>
        <v>191.88000000000088</v>
      </c>
      <c r="C235" s="167" t="str">
        <f t="shared" ca="1" si="202"/>
        <v>幽月轮1</v>
      </c>
      <c r="D235" s="115">
        <f ca="1">IF(C235="赤日轮1",1,IF(C235="赤日轮2",2,IF(C235="赤日轮3",3,IF(C235="幽月轮1",4,IF(C235="幽月轮2",5,IF(C235="幽月轮3",6,IF(C235="烈日斩",7,IF(C235="银月斩",8,IF(C235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235="净世破魔击·月",17,IF(C235="驱夜断愁",18,0)))))))))))</f>
        <v>4</v>
      </c>
      <c r="E235" s="115">
        <f ca="1">IF(AND(CU235,OR(C235="幽月轮1",C235="幽月轮2",C235="幽月轮3",C235="银月斩",C235="驱夜断愁",C235="净世破魔击·月")),100,MIN(IF(OR(CN235,BE235),0,IF(OR($C235="赤日轮1",$C235="赤日轮2",$C235="赤日轮3"),E234+20+IF(模拟模式!$I$7="日月凌天",4,0)+IF(CR234,20,0),IF($C235="烈日斩",E234+40,IF($C235="驱夜断愁",IF(模拟模式!$R$7="万念俱寂",E234+20,E234+60),IF($C235="净世破魔击·月",IF(OR(DB234&gt;0,CV234&gt;0),100,IF(模拟模式!$M$7="辉耀红尘",E234+20,E234)),IF($C235="净世破魔击·日",E234-100,E234)))))),100))</f>
        <v>80</v>
      </c>
      <c r="F235" s="115">
        <f ca="1">IF(AND(CU235,OR(C235="赤日轮1",C235="赤日轮2",C235="赤日轮3",C235="烈日斩",C235="净世破魔击·日")),100,MIN(IF(CO235,0,IF(OR($C235="幽月轮1",$C235="幽月轮2",$C235="幽月轮3"),F234+20+IF(模拟模式!$I$7="日月凌天",4,0)+IF(CS234,20,0),IF($C235="银月斩",F234+40+IF(模拟模式!$X$12=1,5,0),IF($C235="驱夜断愁",IF(模拟模式!$R$7="万念俱寂",F234+20,F234+60),IF($C235="净世破魔击·月",IF(模拟模式!$M$7="辉耀红尘",F234-80,F234-100),IF(AND(C235="净世破魔击·日",OR(DB234&gt;0,CV234&gt;0)),100,F234)))))),100))</f>
        <v>100</v>
      </c>
      <c r="G235" s="117">
        <f ca="1">('模拟-全程加成'!$E$3+'模拟-全程加成'!$E$4+'模拟-全程加成'!$E$5+('模拟-全程加成'!$C$6-'模拟-全程加成'!$C$3)*系数!$B$9+BS235*23)*(1+'模拟-全程加成'!$F$4+'模拟-全程加成'!$F$5+BJ235*10%+BM235*20%+BP235*4%+CG235*30%)+$F$7*系数!$B$12</f>
        <v>21493.829400000002</v>
      </c>
      <c r="H235" s="45">
        <f ca="1">'模拟-全程加成'!$H$3+'模拟-全程加成'!$H$4+'模拟-全程加成'!$H$5+('模拟-全程加成'!$G$4+'模拟-全程加成'!$G$5+('模拟-全程加成'!$C$6-'模拟-全程加成'!$C$3)*系数!$B$13)/系数!$B$3+LOOKUP(D235,'模拟-单技能数据'!$A$2:$A$19,'模拟-单技能数据'!$K$2:$K$19)+BG235*10%+IF(BV235&gt;0,378,0)</f>
        <v>0.51185145527300213</v>
      </c>
      <c r="I235" s="45">
        <f ca="1">'模拟-全程加成'!$J$3+'模拟-全程加成'!$J$4+'模拟-全程加成'!$J$5+('模拟-全程加成'!$I$4+'模拟-全程加成'!$I$5)/系数!$B$4+LOOKUP(D235,'模拟-单技能数据'!$A$2:$A$19,'模拟-单技能数据'!$L$2:$L$19)+BG235*10%</f>
        <v>2.162482885499879</v>
      </c>
      <c r="J235" s="45">
        <f ca="1">(('模拟-全程加成'!$K$3+'模拟-全程加成'!$K$4+'模拟-全程加成'!$K$5+('模拟-全程加成'!$C$6-'模拟-全程加成'!$C$3)*系数!$B$10+IF(BV235&gt;0,882,0)+IF(BY235&gt;0,1831,0))*(1+'模拟-全程加成'!$L$4+'模拟-全程加成'!$L$5+CC235*20%))/系数!$B$5</f>
        <v>0.69723220422048726</v>
      </c>
      <c r="K235" s="119">
        <f ca="1">LOOKUP(D235,'模拟-单技能数据'!$A$2:$A$19,'模拟-单技能数据'!$J$2:$J$19)+IF(CM235,60%,0)+IF(DB234-DB235&gt;0,30%,0)+IF(OR(AND(OR(C235="赤日轮1",C235="赤日轮2",C235="赤日轮3"),CR235),AND(OR(C235="幽月轮1",C235="幽月轮2",C235="幽月轮3"),CS235)),35%,0)+CJ235</f>
        <v>7.0000000000000007E-2</v>
      </c>
      <c r="L235" s="119">
        <f ca="1">IF(AND(C235="烈日斩",模拟模式!$X$11=1),10%,0)+IF(AND(C235="驱夜断愁",AB235=1),30%,0)</f>
        <v>0</v>
      </c>
      <c r="M235" s="45">
        <f t="shared" ca="1" si="185"/>
        <v>0.51185145527300213</v>
      </c>
      <c r="N235" s="45">
        <f t="shared" ca="1" si="186"/>
        <v>0.43424854472699792</v>
      </c>
      <c r="O235" s="46">
        <f t="shared" ca="1" si="210"/>
        <v>4.4800084426892095E-2</v>
      </c>
      <c r="P235" s="46" t="str">
        <f t="shared" ca="1" si="211"/>
        <v>识</v>
      </c>
      <c r="Q235" s="45">
        <f t="shared" ca="1" si="212"/>
        <v>0.25</v>
      </c>
      <c r="R235" s="117">
        <f ca="1">模拟模式!$E$20*(1-IF(模拟模式!$J$19="有",0.15,0))*(1-IF(模拟模式!$K$19="有",0.3,0)-IF(CQ235,0.5,0))</f>
        <v>2950.6049999999996</v>
      </c>
      <c r="S235" s="45">
        <f ca="1">R235/(R235+(185*模拟模式!$E$22-16800)*4.08224)</f>
        <v>0.24272716014590323</v>
      </c>
      <c r="T235" s="45" t="str">
        <f ca="1">LOOKUP(D235,'模拟-单技能数据'!$A$2:$A$19,'模拟-单技能数据'!$H$2:$H$19)</f>
        <v>阴</v>
      </c>
      <c r="U235" s="119">
        <f t="shared" ca="1" si="187"/>
        <v>0.08</v>
      </c>
      <c r="V235" s="47">
        <f ca="1">(1+L235)*(LOOKUP(D235,'模拟-单技能数据'!$A$2:$A$19,'模拟-单技能数据'!$D$2:$D$19)+G235*LOOKUP(D235,'模拟-单技能数据'!$A$2:$A$19,'模拟-单技能数据'!$F$2:$F$19))*(1+J235)*(1+K235)*(1-S235)*(1+U235)*Q235*LOOKUP(D235,'模拟-单技能数据'!$A$2:$A$19,'模拟-单技能数据'!$I$2:$I$20)</f>
        <v>4234.7967582548099</v>
      </c>
      <c r="W235" s="47">
        <f ca="1">LOOKUP(D235,'模拟-单技能数据'!$A$2:$A$19,'模拟-单技能数据'!$G$2:$G$19)*$I$10</f>
        <v>361.51064354704795</v>
      </c>
      <c r="X235" s="47">
        <f t="shared" ca="1" si="213"/>
        <v>28699.146813457843</v>
      </c>
      <c r="Y235" s="47">
        <f t="shared" ca="1" si="188"/>
        <v>33295.454215259699</v>
      </c>
      <c r="Z235" s="49">
        <f t="shared" ca="1" si="189"/>
        <v>21841679.053334925</v>
      </c>
      <c r="AA235" s="97">
        <f t="shared" ca="1" si="190"/>
        <v>113829.88874992092</v>
      </c>
      <c r="AB235" s="115">
        <f ca="1">IF(OR(C235="赤日轮1",C235="赤日轮2",C235="赤日轮3"),IF(RAND()&lt;模拟模式!$Y$17,1,0),IF(OR(C235="幽月轮1",C235="幽月轮2",C235="幽月轮3"),IF(RAND()&lt;模拟模式!$Y$18,1,0),IF(C235="烈日斩",IF(RAND()&lt;模拟模式!$Y$19,1,0),IF(C235="银月斩",IF(RAND()&lt;模拟模式!$Y$20,1,0),IF(C235="驱夜断愁",IF(RAND()&lt;模拟模式!$Y$21,1,0),IF(C235="净世破魔击·日",IF(RAND()&lt;模拟模式!$Y$22,1,0),IF(C235="净世破魔击·月",IF(RAND()&lt;模拟模式!$Y$23,1,0),0)))))))</f>
        <v>1</v>
      </c>
      <c r="AC235" s="115" t="b">
        <f t="shared" ca="1" si="178"/>
        <v>0</v>
      </c>
      <c r="AD235" s="115" t="b">
        <f t="shared" ca="1" si="198"/>
        <v>1</v>
      </c>
      <c r="AE235" s="115">
        <f t="shared" ca="1" si="199"/>
        <v>4</v>
      </c>
      <c r="AF235" s="47">
        <f ca="1">IF(AC235,('模拟-单技能数据'!$D$20+G235*'模拟-单技能数据'!$F$20)*(1+J235)*(1+'模拟-单技能数据'!$J$20)*(1+U235),0)</f>
        <v>0</v>
      </c>
      <c r="AG235" s="61">
        <f t="shared" ca="1" si="191"/>
        <v>0.64185145527300214</v>
      </c>
      <c r="AH235" s="61">
        <f t="shared" ca="1" si="192"/>
        <v>2.2624828854998791</v>
      </c>
      <c r="AI235" s="62">
        <f t="shared" ca="1" si="214"/>
        <v>0.33517895669936359</v>
      </c>
      <c r="AJ235" s="47">
        <f ca="1">IF(AD235,IF(AI235&lt;$F$10,0,IF(AI235&lt;$F$10+$F$11,0.25,IF(AI235&lt;$F$10+$F$11+AG235,AH235,1)))*IF(AF235&gt;0,AF235,IF(AF234&gt;0,AF234,IF(AF233&gt;0,AF233,IF(AF232&gt;0,AF232,IF(AF231&gt;0,AF231,IF(AF230&gt;0,AF230,IF(AF229&gt;0,AF229,IF(AF228&gt;0,AF228,IF(AF227&gt;0,AF227,IF(AF225&gt;0,AF225,IF(AF224&gt;0,AF224,IF(AF223&gt;0,AF223,0)))))))))))),0)*(1-$S235)*'模拟-单技能数据'!$I$20</f>
        <v>7949.3543492067038</v>
      </c>
      <c r="AK235" s="115" t="b">
        <f t="shared" ca="1" si="179"/>
        <v>0</v>
      </c>
      <c r="AL235" s="115" t="b">
        <f t="shared" ca="1" si="200"/>
        <v>1</v>
      </c>
      <c r="AM235" s="115">
        <f t="shared" ca="1" si="201"/>
        <v>3</v>
      </c>
      <c r="AN235" s="47">
        <f ca="1">IF(AK235,('模拟-单技能数据'!$D$21+G235*'模拟-单技能数据'!$F$21)*(1+J235)*(1+'模拟-单技能数据'!$J$21)*(1+U235),0)</f>
        <v>0</v>
      </c>
      <c r="AO235" s="61">
        <f ca="1">IF(AN235&gt;0,M235-'模拟-单技能数据'!$K$10,AO234)</f>
        <v>0.42185145527300216</v>
      </c>
      <c r="AP235" s="61">
        <f ca="1">IF(AN235&gt;0,I235-'模拟-单技能数据'!$L$10,AP234)</f>
        <v>2.162482885499879</v>
      </c>
      <c r="AQ235" s="63">
        <f t="shared" ca="1" si="215"/>
        <v>0.23012106547574462</v>
      </c>
      <c r="AR235" s="64">
        <f ca="1">IF(AL235,IF(AQ235&lt;$F$10,0,IF(AQ235&lt;$F$10+$F$11,0.25,IF(AQ235&lt;$F$10+$F$11+AO235,AP235,1)))*IF(AN235&gt;0,AN235,IF(AN234&gt;0,AN234,IF(AN233&gt;0,AN233,IF(AN232&gt;0,AN232,IF(AN231&gt;0,AN231,IF(AN230&gt;0,AN230,IF(AN229&gt;0,AN229,IF(AN228&gt;0,AN228,IF(AN227&gt;0,AN227,IF(AN225&gt;0,AN225,IF(AN224&gt;0,AN224,IF(AN223&gt;0,AN223,0)))))))))))),0)*(1-$S235)*'模拟-单技能数据'!$I$21</f>
        <v>20749.792464251139</v>
      </c>
      <c r="AS235" s="61">
        <f ca="1">IF(OR(C235="净世破魔击·日",C235="净世破魔击·月"),M235-'模拟-单技能数据'!$K$10,0)</f>
        <v>0</v>
      </c>
      <c r="AT235" s="61">
        <f ca="1">IF(OR(C235="净世破魔击·日",C235="净世破魔击·月"),I235-'模拟-单技能数据'!$L$10,0)</f>
        <v>0</v>
      </c>
      <c r="AU235" s="62">
        <f t="shared" ca="1" si="216"/>
        <v>0.96787506602101192</v>
      </c>
      <c r="AV235" s="64">
        <f ca="1">IF(AS235&gt;0,('模拟-单技能数据'!$D$22+G235*'模拟-单技能数据'!$F$22)*(1+J235)*(1-S235)*IF(AU235&lt;$F$10,0,IF(AU235&lt;$F$10+$F$11,0.25,IF(AU235&lt;$F$10+$F$11+AS235,AT235,1)))*(1+U235),0)*'模拟-单技能数据'!$I$22</f>
        <v>0</v>
      </c>
      <c r="AW235" s="108">
        <f t="shared" ca="1" si="217"/>
        <v>0.6275000000000065</v>
      </c>
      <c r="AX235" s="108" t="b">
        <f ca="1">AND(模拟模式!$P$10="有",AW234=0,RAND()&lt;IF(C235="净世破魔击·月",0.1*8/3,IF(C235="净世破魔击·日",0.1*4/3,0.1*2/3)))</f>
        <v>0</v>
      </c>
      <c r="AY235" s="47">
        <f ca="1">IF(AX235,(18+G235*0.722)*(1+J235)*(1-S235)*(1+$I$4)*IF(P235="会",'模拟-全程加成'!$J$3+'模拟-全程加成'!$J$4+'模拟-全程加成'!$J$5+('模拟-全程加成'!$I$4+'模拟-全程加成'!$I$5)/系数!$B$4+BG235*10%,IF(P235="命",1,IF(P235="识",0.25,0))),0)</f>
        <v>0</v>
      </c>
      <c r="AZ235" s="108">
        <f t="shared" si="218"/>
        <v>10.775000000000006</v>
      </c>
      <c r="BA235" s="108" t="b">
        <f>AND(模拟模式!$Q$10="有",AZ234=0)</f>
        <v>0</v>
      </c>
      <c r="BB235" s="140">
        <f>IF(BA235,(0+G235*0.287)*(1+J235)*(1-S235)*(1+$I$4)*IF(P235="会",'模拟-全程加成'!$J$3+'模拟-全程加成'!$J$4+'模拟-全程加成'!$J$5+('模拟-全程加成'!$I$4+'模拟-全程加成'!$I$5)/系数!$B$4+BG235*10%,IF(P235="命",1,IF(P235="识",0.25,0))),0)</f>
        <v>0</v>
      </c>
      <c r="BC235" s="115" t="b">
        <f ca="1">AND(模拟模式!$R$7="伏明众生",E235=60,F235=20,DA235&lt;5,CZ234&lt;$F$4)</f>
        <v>0</v>
      </c>
      <c r="BD235" s="115">
        <f t="shared" ca="1" si="180"/>
        <v>0</v>
      </c>
      <c r="BE235" s="115" t="b">
        <f t="shared" ca="1" si="181"/>
        <v>0</v>
      </c>
      <c r="BF235" s="47">
        <f ca="1">IF(BC235,4*('模拟-单技能数据'!$D$24+G235*'模拟-单技能数据'!$F$24)*(1+J235)*(1+'模拟-单技能数据'!$J$24)*(1-S235)*(1+$I$3)*(('模拟-全程加成'!$J$3+'模拟-全程加成'!$J$4+'模拟-全程加成'!$J$5+('模拟-全程加成'!$I$4+'模拟-全程加成'!$I$5)/系数!$B$4+BG235*10%)*('模拟-全程加成'!$J$3+'模拟-全程加成'!$J$4+'模拟-全程加成'!$J$5+('模拟-全程加成'!$I$4+'模拟-全程加成'!$I$5)/系数!$B$4+BG235*10%)+(1-('模拟-全程加成'!$J$3+'模拟-全程加成'!$J$4+'模拟-全程加成'!$J$5+('模拟-全程加成'!$I$4+'模拟-全程加成'!$I$5)/系数!$B$4+BG235*10%)-$F$10-$F$11)+F221*0.25),0)*'模拟-单技能数据'!$I$24</f>
        <v>0</v>
      </c>
      <c r="BG235" s="115" t="b">
        <f ca="1">OR(AND(OR(C235="烈日斩",C235="银月斩"),模拟模式!$I$7="净身明礼"),AND(C235="净世破魔击·日",模拟模式!$J$7="洞若观火"),AND(C236="净世破魔击·月",模拟模式!$J$7="洞若观火"),AB235=1)</f>
        <v>1</v>
      </c>
      <c r="BH235" s="115" t="b">
        <f t="shared" ca="1" si="219"/>
        <v>0</v>
      </c>
      <c r="BI235" s="115">
        <f t="shared" ca="1" si="182"/>
        <v>3.2324999999999995</v>
      </c>
      <c r="BJ235" s="115" t="b">
        <f t="shared" ca="1" si="193"/>
        <v>1</v>
      </c>
      <c r="BK235" s="115" t="b">
        <f ca="1">AND(C235="驱夜断愁",模拟模式!$P$7="天地诛戮")</f>
        <v>0</v>
      </c>
      <c r="BL235" s="57">
        <f t="shared" ca="1" si="183"/>
        <v>18.155000000000001</v>
      </c>
      <c r="BM235" s="115" t="b">
        <f t="shared" ca="1" si="194"/>
        <v>1</v>
      </c>
      <c r="BN235" s="115" t="b">
        <f ca="1">AND(OR(C235="赤日轮1",C235="赤日轮2",C235="赤日轮3",C235="幽月轮1",C235="幽月轮2",C235="幽月轮3"),AB235=1,模拟模式!$L$7="明光恒照")</f>
        <v>1</v>
      </c>
      <c r="BO235" s="117">
        <f t="shared" ca="1" si="184"/>
        <v>30</v>
      </c>
      <c r="BP235" s="115">
        <f t="shared" ca="1" si="220"/>
        <v>6</v>
      </c>
      <c r="BQ235" s="115" t="b">
        <f>模拟模式!$K$10="2600·水"</f>
        <v>0</v>
      </c>
      <c r="BR235" s="117">
        <f t="shared" si="221"/>
        <v>0</v>
      </c>
      <c r="BS235" s="115">
        <f t="shared" si="222"/>
        <v>0</v>
      </c>
      <c r="BT235" s="115">
        <f t="shared" ca="1" si="223"/>
        <v>0</v>
      </c>
      <c r="BU235" s="115" t="b">
        <f ca="1">AND(模拟模式!$K$10="2300·雷",BT234=0,RAND()&lt;IF(C235="净世破魔击·月",5*0.05*2/3,IF(C235="净世破魔击·日",3*0.05*2/3,0.05*2*2/3)))</f>
        <v>0</v>
      </c>
      <c r="BV235" s="115">
        <f t="shared" ca="1" si="224"/>
        <v>0</v>
      </c>
      <c r="BW235" s="115">
        <f t="shared" ca="1" si="225"/>
        <v>0</v>
      </c>
      <c r="BX235" s="164" t="b">
        <f t="shared" ca="1" si="226"/>
        <v>0</v>
      </c>
      <c r="BY235" s="115">
        <f t="shared" ca="1" si="227"/>
        <v>0</v>
      </c>
      <c r="BZ235" s="115">
        <f>IF(OR(模拟模式!$P$16="10人团",模拟模式!$P$16="25人团"),IF(B235/30&gt;CA234,1,0),0)</f>
        <v>0</v>
      </c>
      <c r="CA235" s="115">
        <f t="shared" si="203"/>
        <v>0</v>
      </c>
      <c r="CB235" s="115">
        <f ca="1">IF(BZ235=1,IF(模拟模式!$P$16="10人团",15,0)+IF(模拟模式!$P$16="25人团",IF(RAND()&lt;0.6,15,0)),MAX(0,CB234-$F$4))</f>
        <v>0</v>
      </c>
      <c r="CC235" s="115" t="b">
        <f t="shared" ca="1" si="195"/>
        <v>0</v>
      </c>
      <c r="CD235" s="115">
        <f>IF(模拟模式!$Q$16="1个",IF(B235/40&gt;CE234,1,0),0)</f>
        <v>0</v>
      </c>
      <c r="CE235" s="115">
        <f t="shared" si="196"/>
        <v>0</v>
      </c>
      <c r="CF235" s="115">
        <f>IF(OR(CD235=1,模拟模式!$Q$16="2个"),20,MAX(0,CF234-$F$4))</f>
        <v>0</v>
      </c>
      <c r="CG235" s="115" t="b">
        <f t="shared" si="197"/>
        <v>0</v>
      </c>
      <c r="CH235" s="115">
        <f t="shared" ca="1" si="228"/>
        <v>4.1700000000000115</v>
      </c>
      <c r="CI235" s="115" t="b">
        <f t="shared" ca="1" si="229"/>
        <v>0</v>
      </c>
      <c r="CJ235" s="119">
        <f t="shared" ca="1" si="230"/>
        <v>0</v>
      </c>
      <c r="CK235" s="115">
        <f t="shared" ca="1" si="231"/>
        <v>0</v>
      </c>
      <c r="CL235" s="115" t="b">
        <f ca="1">AND(模拟模式!$S$7="驱夷逐法",OR(AND(C235="净世破魔击·月",E234&gt;59),AND(C235="净世破魔击·日",F234&gt;59)))</f>
        <v>0</v>
      </c>
      <c r="CM235" s="115" t="b">
        <f ca="1">OR(CL235,AND(C235="净世破魔击·日",CL234,RAND()&lt;模拟模式!$U$23))</f>
        <v>0</v>
      </c>
      <c r="CN235" s="115" t="b">
        <f ca="1">IF(模拟模式!$M$7="辉耀红尘",AND(C235="净世破魔击·月",CL235,CV235=0,E234&lt;80),AND(C235="净世破魔击·月",CL235,E234&lt;100))</f>
        <v>0</v>
      </c>
      <c r="CO235" s="115" t="b">
        <f t="shared" ca="1" si="204"/>
        <v>0</v>
      </c>
      <c r="CP235" s="115" t="b">
        <f ca="1">AND(模拟模式!$O$7="用晦而明",OR(C235="净世破魔击·日",C235="净世破魔击·月",C235="驱夜断愁"),AB235)</f>
        <v>0</v>
      </c>
      <c r="CQ235" s="115" t="b">
        <f ca="1">OR(CP235,AND(CP234,RAND()&lt;模拟模式!$U$23))</f>
        <v>0</v>
      </c>
      <c r="CR235" s="115" t="b">
        <f ca="1">AND(模拟模式!$S$7="日月齐光",OR(C235="幽月轮1",C235="幽月轮2",C235="幽月轮3",CR234),NOT(OR(C235="赤日轮1",C235="赤日轮2",C235="赤日轮3")))</f>
        <v>0</v>
      </c>
      <c r="CS235" s="115" t="b">
        <f ca="1">AND(模拟模式!$S$7="日月齐光",OR(C235="赤日轮1",C235="赤日轮2",C235="赤日轮3",CS234),NOT(OR(C235="幽月轮1",C235="幽月轮2",C235="幽月轮3")))</f>
        <v>0</v>
      </c>
      <c r="CT235" s="115">
        <f t="shared" ca="1" si="232"/>
        <v>7.8600000000000128</v>
      </c>
      <c r="CU235" s="115" t="b">
        <f ca="1">AND(模拟模式!$K$10="阴阳往极",CT234=0,RAND()&lt;IF(C235="净世破魔击·月",0.0275*7/3,IF(C235="净世破魔击·日",0.0275*3/3,0.0275*2/3)))</f>
        <v>0</v>
      </c>
      <c r="CV235" s="115">
        <f t="shared" ca="1" si="233"/>
        <v>0</v>
      </c>
      <c r="CW235" s="115">
        <f t="shared" ca="1" si="205"/>
        <v>5.0774999999999997</v>
      </c>
      <c r="CX235" s="115">
        <f t="shared" ca="1" si="206"/>
        <v>3.2324999999999995</v>
      </c>
      <c r="CY235" s="115">
        <f ca="1">MAX(IF($C235="驱夜断愁",IF(模拟模式!$R$7="万念俱寂",6,45),CY234-$F$4),0)</f>
        <v>4.1549999999999994</v>
      </c>
      <c r="CZ235" s="115">
        <f t="shared" ca="1" si="207"/>
        <v>0</v>
      </c>
      <c r="DA235" s="115">
        <f ca="1">IF(模拟模式!$N$7="日月同辉",IF(DB234=2,0,MIN(6,IF(AND(OR(C235="赤日轮1",C235="赤日轮2",C235="赤日轮3",C235="幽月轮1",C235="幽月轮2",C235="幽月轮3"),AB235=1),DA234+1,DA234))),0)</f>
        <v>0</v>
      </c>
      <c r="DB235" s="115">
        <f t="shared" ca="1" si="208"/>
        <v>2</v>
      </c>
      <c r="DC235" s="115"/>
      <c r="DD235" s="115"/>
      <c r="DE235" s="115"/>
      <c r="DF235" s="115"/>
      <c r="DG235" s="115"/>
      <c r="DH235" s="115"/>
      <c r="DI235" s="115"/>
      <c r="DJ235" s="115"/>
      <c r="DK235" s="115"/>
      <c r="DL235" s="115"/>
      <c r="DM235" s="115"/>
    </row>
    <row r="236" spans="2:117" x14ac:dyDescent="0.2">
      <c r="B236" s="117">
        <f t="shared" si="209"/>
        <v>192.80250000000089</v>
      </c>
      <c r="C236" s="167" t="str">
        <f t="shared" ca="1" si="202"/>
        <v>净世破魔击·月</v>
      </c>
      <c r="D236" s="115">
        <f ca="1">IF(C236="赤日轮1",1,IF(C236="赤日轮2",2,IF(C236="赤日轮3",3,IF(C236="幽月轮1",4,IF(C236="幽月轮2",5,IF(C236="幽月轮3",6,IF(C236="烈日斩",7,IF(C236="银月斩",8,IF(C236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236="净世破魔击·月",17,IF(C236="驱夜断愁",18,0)))))))))))</f>
        <v>17</v>
      </c>
      <c r="E236" s="115">
        <f ca="1">IF(AND(CU236,OR(C236="幽月轮1",C236="幽月轮2",C236="幽月轮3",C236="银月斩",C236="驱夜断愁",C236="净世破魔击·月")),100,MIN(IF(OR(CN236,BE236),0,IF(OR($C236="赤日轮1",$C236="赤日轮2",$C236="赤日轮3"),E235+20+IF(模拟模式!$I$7="日月凌天",4,0)+IF(CR235,20,0),IF($C236="烈日斩",E235+40,IF($C236="驱夜断愁",IF(模拟模式!$R$7="万念俱寂",E235+20,E235+60),IF($C236="净世破魔击·月",IF(OR(DB235&gt;0,CV235&gt;0),100,IF(模拟模式!$M$7="辉耀红尘",E235+20,E235)),IF($C236="净世破魔击·日",E235-100,E235)))))),100))</f>
        <v>100</v>
      </c>
      <c r="F236" s="115">
        <f ca="1">IF(AND(CU236,OR(C236="赤日轮1",C236="赤日轮2",C236="赤日轮3",C236="烈日斩",C236="净世破魔击·日")),100,MIN(IF(CO236,0,IF(OR($C236="幽月轮1",$C236="幽月轮2",$C236="幽月轮3"),F235+20+IF(模拟模式!$I$7="日月凌天",4,0)+IF(CS235,20,0),IF($C236="银月斩",F235+40+IF(模拟模式!$X$12=1,5,0),IF($C236="驱夜断愁",IF(模拟模式!$R$7="万念俱寂",F235+20,F235+60),IF($C236="净世破魔击·月",IF(模拟模式!$M$7="辉耀红尘",F235-80,F235-100),IF(AND(C236="净世破魔击·日",OR(DB235&gt;0,CV235&gt;0)),100,F235)))))),100))</f>
        <v>20</v>
      </c>
      <c r="G236" s="117">
        <f ca="1">('模拟-全程加成'!$E$3+'模拟-全程加成'!$E$4+'模拟-全程加成'!$E$5+('模拟-全程加成'!$C$6-'模拟-全程加成'!$C$3)*系数!$B$9+BS236*23)*(1+'模拟-全程加成'!$F$4+'模拟-全程加成'!$F$5+BJ236*10%+BM236*20%+BP236*4%+CG236*30%)+$F$7*系数!$B$12</f>
        <v>21493.829400000002</v>
      </c>
      <c r="H236" s="45">
        <f ca="1">'模拟-全程加成'!$H$3+'模拟-全程加成'!$H$4+'模拟-全程加成'!$H$5+('模拟-全程加成'!$G$4+'模拟-全程加成'!$G$5+('模拟-全程加成'!$C$6-'模拟-全程加成'!$C$3)*系数!$B$13)/系数!$B$3+LOOKUP(D236,'模拟-单技能数据'!$A$2:$A$19,'模拟-单技能数据'!$K$2:$K$19)+BG236*10%+IF(BV236&gt;0,378,0)</f>
        <v>0.54185145527300216</v>
      </c>
      <c r="I236" s="45">
        <f ca="1">'模拟-全程加成'!$J$3+'模拟-全程加成'!$J$4+'模拟-全程加成'!$J$5+('模拟-全程加成'!$I$4+'模拟-全程加成'!$I$5)/系数!$B$4+LOOKUP(D236,'模拟-单技能数据'!$A$2:$A$19,'模拟-单技能数据'!$L$2:$L$19)+BG236*10%</f>
        <v>2.162482885499879</v>
      </c>
      <c r="J236" s="45">
        <f ca="1">(('模拟-全程加成'!$K$3+'模拟-全程加成'!$K$4+'模拟-全程加成'!$K$5+('模拟-全程加成'!$C$6-'模拟-全程加成'!$C$3)*系数!$B$10+IF(BV236&gt;0,882,0)+IF(BY236&gt;0,1831,0))*(1+'模拟-全程加成'!$L$4+'模拟-全程加成'!$L$5+CC236*20%))/系数!$B$5</f>
        <v>0.85832564669386491</v>
      </c>
      <c r="K236" s="119">
        <f ca="1">LOOKUP(D236,'模拟-单技能数据'!$A$2:$A$19,'模拟-单技能数据'!$J$2:$J$19)+IF(CM236,60%,0)+IF(DB235-DB236&gt;0,30%,0)+IF(OR(AND(OR(C236="赤日轮1",C236="赤日轮2",C236="赤日轮3"),CR236),AND(OR(C236="幽月轮1",C236="幽月轮2",C236="幽月轮3"),CS236)),35%,0)+CJ236</f>
        <v>1.1000000000000001</v>
      </c>
      <c r="L236" s="119">
        <f ca="1">IF(AND(C236="烈日斩",模拟模式!$X$11=1),10%,0)+IF(AND(C236="驱夜断愁",AB236=1),30%,0)</f>
        <v>0</v>
      </c>
      <c r="M236" s="45">
        <f t="shared" ca="1" si="185"/>
        <v>0.54185145527300216</v>
      </c>
      <c r="N236" s="45">
        <f t="shared" ca="1" si="186"/>
        <v>0.40424854472699789</v>
      </c>
      <c r="O236" s="46">
        <f t="shared" ca="1" si="210"/>
        <v>0.72789483034494218</v>
      </c>
      <c r="P236" s="46" t="str">
        <f t="shared" ca="1" si="211"/>
        <v>命</v>
      </c>
      <c r="Q236" s="45">
        <f t="shared" ca="1" si="212"/>
        <v>1</v>
      </c>
      <c r="R236" s="117">
        <f ca="1">模拟模式!$E$20*(1-IF(模拟模式!$J$19="有",0.15,0))*(1-IF(模拟模式!$K$19="有",0.3,0)-IF(CQ236,0.5,0))</f>
        <v>843.02999999999975</v>
      </c>
      <c r="S236" s="45">
        <f ca="1">R236/(R236+(185*模拟模式!$E$22-16800)*4.08224)</f>
        <v>8.389626085980037E-2</v>
      </c>
      <c r="T236" s="45" t="str">
        <f ca="1">LOOKUP(D236,'模拟-单技能数据'!$A$2:$A$19,'模拟-单技能数据'!$H$2:$H$19)</f>
        <v>阴</v>
      </c>
      <c r="U236" s="119">
        <f t="shared" ca="1" si="187"/>
        <v>0.08</v>
      </c>
      <c r="V236" s="47">
        <f ca="1">(1+L236)*(LOOKUP(D236,'模拟-单技能数据'!$A$2:$A$19,'模拟-单技能数据'!$D$2:$D$19)+G236*LOOKUP(D236,'模拟-单技能数据'!$A$2:$A$19,'模拟-单技能数据'!$F$2:$F$19))*(1+J236)*(1+K236)*(1-S236)*(1+U236)*Q236*LOOKUP(D236,'模拟-单技能数据'!$A$2:$A$19,'模拟-单技能数据'!$I$2:$I$20)</f>
        <v>107829.01026607753</v>
      </c>
      <c r="W236" s="47">
        <f ca="1">LOOKUP(D236,'模拟-单技能数据'!$A$2:$A$19,'模拟-单技能数据'!$G$2:$G$19)*$I$10</f>
        <v>361.51064354704795</v>
      </c>
      <c r="X236" s="47">
        <f t="shared" ca="1" si="213"/>
        <v>18838.204835446006</v>
      </c>
      <c r="Y236" s="47">
        <f t="shared" ca="1" si="188"/>
        <v>127028.72574507058</v>
      </c>
      <c r="Z236" s="49">
        <f t="shared" ca="1" si="189"/>
        <v>21968707.779079996</v>
      </c>
      <c r="AA236" s="97">
        <f t="shared" ca="1" si="190"/>
        <v>113944.10227605916</v>
      </c>
      <c r="AB236" s="115">
        <f ca="1">IF(OR(C236="赤日轮1",C236="赤日轮2",C236="赤日轮3"),IF(RAND()&lt;模拟模式!$Y$17,1,0),IF(OR(C236="幽月轮1",C236="幽月轮2",C236="幽月轮3"),IF(RAND()&lt;模拟模式!$Y$18,1,0),IF(C236="烈日斩",IF(RAND()&lt;模拟模式!$Y$19,1,0),IF(C236="银月斩",IF(RAND()&lt;模拟模式!$Y$20,1,0),IF(C236="驱夜断愁",IF(RAND()&lt;模拟模式!$Y$21,1,0),IF(C236="净世破魔击·日",IF(RAND()&lt;模拟模式!$Y$22,1,0),IF(C236="净世破魔击·月",IF(RAND()&lt;模拟模式!$Y$23,1,0),0)))))))</f>
        <v>1</v>
      </c>
      <c r="AC236" s="115" t="b">
        <f t="shared" ca="1" si="178"/>
        <v>0</v>
      </c>
      <c r="AD236" s="115" t="b">
        <f t="shared" ca="1" si="198"/>
        <v>0</v>
      </c>
      <c r="AE236" s="115">
        <f t="shared" ca="1" si="199"/>
        <v>4</v>
      </c>
      <c r="AF236" s="47">
        <f ca="1">IF(AC236,('模拟-单技能数据'!$D$20+G236*'模拟-单技能数据'!$F$20)*(1+J236)*(1+'模拟-单技能数据'!$J$20)*(1+U236),0)</f>
        <v>0</v>
      </c>
      <c r="AG236" s="61">
        <f t="shared" ca="1" si="191"/>
        <v>0.64185145527300214</v>
      </c>
      <c r="AH236" s="61">
        <f t="shared" ca="1" si="192"/>
        <v>2.2624828854998791</v>
      </c>
      <c r="AI236" s="62">
        <f t="shared" ca="1" si="214"/>
        <v>0.7441212317390008</v>
      </c>
      <c r="AJ236" s="47">
        <f ca="1">IF(AD236,IF(AI236&lt;$F$10,0,IF(AI236&lt;$F$10+$F$11,0.25,IF(AI236&lt;$F$10+$F$11+AG236,AH236,1)))*IF(AF236&gt;0,AF236,IF(AF235&gt;0,AF235,IF(AF234&gt;0,AF234,IF(AF233&gt;0,AF233,IF(AF232&gt;0,AF232,IF(AF231&gt;0,AF231,IF(AF230&gt;0,AF230,IF(AF229&gt;0,AF229,IF(AF228&gt;0,AF228,IF(AF226&gt;0,AF226,IF(AF225&gt;0,AF225,IF(AF224&gt;0,AF224,0)))))))))))),0)*(1-$S236)*'模拟-单技能数据'!$I$20</f>
        <v>0</v>
      </c>
      <c r="AK236" s="115" t="b">
        <f t="shared" ca="1" si="179"/>
        <v>0</v>
      </c>
      <c r="AL236" s="115" t="b">
        <f t="shared" ca="1" si="200"/>
        <v>0</v>
      </c>
      <c r="AM236" s="115">
        <f t="shared" ca="1" si="201"/>
        <v>3</v>
      </c>
      <c r="AN236" s="47">
        <f ca="1">IF(AK236,('模拟-单技能数据'!$D$21+G236*'模拟-单技能数据'!$F$21)*(1+J236)*(1+'模拟-单技能数据'!$J$21)*(1+U236),0)</f>
        <v>0</v>
      </c>
      <c r="AO236" s="61">
        <f ca="1">IF(AN236&gt;0,M236-'模拟-单技能数据'!$K$10,AO235)</f>
        <v>0.42185145527300216</v>
      </c>
      <c r="AP236" s="61">
        <f ca="1">IF(AN236&gt;0,I236-'模拟-单技能数据'!$L$10,AP235)</f>
        <v>2.162482885499879</v>
      </c>
      <c r="AQ236" s="63">
        <f t="shared" ca="1" si="215"/>
        <v>0.83839755552030226</v>
      </c>
      <c r="AR236" s="64">
        <f ca="1">IF(AL236,IF(AQ236&lt;$F$10,0,IF(AQ236&lt;$F$10+$F$11,0.25,IF(AQ236&lt;$F$10+$F$11+AO236,AP236,1)))*IF(AN236&gt;0,AN236,IF(AN235&gt;0,AN235,IF(AN234&gt;0,AN234,IF(AN233&gt;0,AN233,IF(AN232&gt;0,AN232,IF(AN231&gt;0,AN231,IF(AN230&gt;0,AN230,IF(AN229&gt;0,AN229,IF(AN228&gt;0,AN228,IF(AN226&gt;0,AN226,IF(AN225&gt;0,AN225,IF(AN224&gt;0,AN224,0)))))))))))),0)*(1-$S236)*'模拟-单技能数据'!$I$21</f>
        <v>0</v>
      </c>
      <c r="AS236" s="61">
        <f ca="1">IF(OR(C236="净世破魔击·日",C236="净世破魔击·月"),M236-'模拟-单技能数据'!$K$10,0)</f>
        <v>0.42185145527300216</v>
      </c>
      <c r="AT236" s="61">
        <f ca="1">IF(OR(C236="净世破魔击·日",C236="净世破魔击·月"),I236-'模拟-单技能数据'!$L$10,0)</f>
        <v>2.162482885499879</v>
      </c>
      <c r="AU236" s="62">
        <f t="shared" ca="1" si="216"/>
        <v>0.26458404486954634</v>
      </c>
      <c r="AV236" s="64">
        <f ca="1">IF(AS236&gt;0,('模拟-单技能数据'!$D$22+G236*'模拟-单技能数据'!$F$22)*(1+J236)*(1-S236)*IF(AU236&lt;$F$10,0,IF(AU236&lt;$F$10+$F$11,0.25,IF(AU236&lt;$F$10+$F$11+AS236,AT236,1)))*(1+U236),0)*'模拟-单技能数据'!$I$22</f>
        <v>18838.204835446006</v>
      </c>
      <c r="AW236" s="108">
        <f t="shared" ca="1" si="217"/>
        <v>0</v>
      </c>
      <c r="AX236" s="108" t="b">
        <f ca="1">AND(模拟模式!$P$10="有",AW235=0,RAND()&lt;IF(C236="净世破魔击·月",0.1*8/3,IF(C236="净世破魔击·日",0.1*4/3,0.1*2/3)))</f>
        <v>0</v>
      </c>
      <c r="AY236" s="47">
        <f ca="1">IF(AX236,(18+G236*0.722)*(1+J236)*(1-S236)*(1+$I$4)*IF(P236="会",'模拟-全程加成'!$J$3+'模拟-全程加成'!$J$4+'模拟-全程加成'!$J$5+('模拟-全程加成'!$I$4+'模拟-全程加成'!$I$5)/系数!$B$4+BG236*10%,IF(P236="命",1,IF(P236="识",0.25,0))),0)</f>
        <v>0</v>
      </c>
      <c r="AZ236" s="108">
        <f t="shared" si="218"/>
        <v>9.8525000000000063</v>
      </c>
      <c r="BA236" s="108" t="b">
        <f>AND(模拟模式!$Q$10="有",AZ235=0)</f>
        <v>0</v>
      </c>
      <c r="BB236" s="140">
        <f>IF(BA236,(0+G236*0.287)*(1+J236)*(1-S236)*(1+$I$4)*IF(P236="会",'模拟-全程加成'!$J$3+'模拟-全程加成'!$J$4+'模拟-全程加成'!$J$5+('模拟-全程加成'!$I$4+'模拟-全程加成'!$I$5)/系数!$B$4+BG236*10%,IF(P236="命",1,IF(P236="识",0.25,0))),0)</f>
        <v>0</v>
      </c>
      <c r="BC236" s="115" t="b">
        <f ca="1">AND(模拟模式!$R$7="伏明众生",E236=60,F236=20,DA236&lt;5,CZ235&lt;$F$4)</f>
        <v>0</v>
      </c>
      <c r="BD236" s="115">
        <f t="shared" ca="1" si="180"/>
        <v>0</v>
      </c>
      <c r="BE236" s="115" t="b">
        <f t="shared" ca="1" si="181"/>
        <v>0</v>
      </c>
      <c r="BF236" s="47">
        <f ca="1">IF(BC236,4*('模拟-单技能数据'!$D$24+G236*'模拟-单技能数据'!$F$24)*(1+J236)*(1+'模拟-单技能数据'!$J$24)*(1-S236)*(1+$I$3)*(('模拟-全程加成'!$J$3+'模拟-全程加成'!$J$4+'模拟-全程加成'!$J$5+('模拟-全程加成'!$I$4+'模拟-全程加成'!$I$5)/系数!$B$4+BG236*10%)*('模拟-全程加成'!$J$3+'模拟-全程加成'!$J$4+'模拟-全程加成'!$J$5+('模拟-全程加成'!$I$4+'模拟-全程加成'!$I$5)/系数!$B$4+BG236*10%)+(1-('模拟-全程加成'!$J$3+'模拟-全程加成'!$J$4+'模拟-全程加成'!$J$5+('模拟-全程加成'!$I$4+'模拟-全程加成'!$I$5)/系数!$B$4+BG236*10%)-$F$10-$F$11)+F222*0.25),0)*'模拟-单技能数据'!$I$24</f>
        <v>0</v>
      </c>
      <c r="BG236" s="115" t="b">
        <f ca="1">OR(AND(OR(C236="烈日斩",C236="银月斩"),模拟模式!$I$7="净身明礼"),AND(C236="净世破魔击·日",模拟模式!$J$7="洞若观火"),AND(C237="净世破魔击·月",模拟模式!$J$7="洞若观火"),AB236=1)</f>
        <v>1</v>
      </c>
      <c r="BH236" s="115" t="b">
        <f t="shared" ca="1" si="219"/>
        <v>0</v>
      </c>
      <c r="BI236" s="115">
        <f t="shared" ca="1" si="182"/>
        <v>2.3099999999999996</v>
      </c>
      <c r="BJ236" s="115" t="b">
        <f t="shared" ca="1" si="193"/>
        <v>1</v>
      </c>
      <c r="BK236" s="115" t="b">
        <f ca="1">AND(C236="驱夜断愁",模拟模式!$P$7="天地诛戮")</f>
        <v>0</v>
      </c>
      <c r="BL236" s="57">
        <f t="shared" ca="1" si="183"/>
        <v>17.232500000000002</v>
      </c>
      <c r="BM236" s="115" t="b">
        <f t="shared" ca="1" si="194"/>
        <v>1</v>
      </c>
      <c r="BN236" s="115" t="b">
        <f ca="1">AND(OR(C236="赤日轮1",C236="赤日轮2",C236="赤日轮3",C236="幽月轮1",C236="幽月轮2",C236="幽月轮3"),AB236=1,模拟模式!$L$7="明光恒照")</f>
        <v>0</v>
      </c>
      <c r="BO236" s="117">
        <f t="shared" ca="1" si="184"/>
        <v>29.077500000000001</v>
      </c>
      <c r="BP236" s="115">
        <f t="shared" ca="1" si="220"/>
        <v>6</v>
      </c>
      <c r="BQ236" s="115" t="b">
        <f>模拟模式!$K$10="2600·水"</f>
        <v>0</v>
      </c>
      <c r="BR236" s="117">
        <f t="shared" si="221"/>
        <v>0</v>
      </c>
      <c r="BS236" s="115">
        <f t="shared" si="222"/>
        <v>0</v>
      </c>
      <c r="BT236" s="115">
        <f t="shared" ca="1" si="223"/>
        <v>0</v>
      </c>
      <c r="BU236" s="115" t="b">
        <f ca="1">AND(模拟模式!$K$10="2300·雷",BT235=0,RAND()&lt;IF(C236="净世破魔击·月",5*0.05*2/3,IF(C236="净世破魔击·日",3*0.05*2/3,0.05*2*2/3)))</f>
        <v>0</v>
      </c>
      <c r="BV236" s="115">
        <f t="shared" ca="1" si="224"/>
        <v>0</v>
      </c>
      <c r="BW236" s="115">
        <f t="shared" ca="1" si="225"/>
        <v>179.07749999999999</v>
      </c>
      <c r="BX236" s="164" t="b">
        <f t="shared" ca="1" si="226"/>
        <v>1</v>
      </c>
      <c r="BY236" s="115">
        <f t="shared" ca="1" si="227"/>
        <v>14.077500000000001</v>
      </c>
      <c r="BZ236" s="115">
        <f>IF(OR(模拟模式!$P$16="10人团",模拟模式!$P$16="25人团"),IF(B236/30&gt;CA235,1,0),0)</f>
        <v>0</v>
      </c>
      <c r="CA236" s="115">
        <f t="shared" si="203"/>
        <v>0</v>
      </c>
      <c r="CB236" s="115">
        <f ca="1">IF(BZ236=1,IF(模拟模式!$P$16="10人团",15,0)+IF(模拟模式!$P$16="25人团",IF(RAND()&lt;0.6,15,0)),MAX(0,CB235-$F$4))</f>
        <v>0</v>
      </c>
      <c r="CC236" s="115" t="b">
        <f t="shared" ca="1" si="195"/>
        <v>0</v>
      </c>
      <c r="CD236" s="115">
        <f>IF(模拟模式!$Q$16="1个",IF(B236/40&gt;CE235,1,0),0)</f>
        <v>0</v>
      </c>
      <c r="CE236" s="115">
        <f t="shared" si="196"/>
        <v>0</v>
      </c>
      <c r="CF236" s="115">
        <f>IF(OR(CD236=1,模拟模式!$Q$16="2个"),20,MAX(0,CF235-$F$4))</f>
        <v>0</v>
      </c>
      <c r="CG236" s="115" t="b">
        <f t="shared" si="197"/>
        <v>0</v>
      </c>
      <c r="CH236" s="115">
        <f t="shared" ca="1" si="228"/>
        <v>3.2475000000000116</v>
      </c>
      <c r="CI236" s="115" t="b">
        <f t="shared" ca="1" si="229"/>
        <v>0</v>
      </c>
      <c r="CJ236" s="119">
        <f t="shared" ca="1" si="230"/>
        <v>0</v>
      </c>
      <c r="CK236" s="115">
        <f t="shared" ca="1" si="231"/>
        <v>0</v>
      </c>
      <c r="CL236" s="115" t="b">
        <f ca="1">AND(模拟模式!$S$7="驱夷逐法",OR(AND(C236="净世破魔击·月",E235&gt;59),AND(C236="净世破魔击·日",F235&gt;59)))</f>
        <v>1</v>
      </c>
      <c r="CM236" s="115" t="b">
        <f ca="1">OR(CL236,AND(C236="净世破魔击·日",CL235,RAND()&lt;模拟模式!$U$23))</f>
        <v>1</v>
      </c>
      <c r="CN236" s="115" t="b">
        <f ca="1">IF(模拟模式!$M$7="辉耀红尘",AND(C236="净世破魔击·月",CL236,CV236=0,E235&lt;80),AND(C236="净世破魔击·月",CL236,E235&lt;100))</f>
        <v>0</v>
      </c>
      <c r="CO236" s="115" t="b">
        <f t="shared" ca="1" si="204"/>
        <v>0</v>
      </c>
      <c r="CP236" s="115" t="b">
        <f ca="1">AND(模拟模式!$O$7="用晦而明",OR(C236="净世破魔击·日",C236="净世破魔击·月",C236="驱夜断愁"),AB236)</f>
        <v>1</v>
      </c>
      <c r="CQ236" s="115" t="b">
        <f ca="1">OR(CP236,AND(CP235,RAND()&lt;模拟模式!$U$23))</f>
        <v>1</v>
      </c>
      <c r="CR236" s="115" t="b">
        <f ca="1">AND(模拟模式!$S$7="日月齐光",OR(C236="幽月轮1",C236="幽月轮2",C236="幽月轮3",CR235),NOT(OR(C236="赤日轮1",C236="赤日轮2",C236="赤日轮3")))</f>
        <v>0</v>
      </c>
      <c r="CS236" s="115" t="b">
        <f ca="1">AND(模拟模式!$S$7="日月齐光",OR(C236="赤日轮1",C236="赤日轮2",C236="赤日轮3",CS235),NOT(OR(C236="幽月轮1",C236="幽月轮2",C236="幽月轮3")))</f>
        <v>0</v>
      </c>
      <c r="CT236" s="115">
        <f t="shared" ca="1" si="232"/>
        <v>6.9375000000000124</v>
      </c>
      <c r="CU236" s="115" t="b">
        <f ca="1">AND(模拟模式!$K$10="阴阳往极",CT235=0,RAND()&lt;IF(C236="净世破魔击·月",0.0275*7/3,IF(C236="净世破魔击·日",0.0275*3/3,0.0275*2/3)))</f>
        <v>0</v>
      </c>
      <c r="CV236" s="115">
        <f t="shared" ca="1" si="233"/>
        <v>0</v>
      </c>
      <c r="CW236" s="115">
        <f t="shared" ca="1" si="205"/>
        <v>4.1549999999999994</v>
      </c>
      <c r="CX236" s="115">
        <f t="shared" ca="1" si="206"/>
        <v>2.3099999999999996</v>
      </c>
      <c r="CY236" s="115">
        <f ca="1">MAX(IF($C236="驱夜断愁",IF(模拟模式!$R$7="万念俱寂",6,45),CY235-$F$4),0)</f>
        <v>3.2324999999999995</v>
      </c>
      <c r="CZ236" s="115">
        <f t="shared" ca="1" si="207"/>
        <v>0</v>
      </c>
      <c r="DA236" s="115">
        <f ca="1">IF(模拟模式!$N$7="日月同辉",IF(DB235=2,0,MIN(6,IF(AND(OR(C236="赤日轮1",C236="赤日轮2",C236="赤日轮3",C236="幽月轮1",C236="幽月轮2",C236="幽月轮3"),AB236=1),DA235+1,DA235))),0)</f>
        <v>0</v>
      </c>
      <c r="DB236" s="115">
        <f t="shared" ca="1" si="208"/>
        <v>1</v>
      </c>
      <c r="DC236" s="115"/>
      <c r="DD236" s="115"/>
      <c r="DE236" s="115"/>
      <c r="DF236" s="115"/>
      <c r="DG236" s="115"/>
      <c r="DH236" s="115"/>
      <c r="DI236" s="115"/>
      <c r="DJ236" s="115"/>
      <c r="DK236" s="115"/>
      <c r="DL236" s="115"/>
      <c r="DM236" s="115"/>
    </row>
    <row r="237" spans="2:117" x14ac:dyDescent="0.2">
      <c r="B237" s="117">
        <f t="shared" si="209"/>
        <v>193.7250000000009</v>
      </c>
      <c r="C237" s="167" t="str">
        <f t="shared" ca="1" si="202"/>
        <v>净世破魔击·日</v>
      </c>
      <c r="D237" s="115">
        <f ca="1">IF(C237="赤日轮1",1,IF(C237="赤日轮2",2,IF(C237="赤日轮3",3,IF(C237="幽月轮1",4,IF(C237="幽月轮2",5,IF(C237="幽月轮3",6,IF(C237="烈日斩",7,IF(C237="银月斩",8,IF(C237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237="净世破魔击·月",17,IF(C237="驱夜断愁",18,0)))))))))))</f>
        <v>9</v>
      </c>
      <c r="E237" s="115">
        <f ca="1">IF(AND(CU237,OR(C237="幽月轮1",C237="幽月轮2",C237="幽月轮3",C237="银月斩",C237="驱夜断愁",C237="净世破魔击·月")),100,MIN(IF(OR(CN237,BE237),0,IF(OR($C237="赤日轮1",$C237="赤日轮2",$C237="赤日轮3"),E236+20+IF(模拟模式!$I$7="日月凌天",4,0)+IF(CR236,20,0),IF($C237="烈日斩",E236+40,IF($C237="驱夜断愁",IF(模拟模式!$R$7="万念俱寂",E236+20,E236+60),IF($C237="净世破魔击·月",IF(OR(DB236&gt;0,CV236&gt;0),100,IF(模拟模式!$M$7="辉耀红尘",E236+20,E236)),IF($C237="净世破魔击·日",E236-100,E236)))))),100))</f>
        <v>0</v>
      </c>
      <c r="F237" s="115">
        <f ca="1">IF(AND(CU237,OR(C237="赤日轮1",C237="赤日轮2",C237="赤日轮3",C237="烈日斩",C237="净世破魔击·日")),100,MIN(IF(CO237,0,IF(OR($C237="幽月轮1",$C237="幽月轮2",$C237="幽月轮3"),F236+20+IF(模拟模式!$I$7="日月凌天",4,0)+IF(CS236,20,0),IF($C237="银月斩",F236+40+IF(模拟模式!$X$12=1,5,0),IF($C237="驱夜断愁",IF(模拟模式!$R$7="万念俱寂",F236+20,F236+60),IF($C237="净世破魔击·月",IF(模拟模式!$M$7="辉耀红尘",F236-80,F236-100),IF(AND(C237="净世破魔击·日",OR(DB236&gt;0,CV236&gt;0)),100,F236)))))),100))</f>
        <v>100</v>
      </c>
      <c r="G237" s="117">
        <f ca="1">('模拟-全程加成'!$E$3+'模拟-全程加成'!$E$4+'模拟-全程加成'!$E$5+('模拟-全程加成'!$C$6-'模拟-全程加成'!$C$3)*系数!$B$9+BS237*23)*(1+'模拟-全程加成'!$F$4+'模拟-全程加成'!$F$5+BJ237*10%+BM237*20%+BP237*4%+CG237*30%)+$F$7*系数!$B$12</f>
        <v>21493.829400000002</v>
      </c>
      <c r="H237" s="45">
        <f ca="1">'模拟-全程加成'!$H$3+'模拟-全程加成'!$H$4+'模拟-全程加成'!$H$5+('模拟-全程加成'!$G$4+'模拟-全程加成'!$G$5+('模拟-全程加成'!$C$6-'模拟-全程加成'!$C$3)*系数!$B$13)/系数!$B$3+LOOKUP(D237,'模拟-单技能数据'!$A$2:$A$19,'模拟-单技能数据'!$K$2:$K$19)+BG237*10%+IF(BV237&gt;0,378,0)</f>
        <v>0.54185145527300216</v>
      </c>
      <c r="I237" s="45">
        <f ca="1">'模拟-全程加成'!$J$3+'模拟-全程加成'!$J$4+'模拟-全程加成'!$J$5+('模拟-全程加成'!$I$4+'模拟-全程加成'!$I$5)/系数!$B$4+LOOKUP(D237,'模拟-单技能数据'!$A$2:$A$19,'模拟-单技能数据'!$L$2:$L$19)+BG237*10%</f>
        <v>2.162482885499879</v>
      </c>
      <c r="J237" s="45">
        <f ca="1">(('模拟-全程加成'!$K$3+'模拟-全程加成'!$K$4+'模拟-全程加成'!$K$5+('模拟-全程加成'!$C$6-'模拟-全程加成'!$C$3)*系数!$B$10+IF(BV237&gt;0,882,0)+IF(BY237&gt;0,1831,0))*(1+'模拟-全程加成'!$L$4+'模拟-全程加成'!$L$5+CC237*20%))/系数!$B$5</f>
        <v>0.85832564669386491</v>
      </c>
      <c r="K237" s="119">
        <f ca="1">LOOKUP(D237,'模拟-单技能数据'!$A$2:$A$19,'模拟-单技能数据'!$J$2:$J$19)+IF(CM237,60%,0)+IF(DB236-DB237&gt;0,30%,0)+IF(OR(AND(OR(C237="赤日轮1",C237="赤日轮2",C237="赤日轮3"),CR237),AND(OR(C237="幽月轮1",C237="幽月轮2",C237="幽月轮3"),CS237)),35%,0)+CJ237</f>
        <v>1.1000000000000001</v>
      </c>
      <c r="L237" s="119">
        <f ca="1">IF(AND(C237="烈日斩",模拟模式!$X$11=1),10%,0)+IF(AND(C237="驱夜断愁",AB237=1),30%,0)</f>
        <v>0</v>
      </c>
      <c r="M237" s="45">
        <f t="shared" ca="1" si="185"/>
        <v>0.54185145527300216</v>
      </c>
      <c r="N237" s="45">
        <f t="shared" ca="1" si="186"/>
        <v>0.40424854472699789</v>
      </c>
      <c r="O237" s="46">
        <f t="shared" ca="1" si="210"/>
        <v>0.41711859356279879</v>
      </c>
      <c r="P237" s="46" t="str">
        <f t="shared" ca="1" si="211"/>
        <v>会</v>
      </c>
      <c r="Q237" s="45">
        <f t="shared" ca="1" si="212"/>
        <v>2.162482885499879</v>
      </c>
      <c r="R237" s="117">
        <f ca="1">模拟模式!$E$20*(1-IF(模拟模式!$J$19="有",0.15,0))*(1-IF(模拟模式!$K$19="有",0.3,0)-IF(CQ237,0.5,0))</f>
        <v>843.02999999999975</v>
      </c>
      <c r="S237" s="45">
        <f ca="1">R237/(R237+(185*模拟模式!$E$22-16800)*4.08224)</f>
        <v>8.389626085980037E-2</v>
      </c>
      <c r="T237" s="45" t="str">
        <f ca="1">LOOKUP(D237,'模拟-单技能数据'!$A$2:$A$19,'模拟-单技能数据'!$H$2:$H$19)</f>
        <v>阳</v>
      </c>
      <c r="U237" s="119">
        <f t="shared" ca="1" si="187"/>
        <v>0.2</v>
      </c>
      <c r="V237" s="47">
        <f ca="1">(1+L237)*(LOOKUP(D237,'模拟-单技能数据'!$A$2:$A$19,'模拟-单技能数据'!$D$2:$D$19)+G237*LOOKUP(D237,'模拟-单技能数据'!$A$2:$A$19,'模拟-单技能数据'!$F$2:$F$19))*(1+J237)*(1+K237)*(1-S237)*(1+U237)*Q237*LOOKUP(D237,'模拟-单技能数据'!$A$2:$A$19,'模拟-单技能数据'!$I$2:$I$20)</f>
        <v>261251.05451477368</v>
      </c>
      <c r="W237" s="47">
        <f ca="1">LOOKUP(D237,'模拟-单技能数据'!$A$2:$A$19,'模拟-单技能数据'!$G$2:$G$19)*$I$10</f>
        <v>723.0212870940959</v>
      </c>
      <c r="X237" s="47">
        <f t="shared" ca="1" si="213"/>
        <v>43257.655158829897</v>
      </c>
      <c r="Y237" s="47">
        <f t="shared" ca="1" si="188"/>
        <v>305231.73096069769</v>
      </c>
      <c r="Z237" s="49">
        <f t="shared" ca="1" si="189"/>
        <v>22273939.510040693</v>
      </c>
      <c r="AA237" s="97">
        <f t="shared" ca="1" si="190"/>
        <v>114977.10419429909</v>
      </c>
      <c r="AB237" s="115">
        <f ca="1">IF(OR(C237="赤日轮1",C237="赤日轮2",C237="赤日轮3"),IF(RAND()&lt;模拟模式!$Y$17,1,0),IF(OR(C237="幽月轮1",C237="幽月轮2",C237="幽月轮3"),IF(RAND()&lt;模拟模式!$Y$18,1,0),IF(C237="烈日斩",IF(RAND()&lt;模拟模式!$Y$19,1,0),IF(C237="银月斩",IF(RAND()&lt;模拟模式!$Y$20,1,0),IF(C237="驱夜断愁",IF(RAND()&lt;模拟模式!$Y$21,1,0),IF(C237="净世破魔击·日",IF(RAND()&lt;模拟模式!$Y$22,1,0),IF(C237="净世破魔击·月",IF(RAND()&lt;模拟模式!$Y$23,1,0),0)))))))</f>
        <v>1</v>
      </c>
      <c r="AC237" s="115" t="b">
        <f t="shared" ca="1" si="178"/>
        <v>0</v>
      </c>
      <c r="AD237" s="115" t="b">
        <f t="shared" ca="1" si="198"/>
        <v>1</v>
      </c>
      <c r="AE237" s="115">
        <f t="shared" ca="1" si="199"/>
        <v>3</v>
      </c>
      <c r="AF237" s="47">
        <f ca="1">IF(AC237,('模拟-单技能数据'!$D$20+G237*'模拟-单技能数据'!$F$20)*(1+J237)*(1+'模拟-单技能数据'!$J$20)*(1+U237),0)</f>
        <v>0</v>
      </c>
      <c r="AG237" s="61">
        <f t="shared" ca="1" si="191"/>
        <v>0.64185145527300214</v>
      </c>
      <c r="AH237" s="61">
        <f t="shared" ca="1" si="192"/>
        <v>2.2624828854998791</v>
      </c>
      <c r="AI237" s="62">
        <f t="shared" ca="1" si="214"/>
        <v>0.47329952407174813</v>
      </c>
      <c r="AJ237" s="47">
        <f ca="1">IF(AD237,IF(AI237&lt;$F$10,0,IF(AI237&lt;$F$10+$F$11,0.25,IF(AI237&lt;$F$10+$F$11+AG237,AH237,1)))*IF(AF237&gt;0,AF237,IF(AF236&gt;0,AF236,IF(AF235&gt;0,AF235,IF(AF234&gt;0,AF234,IF(AF233&gt;0,AF233,IF(AF232&gt;0,AF232,IF(AF231&gt;0,AF231,IF(AF230&gt;0,AF230,IF(AF229&gt;0,AF229,IF(AF227&gt;0,AF227,IF(AF226&gt;0,AF226,IF(AF225&gt;0,AF225,0)))))))))))),0)*(1-$S237)*'模拟-单技能数据'!$I$20</f>
        <v>9616.6571145767884</v>
      </c>
      <c r="AK237" s="115" t="b">
        <f t="shared" ca="1" si="179"/>
        <v>1</v>
      </c>
      <c r="AL237" s="115" t="b">
        <f t="shared" ca="1" si="200"/>
        <v>1</v>
      </c>
      <c r="AM237" s="115">
        <f t="shared" ca="1" si="201"/>
        <v>5</v>
      </c>
      <c r="AN237" s="47">
        <f ca="1">IF(AK237,('模拟-单技能数据'!$D$21+G237*'模拟-单技能数据'!$F$21)*(1+J237)*(1+'模拟-单技能数据'!$J$21)*(1+U237),0)</f>
        <v>13873.602732077619</v>
      </c>
      <c r="AO237" s="61">
        <f ca="1">IF(AN237&gt;0,M237-'模拟-单技能数据'!$K$10,AO236)</f>
        <v>0.42185145527300216</v>
      </c>
      <c r="AP237" s="61">
        <f ca="1">IF(AN237&gt;0,I237-'模拟-单技能数据'!$L$10,AP236)</f>
        <v>2.162482885499879</v>
      </c>
      <c r="AQ237" s="63">
        <f t="shared" ca="1" si="215"/>
        <v>0.87339030899817305</v>
      </c>
      <c r="AR237" s="64">
        <f ca="1">IF(AL237,IF(AQ237&lt;$F$10,0,IF(AQ237&lt;$F$10+$F$11,0.25,IF(AQ237&lt;$F$10+$F$11+AO237,AP237,1)))*IF(AN237&gt;0,AN237,IF(AN236&gt;0,AN236,IF(AN235&gt;0,AN235,IF(AN234&gt;0,AN234,IF(AN233&gt;0,AN233,IF(AN232&gt;0,AN232,IF(AN231&gt;0,AN231,IF(AN230&gt;0,AN230,IF(AN229&gt;0,AN229,IF(AN227&gt;0,AN227,IF(AN226&gt;0,AN226,IF(AN225&gt;0,AN225,0)))))))))))),0)*(1-$S237)*'模拟-单技能数据'!$I$21</f>
        <v>12709.659338201996</v>
      </c>
      <c r="AS237" s="61">
        <f ca="1">IF(OR(C237="净世破魔击·日",C237="净世破魔击·月"),M237-'模拟-单技能数据'!$K$10,0)</f>
        <v>0.42185145527300216</v>
      </c>
      <c r="AT237" s="61">
        <f ca="1">IF(OR(C237="净世破魔击·日",C237="净世破魔击·月"),I237-'模拟-单技能数据'!$L$10,0)</f>
        <v>2.162482885499879</v>
      </c>
      <c r="AU237" s="62">
        <f t="shared" ca="1" si="216"/>
        <v>0.45982388456633461</v>
      </c>
      <c r="AV237" s="64">
        <f ca="1">IF(AS237&gt;0,('模拟-单技能数据'!$D$22+G237*'模拟-单技能数据'!$F$22)*(1+J237)*(1-S237)*IF(AU237&lt;$F$10,0,IF(AU237&lt;$F$10+$F$11,0.25,IF(AU237&lt;$F$10+$F$11+AS237,AT237,1)))*(1+U237),0)*'模拟-单技能数据'!$I$22</f>
        <v>20931.338706051112</v>
      </c>
      <c r="AW237" s="108">
        <f t="shared" ca="1" si="217"/>
        <v>0</v>
      </c>
      <c r="AX237" s="108" t="b">
        <f ca="1">AND(模拟模式!$P$10="有",AW236=0,RAND()&lt;IF(C237="净世破魔击·月",0.1*8/3,IF(C237="净世破魔击·日",0.1*4/3,0.1*2/3)))</f>
        <v>0</v>
      </c>
      <c r="AY237" s="47">
        <f ca="1">IF(AX237,(18+G237*0.722)*(1+J237)*(1-S237)*(1+$I$4)*IF(P237="会",'模拟-全程加成'!$J$3+'模拟-全程加成'!$J$4+'模拟-全程加成'!$J$5+('模拟-全程加成'!$I$4+'模拟-全程加成'!$I$5)/系数!$B$4+BG237*10%,IF(P237="命",1,IF(P237="识",0.25,0))),0)</f>
        <v>0</v>
      </c>
      <c r="AZ237" s="108">
        <f t="shared" si="218"/>
        <v>8.9300000000000068</v>
      </c>
      <c r="BA237" s="108" t="b">
        <f>AND(模拟模式!$Q$10="有",AZ236=0)</f>
        <v>0</v>
      </c>
      <c r="BB237" s="140">
        <f>IF(BA237,(0+G237*0.287)*(1+J237)*(1-S237)*(1+$I$4)*IF(P237="会",'模拟-全程加成'!$J$3+'模拟-全程加成'!$J$4+'模拟-全程加成'!$J$5+('模拟-全程加成'!$I$4+'模拟-全程加成'!$I$5)/系数!$B$4+BG237*10%,IF(P237="命",1,IF(P237="识",0.25,0))),0)</f>
        <v>0</v>
      </c>
      <c r="BC237" s="115" t="b">
        <f ca="1">AND(模拟模式!$R$7="伏明众生",E237=60,F237=20,DA237&lt;5,CZ236&lt;$F$4)</f>
        <v>0</v>
      </c>
      <c r="BD237" s="115">
        <f t="shared" ca="1" si="180"/>
        <v>0</v>
      </c>
      <c r="BE237" s="115" t="b">
        <f t="shared" ca="1" si="181"/>
        <v>0</v>
      </c>
      <c r="BF237" s="47">
        <f ca="1">IF(BC237,4*('模拟-单技能数据'!$D$24+G237*'模拟-单技能数据'!$F$24)*(1+J237)*(1+'模拟-单技能数据'!$J$24)*(1-S237)*(1+$I$3)*(('模拟-全程加成'!$J$3+'模拟-全程加成'!$J$4+'模拟-全程加成'!$J$5+('模拟-全程加成'!$I$4+'模拟-全程加成'!$I$5)/系数!$B$4+BG237*10%)*('模拟-全程加成'!$J$3+'模拟-全程加成'!$J$4+'模拟-全程加成'!$J$5+('模拟-全程加成'!$I$4+'模拟-全程加成'!$I$5)/系数!$B$4+BG237*10%)+(1-('模拟-全程加成'!$J$3+'模拟-全程加成'!$J$4+'模拟-全程加成'!$J$5+('模拟-全程加成'!$I$4+'模拟-全程加成'!$I$5)/系数!$B$4+BG237*10%)-$F$10-$F$11)+F223*0.25),0)*'模拟-单技能数据'!$I$24</f>
        <v>0</v>
      </c>
      <c r="BG237" s="115" t="b">
        <f ca="1">OR(AND(OR(C237="烈日斩",C237="银月斩"),模拟模式!$I$7="净身明礼"),AND(C237="净世破魔击·日",模拟模式!$J$7="洞若观火"),AND(C238="净世破魔击·月",模拟模式!$J$7="洞若观火"),AB237=1)</f>
        <v>1</v>
      </c>
      <c r="BH237" s="115" t="b">
        <f t="shared" ca="1" si="219"/>
        <v>0</v>
      </c>
      <c r="BI237" s="115">
        <f t="shared" ca="1" si="182"/>
        <v>1.3874999999999997</v>
      </c>
      <c r="BJ237" s="115" t="b">
        <f t="shared" ca="1" si="193"/>
        <v>1</v>
      </c>
      <c r="BK237" s="115" t="b">
        <f ca="1">AND(C237="驱夜断愁",模拟模式!$P$7="天地诛戮")</f>
        <v>0</v>
      </c>
      <c r="BL237" s="57">
        <f t="shared" ca="1" si="183"/>
        <v>16.310000000000002</v>
      </c>
      <c r="BM237" s="115" t="b">
        <f t="shared" ca="1" si="194"/>
        <v>1</v>
      </c>
      <c r="BN237" s="115" t="b">
        <f ca="1">AND(OR(C237="赤日轮1",C237="赤日轮2",C237="赤日轮3",C237="幽月轮1",C237="幽月轮2",C237="幽月轮3"),AB237=1,模拟模式!$L$7="明光恒照")</f>
        <v>0</v>
      </c>
      <c r="BO237" s="117">
        <f t="shared" ca="1" si="184"/>
        <v>28.155000000000001</v>
      </c>
      <c r="BP237" s="115">
        <f t="shared" ca="1" si="220"/>
        <v>6</v>
      </c>
      <c r="BQ237" s="115" t="b">
        <f>模拟模式!$K$10="2600·水"</f>
        <v>0</v>
      </c>
      <c r="BR237" s="117">
        <f t="shared" si="221"/>
        <v>0</v>
      </c>
      <c r="BS237" s="115">
        <f t="shared" si="222"/>
        <v>0</v>
      </c>
      <c r="BT237" s="115">
        <f t="shared" ca="1" si="223"/>
        <v>0</v>
      </c>
      <c r="BU237" s="115" t="b">
        <f ca="1">AND(模拟模式!$K$10="2300·雷",BT236=0,RAND()&lt;IF(C237="净世破魔击·月",5*0.05*2/3,IF(C237="净世破魔击·日",3*0.05*2/3,0.05*2*2/3)))</f>
        <v>0</v>
      </c>
      <c r="BV237" s="115">
        <f t="shared" ca="1" si="224"/>
        <v>0</v>
      </c>
      <c r="BW237" s="115">
        <f t="shared" ca="1" si="225"/>
        <v>178.15499999999997</v>
      </c>
      <c r="BX237" s="164" t="b">
        <f t="shared" ca="1" si="226"/>
        <v>0</v>
      </c>
      <c r="BY237" s="115">
        <f t="shared" ca="1" si="227"/>
        <v>13.155000000000001</v>
      </c>
      <c r="BZ237" s="115">
        <f>IF(OR(模拟模式!$P$16="10人团",模拟模式!$P$16="25人团"),IF(B237/30&gt;CA236,1,0),0)</f>
        <v>0</v>
      </c>
      <c r="CA237" s="115">
        <f t="shared" si="203"/>
        <v>0</v>
      </c>
      <c r="CB237" s="115">
        <f ca="1">IF(BZ237=1,IF(模拟模式!$P$16="10人团",15,0)+IF(模拟模式!$P$16="25人团",IF(RAND()&lt;0.6,15,0)),MAX(0,CB236-$F$4))</f>
        <v>0</v>
      </c>
      <c r="CC237" s="115" t="b">
        <f t="shared" ca="1" si="195"/>
        <v>0</v>
      </c>
      <c r="CD237" s="115">
        <f>IF(模拟模式!$Q$16="1个",IF(B237/40&gt;CE236,1,0),0)</f>
        <v>0</v>
      </c>
      <c r="CE237" s="115">
        <f t="shared" si="196"/>
        <v>0</v>
      </c>
      <c r="CF237" s="115">
        <f>IF(OR(CD237=1,模拟模式!$Q$16="2个"),20,MAX(0,CF236-$F$4))</f>
        <v>0</v>
      </c>
      <c r="CG237" s="115" t="b">
        <f t="shared" si="197"/>
        <v>0</v>
      </c>
      <c r="CH237" s="115">
        <f t="shared" ca="1" si="228"/>
        <v>2.3250000000000117</v>
      </c>
      <c r="CI237" s="115" t="b">
        <f t="shared" ca="1" si="229"/>
        <v>0</v>
      </c>
      <c r="CJ237" s="119">
        <f t="shared" ca="1" si="230"/>
        <v>0</v>
      </c>
      <c r="CK237" s="115">
        <f t="shared" ca="1" si="231"/>
        <v>0</v>
      </c>
      <c r="CL237" s="115" t="b">
        <f ca="1">AND(模拟模式!$S$7="驱夷逐法",OR(AND(C237="净世破魔击·月",E236&gt;59),AND(C237="净世破魔击·日",F236&gt;59)))</f>
        <v>0</v>
      </c>
      <c r="CM237" s="115" t="b">
        <f ca="1">OR(CL237,AND(C237="净世破魔击·日",CL236,RAND()&lt;模拟模式!$U$23))</f>
        <v>1</v>
      </c>
      <c r="CN237" s="115" t="b">
        <f ca="1">IF(模拟模式!$M$7="辉耀红尘",AND(C237="净世破魔击·月",CL237,CV237=0,E236&lt;80),AND(C237="净世破魔击·月",CL237,E236&lt;100))</f>
        <v>0</v>
      </c>
      <c r="CO237" s="115" t="b">
        <f t="shared" ca="1" si="204"/>
        <v>0</v>
      </c>
      <c r="CP237" s="115" t="b">
        <f ca="1">AND(模拟模式!$O$7="用晦而明",OR(C237="净世破魔击·日",C237="净世破魔击·月",C237="驱夜断愁"),AB237)</f>
        <v>1</v>
      </c>
      <c r="CQ237" s="115" t="b">
        <f ca="1">OR(CP237,AND(CP236,RAND()&lt;模拟模式!$U$23))</f>
        <v>1</v>
      </c>
      <c r="CR237" s="115" t="b">
        <f ca="1">AND(模拟模式!$S$7="日月齐光",OR(C237="幽月轮1",C237="幽月轮2",C237="幽月轮3",CR236),NOT(OR(C237="赤日轮1",C237="赤日轮2",C237="赤日轮3")))</f>
        <v>0</v>
      </c>
      <c r="CS237" s="115" t="b">
        <f ca="1">AND(模拟模式!$S$7="日月齐光",OR(C237="赤日轮1",C237="赤日轮2",C237="赤日轮3",CS236),NOT(OR(C237="幽月轮1",C237="幽月轮2",C237="幽月轮3")))</f>
        <v>0</v>
      </c>
      <c r="CT237" s="115">
        <f t="shared" ca="1" si="232"/>
        <v>6.0150000000000121</v>
      </c>
      <c r="CU237" s="115" t="b">
        <f ca="1">AND(模拟模式!$K$10="阴阳往极",CT236=0,RAND()&lt;IF(C237="净世破魔击·月",0.0275*7/3,IF(C237="净世破魔击·日",0.0275*3/3,0.0275*2/3)))</f>
        <v>0</v>
      </c>
      <c r="CV237" s="115">
        <f t="shared" ca="1" si="233"/>
        <v>0</v>
      </c>
      <c r="CW237" s="115">
        <f t="shared" ca="1" si="205"/>
        <v>3.2324999999999995</v>
      </c>
      <c r="CX237" s="115">
        <f t="shared" ca="1" si="206"/>
        <v>1.3874999999999997</v>
      </c>
      <c r="CY237" s="115">
        <f ca="1">MAX(IF($C237="驱夜断愁",IF(模拟模式!$R$7="万念俱寂",6,45),CY236-$F$4),0)</f>
        <v>2.3099999999999996</v>
      </c>
      <c r="CZ237" s="115">
        <f t="shared" ca="1" si="207"/>
        <v>0</v>
      </c>
      <c r="DA237" s="115">
        <f ca="1">IF(模拟模式!$N$7="日月同辉",IF(DB236=2,0,MIN(6,IF(AND(OR(C237="赤日轮1",C237="赤日轮2",C237="赤日轮3",C237="幽月轮1",C237="幽月轮2",C237="幽月轮3"),AB237=1),DA236+1,DA236))),0)</f>
        <v>0</v>
      </c>
      <c r="DB237" s="115">
        <f t="shared" ca="1" si="208"/>
        <v>0</v>
      </c>
      <c r="DC237" s="115"/>
      <c r="DD237" s="115"/>
      <c r="DE237" s="115"/>
      <c r="DF237" s="115"/>
      <c r="DG237" s="115"/>
      <c r="DH237" s="115"/>
      <c r="DI237" s="115"/>
      <c r="DJ237" s="115"/>
      <c r="DK237" s="115"/>
      <c r="DL237" s="115"/>
      <c r="DM237" s="115"/>
    </row>
    <row r="238" spans="2:117" x14ac:dyDescent="0.2">
      <c r="B238" s="117">
        <f t="shared" si="209"/>
        <v>194.64750000000092</v>
      </c>
      <c r="C238" s="167" t="str">
        <f t="shared" ca="1" si="202"/>
        <v>净世破魔击·月</v>
      </c>
      <c r="D238" s="115">
        <f ca="1">IF(C238="赤日轮1",1,IF(C238="赤日轮2",2,IF(C238="赤日轮3",3,IF(C238="幽月轮1",4,IF(C238="幽月轮2",5,IF(C238="幽月轮3",6,IF(C238="烈日斩",7,IF(C238="银月斩",8,IF(C238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238="净世破魔击·月",17,IF(C238="驱夜断愁",18,0)))))))))))</f>
        <v>17</v>
      </c>
      <c r="E238" s="115">
        <f ca="1">IF(AND(CU238,OR(C238="幽月轮1",C238="幽月轮2",C238="幽月轮3",C238="银月斩",C238="驱夜断愁",C238="净世破魔击·月")),100,MIN(IF(OR(CN238,BE238),0,IF(OR($C238="赤日轮1",$C238="赤日轮2",$C238="赤日轮3"),E237+20+IF(模拟模式!$I$7="日月凌天",4,0)+IF(CR237,20,0),IF($C238="烈日斩",E237+40,IF($C238="驱夜断愁",IF(模拟模式!$R$7="万念俱寂",E237+20,E237+60),IF($C238="净世破魔击·月",IF(OR(DB237&gt;0,CV237&gt;0),100,IF(模拟模式!$M$7="辉耀红尘",E237+20,E237)),IF($C238="净世破魔击·日",E237-100,E237)))))),100))</f>
        <v>20</v>
      </c>
      <c r="F238" s="115">
        <f ca="1">IF(AND(CU238,OR(C238="赤日轮1",C238="赤日轮2",C238="赤日轮3",C238="烈日斩",C238="净世破魔击·日")),100,MIN(IF(CO238,0,IF(OR($C238="幽月轮1",$C238="幽月轮2",$C238="幽月轮3"),F237+20+IF(模拟模式!$I$7="日月凌天",4,0)+IF(CS237,20,0),IF($C238="银月斩",F237+40+IF(模拟模式!$X$12=1,5,0),IF($C238="驱夜断愁",IF(模拟模式!$R$7="万念俱寂",F237+20,F237+60),IF($C238="净世破魔击·月",IF(模拟模式!$M$7="辉耀红尘",F237-80,F237-100),IF(AND(C238="净世破魔击·日",OR(DB237&gt;0,CV237&gt;0)),100,F237)))))),100))</f>
        <v>20</v>
      </c>
      <c r="G238" s="117">
        <f ca="1">('模拟-全程加成'!$E$3+'模拟-全程加成'!$E$4+'模拟-全程加成'!$E$5+('模拟-全程加成'!$C$6-'模拟-全程加成'!$C$3)*系数!$B$9+BS238*23)*(1+'模拟-全程加成'!$F$4+'模拟-全程加成'!$F$5+BJ238*10%+BM238*20%+BP238*4%+CG238*30%)+$F$7*系数!$B$12</f>
        <v>21493.829400000002</v>
      </c>
      <c r="H238" s="45">
        <f ca="1">'模拟-全程加成'!$H$3+'模拟-全程加成'!$H$4+'模拟-全程加成'!$H$5+('模拟-全程加成'!$G$4+'模拟-全程加成'!$G$5+('模拟-全程加成'!$C$6-'模拟-全程加成'!$C$3)*系数!$B$13)/系数!$B$3+LOOKUP(D238,'模拟-单技能数据'!$A$2:$A$19,'模拟-单技能数据'!$K$2:$K$19)+BG238*10%+IF(BV238&gt;0,378,0)</f>
        <v>0.54185145527300216</v>
      </c>
      <c r="I238" s="45">
        <f ca="1">'模拟-全程加成'!$J$3+'模拟-全程加成'!$J$4+'模拟-全程加成'!$J$5+('模拟-全程加成'!$I$4+'模拟-全程加成'!$I$5)/系数!$B$4+LOOKUP(D238,'模拟-单技能数据'!$A$2:$A$19,'模拟-单技能数据'!$L$2:$L$19)+BG238*10%</f>
        <v>2.162482885499879</v>
      </c>
      <c r="J238" s="45">
        <f ca="1">(('模拟-全程加成'!$K$3+'模拟-全程加成'!$K$4+'模拟-全程加成'!$K$5+('模拟-全程加成'!$C$6-'模拟-全程加成'!$C$3)*系数!$B$10+IF(BV238&gt;0,882,0)+IF(BY238&gt;0,1831,0))*(1+'模拟-全程加成'!$L$4+'模拟-全程加成'!$L$5+CC238*20%))/系数!$B$5</f>
        <v>0.85832564669386491</v>
      </c>
      <c r="K238" s="119">
        <f ca="1">LOOKUP(D238,'模拟-单技能数据'!$A$2:$A$19,'模拟-单技能数据'!$J$2:$J$19)+IF(CM238,60%,0)+IF(DB237-DB238&gt;0,30%,0)+IF(OR(AND(OR(C238="赤日轮1",C238="赤日轮2",C238="赤日轮3"),CR238),AND(OR(C238="幽月轮1",C238="幽月轮2",C238="幽月轮3"),CS238)),35%,0)+CJ238</f>
        <v>0.2</v>
      </c>
      <c r="L238" s="119">
        <f ca="1">IF(AND(C238="烈日斩",模拟模式!$X$11=1),10%,0)+IF(AND(C238="驱夜断愁",AB238=1),30%,0)</f>
        <v>0</v>
      </c>
      <c r="M238" s="45">
        <f t="shared" ca="1" si="185"/>
        <v>0.54185145527300216</v>
      </c>
      <c r="N238" s="45">
        <f t="shared" ca="1" si="186"/>
        <v>0.40424854472699789</v>
      </c>
      <c r="O238" s="46">
        <f t="shared" ca="1" si="210"/>
        <v>0.19360883832118314</v>
      </c>
      <c r="P238" s="46" t="str">
        <f t="shared" ca="1" si="211"/>
        <v>会</v>
      </c>
      <c r="Q238" s="45">
        <f t="shared" ca="1" si="212"/>
        <v>2.162482885499879</v>
      </c>
      <c r="R238" s="117">
        <f ca="1">模拟模式!$E$20*(1-IF(模拟模式!$J$19="有",0.15,0))*(1-IF(模拟模式!$K$19="有",0.3,0)-IF(CQ238,0.5,0))</f>
        <v>843.02999999999975</v>
      </c>
      <c r="S238" s="45">
        <f ca="1">R238/(R238+(185*模拟模式!$E$22-16800)*4.08224)</f>
        <v>8.389626085980037E-2</v>
      </c>
      <c r="T238" s="45" t="str">
        <f ca="1">LOOKUP(D238,'模拟-单技能数据'!$A$2:$A$19,'模拟-单技能数据'!$H$2:$H$19)</f>
        <v>阴</v>
      </c>
      <c r="U238" s="119">
        <f t="shared" ca="1" si="187"/>
        <v>0.08</v>
      </c>
      <c r="V238" s="47">
        <f ca="1">(1+L238)*(LOOKUP(D238,'模拟-单技能数据'!$A$2:$A$19,'模拟-单技能数据'!$D$2:$D$19)+G238*LOOKUP(D238,'模拟-单技能数据'!$A$2:$A$19,'模拟-单技能数据'!$F$2:$F$19))*(1+J238)*(1+K238)*(1-S238)*(1+U238)*Q238*LOOKUP(D238,'模拟-单技能数据'!$A$2:$A$19,'模拟-单技能数据'!$I$2:$I$20)</f>
        <v>133244.79386330483</v>
      </c>
      <c r="W238" s="47">
        <f ca="1">LOOKUP(D238,'模拟-单技能数据'!$A$2:$A$19,'模拟-单技能数据'!$G$2:$G$19)*$I$10</f>
        <v>361.51064354704795</v>
      </c>
      <c r="X238" s="47">
        <f t="shared" ca="1" si="213"/>
        <v>18838.204835446006</v>
      </c>
      <c r="Y238" s="47">
        <f t="shared" ca="1" si="188"/>
        <v>152444.50934229788</v>
      </c>
      <c r="Z238" s="49">
        <f t="shared" ca="1" si="189"/>
        <v>22426384.019382991</v>
      </c>
      <c r="AA238" s="97">
        <f t="shared" ca="1" si="190"/>
        <v>115215.371476042</v>
      </c>
      <c r="AB238" s="115">
        <f ca="1">IF(OR(C238="赤日轮1",C238="赤日轮2",C238="赤日轮3"),IF(RAND()&lt;模拟模式!$Y$17,1,0),IF(OR(C238="幽月轮1",C238="幽月轮2",C238="幽月轮3"),IF(RAND()&lt;模拟模式!$Y$18,1,0),IF(C238="烈日斩",IF(RAND()&lt;模拟模式!$Y$19,1,0),IF(C238="银月斩",IF(RAND()&lt;模拟模式!$Y$20,1,0),IF(C238="驱夜断愁",IF(RAND()&lt;模拟模式!$Y$21,1,0),IF(C238="净世破魔击·日",IF(RAND()&lt;模拟模式!$Y$22,1,0),IF(C238="净世破魔击·月",IF(RAND()&lt;模拟模式!$Y$23,1,0),0)))))))</f>
        <v>1</v>
      </c>
      <c r="AC238" s="115" t="b">
        <f t="shared" ca="1" si="178"/>
        <v>0</v>
      </c>
      <c r="AD238" s="115" t="b">
        <f t="shared" ca="1" si="198"/>
        <v>0</v>
      </c>
      <c r="AE238" s="115">
        <f t="shared" ca="1" si="199"/>
        <v>3</v>
      </c>
      <c r="AF238" s="47">
        <f ca="1">IF(AC238,('模拟-单技能数据'!$D$20+G238*'模拟-单技能数据'!$F$20)*(1+J238)*(1+'模拟-单技能数据'!$J$20)*(1+U238),0)</f>
        <v>0</v>
      </c>
      <c r="AG238" s="61">
        <f t="shared" ca="1" si="191"/>
        <v>0.64185145527300214</v>
      </c>
      <c r="AH238" s="61">
        <f t="shared" ca="1" si="192"/>
        <v>2.2624828854998791</v>
      </c>
      <c r="AI238" s="62">
        <f t="shared" ca="1" si="214"/>
        <v>0.27482063729866291</v>
      </c>
      <c r="AJ238" s="47">
        <f ca="1">IF(AD238,IF(AI238&lt;$F$10,0,IF(AI238&lt;$F$10+$F$11,0.25,IF(AI238&lt;$F$10+$F$11+AG238,AH238,1)))*IF(AF238&gt;0,AF238,IF(AF237&gt;0,AF237,IF(AF236&gt;0,AF236,IF(AF235&gt;0,AF235,IF(AF234&gt;0,AF234,IF(AF233&gt;0,AF233,IF(AF232&gt;0,AF232,IF(AF231&gt;0,AF231,IF(AF230&gt;0,AF230,IF(AF228&gt;0,AF228,IF(AF227&gt;0,AF227,IF(AF226&gt;0,AF226,0)))))))))))),0)*(1-$S238)*'模拟-单技能数据'!$I$20</f>
        <v>0</v>
      </c>
      <c r="AK238" s="115" t="b">
        <f t="shared" ca="1" si="179"/>
        <v>0</v>
      </c>
      <c r="AL238" s="115" t="b">
        <f t="shared" ca="1" si="200"/>
        <v>0</v>
      </c>
      <c r="AM238" s="115">
        <f t="shared" ca="1" si="201"/>
        <v>5</v>
      </c>
      <c r="AN238" s="47">
        <f ca="1">IF(AK238,('模拟-单技能数据'!$D$21+G238*'模拟-单技能数据'!$F$21)*(1+J238)*(1+'模拟-单技能数据'!$J$21)*(1+U238),0)</f>
        <v>0</v>
      </c>
      <c r="AO238" s="61">
        <f ca="1">IF(AN238&gt;0,M238-'模拟-单技能数据'!$K$10,AO237)</f>
        <v>0.42185145527300216</v>
      </c>
      <c r="AP238" s="61">
        <f ca="1">IF(AN238&gt;0,I238-'模拟-单技能数据'!$L$10,AP237)</f>
        <v>2.162482885499879</v>
      </c>
      <c r="AQ238" s="63">
        <f t="shared" ca="1" si="215"/>
        <v>7.0597673873073252E-2</v>
      </c>
      <c r="AR238" s="64">
        <f ca="1">IF(AL238,IF(AQ238&lt;$F$10,0,IF(AQ238&lt;$F$10+$F$11,0.25,IF(AQ238&lt;$F$10+$F$11+AO238,AP238,1)))*IF(AN238&gt;0,AN238,IF(AN237&gt;0,AN237,IF(AN236&gt;0,AN236,IF(AN235&gt;0,AN235,IF(AN234&gt;0,AN234,IF(AN233&gt;0,AN233,IF(AN232&gt;0,AN232,IF(AN231&gt;0,AN231,IF(AN230&gt;0,AN230,IF(AN228&gt;0,AN228,IF(AN227&gt;0,AN227,IF(AN226&gt;0,AN226,0)))))))))))),0)*(1-$S238)*'模拟-单技能数据'!$I$21</f>
        <v>0</v>
      </c>
      <c r="AS238" s="61">
        <f ca="1">IF(OR(C238="净世破魔击·日",C238="净世破魔击·月"),M238-'模拟-单技能数据'!$K$10,0)</f>
        <v>0.42185145527300216</v>
      </c>
      <c r="AT238" s="61">
        <f ca="1">IF(OR(C238="净世破魔击·日",C238="净世破魔击·月"),I238-'模拟-单技能数据'!$L$10,0)</f>
        <v>2.162482885499879</v>
      </c>
      <c r="AU238" s="62">
        <f t="shared" ca="1" si="216"/>
        <v>0.33332727479295043</v>
      </c>
      <c r="AV238" s="64">
        <f ca="1">IF(AS238&gt;0,('模拟-单技能数据'!$D$22+G238*'模拟-单技能数据'!$F$22)*(1+J238)*(1-S238)*IF(AU238&lt;$F$10,0,IF(AU238&lt;$F$10+$F$11,0.25,IF(AU238&lt;$F$10+$F$11+AS238,AT238,1)))*(1+U238),0)*'模拟-单技能数据'!$I$22</f>
        <v>18838.204835446006</v>
      </c>
      <c r="AW238" s="108">
        <f t="shared" ca="1" si="217"/>
        <v>0</v>
      </c>
      <c r="AX238" s="108" t="b">
        <f ca="1">AND(模拟模式!$P$10="有",AW237=0,RAND()&lt;IF(C238="净世破魔击·月",0.1*8/3,IF(C238="净世破魔击·日",0.1*4/3,0.1*2/3)))</f>
        <v>0</v>
      </c>
      <c r="AY238" s="47">
        <f ca="1">IF(AX238,(18+G238*0.722)*(1+J238)*(1-S238)*(1+$I$4)*IF(P238="会",'模拟-全程加成'!$J$3+'模拟-全程加成'!$J$4+'模拟-全程加成'!$J$5+('模拟-全程加成'!$I$4+'模拟-全程加成'!$I$5)/系数!$B$4+BG238*10%,IF(P238="命",1,IF(P238="识",0.25,0))),0)</f>
        <v>0</v>
      </c>
      <c r="AZ238" s="108">
        <f t="shared" si="218"/>
        <v>8.0075000000000074</v>
      </c>
      <c r="BA238" s="108" t="b">
        <f>AND(模拟模式!$Q$10="有",AZ237=0)</f>
        <v>0</v>
      </c>
      <c r="BB238" s="140">
        <f>IF(BA238,(0+G238*0.287)*(1+J238)*(1-S238)*(1+$I$4)*IF(P238="会",'模拟-全程加成'!$J$3+'模拟-全程加成'!$J$4+'模拟-全程加成'!$J$5+('模拟-全程加成'!$I$4+'模拟-全程加成'!$I$5)/系数!$B$4+BG238*10%,IF(P238="命",1,IF(P238="识",0.25,0))),0)</f>
        <v>0</v>
      </c>
      <c r="BC238" s="115" t="b">
        <f ca="1">AND(模拟模式!$R$7="伏明众生",E238=60,F238=20,DA238&lt;5,CZ237&lt;$F$4)</f>
        <v>0</v>
      </c>
      <c r="BD238" s="115">
        <f t="shared" ca="1" si="180"/>
        <v>0</v>
      </c>
      <c r="BE238" s="115" t="b">
        <f t="shared" ca="1" si="181"/>
        <v>0</v>
      </c>
      <c r="BF238" s="47">
        <f ca="1">IF(BC238,4*('模拟-单技能数据'!$D$24+G238*'模拟-单技能数据'!$F$24)*(1+J238)*(1+'模拟-单技能数据'!$J$24)*(1-S238)*(1+$I$3)*(('模拟-全程加成'!$J$3+'模拟-全程加成'!$J$4+'模拟-全程加成'!$J$5+('模拟-全程加成'!$I$4+'模拟-全程加成'!$I$5)/系数!$B$4+BG238*10%)*('模拟-全程加成'!$J$3+'模拟-全程加成'!$J$4+'模拟-全程加成'!$J$5+('模拟-全程加成'!$I$4+'模拟-全程加成'!$I$5)/系数!$B$4+BG238*10%)+(1-('模拟-全程加成'!$J$3+'模拟-全程加成'!$J$4+'模拟-全程加成'!$J$5+('模拟-全程加成'!$I$4+'模拟-全程加成'!$I$5)/系数!$B$4+BG238*10%)-$F$10-$F$11)+F224*0.25),0)*'模拟-单技能数据'!$I$24</f>
        <v>0</v>
      </c>
      <c r="BG238" s="115" t="b">
        <f ca="1">OR(AND(OR(C238="烈日斩",C238="银月斩"),模拟模式!$I$7="净身明礼"),AND(C238="净世破魔击·日",模拟模式!$J$7="洞若观火"),AND(C239="净世破魔击·月",模拟模式!$J$7="洞若观火"),AB238=1)</f>
        <v>1</v>
      </c>
      <c r="BH238" s="115" t="b">
        <f t="shared" ca="1" si="219"/>
        <v>0</v>
      </c>
      <c r="BI238" s="115">
        <f t="shared" ca="1" si="182"/>
        <v>0.46499999999999975</v>
      </c>
      <c r="BJ238" s="115" t="b">
        <f t="shared" ca="1" si="193"/>
        <v>1</v>
      </c>
      <c r="BK238" s="115" t="b">
        <f ca="1">AND(C238="驱夜断愁",模拟模式!$P$7="天地诛戮")</f>
        <v>0</v>
      </c>
      <c r="BL238" s="57">
        <f t="shared" ca="1" si="183"/>
        <v>15.387500000000003</v>
      </c>
      <c r="BM238" s="115" t="b">
        <f t="shared" ca="1" si="194"/>
        <v>1</v>
      </c>
      <c r="BN238" s="115" t="b">
        <f ca="1">AND(OR(C238="赤日轮1",C238="赤日轮2",C238="赤日轮3",C238="幽月轮1",C238="幽月轮2",C238="幽月轮3"),AB238=1,模拟模式!$L$7="明光恒照")</f>
        <v>0</v>
      </c>
      <c r="BO238" s="117">
        <f t="shared" ca="1" si="184"/>
        <v>27.232500000000002</v>
      </c>
      <c r="BP238" s="115">
        <f t="shared" ca="1" si="220"/>
        <v>6</v>
      </c>
      <c r="BQ238" s="115" t="b">
        <f>模拟模式!$K$10="2600·水"</f>
        <v>0</v>
      </c>
      <c r="BR238" s="117">
        <f t="shared" si="221"/>
        <v>0</v>
      </c>
      <c r="BS238" s="115">
        <f t="shared" si="222"/>
        <v>0</v>
      </c>
      <c r="BT238" s="115">
        <f t="shared" ca="1" si="223"/>
        <v>0</v>
      </c>
      <c r="BU238" s="115" t="b">
        <f ca="1">AND(模拟模式!$K$10="2300·雷",BT237=0,RAND()&lt;IF(C238="净世破魔击·月",5*0.05*2/3,IF(C238="净世破魔击·日",3*0.05*2/3,0.05*2*2/3)))</f>
        <v>0</v>
      </c>
      <c r="BV238" s="115">
        <f t="shared" ca="1" si="224"/>
        <v>0</v>
      </c>
      <c r="BW238" s="115">
        <f t="shared" ca="1" si="225"/>
        <v>177.23249999999996</v>
      </c>
      <c r="BX238" s="164" t="b">
        <f t="shared" ca="1" si="226"/>
        <v>0</v>
      </c>
      <c r="BY238" s="115">
        <f t="shared" ca="1" si="227"/>
        <v>12.232500000000002</v>
      </c>
      <c r="BZ238" s="115">
        <f>IF(OR(模拟模式!$P$16="10人团",模拟模式!$P$16="25人团"),IF(B238/30&gt;CA237,1,0),0)</f>
        <v>0</v>
      </c>
      <c r="CA238" s="115">
        <f t="shared" si="203"/>
        <v>0</v>
      </c>
      <c r="CB238" s="115">
        <f ca="1">IF(BZ238=1,IF(模拟模式!$P$16="10人团",15,0)+IF(模拟模式!$P$16="25人团",IF(RAND()&lt;0.6,15,0)),MAX(0,CB237-$F$4))</f>
        <v>0</v>
      </c>
      <c r="CC238" s="115" t="b">
        <f t="shared" ca="1" si="195"/>
        <v>0</v>
      </c>
      <c r="CD238" s="115">
        <f>IF(模拟模式!$Q$16="1个",IF(B238/40&gt;CE237,1,0),0)</f>
        <v>0</v>
      </c>
      <c r="CE238" s="115">
        <f t="shared" si="196"/>
        <v>0</v>
      </c>
      <c r="CF238" s="115">
        <f>IF(OR(CD238=1,模拟模式!$Q$16="2个"),20,MAX(0,CF237-$F$4))</f>
        <v>0</v>
      </c>
      <c r="CG238" s="115" t="b">
        <f t="shared" si="197"/>
        <v>0</v>
      </c>
      <c r="CH238" s="115">
        <f t="shared" ca="1" si="228"/>
        <v>1.4025000000000118</v>
      </c>
      <c r="CI238" s="115" t="b">
        <f t="shared" ca="1" si="229"/>
        <v>0</v>
      </c>
      <c r="CJ238" s="119">
        <f t="shared" ca="1" si="230"/>
        <v>0</v>
      </c>
      <c r="CK238" s="115">
        <f t="shared" ca="1" si="231"/>
        <v>0</v>
      </c>
      <c r="CL238" s="115" t="b">
        <f ca="1">AND(模拟模式!$S$7="驱夷逐法",OR(AND(C238="净世破魔击·月",E237&gt;59),AND(C238="净世破魔击·日",F237&gt;59)))</f>
        <v>0</v>
      </c>
      <c r="CM238" s="115" t="b">
        <f ca="1">OR(CL238,AND(C238="净世破魔击·日",CL237,RAND()&lt;模拟模式!$U$23))</f>
        <v>0</v>
      </c>
      <c r="CN238" s="115" t="b">
        <f ca="1">IF(模拟模式!$M$7="辉耀红尘",AND(C238="净世破魔击·月",CL238,CV238=0,E237&lt;80),AND(C238="净世破魔击·月",CL238,E237&lt;100))</f>
        <v>0</v>
      </c>
      <c r="CO238" s="115" t="b">
        <f t="shared" ca="1" si="204"/>
        <v>0</v>
      </c>
      <c r="CP238" s="115" t="b">
        <f ca="1">AND(模拟模式!$O$7="用晦而明",OR(C238="净世破魔击·日",C238="净世破魔击·月",C238="驱夜断愁"),AB238)</f>
        <v>1</v>
      </c>
      <c r="CQ238" s="115" t="b">
        <f ca="1">OR(CP238,AND(CP237,RAND()&lt;模拟模式!$U$23))</f>
        <v>1</v>
      </c>
      <c r="CR238" s="115" t="b">
        <f ca="1">AND(模拟模式!$S$7="日月齐光",OR(C238="幽月轮1",C238="幽月轮2",C238="幽月轮3",CR237),NOT(OR(C238="赤日轮1",C238="赤日轮2",C238="赤日轮3")))</f>
        <v>0</v>
      </c>
      <c r="CS238" s="115" t="b">
        <f ca="1">AND(模拟模式!$S$7="日月齐光",OR(C238="赤日轮1",C238="赤日轮2",C238="赤日轮3",CS237),NOT(OR(C238="幽月轮1",C238="幽月轮2",C238="幽月轮3")))</f>
        <v>0</v>
      </c>
      <c r="CT238" s="115">
        <f t="shared" ca="1" si="232"/>
        <v>5.0925000000000118</v>
      </c>
      <c r="CU238" s="115" t="b">
        <f ca="1">AND(模拟模式!$K$10="阴阳往极",CT237=0,RAND()&lt;IF(C238="净世破魔击·月",0.0275*7/3,IF(C238="净世破魔击·日",0.0275*3/3,0.0275*2/3)))</f>
        <v>0</v>
      </c>
      <c r="CV238" s="115">
        <f t="shared" ca="1" si="233"/>
        <v>0</v>
      </c>
      <c r="CW238" s="115">
        <f t="shared" ca="1" si="205"/>
        <v>2.3099999999999996</v>
      </c>
      <c r="CX238" s="115">
        <f t="shared" ca="1" si="206"/>
        <v>0.46499999999999975</v>
      </c>
      <c r="CY238" s="115">
        <f ca="1">MAX(IF($C238="驱夜断愁",IF(模拟模式!$R$7="万念俱寂",6,45),CY237-$F$4),0)</f>
        <v>1.3874999999999997</v>
      </c>
      <c r="CZ238" s="115">
        <f t="shared" ca="1" si="207"/>
        <v>0</v>
      </c>
      <c r="DA238" s="115">
        <f ca="1">IF(模拟模式!$N$7="日月同辉",IF(DB237=2,0,MIN(6,IF(AND(OR(C238="赤日轮1",C238="赤日轮2",C238="赤日轮3",C238="幽月轮1",C238="幽月轮2",C238="幽月轮3"),AB238=1),DA237+1,DA237))),0)</f>
        <v>0</v>
      </c>
      <c r="DB238" s="115">
        <f t="shared" ca="1" si="208"/>
        <v>0</v>
      </c>
      <c r="DC238" s="115"/>
      <c r="DD238" s="115"/>
      <c r="DE238" s="115"/>
      <c r="DF238" s="115"/>
      <c r="DG238" s="115"/>
      <c r="DH238" s="115"/>
      <c r="DI238" s="115"/>
      <c r="DJ238" s="115"/>
      <c r="DK238" s="115"/>
      <c r="DL238" s="115"/>
      <c r="DM238" s="115"/>
    </row>
    <row r="239" spans="2:117" x14ac:dyDescent="0.2">
      <c r="B239" s="117">
        <f t="shared" si="209"/>
        <v>195.57000000000093</v>
      </c>
      <c r="C239" s="167" t="str">
        <f t="shared" ca="1" si="202"/>
        <v>银月斩</v>
      </c>
      <c r="D239" s="115">
        <f ca="1">IF(C239="赤日轮1",1,IF(C239="赤日轮2",2,IF(C239="赤日轮3",3,IF(C239="幽月轮1",4,IF(C239="幽月轮2",5,IF(C239="幽月轮3",6,IF(C239="烈日斩",7,IF(C239="银月斩",8,IF(C239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239="净世破魔击·月",17,IF(C239="驱夜断愁",18,0)))))))))))</f>
        <v>8</v>
      </c>
      <c r="E239" s="115">
        <f ca="1">IF(AND(CU239,OR(C239="幽月轮1",C239="幽月轮2",C239="幽月轮3",C239="银月斩",C239="驱夜断愁",C239="净世破魔击·月")),100,MIN(IF(OR(CN239,BE239),0,IF(OR($C239="赤日轮1",$C239="赤日轮2",$C239="赤日轮3"),E238+20+IF(模拟模式!$I$7="日月凌天",4,0)+IF(CR238,20,0),IF($C239="烈日斩",E238+40,IF($C239="驱夜断愁",IF(模拟模式!$R$7="万念俱寂",E238+20,E238+60),IF($C239="净世破魔击·月",IF(OR(DB238&gt;0,CV238&gt;0),100,IF(模拟模式!$M$7="辉耀红尘",E238+20,E238)),IF($C239="净世破魔击·日",E238-100,E238)))))),100))</f>
        <v>20</v>
      </c>
      <c r="F239" s="115">
        <f ca="1">IF(AND(CU239,OR(C239="赤日轮1",C239="赤日轮2",C239="赤日轮3",C239="烈日斩",C239="净世破魔击·日")),100,MIN(IF(CO239,0,IF(OR($C239="幽月轮1",$C239="幽月轮2",$C239="幽月轮3"),F238+20+IF(模拟模式!$I$7="日月凌天",4,0)+IF(CS238,20,0),IF($C239="银月斩",F238+40+IF(模拟模式!$X$12=1,5,0),IF($C239="驱夜断愁",IF(模拟模式!$R$7="万念俱寂",F238+20,F238+60),IF($C239="净世破魔击·月",IF(模拟模式!$M$7="辉耀红尘",F238-80,F238-100),IF(AND(C239="净世破魔击·日",OR(DB238&gt;0,CV238&gt;0)),100,F238)))))),100))</f>
        <v>65</v>
      </c>
      <c r="G239" s="117">
        <f ca="1">('模拟-全程加成'!$E$3+'模拟-全程加成'!$E$4+'模拟-全程加成'!$E$5+('模拟-全程加成'!$C$6-'模拟-全程加成'!$C$3)*系数!$B$9+BS239*23)*(1+'模拟-全程加成'!$F$4+'模拟-全程加成'!$F$5+BJ239*10%+BM239*20%+BP239*4%+CG239*30%)+$F$7*系数!$B$12</f>
        <v>20583.127400000001</v>
      </c>
      <c r="H239" s="45">
        <f ca="1">'模拟-全程加成'!$H$3+'模拟-全程加成'!$H$4+'模拟-全程加成'!$H$5+('模拟-全程加成'!$G$4+'模拟-全程加成'!$G$5+('模拟-全程加成'!$C$6-'模拟-全程加成'!$C$3)*系数!$B$13)/系数!$B$3+LOOKUP(D239,'模拟-单技能数据'!$A$2:$A$19,'模拟-单技能数据'!$K$2:$K$19)+BG239*10%+IF(BV239&gt;0,378,0)</f>
        <v>0.64185145527300214</v>
      </c>
      <c r="I239" s="45">
        <f ca="1">'模拟-全程加成'!$J$3+'模拟-全程加成'!$J$4+'模拟-全程加成'!$J$5+('模拟-全程加成'!$I$4+'模拟-全程加成'!$I$5)/系数!$B$4+LOOKUP(D239,'模拟-单技能数据'!$A$2:$A$19,'模拟-单技能数据'!$L$2:$L$19)+BG239*10%</f>
        <v>2.2624828854998791</v>
      </c>
      <c r="J239" s="45">
        <f ca="1">(('模拟-全程加成'!$K$3+'模拟-全程加成'!$K$4+'模拟-全程加成'!$K$5+('模拟-全程加成'!$C$6-'模拟-全程加成'!$C$3)*系数!$B$10+IF(BV239&gt;0,882,0)+IF(BY239&gt;0,1831,0))*(1+'模拟-全程加成'!$L$4+'模拟-全程加成'!$L$5+CC239*20%))/系数!$B$5</f>
        <v>0.85832564669386491</v>
      </c>
      <c r="K239" s="119">
        <f ca="1">LOOKUP(D239,'模拟-单技能数据'!$A$2:$A$19,'模拟-单技能数据'!$J$2:$J$19)+IF(CM239,60%,0)+IF(DB238-DB239&gt;0,30%,0)+IF(OR(AND(OR(C239="赤日轮1",C239="赤日轮2",C239="赤日轮3"),CR239),AND(OR(C239="幽月轮1",C239="幽月轮2",C239="幽月轮3"),CS239)),35%,0)+CJ239</f>
        <v>0.15</v>
      </c>
      <c r="L239" s="119">
        <f ca="1">IF(AND(C239="烈日斩",模拟模式!$X$11=1),10%,0)+IF(AND(C239="驱夜断愁",AB239=1),30%,0)</f>
        <v>0</v>
      </c>
      <c r="M239" s="45">
        <f t="shared" ca="1" si="185"/>
        <v>0.64185145527300214</v>
      </c>
      <c r="N239" s="45">
        <f t="shared" ca="1" si="186"/>
        <v>0.30424854472699792</v>
      </c>
      <c r="O239" s="46">
        <f t="shared" ca="1" si="210"/>
        <v>0.17335385056122232</v>
      </c>
      <c r="P239" s="46" t="str">
        <f t="shared" ca="1" si="211"/>
        <v>会</v>
      </c>
      <c r="Q239" s="45">
        <f t="shared" ca="1" si="212"/>
        <v>2.2624828854998791</v>
      </c>
      <c r="R239" s="117">
        <f ca="1">模拟模式!$E$20*(1-IF(模拟模式!$J$19="有",0.15,0))*(1-IF(模拟模式!$K$19="有",0.3,0)-IF(CQ239,0.5,0))</f>
        <v>843.02999999999975</v>
      </c>
      <c r="S239" s="45">
        <f ca="1">R239/(R239+(185*模拟模式!$E$22-16800)*4.08224)</f>
        <v>8.389626085980037E-2</v>
      </c>
      <c r="T239" s="45" t="str">
        <f ca="1">LOOKUP(D239,'模拟-单技能数据'!$A$2:$A$19,'模拟-单技能数据'!$H$2:$H$19)</f>
        <v>阴</v>
      </c>
      <c r="U239" s="119">
        <f t="shared" ca="1" si="187"/>
        <v>0.08</v>
      </c>
      <c r="V239" s="47">
        <f ca="1">(1+L239)*(LOOKUP(D239,'模拟-单技能数据'!$A$2:$A$19,'模拟-单技能数据'!$D$2:$D$19)+G239*LOOKUP(D239,'模拟-单技能数据'!$A$2:$A$19,'模拟-单技能数据'!$F$2:$F$19))*(1+J239)*(1+K239)*(1-S239)*(1+U239)*Q239*LOOKUP(D239,'模拟-单技能数据'!$A$2:$A$19,'模拟-单技能数据'!$I$2:$I$20)</f>
        <v>52295.508469651933</v>
      </c>
      <c r="W239" s="47">
        <f ca="1">LOOKUP(D239,'模拟-单技能数据'!$A$2:$A$19,'模拟-单技能数据'!$G$2:$G$19)*$I$10</f>
        <v>361.51064354704795</v>
      </c>
      <c r="X239" s="47">
        <f t="shared" ca="1" si="213"/>
        <v>17171.108878346597</v>
      </c>
      <c r="Y239" s="47">
        <f t="shared" ca="1" si="188"/>
        <v>69828.127991545582</v>
      </c>
      <c r="Z239" s="49">
        <f t="shared" ca="1" si="189"/>
        <v>22496212.147374537</v>
      </c>
      <c r="AA239" s="97">
        <f t="shared" ca="1" si="190"/>
        <v>115028.95202420837</v>
      </c>
      <c r="AB239" s="115">
        <f ca="1">IF(OR(C239="赤日轮1",C239="赤日轮2",C239="赤日轮3"),IF(RAND()&lt;模拟模式!$Y$17,1,0),IF(OR(C239="幽月轮1",C239="幽月轮2",C239="幽月轮3"),IF(RAND()&lt;模拟模式!$Y$18,1,0),IF(C239="烈日斩",IF(RAND()&lt;模拟模式!$Y$19,1,0),IF(C239="银月斩",IF(RAND()&lt;模拟模式!$Y$20,1,0),IF(C239="驱夜断愁",IF(RAND()&lt;模拟模式!$Y$21,1,0),IF(C239="净世破魔击·日",IF(RAND()&lt;模拟模式!$Y$22,1,0),IF(C239="净世破魔击·月",IF(RAND()&lt;模拟模式!$Y$23,1,0),0)))))))</f>
        <v>1</v>
      </c>
      <c r="AC239" s="115" t="b">
        <f t="shared" ca="1" si="178"/>
        <v>1</v>
      </c>
      <c r="AD239" s="115" t="b">
        <f t="shared" ca="1" si="198"/>
        <v>1</v>
      </c>
      <c r="AE239" s="115">
        <f t="shared" ca="1" si="199"/>
        <v>5</v>
      </c>
      <c r="AF239" s="47">
        <f ca="1">IF(AC239,('模拟-单技能数据'!$D$20+G239*'模拟-单技能数据'!$F$20)*(1+J239)*(1+'模拟-单技能数据'!$J$20)*(1+U239),0)</f>
        <v>4870.026558708134</v>
      </c>
      <c r="AG239" s="61">
        <f t="shared" ca="1" si="191"/>
        <v>0.64185145527300214</v>
      </c>
      <c r="AH239" s="61">
        <f t="shared" ca="1" si="192"/>
        <v>2.2624828854998791</v>
      </c>
      <c r="AI239" s="62">
        <f t="shared" ca="1" si="214"/>
        <v>0.73939694598512462</v>
      </c>
      <c r="AJ239" s="47">
        <f ca="1">IF(AD239,IF(AI239&lt;$F$10,0,IF(AI239&lt;$F$10+$F$11,0.25,IF(AI239&lt;$F$10+$F$11+AG239,AH239,1)))*IF(AF239&gt;0,AF239,IF(AF238&gt;0,AF238,IF(AF237&gt;0,AF237,IF(AF236&gt;0,AF236,IF(AF235&gt;0,AF235,IF(AF234&gt;0,AF234,IF(AF233&gt;0,AF233,IF(AF232&gt;0,AF232,IF(AF231&gt;0,AF231,IF(AF229&gt;0,AF229,IF(AF228&gt;0,AF228,IF(AF227&gt;0,AF227,0)))))))))))),0)*(1-$S239)*'模拟-单技能数据'!$I$20</f>
        <v>4461.4495401446002</v>
      </c>
      <c r="AK239" s="115" t="b">
        <f t="shared" ca="1" si="179"/>
        <v>0</v>
      </c>
      <c r="AL239" s="115" t="b">
        <f t="shared" ca="1" si="200"/>
        <v>1</v>
      </c>
      <c r="AM239" s="115">
        <f t="shared" ca="1" si="201"/>
        <v>4</v>
      </c>
      <c r="AN239" s="47">
        <f ca="1">IF(AK239,('模拟-单技能数据'!$D$21+G239*'模拟-单技能数据'!$F$21)*(1+J239)*(1+'模拟-单技能数据'!$J$21)*(1+U239),0)</f>
        <v>0</v>
      </c>
      <c r="AO239" s="61">
        <f ca="1">IF(AN239&gt;0,M239-'模拟-单技能数据'!$K$10,AO238)</f>
        <v>0.42185145527300216</v>
      </c>
      <c r="AP239" s="61">
        <f ca="1">IF(AN239&gt;0,I239-'模拟-单技能数据'!$L$10,AP238)</f>
        <v>2.162482885499879</v>
      </c>
      <c r="AQ239" s="63">
        <f t="shared" ca="1" si="215"/>
        <v>0.71158564764571341</v>
      </c>
      <c r="AR239" s="64">
        <f ca="1">IF(AL239,IF(AQ239&lt;$F$10,0,IF(AQ239&lt;$F$10+$F$11,0.25,IF(AQ239&lt;$F$10+$F$11+AO239,AP239,1)))*IF(AN239&gt;0,AN239,IF(AN238&gt;0,AN238,IF(AN237&gt;0,AN237,IF(AN236&gt;0,AN236,IF(AN235&gt;0,AN235,IF(AN234&gt;0,AN234,IF(AN233&gt;0,AN233,IF(AN232&gt;0,AN232,IF(AN231&gt;0,AN231,IF(AN229&gt;0,AN229,IF(AN228&gt;0,AN228,IF(AN227&gt;0,AN227,0)))))))))))),0)*(1-$S239)*'模拟-单技能数据'!$I$21</f>
        <v>12709.659338201996</v>
      </c>
      <c r="AS239" s="61">
        <f ca="1">IF(OR(C239="净世破魔击·日",C239="净世破魔击·月"),M239-'模拟-单技能数据'!$K$10,0)</f>
        <v>0</v>
      </c>
      <c r="AT239" s="61">
        <f ca="1">IF(OR(C239="净世破魔击·日",C239="净世破魔击·月"),I239-'模拟-单技能数据'!$L$10,0)</f>
        <v>0</v>
      </c>
      <c r="AU239" s="62">
        <f t="shared" ca="1" si="216"/>
        <v>0.85336660628247762</v>
      </c>
      <c r="AV239" s="64">
        <f ca="1">IF(AS239&gt;0,('模拟-单技能数据'!$D$22+G239*'模拟-单技能数据'!$F$22)*(1+J239)*(1-S239)*IF(AU239&lt;$F$10,0,IF(AU239&lt;$F$10+$F$11,0.25,IF(AU239&lt;$F$10+$F$11+AS239,AT239,1)))*(1+U239),0)*'模拟-单技能数据'!$I$22</f>
        <v>0</v>
      </c>
      <c r="AW239" s="108">
        <f t="shared" ca="1" si="217"/>
        <v>0</v>
      </c>
      <c r="AX239" s="108" t="b">
        <f ca="1">AND(模拟模式!$P$10="有",AW238=0,RAND()&lt;IF(C239="净世破魔击·月",0.1*8/3,IF(C239="净世破魔击·日",0.1*4/3,0.1*2/3)))</f>
        <v>0</v>
      </c>
      <c r="AY239" s="47">
        <f ca="1">IF(AX239,(18+G239*0.722)*(1+J239)*(1-S239)*(1+$I$4)*IF(P239="会",'模拟-全程加成'!$J$3+'模拟-全程加成'!$J$4+'模拟-全程加成'!$J$5+('模拟-全程加成'!$I$4+'模拟-全程加成'!$I$5)/系数!$B$4+BG239*10%,IF(P239="命",1,IF(P239="识",0.25,0))),0)</f>
        <v>0</v>
      </c>
      <c r="AZ239" s="108">
        <f t="shared" si="218"/>
        <v>7.0850000000000071</v>
      </c>
      <c r="BA239" s="108" t="b">
        <f>AND(模拟模式!$Q$10="有",AZ238=0)</f>
        <v>0</v>
      </c>
      <c r="BB239" s="140">
        <f>IF(BA239,(0+G239*0.287)*(1+J239)*(1-S239)*(1+$I$4)*IF(P239="会",'模拟-全程加成'!$J$3+'模拟-全程加成'!$J$4+'模拟-全程加成'!$J$5+('模拟-全程加成'!$I$4+'模拟-全程加成'!$I$5)/系数!$B$4+BG239*10%,IF(P239="命",1,IF(P239="识",0.25,0))),0)</f>
        <v>0</v>
      </c>
      <c r="BC239" s="115" t="b">
        <f ca="1">AND(模拟模式!$R$7="伏明众生",E239=60,F239=20,DA239&lt;5,CZ238&lt;$F$4)</f>
        <v>0</v>
      </c>
      <c r="BD239" s="115">
        <f t="shared" ca="1" si="180"/>
        <v>0</v>
      </c>
      <c r="BE239" s="115" t="b">
        <f t="shared" ca="1" si="181"/>
        <v>0</v>
      </c>
      <c r="BF239" s="47">
        <f ca="1">IF(BC239,4*('模拟-单技能数据'!$D$24+G239*'模拟-单技能数据'!$F$24)*(1+J239)*(1+'模拟-单技能数据'!$J$24)*(1-S239)*(1+$I$3)*(('模拟-全程加成'!$J$3+'模拟-全程加成'!$J$4+'模拟-全程加成'!$J$5+('模拟-全程加成'!$I$4+'模拟-全程加成'!$I$5)/系数!$B$4+BG239*10%)*('模拟-全程加成'!$J$3+'模拟-全程加成'!$J$4+'模拟-全程加成'!$J$5+('模拟-全程加成'!$I$4+'模拟-全程加成'!$I$5)/系数!$B$4+BG239*10%)+(1-('模拟-全程加成'!$J$3+'模拟-全程加成'!$J$4+'模拟-全程加成'!$J$5+('模拟-全程加成'!$I$4+'模拟-全程加成'!$I$5)/系数!$B$4+BG239*10%)-$F$10-$F$11)+F225*0.25),0)*'模拟-单技能数据'!$I$24</f>
        <v>0</v>
      </c>
      <c r="BG239" s="115" t="b">
        <f ca="1">OR(AND(OR(C239="烈日斩",C239="银月斩"),模拟模式!$I$7="净身明礼"),AND(C239="净世破魔击·日",模拟模式!$J$7="洞若观火"),AND(C240="净世破魔击·月",模拟模式!$J$7="洞若观火"),AB239=1)</f>
        <v>1</v>
      </c>
      <c r="BH239" s="115" t="b">
        <f t="shared" ca="1" si="219"/>
        <v>0</v>
      </c>
      <c r="BI239" s="115">
        <f t="shared" ca="1" si="182"/>
        <v>0</v>
      </c>
      <c r="BJ239" s="115" t="b">
        <f t="shared" ca="1" si="193"/>
        <v>0</v>
      </c>
      <c r="BK239" s="115" t="b">
        <f ca="1">AND(C239="驱夜断愁",模拟模式!$P$7="天地诛戮")</f>
        <v>0</v>
      </c>
      <c r="BL239" s="57">
        <f t="shared" ca="1" si="183"/>
        <v>14.465000000000003</v>
      </c>
      <c r="BM239" s="115" t="b">
        <f t="shared" ca="1" si="194"/>
        <v>1</v>
      </c>
      <c r="BN239" s="115" t="b">
        <f ca="1">AND(OR(C239="赤日轮1",C239="赤日轮2",C239="赤日轮3",C239="幽月轮1",C239="幽月轮2",C239="幽月轮3"),AB239=1,模拟模式!$L$7="明光恒照")</f>
        <v>0</v>
      </c>
      <c r="BO239" s="117">
        <f t="shared" ca="1" si="184"/>
        <v>26.310000000000002</v>
      </c>
      <c r="BP239" s="115">
        <f t="shared" ca="1" si="220"/>
        <v>6</v>
      </c>
      <c r="BQ239" s="115" t="b">
        <f>模拟模式!$K$10="2600·水"</f>
        <v>0</v>
      </c>
      <c r="BR239" s="117">
        <f t="shared" si="221"/>
        <v>0</v>
      </c>
      <c r="BS239" s="115">
        <f t="shared" si="222"/>
        <v>0</v>
      </c>
      <c r="BT239" s="115">
        <f t="shared" ca="1" si="223"/>
        <v>0</v>
      </c>
      <c r="BU239" s="115" t="b">
        <f ca="1">AND(模拟模式!$K$10="2300·雷",BT238=0,RAND()&lt;IF(C239="净世破魔击·月",5*0.05*2/3,IF(C239="净世破魔击·日",3*0.05*2/3,0.05*2*2/3)))</f>
        <v>0</v>
      </c>
      <c r="BV239" s="115">
        <f t="shared" ca="1" si="224"/>
        <v>0</v>
      </c>
      <c r="BW239" s="115">
        <f t="shared" ca="1" si="225"/>
        <v>176.30999999999995</v>
      </c>
      <c r="BX239" s="164" t="b">
        <f t="shared" ca="1" si="226"/>
        <v>0</v>
      </c>
      <c r="BY239" s="115">
        <f t="shared" ca="1" si="227"/>
        <v>11.310000000000002</v>
      </c>
      <c r="BZ239" s="115">
        <f>IF(OR(模拟模式!$P$16="10人团",模拟模式!$P$16="25人团"),IF(B239/30&gt;CA238,1,0),0)</f>
        <v>0</v>
      </c>
      <c r="CA239" s="115">
        <f t="shared" si="203"/>
        <v>0</v>
      </c>
      <c r="CB239" s="115">
        <f ca="1">IF(BZ239=1,IF(模拟模式!$P$16="10人团",15,0)+IF(模拟模式!$P$16="25人团",IF(RAND()&lt;0.6,15,0)),MAX(0,CB238-$F$4))</f>
        <v>0</v>
      </c>
      <c r="CC239" s="115" t="b">
        <f t="shared" ca="1" si="195"/>
        <v>0</v>
      </c>
      <c r="CD239" s="115">
        <f>IF(模拟模式!$Q$16="1个",IF(B239/40&gt;CE238,1,0),0)</f>
        <v>0</v>
      </c>
      <c r="CE239" s="115">
        <f t="shared" si="196"/>
        <v>0</v>
      </c>
      <c r="CF239" s="115">
        <f>IF(OR(CD239=1,模拟模式!$Q$16="2个"),20,MAX(0,CF238-$F$4))</f>
        <v>0</v>
      </c>
      <c r="CG239" s="115" t="b">
        <f t="shared" si="197"/>
        <v>0</v>
      </c>
      <c r="CH239" s="115">
        <f t="shared" ca="1" si="228"/>
        <v>0.48000000000001186</v>
      </c>
      <c r="CI239" s="115" t="b">
        <f t="shared" ca="1" si="229"/>
        <v>0</v>
      </c>
      <c r="CJ239" s="119">
        <f t="shared" ca="1" si="230"/>
        <v>0</v>
      </c>
      <c r="CK239" s="115">
        <f t="shared" ca="1" si="231"/>
        <v>0</v>
      </c>
      <c r="CL239" s="115" t="b">
        <f ca="1">AND(模拟模式!$S$7="驱夷逐法",OR(AND(C239="净世破魔击·月",E238&gt;59),AND(C239="净世破魔击·日",F238&gt;59)))</f>
        <v>0</v>
      </c>
      <c r="CM239" s="115" t="b">
        <f ca="1">OR(CL239,AND(C239="净世破魔击·日",CL238,RAND()&lt;模拟模式!$U$23))</f>
        <v>0</v>
      </c>
      <c r="CN239" s="115" t="b">
        <f ca="1">IF(模拟模式!$M$7="辉耀红尘",AND(C239="净世破魔击·月",CL239,CV239=0,E238&lt;80),AND(C239="净世破魔击·月",CL239,E238&lt;100))</f>
        <v>0</v>
      </c>
      <c r="CO239" s="115" t="b">
        <f t="shared" ca="1" si="204"/>
        <v>0</v>
      </c>
      <c r="CP239" s="115" t="b">
        <f ca="1">AND(模拟模式!$O$7="用晦而明",OR(C239="净世破魔击·日",C239="净世破魔击·月",C239="驱夜断愁"),AB239)</f>
        <v>0</v>
      </c>
      <c r="CQ239" s="115" t="b">
        <f ca="1">OR(CP239,AND(CP238,RAND()&lt;模拟模式!$U$23))</f>
        <v>1</v>
      </c>
      <c r="CR239" s="115" t="b">
        <f ca="1">AND(模拟模式!$S$7="日月齐光",OR(C239="幽月轮1",C239="幽月轮2",C239="幽月轮3",CR238),NOT(OR(C239="赤日轮1",C239="赤日轮2",C239="赤日轮3")))</f>
        <v>0</v>
      </c>
      <c r="CS239" s="115" t="b">
        <f ca="1">AND(模拟模式!$S$7="日月齐光",OR(C239="赤日轮1",C239="赤日轮2",C239="赤日轮3",CS238),NOT(OR(C239="幽月轮1",C239="幽月轮2",C239="幽月轮3")))</f>
        <v>0</v>
      </c>
      <c r="CT239" s="115">
        <f t="shared" ca="1" si="232"/>
        <v>4.1700000000000115</v>
      </c>
      <c r="CU239" s="115" t="b">
        <f ca="1">AND(模拟模式!$K$10="阴阳往极",CT238=0,RAND()&lt;IF(C239="净世破魔击·月",0.0275*7/3,IF(C239="净世破魔击·日",0.0275*3/3,0.0275*2/3)))</f>
        <v>0</v>
      </c>
      <c r="CV239" s="115">
        <f t="shared" ca="1" si="233"/>
        <v>0</v>
      </c>
      <c r="CW239" s="115">
        <f t="shared" ca="1" si="205"/>
        <v>1.3874999999999997</v>
      </c>
      <c r="CX239" s="115">
        <f t="shared" ca="1" si="206"/>
        <v>6</v>
      </c>
      <c r="CY239" s="115">
        <f ca="1">MAX(IF($C239="驱夜断愁",IF(模拟模式!$R$7="万念俱寂",6,45),CY238-$F$4),0)</f>
        <v>0.46499999999999975</v>
      </c>
      <c r="CZ239" s="115">
        <f t="shared" ca="1" si="207"/>
        <v>0</v>
      </c>
      <c r="DA239" s="115">
        <f ca="1">IF(模拟模式!$N$7="日月同辉",IF(DB238=2,0,MIN(6,IF(AND(OR(C239="赤日轮1",C239="赤日轮2",C239="赤日轮3",C239="幽月轮1",C239="幽月轮2",C239="幽月轮3"),AB239=1),DA238+1,DA238))),0)</f>
        <v>0</v>
      </c>
      <c r="DB239" s="115">
        <f t="shared" ca="1" si="208"/>
        <v>0</v>
      </c>
      <c r="DC239" s="115"/>
      <c r="DD239" s="115"/>
      <c r="DE239" s="115"/>
      <c r="DF239" s="115"/>
      <c r="DG239" s="115"/>
      <c r="DH239" s="115"/>
      <c r="DI239" s="115"/>
      <c r="DJ239" s="115"/>
      <c r="DK239" s="115"/>
      <c r="DL239" s="115"/>
      <c r="DM239" s="115"/>
    </row>
    <row r="240" spans="2:117" x14ac:dyDescent="0.2">
      <c r="B240" s="117">
        <f t="shared" si="209"/>
        <v>196.49250000000094</v>
      </c>
      <c r="C240" s="167" t="str">
        <f t="shared" ca="1" si="202"/>
        <v>驱夜断愁</v>
      </c>
      <c r="D240" s="115">
        <f ca="1">IF(C240="赤日轮1",1,IF(C240="赤日轮2",2,IF(C240="赤日轮3",3,IF(C240="幽月轮1",4,IF(C240="幽月轮2",5,IF(C240="幽月轮3",6,IF(C240="烈日斩",7,IF(C240="银月斩",8,IF(C240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240="净世破魔击·月",17,IF(C240="驱夜断愁",18,0)))))))))))</f>
        <v>18</v>
      </c>
      <c r="E240" s="115">
        <f ca="1">IF(AND(CU240,OR(C240="幽月轮1",C240="幽月轮2",C240="幽月轮3",C240="银月斩",C240="驱夜断愁",C240="净世破魔击·月")),100,MIN(IF(OR(CN240,BE240),0,IF(OR($C240="赤日轮1",$C240="赤日轮2",$C240="赤日轮3"),E239+20+IF(模拟模式!$I$7="日月凌天",4,0)+IF(CR239,20,0),IF($C240="烈日斩",E239+40,IF($C240="驱夜断愁",IF(模拟模式!$R$7="万念俱寂",E239+20,E239+60),IF($C240="净世破魔击·月",IF(OR(DB239&gt;0,CV239&gt;0),100,IF(模拟模式!$M$7="辉耀红尘",E239+20,E239)),IF($C240="净世破魔击·日",E239-100,E239)))))),100))</f>
        <v>40</v>
      </c>
      <c r="F240" s="115">
        <f ca="1">IF(AND(CU240,OR(C240="赤日轮1",C240="赤日轮2",C240="赤日轮3",C240="烈日斩",C240="净世破魔击·日")),100,MIN(IF(CO240,0,IF(OR($C240="幽月轮1",$C240="幽月轮2",$C240="幽月轮3"),F239+20+IF(模拟模式!$I$7="日月凌天",4,0)+IF(CS239,20,0),IF($C240="银月斩",F239+40+IF(模拟模式!$X$12=1,5,0),IF($C240="驱夜断愁",IF(模拟模式!$R$7="万念俱寂",F239+20,F239+60),IF($C240="净世破魔击·月",IF(模拟模式!$M$7="辉耀红尘",F239-80,F239-100),IF(AND(C240="净世破魔击·日",OR(DB239&gt;0,CV239&gt;0)),100,F239)))))),100))</f>
        <v>85</v>
      </c>
      <c r="G240" s="117">
        <f ca="1">('模拟-全程加成'!$E$3+'模拟-全程加成'!$E$4+'模拟-全程加成'!$E$5+('模拟-全程加成'!$C$6-'模拟-全程加成'!$C$3)*系数!$B$9+BS240*23)*(1+'模拟-全程加成'!$F$4+'模拟-全程加成'!$F$5+BJ240*10%+BM240*20%+BP240*4%+CG240*30%)+$F$7*系数!$B$12</f>
        <v>20583.127400000001</v>
      </c>
      <c r="H240" s="45">
        <f ca="1">'模拟-全程加成'!$H$3+'模拟-全程加成'!$H$4+'模拟-全程加成'!$H$5+('模拟-全程加成'!$G$4+'模拟-全程加成'!$G$5+('模拟-全程加成'!$C$6-'模拟-全程加成'!$C$3)*系数!$B$13)/系数!$B$3+LOOKUP(D240,'模拟-单技能数据'!$A$2:$A$19,'模拟-单技能数据'!$K$2:$K$19)+BG240*10%+IF(BV240&gt;0,378,0)</f>
        <v>0.51185145527300213</v>
      </c>
      <c r="I240" s="45">
        <f ca="1">'模拟-全程加成'!$J$3+'模拟-全程加成'!$J$4+'模拟-全程加成'!$J$5+('模拟-全程加成'!$I$4+'模拟-全程加成'!$I$5)/系数!$B$4+LOOKUP(D240,'模拟-单技能数据'!$A$2:$A$19,'模拟-单技能数据'!$L$2:$L$19)+BG240*10%</f>
        <v>2.162482885499879</v>
      </c>
      <c r="J240" s="45">
        <f ca="1">(('模拟-全程加成'!$K$3+'模拟-全程加成'!$K$4+'模拟-全程加成'!$K$5+('模拟-全程加成'!$C$6-'模拟-全程加成'!$C$3)*系数!$B$10+IF(BV240&gt;0,882,0)+IF(BY240&gt;0,1831,0))*(1+'模拟-全程加成'!$L$4+'模拟-全程加成'!$L$5+CC240*20%))/系数!$B$5</f>
        <v>0.85832564669386491</v>
      </c>
      <c r="K240" s="119">
        <f ca="1">LOOKUP(D240,'模拟-单技能数据'!$A$2:$A$19,'模拟-单技能数据'!$J$2:$J$19)+IF(CM240,60%,0)+IF(DB239-DB240&gt;0,30%,0)+IF(OR(AND(OR(C240="赤日轮1",C240="赤日轮2",C240="赤日轮3"),CR240),AND(OR(C240="幽月轮1",C240="幽月轮2",C240="幽月轮3"),CS240)),35%,0)+CJ240</f>
        <v>0.14000000000000001</v>
      </c>
      <c r="L240" s="119">
        <f ca="1">IF(AND(C240="烈日斩",模拟模式!$X$11=1),10%,0)+IF(AND(C240="驱夜断愁",AB240=1),30%,0)</f>
        <v>0.3</v>
      </c>
      <c r="M240" s="45">
        <f t="shared" ca="1" si="185"/>
        <v>0.51185145527300213</v>
      </c>
      <c r="N240" s="45">
        <f t="shared" ca="1" si="186"/>
        <v>0.43424854472699792</v>
      </c>
      <c r="O240" s="46">
        <f t="shared" ca="1" si="210"/>
        <v>0.30849010702083335</v>
      </c>
      <c r="P240" s="46" t="str">
        <f t="shared" ca="1" si="211"/>
        <v>会</v>
      </c>
      <c r="Q240" s="45">
        <f t="shared" ca="1" si="212"/>
        <v>2.162482885499879</v>
      </c>
      <c r="R240" s="117">
        <f ca="1">模拟模式!$E$20*(1-IF(模拟模式!$J$19="有",0.15,0))*(1-IF(模拟模式!$K$19="有",0.3,0)-IF(CQ240,0.5,0))</f>
        <v>843.02999999999975</v>
      </c>
      <c r="S240" s="45">
        <f ca="1">R240/(R240+(185*模拟模式!$E$22-16800)*4.08224)</f>
        <v>8.389626085980037E-2</v>
      </c>
      <c r="T240" s="45" t="str">
        <f ca="1">LOOKUP(D240,'模拟-单技能数据'!$A$2:$A$19,'模拟-单技能数据'!$H$2:$H$19)</f>
        <v>阴</v>
      </c>
      <c r="U240" s="119">
        <f t="shared" ca="1" si="187"/>
        <v>0.08</v>
      </c>
      <c r="V240" s="47">
        <f ca="1">(1+L240)*(LOOKUP(D240,'模拟-单技能数据'!$A$2:$A$19,'模拟-单技能数据'!$D$2:$D$19)+G240*LOOKUP(D240,'模拟-单技能数据'!$A$2:$A$19,'模拟-单技能数据'!$F$2:$F$19))*(1+J240)*(1+K240)*(1-S240)*(1+U240)*Q240*LOOKUP(D240,'模拟-单技能数据'!$A$2:$A$19,'模拟-单技能数据'!$I$2:$I$20)</f>
        <v>139561.65815374927</v>
      </c>
      <c r="W240" s="47">
        <f ca="1">LOOKUP(D240,'模拟-单技能数据'!$A$2:$A$19,'模拟-单技能数据'!$G$2:$G$19)*$I$10</f>
        <v>723.0212870940959</v>
      </c>
      <c r="X240" s="47">
        <f t="shared" ca="1" si="213"/>
        <v>59158.503524790925</v>
      </c>
      <c r="Y240" s="47">
        <f t="shared" ca="1" si="188"/>
        <v>199443.1829656343</v>
      </c>
      <c r="Z240" s="49">
        <f t="shared" ca="1" si="189"/>
        <v>22695655.330340169</v>
      </c>
      <c r="AA240" s="97">
        <f t="shared" ca="1" si="190"/>
        <v>115503.92676738328</v>
      </c>
      <c r="AB240" s="115">
        <f ca="1">IF(OR(C240="赤日轮1",C240="赤日轮2",C240="赤日轮3"),IF(RAND()&lt;模拟模式!$Y$17,1,0),IF(OR(C240="幽月轮1",C240="幽月轮2",C240="幽月轮3"),IF(RAND()&lt;模拟模式!$Y$18,1,0),IF(C240="烈日斩",IF(RAND()&lt;模拟模式!$Y$19,1,0),IF(C240="银月斩",IF(RAND()&lt;模拟模式!$Y$20,1,0),IF(C240="驱夜断愁",IF(RAND()&lt;模拟模式!$Y$21,1,0),IF(C240="净世破魔击·日",IF(RAND()&lt;模拟模式!$Y$22,1,0),IF(C240="净世破魔击·月",IF(RAND()&lt;模拟模式!$Y$23,1,0),0)))))))</f>
        <v>1</v>
      </c>
      <c r="AC240" s="115" t="b">
        <f t="shared" ca="1" si="178"/>
        <v>0</v>
      </c>
      <c r="AD240" s="115" t="b">
        <f t="shared" ca="1" si="198"/>
        <v>0</v>
      </c>
      <c r="AE240" s="115">
        <f t="shared" ca="1" si="199"/>
        <v>5</v>
      </c>
      <c r="AF240" s="47">
        <f ca="1">IF(AC240,('模拟-单技能数据'!$D$20+G240*'模拟-单技能数据'!$F$20)*(1+J240)*(1+'模拟-单技能数据'!$J$20)*(1+U240),0)</f>
        <v>0</v>
      </c>
      <c r="AG240" s="61">
        <f t="shared" ca="1" si="191"/>
        <v>0.64185145527300214</v>
      </c>
      <c r="AH240" s="61">
        <f t="shared" ca="1" si="192"/>
        <v>2.2624828854998791</v>
      </c>
      <c r="AI240" s="62">
        <f t="shared" ca="1" si="214"/>
        <v>0.25382063649305775</v>
      </c>
      <c r="AJ240" s="47">
        <f ca="1">IF(AD240,IF(AI240&lt;$F$10,0,IF(AI240&lt;$F$10+$F$11,0.25,IF(AI240&lt;$F$10+$F$11+AG240,AH240,1)))*IF(AF240&gt;0,AF240,IF(AF239&gt;0,AF239,IF(AF238&gt;0,AF238,IF(AF237&gt;0,AF237,IF(AF236&gt;0,AF236,IF(AF235&gt;0,AF235,IF(AF234&gt;0,AF234,IF(AF233&gt;0,AF233,IF(AF232&gt;0,AF232,IF(AF230&gt;0,AF230,IF(AF229&gt;0,AF229,IF(AF228&gt;0,AF228,0)))))))))))),0)*(1-$S240)*'模拟-单技能数据'!$I$20</f>
        <v>0</v>
      </c>
      <c r="AK240" s="115" t="b">
        <f t="shared" ca="1" si="179"/>
        <v>0</v>
      </c>
      <c r="AL240" s="115" t="b">
        <f t="shared" ca="1" si="200"/>
        <v>0</v>
      </c>
      <c r="AM240" s="115">
        <f t="shared" ca="1" si="201"/>
        <v>4</v>
      </c>
      <c r="AN240" s="47">
        <f ca="1">IF(AK240,('模拟-单技能数据'!$D$21+G240*'模拟-单技能数据'!$F$21)*(1+J240)*(1+'模拟-单技能数据'!$J$21)*(1+U240),0)</f>
        <v>0</v>
      </c>
      <c r="AO240" s="61">
        <f ca="1">IF(AN240&gt;0,M240-'模拟-单技能数据'!$K$10,AO239)</f>
        <v>0.42185145527300216</v>
      </c>
      <c r="AP240" s="61">
        <f ca="1">IF(AN240&gt;0,I240-'模拟-单技能数据'!$L$10,AP239)</f>
        <v>2.162482885499879</v>
      </c>
      <c r="AQ240" s="63">
        <f t="shared" ca="1" si="215"/>
        <v>0.30571378380780212</v>
      </c>
      <c r="AR240" s="64">
        <f ca="1">IF(AL240,IF(AQ240&lt;$F$10,0,IF(AQ240&lt;$F$10+$F$11,0.25,IF(AQ240&lt;$F$10+$F$11+AO240,AP240,1)))*IF(AN240&gt;0,AN240,IF(AN239&gt;0,AN239,IF(AN238&gt;0,AN238,IF(AN237&gt;0,AN237,IF(AN236&gt;0,AN236,IF(AN235&gt;0,AN235,IF(AN234&gt;0,AN234,IF(AN233&gt;0,AN233,IF(AN232&gt;0,AN232,IF(AN230&gt;0,AN230,IF(AN229&gt;0,AN229,IF(AN228&gt;0,AN228,0)))))))))))),0)*(1-$S240)*'模拟-单技能数据'!$I$21</f>
        <v>0</v>
      </c>
      <c r="AS240" s="61">
        <f ca="1">IF(OR(C240="净世破魔击·日",C240="净世破魔击·月"),M240-'模拟-单技能数据'!$K$10,0)</f>
        <v>0</v>
      </c>
      <c r="AT240" s="61">
        <f ca="1">IF(OR(C240="净世破魔击·日",C240="净世破魔击·月"),I240-'模拟-单技能数据'!$L$10,0)</f>
        <v>0</v>
      </c>
      <c r="AU240" s="62">
        <f t="shared" ca="1" si="216"/>
        <v>0.94805893366395866</v>
      </c>
      <c r="AV240" s="64">
        <f ca="1">IF(AS240&gt;0,('模拟-单技能数据'!$D$22+G240*'模拟-单技能数据'!$F$22)*(1+J240)*(1-S240)*IF(AU240&lt;$F$10,0,IF(AU240&lt;$F$10+$F$11,0.25,IF(AU240&lt;$F$10+$F$11+AS240,AT240,1)))*(1+U240),0)*'模拟-单技能数据'!$I$22</f>
        <v>0</v>
      </c>
      <c r="AW240" s="108">
        <f t="shared" ca="1" si="217"/>
        <v>19.077500000000001</v>
      </c>
      <c r="AX240" s="108" t="b">
        <f ca="1">AND(模拟模式!$P$10="有",AW239=0,RAND()&lt;IF(C240="净世破魔击·月",0.1*8/3,IF(C240="净世破魔击·日",0.1*4/3,0.1*2/3)))</f>
        <v>1</v>
      </c>
      <c r="AY240" s="47">
        <f ca="1">IF(AX240,(18+G240*0.722)*(1+J240)*(1-S240)*(1+$I$4)*IF(P240="会",'模拟-全程加成'!$J$3+'模拟-全程加成'!$J$4+'模拟-全程加成'!$J$5+('模拟-全程加成'!$I$4+'模拟-全程加成'!$I$5)/系数!$B$4+BG240*10%,IF(P240="命",1,IF(P240="识",0.25,0))),0)</f>
        <v>59158.503524790925</v>
      </c>
      <c r="AZ240" s="108">
        <f t="shared" si="218"/>
        <v>6.1625000000000068</v>
      </c>
      <c r="BA240" s="108" t="b">
        <f>AND(模拟模式!$Q$10="有",AZ239=0)</f>
        <v>0</v>
      </c>
      <c r="BB240" s="140">
        <f>IF(BA240,(0+G240*0.287)*(1+J240)*(1-S240)*(1+$I$4)*IF(P240="会",'模拟-全程加成'!$J$3+'模拟-全程加成'!$J$4+'模拟-全程加成'!$J$5+('模拟-全程加成'!$I$4+'模拟-全程加成'!$I$5)/系数!$B$4+BG240*10%,IF(P240="命",1,IF(P240="识",0.25,0))),0)</f>
        <v>0</v>
      </c>
      <c r="BC240" s="115" t="b">
        <f ca="1">AND(模拟模式!$R$7="伏明众生",E240=60,F240=20,DA240&lt;5,CZ239&lt;$F$4)</f>
        <v>0</v>
      </c>
      <c r="BD240" s="115">
        <f t="shared" ca="1" si="180"/>
        <v>0</v>
      </c>
      <c r="BE240" s="115" t="b">
        <f t="shared" ca="1" si="181"/>
        <v>0</v>
      </c>
      <c r="BF240" s="47">
        <f ca="1">IF(BC240,4*('模拟-单技能数据'!$D$24+G240*'模拟-单技能数据'!$F$24)*(1+J240)*(1+'模拟-单技能数据'!$J$24)*(1-S240)*(1+$I$3)*(('模拟-全程加成'!$J$3+'模拟-全程加成'!$J$4+'模拟-全程加成'!$J$5+('模拟-全程加成'!$I$4+'模拟-全程加成'!$I$5)/系数!$B$4+BG240*10%)*('模拟-全程加成'!$J$3+'模拟-全程加成'!$J$4+'模拟-全程加成'!$J$5+('模拟-全程加成'!$I$4+'模拟-全程加成'!$I$5)/系数!$B$4+BG240*10%)+(1-('模拟-全程加成'!$J$3+'模拟-全程加成'!$J$4+'模拟-全程加成'!$J$5+('模拟-全程加成'!$I$4+'模拟-全程加成'!$I$5)/系数!$B$4+BG240*10%)-$F$10-$F$11)+F226*0.25),0)*'模拟-单技能数据'!$I$24</f>
        <v>0</v>
      </c>
      <c r="BG240" s="115" t="b">
        <f ca="1">OR(AND(OR(C240="烈日斩",C240="银月斩"),模拟模式!$I$7="净身明礼"),AND(C240="净世破魔击·日",模拟模式!$J$7="洞若观火"),AND(C241="净世破魔击·月",模拟模式!$J$7="洞若观火"),AB240=1)</f>
        <v>1</v>
      </c>
      <c r="BH240" s="115" t="b">
        <f t="shared" ca="1" si="219"/>
        <v>0</v>
      </c>
      <c r="BI240" s="115">
        <f t="shared" ca="1" si="182"/>
        <v>0</v>
      </c>
      <c r="BJ240" s="115" t="b">
        <f t="shared" ca="1" si="193"/>
        <v>0</v>
      </c>
      <c r="BK240" s="115" t="b">
        <f ca="1">AND(C240="驱夜断愁",模拟模式!$P$7="天地诛戮")</f>
        <v>1</v>
      </c>
      <c r="BL240" s="57">
        <f t="shared" ca="1" si="183"/>
        <v>20</v>
      </c>
      <c r="BM240" s="115" t="b">
        <f t="shared" ca="1" si="194"/>
        <v>1</v>
      </c>
      <c r="BN240" s="115" t="b">
        <f ca="1">AND(OR(C240="赤日轮1",C240="赤日轮2",C240="赤日轮3",C240="幽月轮1",C240="幽月轮2",C240="幽月轮3"),AB240=1,模拟模式!$L$7="明光恒照")</f>
        <v>0</v>
      </c>
      <c r="BO240" s="117">
        <f t="shared" ca="1" si="184"/>
        <v>25.387500000000003</v>
      </c>
      <c r="BP240" s="115">
        <f t="shared" ca="1" si="220"/>
        <v>6</v>
      </c>
      <c r="BQ240" s="115" t="b">
        <f>模拟模式!$K$10="2600·水"</f>
        <v>0</v>
      </c>
      <c r="BR240" s="117">
        <f t="shared" si="221"/>
        <v>0</v>
      </c>
      <c r="BS240" s="115">
        <f t="shared" si="222"/>
        <v>0</v>
      </c>
      <c r="BT240" s="115">
        <f t="shared" ca="1" si="223"/>
        <v>0</v>
      </c>
      <c r="BU240" s="115" t="b">
        <f ca="1">AND(模拟模式!$K$10="2300·雷",BT239=0,RAND()&lt;IF(C240="净世破魔击·月",5*0.05*2/3,IF(C240="净世破魔击·日",3*0.05*2/3,0.05*2*2/3)))</f>
        <v>0</v>
      </c>
      <c r="BV240" s="115">
        <f t="shared" ca="1" si="224"/>
        <v>0</v>
      </c>
      <c r="BW240" s="115">
        <f t="shared" ca="1" si="225"/>
        <v>175.38749999999993</v>
      </c>
      <c r="BX240" s="164" t="b">
        <f t="shared" ca="1" si="226"/>
        <v>0</v>
      </c>
      <c r="BY240" s="115">
        <f t="shared" ca="1" si="227"/>
        <v>10.387500000000003</v>
      </c>
      <c r="BZ240" s="115">
        <f>IF(OR(模拟模式!$P$16="10人团",模拟模式!$P$16="25人团"),IF(B240/30&gt;CA239,1,0),0)</f>
        <v>0</v>
      </c>
      <c r="CA240" s="115">
        <f t="shared" si="203"/>
        <v>0</v>
      </c>
      <c r="CB240" s="115">
        <f ca="1">IF(BZ240=1,IF(模拟模式!$P$16="10人团",15,0)+IF(模拟模式!$P$16="25人团",IF(RAND()&lt;0.6,15,0)),MAX(0,CB239-$F$4))</f>
        <v>0</v>
      </c>
      <c r="CC240" s="115" t="b">
        <f t="shared" ca="1" si="195"/>
        <v>0</v>
      </c>
      <c r="CD240" s="115">
        <f>IF(模拟模式!$Q$16="1个",IF(B240/40&gt;CE239,1,0),0)</f>
        <v>0</v>
      </c>
      <c r="CE240" s="115">
        <f t="shared" si="196"/>
        <v>0</v>
      </c>
      <c r="CF240" s="115">
        <f>IF(OR(CD240=1,模拟模式!$Q$16="2个"),20,MAX(0,CF239-$F$4))</f>
        <v>0</v>
      </c>
      <c r="CG240" s="115" t="b">
        <f t="shared" si="197"/>
        <v>0</v>
      </c>
      <c r="CH240" s="115">
        <f t="shared" ca="1" si="228"/>
        <v>0</v>
      </c>
      <c r="CI240" s="115" t="b">
        <f t="shared" ca="1" si="229"/>
        <v>0</v>
      </c>
      <c r="CJ240" s="119">
        <f t="shared" ca="1" si="230"/>
        <v>0</v>
      </c>
      <c r="CK240" s="115">
        <f t="shared" ca="1" si="231"/>
        <v>0</v>
      </c>
      <c r="CL240" s="115" t="b">
        <f ca="1">AND(模拟模式!$S$7="驱夷逐法",OR(AND(C240="净世破魔击·月",E239&gt;59),AND(C240="净世破魔击·日",F239&gt;59)))</f>
        <v>0</v>
      </c>
      <c r="CM240" s="115" t="b">
        <f ca="1">OR(CL240,AND(C240="净世破魔击·日",CL239,RAND()&lt;模拟模式!$U$23))</f>
        <v>0</v>
      </c>
      <c r="CN240" s="115" t="b">
        <f ca="1">IF(模拟模式!$M$7="辉耀红尘",AND(C240="净世破魔击·月",CL240,CV240=0,E239&lt;80),AND(C240="净世破魔击·月",CL240,E239&lt;100))</f>
        <v>0</v>
      </c>
      <c r="CO240" s="115" t="b">
        <f t="shared" ca="1" si="204"/>
        <v>0</v>
      </c>
      <c r="CP240" s="115" t="b">
        <f ca="1">AND(模拟模式!$O$7="用晦而明",OR(C240="净世破魔击·日",C240="净世破魔击·月",C240="驱夜断愁"),AB240)</f>
        <v>1</v>
      </c>
      <c r="CQ240" s="115" t="b">
        <f ca="1">OR(CP240,AND(CP239,RAND()&lt;模拟模式!$U$23))</f>
        <v>1</v>
      </c>
      <c r="CR240" s="115" t="b">
        <f ca="1">AND(模拟模式!$S$7="日月齐光",OR(C240="幽月轮1",C240="幽月轮2",C240="幽月轮3",CR239),NOT(OR(C240="赤日轮1",C240="赤日轮2",C240="赤日轮3")))</f>
        <v>0</v>
      </c>
      <c r="CS240" s="115" t="b">
        <f ca="1">AND(模拟模式!$S$7="日月齐光",OR(C240="赤日轮1",C240="赤日轮2",C240="赤日轮3",CS239),NOT(OR(C240="幽月轮1",C240="幽月轮2",C240="幽月轮3")))</f>
        <v>0</v>
      </c>
      <c r="CT240" s="115">
        <f t="shared" ca="1" si="232"/>
        <v>3.2475000000000116</v>
      </c>
      <c r="CU240" s="115" t="b">
        <f ca="1">AND(模拟模式!$K$10="阴阳往极",CT239=0,RAND()&lt;IF(C240="净世破魔击·月",0.0275*7/3,IF(C240="净世破魔击·日",0.0275*3/3,0.0275*2/3)))</f>
        <v>0</v>
      </c>
      <c r="CV240" s="115">
        <f t="shared" ca="1" si="233"/>
        <v>0</v>
      </c>
      <c r="CW240" s="115">
        <f t="shared" ca="1" si="205"/>
        <v>0.46499999999999975</v>
      </c>
      <c r="CX240" s="115">
        <f t="shared" ca="1" si="206"/>
        <v>5.0774999999999997</v>
      </c>
      <c r="CY240" s="115">
        <f ca="1">MAX(IF($C240="驱夜断愁",IF(模拟模式!$R$7="万念俱寂",6,45),CY239-$F$4),0)</f>
        <v>6</v>
      </c>
      <c r="CZ240" s="115">
        <f t="shared" ca="1" si="207"/>
        <v>0</v>
      </c>
      <c r="DA240" s="115">
        <f ca="1">IF(模拟模式!$N$7="日月同辉",IF(DB239=2,0,MIN(6,IF(AND(OR(C240="赤日轮1",C240="赤日轮2",C240="赤日轮3",C240="幽月轮1",C240="幽月轮2",C240="幽月轮3"),AB240=1),DA239+1,DA239))),0)</f>
        <v>0</v>
      </c>
      <c r="DB240" s="115">
        <f t="shared" ca="1" si="208"/>
        <v>0</v>
      </c>
      <c r="DC240" s="115"/>
      <c r="DD240" s="115"/>
      <c r="DE240" s="115"/>
      <c r="DF240" s="115"/>
      <c r="DG240" s="115"/>
      <c r="DH240" s="115"/>
      <c r="DI240" s="115"/>
      <c r="DJ240" s="115"/>
      <c r="DK240" s="115"/>
      <c r="DL240" s="115"/>
      <c r="DM240" s="115"/>
    </row>
    <row r="241" spans="2:117" x14ac:dyDescent="0.2">
      <c r="B241" s="117">
        <f t="shared" si="209"/>
        <v>197.41500000000096</v>
      </c>
      <c r="C241" s="167" t="str">
        <f t="shared" ca="1" si="202"/>
        <v>烈日斩</v>
      </c>
      <c r="D241" s="115">
        <f ca="1">IF(C241="赤日轮1",1,IF(C241="赤日轮2",2,IF(C241="赤日轮3",3,IF(C241="幽月轮1",4,IF(C241="幽月轮2",5,IF(C241="幽月轮3",6,IF(C241="烈日斩",7,IF(C241="银月斩",8,IF(C241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241="净世破魔击·月",17,IF(C241="驱夜断愁",18,0)))))))))))</f>
        <v>7</v>
      </c>
      <c r="E241" s="115">
        <f ca="1">IF(AND(CU241,OR(C241="幽月轮1",C241="幽月轮2",C241="幽月轮3",C241="银月斩",C241="驱夜断愁",C241="净世破魔击·月")),100,MIN(IF(OR(CN241,BE241),0,IF(OR($C241="赤日轮1",$C241="赤日轮2",$C241="赤日轮3"),E240+20+IF(模拟模式!$I$7="日月凌天",4,0)+IF(CR240,20,0),IF($C241="烈日斩",E240+40,IF($C241="驱夜断愁",IF(模拟模式!$R$7="万念俱寂",E240+20,E240+60),IF($C241="净世破魔击·月",IF(OR(DB240&gt;0,CV240&gt;0),100,IF(模拟模式!$M$7="辉耀红尘",E240+20,E240)),IF($C241="净世破魔击·日",E240-100,E240)))))),100))</f>
        <v>80</v>
      </c>
      <c r="F241" s="115">
        <f ca="1">IF(AND(CU241,OR(C241="赤日轮1",C241="赤日轮2",C241="赤日轮3",C241="烈日斩",C241="净世破魔击·日")),100,MIN(IF(CO241,0,IF(OR($C241="幽月轮1",$C241="幽月轮2",$C241="幽月轮3"),F240+20+IF(模拟模式!$I$7="日月凌天",4,0)+IF(CS240,20,0),IF($C241="银月斩",F240+40+IF(模拟模式!$X$12=1,5,0),IF($C241="驱夜断愁",IF(模拟模式!$R$7="万念俱寂",F240+20,F240+60),IF($C241="净世破魔击·月",IF(模拟模式!$M$7="辉耀红尘",F240-80,F240-100),IF(AND(C241="净世破魔击·日",OR(DB240&gt;0,CV240&gt;0)),100,F240)))))),100))</f>
        <v>85</v>
      </c>
      <c r="G241" s="117">
        <f ca="1">('模拟-全程加成'!$E$3+'模拟-全程加成'!$E$4+'模拟-全程加成'!$E$5+('模拟-全程加成'!$C$6-'模拟-全程加成'!$C$3)*系数!$B$9+BS241*23)*(1+'模拟-全程加成'!$F$4+'模拟-全程加成'!$F$5+BJ241*10%+BM241*20%+BP241*4%+CG241*30%)+$F$7*系数!$B$12</f>
        <v>20583.127400000001</v>
      </c>
      <c r="H241" s="45">
        <f ca="1">'模拟-全程加成'!$H$3+'模拟-全程加成'!$H$4+'模拟-全程加成'!$H$5+('模拟-全程加成'!$G$4+'模拟-全程加成'!$G$5+('模拟-全程加成'!$C$6-'模拟-全程加成'!$C$3)*系数!$B$13)/系数!$B$3+LOOKUP(D241,'模拟-单技能数据'!$A$2:$A$19,'模拟-单技能数据'!$K$2:$K$19)+BG241*10%+IF(BV241&gt;0,378,0)</f>
        <v>0.56185145527300218</v>
      </c>
      <c r="I241" s="45">
        <f ca="1">'模拟-全程加成'!$J$3+'模拟-全程加成'!$J$4+'模拟-全程加成'!$J$5+('模拟-全程加成'!$I$4+'模拟-全程加成'!$I$5)/系数!$B$4+LOOKUP(D241,'模拟-单技能数据'!$A$2:$A$19,'模拟-单技能数据'!$L$2:$L$19)+BG241*10%</f>
        <v>2.2624828854998791</v>
      </c>
      <c r="J241" s="45">
        <f ca="1">(('模拟-全程加成'!$K$3+'模拟-全程加成'!$K$4+'模拟-全程加成'!$K$5+('模拟-全程加成'!$C$6-'模拟-全程加成'!$C$3)*系数!$B$10+IF(BV241&gt;0,882,0)+IF(BY241&gt;0,1831,0))*(1+'模拟-全程加成'!$L$4+'模拟-全程加成'!$L$5+CC241*20%))/系数!$B$5</f>
        <v>0.85832564669386491</v>
      </c>
      <c r="K241" s="119">
        <f ca="1">LOOKUP(D241,'模拟-单技能数据'!$A$2:$A$19,'模拟-单技能数据'!$J$2:$J$19)+IF(CM241,60%,0)+IF(DB240-DB241&gt;0,30%,0)+IF(OR(AND(OR(C241="赤日轮1",C241="赤日轮2",C241="赤日轮3"),CR241),AND(OR(C241="幽月轮1",C241="幽月轮2",C241="幽月轮3"),CS241)),35%,0)+CJ241</f>
        <v>0.24</v>
      </c>
      <c r="L241" s="119">
        <f ca="1">IF(AND(C241="烈日斩",模拟模式!$X$11=1),10%,0)+IF(AND(C241="驱夜断愁",AB241=1),30%,0)</f>
        <v>0.1</v>
      </c>
      <c r="M241" s="45">
        <f t="shared" ca="1" si="185"/>
        <v>0.56185145527300218</v>
      </c>
      <c r="N241" s="45">
        <f t="shared" ca="1" si="186"/>
        <v>0.38424854472699788</v>
      </c>
      <c r="O241" s="46">
        <f t="shared" ca="1" si="210"/>
        <v>0.8647135629625583</v>
      </c>
      <c r="P241" s="46" t="str">
        <f t="shared" ca="1" si="211"/>
        <v>命</v>
      </c>
      <c r="Q241" s="45">
        <f t="shared" ca="1" si="212"/>
        <v>1</v>
      </c>
      <c r="R241" s="117">
        <f ca="1">模拟模式!$E$20*(1-IF(模拟模式!$J$19="有",0.15,0))*(1-IF(模拟模式!$K$19="有",0.3,0)-IF(CQ241,0.5,0))</f>
        <v>843.02999999999975</v>
      </c>
      <c r="S241" s="45">
        <f ca="1">R241/(R241+(185*模拟模式!$E$22-16800)*4.08224)</f>
        <v>8.389626085980037E-2</v>
      </c>
      <c r="T241" s="45" t="str">
        <f ca="1">LOOKUP(D241,'模拟-单技能数据'!$A$2:$A$19,'模拟-单技能数据'!$H$2:$H$19)</f>
        <v>阳</v>
      </c>
      <c r="U241" s="119">
        <f t="shared" ca="1" si="187"/>
        <v>0.2</v>
      </c>
      <c r="V241" s="47">
        <f ca="1">(1+L241)*(LOOKUP(D241,'模拟-单技能数据'!$A$2:$A$19,'模拟-单技能数据'!$D$2:$D$19)+G241*LOOKUP(D241,'模拟-单技能数据'!$A$2:$A$19,'模拟-单技能数据'!$F$2:$F$19))*(1+J241)*(1+K241)*(1-S241)*(1+U241)*Q241*LOOKUP(D241,'模拟-单技能数据'!$A$2:$A$19,'模拟-单技能数据'!$I$2:$I$20)</f>
        <v>51230.837985765458</v>
      </c>
      <c r="W241" s="47">
        <f ca="1">LOOKUP(D241,'模拟-单技能数据'!$A$2:$A$19,'模拟-单技能数据'!$G$2:$G$19)*$I$10</f>
        <v>361.51064354704795</v>
      </c>
      <c r="X241" s="47">
        <f t="shared" ca="1" si="213"/>
        <v>22803.612567300461</v>
      </c>
      <c r="Y241" s="47">
        <f t="shared" ca="1" si="188"/>
        <v>74395.96119661296</v>
      </c>
      <c r="Z241" s="49">
        <f t="shared" ca="1" si="189"/>
        <v>22770051.291536782</v>
      </c>
      <c r="AA241" s="97">
        <f t="shared" ca="1" si="190"/>
        <v>115341.03939182266</v>
      </c>
      <c r="AB241" s="115">
        <f ca="1">IF(OR(C241="赤日轮1",C241="赤日轮2",C241="赤日轮3"),IF(RAND()&lt;模拟模式!$Y$17,1,0),IF(OR(C241="幽月轮1",C241="幽月轮2",C241="幽月轮3"),IF(RAND()&lt;模拟模式!$Y$18,1,0),IF(C241="烈日斩",IF(RAND()&lt;模拟模式!$Y$19,1,0),IF(C241="银月斩",IF(RAND()&lt;模拟模式!$Y$20,1,0),IF(C241="驱夜断愁",IF(RAND()&lt;模拟模式!$Y$21,1,0),IF(C241="净世破魔击·日",IF(RAND()&lt;模拟模式!$Y$22,1,0),IF(C241="净世破魔击·月",IF(RAND()&lt;模拟模式!$Y$23,1,0),0)))))))</f>
        <v>1</v>
      </c>
      <c r="AC241" s="115" t="b">
        <f t="shared" ca="1" si="178"/>
        <v>0</v>
      </c>
      <c r="AD241" s="115" t="b">
        <f t="shared" ca="1" si="198"/>
        <v>1</v>
      </c>
      <c r="AE241" s="115">
        <f t="shared" ca="1" si="199"/>
        <v>4</v>
      </c>
      <c r="AF241" s="47">
        <f ca="1">IF(AC241,('模拟-单技能数据'!$D$20+G241*'模拟-单技能数据'!$F$20)*(1+J241)*(1+'模拟-单技能数据'!$J$20)*(1+U241),0)</f>
        <v>0</v>
      </c>
      <c r="AG241" s="61">
        <f t="shared" ca="1" si="191"/>
        <v>0.64185145527300214</v>
      </c>
      <c r="AH241" s="61">
        <f t="shared" ca="1" si="192"/>
        <v>2.2624828854998791</v>
      </c>
      <c r="AI241" s="62">
        <f t="shared" ca="1" si="214"/>
        <v>0.19290139972636278</v>
      </c>
      <c r="AJ241" s="47">
        <f ca="1">IF(AD241,IF(AI241&lt;$F$10,0,IF(AI241&lt;$F$10+$F$11,0.25,IF(AI241&lt;$F$10+$F$11+AG241,AH241,1)))*IF(AF241&gt;0,AF241,IF(AF240&gt;0,AF240,IF(AF239&gt;0,AF239,IF(AF238&gt;0,AF238,IF(AF237&gt;0,AF237,IF(AF236&gt;0,AF236,IF(AF235&gt;0,AF235,IF(AF234&gt;0,AF234,IF(AF233&gt;0,AF233,IF(AF231&gt;0,AF231,IF(AF230&gt;0,AF230,IF(AF229&gt;0,AF229,0)))))))))))),0)*(1-$S241)*'模拟-单技能数据'!$I$20</f>
        <v>10093.953229098464</v>
      </c>
      <c r="AK241" s="115" t="b">
        <f t="shared" ca="1" si="179"/>
        <v>0</v>
      </c>
      <c r="AL241" s="115" t="b">
        <f t="shared" ca="1" si="200"/>
        <v>1</v>
      </c>
      <c r="AM241" s="115">
        <f t="shared" ca="1" si="201"/>
        <v>3</v>
      </c>
      <c r="AN241" s="47">
        <f ca="1">IF(AK241,('模拟-单技能数据'!$D$21+G241*'模拟-单技能数据'!$F$21)*(1+J241)*(1+'模拟-单技能数据'!$J$21)*(1+U241),0)</f>
        <v>0</v>
      </c>
      <c r="AO241" s="61">
        <f ca="1">IF(AN241&gt;0,M241-'模拟-单技能数据'!$K$10,AO240)</f>
        <v>0.42185145527300216</v>
      </c>
      <c r="AP241" s="61">
        <f ca="1">IF(AN241&gt;0,I241-'模拟-单技能数据'!$L$10,AP240)</f>
        <v>2.162482885499879</v>
      </c>
      <c r="AQ241" s="63">
        <f t="shared" ca="1" si="215"/>
        <v>0.81125145969045198</v>
      </c>
      <c r="AR241" s="64">
        <f ca="1">IF(AL241,IF(AQ241&lt;$F$10,0,IF(AQ241&lt;$F$10+$F$11,0.25,IF(AQ241&lt;$F$10+$F$11+AO241,AP241,1)))*IF(AN241&gt;0,AN241,IF(AN240&gt;0,AN240,IF(AN239&gt;0,AN239,IF(AN238&gt;0,AN238,IF(AN237&gt;0,AN237,IF(AN236&gt;0,AN236,IF(AN235&gt;0,AN235,IF(AN234&gt;0,AN234,IF(AN233&gt;0,AN233,IF(AN231&gt;0,AN231,IF(AN230&gt;0,AN230,IF(AN229&gt;0,AN229,0)))))))))))),0)*(1-$S241)*'模拟-单技能数据'!$I$21</f>
        <v>12709.659338201996</v>
      </c>
      <c r="AS241" s="61">
        <f ca="1">IF(OR(C241="净世破魔击·日",C241="净世破魔击·月"),M241-'模拟-单技能数据'!$K$10,0)</f>
        <v>0</v>
      </c>
      <c r="AT241" s="61">
        <f ca="1">IF(OR(C241="净世破魔击·日",C241="净世破魔击·月"),I241-'模拟-单技能数据'!$L$10,0)</f>
        <v>0</v>
      </c>
      <c r="AU241" s="62">
        <f t="shared" ca="1" si="216"/>
        <v>0.13560866325212184</v>
      </c>
      <c r="AV241" s="64">
        <f ca="1">IF(AS241&gt;0,('模拟-单技能数据'!$D$22+G241*'模拟-单技能数据'!$F$22)*(1+J241)*(1-S241)*IF(AU241&lt;$F$10,0,IF(AU241&lt;$F$10+$F$11,0.25,IF(AU241&lt;$F$10+$F$11+AS241,AT241,1)))*(1+U241),0)*'模拟-单技能数据'!$I$22</f>
        <v>0</v>
      </c>
      <c r="AW241" s="108">
        <f t="shared" ca="1" si="217"/>
        <v>18.155000000000001</v>
      </c>
      <c r="AX241" s="108" t="b">
        <f ca="1">AND(模拟模式!$P$10="有",AW240=0,RAND()&lt;IF(C241="净世破魔击·月",0.1*8/3,IF(C241="净世破魔击·日",0.1*4/3,0.1*2/3)))</f>
        <v>0</v>
      </c>
      <c r="AY241" s="47">
        <f ca="1">IF(AX241,(18+G241*0.722)*(1+J241)*(1-S241)*(1+$I$4)*IF(P241="会",'模拟-全程加成'!$J$3+'模拟-全程加成'!$J$4+'模拟-全程加成'!$J$5+('模拟-全程加成'!$I$4+'模拟-全程加成'!$I$5)/系数!$B$4+BG241*10%,IF(P241="命",1,IF(P241="识",0.25,0))),0)</f>
        <v>0</v>
      </c>
      <c r="AZ241" s="108">
        <f t="shared" si="218"/>
        <v>5.2400000000000064</v>
      </c>
      <c r="BA241" s="108" t="b">
        <f>AND(模拟模式!$Q$10="有",AZ240=0)</f>
        <v>0</v>
      </c>
      <c r="BB241" s="140">
        <f>IF(BA241,(0+G241*0.287)*(1+J241)*(1-S241)*(1+$I$4)*IF(P241="会",'模拟-全程加成'!$J$3+'模拟-全程加成'!$J$4+'模拟-全程加成'!$J$5+('模拟-全程加成'!$I$4+'模拟-全程加成'!$I$5)/系数!$B$4+BG241*10%,IF(P241="命",1,IF(P241="识",0.25,0))),0)</f>
        <v>0</v>
      </c>
      <c r="BC241" s="115" t="b">
        <f ca="1">AND(模拟模式!$R$7="伏明众生",E241=60,F241=20,DA241&lt;5,CZ240&lt;$F$4)</f>
        <v>0</v>
      </c>
      <c r="BD241" s="115">
        <f t="shared" ca="1" si="180"/>
        <v>0</v>
      </c>
      <c r="BE241" s="115" t="b">
        <f t="shared" ca="1" si="181"/>
        <v>0</v>
      </c>
      <c r="BF241" s="47">
        <f ca="1">IF(BC241,4*('模拟-单技能数据'!$D$24+G241*'模拟-单技能数据'!$F$24)*(1+J241)*(1+'模拟-单技能数据'!$J$24)*(1-S241)*(1+$I$3)*(('模拟-全程加成'!$J$3+'模拟-全程加成'!$J$4+'模拟-全程加成'!$J$5+('模拟-全程加成'!$I$4+'模拟-全程加成'!$I$5)/系数!$B$4+BG241*10%)*('模拟-全程加成'!$J$3+'模拟-全程加成'!$J$4+'模拟-全程加成'!$J$5+('模拟-全程加成'!$I$4+'模拟-全程加成'!$I$5)/系数!$B$4+BG241*10%)+(1-('模拟-全程加成'!$J$3+'模拟-全程加成'!$J$4+'模拟-全程加成'!$J$5+('模拟-全程加成'!$I$4+'模拟-全程加成'!$I$5)/系数!$B$4+BG241*10%)-$F$10-$F$11)+F227*0.25),0)*'模拟-单技能数据'!$I$24</f>
        <v>0</v>
      </c>
      <c r="BG241" s="115" t="b">
        <f ca="1">OR(AND(OR(C241="烈日斩",C241="银月斩"),模拟模式!$I$7="净身明礼"),AND(C241="净世破魔击·日",模拟模式!$J$7="洞若观火"),AND(C242="净世破魔击·月",模拟模式!$J$7="洞若观火"),AB241=1)</f>
        <v>1</v>
      </c>
      <c r="BH241" s="115" t="b">
        <f t="shared" ca="1" si="219"/>
        <v>0</v>
      </c>
      <c r="BI241" s="115">
        <f t="shared" ca="1" si="182"/>
        <v>0</v>
      </c>
      <c r="BJ241" s="115" t="b">
        <f t="shared" ca="1" si="193"/>
        <v>0</v>
      </c>
      <c r="BK241" s="115" t="b">
        <f ca="1">AND(C241="驱夜断愁",模拟模式!$P$7="天地诛戮")</f>
        <v>0</v>
      </c>
      <c r="BL241" s="57">
        <f t="shared" ca="1" si="183"/>
        <v>19.077500000000001</v>
      </c>
      <c r="BM241" s="115" t="b">
        <f t="shared" ca="1" si="194"/>
        <v>1</v>
      </c>
      <c r="BN241" s="115" t="b">
        <f ca="1">AND(OR(C241="赤日轮1",C241="赤日轮2",C241="赤日轮3",C241="幽月轮1",C241="幽月轮2",C241="幽月轮3"),AB241=1,模拟模式!$L$7="明光恒照")</f>
        <v>0</v>
      </c>
      <c r="BO241" s="117">
        <f t="shared" ca="1" si="184"/>
        <v>24.465000000000003</v>
      </c>
      <c r="BP241" s="115">
        <f t="shared" ca="1" si="220"/>
        <v>6</v>
      </c>
      <c r="BQ241" s="115" t="b">
        <f>模拟模式!$K$10="2600·水"</f>
        <v>0</v>
      </c>
      <c r="BR241" s="117">
        <f t="shared" si="221"/>
        <v>0</v>
      </c>
      <c r="BS241" s="115">
        <f t="shared" si="222"/>
        <v>0</v>
      </c>
      <c r="BT241" s="115">
        <f t="shared" ca="1" si="223"/>
        <v>0</v>
      </c>
      <c r="BU241" s="115" t="b">
        <f ca="1">AND(模拟模式!$K$10="2300·雷",BT240=0,RAND()&lt;IF(C241="净世破魔击·月",5*0.05*2/3,IF(C241="净世破魔击·日",3*0.05*2/3,0.05*2*2/3)))</f>
        <v>0</v>
      </c>
      <c r="BV241" s="115">
        <f t="shared" ca="1" si="224"/>
        <v>0</v>
      </c>
      <c r="BW241" s="115">
        <f t="shared" ca="1" si="225"/>
        <v>174.46499999999992</v>
      </c>
      <c r="BX241" s="164" t="b">
        <f t="shared" ca="1" si="226"/>
        <v>0</v>
      </c>
      <c r="BY241" s="115">
        <f t="shared" ca="1" si="227"/>
        <v>9.4650000000000034</v>
      </c>
      <c r="BZ241" s="115">
        <f>IF(OR(模拟模式!$P$16="10人团",模拟模式!$P$16="25人团"),IF(B241/30&gt;CA240,1,0),0)</f>
        <v>0</v>
      </c>
      <c r="CA241" s="115">
        <f t="shared" si="203"/>
        <v>0</v>
      </c>
      <c r="CB241" s="115">
        <f ca="1">IF(BZ241=1,IF(模拟模式!$P$16="10人团",15,0)+IF(模拟模式!$P$16="25人团",IF(RAND()&lt;0.6,15,0)),MAX(0,CB240-$F$4))</f>
        <v>0</v>
      </c>
      <c r="CC241" s="115" t="b">
        <f t="shared" ca="1" si="195"/>
        <v>0</v>
      </c>
      <c r="CD241" s="115">
        <f>IF(模拟模式!$Q$16="1个",IF(B241/40&gt;CE240,1,0),0)</f>
        <v>0</v>
      </c>
      <c r="CE241" s="115">
        <f t="shared" si="196"/>
        <v>0</v>
      </c>
      <c r="CF241" s="115">
        <f>IF(OR(CD241=1,模拟模式!$Q$16="2个"),20,MAX(0,CF240-$F$4))</f>
        <v>0</v>
      </c>
      <c r="CG241" s="115" t="b">
        <f t="shared" si="197"/>
        <v>0</v>
      </c>
      <c r="CH241" s="115">
        <f t="shared" ca="1" si="228"/>
        <v>0</v>
      </c>
      <c r="CI241" s="115" t="b">
        <f t="shared" ca="1" si="229"/>
        <v>0</v>
      </c>
      <c r="CJ241" s="119">
        <f t="shared" ca="1" si="230"/>
        <v>0</v>
      </c>
      <c r="CK241" s="115">
        <f t="shared" ca="1" si="231"/>
        <v>0</v>
      </c>
      <c r="CL241" s="115" t="b">
        <f ca="1">AND(模拟模式!$S$7="驱夷逐法",OR(AND(C241="净世破魔击·月",E240&gt;59),AND(C241="净世破魔击·日",F240&gt;59)))</f>
        <v>0</v>
      </c>
      <c r="CM241" s="115" t="b">
        <f ca="1">OR(CL241,AND(C241="净世破魔击·日",CL240,RAND()&lt;模拟模式!$U$23))</f>
        <v>0</v>
      </c>
      <c r="CN241" s="115" t="b">
        <f ca="1">IF(模拟模式!$M$7="辉耀红尘",AND(C241="净世破魔击·月",CL241,CV241=0,E240&lt;80),AND(C241="净世破魔击·月",CL241,E240&lt;100))</f>
        <v>0</v>
      </c>
      <c r="CO241" s="115" t="b">
        <f t="shared" ca="1" si="204"/>
        <v>0</v>
      </c>
      <c r="CP241" s="115" t="b">
        <f ca="1">AND(模拟模式!$O$7="用晦而明",OR(C241="净世破魔击·日",C241="净世破魔击·月",C241="驱夜断愁"),AB241)</f>
        <v>0</v>
      </c>
      <c r="CQ241" s="115" t="b">
        <f ca="1">OR(CP241,AND(CP240,RAND()&lt;模拟模式!$U$23))</f>
        <v>1</v>
      </c>
      <c r="CR241" s="115" t="b">
        <f ca="1">AND(模拟模式!$S$7="日月齐光",OR(C241="幽月轮1",C241="幽月轮2",C241="幽月轮3",CR240),NOT(OR(C241="赤日轮1",C241="赤日轮2",C241="赤日轮3")))</f>
        <v>0</v>
      </c>
      <c r="CS241" s="115" t="b">
        <f ca="1">AND(模拟模式!$S$7="日月齐光",OR(C241="赤日轮1",C241="赤日轮2",C241="赤日轮3",CS240),NOT(OR(C241="幽月轮1",C241="幽月轮2",C241="幽月轮3")))</f>
        <v>0</v>
      </c>
      <c r="CT241" s="115">
        <f t="shared" ca="1" si="232"/>
        <v>2.3250000000000117</v>
      </c>
      <c r="CU241" s="115" t="b">
        <f ca="1">AND(模拟模式!$K$10="阴阳往极",CT240=0,RAND()&lt;IF(C241="净世破魔击·月",0.0275*7/3,IF(C241="净世破魔击·日",0.0275*3/3,0.0275*2/3)))</f>
        <v>0</v>
      </c>
      <c r="CV241" s="115">
        <f t="shared" ca="1" si="233"/>
        <v>0</v>
      </c>
      <c r="CW241" s="115">
        <f t="shared" ca="1" si="205"/>
        <v>6</v>
      </c>
      <c r="CX241" s="115">
        <f t="shared" ca="1" si="206"/>
        <v>4.1549999999999994</v>
      </c>
      <c r="CY241" s="115">
        <f ca="1">MAX(IF($C241="驱夜断愁",IF(模拟模式!$R$7="万念俱寂",6,45),CY240-$F$4),0)</f>
        <v>5.0774999999999997</v>
      </c>
      <c r="CZ241" s="115">
        <f t="shared" ca="1" si="207"/>
        <v>0</v>
      </c>
      <c r="DA241" s="115">
        <f ca="1">IF(模拟模式!$N$7="日月同辉",IF(DB240=2,0,MIN(6,IF(AND(OR(C241="赤日轮1",C241="赤日轮2",C241="赤日轮3",C241="幽月轮1",C241="幽月轮2",C241="幽月轮3"),AB241=1),DA240+1,DA240))),0)</f>
        <v>0</v>
      </c>
      <c r="DB241" s="115">
        <f t="shared" ca="1" si="208"/>
        <v>0</v>
      </c>
      <c r="DC241" s="115"/>
      <c r="DD241" s="115"/>
      <c r="DE241" s="115"/>
      <c r="DF241" s="115"/>
      <c r="DG241" s="115"/>
      <c r="DH241" s="115"/>
      <c r="DI241" s="115"/>
      <c r="DJ241" s="115"/>
      <c r="DK241" s="115"/>
      <c r="DL241" s="115"/>
      <c r="DM241" s="115"/>
    </row>
    <row r="242" spans="2:117" x14ac:dyDescent="0.2">
      <c r="B242" s="117">
        <f t="shared" si="209"/>
        <v>198.33750000000097</v>
      </c>
      <c r="C242" s="167" t="str">
        <f t="shared" ca="1" si="202"/>
        <v>幽月轮1</v>
      </c>
      <c r="D242" s="115">
        <f ca="1">IF(C242="赤日轮1",1,IF(C242="赤日轮2",2,IF(C242="赤日轮3",3,IF(C242="幽月轮1",4,IF(C242="幽月轮2",5,IF(C242="幽月轮3",6,IF(C242="烈日斩",7,IF(C242="银月斩",8,IF(C242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242="净世破魔击·月",17,IF(C242="驱夜断愁",18,0)))))))))))</f>
        <v>4</v>
      </c>
      <c r="E242" s="115">
        <f ca="1">IF(AND(CU242,OR(C242="幽月轮1",C242="幽月轮2",C242="幽月轮3",C242="银月斩",C242="驱夜断愁",C242="净世破魔击·月")),100,MIN(IF(OR(CN242,BE242),0,IF(OR($C242="赤日轮1",$C242="赤日轮2",$C242="赤日轮3"),E241+20+IF(模拟模式!$I$7="日月凌天",4,0)+IF(CR241,20,0),IF($C242="烈日斩",E241+40,IF($C242="驱夜断愁",IF(模拟模式!$R$7="万念俱寂",E241+20,E241+60),IF($C242="净世破魔击·月",IF(OR(DB241&gt;0,CV241&gt;0),100,IF(模拟模式!$M$7="辉耀红尘",E241+20,E241)),IF($C242="净世破魔击·日",E241-100,E241)))))),100))</f>
        <v>80</v>
      </c>
      <c r="F242" s="115">
        <f ca="1">IF(AND(CU242,OR(C242="赤日轮1",C242="赤日轮2",C242="赤日轮3",C242="烈日斩",C242="净世破魔击·日")),100,MIN(IF(CO242,0,IF(OR($C242="幽月轮1",$C242="幽月轮2",$C242="幽月轮3"),F241+20+IF(模拟模式!$I$7="日月凌天",4,0)+IF(CS241,20,0),IF($C242="银月斩",F241+40+IF(模拟模式!$X$12=1,5,0),IF($C242="驱夜断愁",IF(模拟模式!$R$7="万念俱寂",F241+20,F241+60),IF($C242="净世破魔击·月",IF(模拟模式!$M$7="辉耀红尘",F241-80,F241-100),IF(AND(C242="净世破魔击·日",OR(DB241&gt;0,CV241&gt;0)),100,F241)))))),100))</f>
        <v>100</v>
      </c>
      <c r="G242" s="117">
        <f ca="1">('模拟-全程加成'!$E$3+'模拟-全程加成'!$E$4+'模拟-全程加成'!$E$5+('模拟-全程加成'!$C$6-'模拟-全程加成'!$C$3)*系数!$B$9+BS242*23)*(1+'模拟-全程加成'!$F$4+'模拟-全程加成'!$F$5+BJ242*10%+BM242*20%+BP242*4%+CG242*30%)+$F$7*系数!$B$12</f>
        <v>20583.127400000001</v>
      </c>
      <c r="H242" s="45">
        <f ca="1">'模拟-全程加成'!$H$3+'模拟-全程加成'!$H$4+'模拟-全程加成'!$H$5+('模拟-全程加成'!$G$4+'模拟-全程加成'!$G$5+('模拟-全程加成'!$C$6-'模拟-全程加成'!$C$3)*系数!$B$13)/系数!$B$3+LOOKUP(D242,'模拟-单技能数据'!$A$2:$A$19,'模拟-单技能数据'!$K$2:$K$19)+BG242*10%+IF(BV242&gt;0,378,0)</f>
        <v>0.51185145527300213</v>
      </c>
      <c r="I242" s="45">
        <f ca="1">'模拟-全程加成'!$J$3+'模拟-全程加成'!$J$4+'模拟-全程加成'!$J$5+('模拟-全程加成'!$I$4+'模拟-全程加成'!$I$5)/系数!$B$4+LOOKUP(D242,'模拟-单技能数据'!$A$2:$A$19,'模拟-单技能数据'!$L$2:$L$19)+BG242*10%</f>
        <v>2.162482885499879</v>
      </c>
      <c r="J242" s="45">
        <f ca="1">(('模拟-全程加成'!$K$3+'模拟-全程加成'!$K$4+'模拟-全程加成'!$K$5+('模拟-全程加成'!$C$6-'模拟-全程加成'!$C$3)*系数!$B$10+IF(BV242&gt;0,882,0)+IF(BY242&gt;0,1831,0))*(1+'模拟-全程加成'!$L$4+'模拟-全程加成'!$L$5+CC242*20%))/系数!$B$5</f>
        <v>0.85832564669386491</v>
      </c>
      <c r="K242" s="119">
        <f ca="1">LOOKUP(D242,'模拟-单技能数据'!$A$2:$A$19,'模拟-单技能数据'!$J$2:$J$19)+IF(CM242,60%,0)+IF(DB241-DB242&gt;0,30%,0)+IF(OR(AND(OR(C242="赤日轮1",C242="赤日轮2",C242="赤日轮3"),CR242),AND(OR(C242="幽月轮1",C242="幽月轮2",C242="幽月轮3"),CS242)),35%,0)+CJ242</f>
        <v>7.0000000000000007E-2</v>
      </c>
      <c r="L242" s="119">
        <f ca="1">IF(AND(C242="烈日斩",模拟模式!$X$11=1),10%,0)+IF(AND(C242="驱夜断愁",AB242=1),30%,0)</f>
        <v>0</v>
      </c>
      <c r="M242" s="45">
        <f t="shared" ca="1" si="185"/>
        <v>0.51185145527300213</v>
      </c>
      <c r="N242" s="45">
        <f t="shared" ca="1" si="186"/>
        <v>0.43424854472699792</v>
      </c>
      <c r="O242" s="46">
        <f t="shared" ca="1" si="210"/>
        <v>0.63678177797934032</v>
      </c>
      <c r="P242" s="46" t="str">
        <f t="shared" ca="1" si="211"/>
        <v>命</v>
      </c>
      <c r="Q242" s="45">
        <f t="shared" ca="1" si="212"/>
        <v>1</v>
      </c>
      <c r="R242" s="117">
        <f ca="1">模拟模式!$E$20*(1-IF(模拟模式!$J$19="有",0.15,0))*(1-IF(模拟模式!$K$19="有",0.3,0)-IF(CQ242,0.5,0))</f>
        <v>2950.6049999999996</v>
      </c>
      <c r="S242" s="45">
        <f ca="1">R242/(R242+(185*模拟模式!$E$22-16800)*4.08224)</f>
        <v>0.24272716014590323</v>
      </c>
      <c r="T242" s="45" t="str">
        <f ca="1">LOOKUP(D242,'模拟-单技能数据'!$A$2:$A$19,'模拟-单技能数据'!$H$2:$H$19)</f>
        <v>阴</v>
      </c>
      <c r="U242" s="119">
        <f t="shared" ca="1" si="187"/>
        <v>0.08</v>
      </c>
      <c r="V242" s="47">
        <f ca="1">(1+L242)*(LOOKUP(D242,'模拟-单技能数据'!$A$2:$A$19,'模拟-单技能数据'!$D$2:$D$19)+G242*LOOKUP(D242,'模拟-单技能数据'!$A$2:$A$19,'模拟-单技能数据'!$F$2:$F$19))*(1+J242)*(1+K242)*(1-S242)*(1+U242)*Q242*LOOKUP(D242,'模拟-单技能数据'!$A$2:$A$19,'模拟-单技能数据'!$I$2:$I$20)</f>
        <v>17766.336003613542</v>
      </c>
      <c r="W242" s="47">
        <f ca="1">LOOKUP(D242,'模拟-单技能数据'!$A$2:$A$19,'模拟-单技能数据'!$G$2:$G$19)*$I$10</f>
        <v>361.51064354704795</v>
      </c>
      <c r="X242" s="47">
        <f t="shared" ca="1" si="213"/>
        <v>0</v>
      </c>
      <c r="Y242" s="47">
        <f t="shared" ca="1" si="188"/>
        <v>18127.84664716059</v>
      </c>
      <c r="Z242" s="49">
        <f t="shared" ca="1" si="189"/>
        <v>22788179.138183944</v>
      </c>
      <c r="AA242" s="97">
        <f t="shared" ca="1" si="190"/>
        <v>114895.9684284809</v>
      </c>
      <c r="AB242" s="115">
        <f ca="1">IF(OR(C242="赤日轮1",C242="赤日轮2",C242="赤日轮3"),IF(RAND()&lt;模拟模式!$Y$17,1,0),IF(OR(C242="幽月轮1",C242="幽月轮2",C242="幽月轮3"),IF(RAND()&lt;模拟模式!$Y$18,1,0),IF(C242="烈日斩",IF(RAND()&lt;模拟模式!$Y$19,1,0),IF(C242="银月斩",IF(RAND()&lt;模拟模式!$Y$20,1,0),IF(C242="驱夜断愁",IF(RAND()&lt;模拟模式!$Y$21,1,0),IF(C242="净世破魔击·日",IF(RAND()&lt;模拟模式!$Y$22,1,0),IF(C242="净世破魔击·月",IF(RAND()&lt;模拟模式!$Y$23,1,0),0)))))))</f>
        <v>1</v>
      </c>
      <c r="AC242" s="115" t="b">
        <f t="shared" ca="1" si="178"/>
        <v>0</v>
      </c>
      <c r="AD242" s="115" t="b">
        <f t="shared" ca="1" si="198"/>
        <v>0</v>
      </c>
      <c r="AE242" s="115">
        <f t="shared" ca="1" si="199"/>
        <v>4</v>
      </c>
      <c r="AF242" s="47">
        <f ca="1">IF(AC242,('模拟-单技能数据'!$D$20+G242*'模拟-单技能数据'!$F$20)*(1+J242)*(1+'模拟-单技能数据'!$J$20)*(1+U242),0)</f>
        <v>0</v>
      </c>
      <c r="AG242" s="61">
        <f t="shared" ca="1" si="191"/>
        <v>0.64185145527300214</v>
      </c>
      <c r="AH242" s="61">
        <f t="shared" ca="1" si="192"/>
        <v>2.2624828854998791</v>
      </c>
      <c r="AI242" s="62">
        <f t="shared" ca="1" si="214"/>
        <v>0.20286091282995389</v>
      </c>
      <c r="AJ242" s="47">
        <f ca="1">IF(AD242,IF(AI242&lt;$F$10,0,IF(AI242&lt;$F$10+$F$11,0.25,IF(AI242&lt;$F$10+$F$11+AG242,AH242,1)))*IF(AF242&gt;0,AF242,IF(AF241&gt;0,AF241,IF(AF240&gt;0,AF240,IF(AF239&gt;0,AF239,IF(AF238&gt;0,AF238,IF(AF237&gt;0,AF237,IF(AF236&gt;0,AF236,IF(AF235&gt;0,AF235,IF(AF234&gt;0,AF234,IF(AF232&gt;0,AF232,IF(AF231&gt;0,AF231,IF(AF230&gt;0,AF230,0)))))))))))),0)*(1-$S242)*'模拟-单技能数据'!$I$20</f>
        <v>0</v>
      </c>
      <c r="AK242" s="115" t="b">
        <f t="shared" ca="1" si="179"/>
        <v>0</v>
      </c>
      <c r="AL242" s="115" t="b">
        <f t="shared" ca="1" si="200"/>
        <v>0</v>
      </c>
      <c r="AM242" s="115">
        <f t="shared" ca="1" si="201"/>
        <v>3</v>
      </c>
      <c r="AN242" s="47">
        <f ca="1">IF(AK242,('模拟-单技能数据'!$D$21+G242*'模拟-单技能数据'!$F$21)*(1+J242)*(1+'模拟-单技能数据'!$J$21)*(1+U242),0)</f>
        <v>0</v>
      </c>
      <c r="AO242" s="61">
        <f ca="1">IF(AN242&gt;0,M242-'模拟-单技能数据'!$K$10,AO241)</f>
        <v>0.42185145527300216</v>
      </c>
      <c r="AP242" s="61">
        <f ca="1">IF(AN242&gt;0,I242-'模拟-单技能数据'!$L$10,AP241)</f>
        <v>2.162482885499879</v>
      </c>
      <c r="AQ242" s="63">
        <f t="shared" ca="1" si="215"/>
        <v>0.84220543030613437</v>
      </c>
      <c r="AR242" s="64">
        <f ca="1">IF(AL242,IF(AQ242&lt;$F$10,0,IF(AQ242&lt;$F$10+$F$11,0.25,IF(AQ242&lt;$F$10+$F$11+AO242,AP242,1)))*IF(AN242&gt;0,AN242,IF(AN241&gt;0,AN241,IF(AN240&gt;0,AN240,IF(AN239&gt;0,AN239,IF(AN238&gt;0,AN238,IF(AN237&gt;0,AN237,IF(AN236&gt;0,AN236,IF(AN235&gt;0,AN235,IF(AN234&gt;0,AN234,IF(AN232&gt;0,AN232,IF(AN231&gt;0,AN231,IF(AN230&gt;0,AN230,0)))))))))))),0)*(1-$S242)*'模拟-单技能数据'!$I$21</f>
        <v>0</v>
      </c>
      <c r="AS242" s="61">
        <f ca="1">IF(OR(C242="净世破魔击·日",C242="净世破魔击·月"),M242-'模拟-单技能数据'!$K$10,0)</f>
        <v>0</v>
      </c>
      <c r="AT242" s="61">
        <f ca="1">IF(OR(C242="净世破魔击·日",C242="净世破魔击·月"),I242-'模拟-单技能数据'!$L$10,0)</f>
        <v>0</v>
      </c>
      <c r="AU242" s="62">
        <f t="shared" ca="1" si="216"/>
        <v>0.76758164066944856</v>
      </c>
      <c r="AV242" s="64">
        <f ca="1">IF(AS242&gt;0,('模拟-单技能数据'!$D$22+G242*'模拟-单技能数据'!$F$22)*(1+J242)*(1-S242)*IF(AU242&lt;$F$10,0,IF(AU242&lt;$F$10+$F$11,0.25,IF(AU242&lt;$F$10+$F$11+AS242,AT242,1)))*(1+U242),0)*'模拟-单技能数据'!$I$22</f>
        <v>0</v>
      </c>
      <c r="AW242" s="108">
        <f t="shared" ca="1" si="217"/>
        <v>17.232500000000002</v>
      </c>
      <c r="AX242" s="108" t="b">
        <f ca="1">AND(模拟模式!$P$10="有",AW241=0,RAND()&lt;IF(C242="净世破魔击·月",0.1*8/3,IF(C242="净世破魔击·日",0.1*4/3,0.1*2/3)))</f>
        <v>0</v>
      </c>
      <c r="AY242" s="47">
        <f ca="1">IF(AX242,(18+G242*0.722)*(1+J242)*(1-S242)*(1+$I$4)*IF(P242="会",'模拟-全程加成'!$J$3+'模拟-全程加成'!$J$4+'模拟-全程加成'!$J$5+('模拟-全程加成'!$I$4+'模拟-全程加成'!$I$5)/系数!$B$4+BG242*10%,IF(P242="命",1,IF(P242="识",0.25,0))),0)</f>
        <v>0</v>
      </c>
      <c r="AZ242" s="108">
        <f t="shared" si="218"/>
        <v>4.3175000000000061</v>
      </c>
      <c r="BA242" s="108" t="b">
        <f>AND(模拟模式!$Q$10="有",AZ241=0)</f>
        <v>0</v>
      </c>
      <c r="BB242" s="140">
        <f>IF(BA242,(0+G242*0.287)*(1+J242)*(1-S242)*(1+$I$4)*IF(P242="会",'模拟-全程加成'!$J$3+'模拟-全程加成'!$J$4+'模拟-全程加成'!$J$5+('模拟-全程加成'!$I$4+'模拟-全程加成'!$I$5)/系数!$B$4+BG242*10%,IF(P242="命",1,IF(P242="识",0.25,0))),0)</f>
        <v>0</v>
      </c>
      <c r="BC242" s="115" t="b">
        <f ca="1">AND(模拟模式!$R$7="伏明众生",E242=60,F242=20,DA242&lt;5,CZ241&lt;$F$4)</f>
        <v>0</v>
      </c>
      <c r="BD242" s="115">
        <f t="shared" ca="1" si="180"/>
        <v>0</v>
      </c>
      <c r="BE242" s="115" t="b">
        <f t="shared" ca="1" si="181"/>
        <v>0</v>
      </c>
      <c r="BF242" s="47">
        <f ca="1">IF(BC242,4*('模拟-单技能数据'!$D$24+G242*'模拟-单技能数据'!$F$24)*(1+J242)*(1+'模拟-单技能数据'!$J$24)*(1-S242)*(1+$I$3)*(('模拟-全程加成'!$J$3+'模拟-全程加成'!$J$4+'模拟-全程加成'!$J$5+('模拟-全程加成'!$I$4+'模拟-全程加成'!$I$5)/系数!$B$4+BG242*10%)*('模拟-全程加成'!$J$3+'模拟-全程加成'!$J$4+'模拟-全程加成'!$J$5+('模拟-全程加成'!$I$4+'模拟-全程加成'!$I$5)/系数!$B$4+BG242*10%)+(1-('模拟-全程加成'!$J$3+'模拟-全程加成'!$J$4+'模拟-全程加成'!$J$5+('模拟-全程加成'!$I$4+'模拟-全程加成'!$I$5)/系数!$B$4+BG242*10%)-$F$10-$F$11)+F228*0.25),0)*'模拟-单技能数据'!$I$24</f>
        <v>0</v>
      </c>
      <c r="BG242" s="115" t="b">
        <f ca="1">OR(AND(OR(C242="烈日斩",C242="银月斩"),模拟模式!$I$7="净身明礼"),AND(C242="净世破魔击·日",模拟模式!$J$7="洞若观火"),AND(C243="净世破魔击·月",模拟模式!$J$7="洞若观火"),AB242=1)</f>
        <v>1</v>
      </c>
      <c r="BH242" s="115" t="b">
        <f t="shared" ca="1" si="219"/>
        <v>0</v>
      </c>
      <c r="BI242" s="115">
        <f t="shared" ca="1" si="182"/>
        <v>0</v>
      </c>
      <c r="BJ242" s="115" t="b">
        <f t="shared" ca="1" si="193"/>
        <v>0</v>
      </c>
      <c r="BK242" s="115" t="b">
        <f ca="1">AND(C242="驱夜断愁",模拟模式!$P$7="天地诛戮")</f>
        <v>0</v>
      </c>
      <c r="BL242" s="57">
        <f t="shared" ca="1" si="183"/>
        <v>18.155000000000001</v>
      </c>
      <c r="BM242" s="115" t="b">
        <f t="shared" ca="1" si="194"/>
        <v>1</v>
      </c>
      <c r="BN242" s="115" t="b">
        <f ca="1">AND(OR(C242="赤日轮1",C242="赤日轮2",C242="赤日轮3",C242="幽月轮1",C242="幽月轮2",C242="幽月轮3"),AB242=1,模拟模式!$L$7="明光恒照")</f>
        <v>1</v>
      </c>
      <c r="BO242" s="117">
        <f t="shared" ca="1" si="184"/>
        <v>30</v>
      </c>
      <c r="BP242" s="115">
        <f t="shared" ca="1" si="220"/>
        <v>6</v>
      </c>
      <c r="BQ242" s="115" t="b">
        <f>模拟模式!$K$10="2600·水"</f>
        <v>0</v>
      </c>
      <c r="BR242" s="117">
        <f t="shared" si="221"/>
        <v>0</v>
      </c>
      <c r="BS242" s="115">
        <f t="shared" si="222"/>
        <v>0</v>
      </c>
      <c r="BT242" s="115">
        <f t="shared" ca="1" si="223"/>
        <v>0</v>
      </c>
      <c r="BU242" s="115" t="b">
        <f ca="1">AND(模拟模式!$K$10="2300·雷",BT241=0,RAND()&lt;IF(C242="净世破魔击·月",5*0.05*2/3,IF(C242="净世破魔击·日",3*0.05*2/3,0.05*2*2/3)))</f>
        <v>0</v>
      </c>
      <c r="BV242" s="115">
        <f t="shared" ca="1" si="224"/>
        <v>0</v>
      </c>
      <c r="BW242" s="115">
        <f t="shared" ca="1" si="225"/>
        <v>173.5424999999999</v>
      </c>
      <c r="BX242" s="164" t="b">
        <f t="shared" ca="1" si="226"/>
        <v>0</v>
      </c>
      <c r="BY242" s="115">
        <f t="shared" ca="1" si="227"/>
        <v>8.542500000000004</v>
      </c>
      <c r="BZ242" s="115">
        <f>IF(OR(模拟模式!$P$16="10人团",模拟模式!$P$16="25人团"),IF(B242/30&gt;CA241,1,0),0)</f>
        <v>0</v>
      </c>
      <c r="CA242" s="115">
        <f t="shared" si="203"/>
        <v>0</v>
      </c>
      <c r="CB242" s="115">
        <f ca="1">IF(BZ242=1,IF(模拟模式!$P$16="10人团",15,0)+IF(模拟模式!$P$16="25人团",IF(RAND()&lt;0.6,15,0)),MAX(0,CB241-$F$4))</f>
        <v>0</v>
      </c>
      <c r="CC242" s="115" t="b">
        <f t="shared" ca="1" si="195"/>
        <v>0</v>
      </c>
      <c r="CD242" s="115">
        <f>IF(模拟模式!$Q$16="1个",IF(B242/40&gt;CE241,1,0),0)</f>
        <v>0</v>
      </c>
      <c r="CE242" s="115">
        <f t="shared" si="196"/>
        <v>0</v>
      </c>
      <c r="CF242" s="115">
        <f>IF(OR(CD242=1,模拟模式!$Q$16="2个"),20,MAX(0,CF241-$F$4))</f>
        <v>0</v>
      </c>
      <c r="CG242" s="115" t="b">
        <f t="shared" si="197"/>
        <v>0</v>
      </c>
      <c r="CH242" s="115">
        <f t="shared" ca="1" si="228"/>
        <v>0</v>
      </c>
      <c r="CI242" s="115" t="b">
        <f t="shared" ca="1" si="229"/>
        <v>0</v>
      </c>
      <c r="CJ242" s="119">
        <f t="shared" ca="1" si="230"/>
        <v>0</v>
      </c>
      <c r="CK242" s="115">
        <f t="shared" ca="1" si="231"/>
        <v>0</v>
      </c>
      <c r="CL242" s="115" t="b">
        <f ca="1">AND(模拟模式!$S$7="驱夷逐法",OR(AND(C242="净世破魔击·月",E241&gt;59),AND(C242="净世破魔击·日",F241&gt;59)))</f>
        <v>0</v>
      </c>
      <c r="CM242" s="115" t="b">
        <f ca="1">OR(CL242,AND(C242="净世破魔击·日",CL241,RAND()&lt;模拟模式!$U$23))</f>
        <v>0</v>
      </c>
      <c r="CN242" s="115" t="b">
        <f ca="1">IF(模拟模式!$M$7="辉耀红尘",AND(C242="净世破魔击·月",CL242,CV242=0,E241&lt;80),AND(C242="净世破魔击·月",CL242,E241&lt;100))</f>
        <v>0</v>
      </c>
      <c r="CO242" s="115" t="b">
        <f t="shared" ca="1" si="204"/>
        <v>0</v>
      </c>
      <c r="CP242" s="115" t="b">
        <f ca="1">AND(模拟模式!$O$7="用晦而明",OR(C242="净世破魔击·日",C242="净世破魔击·月",C242="驱夜断愁"),AB242)</f>
        <v>0</v>
      </c>
      <c r="CQ242" s="115" t="b">
        <f ca="1">OR(CP242,AND(CP241,RAND()&lt;模拟模式!$U$23))</f>
        <v>0</v>
      </c>
      <c r="CR242" s="115" t="b">
        <f ca="1">AND(模拟模式!$S$7="日月齐光",OR(C242="幽月轮1",C242="幽月轮2",C242="幽月轮3",CR241),NOT(OR(C242="赤日轮1",C242="赤日轮2",C242="赤日轮3")))</f>
        <v>0</v>
      </c>
      <c r="CS242" s="115" t="b">
        <f ca="1">AND(模拟模式!$S$7="日月齐光",OR(C242="赤日轮1",C242="赤日轮2",C242="赤日轮3",CS241),NOT(OR(C242="幽月轮1",C242="幽月轮2",C242="幽月轮3")))</f>
        <v>0</v>
      </c>
      <c r="CT242" s="115">
        <f t="shared" ca="1" si="232"/>
        <v>1.4025000000000118</v>
      </c>
      <c r="CU242" s="115" t="b">
        <f ca="1">AND(模拟模式!$K$10="阴阳往极",CT241=0,RAND()&lt;IF(C242="净世破魔击·月",0.0275*7/3,IF(C242="净世破魔击·日",0.0275*3/3,0.0275*2/3)))</f>
        <v>0</v>
      </c>
      <c r="CV242" s="115">
        <f t="shared" ca="1" si="233"/>
        <v>0</v>
      </c>
      <c r="CW242" s="115">
        <f t="shared" ca="1" si="205"/>
        <v>5.0774999999999997</v>
      </c>
      <c r="CX242" s="115">
        <f t="shared" ca="1" si="206"/>
        <v>3.2324999999999995</v>
      </c>
      <c r="CY242" s="115">
        <f ca="1">MAX(IF($C242="驱夜断愁",IF(模拟模式!$R$7="万念俱寂",6,45),CY241-$F$4),0)</f>
        <v>4.1549999999999994</v>
      </c>
      <c r="CZ242" s="115">
        <f t="shared" ca="1" si="207"/>
        <v>0</v>
      </c>
      <c r="DA242" s="115">
        <f ca="1">IF(模拟模式!$N$7="日月同辉",IF(DB241=2,0,MIN(6,IF(AND(OR(C242="赤日轮1",C242="赤日轮2",C242="赤日轮3",C242="幽月轮1",C242="幽月轮2",C242="幽月轮3"),AB242=1),DA241+1,DA241))),0)</f>
        <v>1</v>
      </c>
      <c r="DB242" s="115">
        <f t="shared" ca="1" si="208"/>
        <v>0</v>
      </c>
      <c r="DC242" s="115"/>
      <c r="DD242" s="115"/>
      <c r="DE242" s="115"/>
      <c r="DF242" s="115"/>
      <c r="DG242" s="115"/>
      <c r="DH242" s="115"/>
      <c r="DI242" s="115"/>
      <c r="DJ242" s="115"/>
      <c r="DK242" s="115"/>
      <c r="DL242" s="115"/>
      <c r="DM242" s="115"/>
    </row>
    <row r="243" spans="2:117" x14ac:dyDescent="0.2">
      <c r="B243" s="117">
        <f t="shared" si="209"/>
        <v>199.26000000000099</v>
      </c>
      <c r="C243" s="167" t="str">
        <f t="shared" ca="1" si="202"/>
        <v>净世破魔击·月</v>
      </c>
      <c r="D243" s="115">
        <f ca="1">IF(C243="赤日轮1",1,IF(C243="赤日轮2",2,IF(C243="赤日轮3",3,IF(C243="幽月轮1",4,IF(C243="幽月轮2",5,IF(C243="幽月轮3",6,IF(C243="烈日斩",7,IF(C243="银月斩",8,IF(C243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243="净世破魔击·月",17,IF(C243="驱夜断愁",18,0)))))))))))</f>
        <v>17</v>
      </c>
      <c r="E243" s="115">
        <f ca="1">IF(AND(CU243,OR(C243="幽月轮1",C243="幽月轮2",C243="幽月轮3",C243="银月斩",C243="驱夜断愁",C243="净世破魔击·月")),100,MIN(IF(OR(CN243,BE243),0,IF(OR($C243="赤日轮1",$C243="赤日轮2",$C243="赤日轮3"),E242+20+IF(模拟模式!$I$7="日月凌天",4,0)+IF(CR242,20,0),IF($C243="烈日斩",E242+40,IF($C243="驱夜断愁",IF(模拟模式!$R$7="万念俱寂",E242+20,E242+60),IF($C243="净世破魔击·月",IF(OR(DB242&gt;0,CV242&gt;0),100,IF(模拟模式!$M$7="辉耀红尘",E242+20,E242)),IF($C243="净世破魔击·日",E242-100,E242)))))),100))</f>
        <v>100</v>
      </c>
      <c r="F243" s="115">
        <f ca="1">IF(AND(CU243,OR(C243="赤日轮1",C243="赤日轮2",C243="赤日轮3",C243="烈日斩",C243="净世破魔击·日")),100,MIN(IF(CO243,0,IF(OR($C243="幽月轮1",$C243="幽月轮2",$C243="幽月轮3"),F242+20+IF(模拟模式!$I$7="日月凌天",4,0)+IF(CS242,20,0),IF($C243="银月斩",F242+40+IF(模拟模式!$X$12=1,5,0),IF($C243="驱夜断愁",IF(模拟模式!$R$7="万念俱寂",F242+20,F242+60),IF($C243="净世破魔击·月",IF(模拟模式!$M$7="辉耀红尘",F242-80,F242-100),IF(AND(C243="净世破魔击·日",OR(DB242&gt;0,CV242&gt;0)),100,F242)))))),100))</f>
        <v>20</v>
      </c>
      <c r="G243" s="117">
        <f ca="1">('模拟-全程加成'!$E$3+'模拟-全程加成'!$E$4+'模拟-全程加成'!$E$5+('模拟-全程加成'!$C$6-'模拟-全程加成'!$C$3)*系数!$B$9+BS243*23)*(1+'模拟-全程加成'!$F$4+'模拟-全程加成'!$F$5+BJ243*10%+BM243*20%+BP243*4%+CG243*30%)+$F$7*系数!$B$12</f>
        <v>20583.127400000001</v>
      </c>
      <c r="H243" s="45">
        <f ca="1">'模拟-全程加成'!$H$3+'模拟-全程加成'!$H$4+'模拟-全程加成'!$H$5+('模拟-全程加成'!$G$4+'模拟-全程加成'!$G$5+('模拟-全程加成'!$C$6-'模拟-全程加成'!$C$3)*系数!$B$13)/系数!$B$3+LOOKUP(D243,'模拟-单技能数据'!$A$2:$A$19,'模拟-单技能数据'!$K$2:$K$19)+BG243*10%+IF(BV243&gt;0,378,0)</f>
        <v>0.54185145527300216</v>
      </c>
      <c r="I243" s="45">
        <f ca="1">'模拟-全程加成'!$J$3+'模拟-全程加成'!$J$4+'模拟-全程加成'!$J$5+('模拟-全程加成'!$I$4+'模拟-全程加成'!$I$5)/系数!$B$4+LOOKUP(D243,'模拟-单技能数据'!$A$2:$A$19,'模拟-单技能数据'!$L$2:$L$19)+BG243*10%</f>
        <v>2.162482885499879</v>
      </c>
      <c r="J243" s="45">
        <f ca="1">(('模拟-全程加成'!$K$3+'模拟-全程加成'!$K$4+'模拟-全程加成'!$K$5+('模拟-全程加成'!$C$6-'模拟-全程加成'!$C$3)*系数!$B$10+IF(BV243&gt;0,882,0)+IF(BY243&gt;0,1831,0))*(1+'模拟-全程加成'!$L$4+'模拟-全程加成'!$L$5+CC243*20%))/系数!$B$5</f>
        <v>0.85832564669386491</v>
      </c>
      <c r="K243" s="119">
        <f ca="1">LOOKUP(D243,'模拟-单技能数据'!$A$2:$A$19,'模拟-单技能数据'!$J$2:$J$19)+IF(CM243,60%,0)+IF(DB242-DB243&gt;0,30%,0)+IF(OR(AND(OR(C243="赤日轮1",C243="赤日轮2",C243="赤日轮3"),CR243),AND(OR(C243="幽月轮1",C243="幽月轮2",C243="幽月轮3"),CS243)),35%,0)+CJ243</f>
        <v>0.8</v>
      </c>
      <c r="L243" s="119">
        <f ca="1">IF(AND(C243="烈日斩",模拟模式!$X$11=1),10%,0)+IF(AND(C243="驱夜断愁",AB243=1),30%,0)</f>
        <v>0</v>
      </c>
      <c r="M243" s="45">
        <f t="shared" ca="1" si="185"/>
        <v>0.54185145527300216</v>
      </c>
      <c r="N243" s="45">
        <f t="shared" ca="1" si="186"/>
        <v>0.40424854472699789</v>
      </c>
      <c r="O243" s="46">
        <f t="shared" ca="1" si="210"/>
        <v>0.49286757861987374</v>
      </c>
      <c r="P243" s="46" t="str">
        <f t="shared" ca="1" si="211"/>
        <v>会</v>
      </c>
      <c r="Q243" s="45">
        <f t="shared" ca="1" si="212"/>
        <v>2.162482885499879</v>
      </c>
      <c r="R243" s="117">
        <f ca="1">模拟模式!$E$20*(1-IF(模拟模式!$J$19="有",0.15,0))*(1-IF(模拟模式!$K$19="有",0.3,0)-IF(CQ243,0.5,0))</f>
        <v>843.02999999999975</v>
      </c>
      <c r="S243" s="45">
        <f ca="1">R243/(R243+(185*模拟模式!$E$22-16800)*4.08224)</f>
        <v>8.389626085980037E-2</v>
      </c>
      <c r="T243" s="45" t="str">
        <f ca="1">LOOKUP(D243,'模拟-单技能数据'!$A$2:$A$19,'模拟-单技能数据'!$H$2:$H$19)</f>
        <v>阴</v>
      </c>
      <c r="U243" s="119">
        <f t="shared" ca="1" si="187"/>
        <v>0.08</v>
      </c>
      <c r="V243" s="47">
        <f ca="1">(1+L243)*(LOOKUP(D243,'模拟-单技能数据'!$A$2:$A$19,'模拟-单技能数据'!$D$2:$D$19)+G243*LOOKUP(D243,'模拟-单技能数据'!$A$2:$A$19,'模拟-单技能数据'!$F$2:$F$19))*(1+J243)*(1+K243)*(1-S243)*(1+U243)*Q243*LOOKUP(D243,'模拟-单技能数据'!$A$2:$A$19,'模拟-单技能数据'!$I$2:$I$20)</f>
        <v>191466.05731174714</v>
      </c>
      <c r="W243" s="47">
        <f ca="1">LOOKUP(D243,'模拟-单技能数据'!$A$2:$A$19,'模拟-单技能数据'!$G$2:$G$19)*$I$10</f>
        <v>361.51064354704795</v>
      </c>
      <c r="X243" s="47">
        <f t="shared" ca="1" si="213"/>
        <v>45942.927259521748</v>
      </c>
      <c r="Y243" s="47">
        <f t="shared" ca="1" si="188"/>
        <v>237770.49521481595</v>
      </c>
      <c r="Z243" s="49">
        <f t="shared" ca="1" si="189"/>
        <v>23025949.63339876</v>
      </c>
      <c r="AA243" s="97">
        <f t="shared" ca="1" si="190"/>
        <v>115557.31021478794</v>
      </c>
      <c r="AB243" s="115">
        <f ca="1">IF(OR(C243="赤日轮1",C243="赤日轮2",C243="赤日轮3"),IF(RAND()&lt;模拟模式!$Y$17,1,0),IF(OR(C243="幽月轮1",C243="幽月轮2",C243="幽月轮3"),IF(RAND()&lt;模拟模式!$Y$18,1,0),IF(C243="烈日斩",IF(RAND()&lt;模拟模式!$Y$19,1,0),IF(C243="银月斩",IF(RAND()&lt;模拟模式!$Y$20,1,0),IF(C243="驱夜断愁",IF(RAND()&lt;模拟模式!$Y$21,1,0),IF(C243="净世破魔击·日",IF(RAND()&lt;模拟模式!$Y$22,1,0),IF(C243="净世破魔击·月",IF(RAND()&lt;模拟模式!$Y$23,1,0),0)))))))</f>
        <v>1</v>
      </c>
      <c r="AC243" s="115" t="b">
        <f t="shared" ca="1" si="178"/>
        <v>0</v>
      </c>
      <c r="AD243" s="115" t="b">
        <f t="shared" ca="1" si="198"/>
        <v>1</v>
      </c>
      <c r="AE243" s="115">
        <f t="shared" ca="1" si="199"/>
        <v>3</v>
      </c>
      <c r="AF243" s="47">
        <f ca="1">IF(AC243,('模拟-单技能数据'!$D$20+G243*'模拟-单技能数据'!$F$20)*(1+J243)*(1+'模拟-单技能数据'!$J$20)*(1+U243),0)</f>
        <v>0</v>
      </c>
      <c r="AG243" s="61">
        <f t="shared" ca="1" si="191"/>
        <v>0.64185145527300214</v>
      </c>
      <c r="AH243" s="61">
        <f t="shared" ca="1" si="192"/>
        <v>2.2624828854998791</v>
      </c>
      <c r="AI243" s="62">
        <f t="shared" ca="1" si="214"/>
        <v>0.49291650887601679</v>
      </c>
      <c r="AJ243" s="47">
        <f ca="1">IF(AD243,IF(AI243&lt;$F$10,0,IF(AI243&lt;$F$10+$F$11,0.25,IF(AI243&lt;$F$10+$F$11+AG243,AH243,1)))*IF(AF243&gt;0,AF243,IF(AF242&gt;0,AF242,IF(AF241&gt;0,AF241,IF(AF240&gt;0,AF240,IF(AF239&gt;0,AF239,IF(AF238&gt;0,AF238,IF(AF237&gt;0,AF237,IF(AF236&gt;0,AF236,IF(AF235&gt;0,AF235,IF(AF233&gt;0,AF233,IF(AF232&gt;0,AF232,IF(AF231&gt;0,AF231,0)))))))))))),0)*(1-$S243)*'模拟-单技能数据'!$I$20</f>
        <v>10093.953229098464</v>
      </c>
      <c r="AK243" s="115" t="b">
        <f t="shared" ca="1" si="179"/>
        <v>0</v>
      </c>
      <c r="AL243" s="115" t="b">
        <f t="shared" ca="1" si="200"/>
        <v>1</v>
      </c>
      <c r="AM243" s="115">
        <f t="shared" ca="1" si="201"/>
        <v>2</v>
      </c>
      <c r="AN243" s="47">
        <f ca="1">IF(AK243,('模拟-单技能数据'!$D$21+G243*'模拟-单技能数据'!$F$21)*(1+J243)*(1+'模拟-单技能数据'!$J$21)*(1+U243),0)</f>
        <v>0</v>
      </c>
      <c r="AO243" s="61">
        <f ca="1">IF(AN243&gt;0,M243-'模拟-单技能数据'!$K$10,AO242)</f>
        <v>0.42185145527300216</v>
      </c>
      <c r="AP243" s="61">
        <f ca="1">IF(AN243&gt;0,I243-'模拟-单技能数据'!$L$10,AP242)</f>
        <v>2.162482885499879</v>
      </c>
      <c r="AQ243" s="63">
        <f t="shared" ca="1" si="215"/>
        <v>0.35870443326205714</v>
      </c>
      <c r="AR243" s="64">
        <f ca="1">IF(AL243,IF(AQ243&lt;$F$10,0,IF(AQ243&lt;$F$10+$F$11,0.25,IF(AQ243&lt;$F$10+$F$11+AO243,AP243,1)))*IF(AN243&gt;0,AN243,IF(AN242&gt;0,AN242,IF(AN241&gt;0,AN241,IF(AN240&gt;0,AN240,IF(AN239&gt;0,AN239,IF(AN238&gt;0,AN238,IF(AN237&gt;0,AN237,IF(AN236&gt;0,AN236,IF(AN235&gt;0,AN235,IF(AN233&gt;0,AN233,IF(AN232&gt;0,AN232,IF(AN231&gt;0,AN231,0)))))))))))),0)*(1-$S243)*'模拟-单技能数据'!$I$21</f>
        <v>27484.420799395535</v>
      </c>
      <c r="AS243" s="61">
        <f ca="1">IF(OR(C243="净世破魔击·日",C243="净世破魔击·月"),M243-'模拟-单技能数据'!$K$10,0)</f>
        <v>0.42185145527300216</v>
      </c>
      <c r="AT243" s="61">
        <f ca="1">IF(OR(C243="净世破魔击·日",C243="净世破魔击·月"),I243-'模拟-单技能数据'!$L$10,0)</f>
        <v>2.162482885499879</v>
      </c>
      <c r="AU243" s="62">
        <f t="shared" ca="1" si="216"/>
        <v>0.48978099602058278</v>
      </c>
      <c r="AV243" s="64">
        <f ca="1">IF(AS243&gt;0,('模拟-单技能数据'!$D$22+G243*'模拟-单技能数据'!$F$22)*(1+J243)*(1-S243)*IF(AU243&lt;$F$10,0,IF(AU243&lt;$F$10+$F$11,0.25,IF(AU243&lt;$F$10+$F$11+AS243,AT243,1)))*(1+U243),0)*'模拟-单技能数据'!$I$22</f>
        <v>8364.5532310277467</v>
      </c>
      <c r="AW243" s="108">
        <f t="shared" ca="1" si="217"/>
        <v>16.310000000000002</v>
      </c>
      <c r="AX243" s="108" t="b">
        <f ca="1">AND(模拟模式!$P$10="有",AW242=0,RAND()&lt;IF(C243="净世破魔击·月",0.1*8/3,IF(C243="净世破魔击·日",0.1*4/3,0.1*2/3)))</f>
        <v>0</v>
      </c>
      <c r="AY243" s="47">
        <f ca="1">IF(AX243,(18+G243*0.722)*(1+J243)*(1-S243)*(1+$I$4)*IF(P243="会",'模拟-全程加成'!$J$3+'模拟-全程加成'!$J$4+'模拟-全程加成'!$J$5+('模拟-全程加成'!$I$4+'模拟-全程加成'!$I$5)/系数!$B$4+BG243*10%,IF(P243="命",1,IF(P243="识",0.25,0))),0)</f>
        <v>0</v>
      </c>
      <c r="AZ243" s="108">
        <f t="shared" si="218"/>
        <v>3.3950000000000062</v>
      </c>
      <c r="BA243" s="108" t="b">
        <f>AND(模拟模式!$Q$10="有",AZ242=0)</f>
        <v>0</v>
      </c>
      <c r="BB243" s="140">
        <f>IF(BA243,(0+G243*0.287)*(1+J243)*(1-S243)*(1+$I$4)*IF(P243="会",'模拟-全程加成'!$J$3+'模拟-全程加成'!$J$4+'模拟-全程加成'!$J$5+('模拟-全程加成'!$I$4+'模拟-全程加成'!$I$5)/系数!$B$4+BG243*10%,IF(P243="命",1,IF(P243="识",0.25,0))),0)</f>
        <v>0</v>
      </c>
      <c r="BC243" s="115" t="b">
        <f ca="1">AND(模拟模式!$R$7="伏明众生",E243=60,F243=20,DA243&lt;5,CZ242&lt;$F$4)</f>
        <v>0</v>
      </c>
      <c r="BD243" s="115">
        <f t="shared" ca="1" si="180"/>
        <v>0</v>
      </c>
      <c r="BE243" s="115" t="b">
        <f t="shared" ca="1" si="181"/>
        <v>0</v>
      </c>
      <c r="BF243" s="47">
        <f ca="1">IF(BC243,4*('模拟-单技能数据'!$D$24+G243*'模拟-单技能数据'!$F$24)*(1+J243)*(1+'模拟-单技能数据'!$J$24)*(1-S243)*(1+$I$3)*(('模拟-全程加成'!$J$3+'模拟-全程加成'!$J$4+'模拟-全程加成'!$J$5+('模拟-全程加成'!$I$4+'模拟-全程加成'!$I$5)/系数!$B$4+BG243*10%)*('模拟-全程加成'!$J$3+'模拟-全程加成'!$J$4+'模拟-全程加成'!$J$5+('模拟-全程加成'!$I$4+'模拟-全程加成'!$I$5)/系数!$B$4+BG243*10%)+(1-('模拟-全程加成'!$J$3+'模拟-全程加成'!$J$4+'模拟-全程加成'!$J$5+('模拟-全程加成'!$I$4+'模拟-全程加成'!$I$5)/系数!$B$4+BG243*10%)-$F$10-$F$11)+F229*0.25),0)*'模拟-单技能数据'!$I$24</f>
        <v>0</v>
      </c>
      <c r="BG243" s="115" t="b">
        <f ca="1">OR(AND(OR(C243="烈日斩",C243="银月斩"),模拟模式!$I$7="净身明礼"),AND(C243="净世破魔击·日",模拟模式!$J$7="洞若观火"),AND(C244="净世破魔击·月",模拟模式!$J$7="洞若观火"),AB243=1)</f>
        <v>1</v>
      </c>
      <c r="BH243" s="115" t="b">
        <f t="shared" ca="1" si="219"/>
        <v>0</v>
      </c>
      <c r="BI243" s="115">
        <f t="shared" ca="1" si="182"/>
        <v>0</v>
      </c>
      <c r="BJ243" s="115" t="b">
        <f t="shared" ca="1" si="193"/>
        <v>0</v>
      </c>
      <c r="BK243" s="115" t="b">
        <f ca="1">AND(C243="驱夜断愁",模拟模式!$P$7="天地诛戮")</f>
        <v>0</v>
      </c>
      <c r="BL243" s="57">
        <f t="shared" ca="1" si="183"/>
        <v>17.232500000000002</v>
      </c>
      <c r="BM243" s="115" t="b">
        <f t="shared" ca="1" si="194"/>
        <v>1</v>
      </c>
      <c r="BN243" s="115" t="b">
        <f ca="1">AND(OR(C243="赤日轮1",C243="赤日轮2",C243="赤日轮3",C243="幽月轮1",C243="幽月轮2",C243="幽月轮3"),AB243=1,模拟模式!$L$7="明光恒照")</f>
        <v>0</v>
      </c>
      <c r="BO243" s="117">
        <f t="shared" ca="1" si="184"/>
        <v>29.077500000000001</v>
      </c>
      <c r="BP243" s="115">
        <f t="shared" ca="1" si="220"/>
        <v>6</v>
      </c>
      <c r="BQ243" s="115" t="b">
        <f>模拟模式!$K$10="2600·水"</f>
        <v>0</v>
      </c>
      <c r="BR243" s="117">
        <f t="shared" si="221"/>
        <v>0</v>
      </c>
      <c r="BS243" s="115">
        <f t="shared" si="222"/>
        <v>0</v>
      </c>
      <c r="BT243" s="115">
        <f t="shared" ca="1" si="223"/>
        <v>0</v>
      </c>
      <c r="BU243" s="115" t="b">
        <f ca="1">AND(模拟模式!$K$10="2300·雷",BT242=0,RAND()&lt;IF(C243="净世破魔击·月",5*0.05*2/3,IF(C243="净世破魔击·日",3*0.05*2/3,0.05*2*2/3)))</f>
        <v>0</v>
      </c>
      <c r="BV243" s="115">
        <f t="shared" ca="1" si="224"/>
        <v>0</v>
      </c>
      <c r="BW243" s="115">
        <f t="shared" ca="1" si="225"/>
        <v>172.61999999999989</v>
      </c>
      <c r="BX243" s="164" t="b">
        <f t="shared" ca="1" si="226"/>
        <v>0</v>
      </c>
      <c r="BY243" s="115">
        <f t="shared" ca="1" si="227"/>
        <v>7.6200000000000037</v>
      </c>
      <c r="BZ243" s="115">
        <f>IF(OR(模拟模式!$P$16="10人团",模拟模式!$P$16="25人团"),IF(B243/30&gt;CA242,1,0),0)</f>
        <v>0</v>
      </c>
      <c r="CA243" s="115">
        <f t="shared" si="203"/>
        <v>0</v>
      </c>
      <c r="CB243" s="115">
        <f ca="1">IF(BZ243=1,IF(模拟模式!$P$16="10人团",15,0)+IF(模拟模式!$P$16="25人团",IF(RAND()&lt;0.6,15,0)),MAX(0,CB242-$F$4))</f>
        <v>0</v>
      </c>
      <c r="CC243" s="115" t="b">
        <f t="shared" ca="1" si="195"/>
        <v>0</v>
      </c>
      <c r="CD243" s="115">
        <f>IF(模拟模式!$Q$16="1个",IF(B243/40&gt;CE242,1,0),0)</f>
        <v>0</v>
      </c>
      <c r="CE243" s="115">
        <f t="shared" si="196"/>
        <v>0</v>
      </c>
      <c r="CF243" s="115">
        <f>IF(OR(CD243=1,模拟模式!$Q$16="2个"),20,MAX(0,CF242-$F$4))</f>
        <v>0</v>
      </c>
      <c r="CG243" s="115" t="b">
        <f t="shared" si="197"/>
        <v>0</v>
      </c>
      <c r="CH243" s="115">
        <f t="shared" ca="1" si="228"/>
        <v>0</v>
      </c>
      <c r="CI243" s="115" t="b">
        <f t="shared" ca="1" si="229"/>
        <v>0</v>
      </c>
      <c r="CJ243" s="119">
        <f t="shared" ca="1" si="230"/>
        <v>0</v>
      </c>
      <c r="CK243" s="115">
        <f t="shared" ca="1" si="231"/>
        <v>0</v>
      </c>
      <c r="CL243" s="115" t="b">
        <f ca="1">AND(模拟模式!$S$7="驱夷逐法",OR(AND(C243="净世破魔击·月",E242&gt;59),AND(C243="净世破魔击·日",F242&gt;59)))</f>
        <v>1</v>
      </c>
      <c r="CM243" s="115" t="b">
        <f ca="1">OR(CL243,AND(C243="净世破魔击·日",CL242,RAND()&lt;模拟模式!$U$23))</f>
        <v>1</v>
      </c>
      <c r="CN243" s="115" t="b">
        <f ca="1">IF(模拟模式!$M$7="辉耀红尘",AND(C243="净世破魔击·月",CL243,CV243=0,E242&lt;80),AND(C243="净世破魔击·月",CL243,E242&lt;100))</f>
        <v>0</v>
      </c>
      <c r="CO243" s="115" t="b">
        <f t="shared" ca="1" si="204"/>
        <v>0</v>
      </c>
      <c r="CP243" s="115" t="b">
        <f ca="1">AND(模拟模式!$O$7="用晦而明",OR(C243="净世破魔击·日",C243="净世破魔击·月",C243="驱夜断愁"),AB243)</f>
        <v>1</v>
      </c>
      <c r="CQ243" s="115" t="b">
        <f ca="1">OR(CP243,AND(CP242,RAND()&lt;模拟模式!$U$23))</f>
        <v>1</v>
      </c>
      <c r="CR243" s="115" t="b">
        <f ca="1">AND(模拟模式!$S$7="日月齐光",OR(C243="幽月轮1",C243="幽月轮2",C243="幽月轮3",CR242),NOT(OR(C243="赤日轮1",C243="赤日轮2",C243="赤日轮3")))</f>
        <v>0</v>
      </c>
      <c r="CS243" s="115" t="b">
        <f ca="1">AND(模拟模式!$S$7="日月齐光",OR(C243="赤日轮1",C243="赤日轮2",C243="赤日轮3",CS242),NOT(OR(C243="幽月轮1",C243="幽月轮2",C243="幽月轮3")))</f>
        <v>0</v>
      </c>
      <c r="CT243" s="115">
        <f t="shared" ca="1" si="232"/>
        <v>0.48000000000001186</v>
      </c>
      <c r="CU243" s="115" t="b">
        <f ca="1">AND(模拟模式!$K$10="阴阳往极",CT242=0,RAND()&lt;IF(C243="净世破魔击·月",0.0275*7/3,IF(C243="净世破魔击·日",0.0275*3/3,0.0275*2/3)))</f>
        <v>0</v>
      </c>
      <c r="CV243" s="115">
        <f t="shared" ca="1" si="233"/>
        <v>0</v>
      </c>
      <c r="CW243" s="115">
        <f t="shared" ca="1" si="205"/>
        <v>4.1549999999999994</v>
      </c>
      <c r="CX243" s="115">
        <f t="shared" ca="1" si="206"/>
        <v>2.3099999999999996</v>
      </c>
      <c r="CY243" s="115">
        <f ca="1">MAX(IF($C243="驱夜断愁",IF(模拟模式!$R$7="万念俱寂",6,45),CY242-$F$4),0)</f>
        <v>3.2324999999999995</v>
      </c>
      <c r="CZ243" s="115">
        <f t="shared" ca="1" si="207"/>
        <v>0</v>
      </c>
      <c r="DA243" s="115">
        <f ca="1">IF(模拟模式!$N$7="日月同辉",IF(DB242=2,0,MIN(6,IF(AND(OR(C243="赤日轮1",C243="赤日轮2",C243="赤日轮3",C243="幽月轮1",C243="幽月轮2",C243="幽月轮3"),AB243=1),DA242+1,DA242))),0)</f>
        <v>1</v>
      </c>
      <c r="DB243" s="115">
        <f t="shared" ca="1" si="208"/>
        <v>0</v>
      </c>
      <c r="DC243" s="115"/>
      <c r="DD243" s="115"/>
      <c r="DE243" s="115"/>
      <c r="DF243" s="115"/>
      <c r="DG243" s="115"/>
      <c r="DH243" s="115"/>
      <c r="DI243" s="115"/>
      <c r="DJ243" s="115"/>
      <c r="DK243" s="115"/>
      <c r="DL243" s="115"/>
      <c r="DM243" s="115"/>
    </row>
    <row r="244" spans="2:117" x14ac:dyDescent="0.2">
      <c r="B244" s="117">
        <f t="shared" si="209"/>
        <v>200.182500000001</v>
      </c>
      <c r="C244" s="167" t="str">
        <f t="shared" ca="1" si="202"/>
        <v>净世破魔击·日</v>
      </c>
      <c r="D244" s="115">
        <f ca="1">IF(C244="赤日轮1",1,IF(C244="赤日轮2",2,IF(C244="赤日轮3",3,IF(C244="幽月轮1",4,IF(C244="幽月轮2",5,IF(C244="幽月轮3",6,IF(C244="烈日斩",7,IF(C244="银月斩",8,IF(C244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244="净世破魔击·月",17,IF(C244="驱夜断愁",18,0)))))))))))</f>
        <v>9</v>
      </c>
      <c r="E244" s="115">
        <f ca="1">IF(AND(CU244,OR(C244="幽月轮1",C244="幽月轮2",C244="幽月轮3",C244="银月斩",C244="驱夜断愁",C244="净世破魔击·月")),100,MIN(IF(OR(CN244,BE244),0,IF(OR($C244="赤日轮1",$C244="赤日轮2",$C244="赤日轮3"),E243+20+IF(模拟模式!$I$7="日月凌天",4,0)+IF(CR243,20,0),IF($C244="烈日斩",E243+40,IF($C244="驱夜断愁",IF(模拟模式!$R$7="万念俱寂",E243+20,E243+60),IF($C244="净世破魔击·月",IF(OR(DB243&gt;0,CV243&gt;0),100,IF(模拟模式!$M$7="辉耀红尘",E243+20,E243)),IF($C244="净世破魔击·日",E243-100,E243)))))),100))</f>
        <v>0</v>
      </c>
      <c r="F244" s="115">
        <f ca="1">IF(AND(CU244,OR(C244="赤日轮1",C244="赤日轮2",C244="赤日轮3",C244="烈日斩",C244="净世破魔击·日")),100,MIN(IF(CO244,0,IF(OR($C244="幽月轮1",$C244="幽月轮2",$C244="幽月轮3"),F243+20+IF(模拟模式!$I$7="日月凌天",4,0)+IF(CS243,20,0),IF($C244="银月斩",F243+40+IF(模拟模式!$X$12=1,5,0),IF($C244="驱夜断愁",IF(模拟模式!$R$7="万念俱寂",F243+20,F243+60),IF($C244="净世破魔击·月",IF(模拟模式!$M$7="辉耀红尘",F243-80,F243-100),IF(AND(C244="净世破魔击·日",OR(DB243&gt;0,CV243&gt;0)),100,F243)))))),100))</f>
        <v>20</v>
      </c>
      <c r="G244" s="117">
        <f ca="1">('模拟-全程加成'!$E$3+'模拟-全程加成'!$E$4+'模拟-全程加成'!$E$5+('模拟-全程加成'!$C$6-'模拟-全程加成'!$C$3)*系数!$B$9+BS244*23)*(1+'模拟-全程加成'!$F$4+'模拟-全程加成'!$F$5+BJ244*10%+BM244*20%+BP244*4%+CG244*30%)+$F$7*系数!$B$12</f>
        <v>20583.127400000001</v>
      </c>
      <c r="H244" s="45">
        <f ca="1">'模拟-全程加成'!$H$3+'模拟-全程加成'!$H$4+'模拟-全程加成'!$H$5+('模拟-全程加成'!$G$4+'模拟-全程加成'!$G$5+('模拟-全程加成'!$C$6-'模拟-全程加成'!$C$3)*系数!$B$13)/系数!$B$3+LOOKUP(D244,'模拟-单技能数据'!$A$2:$A$19,'模拟-单技能数据'!$K$2:$K$19)+BG244*10%+IF(BV244&gt;0,378,0)</f>
        <v>0.54185145527300216</v>
      </c>
      <c r="I244" s="45">
        <f ca="1">'模拟-全程加成'!$J$3+'模拟-全程加成'!$J$4+'模拟-全程加成'!$J$5+('模拟-全程加成'!$I$4+'模拟-全程加成'!$I$5)/系数!$B$4+LOOKUP(D244,'模拟-单技能数据'!$A$2:$A$19,'模拟-单技能数据'!$L$2:$L$19)+BG244*10%</f>
        <v>2.162482885499879</v>
      </c>
      <c r="J244" s="45">
        <f ca="1">(('模拟-全程加成'!$K$3+'模拟-全程加成'!$K$4+'模拟-全程加成'!$K$5+('模拟-全程加成'!$C$6-'模拟-全程加成'!$C$3)*系数!$B$10+IF(BV244&gt;0,882,0)+IF(BY244&gt;0,1831,0))*(1+'模拟-全程加成'!$L$4+'模拟-全程加成'!$L$5+CC244*20%))/系数!$B$5</f>
        <v>0.85832564669386491</v>
      </c>
      <c r="K244" s="119">
        <f ca="1">LOOKUP(D244,'模拟-单技能数据'!$A$2:$A$19,'模拟-单技能数据'!$J$2:$J$19)+IF(CM244,60%,0)+IF(DB243-DB244&gt;0,30%,0)+IF(OR(AND(OR(C244="赤日轮1",C244="赤日轮2",C244="赤日轮3"),CR244),AND(OR(C244="幽月轮1",C244="幽月轮2",C244="幽月轮3"),CS244)),35%,0)+CJ244</f>
        <v>0.8</v>
      </c>
      <c r="L244" s="119">
        <f ca="1">IF(AND(C244="烈日斩",模拟模式!$X$11=1),10%,0)+IF(AND(C244="驱夜断愁",AB244=1),30%,0)</f>
        <v>0</v>
      </c>
      <c r="M244" s="45">
        <f t="shared" ca="1" si="185"/>
        <v>0.54185145527300216</v>
      </c>
      <c r="N244" s="45">
        <f t="shared" ca="1" si="186"/>
        <v>0.40424854472699789</v>
      </c>
      <c r="O244" s="46">
        <f t="shared" ca="1" si="210"/>
        <v>0.39409478240500317</v>
      </c>
      <c r="P244" s="46" t="str">
        <f t="shared" ca="1" si="211"/>
        <v>会</v>
      </c>
      <c r="Q244" s="45">
        <f t="shared" ca="1" si="212"/>
        <v>2.162482885499879</v>
      </c>
      <c r="R244" s="117">
        <f ca="1">模拟模式!$E$20*(1-IF(模拟模式!$J$19="有",0.15,0))*(1-IF(模拟模式!$K$19="有",0.3,0)-IF(CQ244,0.5,0))</f>
        <v>843.02999999999975</v>
      </c>
      <c r="S244" s="45">
        <f ca="1">R244/(R244+(185*模拟模式!$E$22-16800)*4.08224)</f>
        <v>8.389626085980037E-2</v>
      </c>
      <c r="T244" s="45" t="str">
        <f ca="1">LOOKUP(D244,'模拟-单技能数据'!$A$2:$A$19,'模拟-单技能数据'!$H$2:$H$19)</f>
        <v>阳</v>
      </c>
      <c r="U244" s="119">
        <f t="shared" ca="1" si="187"/>
        <v>0.2</v>
      </c>
      <c r="V244" s="47">
        <f ca="1">(1+L244)*(LOOKUP(D244,'模拟-单技能数据'!$A$2:$A$19,'模拟-单技能数据'!$D$2:$D$19)+G244*LOOKUP(D244,'模拟-单技能数据'!$A$2:$A$19,'模拟-单技能数据'!$F$2:$F$19))*(1+J244)*(1+K244)*(1-S244)*(1+U244)*Q244*LOOKUP(D244,'模拟-单技能数据'!$A$2:$A$19,'模拟-单技能数据'!$I$2:$I$20)</f>
        <v>214511.23923496195</v>
      </c>
      <c r="W244" s="47">
        <f ca="1">LOOKUP(D244,'模拟-单技能数据'!$A$2:$A$19,'模拟-单技能数据'!$G$2:$G$19)*$I$10</f>
        <v>723.0212870940959</v>
      </c>
      <c r="X244" s="47">
        <f t="shared" ca="1" si="213"/>
        <v>9293.9480344752737</v>
      </c>
      <c r="Y244" s="47">
        <f t="shared" ca="1" si="188"/>
        <v>224528.20855653132</v>
      </c>
      <c r="Z244" s="49">
        <f t="shared" ca="1" si="189"/>
        <v>23250477.841955293</v>
      </c>
      <c r="AA244" s="97">
        <f t="shared" ca="1" si="190"/>
        <v>116146.40561465251</v>
      </c>
      <c r="AB244" s="115">
        <f ca="1">IF(OR(C244="赤日轮1",C244="赤日轮2",C244="赤日轮3"),IF(RAND()&lt;模拟模式!$Y$17,1,0),IF(OR(C244="幽月轮1",C244="幽月轮2",C244="幽月轮3"),IF(RAND()&lt;模拟模式!$Y$18,1,0),IF(C244="烈日斩",IF(RAND()&lt;模拟模式!$Y$19,1,0),IF(C244="银月斩",IF(RAND()&lt;模拟模式!$Y$20,1,0),IF(C244="驱夜断愁",IF(RAND()&lt;模拟模式!$Y$21,1,0),IF(C244="净世破魔击·日",IF(RAND()&lt;模拟模式!$Y$22,1,0),IF(C244="净世破魔击·月",IF(RAND()&lt;模拟模式!$Y$23,1,0),0)))))))</f>
        <v>1</v>
      </c>
      <c r="AC244" s="115" t="b">
        <f t="shared" ca="1" si="178"/>
        <v>0</v>
      </c>
      <c r="AD244" s="115" t="b">
        <f t="shared" ca="1" si="198"/>
        <v>0</v>
      </c>
      <c r="AE244" s="115">
        <f t="shared" ca="1" si="199"/>
        <v>3</v>
      </c>
      <c r="AF244" s="47">
        <f ca="1">IF(AC244,('模拟-单技能数据'!$D$20+G244*'模拟-单技能数据'!$F$20)*(1+J244)*(1+'模拟-单技能数据'!$J$20)*(1+U244),0)</f>
        <v>0</v>
      </c>
      <c r="AG244" s="61">
        <f t="shared" ca="1" si="191"/>
        <v>0.64185145527300214</v>
      </c>
      <c r="AH244" s="61">
        <f t="shared" ca="1" si="192"/>
        <v>2.2624828854998791</v>
      </c>
      <c r="AI244" s="62">
        <f t="shared" ca="1" si="214"/>
        <v>0.59562917998540788</v>
      </c>
      <c r="AJ244" s="47">
        <f ca="1">IF(AD244,IF(AI244&lt;$F$10,0,IF(AI244&lt;$F$10+$F$11,0.25,IF(AI244&lt;$F$10+$F$11+AG244,AH244,1)))*IF(AF244&gt;0,AF244,IF(AF243&gt;0,AF243,IF(AF242&gt;0,AF242,IF(AF241&gt;0,AF241,IF(AF240&gt;0,AF240,IF(AF239&gt;0,AF239,IF(AF238&gt;0,AF238,IF(AF237&gt;0,AF237,IF(AF236&gt;0,AF236,IF(AF234&gt;0,AF234,IF(AF233&gt;0,AF233,IF(AF232&gt;0,AF232,0)))))))))))),0)*(1-$S244)*'模拟-单技能数据'!$I$20</f>
        <v>0</v>
      </c>
      <c r="AK244" s="115" t="b">
        <f t="shared" ca="1" si="179"/>
        <v>1</v>
      </c>
      <c r="AL244" s="115" t="b">
        <f t="shared" ca="1" si="200"/>
        <v>0</v>
      </c>
      <c r="AM244" s="115">
        <f t="shared" ca="1" si="201"/>
        <v>6</v>
      </c>
      <c r="AN244" s="47">
        <f ca="1">IF(AK244,('模拟-单技能数据'!$D$21+G244*'模拟-单技能数据'!$F$21)*(1+J244)*(1+'模拟-单技能数据'!$J$21)*(1+U244),0)</f>
        <v>13288.512813173878</v>
      </c>
      <c r="AO244" s="61">
        <f ca="1">IF(AN244&gt;0,M244-'模拟-单技能数据'!$K$10,AO243)</f>
        <v>0.42185145527300216</v>
      </c>
      <c r="AP244" s="61">
        <f ca="1">IF(AN244&gt;0,I244-'模拟-单技能数据'!$L$10,AP243)</f>
        <v>2.162482885499879</v>
      </c>
      <c r="AQ244" s="63">
        <f t="shared" ca="1" si="215"/>
        <v>0.76496014388256173</v>
      </c>
      <c r="AR244" s="64">
        <f ca="1">IF(AL244,IF(AQ244&lt;$F$10,0,IF(AQ244&lt;$F$10+$F$11,0.25,IF(AQ244&lt;$F$10+$F$11+AO244,AP244,1)))*IF(AN244&gt;0,AN244,IF(AN243&gt;0,AN243,IF(AN242&gt;0,AN242,IF(AN241&gt;0,AN241,IF(AN240&gt;0,AN240,IF(AN239&gt;0,AN239,IF(AN238&gt;0,AN238,IF(AN237&gt;0,AN237,IF(AN236&gt;0,AN236,IF(AN234&gt;0,AN234,IF(AN233&gt;0,AN233,IF(AN232&gt;0,AN232,0)))))))))))),0)*(1-$S244)*'模拟-单技能数据'!$I$21</f>
        <v>0</v>
      </c>
      <c r="AS244" s="61">
        <f ca="1">IF(OR(C244="净世破魔击·日",C244="净世破魔击·月"),M244-'模拟-单技能数据'!$K$10,0)</f>
        <v>0.42185145527300216</v>
      </c>
      <c r="AT244" s="61">
        <f ca="1">IF(OR(C244="净世破魔击·日",C244="净世破魔击·月"),I244-'模拟-单技能数据'!$L$10,0)</f>
        <v>2.162482885499879</v>
      </c>
      <c r="AU244" s="62">
        <f t="shared" ca="1" si="216"/>
        <v>0.89938712671412324</v>
      </c>
      <c r="AV244" s="64">
        <f ca="1">IF(AS244&gt;0,('模拟-单技能数据'!$D$22+G244*'模拟-单技能数据'!$F$22)*(1+J244)*(1-S244)*IF(AU244&lt;$F$10,0,IF(AU244&lt;$F$10+$F$11,0.25,IF(AU244&lt;$F$10+$F$11+AS244,AT244,1)))*(1+U244),0)*'模拟-单技能数据'!$I$22</f>
        <v>9293.9480344752737</v>
      </c>
      <c r="AW244" s="108">
        <f t="shared" ca="1" si="217"/>
        <v>15.387500000000003</v>
      </c>
      <c r="AX244" s="108" t="b">
        <f ca="1">AND(模拟模式!$P$10="有",AW243=0,RAND()&lt;IF(C244="净世破魔击·月",0.1*8/3,IF(C244="净世破魔击·日",0.1*4/3,0.1*2/3)))</f>
        <v>0</v>
      </c>
      <c r="AY244" s="47">
        <f ca="1">IF(AX244,(18+G244*0.722)*(1+J244)*(1-S244)*(1+$I$4)*IF(P244="会",'模拟-全程加成'!$J$3+'模拟-全程加成'!$J$4+'模拟-全程加成'!$J$5+('模拟-全程加成'!$I$4+'模拟-全程加成'!$I$5)/系数!$B$4+BG244*10%,IF(P244="命",1,IF(P244="识",0.25,0))),0)</f>
        <v>0</v>
      </c>
      <c r="AZ244" s="108">
        <f t="shared" si="218"/>
        <v>2.4725000000000064</v>
      </c>
      <c r="BA244" s="108" t="b">
        <f>AND(模拟模式!$Q$10="有",AZ243=0)</f>
        <v>0</v>
      </c>
      <c r="BB244" s="140">
        <f>IF(BA244,(0+G244*0.287)*(1+J244)*(1-S244)*(1+$I$4)*IF(P244="会",'模拟-全程加成'!$J$3+'模拟-全程加成'!$J$4+'模拟-全程加成'!$J$5+('模拟-全程加成'!$I$4+'模拟-全程加成'!$I$5)/系数!$B$4+BG244*10%,IF(P244="命",1,IF(P244="识",0.25,0))),0)</f>
        <v>0</v>
      </c>
      <c r="BC244" s="115" t="b">
        <f ca="1">AND(模拟模式!$R$7="伏明众生",E244=60,F244=20,DA244&lt;5,CZ243&lt;$F$4)</f>
        <v>0</v>
      </c>
      <c r="BD244" s="115">
        <f t="shared" ca="1" si="180"/>
        <v>0</v>
      </c>
      <c r="BE244" s="115" t="b">
        <f t="shared" ca="1" si="181"/>
        <v>0</v>
      </c>
      <c r="BF244" s="47">
        <f ca="1">IF(BC244,4*('模拟-单技能数据'!$D$24+G244*'模拟-单技能数据'!$F$24)*(1+J244)*(1+'模拟-单技能数据'!$J$24)*(1-S244)*(1+$I$3)*(('模拟-全程加成'!$J$3+'模拟-全程加成'!$J$4+'模拟-全程加成'!$J$5+('模拟-全程加成'!$I$4+'模拟-全程加成'!$I$5)/系数!$B$4+BG244*10%)*('模拟-全程加成'!$J$3+'模拟-全程加成'!$J$4+'模拟-全程加成'!$J$5+('模拟-全程加成'!$I$4+'模拟-全程加成'!$I$5)/系数!$B$4+BG244*10%)+(1-('模拟-全程加成'!$J$3+'模拟-全程加成'!$J$4+'模拟-全程加成'!$J$5+('模拟-全程加成'!$I$4+'模拟-全程加成'!$I$5)/系数!$B$4+BG244*10%)-$F$10-$F$11)+F230*0.25),0)*'模拟-单技能数据'!$I$24</f>
        <v>0</v>
      </c>
      <c r="BG244" s="115" t="b">
        <f ca="1">OR(AND(OR(C244="烈日斩",C244="银月斩"),模拟模式!$I$7="净身明礼"),AND(C244="净世破魔击·日",模拟模式!$J$7="洞若观火"),AND(C245="净世破魔击·月",模拟模式!$J$7="洞若观火"),AB244=1)</f>
        <v>1</v>
      </c>
      <c r="BH244" s="115" t="b">
        <f t="shared" ca="1" si="219"/>
        <v>0</v>
      </c>
      <c r="BI244" s="115">
        <f t="shared" ca="1" si="182"/>
        <v>0</v>
      </c>
      <c r="BJ244" s="115" t="b">
        <f t="shared" ca="1" si="193"/>
        <v>0</v>
      </c>
      <c r="BK244" s="115" t="b">
        <f ca="1">AND(C244="驱夜断愁",模拟模式!$P$7="天地诛戮")</f>
        <v>0</v>
      </c>
      <c r="BL244" s="57">
        <f t="shared" ca="1" si="183"/>
        <v>16.310000000000002</v>
      </c>
      <c r="BM244" s="115" t="b">
        <f t="shared" ca="1" si="194"/>
        <v>1</v>
      </c>
      <c r="BN244" s="115" t="b">
        <f ca="1">AND(OR(C244="赤日轮1",C244="赤日轮2",C244="赤日轮3",C244="幽月轮1",C244="幽月轮2",C244="幽月轮3"),AB244=1,模拟模式!$L$7="明光恒照")</f>
        <v>0</v>
      </c>
      <c r="BO244" s="117">
        <f t="shared" ca="1" si="184"/>
        <v>28.155000000000001</v>
      </c>
      <c r="BP244" s="115">
        <f t="shared" ca="1" si="220"/>
        <v>6</v>
      </c>
      <c r="BQ244" s="115" t="b">
        <f>模拟模式!$K$10="2600·水"</f>
        <v>0</v>
      </c>
      <c r="BR244" s="117">
        <f t="shared" si="221"/>
        <v>0</v>
      </c>
      <c r="BS244" s="115">
        <f t="shared" si="222"/>
        <v>0</v>
      </c>
      <c r="BT244" s="115">
        <f t="shared" ca="1" si="223"/>
        <v>0</v>
      </c>
      <c r="BU244" s="115" t="b">
        <f ca="1">AND(模拟模式!$K$10="2300·雷",BT243=0,RAND()&lt;IF(C244="净世破魔击·月",5*0.05*2/3,IF(C244="净世破魔击·日",3*0.05*2/3,0.05*2*2/3)))</f>
        <v>0</v>
      </c>
      <c r="BV244" s="115">
        <f t="shared" ca="1" si="224"/>
        <v>0</v>
      </c>
      <c r="BW244" s="115">
        <f t="shared" ca="1" si="225"/>
        <v>171.69749999999988</v>
      </c>
      <c r="BX244" s="164" t="b">
        <f t="shared" ca="1" si="226"/>
        <v>0</v>
      </c>
      <c r="BY244" s="115">
        <f t="shared" ca="1" si="227"/>
        <v>6.6975000000000033</v>
      </c>
      <c r="BZ244" s="115">
        <f>IF(OR(模拟模式!$P$16="10人团",模拟模式!$P$16="25人团"),IF(B244/30&gt;CA243,1,0),0)</f>
        <v>0</v>
      </c>
      <c r="CA244" s="115">
        <f t="shared" si="203"/>
        <v>0</v>
      </c>
      <c r="CB244" s="115">
        <f ca="1">IF(BZ244=1,IF(模拟模式!$P$16="10人团",15,0)+IF(模拟模式!$P$16="25人团",IF(RAND()&lt;0.6,15,0)),MAX(0,CB243-$F$4))</f>
        <v>0</v>
      </c>
      <c r="CC244" s="115" t="b">
        <f t="shared" ca="1" si="195"/>
        <v>0</v>
      </c>
      <c r="CD244" s="115">
        <f>IF(模拟模式!$Q$16="1个",IF(B244/40&gt;CE243,1,0),0)</f>
        <v>0</v>
      </c>
      <c r="CE244" s="115">
        <f t="shared" si="196"/>
        <v>0</v>
      </c>
      <c r="CF244" s="115">
        <f>IF(OR(CD244=1,模拟模式!$Q$16="2个"),20,MAX(0,CF243-$F$4))</f>
        <v>0</v>
      </c>
      <c r="CG244" s="115" t="b">
        <f t="shared" si="197"/>
        <v>0</v>
      </c>
      <c r="CH244" s="115">
        <f t="shared" ca="1" si="228"/>
        <v>0</v>
      </c>
      <c r="CI244" s="115" t="b">
        <f t="shared" ca="1" si="229"/>
        <v>0</v>
      </c>
      <c r="CJ244" s="119">
        <f t="shared" ca="1" si="230"/>
        <v>0</v>
      </c>
      <c r="CK244" s="115">
        <f t="shared" ca="1" si="231"/>
        <v>0</v>
      </c>
      <c r="CL244" s="115" t="b">
        <f ca="1">AND(模拟模式!$S$7="驱夷逐法",OR(AND(C244="净世破魔击·月",E243&gt;59),AND(C244="净世破魔击·日",F243&gt;59)))</f>
        <v>0</v>
      </c>
      <c r="CM244" s="115" t="b">
        <f ca="1">OR(CL244,AND(C244="净世破魔击·日",CL243,RAND()&lt;模拟模式!$U$23))</f>
        <v>1</v>
      </c>
      <c r="CN244" s="115" t="b">
        <f ca="1">IF(模拟模式!$M$7="辉耀红尘",AND(C244="净世破魔击·月",CL244,CV244=0,E243&lt;80),AND(C244="净世破魔击·月",CL244,E243&lt;100))</f>
        <v>0</v>
      </c>
      <c r="CO244" s="115" t="b">
        <f t="shared" ca="1" si="204"/>
        <v>0</v>
      </c>
      <c r="CP244" s="115" t="b">
        <f ca="1">AND(模拟模式!$O$7="用晦而明",OR(C244="净世破魔击·日",C244="净世破魔击·月",C244="驱夜断愁"),AB244)</f>
        <v>1</v>
      </c>
      <c r="CQ244" s="115" t="b">
        <f ca="1">OR(CP244,AND(CP243,RAND()&lt;模拟模式!$U$23))</f>
        <v>1</v>
      </c>
      <c r="CR244" s="115" t="b">
        <f ca="1">AND(模拟模式!$S$7="日月齐光",OR(C244="幽月轮1",C244="幽月轮2",C244="幽月轮3",CR243),NOT(OR(C244="赤日轮1",C244="赤日轮2",C244="赤日轮3")))</f>
        <v>0</v>
      </c>
      <c r="CS244" s="115" t="b">
        <f ca="1">AND(模拟模式!$S$7="日月齐光",OR(C244="赤日轮1",C244="赤日轮2",C244="赤日轮3",CS243),NOT(OR(C244="幽月轮1",C244="幽月轮2",C244="幽月轮3")))</f>
        <v>0</v>
      </c>
      <c r="CT244" s="115">
        <f t="shared" ca="1" si="232"/>
        <v>0</v>
      </c>
      <c r="CU244" s="115" t="b">
        <f ca="1">AND(模拟模式!$K$10="阴阳往极",CT243=0,RAND()&lt;IF(C244="净世破魔击·月",0.0275*7/3,IF(C244="净世破魔击·日",0.0275*3/3,0.0275*2/3)))</f>
        <v>0</v>
      </c>
      <c r="CV244" s="115">
        <f t="shared" ca="1" si="233"/>
        <v>0</v>
      </c>
      <c r="CW244" s="115">
        <f t="shared" ca="1" si="205"/>
        <v>3.2324999999999995</v>
      </c>
      <c r="CX244" s="115">
        <f t="shared" ca="1" si="206"/>
        <v>1.3874999999999997</v>
      </c>
      <c r="CY244" s="115">
        <f ca="1">MAX(IF($C244="驱夜断愁",IF(模拟模式!$R$7="万念俱寂",6,45),CY243-$F$4),0)</f>
        <v>2.3099999999999996</v>
      </c>
      <c r="CZ244" s="115">
        <f t="shared" ca="1" si="207"/>
        <v>0</v>
      </c>
      <c r="DA244" s="115">
        <f ca="1">IF(模拟模式!$N$7="日月同辉",IF(DB243=2,0,MIN(6,IF(AND(OR(C244="赤日轮1",C244="赤日轮2",C244="赤日轮3",C244="幽月轮1",C244="幽月轮2",C244="幽月轮3"),AB244=1),DA243+1,DA243))),0)</f>
        <v>1</v>
      </c>
      <c r="DB244" s="115">
        <f t="shared" ca="1" si="208"/>
        <v>0</v>
      </c>
      <c r="DC244" s="115"/>
      <c r="DD244" s="115"/>
      <c r="DE244" s="115"/>
      <c r="DF244" s="115"/>
      <c r="DG244" s="115"/>
      <c r="DH244" s="115"/>
      <c r="DI244" s="115"/>
      <c r="DJ244" s="115"/>
      <c r="DK244" s="115"/>
      <c r="DL244" s="115"/>
      <c r="DM244" s="115"/>
    </row>
    <row r="245" spans="2:117" x14ac:dyDescent="0.2">
      <c r="B245" s="117">
        <f t="shared" si="209"/>
        <v>201.10500000000101</v>
      </c>
      <c r="C245" s="167" t="str">
        <f t="shared" ca="1" si="202"/>
        <v>赤日轮1</v>
      </c>
      <c r="D245" s="115">
        <f ca="1">IF(C245="赤日轮1",1,IF(C245="赤日轮2",2,IF(C245="赤日轮3",3,IF(C245="幽月轮1",4,IF(C245="幽月轮2",5,IF(C245="幽月轮3",6,IF(C245="烈日斩",7,IF(C245="银月斩",8,IF(C245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245="净世破魔击·月",17,IF(C245="驱夜断愁",18,0)))))))))))</f>
        <v>1</v>
      </c>
      <c r="E245" s="115">
        <f ca="1">IF(AND(CU245,OR(C245="幽月轮1",C245="幽月轮2",C245="幽月轮3",C245="银月斩",C245="驱夜断愁",C245="净世破魔击·月")),100,MIN(IF(OR(CN245,BE245),0,IF(OR($C245="赤日轮1",$C245="赤日轮2",$C245="赤日轮3"),E244+20+IF(模拟模式!$I$7="日月凌天",4,0)+IF(CR244,20,0),IF($C245="烈日斩",E244+40,IF($C245="驱夜断愁",IF(模拟模式!$R$7="万念俱寂",E244+20,E244+60),IF($C245="净世破魔击·月",IF(OR(DB244&gt;0,CV244&gt;0),100,IF(模拟模式!$M$7="辉耀红尘",E244+20,E244)),IF($C245="净世破魔击·日",E244-100,E244)))))),100))</f>
        <v>20</v>
      </c>
      <c r="F245" s="115">
        <f ca="1">IF(AND(CU245,OR(C245="赤日轮1",C245="赤日轮2",C245="赤日轮3",C245="烈日斩",C245="净世破魔击·日")),100,MIN(IF(CO245,0,IF(OR($C245="幽月轮1",$C245="幽月轮2",$C245="幽月轮3"),F244+20+IF(模拟模式!$I$7="日月凌天",4,0)+IF(CS244,20,0),IF($C245="银月斩",F244+40+IF(模拟模式!$X$12=1,5,0),IF($C245="驱夜断愁",IF(模拟模式!$R$7="万念俱寂",F244+20,F244+60),IF($C245="净世破魔击·月",IF(模拟模式!$M$7="辉耀红尘",F244-80,F244-100),IF(AND(C245="净世破魔击·日",OR(DB244&gt;0,CV244&gt;0)),100,F244)))))),100))</f>
        <v>20</v>
      </c>
      <c r="G245" s="117">
        <f ca="1">('模拟-全程加成'!$E$3+'模拟-全程加成'!$E$4+'模拟-全程加成'!$E$5+('模拟-全程加成'!$C$6-'模拟-全程加成'!$C$3)*系数!$B$9+BS245*23)*(1+'模拟-全程加成'!$F$4+'模拟-全程加成'!$F$5+BJ245*10%+BM245*20%+BP245*4%+CG245*30%)+$F$7*系数!$B$12</f>
        <v>20583.127400000001</v>
      </c>
      <c r="H245" s="45">
        <f ca="1">'模拟-全程加成'!$H$3+'模拟-全程加成'!$H$4+'模拟-全程加成'!$H$5+('模拟-全程加成'!$G$4+'模拟-全程加成'!$G$5+('模拟-全程加成'!$C$6-'模拟-全程加成'!$C$3)*系数!$B$13)/系数!$B$3+LOOKUP(D245,'模拟-单技能数据'!$A$2:$A$19,'模拟-单技能数据'!$K$2:$K$19)+BG245*10%+IF(BV245&gt;0,378,0)</f>
        <v>0.4618514552730022</v>
      </c>
      <c r="I245" s="45">
        <f ca="1">'模拟-全程加成'!$J$3+'模拟-全程加成'!$J$4+'模拟-全程加成'!$J$5+('模拟-全程加成'!$I$4+'模拟-全程加成'!$I$5)/系数!$B$4+LOOKUP(D245,'模拟-单技能数据'!$A$2:$A$19,'模拟-单技能数据'!$L$2:$L$19)+BG245*10%</f>
        <v>2.162482885499879</v>
      </c>
      <c r="J245" s="45">
        <f ca="1">(('模拟-全程加成'!$K$3+'模拟-全程加成'!$K$4+'模拟-全程加成'!$K$5+('模拟-全程加成'!$C$6-'模拟-全程加成'!$C$3)*系数!$B$10+IF(BV245&gt;0,882,0)+IF(BY245&gt;0,1831,0))*(1+'模拟-全程加成'!$L$4+'模拟-全程加成'!$L$5+CC245*20%))/系数!$B$5</f>
        <v>0.85832564669386491</v>
      </c>
      <c r="K245" s="119">
        <f ca="1">LOOKUP(D245,'模拟-单技能数据'!$A$2:$A$19,'模拟-单技能数据'!$J$2:$J$19)+IF(CM245,60%,0)+IF(DB244-DB245&gt;0,30%,0)+IF(OR(AND(OR(C245="赤日轮1",C245="赤日轮2",C245="赤日轮3"),CR245),AND(OR(C245="幽月轮1",C245="幽月轮2",C245="幽月轮3"),CS245)),35%,0)+CJ245</f>
        <v>0.12</v>
      </c>
      <c r="L245" s="119">
        <f ca="1">IF(AND(C245="烈日斩",模拟模式!$X$11=1),10%,0)+IF(AND(C245="驱夜断愁",AB245=1),30%,0)</f>
        <v>0</v>
      </c>
      <c r="M245" s="45">
        <f t="shared" ca="1" si="185"/>
        <v>0.4618514552730022</v>
      </c>
      <c r="N245" s="45">
        <f t="shared" ca="1" si="186"/>
        <v>0.48424854472699785</v>
      </c>
      <c r="O245" s="46">
        <f t="shared" ca="1" si="210"/>
        <v>0.31890791934495211</v>
      </c>
      <c r="P245" s="46" t="str">
        <f t="shared" ca="1" si="211"/>
        <v>会</v>
      </c>
      <c r="Q245" s="45">
        <f t="shared" ca="1" si="212"/>
        <v>2.162482885499879</v>
      </c>
      <c r="R245" s="117">
        <f ca="1">模拟模式!$E$20*(1-IF(模拟模式!$J$19="有",0.15,0))*(1-IF(模拟模式!$K$19="有",0.3,0)-IF(CQ245,0.5,0))</f>
        <v>843.02999999999975</v>
      </c>
      <c r="S245" s="45">
        <f ca="1">R245/(R245+(185*模拟模式!$E$22-16800)*4.08224)</f>
        <v>8.389626085980037E-2</v>
      </c>
      <c r="T245" s="45" t="str">
        <f ca="1">LOOKUP(D245,'模拟-单技能数据'!$A$2:$A$19,'模拟-单技能数据'!$H$2:$H$19)</f>
        <v>阳</v>
      </c>
      <c r="U245" s="119">
        <f t="shared" ca="1" si="187"/>
        <v>0.2</v>
      </c>
      <c r="V245" s="47">
        <f ca="1">(1+L245)*(LOOKUP(D245,'模拟-单技能数据'!$A$2:$A$19,'模拟-单技能数据'!$D$2:$D$19)+G245*LOOKUP(D245,'模拟-单技能数据'!$A$2:$A$19,'模拟-单技能数据'!$F$2:$F$19))*(1+J245)*(1+K245)*(1-S245)*(1+U245)*Q245*LOOKUP(D245,'模拟-单技能数据'!$A$2:$A$19,'模拟-单技能数据'!$I$2:$I$20)</f>
        <v>59653.795817632774</v>
      </c>
      <c r="W245" s="47">
        <f ca="1">LOOKUP(D245,'模拟-单技能数据'!$A$2:$A$19,'模拟-单技能数据'!$G$2:$G$19)*$I$10</f>
        <v>361.51064354704795</v>
      </c>
      <c r="X245" s="47">
        <f t="shared" ca="1" si="213"/>
        <v>30786.772890436052</v>
      </c>
      <c r="Y245" s="47">
        <f t="shared" ca="1" si="188"/>
        <v>90802.079351615874</v>
      </c>
      <c r="Z245" s="49">
        <f t="shared" ca="1" si="189"/>
        <v>23341279.921306908</v>
      </c>
      <c r="AA245" s="97">
        <f t="shared" ca="1" si="190"/>
        <v>116065.1397096382</v>
      </c>
      <c r="AB245" s="115">
        <f ca="1">IF(OR(C245="赤日轮1",C245="赤日轮2",C245="赤日轮3"),IF(RAND()&lt;模拟模式!$Y$17,1,0),IF(OR(C245="幽月轮1",C245="幽月轮2",C245="幽月轮3"),IF(RAND()&lt;模拟模式!$Y$18,1,0),IF(C245="烈日斩",IF(RAND()&lt;模拟模式!$Y$19,1,0),IF(C245="银月斩",IF(RAND()&lt;模拟模式!$Y$20,1,0),IF(C245="驱夜断愁",IF(RAND()&lt;模拟模式!$Y$21,1,0),IF(C245="净世破魔击·日",IF(RAND()&lt;模拟模式!$Y$22,1,0),IF(C245="净世破魔击·月",IF(RAND()&lt;模拟模式!$Y$23,1,0),0)))))))</f>
        <v>1</v>
      </c>
      <c r="AC245" s="115" t="b">
        <f t="shared" ca="1" si="178"/>
        <v>0</v>
      </c>
      <c r="AD245" s="115" t="b">
        <f t="shared" ca="1" si="198"/>
        <v>1</v>
      </c>
      <c r="AE245" s="115">
        <f t="shared" ca="1" si="199"/>
        <v>2</v>
      </c>
      <c r="AF245" s="47">
        <f ca="1">IF(AC245,('模拟-单技能数据'!$D$20+G245*'模拟-单技能数据'!$F$20)*(1+J245)*(1+'模拟-单技能数据'!$J$20)*(1+U245),0)</f>
        <v>0</v>
      </c>
      <c r="AG245" s="61">
        <f t="shared" ca="1" si="191"/>
        <v>0.64185145527300214</v>
      </c>
      <c r="AH245" s="61">
        <f t="shared" ca="1" si="192"/>
        <v>2.2624828854998791</v>
      </c>
      <c r="AI245" s="62">
        <f t="shared" ca="1" si="214"/>
        <v>0.76002633211479076</v>
      </c>
      <c r="AJ245" s="47">
        <f ca="1">IF(AD245,IF(AI245&lt;$F$10,0,IF(AI245&lt;$F$10+$F$11,0.25,IF(AI245&lt;$F$10+$F$11+AG245,AH245,1)))*IF(AF245&gt;0,AF245,IF(AF244&gt;0,AF244,IF(AF243&gt;0,AF243,IF(AF242&gt;0,AF242,IF(AF241&gt;0,AF241,IF(AF240&gt;0,AF240,IF(AF239&gt;0,AF239,IF(AF238&gt;0,AF238,IF(AF237&gt;0,AF237,IF(AF235&gt;0,AF235,IF(AF234&gt;0,AF234,IF(AF233&gt;0,AF233,0)))))))))))),0)*(1-$S245)*'模拟-单技能数据'!$I$20</f>
        <v>4461.4495401446002</v>
      </c>
      <c r="AK245" s="115" t="b">
        <f t="shared" ca="1" si="179"/>
        <v>0</v>
      </c>
      <c r="AL245" s="115" t="b">
        <f t="shared" ca="1" si="200"/>
        <v>1</v>
      </c>
      <c r="AM245" s="115">
        <f t="shared" ca="1" si="201"/>
        <v>5</v>
      </c>
      <c r="AN245" s="47">
        <f ca="1">IF(AK245,('模拟-单技能数据'!$D$21+G245*'模拟-单技能数据'!$F$21)*(1+J245)*(1+'模拟-单技能数据'!$J$21)*(1+U245),0)</f>
        <v>0</v>
      </c>
      <c r="AO245" s="61">
        <f ca="1">IF(AN245&gt;0,M245-'模拟-单技能数据'!$K$10,AO244)</f>
        <v>0.42185145527300216</v>
      </c>
      <c r="AP245" s="61">
        <f ca="1">IF(AN245&gt;0,I245-'模拟-单技能数据'!$L$10,AP244)</f>
        <v>2.162482885499879</v>
      </c>
      <c r="AQ245" s="63">
        <f t="shared" ca="1" si="215"/>
        <v>0.28090186979818133</v>
      </c>
      <c r="AR245" s="64">
        <f ca="1">IF(AL245,IF(AQ245&lt;$F$10,0,IF(AQ245&lt;$F$10+$F$11,0.25,IF(AQ245&lt;$F$10+$F$11+AO245,AP245,1)))*IF(AN245&gt;0,AN245,IF(AN244&gt;0,AN244,IF(AN243&gt;0,AN243,IF(AN242&gt;0,AN242,IF(AN241&gt;0,AN241,IF(AN240&gt;0,AN240,IF(AN239&gt;0,AN239,IF(AN238&gt;0,AN238,IF(AN237&gt;0,AN237,IF(AN235&gt;0,AN235,IF(AN234&gt;0,AN234,IF(AN233&gt;0,AN233,0)))))))))))),0)*(1-$S245)*'模拟-单技能数据'!$I$21</f>
        <v>26325.323350291452</v>
      </c>
      <c r="AS245" s="61">
        <f ca="1">IF(OR(C245="净世破魔击·日",C245="净世破魔击·月"),M245-'模拟-单技能数据'!$K$10,0)</f>
        <v>0</v>
      </c>
      <c r="AT245" s="61">
        <f ca="1">IF(OR(C245="净世破魔击·日",C245="净世破魔击·月"),I245-'模拟-单技能数据'!$L$10,0)</f>
        <v>0</v>
      </c>
      <c r="AU245" s="62">
        <f t="shared" ca="1" si="216"/>
        <v>0.95388121268498105</v>
      </c>
      <c r="AV245" s="64">
        <f ca="1">IF(AS245&gt;0,('模拟-单技能数据'!$D$22+G245*'模拟-单技能数据'!$F$22)*(1+J245)*(1-S245)*IF(AU245&lt;$F$10,0,IF(AU245&lt;$F$10+$F$11,0.25,IF(AU245&lt;$F$10+$F$11+AS245,AT245,1)))*(1+U245),0)*'模拟-单技能数据'!$I$22</f>
        <v>0</v>
      </c>
      <c r="AW245" s="108">
        <f t="shared" ca="1" si="217"/>
        <v>14.465000000000003</v>
      </c>
      <c r="AX245" s="108" t="b">
        <f ca="1">AND(模拟模式!$P$10="有",AW244=0,RAND()&lt;IF(C245="净世破魔击·月",0.1*8/3,IF(C245="净世破魔击·日",0.1*4/3,0.1*2/3)))</f>
        <v>0</v>
      </c>
      <c r="AY245" s="47">
        <f ca="1">IF(AX245,(18+G245*0.722)*(1+J245)*(1-S245)*(1+$I$4)*IF(P245="会",'模拟-全程加成'!$J$3+'模拟-全程加成'!$J$4+'模拟-全程加成'!$J$5+('模拟-全程加成'!$I$4+'模拟-全程加成'!$I$5)/系数!$B$4+BG245*10%,IF(P245="命",1,IF(P245="识",0.25,0))),0)</f>
        <v>0</v>
      </c>
      <c r="AZ245" s="108">
        <f t="shared" si="218"/>
        <v>1.5500000000000065</v>
      </c>
      <c r="BA245" s="108" t="b">
        <f>AND(模拟模式!$Q$10="有",AZ244=0)</f>
        <v>0</v>
      </c>
      <c r="BB245" s="140">
        <f>IF(BA245,(0+G245*0.287)*(1+J245)*(1-S245)*(1+$I$4)*IF(P245="会",'模拟-全程加成'!$J$3+'模拟-全程加成'!$J$4+'模拟-全程加成'!$J$5+('模拟-全程加成'!$I$4+'模拟-全程加成'!$I$5)/系数!$B$4+BG245*10%,IF(P245="命",1,IF(P245="识",0.25,0))),0)</f>
        <v>0</v>
      </c>
      <c r="BC245" s="115" t="b">
        <f ca="1">AND(模拟模式!$R$7="伏明众生",E245=60,F245=20,DA245&lt;5,CZ244&lt;$F$4)</f>
        <v>0</v>
      </c>
      <c r="BD245" s="115">
        <f t="shared" ca="1" si="180"/>
        <v>0</v>
      </c>
      <c r="BE245" s="115" t="b">
        <f t="shared" ca="1" si="181"/>
        <v>0</v>
      </c>
      <c r="BF245" s="47">
        <f ca="1">IF(BC245,4*('模拟-单技能数据'!$D$24+G245*'模拟-单技能数据'!$F$24)*(1+J245)*(1+'模拟-单技能数据'!$J$24)*(1-S245)*(1+$I$3)*(('模拟-全程加成'!$J$3+'模拟-全程加成'!$J$4+'模拟-全程加成'!$J$5+('模拟-全程加成'!$I$4+'模拟-全程加成'!$I$5)/系数!$B$4+BG245*10%)*('模拟-全程加成'!$J$3+'模拟-全程加成'!$J$4+'模拟-全程加成'!$J$5+('模拟-全程加成'!$I$4+'模拟-全程加成'!$I$5)/系数!$B$4+BG245*10%)+(1-('模拟-全程加成'!$J$3+'模拟-全程加成'!$J$4+'模拟-全程加成'!$J$5+('模拟-全程加成'!$I$4+'模拟-全程加成'!$I$5)/系数!$B$4+BG245*10%)-$F$10-$F$11)+F231*0.25),0)*'模拟-单技能数据'!$I$24</f>
        <v>0</v>
      </c>
      <c r="BG245" s="115" t="b">
        <f ca="1">OR(AND(OR(C245="烈日斩",C245="银月斩"),模拟模式!$I$7="净身明礼"),AND(C245="净世破魔击·日",模拟模式!$J$7="洞若观火"),AND(C246="净世破魔击·月",模拟模式!$J$7="洞若观火"),AB245=1)</f>
        <v>1</v>
      </c>
      <c r="BH245" s="115" t="b">
        <f t="shared" ca="1" si="219"/>
        <v>0</v>
      </c>
      <c r="BI245" s="115">
        <f t="shared" ca="1" si="182"/>
        <v>0</v>
      </c>
      <c r="BJ245" s="115" t="b">
        <f t="shared" ca="1" si="193"/>
        <v>0</v>
      </c>
      <c r="BK245" s="115" t="b">
        <f ca="1">AND(C245="驱夜断愁",模拟模式!$P$7="天地诛戮")</f>
        <v>0</v>
      </c>
      <c r="BL245" s="57">
        <f t="shared" ca="1" si="183"/>
        <v>15.387500000000003</v>
      </c>
      <c r="BM245" s="115" t="b">
        <f t="shared" ca="1" si="194"/>
        <v>1</v>
      </c>
      <c r="BN245" s="115" t="b">
        <f ca="1">AND(OR(C245="赤日轮1",C245="赤日轮2",C245="赤日轮3",C245="幽月轮1",C245="幽月轮2",C245="幽月轮3"),AB245=1,模拟模式!$L$7="明光恒照")</f>
        <v>1</v>
      </c>
      <c r="BO245" s="117">
        <f t="shared" ca="1" si="184"/>
        <v>30</v>
      </c>
      <c r="BP245" s="115">
        <f t="shared" ca="1" si="220"/>
        <v>6</v>
      </c>
      <c r="BQ245" s="115" t="b">
        <f>模拟模式!$K$10="2600·水"</f>
        <v>0</v>
      </c>
      <c r="BR245" s="117">
        <f t="shared" si="221"/>
        <v>0</v>
      </c>
      <c r="BS245" s="115">
        <f t="shared" si="222"/>
        <v>0</v>
      </c>
      <c r="BT245" s="115">
        <f t="shared" ca="1" si="223"/>
        <v>0</v>
      </c>
      <c r="BU245" s="115" t="b">
        <f ca="1">AND(模拟模式!$K$10="2300·雷",BT244=0,RAND()&lt;IF(C245="净世破魔击·月",5*0.05*2/3,IF(C245="净世破魔击·日",3*0.05*2/3,0.05*2*2/3)))</f>
        <v>0</v>
      </c>
      <c r="BV245" s="115">
        <f t="shared" ca="1" si="224"/>
        <v>0</v>
      </c>
      <c r="BW245" s="115">
        <f t="shared" ca="1" si="225"/>
        <v>170.77499999999986</v>
      </c>
      <c r="BX245" s="164" t="b">
        <f t="shared" ca="1" si="226"/>
        <v>0</v>
      </c>
      <c r="BY245" s="115">
        <f t="shared" ca="1" si="227"/>
        <v>5.775000000000003</v>
      </c>
      <c r="BZ245" s="115">
        <f>IF(OR(模拟模式!$P$16="10人团",模拟模式!$P$16="25人团"),IF(B245/30&gt;CA244,1,0),0)</f>
        <v>0</v>
      </c>
      <c r="CA245" s="115">
        <f t="shared" si="203"/>
        <v>0</v>
      </c>
      <c r="CB245" s="115">
        <f ca="1">IF(BZ245=1,IF(模拟模式!$P$16="10人团",15,0)+IF(模拟模式!$P$16="25人团",IF(RAND()&lt;0.6,15,0)),MAX(0,CB244-$F$4))</f>
        <v>0</v>
      </c>
      <c r="CC245" s="115" t="b">
        <f t="shared" ca="1" si="195"/>
        <v>0</v>
      </c>
      <c r="CD245" s="115">
        <f>IF(模拟模式!$Q$16="1个",IF(B245/40&gt;CE244,1,0),0)</f>
        <v>0</v>
      </c>
      <c r="CE245" s="115">
        <f t="shared" si="196"/>
        <v>0</v>
      </c>
      <c r="CF245" s="115">
        <f>IF(OR(CD245=1,模拟模式!$Q$16="2个"),20,MAX(0,CF244-$F$4))</f>
        <v>0</v>
      </c>
      <c r="CG245" s="115" t="b">
        <f t="shared" si="197"/>
        <v>0</v>
      </c>
      <c r="CH245" s="115">
        <f t="shared" ca="1" si="228"/>
        <v>0</v>
      </c>
      <c r="CI245" s="115" t="b">
        <f t="shared" ca="1" si="229"/>
        <v>0</v>
      </c>
      <c r="CJ245" s="119">
        <f t="shared" ca="1" si="230"/>
        <v>0</v>
      </c>
      <c r="CK245" s="115">
        <f t="shared" ca="1" si="231"/>
        <v>0</v>
      </c>
      <c r="CL245" s="115" t="b">
        <f ca="1">AND(模拟模式!$S$7="驱夷逐法",OR(AND(C245="净世破魔击·月",E244&gt;59),AND(C245="净世破魔击·日",F244&gt;59)))</f>
        <v>0</v>
      </c>
      <c r="CM245" s="115" t="b">
        <f ca="1">OR(CL245,AND(C245="净世破魔击·日",CL244,RAND()&lt;模拟模式!$U$23))</f>
        <v>0</v>
      </c>
      <c r="CN245" s="115" t="b">
        <f ca="1">IF(模拟模式!$M$7="辉耀红尘",AND(C245="净世破魔击·月",CL245,CV245=0,E244&lt;80),AND(C245="净世破魔击·月",CL245,E244&lt;100))</f>
        <v>0</v>
      </c>
      <c r="CO245" s="115" t="b">
        <f t="shared" ca="1" si="204"/>
        <v>0</v>
      </c>
      <c r="CP245" s="115" t="b">
        <f ca="1">AND(模拟模式!$O$7="用晦而明",OR(C245="净世破魔击·日",C245="净世破魔击·月",C245="驱夜断愁"),AB245)</f>
        <v>0</v>
      </c>
      <c r="CQ245" s="115" t="b">
        <f ca="1">OR(CP245,AND(CP244,RAND()&lt;模拟模式!$U$23))</f>
        <v>1</v>
      </c>
      <c r="CR245" s="115" t="b">
        <f ca="1">AND(模拟模式!$S$7="日月齐光",OR(C245="幽月轮1",C245="幽月轮2",C245="幽月轮3",CR244),NOT(OR(C245="赤日轮1",C245="赤日轮2",C245="赤日轮3")))</f>
        <v>0</v>
      </c>
      <c r="CS245" s="115" t="b">
        <f ca="1">AND(模拟模式!$S$7="日月齐光",OR(C245="赤日轮1",C245="赤日轮2",C245="赤日轮3",CS244),NOT(OR(C245="幽月轮1",C245="幽月轮2",C245="幽月轮3")))</f>
        <v>0</v>
      </c>
      <c r="CT245" s="115">
        <f t="shared" ca="1" si="232"/>
        <v>0</v>
      </c>
      <c r="CU245" s="115" t="b">
        <f ca="1">AND(模拟模式!$K$10="阴阳往极",CT244=0,RAND()&lt;IF(C245="净世破魔击·月",0.0275*7/3,IF(C245="净世破魔击·日",0.0275*3/3,0.0275*2/3)))</f>
        <v>0</v>
      </c>
      <c r="CV245" s="115">
        <f t="shared" ca="1" si="233"/>
        <v>0</v>
      </c>
      <c r="CW245" s="115">
        <f t="shared" ca="1" si="205"/>
        <v>2.3099999999999996</v>
      </c>
      <c r="CX245" s="115">
        <f t="shared" ca="1" si="206"/>
        <v>0.46499999999999975</v>
      </c>
      <c r="CY245" s="115">
        <f ca="1">MAX(IF($C245="驱夜断愁",IF(模拟模式!$R$7="万念俱寂",6,45),CY244-$F$4),0)</f>
        <v>1.3874999999999997</v>
      </c>
      <c r="CZ245" s="115">
        <f t="shared" ca="1" si="207"/>
        <v>0</v>
      </c>
      <c r="DA245" s="115">
        <f ca="1">IF(模拟模式!$N$7="日月同辉",IF(DB244=2,0,MIN(6,IF(AND(OR(C245="赤日轮1",C245="赤日轮2",C245="赤日轮3",C245="幽月轮1",C245="幽月轮2",C245="幽月轮3"),AB245=1),DA244+1,DA244))),0)</f>
        <v>2</v>
      </c>
      <c r="DB245" s="115">
        <f t="shared" ca="1" si="208"/>
        <v>0</v>
      </c>
      <c r="DC245" s="115"/>
      <c r="DD245" s="115"/>
      <c r="DE245" s="115"/>
      <c r="DF245" s="115"/>
      <c r="DG245" s="115"/>
      <c r="DH245" s="115"/>
      <c r="DI245" s="115"/>
      <c r="DJ245" s="115"/>
      <c r="DK245" s="115"/>
      <c r="DL245" s="115"/>
      <c r="DM245" s="115"/>
    </row>
    <row r="246" spans="2:117" x14ac:dyDescent="0.2">
      <c r="B246" s="117">
        <f t="shared" si="209"/>
        <v>202.02750000000103</v>
      </c>
      <c r="C246" s="167" t="str">
        <f t="shared" ca="1" si="202"/>
        <v>银月斩</v>
      </c>
      <c r="D246" s="115">
        <f ca="1">IF(C246="赤日轮1",1,IF(C246="赤日轮2",2,IF(C246="赤日轮3",3,IF(C246="幽月轮1",4,IF(C246="幽月轮2",5,IF(C246="幽月轮3",6,IF(C246="烈日斩",7,IF(C246="银月斩",8,IF(C246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246="净世破魔击·月",17,IF(C246="驱夜断愁",18,0)))))))))))</f>
        <v>8</v>
      </c>
      <c r="E246" s="115">
        <f ca="1">IF(AND(CU246,OR(C246="幽月轮1",C246="幽月轮2",C246="幽月轮3",C246="银月斩",C246="驱夜断愁",C246="净世破魔击·月")),100,MIN(IF(OR(CN246,BE246),0,IF(OR($C246="赤日轮1",$C246="赤日轮2",$C246="赤日轮3"),E245+20+IF(模拟模式!$I$7="日月凌天",4,0)+IF(CR245,20,0),IF($C246="烈日斩",E245+40,IF($C246="驱夜断愁",IF(模拟模式!$R$7="万念俱寂",E245+20,E245+60),IF($C246="净世破魔击·月",IF(OR(DB245&gt;0,CV245&gt;0),100,IF(模拟模式!$M$7="辉耀红尘",E245+20,E245)),IF($C246="净世破魔击·日",E245-100,E245)))))),100))</f>
        <v>20</v>
      </c>
      <c r="F246" s="115">
        <f ca="1">IF(AND(CU246,OR(C246="赤日轮1",C246="赤日轮2",C246="赤日轮3",C246="烈日斩",C246="净世破魔击·日")),100,MIN(IF(CO246,0,IF(OR($C246="幽月轮1",$C246="幽月轮2",$C246="幽月轮3"),F245+20+IF(模拟模式!$I$7="日月凌天",4,0)+IF(CS245,20,0),IF($C246="银月斩",F245+40+IF(模拟模式!$X$12=1,5,0),IF($C246="驱夜断愁",IF(模拟模式!$R$7="万念俱寂",F245+20,F245+60),IF($C246="净世破魔击·月",IF(模拟模式!$M$7="辉耀红尘",F245-80,F245-100),IF(AND(C246="净世破魔击·日",OR(DB245&gt;0,CV245&gt;0)),100,F245)))))),100))</f>
        <v>65</v>
      </c>
      <c r="G246" s="117">
        <f ca="1">('模拟-全程加成'!$E$3+'模拟-全程加成'!$E$4+'模拟-全程加成'!$E$5+('模拟-全程加成'!$C$6-'模拟-全程加成'!$C$3)*系数!$B$9+BS246*23)*(1+'模拟-全程加成'!$F$4+'模拟-全程加成'!$F$5+BJ246*10%+BM246*20%+BP246*4%+CG246*30%)+$F$7*系数!$B$12</f>
        <v>20583.127400000001</v>
      </c>
      <c r="H246" s="45">
        <f ca="1">'模拟-全程加成'!$H$3+'模拟-全程加成'!$H$4+'模拟-全程加成'!$H$5+('模拟-全程加成'!$G$4+'模拟-全程加成'!$G$5+('模拟-全程加成'!$C$6-'模拟-全程加成'!$C$3)*系数!$B$13)/系数!$B$3+LOOKUP(D246,'模拟-单技能数据'!$A$2:$A$19,'模拟-单技能数据'!$K$2:$K$19)+BG246*10%+IF(BV246&gt;0,378,0)</f>
        <v>0.64185145527300214</v>
      </c>
      <c r="I246" s="45">
        <f ca="1">'模拟-全程加成'!$J$3+'模拟-全程加成'!$J$4+'模拟-全程加成'!$J$5+('模拟-全程加成'!$I$4+'模拟-全程加成'!$I$5)/系数!$B$4+LOOKUP(D246,'模拟-单技能数据'!$A$2:$A$19,'模拟-单技能数据'!$L$2:$L$19)+BG246*10%</f>
        <v>2.2624828854998791</v>
      </c>
      <c r="J246" s="45">
        <f ca="1">(('模拟-全程加成'!$K$3+'模拟-全程加成'!$K$4+'模拟-全程加成'!$K$5+('模拟-全程加成'!$C$6-'模拟-全程加成'!$C$3)*系数!$B$10+IF(BV246&gt;0,882,0)+IF(BY246&gt;0,1831,0))*(1+'模拟-全程加成'!$L$4+'模拟-全程加成'!$L$5+CC246*20%))/系数!$B$5</f>
        <v>0.85832564669386491</v>
      </c>
      <c r="K246" s="119">
        <f ca="1">LOOKUP(D246,'模拟-单技能数据'!$A$2:$A$19,'模拟-单技能数据'!$J$2:$J$19)+IF(CM246,60%,0)+IF(DB245-DB246&gt;0,30%,0)+IF(OR(AND(OR(C246="赤日轮1",C246="赤日轮2",C246="赤日轮3"),CR246),AND(OR(C246="幽月轮1",C246="幽月轮2",C246="幽月轮3"),CS246)),35%,0)+CJ246</f>
        <v>0.2</v>
      </c>
      <c r="L246" s="119">
        <f ca="1">IF(AND(C246="烈日斩",模拟模式!$X$11=1),10%,0)+IF(AND(C246="驱夜断愁",AB246=1),30%,0)</f>
        <v>0</v>
      </c>
      <c r="M246" s="45">
        <f t="shared" ca="1" si="185"/>
        <v>0.64185145527300214</v>
      </c>
      <c r="N246" s="45">
        <f t="shared" ca="1" si="186"/>
        <v>0.30424854472699792</v>
      </c>
      <c r="O246" s="46">
        <f t="shared" ca="1" si="210"/>
        <v>0.45727862034947719</v>
      </c>
      <c r="P246" s="46" t="str">
        <f t="shared" ca="1" si="211"/>
        <v>会</v>
      </c>
      <c r="Q246" s="45">
        <f t="shared" ca="1" si="212"/>
        <v>2.2624828854998791</v>
      </c>
      <c r="R246" s="117">
        <f ca="1">模拟模式!$E$20*(1-IF(模拟模式!$J$19="有",0.15,0))*(1-IF(模拟模式!$K$19="有",0.3,0)-IF(CQ246,0.5,0))</f>
        <v>2950.6049999999996</v>
      </c>
      <c r="S246" s="45">
        <f ca="1">R246/(R246+(185*模拟模式!$E$22-16800)*4.08224)</f>
        <v>0.24272716014590323</v>
      </c>
      <c r="T246" s="45" t="str">
        <f ca="1">LOOKUP(D246,'模拟-单技能数据'!$A$2:$A$19,'模拟-单技能数据'!$H$2:$H$19)</f>
        <v>阴</v>
      </c>
      <c r="U246" s="119">
        <f t="shared" ca="1" si="187"/>
        <v>0.08</v>
      </c>
      <c r="V246" s="47">
        <f ca="1">(1+L246)*(LOOKUP(D246,'模拟-单技能数据'!$A$2:$A$19,'模拟-单技能数据'!$D$2:$D$19)+G246*LOOKUP(D246,'模拟-单技能数据'!$A$2:$A$19,'模拟-单技能数据'!$F$2:$F$19))*(1+J246)*(1+K246)*(1-S246)*(1+U246)*Q246*LOOKUP(D246,'模拟-单技能数据'!$A$2:$A$19,'模拟-单技能数据'!$I$2:$I$20)</f>
        <v>45108.202433506638</v>
      </c>
      <c r="W246" s="47">
        <f ca="1">LOOKUP(D246,'模拟-单技能数据'!$A$2:$A$19,'模拟-单技能数据'!$G$2:$G$19)*$I$10</f>
        <v>361.51064354704795</v>
      </c>
      <c r="X246" s="47">
        <f t="shared" ca="1" si="213"/>
        <v>0</v>
      </c>
      <c r="Y246" s="47">
        <f t="shared" ca="1" si="188"/>
        <v>45469.71307705369</v>
      </c>
      <c r="Z246" s="49">
        <f t="shared" ca="1" si="189"/>
        <v>23386749.634383962</v>
      </c>
      <c r="AA246" s="97">
        <f t="shared" ca="1" si="190"/>
        <v>115760.22885193274</v>
      </c>
      <c r="AB246" s="115">
        <f ca="1">IF(OR(C246="赤日轮1",C246="赤日轮2",C246="赤日轮3"),IF(RAND()&lt;模拟模式!$Y$17,1,0),IF(OR(C246="幽月轮1",C246="幽月轮2",C246="幽月轮3"),IF(RAND()&lt;模拟模式!$Y$18,1,0),IF(C246="烈日斩",IF(RAND()&lt;模拟模式!$Y$19,1,0),IF(C246="银月斩",IF(RAND()&lt;模拟模式!$Y$20,1,0),IF(C246="驱夜断愁",IF(RAND()&lt;模拟模式!$Y$21,1,0),IF(C246="净世破魔击·日",IF(RAND()&lt;模拟模式!$Y$22,1,0),IF(C246="净世破魔击·月",IF(RAND()&lt;模拟模式!$Y$23,1,0),0)))))))</f>
        <v>1</v>
      </c>
      <c r="AC246" s="115" t="b">
        <f t="shared" ca="1" si="178"/>
        <v>1</v>
      </c>
      <c r="AD246" s="115" t="b">
        <f t="shared" ca="1" si="198"/>
        <v>0</v>
      </c>
      <c r="AE246" s="115">
        <f t="shared" ca="1" si="199"/>
        <v>6</v>
      </c>
      <c r="AF246" s="47">
        <f ca="1">IF(AC246,('模拟-单技能数据'!$D$20+G246*'模拟-单技能数据'!$F$20)*(1+J246)*(1+'模拟-单技能数据'!$J$20)*(1+U246),0)</f>
        <v>4870.026558708134</v>
      </c>
      <c r="AG246" s="61">
        <f t="shared" ca="1" si="191"/>
        <v>0.64185145527300214</v>
      </c>
      <c r="AH246" s="61">
        <f t="shared" ca="1" si="192"/>
        <v>2.2624828854998791</v>
      </c>
      <c r="AI246" s="62">
        <f t="shared" ca="1" si="214"/>
        <v>0.61855891363399562</v>
      </c>
      <c r="AJ246" s="47">
        <f ca="1">IF(AD246,IF(AI246&lt;$F$10,0,IF(AI246&lt;$F$10+$F$11,0.25,IF(AI246&lt;$F$10+$F$11+AG246,AH246,1)))*IF(AF246&gt;0,AF246,IF(AF245&gt;0,AF245,IF(AF244&gt;0,AF244,IF(AF243&gt;0,AF243,IF(AF242&gt;0,AF242,IF(AF241&gt;0,AF241,IF(AF240&gt;0,AF240,IF(AF239&gt;0,AF239,IF(AF238&gt;0,AF238,IF(AF236&gt;0,AF236,IF(AF235&gt;0,AF235,IF(AF234&gt;0,AF234,0)))))))))))),0)*(1-$S246)*'模拟-单技能数据'!$I$20</f>
        <v>0</v>
      </c>
      <c r="AK246" s="115" t="b">
        <f t="shared" ca="1" si="179"/>
        <v>0</v>
      </c>
      <c r="AL246" s="115" t="b">
        <f t="shared" ca="1" si="200"/>
        <v>0</v>
      </c>
      <c r="AM246" s="115">
        <f t="shared" ca="1" si="201"/>
        <v>5</v>
      </c>
      <c r="AN246" s="47">
        <f ca="1">IF(AK246,('模拟-单技能数据'!$D$21+G246*'模拟-单技能数据'!$F$21)*(1+J246)*(1+'模拟-单技能数据'!$J$21)*(1+U246),0)</f>
        <v>0</v>
      </c>
      <c r="AO246" s="61">
        <f ca="1">IF(AN246&gt;0,M246-'模拟-单技能数据'!$K$10,AO245)</f>
        <v>0.42185145527300216</v>
      </c>
      <c r="AP246" s="61">
        <f ca="1">IF(AN246&gt;0,I246-'模拟-单技能数据'!$L$10,AP245)</f>
        <v>2.162482885499879</v>
      </c>
      <c r="AQ246" s="63">
        <f t="shared" ca="1" si="215"/>
        <v>0.73347093839615685</v>
      </c>
      <c r="AR246" s="64">
        <f ca="1">IF(AL246,IF(AQ246&lt;$F$10,0,IF(AQ246&lt;$F$10+$F$11,0.25,IF(AQ246&lt;$F$10+$F$11+AO246,AP246,1)))*IF(AN246&gt;0,AN246,IF(AN245&gt;0,AN245,IF(AN244&gt;0,AN244,IF(AN243&gt;0,AN243,IF(AN242&gt;0,AN242,IF(AN241&gt;0,AN241,IF(AN240&gt;0,AN240,IF(AN239&gt;0,AN239,IF(AN238&gt;0,AN238,IF(AN236&gt;0,AN236,IF(AN235&gt;0,AN235,IF(AN234&gt;0,AN234,0)))))))))))),0)*(1-$S246)*'模拟-单技能数据'!$I$21</f>
        <v>0</v>
      </c>
      <c r="AS246" s="61">
        <f ca="1">IF(OR(C246="净世破魔击·日",C246="净世破魔击·月"),M246-'模拟-单技能数据'!$K$10,0)</f>
        <v>0</v>
      </c>
      <c r="AT246" s="61">
        <f ca="1">IF(OR(C246="净世破魔击·日",C246="净世破魔击·月"),I246-'模拟-单技能数据'!$L$10,0)</f>
        <v>0</v>
      </c>
      <c r="AU246" s="62">
        <f t="shared" ca="1" si="216"/>
        <v>0.8321468216462532</v>
      </c>
      <c r="AV246" s="64">
        <f ca="1">IF(AS246&gt;0,('模拟-单技能数据'!$D$22+G246*'模拟-单技能数据'!$F$22)*(1+J246)*(1-S246)*IF(AU246&lt;$F$10,0,IF(AU246&lt;$F$10+$F$11,0.25,IF(AU246&lt;$F$10+$F$11+AS246,AT246,1)))*(1+U246),0)*'模拟-单技能数据'!$I$22</f>
        <v>0</v>
      </c>
      <c r="AW246" s="108">
        <f t="shared" ca="1" si="217"/>
        <v>13.542500000000004</v>
      </c>
      <c r="AX246" s="108" t="b">
        <f ca="1">AND(模拟模式!$P$10="有",AW245=0,RAND()&lt;IF(C246="净世破魔击·月",0.1*8/3,IF(C246="净世破魔击·日",0.1*4/3,0.1*2/3)))</f>
        <v>0</v>
      </c>
      <c r="AY246" s="47">
        <f ca="1">IF(AX246,(18+G246*0.722)*(1+J246)*(1-S246)*(1+$I$4)*IF(P246="会",'模拟-全程加成'!$J$3+'模拟-全程加成'!$J$4+'模拟-全程加成'!$J$5+('模拟-全程加成'!$I$4+'模拟-全程加成'!$I$5)/系数!$B$4+BG246*10%,IF(P246="命",1,IF(P246="识",0.25,0))),0)</f>
        <v>0</v>
      </c>
      <c r="AZ246" s="108">
        <f t="shared" si="218"/>
        <v>0.6275000000000065</v>
      </c>
      <c r="BA246" s="108" t="b">
        <f>AND(模拟模式!$Q$10="有",AZ245=0)</f>
        <v>0</v>
      </c>
      <c r="BB246" s="140">
        <f>IF(BA246,(0+G246*0.287)*(1+J246)*(1-S246)*(1+$I$4)*IF(P246="会",'模拟-全程加成'!$J$3+'模拟-全程加成'!$J$4+'模拟-全程加成'!$J$5+('模拟-全程加成'!$I$4+'模拟-全程加成'!$I$5)/系数!$B$4+BG246*10%,IF(P246="命",1,IF(P246="识",0.25,0))),0)</f>
        <v>0</v>
      </c>
      <c r="BC246" s="115" t="b">
        <f ca="1">AND(模拟模式!$R$7="伏明众生",E246=60,F246=20,DA246&lt;5,CZ245&lt;$F$4)</f>
        <v>0</v>
      </c>
      <c r="BD246" s="115">
        <f t="shared" ca="1" si="180"/>
        <v>0</v>
      </c>
      <c r="BE246" s="115" t="b">
        <f t="shared" ca="1" si="181"/>
        <v>0</v>
      </c>
      <c r="BF246" s="47">
        <f ca="1">IF(BC246,4*('模拟-单技能数据'!$D$24+G246*'模拟-单技能数据'!$F$24)*(1+J246)*(1+'模拟-单技能数据'!$J$24)*(1-S246)*(1+$I$3)*(('模拟-全程加成'!$J$3+'模拟-全程加成'!$J$4+'模拟-全程加成'!$J$5+('模拟-全程加成'!$I$4+'模拟-全程加成'!$I$5)/系数!$B$4+BG246*10%)*('模拟-全程加成'!$J$3+'模拟-全程加成'!$J$4+'模拟-全程加成'!$J$5+('模拟-全程加成'!$I$4+'模拟-全程加成'!$I$5)/系数!$B$4+BG246*10%)+(1-('模拟-全程加成'!$J$3+'模拟-全程加成'!$J$4+'模拟-全程加成'!$J$5+('模拟-全程加成'!$I$4+'模拟-全程加成'!$I$5)/系数!$B$4+BG246*10%)-$F$10-$F$11)+F232*0.25),0)*'模拟-单技能数据'!$I$24</f>
        <v>0</v>
      </c>
      <c r="BG246" s="115" t="b">
        <f ca="1">OR(AND(OR(C246="烈日斩",C246="银月斩"),模拟模式!$I$7="净身明礼"),AND(C246="净世破魔击·日",模拟模式!$J$7="洞若观火"),AND(C247="净世破魔击·月",模拟模式!$J$7="洞若观火"),AB246=1)</f>
        <v>1</v>
      </c>
      <c r="BH246" s="115" t="b">
        <f t="shared" ca="1" si="219"/>
        <v>0</v>
      </c>
      <c r="BI246" s="115">
        <f t="shared" ca="1" si="182"/>
        <v>0</v>
      </c>
      <c r="BJ246" s="115" t="b">
        <f t="shared" ca="1" si="193"/>
        <v>0</v>
      </c>
      <c r="BK246" s="115" t="b">
        <f ca="1">AND(C246="驱夜断愁",模拟模式!$P$7="天地诛戮")</f>
        <v>0</v>
      </c>
      <c r="BL246" s="57">
        <f t="shared" ca="1" si="183"/>
        <v>14.465000000000003</v>
      </c>
      <c r="BM246" s="115" t="b">
        <f t="shared" ca="1" si="194"/>
        <v>1</v>
      </c>
      <c r="BN246" s="115" t="b">
        <f ca="1">AND(OR(C246="赤日轮1",C246="赤日轮2",C246="赤日轮3",C246="幽月轮1",C246="幽月轮2",C246="幽月轮3"),AB246=1,模拟模式!$L$7="明光恒照")</f>
        <v>0</v>
      </c>
      <c r="BO246" s="117">
        <f t="shared" ca="1" si="184"/>
        <v>29.077500000000001</v>
      </c>
      <c r="BP246" s="115">
        <f t="shared" ca="1" si="220"/>
        <v>6</v>
      </c>
      <c r="BQ246" s="115" t="b">
        <f>模拟模式!$K$10="2600·水"</f>
        <v>0</v>
      </c>
      <c r="BR246" s="117">
        <f t="shared" si="221"/>
        <v>0</v>
      </c>
      <c r="BS246" s="115">
        <f t="shared" si="222"/>
        <v>0</v>
      </c>
      <c r="BT246" s="115">
        <f t="shared" ca="1" si="223"/>
        <v>0</v>
      </c>
      <c r="BU246" s="115" t="b">
        <f ca="1">AND(模拟模式!$K$10="2300·雷",BT245=0,RAND()&lt;IF(C246="净世破魔击·月",5*0.05*2/3,IF(C246="净世破魔击·日",3*0.05*2/3,0.05*2*2/3)))</f>
        <v>0</v>
      </c>
      <c r="BV246" s="115">
        <f t="shared" ca="1" si="224"/>
        <v>0</v>
      </c>
      <c r="BW246" s="115">
        <f t="shared" ca="1" si="225"/>
        <v>169.85249999999985</v>
      </c>
      <c r="BX246" s="164" t="b">
        <f t="shared" ca="1" si="226"/>
        <v>0</v>
      </c>
      <c r="BY246" s="115">
        <f t="shared" ca="1" si="227"/>
        <v>4.8525000000000027</v>
      </c>
      <c r="BZ246" s="115">
        <f>IF(OR(模拟模式!$P$16="10人团",模拟模式!$P$16="25人团"),IF(B246/30&gt;CA245,1,0),0)</f>
        <v>0</v>
      </c>
      <c r="CA246" s="115">
        <f t="shared" si="203"/>
        <v>0</v>
      </c>
      <c r="CB246" s="115">
        <f ca="1">IF(BZ246=1,IF(模拟模式!$P$16="10人团",15,0)+IF(模拟模式!$P$16="25人团",IF(RAND()&lt;0.6,15,0)),MAX(0,CB245-$F$4))</f>
        <v>0</v>
      </c>
      <c r="CC246" s="115" t="b">
        <f t="shared" ca="1" si="195"/>
        <v>0</v>
      </c>
      <c r="CD246" s="115">
        <f>IF(模拟模式!$Q$16="1个",IF(B246/40&gt;CE245,1,0),0)</f>
        <v>0</v>
      </c>
      <c r="CE246" s="115">
        <f t="shared" si="196"/>
        <v>0</v>
      </c>
      <c r="CF246" s="115">
        <f>IF(OR(CD246=1,模拟模式!$Q$16="2个"),20,MAX(0,CF245-$F$4))</f>
        <v>0</v>
      </c>
      <c r="CG246" s="115" t="b">
        <f t="shared" si="197"/>
        <v>0</v>
      </c>
      <c r="CH246" s="115">
        <f t="shared" ca="1" si="228"/>
        <v>29.077500000000001</v>
      </c>
      <c r="CI246" s="115" t="b">
        <f t="shared" ca="1" si="229"/>
        <v>1</v>
      </c>
      <c r="CJ246" s="119">
        <f t="shared" ca="1" si="230"/>
        <v>0.05</v>
      </c>
      <c r="CK246" s="115">
        <f t="shared" ca="1" si="231"/>
        <v>7.0774999999999997</v>
      </c>
      <c r="CL246" s="115" t="b">
        <f ca="1">AND(模拟模式!$S$7="驱夷逐法",OR(AND(C246="净世破魔击·月",E245&gt;59),AND(C246="净世破魔击·日",F245&gt;59)))</f>
        <v>0</v>
      </c>
      <c r="CM246" s="115" t="b">
        <f ca="1">OR(CL246,AND(C246="净世破魔击·日",CL245,RAND()&lt;模拟模式!$U$23))</f>
        <v>0</v>
      </c>
      <c r="CN246" s="115" t="b">
        <f ca="1">IF(模拟模式!$M$7="辉耀红尘",AND(C246="净世破魔击·月",CL246,CV246=0,E245&lt;80),AND(C246="净世破魔击·月",CL246,E245&lt;100))</f>
        <v>0</v>
      </c>
      <c r="CO246" s="115" t="b">
        <f t="shared" ca="1" si="204"/>
        <v>0</v>
      </c>
      <c r="CP246" s="115" t="b">
        <f ca="1">AND(模拟模式!$O$7="用晦而明",OR(C246="净世破魔击·日",C246="净世破魔击·月",C246="驱夜断愁"),AB246)</f>
        <v>0</v>
      </c>
      <c r="CQ246" s="115" t="b">
        <f ca="1">OR(CP246,AND(CP245,RAND()&lt;模拟模式!$U$23))</f>
        <v>0</v>
      </c>
      <c r="CR246" s="115" t="b">
        <f ca="1">AND(模拟模式!$S$7="日月齐光",OR(C246="幽月轮1",C246="幽月轮2",C246="幽月轮3",CR245),NOT(OR(C246="赤日轮1",C246="赤日轮2",C246="赤日轮3")))</f>
        <v>0</v>
      </c>
      <c r="CS246" s="115" t="b">
        <f ca="1">AND(模拟模式!$S$7="日月齐光",OR(C246="赤日轮1",C246="赤日轮2",C246="赤日轮3",CS245),NOT(OR(C246="幽月轮1",C246="幽月轮2",C246="幽月轮3")))</f>
        <v>0</v>
      </c>
      <c r="CT246" s="115">
        <f t="shared" ca="1" si="232"/>
        <v>0</v>
      </c>
      <c r="CU246" s="115" t="b">
        <f ca="1">AND(模拟模式!$K$10="阴阳往极",CT245=0,RAND()&lt;IF(C246="净世破魔击·月",0.0275*7/3,IF(C246="净世破魔击·日",0.0275*3/3,0.0275*2/3)))</f>
        <v>0</v>
      </c>
      <c r="CV246" s="115">
        <f t="shared" ca="1" si="233"/>
        <v>0</v>
      </c>
      <c r="CW246" s="115">
        <f t="shared" ca="1" si="205"/>
        <v>1.3874999999999997</v>
      </c>
      <c r="CX246" s="115">
        <f t="shared" ca="1" si="206"/>
        <v>6</v>
      </c>
      <c r="CY246" s="115">
        <f ca="1">MAX(IF($C246="驱夜断愁",IF(模拟模式!$R$7="万念俱寂",6,45),CY245-$F$4),0)</f>
        <v>0.46499999999999975</v>
      </c>
      <c r="CZ246" s="115">
        <f t="shared" ca="1" si="207"/>
        <v>0</v>
      </c>
      <c r="DA246" s="115">
        <f ca="1">IF(模拟模式!$N$7="日月同辉",IF(DB245=2,0,MIN(6,IF(AND(OR(C246="赤日轮1",C246="赤日轮2",C246="赤日轮3",C246="幽月轮1",C246="幽月轮2",C246="幽月轮3"),AB246=1),DA245+1,DA245))),0)</f>
        <v>2</v>
      </c>
      <c r="DB246" s="115">
        <f t="shared" ca="1" si="208"/>
        <v>0</v>
      </c>
      <c r="DC246" s="115"/>
      <c r="DD246" s="115"/>
      <c r="DE246" s="115"/>
      <c r="DF246" s="115"/>
      <c r="DG246" s="115"/>
      <c r="DH246" s="115"/>
      <c r="DI246" s="115"/>
      <c r="DJ246" s="115"/>
      <c r="DK246" s="115"/>
      <c r="DL246" s="115"/>
      <c r="DM246" s="115"/>
    </row>
    <row r="247" spans="2:117" x14ac:dyDescent="0.2">
      <c r="B247" s="117">
        <f t="shared" si="209"/>
        <v>202.95000000000104</v>
      </c>
      <c r="C247" s="167" t="str">
        <f t="shared" ca="1" si="202"/>
        <v>驱夜断愁</v>
      </c>
      <c r="D247" s="115">
        <f ca="1">IF(C247="赤日轮1",1,IF(C247="赤日轮2",2,IF(C247="赤日轮3",3,IF(C247="幽月轮1",4,IF(C247="幽月轮2",5,IF(C247="幽月轮3",6,IF(C247="烈日斩",7,IF(C247="银月斩",8,IF(C247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247="净世破魔击·月",17,IF(C247="驱夜断愁",18,0)))))))))))</f>
        <v>18</v>
      </c>
      <c r="E247" s="115">
        <f ca="1">IF(AND(CU247,OR(C247="幽月轮1",C247="幽月轮2",C247="幽月轮3",C247="银月斩",C247="驱夜断愁",C247="净世破魔击·月")),100,MIN(IF(OR(CN247,BE247),0,IF(OR($C247="赤日轮1",$C247="赤日轮2",$C247="赤日轮3"),E246+20+IF(模拟模式!$I$7="日月凌天",4,0)+IF(CR246,20,0),IF($C247="烈日斩",E246+40,IF($C247="驱夜断愁",IF(模拟模式!$R$7="万念俱寂",E246+20,E246+60),IF($C247="净世破魔击·月",IF(OR(DB246&gt;0,CV246&gt;0),100,IF(模拟模式!$M$7="辉耀红尘",E246+20,E246)),IF($C247="净世破魔击·日",E246-100,E246)))))),100))</f>
        <v>40</v>
      </c>
      <c r="F247" s="115">
        <f ca="1">IF(AND(CU247,OR(C247="赤日轮1",C247="赤日轮2",C247="赤日轮3",C247="烈日斩",C247="净世破魔击·日")),100,MIN(IF(CO247,0,IF(OR($C247="幽月轮1",$C247="幽月轮2",$C247="幽月轮3"),F246+20+IF(模拟模式!$I$7="日月凌天",4,0)+IF(CS246,20,0),IF($C247="银月斩",F246+40+IF(模拟模式!$X$12=1,5,0),IF($C247="驱夜断愁",IF(模拟模式!$R$7="万念俱寂",F246+20,F246+60),IF($C247="净世破魔击·月",IF(模拟模式!$M$7="辉耀红尘",F246-80,F246-100),IF(AND(C247="净世破魔击·日",OR(DB246&gt;0,CV246&gt;0)),100,F246)))))),100))</f>
        <v>85</v>
      </c>
      <c r="G247" s="117">
        <f ca="1">('模拟-全程加成'!$E$3+'模拟-全程加成'!$E$4+'模拟-全程加成'!$E$5+('模拟-全程加成'!$C$6-'模拟-全程加成'!$C$3)*系数!$B$9+BS247*23)*(1+'模拟-全程加成'!$F$4+'模拟-全程加成'!$F$5+BJ247*10%+BM247*20%+BP247*4%+CG247*30%)+$F$7*系数!$B$12</f>
        <v>20583.127400000001</v>
      </c>
      <c r="H247" s="45">
        <f ca="1">'模拟-全程加成'!$H$3+'模拟-全程加成'!$H$4+'模拟-全程加成'!$H$5+('模拟-全程加成'!$G$4+'模拟-全程加成'!$G$5+('模拟-全程加成'!$C$6-'模拟-全程加成'!$C$3)*系数!$B$13)/系数!$B$3+LOOKUP(D247,'模拟-单技能数据'!$A$2:$A$19,'模拟-单技能数据'!$K$2:$K$19)+BG247*10%+IF(BV247&gt;0,378,0)</f>
        <v>0.51185145527300213</v>
      </c>
      <c r="I247" s="45">
        <f ca="1">'模拟-全程加成'!$J$3+'模拟-全程加成'!$J$4+'模拟-全程加成'!$J$5+('模拟-全程加成'!$I$4+'模拟-全程加成'!$I$5)/系数!$B$4+LOOKUP(D247,'模拟-单技能数据'!$A$2:$A$19,'模拟-单技能数据'!$L$2:$L$19)+BG247*10%</f>
        <v>2.162482885499879</v>
      </c>
      <c r="J247" s="45">
        <f ca="1">(('模拟-全程加成'!$K$3+'模拟-全程加成'!$K$4+'模拟-全程加成'!$K$5+('模拟-全程加成'!$C$6-'模拟-全程加成'!$C$3)*系数!$B$10+IF(BV247&gt;0,882,0)+IF(BY247&gt;0,1831,0))*(1+'模拟-全程加成'!$L$4+'模拟-全程加成'!$L$5+CC247*20%))/系数!$B$5</f>
        <v>0.85832564669386491</v>
      </c>
      <c r="K247" s="119">
        <f ca="1">LOOKUP(D247,'模拟-单技能数据'!$A$2:$A$19,'模拟-单技能数据'!$J$2:$J$19)+IF(CM247,60%,0)+IF(DB246-DB247&gt;0,30%,0)+IF(OR(AND(OR(C247="赤日轮1",C247="赤日轮2",C247="赤日轮3"),CR247),AND(OR(C247="幽月轮1",C247="幽月轮2",C247="幽月轮3"),CS247)),35%,0)+CJ247</f>
        <v>0.19</v>
      </c>
      <c r="L247" s="119">
        <f ca="1">IF(AND(C247="烈日斩",模拟模式!$X$11=1),10%,0)+IF(AND(C247="驱夜断愁",AB247=1),30%,0)</f>
        <v>0.3</v>
      </c>
      <c r="M247" s="45">
        <f t="shared" ca="1" si="185"/>
        <v>0.51185145527300213</v>
      </c>
      <c r="N247" s="45">
        <f t="shared" ca="1" si="186"/>
        <v>0.43424854472699792</v>
      </c>
      <c r="O247" s="46">
        <f t="shared" ca="1" si="210"/>
        <v>0.94746044460612422</v>
      </c>
      <c r="P247" s="46" t="str">
        <f t="shared" ca="1" si="211"/>
        <v>命</v>
      </c>
      <c r="Q247" s="45">
        <f t="shared" ca="1" si="212"/>
        <v>1</v>
      </c>
      <c r="R247" s="117">
        <f ca="1">模拟模式!$E$20*(1-IF(模拟模式!$J$19="有",0.15,0))*(1-IF(模拟模式!$K$19="有",0.3,0)-IF(CQ247,0.5,0))</f>
        <v>843.02999999999975</v>
      </c>
      <c r="S247" s="45">
        <f ca="1">R247/(R247+(185*模拟模式!$E$22-16800)*4.08224)</f>
        <v>8.389626085980037E-2</v>
      </c>
      <c r="T247" s="45" t="str">
        <f ca="1">LOOKUP(D247,'模拟-单技能数据'!$A$2:$A$19,'模拟-单技能数据'!$H$2:$H$19)</f>
        <v>阴</v>
      </c>
      <c r="U247" s="119">
        <f t="shared" ca="1" si="187"/>
        <v>0.08</v>
      </c>
      <c r="V247" s="47">
        <f ca="1">(1+L247)*(LOOKUP(D247,'模拟-单技能数据'!$A$2:$A$19,'模拟-单技能数据'!$D$2:$D$19)+G247*LOOKUP(D247,'模拟-单技能数据'!$A$2:$A$19,'模拟-单技能数据'!$F$2:$F$19))*(1+J247)*(1+K247)*(1-S247)*(1+U247)*Q247*LOOKUP(D247,'模拟-单技能数据'!$A$2:$A$19,'模拟-单技能数据'!$I$2:$I$20)</f>
        <v>67368.294328809847</v>
      </c>
      <c r="W247" s="47">
        <f ca="1">LOOKUP(D247,'模拟-单技能数据'!$A$2:$A$19,'模拟-单技能数据'!$G$2:$G$19)*$I$10</f>
        <v>723.0212870940959</v>
      </c>
      <c r="X247" s="47">
        <f t="shared" ca="1" si="213"/>
        <v>4158.7764539764103</v>
      </c>
      <c r="Y247" s="47">
        <f t="shared" ca="1" si="188"/>
        <v>72250.092069880338</v>
      </c>
      <c r="Z247" s="49">
        <f t="shared" ca="1" si="189"/>
        <v>23458999.726453841</v>
      </c>
      <c r="AA247" s="97">
        <f t="shared" ca="1" si="190"/>
        <v>115590.0454617084</v>
      </c>
      <c r="AB247" s="115">
        <f ca="1">IF(OR(C247="赤日轮1",C247="赤日轮2",C247="赤日轮3"),IF(RAND()&lt;模拟模式!$Y$17,1,0),IF(OR(C247="幽月轮1",C247="幽月轮2",C247="幽月轮3"),IF(RAND()&lt;模拟模式!$Y$18,1,0),IF(C247="烈日斩",IF(RAND()&lt;模拟模式!$Y$19,1,0),IF(C247="银月斩",IF(RAND()&lt;模拟模式!$Y$20,1,0),IF(C247="驱夜断愁",IF(RAND()&lt;模拟模式!$Y$21,1,0),IF(C247="净世破魔击·日",IF(RAND()&lt;模拟模式!$Y$22,1,0),IF(C247="净世破魔击·月",IF(RAND()&lt;模拟模式!$Y$23,1,0),0)))))))</f>
        <v>1</v>
      </c>
      <c r="AC247" s="115" t="b">
        <f t="shared" ca="1" si="178"/>
        <v>0</v>
      </c>
      <c r="AD247" s="115" t="b">
        <f t="shared" ca="1" si="198"/>
        <v>1</v>
      </c>
      <c r="AE247" s="115">
        <f t="shared" ca="1" si="199"/>
        <v>5</v>
      </c>
      <c r="AF247" s="47">
        <f ca="1">IF(AC247,('模拟-单技能数据'!$D$20+G247*'模拟-单技能数据'!$F$20)*(1+J247)*(1+'模拟-单技能数据'!$J$20)*(1+U247),0)</f>
        <v>0</v>
      </c>
      <c r="AG247" s="61">
        <f t="shared" ca="1" si="191"/>
        <v>0.64185145527300214</v>
      </c>
      <c r="AH247" s="61">
        <f t="shared" ca="1" si="192"/>
        <v>2.2624828854998791</v>
      </c>
      <c r="AI247" s="62">
        <f t="shared" ca="1" si="214"/>
        <v>3.2739251577346029E-2</v>
      </c>
      <c r="AJ247" s="47">
        <f ca="1">IF(AD247,IF(AI247&lt;$F$10,0,IF(AI247&lt;$F$10+$F$11,0.25,IF(AI247&lt;$F$10+$F$11+AG247,AH247,1)))*IF(AF247&gt;0,AF247,IF(AF246&gt;0,AF246,IF(AF245&gt;0,AF245,IF(AF244&gt;0,AF244,IF(AF243&gt;0,AF243,IF(AF242&gt;0,AF242,IF(AF241&gt;0,AF241,IF(AF240&gt;0,AF240,IF(AF239&gt;0,AF239,IF(AF237&gt;0,AF237,IF(AF236&gt;0,AF236,IF(AF235&gt;0,AF235,0)))))))))))),0)*(1-$S247)*'模拟-单技能数据'!$I$20</f>
        <v>1115.36238503615</v>
      </c>
      <c r="AK247" s="115" t="b">
        <f t="shared" ca="1" si="179"/>
        <v>0</v>
      </c>
      <c r="AL247" s="115" t="b">
        <f t="shared" ca="1" si="200"/>
        <v>1</v>
      </c>
      <c r="AM247" s="115">
        <f t="shared" ca="1" si="201"/>
        <v>4</v>
      </c>
      <c r="AN247" s="47">
        <f ca="1">IF(AK247,('模拟-单技能数据'!$D$21+G247*'模拟-单技能数据'!$F$21)*(1+J247)*(1+'模拟-单技能数据'!$J$21)*(1+U247),0)</f>
        <v>0</v>
      </c>
      <c r="AO247" s="61">
        <f ca="1">IF(AN247&gt;0,M247-'模拟-单技能数据'!$K$10,AO246)</f>
        <v>0.42185145527300216</v>
      </c>
      <c r="AP247" s="61">
        <f ca="1">IF(AN247&gt;0,I247-'模拟-单技能数据'!$L$10,AP246)</f>
        <v>2.162482885499879</v>
      </c>
      <c r="AQ247" s="63">
        <f t="shared" ca="1" si="215"/>
        <v>1.4005886289466307E-2</v>
      </c>
      <c r="AR247" s="64">
        <f ca="1">IF(AL247,IF(AQ247&lt;$F$10,0,IF(AQ247&lt;$F$10+$F$11,0.25,IF(AQ247&lt;$F$10+$F$11+AO247,AP247,1)))*IF(AN247&gt;0,AN247,IF(AN246&gt;0,AN246,IF(AN245&gt;0,AN245,IF(AN244&gt;0,AN244,IF(AN243&gt;0,AN243,IF(AN242&gt;0,AN242,IF(AN241&gt;0,AN241,IF(AN240&gt;0,AN240,IF(AN239&gt;0,AN239,IF(AN237&gt;0,AN237,IF(AN236&gt;0,AN236,IF(AN235&gt;0,AN235,0)))))))))))),0)*(1-$S247)*'模拟-单技能数据'!$I$21</f>
        <v>3043.4140689402607</v>
      </c>
      <c r="AS247" s="61">
        <f ca="1">IF(OR(C247="净世破魔击·日",C247="净世破魔击·月"),M247-'模拟-单技能数据'!$K$10,0)</f>
        <v>0</v>
      </c>
      <c r="AT247" s="61">
        <f ca="1">IF(OR(C247="净世破魔击·日",C247="净世破魔击·月"),I247-'模拟-单技能数据'!$L$10,0)</f>
        <v>0</v>
      </c>
      <c r="AU247" s="62">
        <f t="shared" ca="1" si="216"/>
        <v>0.29978865702855917</v>
      </c>
      <c r="AV247" s="64">
        <f ca="1">IF(AS247&gt;0,('模拟-单技能数据'!$D$22+G247*'模拟-单技能数据'!$F$22)*(1+J247)*(1-S247)*IF(AU247&lt;$F$10,0,IF(AU247&lt;$F$10+$F$11,0.25,IF(AU247&lt;$F$10+$F$11+AS247,AT247,1)))*(1+U247),0)*'模拟-单技能数据'!$I$22</f>
        <v>0</v>
      </c>
      <c r="AW247" s="108">
        <f t="shared" ca="1" si="217"/>
        <v>12.620000000000005</v>
      </c>
      <c r="AX247" s="108" t="b">
        <f ca="1">AND(模拟模式!$P$10="有",AW246=0,RAND()&lt;IF(C247="净世破魔击·月",0.1*8/3,IF(C247="净世破魔击·日",0.1*4/3,0.1*2/3)))</f>
        <v>0</v>
      </c>
      <c r="AY247" s="47">
        <f ca="1">IF(AX247,(18+G247*0.722)*(1+J247)*(1-S247)*(1+$I$4)*IF(P247="会",'模拟-全程加成'!$J$3+'模拟-全程加成'!$J$4+'模拟-全程加成'!$J$5+('模拟-全程加成'!$I$4+'模拟-全程加成'!$I$5)/系数!$B$4+BG247*10%,IF(P247="命",1,IF(P247="识",0.25,0))),0)</f>
        <v>0</v>
      </c>
      <c r="AZ247" s="108">
        <f t="shared" si="218"/>
        <v>0</v>
      </c>
      <c r="BA247" s="108" t="b">
        <f>AND(模拟模式!$Q$10="有",AZ246=0)</f>
        <v>0</v>
      </c>
      <c r="BB247" s="140">
        <f>IF(BA247,(0+G247*0.287)*(1+J247)*(1-S247)*(1+$I$4)*IF(P247="会",'模拟-全程加成'!$J$3+'模拟-全程加成'!$J$4+'模拟-全程加成'!$J$5+('模拟-全程加成'!$I$4+'模拟-全程加成'!$I$5)/系数!$B$4+BG247*10%,IF(P247="命",1,IF(P247="识",0.25,0))),0)</f>
        <v>0</v>
      </c>
      <c r="BC247" s="115" t="b">
        <f ca="1">AND(模拟模式!$R$7="伏明众生",E247=60,F247=20,DA247&lt;5,CZ246&lt;$F$4)</f>
        <v>0</v>
      </c>
      <c r="BD247" s="115">
        <f t="shared" ca="1" si="180"/>
        <v>0</v>
      </c>
      <c r="BE247" s="115" t="b">
        <f t="shared" ca="1" si="181"/>
        <v>0</v>
      </c>
      <c r="BF247" s="47">
        <f ca="1">IF(BC247,4*('模拟-单技能数据'!$D$24+G247*'模拟-单技能数据'!$F$24)*(1+J247)*(1+'模拟-单技能数据'!$J$24)*(1-S247)*(1+$I$3)*(('模拟-全程加成'!$J$3+'模拟-全程加成'!$J$4+'模拟-全程加成'!$J$5+('模拟-全程加成'!$I$4+'模拟-全程加成'!$I$5)/系数!$B$4+BG247*10%)*('模拟-全程加成'!$J$3+'模拟-全程加成'!$J$4+'模拟-全程加成'!$J$5+('模拟-全程加成'!$I$4+'模拟-全程加成'!$I$5)/系数!$B$4+BG247*10%)+(1-('模拟-全程加成'!$J$3+'模拟-全程加成'!$J$4+'模拟-全程加成'!$J$5+('模拟-全程加成'!$I$4+'模拟-全程加成'!$I$5)/系数!$B$4+BG247*10%)-$F$10-$F$11)+F233*0.25),0)*'模拟-单技能数据'!$I$24</f>
        <v>0</v>
      </c>
      <c r="BG247" s="115" t="b">
        <f ca="1">OR(AND(OR(C247="烈日斩",C247="银月斩"),模拟模式!$I$7="净身明礼"),AND(C247="净世破魔击·日",模拟模式!$J$7="洞若观火"),AND(C248="净世破魔击·月",模拟模式!$J$7="洞若观火"),AB247=1)</f>
        <v>1</v>
      </c>
      <c r="BH247" s="115" t="b">
        <f t="shared" ca="1" si="219"/>
        <v>0</v>
      </c>
      <c r="BI247" s="115">
        <f t="shared" ca="1" si="182"/>
        <v>0</v>
      </c>
      <c r="BJ247" s="115" t="b">
        <f t="shared" ca="1" si="193"/>
        <v>0</v>
      </c>
      <c r="BK247" s="115" t="b">
        <f ca="1">AND(C247="驱夜断愁",模拟模式!$P$7="天地诛戮")</f>
        <v>1</v>
      </c>
      <c r="BL247" s="57">
        <f t="shared" ca="1" si="183"/>
        <v>20</v>
      </c>
      <c r="BM247" s="115" t="b">
        <f t="shared" ca="1" si="194"/>
        <v>1</v>
      </c>
      <c r="BN247" s="115" t="b">
        <f ca="1">AND(OR(C247="赤日轮1",C247="赤日轮2",C247="赤日轮3",C247="幽月轮1",C247="幽月轮2",C247="幽月轮3"),AB247=1,模拟模式!$L$7="明光恒照")</f>
        <v>0</v>
      </c>
      <c r="BO247" s="117">
        <f t="shared" ca="1" si="184"/>
        <v>28.155000000000001</v>
      </c>
      <c r="BP247" s="115">
        <f t="shared" ca="1" si="220"/>
        <v>6</v>
      </c>
      <c r="BQ247" s="115" t="b">
        <f>模拟模式!$K$10="2600·水"</f>
        <v>0</v>
      </c>
      <c r="BR247" s="117">
        <f t="shared" si="221"/>
        <v>0</v>
      </c>
      <c r="BS247" s="115">
        <f t="shared" si="222"/>
        <v>0</v>
      </c>
      <c r="BT247" s="115">
        <f t="shared" ca="1" si="223"/>
        <v>0</v>
      </c>
      <c r="BU247" s="115" t="b">
        <f ca="1">AND(模拟模式!$K$10="2300·雷",BT246=0,RAND()&lt;IF(C247="净世破魔击·月",5*0.05*2/3,IF(C247="净世破魔击·日",3*0.05*2/3,0.05*2*2/3)))</f>
        <v>0</v>
      </c>
      <c r="BV247" s="115">
        <f t="shared" ca="1" si="224"/>
        <v>0</v>
      </c>
      <c r="BW247" s="115">
        <f t="shared" ca="1" si="225"/>
        <v>168.92999999999984</v>
      </c>
      <c r="BX247" s="164" t="b">
        <f t="shared" ca="1" si="226"/>
        <v>0</v>
      </c>
      <c r="BY247" s="115">
        <f t="shared" ca="1" si="227"/>
        <v>3.9300000000000028</v>
      </c>
      <c r="BZ247" s="115">
        <f>IF(OR(模拟模式!$P$16="10人团",模拟模式!$P$16="25人团"),IF(B247/30&gt;CA246,1,0),0)</f>
        <v>0</v>
      </c>
      <c r="CA247" s="115">
        <f t="shared" si="203"/>
        <v>0</v>
      </c>
      <c r="CB247" s="115">
        <f ca="1">IF(BZ247=1,IF(模拟模式!$P$16="10人团",15,0)+IF(模拟模式!$P$16="25人团",IF(RAND()&lt;0.6,15,0)),MAX(0,CB246-$F$4))</f>
        <v>0</v>
      </c>
      <c r="CC247" s="115" t="b">
        <f t="shared" ca="1" si="195"/>
        <v>0</v>
      </c>
      <c r="CD247" s="115">
        <f>IF(模拟模式!$Q$16="1个",IF(B247/40&gt;CE246,1,0),0)</f>
        <v>0</v>
      </c>
      <c r="CE247" s="115">
        <f t="shared" si="196"/>
        <v>0</v>
      </c>
      <c r="CF247" s="115">
        <f>IF(OR(CD247=1,模拟模式!$Q$16="2个"),20,MAX(0,CF246-$F$4))</f>
        <v>0</v>
      </c>
      <c r="CG247" s="115" t="b">
        <f t="shared" si="197"/>
        <v>0</v>
      </c>
      <c r="CH247" s="115">
        <f t="shared" ca="1" si="228"/>
        <v>28.155000000000001</v>
      </c>
      <c r="CI247" s="115" t="b">
        <f t="shared" ca="1" si="229"/>
        <v>0</v>
      </c>
      <c r="CJ247" s="119">
        <f t="shared" ca="1" si="230"/>
        <v>0.05</v>
      </c>
      <c r="CK247" s="115">
        <f t="shared" ca="1" si="231"/>
        <v>6.1549999999999994</v>
      </c>
      <c r="CL247" s="115" t="b">
        <f ca="1">AND(模拟模式!$S$7="驱夷逐法",OR(AND(C247="净世破魔击·月",E246&gt;59),AND(C247="净世破魔击·日",F246&gt;59)))</f>
        <v>0</v>
      </c>
      <c r="CM247" s="115" t="b">
        <f ca="1">OR(CL247,AND(C247="净世破魔击·日",CL246,RAND()&lt;模拟模式!$U$23))</f>
        <v>0</v>
      </c>
      <c r="CN247" s="115" t="b">
        <f ca="1">IF(模拟模式!$M$7="辉耀红尘",AND(C247="净世破魔击·月",CL247,CV247=0,E246&lt;80),AND(C247="净世破魔击·月",CL247,E246&lt;100))</f>
        <v>0</v>
      </c>
      <c r="CO247" s="115" t="b">
        <f t="shared" ca="1" si="204"/>
        <v>0</v>
      </c>
      <c r="CP247" s="115" t="b">
        <f ca="1">AND(模拟模式!$O$7="用晦而明",OR(C247="净世破魔击·日",C247="净世破魔击·月",C247="驱夜断愁"),AB247)</f>
        <v>1</v>
      </c>
      <c r="CQ247" s="115" t="b">
        <f ca="1">OR(CP247,AND(CP246,RAND()&lt;模拟模式!$U$23))</f>
        <v>1</v>
      </c>
      <c r="CR247" s="115" t="b">
        <f ca="1">AND(模拟模式!$S$7="日月齐光",OR(C247="幽月轮1",C247="幽月轮2",C247="幽月轮3",CR246),NOT(OR(C247="赤日轮1",C247="赤日轮2",C247="赤日轮3")))</f>
        <v>0</v>
      </c>
      <c r="CS247" s="115" t="b">
        <f ca="1">AND(模拟模式!$S$7="日月齐光",OR(C247="赤日轮1",C247="赤日轮2",C247="赤日轮3",CS246),NOT(OR(C247="幽月轮1",C247="幽月轮2",C247="幽月轮3")))</f>
        <v>0</v>
      </c>
      <c r="CT247" s="115">
        <f t="shared" ca="1" si="232"/>
        <v>0</v>
      </c>
      <c r="CU247" s="115" t="b">
        <f ca="1">AND(模拟模式!$K$10="阴阳往极",CT246=0,RAND()&lt;IF(C247="净世破魔击·月",0.0275*7/3,IF(C247="净世破魔击·日",0.0275*3/3,0.0275*2/3)))</f>
        <v>0</v>
      </c>
      <c r="CV247" s="115">
        <f t="shared" ca="1" si="233"/>
        <v>0</v>
      </c>
      <c r="CW247" s="115">
        <f t="shared" ca="1" si="205"/>
        <v>0.46499999999999975</v>
      </c>
      <c r="CX247" s="115">
        <f t="shared" ca="1" si="206"/>
        <v>5.0774999999999997</v>
      </c>
      <c r="CY247" s="115">
        <f ca="1">MAX(IF($C247="驱夜断愁",IF(模拟模式!$R$7="万念俱寂",6,45),CY246-$F$4),0)</f>
        <v>6</v>
      </c>
      <c r="CZ247" s="115">
        <f t="shared" ca="1" si="207"/>
        <v>0</v>
      </c>
      <c r="DA247" s="115">
        <f ca="1">IF(模拟模式!$N$7="日月同辉",IF(DB246=2,0,MIN(6,IF(AND(OR(C247="赤日轮1",C247="赤日轮2",C247="赤日轮3",C247="幽月轮1",C247="幽月轮2",C247="幽月轮3"),AB247=1),DA246+1,DA246))),0)</f>
        <v>2</v>
      </c>
      <c r="DB247" s="115">
        <f t="shared" ca="1" si="208"/>
        <v>0</v>
      </c>
      <c r="DC247" s="115"/>
      <c r="DD247" s="115"/>
      <c r="DE247" s="115"/>
      <c r="DF247" s="115"/>
      <c r="DG247" s="115"/>
      <c r="DH247" s="115"/>
      <c r="DI247" s="115"/>
      <c r="DJ247" s="115"/>
      <c r="DK247" s="115"/>
      <c r="DL247" s="115"/>
      <c r="DM247" s="115"/>
    </row>
    <row r="248" spans="2:117" x14ac:dyDescent="0.2">
      <c r="B248" s="117">
        <f t="shared" si="209"/>
        <v>203.87250000000105</v>
      </c>
      <c r="C248" s="167" t="str">
        <f t="shared" ca="1" si="202"/>
        <v>烈日斩</v>
      </c>
      <c r="D248" s="115">
        <f ca="1">IF(C248="赤日轮1",1,IF(C248="赤日轮2",2,IF(C248="赤日轮3",3,IF(C248="幽月轮1",4,IF(C248="幽月轮2",5,IF(C248="幽月轮3",6,IF(C248="烈日斩",7,IF(C248="银月斩",8,IF(C248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248="净世破魔击·月",17,IF(C248="驱夜断愁",18,0)))))))))))</f>
        <v>7</v>
      </c>
      <c r="E248" s="115">
        <f ca="1">IF(AND(CU248,OR(C248="幽月轮1",C248="幽月轮2",C248="幽月轮3",C248="银月斩",C248="驱夜断愁",C248="净世破魔击·月")),100,MIN(IF(OR(CN248,BE248),0,IF(OR($C248="赤日轮1",$C248="赤日轮2",$C248="赤日轮3"),E247+20+IF(模拟模式!$I$7="日月凌天",4,0)+IF(CR247,20,0),IF($C248="烈日斩",E247+40,IF($C248="驱夜断愁",IF(模拟模式!$R$7="万念俱寂",E247+20,E247+60),IF($C248="净世破魔击·月",IF(OR(DB247&gt;0,CV247&gt;0),100,IF(模拟模式!$M$7="辉耀红尘",E247+20,E247)),IF($C248="净世破魔击·日",E247-100,E247)))))),100))</f>
        <v>80</v>
      </c>
      <c r="F248" s="115">
        <f ca="1">IF(AND(CU248,OR(C248="赤日轮1",C248="赤日轮2",C248="赤日轮3",C248="烈日斩",C248="净世破魔击·日")),100,MIN(IF(CO248,0,IF(OR($C248="幽月轮1",$C248="幽月轮2",$C248="幽月轮3"),F247+20+IF(模拟模式!$I$7="日月凌天",4,0)+IF(CS247,20,0),IF($C248="银月斩",F247+40+IF(模拟模式!$X$12=1,5,0),IF($C248="驱夜断愁",IF(模拟模式!$R$7="万念俱寂",F247+20,F247+60),IF($C248="净世破魔击·月",IF(模拟模式!$M$7="辉耀红尘",F247-80,F247-100),IF(AND(C248="净世破魔击·日",OR(DB247&gt;0,CV247&gt;0)),100,F247)))))),100))</f>
        <v>85</v>
      </c>
      <c r="G248" s="117">
        <f ca="1">('模拟-全程加成'!$E$3+'模拟-全程加成'!$E$4+'模拟-全程加成'!$E$5+('模拟-全程加成'!$C$6-'模拟-全程加成'!$C$3)*系数!$B$9+BS248*23)*(1+'模拟-全程加成'!$F$4+'模拟-全程加成'!$F$5+BJ248*10%+BM248*20%+BP248*4%+CG248*30%)+$F$7*系数!$B$12</f>
        <v>20583.127400000001</v>
      </c>
      <c r="H248" s="45">
        <f ca="1">'模拟-全程加成'!$H$3+'模拟-全程加成'!$H$4+'模拟-全程加成'!$H$5+('模拟-全程加成'!$G$4+'模拟-全程加成'!$G$5+('模拟-全程加成'!$C$6-'模拟-全程加成'!$C$3)*系数!$B$13)/系数!$B$3+LOOKUP(D248,'模拟-单技能数据'!$A$2:$A$19,'模拟-单技能数据'!$K$2:$K$19)+BG248*10%+IF(BV248&gt;0,378,0)</f>
        <v>0.56185145527300218</v>
      </c>
      <c r="I248" s="45">
        <f ca="1">'模拟-全程加成'!$J$3+'模拟-全程加成'!$J$4+'模拟-全程加成'!$J$5+('模拟-全程加成'!$I$4+'模拟-全程加成'!$I$5)/系数!$B$4+LOOKUP(D248,'模拟-单技能数据'!$A$2:$A$19,'模拟-单技能数据'!$L$2:$L$19)+BG248*10%</f>
        <v>2.2624828854998791</v>
      </c>
      <c r="J248" s="45">
        <f ca="1">(('模拟-全程加成'!$K$3+'模拟-全程加成'!$K$4+'模拟-全程加成'!$K$5+('模拟-全程加成'!$C$6-'模拟-全程加成'!$C$3)*系数!$B$10+IF(BV248&gt;0,882,0)+IF(BY248&gt;0,1831,0))*(1+'模拟-全程加成'!$L$4+'模拟-全程加成'!$L$5+CC248*20%))/系数!$B$5</f>
        <v>0.85832564669386491</v>
      </c>
      <c r="K248" s="119">
        <f ca="1">LOOKUP(D248,'模拟-单技能数据'!$A$2:$A$19,'模拟-单技能数据'!$J$2:$J$19)+IF(CM248,60%,0)+IF(DB247-DB248&gt;0,30%,0)+IF(OR(AND(OR(C248="赤日轮1",C248="赤日轮2",C248="赤日轮3"),CR248),AND(OR(C248="幽月轮1",C248="幽月轮2",C248="幽月轮3"),CS248)),35%,0)+CJ248</f>
        <v>0.28999999999999998</v>
      </c>
      <c r="L248" s="119">
        <f ca="1">IF(AND(C248="烈日斩",模拟模式!$X$11=1),10%,0)+IF(AND(C248="驱夜断愁",AB248=1),30%,0)</f>
        <v>0.1</v>
      </c>
      <c r="M248" s="45">
        <f t="shared" ca="1" si="185"/>
        <v>0.56185145527300218</v>
      </c>
      <c r="N248" s="45">
        <f t="shared" ca="1" si="186"/>
        <v>0.38424854472699788</v>
      </c>
      <c r="O248" s="46">
        <f t="shared" ca="1" si="210"/>
        <v>0.1246801694569325</v>
      </c>
      <c r="P248" s="46" t="str">
        <f t="shared" ca="1" si="211"/>
        <v>会</v>
      </c>
      <c r="Q248" s="45">
        <f t="shared" ca="1" si="212"/>
        <v>2.2624828854998791</v>
      </c>
      <c r="R248" s="117">
        <f ca="1">模拟模式!$E$20*(1-IF(模拟模式!$J$19="有",0.15,0))*(1-IF(模拟模式!$K$19="有",0.3,0)-IF(CQ248,0.5,0))</f>
        <v>843.02999999999975</v>
      </c>
      <c r="S248" s="45">
        <f ca="1">R248/(R248+(185*模拟模式!$E$22-16800)*4.08224)</f>
        <v>8.389626085980037E-2</v>
      </c>
      <c r="T248" s="45" t="str">
        <f ca="1">LOOKUP(D248,'模拟-单技能数据'!$A$2:$A$19,'模拟-单技能数据'!$H$2:$H$19)</f>
        <v>阳</v>
      </c>
      <c r="U248" s="119">
        <f t="shared" ca="1" si="187"/>
        <v>0.2</v>
      </c>
      <c r="V248" s="47">
        <f ca="1">(1+L248)*(LOOKUP(D248,'模拟-单技能数据'!$A$2:$A$19,'模拟-单技能数据'!$D$2:$D$19)+G248*LOOKUP(D248,'模拟-单技能数据'!$A$2:$A$19,'模拟-单技能数据'!$F$2:$F$19))*(1+J248)*(1+K248)*(1-S248)*(1+U248)*Q248*LOOKUP(D248,'模拟-单技能数据'!$A$2:$A$19,'模拟-单技能数据'!$I$2:$I$20)</f>
        <v>120582.63988457157</v>
      </c>
      <c r="W248" s="47">
        <f ca="1">LOOKUP(D248,'模拟-单技能数据'!$A$2:$A$19,'模拟-单技能数据'!$G$2:$G$19)*$I$10</f>
        <v>361.51064354704795</v>
      </c>
      <c r="X248" s="47">
        <f t="shared" ca="1" si="213"/>
        <v>23487.466287375082</v>
      </c>
      <c r="Y248" s="47">
        <f t="shared" ca="1" si="188"/>
        <v>144431.6168154937</v>
      </c>
      <c r="Z248" s="49">
        <f t="shared" ca="1" si="189"/>
        <v>23603431.343269333</v>
      </c>
      <c r="AA248" s="97">
        <f t="shared" ca="1" si="190"/>
        <v>115775.45447899649</v>
      </c>
      <c r="AB248" s="115">
        <f ca="1">IF(OR(C248="赤日轮1",C248="赤日轮2",C248="赤日轮3"),IF(RAND()&lt;模拟模式!$Y$17,1,0),IF(OR(C248="幽月轮1",C248="幽月轮2",C248="幽月轮3"),IF(RAND()&lt;模拟模式!$Y$18,1,0),IF(C248="烈日斩",IF(RAND()&lt;模拟模式!$Y$19,1,0),IF(C248="银月斩",IF(RAND()&lt;模拟模式!$Y$20,1,0),IF(C248="驱夜断愁",IF(RAND()&lt;模拟模式!$Y$21,1,0),IF(C248="净世破魔击·日",IF(RAND()&lt;模拟模式!$Y$22,1,0),IF(C248="净世破魔击·月",IF(RAND()&lt;模拟模式!$Y$23,1,0),0)))))))</f>
        <v>1</v>
      </c>
      <c r="AC248" s="115" t="b">
        <f t="shared" ca="1" si="178"/>
        <v>0</v>
      </c>
      <c r="AD248" s="115" t="b">
        <f t="shared" ca="1" si="198"/>
        <v>0</v>
      </c>
      <c r="AE248" s="115">
        <f t="shared" ca="1" si="199"/>
        <v>5</v>
      </c>
      <c r="AF248" s="47">
        <f ca="1">IF(AC248,('模拟-单技能数据'!$D$20+G248*'模拟-单技能数据'!$F$20)*(1+J248)*(1+'模拟-单技能数据'!$J$20)*(1+U248),0)</f>
        <v>0</v>
      </c>
      <c r="AG248" s="61">
        <f t="shared" ca="1" si="191"/>
        <v>0.64185145527300214</v>
      </c>
      <c r="AH248" s="61">
        <f t="shared" ca="1" si="192"/>
        <v>2.2624828854998791</v>
      </c>
      <c r="AI248" s="62">
        <f t="shared" ca="1" si="214"/>
        <v>0.83801858107892646</v>
      </c>
      <c r="AJ248" s="47">
        <f ca="1">IF(AD248,IF(AI248&lt;$F$10,0,IF(AI248&lt;$F$10+$F$11,0.25,IF(AI248&lt;$F$10+$F$11+AG248,AH248,1)))*IF(AF248&gt;0,AF248,IF(AF247&gt;0,AF247,IF(AF246&gt;0,AF246,IF(AF245&gt;0,AF245,IF(AF244&gt;0,AF244,IF(AF243&gt;0,AF243,IF(AF242&gt;0,AF242,IF(AF241&gt;0,AF241,IF(AF240&gt;0,AF240,IF(AF238&gt;0,AF238,IF(AF237&gt;0,AF237,IF(AF236&gt;0,AF236,0)))))))))))),0)*(1-$S248)*'模拟-单技能数据'!$I$20</f>
        <v>0</v>
      </c>
      <c r="AK248" s="115" t="b">
        <f t="shared" ca="1" si="179"/>
        <v>0</v>
      </c>
      <c r="AL248" s="115" t="b">
        <f t="shared" ca="1" si="200"/>
        <v>0</v>
      </c>
      <c r="AM248" s="115">
        <f t="shared" ca="1" si="201"/>
        <v>4</v>
      </c>
      <c r="AN248" s="47">
        <f ca="1">IF(AK248,('模拟-单技能数据'!$D$21+G248*'模拟-单技能数据'!$F$21)*(1+J248)*(1+'模拟-单技能数据'!$J$21)*(1+U248),0)</f>
        <v>0</v>
      </c>
      <c r="AO248" s="61">
        <f ca="1">IF(AN248&gt;0,M248-'模拟-单技能数据'!$K$10,AO247)</f>
        <v>0.42185145527300216</v>
      </c>
      <c r="AP248" s="61">
        <f ca="1">IF(AN248&gt;0,I248-'模拟-单技能数据'!$L$10,AP247)</f>
        <v>2.162482885499879</v>
      </c>
      <c r="AQ248" s="63">
        <f t="shared" ca="1" si="215"/>
        <v>0.24434862429497251</v>
      </c>
      <c r="AR248" s="64">
        <f ca="1">IF(AL248,IF(AQ248&lt;$F$10,0,IF(AQ248&lt;$F$10+$F$11,0.25,IF(AQ248&lt;$F$10+$F$11+AO248,AP248,1)))*IF(AN248&gt;0,AN248,IF(AN247&gt;0,AN247,IF(AN246&gt;0,AN246,IF(AN245&gt;0,AN245,IF(AN244&gt;0,AN244,IF(AN243&gt;0,AN243,IF(AN242&gt;0,AN242,IF(AN241&gt;0,AN241,IF(AN240&gt;0,AN240,IF(AN238&gt;0,AN238,IF(AN237&gt;0,AN237,IF(AN236&gt;0,AN236,0)))))))))))),0)*(1-$S248)*'模拟-单技能数据'!$I$21</f>
        <v>0</v>
      </c>
      <c r="AS248" s="61">
        <f ca="1">IF(OR(C248="净世破魔击·日",C248="净世破魔击·月"),M248-'模拟-单技能数据'!$K$10,0)</f>
        <v>0</v>
      </c>
      <c r="AT248" s="61">
        <f ca="1">IF(OR(C248="净世破魔击·日",C248="净世破魔击·月"),I248-'模拟-单技能数据'!$L$10,0)</f>
        <v>0</v>
      </c>
      <c r="AU248" s="62">
        <f t="shared" ca="1" si="216"/>
        <v>0.72714879271288346</v>
      </c>
      <c r="AV248" s="64">
        <f ca="1">IF(AS248&gt;0,('模拟-单技能数据'!$D$22+G248*'模拟-单技能数据'!$F$22)*(1+J248)*(1-S248)*IF(AU248&lt;$F$10,0,IF(AU248&lt;$F$10+$F$11,0.25,IF(AU248&lt;$F$10+$F$11+AS248,AT248,1)))*(1+U248),0)*'模拟-单技能数据'!$I$22</f>
        <v>0</v>
      </c>
      <c r="AW248" s="108">
        <f t="shared" ca="1" si="217"/>
        <v>11.697500000000005</v>
      </c>
      <c r="AX248" s="108" t="b">
        <f ca="1">AND(模拟模式!$P$10="有",AW247=0,RAND()&lt;IF(C248="净世破魔击·月",0.1*8/3,IF(C248="净世破魔击·日",0.1*4/3,0.1*2/3)))</f>
        <v>0</v>
      </c>
      <c r="AY248" s="47">
        <f ca="1">IF(AX248,(18+G248*0.722)*(1+J248)*(1-S248)*(1+$I$4)*IF(P248="会",'模拟-全程加成'!$J$3+'模拟-全程加成'!$J$4+'模拟-全程加成'!$J$5+('模拟-全程加成'!$I$4+'模拟-全程加成'!$I$5)/系数!$B$4+BG248*10%,IF(P248="命",1,IF(P248="识",0.25,0))),0)</f>
        <v>0</v>
      </c>
      <c r="AZ248" s="108">
        <f t="shared" si="218"/>
        <v>19.077500000000001</v>
      </c>
      <c r="BA248" s="108" t="b">
        <f>AND(模拟模式!$Q$10="有",AZ247=0)</f>
        <v>1</v>
      </c>
      <c r="BB248" s="140">
        <f ca="1">IF(BA248,(0+G248*0.287)*(1+J248)*(1-S248)*(1+$I$4)*IF(P248="会",'模拟-全程加成'!$J$3+'模拟-全程加成'!$J$4+'模拟-全程加成'!$J$5+('模拟-全程加成'!$I$4+'模拟-全程加成'!$I$5)/系数!$B$4+BG248*10%,IF(P248="命",1,IF(P248="识",0.25,0))),0)</f>
        <v>23487.466287375082</v>
      </c>
      <c r="BC248" s="115" t="b">
        <f ca="1">AND(模拟模式!$R$7="伏明众生",E248=60,F248=20,DA248&lt;5,CZ247&lt;$F$4)</f>
        <v>0</v>
      </c>
      <c r="BD248" s="115">
        <f t="shared" ca="1" si="180"/>
        <v>0</v>
      </c>
      <c r="BE248" s="115" t="b">
        <f t="shared" ca="1" si="181"/>
        <v>0</v>
      </c>
      <c r="BF248" s="47">
        <f ca="1">IF(BC248,4*('模拟-单技能数据'!$D$24+G248*'模拟-单技能数据'!$F$24)*(1+J248)*(1+'模拟-单技能数据'!$J$24)*(1-S248)*(1+$I$3)*(('模拟-全程加成'!$J$3+'模拟-全程加成'!$J$4+'模拟-全程加成'!$J$5+('模拟-全程加成'!$I$4+'模拟-全程加成'!$I$5)/系数!$B$4+BG248*10%)*('模拟-全程加成'!$J$3+'模拟-全程加成'!$J$4+'模拟-全程加成'!$J$5+('模拟-全程加成'!$I$4+'模拟-全程加成'!$I$5)/系数!$B$4+BG248*10%)+(1-('模拟-全程加成'!$J$3+'模拟-全程加成'!$J$4+'模拟-全程加成'!$J$5+('模拟-全程加成'!$I$4+'模拟-全程加成'!$I$5)/系数!$B$4+BG248*10%)-$F$10-$F$11)+F234*0.25),0)*'模拟-单技能数据'!$I$24</f>
        <v>0</v>
      </c>
      <c r="BG248" s="115" t="b">
        <f ca="1">OR(AND(OR(C248="烈日斩",C248="银月斩"),模拟模式!$I$7="净身明礼"),AND(C248="净世破魔击·日",模拟模式!$J$7="洞若观火"),AND(C249="净世破魔击·月",模拟模式!$J$7="洞若观火"),AB248=1)</f>
        <v>1</v>
      </c>
      <c r="BH248" s="115" t="b">
        <f t="shared" ca="1" si="219"/>
        <v>0</v>
      </c>
      <c r="BI248" s="115">
        <f t="shared" ca="1" si="182"/>
        <v>0</v>
      </c>
      <c r="BJ248" s="115" t="b">
        <f t="shared" ca="1" si="193"/>
        <v>0</v>
      </c>
      <c r="BK248" s="115" t="b">
        <f ca="1">AND(C248="驱夜断愁",模拟模式!$P$7="天地诛戮")</f>
        <v>0</v>
      </c>
      <c r="BL248" s="57">
        <f t="shared" ca="1" si="183"/>
        <v>19.077500000000001</v>
      </c>
      <c r="BM248" s="115" t="b">
        <f t="shared" ca="1" si="194"/>
        <v>1</v>
      </c>
      <c r="BN248" s="115" t="b">
        <f ca="1">AND(OR(C248="赤日轮1",C248="赤日轮2",C248="赤日轮3",C248="幽月轮1",C248="幽月轮2",C248="幽月轮3"),AB248=1,模拟模式!$L$7="明光恒照")</f>
        <v>0</v>
      </c>
      <c r="BO248" s="117">
        <f t="shared" ca="1" si="184"/>
        <v>27.232500000000002</v>
      </c>
      <c r="BP248" s="115">
        <f t="shared" ca="1" si="220"/>
        <v>6</v>
      </c>
      <c r="BQ248" s="115" t="b">
        <f>模拟模式!$K$10="2600·水"</f>
        <v>0</v>
      </c>
      <c r="BR248" s="117">
        <f t="shared" si="221"/>
        <v>0</v>
      </c>
      <c r="BS248" s="115">
        <f t="shared" si="222"/>
        <v>0</v>
      </c>
      <c r="BT248" s="115">
        <f t="shared" ca="1" si="223"/>
        <v>0</v>
      </c>
      <c r="BU248" s="115" t="b">
        <f ca="1">AND(模拟模式!$K$10="2300·雷",BT247=0,RAND()&lt;IF(C248="净世破魔击·月",5*0.05*2/3,IF(C248="净世破魔击·日",3*0.05*2/3,0.05*2*2/3)))</f>
        <v>0</v>
      </c>
      <c r="BV248" s="115">
        <f t="shared" ca="1" si="224"/>
        <v>0</v>
      </c>
      <c r="BW248" s="115">
        <f t="shared" ca="1" si="225"/>
        <v>168.00749999999982</v>
      </c>
      <c r="BX248" s="164" t="b">
        <f t="shared" ca="1" si="226"/>
        <v>0</v>
      </c>
      <c r="BY248" s="115">
        <f t="shared" ca="1" si="227"/>
        <v>3.0075000000000029</v>
      </c>
      <c r="BZ248" s="115">
        <f>IF(OR(模拟模式!$P$16="10人团",模拟模式!$P$16="25人团"),IF(B248/30&gt;CA247,1,0),0)</f>
        <v>0</v>
      </c>
      <c r="CA248" s="115">
        <f t="shared" si="203"/>
        <v>0</v>
      </c>
      <c r="CB248" s="115">
        <f ca="1">IF(BZ248=1,IF(模拟模式!$P$16="10人团",15,0)+IF(模拟模式!$P$16="25人团",IF(RAND()&lt;0.6,15,0)),MAX(0,CB247-$F$4))</f>
        <v>0</v>
      </c>
      <c r="CC248" s="115" t="b">
        <f t="shared" ca="1" si="195"/>
        <v>0</v>
      </c>
      <c r="CD248" s="115">
        <f>IF(模拟模式!$Q$16="1个",IF(B248/40&gt;CE247,1,0),0)</f>
        <v>0</v>
      </c>
      <c r="CE248" s="115">
        <f t="shared" si="196"/>
        <v>0</v>
      </c>
      <c r="CF248" s="115">
        <f>IF(OR(CD248=1,模拟模式!$Q$16="2个"),20,MAX(0,CF247-$F$4))</f>
        <v>0</v>
      </c>
      <c r="CG248" s="115" t="b">
        <f t="shared" si="197"/>
        <v>0</v>
      </c>
      <c r="CH248" s="115">
        <f t="shared" ca="1" si="228"/>
        <v>27.232500000000002</v>
      </c>
      <c r="CI248" s="115" t="b">
        <f t="shared" ca="1" si="229"/>
        <v>0</v>
      </c>
      <c r="CJ248" s="119">
        <f t="shared" ca="1" si="230"/>
        <v>0.05</v>
      </c>
      <c r="CK248" s="115">
        <f t="shared" ca="1" si="231"/>
        <v>5.232499999999999</v>
      </c>
      <c r="CL248" s="115" t="b">
        <f ca="1">AND(模拟模式!$S$7="驱夷逐法",OR(AND(C248="净世破魔击·月",E247&gt;59),AND(C248="净世破魔击·日",F247&gt;59)))</f>
        <v>0</v>
      </c>
      <c r="CM248" s="115" t="b">
        <f ca="1">OR(CL248,AND(C248="净世破魔击·日",CL247,RAND()&lt;模拟模式!$U$23))</f>
        <v>0</v>
      </c>
      <c r="CN248" s="115" t="b">
        <f ca="1">IF(模拟模式!$M$7="辉耀红尘",AND(C248="净世破魔击·月",CL248,CV248=0,E247&lt;80),AND(C248="净世破魔击·月",CL248,E247&lt;100))</f>
        <v>0</v>
      </c>
      <c r="CO248" s="115" t="b">
        <f t="shared" ca="1" si="204"/>
        <v>0</v>
      </c>
      <c r="CP248" s="115" t="b">
        <f ca="1">AND(模拟模式!$O$7="用晦而明",OR(C248="净世破魔击·日",C248="净世破魔击·月",C248="驱夜断愁"),AB248)</f>
        <v>0</v>
      </c>
      <c r="CQ248" s="115" t="b">
        <f ca="1">OR(CP248,AND(CP247,RAND()&lt;模拟模式!$U$23))</f>
        <v>1</v>
      </c>
      <c r="CR248" s="115" t="b">
        <f ca="1">AND(模拟模式!$S$7="日月齐光",OR(C248="幽月轮1",C248="幽月轮2",C248="幽月轮3",CR247),NOT(OR(C248="赤日轮1",C248="赤日轮2",C248="赤日轮3")))</f>
        <v>0</v>
      </c>
      <c r="CS248" s="115" t="b">
        <f ca="1">AND(模拟模式!$S$7="日月齐光",OR(C248="赤日轮1",C248="赤日轮2",C248="赤日轮3",CS247),NOT(OR(C248="幽月轮1",C248="幽月轮2",C248="幽月轮3")))</f>
        <v>0</v>
      </c>
      <c r="CT248" s="115">
        <f t="shared" ca="1" si="232"/>
        <v>0</v>
      </c>
      <c r="CU248" s="115" t="b">
        <f ca="1">AND(模拟模式!$K$10="阴阳往极",CT247=0,RAND()&lt;IF(C248="净世破魔击·月",0.0275*7/3,IF(C248="净世破魔击·日",0.0275*3/3,0.0275*2/3)))</f>
        <v>0</v>
      </c>
      <c r="CV248" s="115">
        <f t="shared" ca="1" si="233"/>
        <v>0</v>
      </c>
      <c r="CW248" s="115">
        <f t="shared" ca="1" si="205"/>
        <v>6</v>
      </c>
      <c r="CX248" s="115">
        <f t="shared" ca="1" si="206"/>
        <v>4.1549999999999994</v>
      </c>
      <c r="CY248" s="115">
        <f ca="1">MAX(IF($C248="驱夜断愁",IF(模拟模式!$R$7="万念俱寂",6,45),CY247-$F$4),0)</f>
        <v>5.0774999999999997</v>
      </c>
      <c r="CZ248" s="115">
        <f t="shared" ca="1" si="207"/>
        <v>0</v>
      </c>
      <c r="DA248" s="115">
        <f ca="1">IF(模拟模式!$N$7="日月同辉",IF(DB247=2,0,MIN(6,IF(AND(OR(C248="赤日轮1",C248="赤日轮2",C248="赤日轮3",C248="幽月轮1",C248="幽月轮2",C248="幽月轮3"),AB248=1),DA247+1,DA247))),0)</f>
        <v>2</v>
      </c>
      <c r="DB248" s="115">
        <f t="shared" ca="1" si="208"/>
        <v>0</v>
      </c>
      <c r="DC248" s="115"/>
      <c r="DD248" s="115"/>
      <c r="DE248" s="115"/>
      <c r="DF248" s="115"/>
      <c r="DG248" s="115"/>
      <c r="DH248" s="115"/>
      <c r="DI248" s="115"/>
      <c r="DJ248" s="115"/>
      <c r="DK248" s="115"/>
      <c r="DL248" s="115"/>
      <c r="DM248" s="115"/>
    </row>
    <row r="249" spans="2:117" x14ac:dyDescent="0.2">
      <c r="B249" s="117">
        <f t="shared" si="209"/>
        <v>204.79500000000107</v>
      </c>
      <c r="C249" s="167" t="str">
        <f t="shared" ca="1" si="202"/>
        <v>幽月轮1</v>
      </c>
      <c r="D249" s="115">
        <f ca="1">IF(C249="赤日轮1",1,IF(C249="赤日轮2",2,IF(C249="赤日轮3",3,IF(C249="幽月轮1",4,IF(C249="幽月轮2",5,IF(C249="幽月轮3",6,IF(C249="烈日斩",7,IF(C249="银月斩",8,IF(C249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249="净世破魔击·月",17,IF(C249="驱夜断愁",18,0)))))))))))</f>
        <v>4</v>
      </c>
      <c r="E249" s="115">
        <f ca="1">IF(AND(CU249,OR(C249="幽月轮1",C249="幽月轮2",C249="幽月轮3",C249="银月斩",C249="驱夜断愁",C249="净世破魔击·月")),100,MIN(IF(OR(CN249,BE249),0,IF(OR($C249="赤日轮1",$C249="赤日轮2",$C249="赤日轮3"),E248+20+IF(模拟模式!$I$7="日月凌天",4,0)+IF(CR248,20,0),IF($C249="烈日斩",E248+40,IF($C249="驱夜断愁",IF(模拟模式!$R$7="万念俱寂",E248+20,E248+60),IF($C249="净世破魔击·月",IF(OR(DB248&gt;0,CV248&gt;0),100,IF(模拟模式!$M$7="辉耀红尘",E248+20,E248)),IF($C249="净世破魔击·日",E248-100,E248)))))),100))</f>
        <v>80</v>
      </c>
      <c r="F249" s="115">
        <f ca="1">IF(AND(CU249,OR(C249="赤日轮1",C249="赤日轮2",C249="赤日轮3",C249="烈日斩",C249="净世破魔击·日")),100,MIN(IF(CO249,0,IF(OR($C249="幽月轮1",$C249="幽月轮2",$C249="幽月轮3"),F248+20+IF(模拟模式!$I$7="日月凌天",4,0)+IF(CS248,20,0),IF($C249="银月斩",F248+40+IF(模拟模式!$X$12=1,5,0),IF($C249="驱夜断愁",IF(模拟模式!$R$7="万念俱寂",F248+20,F248+60),IF($C249="净世破魔击·月",IF(模拟模式!$M$7="辉耀红尘",F248-80,F248-100),IF(AND(C249="净世破魔击·日",OR(DB248&gt;0,CV248&gt;0)),100,F248)))))),100))</f>
        <v>100</v>
      </c>
      <c r="G249" s="117">
        <f ca="1">('模拟-全程加成'!$E$3+'模拟-全程加成'!$E$4+'模拟-全程加成'!$E$5+('模拟-全程加成'!$C$6-'模拟-全程加成'!$C$3)*系数!$B$9+BS249*23)*(1+'模拟-全程加成'!$F$4+'模拟-全程加成'!$F$5+BJ249*10%+BM249*20%+BP249*4%+CG249*30%)+$F$7*系数!$B$12</f>
        <v>20583.127400000001</v>
      </c>
      <c r="H249" s="45">
        <f ca="1">'模拟-全程加成'!$H$3+'模拟-全程加成'!$H$4+'模拟-全程加成'!$H$5+('模拟-全程加成'!$G$4+'模拟-全程加成'!$G$5+('模拟-全程加成'!$C$6-'模拟-全程加成'!$C$3)*系数!$B$13)/系数!$B$3+LOOKUP(D249,'模拟-单技能数据'!$A$2:$A$19,'模拟-单技能数据'!$K$2:$K$19)+BG249*10%+IF(BV249&gt;0,378,0)</f>
        <v>0.51185145527300213</v>
      </c>
      <c r="I249" s="45">
        <f ca="1">'模拟-全程加成'!$J$3+'模拟-全程加成'!$J$4+'模拟-全程加成'!$J$5+('模拟-全程加成'!$I$4+'模拟-全程加成'!$I$5)/系数!$B$4+LOOKUP(D249,'模拟-单技能数据'!$A$2:$A$19,'模拟-单技能数据'!$L$2:$L$19)+BG249*10%</f>
        <v>2.162482885499879</v>
      </c>
      <c r="J249" s="45">
        <f ca="1">(('模拟-全程加成'!$K$3+'模拟-全程加成'!$K$4+'模拟-全程加成'!$K$5+('模拟-全程加成'!$C$6-'模拟-全程加成'!$C$3)*系数!$B$10+IF(BV249&gt;0,882,0)+IF(BY249&gt;0,1831,0))*(1+'模拟-全程加成'!$L$4+'模拟-全程加成'!$L$5+CC249*20%))/系数!$B$5</f>
        <v>0.85832564669386491</v>
      </c>
      <c r="K249" s="119">
        <f ca="1">LOOKUP(D249,'模拟-单技能数据'!$A$2:$A$19,'模拟-单技能数据'!$J$2:$J$19)+IF(CM249,60%,0)+IF(DB248-DB249&gt;0,30%,0)+IF(OR(AND(OR(C249="赤日轮1",C249="赤日轮2",C249="赤日轮3"),CR249),AND(OR(C249="幽月轮1",C249="幽月轮2",C249="幽月轮3"),CS249)),35%,0)+CJ249</f>
        <v>0.12000000000000001</v>
      </c>
      <c r="L249" s="119">
        <f ca="1">IF(AND(C249="烈日斩",模拟模式!$X$11=1),10%,0)+IF(AND(C249="驱夜断愁",AB249=1),30%,0)</f>
        <v>0</v>
      </c>
      <c r="M249" s="45">
        <f t="shared" ca="1" si="185"/>
        <v>0.51185145527300213</v>
      </c>
      <c r="N249" s="45">
        <f t="shared" ca="1" si="186"/>
        <v>0.43424854472699792</v>
      </c>
      <c r="O249" s="46">
        <f t="shared" ca="1" si="210"/>
        <v>0.30946358362522219</v>
      </c>
      <c r="P249" s="46" t="str">
        <f t="shared" ca="1" si="211"/>
        <v>会</v>
      </c>
      <c r="Q249" s="45">
        <f t="shared" ca="1" si="212"/>
        <v>2.162482885499879</v>
      </c>
      <c r="R249" s="117">
        <f ca="1">模拟模式!$E$20*(1-IF(模拟模式!$J$19="有",0.15,0))*(1-IF(模拟模式!$K$19="有",0.3,0)-IF(CQ249,0.5,0))</f>
        <v>2950.6049999999996</v>
      </c>
      <c r="S249" s="45">
        <f ca="1">R249/(R249+(185*模拟模式!$E$22-16800)*4.08224)</f>
        <v>0.24272716014590323</v>
      </c>
      <c r="T249" s="45" t="str">
        <f ca="1">LOOKUP(D249,'模拟-单技能数据'!$A$2:$A$19,'模拟-单技能数据'!$H$2:$H$19)</f>
        <v>阴</v>
      </c>
      <c r="U249" s="119">
        <f t="shared" ca="1" si="187"/>
        <v>0.08</v>
      </c>
      <c r="V249" s="47">
        <f ca="1">(1+L249)*(LOOKUP(D249,'模拟-单技能数据'!$A$2:$A$19,'模拟-单技能数据'!$D$2:$D$19)+G249*LOOKUP(D249,'模拟-单技能数据'!$A$2:$A$19,'模拟-单技能数据'!$F$2:$F$19))*(1+J249)*(1+K249)*(1-S249)*(1+U249)*Q249*LOOKUP(D249,'模拟-单技能数据'!$A$2:$A$19,'模拟-单技能数据'!$I$2:$I$20)</f>
        <v>40214.696496595476</v>
      </c>
      <c r="W249" s="47">
        <f ca="1">LOOKUP(D249,'模拟-单技能数据'!$A$2:$A$19,'模拟-单技能数据'!$G$2:$G$19)*$I$10</f>
        <v>361.51064354704795</v>
      </c>
      <c r="X249" s="47">
        <f t="shared" ca="1" si="213"/>
        <v>13750.968677747518</v>
      </c>
      <c r="Y249" s="47">
        <f t="shared" ca="1" si="188"/>
        <v>54327.175817890035</v>
      </c>
      <c r="Z249" s="49">
        <f t="shared" ca="1" si="189"/>
        <v>23657758.519087221</v>
      </c>
      <c r="AA249" s="97">
        <f t="shared" ca="1" si="190"/>
        <v>115519.21931242022</v>
      </c>
      <c r="AB249" s="115">
        <f ca="1">IF(OR(C249="赤日轮1",C249="赤日轮2",C249="赤日轮3"),IF(RAND()&lt;模拟模式!$Y$17,1,0),IF(OR(C249="幽月轮1",C249="幽月轮2",C249="幽月轮3"),IF(RAND()&lt;模拟模式!$Y$18,1,0),IF(C249="烈日斩",IF(RAND()&lt;模拟模式!$Y$19,1,0),IF(C249="银月斩",IF(RAND()&lt;模拟模式!$Y$20,1,0),IF(C249="驱夜断愁",IF(RAND()&lt;模拟模式!$Y$21,1,0),IF(C249="净世破魔击·日",IF(RAND()&lt;模拟模式!$Y$22,1,0),IF(C249="净世破魔击·月",IF(RAND()&lt;模拟模式!$Y$23,1,0),0)))))))</f>
        <v>1</v>
      </c>
      <c r="AC249" s="115" t="b">
        <f t="shared" ca="1" si="178"/>
        <v>0</v>
      </c>
      <c r="AD249" s="115" t="b">
        <f t="shared" ca="1" si="198"/>
        <v>1</v>
      </c>
      <c r="AE249" s="115">
        <f t="shared" ca="1" si="199"/>
        <v>4</v>
      </c>
      <c r="AF249" s="47">
        <f ca="1">IF(AC249,('模拟-单技能数据'!$D$20+G249*'模拟-单技能数据'!$F$20)*(1+J249)*(1+'模拟-单技能数据'!$J$20)*(1+U249),0)</f>
        <v>0</v>
      </c>
      <c r="AG249" s="61">
        <f t="shared" ca="1" si="191"/>
        <v>0.64185145527300214</v>
      </c>
      <c r="AH249" s="61">
        <f t="shared" ca="1" si="192"/>
        <v>2.2624828854998791</v>
      </c>
      <c r="AI249" s="62">
        <f t="shared" ca="1" si="214"/>
        <v>0.74610469205650587</v>
      </c>
      <c r="AJ249" s="47">
        <f ca="1">IF(AD249,IF(AI249&lt;$F$10,0,IF(AI249&lt;$F$10+$F$11,0.25,IF(AI249&lt;$F$10+$F$11+AG249,AH249,1)))*IF(AF249&gt;0,AF249,IF(AF248&gt;0,AF248,IF(AF247&gt;0,AF247,IF(AF246&gt;0,AF246,IF(AF245&gt;0,AF245,IF(AF244&gt;0,AF244,IF(AF243&gt;0,AF243,IF(AF242&gt;0,AF242,IF(AF241&gt;0,AF241,IF(AF239&gt;0,AF239,IF(AF238&gt;0,AF238,IF(AF237&gt;0,AF237,0)))))))))))),0)*(1-$S249)*'模拟-单技能数据'!$I$20</f>
        <v>3687.9388422777829</v>
      </c>
      <c r="AK249" s="115" t="b">
        <f t="shared" ca="1" si="179"/>
        <v>0</v>
      </c>
      <c r="AL249" s="115" t="b">
        <f t="shared" ca="1" si="200"/>
        <v>1</v>
      </c>
      <c r="AM249" s="115">
        <f t="shared" ca="1" si="201"/>
        <v>3</v>
      </c>
      <c r="AN249" s="47">
        <f ca="1">IF(AK249,('模拟-单技能数据'!$D$21+G249*'模拟-单技能数据'!$F$21)*(1+J249)*(1+'模拟-单技能数据'!$J$21)*(1+U249),0)</f>
        <v>0</v>
      </c>
      <c r="AO249" s="61">
        <f ca="1">IF(AN249&gt;0,M249-'模拟-单技能数据'!$K$10,AO248)</f>
        <v>0.42185145527300216</v>
      </c>
      <c r="AP249" s="61">
        <f ca="1">IF(AN249&gt;0,I249-'模拟-单技能数据'!$L$10,AP248)</f>
        <v>2.162482885499879</v>
      </c>
      <c r="AQ249" s="63">
        <f t="shared" ca="1" si="215"/>
        <v>0.47998644979047589</v>
      </c>
      <c r="AR249" s="64">
        <f ca="1">IF(AL249,IF(AQ249&lt;$F$10,0,IF(AQ249&lt;$F$10+$F$11,0.25,IF(AQ249&lt;$F$10+$F$11+AO249,AP249,1)))*IF(AN249&gt;0,AN249,IF(AN248&gt;0,AN248,IF(AN247&gt;0,AN247,IF(AN246&gt;0,AN246,IF(AN245&gt;0,AN245,IF(AN244&gt;0,AN244,IF(AN243&gt;0,AN243,IF(AN242&gt;0,AN242,IF(AN241&gt;0,AN241,IF(AN239&gt;0,AN239,IF(AN238&gt;0,AN238,IF(AN237&gt;0,AN237,0)))))))))))),0)*(1-$S249)*'模拟-单技能数据'!$I$21</f>
        <v>10063.029835469735</v>
      </c>
      <c r="AS249" s="61">
        <f ca="1">IF(OR(C249="净世破魔击·日",C249="净世破魔击·月"),M249-'模拟-单技能数据'!$K$10,0)</f>
        <v>0</v>
      </c>
      <c r="AT249" s="61">
        <f ca="1">IF(OR(C249="净世破魔击·日",C249="净世破魔击·月"),I249-'模拟-单技能数据'!$L$10,0)</f>
        <v>0</v>
      </c>
      <c r="AU249" s="62">
        <f t="shared" ca="1" si="216"/>
        <v>0.60441618163364796</v>
      </c>
      <c r="AV249" s="64">
        <f ca="1">IF(AS249&gt;0,('模拟-单技能数据'!$D$22+G249*'模拟-单技能数据'!$F$22)*(1+J249)*(1-S249)*IF(AU249&lt;$F$10,0,IF(AU249&lt;$F$10+$F$11,0.25,IF(AU249&lt;$F$10+$F$11+AS249,AT249,1)))*(1+U249),0)*'模拟-单技能数据'!$I$22</f>
        <v>0</v>
      </c>
      <c r="AW249" s="108">
        <f t="shared" ca="1" si="217"/>
        <v>10.775000000000006</v>
      </c>
      <c r="AX249" s="108" t="b">
        <f ca="1">AND(模拟模式!$P$10="有",AW248=0,RAND()&lt;IF(C249="净世破魔击·月",0.1*8/3,IF(C249="净世破魔击·日",0.1*4/3,0.1*2/3)))</f>
        <v>0</v>
      </c>
      <c r="AY249" s="47">
        <f ca="1">IF(AX249,(18+G249*0.722)*(1+J249)*(1-S249)*(1+$I$4)*IF(P249="会",'模拟-全程加成'!$J$3+'模拟-全程加成'!$J$4+'模拟-全程加成'!$J$5+('模拟-全程加成'!$I$4+'模拟-全程加成'!$I$5)/系数!$B$4+BG249*10%,IF(P249="命",1,IF(P249="识",0.25,0))),0)</f>
        <v>0</v>
      </c>
      <c r="AZ249" s="108">
        <f t="shared" si="218"/>
        <v>18.155000000000001</v>
      </c>
      <c r="BA249" s="108" t="b">
        <f>AND(模拟模式!$Q$10="有",AZ248=0)</f>
        <v>0</v>
      </c>
      <c r="BB249" s="140">
        <f>IF(BA249,(0+G249*0.287)*(1+J249)*(1-S249)*(1+$I$4)*IF(P249="会",'模拟-全程加成'!$J$3+'模拟-全程加成'!$J$4+'模拟-全程加成'!$J$5+('模拟-全程加成'!$I$4+'模拟-全程加成'!$I$5)/系数!$B$4+BG249*10%,IF(P249="命",1,IF(P249="识",0.25,0))),0)</f>
        <v>0</v>
      </c>
      <c r="BC249" s="115" t="b">
        <f ca="1">AND(模拟模式!$R$7="伏明众生",E249=60,F249=20,DA249&lt;5,CZ248&lt;$F$4)</f>
        <v>0</v>
      </c>
      <c r="BD249" s="115">
        <f t="shared" ca="1" si="180"/>
        <v>0</v>
      </c>
      <c r="BE249" s="115" t="b">
        <f t="shared" ca="1" si="181"/>
        <v>0</v>
      </c>
      <c r="BF249" s="47">
        <f ca="1">IF(BC249,4*('模拟-单技能数据'!$D$24+G249*'模拟-单技能数据'!$F$24)*(1+J249)*(1+'模拟-单技能数据'!$J$24)*(1-S249)*(1+$I$3)*(('模拟-全程加成'!$J$3+'模拟-全程加成'!$J$4+'模拟-全程加成'!$J$5+('模拟-全程加成'!$I$4+'模拟-全程加成'!$I$5)/系数!$B$4+BG249*10%)*('模拟-全程加成'!$J$3+'模拟-全程加成'!$J$4+'模拟-全程加成'!$J$5+('模拟-全程加成'!$I$4+'模拟-全程加成'!$I$5)/系数!$B$4+BG249*10%)+(1-('模拟-全程加成'!$J$3+'模拟-全程加成'!$J$4+'模拟-全程加成'!$J$5+('模拟-全程加成'!$I$4+'模拟-全程加成'!$I$5)/系数!$B$4+BG249*10%)-$F$10-$F$11)+F235*0.25),0)*'模拟-单技能数据'!$I$24</f>
        <v>0</v>
      </c>
      <c r="BG249" s="115" t="b">
        <f ca="1">OR(AND(OR(C249="烈日斩",C249="银月斩"),模拟模式!$I$7="净身明礼"),AND(C249="净世破魔击·日",模拟模式!$J$7="洞若观火"),AND(C250="净世破魔击·月",模拟模式!$J$7="洞若观火"),AB249=1)</f>
        <v>1</v>
      </c>
      <c r="BH249" s="115" t="b">
        <f t="shared" ca="1" si="219"/>
        <v>0</v>
      </c>
      <c r="BI249" s="115">
        <f t="shared" ca="1" si="182"/>
        <v>0</v>
      </c>
      <c r="BJ249" s="115" t="b">
        <f t="shared" ca="1" si="193"/>
        <v>0</v>
      </c>
      <c r="BK249" s="115" t="b">
        <f ca="1">AND(C249="驱夜断愁",模拟模式!$P$7="天地诛戮")</f>
        <v>0</v>
      </c>
      <c r="BL249" s="57">
        <f t="shared" ca="1" si="183"/>
        <v>18.155000000000001</v>
      </c>
      <c r="BM249" s="115" t="b">
        <f t="shared" ca="1" si="194"/>
        <v>1</v>
      </c>
      <c r="BN249" s="115" t="b">
        <f ca="1">AND(OR(C249="赤日轮1",C249="赤日轮2",C249="赤日轮3",C249="幽月轮1",C249="幽月轮2",C249="幽月轮3"),AB249=1,模拟模式!$L$7="明光恒照")</f>
        <v>1</v>
      </c>
      <c r="BO249" s="117">
        <f t="shared" ca="1" si="184"/>
        <v>30</v>
      </c>
      <c r="BP249" s="115">
        <f t="shared" ca="1" si="220"/>
        <v>6</v>
      </c>
      <c r="BQ249" s="115" t="b">
        <f>模拟模式!$K$10="2600·水"</f>
        <v>0</v>
      </c>
      <c r="BR249" s="117">
        <f t="shared" si="221"/>
        <v>0</v>
      </c>
      <c r="BS249" s="115">
        <f t="shared" si="222"/>
        <v>0</v>
      </c>
      <c r="BT249" s="115">
        <f t="shared" ca="1" si="223"/>
        <v>0</v>
      </c>
      <c r="BU249" s="115" t="b">
        <f ca="1">AND(模拟模式!$K$10="2300·雷",BT248=0,RAND()&lt;IF(C249="净世破魔击·月",5*0.05*2/3,IF(C249="净世破魔击·日",3*0.05*2/3,0.05*2*2/3)))</f>
        <v>0</v>
      </c>
      <c r="BV249" s="115">
        <f t="shared" ca="1" si="224"/>
        <v>0</v>
      </c>
      <c r="BW249" s="115">
        <f t="shared" ca="1" si="225"/>
        <v>167.08499999999981</v>
      </c>
      <c r="BX249" s="164" t="b">
        <f t="shared" ca="1" si="226"/>
        <v>0</v>
      </c>
      <c r="BY249" s="115">
        <f t="shared" ca="1" si="227"/>
        <v>2.0850000000000031</v>
      </c>
      <c r="BZ249" s="115">
        <f>IF(OR(模拟模式!$P$16="10人团",模拟模式!$P$16="25人团"),IF(B249/30&gt;CA248,1,0),0)</f>
        <v>0</v>
      </c>
      <c r="CA249" s="115">
        <f t="shared" si="203"/>
        <v>0</v>
      </c>
      <c r="CB249" s="115">
        <f ca="1">IF(BZ249=1,IF(模拟模式!$P$16="10人团",15,0)+IF(模拟模式!$P$16="25人团",IF(RAND()&lt;0.6,15,0)),MAX(0,CB248-$F$4))</f>
        <v>0</v>
      </c>
      <c r="CC249" s="115" t="b">
        <f t="shared" ca="1" si="195"/>
        <v>0</v>
      </c>
      <c r="CD249" s="115">
        <f>IF(模拟模式!$Q$16="1个",IF(B249/40&gt;CE248,1,0),0)</f>
        <v>0</v>
      </c>
      <c r="CE249" s="115">
        <f t="shared" si="196"/>
        <v>0</v>
      </c>
      <c r="CF249" s="115">
        <f>IF(OR(CD249=1,模拟模式!$Q$16="2个"),20,MAX(0,CF248-$F$4))</f>
        <v>0</v>
      </c>
      <c r="CG249" s="115" t="b">
        <f t="shared" si="197"/>
        <v>0</v>
      </c>
      <c r="CH249" s="115">
        <f t="shared" ca="1" si="228"/>
        <v>26.310000000000002</v>
      </c>
      <c r="CI249" s="115" t="b">
        <f t="shared" ca="1" si="229"/>
        <v>0</v>
      </c>
      <c r="CJ249" s="119">
        <f t="shared" ca="1" si="230"/>
        <v>0.05</v>
      </c>
      <c r="CK249" s="115">
        <f t="shared" ca="1" si="231"/>
        <v>4.3099999999999987</v>
      </c>
      <c r="CL249" s="115" t="b">
        <f ca="1">AND(模拟模式!$S$7="驱夷逐法",OR(AND(C249="净世破魔击·月",E248&gt;59),AND(C249="净世破魔击·日",F248&gt;59)))</f>
        <v>0</v>
      </c>
      <c r="CM249" s="115" t="b">
        <f ca="1">OR(CL249,AND(C249="净世破魔击·日",CL248,RAND()&lt;模拟模式!$U$23))</f>
        <v>0</v>
      </c>
      <c r="CN249" s="115" t="b">
        <f ca="1">IF(模拟模式!$M$7="辉耀红尘",AND(C249="净世破魔击·月",CL249,CV249=0,E248&lt;80),AND(C249="净世破魔击·月",CL249,E248&lt;100))</f>
        <v>0</v>
      </c>
      <c r="CO249" s="115" t="b">
        <f t="shared" ca="1" si="204"/>
        <v>0</v>
      </c>
      <c r="CP249" s="115" t="b">
        <f ca="1">AND(模拟模式!$O$7="用晦而明",OR(C249="净世破魔击·日",C249="净世破魔击·月",C249="驱夜断愁"),AB249)</f>
        <v>0</v>
      </c>
      <c r="CQ249" s="115" t="b">
        <f ca="1">OR(CP249,AND(CP248,RAND()&lt;模拟模式!$U$23))</f>
        <v>0</v>
      </c>
      <c r="CR249" s="115" t="b">
        <f ca="1">AND(模拟模式!$S$7="日月齐光",OR(C249="幽月轮1",C249="幽月轮2",C249="幽月轮3",CR248),NOT(OR(C249="赤日轮1",C249="赤日轮2",C249="赤日轮3")))</f>
        <v>0</v>
      </c>
      <c r="CS249" s="115" t="b">
        <f ca="1">AND(模拟模式!$S$7="日月齐光",OR(C249="赤日轮1",C249="赤日轮2",C249="赤日轮3",CS248),NOT(OR(C249="幽月轮1",C249="幽月轮2",C249="幽月轮3")))</f>
        <v>0</v>
      </c>
      <c r="CT249" s="115">
        <f t="shared" ca="1" si="232"/>
        <v>0</v>
      </c>
      <c r="CU249" s="115" t="b">
        <f ca="1">AND(模拟模式!$K$10="阴阳往极",CT248=0,RAND()&lt;IF(C249="净世破魔击·月",0.0275*7/3,IF(C249="净世破魔击·日",0.0275*3/3,0.0275*2/3)))</f>
        <v>0</v>
      </c>
      <c r="CV249" s="115">
        <f t="shared" ca="1" si="233"/>
        <v>0</v>
      </c>
      <c r="CW249" s="115">
        <f t="shared" ca="1" si="205"/>
        <v>5.0774999999999997</v>
      </c>
      <c r="CX249" s="115">
        <f t="shared" ca="1" si="206"/>
        <v>3.2324999999999995</v>
      </c>
      <c r="CY249" s="115">
        <f ca="1">MAX(IF($C249="驱夜断愁",IF(模拟模式!$R$7="万念俱寂",6,45),CY248-$F$4),0)</f>
        <v>4.1549999999999994</v>
      </c>
      <c r="CZ249" s="115">
        <f t="shared" ca="1" si="207"/>
        <v>0</v>
      </c>
      <c r="DA249" s="115">
        <f ca="1">IF(模拟模式!$N$7="日月同辉",IF(DB248=2,0,MIN(6,IF(AND(OR(C249="赤日轮1",C249="赤日轮2",C249="赤日轮3",C249="幽月轮1",C249="幽月轮2",C249="幽月轮3"),AB249=1),DA248+1,DA248))),0)</f>
        <v>3</v>
      </c>
      <c r="DB249" s="115">
        <f t="shared" ca="1" si="208"/>
        <v>0</v>
      </c>
      <c r="DC249" s="115"/>
      <c r="DD249" s="115"/>
      <c r="DE249" s="115"/>
      <c r="DF249" s="115"/>
      <c r="DG249" s="115"/>
      <c r="DH249" s="115"/>
      <c r="DI249" s="115"/>
      <c r="DJ249" s="115"/>
      <c r="DK249" s="115"/>
      <c r="DL249" s="115"/>
      <c r="DM249" s="115"/>
    </row>
    <row r="250" spans="2:117" x14ac:dyDescent="0.2">
      <c r="B250" s="117">
        <f t="shared" si="209"/>
        <v>205.71750000000108</v>
      </c>
      <c r="C250" s="167" t="str">
        <f t="shared" ca="1" si="202"/>
        <v>净世破魔击·月</v>
      </c>
      <c r="D250" s="115">
        <f ca="1">IF(C250="赤日轮1",1,IF(C250="赤日轮2",2,IF(C250="赤日轮3",3,IF(C250="幽月轮1",4,IF(C250="幽月轮2",5,IF(C250="幽月轮3",6,IF(C250="烈日斩",7,IF(C250="银月斩",8,IF(C250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250="净世破魔击·月",17,IF(C250="驱夜断愁",18,0)))))))))))</f>
        <v>17</v>
      </c>
      <c r="E250" s="115">
        <f ca="1">IF(AND(CU250,OR(C250="幽月轮1",C250="幽月轮2",C250="幽月轮3",C250="银月斩",C250="驱夜断愁",C250="净世破魔击·月")),100,MIN(IF(OR(CN250,BE250),0,IF(OR($C250="赤日轮1",$C250="赤日轮2",$C250="赤日轮3"),E249+20+IF(模拟模式!$I$7="日月凌天",4,0)+IF(CR249,20,0),IF($C250="烈日斩",E249+40,IF($C250="驱夜断愁",IF(模拟模式!$R$7="万念俱寂",E249+20,E249+60),IF($C250="净世破魔击·月",IF(OR(DB249&gt;0,CV249&gt;0),100,IF(模拟模式!$M$7="辉耀红尘",E249+20,E249)),IF($C250="净世破魔击·日",E249-100,E249)))))),100))</f>
        <v>100</v>
      </c>
      <c r="F250" s="115">
        <f ca="1">IF(AND(CU250,OR(C250="赤日轮1",C250="赤日轮2",C250="赤日轮3",C250="烈日斩",C250="净世破魔击·日")),100,MIN(IF(CO250,0,IF(OR($C250="幽月轮1",$C250="幽月轮2",$C250="幽月轮3"),F249+20+IF(模拟模式!$I$7="日月凌天",4,0)+IF(CS249,20,0),IF($C250="银月斩",F249+40+IF(模拟模式!$X$12=1,5,0),IF($C250="驱夜断愁",IF(模拟模式!$R$7="万念俱寂",F249+20,F249+60),IF($C250="净世破魔击·月",IF(模拟模式!$M$7="辉耀红尘",F249-80,F249-100),IF(AND(C250="净世破魔击·日",OR(DB249&gt;0,CV249&gt;0)),100,F249)))))),100))</f>
        <v>20</v>
      </c>
      <c r="G250" s="117">
        <f ca="1">('模拟-全程加成'!$E$3+'模拟-全程加成'!$E$4+'模拟-全程加成'!$E$5+('模拟-全程加成'!$C$6-'模拟-全程加成'!$C$3)*系数!$B$9+BS250*23)*(1+'模拟-全程加成'!$F$4+'模拟-全程加成'!$F$5+BJ250*10%+BM250*20%+BP250*4%+CG250*30%)+$F$7*系数!$B$12</f>
        <v>21493.829400000002</v>
      </c>
      <c r="H250" s="45">
        <f ca="1">'模拟-全程加成'!$H$3+'模拟-全程加成'!$H$4+'模拟-全程加成'!$H$5+('模拟-全程加成'!$G$4+'模拟-全程加成'!$G$5+('模拟-全程加成'!$C$6-'模拟-全程加成'!$C$3)*系数!$B$13)/系数!$B$3+LOOKUP(D250,'模拟-单技能数据'!$A$2:$A$19,'模拟-单技能数据'!$K$2:$K$19)+BG250*10%+IF(BV250&gt;0,378,0)</f>
        <v>0.54185145527300216</v>
      </c>
      <c r="I250" s="45">
        <f ca="1">'模拟-全程加成'!$J$3+'模拟-全程加成'!$J$4+'模拟-全程加成'!$J$5+('模拟-全程加成'!$I$4+'模拟-全程加成'!$I$5)/系数!$B$4+LOOKUP(D250,'模拟-单技能数据'!$A$2:$A$19,'模拟-单技能数据'!$L$2:$L$19)+BG250*10%</f>
        <v>2.162482885499879</v>
      </c>
      <c r="J250" s="45">
        <f ca="1">(('模拟-全程加成'!$K$3+'模拟-全程加成'!$K$4+'模拟-全程加成'!$K$5+('模拟-全程加成'!$C$6-'模拟-全程加成'!$C$3)*系数!$B$10+IF(BV250&gt;0,882,0)+IF(BY250&gt;0,1831,0))*(1+'模拟-全程加成'!$L$4+'模拟-全程加成'!$L$5+CC250*20%))/系数!$B$5</f>
        <v>0.85832564669386491</v>
      </c>
      <c r="K250" s="119">
        <f ca="1">LOOKUP(D250,'模拟-单技能数据'!$A$2:$A$19,'模拟-单技能数据'!$J$2:$J$19)+IF(CM250,60%,0)+IF(DB249-DB250&gt;0,30%,0)+IF(OR(AND(OR(C250="赤日轮1",C250="赤日轮2",C250="赤日轮3"),CR250),AND(OR(C250="幽月轮1",C250="幽月轮2",C250="幽月轮3"),CS250)),35%,0)+CJ250</f>
        <v>0.85000000000000009</v>
      </c>
      <c r="L250" s="119">
        <f ca="1">IF(AND(C250="烈日斩",模拟模式!$X$11=1),10%,0)+IF(AND(C250="驱夜断愁",AB250=1),30%,0)</f>
        <v>0</v>
      </c>
      <c r="M250" s="45">
        <f t="shared" ca="1" si="185"/>
        <v>0.54185145527300216</v>
      </c>
      <c r="N250" s="45">
        <f t="shared" ca="1" si="186"/>
        <v>0.40424854472699789</v>
      </c>
      <c r="O250" s="46">
        <f t="shared" ca="1" si="210"/>
        <v>0.91313541539930865</v>
      </c>
      <c r="P250" s="46" t="str">
        <f t="shared" ca="1" si="211"/>
        <v>命</v>
      </c>
      <c r="Q250" s="45">
        <f t="shared" ca="1" si="212"/>
        <v>1</v>
      </c>
      <c r="R250" s="117">
        <f ca="1">模拟模式!$E$20*(1-IF(模拟模式!$J$19="有",0.15,0))*(1-IF(模拟模式!$K$19="有",0.3,0)-IF(CQ250,0.5,0))</f>
        <v>843.02999999999975</v>
      </c>
      <c r="S250" s="45">
        <f ca="1">R250/(R250+(185*模拟模式!$E$22-16800)*4.08224)</f>
        <v>8.389626085980037E-2</v>
      </c>
      <c r="T250" s="45" t="str">
        <f ca="1">LOOKUP(D250,'模拟-单技能数据'!$A$2:$A$19,'模拟-单技能数据'!$H$2:$H$19)</f>
        <v>阴</v>
      </c>
      <c r="U250" s="119">
        <f t="shared" ca="1" si="187"/>
        <v>0.08</v>
      </c>
      <c r="V250" s="47">
        <f ca="1">(1+L250)*(LOOKUP(D250,'模拟-单技能数据'!$A$2:$A$19,'模拟-单技能数据'!$D$2:$D$19)+G250*LOOKUP(D250,'模拟-单技能数据'!$A$2:$A$19,'模拟-单技能数据'!$F$2:$F$19))*(1+J250)*(1+K250)*(1-S250)*(1+U250)*Q250*LOOKUP(D250,'模拟-单技能数据'!$A$2:$A$19,'模拟-单技能数据'!$I$2:$I$20)</f>
        <v>94992.223329639732</v>
      </c>
      <c r="W250" s="47">
        <f ca="1">LOOKUP(D250,'模拟-单技能数据'!$A$2:$A$19,'模拟-单技能数据'!$G$2:$G$19)*$I$10</f>
        <v>361.51064354704795</v>
      </c>
      <c r="X250" s="47">
        <f t="shared" ca="1" si="213"/>
        <v>8711.3775381817049</v>
      </c>
      <c r="Y250" s="47">
        <f t="shared" ca="1" si="188"/>
        <v>104065.11151136849</v>
      </c>
      <c r="Z250" s="49">
        <f t="shared" ca="1" si="189"/>
        <v>23761823.63059859</v>
      </c>
      <c r="AA250" s="97">
        <f t="shared" ca="1" si="190"/>
        <v>115507.06007315112</v>
      </c>
      <c r="AB250" s="115">
        <f ca="1">IF(OR(C250="赤日轮1",C250="赤日轮2",C250="赤日轮3"),IF(RAND()&lt;模拟模式!$Y$17,1,0),IF(OR(C250="幽月轮1",C250="幽月轮2",C250="幽月轮3"),IF(RAND()&lt;模拟模式!$Y$18,1,0),IF(C250="烈日斩",IF(RAND()&lt;模拟模式!$Y$19,1,0),IF(C250="银月斩",IF(RAND()&lt;模拟模式!$Y$20,1,0),IF(C250="驱夜断愁",IF(RAND()&lt;模拟模式!$Y$21,1,0),IF(C250="净世破魔击·日",IF(RAND()&lt;模拟模式!$Y$22,1,0),IF(C250="净世破魔击·月",IF(RAND()&lt;模拟模式!$Y$23,1,0),0)))))))</f>
        <v>1</v>
      </c>
      <c r="AC250" s="115" t="b">
        <f t="shared" ca="1" si="178"/>
        <v>0</v>
      </c>
      <c r="AD250" s="115" t="b">
        <f t="shared" ca="1" si="198"/>
        <v>0</v>
      </c>
      <c r="AE250" s="115">
        <f t="shared" ca="1" si="199"/>
        <v>4</v>
      </c>
      <c r="AF250" s="47">
        <f ca="1">IF(AC250,('模拟-单技能数据'!$D$20+G250*'模拟-单技能数据'!$F$20)*(1+J250)*(1+'模拟-单技能数据'!$J$20)*(1+U250),0)</f>
        <v>0</v>
      </c>
      <c r="AG250" s="61">
        <f t="shared" ca="1" si="191"/>
        <v>0.64185145527300214</v>
      </c>
      <c r="AH250" s="61">
        <f t="shared" ca="1" si="192"/>
        <v>2.2624828854998791</v>
      </c>
      <c r="AI250" s="62">
        <f t="shared" ca="1" si="214"/>
        <v>0.72457754649117845</v>
      </c>
      <c r="AJ250" s="47">
        <f ca="1">IF(AD250,IF(AI250&lt;$F$10,0,IF(AI250&lt;$F$10+$F$11,0.25,IF(AI250&lt;$F$10+$F$11+AG250,AH250,1)))*IF(AF250&gt;0,AF250,IF(AF249&gt;0,AF249,IF(AF248&gt;0,AF248,IF(AF247&gt;0,AF247,IF(AF246&gt;0,AF246,IF(AF245&gt;0,AF245,IF(AF244&gt;0,AF244,IF(AF243&gt;0,AF243,IF(AF242&gt;0,AF242,IF(AF240&gt;0,AF240,IF(AF239&gt;0,AF239,IF(AF238&gt;0,AF238,0)))))))))))),0)*(1-$S250)*'模拟-单技能数据'!$I$20</f>
        <v>0</v>
      </c>
      <c r="AK250" s="115" t="b">
        <f t="shared" ca="1" si="179"/>
        <v>0</v>
      </c>
      <c r="AL250" s="115" t="b">
        <f t="shared" ca="1" si="200"/>
        <v>0</v>
      </c>
      <c r="AM250" s="115">
        <f t="shared" ca="1" si="201"/>
        <v>3</v>
      </c>
      <c r="AN250" s="47">
        <f ca="1">IF(AK250,('模拟-单技能数据'!$D$21+G250*'模拟-单技能数据'!$F$21)*(1+J250)*(1+'模拟-单技能数据'!$J$21)*(1+U250),0)</f>
        <v>0</v>
      </c>
      <c r="AO250" s="61">
        <f ca="1">IF(AN250&gt;0,M250-'模拟-单技能数据'!$K$10,AO249)</f>
        <v>0.42185145527300216</v>
      </c>
      <c r="AP250" s="61">
        <f ca="1">IF(AN250&gt;0,I250-'模拟-单技能数据'!$L$10,AP249)</f>
        <v>2.162482885499879</v>
      </c>
      <c r="AQ250" s="63">
        <f t="shared" ca="1" si="215"/>
        <v>0.40366017083148298</v>
      </c>
      <c r="AR250" s="64">
        <f ca="1">IF(AL250,IF(AQ250&lt;$F$10,0,IF(AQ250&lt;$F$10+$F$11,0.25,IF(AQ250&lt;$F$10+$F$11+AO250,AP250,1)))*IF(AN250&gt;0,AN250,IF(AN249&gt;0,AN249,IF(AN248&gt;0,AN248,IF(AN247&gt;0,AN247,IF(AN246&gt;0,AN246,IF(AN245&gt;0,AN245,IF(AN244&gt;0,AN244,IF(AN243&gt;0,AN243,IF(AN242&gt;0,AN242,IF(AN240&gt;0,AN240,IF(AN239&gt;0,AN239,IF(AN238&gt;0,AN238,0)))))))))))),0)*(1-$S250)*'模拟-单技能数据'!$I$21</f>
        <v>0</v>
      </c>
      <c r="AS250" s="61">
        <f ca="1">IF(OR(C250="净世破魔击·日",C250="净世破魔击·月"),M250-'模拟-单技能数据'!$K$10,0)</f>
        <v>0.42185145527300216</v>
      </c>
      <c r="AT250" s="61">
        <f ca="1">IF(OR(C250="净世破魔击·日",C250="净世破魔击·月"),I250-'模拟-单技能数据'!$L$10,0)</f>
        <v>2.162482885499879</v>
      </c>
      <c r="AU250" s="62">
        <f t="shared" ca="1" si="216"/>
        <v>0.7274710013480632</v>
      </c>
      <c r="AV250" s="64">
        <f ca="1">IF(AS250&gt;0,('模拟-单技能数据'!$D$22+G250*'模拟-单技能数据'!$F$22)*(1+J250)*(1-S250)*IF(AU250&lt;$F$10,0,IF(AU250&lt;$F$10+$F$11,0.25,IF(AU250&lt;$F$10+$F$11+AS250,AT250,1)))*(1+U250),0)*'模拟-单技能数据'!$I$22</f>
        <v>8711.3775381817049</v>
      </c>
      <c r="AW250" s="108">
        <f t="shared" ca="1" si="217"/>
        <v>9.8525000000000063</v>
      </c>
      <c r="AX250" s="108" t="b">
        <f ca="1">AND(模拟模式!$P$10="有",AW249=0,RAND()&lt;IF(C250="净世破魔击·月",0.1*8/3,IF(C250="净世破魔击·日",0.1*4/3,0.1*2/3)))</f>
        <v>0</v>
      </c>
      <c r="AY250" s="47">
        <f ca="1">IF(AX250,(18+G250*0.722)*(1+J250)*(1-S250)*(1+$I$4)*IF(P250="会",'模拟-全程加成'!$J$3+'模拟-全程加成'!$J$4+'模拟-全程加成'!$J$5+('模拟-全程加成'!$I$4+'模拟-全程加成'!$I$5)/系数!$B$4+BG250*10%,IF(P250="命",1,IF(P250="识",0.25,0))),0)</f>
        <v>0</v>
      </c>
      <c r="AZ250" s="108">
        <f t="shared" si="218"/>
        <v>17.232500000000002</v>
      </c>
      <c r="BA250" s="108" t="b">
        <f>AND(模拟模式!$Q$10="有",AZ249=0)</f>
        <v>0</v>
      </c>
      <c r="BB250" s="140">
        <f>IF(BA250,(0+G250*0.287)*(1+J250)*(1-S250)*(1+$I$4)*IF(P250="会",'模拟-全程加成'!$J$3+'模拟-全程加成'!$J$4+'模拟-全程加成'!$J$5+('模拟-全程加成'!$I$4+'模拟-全程加成'!$I$5)/系数!$B$4+BG250*10%,IF(P250="命",1,IF(P250="识",0.25,0))),0)</f>
        <v>0</v>
      </c>
      <c r="BC250" s="115" t="b">
        <f ca="1">AND(模拟模式!$R$7="伏明众生",E250=60,F250=20,DA250&lt;5,CZ249&lt;$F$4)</f>
        <v>0</v>
      </c>
      <c r="BD250" s="115">
        <f t="shared" ca="1" si="180"/>
        <v>0</v>
      </c>
      <c r="BE250" s="115" t="b">
        <f t="shared" ca="1" si="181"/>
        <v>0</v>
      </c>
      <c r="BF250" s="47">
        <f ca="1">IF(BC250,4*('模拟-单技能数据'!$D$24+G250*'模拟-单技能数据'!$F$24)*(1+J250)*(1+'模拟-单技能数据'!$J$24)*(1-S250)*(1+$I$3)*(('模拟-全程加成'!$J$3+'模拟-全程加成'!$J$4+'模拟-全程加成'!$J$5+('模拟-全程加成'!$I$4+'模拟-全程加成'!$I$5)/系数!$B$4+BG250*10%)*('模拟-全程加成'!$J$3+'模拟-全程加成'!$J$4+'模拟-全程加成'!$J$5+('模拟-全程加成'!$I$4+'模拟-全程加成'!$I$5)/系数!$B$4+BG250*10%)+(1-('模拟-全程加成'!$J$3+'模拟-全程加成'!$J$4+'模拟-全程加成'!$J$5+('模拟-全程加成'!$I$4+'模拟-全程加成'!$I$5)/系数!$B$4+BG250*10%)-$F$10-$F$11)+F236*0.25),0)*'模拟-单技能数据'!$I$24</f>
        <v>0</v>
      </c>
      <c r="BG250" s="115" t="b">
        <f ca="1">OR(AND(OR(C250="烈日斩",C250="银月斩"),模拟模式!$I$7="净身明礼"),AND(C250="净世破魔击·日",模拟模式!$J$7="洞若观火"),AND(C251="净世破魔击·月",模拟模式!$J$7="洞若观火"),AB250=1)</f>
        <v>1</v>
      </c>
      <c r="BH250" s="115" t="b">
        <f t="shared" ca="1" si="219"/>
        <v>1</v>
      </c>
      <c r="BI250" s="115">
        <f t="shared" ca="1" si="182"/>
        <v>6</v>
      </c>
      <c r="BJ250" s="115" t="b">
        <f t="shared" ca="1" si="193"/>
        <v>1</v>
      </c>
      <c r="BK250" s="115" t="b">
        <f ca="1">AND(C250="驱夜断愁",模拟模式!$P$7="天地诛戮")</f>
        <v>0</v>
      </c>
      <c r="BL250" s="57">
        <f t="shared" ca="1" si="183"/>
        <v>17.232500000000002</v>
      </c>
      <c r="BM250" s="115" t="b">
        <f t="shared" ca="1" si="194"/>
        <v>1</v>
      </c>
      <c r="BN250" s="115" t="b">
        <f ca="1">AND(OR(C250="赤日轮1",C250="赤日轮2",C250="赤日轮3",C250="幽月轮1",C250="幽月轮2",C250="幽月轮3"),AB250=1,模拟模式!$L$7="明光恒照")</f>
        <v>0</v>
      </c>
      <c r="BO250" s="117">
        <f t="shared" ca="1" si="184"/>
        <v>29.077500000000001</v>
      </c>
      <c r="BP250" s="115">
        <f t="shared" ca="1" si="220"/>
        <v>6</v>
      </c>
      <c r="BQ250" s="115" t="b">
        <f>模拟模式!$K$10="2600·水"</f>
        <v>0</v>
      </c>
      <c r="BR250" s="117">
        <f t="shared" si="221"/>
        <v>0</v>
      </c>
      <c r="BS250" s="115">
        <f t="shared" si="222"/>
        <v>0</v>
      </c>
      <c r="BT250" s="115">
        <f t="shared" ca="1" si="223"/>
        <v>0</v>
      </c>
      <c r="BU250" s="115" t="b">
        <f ca="1">AND(模拟模式!$K$10="2300·雷",BT249=0,RAND()&lt;IF(C250="净世破魔击·月",5*0.05*2/3,IF(C250="净世破魔击·日",3*0.05*2/3,0.05*2*2/3)))</f>
        <v>0</v>
      </c>
      <c r="BV250" s="115">
        <f t="shared" ca="1" si="224"/>
        <v>0</v>
      </c>
      <c r="BW250" s="115">
        <f t="shared" ca="1" si="225"/>
        <v>166.1624999999998</v>
      </c>
      <c r="BX250" s="164" t="b">
        <f t="shared" ca="1" si="226"/>
        <v>0</v>
      </c>
      <c r="BY250" s="115">
        <f t="shared" ca="1" si="227"/>
        <v>1.1625000000000032</v>
      </c>
      <c r="BZ250" s="115">
        <f>IF(OR(模拟模式!$P$16="10人团",模拟模式!$P$16="25人团"),IF(B250/30&gt;CA249,1,0),0)</f>
        <v>0</v>
      </c>
      <c r="CA250" s="115">
        <f t="shared" si="203"/>
        <v>0</v>
      </c>
      <c r="CB250" s="115">
        <f ca="1">IF(BZ250=1,IF(模拟模式!$P$16="10人团",15,0)+IF(模拟模式!$P$16="25人团",IF(RAND()&lt;0.6,15,0)),MAX(0,CB249-$F$4))</f>
        <v>0</v>
      </c>
      <c r="CC250" s="115" t="b">
        <f t="shared" ca="1" si="195"/>
        <v>0</v>
      </c>
      <c r="CD250" s="115">
        <f>IF(模拟模式!$Q$16="1个",IF(B250/40&gt;CE249,1,0),0)</f>
        <v>0</v>
      </c>
      <c r="CE250" s="115">
        <f t="shared" si="196"/>
        <v>0</v>
      </c>
      <c r="CF250" s="115">
        <f>IF(OR(CD250=1,模拟模式!$Q$16="2个"),20,MAX(0,CF249-$F$4))</f>
        <v>0</v>
      </c>
      <c r="CG250" s="115" t="b">
        <f t="shared" si="197"/>
        <v>0</v>
      </c>
      <c r="CH250" s="115">
        <f t="shared" ca="1" si="228"/>
        <v>25.387500000000003</v>
      </c>
      <c r="CI250" s="115" t="b">
        <f t="shared" ca="1" si="229"/>
        <v>0</v>
      </c>
      <c r="CJ250" s="119">
        <f t="shared" ca="1" si="230"/>
        <v>0.05</v>
      </c>
      <c r="CK250" s="115">
        <f t="shared" ca="1" si="231"/>
        <v>3.3874999999999988</v>
      </c>
      <c r="CL250" s="115" t="b">
        <f ca="1">AND(模拟模式!$S$7="驱夷逐法",OR(AND(C250="净世破魔击·月",E249&gt;59),AND(C250="净世破魔击·日",F249&gt;59)))</f>
        <v>1</v>
      </c>
      <c r="CM250" s="115" t="b">
        <f ca="1">OR(CL250,AND(C250="净世破魔击·日",CL249,RAND()&lt;模拟模式!$U$23))</f>
        <v>1</v>
      </c>
      <c r="CN250" s="115" t="b">
        <f ca="1">IF(模拟模式!$M$7="辉耀红尘",AND(C250="净世破魔击·月",CL250,CV250=0,E249&lt;80),AND(C250="净世破魔击·月",CL250,E249&lt;100))</f>
        <v>0</v>
      </c>
      <c r="CO250" s="115" t="b">
        <f t="shared" ca="1" si="204"/>
        <v>0</v>
      </c>
      <c r="CP250" s="115" t="b">
        <f ca="1">AND(模拟模式!$O$7="用晦而明",OR(C250="净世破魔击·日",C250="净世破魔击·月",C250="驱夜断愁"),AB250)</f>
        <v>1</v>
      </c>
      <c r="CQ250" s="115" t="b">
        <f ca="1">OR(CP250,AND(CP249,RAND()&lt;模拟模式!$U$23))</f>
        <v>1</v>
      </c>
      <c r="CR250" s="115" t="b">
        <f ca="1">AND(模拟模式!$S$7="日月齐光",OR(C250="幽月轮1",C250="幽月轮2",C250="幽月轮3",CR249),NOT(OR(C250="赤日轮1",C250="赤日轮2",C250="赤日轮3")))</f>
        <v>0</v>
      </c>
      <c r="CS250" s="115" t="b">
        <f ca="1">AND(模拟模式!$S$7="日月齐光",OR(C250="赤日轮1",C250="赤日轮2",C250="赤日轮3",CS249),NOT(OR(C250="幽月轮1",C250="幽月轮2",C250="幽月轮3")))</f>
        <v>0</v>
      </c>
      <c r="CT250" s="115">
        <f t="shared" ca="1" si="232"/>
        <v>0</v>
      </c>
      <c r="CU250" s="115" t="b">
        <f ca="1">AND(模拟模式!$K$10="阴阳往极",CT249=0,RAND()&lt;IF(C250="净世破魔击·月",0.0275*7/3,IF(C250="净世破魔击·日",0.0275*3/3,0.0275*2/3)))</f>
        <v>0</v>
      </c>
      <c r="CV250" s="115">
        <f t="shared" ca="1" si="233"/>
        <v>0</v>
      </c>
      <c r="CW250" s="115">
        <f t="shared" ca="1" si="205"/>
        <v>4.1549999999999994</v>
      </c>
      <c r="CX250" s="115">
        <f t="shared" ca="1" si="206"/>
        <v>2.3099999999999996</v>
      </c>
      <c r="CY250" s="115">
        <f ca="1">MAX(IF($C250="驱夜断愁",IF(模拟模式!$R$7="万念俱寂",6,45),CY249-$F$4),0)</f>
        <v>3.2324999999999995</v>
      </c>
      <c r="CZ250" s="115">
        <f t="shared" ca="1" si="207"/>
        <v>0</v>
      </c>
      <c r="DA250" s="115">
        <f ca="1">IF(模拟模式!$N$7="日月同辉",IF(DB249=2,0,MIN(6,IF(AND(OR(C250="赤日轮1",C250="赤日轮2",C250="赤日轮3",C250="幽月轮1",C250="幽月轮2",C250="幽月轮3"),AB250=1),DA249+1,DA249))),0)</f>
        <v>3</v>
      </c>
      <c r="DB250" s="115">
        <f t="shared" ca="1" si="208"/>
        <v>0</v>
      </c>
      <c r="DC250" s="115"/>
      <c r="DD250" s="115"/>
      <c r="DE250" s="115"/>
      <c r="DF250" s="115"/>
      <c r="DG250" s="115"/>
      <c r="DH250" s="115"/>
      <c r="DI250" s="115"/>
      <c r="DJ250" s="115"/>
      <c r="DK250" s="115"/>
      <c r="DL250" s="115"/>
      <c r="DM250" s="115"/>
    </row>
    <row r="251" spans="2:117" x14ac:dyDescent="0.2">
      <c r="B251" s="117">
        <f t="shared" si="209"/>
        <v>206.64000000000109</v>
      </c>
      <c r="C251" s="167" t="str">
        <f t="shared" ca="1" si="202"/>
        <v>净世破魔击·日</v>
      </c>
      <c r="D251" s="115">
        <f ca="1">IF(C251="赤日轮1",1,IF(C251="赤日轮2",2,IF(C251="赤日轮3",3,IF(C251="幽月轮1",4,IF(C251="幽月轮2",5,IF(C251="幽月轮3",6,IF(C251="烈日斩",7,IF(C251="银月斩",8,IF(C251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251="净世破魔击·月",17,IF(C251="驱夜断愁",18,0)))))))))))</f>
        <v>9</v>
      </c>
      <c r="E251" s="115">
        <f ca="1">IF(AND(CU251,OR(C251="幽月轮1",C251="幽月轮2",C251="幽月轮3",C251="银月斩",C251="驱夜断愁",C251="净世破魔击·月")),100,MIN(IF(OR(CN251,BE251),0,IF(OR($C251="赤日轮1",$C251="赤日轮2",$C251="赤日轮3"),E250+20+IF(模拟模式!$I$7="日月凌天",4,0)+IF(CR250,20,0),IF($C251="烈日斩",E250+40,IF($C251="驱夜断愁",IF(模拟模式!$R$7="万念俱寂",E250+20,E250+60),IF($C251="净世破魔击·月",IF(OR(DB250&gt;0,CV250&gt;0),100,IF(模拟模式!$M$7="辉耀红尘",E250+20,E250)),IF($C251="净世破魔击·日",E250-100,E250)))))),100))</f>
        <v>0</v>
      </c>
      <c r="F251" s="115">
        <f ca="1">IF(AND(CU251,OR(C251="赤日轮1",C251="赤日轮2",C251="赤日轮3",C251="烈日斩",C251="净世破魔击·日")),100,MIN(IF(CO251,0,IF(OR($C251="幽月轮1",$C251="幽月轮2",$C251="幽月轮3"),F250+20+IF(模拟模式!$I$7="日月凌天",4,0)+IF(CS250,20,0),IF($C251="银月斩",F250+40+IF(模拟模式!$X$12=1,5,0),IF($C251="驱夜断愁",IF(模拟模式!$R$7="万念俱寂",F250+20,F250+60),IF($C251="净世破魔击·月",IF(模拟模式!$M$7="辉耀红尘",F250-80,F250-100),IF(AND(C251="净世破魔击·日",OR(DB250&gt;0,CV250&gt;0)),100,F250)))))),100))</f>
        <v>20</v>
      </c>
      <c r="G251" s="117">
        <f ca="1">('模拟-全程加成'!$E$3+'模拟-全程加成'!$E$4+'模拟-全程加成'!$E$5+('模拟-全程加成'!$C$6-'模拟-全程加成'!$C$3)*系数!$B$9+BS251*23)*(1+'模拟-全程加成'!$F$4+'模拟-全程加成'!$F$5+BJ251*10%+BM251*20%+BP251*4%+CG251*30%)+$F$7*系数!$B$12</f>
        <v>21493.829400000002</v>
      </c>
      <c r="H251" s="45">
        <f ca="1">'模拟-全程加成'!$H$3+'模拟-全程加成'!$H$4+'模拟-全程加成'!$H$5+('模拟-全程加成'!$G$4+'模拟-全程加成'!$G$5+('模拟-全程加成'!$C$6-'模拟-全程加成'!$C$3)*系数!$B$13)/系数!$B$3+LOOKUP(D251,'模拟-单技能数据'!$A$2:$A$19,'模拟-单技能数据'!$K$2:$K$19)+BG251*10%+IF(BV251&gt;0,378,0)</f>
        <v>0.54185145527300216</v>
      </c>
      <c r="I251" s="45">
        <f ca="1">'模拟-全程加成'!$J$3+'模拟-全程加成'!$J$4+'模拟-全程加成'!$J$5+('模拟-全程加成'!$I$4+'模拟-全程加成'!$I$5)/系数!$B$4+LOOKUP(D251,'模拟-单技能数据'!$A$2:$A$19,'模拟-单技能数据'!$L$2:$L$19)+BG251*10%</f>
        <v>2.162482885499879</v>
      </c>
      <c r="J251" s="45">
        <f ca="1">(('模拟-全程加成'!$K$3+'模拟-全程加成'!$K$4+'模拟-全程加成'!$K$5+('模拟-全程加成'!$C$6-'模拟-全程加成'!$C$3)*系数!$B$10+IF(BV251&gt;0,882,0)+IF(BY251&gt;0,1831,0))*(1+'模拟-全程加成'!$L$4+'模拟-全程加成'!$L$5+CC251*20%))/系数!$B$5</f>
        <v>0.85832564669386491</v>
      </c>
      <c r="K251" s="119">
        <f ca="1">LOOKUP(D251,'模拟-单技能数据'!$A$2:$A$19,'模拟-单技能数据'!$J$2:$J$19)+IF(CM251,60%,0)+IF(DB250-DB251&gt;0,30%,0)+IF(OR(AND(OR(C251="赤日轮1",C251="赤日轮2",C251="赤日轮3"),CR251),AND(OR(C251="幽月轮1",C251="幽月轮2",C251="幽月轮3"),CS251)),35%,0)+CJ251</f>
        <v>0.85000000000000009</v>
      </c>
      <c r="L251" s="119">
        <f ca="1">IF(AND(C251="烈日斩",模拟模式!$X$11=1),10%,0)+IF(AND(C251="驱夜断愁",AB251=1),30%,0)</f>
        <v>0</v>
      </c>
      <c r="M251" s="45">
        <f t="shared" ca="1" si="185"/>
        <v>0.54185145527300216</v>
      </c>
      <c r="N251" s="45">
        <f t="shared" ca="1" si="186"/>
        <v>0.40424854472699789</v>
      </c>
      <c r="O251" s="46">
        <f t="shared" ca="1" si="210"/>
        <v>0.73562258783823309</v>
      </c>
      <c r="P251" s="46" t="str">
        <f t="shared" ca="1" si="211"/>
        <v>命</v>
      </c>
      <c r="Q251" s="45">
        <f t="shared" ca="1" si="212"/>
        <v>1</v>
      </c>
      <c r="R251" s="117">
        <f ca="1">模拟模式!$E$20*(1-IF(模拟模式!$J$19="有",0.15,0))*(1-IF(模拟模式!$K$19="有",0.3,0)-IF(CQ251,0.5,0))</f>
        <v>843.02999999999975</v>
      </c>
      <c r="S251" s="45">
        <f ca="1">R251/(R251+(185*模拟模式!$E$22-16800)*4.08224)</f>
        <v>8.389626085980037E-2</v>
      </c>
      <c r="T251" s="45" t="str">
        <f ca="1">LOOKUP(D251,'模拟-单技能数据'!$A$2:$A$19,'模拟-单技能数据'!$H$2:$H$19)</f>
        <v>阳</v>
      </c>
      <c r="U251" s="119">
        <f t="shared" ca="1" si="187"/>
        <v>0.2</v>
      </c>
      <c r="V251" s="47">
        <f ca="1">(1+L251)*(LOOKUP(D251,'模拟-单技能数据'!$A$2:$A$19,'模拟-单技能数据'!$D$2:$D$19)+G251*LOOKUP(D251,'模拟-单技能数据'!$A$2:$A$19,'模拟-单技能数据'!$F$2:$F$19))*(1+J251)*(1+K251)*(1-S251)*(1+U251)*Q251*LOOKUP(D251,'模拟-单技能数据'!$A$2:$A$19,'模拟-单技能数据'!$I$2:$I$20)</f>
        <v>106428.46703866922</v>
      </c>
      <c r="W251" s="47">
        <f ca="1">LOOKUP(D251,'模拟-单技能数据'!$A$2:$A$19,'模拟-单技能数据'!$G$2:$G$19)*$I$10</f>
        <v>723.0212870940959</v>
      </c>
      <c r="X251" s="47">
        <f t="shared" ca="1" si="213"/>
        <v>58509.712734545115</v>
      </c>
      <c r="Y251" s="47">
        <f t="shared" ca="1" si="188"/>
        <v>165661.20106030843</v>
      </c>
      <c r="Z251" s="49">
        <f t="shared" ca="1" si="189"/>
        <v>23927484.8316589</v>
      </c>
      <c r="AA251" s="97">
        <f t="shared" ca="1" si="190"/>
        <v>115793.09345556897</v>
      </c>
      <c r="AB251" s="115">
        <f ca="1">IF(OR(C251="赤日轮1",C251="赤日轮2",C251="赤日轮3"),IF(RAND()&lt;模拟模式!$Y$17,1,0),IF(OR(C251="幽月轮1",C251="幽月轮2",C251="幽月轮3"),IF(RAND()&lt;模拟模式!$Y$18,1,0),IF(C251="烈日斩",IF(RAND()&lt;模拟模式!$Y$19,1,0),IF(C251="银月斩",IF(RAND()&lt;模拟模式!$Y$20,1,0),IF(C251="驱夜断愁",IF(RAND()&lt;模拟模式!$Y$21,1,0),IF(C251="净世破魔击·日",IF(RAND()&lt;模拟模式!$Y$22,1,0),IF(C251="净世破魔击·月",IF(RAND()&lt;模拟模式!$Y$23,1,0),0)))))))</f>
        <v>1</v>
      </c>
      <c r="AC251" s="115" t="b">
        <f t="shared" ca="1" si="178"/>
        <v>0</v>
      </c>
      <c r="AD251" s="115" t="b">
        <f t="shared" ca="1" si="198"/>
        <v>1</v>
      </c>
      <c r="AE251" s="115">
        <f t="shared" ca="1" si="199"/>
        <v>3</v>
      </c>
      <c r="AF251" s="47">
        <f ca="1">IF(AC251,('模拟-单技能数据'!$D$20+G251*'模拟-单技能数据'!$F$20)*(1+J251)*(1+'模拟-单技能数据'!$J$20)*(1+U251),0)</f>
        <v>0</v>
      </c>
      <c r="AG251" s="61">
        <f t="shared" ca="1" si="191"/>
        <v>0.64185145527300214</v>
      </c>
      <c r="AH251" s="61">
        <f t="shared" ca="1" si="192"/>
        <v>2.2624828854998791</v>
      </c>
      <c r="AI251" s="62">
        <f t="shared" ca="1" si="214"/>
        <v>0.36328380739145527</v>
      </c>
      <c r="AJ251" s="47">
        <f ca="1">IF(AD251,IF(AI251&lt;$F$10,0,IF(AI251&lt;$F$10+$F$11,0.25,IF(AI251&lt;$F$10+$F$11+AG251,AH251,1)))*IF(AF251&gt;0,AF251,IF(AF250&gt;0,AF250,IF(AF249&gt;0,AF249,IF(AF248&gt;0,AF248,IF(AF247&gt;0,AF247,IF(AF246&gt;0,AF246,IF(AF245&gt;0,AF245,IF(AF244&gt;0,AF244,IF(AF243&gt;0,AF243,IF(AF241&gt;0,AF241,IF(AF240&gt;0,AF240,IF(AF239&gt;0,AF239,0)))))))))))),0)*(1-$S251)*'模拟-单技能数据'!$I$20</f>
        <v>10093.953229098464</v>
      </c>
      <c r="AK251" s="115" t="b">
        <f t="shared" ca="1" si="179"/>
        <v>1</v>
      </c>
      <c r="AL251" s="115" t="b">
        <f t="shared" ca="1" si="200"/>
        <v>1</v>
      </c>
      <c r="AM251" s="115">
        <f t="shared" ca="1" si="201"/>
        <v>5</v>
      </c>
      <c r="AN251" s="47">
        <f ca="1">IF(AK251,('模拟-单技能数据'!$D$21+G251*'模拟-单技能数据'!$F$21)*(1+J251)*(1+'模拟-单技能数据'!$J$21)*(1+U251),0)</f>
        <v>13873.602732077619</v>
      </c>
      <c r="AO251" s="61">
        <f ca="1">IF(AN251&gt;0,M251-'模拟-单技能数据'!$K$10,AO250)</f>
        <v>0.42185145527300216</v>
      </c>
      <c r="AP251" s="61">
        <f ca="1">IF(AN251&gt;0,I251-'模拟-单技能数据'!$L$10,AP250)</f>
        <v>2.162482885499879</v>
      </c>
      <c r="AQ251" s="63">
        <f t="shared" ca="1" si="215"/>
        <v>0.24659751412288256</v>
      </c>
      <c r="AR251" s="64">
        <f ca="1">IF(AL251,IF(AQ251&lt;$F$10,0,IF(AQ251&lt;$F$10+$F$11,0.25,IF(AQ251&lt;$F$10+$F$11+AO251,AP251,1)))*IF(AN251&gt;0,AN251,IF(AN250&gt;0,AN250,IF(AN249&gt;0,AN249,IF(AN248&gt;0,AN248,IF(AN247&gt;0,AN247,IF(AN246&gt;0,AN246,IF(AN245&gt;0,AN245,IF(AN244&gt;0,AN244,IF(AN243&gt;0,AN243,IF(AN241&gt;0,AN241,IF(AN240&gt;0,AN240,IF(AN239&gt;0,AN239,0)))))))))))),0)*(1-$S251)*'模拟-单技能数据'!$I$21</f>
        <v>27484.420799395535</v>
      </c>
      <c r="AS251" s="61">
        <f ca="1">IF(OR(C251="净世破魔击·日",C251="净世破魔击·月"),M251-'模拟-单技能数据'!$K$10,0)</f>
        <v>0.42185145527300216</v>
      </c>
      <c r="AT251" s="61">
        <f ca="1">IF(OR(C251="净世破魔击·日",C251="净世破魔击·月"),I251-'模拟-单技能数据'!$L$10,0)</f>
        <v>2.162482885499879</v>
      </c>
      <c r="AU251" s="62">
        <f t="shared" ca="1" si="216"/>
        <v>0.18232582236198436</v>
      </c>
      <c r="AV251" s="64">
        <f ca="1">IF(AS251&gt;0,('模拟-单技能数据'!$D$22+G251*'模拟-单技能数据'!$F$22)*(1+J251)*(1-S251)*IF(AU251&lt;$F$10,0,IF(AU251&lt;$F$10+$F$11,0.25,IF(AU251&lt;$F$10+$F$11+AS251,AT251,1)))*(1+U251),0)*'模拟-单技能数据'!$I$22</f>
        <v>20931.338706051112</v>
      </c>
      <c r="AW251" s="108">
        <f t="shared" ca="1" si="217"/>
        <v>8.9300000000000068</v>
      </c>
      <c r="AX251" s="108" t="b">
        <f ca="1">AND(模拟模式!$P$10="有",AW250=0,RAND()&lt;IF(C251="净世破魔击·月",0.1*8/3,IF(C251="净世破魔击·日",0.1*4/3,0.1*2/3)))</f>
        <v>0</v>
      </c>
      <c r="AY251" s="47">
        <f ca="1">IF(AX251,(18+G251*0.722)*(1+J251)*(1-S251)*(1+$I$4)*IF(P251="会",'模拟-全程加成'!$J$3+'模拟-全程加成'!$J$4+'模拟-全程加成'!$J$5+('模拟-全程加成'!$I$4+'模拟-全程加成'!$I$5)/系数!$B$4+BG251*10%,IF(P251="命",1,IF(P251="识",0.25,0))),0)</f>
        <v>0</v>
      </c>
      <c r="AZ251" s="108">
        <f t="shared" si="218"/>
        <v>16.310000000000002</v>
      </c>
      <c r="BA251" s="108" t="b">
        <f>AND(模拟模式!$Q$10="有",AZ250=0)</f>
        <v>0</v>
      </c>
      <c r="BB251" s="140">
        <f>IF(BA251,(0+G251*0.287)*(1+J251)*(1-S251)*(1+$I$4)*IF(P251="会",'模拟-全程加成'!$J$3+'模拟-全程加成'!$J$4+'模拟-全程加成'!$J$5+('模拟-全程加成'!$I$4+'模拟-全程加成'!$I$5)/系数!$B$4+BG251*10%,IF(P251="命",1,IF(P251="识",0.25,0))),0)</f>
        <v>0</v>
      </c>
      <c r="BC251" s="115" t="b">
        <f ca="1">AND(模拟模式!$R$7="伏明众生",E251=60,F251=20,DA251&lt;5,CZ250&lt;$F$4)</f>
        <v>0</v>
      </c>
      <c r="BD251" s="115">
        <f t="shared" ca="1" si="180"/>
        <v>0</v>
      </c>
      <c r="BE251" s="115" t="b">
        <f t="shared" ca="1" si="181"/>
        <v>0</v>
      </c>
      <c r="BF251" s="47">
        <f ca="1">IF(BC251,4*('模拟-单技能数据'!$D$24+G251*'模拟-单技能数据'!$F$24)*(1+J251)*(1+'模拟-单技能数据'!$J$24)*(1-S251)*(1+$I$3)*(('模拟-全程加成'!$J$3+'模拟-全程加成'!$J$4+'模拟-全程加成'!$J$5+('模拟-全程加成'!$I$4+'模拟-全程加成'!$I$5)/系数!$B$4+BG251*10%)*('模拟-全程加成'!$J$3+'模拟-全程加成'!$J$4+'模拟-全程加成'!$J$5+('模拟-全程加成'!$I$4+'模拟-全程加成'!$I$5)/系数!$B$4+BG251*10%)+(1-('模拟-全程加成'!$J$3+'模拟-全程加成'!$J$4+'模拟-全程加成'!$J$5+('模拟-全程加成'!$I$4+'模拟-全程加成'!$I$5)/系数!$B$4+BG251*10%)-$F$10-$F$11)+F237*0.25),0)*'模拟-单技能数据'!$I$24</f>
        <v>0</v>
      </c>
      <c r="BG251" s="115" t="b">
        <f ca="1">OR(AND(OR(C251="烈日斩",C251="银月斩"),模拟模式!$I$7="净身明礼"),AND(C251="净世破魔击·日",模拟模式!$J$7="洞若观火"),AND(C252="净世破魔击·月",模拟模式!$J$7="洞若观火"),AB251=1)</f>
        <v>1</v>
      </c>
      <c r="BH251" s="115" t="b">
        <f t="shared" ca="1" si="219"/>
        <v>0</v>
      </c>
      <c r="BI251" s="115">
        <f t="shared" ca="1" si="182"/>
        <v>5.0774999999999997</v>
      </c>
      <c r="BJ251" s="115" t="b">
        <f t="shared" ca="1" si="193"/>
        <v>1</v>
      </c>
      <c r="BK251" s="115" t="b">
        <f ca="1">AND(C251="驱夜断愁",模拟模式!$P$7="天地诛戮")</f>
        <v>0</v>
      </c>
      <c r="BL251" s="57">
        <f t="shared" ca="1" si="183"/>
        <v>16.310000000000002</v>
      </c>
      <c r="BM251" s="115" t="b">
        <f t="shared" ca="1" si="194"/>
        <v>1</v>
      </c>
      <c r="BN251" s="115" t="b">
        <f ca="1">AND(OR(C251="赤日轮1",C251="赤日轮2",C251="赤日轮3",C251="幽月轮1",C251="幽月轮2",C251="幽月轮3"),AB251=1,模拟模式!$L$7="明光恒照")</f>
        <v>0</v>
      </c>
      <c r="BO251" s="117">
        <f t="shared" ca="1" si="184"/>
        <v>28.155000000000001</v>
      </c>
      <c r="BP251" s="115">
        <f t="shared" ca="1" si="220"/>
        <v>6</v>
      </c>
      <c r="BQ251" s="115" t="b">
        <f>模拟模式!$K$10="2600·水"</f>
        <v>0</v>
      </c>
      <c r="BR251" s="117">
        <f t="shared" si="221"/>
        <v>0</v>
      </c>
      <c r="BS251" s="115">
        <f t="shared" si="222"/>
        <v>0</v>
      </c>
      <c r="BT251" s="115">
        <f t="shared" ca="1" si="223"/>
        <v>0</v>
      </c>
      <c r="BU251" s="115" t="b">
        <f ca="1">AND(模拟模式!$K$10="2300·雷",BT250=0,RAND()&lt;IF(C251="净世破魔击·月",5*0.05*2/3,IF(C251="净世破魔击·日",3*0.05*2/3,0.05*2*2/3)))</f>
        <v>0</v>
      </c>
      <c r="BV251" s="115">
        <f t="shared" ca="1" si="224"/>
        <v>0</v>
      </c>
      <c r="BW251" s="115">
        <f t="shared" ca="1" si="225"/>
        <v>165.23999999999978</v>
      </c>
      <c r="BX251" s="164" t="b">
        <f t="shared" ca="1" si="226"/>
        <v>0</v>
      </c>
      <c r="BY251" s="115">
        <f t="shared" ca="1" si="227"/>
        <v>0.24000000000000321</v>
      </c>
      <c r="BZ251" s="115">
        <f>IF(OR(模拟模式!$P$16="10人团",模拟模式!$P$16="25人团"),IF(B251/30&gt;CA250,1,0),0)</f>
        <v>0</v>
      </c>
      <c r="CA251" s="115">
        <f t="shared" si="203"/>
        <v>0</v>
      </c>
      <c r="CB251" s="115">
        <f ca="1">IF(BZ251=1,IF(模拟模式!$P$16="10人团",15,0)+IF(模拟模式!$P$16="25人团",IF(RAND()&lt;0.6,15,0)),MAX(0,CB250-$F$4))</f>
        <v>0</v>
      </c>
      <c r="CC251" s="115" t="b">
        <f t="shared" ca="1" si="195"/>
        <v>0</v>
      </c>
      <c r="CD251" s="115">
        <f>IF(模拟模式!$Q$16="1个",IF(B251/40&gt;CE250,1,0),0)</f>
        <v>0</v>
      </c>
      <c r="CE251" s="115">
        <f t="shared" si="196"/>
        <v>0</v>
      </c>
      <c r="CF251" s="115">
        <f>IF(OR(CD251=1,模拟模式!$Q$16="2个"),20,MAX(0,CF250-$F$4))</f>
        <v>0</v>
      </c>
      <c r="CG251" s="115" t="b">
        <f t="shared" si="197"/>
        <v>0</v>
      </c>
      <c r="CH251" s="115">
        <f t="shared" ca="1" si="228"/>
        <v>24.465000000000003</v>
      </c>
      <c r="CI251" s="115" t="b">
        <f t="shared" ca="1" si="229"/>
        <v>0</v>
      </c>
      <c r="CJ251" s="119">
        <f t="shared" ca="1" si="230"/>
        <v>0.05</v>
      </c>
      <c r="CK251" s="115">
        <f t="shared" ca="1" si="231"/>
        <v>2.464999999999999</v>
      </c>
      <c r="CL251" s="115" t="b">
        <f ca="1">AND(模拟模式!$S$7="驱夷逐法",OR(AND(C251="净世破魔击·月",E250&gt;59),AND(C251="净世破魔击·日",F250&gt;59)))</f>
        <v>0</v>
      </c>
      <c r="CM251" s="115" t="b">
        <f ca="1">OR(CL251,AND(C251="净世破魔击·日",CL250,RAND()&lt;模拟模式!$U$23))</f>
        <v>1</v>
      </c>
      <c r="CN251" s="115" t="b">
        <f ca="1">IF(模拟模式!$M$7="辉耀红尘",AND(C251="净世破魔击·月",CL251,CV251=0,E250&lt;80),AND(C251="净世破魔击·月",CL251,E250&lt;100))</f>
        <v>0</v>
      </c>
      <c r="CO251" s="115" t="b">
        <f t="shared" ca="1" si="204"/>
        <v>0</v>
      </c>
      <c r="CP251" s="115" t="b">
        <f ca="1">AND(模拟模式!$O$7="用晦而明",OR(C251="净世破魔击·日",C251="净世破魔击·月",C251="驱夜断愁"),AB251)</f>
        <v>1</v>
      </c>
      <c r="CQ251" s="115" t="b">
        <f ca="1">OR(CP251,AND(CP250,RAND()&lt;模拟模式!$U$23))</f>
        <v>1</v>
      </c>
      <c r="CR251" s="115" t="b">
        <f ca="1">AND(模拟模式!$S$7="日月齐光",OR(C251="幽月轮1",C251="幽月轮2",C251="幽月轮3",CR250),NOT(OR(C251="赤日轮1",C251="赤日轮2",C251="赤日轮3")))</f>
        <v>0</v>
      </c>
      <c r="CS251" s="115" t="b">
        <f ca="1">AND(模拟模式!$S$7="日月齐光",OR(C251="赤日轮1",C251="赤日轮2",C251="赤日轮3",CS250),NOT(OR(C251="幽月轮1",C251="幽月轮2",C251="幽月轮3")))</f>
        <v>0</v>
      </c>
      <c r="CT251" s="115">
        <f t="shared" ca="1" si="232"/>
        <v>0</v>
      </c>
      <c r="CU251" s="115" t="b">
        <f ca="1">AND(模拟模式!$K$10="阴阳往极",CT250=0,RAND()&lt;IF(C251="净世破魔击·月",0.0275*7/3,IF(C251="净世破魔击·日",0.0275*3/3,0.0275*2/3)))</f>
        <v>0</v>
      </c>
      <c r="CV251" s="115">
        <f t="shared" ca="1" si="233"/>
        <v>0</v>
      </c>
      <c r="CW251" s="115">
        <f t="shared" ca="1" si="205"/>
        <v>3.2324999999999995</v>
      </c>
      <c r="CX251" s="115">
        <f t="shared" ca="1" si="206"/>
        <v>1.3874999999999997</v>
      </c>
      <c r="CY251" s="115">
        <f ca="1">MAX(IF($C251="驱夜断愁",IF(模拟模式!$R$7="万念俱寂",6,45),CY250-$F$4),0)</f>
        <v>2.3099999999999996</v>
      </c>
      <c r="CZ251" s="115">
        <f t="shared" ca="1" si="207"/>
        <v>0</v>
      </c>
      <c r="DA251" s="115">
        <f ca="1">IF(模拟模式!$N$7="日月同辉",IF(DB250=2,0,MIN(6,IF(AND(OR(C251="赤日轮1",C251="赤日轮2",C251="赤日轮3",C251="幽月轮1",C251="幽月轮2",C251="幽月轮3"),AB251=1),DA250+1,DA250))),0)</f>
        <v>3</v>
      </c>
      <c r="DB251" s="115">
        <f t="shared" ca="1" si="208"/>
        <v>0</v>
      </c>
      <c r="DC251" s="115"/>
      <c r="DD251" s="115"/>
      <c r="DE251" s="115"/>
      <c r="DF251" s="115"/>
      <c r="DG251" s="115"/>
      <c r="DH251" s="115"/>
      <c r="DI251" s="115"/>
      <c r="DJ251" s="115"/>
      <c r="DK251" s="115"/>
      <c r="DL251" s="115"/>
      <c r="DM251" s="115"/>
    </row>
    <row r="252" spans="2:117" x14ac:dyDescent="0.2">
      <c r="B252" s="117">
        <f t="shared" si="209"/>
        <v>207.56250000000111</v>
      </c>
      <c r="C252" s="167" t="str">
        <f t="shared" ca="1" si="202"/>
        <v>赤日轮1</v>
      </c>
      <c r="D252" s="115">
        <f ca="1">IF(C252="赤日轮1",1,IF(C252="赤日轮2",2,IF(C252="赤日轮3",3,IF(C252="幽月轮1",4,IF(C252="幽月轮2",5,IF(C252="幽月轮3",6,IF(C252="烈日斩",7,IF(C252="银月斩",8,IF(C252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252="净世破魔击·月",17,IF(C252="驱夜断愁",18,0)))))))))))</f>
        <v>1</v>
      </c>
      <c r="E252" s="115">
        <f ca="1">IF(AND(CU252,OR(C252="幽月轮1",C252="幽月轮2",C252="幽月轮3",C252="银月斩",C252="驱夜断愁",C252="净世破魔击·月")),100,MIN(IF(OR(CN252,BE252),0,IF(OR($C252="赤日轮1",$C252="赤日轮2",$C252="赤日轮3"),E251+20+IF(模拟模式!$I$7="日月凌天",4,0)+IF(CR251,20,0),IF($C252="烈日斩",E251+40,IF($C252="驱夜断愁",IF(模拟模式!$R$7="万念俱寂",E251+20,E251+60),IF($C252="净世破魔击·月",IF(OR(DB251&gt;0,CV251&gt;0),100,IF(模拟模式!$M$7="辉耀红尘",E251+20,E251)),IF($C252="净世破魔击·日",E251-100,E251)))))),100))</f>
        <v>20</v>
      </c>
      <c r="F252" s="115">
        <f ca="1">IF(AND(CU252,OR(C252="赤日轮1",C252="赤日轮2",C252="赤日轮3",C252="烈日斩",C252="净世破魔击·日")),100,MIN(IF(CO252,0,IF(OR($C252="幽月轮1",$C252="幽月轮2",$C252="幽月轮3"),F251+20+IF(模拟模式!$I$7="日月凌天",4,0)+IF(CS251,20,0),IF($C252="银月斩",F251+40+IF(模拟模式!$X$12=1,5,0),IF($C252="驱夜断愁",IF(模拟模式!$R$7="万念俱寂",F251+20,F251+60),IF($C252="净世破魔击·月",IF(模拟模式!$M$7="辉耀红尘",F251-80,F251-100),IF(AND(C252="净世破魔击·日",OR(DB251&gt;0,CV251&gt;0)),100,F251)))))),100))</f>
        <v>100</v>
      </c>
      <c r="G252" s="117">
        <f ca="1">('模拟-全程加成'!$E$3+'模拟-全程加成'!$E$4+'模拟-全程加成'!$E$5+('模拟-全程加成'!$C$6-'模拟-全程加成'!$C$3)*系数!$B$9+BS252*23)*(1+'模拟-全程加成'!$F$4+'模拟-全程加成'!$F$5+BJ252*10%+BM252*20%+BP252*4%+CG252*30%)+$F$7*系数!$B$12</f>
        <v>21493.829400000002</v>
      </c>
      <c r="H252" s="45">
        <f ca="1">'模拟-全程加成'!$H$3+'模拟-全程加成'!$H$4+'模拟-全程加成'!$H$5+('模拟-全程加成'!$G$4+'模拟-全程加成'!$G$5+('模拟-全程加成'!$C$6-'模拟-全程加成'!$C$3)*系数!$B$13)/系数!$B$3+LOOKUP(D252,'模拟-单技能数据'!$A$2:$A$19,'模拟-单技能数据'!$K$2:$K$19)+BG252*10%+IF(BV252&gt;0,378,0)</f>
        <v>0.4618514552730022</v>
      </c>
      <c r="I252" s="45">
        <f ca="1">'模拟-全程加成'!$J$3+'模拟-全程加成'!$J$4+'模拟-全程加成'!$J$5+('模拟-全程加成'!$I$4+'模拟-全程加成'!$I$5)/系数!$B$4+LOOKUP(D252,'模拟-单技能数据'!$A$2:$A$19,'模拟-单技能数据'!$L$2:$L$19)+BG252*10%</f>
        <v>2.162482885499879</v>
      </c>
      <c r="J252" s="45">
        <f ca="1">(('模拟-全程加成'!$K$3+'模拟-全程加成'!$K$4+'模拟-全程加成'!$K$5+('模拟-全程加成'!$C$6-'模拟-全程加成'!$C$3)*系数!$B$10+IF(BV252&gt;0,882,0)+IF(BY252&gt;0,1831,0))*(1+'模拟-全程加成'!$L$4+'模拟-全程加成'!$L$5+CC252*20%))/系数!$B$5</f>
        <v>0.69723220422048726</v>
      </c>
      <c r="K252" s="119">
        <f ca="1">LOOKUP(D252,'模拟-单技能数据'!$A$2:$A$19,'模拟-单技能数据'!$J$2:$J$19)+IF(CM252,60%,0)+IF(DB251-DB252&gt;0,30%,0)+IF(OR(AND(OR(C252="赤日轮1",C252="赤日轮2",C252="赤日轮3"),CR252),AND(OR(C252="幽月轮1",C252="幽月轮2",C252="幽月轮3"),CS252)),35%,0)+CJ252</f>
        <v>0.16999999999999998</v>
      </c>
      <c r="L252" s="119">
        <f ca="1">IF(AND(C252="烈日斩",模拟模式!$X$11=1),10%,0)+IF(AND(C252="驱夜断愁",AB252=1),30%,0)</f>
        <v>0</v>
      </c>
      <c r="M252" s="45">
        <f t="shared" ca="1" si="185"/>
        <v>0.4618514552730022</v>
      </c>
      <c r="N252" s="45">
        <f t="shared" ca="1" si="186"/>
        <v>0.48424854472699785</v>
      </c>
      <c r="O252" s="46">
        <f t="shared" ca="1" si="210"/>
        <v>0.56772850464435021</v>
      </c>
      <c r="P252" s="46" t="str">
        <f t="shared" ca="1" si="211"/>
        <v>命</v>
      </c>
      <c r="Q252" s="45">
        <f t="shared" ca="1" si="212"/>
        <v>1</v>
      </c>
      <c r="R252" s="117">
        <f ca="1">模拟模式!$E$20*(1-IF(模拟模式!$J$19="有",0.15,0))*(1-IF(模拟模式!$K$19="有",0.3,0)-IF(CQ252,0.5,0))</f>
        <v>843.02999999999975</v>
      </c>
      <c r="S252" s="45">
        <f ca="1">R252/(R252+(185*模拟模式!$E$22-16800)*4.08224)</f>
        <v>8.389626085980037E-2</v>
      </c>
      <c r="T252" s="45" t="str">
        <f ca="1">LOOKUP(D252,'模拟-单技能数据'!$A$2:$A$19,'模拟-单技能数据'!$H$2:$H$19)</f>
        <v>阳</v>
      </c>
      <c r="U252" s="119">
        <f t="shared" ca="1" si="187"/>
        <v>0.2</v>
      </c>
      <c r="V252" s="47">
        <f ca="1">(1+L252)*(LOOKUP(D252,'模拟-单技能数据'!$A$2:$A$19,'模拟-单技能数据'!$D$2:$D$19)+G252*LOOKUP(D252,'模拟-单技能数据'!$A$2:$A$19,'模拟-单技能数据'!$F$2:$F$19))*(1+J252)*(1+K252)*(1-S252)*(1+U252)*Q252*LOOKUP(D252,'模拟-单技能数据'!$A$2:$A$19,'模拟-单技能数据'!$I$2:$I$20)</f>
        <v>27469.690007533645</v>
      </c>
      <c r="W252" s="47">
        <f ca="1">LOOKUP(D252,'模拟-单技能数据'!$A$2:$A$19,'模拟-单技能数据'!$G$2:$G$19)*$I$10</f>
        <v>361.51064354704795</v>
      </c>
      <c r="X252" s="47">
        <f t="shared" ca="1" si="213"/>
        <v>0</v>
      </c>
      <c r="Y252" s="47">
        <f t="shared" ca="1" si="188"/>
        <v>27831.200651080693</v>
      </c>
      <c r="Z252" s="49">
        <f t="shared" ca="1" si="189"/>
        <v>23955316.032309979</v>
      </c>
      <c r="AA252" s="97">
        <f t="shared" ca="1" si="190"/>
        <v>115412.54336553978</v>
      </c>
      <c r="AB252" s="115">
        <f ca="1">IF(OR(C252="赤日轮1",C252="赤日轮2",C252="赤日轮3"),IF(RAND()&lt;模拟模式!$Y$17,1,0),IF(OR(C252="幽月轮1",C252="幽月轮2",C252="幽月轮3"),IF(RAND()&lt;模拟模式!$Y$18,1,0),IF(C252="烈日斩",IF(RAND()&lt;模拟模式!$Y$19,1,0),IF(C252="银月斩",IF(RAND()&lt;模拟模式!$Y$20,1,0),IF(C252="驱夜断愁",IF(RAND()&lt;模拟模式!$Y$21,1,0),IF(C252="净世破魔击·日",IF(RAND()&lt;模拟模式!$Y$22,1,0),IF(C252="净世破魔击·月",IF(RAND()&lt;模拟模式!$Y$23,1,0),0)))))))</f>
        <v>1</v>
      </c>
      <c r="AC252" s="115" t="b">
        <f t="shared" ca="1" si="178"/>
        <v>0</v>
      </c>
      <c r="AD252" s="115" t="b">
        <f t="shared" ca="1" si="198"/>
        <v>0</v>
      </c>
      <c r="AE252" s="115">
        <f t="shared" ca="1" si="199"/>
        <v>3</v>
      </c>
      <c r="AF252" s="47">
        <f ca="1">IF(AC252,('模拟-单技能数据'!$D$20+G252*'模拟-单技能数据'!$F$20)*(1+J252)*(1+'模拟-单技能数据'!$J$20)*(1+U252),0)</f>
        <v>0</v>
      </c>
      <c r="AG252" s="61">
        <f t="shared" ca="1" si="191"/>
        <v>0.64185145527300214</v>
      </c>
      <c r="AH252" s="61">
        <f t="shared" ca="1" si="192"/>
        <v>2.2624828854998791</v>
      </c>
      <c r="AI252" s="62">
        <f t="shared" ca="1" si="214"/>
        <v>0.11068752324739572</v>
      </c>
      <c r="AJ252" s="47">
        <f ca="1">IF(AD252,IF(AI252&lt;$F$10,0,IF(AI252&lt;$F$10+$F$11,0.25,IF(AI252&lt;$F$10+$F$11+AG252,AH252,1)))*IF(AF252&gt;0,AF252,IF(AF251&gt;0,AF251,IF(AF250&gt;0,AF250,IF(AF249&gt;0,AF249,IF(AF248&gt;0,AF248,IF(AF247&gt;0,AF247,IF(AF246&gt;0,AF246,IF(AF245&gt;0,AF245,IF(AF244&gt;0,AF244,IF(AF242&gt;0,AF242,IF(AF241&gt;0,AF241,IF(AF240&gt;0,AF240,0)))))))))))),0)*(1-$S252)*'模拟-单技能数据'!$I$20</f>
        <v>0</v>
      </c>
      <c r="AK252" s="115" t="b">
        <f t="shared" ca="1" si="179"/>
        <v>0</v>
      </c>
      <c r="AL252" s="115" t="b">
        <f t="shared" ca="1" si="200"/>
        <v>0</v>
      </c>
      <c r="AM252" s="115">
        <f t="shared" ca="1" si="201"/>
        <v>5</v>
      </c>
      <c r="AN252" s="47">
        <f ca="1">IF(AK252,('模拟-单技能数据'!$D$21+G252*'模拟-单技能数据'!$F$21)*(1+J252)*(1+'模拟-单技能数据'!$J$21)*(1+U252),0)</f>
        <v>0</v>
      </c>
      <c r="AO252" s="61">
        <f ca="1">IF(AN252&gt;0,M252-'模拟-单技能数据'!$K$10,AO251)</f>
        <v>0.42185145527300216</v>
      </c>
      <c r="AP252" s="61">
        <f ca="1">IF(AN252&gt;0,I252-'模拟-单技能数据'!$L$10,AP251)</f>
        <v>2.162482885499879</v>
      </c>
      <c r="AQ252" s="63">
        <f t="shared" ca="1" si="215"/>
        <v>0.77090992531956692</v>
      </c>
      <c r="AR252" s="64">
        <f ca="1">IF(AL252,IF(AQ252&lt;$F$10,0,IF(AQ252&lt;$F$10+$F$11,0.25,IF(AQ252&lt;$F$10+$F$11+AO252,AP252,1)))*IF(AN252&gt;0,AN252,IF(AN251&gt;0,AN251,IF(AN250&gt;0,AN250,IF(AN249&gt;0,AN249,IF(AN248&gt;0,AN248,IF(AN247&gt;0,AN247,IF(AN246&gt;0,AN246,IF(AN245&gt;0,AN245,IF(AN244&gt;0,AN244,IF(AN242&gt;0,AN242,IF(AN241&gt;0,AN241,IF(AN240&gt;0,AN240,0)))))))))))),0)*(1-$S252)*'模拟-单技能数据'!$I$21</f>
        <v>0</v>
      </c>
      <c r="AS252" s="61">
        <f ca="1">IF(OR(C252="净世破魔击·日",C252="净世破魔击·月"),M252-'模拟-单技能数据'!$K$10,0)</f>
        <v>0</v>
      </c>
      <c r="AT252" s="61">
        <f ca="1">IF(OR(C252="净世破魔击·日",C252="净世破魔击·月"),I252-'模拟-单技能数据'!$L$10,0)</f>
        <v>0</v>
      </c>
      <c r="AU252" s="62">
        <f t="shared" ca="1" si="216"/>
        <v>0.64163724662434407</v>
      </c>
      <c r="AV252" s="64">
        <f ca="1">IF(AS252&gt;0,('模拟-单技能数据'!$D$22+G252*'模拟-单技能数据'!$F$22)*(1+J252)*(1-S252)*IF(AU252&lt;$F$10,0,IF(AU252&lt;$F$10+$F$11,0.25,IF(AU252&lt;$F$10+$F$11+AS252,AT252,1)))*(1+U252),0)*'模拟-单技能数据'!$I$22</f>
        <v>0</v>
      </c>
      <c r="AW252" s="108">
        <f t="shared" ca="1" si="217"/>
        <v>8.0075000000000074</v>
      </c>
      <c r="AX252" s="108" t="b">
        <f ca="1">AND(模拟模式!$P$10="有",AW251=0,RAND()&lt;IF(C252="净世破魔击·月",0.1*8/3,IF(C252="净世破魔击·日",0.1*4/3,0.1*2/3)))</f>
        <v>0</v>
      </c>
      <c r="AY252" s="47">
        <f ca="1">IF(AX252,(18+G252*0.722)*(1+J252)*(1-S252)*(1+$I$4)*IF(P252="会",'模拟-全程加成'!$J$3+'模拟-全程加成'!$J$4+'模拟-全程加成'!$J$5+('模拟-全程加成'!$I$4+'模拟-全程加成'!$I$5)/系数!$B$4+BG252*10%,IF(P252="命",1,IF(P252="识",0.25,0))),0)</f>
        <v>0</v>
      </c>
      <c r="AZ252" s="108">
        <f t="shared" si="218"/>
        <v>15.387500000000003</v>
      </c>
      <c r="BA252" s="108" t="b">
        <f>AND(模拟模式!$Q$10="有",AZ251=0)</f>
        <v>0</v>
      </c>
      <c r="BB252" s="140">
        <f>IF(BA252,(0+G252*0.287)*(1+J252)*(1-S252)*(1+$I$4)*IF(P252="会",'模拟-全程加成'!$J$3+'模拟-全程加成'!$J$4+'模拟-全程加成'!$J$5+('模拟-全程加成'!$I$4+'模拟-全程加成'!$I$5)/系数!$B$4+BG252*10%,IF(P252="命",1,IF(P252="识",0.25,0))),0)</f>
        <v>0</v>
      </c>
      <c r="BC252" s="115" t="b">
        <f ca="1">AND(模拟模式!$R$7="伏明众生",E252=60,F252=20,DA252&lt;5,CZ251&lt;$F$4)</f>
        <v>0</v>
      </c>
      <c r="BD252" s="115">
        <f t="shared" ca="1" si="180"/>
        <v>0</v>
      </c>
      <c r="BE252" s="115" t="b">
        <f t="shared" ca="1" si="181"/>
        <v>0</v>
      </c>
      <c r="BF252" s="47">
        <f ca="1">IF(BC252,4*('模拟-单技能数据'!$D$24+G252*'模拟-单技能数据'!$F$24)*(1+J252)*(1+'模拟-单技能数据'!$J$24)*(1-S252)*(1+$I$3)*(('模拟-全程加成'!$J$3+'模拟-全程加成'!$J$4+'模拟-全程加成'!$J$5+('模拟-全程加成'!$I$4+'模拟-全程加成'!$I$5)/系数!$B$4+BG252*10%)*('模拟-全程加成'!$J$3+'模拟-全程加成'!$J$4+'模拟-全程加成'!$J$5+('模拟-全程加成'!$I$4+'模拟-全程加成'!$I$5)/系数!$B$4+BG252*10%)+(1-('模拟-全程加成'!$J$3+'模拟-全程加成'!$J$4+'模拟-全程加成'!$J$5+('模拟-全程加成'!$I$4+'模拟-全程加成'!$I$5)/系数!$B$4+BG252*10%)-$F$10-$F$11)+F238*0.25),0)*'模拟-单技能数据'!$I$24</f>
        <v>0</v>
      </c>
      <c r="BG252" s="115" t="b">
        <f ca="1">OR(AND(OR(C252="烈日斩",C252="银月斩"),模拟模式!$I$7="净身明礼"),AND(C252="净世破魔击·日",模拟模式!$J$7="洞若观火"),AND(C253="净世破魔击·月",模拟模式!$J$7="洞若观火"),AB252=1)</f>
        <v>1</v>
      </c>
      <c r="BH252" s="115" t="b">
        <f t="shared" ca="1" si="219"/>
        <v>0</v>
      </c>
      <c r="BI252" s="115">
        <f t="shared" ca="1" si="182"/>
        <v>4.1549999999999994</v>
      </c>
      <c r="BJ252" s="115" t="b">
        <f t="shared" ca="1" si="193"/>
        <v>1</v>
      </c>
      <c r="BK252" s="115" t="b">
        <f ca="1">AND(C252="驱夜断愁",模拟模式!$P$7="天地诛戮")</f>
        <v>0</v>
      </c>
      <c r="BL252" s="57">
        <f t="shared" ca="1" si="183"/>
        <v>15.387500000000003</v>
      </c>
      <c r="BM252" s="115" t="b">
        <f t="shared" ca="1" si="194"/>
        <v>1</v>
      </c>
      <c r="BN252" s="115" t="b">
        <f ca="1">AND(OR(C252="赤日轮1",C252="赤日轮2",C252="赤日轮3",C252="幽月轮1",C252="幽月轮2",C252="幽月轮3"),AB252=1,模拟模式!$L$7="明光恒照")</f>
        <v>1</v>
      </c>
      <c r="BO252" s="117">
        <f t="shared" ca="1" si="184"/>
        <v>30</v>
      </c>
      <c r="BP252" s="115">
        <f t="shared" ca="1" si="220"/>
        <v>6</v>
      </c>
      <c r="BQ252" s="115" t="b">
        <f>模拟模式!$K$10="2600·水"</f>
        <v>0</v>
      </c>
      <c r="BR252" s="117">
        <f t="shared" si="221"/>
        <v>0</v>
      </c>
      <c r="BS252" s="115">
        <f t="shared" si="222"/>
        <v>0</v>
      </c>
      <c r="BT252" s="115">
        <f t="shared" ca="1" si="223"/>
        <v>0</v>
      </c>
      <c r="BU252" s="115" t="b">
        <f ca="1">AND(模拟模式!$K$10="2300·雷",BT251=0,RAND()&lt;IF(C252="净世破魔击·月",5*0.05*2/3,IF(C252="净世破魔击·日",3*0.05*2/3,0.05*2*2/3)))</f>
        <v>0</v>
      </c>
      <c r="BV252" s="115">
        <f t="shared" ca="1" si="224"/>
        <v>0</v>
      </c>
      <c r="BW252" s="115">
        <f t="shared" ca="1" si="225"/>
        <v>164.31749999999977</v>
      </c>
      <c r="BX252" s="164" t="b">
        <f t="shared" ca="1" si="226"/>
        <v>0</v>
      </c>
      <c r="BY252" s="115">
        <f t="shared" ca="1" si="227"/>
        <v>0</v>
      </c>
      <c r="BZ252" s="115">
        <f>IF(OR(模拟模式!$P$16="10人团",模拟模式!$P$16="25人团"),IF(B252/30&gt;CA251,1,0),0)</f>
        <v>0</v>
      </c>
      <c r="CA252" s="115">
        <f t="shared" si="203"/>
        <v>0</v>
      </c>
      <c r="CB252" s="115">
        <f ca="1">IF(BZ252=1,IF(模拟模式!$P$16="10人团",15,0)+IF(模拟模式!$P$16="25人团",IF(RAND()&lt;0.6,15,0)),MAX(0,CB251-$F$4))</f>
        <v>0</v>
      </c>
      <c r="CC252" s="115" t="b">
        <f t="shared" ca="1" si="195"/>
        <v>0</v>
      </c>
      <c r="CD252" s="115">
        <f>IF(模拟模式!$Q$16="1个",IF(B252/40&gt;CE251,1,0),0)</f>
        <v>0</v>
      </c>
      <c r="CE252" s="115">
        <f t="shared" si="196"/>
        <v>0</v>
      </c>
      <c r="CF252" s="115">
        <f>IF(OR(CD252=1,模拟模式!$Q$16="2个"),20,MAX(0,CF251-$F$4))</f>
        <v>0</v>
      </c>
      <c r="CG252" s="115" t="b">
        <f t="shared" si="197"/>
        <v>0</v>
      </c>
      <c r="CH252" s="115">
        <f t="shared" ca="1" si="228"/>
        <v>23.542500000000004</v>
      </c>
      <c r="CI252" s="115" t="b">
        <f t="shared" ca="1" si="229"/>
        <v>0</v>
      </c>
      <c r="CJ252" s="119">
        <f t="shared" ca="1" si="230"/>
        <v>0.05</v>
      </c>
      <c r="CK252" s="115">
        <f t="shared" ca="1" si="231"/>
        <v>1.5424999999999991</v>
      </c>
      <c r="CL252" s="115" t="b">
        <f ca="1">AND(模拟模式!$S$7="驱夷逐法",OR(AND(C252="净世破魔击·月",E251&gt;59),AND(C252="净世破魔击·日",F251&gt;59)))</f>
        <v>0</v>
      </c>
      <c r="CM252" s="115" t="b">
        <f ca="1">OR(CL252,AND(C252="净世破魔击·日",CL251,RAND()&lt;模拟模式!$U$23))</f>
        <v>0</v>
      </c>
      <c r="CN252" s="115" t="b">
        <f ca="1">IF(模拟模式!$M$7="辉耀红尘",AND(C252="净世破魔击·月",CL252,CV252=0,E251&lt;80),AND(C252="净世破魔击·月",CL252,E251&lt;100))</f>
        <v>0</v>
      </c>
      <c r="CO252" s="115" t="b">
        <f t="shared" ca="1" si="204"/>
        <v>0</v>
      </c>
      <c r="CP252" s="115" t="b">
        <f ca="1">AND(模拟模式!$O$7="用晦而明",OR(C252="净世破魔击·日",C252="净世破魔击·月",C252="驱夜断愁"),AB252)</f>
        <v>0</v>
      </c>
      <c r="CQ252" s="115" t="b">
        <f ca="1">OR(CP252,AND(CP251,RAND()&lt;模拟模式!$U$23))</f>
        <v>1</v>
      </c>
      <c r="CR252" s="115" t="b">
        <f ca="1">AND(模拟模式!$S$7="日月齐光",OR(C252="幽月轮1",C252="幽月轮2",C252="幽月轮3",CR251),NOT(OR(C252="赤日轮1",C252="赤日轮2",C252="赤日轮3")))</f>
        <v>0</v>
      </c>
      <c r="CS252" s="115" t="b">
        <f ca="1">AND(模拟模式!$S$7="日月齐光",OR(C252="赤日轮1",C252="赤日轮2",C252="赤日轮3",CS251),NOT(OR(C252="幽月轮1",C252="幽月轮2",C252="幽月轮3")))</f>
        <v>0</v>
      </c>
      <c r="CT252" s="115">
        <f t="shared" ca="1" si="232"/>
        <v>30</v>
      </c>
      <c r="CU252" s="115" t="b">
        <f ca="1">AND(模拟模式!$K$10="阴阳往极",CT251=0,RAND()&lt;IF(C252="净世破魔击·月",0.0275*7/3,IF(C252="净世破魔击·日",0.0275*3/3,0.0275*2/3)))</f>
        <v>1</v>
      </c>
      <c r="CV252" s="115">
        <f t="shared" ca="1" si="233"/>
        <v>4.0774999999999997</v>
      </c>
      <c r="CW252" s="115">
        <f t="shared" ca="1" si="205"/>
        <v>2.3099999999999996</v>
      </c>
      <c r="CX252" s="115">
        <f t="shared" ca="1" si="206"/>
        <v>0.46499999999999975</v>
      </c>
      <c r="CY252" s="115">
        <f ca="1">MAX(IF($C252="驱夜断愁",IF(模拟模式!$R$7="万念俱寂",6,45),CY251-$F$4),0)</f>
        <v>1.3874999999999997</v>
      </c>
      <c r="CZ252" s="115">
        <f t="shared" ca="1" si="207"/>
        <v>0</v>
      </c>
      <c r="DA252" s="115">
        <f ca="1">IF(模拟模式!$N$7="日月同辉",IF(DB251=2,0,MIN(6,IF(AND(OR(C252="赤日轮1",C252="赤日轮2",C252="赤日轮3",C252="幽月轮1",C252="幽月轮2",C252="幽月轮3"),AB252=1),DA251+1,DA251))),0)</f>
        <v>4</v>
      </c>
      <c r="DB252" s="115">
        <f t="shared" ca="1" si="208"/>
        <v>0</v>
      </c>
      <c r="DC252" s="115"/>
      <c r="DD252" s="115"/>
      <c r="DE252" s="115"/>
      <c r="DF252" s="115"/>
      <c r="DG252" s="115"/>
      <c r="DH252" s="115"/>
      <c r="DI252" s="115"/>
      <c r="DJ252" s="115"/>
      <c r="DK252" s="115"/>
      <c r="DL252" s="115"/>
      <c r="DM252" s="115"/>
    </row>
    <row r="253" spans="2:117" x14ac:dyDescent="0.2">
      <c r="B253" s="117">
        <f t="shared" si="209"/>
        <v>208.48500000000112</v>
      </c>
      <c r="C253" s="167" t="str">
        <f t="shared" ca="1" si="202"/>
        <v>净世破魔击·月</v>
      </c>
      <c r="D253" s="115">
        <f ca="1">IF(C253="赤日轮1",1,IF(C253="赤日轮2",2,IF(C253="赤日轮3",3,IF(C253="幽月轮1",4,IF(C253="幽月轮2",5,IF(C253="幽月轮3",6,IF(C253="烈日斩",7,IF(C253="银月斩",8,IF(C253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253="净世破魔击·月",17,IF(C253="驱夜断愁",18,0)))))))))))</f>
        <v>17</v>
      </c>
      <c r="E253" s="115">
        <f ca="1">IF(AND(CU253,OR(C253="幽月轮1",C253="幽月轮2",C253="幽月轮3",C253="银月斩",C253="驱夜断愁",C253="净世破魔击·月")),100,MIN(IF(OR(CN253,BE253),0,IF(OR($C253="赤日轮1",$C253="赤日轮2",$C253="赤日轮3"),E252+20+IF(模拟模式!$I$7="日月凌天",4,0)+IF(CR252,20,0),IF($C253="烈日斩",E252+40,IF($C253="驱夜断愁",IF(模拟模式!$R$7="万念俱寂",E252+20,E252+60),IF($C253="净世破魔击·月",IF(OR(DB252&gt;0,CV252&gt;0),100,IF(模拟模式!$M$7="辉耀红尘",E252+20,E252)),IF($C253="净世破魔击·日",E252-100,E252)))))),100))</f>
        <v>100</v>
      </c>
      <c r="F253" s="115">
        <f ca="1">IF(AND(CU253,OR(C253="赤日轮1",C253="赤日轮2",C253="赤日轮3",C253="烈日斩",C253="净世破魔击·日")),100,MIN(IF(CO253,0,IF(OR($C253="幽月轮1",$C253="幽月轮2",$C253="幽月轮3"),F252+20+IF(模拟模式!$I$7="日月凌天",4,0)+IF(CS252,20,0),IF($C253="银月斩",F252+40+IF(模拟模式!$X$12=1,5,0),IF($C253="驱夜断愁",IF(模拟模式!$R$7="万念俱寂",F252+20,F252+60),IF($C253="净世破魔击·月",IF(模拟模式!$M$7="辉耀红尘",F252-80,F252-100),IF(AND(C253="净世破魔击·日",OR(DB252&gt;0,CV252&gt;0)),100,F252)))))),100))</f>
        <v>20</v>
      </c>
      <c r="G253" s="117">
        <f ca="1">('模拟-全程加成'!$E$3+'模拟-全程加成'!$E$4+'模拟-全程加成'!$E$5+('模拟-全程加成'!$C$6-'模拟-全程加成'!$C$3)*系数!$B$9+BS253*23)*(1+'模拟-全程加成'!$F$4+'模拟-全程加成'!$F$5+BJ253*10%+BM253*20%+BP253*4%+CG253*30%)+$F$7*系数!$B$12</f>
        <v>21493.829400000002</v>
      </c>
      <c r="H253" s="45">
        <f ca="1">'模拟-全程加成'!$H$3+'模拟-全程加成'!$H$4+'模拟-全程加成'!$H$5+('模拟-全程加成'!$G$4+'模拟-全程加成'!$G$5+('模拟-全程加成'!$C$6-'模拟-全程加成'!$C$3)*系数!$B$13)/系数!$B$3+LOOKUP(D253,'模拟-单技能数据'!$A$2:$A$19,'模拟-单技能数据'!$K$2:$K$19)+BG253*10%+IF(BV253&gt;0,378,0)</f>
        <v>0.54185145527300216</v>
      </c>
      <c r="I253" s="45">
        <f ca="1">'模拟-全程加成'!$J$3+'模拟-全程加成'!$J$4+'模拟-全程加成'!$J$5+('模拟-全程加成'!$I$4+'模拟-全程加成'!$I$5)/系数!$B$4+LOOKUP(D253,'模拟-单技能数据'!$A$2:$A$19,'模拟-单技能数据'!$L$2:$L$19)+BG253*10%</f>
        <v>2.162482885499879</v>
      </c>
      <c r="J253" s="45">
        <f ca="1">(('模拟-全程加成'!$K$3+'模拟-全程加成'!$K$4+'模拟-全程加成'!$K$5+('模拟-全程加成'!$C$6-'模拟-全程加成'!$C$3)*系数!$B$10+IF(BV253&gt;0,882,0)+IF(BY253&gt;0,1831,0))*(1+'模拟-全程加成'!$L$4+'模拟-全程加成'!$L$5+CC253*20%))/系数!$B$5</f>
        <v>0.69723220422048726</v>
      </c>
      <c r="K253" s="119">
        <f ca="1">LOOKUP(D253,'模拟-单技能数据'!$A$2:$A$19,'模拟-单技能数据'!$J$2:$J$19)+IF(CM253,60%,0)+IF(DB252-DB253&gt;0,30%,0)+IF(OR(AND(OR(C253="赤日轮1",C253="赤日轮2",C253="赤日轮3"),CR253),AND(OR(C253="幽月轮1",C253="幽月轮2",C253="幽月轮3"),CS253)),35%,0)+CJ253</f>
        <v>0.25</v>
      </c>
      <c r="L253" s="119">
        <f ca="1">IF(AND(C253="烈日斩",模拟模式!$X$11=1),10%,0)+IF(AND(C253="驱夜断愁",AB253=1),30%,0)</f>
        <v>0</v>
      </c>
      <c r="M253" s="45">
        <f t="shared" ca="1" si="185"/>
        <v>0.54185145527300216</v>
      </c>
      <c r="N253" s="45">
        <f t="shared" ca="1" si="186"/>
        <v>0.40424854472699789</v>
      </c>
      <c r="O253" s="46">
        <f t="shared" ca="1" si="210"/>
        <v>0.69253293758903633</v>
      </c>
      <c r="P253" s="46" t="str">
        <f t="shared" ca="1" si="211"/>
        <v>命</v>
      </c>
      <c r="Q253" s="45">
        <f t="shared" ca="1" si="212"/>
        <v>1</v>
      </c>
      <c r="R253" s="117">
        <f ca="1">模拟模式!$E$20*(1-IF(模拟模式!$J$19="有",0.15,0))*(1-IF(模拟模式!$K$19="有",0.3,0)-IF(CQ253,0.5,0))</f>
        <v>843.02999999999975</v>
      </c>
      <c r="S253" s="45">
        <f ca="1">R253/(R253+(185*模拟模式!$E$22-16800)*4.08224)</f>
        <v>8.389626085980037E-2</v>
      </c>
      <c r="T253" s="45" t="str">
        <f ca="1">LOOKUP(D253,'模拟-单技能数据'!$A$2:$A$19,'模拟-单技能数据'!$H$2:$H$19)</f>
        <v>阴</v>
      </c>
      <c r="U253" s="119">
        <f t="shared" ca="1" si="187"/>
        <v>0.08</v>
      </c>
      <c r="V253" s="47">
        <f ca="1">(1+L253)*(LOOKUP(D253,'模拟-单技能数据'!$A$2:$A$19,'模拟-单技能数据'!$D$2:$D$19)+G253*LOOKUP(D253,'模拟-单技能数据'!$A$2:$A$19,'模拟-单技能数据'!$F$2:$F$19))*(1+J253)*(1+K253)*(1-S253)*(1+U253)*Q253*LOOKUP(D253,'模拟-单技能数据'!$A$2:$A$19,'模拟-单技能数据'!$I$2:$I$20)</f>
        <v>58619.995440519822</v>
      </c>
      <c r="W253" s="47">
        <f ca="1">LOOKUP(D253,'模拟-单技能数据'!$A$2:$A$19,'模拟-单技能数据'!$G$2:$G$19)*$I$10</f>
        <v>361.51064354704795</v>
      </c>
      <c r="X253" s="47">
        <f t="shared" ca="1" si="213"/>
        <v>39567.426717836861</v>
      </c>
      <c r="Y253" s="47">
        <f t="shared" ca="1" si="188"/>
        <v>98548.932801903735</v>
      </c>
      <c r="Z253" s="49">
        <f t="shared" ca="1" si="189"/>
        <v>24053864.965111881</v>
      </c>
      <c r="AA253" s="97">
        <f t="shared" ca="1" si="190"/>
        <v>115374.55915347268</v>
      </c>
      <c r="AB253" s="115">
        <f ca="1">IF(OR(C253="赤日轮1",C253="赤日轮2",C253="赤日轮3"),IF(RAND()&lt;模拟模式!$Y$17,1,0),IF(OR(C253="幽月轮1",C253="幽月轮2",C253="幽月轮3"),IF(RAND()&lt;模拟模式!$Y$18,1,0),IF(C253="烈日斩",IF(RAND()&lt;模拟模式!$Y$19,1,0),IF(C253="银月斩",IF(RAND()&lt;模拟模式!$Y$20,1,0),IF(C253="驱夜断愁",IF(RAND()&lt;模拟模式!$Y$21,1,0),IF(C253="净世破魔击·日",IF(RAND()&lt;模拟模式!$Y$22,1,0),IF(C253="净世破魔击·月",IF(RAND()&lt;模拟模式!$Y$23,1,0),0)))))))</f>
        <v>1</v>
      </c>
      <c r="AC253" s="115" t="b">
        <f t="shared" ca="1" si="178"/>
        <v>0</v>
      </c>
      <c r="AD253" s="115" t="b">
        <f t="shared" ca="1" si="198"/>
        <v>1</v>
      </c>
      <c r="AE253" s="115">
        <f t="shared" ca="1" si="199"/>
        <v>2</v>
      </c>
      <c r="AF253" s="47">
        <f ca="1">IF(AC253,('模拟-单技能数据'!$D$20+G253*'模拟-单技能数据'!$F$20)*(1+J253)*(1+'模拟-单技能数据'!$J$20)*(1+U253),0)</f>
        <v>0</v>
      </c>
      <c r="AG253" s="61">
        <f t="shared" ca="1" si="191"/>
        <v>0.64185145527300214</v>
      </c>
      <c r="AH253" s="61">
        <f t="shared" ca="1" si="192"/>
        <v>2.2624828854998791</v>
      </c>
      <c r="AI253" s="62">
        <f t="shared" ca="1" si="214"/>
        <v>0.53858315897853315</v>
      </c>
      <c r="AJ253" s="47">
        <f ca="1">IF(AD253,IF(AI253&lt;$F$10,0,IF(AI253&lt;$F$10+$F$11,0.25,IF(AI253&lt;$F$10+$F$11+AG253,AH253,1)))*IF(AF253&gt;0,AF253,IF(AF252&gt;0,AF252,IF(AF251&gt;0,AF251,IF(AF250&gt;0,AF250,IF(AF249&gt;0,AF249,IF(AF248&gt;0,AF248,IF(AF247&gt;0,AF247,IF(AF246&gt;0,AF246,IF(AF245&gt;0,AF245,IF(AF243&gt;0,AF243,IF(AF242&gt;0,AF242,IF(AF241&gt;0,AF241,0)))))))))))),0)*(1-$S253)*'模拟-单技能数据'!$I$20</f>
        <v>10093.953229098464</v>
      </c>
      <c r="AK253" s="115" t="b">
        <f t="shared" ca="1" si="179"/>
        <v>0</v>
      </c>
      <c r="AL253" s="115" t="b">
        <f t="shared" ca="1" si="200"/>
        <v>1</v>
      </c>
      <c r="AM253" s="115">
        <f t="shared" ca="1" si="201"/>
        <v>4</v>
      </c>
      <c r="AN253" s="47">
        <f ca="1">IF(AK253,('模拟-单技能数据'!$D$21+G253*'模拟-单技能数据'!$F$21)*(1+J253)*(1+'模拟-单技能数据'!$J$21)*(1+U253),0)</f>
        <v>0</v>
      </c>
      <c r="AO253" s="61">
        <f ca="1">IF(AN253&gt;0,M253-'模拟-单技能数据'!$K$10,AO252)</f>
        <v>0.42185145527300216</v>
      </c>
      <c r="AP253" s="61">
        <f ca="1">IF(AN253&gt;0,I253-'模拟-单技能数据'!$L$10,AP252)</f>
        <v>2.162482885499879</v>
      </c>
      <c r="AQ253" s="63">
        <f t="shared" ca="1" si="215"/>
        <v>0.25297135027190831</v>
      </c>
      <c r="AR253" s="64">
        <f ca="1">IF(AL253,IF(AQ253&lt;$F$10,0,IF(AQ253&lt;$F$10+$F$11,0.25,IF(AQ253&lt;$F$10+$F$11+AO253,AP253,1)))*IF(AN253&gt;0,AN253,IF(AN252&gt;0,AN252,IF(AN251&gt;0,AN251,IF(AN250&gt;0,AN250,IF(AN249&gt;0,AN249,IF(AN248&gt;0,AN248,IF(AN247&gt;0,AN247,IF(AN246&gt;0,AN246,IF(AN245&gt;0,AN245,IF(AN243&gt;0,AN243,IF(AN242&gt;0,AN242,IF(AN241&gt;0,AN241,0)))))))))))),0)*(1-$S253)*'模拟-单技能数据'!$I$21</f>
        <v>27484.420799395535</v>
      </c>
      <c r="AS253" s="61">
        <f ca="1">IF(OR(C253="净世破魔击·日",C253="净世破魔击·月"),M253-'模拟-单技能数据'!$K$10,0)</f>
        <v>0.42185145527300216</v>
      </c>
      <c r="AT253" s="61">
        <f ca="1">IF(OR(C253="净世破魔击·日",C253="净世破魔击·月"),I253-'模拟-单技能数据'!$L$10,0)</f>
        <v>2.162482885499879</v>
      </c>
      <c r="AU253" s="62">
        <f t="shared" ca="1" si="216"/>
        <v>2.6956494136728626E-2</v>
      </c>
      <c r="AV253" s="64">
        <f ca="1">IF(AS253&gt;0,('模拟-单技能数据'!$D$22+G253*'模拟-单技能数据'!$F$22)*(1+J253)*(1-S253)*IF(AU253&lt;$F$10,0,IF(AU253&lt;$F$10+$F$11,0.25,IF(AU253&lt;$F$10+$F$11+AS253,AT253,1)))*(1+U253),0)*'模拟-单技能数据'!$I$22</f>
        <v>1989.0526893428616</v>
      </c>
      <c r="AW253" s="108">
        <f t="shared" ca="1" si="217"/>
        <v>7.0850000000000071</v>
      </c>
      <c r="AX253" s="108" t="b">
        <f ca="1">AND(模拟模式!$P$10="有",AW252=0,RAND()&lt;IF(C253="净世破魔击·月",0.1*8/3,IF(C253="净世破魔击·日",0.1*4/3,0.1*2/3)))</f>
        <v>0</v>
      </c>
      <c r="AY253" s="47">
        <f ca="1">IF(AX253,(18+G253*0.722)*(1+J253)*(1-S253)*(1+$I$4)*IF(P253="会",'模拟-全程加成'!$J$3+'模拟-全程加成'!$J$4+'模拟-全程加成'!$J$5+('模拟-全程加成'!$I$4+'模拟-全程加成'!$I$5)/系数!$B$4+BG253*10%,IF(P253="命",1,IF(P253="识",0.25,0))),0)</f>
        <v>0</v>
      </c>
      <c r="AZ253" s="108">
        <f t="shared" si="218"/>
        <v>14.465000000000003</v>
      </c>
      <c r="BA253" s="108" t="b">
        <f>AND(模拟模式!$Q$10="有",AZ252=0)</f>
        <v>0</v>
      </c>
      <c r="BB253" s="140">
        <f>IF(BA253,(0+G253*0.287)*(1+J253)*(1-S253)*(1+$I$4)*IF(P253="会",'模拟-全程加成'!$J$3+'模拟-全程加成'!$J$4+'模拟-全程加成'!$J$5+('模拟-全程加成'!$I$4+'模拟-全程加成'!$I$5)/系数!$B$4+BG253*10%,IF(P253="命",1,IF(P253="识",0.25,0))),0)</f>
        <v>0</v>
      </c>
      <c r="BC253" s="115" t="b">
        <f ca="1">AND(模拟模式!$R$7="伏明众生",E253=60,F253=20,DA253&lt;5,CZ252&lt;$F$4)</f>
        <v>0</v>
      </c>
      <c r="BD253" s="115">
        <f t="shared" ca="1" si="180"/>
        <v>0</v>
      </c>
      <c r="BE253" s="115" t="b">
        <f t="shared" ca="1" si="181"/>
        <v>0</v>
      </c>
      <c r="BF253" s="47">
        <f ca="1">IF(BC253,4*('模拟-单技能数据'!$D$24+G253*'模拟-单技能数据'!$F$24)*(1+J253)*(1+'模拟-单技能数据'!$J$24)*(1-S253)*(1+$I$3)*(('模拟-全程加成'!$J$3+'模拟-全程加成'!$J$4+'模拟-全程加成'!$J$5+('模拟-全程加成'!$I$4+'模拟-全程加成'!$I$5)/系数!$B$4+BG253*10%)*('模拟-全程加成'!$J$3+'模拟-全程加成'!$J$4+'模拟-全程加成'!$J$5+('模拟-全程加成'!$I$4+'模拟-全程加成'!$I$5)/系数!$B$4+BG253*10%)+(1-('模拟-全程加成'!$J$3+'模拟-全程加成'!$J$4+'模拟-全程加成'!$J$5+('模拟-全程加成'!$I$4+'模拟-全程加成'!$I$5)/系数!$B$4+BG253*10%)-$F$10-$F$11)+F239*0.25),0)*'模拟-单技能数据'!$I$24</f>
        <v>0</v>
      </c>
      <c r="BG253" s="115" t="b">
        <f ca="1">OR(AND(OR(C253="烈日斩",C253="银月斩"),模拟模式!$I$7="净身明礼"),AND(C253="净世破魔击·日",模拟模式!$J$7="洞若观火"),AND(C254="净世破魔击·月",模拟模式!$J$7="洞若观火"),AB253=1)</f>
        <v>1</v>
      </c>
      <c r="BH253" s="115" t="b">
        <f t="shared" ca="1" si="219"/>
        <v>0</v>
      </c>
      <c r="BI253" s="115">
        <f t="shared" ca="1" si="182"/>
        <v>3.2324999999999995</v>
      </c>
      <c r="BJ253" s="115" t="b">
        <f t="shared" ca="1" si="193"/>
        <v>1</v>
      </c>
      <c r="BK253" s="115" t="b">
        <f ca="1">AND(C253="驱夜断愁",模拟模式!$P$7="天地诛戮")</f>
        <v>0</v>
      </c>
      <c r="BL253" s="57">
        <f t="shared" ca="1" si="183"/>
        <v>14.465000000000003</v>
      </c>
      <c r="BM253" s="115" t="b">
        <f t="shared" ca="1" si="194"/>
        <v>1</v>
      </c>
      <c r="BN253" s="115" t="b">
        <f ca="1">AND(OR(C253="赤日轮1",C253="赤日轮2",C253="赤日轮3",C253="幽月轮1",C253="幽月轮2",C253="幽月轮3"),AB253=1,模拟模式!$L$7="明光恒照")</f>
        <v>0</v>
      </c>
      <c r="BO253" s="117">
        <f t="shared" ca="1" si="184"/>
        <v>29.077500000000001</v>
      </c>
      <c r="BP253" s="115">
        <f t="shared" ca="1" si="220"/>
        <v>6</v>
      </c>
      <c r="BQ253" s="115" t="b">
        <f>模拟模式!$K$10="2600·水"</f>
        <v>0</v>
      </c>
      <c r="BR253" s="117">
        <f t="shared" si="221"/>
        <v>0</v>
      </c>
      <c r="BS253" s="115">
        <f t="shared" si="222"/>
        <v>0</v>
      </c>
      <c r="BT253" s="115">
        <f t="shared" ca="1" si="223"/>
        <v>0</v>
      </c>
      <c r="BU253" s="115" t="b">
        <f ca="1">AND(模拟模式!$K$10="2300·雷",BT252=0,RAND()&lt;IF(C253="净世破魔击·月",5*0.05*2/3,IF(C253="净世破魔击·日",3*0.05*2/3,0.05*2*2/3)))</f>
        <v>0</v>
      </c>
      <c r="BV253" s="115">
        <f t="shared" ca="1" si="224"/>
        <v>0</v>
      </c>
      <c r="BW253" s="115">
        <f t="shared" ca="1" si="225"/>
        <v>163.39499999999975</v>
      </c>
      <c r="BX253" s="164" t="b">
        <f t="shared" ca="1" si="226"/>
        <v>0</v>
      </c>
      <c r="BY253" s="115">
        <f t="shared" ca="1" si="227"/>
        <v>0</v>
      </c>
      <c r="BZ253" s="115">
        <f>IF(OR(模拟模式!$P$16="10人团",模拟模式!$P$16="25人团"),IF(B253/30&gt;CA252,1,0),0)</f>
        <v>0</v>
      </c>
      <c r="CA253" s="115">
        <f t="shared" si="203"/>
        <v>0</v>
      </c>
      <c r="CB253" s="115">
        <f ca="1">IF(BZ253=1,IF(模拟模式!$P$16="10人团",15,0)+IF(模拟模式!$P$16="25人团",IF(RAND()&lt;0.6,15,0)),MAX(0,CB252-$F$4))</f>
        <v>0</v>
      </c>
      <c r="CC253" s="115" t="b">
        <f t="shared" ca="1" si="195"/>
        <v>0</v>
      </c>
      <c r="CD253" s="115">
        <f>IF(模拟模式!$Q$16="1个",IF(B253/40&gt;CE252,1,0),0)</f>
        <v>0</v>
      </c>
      <c r="CE253" s="115">
        <f t="shared" si="196"/>
        <v>0</v>
      </c>
      <c r="CF253" s="115">
        <f>IF(OR(CD253=1,模拟模式!$Q$16="2个"),20,MAX(0,CF252-$F$4))</f>
        <v>0</v>
      </c>
      <c r="CG253" s="115" t="b">
        <f t="shared" si="197"/>
        <v>0</v>
      </c>
      <c r="CH253" s="115">
        <f t="shared" ca="1" si="228"/>
        <v>22.620000000000005</v>
      </c>
      <c r="CI253" s="115" t="b">
        <f t="shared" ca="1" si="229"/>
        <v>0</v>
      </c>
      <c r="CJ253" s="119">
        <f t="shared" ca="1" si="230"/>
        <v>0.05</v>
      </c>
      <c r="CK253" s="115">
        <f t="shared" ca="1" si="231"/>
        <v>0.61999999999999911</v>
      </c>
      <c r="CL253" s="115" t="b">
        <f ca="1">AND(模拟模式!$S$7="驱夷逐法",OR(AND(C253="净世破魔击·月",E252&gt;59),AND(C253="净世破魔击·日",F252&gt;59)))</f>
        <v>0</v>
      </c>
      <c r="CM253" s="115" t="b">
        <f ca="1">OR(CL253,AND(C253="净世破魔击·日",CL252,RAND()&lt;模拟模式!$U$23))</f>
        <v>0</v>
      </c>
      <c r="CN253" s="115" t="b">
        <f ca="1">IF(模拟模式!$M$7="辉耀红尘",AND(C253="净世破魔击·月",CL253,CV253=0,E252&lt;80),AND(C253="净世破魔击·月",CL253,E252&lt;100))</f>
        <v>0</v>
      </c>
      <c r="CO253" s="115" t="b">
        <f t="shared" ca="1" si="204"/>
        <v>0</v>
      </c>
      <c r="CP253" s="115" t="b">
        <f ca="1">AND(模拟模式!$O$7="用晦而明",OR(C253="净世破魔击·日",C253="净世破魔击·月",C253="驱夜断愁"),AB253)</f>
        <v>1</v>
      </c>
      <c r="CQ253" s="115" t="b">
        <f ca="1">OR(CP253,AND(CP252,RAND()&lt;模拟模式!$U$23))</f>
        <v>1</v>
      </c>
      <c r="CR253" s="115" t="b">
        <f ca="1">AND(模拟模式!$S$7="日月齐光",OR(C253="幽月轮1",C253="幽月轮2",C253="幽月轮3",CR252),NOT(OR(C253="赤日轮1",C253="赤日轮2",C253="赤日轮3")))</f>
        <v>0</v>
      </c>
      <c r="CS253" s="115" t="b">
        <f ca="1">AND(模拟模式!$S$7="日月齐光",OR(C253="赤日轮1",C253="赤日轮2",C253="赤日轮3",CS252),NOT(OR(C253="幽月轮1",C253="幽月轮2",C253="幽月轮3")))</f>
        <v>0</v>
      </c>
      <c r="CT253" s="115">
        <f t="shared" ca="1" si="232"/>
        <v>29.077500000000001</v>
      </c>
      <c r="CU253" s="115" t="b">
        <f ca="1">AND(模拟模式!$K$10="阴阳往极",CT252=0,RAND()&lt;IF(C253="净世破魔击·月",0.0275*7/3,IF(C253="净世破魔击·日",0.0275*3/3,0.0275*2/3)))</f>
        <v>0</v>
      </c>
      <c r="CV253" s="115">
        <f t="shared" ca="1" si="233"/>
        <v>3.1549999999999998</v>
      </c>
      <c r="CW253" s="115">
        <f t="shared" ca="1" si="205"/>
        <v>1.3874999999999997</v>
      </c>
      <c r="CX253" s="115">
        <f t="shared" ca="1" si="206"/>
        <v>0</v>
      </c>
      <c r="CY253" s="115">
        <f ca="1">MAX(IF($C253="驱夜断愁",IF(模拟模式!$R$7="万念俱寂",6,45),CY252-$F$4),0)</f>
        <v>0.46499999999999975</v>
      </c>
      <c r="CZ253" s="115">
        <f t="shared" ca="1" si="207"/>
        <v>0</v>
      </c>
      <c r="DA253" s="115">
        <f ca="1">IF(模拟模式!$N$7="日月同辉",IF(DB252=2,0,MIN(6,IF(AND(OR(C253="赤日轮1",C253="赤日轮2",C253="赤日轮3",C253="幽月轮1",C253="幽月轮2",C253="幽月轮3"),AB253=1),DA252+1,DA252))),0)</f>
        <v>4</v>
      </c>
      <c r="DB253" s="115">
        <f t="shared" ca="1" si="208"/>
        <v>0</v>
      </c>
      <c r="DC253" s="115"/>
      <c r="DD253" s="115"/>
      <c r="DE253" s="115"/>
      <c r="DF253" s="115"/>
      <c r="DG253" s="115"/>
      <c r="DH253" s="115"/>
      <c r="DI253" s="115"/>
      <c r="DJ253" s="115"/>
      <c r="DK253" s="115"/>
      <c r="DL253" s="115"/>
      <c r="DM253" s="115"/>
    </row>
    <row r="254" spans="2:117" x14ac:dyDescent="0.2">
      <c r="B254" s="117">
        <f t="shared" si="209"/>
        <v>209.40750000000114</v>
      </c>
      <c r="C254" s="167" t="str">
        <f t="shared" ca="1" si="202"/>
        <v>净世破魔击·日</v>
      </c>
      <c r="D254" s="115">
        <f ca="1">IF(C254="赤日轮1",1,IF(C254="赤日轮2",2,IF(C254="赤日轮3",3,IF(C254="幽月轮1",4,IF(C254="幽月轮2",5,IF(C254="幽月轮3",6,IF(C254="烈日斩",7,IF(C254="银月斩",8,IF(C254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254="净世破魔击·月",17,IF(C254="驱夜断愁",18,0)))))))))))</f>
        <v>9</v>
      </c>
      <c r="E254" s="115">
        <f ca="1">IF(AND(CU254,OR(C254="幽月轮1",C254="幽月轮2",C254="幽月轮3",C254="银月斩",C254="驱夜断愁",C254="净世破魔击·月")),100,MIN(IF(OR(CN254,BE254),0,IF(OR($C254="赤日轮1",$C254="赤日轮2",$C254="赤日轮3"),E253+20+IF(模拟模式!$I$7="日月凌天",4,0)+IF(CR253,20,0),IF($C254="烈日斩",E253+40,IF($C254="驱夜断愁",IF(模拟模式!$R$7="万念俱寂",E253+20,E253+60),IF($C254="净世破魔击·月",IF(OR(DB253&gt;0,CV253&gt;0),100,IF(模拟模式!$M$7="辉耀红尘",E253+20,E253)),IF($C254="净世破魔击·日",E253-100,E253)))))),100))</f>
        <v>0</v>
      </c>
      <c r="F254" s="115">
        <f ca="1">IF(AND(CU254,OR(C254="赤日轮1",C254="赤日轮2",C254="赤日轮3",C254="烈日斩",C254="净世破魔击·日")),100,MIN(IF(CO254,0,IF(OR($C254="幽月轮1",$C254="幽月轮2",$C254="幽月轮3"),F253+20+IF(模拟模式!$I$7="日月凌天",4,0)+IF(CS253,20,0),IF($C254="银月斩",F253+40+IF(模拟模式!$X$12=1,5,0),IF($C254="驱夜断愁",IF(模拟模式!$R$7="万念俱寂",F253+20,F253+60),IF($C254="净世破魔击·月",IF(模拟模式!$M$7="辉耀红尘",F253-80,F253-100),IF(AND(C254="净世破魔击·日",OR(DB253&gt;0,CV253&gt;0)),100,F253)))))),100))</f>
        <v>100</v>
      </c>
      <c r="G254" s="117">
        <f ca="1">('模拟-全程加成'!$E$3+'模拟-全程加成'!$E$4+'模拟-全程加成'!$E$5+('模拟-全程加成'!$C$6-'模拟-全程加成'!$C$3)*系数!$B$9+BS254*23)*(1+'模拟-全程加成'!$F$4+'模拟-全程加成'!$F$5+BJ254*10%+BM254*20%+BP254*4%+CG254*30%)+$F$7*系数!$B$12</f>
        <v>21493.829400000002</v>
      </c>
      <c r="H254" s="45">
        <f ca="1">'模拟-全程加成'!$H$3+'模拟-全程加成'!$H$4+'模拟-全程加成'!$H$5+('模拟-全程加成'!$G$4+'模拟-全程加成'!$G$5+('模拟-全程加成'!$C$6-'模拟-全程加成'!$C$3)*系数!$B$13)/系数!$B$3+LOOKUP(D254,'模拟-单技能数据'!$A$2:$A$19,'模拟-单技能数据'!$K$2:$K$19)+BG254*10%+IF(BV254&gt;0,378,0)</f>
        <v>0.54185145527300216</v>
      </c>
      <c r="I254" s="45">
        <f ca="1">'模拟-全程加成'!$J$3+'模拟-全程加成'!$J$4+'模拟-全程加成'!$J$5+('模拟-全程加成'!$I$4+'模拟-全程加成'!$I$5)/系数!$B$4+LOOKUP(D254,'模拟-单技能数据'!$A$2:$A$19,'模拟-单技能数据'!$L$2:$L$19)+BG254*10%</f>
        <v>2.162482885499879</v>
      </c>
      <c r="J254" s="45">
        <f ca="1">(('模拟-全程加成'!$K$3+'模拟-全程加成'!$K$4+'模拟-全程加成'!$K$5+('模拟-全程加成'!$C$6-'模拟-全程加成'!$C$3)*系数!$B$10+IF(BV254&gt;0,882,0)+IF(BY254&gt;0,1831,0))*(1+'模拟-全程加成'!$L$4+'模拟-全程加成'!$L$5+CC254*20%))/系数!$B$5</f>
        <v>0.69723220422048726</v>
      </c>
      <c r="K254" s="119">
        <f ca="1">LOOKUP(D254,'模拟-单技能数据'!$A$2:$A$19,'模拟-单技能数据'!$J$2:$J$19)+IF(CM254,60%,0)+IF(DB253-DB254&gt;0,30%,0)+IF(OR(AND(OR(C254="赤日轮1",C254="赤日轮2",C254="赤日轮3"),CR254),AND(OR(C254="幽月轮1",C254="幽月轮2",C254="幽月轮3"),CS254)),35%,0)+CJ254</f>
        <v>0.2</v>
      </c>
      <c r="L254" s="119">
        <f ca="1">IF(AND(C254="烈日斩",模拟模式!$X$11=1),10%,0)+IF(AND(C254="驱夜断愁",AB254=1),30%,0)</f>
        <v>0</v>
      </c>
      <c r="M254" s="45">
        <f t="shared" ca="1" si="185"/>
        <v>0.54185145527300216</v>
      </c>
      <c r="N254" s="45">
        <f t="shared" ca="1" si="186"/>
        <v>0.40424854472699789</v>
      </c>
      <c r="O254" s="46">
        <f t="shared" ca="1" si="210"/>
        <v>0.87276241875229965</v>
      </c>
      <c r="P254" s="46" t="str">
        <f t="shared" ca="1" si="211"/>
        <v>命</v>
      </c>
      <c r="Q254" s="45">
        <f t="shared" ca="1" si="212"/>
        <v>1</v>
      </c>
      <c r="R254" s="117">
        <f ca="1">模拟模式!$E$20*(1-IF(模拟模式!$J$19="有",0.15,0))*(1-IF(模拟模式!$K$19="有",0.3,0)-IF(CQ254,0.5,0))</f>
        <v>843.02999999999975</v>
      </c>
      <c r="S254" s="45">
        <f ca="1">R254/(R254+(185*模拟模式!$E$22-16800)*4.08224)</f>
        <v>8.389626085980037E-2</v>
      </c>
      <c r="T254" s="45" t="str">
        <f ca="1">LOOKUP(D254,'模拟-单技能数据'!$A$2:$A$19,'模拟-单技能数据'!$H$2:$H$19)</f>
        <v>阳</v>
      </c>
      <c r="U254" s="119">
        <f t="shared" ca="1" si="187"/>
        <v>0.2</v>
      </c>
      <c r="V254" s="47">
        <f ca="1">(1+L254)*(LOOKUP(D254,'模拟-单技能数据'!$A$2:$A$19,'模拟-单技能数据'!$D$2:$D$19)+G254*LOOKUP(D254,'模拟-单技能数据'!$A$2:$A$19,'模拟-单技能数据'!$F$2:$F$19))*(1+J254)*(1+K254)*(1-S254)*(1+U254)*Q254*LOOKUP(D254,'模拟-单技能数据'!$A$2:$A$19,'模拟-单技能数据'!$I$2:$I$20)</f>
        <v>63050.243404268018</v>
      </c>
      <c r="W254" s="47">
        <f ca="1">LOOKUP(D254,'模拟-单技能数据'!$A$2:$A$19,'模拟-单技能数据'!$G$2:$G$19)*$I$10</f>
        <v>723.0212870940959</v>
      </c>
      <c r="X254" s="47">
        <f t="shared" ca="1" si="213"/>
        <v>19116.855106939758</v>
      </c>
      <c r="Y254" s="47">
        <f t="shared" ca="1" si="188"/>
        <v>82890.119798301865</v>
      </c>
      <c r="Z254" s="49">
        <f t="shared" ca="1" si="189"/>
        <v>24136755.084910184</v>
      </c>
      <c r="AA254" s="97">
        <f t="shared" ca="1" si="190"/>
        <v>115262.13285059061</v>
      </c>
      <c r="AB254" s="115">
        <f ca="1">IF(OR(C254="赤日轮1",C254="赤日轮2",C254="赤日轮3"),IF(RAND()&lt;模拟模式!$Y$17,1,0),IF(OR(C254="幽月轮1",C254="幽月轮2",C254="幽月轮3"),IF(RAND()&lt;模拟模式!$Y$18,1,0),IF(C254="烈日斩",IF(RAND()&lt;模拟模式!$Y$19,1,0),IF(C254="银月斩",IF(RAND()&lt;模拟模式!$Y$20,1,0),IF(C254="驱夜断愁",IF(RAND()&lt;模拟模式!$Y$21,1,0),IF(C254="净世破魔击·日",IF(RAND()&lt;模拟模式!$Y$22,1,0),IF(C254="净世破魔击·月",IF(RAND()&lt;模拟模式!$Y$23,1,0),0)))))))</f>
        <v>1</v>
      </c>
      <c r="AC254" s="115" t="b">
        <f t="shared" ca="1" si="178"/>
        <v>0</v>
      </c>
      <c r="AD254" s="115" t="b">
        <f t="shared" ca="1" si="198"/>
        <v>0</v>
      </c>
      <c r="AE254" s="115">
        <f t="shared" ca="1" si="199"/>
        <v>2</v>
      </c>
      <c r="AF254" s="47">
        <f ca="1">IF(AC254,('模拟-单技能数据'!$D$20+G254*'模拟-单技能数据'!$F$20)*(1+J254)*(1+'模拟-单技能数据'!$J$20)*(1+U254),0)</f>
        <v>0</v>
      </c>
      <c r="AG254" s="61">
        <f t="shared" ca="1" si="191"/>
        <v>0.64185145527300214</v>
      </c>
      <c r="AH254" s="61">
        <f t="shared" ca="1" si="192"/>
        <v>2.2624828854998791</v>
      </c>
      <c r="AI254" s="62">
        <f t="shared" ca="1" si="214"/>
        <v>8.2575447862241691E-2</v>
      </c>
      <c r="AJ254" s="47">
        <f ca="1">IF(AD254,IF(AI254&lt;$F$10,0,IF(AI254&lt;$F$10+$F$11,0.25,IF(AI254&lt;$F$10+$F$11+AG254,AH254,1)))*IF(AF254&gt;0,AF254,IF(AF253&gt;0,AF253,IF(AF252&gt;0,AF252,IF(AF251&gt;0,AF251,IF(AF250&gt;0,AF250,IF(AF249&gt;0,AF249,IF(AF248&gt;0,AF248,IF(AF247&gt;0,AF247,IF(AF246&gt;0,AF246,IF(AF244&gt;0,AF244,IF(AF243&gt;0,AF243,IF(AF242&gt;0,AF242,0)))))))))))),0)*(1-$S254)*'模拟-单技能数据'!$I$20</f>
        <v>0</v>
      </c>
      <c r="AK254" s="115" t="b">
        <f t="shared" ca="1" si="179"/>
        <v>1</v>
      </c>
      <c r="AL254" s="115" t="b">
        <f t="shared" ca="1" si="200"/>
        <v>0</v>
      </c>
      <c r="AM254" s="115">
        <f t="shared" ca="1" si="201"/>
        <v>6</v>
      </c>
      <c r="AN254" s="47">
        <f ca="1">IF(AK254,('模拟-单技能数据'!$D$21+G254*'模拟-单技能数据'!$F$21)*(1+J254)*(1+'模拟-单技能数据'!$J$21)*(1+U254),0)</f>
        <v>12670.936004857545</v>
      </c>
      <c r="AO254" s="61">
        <f ca="1">IF(AN254&gt;0,M254-'模拟-单技能数据'!$K$10,AO253)</f>
        <v>0.42185145527300216</v>
      </c>
      <c r="AP254" s="61">
        <f ca="1">IF(AN254&gt;0,I254-'模拟-单技能数据'!$L$10,AP253)</f>
        <v>2.162482885499879</v>
      </c>
      <c r="AQ254" s="63">
        <f t="shared" ca="1" si="215"/>
        <v>0.67910300732377404</v>
      </c>
      <c r="AR254" s="64">
        <f ca="1">IF(AL254,IF(AQ254&lt;$F$10,0,IF(AQ254&lt;$F$10+$F$11,0.25,IF(AQ254&lt;$F$10+$F$11+AO254,AP254,1)))*IF(AN254&gt;0,AN254,IF(AN253&gt;0,AN253,IF(AN252&gt;0,AN252,IF(AN251&gt;0,AN251,IF(AN250&gt;0,AN250,IF(AN249&gt;0,AN249,IF(AN248&gt;0,AN248,IF(AN247&gt;0,AN247,IF(AN246&gt;0,AN246,IF(AN244&gt;0,AN244,IF(AN243&gt;0,AN243,IF(AN242&gt;0,AN242,0)))))))))))),0)*(1-$S254)*'模拟-单技能数据'!$I$21</f>
        <v>0</v>
      </c>
      <c r="AS254" s="61">
        <f ca="1">IF(OR(C254="净世破魔击·日",C254="净世破魔击·月"),M254-'模拟-单技能数据'!$K$10,0)</f>
        <v>0.42185145527300216</v>
      </c>
      <c r="AT254" s="61">
        <f ca="1">IF(OR(C254="净世破魔击·日",C254="净世破魔击·月"),I254-'模拟-单技能数据'!$L$10,0)</f>
        <v>2.162482885499879</v>
      </c>
      <c r="AU254" s="62">
        <f t="shared" ca="1" si="216"/>
        <v>0.21705945397046733</v>
      </c>
      <c r="AV254" s="64">
        <f ca="1">IF(AS254&gt;0,('模拟-单技能数据'!$D$22+G254*'模拟-单技能数据'!$F$22)*(1+J254)*(1-S254)*IF(AU254&lt;$F$10,0,IF(AU254&lt;$F$10+$F$11,0.25,IF(AU254&lt;$F$10+$F$11+AS254,AT254,1)))*(1+U254),0)*'模拟-单技能数据'!$I$22</f>
        <v>19116.855106939758</v>
      </c>
      <c r="AW254" s="108">
        <f t="shared" ca="1" si="217"/>
        <v>6.1625000000000068</v>
      </c>
      <c r="AX254" s="108" t="b">
        <f ca="1">AND(模拟模式!$P$10="有",AW253=0,RAND()&lt;IF(C254="净世破魔击·月",0.1*8/3,IF(C254="净世破魔击·日",0.1*4/3,0.1*2/3)))</f>
        <v>0</v>
      </c>
      <c r="AY254" s="47">
        <f ca="1">IF(AX254,(18+G254*0.722)*(1+J254)*(1-S254)*(1+$I$4)*IF(P254="会",'模拟-全程加成'!$J$3+'模拟-全程加成'!$J$4+'模拟-全程加成'!$J$5+('模拟-全程加成'!$I$4+'模拟-全程加成'!$I$5)/系数!$B$4+BG254*10%,IF(P254="命",1,IF(P254="识",0.25,0))),0)</f>
        <v>0</v>
      </c>
      <c r="AZ254" s="108">
        <f t="shared" si="218"/>
        <v>13.542500000000004</v>
      </c>
      <c r="BA254" s="108" t="b">
        <f>AND(模拟模式!$Q$10="有",AZ253=0)</f>
        <v>0</v>
      </c>
      <c r="BB254" s="140">
        <f>IF(BA254,(0+G254*0.287)*(1+J254)*(1-S254)*(1+$I$4)*IF(P254="会",'模拟-全程加成'!$J$3+'模拟-全程加成'!$J$4+'模拟-全程加成'!$J$5+('模拟-全程加成'!$I$4+'模拟-全程加成'!$I$5)/系数!$B$4+BG254*10%,IF(P254="命",1,IF(P254="识",0.25,0))),0)</f>
        <v>0</v>
      </c>
      <c r="BC254" s="115" t="b">
        <f ca="1">AND(模拟模式!$R$7="伏明众生",E254=60,F254=20,DA254&lt;5,CZ253&lt;$F$4)</f>
        <v>0</v>
      </c>
      <c r="BD254" s="115">
        <f t="shared" ca="1" si="180"/>
        <v>0</v>
      </c>
      <c r="BE254" s="115" t="b">
        <f t="shared" ca="1" si="181"/>
        <v>0</v>
      </c>
      <c r="BF254" s="47">
        <f ca="1">IF(BC254,4*('模拟-单技能数据'!$D$24+G254*'模拟-单技能数据'!$F$24)*(1+J254)*(1+'模拟-单技能数据'!$J$24)*(1-S254)*(1+$I$3)*(('模拟-全程加成'!$J$3+'模拟-全程加成'!$J$4+'模拟-全程加成'!$J$5+('模拟-全程加成'!$I$4+'模拟-全程加成'!$I$5)/系数!$B$4+BG254*10%)*('模拟-全程加成'!$J$3+'模拟-全程加成'!$J$4+'模拟-全程加成'!$J$5+('模拟-全程加成'!$I$4+'模拟-全程加成'!$I$5)/系数!$B$4+BG254*10%)+(1-('模拟-全程加成'!$J$3+'模拟-全程加成'!$J$4+'模拟-全程加成'!$J$5+('模拟-全程加成'!$I$4+'模拟-全程加成'!$I$5)/系数!$B$4+BG254*10%)-$F$10-$F$11)+F240*0.25),0)*'模拟-单技能数据'!$I$24</f>
        <v>0</v>
      </c>
      <c r="BG254" s="115" t="b">
        <f ca="1">OR(AND(OR(C254="烈日斩",C254="银月斩"),模拟模式!$I$7="净身明礼"),AND(C254="净世破魔击·日",模拟模式!$J$7="洞若观火"),AND(C255="净世破魔击·月",模拟模式!$J$7="洞若观火"),AB254=1)</f>
        <v>1</v>
      </c>
      <c r="BH254" s="115" t="b">
        <f t="shared" ca="1" si="219"/>
        <v>0</v>
      </c>
      <c r="BI254" s="115">
        <f t="shared" ca="1" si="182"/>
        <v>2.3099999999999996</v>
      </c>
      <c r="BJ254" s="115" t="b">
        <f t="shared" ca="1" si="193"/>
        <v>1</v>
      </c>
      <c r="BK254" s="115" t="b">
        <f ca="1">AND(C254="驱夜断愁",模拟模式!$P$7="天地诛戮")</f>
        <v>0</v>
      </c>
      <c r="BL254" s="57">
        <f t="shared" ca="1" si="183"/>
        <v>13.542500000000004</v>
      </c>
      <c r="BM254" s="115" t="b">
        <f t="shared" ca="1" si="194"/>
        <v>1</v>
      </c>
      <c r="BN254" s="115" t="b">
        <f ca="1">AND(OR(C254="赤日轮1",C254="赤日轮2",C254="赤日轮3",C254="幽月轮1",C254="幽月轮2",C254="幽月轮3"),AB254=1,模拟模式!$L$7="明光恒照")</f>
        <v>0</v>
      </c>
      <c r="BO254" s="117">
        <f t="shared" ca="1" si="184"/>
        <v>28.155000000000001</v>
      </c>
      <c r="BP254" s="115">
        <f t="shared" ca="1" si="220"/>
        <v>6</v>
      </c>
      <c r="BQ254" s="115" t="b">
        <f>模拟模式!$K$10="2600·水"</f>
        <v>0</v>
      </c>
      <c r="BR254" s="117">
        <f t="shared" si="221"/>
        <v>0</v>
      </c>
      <c r="BS254" s="115">
        <f t="shared" si="222"/>
        <v>0</v>
      </c>
      <c r="BT254" s="115">
        <f t="shared" ca="1" si="223"/>
        <v>0</v>
      </c>
      <c r="BU254" s="115" t="b">
        <f ca="1">AND(模拟模式!$K$10="2300·雷",BT253=0,RAND()&lt;IF(C254="净世破魔击·月",5*0.05*2/3,IF(C254="净世破魔击·日",3*0.05*2/3,0.05*2*2/3)))</f>
        <v>0</v>
      </c>
      <c r="BV254" s="115">
        <f t="shared" ca="1" si="224"/>
        <v>0</v>
      </c>
      <c r="BW254" s="115">
        <f t="shared" ca="1" si="225"/>
        <v>162.47249999999974</v>
      </c>
      <c r="BX254" s="164" t="b">
        <f t="shared" ca="1" si="226"/>
        <v>0</v>
      </c>
      <c r="BY254" s="115">
        <f t="shared" ca="1" si="227"/>
        <v>0</v>
      </c>
      <c r="BZ254" s="115">
        <f>IF(OR(模拟模式!$P$16="10人团",模拟模式!$P$16="25人团"),IF(B254/30&gt;CA253,1,0),0)</f>
        <v>0</v>
      </c>
      <c r="CA254" s="115">
        <f t="shared" si="203"/>
        <v>0</v>
      </c>
      <c r="CB254" s="115">
        <f ca="1">IF(BZ254=1,IF(模拟模式!$P$16="10人团",15,0)+IF(模拟模式!$P$16="25人团",IF(RAND()&lt;0.6,15,0)),MAX(0,CB253-$F$4))</f>
        <v>0</v>
      </c>
      <c r="CC254" s="115" t="b">
        <f t="shared" ca="1" si="195"/>
        <v>0</v>
      </c>
      <c r="CD254" s="115">
        <f>IF(模拟模式!$Q$16="1个",IF(B254/40&gt;CE253,1,0),0)</f>
        <v>0</v>
      </c>
      <c r="CE254" s="115">
        <f t="shared" si="196"/>
        <v>0</v>
      </c>
      <c r="CF254" s="115">
        <f>IF(OR(CD254=1,模拟模式!$Q$16="2个"),20,MAX(0,CF253-$F$4))</f>
        <v>0</v>
      </c>
      <c r="CG254" s="115" t="b">
        <f t="shared" si="197"/>
        <v>0</v>
      </c>
      <c r="CH254" s="115">
        <f t="shared" ca="1" si="228"/>
        <v>21.697500000000005</v>
      </c>
      <c r="CI254" s="115" t="b">
        <f t="shared" ca="1" si="229"/>
        <v>0</v>
      </c>
      <c r="CJ254" s="119">
        <f t="shared" ca="1" si="230"/>
        <v>0</v>
      </c>
      <c r="CK254" s="115">
        <f t="shared" ca="1" si="231"/>
        <v>0</v>
      </c>
      <c r="CL254" s="115" t="b">
        <f ca="1">AND(模拟模式!$S$7="驱夷逐法",OR(AND(C254="净世破魔击·月",E253&gt;59),AND(C254="净世破魔击·日",F253&gt;59)))</f>
        <v>0</v>
      </c>
      <c r="CM254" s="115" t="b">
        <f ca="1">OR(CL254,AND(C254="净世破魔击·日",CL253,RAND()&lt;模拟模式!$U$23))</f>
        <v>0</v>
      </c>
      <c r="CN254" s="115" t="b">
        <f ca="1">IF(模拟模式!$M$7="辉耀红尘",AND(C254="净世破魔击·月",CL254,CV254=0,E253&lt;80),AND(C254="净世破魔击·月",CL254,E253&lt;100))</f>
        <v>0</v>
      </c>
      <c r="CO254" s="115" t="b">
        <f t="shared" ca="1" si="204"/>
        <v>0</v>
      </c>
      <c r="CP254" s="115" t="b">
        <f ca="1">AND(模拟模式!$O$7="用晦而明",OR(C254="净世破魔击·日",C254="净世破魔击·月",C254="驱夜断愁"),AB254)</f>
        <v>1</v>
      </c>
      <c r="CQ254" s="115" t="b">
        <f ca="1">OR(CP254,AND(CP253,RAND()&lt;模拟模式!$U$23))</f>
        <v>1</v>
      </c>
      <c r="CR254" s="115" t="b">
        <f ca="1">AND(模拟模式!$S$7="日月齐光",OR(C254="幽月轮1",C254="幽月轮2",C254="幽月轮3",CR253),NOT(OR(C254="赤日轮1",C254="赤日轮2",C254="赤日轮3")))</f>
        <v>0</v>
      </c>
      <c r="CS254" s="115" t="b">
        <f ca="1">AND(模拟模式!$S$7="日月齐光",OR(C254="赤日轮1",C254="赤日轮2",C254="赤日轮3",CS253),NOT(OR(C254="幽月轮1",C254="幽月轮2",C254="幽月轮3")))</f>
        <v>0</v>
      </c>
      <c r="CT254" s="115">
        <f t="shared" ca="1" si="232"/>
        <v>28.155000000000001</v>
      </c>
      <c r="CU254" s="115" t="b">
        <f ca="1">AND(模拟模式!$K$10="阴阳往极",CT253=0,RAND()&lt;IF(C254="净世破魔击·月",0.0275*7/3,IF(C254="净世破魔击·日",0.0275*3/3,0.0275*2/3)))</f>
        <v>0</v>
      </c>
      <c r="CV254" s="115">
        <f t="shared" ca="1" si="233"/>
        <v>2.2324999999999999</v>
      </c>
      <c r="CW254" s="115">
        <f t="shared" ca="1" si="205"/>
        <v>0.46499999999999975</v>
      </c>
      <c r="CX254" s="115">
        <f t="shared" ca="1" si="206"/>
        <v>0</v>
      </c>
      <c r="CY254" s="115">
        <f ca="1">MAX(IF($C254="驱夜断愁",IF(模拟模式!$R$7="万念俱寂",6,45),CY253-$F$4),0)</f>
        <v>0</v>
      </c>
      <c r="CZ254" s="115">
        <f t="shared" ca="1" si="207"/>
        <v>0</v>
      </c>
      <c r="DA254" s="115">
        <f ca="1">IF(模拟模式!$N$7="日月同辉",IF(DB253=2,0,MIN(6,IF(AND(OR(C254="赤日轮1",C254="赤日轮2",C254="赤日轮3",C254="幽月轮1",C254="幽月轮2",C254="幽月轮3"),AB254=1),DA253+1,DA253))),0)</f>
        <v>4</v>
      </c>
      <c r="DB254" s="115">
        <f t="shared" ca="1" si="208"/>
        <v>0</v>
      </c>
      <c r="DC254" s="115"/>
      <c r="DD254" s="115"/>
      <c r="DE254" s="115"/>
      <c r="DF254" s="115"/>
      <c r="DG254" s="115"/>
      <c r="DH254" s="115"/>
      <c r="DI254" s="115"/>
      <c r="DJ254" s="115"/>
      <c r="DK254" s="115"/>
      <c r="DL254" s="115"/>
      <c r="DM254" s="115"/>
    </row>
    <row r="255" spans="2:117" x14ac:dyDescent="0.2">
      <c r="B255" s="117">
        <f t="shared" si="209"/>
        <v>210.33000000000115</v>
      </c>
      <c r="C255" s="167" t="str">
        <f t="shared" ca="1" si="202"/>
        <v>净世破魔击·月</v>
      </c>
      <c r="D255" s="115">
        <f ca="1">IF(C255="赤日轮1",1,IF(C255="赤日轮2",2,IF(C255="赤日轮3",3,IF(C255="幽月轮1",4,IF(C255="幽月轮2",5,IF(C255="幽月轮3",6,IF(C255="烈日斩",7,IF(C255="银月斩",8,IF(C255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255="净世破魔击·月",17,IF(C255="驱夜断愁",18,0)))))))))))</f>
        <v>17</v>
      </c>
      <c r="E255" s="115">
        <f ca="1">IF(AND(CU255,OR(C255="幽月轮1",C255="幽月轮2",C255="幽月轮3",C255="银月斩",C255="驱夜断愁",C255="净世破魔击·月")),100,MIN(IF(OR(CN255,BE255),0,IF(OR($C255="赤日轮1",$C255="赤日轮2",$C255="赤日轮3"),E254+20+IF(模拟模式!$I$7="日月凌天",4,0)+IF(CR254,20,0),IF($C255="烈日斩",E254+40,IF($C255="驱夜断愁",IF(模拟模式!$R$7="万念俱寂",E254+20,E254+60),IF($C255="净世破魔击·月",IF(OR(DB254&gt;0,CV254&gt;0),100,IF(模拟模式!$M$7="辉耀红尘",E254+20,E254)),IF($C255="净世破魔击·日",E254-100,E254)))))),100))</f>
        <v>100</v>
      </c>
      <c r="F255" s="115">
        <f ca="1">IF(AND(CU255,OR(C255="赤日轮1",C255="赤日轮2",C255="赤日轮3",C255="烈日斩",C255="净世破魔击·日")),100,MIN(IF(CO255,0,IF(OR($C255="幽月轮1",$C255="幽月轮2",$C255="幽月轮3"),F254+20+IF(模拟模式!$I$7="日月凌天",4,0)+IF(CS254,20,0),IF($C255="银月斩",F254+40+IF(模拟模式!$X$12=1,5,0),IF($C255="驱夜断愁",IF(模拟模式!$R$7="万念俱寂",F254+20,F254+60),IF($C255="净世破魔击·月",IF(模拟模式!$M$7="辉耀红尘",F254-80,F254-100),IF(AND(C255="净世破魔击·日",OR(DB254&gt;0,CV254&gt;0)),100,F254)))))),100))</f>
        <v>20</v>
      </c>
      <c r="G255" s="117">
        <f ca="1">('模拟-全程加成'!$E$3+'模拟-全程加成'!$E$4+'模拟-全程加成'!$E$5+('模拟-全程加成'!$C$6-'模拟-全程加成'!$C$3)*系数!$B$9+BS255*23)*(1+'模拟-全程加成'!$F$4+'模拟-全程加成'!$F$5+BJ255*10%+BM255*20%+BP255*4%+CG255*30%)+$F$7*系数!$B$12</f>
        <v>21493.829400000002</v>
      </c>
      <c r="H255" s="45">
        <f ca="1">'模拟-全程加成'!$H$3+'模拟-全程加成'!$H$4+'模拟-全程加成'!$H$5+('模拟-全程加成'!$G$4+'模拟-全程加成'!$G$5+('模拟-全程加成'!$C$6-'模拟-全程加成'!$C$3)*系数!$B$13)/系数!$B$3+LOOKUP(D255,'模拟-单技能数据'!$A$2:$A$19,'模拟-单技能数据'!$K$2:$K$19)+BG255*10%+IF(BV255&gt;0,378,0)</f>
        <v>0.54185145527300216</v>
      </c>
      <c r="I255" s="45">
        <f ca="1">'模拟-全程加成'!$J$3+'模拟-全程加成'!$J$4+'模拟-全程加成'!$J$5+('模拟-全程加成'!$I$4+'模拟-全程加成'!$I$5)/系数!$B$4+LOOKUP(D255,'模拟-单技能数据'!$A$2:$A$19,'模拟-单技能数据'!$L$2:$L$19)+BG255*10%</f>
        <v>2.162482885499879</v>
      </c>
      <c r="J255" s="45">
        <f ca="1">(('模拟-全程加成'!$K$3+'模拟-全程加成'!$K$4+'模拟-全程加成'!$K$5+('模拟-全程加成'!$C$6-'模拟-全程加成'!$C$3)*系数!$B$10+IF(BV255&gt;0,882,0)+IF(BY255&gt;0,1831,0))*(1+'模拟-全程加成'!$L$4+'模拟-全程加成'!$L$5+CC255*20%))/系数!$B$5</f>
        <v>0.69723220422048726</v>
      </c>
      <c r="K255" s="119">
        <f ca="1">LOOKUP(D255,'模拟-单技能数据'!$A$2:$A$19,'模拟-单技能数据'!$J$2:$J$19)+IF(CM255,60%,0)+IF(DB254-DB255&gt;0,30%,0)+IF(OR(AND(OR(C255="赤日轮1",C255="赤日轮2",C255="赤日轮3"),CR255),AND(OR(C255="幽月轮1",C255="幽月轮2",C255="幽月轮3"),CS255)),35%,0)+CJ255</f>
        <v>0.2</v>
      </c>
      <c r="L255" s="119">
        <f ca="1">IF(AND(C255="烈日斩",模拟模式!$X$11=1),10%,0)+IF(AND(C255="驱夜断愁",AB255=1),30%,0)</f>
        <v>0</v>
      </c>
      <c r="M255" s="45">
        <f t="shared" ca="1" si="185"/>
        <v>0.54185145527300216</v>
      </c>
      <c r="N255" s="45">
        <f t="shared" ca="1" si="186"/>
        <v>0.40424854472699789</v>
      </c>
      <c r="O255" s="46">
        <f t="shared" ca="1" si="210"/>
        <v>0.3070937497036762</v>
      </c>
      <c r="P255" s="46" t="str">
        <f t="shared" ca="1" si="211"/>
        <v>会</v>
      </c>
      <c r="Q255" s="45">
        <f t="shared" ca="1" si="212"/>
        <v>2.162482885499879</v>
      </c>
      <c r="R255" s="117">
        <f ca="1">模拟模式!$E$20*(1-IF(模拟模式!$J$19="有",0.15,0))*(1-IF(模拟模式!$K$19="有",0.3,0)-IF(CQ255,0.5,0))</f>
        <v>843.02999999999975</v>
      </c>
      <c r="S255" s="45">
        <f ca="1">R255/(R255+(185*模拟模式!$E$22-16800)*4.08224)</f>
        <v>8.389626085980037E-2</v>
      </c>
      <c r="T255" s="45" t="str">
        <f ca="1">LOOKUP(D255,'模拟-单技能数据'!$A$2:$A$19,'模拟-单技能数据'!$H$2:$H$19)</f>
        <v>阴</v>
      </c>
      <c r="U255" s="119">
        <f t="shared" ca="1" si="187"/>
        <v>0.08</v>
      </c>
      <c r="V255" s="47">
        <f ca="1">(1+L255)*(LOOKUP(D255,'模拟-单技能数据'!$A$2:$A$19,'模拟-单技能数据'!$D$2:$D$19)+G255*LOOKUP(D255,'模拟-单技能数据'!$A$2:$A$19,'模拟-单技能数据'!$F$2:$F$19))*(1+J255)*(1+K255)*(1-S255)*(1+U255)*Q255*LOOKUP(D255,'模拟-单技能数据'!$A$2:$A$19,'模拟-单技能数据'!$I$2:$I$20)</f>
        <v>121694.14741267689</v>
      </c>
      <c r="W255" s="47">
        <f ca="1">LOOKUP(D255,'模拟-单技能数据'!$A$2:$A$19,'模拟-单技能数据'!$G$2:$G$19)*$I$10</f>
        <v>361.51064354704795</v>
      </c>
      <c r="X255" s="47">
        <f t="shared" ca="1" si="213"/>
        <v>33058.07822504142</v>
      </c>
      <c r="Y255" s="47">
        <f t="shared" ca="1" si="188"/>
        <v>155113.73628126536</v>
      </c>
      <c r="Z255" s="49">
        <f t="shared" ca="1" si="189"/>
        <v>24291868.821191449</v>
      </c>
      <c r="AA255" s="97">
        <f t="shared" ca="1" si="190"/>
        <v>115494.07512571348</v>
      </c>
      <c r="AB255" s="115">
        <f ca="1">IF(OR(C255="赤日轮1",C255="赤日轮2",C255="赤日轮3"),IF(RAND()&lt;模拟模式!$Y$17,1,0),IF(OR(C255="幽月轮1",C255="幽月轮2",C255="幽月轮3"),IF(RAND()&lt;模拟模式!$Y$18,1,0),IF(C255="烈日斩",IF(RAND()&lt;模拟模式!$Y$19,1,0),IF(C255="银月斩",IF(RAND()&lt;模拟模式!$Y$20,1,0),IF(C255="驱夜断愁",IF(RAND()&lt;模拟模式!$Y$21,1,0),IF(C255="净世破魔击·日",IF(RAND()&lt;模拟模式!$Y$22,1,0),IF(C255="净世破魔击·月",IF(RAND()&lt;模拟模式!$Y$23,1,0),0)))))))</f>
        <v>1</v>
      </c>
      <c r="AC255" s="115" t="b">
        <f t="shared" ca="1" si="178"/>
        <v>0</v>
      </c>
      <c r="AD255" s="115" t="b">
        <f t="shared" ca="1" si="198"/>
        <v>1</v>
      </c>
      <c r="AE255" s="115">
        <f t="shared" ca="1" si="199"/>
        <v>1</v>
      </c>
      <c r="AF255" s="47">
        <f ca="1">IF(AC255,('模拟-单技能数据'!$D$20+G255*'模拟-单技能数据'!$F$20)*(1+J255)*(1+'模拟-单技能数据'!$J$20)*(1+U255),0)</f>
        <v>0</v>
      </c>
      <c r="AG255" s="61">
        <f t="shared" ca="1" si="191"/>
        <v>0.64185145527300214</v>
      </c>
      <c r="AH255" s="61">
        <f t="shared" ca="1" si="192"/>
        <v>2.2624828854998791</v>
      </c>
      <c r="AI255" s="62">
        <f t="shared" ca="1" si="214"/>
        <v>0.90240027353495889</v>
      </c>
      <c r="AJ255" s="47">
        <f ca="1">IF(AD255,IF(AI255&lt;$F$10,0,IF(AI255&lt;$F$10+$F$11,0.25,IF(AI255&lt;$F$10+$F$11+AG255,AH255,1)))*IF(AF255&gt;0,AF255,IF(AF254&gt;0,AF254,IF(AF253&gt;0,AF253,IF(AF252&gt;0,AF252,IF(AF251&gt;0,AF251,IF(AF250&gt;0,AF250,IF(AF249&gt;0,AF249,IF(AF248&gt;0,AF248,IF(AF247&gt;0,AF247,IF(AF245&gt;0,AF245,IF(AF244&gt;0,AF244,IF(AF243&gt;0,AF243,0)))))))))))),0)*(1-$S255)*'模拟-单技能数据'!$I$20</f>
        <v>0</v>
      </c>
      <c r="AK255" s="115" t="b">
        <f t="shared" ca="1" si="179"/>
        <v>0</v>
      </c>
      <c r="AL255" s="115" t="b">
        <f t="shared" ca="1" si="200"/>
        <v>1</v>
      </c>
      <c r="AM255" s="115">
        <f t="shared" ca="1" si="201"/>
        <v>5</v>
      </c>
      <c r="AN255" s="47">
        <f ca="1">IF(AK255,('模拟-单技能数据'!$D$21+G255*'模拟-单技能数据'!$F$21)*(1+J255)*(1+'模拟-单技能数据'!$J$21)*(1+U255),0)</f>
        <v>0</v>
      </c>
      <c r="AO255" s="61">
        <f ca="1">IF(AN255&gt;0,M255-'模拟-单技能数据'!$K$10,AO254)</f>
        <v>0.42185145527300216</v>
      </c>
      <c r="AP255" s="61">
        <f ca="1">IF(AN255&gt;0,I255-'模拟-单技能数据'!$L$10,AP254)</f>
        <v>2.162482885499879</v>
      </c>
      <c r="AQ255" s="63">
        <f t="shared" ca="1" si="215"/>
        <v>0.23470209537058939</v>
      </c>
      <c r="AR255" s="64">
        <f ca="1">IF(AL255,IF(AQ255&lt;$F$10,0,IF(AQ255&lt;$F$10+$F$11,0.25,IF(AQ255&lt;$F$10+$F$11+AO255,AP255,1)))*IF(AN255&gt;0,AN255,IF(AN254&gt;0,AN254,IF(AN253&gt;0,AN253,IF(AN252&gt;0,AN252,IF(AN251&gt;0,AN251,IF(AN250&gt;0,AN250,IF(AN249&gt;0,AN249,IF(AN248&gt;0,AN248,IF(AN247&gt;0,AN247,IF(AN245&gt;0,AN245,IF(AN244&gt;0,AN244,IF(AN243&gt;0,AN243,0)))))))))))),0)*(1-$S255)*'模拟-单技能数据'!$I$21</f>
        <v>25101.867467669974</v>
      </c>
      <c r="AS255" s="61">
        <f ca="1">IF(OR(C255="净世破魔击·日",C255="净世破魔击·月"),M255-'模拟-单技能数据'!$K$10,0)</f>
        <v>0.42185145527300216</v>
      </c>
      <c r="AT255" s="61">
        <f ca="1">IF(OR(C255="净世破魔击·日",C255="净世破魔击·月"),I255-'模拟-单技能数据'!$L$10,0)</f>
        <v>2.162482885499879</v>
      </c>
      <c r="AU255" s="62">
        <f t="shared" ca="1" si="216"/>
        <v>0.75075900776651461</v>
      </c>
      <c r="AV255" s="64">
        <f ca="1">IF(AS255&gt;0,('模拟-单技能数据'!$D$22+G255*'模拟-单技能数据'!$F$22)*(1+J255)*(1-S255)*IF(AU255&lt;$F$10,0,IF(AU255&lt;$F$10+$F$11,0.25,IF(AU255&lt;$F$10+$F$11+AS255,AT255,1)))*(1+U255),0)*'模拟-单技能数据'!$I$22</f>
        <v>7956.2107573714466</v>
      </c>
      <c r="AW255" s="108">
        <f t="shared" ca="1" si="217"/>
        <v>5.2400000000000064</v>
      </c>
      <c r="AX255" s="108" t="b">
        <f ca="1">AND(模拟模式!$P$10="有",AW254=0,RAND()&lt;IF(C255="净世破魔击·月",0.1*8/3,IF(C255="净世破魔击·日",0.1*4/3,0.1*2/3)))</f>
        <v>0</v>
      </c>
      <c r="AY255" s="47">
        <f ca="1">IF(AX255,(18+G255*0.722)*(1+J255)*(1-S255)*(1+$I$4)*IF(P255="会",'模拟-全程加成'!$J$3+'模拟-全程加成'!$J$4+'模拟-全程加成'!$J$5+('模拟-全程加成'!$I$4+'模拟-全程加成'!$I$5)/系数!$B$4+BG255*10%,IF(P255="命",1,IF(P255="识",0.25,0))),0)</f>
        <v>0</v>
      </c>
      <c r="AZ255" s="108">
        <f t="shared" si="218"/>
        <v>12.620000000000005</v>
      </c>
      <c r="BA255" s="108" t="b">
        <f>AND(模拟模式!$Q$10="有",AZ254=0)</f>
        <v>0</v>
      </c>
      <c r="BB255" s="140">
        <f>IF(BA255,(0+G255*0.287)*(1+J255)*(1-S255)*(1+$I$4)*IF(P255="会",'模拟-全程加成'!$J$3+'模拟-全程加成'!$J$4+'模拟-全程加成'!$J$5+('模拟-全程加成'!$I$4+'模拟-全程加成'!$I$5)/系数!$B$4+BG255*10%,IF(P255="命",1,IF(P255="识",0.25,0))),0)</f>
        <v>0</v>
      </c>
      <c r="BC255" s="115" t="b">
        <f ca="1">AND(模拟模式!$R$7="伏明众生",E255=60,F255=20,DA255&lt;5,CZ254&lt;$F$4)</f>
        <v>0</v>
      </c>
      <c r="BD255" s="115">
        <f t="shared" ca="1" si="180"/>
        <v>0</v>
      </c>
      <c r="BE255" s="115" t="b">
        <f t="shared" ca="1" si="181"/>
        <v>0</v>
      </c>
      <c r="BF255" s="47">
        <f ca="1">IF(BC255,4*('模拟-单技能数据'!$D$24+G255*'模拟-单技能数据'!$F$24)*(1+J255)*(1+'模拟-单技能数据'!$J$24)*(1-S255)*(1+$I$3)*(('模拟-全程加成'!$J$3+'模拟-全程加成'!$J$4+'模拟-全程加成'!$J$5+('模拟-全程加成'!$I$4+'模拟-全程加成'!$I$5)/系数!$B$4+BG255*10%)*('模拟-全程加成'!$J$3+'模拟-全程加成'!$J$4+'模拟-全程加成'!$J$5+('模拟-全程加成'!$I$4+'模拟-全程加成'!$I$5)/系数!$B$4+BG255*10%)+(1-('模拟-全程加成'!$J$3+'模拟-全程加成'!$J$4+'模拟-全程加成'!$J$5+('模拟-全程加成'!$I$4+'模拟-全程加成'!$I$5)/系数!$B$4+BG255*10%)-$F$10-$F$11)+F241*0.25),0)*'模拟-单技能数据'!$I$24</f>
        <v>0</v>
      </c>
      <c r="BG255" s="115" t="b">
        <f ca="1">OR(AND(OR(C255="烈日斩",C255="银月斩"),模拟模式!$I$7="净身明礼"),AND(C255="净世破魔击·日",模拟模式!$J$7="洞若观火"),AND(C256="净世破魔击·月",模拟模式!$J$7="洞若观火"),AB255=1)</f>
        <v>1</v>
      </c>
      <c r="BH255" s="115" t="b">
        <f t="shared" ca="1" si="219"/>
        <v>0</v>
      </c>
      <c r="BI255" s="115">
        <f t="shared" ca="1" si="182"/>
        <v>1.3874999999999997</v>
      </c>
      <c r="BJ255" s="115" t="b">
        <f t="shared" ca="1" si="193"/>
        <v>1</v>
      </c>
      <c r="BK255" s="115" t="b">
        <f ca="1">AND(C255="驱夜断愁",模拟模式!$P$7="天地诛戮")</f>
        <v>0</v>
      </c>
      <c r="BL255" s="57">
        <f t="shared" ca="1" si="183"/>
        <v>12.620000000000005</v>
      </c>
      <c r="BM255" s="115" t="b">
        <f t="shared" ca="1" si="194"/>
        <v>1</v>
      </c>
      <c r="BN255" s="115" t="b">
        <f ca="1">AND(OR(C255="赤日轮1",C255="赤日轮2",C255="赤日轮3",C255="幽月轮1",C255="幽月轮2",C255="幽月轮3"),AB255=1,模拟模式!$L$7="明光恒照")</f>
        <v>0</v>
      </c>
      <c r="BO255" s="117">
        <f t="shared" ca="1" si="184"/>
        <v>27.232500000000002</v>
      </c>
      <c r="BP255" s="115">
        <f t="shared" ca="1" si="220"/>
        <v>6</v>
      </c>
      <c r="BQ255" s="115" t="b">
        <f>模拟模式!$K$10="2600·水"</f>
        <v>0</v>
      </c>
      <c r="BR255" s="117">
        <f t="shared" si="221"/>
        <v>0</v>
      </c>
      <c r="BS255" s="115">
        <f t="shared" si="222"/>
        <v>0</v>
      </c>
      <c r="BT255" s="115">
        <f t="shared" ca="1" si="223"/>
        <v>0</v>
      </c>
      <c r="BU255" s="115" t="b">
        <f ca="1">AND(模拟模式!$K$10="2300·雷",BT254=0,RAND()&lt;IF(C255="净世破魔击·月",5*0.05*2/3,IF(C255="净世破魔击·日",3*0.05*2/3,0.05*2*2/3)))</f>
        <v>0</v>
      </c>
      <c r="BV255" s="115">
        <f t="shared" ca="1" si="224"/>
        <v>0</v>
      </c>
      <c r="BW255" s="115">
        <f t="shared" ca="1" si="225"/>
        <v>161.54999999999973</v>
      </c>
      <c r="BX255" s="164" t="b">
        <f t="shared" ca="1" si="226"/>
        <v>0</v>
      </c>
      <c r="BY255" s="115">
        <f t="shared" ca="1" si="227"/>
        <v>0</v>
      </c>
      <c r="BZ255" s="115">
        <f>IF(OR(模拟模式!$P$16="10人团",模拟模式!$P$16="25人团"),IF(B255/30&gt;CA254,1,0),0)</f>
        <v>0</v>
      </c>
      <c r="CA255" s="115">
        <f t="shared" si="203"/>
        <v>0</v>
      </c>
      <c r="CB255" s="115">
        <f ca="1">IF(BZ255=1,IF(模拟模式!$P$16="10人团",15,0)+IF(模拟模式!$P$16="25人团",IF(RAND()&lt;0.6,15,0)),MAX(0,CB254-$F$4))</f>
        <v>0</v>
      </c>
      <c r="CC255" s="115" t="b">
        <f t="shared" ca="1" si="195"/>
        <v>0</v>
      </c>
      <c r="CD255" s="115">
        <f>IF(模拟模式!$Q$16="1个",IF(B255/40&gt;CE254,1,0),0)</f>
        <v>0</v>
      </c>
      <c r="CE255" s="115">
        <f t="shared" si="196"/>
        <v>0</v>
      </c>
      <c r="CF255" s="115">
        <f>IF(OR(CD255=1,模拟模式!$Q$16="2个"),20,MAX(0,CF254-$F$4))</f>
        <v>0</v>
      </c>
      <c r="CG255" s="115" t="b">
        <f t="shared" si="197"/>
        <v>0</v>
      </c>
      <c r="CH255" s="115">
        <f t="shared" ca="1" si="228"/>
        <v>20.775000000000006</v>
      </c>
      <c r="CI255" s="115" t="b">
        <f t="shared" ca="1" si="229"/>
        <v>0</v>
      </c>
      <c r="CJ255" s="119">
        <f t="shared" ca="1" si="230"/>
        <v>0</v>
      </c>
      <c r="CK255" s="115">
        <f t="shared" ca="1" si="231"/>
        <v>0</v>
      </c>
      <c r="CL255" s="115" t="b">
        <f ca="1">AND(模拟模式!$S$7="驱夷逐法",OR(AND(C255="净世破魔击·月",E254&gt;59),AND(C255="净世破魔击·日",F254&gt;59)))</f>
        <v>0</v>
      </c>
      <c r="CM255" s="115" t="b">
        <f ca="1">OR(CL255,AND(C255="净世破魔击·日",CL254,RAND()&lt;模拟模式!$U$23))</f>
        <v>0</v>
      </c>
      <c r="CN255" s="115" t="b">
        <f ca="1">IF(模拟模式!$M$7="辉耀红尘",AND(C255="净世破魔击·月",CL255,CV255=0,E254&lt;80),AND(C255="净世破魔击·月",CL255,E254&lt;100))</f>
        <v>0</v>
      </c>
      <c r="CO255" s="115" t="b">
        <f t="shared" ca="1" si="204"/>
        <v>0</v>
      </c>
      <c r="CP255" s="115" t="b">
        <f ca="1">AND(模拟模式!$O$7="用晦而明",OR(C255="净世破魔击·日",C255="净世破魔击·月",C255="驱夜断愁"),AB255)</f>
        <v>1</v>
      </c>
      <c r="CQ255" s="115" t="b">
        <f ca="1">OR(CP255,AND(CP254,RAND()&lt;模拟模式!$U$23))</f>
        <v>1</v>
      </c>
      <c r="CR255" s="115" t="b">
        <f ca="1">AND(模拟模式!$S$7="日月齐光",OR(C255="幽月轮1",C255="幽月轮2",C255="幽月轮3",CR254),NOT(OR(C255="赤日轮1",C255="赤日轮2",C255="赤日轮3")))</f>
        <v>0</v>
      </c>
      <c r="CS255" s="115" t="b">
        <f ca="1">AND(模拟模式!$S$7="日月齐光",OR(C255="赤日轮1",C255="赤日轮2",C255="赤日轮3",CS254),NOT(OR(C255="幽月轮1",C255="幽月轮2",C255="幽月轮3")))</f>
        <v>0</v>
      </c>
      <c r="CT255" s="115">
        <f t="shared" ca="1" si="232"/>
        <v>27.232500000000002</v>
      </c>
      <c r="CU255" s="115" t="b">
        <f ca="1">AND(模拟模式!$K$10="阴阳往极",CT254=0,RAND()&lt;IF(C255="净世破魔击·月",0.0275*7/3,IF(C255="净世破魔击·日",0.0275*3/3,0.0275*2/3)))</f>
        <v>0</v>
      </c>
      <c r="CV255" s="115">
        <f t="shared" ca="1" si="233"/>
        <v>1.31</v>
      </c>
      <c r="CW255" s="115">
        <f t="shared" ca="1" si="205"/>
        <v>0</v>
      </c>
      <c r="CX255" s="115">
        <f t="shared" ca="1" si="206"/>
        <v>0</v>
      </c>
      <c r="CY255" s="115">
        <f ca="1">MAX(IF($C255="驱夜断愁",IF(模拟模式!$R$7="万念俱寂",6,45),CY254-$F$4),0)</f>
        <v>0</v>
      </c>
      <c r="CZ255" s="115">
        <f t="shared" ca="1" si="207"/>
        <v>0</v>
      </c>
      <c r="DA255" s="115">
        <f ca="1">IF(模拟模式!$N$7="日月同辉",IF(DB254=2,0,MIN(6,IF(AND(OR(C255="赤日轮1",C255="赤日轮2",C255="赤日轮3",C255="幽月轮1",C255="幽月轮2",C255="幽月轮3"),AB255=1),DA254+1,DA254))),0)</f>
        <v>4</v>
      </c>
      <c r="DB255" s="115">
        <f t="shared" ca="1" si="208"/>
        <v>0</v>
      </c>
      <c r="DC255" s="115"/>
      <c r="DD255" s="115"/>
      <c r="DE255" s="115"/>
      <c r="DF255" s="115"/>
      <c r="DG255" s="115"/>
      <c r="DH255" s="115"/>
      <c r="DI255" s="115"/>
      <c r="DJ255" s="115"/>
      <c r="DK255" s="115"/>
      <c r="DL255" s="115"/>
      <c r="DM255" s="115"/>
    </row>
    <row r="256" spans="2:117" x14ac:dyDescent="0.2">
      <c r="B256" s="117">
        <f t="shared" si="209"/>
        <v>211.25250000000116</v>
      </c>
      <c r="C256" s="167" t="str">
        <f t="shared" ca="1" si="202"/>
        <v>净世破魔击·日</v>
      </c>
      <c r="D256" s="115">
        <f ca="1">IF(C256="赤日轮1",1,IF(C256="赤日轮2",2,IF(C256="赤日轮3",3,IF(C256="幽月轮1",4,IF(C256="幽月轮2",5,IF(C256="幽月轮3",6,IF(C256="烈日斩",7,IF(C256="银月斩",8,IF(C256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256="净世破魔击·月",17,IF(C256="驱夜断愁",18,0)))))))))))</f>
        <v>9</v>
      </c>
      <c r="E256" s="115">
        <f ca="1">IF(AND(CU256,OR(C256="幽月轮1",C256="幽月轮2",C256="幽月轮3",C256="银月斩",C256="驱夜断愁",C256="净世破魔击·月")),100,MIN(IF(OR(CN256,BE256),0,IF(OR($C256="赤日轮1",$C256="赤日轮2",$C256="赤日轮3"),E255+20+IF(模拟模式!$I$7="日月凌天",4,0)+IF(CR255,20,0),IF($C256="烈日斩",E255+40,IF($C256="驱夜断愁",IF(模拟模式!$R$7="万念俱寂",E255+20,E255+60),IF($C256="净世破魔击·月",IF(OR(DB255&gt;0,CV255&gt;0),100,IF(模拟模式!$M$7="辉耀红尘",E255+20,E255)),IF($C256="净世破魔击·日",E255-100,E255)))))),100))</f>
        <v>0</v>
      </c>
      <c r="F256" s="115">
        <f ca="1">IF(AND(CU256,OR(C256="赤日轮1",C256="赤日轮2",C256="赤日轮3",C256="烈日斩",C256="净世破魔击·日")),100,MIN(IF(CO256,0,IF(OR($C256="幽月轮1",$C256="幽月轮2",$C256="幽月轮3"),F255+20+IF(模拟模式!$I$7="日月凌天",4,0)+IF(CS255,20,0),IF($C256="银月斩",F255+40+IF(模拟模式!$X$12=1,5,0),IF($C256="驱夜断愁",IF(模拟模式!$R$7="万念俱寂",F255+20,F255+60),IF($C256="净世破魔击·月",IF(模拟模式!$M$7="辉耀红尘",F255-80,F255-100),IF(AND(C256="净世破魔击·日",OR(DB255&gt;0,CV255&gt;0)),100,F255)))))),100))</f>
        <v>100</v>
      </c>
      <c r="G256" s="117">
        <f ca="1">('模拟-全程加成'!$E$3+'模拟-全程加成'!$E$4+'模拟-全程加成'!$E$5+('模拟-全程加成'!$C$6-'模拟-全程加成'!$C$3)*系数!$B$9+BS256*23)*(1+'模拟-全程加成'!$F$4+'模拟-全程加成'!$F$5+BJ256*10%+BM256*20%+BP256*4%+CG256*30%)+$F$7*系数!$B$12</f>
        <v>21493.829400000002</v>
      </c>
      <c r="H256" s="45">
        <f ca="1">'模拟-全程加成'!$H$3+'模拟-全程加成'!$H$4+'模拟-全程加成'!$H$5+('模拟-全程加成'!$G$4+'模拟-全程加成'!$G$5+('模拟-全程加成'!$C$6-'模拟-全程加成'!$C$3)*系数!$B$13)/系数!$B$3+LOOKUP(D256,'模拟-单技能数据'!$A$2:$A$19,'模拟-单技能数据'!$K$2:$K$19)+BG256*10%+IF(BV256&gt;0,378,0)</f>
        <v>0.54185145527300216</v>
      </c>
      <c r="I256" s="45">
        <f ca="1">'模拟-全程加成'!$J$3+'模拟-全程加成'!$J$4+'模拟-全程加成'!$J$5+('模拟-全程加成'!$I$4+'模拟-全程加成'!$I$5)/系数!$B$4+LOOKUP(D256,'模拟-单技能数据'!$A$2:$A$19,'模拟-单技能数据'!$L$2:$L$19)+BG256*10%</f>
        <v>2.162482885499879</v>
      </c>
      <c r="J256" s="45">
        <f ca="1">(('模拟-全程加成'!$K$3+'模拟-全程加成'!$K$4+'模拟-全程加成'!$K$5+('模拟-全程加成'!$C$6-'模拟-全程加成'!$C$3)*系数!$B$10+IF(BV256&gt;0,882,0)+IF(BY256&gt;0,1831,0))*(1+'模拟-全程加成'!$L$4+'模拟-全程加成'!$L$5+CC256*20%))/系数!$B$5</f>
        <v>0.69723220422048726</v>
      </c>
      <c r="K256" s="119">
        <f ca="1">LOOKUP(D256,'模拟-单技能数据'!$A$2:$A$19,'模拟-单技能数据'!$J$2:$J$19)+IF(CM256,60%,0)+IF(DB255-DB256&gt;0,30%,0)+IF(OR(AND(OR(C256="赤日轮1",C256="赤日轮2",C256="赤日轮3"),CR256),AND(OR(C256="幽月轮1",C256="幽月轮2",C256="幽月轮3"),CS256)),35%,0)+CJ256</f>
        <v>0.2</v>
      </c>
      <c r="L256" s="119">
        <f ca="1">IF(AND(C256="烈日斩",模拟模式!$X$11=1),10%,0)+IF(AND(C256="驱夜断愁",AB256=1),30%,0)</f>
        <v>0</v>
      </c>
      <c r="M256" s="45">
        <f t="shared" ca="1" si="185"/>
        <v>0.54185145527300216</v>
      </c>
      <c r="N256" s="45">
        <f t="shared" ca="1" si="186"/>
        <v>0.40424854472699789</v>
      </c>
      <c r="O256" s="46">
        <f t="shared" ca="1" si="210"/>
        <v>0.39462043435260885</v>
      </c>
      <c r="P256" s="46" t="str">
        <f t="shared" ca="1" si="211"/>
        <v>会</v>
      </c>
      <c r="Q256" s="45">
        <f t="shared" ca="1" si="212"/>
        <v>2.162482885499879</v>
      </c>
      <c r="R256" s="117">
        <f ca="1">模拟模式!$E$20*(1-IF(模拟模式!$J$19="有",0.15,0))*(1-IF(模拟模式!$K$19="有",0.3,0)-IF(CQ256,0.5,0))</f>
        <v>843.02999999999975</v>
      </c>
      <c r="S256" s="45">
        <f ca="1">R256/(R256+(185*模拟模式!$E$22-16800)*4.08224)</f>
        <v>8.389626085980037E-2</v>
      </c>
      <c r="T256" s="45" t="str">
        <f ca="1">LOOKUP(D256,'模拟-单技能数据'!$A$2:$A$19,'模拟-单技能数据'!$H$2:$H$19)</f>
        <v>阳</v>
      </c>
      <c r="U256" s="119">
        <f t="shared" ca="1" si="187"/>
        <v>0.2</v>
      </c>
      <c r="V256" s="47">
        <f ca="1">(1+L256)*(LOOKUP(D256,'模拟-单技能数据'!$A$2:$A$19,'模拟-单技能数据'!$D$2:$D$19)+G256*LOOKUP(D256,'模拟-单技能数据'!$A$2:$A$19,'模拟-单技能数据'!$F$2:$F$19))*(1+J256)*(1+K256)*(1-S256)*(1+U256)*Q256*LOOKUP(D256,'模拟-单技能数据'!$A$2:$A$19,'模拟-单技能数据'!$I$2:$I$20)</f>
        <v>136345.07228833123</v>
      </c>
      <c r="W256" s="47">
        <f ca="1">LOOKUP(D256,'模拟-单技能数据'!$A$2:$A$19,'模拟-单技能数据'!$G$2:$G$19)*$I$10</f>
        <v>723.0212870940959</v>
      </c>
      <c r="X256" s="47">
        <f t="shared" ca="1" si="213"/>
        <v>8840.2341748571616</v>
      </c>
      <c r="Y256" s="47">
        <f t="shared" ca="1" si="188"/>
        <v>145908.32775028248</v>
      </c>
      <c r="Z256" s="49">
        <f t="shared" ca="1" si="189"/>
        <v>24437777.148941733</v>
      </c>
      <c r="AA256" s="97">
        <f t="shared" ca="1" si="190"/>
        <v>115680.41632142388</v>
      </c>
      <c r="AB256" s="115">
        <f ca="1">IF(OR(C256="赤日轮1",C256="赤日轮2",C256="赤日轮3"),IF(RAND()&lt;模拟模式!$Y$17,1,0),IF(OR(C256="幽月轮1",C256="幽月轮2",C256="幽月轮3"),IF(RAND()&lt;模拟模式!$Y$18,1,0),IF(C256="烈日斩",IF(RAND()&lt;模拟模式!$Y$19,1,0),IF(C256="银月斩",IF(RAND()&lt;模拟模式!$Y$20,1,0),IF(C256="驱夜断愁",IF(RAND()&lt;模拟模式!$Y$21,1,0),IF(C256="净世破魔击·日",IF(RAND()&lt;模拟模式!$Y$22,1,0),IF(C256="净世破魔击·月",IF(RAND()&lt;模拟模式!$Y$23,1,0),0)))))))</f>
        <v>1</v>
      </c>
      <c r="AC256" s="115" t="b">
        <f t="shared" ca="1" si="178"/>
        <v>0</v>
      </c>
      <c r="AD256" s="115" t="b">
        <f t="shared" ca="1" si="198"/>
        <v>0</v>
      </c>
      <c r="AE256" s="115">
        <f t="shared" ca="1" si="199"/>
        <v>1</v>
      </c>
      <c r="AF256" s="47">
        <f ca="1">IF(AC256,('模拟-单技能数据'!$D$20+G256*'模拟-单技能数据'!$F$20)*(1+J256)*(1+'模拟-单技能数据'!$J$20)*(1+U256),0)</f>
        <v>0</v>
      </c>
      <c r="AG256" s="61">
        <f t="shared" ca="1" si="191"/>
        <v>0.64185145527300214</v>
      </c>
      <c r="AH256" s="61">
        <f t="shared" ca="1" si="192"/>
        <v>2.2624828854998791</v>
      </c>
      <c r="AI256" s="62">
        <f t="shared" ca="1" si="214"/>
        <v>0.36165922616332757</v>
      </c>
      <c r="AJ256" s="47">
        <f ca="1">IF(AD256,IF(AI256&lt;$F$10,0,IF(AI256&lt;$F$10+$F$11,0.25,IF(AI256&lt;$F$10+$F$11+AG256,AH256,1)))*IF(AF256&gt;0,AF256,IF(AF255&gt;0,AF255,IF(AF254&gt;0,AF254,IF(AF253&gt;0,AF253,IF(AF252&gt;0,AF252,IF(AF251&gt;0,AF251,IF(AF250&gt;0,AF250,IF(AF249&gt;0,AF249,IF(AF248&gt;0,AF248,IF(AF246&gt;0,AF246,IF(AF245&gt;0,AF245,IF(AF244&gt;0,AF244,0)))))))))))),0)*(1-$S256)*'模拟-单技能数据'!$I$20</f>
        <v>0</v>
      </c>
      <c r="AK256" s="115" t="b">
        <f t="shared" ca="1" si="179"/>
        <v>1</v>
      </c>
      <c r="AL256" s="115" t="b">
        <f t="shared" ca="1" si="200"/>
        <v>0</v>
      </c>
      <c r="AM256" s="115">
        <f t="shared" ca="1" si="201"/>
        <v>6</v>
      </c>
      <c r="AN256" s="47">
        <f ca="1">IF(AK256,('模拟-单技能数据'!$D$21+G256*'模拟-单技能数据'!$F$21)*(1+J256)*(1+'模拟-单技能数据'!$J$21)*(1+U256),0)</f>
        <v>12670.936004857545</v>
      </c>
      <c r="AO256" s="61">
        <f ca="1">IF(AN256&gt;0,M256-'模拟-单技能数据'!$K$10,AO255)</f>
        <v>0.42185145527300216</v>
      </c>
      <c r="AP256" s="61">
        <f ca="1">IF(AN256&gt;0,I256-'模拟-单技能数据'!$L$10,AP255)</f>
        <v>2.162482885499879</v>
      </c>
      <c r="AQ256" s="63">
        <f t="shared" ca="1" si="215"/>
        <v>0.14368125447334179</v>
      </c>
      <c r="AR256" s="64">
        <f ca="1">IF(AL256,IF(AQ256&lt;$F$10,0,IF(AQ256&lt;$F$10+$F$11,0.25,IF(AQ256&lt;$F$10+$F$11+AO256,AP256,1)))*IF(AN256&gt;0,AN256,IF(AN255&gt;0,AN255,IF(AN254&gt;0,AN254,IF(AN253&gt;0,AN253,IF(AN252&gt;0,AN252,IF(AN251&gt;0,AN251,IF(AN250&gt;0,AN250,IF(AN249&gt;0,AN249,IF(AN248&gt;0,AN248,IF(AN246&gt;0,AN246,IF(AN245&gt;0,AN245,IF(AN244&gt;0,AN244,0)))))))))))),0)*(1-$S256)*'模拟-单技能数据'!$I$21</f>
        <v>0</v>
      </c>
      <c r="AS256" s="61">
        <f ca="1">IF(OR(C256="净世破魔击·日",C256="净世破魔击·月"),M256-'模拟-单技能数据'!$K$10,0)</f>
        <v>0.42185145527300216</v>
      </c>
      <c r="AT256" s="61">
        <f ca="1">IF(OR(C256="净世破魔击·日",C256="净世破魔击·月"),I256-'模拟-单技能数据'!$L$10,0)</f>
        <v>2.162482885499879</v>
      </c>
      <c r="AU256" s="62">
        <f t="shared" ca="1" si="216"/>
        <v>0.72592392445029919</v>
      </c>
      <c r="AV256" s="64">
        <f ca="1">IF(AS256&gt;0,('模拟-单技能数据'!$D$22+G256*'模拟-单技能数据'!$F$22)*(1+J256)*(1-S256)*IF(AU256&lt;$F$10,0,IF(AU256&lt;$F$10+$F$11,0.25,IF(AU256&lt;$F$10+$F$11+AS256,AT256,1)))*(1+U256),0)*'模拟-单技能数据'!$I$22</f>
        <v>8840.2341748571616</v>
      </c>
      <c r="AW256" s="108">
        <f t="shared" ca="1" si="217"/>
        <v>4.3175000000000061</v>
      </c>
      <c r="AX256" s="108" t="b">
        <f ca="1">AND(模拟模式!$P$10="有",AW255=0,RAND()&lt;IF(C256="净世破魔击·月",0.1*8/3,IF(C256="净世破魔击·日",0.1*4/3,0.1*2/3)))</f>
        <v>0</v>
      </c>
      <c r="AY256" s="47">
        <f ca="1">IF(AX256,(18+G256*0.722)*(1+J256)*(1-S256)*(1+$I$4)*IF(P256="会",'模拟-全程加成'!$J$3+'模拟-全程加成'!$J$4+'模拟-全程加成'!$J$5+('模拟-全程加成'!$I$4+'模拟-全程加成'!$I$5)/系数!$B$4+BG256*10%,IF(P256="命",1,IF(P256="识",0.25,0))),0)</f>
        <v>0</v>
      </c>
      <c r="AZ256" s="108">
        <f t="shared" si="218"/>
        <v>11.697500000000005</v>
      </c>
      <c r="BA256" s="108" t="b">
        <f>AND(模拟模式!$Q$10="有",AZ255=0)</f>
        <v>0</v>
      </c>
      <c r="BB256" s="140">
        <f>IF(BA256,(0+G256*0.287)*(1+J256)*(1-S256)*(1+$I$4)*IF(P256="会",'模拟-全程加成'!$J$3+'模拟-全程加成'!$J$4+'模拟-全程加成'!$J$5+('模拟-全程加成'!$I$4+'模拟-全程加成'!$I$5)/系数!$B$4+BG256*10%,IF(P256="命",1,IF(P256="识",0.25,0))),0)</f>
        <v>0</v>
      </c>
      <c r="BC256" s="115" t="b">
        <f ca="1">AND(模拟模式!$R$7="伏明众生",E256=60,F256=20,DA256&lt;5,CZ255&lt;$F$4)</f>
        <v>0</v>
      </c>
      <c r="BD256" s="115">
        <f t="shared" ca="1" si="180"/>
        <v>0</v>
      </c>
      <c r="BE256" s="115" t="b">
        <f t="shared" ca="1" si="181"/>
        <v>0</v>
      </c>
      <c r="BF256" s="47">
        <f ca="1">IF(BC256,4*('模拟-单技能数据'!$D$24+G256*'模拟-单技能数据'!$F$24)*(1+J256)*(1+'模拟-单技能数据'!$J$24)*(1-S256)*(1+$I$3)*(('模拟-全程加成'!$J$3+'模拟-全程加成'!$J$4+'模拟-全程加成'!$J$5+('模拟-全程加成'!$I$4+'模拟-全程加成'!$I$5)/系数!$B$4+BG256*10%)*('模拟-全程加成'!$J$3+'模拟-全程加成'!$J$4+'模拟-全程加成'!$J$5+('模拟-全程加成'!$I$4+'模拟-全程加成'!$I$5)/系数!$B$4+BG256*10%)+(1-('模拟-全程加成'!$J$3+'模拟-全程加成'!$J$4+'模拟-全程加成'!$J$5+('模拟-全程加成'!$I$4+'模拟-全程加成'!$I$5)/系数!$B$4+BG256*10%)-$F$10-$F$11)+F242*0.25),0)*'模拟-单技能数据'!$I$24</f>
        <v>0</v>
      </c>
      <c r="BG256" s="115" t="b">
        <f ca="1">OR(AND(OR(C256="烈日斩",C256="银月斩"),模拟模式!$I$7="净身明礼"),AND(C256="净世破魔击·日",模拟模式!$J$7="洞若观火"),AND(C257="净世破魔击·月",模拟模式!$J$7="洞若观火"),AB256=1)</f>
        <v>1</v>
      </c>
      <c r="BH256" s="115" t="b">
        <f t="shared" ca="1" si="219"/>
        <v>1</v>
      </c>
      <c r="BI256" s="115">
        <f t="shared" ca="1" si="182"/>
        <v>6</v>
      </c>
      <c r="BJ256" s="115" t="b">
        <f t="shared" ca="1" si="193"/>
        <v>1</v>
      </c>
      <c r="BK256" s="115" t="b">
        <f ca="1">AND(C256="驱夜断愁",模拟模式!$P$7="天地诛戮")</f>
        <v>0</v>
      </c>
      <c r="BL256" s="57">
        <f t="shared" ca="1" si="183"/>
        <v>11.697500000000005</v>
      </c>
      <c r="BM256" s="115" t="b">
        <f t="shared" ca="1" si="194"/>
        <v>1</v>
      </c>
      <c r="BN256" s="115" t="b">
        <f ca="1">AND(OR(C256="赤日轮1",C256="赤日轮2",C256="赤日轮3",C256="幽月轮1",C256="幽月轮2",C256="幽月轮3"),AB256=1,模拟模式!$L$7="明光恒照")</f>
        <v>0</v>
      </c>
      <c r="BO256" s="117">
        <f t="shared" ca="1" si="184"/>
        <v>26.310000000000002</v>
      </c>
      <c r="BP256" s="115">
        <f t="shared" ca="1" si="220"/>
        <v>6</v>
      </c>
      <c r="BQ256" s="115" t="b">
        <f>模拟模式!$K$10="2600·水"</f>
        <v>0</v>
      </c>
      <c r="BR256" s="117">
        <f t="shared" si="221"/>
        <v>0</v>
      </c>
      <c r="BS256" s="115">
        <f t="shared" si="222"/>
        <v>0</v>
      </c>
      <c r="BT256" s="115">
        <f t="shared" ca="1" si="223"/>
        <v>0</v>
      </c>
      <c r="BU256" s="115" t="b">
        <f ca="1">AND(模拟模式!$K$10="2300·雷",BT255=0,RAND()&lt;IF(C256="净世破魔击·月",5*0.05*2/3,IF(C256="净世破魔击·日",3*0.05*2/3,0.05*2*2/3)))</f>
        <v>0</v>
      </c>
      <c r="BV256" s="115">
        <f t="shared" ca="1" si="224"/>
        <v>0</v>
      </c>
      <c r="BW256" s="115">
        <f t="shared" ca="1" si="225"/>
        <v>160.62749999999971</v>
      </c>
      <c r="BX256" s="164" t="b">
        <f t="shared" ca="1" si="226"/>
        <v>0</v>
      </c>
      <c r="BY256" s="115">
        <f t="shared" ca="1" si="227"/>
        <v>0</v>
      </c>
      <c r="BZ256" s="115">
        <f>IF(OR(模拟模式!$P$16="10人团",模拟模式!$P$16="25人团"),IF(B256/30&gt;CA255,1,0),0)</f>
        <v>0</v>
      </c>
      <c r="CA256" s="115">
        <f t="shared" si="203"/>
        <v>0</v>
      </c>
      <c r="CB256" s="115">
        <f ca="1">IF(BZ256=1,IF(模拟模式!$P$16="10人团",15,0)+IF(模拟模式!$P$16="25人团",IF(RAND()&lt;0.6,15,0)),MAX(0,CB255-$F$4))</f>
        <v>0</v>
      </c>
      <c r="CC256" s="115" t="b">
        <f t="shared" ca="1" si="195"/>
        <v>0</v>
      </c>
      <c r="CD256" s="115">
        <f>IF(模拟模式!$Q$16="1个",IF(B256/40&gt;CE255,1,0),0)</f>
        <v>0</v>
      </c>
      <c r="CE256" s="115">
        <f t="shared" si="196"/>
        <v>0</v>
      </c>
      <c r="CF256" s="115">
        <f>IF(OR(CD256=1,模拟模式!$Q$16="2个"),20,MAX(0,CF255-$F$4))</f>
        <v>0</v>
      </c>
      <c r="CG256" s="115" t="b">
        <f t="shared" si="197"/>
        <v>0</v>
      </c>
      <c r="CH256" s="115">
        <f t="shared" ca="1" si="228"/>
        <v>19.852500000000006</v>
      </c>
      <c r="CI256" s="115" t="b">
        <f t="shared" ca="1" si="229"/>
        <v>0</v>
      </c>
      <c r="CJ256" s="119">
        <f t="shared" ca="1" si="230"/>
        <v>0</v>
      </c>
      <c r="CK256" s="115">
        <f t="shared" ca="1" si="231"/>
        <v>0</v>
      </c>
      <c r="CL256" s="115" t="b">
        <f ca="1">AND(模拟模式!$S$7="驱夷逐法",OR(AND(C256="净世破魔击·月",E255&gt;59),AND(C256="净世破魔击·日",F255&gt;59)))</f>
        <v>0</v>
      </c>
      <c r="CM256" s="115" t="b">
        <f ca="1">OR(CL256,AND(C256="净世破魔击·日",CL255,RAND()&lt;模拟模式!$U$23))</f>
        <v>0</v>
      </c>
      <c r="CN256" s="115" t="b">
        <f ca="1">IF(模拟模式!$M$7="辉耀红尘",AND(C256="净世破魔击·月",CL256,CV256=0,E255&lt;80),AND(C256="净世破魔击·月",CL256,E255&lt;100))</f>
        <v>0</v>
      </c>
      <c r="CO256" s="115" t="b">
        <f t="shared" ca="1" si="204"/>
        <v>0</v>
      </c>
      <c r="CP256" s="115" t="b">
        <f ca="1">AND(模拟模式!$O$7="用晦而明",OR(C256="净世破魔击·日",C256="净世破魔击·月",C256="驱夜断愁"),AB256)</f>
        <v>1</v>
      </c>
      <c r="CQ256" s="115" t="b">
        <f ca="1">OR(CP256,AND(CP255,RAND()&lt;模拟模式!$U$23))</f>
        <v>1</v>
      </c>
      <c r="CR256" s="115" t="b">
        <f ca="1">AND(模拟模式!$S$7="日月齐光",OR(C256="幽月轮1",C256="幽月轮2",C256="幽月轮3",CR255),NOT(OR(C256="赤日轮1",C256="赤日轮2",C256="赤日轮3")))</f>
        <v>0</v>
      </c>
      <c r="CS256" s="115" t="b">
        <f ca="1">AND(模拟模式!$S$7="日月齐光",OR(C256="赤日轮1",C256="赤日轮2",C256="赤日轮3",CS255),NOT(OR(C256="幽月轮1",C256="幽月轮2",C256="幽月轮3")))</f>
        <v>0</v>
      </c>
      <c r="CT256" s="115">
        <f t="shared" ca="1" si="232"/>
        <v>26.310000000000002</v>
      </c>
      <c r="CU256" s="115" t="b">
        <f ca="1">AND(模拟模式!$K$10="阴阳往极",CT255=0,RAND()&lt;IF(C256="净世破魔击·月",0.0275*7/3,IF(C256="净世破魔击·日",0.0275*3/3,0.0275*2/3)))</f>
        <v>0</v>
      </c>
      <c r="CV256" s="115">
        <f t="shared" ca="1" si="233"/>
        <v>0.38750000000000007</v>
      </c>
      <c r="CW256" s="115">
        <f t="shared" ca="1" si="205"/>
        <v>0</v>
      </c>
      <c r="CX256" s="115">
        <f t="shared" ca="1" si="206"/>
        <v>0</v>
      </c>
      <c r="CY256" s="115">
        <f ca="1">MAX(IF($C256="驱夜断愁",IF(模拟模式!$R$7="万念俱寂",6,45),CY255-$F$4),0)</f>
        <v>0</v>
      </c>
      <c r="CZ256" s="115">
        <f t="shared" ca="1" si="207"/>
        <v>0</v>
      </c>
      <c r="DA256" s="115">
        <f ca="1">IF(模拟模式!$N$7="日月同辉",IF(DB255=2,0,MIN(6,IF(AND(OR(C256="赤日轮1",C256="赤日轮2",C256="赤日轮3",C256="幽月轮1",C256="幽月轮2",C256="幽月轮3"),AB256=1),DA255+1,DA255))),0)</f>
        <v>4</v>
      </c>
      <c r="DB256" s="115">
        <f t="shared" ca="1" si="208"/>
        <v>0</v>
      </c>
      <c r="DC256" s="115"/>
      <c r="DD256" s="115"/>
      <c r="DE256" s="115"/>
      <c r="DF256" s="115"/>
      <c r="DG256" s="115"/>
      <c r="DH256" s="115"/>
      <c r="DI256" s="115"/>
      <c r="DJ256" s="115"/>
      <c r="DK256" s="115"/>
      <c r="DL256" s="115"/>
      <c r="DM256" s="115"/>
    </row>
    <row r="257" spans="2:117" x14ac:dyDescent="0.2">
      <c r="B257" s="117">
        <f t="shared" si="209"/>
        <v>212.17500000000118</v>
      </c>
      <c r="C257" s="167" t="str">
        <f t="shared" ca="1" si="202"/>
        <v>净世破魔击·月</v>
      </c>
      <c r="D257" s="115">
        <f ca="1">IF(C257="赤日轮1",1,IF(C257="赤日轮2",2,IF(C257="赤日轮3",3,IF(C257="幽月轮1",4,IF(C257="幽月轮2",5,IF(C257="幽月轮3",6,IF(C257="烈日斩",7,IF(C257="银月斩",8,IF(C257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257="净世破魔击·月",17,IF(C257="驱夜断愁",18,0)))))))))))</f>
        <v>17</v>
      </c>
      <c r="E257" s="115">
        <f ca="1">IF(AND(CU257,OR(C257="幽月轮1",C257="幽月轮2",C257="幽月轮3",C257="银月斩",C257="驱夜断愁",C257="净世破魔击·月")),100,MIN(IF(OR(CN257,BE257),0,IF(OR($C257="赤日轮1",$C257="赤日轮2",$C257="赤日轮3"),E256+20+IF(模拟模式!$I$7="日月凌天",4,0)+IF(CR256,20,0),IF($C257="烈日斩",E256+40,IF($C257="驱夜断愁",IF(模拟模式!$R$7="万念俱寂",E256+20,E256+60),IF($C257="净世破魔击·月",IF(OR(DB256&gt;0,CV256&gt;0),100,IF(模拟模式!$M$7="辉耀红尘",E256+20,E256)),IF($C257="净世破魔击·日",E256-100,E256)))))),100))</f>
        <v>100</v>
      </c>
      <c r="F257" s="115">
        <f ca="1">IF(AND(CU257,OR(C257="赤日轮1",C257="赤日轮2",C257="赤日轮3",C257="烈日斩",C257="净世破魔击·日")),100,MIN(IF(CO257,0,IF(OR($C257="幽月轮1",$C257="幽月轮2",$C257="幽月轮3"),F256+20+IF(模拟模式!$I$7="日月凌天",4,0)+IF(CS256,20,0),IF($C257="银月斩",F256+40+IF(模拟模式!$X$12=1,5,0),IF($C257="驱夜断愁",IF(模拟模式!$R$7="万念俱寂",F256+20,F256+60),IF($C257="净世破魔击·月",IF(模拟模式!$M$7="辉耀红尘",F256-80,F256-100),IF(AND(C257="净世破魔击·日",OR(DB256&gt;0,CV256&gt;0)),100,F256)))))),100))</f>
        <v>20</v>
      </c>
      <c r="G257" s="117">
        <f ca="1">('模拟-全程加成'!$E$3+'模拟-全程加成'!$E$4+'模拟-全程加成'!$E$5+('模拟-全程加成'!$C$6-'模拟-全程加成'!$C$3)*系数!$B$9+BS257*23)*(1+'模拟-全程加成'!$F$4+'模拟-全程加成'!$F$5+BJ257*10%+BM257*20%+BP257*4%+CG257*30%)+$F$7*系数!$B$12</f>
        <v>21493.829400000002</v>
      </c>
      <c r="H257" s="45">
        <f ca="1">'模拟-全程加成'!$H$3+'模拟-全程加成'!$H$4+'模拟-全程加成'!$H$5+('模拟-全程加成'!$G$4+'模拟-全程加成'!$G$5+('模拟-全程加成'!$C$6-'模拟-全程加成'!$C$3)*系数!$B$13)/系数!$B$3+LOOKUP(D257,'模拟-单技能数据'!$A$2:$A$19,'模拟-单技能数据'!$K$2:$K$19)+BG257*10%+IF(BV257&gt;0,378,0)</f>
        <v>0.54185145527300216</v>
      </c>
      <c r="I257" s="45">
        <f ca="1">'模拟-全程加成'!$J$3+'模拟-全程加成'!$J$4+'模拟-全程加成'!$J$5+('模拟-全程加成'!$I$4+'模拟-全程加成'!$I$5)/系数!$B$4+LOOKUP(D257,'模拟-单技能数据'!$A$2:$A$19,'模拟-单技能数据'!$L$2:$L$19)+BG257*10%</f>
        <v>2.162482885499879</v>
      </c>
      <c r="J257" s="45">
        <f ca="1">(('模拟-全程加成'!$K$3+'模拟-全程加成'!$K$4+'模拟-全程加成'!$K$5+('模拟-全程加成'!$C$6-'模拟-全程加成'!$C$3)*系数!$B$10+IF(BV257&gt;0,882,0)+IF(BY257&gt;0,1831,0))*(1+'模拟-全程加成'!$L$4+'模拟-全程加成'!$L$5+CC257*20%))/系数!$B$5</f>
        <v>0.69723220422048726</v>
      </c>
      <c r="K257" s="119">
        <f ca="1">LOOKUP(D257,'模拟-单技能数据'!$A$2:$A$19,'模拟-单技能数据'!$J$2:$J$19)+IF(CM257,60%,0)+IF(DB256-DB257&gt;0,30%,0)+IF(OR(AND(OR(C257="赤日轮1",C257="赤日轮2",C257="赤日轮3"),CR257),AND(OR(C257="幽月轮1",C257="幽月轮2",C257="幽月轮3"),CS257)),35%,0)+CJ257</f>
        <v>0.2</v>
      </c>
      <c r="L257" s="119">
        <f ca="1">IF(AND(C257="烈日斩",模拟模式!$X$11=1),10%,0)+IF(AND(C257="驱夜断愁",AB257=1),30%,0)</f>
        <v>0</v>
      </c>
      <c r="M257" s="45">
        <f t="shared" ca="1" si="185"/>
        <v>0.54185145527300216</v>
      </c>
      <c r="N257" s="45">
        <f t="shared" ca="1" si="186"/>
        <v>0.40424854472699789</v>
      </c>
      <c r="O257" s="46">
        <f t="shared" ca="1" si="210"/>
        <v>0.2249064678626338</v>
      </c>
      <c r="P257" s="46" t="str">
        <f t="shared" ca="1" si="211"/>
        <v>会</v>
      </c>
      <c r="Q257" s="45">
        <f t="shared" ca="1" si="212"/>
        <v>2.162482885499879</v>
      </c>
      <c r="R257" s="117">
        <f ca="1">模拟模式!$E$20*(1-IF(模拟模式!$J$19="有",0.15,0))*(1-IF(模拟模式!$K$19="有",0.3,0)-IF(CQ257,0.5,0))</f>
        <v>843.02999999999975</v>
      </c>
      <c r="S257" s="45">
        <f ca="1">R257/(R257+(185*模拟模式!$E$22-16800)*4.08224)</f>
        <v>8.389626085980037E-2</v>
      </c>
      <c r="T257" s="45" t="str">
        <f ca="1">LOOKUP(D257,'模拟-单技能数据'!$A$2:$A$19,'模拟-单技能数据'!$H$2:$H$19)</f>
        <v>阴</v>
      </c>
      <c r="U257" s="119">
        <f t="shared" ca="1" si="187"/>
        <v>0.08</v>
      </c>
      <c r="V257" s="47">
        <f ca="1">(1+L257)*(LOOKUP(D257,'模拟-单技能数据'!$A$2:$A$19,'模拟-单技能数据'!$D$2:$D$19)+G257*LOOKUP(D257,'模拟-单技能数据'!$A$2:$A$19,'模拟-单技能数据'!$F$2:$F$19))*(1+J257)*(1+K257)*(1-S257)*(1+U257)*Q257*LOOKUP(D257,'模拟-单技能数据'!$A$2:$A$19,'模拟-单技能数据'!$I$2:$I$20)</f>
        <v>121694.14741267689</v>
      </c>
      <c r="W257" s="47">
        <f ca="1">LOOKUP(D257,'模拟-单技能数据'!$A$2:$A$19,'模拟-单技能数据'!$G$2:$G$19)*$I$10</f>
        <v>361.51064354704795</v>
      </c>
      <c r="X257" s="47">
        <f t="shared" ca="1" si="213"/>
        <v>29658.055838926091</v>
      </c>
      <c r="Y257" s="47">
        <f t="shared" ca="1" si="188"/>
        <v>151713.71389515002</v>
      </c>
      <c r="Z257" s="49">
        <f t="shared" ca="1" si="189"/>
        <v>24589490.862836882</v>
      </c>
      <c r="AA257" s="97">
        <f t="shared" ca="1" si="190"/>
        <v>115892.49846983267</v>
      </c>
      <c r="AB257" s="115">
        <f ca="1">IF(OR(C257="赤日轮1",C257="赤日轮2",C257="赤日轮3"),IF(RAND()&lt;模拟模式!$Y$17,1,0),IF(OR(C257="幽月轮1",C257="幽月轮2",C257="幽月轮3"),IF(RAND()&lt;模拟模式!$Y$18,1,0),IF(C257="烈日斩",IF(RAND()&lt;模拟模式!$Y$19,1,0),IF(C257="银月斩",IF(RAND()&lt;模拟模式!$Y$20,1,0),IF(C257="驱夜断愁",IF(RAND()&lt;模拟模式!$Y$21,1,0),IF(C257="净世破魔击·日",IF(RAND()&lt;模拟模式!$Y$22,1,0),IF(C257="净世破魔击·月",IF(RAND()&lt;模拟模式!$Y$23,1,0),0)))))))</f>
        <v>1</v>
      </c>
      <c r="AC257" s="115" t="b">
        <f t="shared" ca="1" si="178"/>
        <v>0</v>
      </c>
      <c r="AD257" s="115" t="b">
        <f t="shared" ca="1" si="198"/>
        <v>1</v>
      </c>
      <c r="AE257" s="115">
        <f t="shared" ca="1" si="199"/>
        <v>0</v>
      </c>
      <c r="AF257" s="47">
        <f ca="1">IF(AC257,('模拟-单技能数据'!$D$20+G257*'模拟-单技能数据'!$F$20)*(1+J257)*(1+'模拟-单技能数据'!$J$20)*(1+U257),0)</f>
        <v>0</v>
      </c>
      <c r="AG257" s="61">
        <f t="shared" ca="1" si="191"/>
        <v>0.64185145527300214</v>
      </c>
      <c r="AH257" s="61">
        <f t="shared" ca="1" si="192"/>
        <v>2.2624828854998791</v>
      </c>
      <c r="AI257" s="62">
        <f t="shared" ca="1" si="214"/>
        <v>0.52882056752291517</v>
      </c>
      <c r="AJ257" s="47">
        <f ca="1">IF(AD257,IF(AI257&lt;$F$10,0,IF(AI257&lt;$F$10+$F$11,0.25,IF(AI257&lt;$F$10+$F$11+AG257,AH257,1)))*IF(AF257&gt;0,AF257,IF(AF256&gt;0,AF256,IF(AF255&gt;0,AF255,IF(AF254&gt;0,AF254,IF(AF253&gt;0,AF253,IF(AF252&gt;0,AF252,IF(AF251&gt;0,AF251,IF(AF250&gt;0,AF250,IF(AF249&gt;0,AF249,IF(AF247&gt;0,AF247,IF(AF246&gt;0,AF246,IF(AF245&gt;0,AF245,0)))))))))))),0)*(1-$S257)*'模拟-单技能数据'!$I$20</f>
        <v>10093.953229098464</v>
      </c>
      <c r="AK257" s="115" t="b">
        <f t="shared" ca="1" si="179"/>
        <v>0</v>
      </c>
      <c r="AL257" s="115" t="b">
        <f t="shared" ca="1" si="200"/>
        <v>1</v>
      </c>
      <c r="AM257" s="115">
        <f t="shared" ca="1" si="201"/>
        <v>5</v>
      </c>
      <c r="AN257" s="47">
        <f ca="1">IF(AK257,('模拟-单技能数据'!$D$21+G257*'模拟-单技能数据'!$F$21)*(1+J257)*(1+'模拟-单技能数据'!$J$21)*(1+U257),0)</f>
        <v>0</v>
      </c>
      <c r="AO257" s="61">
        <f ca="1">IF(AN257&gt;0,M257-'模拟-单技能数据'!$K$10,AO256)</f>
        <v>0.42185145527300216</v>
      </c>
      <c r="AP257" s="61">
        <f ca="1">IF(AN257&gt;0,I257-'模拟-单技能数据'!$L$10,AP256)</f>
        <v>2.162482885499879</v>
      </c>
      <c r="AQ257" s="63">
        <f t="shared" ca="1" si="215"/>
        <v>0.63450685332028844</v>
      </c>
      <c r="AR257" s="64">
        <f ca="1">IF(AL257,IF(AQ257&lt;$F$10,0,IF(AQ257&lt;$F$10+$F$11,0.25,IF(AQ257&lt;$F$10+$F$11+AO257,AP257,1)))*IF(AN257&gt;0,AN257,IF(AN256&gt;0,AN256,IF(AN255&gt;0,AN255,IF(AN254&gt;0,AN254,IF(AN253&gt;0,AN253,IF(AN252&gt;0,AN252,IF(AN251&gt;0,AN251,IF(AN250&gt;0,AN250,IF(AN249&gt;0,AN249,IF(AN247&gt;0,AN247,IF(AN246&gt;0,AN246,IF(AN245&gt;0,AN245,0)))))))))))),0)*(1-$S257)*'模拟-单技能数据'!$I$21</f>
        <v>11607.89185245618</v>
      </c>
      <c r="AS257" s="61">
        <f ca="1">IF(OR(C257="净世破魔击·日",C257="净世破魔击·月"),M257-'模拟-单技能数据'!$K$10,0)</f>
        <v>0.42185145527300216</v>
      </c>
      <c r="AT257" s="61">
        <f ca="1">IF(OR(C257="净世破魔击·日",C257="净世破魔击·月"),I257-'模拟-单技能数据'!$L$10,0)</f>
        <v>2.162482885499879</v>
      </c>
      <c r="AU257" s="62">
        <f t="shared" ca="1" si="216"/>
        <v>0.9726653739087141</v>
      </c>
      <c r="AV257" s="64">
        <f ca="1">IF(AS257&gt;0,('模拟-单技能数据'!$D$22+G257*'模拟-单技能数据'!$F$22)*(1+J257)*(1-S257)*IF(AU257&lt;$F$10,0,IF(AU257&lt;$F$10+$F$11,0.25,IF(AU257&lt;$F$10+$F$11+AS257,AT257,1)))*(1+U257),0)*'模拟-单技能数据'!$I$22</f>
        <v>7956.2107573714466</v>
      </c>
      <c r="AW257" s="108">
        <f t="shared" ca="1" si="217"/>
        <v>3.3950000000000062</v>
      </c>
      <c r="AX257" s="108" t="b">
        <f ca="1">AND(模拟模式!$P$10="有",AW256=0,RAND()&lt;IF(C257="净世破魔击·月",0.1*8/3,IF(C257="净世破魔击·日",0.1*4/3,0.1*2/3)))</f>
        <v>0</v>
      </c>
      <c r="AY257" s="47">
        <f ca="1">IF(AX257,(18+G257*0.722)*(1+J257)*(1-S257)*(1+$I$4)*IF(P257="会",'模拟-全程加成'!$J$3+'模拟-全程加成'!$J$4+'模拟-全程加成'!$J$5+('模拟-全程加成'!$I$4+'模拟-全程加成'!$I$5)/系数!$B$4+BG257*10%,IF(P257="命",1,IF(P257="识",0.25,0))),0)</f>
        <v>0</v>
      </c>
      <c r="AZ257" s="108">
        <f t="shared" si="218"/>
        <v>10.775000000000006</v>
      </c>
      <c r="BA257" s="108" t="b">
        <f>AND(模拟模式!$Q$10="有",AZ256=0)</f>
        <v>0</v>
      </c>
      <c r="BB257" s="140">
        <f>IF(BA257,(0+G257*0.287)*(1+J257)*(1-S257)*(1+$I$4)*IF(P257="会",'模拟-全程加成'!$J$3+'模拟-全程加成'!$J$4+'模拟-全程加成'!$J$5+('模拟-全程加成'!$I$4+'模拟-全程加成'!$I$5)/系数!$B$4+BG257*10%,IF(P257="命",1,IF(P257="识",0.25,0))),0)</f>
        <v>0</v>
      </c>
      <c r="BC257" s="115" t="b">
        <f ca="1">AND(模拟模式!$R$7="伏明众生",E257=60,F257=20,DA257&lt;5,CZ256&lt;$F$4)</f>
        <v>0</v>
      </c>
      <c r="BD257" s="115">
        <f t="shared" ca="1" si="180"/>
        <v>0</v>
      </c>
      <c r="BE257" s="115" t="b">
        <f t="shared" ca="1" si="181"/>
        <v>0</v>
      </c>
      <c r="BF257" s="47">
        <f ca="1">IF(BC257,4*('模拟-单技能数据'!$D$24+G257*'模拟-单技能数据'!$F$24)*(1+J257)*(1+'模拟-单技能数据'!$J$24)*(1-S257)*(1+$I$3)*(('模拟-全程加成'!$J$3+'模拟-全程加成'!$J$4+'模拟-全程加成'!$J$5+('模拟-全程加成'!$I$4+'模拟-全程加成'!$I$5)/系数!$B$4+BG257*10%)*('模拟-全程加成'!$J$3+'模拟-全程加成'!$J$4+'模拟-全程加成'!$J$5+('模拟-全程加成'!$I$4+'模拟-全程加成'!$I$5)/系数!$B$4+BG257*10%)+(1-('模拟-全程加成'!$J$3+'模拟-全程加成'!$J$4+'模拟-全程加成'!$J$5+('模拟-全程加成'!$I$4+'模拟-全程加成'!$I$5)/系数!$B$4+BG257*10%)-$F$10-$F$11)+F243*0.25),0)*'模拟-单技能数据'!$I$24</f>
        <v>0</v>
      </c>
      <c r="BG257" s="115" t="b">
        <f ca="1">OR(AND(OR(C257="烈日斩",C257="银月斩"),模拟模式!$I$7="净身明礼"),AND(C257="净世破魔击·日",模拟模式!$J$7="洞若观火"),AND(C258="净世破魔击·月",模拟模式!$J$7="洞若观火"),AB257=1)</f>
        <v>1</v>
      </c>
      <c r="BH257" s="115" t="b">
        <f t="shared" ca="1" si="219"/>
        <v>0</v>
      </c>
      <c r="BI257" s="115">
        <f t="shared" ca="1" si="182"/>
        <v>5.0774999999999997</v>
      </c>
      <c r="BJ257" s="115" t="b">
        <f t="shared" ca="1" si="193"/>
        <v>1</v>
      </c>
      <c r="BK257" s="115" t="b">
        <f ca="1">AND(C257="驱夜断愁",模拟模式!$P$7="天地诛戮")</f>
        <v>0</v>
      </c>
      <c r="BL257" s="57">
        <f t="shared" ca="1" si="183"/>
        <v>10.775000000000006</v>
      </c>
      <c r="BM257" s="115" t="b">
        <f t="shared" ca="1" si="194"/>
        <v>1</v>
      </c>
      <c r="BN257" s="115" t="b">
        <f ca="1">AND(OR(C257="赤日轮1",C257="赤日轮2",C257="赤日轮3",C257="幽月轮1",C257="幽月轮2",C257="幽月轮3"),AB257=1,模拟模式!$L$7="明光恒照")</f>
        <v>0</v>
      </c>
      <c r="BO257" s="117">
        <f t="shared" ca="1" si="184"/>
        <v>25.387500000000003</v>
      </c>
      <c r="BP257" s="115">
        <f t="shared" ca="1" si="220"/>
        <v>6</v>
      </c>
      <c r="BQ257" s="115" t="b">
        <f>模拟模式!$K$10="2600·水"</f>
        <v>0</v>
      </c>
      <c r="BR257" s="117">
        <f t="shared" si="221"/>
        <v>0</v>
      </c>
      <c r="BS257" s="115">
        <f t="shared" si="222"/>
        <v>0</v>
      </c>
      <c r="BT257" s="115">
        <f t="shared" ca="1" si="223"/>
        <v>0</v>
      </c>
      <c r="BU257" s="115" t="b">
        <f ca="1">AND(模拟模式!$K$10="2300·雷",BT256=0,RAND()&lt;IF(C257="净世破魔击·月",5*0.05*2/3,IF(C257="净世破魔击·日",3*0.05*2/3,0.05*2*2/3)))</f>
        <v>0</v>
      </c>
      <c r="BV257" s="115">
        <f t="shared" ca="1" si="224"/>
        <v>0</v>
      </c>
      <c r="BW257" s="115">
        <f t="shared" ca="1" si="225"/>
        <v>159.7049999999997</v>
      </c>
      <c r="BX257" s="164" t="b">
        <f t="shared" ca="1" si="226"/>
        <v>0</v>
      </c>
      <c r="BY257" s="115">
        <f t="shared" ca="1" si="227"/>
        <v>0</v>
      </c>
      <c r="BZ257" s="115">
        <f>IF(OR(模拟模式!$P$16="10人团",模拟模式!$P$16="25人团"),IF(B257/30&gt;CA256,1,0),0)</f>
        <v>0</v>
      </c>
      <c r="CA257" s="115">
        <f t="shared" si="203"/>
        <v>0</v>
      </c>
      <c r="CB257" s="115">
        <f ca="1">IF(BZ257=1,IF(模拟模式!$P$16="10人团",15,0)+IF(模拟模式!$P$16="25人团",IF(RAND()&lt;0.6,15,0)),MAX(0,CB256-$F$4))</f>
        <v>0</v>
      </c>
      <c r="CC257" s="115" t="b">
        <f t="shared" ca="1" si="195"/>
        <v>0</v>
      </c>
      <c r="CD257" s="115">
        <f>IF(模拟模式!$Q$16="1个",IF(B257/40&gt;CE256,1,0),0)</f>
        <v>0</v>
      </c>
      <c r="CE257" s="115">
        <f t="shared" si="196"/>
        <v>0</v>
      </c>
      <c r="CF257" s="115">
        <f>IF(OR(CD257=1,模拟模式!$Q$16="2个"),20,MAX(0,CF256-$F$4))</f>
        <v>0</v>
      </c>
      <c r="CG257" s="115" t="b">
        <f t="shared" si="197"/>
        <v>0</v>
      </c>
      <c r="CH257" s="115">
        <f t="shared" ca="1" si="228"/>
        <v>18.930000000000007</v>
      </c>
      <c r="CI257" s="115" t="b">
        <f t="shared" ca="1" si="229"/>
        <v>0</v>
      </c>
      <c r="CJ257" s="119">
        <f t="shared" ca="1" si="230"/>
        <v>0</v>
      </c>
      <c r="CK257" s="115">
        <f t="shared" ca="1" si="231"/>
        <v>0</v>
      </c>
      <c r="CL257" s="115" t="b">
        <f ca="1">AND(模拟模式!$S$7="驱夷逐法",OR(AND(C257="净世破魔击·月",E256&gt;59),AND(C257="净世破魔击·日",F256&gt;59)))</f>
        <v>0</v>
      </c>
      <c r="CM257" s="115" t="b">
        <f ca="1">OR(CL257,AND(C257="净世破魔击·日",CL256,RAND()&lt;模拟模式!$U$23))</f>
        <v>0</v>
      </c>
      <c r="CN257" s="115" t="b">
        <f ca="1">IF(模拟模式!$M$7="辉耀红尘",AND(C257="净世破魔击·月",CL257,CV257=0,E256&lt;80),AND(C257="净世破魔击·月",CL257,E256&lt;100))</f>
        <v>0</v>
      </c>
      <c r="CO257" s="115" t="b">
        <f t="shared" ca="1" si="204"/>
        <v>0</v>
      </c>
      <c r="CP257" s="115" t="b">
        <f ca="1">AND(模拟模式!$O$7="用晦而明",OR(C257="净世破魔击·日",C257="净世破魔击·月",C257="驱夜断愁"),AB257)</f>
        <v>1</v>
      </c>
      <c r="CQ257" s="115" t="b">
        <f ca="1">OR(CP257,AND(CP256,RAND()&lt;模拟模式!$U$23))</f>
        <v>1</v>
      </c>
      <c r="CR257" s="115" t="b">
        <f ca="1">AND(模拟模式!$S$7="日月齐光",OR(C257="幽月轮1",C257="幽月轮2",C257="幽月轮3",CR256),NOT(OR(C257="赤日轮1",C257="赤日轮2",C257="赤日轮3")))</f>
        <v>0</v>
      </c>
      <c r="CS257" s="115" t="b">
        <f ca="1">AND(模拟模式!$S$7="日月齐光",OR(C257="赤日轮1",C257="赤日轮2",C257="赤日轮3",CS256),NOT(OR(C257="幽月轮1",C257="幽月轮2",C257="幽月轮3")))</f>
        <v>0</v>
      </c>
      <c r="CT257" s="115">
        <f t="shared" ca="1" si="232"/>
        <v>25.387500000000003</v>
      </c>
      <c r="CU257" s="115" t="b">
        <f ca="1">AND(模拟模式!$K$10="阴阳往极",CT256=0,RAND()&lt;IF(C257="净世破魔击·月",0.0275*7/3,IF(C257="净世破魔击·日",0.0275*3/3,0.0275*2/3)))</f>
        <v>0</v>
      </c>
      <c r="CV257" s="115">
        <f t="shared" ca="1" si="233"/>
        <v>0</v>
      </c>
      <c r="CW257" s="115">
        <f t="shared" ca="1" si="205"/>
        <v>0</v>
      </c>
      <c r="CX257" s="115">
        <f t="shared" ca="1" si="206"/>
        <v>0</v>
      </c>
      <c r="CY257" s="115">
        <f ca="1">MAX(IF($C257="驱夜断愁",IF(模拟模式!$R$7="万念俱寂",6,45),CY256-$F$4),0)</f>
        <v>0</v>
      </c>
      <c r="CZ257" s="115">
        <f t="shared" ca="1" si="207"/>
        <v>0</v>
      </c>
      <c r="DA257" s="115">
        <f ca="1">IF(模拟模式!$N$7="日月同辉",IF(DB256=2,0,MIN(6,IF(AND(OR(C257="赤日轮1",C257="赤日轮2",C257="赤日轮3",C257="幽月轮1",C257="幽月轮2",C257="幽月轮3"),AB257=1),DA256+1,DA256))),0)</f>
        <v>4</v>
      </c>
      <c r="DB257" s="115">
        <f t="shared" ca="1" si="208"/>
        <v>0</v>
      </c>
      <c r="DC257" s="115"/>
      <c r="DD257" s="115"/>
      <c r="DE257" s="115"/>
      <c r="DF257" s="115"/>
      <c r="DG257" s="115"/>
      <c r="DH257" s="115"/>
      <c r="DI257" s="115"/>
      <c r="DJ257" s="115"/>
      <c r="DK257" s="115"/>
      <c r="DL257" s="115"/>
      <c r="DM257" s="115"/>
    </row>
    <row r="258" spans="2:117" x14ac:dyDescent="0.2">
      <c r="B258" s="117">
        <f t="shared" si="209"/>
        <v>213.09750000000119</v>
      </c>
      <c r="C258" s="167" t="str">
        <f t="shared" ca="1" si="202"/>
        <v>净世破魔击·日</v>
      </c>
      <c r="D258" s="115">
        <f ca="1">IF(C258="赤日轮1",1,IF(C258="赤日轮2",2,IF(C258="赤日轮3",3,IF(C258="幽月轮1",4,IF(C258="幽月轮2",5,IF(C258="幽月轮3",6,IF(C258="烈日斩",7,IF(C258="银月斩",8,IF(C258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258="净世破魔击·月",17,IF(C258="驱夜断愁",18,0)))))))))))</f>
        <v>9</v>
      </c>
      <c r="E258" s="115">
        <f ca="1">IF(AND(CU258,OR(C258="幽月轮1",C258="幽月轮2",C258="幽月轮3",C258="银月斩",C258="驱夜断愁",C258="净世破魔击·月")),100,MIN(IF(OR(CN258,BE258),0,IF(OR($C258="赤日轮1",$C258="赤日轮2",$C258="赤日轮3"),E257+20+IF(模拟模式!$I$7="日月凌天",4,0)+IF(CR257,20,0),IF($C258="烈日斩",E257+40,IF($C258="驱夜断愁",IF(模拟模式!$R$7="万念俱寂",E257+20,E257+60),IF($C258="净世破魔击·月",IF(OR(DB257&gt;0,CV257&gt;0),100,IF(模拟模式!$M$7="辉耀红尘",E257+20,E257)),IF($C258="净世破魔击·日",E257-100,E257)))))),100))</f>
        <v>0</v>
      </c>
      <c r="F258" s="115">
        <f ca="1">IF(AND(CU258,OR(C258="赤日轮1",C258="赤日轮2",C258="赤日轮3",C258="烈日斩",C258="净世破魔击·日")),100,MIN(IF(CO258,0,IF(OR($C258="幽月轮1",$C258="幽月轮2",$C258="幽月轮3"),F257+20+IF(模拟模式!$I$7="日月凌天",4,0)+IF(CS257,20,0),IF($C258="银月斩",F257+40+IF(模拟模式!$X$12=1,5,0),IF($C258="驱夜断愁",IF(模拟模式!$R$7="万念俱寂",F257+20,F257+60),IF($C258="净世破魔击·月",IF(模拟模式!$M$7="辉耀红尘",F257-80,F257-100),IF(AND(C258="净世破魔击·日",OR(DB257&gt;0,CV257&gt;0)),100,F257)))))),100))</f>
        <v>20</v>
      </c>
      <c r="G258" s="117">
        <f ca="1">('模拟-全程加成'!$E$3+'模拟-全程加成'!$E$4+'模拟-全程加成'!$E$5+('模拟-全程加成'!$C$6-'模拟-全程加成'!$C$3)*系数!$B$9+BS258*23)*(1+'模拟-全程加成'!$F$4+'模拟-全程加成'!$F$5+BJ258*10%+BM258*20%+BP258*4%+CG258*30%)+$F$7*系数!$B$12</f>
        <v>21493.829400000002</v>
      </c>
      <c r="H258" s="45">
        <f ca="1">'模拟-全程加成'!$H$3+'模拟-全程加成'!$H$4+'模拟-全程加成'!$H$5+('模拟-全程加成'!$G$4+'模拟-全程加成'!$G$5+('模拟-全程加成'!$C$6-'模拟-全程加成'!$C$3)*系数!$B$13)/系数!$B$3+LOOKUP(D258,'模拟-单技能数据'!$A$2:$A$19,'模拟-单技能数据'!$K$2:$K$19)+BG258*10%+IF(BV258&gt;0,378,0)</f>
        <v>0.54185145527300216</v>
      </c>
      <c r="I258" s="45">
        <f ca="1">'模拟-全程加成'!$J$3+'模拟-全程加成'!$J$4+'模拟-全程加成'!$J$5+('模拟-全程加成'!$I$4+'模拟-全程加成'!$I$5)/系数!$B$4+LOOKUP(D258,'模拟-单技能数据'!$A$2:$A$19,'模拟-单技能数据'!$L$2:$L$19)+BG258*10%</f>
        <v>2.162482885499879</v>
      </c>
      <c r="J258" s="45">
        <f ca="1">(('模拟-全程加成'!$K$3+'模拟-全程加成'!$K$4+'模拟-全程加成'!$K$5+('模拟-全程加成'!$C$6-'模拟-全程加成'!$C$3)*系数!$B$10+IF(BV258&gt;0,882,0)+IF(BY258&gt;0,1831,0))*(1+'模拟-全程加成'!$L$4+'模拟-全程加成'!$L$5+CC258*20%))/系数!$B$5</f>
        <v>0.69723220422048726</v>
      </c>
      <c r="K258" s="119">
        <f ca="1">LOOKUP(D258,'模拟-单技能数据'!$A$2:$A$19,'模拟-单技能数据'!$J$2:$J$19)+IF(CM258,60%,0)+IF(DB257-DB258&gt;0,30%,0)+IF(OR(AND(OR(C258="赤日轮1",C258="赤日轮2",C258="赤日轮3"),CR258),AND(OR(C258="幽月轮1",C258="幽月轮2",C258="幽月轮3"),CS258)),35%,0)+CJ258</f>
        <v>0.2</v>
      </c>
      <c r="L258" s="119">
        <f ca="1">IF(AND(C258="烈日斩",模拟模式!$X$11=1),10%,0)+IF(AND(C258="驱夜断愁",AB258=1),30%,0)</f>
        <v>0</v>
      </c>
      <c r="M258" s="45">
        <f t="shared" ca="1" si="185"/>
        <v>0.54185145527300216</v>
      </c>
      <c r="N258" s="45">
        <f t="shared" ca="1" si="186"/>
        <v>0.40424854472699789</v>
      </c>
      <c r="O258" s="46">
        <f t="shared" ca="1" si="210"/>
        <v>0.7621710266405689</v>
      </c>
      <c r="P258" s="46" t="str">
        <f t="shared" ca="1" si="211"/>
        <v>命</v>
      </c>
      <c r="Q258" s="45">
        <f t="shared" ca="1" si="212"/>
        <v>1</v>
      </c>
      <c r="R258" s="117">
        <f ca="1">模拟模式!$E$20*(1-IF(模拟模式!$J$19="有",0.15,0))*(1-IF(模拟模式!$K$19="有",0.3,0)-IF(CQ258,0.5,0))</f>
        <v>843.02999999999975</v>
      </c>
      <c r="S258" s="45">
        <f ca="1">R258/(R258+(185*模拟模式!$E$22-16800)*4.08224)</f>
        <v>8.389626085980037E-2</v>
      </c>
      <c r="T258" s="45" t="str">
        <f ca="1">LOOKUP(D258,'模拟-单技能数据'!$A$2:$A$19,'模拟-单技能数据'!$H$2:$H$19)</f>
        <v>阳</v>
      </c>
      <c r="U258" s="119">
        <f t="shared" ca="1" si="187"/>
        <v>0.2</v>
      </c>
      <c r="V258" s="47">
        <f ca="1">(1+L258)*(LOOKUP(D258,'模拟-单技能数据'!$A$2:$A$19,'模拟-单技能数据'!$D$2:$D$19)+G258*LOOKUP(D258,'模拟-单技能数据'!$A$2:$A$19,'模拟-单技能数据'!$F$2:$F$19))*(1+J258)*(1+K258)*(1-S258)*(1+U258)*Q258*LOOKUP(D258,'模拟-单技能数据'!$A$2:$A$19,'模拟-单技能数据'!$I$2:$I$20)</f>
        <v>63050.243404268018</v>
      </c>
      <c r="W258" s="47">
        <f ca="1">LOOKUP(D258,'模拟-单技能数据'!$A$2:$A$19,'模拟-单技能数据'!$G$2:$G$19)*$I$10</f>
        <v>723.0212870940959</v>
      </c>
      <c r="X258" s="47">
        <f t="shared" ca="1" si="213"/>
        <v>2210.0585437142904</v>
      </c>
      <c r="Y258" s="47">
        <f t="shared" ca="1" si="188"/>
        <v>65983.323235076401</v>
      </c>
      <c r="Z258" s="49">
        <f t="shared" ca="1" si="189"/>
        <v>24655474.186071958</v>
      </c>
      <c r="AA258" s="97">
        <f t="shared" ca="1" si="190"/>
        <v>115700.43846629745</v>
      </c>
      <c r="AB258" s="115">
        <f ca="1">IF(OR(C258="赤日轮1",C258="赤日轮2",C258="赤日轮3"),IF(RAND()&lt;模拟模式!$Y$17,1,0),IF(OR(C258="幽月轮1",C258="幽月轮2",C258="幽月轮3"),IF(RAND()&lt;模拟模式!$Y$18,1,0),IF(C258="烈日斩",IF(RAND()&lt;模拟模式!$Y$19,1,0),IF(C258="银月斩",IF(RAND()&lt;模拟模式!$Y$20,1,0),IF(C258="驱夜断愁",IF(RAND()&lt;模拟模式!$Y$21,1,0),IF(C258="净世破魔击·日",IF(RAND()&lt;模拟模式!$Y$22,1,0),IF(C258="净世破魔击·月",IF(RAND()&lt;模拟模式!$Y$23,1,0),0)))))))</f>
        <v>1</v>
      </c>
      <c r="AC258" s="115" t="b">
        <f t="shared" ref="AC258:AC321" ca="1" si="234">C258="银月斩"</f>
        <v>0</v>
      </c>
      <c r="AD258" s="115" t="b">
        <f t="shared" ca="1" si="198"/>
        <v>0</v>
      </c>
      <c r="AE258" s="115">
        <f t="shared" ca="1" si="199"/>
        <v>0</v>
      </c>
      <c r="AF258" s="47">
        <f ca="1">IF(AC258,('模拟-单技能数据'!$D$20+G258*'模拟-单技能数据'!$F$20)*(1+J258)*(1+'模拟-单技能数据'!$J$20)*(1+U258),0)</f>
        <v>0</v>
      </c>
      <c r="AG258" s="61">
        <f t="shared" ca="1" si="191"/>
        <v>0.64185145527300214</v>
      </c>
      <c r="AH258" s="61">
        <f t="shared" ca="1" si="192"/>
        <v>2.2624828854998791</v>
      </c>
      <c r="AI258" s="62">
        <f t="shared" ca="1" si="214"/>
        <v>0.99950370999064542</v>
      </c>
      <c r="AJ258" s="47">
        <f ca="1">IF(AD258,IF(AI258&lt;$F$10,0,IF(AI258&lt;$F$10+$F$11,0.25,IF(AI258&lt;$F$10+$F$11+AG258,AH258,1)))*IF(AF258&gt;0,AF258,IF(AF257&gt;0,AF257,IF(AF256&gt;0,AF256,IF(AF255&gt;0,AF255,IF(AF254&gt;0,AF254,IF(AF253&gt;0,AF253,IF(AF252&gt;0,AF252,IF(AF251&gt;0,AF251,IF(AF250&gt;0,AF250,IF(AF248&gt;0,AF248,IF(AF247&gt;0,AF247,IF(AF246&gt;0,AF246,0)))))))))))),0)*(1-$S258)*'模拟-单技能数据'!$I$20</f>
        <v>0</v>
      </c>
      <c r="AK258" s="115" t="b">
        <f t="shared" ref="AK258:AK321" ca="1" si="235">C258="净世破魔击·日"</f>
        <v>1</v>
      </c>
      <c r="AL258" s="115" t="b">
        <f t="shared" ca="1" si="200"/>
        <v>0</v>
      </c>
      <c r="AM258" s="115">
        <f t="shared" ca="1" si="201"/>
        <v>6</v>
      </c>
      <c r="AN258" s="47">
        <f ca="1">IF(AK258,('模拟-单技能数据'!$D$21+G258*'模拟-单技能数据'!$F$21)*(1+J258)*(1+'模拟-单技能数据'!$J$21)*(1+U258),0)</f>
        <v>12670.936004857545</v>
      </c>
      <c r="AO258" s="61">
        <f ca="1">IF(AN258&gt;0,M258-'模拟-单技能数据'!$K$10,AO257)</f>
        <v>0.42185145527300216</v>
      </c>
      <c r="AP258" s="61">
        <f ca="1">IF(AN258&gt;0,I258-'模拟-单技能数据'!$L$10,AP257)</f>
        <v>2.162482885499879</v>
      </c>
      <c r="AQ258" s="63">
        <f t="shared" ca="1" si="215"/>
        <v>0.8842547942412986</v>
      </c>
      <c r="AR258" s="64">
        <f ca="1">IF(AL258,IF(AQ258&lt;$F$10,0,IF(AQ258&lt;$F$10+$F$11,0.25,IF(AQ258&lt;$F$10+$F$11+AO258,AP258,1)))*IF(AN258&gt;0,AN258,IF(AN257&gt;0,AN257,IF(AN256&gt;0,AN256,IF(AN255&gt;0,AN255,IF(AN254&gt;0,AN254,IF(AN253&gt;0,AN253,IF(AN252&gt;0,AN252,IF(AN251&gt;0,AN251,IF(AN250&gt;0,AN250,IF(AN248&gt;0,AN248,IF(AN247&gt;0,AN247,IF(AN246&gt;0,AN246,0)))))))))))),0)*(1-$S258)*'模拟-单技能数据'!$I$21</f>
        <v>0</v>
      </c>
      <c r="AS258" s="61">
        <f ca="1">IF(OR(C258="净世破魔击·日",C258="净世破魔击·月"),M258-'模拟-单技能数据'!$K$10,0)</f>
        <v>0.42185145527300216</v>
      </c>
      <c r="AT258" s="61">
        <f ca="1">IF(OR(C258="净世破魔击·日",C258="净世破魔击·月"),I258-'模拟-单技能数据'!$L$10,0)</f>
        <v>2.162482885499879</v>
      </c>
      <c r="AU258" s="62">
        <f t="shared" ca="1" si="216"/>
        <v>4.4453422182255453E-2</v>
      </c>
      <c r="AV258" s="64">
        <f ca="1">IF(AS258&gt;0,('模拟-单技能数据'!$D$22+G258*'模拟-单技能数据'!$F$22)*(1+J258)*(1-S258)*IF(AU258&lt;$F$10,0,IF(AU258&lt;$F$10+$F$11,0.25,IF(AU258&lt;$F$10+$F$11+AS258,AT258,1)))*(1+U258),0)*'模拟-单技能数据'!$I$22</f>
        <v>2210.0585437142904</v>
      </c>
      <c r="AW258" s="108">
        <f t="shared" ca="1" si="217"/>
        <v>2.4725000000000064</v>
      </c>
      <c r="AX258" s="108" t="b">
        <f ca="1">AND(模拟模式!$P$10="有",AW257=0,RAND()&lt;IF(C258="净世破魔击·月",0.1*8/3,IF(C258="净世破魔击·日",0.1*4/3,0.1*2/3)))</f>
        <v>0</v>
      </c>
      <c r="AY258" s="47">
        <f ca="1">IF(AX258,(18+G258*0.722)*(1+J258)*(1-S258)*(1+$I$4)*IF(P258="会",'模拟-全程加成'!$J$3+'模拟-全程加成'!$J$4+'模拟-全程加成'!$J$5+('模拟-全程加成'!$I$4+'模拟-全程加成'!$I$5)/系数!$B$4+BG258*10%,IF(P258="命",1,IF(P258="识",0.25,0))),0)</f>
        <v>0</v>
      </c>
      <c r="AZ258" s="108">
        <f t="shared" si="218"/>
        <v>9.8525000000000063</v>
      </c>
      <c r="BA258" s="108" t="b">
        <f>AND(模拟模式!$Q$10="有",AZ257=0)</f>
        <v>0</v>
      </c>
      <c r="BB258" s="140">
        <f>IF(BA258,(0+G258*0.287)*(1+J258)*(1-S258)*(1+$I$4)*IF(P258="会",'模拟-全程加成'!$J$3+'模拟-全程加成'!$J$4+'模拟-全程加成'!$J$5+('模拟-全程加成'!$I$4+'模拟-全程加成'!$I$5)/系数!$B$4+BG258*10%,IF(P258="命",1,IF(P258="识",0.25,0))),0)</f>
        <v>0</v>
      </c>
      <c r="BC258" s="115" t="b">
        <f ca="1">AND(模拟模式!$R$7="伏明众生",E258=60,F258=20,DA258&lt;5,CZ257&lt;$F$4)</f>
        <v>0</v>
      </c>
      <c r="BD258" s="115">
        <f t="shared" ref="BD258:BD321" ca="1" si="236">IF(BC258,6-$F$4,MAX(0,BD257-$F$4))</f>
        <v>0</v>
      </c>
      <c r="BE258" s="115" t="b">
        <f t="shared" ref="BE258:BE321" ca="1" si="237">AND(BD257&gt;0,BD257-$F$4&lt;0)</f>
        <v>0</v>
      </c>
      <c r="BF258" s="47">
        <f ca="1">IF(BC258,4*('模拟-单技能数据'!$D$24+G258*'模拟-单技能数据'!$F$24)*(1+J258)*(1+'模拟-单技能数据'!$J$24)*(1-S258)*(1+$I$3)*(('模拟-全程加成'!$J$3+'模拟-全程加成'!$J$4+'模拟-全程加成'!$J$5+('模拟-全程加成'!$I$4+'模拟-全程加成'!$I$5)/系数!$B$4+BG258*10%)*('模拟-全程加成'!$J$3+'模拟-全程加成'!$J$4+'模拟-全程加成'!$J$5+('模拟-全程加成'!$I$4+'模拟-全程加成'!$I$5)/系数!$B$4+BG258*10%)+(1-('模拟-全程加成'!$J$3+'模拟-全程加成'!$J$4+'模拟-全程加成'!$J$5+('模拟-全程加成'!$I$4+'模拟-全程加成'!$I$5)/系数!$B$4+BG258*10%)-$F$10-$F$11)+F244*0.25),0)*'模拟-单技能数据'!$I$24</f>
        <v>0</v>
      </c>
      <c r="BG258" s="115" t="b">
        <f ca="1">OR(AND(OR(C258="烈日斩",C258="银月斩"),模拟模式!$I$7="净身明礼"),AND(C258="净世破魔击·日",模拟模式!$J$7="洞若观火"),AND(C259="净世破魔击·月",模拟模式!$J$7="洞若观火"),AB258=1)</f>
        <v>1</v>
      </c>
      <c r="BH258" s="115" t="b">
        <f t="shared" ca="1" si="219"/>
        <v>0</v>
      </c>
      <c r="BI258" s="115">
        <f t="shared" ref="BI258:BI321" ca="1" si="238">IF(BH258,6,MAX(0,BI257-$F$4))</f>
        <v>4.1549999999999994</v>
      </c>
      <c r="BJ258" s="115" t="b">
        <f t="shared" ca="1" si="193"/>
        <v>1</v>
      </c>
      <c r="BK258" s="115" t="b">
        <f ca="1">AND(C258="驱夜断愁",模拟模式!$P$7="天地诛戮")</f>
        <v>0</v>
      </c>
      <c r="BL258" s="57">
        <f t="shared" ref="BL258:BL321" ca="1" si="239">IF(BK258,20,MAX(0,BL257-$F$4))</f>
        <v>9.8525000000000063</v>
      </c>
      <c r="BM258" s="115" t="b">
        <f t="shared" ca="1" si="194"/>
        <v>1</v>
      </c>
      <c r="BN258" s="115" t="b">
        <f ca="1">AND(OR(C258="赤日轮1",C258="赤日轮2",C258="赤日轮3",C258="幽月轮1",C258="幽月轮2",C258="幽月轮3"),AB258=1,模拟模式!$L$7="明光恒照")</f>
        <v>0</v>
      </c>
      <c r="BO258" s="117">
        <f t="shared" ref="BO258:BO321" ca="1" si="240">IF(BN258,30,MAX(0,BO257-$F$4))</f>
        <v>24.465000000000003</v>
      </c>
      <c r="BP258" s="115">
        <f t="shared" ca="1" si="220"/>
        <v>6</v>
      </c>
      <c r="BQ258" s="115" t="b">
        <f>模拟模式!$K$10="2600·水"</f>
        <v>0</v>
      </c>
      <c r="BR258" s="117">
        <f t="shared" si="221"/>
        <v>0</v>
      </c>
      <c r="BS258" s="115">
        <f t="shared" si="222"/>
        <v>0</v>
      </c>
      <c r="BT258" s="115">
        <f t="shared" ca="1" si="223"/>
        <v>0</v>
      </c>
      <c r="BU258" s="115" t="b">
        <f ca="1">AND(模拟模式!$K$10="2300·雷",BT257=0,RAND()&lt;IF(C258="净世破魔击·月",5*0.05*2/3,IF(C258="净世破魔击·日",3*0.05*2/3,0.05*2*2/3)))</f>
        <v>0</v>
      </c>
      <c r="BV258" s="115">
        <f t="shared" ca="1" si="224"/>
        <v>0</v>
      </c>
      <c r="BW258" s="115">
        <f t="shared" ca="1" si="225"/>
        <v>158.78249999999969</v>
      </c>
      <c r="BX258" s="164" t="b">
        <f t="shared" ca="1" si="226"/>
        <v>0</v>
      </c>
      <c r="BY258" s="115">
        <f t="shared" ca="1" si="227"/>
        <v>0</v>
      </c>
      <c r="BZ258" s="115">
        <f>IF(OR(模拟模式!$P$16="10人团",模拟模式!$P$16="25人团"),IF(B258/30&gt;CA257,1,0),0)</f>
        <v>0</v>
      </c>
      <c r="CA258" s="115">
        <f t="shared" si="203"/>
        <v>0</v>
      </c>
      <c r="CB258" s="115">
        <f ca="1">IF(BZ258=1,IF(模拟模式!$P$16="10人团",15,0)+IF(模拟模式!$P$16="25人团",IF(RAND()&lt;0.6,15,0)),MAX(0,CB257-$F$4))</f>
        <v>0</v>
      </c>
      <c r="CC258" s="115" t="b">
        <f t="shared" ca="1" si="195"/>
        <v>0</v>
      </c>
      <c r="CD258" s="115">
        <f>IF(模拟模式!$Q$16="1个",IF(B258/40&gt;CE257,1,0),0)</f>
        <v>0</v>
      </c>
      <c r="CE258" s="115">
        <f t="shared" si="196"/>
        <v>0</v>
      </c>
      <c r="CF258" s="115">
        <f>IF(OR(CD258=1,模拟模式!$Q$16="2个"),20,MAX(0,CF257-$F$4))</f>
        <v>0</v>
      </c>
      <c r="CG258" s="115" t="b">
        <f t="shared" si="197"/>
        <v>0</v>
      </c>
      <c r="CH258" s="115">
        <f t="shared" ca="1" si="228"/>
        <v>18.007500000000007</v>
      </c>
      <c r="CI258" s="115" t="b">
        <f t="shared" ca="1" si="229"/>
        <v>0</v>
      </c>
      <c r="CJ258" s="119">
        <f t="shared" ca="1" si="230"/>
        <v>0</v>
      </c>
      <c r="CK258" s="115">
        <f t="shared" ca="1" si="231"/>
        <v>0</v>
      </c>
      <c r="CL258" s="115" t="b">
        <f ca="1">AND(模拟模式!$S$7="驱夷逐法",OR(AND(C258="净世破魔击·月",E257&gt;59),AND(C258="净世破魔击·日",F257&gt;59)))</f>
        <v>0</v>
      </c>
      <c r="CM258" s="115" t="b">
        <f ca="1">OR(CL258,AND(C258="净世破魔击·日",CL257,RAND()&lt;模拟模式!$U$23))</f>
        <v>0</v>
      </c>
      <c r="CN258" s="115" t="b">
        <f ca="1">IF(模拟模式!$M$7="辉耀红尘",AND(C258="净世破魔击·月",CL258,CV258=0,E257&lt;80),AND(C258="净世破魔击·月",CL258,E257&lt;100))</f>
        <v>0</v>
      </c>
      <c r="CO258" s="115" t="b">
        <f t="shared" ca="1" si="204"/>
        <v>0</v>
      </c>
      <c r="CP258" s="115" t="b">
        <f ca="1">AND(模拟模式!$O$7="用晦而明",OR(C258="净世破魔击·日",C258="净世破魔击·月",C258="驱夜断愁"),AB258)</f>
        <v>1</v>
      </c>
      <c r="CQ258" s="115" t="b">
        <f ca="1">OR(CP258,AND(CP257,RAND()&lt;模拟模式!$U$23))</f>
        <v>1</v>
      </c>
      <c r="CR258" s="115" t="b">
        <f ca="1">AND(模拟模式!$S$7="日月齐光",OR(C258="幽月轮1",C258="幽月轮2",C258="幽月轮3",CR257),NOT(OR(C258="赤日轮1",C258="赤日轮2",C258="赤日轮3")))</f>
        <v>0</v>
      </c>
      <c r="CS258" s="115" t="b">
        <f ca="1">AND(模拟模式!$S$7="日月齐光",OR(C258="赤日轮1",C258="赤日轮2",C258="赤日轮3",CS257),NOT(OR(C258="幽月轮1",C258="幽月轮2",C258="幽月轮3")))</f>
        <v>0</v>
      </c>
      <c r="CT258" s="115">
        <f t="shared" ca="1" si="232"/>
        <v>24.465000000000003</v>
      </c>
      <c r="CU258" s="115" t="b">
        <f ca="1">AND(模拟模式!$K$10="阴阳往极",CT257=0,RAND()&lt;IF(C258="净世破魔击·月",0.0275*7/3,IF(C258="净世破魔击·日",0.0275*3/3,0.0275*2/3)))</f>
        <v>0</v>
      </c>
      <c r="CV258" s="115">
        <f t="shared" ca="1" si="233"/>
        <v>0</v>
      </c>
      <c r="CW258" s="115">
        <f t="shared" ca="1" si="205"/>
        <v>0</v>
      </c>
      <c r="CX258" s="115">
        <f t="shared" ca="1" si="206"/>
        <v>0</v>
      </c>
      <c r="CY258" s="115">
        <f ca="1">MAX(IF($C258="驱夜断愁",IF(模拟模式!$R$7="万念俱寂",6,45),CY257-$F$4),0)</f>
        <v>0</v>
      </c>
      <c r="CZ258" s="115">
        <f t="shared" ca="1" si="207"/>
        <v>0</v>
      </c>
      <c r="DA258" s="115">
        <f ca="1">IF(模拟模式!$N$7="日月同辉",IF(DB257=2,0,MIN(6,IF(AND(OR(C258="赤日轮1",C258="赤日轮2",C258="赤日轮3",C258="幽月轮1",C258="幽月轮2",C258="幽月轮3"),AB258=1),DA257+1,DA257))),0)</f>
        <v>4</v>
      </c>
      <c r="DB258" s="115">
        <f t="shared" ca="1" si="208"/>
        <v>0</v>
      </c>
      <c r="DC258" s="115"/>
      <c r="DD258" s="115"/>
      <c r="DE258" s="115"/>
      <c r="DF258" s="115"/>
      <c r="DG258" s="115"/>
      <c r="DH258" s="115"/>
      <c r="DI258" s="115"/>
      <c r="DJ258" s="115"/>
      <c r="DK258" s="115"/>
      <c r="DL258" s="115"/>
      <c r="DM258" s="115"/>
    </row>
    <row r="259" spans="2:117" x14ac:dyDescent="0.2">
      <c r="B259" s="117">
        <f t="shared" si="209"/>
        <v>214.0200000000012</v>
      </c>
      <c r="C259" s="167" t="str">
        <f t="shared" ca="1" si="202"/>
        <v>赤日轮1</v>
      </c>
      <c r="D259" s="115">
        <f ca="1">IF(C259="赤日轮1",1,IF(C259="赤日轮2",2,IF(C259="赤日轮3",3,IF(C259="幽月轮1",4,IF(C259="幽月轮2",5,IF(C259="幽月轮3",6,IF(C259="烈日斩",7,IF(C259="银月斩",8,IF(C259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259="净世破魔击·月",17,IF(C259="驱夜断愁",18,0)))))))))))</f>
        <v>1</v>
      </c>
      <c r="E259" s="115">
        <f ca="1">IF(AND(CU259,OR(C259="幽月轮1",C259="幽月轮2",C259="幽月轮3",C259="银月斩",C259="驱夜断愁",C259="净世破魔击·月")),100,MIN(IF(OR(CN259,BE259),0,IF(OR($C259="赤日轮1",$C259="赤日轮2",$C259="赤日轮3"),E258+20+IF(模拟模式!$I$7="日月凌天",4,0)+IF(CR258,20,0),IF($C259="烈日斩",E258+40,IF($C259="驱夜断愁",IF(模拟模式!$R$7="万念俱寂",E258+20,E258+60),IF($C259="净世破魔击·月",IF(OR(DB258&gt;0,CV258&gt;0),100,IF(模拟模式!$M$7="辉耀红尘",E258+20,E258)),IF($C259="净世破魔击·日",E258-100,E258)))))),100))</f>
        <v>20</v>
      </c>
      <c r="F259" s="115">
        <f ca="1">IF(AND(CU259,OR(C259="赤日轮1",C259="赤日轮2",C259="赤日轮3",C259="烈日斩",C259="净世破魔击·日")),100,MIN(IF(CO259,0,IF(OR($C259="幽月轮1",$C259="幽月轮2",$C259="幽月轮3"),F258+20+IF(模拟模式!$I$7="日月凌天",4,0)+IF(CS258,20,0),IF($C259="银月斩",F258+40+IF(模拟模式!$X$12=1,5,0),IF($C259="驱夜断愁",IF(模拟模式!$R$7="万念俱寂",F258+20,F258+60),IF($C259="净世破魔击·月",IF(模拟模式!$M$7="辉耀红尘",F258-80,F258-100),IF(AND(C259="净世破魔击·日",OR(DB258&gt;0,CV258&gt;0)),100,F258)))))),100))</f>
        <v>20</v>
      </c>
      <c r="G259" s="117">
        <f ca="1">('模拟-全程加成'!$E$3+'模拟-全程加成'!$E$4+'模拟-全程加成'!$E$5+('模拟-全程加成'!$C$6-'模拟-全程加成'!$C$3)*系数!$B$9+BS259*23)*(1+'模拟-全程加成'!$F$4+'模拟-全程加成'!$F$5+BJ259*10%+BM259*20%+BP259*4%+CG259*30%)+$F$7*系数!$B$12</f>
        <v>21493.829400000002</v>
      </c>
      <c r="H259" s="45">
        <f ca="1">'模拟-全程加成'!$H$3+'模拟-全程加成'!$H$4+'模拟-全程加成'!$H$5+('模拟-全程加成'!$G$4+'模拟-全程加成'!$G$5+('模拟-全程加成'!$C$6-'模拟-全程加成'!$C$3)*系数!$B$13)/系数!$B$3+LOOKUP(D259,'模拟-单技能数据'!$A$2:$A$19,'模拟-单技能数据'!$K$2:$K$19)+BG259*10%+IF(BV259&gt;0,378,0)</f>
        <v>0.4618514552730022</v>
      </c>
      <c r="I259" s="45">
        <f ca="1">'模拟-全程加成'!$J$3+'模拟-全程加成'!$J$4+'模拟-全程加成'!$J$5+('模拟-全程加成'!$I$4+'模拟-全程加成'!$I$5)/系数!$B$4+LOOKUP(D259,'模拟-单技能数据'!$A$2:$A$19,'模拟-单技能数据'!$L$2:$L$19)+BG259*10%</f>
        <v>2.162482885499879</v>
      </c>
      <c r="J259" s="45">
        <f ca="1">(('模拟-全程加成'!$K$3+'模拟-全程加成'!$K$4+'模拟-全程加成'!$K$5+('模拟-全程加成'!$C$6-'模拟-全程加成'!$C$3)*系数!$B$10+IF(BV259&gt;0,882,0)+IF(BY259&gt;0,1831,0))*(1+'模拟-全程加成'!$L$4+'模拟-全程加成'!$L$5+CC259*20%))/系数!$B$5</f>
        <v>0.69723220422048726</v>
      </c>
      <c r="K259" s="119">
        <f ca="1">LOOKUP(D259,'模拟-单技能数据'!$A$2:$A$19,'模拟-单技能数据'!$J$2:$J$19)+IF(CM259,60%,0)+IF(DB258-DB259&gt;0,30%,0)+IF(OR(AND(OR(C259="赤日轮1",C259="赤日轮2",C259="赤日轮3"),CR259),AND(OR(C259="幽月轮1",C259="幽月轮2",C259="幽月轮3"),CS259)),35%,0)+CJ259</f>
        <v>0.12</v>
      </c>
      <c r="L259" s="119">
        <f ca="1">IF(AND(C259="烈日斩",模拟模式!$X$11=1),10%,0)+IF(AND(C259="驱夜断愁",AB259=1),30%,0)</f>
        <v>0</v>
      </c>
      <c r="M259" s="45">
        <f t="shared" ref="M259:M322" ca="1" si="241">MIN(H259,1-$F$10-$F$11)</f>
        <v>0.4618514552730022</v>
      </c>
      <c r="N259" s="45">
        <f t="shared" ref="N259:N322" ca="1" si="242">1-$F$10-$F$11-M259</f>
        <v>0.48424854472699785</v>
      </c>
      <c r="O259" s="46">
        <f t="shared" ca="1" si="210"/>
        <v>0.15400462468793008</v>
      </c>
      <c r="P259" s="46" t="str">
        <f t="shared" ca="1" si="211"/>
        <v>会</v>
      </c>
      <c r="Q259" s="45">
        <f t="shared" ca="1" si="212"/>
        <v>2.162482885499879</v>
      </c>
      <c r="R259" s="117">
        <f ca="1">模拟模式!$E$20*(1-IF(模拟模式!$J$19="有",0.15,0))*(1-IF(模拟模式!$K$19="有",0.3,0)-IF(CQ259,0.5,0))</f>
        <v>843.02999999999975</v>
      </c>
      <c r="S259" s="45">
        <f ca="1">R259/(R259+(185*模拟模式!$E$22-16800)*4.08224)</f>
        <v>8.389626085980037E-2</v>
      </c>
      <c r="T259" s="45" t="str">
        <f ca="1">LOOKUP(D259,'模拟-单技能数据'!$A$2:$A$19,'模拟-单技能数据'!$H$2:$H$19)</f>
        <v>阳</v>
      </c>
      <c r="U259" s="119">
        <f t="shared" ref="U259:U322" ca="1" si="243">IF(T259="阳",$I$3,IF(T259="阴",$I$4,0))</f>
        <v>0.2</v>
      </c>
      <c r="V259" s="47">
        <f ca="1">(1+L259)*(LOOKUP(D259,'模拟-单技能数据'!$A$2:$A$19,'模拟-单技能数据'!$D$2:$D$19)+G259*LOOKUP(D259,'模拟-单技能数据'!$A$2:$A$19,'模拟-单技能数据'!$F$2:$F$19))*(1+J259)*(1+K259)*(1-S259)*(1+U259)*Q259*LOOKUP(D259,'模拟-单技能数据'!$A$2:$A$19,'模拟-单技能数据'!$I$2:$I$20)</f>
        <v>56864.156113360666</v>
      </c>
      <c r="W259" s="47">
        <f ca="1">LOOKUP(D259,'模拟-单技能数据'!$A$2:$A$19,'模拟-单技能数据'!$G$2:$G$19)*$I$10</f>
        <v>361.51064354704795</v>
      </c>
      <c r="X259" s="47">
        <f t="shared" ca="1" si="213"/>
        <v>25101.867467669974</v>
      </c>
      <c r="Y259" s="47">
        <f t="shared" ref="Y259:Y322" ca="1" si="244">V259+W259+X259</f>
        <v>82327.534224577685</v>
      </c>
      <c r="Z259" s="49">
        <f t="shared" ref="Z259:Z322" ca="1" si="245">Z258+Y259</f>
        <v>24737801.720296536</v>
      </c>
      <c r="AA259" s="97">
        <f t="shared" ref="AA259:AA322" ca="1" si="246">Z259/B259</f>
        <v>115586.40183298942</v>
      </c>
      <c r="AB259" s="115">
        <f ca="1">IF(OR(C259="赤日轮1",C259="赤日轮2",C259="赤日轮3"),IF(RAND()&lt;模拟模式!$Y$17,1,0),IF(OR(C259="幽月轮1",C259="幽月轮2",C259="幽月轮3"),IF(RAND()&lt;模拟模式!$Y$18,1,0),IF(C259="烈日斩",IF(RAND()&lt;模拟模式!$Y$19,1,0),IF(C259="银月斩",IF(RAND()&lt;模拟模式!$Y$20,1,0),IF(C259="驱夜断愁",IF(RAND()&lt;模拟模式!$Y$21,1,0),IF(C259="净世破魔击·日",IF(RAND()&lt;模拟模式!$Y$22,1,0),IF(C259="净世破魔击·月",IF(RAND()&lt;模拟模式!$Y$23,1,0),0)))))))</f>
        <v>1</v>
      </c>
      <c r="AC259" s="115" t="b">
        <f t="shared" ca="1" si="234"/>
        <v>0</v>
      </c>
      <c r="AD259" s="115" t="b">
        <f t="shared" ca="1" si="198"/>
        <v>0</v>
      </c>
      <c r="AE259" s="115">
        <f t="shared" ca="1" si="199"/>
        <v>0</v>
      </c>
      <c r="AF259" s="47">
        <f ca="1">IF(AC259,('模拟-单技能数据'!$D$20+G259*'模拟-单技能数据'!$F$20)*(1+J259)*(1+'模拟-单技能数据'!$J$20)*(1+U259),0)</f>
        <v>0</v>
      </c>
      <c r="AG259" s="61">
        <f t="shared" ref="AG259:AG322" ca="1" si="247">IF(AF259&gt;0,M259,AG258)</f>
        <v>0.64185145527300214</v>
      </c>
      <c r="AH259" s="61">
        <f t="shared" ref="AH259:AH322" ca="1" si="248">IF(AF259&gt;0,I259,AH258)</f>
        <v>2.2624828854998791</v>
      </c>
      <c r="AI259" s="62">
        <f t="shared" ca="1" si="214"/>
        <v>0.53025012267547056</v>
      </c>
      <c r="AJ259" s="47">
        <f ca="1">IF(AD259,IF(AI259&lt;$F$10,0,IF(AI259&lt;$F$10+$F$11,0.25,IF(AI259&lt;$F$10+$F$11+AG259,AH259,1)))*IF(AF259&gt;0,AF259,IF(AF258&gt;0,AF258,IF(AF257&gt;0,AF257,IF(AF256&gt;0,AF256,IF(AF255&gt;0,AF255,IF(AF254&gt;0,AF254,IF(AF253&gt;0,AF253,IF(AF252&gt;0,AF252,IF(AF251&gt;0,AF251,IF(AF249&gt;0,AF249,IF(AF248&gt;0,AF248,IF(AF247&gt;0,AF247,0)))))))))))),0)*(1-$S259)*'模拟-单技能数据'!$I$20</f>
        <v>0</v>
      </c>
      <c r="AK259" s="115" t="b">
        <f t="shared" ca="1" si="235"/>
        <v>0</v>
      </c>
      <c r="AL259" s="115" t="b">
        <f t="shared" ca="1" si="200"/>
        <v>1</v>
      </c>
      <c r="AM259" s="115">
        <f t="shared" ca="1" si="201"/>
        <v>5</v>
      </c>
      <c r="AN259" s="47">
        <f ca="1">IF(AK259,('模拟-单技能数据'!$D$21+G259*'模拟-单技能数据'!$F$21)*(1+J259)*(1+'模拟-单技能数据'!$J$21)*(1+U259),0)</f>
        <v>0</v>
      </c>
      <c r="AO259" s="61">
        <f ca="1">IF(AN259&gt;0,M259-'模拟-单技能数据'!$K$10,AO258)</f>
        <v>0.42185145527300216</v>
      </c>
      <c r="AP259" s="61">
        <f ca="1">IF(AN259&gt;0,I259-'模拟-单技能数据'!$L$10,AP258)</f>
        <v>2.162482885499879</v>
      </c>
      <c r="AQ259" s="63">
        <f t="shared" ca="1" si="215"/>
        <v>0.15752541570084522</v>
      </c>
      <c r="AR259" s="64">
        <f ca="1">IF(AL259,IF(AQ259&lt;$F$10,0,IF(AQ259&lt;$F$10+$F$11,0.25,IF(AQ259&lt;$F$10+$F$11+AO259,AP259,1)))*IF(AN259&gt;0,AN259,IF(AN258&gt;0,AN258,IF(AN257&gt;0,AN257,IF(AN256&gt;0,AN256,IF(AN255&gt;0,AN255,IF(AN254&gt;0,AN254,IF(AN253&gt;0,AN253,IF(AN252&gt;0,AN252,IF(AN251&gt;0,AN251,IF(AN249&gt;0,AN249,IF(AN248&gt;0,AN248,IF(AN247&gt;0,AN247,0)))))))))))),0)*(1-$S259)*'模拟-单技能数据'!$I$21</f>
        <v>25101.867467669974</v>
      </c>
      <c r="AS259" s="61">
        <f ca="1">IF(OR(C259="净世破魔击·日",C259="净世破魔击·月"),M259-'模拟-单技能数据'!$K$10,0)</f>
        <v>0</v>
      </c>
      <c r="AT259" s="61">
        <f ca="1">IF(OR(C259="净世破魔击·日",C259="净世破魔击·月"),I259-'模拟-单技能数据'!$L$10,0)</f>
        <v>0</v>
      </c>
      <c r="AU259" s="62">
        <f t="shared" ca="1" si="216"/>
        <v>0.32291410225781536</v>
      </c>
      <c r="AV259" s="64">
        <f ca="1">IF(AS259&gt;0,('模拟-单技能数据'!$D$22+G259*'模拟-单技能数据'!$F$22)*(1+J259)*(1-S259)*IF(AU259&lt;$F$10,0,IF(AU259&lt;$F$10+$F$11,0.25,IF(AU259&lt;$F$10+$F$11+AS259,AT259,1)))*(1+U259),0)*'模拟-单技能数据'!$I$22</f>
        <v>0</v>
      </c>
      <c r="AW259" s="108">
        <f t="shared" ca="1" si="217"/>
        <v>1.5500000000000065</v>
      </c>
      <c r="AX259" s="108" t="b">
        <f ca="1">AND(模拟模式!$P$10="有",AW258=0,RAND()&lt;IF(C259="净世破魔击·月",0.1*8/3,IF(C259="净世破魔击·日",0.1*4/3,0.1*2/3)))</f>
        <v>0</v>
      </c>
      <c r="AY259" s="47">
        <f ca="1">IF(AX259,(18+G259*0.722)*(1+J259)*(1-S259)*(1+$I$4)*IF(P259="会",'模拟-全程加成'!$J$3+'模拟-全程加成'!$J$4+'模拟-全程加成'!$J$5+('模拟-全程加成'!$I$4+'模拟-全程加成'!$I$5)/系数!$B$4+BG259*10%,IF(P259="命",1,IF(P259="识",0.25,0))),0)</f>
        <v>0</v>
      </c>
      <c r="AZ259" s="108">
        <f t="shared" si="218"/>
        <v>8.9300000000000068</v>
      </c>
      <c r="BA259" s="108" t="b">
        <f>AND(模拟模式!$Q$10="有",AZ258=0)</f>
        <v>0</v>
      </c>
      <c r="BB259" s="140">
        <f>IF(BA259,(0+G259*0.287)*(1+J259)*(1-S259)*(1+$I$4)*IF(P259="会",'模拟-全程加成'!$J$3+'模拟-全程加成'!$J$4+'模拟-全程加成'!$J$5+('模拟-全程加成'!$I$4+'模拟-全程加成'!$I$5)/系数!$B$4+BG259*10%,IF(P259="命",1,IF(P259="识",0.25,0))),0)</f>
        <v>0</v>
      </c>
      <c r="BC259" s="115" t="b">
        <f ca="1">AND(模拟模式!$R$7="伏明众生",E259=60,F259=20,DA259&lt;5,CZ258&lt;$F$4)</f>
        <v>0</v>
      </c>
      <c r="BD259" s="115">
        <f t="shared" ca="1" si="236"/>
        <v>0</v>
      </c>
      <c r="BE259" s="115" t="b">
        <f t="shared" ca="1" si="237"/>
        <v>0</v>
      </c>
      <c r="BF259" s="47">
        <f ca="1">IF(BC259,4*('模拟-单技能数据'!$D$24+G259*'模拟-单技能数据'!$F$24)*(1+J259)*(1+'模拟-单技能数据'!$J$24)*(1-S259)*(1+$I$3)*(('模拟-全程加成'!$J$3+'模拟-全程加成'!$J$4+'模拟-全程加成'!$J$5+('模拟-全程加成'!$I$4+'模拟-全程加成'!$I$5)/系数!$B$4+BG259*10%)*('模拟-全程加成'!$J$3+'模拟-全程加成'!$J$4+'模拟-全程加成'!$J$5+('模拟-全程加成'!$I$4+'模拟-全程加成'!$I$5)/系数!$B$4+BG259*10%)+(1-('模拟-全程加成'!$J$3+'模拟-全程加成'!$J$4+'模拟-全程加成'!$J$5+('模拟-全程加成'!$I$4+'模拟-全程加成'!$I$5)/系数!$B$4+BG259*10%)-$F$10-$F$11)+F245*0.25),0)*'模拟-单技能数据'!$I$24</f>
        <v>0</v>
      </c>
      <c r="BG259" s="115" t="b">
        <f ca="1">OR(AND(OR(C259="烈日斩",C259="银月斩"),模拟模式!$I$7="净身明礼"),AND(C259="净世破魔击·日",模拟模式!$J$7="洞若观火"),AND(C260="净世破魔击·月",模拟模式!$J$7="洞若观火"),AB259=1)</f>
        <v>1</v>
      </c>
      <c r="BH259" s="115" t="b">
        <f t="shared" ca="1" si="219"/>
        <v>0</v>
      </c>
      <c r="BI259" s="115">
        <f t="shared" ca="1" si="238"/>
        <v>3.2324999999999995</v>
      </c>
      <c r="BJ259" s="115" t="b">
        <f t="shared" ref="BJ259:BJ322" ca="1" si="249">BI259&gt;0</f>
        <v>1</v>
      </c>
      <c r="BK259" s="115" t="b">
        <f ca="1">AND(C259="驱夜断愁",模拟模式!$P$7="天地诛戮")</f>
        <v>0</v>
      </c>
      <c r="BL259" s="57">
        <f t="shared" ca="1" si="239"/>
        <v>8.9300000000000068</v>
      </c>
      <c r="BM259" s="115" t="b">
        <f t="shared" ref="BM259:BM322" ca="1" si="250">BL259&gt;0</f>
        <v>1</v>
      </c>
      <c r="BN259" s="115" t="b">
        <f ca="1">AND(OR(C259="赤日轮1",C259="赤日轮2",C259="赤日轮3",C259="幽月轮1",C259="幽月轮2",C259="幽月轮3"),AB259=1,模拟模式!$L$7="明光恒照")</f>
        <v>1</v>
      </c>
      <c r="BO259" s="117">
        <f t="shared" ca="1" si="240"/>
        <v>30</v>
      </c>
      <c r="BP259" s="115">
        <f t="shared" ca="1" si="220"/>
        <v>6</v>
      </c>
      <c r="BQ259" s="115" t="b">
        <f>模拟模式!$K$10="2600·水"</f>
        <v>0</v>
      </c>
      <c r="BR259" s="117">
        <f t="shared" si="221"/>
        <v>0</v>
      </c>
      <c r="BS259" s="115">
        <f t="shared" si="222"/>
        <v>0</v>
      </c>
      <c r="BT259" s="115">
        <f t="shared" ca="1" si="223"/>
        <v>0</v>
      </c>
      <c r="BU259" s="115" t="b">
        <f ca="1">AND(模拟模式!$K$10="2300·雷",BT258=0,RAND()&lt;IF(C259="净世破魔击·月",5*0.05*2/3,IF(C259="净世破魔击·日",3*0.05*2/3,0.05*2*2/3)))</f>
        <v>0</v>
      </c>
      <c r="BV259" s="115">
        <f t="shared" ca="1" si="224"/>
        <v>0</v>
      </c>
      <c r="BW259" s="115">
        <f t="shared" ca="1" si="225"/>
        <v>157.85999999999967</v>
      </c>
      <c r="BX259" s="164" t="b">
        <f t="shared" ca="1" si="226"/>
        <v>0</v>
      </c>
      <c r="BY259" s="115">
        <f t="shared" ca="1" si="227"/>
        <v>0</v>
      </c>
      <c r="BZ259" s="115">
        <f>IF(OR(模拟模式!$P$16="10人团",模拟模式!$P$16="25人团"),IF(B259/30&gt;CA258,1,0),0)</f>
        <v>0</v>
      </c>
      <c r="CA259" s="115">
        <f t="shared" si="203"/>
        <v>0</v>
      </c>
      <c r="CB259" s="115">
        <f ca="1">IF(BZ259=1,IF(模拟模式!$P$16="10人团",15,0)+IF(模拟模式!$P$16="25人团",IF(RAND()&lt;0.6,15,0)),MAX(0,CB258-$F$4))</f>
        <v>0</v>
      </c>
      <c r="CC259" s="115" t="b">
        <f t="shared" ref="CC259:CC322" ca="1" si="251">CB259&gt;0</f>
        <v>0</v>
      </c>
      <c r="CD259" s="115">
        <f>IF(模拟模式!$Q$16="1个",IF(B259/40&gt;CE258,1,0),0)</f>
        <v>0</v>
      </c>
      <c r="CE259" s="115">
        <f t="shared" ref="CE259:CE322" si="252">CE258+CD259</f>
        <v>0</v>
      </c>
      <c r="CF259" s="115">
        <f>IF(OR(CD259=1,模拟模式!$Q$16="2个"),20,MAX(0,CF258-$F$4))</f>
        <v>0</v>
      </c>
      <c r="CG259" s="115" t="b">
        <f t="shared" ref="CG259:CG322" si="253">CF259&gt;0</f>
        <v>0</v>
      </c>
      <c r="CH259" s="115">
        <f t="shared" ca="1" si="228"/>
        <v>17.085000000000008</v>
      </c>
      <c r="CI259" s="115" t="b">
        <f t="shared" ca="1" si="229"/>
        <v>0</v>
      </c>
      <c r="CJ259" s="119">
        <f t="shared" ca="1" si="230"/>
        <v>0</v>
      </c>
      <c r="CK259" s="115">
        <f t="shared" ca="1" si="231"/>
        <v>0</v>
      </c>
      <c r="CL259" s="115" t="b">
        <f ca="1">AND(模拟模式!$S$7="驱夷逐法",OR(AND(C259="净世破魔击·月",E258&gt;59),AND(C259="净世破魔击·日",F258&gt;59)))</f>
        <v>0</v>
      </c>
      <c r="CM259" s="115" t="b">
        <f ca="1">OR(CL259,AND(C259="净世破魔击·日",CL258,RAND()&lt;模拟模式!$U$23))</f>
        <v>0</v>
      </c>
      <c r="CN259" s="115" t="b">
        <f ca="1">IF(模拟模式!$M$7="辉耀红尘",AND(C259="净世破魔击·月",CL259,CV259=0,E258&lt;80),AND(C259="净世破魔击·月",CL259,E258&lt;100))</f>
        <v>0</v>
      </c>
      <c r="CO259" s="115" t="b">
        <f t="shared" ca="1" si="204"/>
        <v>0</v>
      </c>
      <c r="CP259" s="115" t="b">
        <f ca="1">AND(模拟模式!$O$7="用晦而明",OR(C259="净世破魔击·日",C259="净世破魔击·月",C259="驱夜断愁"),AB259)</f>
        <v>0</v>
      </c>
      <c r="CQ259" s="115" t="b">
        <f ca="1">OR(CP259,AND(CP258,RAND()&lt;模拟模式!$U$23))</f>
        <v>1</v>
      </c>
      <c r="CR259" s="115" t="b">
        <f ca="1">AND(模拟模式!$S$7="日月齐光",OR(C259="幽月轮1",C259="幽月轮2",C259="幽月轮3",CR258),NOT(OR(C259="赤日轮1",C259="赤日轮2",C259="赤日轮3")))</f>
        <v>0</v>
      </c>
      <c r="CS259" s="115" t="b">
        <f ca="1">AND(模拟模式!$S$7="日月齐光",OR(C259="赤日轮1",C259="赤日轮2",C259="赤日轮3",CS258),NOT(OR(C259="幽月轮1",C259="幽月轮2",C259="幽月轮3")))</f>
        <v>0</v>
      </c>
      <c r="CT259" s="115">
        <f t="shared" ca="1" si="232"/>
        <v>23.542500000000004</v>
      </c>
      <c r="CU259" s="115" t="b">
        <f ca="1">AND(模拟模式!$K$10="阴阳往极",CT258=0,RAND()&lt;IF(C259="净世破魔击·月",0.0275*7/3,IF(C259="净世破魔击·日",0.0275*3/3,0.0275*2/3)))</f>
        <v>0</v>
      </c>
      <c r="CV259" s="115">
        <f t="shared" ca="1" si="233"/>
        <v>0</v>
      </c>
      <c r="CW259" s="115">
        <f t="shared" ca="1" si="205"/>
        <v>0</v>
      </c>
      <c r="CX259" s="115">
        <f t="shared" ca="1" si="206"/>
        <v>0</v>
      </c>
      <c r="CY259" s="115">
        <f ca="1">MAX(IF($C259="驱夜断愁",IF(模拟模式!$R$7="万念俱寂",6,45),CY258-$F$4),0)</f>
        <v>0</v>
      </c>
      <c r="CZ259" s="115">
        <f t="shared" ca="1" si="207"/>
        <v>0</v>
      </c>
      <c r="DA259" s="115">
        <f ca="1">IF(模拟模式!$N$7="日月同辉",IF(DB258=2,0,MIN(6,IF(AND(OR(C259="赤日轮1",C259="赤日轮2",C259="赤日轮3",C259="幽月轮1",C259="幽月轮2",C259="幽月轮3"),AB259=1),DA258+1,DA258))),0)</f>
        <v>5</v>
      </c>
      <c r="DB259" s="115">
        <f t="shared" ca="1" si="208"/>
        <v>0</v>
      </c>
      <c r="DC259" s="115"/>
      <c r="DD259" s="115"/>
      <c r="DE259" s="115"/>
      <c r="DF259" s="115"/>
      <c r="DG259" s="115"/>
      <c r="DH259" s="115"/>
      <c r="DI259" s="115"/>
      <c r="DJ259" s="115"/>
      <c r="DK259" s="115"/>
      <c r="DL259" s="115"/>
      <c r="DM259" s="115"/>
    </row>
    <row r="260" spans="2:117" x14ac:dyDescent="0.2">
      <c r="B260" s="117">
        <f t="shared" si="209"/>
        <v>214.94250000000122</v>
      </c>
      <c r="C260" s="167" t="str">
        <f t="shared" ca="1" si="202"/>
        <v>银月斩</v>
      </c>
      <c r="D260" s="115">
        <f ca="1">IF(C260="赤日轮1",1,IF(C260="赤日轮2",2,IF(C260="赤日轮3",3,IF(C260="幽月轮1",4,IF(C260="幽月轮2",5,IF(C260="幽月轮3",6,IF(C260="烈日斩",7,IF(C260="银月斩",8,IF(C260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260="净世破魔击·月",17,IF(C260="驱夜断愁",18,0)))))))))))</f>
        <v>8</v>
      </c>
      <c r="E260" s="115">
        <f ca="1">IF(AND(CU260,OR(C260="幽月轮1",C260="幽月轮2",C260="幽月轮3",C260="银月斩",C260="驱夜断愁",C260="净世破魔击·月")),100,MIN(IF(OR(CN260,BE260),0,IF(OR($C260="赤日轮1",$C260="赤日轮2",$C260="赤日轮3"),E259+20+IF(模拟模式!$I$7="日月凌天",4,0)+IF(CR259,20,0),IF($C260="烈日斩",E259+40,IF($C260="驱夜断愁",IF(模拟模式!$R$7="万念俱寂",E259+20,E259+60),IF($C260="净世破魔击·月",IF(OR(DB259&gt;0,CV259&gt;0),100,IF(模拟模式!$M$7="辉耀红尘",E259+20,E259)),IF($C260="净世破魔击·日",E259-100,E259)))))),100))</f>
        <v>20</v>
      </c>
      <c r="F260" s="115">
        <f ca="1">IF(AND(CU260,OR(C260="赤日轮1",C260="赤日轮2",C260="赤日轮3",C260="烈日斩",C260="净世破魔击·日")),100,MIN(IF(CO260,0,IF(OR($C260="幽月轮1",$C260="幽月轮2",$C260="幽月轮3"),F259+20+IF(模拟模式!$I$7="日月凌天",4,0)+IF(CS259,20,0),IF($C260="银月斩",F259+40+IF(模拟模式!$X$12=1,5,0),IF($C260="驱夜断愁",IF(模拟模式!$R$7="万念俱寂",F259+20,F259+60),IF($C260="净世破魔击·月",IF(模拟模式!$M$7="辉耀红尘",F259-80,F259-100),IF(AND(C260="净世破魔击·日",OR(DB259&gt;0,CV259&gt;0)),100,F259)))))),100))</f>
        <v>65</v>
      </c>
      <c r="G260" s="117">
        <f ca="1">('模拟-全程加成'!$E$3+'模拟-全程加成'!$E$4+'模拟-全程加成'!$E$5+('模拟-全程加成'!$C$6-'模拟-全程加成'!$C$3)*系数!$B$9+BS260*23)*(1+'模拟-全程加成'!$F$4+'模拟-全程加成'!$F$5+BJ260*10%+BM260*20%+BP260*4%+CG260*30%)+$F$7*系数!$B$12</f>
        <v>21493.829400000002</v>
      </c>
      <c r="H260" s="45">
        <f ca="1">'模拟-全程加成'!$H$3+'模拟-全程加成'!$H$4+'模拟-全程加成'!$H$5+('模拟-全程加成'!$G$4+'模拟-全程加成'!$G$5+('模拟-全程加成'!$C$6-'模拟-全程加成'!$C$3)*系数!$B$13)/系数!$B$3+LOOKUP(D260,'模拟-单技能数据'!$A$2:$A$19,'模拟-单技能数据'!$K$2:$K$19)+BG260*10%+IF(BV260&gt;0,378,0)</f>
        <v>0.64185145527300214</v>
      </c>
      <c r="I260" s="45">
        <f ca="1">'模拟-全程加成'!$J$3+'模拟-全程加成'!$J$4+'模拟-全程加成'!$J$5+('模拟-全程加成'!$I$4+'模拟-全程加成'!$I$5)/系数!$B$4+LOOKUP(D260,'模拟-单技能数据'!$A$2:$A$19,'模拟-单技能数据'!$L$2:$L$19)+BG260*10%</f>
        <v>2.2624828854998791</v>
      </c>
      <c r="J260" s="45">
        <f ca="1">(('模拟-全程加成'!$K$3+'模拟-全程加成'!$K$4+'模拟-全程加成'!$K$5+('模拟-全程加成'!$C$6-'模拟-全程加成'!$C$3)*系数!$B$10+IF(BV260&gt;0,882,0)+IF(BY260&gt;0,1831,0))*(1+'模拟-全程加成'!$L$4+'模拟-全程加成'!$L$5+CC260*20%))/系数!$B$5</f>
        <v>0.69723220422048726</v>
      </c>
      <c r="K260" s="119">
        <f ca="1">LOOKUP(D260,'模拟-单技能数据'!$A$2:$A$19,'模拟-单技能数据'!$J$2:$J$19)+IF(CM260,60%,0)+IF(DB259-DB260&gt;0,30%,0)+IF(OR(AND(OR(C260="赤日轮1",C260="赤日轮2",C260="赤日轮3"),CR260),AND(OR(C260="幽月轮1",C260="幽月轮2",C260="幽月轮3"),CS260)),35%,0)+CJ260</f>
        <v>0.15</v>
      </c>
      <c r="L260" s="119">
        <f ca="1">IF(AND(C260="烈日斩",模拟模式!$X$11=1),10%,0)+IF(AND(C260="驱夜断愁",AB260=1),30%,0)</f>
        <v>0</v>
      </c>
      <c r="M260" s="45">
        <f t="shared" ca="1" si="241"/>
        <v>0.64185145527300214</v>
      </c>
      <c r="N260" s="45">
        <f t="shared" ca="1" si="242"/>
        <v>0.30424854472699792</v>
      </c>
      <c r="O260" s="46">
        <f t="shared" ca="1" si="210"/>
        <v>0.92251835308460317</v>
      </c>
      <c r="P260" s="46" t="str">
        <f t="shared" ca="1" si="211"/>
        <v>命</v>
      </c>
      <c r="Q260" s="45">
        <f t="shared" ca="1" si="212"/>
        <v>1</v>
      </c>
      <c r="R260" s="117">
        <f ca="1">模拟模式!$E$20*(1-IF(模拟模式!$J$19="有",0.15,0))*(1-IF(模拟模式!$K$19="有",0.3,0)-IF(CQ260,0.5,0))</f>
        <v>2950.6049999999996</v>
      </c>
      <c r="S260" s="45">
        <f ca="1">R260/(R260+(185*模拟模式!$E$22-16800)*4.08224)</f>
        <v>0.24272716014590323</v>
      </c>
      <c r="T260" s="45" t="str">
        <f ca="1">LOOKUP(D260,'模拟-单技能数据'!$A$2:$A$19,'模拟-单技能数据'!$H$2:$H$19)</f>
        <v>阴</v>
      </c>
      <c r="U260" s="119">
        <f t="shared" ca="1" si="243"/>
        <v>0.08</v>
      </c>
      <c r="V260" s="47">
        <f ca="1">(1+L260)*(LOOKUP(D260,'模拟-单技能数据'!$A$2:$A$19,'模拟-单技能数据'!$D$2:$D$19)+G260*LOOKUP(D260,'模拟-单技能数据'!$A$2:$A$19,'模拟-单技能数据'!$F$2:$F$19))*(1+J260)*(1+K260)*(1-S260)*(1+U260)*Q260*LOOKUP(D260,'模拟-单技能数据'!$A$2:$A$19,'模拟-单技能数据'!$I$2:$I$20)</f>
        <v>18215.255972688272</v>
      </c>
      <c r="W260" s="47">
        <f ca="1">LOOKUP(D260,'模拟-单技能数据'!$A$2:$A$19,'模拟-单技能数据'!$G$2:$G$19)*$I$10</f>
        <v>361.51064354704795</v>
      </c>
      <c r="X260" s="47">
        <f t="shared" ca="1" si="213"/>
        <v>3513.5533621728819</v>
      </c>
      <c r="Y260" s="47">
        <f t="shared" ca="1" si="244"/>
        <v>22090.319978408203</v>
      </c>
      <c r="Z260" s="49">
        <f t="shared" ca="1" si="245"/>
        <v>24759892.040274944</v>
      </c>
      <c r="AA260" s="97">
        <f t="shared" ca="1" si="246"/>
        <v>115193.09601532877</v>
      </c>
      <c r="AB260" s="115">
        <f ca="1">IF(OR(C260="赤日轮1",C260="赤日轮2",C260="赤日轮3"),IF(RAND()&lt;模拟模式!$Y$17,1,0),IF(OR(C260="幽月轮1",C260="幽月轮2",C260="幽月轮3"),IF(RAND()&lt;模拟模式!$Y$18,1,0),IF(C260="烈日斩",IF(RAND()&lt;模拟模式!$Y$19,1,0),IF(C260="银月斩",IF(RAND()&lt;模拟模式!$Y$20,1,0),IF(C260="驱夜断愁",IF(RAND()&lt;模拟模式!$Y$21,1,0),IF(C260="净世破魔击·日",IF(RAND()&lt;模拟模式!$Y$22,1,0),IF(C260="净世破魔击·月",IF(RAND()&lt;模拟模式!$Y$23,1,0),0)))))))</f>
        <v>1</v>
      </c>
      <c r="AC260" s="115" t="b">
        <f t="shared" ca="1" si="234"/>
        <v>1</v>
      </c>
      <c r="AD260" s="115" t="b">
        <f t="shared" ref="AD260:AD323" ca="1" si="254">IF(AD259+AD258=1,IF(AE259&gt;0,NOT(AD259),FALSE),AC260)</f>
        <v>1</v>
      </c>
      <c r="AE260" s="115">
        <f t="shared" ref="AE260:AE323" ca="1" si="255">IF(AC260,IF(AD258+AD259=0,6,6-AD260),AE259-AD260)</f>
        <v>6</v>
      </c>
      <c r="AF260" s="47">
        <f ca="1">IF(AC260,('模拟-单技能数据'!$D$20+G260*'模拟-单技能数据'!$F$20)*(1+J260)*(1+'模拟-单技能数据'!$J$20)*(1+U260),0)</f>
        <v>4639.7456468263617</v>
      </c>
      <c r="AG260" s="61">
        <f t="shared" ca="1" si="247"/>
        <v>0.64185145527300214</v>
      </c>
      <c r="AH260" s="61">
        <f t="shared" ca="1" si="248"/>
        <v>2.2624828854998791</v>
      </c>
      <c r="AI260" s="62">
        <f t="shared" ca="1" si="214"/>
        <v>0.87841409685650285</v>
      </c>
      <c r="AJ260" s="47">
        <f ca="1">IF(AD260,IF(AI260&lt;$F$10,0,IF(AI260&lt;$F$10+$F$11,0.25,IF(AI260&lt;$F$10+$F$11+AG260,AH260,1)))*IF(AF260&gt;0,AF260,IF(AF259&gt;0,AF259,IF(AF258&gt;0,AF258,IF(AF257&gt;0,AF257,IF(AF256&gt;0,AF256,IF(AF255&gt;0,AF255,IF(AF254&gt;0,AF254,IF(AF253&gt;0,AF253,IF(AF252&gt;0,AF252,IF(AF250&gt;0,AF250,IF(AF249&gt;0,AF249,IF(AF248&gt;0,AF248,0)))))))))))),0)*(1-$S260)*'模拟-单技能数据'!$I$20</f>
        <v>3513.5533621728819</v>
      </c>
      <c r="AK260" s="115" t="b">
        <f t="shared" ca="1" si="235"/>
        <v>0</v>
      </c>
      <c r="AL260" s="115" t="b">
        <f t="shared" ref="AL260:AL323" ca="1" si="256">IF(AL259+AL258=1,IF(AM259&gt;0,NOT(AL259),FALSE),AK260)</f>
        <v>0</v>
      </c>
      <c r="AM260" s="115">
        <f t="shared" ref="AM260:AM323" ca="1" si="257">IF(AK260,IF(AL258+AL259=0,6,6-AL260),AM259-AL260)</f>
        <v>5</v>
      </c>
      <c r="AN260" s="47">
        <f ca="1">IF(AK260,('模拟-单技能数据'!$D$21+G260*'模拟-单技能数据'!$F$21)*(1+J260)*(1+'模拟-单技能数据'!$J$21)*(1+U260),0)</f>
        <v>0</v>
      </c>
      <c r="AO260" s="61">
        <f ca="1">IF(AN260&gt;0,M260-'模拟-单技能数据'!$K$10,AO259)</f>
        <v>0.42185145527300216</v>
      </c>
      <c r="AP260" s="61">
        <f ca="1">IF(AN260&gt;0,I260-'模拟-单技能数据'!$L$10,AP259)</f>
        <v>2.162482885499879</v>
      </c>
      <c r="AQ260" s="63">
        <f t="shared" ca="1" si="215"/>
        <v>0.44940712271085659</v>
      </c>
      <c r="AR260" s="64">
        <f ca="1">IF(AL260,IF(AQ260&lt;$F$10,0,IF(AQ260&lt;$F$10+$F$11,0.25,IF(AQ260&lt;$F$10+$F$11+AO260,AP260,1)))*IF(AN260&gt;0,AN260,IF(AN259&gt;0,AN259,IF(AN258&gt;0,AN258,IF(AN257&gt;0,AN257,IF(AN256&gt;0,AN256,IF(AN255&gt;0,AN255,IF(AN254&gt;0,AN254,IF(AN253&gt;0,AN253,IF(AN252&gt;0,AN252,IF(AN250&gt;0,AN250,IF(AN249&gt;0,AN249,IF(AN248&gt;0,AN248,0)))))))))))),0)*(1-$S260)*'模拟-单技能数据'!$I$21</f>
        <v>0</v>
      </c>
      <c r="AS260" s="61">
        <f ca="1">IF(OR(C260="净世破魔击·日",C260="净世破魔击·月"),M260-'模拟-单技能数据'!$K$10,0)</f>
        <v>0</v>
      </c>
      <c r="AT260" s="61">
        <f ca="1">IF(OR(C260="净世破魔击·日",C260="净世破魔击·月"),I260-'模拟-单技能数据'!$L$10,0)</f>
        <v>0</v>
      </c>
      <c r="AU260" s="62">
        <f t="shared" ca="1" si="216"/>
        <v>0.74856884450670991</v>
      </c>
      <c r="AV260" s="64">
        <f ca="1">IF(AS260&gt;0,('模拟-单技能数据'!$D$22+G260*'模拟-单技能数据'!$F$22)*(1+J260)*(1-S260)*IF(AU260&lt;$F$10,0,IF(AU260&lt;$F$10+$F$11,0.25,IF(AU260&lt;$F$10+$F$11+AS260,AT260,1)))*(1+U260),0)*'模拟-单技能数据'!$I$22</f>
        <v>0</v>
      </c>
      <c r="AW260" s="108">
        <f t="shared" ca="1" si="217"/>
        <v>0.6275000000000065</v>
      </c>
      <c r="AX260" s="108" t="b">
        <f ca="1">AND(模拟模式!$P$10="有",AW259=0,RAND()&lt;IF(C260="净世破魔击·月",0.1*8/3,IF(C260="净世破魔击·日",0.1*4/3,0.1*2/3)))</f>
        <v>0</v>
      </c>
      <c r="AY260" s="47">
        <f ca="1">IF(AX260,(18+G260*0.722)*(1+J260)*(1-S260)*(1+$I$4)*IF(P260="会",'模拟-全程加成'!$J$3+'模拟-全程加成'!$J$4+'模拟-全程加成'!$J$5+('模拟-全程加成'!$I$4+'模拟-全程加成'!$I$5)/系数!$B$4+BG260*10%,IF(P260="命",1,IF(P260="识",0.25,0))),0)</f>
        <v>0</v>
      </c>
      <c r="AZ260" s="108">
        <f t="shared" si="218"/>
        <v>8.0075000000000074</v>
      </c>
      <c r="BA260" s="108" t="b">
        <f>AND(模拟模式!$Q$10="有",AZ259=0)</f>
        <v>0</v>
      </c>
      <c r="BB260" s="140">
        <f>IF(BA260,(0+G260*0.287)*(1+J260)*(1-S260)*(1+$I$4)*IF(P260="会",'模拟-全程加成'!$J$3+'模拟-全程加成'!$J$4+'模拟-全程加成'!$J$5+('模拟-全程加成'!$I$4+'模拟-全程加成'!$I$5)/系数!$B$4+BG260*10%,IF(P260="命",1,IF(P260="识",0.25,0))),0)</f>
        <v>0</v>
      </c>
      <c r="BC260" s="115" t="b">
        <f ca="1">AND(模拟模式!$R$7="伏明众生",E260=60,F260=20,DA260&lt;5,CZ259&lt;$F$4)</f>
        <v>0</v>
      </c>
      <c r="BD260" s="115">
        <f t="shared" ca="1" si="236"/>
        <v>0</v>
      </c>
      <c r="BE260" s="115" t="b">
        <f t="shared" ca="1" si="237"/>
        <v>0</v>
      </c>
      <c r="BF260" s="47">
        <f ca="1">IF(BC260,4*('模拟-单技能数据'!$D$24+G260*'模拟-单技能数据'!$F$24)*(1+J260)*(1+'模拟-单技能数据'!$J$24)*(1-S260)*(1+$I$3)*(('模拟-全程加成'!$J$3+'模拟-全程加成'!$J$4+'模拟-全程加成'!$J$5+('模拟-全程加成'!$I$4+'模拟-全程加成'!$I$5)/系数!$B$4+BG260*10%)*('模拟-全程加成'!$J$3+'模拟-全程加成'!$J$4+'模拟-全程加成'!$J$5+('模拟-全程加成'!$I$4+'模拟-全程加成'!$I$5)/系数!$B$4+BG260*10%)+(1-('模拟-全程加成'!$J$3+'模拟-全程加成'!$J$4+'模拟-全程加成'!$J$5+('模拟-全程加成'!$I$4+'模拟-全程加成'!$I$5)/系数!$B$4+BG260*10%)-$F$10-$F$11)+F246*0.25),0)*'模拟-单技能数据'!$I$24</f>
        <v>0</v>
      </c>
      <c r="BG260" s="115" t="b">
        <f ca="1">OR(AND(OR(C260="烈日斩",C260="银月斩"),模拟模式!$I$7="净身明礼"),AND(C260="净世破魔击·日",模拟模式!$J$7="洞若观火"),AND(C261="净世破魔击·月",模拟模式!$J$7="洞若观火"),AB260=1)</f>
        <v>1</v>
      </c>
      <c r="BH260" s="115" t="b">
        <f t="shared" ca="1" si="219"/>
        <v>0</v>
      </c>
      <c r="BI260" s="115">
        <f t="shared" ca="1" si="238"/>
        <v>2.3099999999999996</v>
      </c>
      <c r="BJ260" s="115" t="b">
        <f t="shared" ca="1" si="249"/>
        <v>1</v>
      </c>
      <c r="BK260" s="115" t="b">
        <f ca="1">AND(C260="驱夜断愁",模拟模式!$P$7="天地诛戮")</f>
        <v>0</v>
      </c>
      <c r="BL260" s="57">
        <f t="shared" ca="1" si="239"/>
        <v>8.0075000000000074</v>
      </c>
      <c r="BM260" s="115" t="b">
        <f t="shared" ca="1" si="250"/>
        <v>1</v>
      </c>
      <c r="BN260" s="115" t="b">
        <f ca="1">AND(OR(C260="赤日轮1",C260="赤日轮2",C260="赤日轮3",C260="幽月轮1",C260="幽月轮2",C260="幽月轮3"),AB260=1,模拟模式!$L$7="明光恒照")</f>
        <v>0</v>
      </c>
      <c r="BO260" s="117">
        <f t="shared" ca="1" si="240"/>
        <v>29.077500000000001</v>
      </c>
      <c r="BP260" s="115">
        <f t="shared" ca="1" si="220"/>
        <v>6</v>
      </c>
      <c r="BQ260" s="115" t="b">
        <f>模拟模式!$K$10="2600·水"</f>
        <v>0</v>
      </c>
      <c r="BR260" s="117">
        <f t="shared" si="221"/>
        <v>0</v>
      </c>
      <c r="BS260" s="115">
        <f t="shared" si="222"/>
        <v>0</v>
      </c>
      <c r="BT260" s="115">
        <f t="shared" ca="1" si="223"/>
        <v>0</v>
      </c>
      <c r="BU260" s="115" t="b">
        <f ca="1">AND(模拟模式!$K$10="2300·雷",BT259=0,RAND()&lt;IF(C260="净世破魔击·月",5*0.05*2/3,IF(C260="净世破魔击·日",3*0.05*2/3,0.05*2*2/3)))</f>
        <v>0</v>
      </c>
      <c r="BV260" s="115">
        <f t="shared" ca="1" si="224"/>
        <v>0</v>
      </c>
      <c r="BW260" s="115">
        <f t="shared" ca="1" si="225"/>
        <v>156.93749999999966</v>
      </c>
      <c r="BX260" s="164" t="b">
        <f t="shared" ca="1" si="226"/>
        <v>0</v>
      </c>
      <c r="BY260" s="115">
        <f t="shared" ca="1" si="227"/>
        <v>0</v>
      </c>
      <c r="BZ260" s="115">
        <f>IF(OR(模拟模式!$P$16="10人团",模拟模式!$P$16="25人团"),IF(B260/30&gt;CA259,1,0),0)</f>
        <v>0</v>
      </c>
      <c r="CA260" s="115">
        <f t="shared" si="203"/>
        <v>0</v>
      </c>
      <c r="CB260" s="115">
        <f ca="1">IF(BZ260=1,IF(模拟模式!$P$16="10人团",15,0)+IF(模拟模式!$P$16="25人团",IF(RAND()&lt;0.6,15,0)),MAX(0,CB259-$F$4))</f>
        <v>0</v>
      </c>
      <c r="CC260" s="115" t="b">
        <f t="shared" ca="1" si="251"/>
        <v>0</v>
      </c>
      <c r="CD260" s="115">
        <f>IF(模拟模式!$Q$16="1个",IF(B260/40&gt;CE259,1,0),0)</f>
        <v>0</v>
      </c>
      <c r="CE260" s="115">
        <f t="shared" si="252"/>
        <v>0</v>
      </c>
      <c r="CF260" s="115">
        <f>IF(OR(CD260=1,模拟模式!$Q$16="2个"),20,MAX(0,CF259-$F$4))</f>
        <v>0</v>
      </c>
      <c r="CG260" s="115" t="b">
        <f t="shared" si="253"/>
        <v>0</v>
      </c>
      <c r="CH260" s="115">
        <f t="shared" ca="1" si="228"/>
        <v>16.162500000000009</v>
      </c>
      <c r="CI260" s="115" t="b">
        <f t="shared" ca="1" si="229"/>
        <v>0</v>
      </c>
      <c r="CJ260" s="119">
        <f t="shared" ca="1" si="230"/>
        <v>0</v>
      </c>
      <c r="CK260" s="115">
        <f t="shared" ca="1" si="231"/>
        <v>0</v>
      </c>
      <c r="CL260" s="115" t="b">
        <f ca="1">AND(模拟模式!$S$7="驱夷逐法",OR(AND(C260="净世破魔击·月",E259&gt;59),AND(C260="净世破魔击·日",F259&gt;59)))</f>
        <v>0</v>
      </c>
      <c r="CM260" s="115" t="b">
        <f ca="1">OR(CL260,AND(C260="净世破魔击·日",CL259,RAND()&lt;模拟模式!$U$23))</f>
        <v>0</v>
      </c>
      <c r="CN260" s="115" t="b">
        <f ca="1">IF(模拟模式!$M$7="辉耀红尘",AND(C260="净世破魔击·月",CL260,CV260=0,E259&lt;80),AND(C260="净世破魔击·月",CL260,E259&lt;100))</f>
        <v>0</v>
      </c>
      <c r="CO260" s="115" t="b">
        <f t="shared" ca="1" si="204"/>
        <v>0</v>
      </c>
      <c r="CP260" s="115" t="b">
        <f ca="1">AND(模拟模式!$O$7="用晦而明",OR(C260="净世破魔击·日",C260="净世破魔击·月",C260="驱夜断愁"),AB260)</f>
        <v>0</v>
      </c>
      <c r="CQ260" s="115" t="b">
        <f ca="1">OR(CP260,AND(CP259,RAND()&lt;模拟模式!$U$23))</f>
        <v>0</v>
      </c>
      <c r="CR260" s="115" t="b">
        <f ca="1">AND(模拟模式!$S$7="日月齐光",OR(C260="幽月轮1",C260="幽月轮2",C260="幽月轮3",CR259),NOT(OR(C260="赤日轮1",C260="赤日轮2",C260="赤日轮3")))</f>
        <v>0</v>
      </c>
      <c r="CS260" s="115" t="b">
        <f ca="1">AND(模拟模式!$S$7="日月齐光",OR(C260="赤日轮1",C260="赤日轮2",C260="赤日轮3",CS259),NOT(OR(C260="幽月轮1",C260="幽月轮2",C260="幽月轮3")))</f>
        <v>0</v>
      </c>
      <c r="CT260" s="115">
        <f t="shared" ca="1" si="232"/>
        <v>22.620000000000005</v>
      </c>
      <c r="CU260" s="115" t="b">
        <f ca="1">AND(模拟模式!$K$10="阴阳往极",CT259=0,RAND()&lt;IF(C260="净世破魔击·月",0.0275*7/3,IF(C260="净世破魔击·日",0.0275*3/3,0.0275*2/3)))</f>
        <v>0</v>
      </c>
      <c r="CV260" s="115">
        <f t="shared" ca="1" si="233"/>
        <v>0</v>
      </c>
      <c r="CW260" s="115">
        <f t="shared" ca="1" si="205"/>
        <v>0</v>
      </c>
      <c r="CX260" s="115">
        <f t="shared" ca="1" si="206"/>
        <v>6</v>
      </c>
      <c r="CY260" s="115">
        <f ca="1">MAX(IF($C260="驱夜断愁",IF(模拟模式!$R$7="万念俱寂",6,45),CY259-$F$4),0)</f>
        <v>0</v>
      </c>
      <c r="CZ260" s="115">
        <f t="shared" ca="1" si="207"/>
        <v>0</v>
      </c>
      <c r="DA260" s="115">
        <f ca="1">IF(模拟模式!$N$7="日月同辉",IF(DB259=2,0,MIN(6,IF(AND(OR(C260="赤日轮1",C260="赤日轮2",C260="赤日轮3",C260="幽月轮1",C260="幽月轮2",C260="幽月轮3"),AB260=1),DA259+1,DA259))),0)</f>
        <v>5</v>
      </c>
      <c r="DB260" s="115">
        <f t="shared" ca="1" si="208"/>
        <v>0</v>
      </c>
      <c r="DC260" s="115"/>
      <c r="DD260" s="115"/>
      <c r="DE260" s="115"/>
      <c r="DF260" s="115"/>
      <c r="DG260" s="115"/>
      <c r="DH260" s="115"/>
      <c r="DI260" s="115"/>
      <c r="DJ260" s="115"/>
      <c r="DK260" s="115"/>
      <c r="DL260" s="115"/>
      <c r="DM260" s="115"/>
    </row>
    <row r="261" spans="2:117" x14ac:dyDescent="0.2">
      <c r="B261" s="117">
        <f t="shared" si="209"/>
        <v>215.86500000000123</v>
      </c>
      <c r="C261" s="167" t="str">
        <f t="shared" ca="1" si="202"/>
        <v>驱夜断愁</v>
      </c>
      <c r="D261" s="115">
        <f ca="1">IF(C261="赤日轮1",1,IF(C261="赤日轮2",2,IF(C261="赤日轮3",3,IF(C261="幽月轮1",4,IF(C261="幽月轮2",5,IF(C261="幽月轮3",6,IF(C261="烈日斩",7,IF(C261="银月斩",8,IF(C261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261="净世破魔击·月",17,IF(C261="驱夜断愁",18,0)))))))))))</f>
        <v>18</v>
      </c>
      <c r="E261" s="115">
        <f ca="1">IF(AND(CU261,OR(C261="幽月轮1",C261="幽月轮2",C261="幽月轮3",C261="银月斩",C261="驱夜断愁",C261="净世破魔击·月")),100,MIN(IF(OR(CN261,BE261),0,IF(OR($C261="赤日轮1",$C261="赤日轮2",$C261="赤日轮3"),E260+20+IF(模拟模式!$I$7="日月凌天",4,0)+IF(CR260,20,0),IF($C261="烈日斩",E260+40,IF($C261="驱夜断愁",IF(模拟模式!$R$7="万念俱寂",E260+20,E260+60),IF($C261="净世破魔击·月",IF(OR(DB260&gt;0,CV260&gt;0),100,IF(模拟模式!$M$7="辉耀红尘",E260+20,E260)),IF($C261="净世破魔击·日",E260-100,E260)))))),100))</f>
        <v>40</v>
      </c>
      <c r="F261" s="115">
        <f ca="1">IF(AND(CU261,OR(C261="赤日轮1",C261="赤日轮2",C261="赤日轮3",C261="烈日斩",C261="净世破魔击·日")),100,MIN(IF(CO261,0,IF(OR($C261="幽月轮1",$C261="幽月轮2",$C261="幽月轮3"),F260+20+IF(模拟模式!$I$7="日月凌天",4,0)+IF(CS260,20,0),IF($C261="银月斩",F260+40+IF(模拟模式!$X$12=1,5,0),IF($C261="驱夜断愁",IF(模拟模式!$R$7="万念俱寂",F260+20,F260+60),IF($C261="净世破魔击·月",IF(模拟模式!$M$7="辉耀红尘",F260-80,F260-100),IF(AND(C261="净世破魔击·日",OR(DB260&gt;0,CV260&gt;0)),100,F260)))))),100))</f>
        <v>85</v>
      </c>
      <c r="G261" s="117">
        <f ca="1">('模拟-全程加成'!$E$3+'模拟-全程加成'!$E$4+'模拟-全程加成'!$E$5+('模拟-全程加成'!$C$6-'模拟-全程加成'!$C$3)*系数!$B$9+BS261*23)*(1+'模拟-全程加成'!$F$4+'模拟-全程加成'!$F$5+BJ261*10%+BM261*20%+BP261*4%+CG261*30%)+$F$7*系数!$B$12</f>
        <v>21493.829400000002</v>
      </c>
      <c r="H261" s="45">
        <f ca="1">'模拟-全程加成'!$H$3+'模拟-全程加成'!$H$4+'模拟-全程加成'!$H$5+('模拟-全程加成'!$G$4+'模拟-全程加成'!$G$5+('模拟-全程加成'!$C$6-'模拟-全程加成'!$C$3)*系数!$B$13)/系数!$B$3+LOOKUP(D261,'模拟-单技能数据'!$A$2:$A$19,'模拟-单技能数据'!$K$2:$K$19)+BG261*10%+IF(BV261&gt;0,378,0)</f>
        <v>0.51185145527300213</v>
      </c>
      <c r="I261" s="45">
        <f ca="1">'模拟-全程加成'!$J$3+'模拟-全程加成'!$J$4+'模拟-全程加成'!$J$5+('模拟-全程加成'!$I$4+'模拟-全程加成'!$I$5)/系数!$B$4+LOOKUP(D261,'模拟-单技能数据'!$A$2:$A$19,'模拟-单技能数据'!$L$2:$L$19)+BG261*10%</f>
        <v>2.162482885499879</v>
      </c>
      <c r="J261" s="45">
        <f ca="1">(('模拟-全程加成'!$K$3+'模拟-全程加成'!$K$4+'模拟-全程加成'!$K$5+('模拟-全程加成'!$C$6-'模拟-全程加成'!$C$3)*系数!$B$10+IF(BV261&gt;0,882,0)+IF(BY261&gt;0,1831,0))*(1+'模拟-全程加成'!$L$4+'模拟-全程加成'!$L$5+CC261*20%))/系数!$B$5</f>
        <v>0.69723220422048726</v>
      </c>
      <c r="K261" s="119">
        <f ca="1">LOOKUP(D261,'模拟-单技能数据'!$A$2:$A$19,'模拟-单技能数据'!$J$2:$J$19)+IF(CM261,60%,0)+IF(DB260-DB261&gt;0,30%,0)+IF(OR(AND(OR(C261="赤日轮1",C261="赤日轮2",C261="赤日轮3"),CR261),AND(OR(C261="幽月轮1",C261="幽月轮2",C261="幽月轮3"),CS261)),35%,0)+CJ261</f>
        <v>0.14000000000000001</v>
      </c>
      <c r="L261" s="119">
        <f ca="1">IF(AND(C261="烈日斩",模拟模式!$X$11=1),10%,0)+IF(AND(C261="驱夜断愁",AB261=1),30%,0)</f>
        <v>0.3</v>
      </c>
      <c r="M261" s="45">
        <f t="shared" ca="1" si="241"/>
        <v>0.51185145527300213</v>
      </c>
      <c r="N261" s="45">
        <f t="shared" ca="1" si="242"/>
        <v>0.43424854472699792</v>
      </c>
      <c r="O261" s="46">
        <f t="shared" ca="1" si="210"/>
        <v>4.3055666472910703E-2</v>
      </c>
      <c r="P261" s="46" t="str">
        <f t="shared" ca="1" si="211"/>
        <v>识</v>
      </c>
      <c r="Q261" s="45">
        <f t="shared" ca="1" si="212"/>
        <v>0.25</v>
      </c>
      <c r="R261" s="117">
        <f ca="1">模拟模式!$E$20*(1-IF(模拟模式!$J$19="有",0.15,0))*(1-IF(模拟模式!$K$19="有",0.3,0)-IF(CQ261,0.5,0))</f>
        <v>843.02999999999975</v>
      </c>
      <c r="S261" s="45">
        <f ca="1">R261/(R261+(185*模拟模式!$E$22-16800)*4.08224)</f>
        <v>8.389626085980037E-2</v>
      </c>
      <c r="T261" s="45" t="str">
        <f ca="1">LOOKUP(D261,'模拟-单技能数据'!$A$2:$A$19,'模拟-单技能数据'!$H$2:$H$19)</f>
        <v>阴</v>
      </c>
      <c r="U261" s="119">
        <f t="shared" ca="1" si="243"/>
        <v>0.08</v>
      </c>
      <c r="V261" s="47">
        <f ca="1">(1+L261)*(LOOKUP(D261,'模拟-单技能数据'!$A$2:$A$19,'模拟-单技能数据'!$D$2:$D$19)+G261*LOOKUP(D261,'模拟-单技能数据'!$A$2:$A$19,'模拟-单技能数据'!$F$2:$F$19))*(1+J261)*(1+K261)*(1-S261)*(1+U261)*Q261*LOOKUP(D261,'模拟-单技能数据'!$A$2:$A$19,'模拟-单技能数据'!$I$2:$I$20)</f>
        <v>15385.018372398006</v>
      </c>
      <c r="W261" s="47">
        <f ca="1">LOOKUP(D261,'模拟-单技能数据'!$A$2:$A$19,'模拟-单技能数据'!$G$2:$G$19)*$I$10</f>
        <v>723.0212870940959</v>
      </c>
      <c r="X261" s="47">
        <f t="shared" ca="1" si="213"/>
        <v>25101.867467669974</v>
      </c>
      <c r="Y261" s="47">
        <f t="shared" ca="1" si="244"/>
        <v>41209.907127162078</v>
      </c>
      <c r="Z261" s="49">
        <f t="shared" ca="1" si="245"/>
        <v>24801101.947402105</v>
      </c>
      <c r="AA261" s="97">
        <f t="shared" ca="1" si="246"/>
        <v>114891.7237505013</v>
      </c>
      <c r="AB261" s="115">
        <f ca="1">IF(OR(C261="赤日轮1",C261="赤日轮2",C261="赤日轮3"),IF(RAND()&lt;模拟模式!$Y$17,1,0),IF(OR(C261="幽月轮1",C261="幽月轮2",C261="幽月轮3"),IF(RAND()&lt;模拟模式!$Y$18,1,0),IF(C261="烈日斩",IF(RAND()&lt;模拟模式!$Y$19,1,0),IF(C261="银月斩",IF(RAND()&lt;模拟模式!$Y$20,1,0),IF(C261="驱夜断愁",IF(RAND()&lt;模拟模式!$Y$21,1,0),IF(C261="净世破魔击·日",IF(RAND()&lt;模拟模式!$Y$22,1,0),IF(C261="净世破魔击·月",IF(RAND()&lt;模拟模式!$Y$23,1,0),0)))))))</f>
        <v>1</v>
      </c>
      <c r="AC261" s="115" t="b">
        <f t="shared" ca="1" si="234"/>
        <v>0</v>
      </c>
      <c r="AD261" s="115" t="b">
        <f t="shared" ca="1" si="254"/>
        <v>0</v>
      </c>
      <c r="AE261" s="115">
        <f t="shared" ca="1" si="255"/>
        <v>6</v>
      </c>
      <c r="AF261" s="47">
        <f ca="1">IF(AC261,('模拟-单技能数据'!$D$20+G261*'模拟-单技能数据'!$F$20)*(1+J261)*(1+'模拟-单技能数据'!$J$20)*(1+U261),0)</f>
        <v>0</v>
      </c>
      <c r="AG261" s="61">
        <f t="shared" ca="1" si="247"/>
        <v>0.64185145527300214</v>
      </c>
      <c r="AH261" s="61">
        <f t="shared" ca="1" si="248"/>
        <v>2.2624828854998791</v>
      </c>
      <c r="AI261" s="62">
        <f t="shared" ca="1" si="214"/>
        <v>6.2539360265939647E-2</v>
      </c>
      <c r="AJ261" s="47">
        <f ca="1">IF(AD261,IF(AI261&lt;$F$10,0,IF(AI261&lt;$F$10+$F$11,0.25,IF(AI261&lt;$F$10+$F$11+AG261,AH261,1)))*IF(AF261&gt;0,AF261,IF(AF260&gt;0,AF260,IF(AF259&gt;0,AF259,IF(AF258&gt;0,AF258,IF(AF257&gt;0,AF257,IF(AF256&gt;0,AF256,IF(AF255&gt;0,AF255,IF(AF254&gt;0,AF254,IF(AF253&gt;0,AF253,IF(AF251&gt;0,AF251,IF(AF250&gt;0,AF250,IF(AF249&gt;0,AF249,0)))))))))))),0)*(1-$S261)*'模拟-单技能数据'!$I$20</f>
        <v>0</v>
      </c>
      <c r="AK261" s="115" t="b">
        <f t="shared" ca="1" si="235"/>
        <v>0</v>
      </c>
      <c r="AL261" s="115" t="b">
        <f t="shared" ca="1" si="256"/>
        <v>1</v>
      </c>
      <c r="AM261" s="115">
        <f t="shared" ca="1" si="257"/>
        <v>4</v>
      </c>
      <c r="AN261" s="47">
        <f ca="1">IF(AK261,('模拟-单技能数据'!$D$21+G261*'模拟-单技能数据'!$F$21)*(1+J261)*(1+'模拟-单技能数据'!$J$21)*(1+U261),0)</f>
        <v>0</v>
      </c>
      <c r="AO261" s="61">
        <f ca="1">IF(AN261&gt;0,M261-'模拟-单技能数据'!$K$10,AO260)</f>
        <v>0.42185145527300216</v>
      </c>
      <c r="AP261" s="61">
        <f ca="1">IF(AN261&gt;0,I261-'模拟-单技能数据'!$L$10,AP260)</f>
        <v>2.162482885499879</v>
      </c>
      <c r="AQ261" s="63">
        <f t="shared" ca="1" si="215"/>
        <v>0.22750917368049783</v>
      </c>
      <c r="AR261" s="64">
        <f ca="1">IF(AL261,IF(AQ261&lt;$F$10,0,IF(AQ261&lt;$F$10+$F$11,0.25,IF(AQ261&lt;$F$10+$F$11+AO261,AP261,1)))*IF(AN261&gt;0,AN261,IF(AN260&gt;0,AN260,IF(AN259&gt;0,AN259,IF(AN258&gt;0,AN258,IF(AN257&gt;0,AN257,IF(AN256&gt;0,AN256,IF(AN255&gt;0,AN255,IF(AN254&gt;0,AN254,IF(AN253&gt;0,AN253,IF(AN251&gt;0,AN251,IF(AN250&gt;0,AN250,IF(AN249&gt;0,AN249,0)))))))))))),0)*(1-$S261)*'模拟-单技能数据'!$I$21</f>
        <v>25101.867467669974</v>
      </c>
      <c r="AS261" s="61">
        <f ca="1">IF(OR(C261="净世破魔击·日",C261="净世破魔击·月"),M261-'模拟-单技能数据'!$K$10,0)</f>
        <v>0</v>
      </c>
      <c r="AT261" s="61">
        <f ca="1">IF(OR(C261="净世破魔击·日",C261="净世破魔击·月"),I261-'模拟-单技能数据'!$L$10,0)</f>
        <v>0</v>
      </c>
      <c r="AU261" s="62">
        <f t="shared" ca="1" si="216"/>
        <v>0.71442393497764478</v>
      </c>
      <c r="AV261" s="64">
        <f ca="1">IF(AS261&gt;0,('模拟-单技能数据'!$D$22+G261*'模拟-单技能数据'!$F$22)*(1+J261)*(1-S261)*IF(AU261&lt;$F$10,0,IF(AU261&lt;$F$10+$F$11,0.25,IF(AU261&lt;$F$10+$F$11+AS261,AT261,1)))*(1+U261),0)*'模拟-单技能数据'!$I$22</f>
        <v>0</v>
      </c>
      <c r="AW261" s="108">
        <f t="shared" ca="1" si="217"/>
        <v>0</v>
      </c>
      <c r="AX261" s="108" t="b">
        <f ca="1">AND(模拟模式!$P$10="有",AW260=0,RAND()&lt;IF(C261="净世破魔击·月",0.1*8/3,IF(C261="净世破魔击·日",0.1*4/3,0.1*2/3)))</f>
        <v>0</v>
      </c>
      <c r="AY261" s="47">
        <f ca="1">IF(AX261,(18+G261*0.722)*(1+J261)*(1-S261)*(1+$I$4)*IF(P261="会",'模拟-全程加成'!$J$3+'模拟-全程加成'!$J$4+'模拟-全程加成'!$J$5+('模拟-全程加成'!$I$4+'模拟-全程加成'!$I$5)/系数!$B$4+BG261*10%,IF(P261="命",1,IF(P261="识",0.25,0))),0)</f>
        <v>0</v>
      </c>
      <c r="AZ261" s="108">
        <f t="shared" si="218"/>
        <v>7.0850000000000071</v>
      </c>
      <c r="BA261" s="108" t="b">
        <f>AND(模拟模式!$Q$10="有",AZ260=0)</f>
        <v>0</v>
      </c>
      <c r="BB261" s="140">
        <f>IF(BA261,(0+G261*0.287)*(1+J261)*(1-S261)*(1+$I$4)*IF(P261="会",'模拟-全程加成'!$J$3+'模拟-全程加成'!$J$4+'模拟-全程加成'!$J$5+('模拟-全程加成'!$I$4+'模拟-全程加成'!$I$5)/系数!$B$4+BG261*10%,IF(P261="命",1,IF(P261="识",0.25,0))),0)</f>
        <v>0</v>
      </c>
      <c r="BC261" s="115" t="b">
        <f ca="1">AND(模拟模式!$R$7="伏明众生",E261=60,F261=20,DA261&lt;5,CZ260&lt;$F$4)</f>
        <v>0</v>
      </c>
      <c r="BD261" s="115">
        <f t="shared" ca="1" si="236"/>
        <v>0</v>
      </c>
      <c r="BE261" s="115" t="b">
        <f t="shared" ca="1" si="237"/>
        <v>0</v>
      </c>
      <c r="BF261" s="47">
        <f ca="1">IF(BC261,4*('模拟-单技能数据'!$D$24+G261*'模拟-单技能数据'!$F$24)*(1+J261)*(1+'模拟-单技能数据'!$J$24)*(1-S261)*(1+$I$3)*(('模拟-全程加成'!$J$3+'模拟-全程加成'!$J$4+'模拟-全程加成'!$J$5+('模拟-全程加成'!$I$4+'模拟-全程加成'!$I$5)/系数!$B$4+BG261*10%)*('模拟-全程加成'!$J$3+'模拟-全程加成'!$J$4+'模拟-全程加成'!$J$5+('模拟-全程加成'!$I$4+'模拟-全程加成'!$I$5)/系数!$B$4+BG261*10%)+(1-('模拟-全程加成'!$J$3+'模拟-全程加成'!$J$4+'模拟-全程加成'!$J$5+('模拟-全程加成'!$I$4+'模拟-全程加成'!$I$5)/系数!$B$4+BG261*10%)-$F$10-$F$11)+F247*0.25),0)*'模拟-单技能数据'!$I$24</f>
        <v>0</v>
      </c>
      <c r="BG261" s="115" t="b">
        <f ca="1">OR(AND(OR(C261="烈日斩",C261="银月斩"),模拟模式!$I$7="净身明礼"),AND(C261="净世破魔击·日",模拟模式!$J$7="洞若观火"),AND(C262="净世破魔击·月",模拟模式!$J$7="洞若观火"),AB261=1)</f>
        <v>1</v>
      </c>
      <c r="BH261" s="115" t="b">
        <f t="shared" ca="1" si="219"/>
        <v>0</v>
      </c>
      <c r="BI261" s="115">
        <f t="shared" ca="1" si="238"/>
        <v>1.3874999999999997</v>
      </c>
      <c r="BJ261" s="115" t="b">
        <f t="shared" ca="1" si="249"/>
        <v>1</v>
      </c>
      <c r="BK261" s="115" t="b">
        <f ca="1">AND(C261="驱夜断愁",模拟模式!$P$7="天地诛戮")</f>
        <v>1</v>
      </c>
      <c r="BL261" s="57">
        <f t="shared" ca="1" si="239"/>
        <v>20</v>
      </c>
      <c r="BM261" s="115" t="b">
        <f t="shared" ca="1" si="250"/>
        <v>1</v>
      </c>
      <c r="BN261" s="115" t="b">
        <f ca="1">AND(OR(C261="赤日轮1",C261="赤日轮2",C261="赤日轮3",C261="幽月轮1",C261="幽月轮2",C261="幽月轮3"),AB261=1,模拟模式!$L$7="明光恒照")</f>
        <v>0</v>
      </c>
      <c r="BO261" s="117">
        <f t="shared" ca="1" si="240"/>
        <v>28.155000000000001</v>
      </c>
      <c r="BP261" s="115">
        <f t="shared" ca="1" si="220"/>
        <v>6</v>
      </c>
      <c r="BQ261" s="115" t="b">
        <f>模拟模式!$K$10="2600·水"</f>
        <v>0</v>
      </c>
      <c r="BR261" s="117">
        <f t="shared" si="221"/>
        <v>0</v>
      </c>
      <c r="BS261" s="115">
        <f t="shared" si="222"/>
        <v>0</v>
      </c>
      <c r="BT261" s="115">
        <f t="shared" ca="1" si="223"/>
        <v>0</v>
      </c>
      <c r="BU261" s="115" t="b">
        <f ca="1">AND(模拟模式!$K$10="2300·雷",BT260=0,RAND()&lt;IF(C261="净世破魔击·月",5*0.05*2/3,IF(C261="净世破魔击·日",3*0.05*2/3,0.05*2*2/3)))</f>
        <v>0</v>
      </c>
      <c r="BV261" s="115">
        <f t="shared" ca="1" si="224"/>
        <v>0</v>
      </c>
      <c r="BW261" s="115">
        <f t="shared" ca="1" si="225"/>
        <v>156.01499999999965</v>
      </c>
      <c r="BX261" s="164" t="b">
        <f t="shared" ca="1" si="226"/>
        <v>0</v>
      </c>
      <c r="BY261" s="115">
        <f t="shared" ca="1" si="227"/>
        <v>0</v>
      </c>
      <c r="BZ261" s="115">
        <f>IF(OR(模拟模式!$P$16="10人团",模拟模式!$P$16="25人团"),IF(B261/30&gt;CA260,1,0),0)</f>
        <v>0</v>
      </c>
      <c r="CA261" s="115">
        <f t="shared" si="203"/>
        <v>0</v>
      </c>
      <c r="CB261" s="115">
        <f ca="1">IF(BZ261=1,IF(模拟模式!$P$16="10人团",15,0)+IF(模拟模式!$P$16="25人团",IF(RAND()&lt;0.6,15,0)),MAX(0,CB260-$F$4))</f>
        <v>0</v>
      </c>
      <c r="CC261" s="115" t="b">
        <f t="shared" ca="1" si="251"/>
        <v>0</v>
      </c>
      <c r="CD261" s="115">
        <f>IF(模拟模式!$Q$16="1个",IF(B261/40&gt;CE260,1,0),0)</f>
        <v>0</v>
      </c>
      <c r="CE261" s="115">
        <f t="shared" si="252"/>
        <v>0</v>
      </c>
      <c r="CF261" s="115">
        <f>IF(OR(CD261=1,模拟模式!$Q$16="2个"),20,MAX(0,CF260-$F$4))</f>
        <v>0</v>
      </c>
      <c r="CG261" s="115" t="b">
        <f t="shared" si="253"/>
        <v>0</v>
      </c>
      <c r="CH261" s="115">
        <f t="shared" ca="1" si="228"/>
        <v>15.240000000000009</v>
      </c>
      <c r="CI261" s="115" t="b">
        <f t="shared" ca="1" si="229"/>
        <v>0</v>
      </c>
      <c r="CJ261" s="119">
        <f t="shared" ca="1" si="230"/>
        <v>0</v>
      </c>
      <c r="CK261" s="115">
        <f t="shared" ca="1" si="231"/>
        <v>0</v>
      </c>
      <c r="CL261" s="115" t="b">
        <f ca="1">AND(模拟模式!$S$7="驱夷逐法",OR(AND(C261="净世破魔击·月",E260&gt;59),AND(C261="净世破魔击·日",F260&gt;59)))</f>
        <v>0</v>
      </c>
      <c r="CM261" s="115" t="b">
        <f ca="1">OR(CL261,AND(C261="净世破魔击·日",CL260,RAND()&lt;模拟模式!$U$23))</f>
        <v>0</v>
      </c>
      <c r="CN261" s="115" t="b">
        <f ca="1">IF(模拟模式!$M$7="辉耀红尘",AND(C261="净世破魔击·月",CL261,CV261=0,E260&lt;80),AND(C261="净世破魔击·月",CL261,E260&lt;100))</f>
        <v>0</v>
      </c>
      <c r="CO261" s="115" t="b">
        <f t="shared" ca="1" si="204"/>
        <v>0</v>
      </c>
      <c r="CP261" s="115" t="b">
        <f ca="1">AND(模拟模式!$O$7="用晦而明",OR(C261="净世破魔击·日",C261="净世破魔击·月",C261="驱夜断愁"),AB261)</f>
        <v>1</v>
      </c>
      <c r="CQ261" s="115" t="b">
        <f ca="1">OR(CP261,AND(CP260,RAND()&lt;模拟模式!$U$23))</f>
        <v>1</v>
      </c>
      <c r="CR261" s="115" t="b">
        <f ca="1">AND(模拟模式!$S$7="日月齐光",OR(C261="幽月轮1",C261="幽月轮2",C261="幽月轮3",CR260),NOT(OR(C261="赤日轮1",C261="赤日轮2",C261="赤日轮3")))</f>
        <v>0</v>
      </c>
      <c r="CS261" s="115" t="b">
        <f ca="1">AND(模拟模式!$S$7="日月齐光",OR(C261="赤日轮1",C261="赤日轮2",C261="赤日轮3",CS260),NOT(OR(C261="幽月轮1",C261="幽月轮2",C261="幽月轮3")))</f>
        <v>0</v>
      </c>
      <c r="CT261" s="115">
        <f t="shared" ca="1" si="232"/>
        <v>21.697500000000005</v>
      </c>
      <c r="CU261" s="115" t="b">
        <f ca="1">AND(模拟模式!$K$10="阴阳往极",CT260=0,RAND()&lt;IF(C261="净世破魔击·月",0.0275*7/3,IF(C261="净世破魔击·日",0.0275*3/3,0.0275*2/3)))</f>
        <v>0</v>
      </c>
      <c r="CV261" s="115">
        <f t="shared" ca="1" si="233"/>
        <v>0</v>
      </c>
      <c r="CW261" s="115">
        <f t="shared" ca="1" si="205"/>
        <v>0</v>
      </c>
      <c r="CX261" s="115">
        <f t="shared" ca="1" si="206"/>
        <v>5.0774999999999997</v>
      </c>
      <c r="CY261" s="115">
        <f ca="1">MAX(IF($C261="驱夜断愁",IF(模拟模式!$R$7="万念俱寂",6,45),CY260-$F$4),0)</f>
        <v>6</v>
      </c>
      <c r="CZ261" s="115">
        <f t="shared" ca="1" si="207"/>
        <v>0</v>
      </c>
      <c r="DA261" s="115">
        <f ca="1">IF(模拟模式!$N$7="日月同辉",IF(DB260=2,0,MIN(6,IF(AND(OR(C261="赤日轮1",C261="赤日轮2",C261="赤日轮3",C261="幽月轮1",C261="幽月轮2",C261="幽月轮3"),AB261=1),DA260+1,DA260))),0)</f>
        <v>5</v>
      </c>
      <c r="DB261" s="115">
        <f t="shared" ca="1" si="208"/>
        <v>0</v>
      </c>
      <c r="DC261" s="115"/>
      <c r="DD261" s="115"/>
      <c r="DE261" s="115"/>
      <c r="DF261" s="115"/>
      <c r="DG261" s="115"/>
      <c r="DH261" s="115"/>
      <c r="DI261" s="115"/>
      <c r="DJ261" s="115"/>
      <c r="DK261" s="115"/>
      <c r="DL261" s="115"/>
      <c r="DM261" s="115"/>
    </row>
    <row r="262" spans="2:117" x14ac:dyDescent="0.2">
      <c r="B262" s="117">
        <f t="shared" si="209"/>
        <v>216.78750000000124</v>
      </c>
      <c r="C262" s="167" t="str">
        <f t="shared" ca="1" si="202"/>
        <v>烈日斩</v>
      </c>
      <c r="D262" s="115">
        <f ca="1">IF(C262="赤日轮1",1,IF(C262="赤日轮2",2,IF(C262="赤日轮3",3,IF(C262="幽月轮1",4,IF(C262="幽月轮2",5,IF(C262="幽月轮3",6,IF(C262="烈日斩",7,IF(C262="银月斩",8,IF(C262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262="净世破魔击·月",17,IF(C262="驱夜断愁",18,0)))))))))))</f>
        <v>7</v>
      </c>
      <c r="E262" s="115">
        <f ca="1">IF(AND(CU262,OR(C262="幽月轮1",C262="幽月轮2",C262="幽月轮3",C262="银月斩",C262="驱夜断愁",C262="净世破魔击·月")),100,MIN(IF(OR(CN262,BE262),0,IF(OR($C262="赤日轮1",$C262="赤日轮2",$C262="赤日轮3"),E261+20+IF(模拟模式!$I$7="日月凌天",4,0)+IF(CR261,20,0),IF($C262="烈日斩",E261+40,IF($C262="驱夜断愁",IF(模拟模式!$R$7="万念俱寂",E261+20,E261+60),IF($C262="净世破魔击·月",IF(OR(DB261&gt;0,CV261&gt;0),100,IF(模拟模式!$M$7="辉耀红尘",E261+20,E261)),IF($C262="净世破魔击·日",E261-100,E261)))))),100))</f>
        <v>80</v>
      </c>
      <c r="F262" s="115">
        <f ca="1">IF(AND(CU262,OR(C262="赤日轮1",C262="赤日轮2",C262="赤日轮3",C262="烈日斩",C262="净世破魔击·日")),100,MIN(IF(CO262,0,IF(OR($C262="幽月轮1",$C262="幽月轮2",$C262="幽月轮3"),F261+20+IF(模拟模式!$I$7="日月凌天",4,0)+IF(CS261,20,0),IF($C262="银月斩",F261+40+IF(模拟模式!$X$12=1,5,0),IF($C262="驱夜断愁",IF(模拟模式!$R$7="万念俱寂",F261+20,F261+60),IF($C262="净世破魔击·月",IF(模拟模式!$M$7="辉耀红尘",F261-80,F261-100),IF(AND(C262="净世破魔击·日",OR(DB261&gt;0,CV261&gt;0)),100,F261)))))),100))</f>
        <v>85</v>
      </c>
      <c r="G262" s="117">
        <f ca="1">('模拟-全程加成'!$E$3+'模拟-全程加成'!$E$4+'模拟-全程加成'!$E$5+('模拟-全程加成'!$C$6-'模拟-全程加成'!$C$3)*系数!$B$9+BS262*23)*(1+'模拟-全程加成'!$F$4+'模拟-全程加成'!$F$5+BJ262*10%+BM262*20%+BP262*4%+CG262*30%)+$F$7*系数!$B$12</f>
        <v>21493.829400000002</v>
      </c>
      <c r="H262" s="45">
        <f ca="1">'模拟-全程加成'!$H$3+'模拟-全程加成'!$H$4+'模拟-全程加成'!$H$5+('模拟-全程加成'!$G$4+'模拟-全程加成'!$G$5+('模拟-全程加成'!$C$6-'模拟-全程加成'!$C$3)*系数!$B$13)/系数!$B$3+LOOKUP(D262,'模拟-单技能数据'!$A$2:$A$19,'模拟-单技能数据'!$K$2:$K$19)+BG262*10%+IF(BV262&gt;0,378,0)</f>
        <v>0.56185145527300218</v>
      </c>
      <c r="I262" s="45">
        <f ca="1">'模拟-全程加成'!$J$3+'模拟-全程加成'!$J$4+'模拟-全程加成'!$J$5+('模拟-全程加成'!$I$4+'模拟-全程加成'!$I$5)/系数!$B$4+LOOKUP(D262,'模拟-单技能数据'!$A$2:$A$19,'模拟-单技能数据'!$L$2:$L$19)+BG262*10%</f>
        <v>2.2624828854998791</v>
      </c>
      <c r="J262" s="45">
        <f ca="1">(('模拟-全程加成'!$K$3+'模拟-全程加成'!$K$4+'模拟-全程加成'!$K$5+('模拟-全程加成'!$C$6-'模拟-全程加成'!$C$3)*系数!$B$10+IF(BV262&gt;0,882,0)+IF(BY262&gt;0,1831,0))*(1+'模拟-全程加成'!$L$4+'模拟-全程加成'!$L$5+CC262*20%))/系数!$B$5</f>
        <v>0.69723220422048726</v>
      </c>
      <c r="K262" s="119">
        <f ca="1">LOOKUP(D262,'模拟-单技能数据'!$A$2:$A$19,'模拟-单技能数据'!$J$2:$J$19)+IF(CM262,60%,0)+IF(DB261-DB262&gt;0,30%,0)+IF(OR(AND(OR(C262="赤日轮1",C262="赤日轮2",C262="赤日轮3"),CR262),AND(OR(C262="幽月轮1",C262="幽月轮2",C262="幽月轮3"),CS262)),35%,0)+CJ262</f>
        <v>0.24</v>
      </c>
      <c r="L262" s="119">
        <f ca="1">IF(AND(C262="烈日斩",模拟模式!$X$11=1),10%,0)+IF(AND(C262="驱夜断愁",AB262=1),30%,0)</f>
        <v>0.1</v>
      </c>
      <c r="M262" s="45">
        <f t="shared" ca="1" si="241"/>
        <v>0.56185145527300218</v>
      </c>
      <c r="N262" s="45">
        <f t="shared" ca="1" si="242"/>
        <v>0.38424854472699788</v>
      </c>
      <c r="O262" s="46">
        <f t="shared" ca="1" si="210"/>
        <v>0.5320050031148007</v>
      </c>
      <c r="P262" s="46" t="str">
        <f t="shared" ca="1" si="211"/>
        <v>会</v>
      </c>
      <c r="Q262" s="45">
        <f t="shared" ca="1" si="212"/>
        <v>2.2624828854998791</v>
      </c>
      <c r="R262" s="117">
        <f ca="1">模拟模式!$E$20*(1-IF(模拟模式!$J$19="有",0.15,0))*(1-IF(模拟模式!$K$19="有",0.3,0)-IF(CQ262,0.5,0))</f>
        <v>843.02999999999975</v>
      </c>
      <c r="S262" s="45">
        <f ca="1">R262/(R262+(185*模拟模式!$E$22-16800)*4.08224)</f>
        <v>8.389626085980037E-2</v>
      </c>
      <c r="T262" s="45" t="str">
        <f ca="1">LOOKUP(D262,'模拟-单技能数据'!$A$2:$A$19,'模拟-单技能数据'!$H$2:$H$19)</f>
        <v>阳</v>
      </c>
      <c r="U262" s="119">
        <f t="shared" ca="1" si="243"/>
        <v>0.2</v>
      </c>
      <c r="V262" s="47">
        <f ca="1">(1+L262)*(LOOKUP(D262,'模拟-单技能数据'!$A$2:$A$19,'模拟-单技能数据'!$D$2:$D$19)+G262*LOOKUP(D262,'模拟-单技能数据'!$A$2:$A$19,'模拟-单技能数据'!$F$2:$F$19))*(1+J262)*(1+K262)*(1-S262)*(1+U262)*Q262*LOOKUP(D262,'模拟-单技能数据'!$A$2:$A$19,'模拟-单技能数据'!$I$2:$I$20)</f>
        <v>110503.35617153208</v>
      </c>
      <c r="W262" s="47">
        <f ca="1">LOOKUP(D262,'模拟-单技能数据'!$A$2:$A$19,'模拟-单技能数据'!$G$2:$G$19)*$I$10</f>
        <v>361.51064354704795</v>
      </c>
      <c r="X262" s="47">
        <f t="shared" ca="1" si="213"/>
        <v>66034.541484888163</v>
      </c>
      <c r="Y262" s="47">
        <f t="shared" ca="1" si="244"/>
        <v>176899.4082999673</v>
      </c>
      <c r="Z262" s="49">
        <f t="shared" ca="1" si="245"/>
        <v>24978001.355702072</v>
      </c>
      <c r="AA262" s="97">
        <f t="shared" ca="1" si="246"/>
        <v>115218.82652690736</v>
      </c>
      <c r="AB262" s="115">
        <f ca="1">IF(OR(C262="赤日轮1",C262="赤日轮2",C262="赤日轮3"),IF(RAND()&lt;模拟模式!$Y$17,1,0),IF(OR(C262="幽月轮1",C262="幽月轮2",C262="幽月轮3"),IF(RAND()&lt;模拟模式!$Y$18,1,0),IF(C262="烈日斩",IF(RAND()&lt;模拟模式!$Y$19,1,0),IF(C262="银月斩",IF(RAND()&lt;模拟模式!$Y$20,1,0),IF(C262="驱夜断愁",IF(RAND()&lt;模拟模式!$Y$21,1,0),IF(C262="净世破魔击·日",IF(RAND()&lt;模拟模式!$Y$22,1,0),IF(C262="净世破魔击·月",IF(RAND()&lt;模拟模式!$Y$23,1,0),0)))))))</f>
        <v>1</v>
      </c>
      <c r="AC262" s="115" t="b">
        <f t="shared" ca="1" si="234"/>
        <v>0</v>
      </c>
      <c r="AD262" s="115" t="b">
        <f t="shared" ca="1" si="254"/>
        <v>1</v>
      </c>
      <c r="AE262" s="115">
        <f t="shared" ca="1" si="255"/>
        <v>5</v>
      </c>
      <c r="AF262" s="47">
        <f ca="1">IF(AC262,('模拟-单技能数据'!$D$20+G262*'模拟-单技能数据'!$F$20)*(1+J262)*(1+'模拟-单技能数据'!$J$20)*(1+U262),0)</f>
        <v>0</v>
      </c>
      <c r="AG262" s="61">
        <f t="shared" ca="1" si="247"/>
        <v>0.64185145527300214</v>
      </c>
      <c r="AH262" s="61">
        <f t="shared" ca="1" si="248"/>
        <v>2.2624828854998791</v>
      </c>
      <c r="AI262" s="62">
        <f t="shared" ca="1" si="214"/>
        <v>0.32595725065482162</v>
      </c>
      <c r="AJ262" s="47">
        <f ca="1">IF(AD262,IF(AI262&lt;$F$10,0,IF(AI262&lt;$F$10+$F$11,0.25,IF(AI262&lt;$F$10+$F$11+AG262,AH262,1)))*IF(AF262&gt;0,AF262,IF(AF261&gt;0,AF261,IF(AF260&gt;0,AF260,IF(AF259&gt;0,AF259,IF(AF258&gt;0,AF258,IF(AF257&gt;0,AF257,IF(AF256&gt;0,AF256,IF(AF255&gt;0,AF255,IF(AF254&gt;0,AF254,IF(AF252&gt;0,AF252,IF(AF251&gt;0,AF251,IF(AF250&gt;0,AF250,0)))))))))))),0)*(1-$S262)*'模拟-单技能数据'!$I$20</f>
        <v>9616.6571145767884</v>
      </c>
      <c r="AK262" s="115" t="b">
        <f t="shared" ca="1" si="235"/>
        <v>0</v>
      </c>
      <c r="AL262" s="115" t="b">
        <f t="shared" ca="1" si="256"/>
        <v>0</v>
      </c>
      <c r="AM262" s="115">
        <f t="shared" ca="1" si="257"/>
        <v>4</v>
      </c>
      <c r="AN262" s="47">
        <f ca="1">IF(AK262,('模拟-单技能数据'!$D$21+G262*'模拟-单技能数据'!$F$21)*(1+J262)*(1+'模拟-单技能数据'!$J$21)*(1+U262),0)</f>
        <v>0</v>
      </c>
      <c r="AO262" s="61">
        <f ca="1">IF(AN262&gt;0,M262-'模拟-单技能数据'!$K$10,AO261)</f>
        <v>0.42185145527300216</v>
      </c>
      <c r="AP262" s="61">
        <f ca="1">IF(AN262&gt;0,I262-'模拟-单技能数据'!$L$10,AP261)</f>
        <v>2.162482885499879</v>
      </c>
      <c r="AQ262" s="63">
        <f t="shared" ca="1" si="215"/>
        <v>0.84062623563062089</v>
      </c>
      <c r="AR262" s="64">
        <f ca="1">IF(AL262,IF(AQ262&lt;$F$10,0,IF(AQ262&lt;$F$10+$F$11,0.25,IF(AQ262&lt;$F$10+$F$11+AO262,AP262,1)))*IF(AN262&gt;0,AN262,IF(AN261&gt;0,AN261,IF(AN260&gt;0,AN260,IF(AN259&gt;0,AN259,IF(AN258&gt;0,AN258,IF(AN257&gt;0,AN257,IF(AN256&gt;0,AN256,IF(AN255&gt;0,AN255,IF(AN254&gt;0,AN254,IF(AN252&gt;0,AN252,IF(AN251&gt;0,AN251,IF(AN250&gt;0,AN250,0)))))))))))),0)*(1-$S262)*'模拟-单技能数据'!$I$21</f>
        <v>0</v>
      </c>
      <c r="AS262" s="61">
        <f ca="1">IF(OR(C262="净世破魔击·日",C262="净世破魔击·月"),M262-'模拟-单技能数据'!$K$10,0)</f>
        <v>0</v>
      </c>
      <c r="AT262" s="61">
        <f ca="1">IF(OR(C262="净世破魔击·日",C262="净世破魔击·月"),I262-'模拟-单技能数据'!$L$10,0)</f>
        <v>0</v>
      </c>
      <c r="AU262" s="62">
        <f t="shared" ca="1" si="216"/>
        <v>0.71820457127794479</v>
      </c>
      <c r="AV262" s="64">
        <f ca="1">IF(AS262&gt;0,('模拟-单技能数据'!$D$22+G262*'模拟-单技能数据'!$F$22)*(1+J262)*(1-S262)*IF(AU262&lt;$F$10,0,IF(AU262&lt;$F$10+$F$11,0.25,IF(AU262&lt;$F$10+$F$11+AS262,AT262,1)))*(1+U262),0)*'模拟-单技能数据'!$I$22</f>
        <v>0</v>
      </c>
      <c r="AW262" s="108">
        <f t="shared" ca="1" si="217"/>
        <v>19.077500000000001</v>
      </c>
      <c r="AX262" s="108" t="b">
        <f ca="1">AND(模拟模式!$P$10="有",AW261=0,RAND()&lt;IF(C262="净世破魔击·月",0.1*8/3,IF(C262="净世破魔击·日",0.1*4/3,0.1*2/3)))</f>
        <v>1</v>
      </c>
      <c r="AY262" s="47">
        <f ca="1">IF(AX262,(18+G262*0.722)*(1+J262)*(1-S262)*(1+$I$4)*IF(P262="会",'模拟-全程加成'!$J$3+'模拟-全程加成'!$J$4+'模拟-全程加成'!$J$5+('模拟-全程加成'!$I$4+'模拟-全程加成'!$I$5)/系数!$B$4+BG262*10%,IF(P262="命",1,IF(P262="识",0.25,0))),0)</f>
        <v>56417.884370311374</v>
      </c>
      <c r="AZ262" s="108">
        <f t="shared" si="218"/>
        <v>6.1625000000000068</v>
      </c>
      <c r="BA262" s="108" t="b">
        <f>AND(模拟模式!$Q$10="有",AZ261=0)</f>
        <v>0</v>
      </c>
      <c r="BB262" s="140">
        <f>IF(BA262,(0+G262*0.287)*(1+J262)*(1-S262)*(1+$I$4)*IF(P262="会",'模拟-全程加成'!$J$3+'模拟-全程加成'!$J$4+'模拟-全程加成'!$J$5+('模拟-全程加成'!$I$4+'模拟-全程加成'!$I$5)/系数!$B$4+BG262*10%,IF(P262="命",1,IF(P262="识",0.25,0))),0)</f>
        <v>0</v>
      </c>
      <c r="BC262" s="115" t="b">
        <f ca="1">AND(模拟模式!$R$7="伏明众生",E262=60,F262=20,DA262&lt;5,CZ261&lt;$F$4)</f>
        <v>0</v>
      </c>
      <c r="BD262" s="115">
        <f t="shared" ca="1" si="236"/>
        <v>0</v>
      </c>
      <c r="BE262" s="115" t="b">
        <f t="shared" ca="1" si="237"/>
        <v>0</v>
      </c>
      <c r="BF262" s="47">
        <f ca="1">IF(BC262,4*('模拟-单技能数据'!$D$24+G262*'模拟-单技能数据'!$F$24)*(1+J262)*(1+'模拟-单技能数据'!$J$24)*(1-S262)*(1+$I$3)*(('模拟-全程加成'!$J$3+'模拟-全程加成'!$J$4+'模拟-全程加成'!$J$5+('模拟-全程加成'!$I$4+'模拟-全程加成'!$I$5)/系数!$B$4+BG262*10%)*('模拟-全程加成'!$J$3+'模拟-全程加成'!$J$4+'模拟-全程加成'!$J$5+('模拟-全程加成'!$I$4+'模拟-全程加成'!$I$5)/系数!$B$4+BG262*10%)+(1-('模拟-全程加成'!$J$3+'模拟-全程加成'!$J$4+'模拟-全程加成'!$J$5+('模拟-全程加成'!$I$4+'模拟-全程加成'!$I$5)/系数!$B$4+BG262*10%)-$F$10-$F$11)+F248*0.25),0)*'模拟-单技能数据'!$I$24</f>
        <v>0</v>
      </c>
      <c r="BG262" s="115" t="b">
        <f ca="1">OR(AND(OR(C262="烈日斩",C262="银月斩"),模拟模式!$I$7="净身明礼"),AND(C262="净世破魔击·日",模拟模式!$J$7="洞若观火"),AND(C263="净世破魔击·月",模拟模式!$J$7="洞若观火"),AB262=1)</f>
        <v>1</v>
      </c>
      <c r="BH262" s="115" t="b">
        <f t="shared" ca="1" si="219"/>
        <v>0</v>
      </c>
      <c r="BI262" s="115">
        <f t="shared" ca="1" si="238"/>
        <v>0.46499999999999975</v>
      </c>
      <c r="BJ262" s="115" t="b">
        <f t="shared" ca="1" si="249"/>
        <v>1</v>
      </c>
      <c r="BK262" s="115" t="b">
        <f ca="1">AND(C262="驱夜断愁",模拟模式!$P$7="天地诛戮")</f>
        <v>0</v>
      </c>
      <c r="BL262" s="57">
        <f t="shared" ca="1" si="239"/>
        <v>19.077500000000001</v>
      </c>
      <c r="BM262" s="115" t="b">
        <f t="shared" ca="1" si="250"/>
        <v>1</v>
      </c>
      <c r="BN262" s="115" t="b">
        <f ca="1">AND(OR(C262="赤日轮1",C262="赤日轮2",C262="赤日轮3",C262="幽月轮1",C262="幽月轮2",C262="幽月轮3"),AB262=1,模拟模式!$L$7="明光恒照")</f>
        <v>0</v>
      </c>
      <c r="BO262" s="117">
        <f t="shared" ca="1" si="240"/>
        <v>27.232500000000002</v>
      </c>
      <c r="BP262" s="115">
        <f t="shared" ca="1" si="220"/>
        <v>6</v>
      </c>
      <c r="BQ262" s="115" t="b">
        <f>模拟模式!$K$10="2600·水"</f>
        <v>0</v>
      </c>
      <c r="BR262" s="117">
        <f t="shared" si="221"/>
        <v>0</v>
      </c>
      <c r="BS262" s="115">
        <f t="shared" si="222"/>
        <v>0</v>
      </c>
      <c r="BT262" s="115">
        <f t="shared" ca="1" si="223"/>
        <v>0</v>
      </c>
      <c r="BU262" s="115" t="b">
        <f ca="1">AND(模拟模式!$K$10="2300·雷",BT261=0,RAND()&lt;IF(C262="净世破魔击·月",5*0.05*2/3,IF(C262="净世破魔击·日",3*0.05*2/3,0.05*2*2/3)))</f>
        <v>0</v>
      </c>
      <c r="BV262" s="115">
        <f t="shared" ca="1" si="224"/>
        <v>0</v>
      </c>
      <c r="BW262" s="115">
        <f t="shared" ca="1" si="225"/>
        <v>155.09249999999963</v>
      </c>
      <c r="BX262" s="164" t="b">
        <f t="shared" ca="1" si="226"/>
        <v>0</v>
      </c>
      <c r="BY262" s="115">
        <f t="shared" ca="1" si="227"/>
        <v>0</v>
      </c>
      <c r="BZ262" s="115">
        <f>IF(OR(模拟模式!$P$16="10人团",模拟模式!$P$16="25人团"),IF(B262/30&gt;CA261,1,0),0)</f>
        <v>0</v>
      </c>
      <c r="CA262" s="115">
        <f t="shared" si="203"/>
        <v>0</v>
      </c>
      <c r="CB262" s="115">
        <f ca="1">IF(BZ262=1,IF(模拟模式!$P$16="10人团",15,0)+IF(模拟模式!$P$16="25人团",IF(RAND()&lt;0.6,15,0)),MAX(0,CB261-$F$4))</f>
        <v>0</v>
      </c>
      <c r="CC262" s="115" t="b">
        <f t="shared" ca="1" si="251"/>
        <v>0</v>
      </c>
      <c r="CD262" s="115">
        <f>IF(模拟模式!$Q$16="1个",IF(B262/40&gt;CE261,1,0),0)</f>
        <v>0</v>
      </c>
      <c r="CE262" s="115">
        <f t="shared" si="252"/>
        <v>0</v>
      </c>
      <c r="CF262" s="115">
        <f>IF(OR(CD262=1,模拟模式!$Q$16="2个"),20,MAX(0,CF261-$F$4))</f>
        <v>0</v>
      </c>
      <c r="CG262" s="115" t="b">
        <f t="shared" si="253"/>
        <v>0</v>
      </c>
      <c r="CH262" s="115">
        <f t="shared" ca="1" si="228"/>
        <v>14.31750000000001</v>
      </c>
      <c r="CI262" s="115" t="b">
        <f t="shared" ca="1" si="229"/>
        <v>0</v>
      </c>
      <c r="CJ262" s="119">
        <f t="shared" ca="1" si="230"/>
        <v>0</v>
      </c>
      <c r="CK262" s="115">
        <f t="shared" ca="1" si="231"/>
        <v>0</v>
      </c>
      <c r="CL262" s="115" t="b">
        <f ca="1">AND(模拟模式!$S$7="驱夷逐法",OR(AND(C262="净世破魔击·月",E261&gt;59),AND(C262="净世破魔击·日",F261&gt;59)))</f>
        <v>0</v>
      </c>
      <c r="CM262" s="115" t="b">
        <f ca="1">OR(CL262,AND(C262="净世破魔击·日",CL261,RAND()&lt;模拟模式!$U$23))</f>
        <v>0</v>
      </c>
      <c r="CN262" s="115" t="b">
        <f ca="1">IF(模拟模式!$M$7="辉耀红尘",AND(C262="净世破魔击·月",CL262,CV262=0,E261&lt;80),AND(C262="净世破魔击·月",CL262,E261&lt;100))</f>
        <v>0</v>
      </c>
      <c r="CO262" s="115" t="b">
        <f t="shared" ca="1" si="204"/>
        <v>0</v>
      </c>
      <c r="CP262" s="115" t="b">
        <f ca="1">AND(模拟模式!$O$7="用晦而明",OR(C262="净世破魔击·日",C262="净世破魔击·月",C262="驱夜断愁"),AB262)</f>
        <v>0</v>
      </c>
      <c r="CQ262" s="115" t="b">
        <f ca="1">OR(CP262,AND(CP261,RAND()&lt;模拟模式!$U$23))</f>
        <v>1</v>
      </c>
      <c r="CR262" s="115" t="b">
        <f ca="1">AND(模拟模式!$S$7="日月齐光",OR(C262="幽月轮1",C262="幽月轮2",C262="幽月轮3",CR261),NOT(OR(C262="赤日轮1",C262="赤日轮2",C262="赤日轮3")))</f>
        <v>0</v>
      </c>
      <c r="CS262" s="115" t="b">
        <f ca="1">AND(模拟模式!$S$7="日月齐光",OR(C262="赤日轮1",C262="赤日轮2",C262="赤日轮3",CS261),NOT(OR(C262="幽月轮1",C262="幽月轮2",C262="幽月轮3")))</f>
        <v>0</v>
      </c>
      <c r="CT262" s="115">
        <f t="shared" ca="1" si="232"/>
        <v>20.775000000000006</v>
      </c>
      <c r="CU262" s="115" t="b">
        <f ca="1">AND(模拟模式!$K$10="阴阳往极",CT261=0,RAND()&lt;IF(C262="净世破魔击·月",0.0275*7/3,IF(C262="净世破魔击·日",0.0275*3/3,0.0275*2/3)))</f>
        <v>0</v>
      </c>
      <c r="CV262" s="115">
        <f t="shared" ca="1" si="233"/>
        <v>0</v>
      </c>
      <c r="CW262" s="115">
        <f t="shared" ca="1" si="205"/>
        <v>6</v>
      </c>
      <c r="CX262" s="115">
        <f t="shared" ca="1" si="206"/>
        <v>4.1549999999999994</v>
      </c>
      <c r="CY262" s="115">
        <f ca="1">MAX(IF($C262="驱夜断愁",IF(模拟模式!$R$7="万念俱寂",6,45),CY261-$F$4),0)</f>
        <v>5.0774999999999997</v>
      </c>
      <c r="CZ262" s="115">
        <f t="shared" ca="1" si="207"/>
        <v>0</v>
      </c>
      <c r="DA262" s="115">
        <f ca="1">IF(模拟模式!$N$7="日月同辉",IF(DB261=2,0,MIN(6,IF(AND(OR(C262="赤日轮1",C262="赤日轮2",C262="赤日轮3",C262="幽月轮1",C262="幽月轮2",C262="幽月轮3"),AB262=1),DA261+1,DA261))),0)</f>
        <v>5</v>
      </c>
      <c r="DB262" s="115">
        <f t="shared" ca="1" si="208"/>
        <v>0</v>
      </c>
      <c r="DC262" s="115"/>
      <c r="DD262" s="115"/>
      <c r="DE262" s="115"/>
      <c r="DF262" s="115"/>
      <c r="DG262" s="115"/>
      <c r="DH262" s="115"/>
      <c r="DI262" s="115"/>
      <c r="DJ262" s="115"/>
      <c r="DK262" s="115"/>
      <c r="DL262" s="115"/>
      <c r="DM262" s="115"/>
    </row>
    <row r="263" spans="2:117" x14ac:dyDescent="0.2">
      <c r="B263" s="117">
        <f t="shared" si="209"/>
        <v>217.71000000000126</v>
      </c>
      <c r="C263" s="167" t="str">
        <f t="shared" ca="1" si="202"/>
        <v>幽月轮1</v>
      </c>
      <c r="D263" s="115">
        <f ca="1">IF(C263="赤日轮1",1,IF(C263="赤日轮2",2,IF(C263="赤日轮3",3,IF(C263="幽月轮1",4,IF(C263="幽月轮2",5,IF(C263="幽月轮3",6,IF(C263="烈日斩",7,IF(C263="银月斩",8,IF(C263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263="净世破魔击·月",17,IF(C263="驱夜断愁",18,0)))))))))))</f>
        <v>4</v>
      </c>
      <c r="E263" s="115">
        <f ca="1">IF(AND(CU263,OR(C263="幽月轮1",C263="幽月轮2",C263="幽月轮3",C263="银月斩",C263="驱夜断愁",C263="净世破魔击·月")),100,MIN(IF(OR(CN263,BE263),0,IF(OR($C263="赤日轮1",$C263="赤日轮2",$C263="赤日轮3"),E262+20+IF(模拟模式!$I$7="日月凌天",4,0)+IF(CR262,20,0),IF($C263="烈日斩",E262+40,IF($C263="驱夜断愁",IF(模拟模式!$R$7="万念俱寂",E262+20,E262+60),IF($C263="净世破魔击·月",IF(OR(DB262&gt;0,CV262&gt;0),100,IF(模拟模式!$M$7="辉耀红尘",E262+20,E262)),IF($C263="净世破魔击·日",E262-100,E262)))))),100))</f>
        <v>80</v>
      </c>
      <c r="F263" s="115">
        <f ca="1">IF(AND(CU263,OR(C263="赤日轮1",C263="赤日轮2",C263="赤日轮3",C263="烈日斩",C263="净世破魔击·日")),100,MIN(IF(CO263,0,IF(OR($C263="幽月轮1",$C263="幽月轮2",$C263="幽月轮3"),F262+20+IF(模拟模式!$I$7="日月凌天",4,0)+IF(CS262,20,0),IF($C263="银月斩",F262+40+IF(模拟模式!$X$12=1,5,0),IF($C263="驱夜断愁",IF(模拟模式!$R$7="万念俱寂",F262+20,F262+60),IF($C263="净世破魔击·月",IF(模拟模式!$M$7="辉耀红尘",F262-80,F262-100),IF(AND(C263="净世破魔击·日",OR(DB262&gt;0,CV262&gt;0)),100,F262)))))),100))</f>
        <v>100</v>
      </c>
      <c r="G263" s="117">
        <f ca="1">('模拟-全程加成'!$E$3+'模拟-全程加成'!$E$4+'模拟-全程加成'!$E$5+('模拟-全程加成'!$C$6-'模拟-全程加成'!$C$3)*系数!$B$9+BS263*23)*(1+'模拟-全程加成'!$F$4+'模拟-全程加成'!$F$5+BJ263*10%+BM263*20%+BP263*4%+CG263*30%)+$F$7*系数!$B$12</f>
        <v>20583.127400000001</v>
      </c>
      <c r="H263" s="45">
        <f ca="1">'模拟-全程加成'!$H$3+'模拟-全程加成'!$H$4+'模拟-全程加成'!$H$5+('模拟-全程加成'!$G$4+'模拟-全程加成'!$G$5+('模拟-全程加成'!$C$6-'模拟-全程加成'!$C$3)*系数!$B$13)/系数!$B$3+LOOKUP(D263,'模拟-单技能数据'!$A$2:$A$19,'模拟-单技能数据'!$K$2:$K$19)+BG263*10%+IF(BV263&gt;0,378,0)</f>
        <v>0.51185145527300213</v>
      </c>
      <c r="I263" s="45">
        <f ca="1">'模拟-全程加成'!$J$3+'模拟-全程加成'!$J$4+'模拟-全程加成'!$J$5+('模拟-全程加成'!$I$4+'模拟-全程加成'!$I$5)/系数!$B$4+LOOKUP(D263,'模拟-单技能数据'!$A$2:$A$19,'模拟-单技能数据'!$L$2:$L$19)+BG263*10%</f>
        <v>2.162482885499879</v>
      </c>
      <c r="J263" s="45">
        <f ca="1">(('模拟-全程加成'!$K$3+'模拟-全程加成'!$K$4+'模拟-全程加成'!$K$5+('模拟-全程加成'!$C$6-'模拟-全程加成'!$C$3)*系数!$B$10+IF(BV263&gt;0,882,0)+IF(BY263&gt;0,1831,0))*(1+'模拟-全程加成'!$L$4+'模拟-全程加成'!$L$5+CC263*20%))/系数!$B$5</f>
        <v>0.69723220422048726</v>
      </c>
      <c r="K263" s="119">
        <f ca="1">LOOKUP(D263,'模拟-单技能数据'!$A$2:$A$19,'模拟-单技能数据'!$J$2:$J$19)+IF(CM263,60%,0)+IF(DB262-DB263&gt;0,30%,0)+IF(OR(AND(OR(C263="赤日轮1",C263="赤日轮2",C263="赤日轮3"),CR263),AND(OR(C263="幽月轮1",C263="幽月轮2",C263="幽月轮3"),CS263)),35%,0)+CJ263</f>
        <v>7.0000000000000007E-2</v>
      </c>
      <c r="L263" s="119">
        <f ca="1">IF(AND(C263="烈日斩",模拟模式!$X$11=1),10%,0)+IF(AND(C263="驱夜断愁",AB263=1),30%,0)</f>
        <v>0</v>
      </c>
      <c r="M263" s="45">
        <f t="shared" ca="1" si="241"/>
        <v>0.51185145527300213</v>
      </c>
      <c r="N263" s="45">
        <f t="shared" ca="1" si="242"/>
        <v>0.43424854472699792</v>
      </c>
      <c r="O263" s="46">
        <f t="shared" ca="1" si="210"/>
        <v>0.16938215680413171</v>
      </c>
      <c r="P263" s="46" t="str">
        <f t="shared" ca="1" si="211"/>
        <v>会</v>
      </c>
      <c r="Q263" s="45">
        <f t="shared" ca="1" si="212"/>
        <v>2.162482885499879</v>
      </c>
      <c r="R263" s="117">
        <f ca="1">模拟模式!$E$20*(1-IF(模拟模式!$J$19="有",0.15,0))*(1-IF(模拟模式!$K$19="有",0.3,0)-IF(CQ263,0.5,0))</f>
        <v>2950.6049999999996</v>
      </c>
      <c r="S263" s="45">
        <f ca="1">R263/(R263+(185*模拟模式!$E$22-16800)*4.08224)</f>
        <v>0.24272716014590323</v>
      </c>
      <c r="T263" s="45" t="str">
        <f ca="1">LOOKUP(D263,'模拟-单技能数据'!$A$2:$A$19,'模拟-单技能数据'!$H$2:$H$19)</f>
        <v>阴</v>
      </c>
      <c r="U263" s="119">
        <f t="shared" ca="1" si="243"/>
        <v>0.08</v>
      </c>
      <c r="V263" s="47">
        <f ca="1">(1+L263)*(LOOKUP(D263,'模拟-单技能数据'!$A$2:$A$19,'模拟-单技能数据'!$D$2:$D$19)+G263*LOOKUP(D263,'模拟-单技能数据'!$A$2:$A$19,'模拟-单技能数据'!$F$2:$F$19))*(1+J263)*(1+K263)*(1-S263)*(1+U263)*Q263*LOOKUP(D263,'模拟-单技能数据'!$A$2:$A$19,'模拟-单技能数据'!$I$2:$I$20)</f>
        <v>35088.919370823241</v>
      </c>
      <c r="W263" s="47">
        <f ca="1">LOOKUP(D263,'模拟-单技能数据'!$A$2:$A$19,'模拟-单技能数据'!$G$2:$G$19)*$I$10</f>
        <v>361.51064354704795</v>
      </c>
      <c r="X263" s="47">
        <f t="shared" ca="1" si="213"/>
        <v>9595.3556920079973</v>
      </c>
      <c r="Y263" s="47">
        <f t="shared" ca="1" si="244"/>
        <v>45045.785706378287</v>
      </c>
      <c r="Z263" s="49">
        <f t="shared" ca="1" si="245"/>
        <v>25023047.141408451</v>
      </c>
      <c r="AA263" s="97">
        <f t="shared" ca="1" si="246"/>
        <v>114937.51844843281</v>
      </c>
      <c r="AB263" s="115">
        <f ca="1">IF(OR(C263="赤日轮1",C263="赤日轮2",C263="赤日轮3"),IF(RAND()&lt;模拟模式!$Y$17,1,0),IF(OR(C263="幽月轮1",C263="幽月轮2",C263="幽月轮3"),IF(RAND()&lt;模拟模式!$Y$18,1,0),IF(C263="烈日斩",IF(RAND()&lt;模拟模式!$Y$19,1,0),IF(C263="银月斩",IF(RAND()&lt;模拟模式!$Y$20,1,0),IF(C263="驱夜断愁",IF(RAND()&lt;模拟模式!$Y$21,1,0),IF(C263="净世破魔击·日",IF(RAND()&lt;模拟模式!$Y$22,1,0),IF(C263="净世破魔击·月",IF(RAND()&lt;模拟模式!$Y$23,1,0),0)))))))</f>
        <v>1</v>
      </c>
      <c r="AC263" s="115" t="b">
        <f t="shared" ca="1" si="234"/>
        <v>0</v>
      </c>
      <c r="AD263" s="115" t="b">
        <f t="shared" ca="1" si="254"/>
        <v>0</v>
      </c>
      <c r="AE263" s="115">
        <f t="shared" ca="1" si="255"/>
        <v>5</v>
      </c>
      <c r="AF263" s="47">
        <f ca="1">IF(AC263,('模拟-单技能数据'!$D$20+G263*'模拟-单技能数据'!$F$20)*(1+J263)*(1+'模拟-单技能数据'!$J$20)*(1+U263),0)</f>
        <v>0</v>
      </c>
      <c r="AG263" s="61">
        <f t="shared" ca="1" si="247"/>
        <v>0.64185145527300214</v>
      </c>
      <c r="AH263" s="61">
        <f t="shared" ca="1" si="248"/>
        <v>2.2624828854998791</v>
      </c>
      <c r="AI263" s="62">
        <f t="shared" ca="1" si="214"/>
        <v>0.7387245171409601</v>
      </c>
      <c r="AJ263" s="47">
        <f ca="1">IF(AD263,IF(AI263&lt;$F$10,0,IF(AI263&lt;$F$10+$F$11,0.25,IF(AI263&lt;$F$10+$F$11+AG263,AH263,1)))*IF(AF263&gt;0,AF263,IF(AF262&gt;0,AF262,IF(AF261&gt;0,AF261,IF(AF260&gt;0,AF260,IF(AF259&gt;0,AF259,IF(AF258&gt;0,AF258,IF(AF257&gt;0,AF257,IF(AF256&gt;0,AF256,IF(AF255&gt;0,AF255,IF(AF253&gt;0,AF253,IF(AF252&gt;0,AF252,IF(AF251&gt;0,AF251,0)))))))))))),0)*(1-$S263)*'模拟-单技能数据'!$I$20</f>
        <v>0</v>
      </c>
      <c r="AK263" s="115" t="b">
        <f t="shared" ca="1" si="235"/>
        <v>0</v>
      </c>
      <c r="AL263" s="115" t="b">
        <f t="shared" ca="1" si="256"/>
        <v>1</v>
      </c>
      <c r="AM263" s="115">
        <f t="shared" ca="1" si="257"/>
        <v>3</v>
      </c>
      <c r="AN263" s="47">
        <f ca="1">IF(AK263,('模拟-单技能数据'!$D$21+G263*'模拟-单技能数据'!$F$21)*(1+J263)*(1+'模拟-单技能数据'!$J$21)*(1+U263),0)</f>
        <v>0</v>
      </c>
      <c r="AO263" s="61">
        <f ca="1">IF(AN263&gt;0,M263-'模拟-单技能数据'!$K$10,AO262)</f>
        <v>0.42185145527300216</v>
      </c>
      <c r="AP263" s="61">
        <f ca="1">IF(AN263&gt;0,I263-'模拟-单技能数据'!$L$10,AP262)</f>
        <v>2.162482885499879</v>
      </c>
      <c r="AQ263" s="63">
        <f t="shared" ca="1" si="215"/>
        <v>0.49467541940623383</v>
      </c>
      <c r="AR263" s="64">
        <f ca="1">IF(AL263,IF(AQ263&lt;$F$10,0,IF(AQ263&lt;$F$10+$F$11,0.25,IF(AQ263&lt;$F$10+$F$11+AO263,AP263,1)))*IF(AN263&gt;0,AN263,IF(AN262&gt;0,AN262,IF(AN261&gt;0,AN261,IF(AN260&gt;0,AN260,IF(AN259&gt;0,AN259,IF(AN258&gt;0,AN258,IF(AN257&gt;0,AN257,IF(AN256&gt;0,AN256,IF(AN255&gt;0,AN255,IF(AN253&gt;0,AN253,IF(AN252&gt;0,AN252,IF(AN251&gt;0,AN251,0)))))))))))),0)*(1-$S263)*'模拟-单技能数据'!$I$21</f>
        <v>9595.3556920079973</v>
      </c>
      <c r="AS263" s="61">
        <f ca="1">IF(OR(C263="净世破魔击·日",C263="净世破魔击·月"),M263-'模拟-单技能数据'!$K$10,0)</f>
        <v>0</v>
      </c>
      <c r="AT263" s="61">
        <f ca="1">IF(OR(C263="净世破魔击·日",C263="净世破魔击·月"),I263-'模拟-单技能数据'!$L$10,0)</f>
        <v>0</v>
      </c>
      <c r="AU263" s="62">
        <f t="shared" ca="1" si="216"/>
        <v>0.32704736580658511</v>
      </c>
      <c r="AV263" s="64">
        <f ca="1">IF(AS263&gt;0,('模拟-单技能数据'!$D$22+G263*'模拟-单技能数据'!$F$22)*(1+J263)*(1-S263)*IF(AU263&lt;$F$10,0,IF(AU263&lt;$F$10+$F$11,0.25,IF(AU263&lt;$F$10+$F$11+AS263,AT263,1)))*(1+U263),0)*'模拟-单技能数据'!$I$22</f>
        <v>0</v>
      </c>
      <c r="AW263" s="108">
        <f t="shared" ca="1" si="217"/>
        <v>18.155000000000001</v>
      </c>
      <c r="AX263" s="108" t="b">
        <f ca="1">AND(模拟模式!$P$10="有",AW262=0,RAND()&lt;IF(C263="净世破魔击·月",0.1*8/3,IF(C263="净世破魔击·日",0.1*4/3,0.1*2/3)))</f>
        <v>0</v>
      </c>
      <c r="AY263" s="47">
        <f ca="1">IF(AX263,(18+G263*0.722)*(1+J263)*(1-S263)*(1+$I$4)*IF(P263="会",'模拟-全程加成'!$J$3+'模拟-全程加成'!$J$4+'模拟-全程加成'!$J$5+('模拟-全程加成'!$I$4+'模拟-全程加成'!$I$5)/系数!$B$4+BG263*10%,IF(P263="命",1,IF(P263="识",0.25,0))),0)</f>
        <v>0</v>
      </c>
      <c r="AZ263" s="108">
        <f t="shared" si="218"/>
        <v>5.2400000000000064</v>
      </c>
      <c r="BA263" s="108" t="b">
        <f>AND(模拟模式!$Q$10="有",AZ262=0)</f>
        <v>0</v>
      </c>
      <c r="BB263" s="140">
        <f>IF(BA263,(0+G263*0.287)*(1+J263)*(1-S263)*(1+$I$4)*IF(P263="会",'模拟-全程加成'!$J$3+'模拟-全程加成'!$J$4+'模拟-全程加成'!$J$5+('模拟-全程加成'!$I$4+'模拟-全程加成'!$I$5)/系数!$B$4+BG263*10%,IF(P263="命",1,IF(P263="识",0.25,0))),0)</f>
        <v>0</v>
      </c>
      <c r="BC263" s="115" t="b">
        <f ca="1">AND(模拟模式!$R$7="伏明众生",E263=60,F263=20,DA263&lt;5,CZ262&lt;$F$4)</f>
        <v>0</v>
      </c>
      <c r="BD263" s="115">
        <f t="shared" ca="1" si="236"/>
        <v>0</v>
      </c>
      <c r="BE263" s="115" t="b">
        <f t="shared" ca="1" si="237"/>
        <v>0</v>
      </c>
      <c r="BF263" s="47">
        <f ca="1">IF(BC263,4*('模拟-单技能数据'!$D$24+G263*'模拟-单技能数据'!$F$24)*(1+J263)*(1+'模拟-单技能数据'!$J$24)*(1-S263)*(1+$I$3)*(('模拟-全程加成'!$J$3+'模拟-全程加成'!$J$4+'模拟-全程加成'!$J$5+('模拟-全程加成'!$I$4+'模拟-全程加成'!$I$5)/系数!$B$4+BG263*10%)*('模拟-全程加成'!$J$3+'模拟-全程加成'!$J$4+'模拟-全程加成'!$J$5+('模拟-全程加成'!$I$4+'模拟-全程加成'!$I$5)/系数!$B$4+BG263*10%)+(1-('模拟-全程加成'!$J$3+'模拟-全程加成'!$J$4+'模拟-全程加成'!$J$5+('模拟-全程加成'!$I$4+'模拟-全程加成'!$I$5)/系数!$B$4+BG263*10%)-$F$10-$F$11)+F249*0.25),0)*'模拟-单技能数据'!$I$24</f>
        <v>0</v>
      </c>
      <c r="BG263" s="115" t="b">
        <f ca="1">OR(AND(OR(C263="烈日斩",C263="银月斩"),模拟模式!$I$7="净身明礼"),AND(C263="净世破魔击·日",模拟模式!$J$7="洞若观火"),AND(C264="净世破魔击·月",模拟模式!$J$7="洞若观火"),AB263=1)</f>
        <v>1</v>
      </c>
      <c r="BH263" s="115" t="b">
        <f t="shared" ca="1" si="219"/>
        <v>0</v>
      </c>
      <c r="BI263" s="115">
        <f t="shared" ca="1" si="238"/>
        <v>0</v>
      </c>
      <c r="BJ263" s="115" t="b">
        <f t="shared" ca="1" si="249"/>
        <v>0</v>
      </c>
      <c r="BK263" s="115" t="b">
        <f ca="1">AND(C263="驱夜断愁",模拟模式!$P$7="天地诛戮")</f>
        <v>0</v>
      </c>
      <c r="BL263" s="57">
        <f t="shared" ca="1" si="239"/>
        <v>18.155000000000001</v>
      </c>
      <c r="BM263" s="115" t="b">
        <f t="shared" ca="1" si="250"/>
        <v>1</v>
      </c>
      <c r="BN263" s="115" t="b">
        <f ca="1">AND(OR(C263="赤日轮1",C263="赤日轮2",C263="赤日轮3",C263="幽月轮1",C263="幽月轮2",C263="幽月轮3"),AB263=1,模拟模式!$L$7="明光恒照")</f>
        <v>1</v>
      </c>
      <c r="BO263" s="117">
        <f t="shared" ca="1" si="240"/>
        <v>30</v>
      </c>
      <c r="BP263" s="115">
        <f t="shared" ca="1" si="220"/>
        <v>6</v>
      </c>
      <c r="BQ263" s="115" t="b">
        <f>模拟模式!$K$10="2600·水"</f>
        <v>0</v>
      </c>
      <c r="BR263" s="117">
        <f t="shared" si="221"/>
        <v>0</v>
      </c>
      <c r="BS263" s="115">
        <f t="shared" si="222"/>
        <v>0</v>
      </c>
      <c r="BT263" s="115">
        <f t="shared" ca="1" si="223"/>
        <v>0</v>
      </c>
      <c r="BU263" s="115" t="b">
        <f ca="1">AND(模拟模式!$K$10="2300·雷",BT262=0,RAND()&lt;IF(C263="净世破魔击·月",5*0.05*2/3,IF(C263="净世破魔击·日",3*0.05*2/3,0.05*2*2/3)))</f>
        <v>0</v>
      </c>
      <c r="BV263" s="115">
        <f t="shared" ca="1" si="224"/>
        <v>0</v>
      </c>
      <c r="BW263" s="115">
        <f t="shared" ca="1" si="225"/>
        <v>154.16999999999962</v>
      </c>
      <c r="BX263" s="164" t="b">
        <f t="shared" ca="1" si="226"/>
        <v>0</v>
      </c>
      <c r="BY263" s="115">
        <f t="shared" ca="1" si="227"/>
        <v>0</v>
      </c>
      <c r="BZ263" s="115">
        <f>IF(OR(模拟模式!$P$16="10人团",模拟模式!$P$16="25人团"),IF(B263/30&gt;CA262,1,0),0)</f>
        <v>0</v>
      </c>
      <c r="CA263" s="115">
        <f t="shared" si="203"/>
        <v>0</v>
      </c>
      <c r="CB263" s="115">
        <f ca="1">IF(BZ263=1,IF(模拟模式!$P$16="10人团",15,0)+IF(模拟模式!$P$16="25人团",IF(RAND()&lt;0.6,15,0)),MAX(0,CB262-$F$4))</f>
        <v>0</v>
      </c>
      <c r="CC263" s="115" t="b">
        <f t="shared" ca="1" si="251"/>
        <v>0</v>
      </c>
      <c r="CD263" s="115">
        <f>IF(模拟模式!$Q$16="1个",IF(B263/40&gt;CE262,1,0),0)</f>
        <v>0</v>
      </c>
      <c r="CE263" s="115">
        <f t="shared" si="252"/>
        <v>0</v>
      </c>
      <c r="CF263" s="115">
        <f>IF(OR(CD263=1,模拟模式!$Q$16="2个"),20,MAX(0,CF262-$F$4))</f>
        <v>0</v>
      </c>
      <c r="CG263" s="115" t="b">
        <f t="shared" si="253"/>
        <v>0</v>
      </c>
      <c r="CH263" s="115">
        <f t="shared" ca="1" si="228"/>
        <v>13.39500000000001</v>
      </c>
      <c r="CI263" s="115" t="b">
        <f t="shared" ca="1" si="229"/>
        <v>0</v>
      </c>
      <c r="CJ263" s="119">
        <f t="shared" ca="1" si="230"/>
        <v>0</v>
      </c>
      <c r="CK263" s="115">
        <f t="shared" ca="1" si="231"/>
        <v>0</v>
      </c>
      <c r="CL263" s="115" t="b">
        <f ca="1">AND(模拟模式!$S$7="驱夷逐法",OR(AND(C263="净世破魔击·月",E262&gt;59),AND(C263="净世破魔击·日",F262&gt;59)))</f>
        <v>0</v>
      </c>
      <c r="CM263" s="115" t="b">
        <f ca="1">OR(CL263,AND(C263="净世破魔击·日",CL262,RAND()&lt;模拟模式!$U$23))</f>
        <v>0</v>
      </c>
      <c r="CN263" s="115" t="b">
        <f ca="1">IF(模拟模式!$M$7="辉耀红尘",AND(C263="净世破魔击·月",CL263,CV263=0,E262&lt;80),AND(C263="净世破魔击·月",CL263,E262&lt;100))</f>
        <v>0</v>
      </c>
      <c r="CO263" s="115" t="b">
        <f t="shared" ca="1" si="204"/>
        <v>0</v>
      </c>
      <c r="CP263" s="115" t="b">
        <f ca="1">AND(模拟模式!$O$7="用晦而明",OR(C263="净世破魔击·日",C263="净世破魔击·月",C263="驱夜断愁"),AB263)</f>
        <v>0</v>
      </c>
      <c r="CQ263" s="115" t="b">
        <f ca="1">OR(CP263,AND(CP262,RAND()&lt;模拟模式!$U$23))</f>
        <v>0</v>
      </c>
      <c r="CR263" s="115" t="b">
        <f ca="1">AND(模拟模式!$S$7="日月齐光",OR(C263="幽月轮1",C263="幽月轮2",C263="幽月轮3",CR262),NOT(OR(C263="赤日轮1",C263="赤日轮2",C263="赤日轮3")))</f>
        <v>0</v>
      </c>
      <c r="CS263" s="115" t="b">
        <f ca="1">AND(模拟模式!$S$7="日月齐光",OR(C263="赤日轮1",C263="赤日轮2",C263="赤日轮3",CS262),NOT(OR(C263="幽月轮1",C263="幽月轮2",C263="幽月轮3")))</f>
        <v>0</v>
      </c>
      <c r="CT263" s="115">
        <f t="shared" ca="1" si="232"/>
        <v>19.852500000000006</v>
      </c>
      <c r="CU263" s="115" t="b">
        <f ca="1">AND(模拟模式!$K$10="阴阳往极",CT262=0,RAND()&lt;IF(C263="净世破魔击·月",0.0275*7/3,IF(C263="净世破魔击·日",0.0275*3/3,0.0275*2/3)))</f>
        <v>0</v>
      </c>
      <c r="CV263" s="115">
        <f t="shared" ca="1" si="233"/>
        <v>0</v>
      </c>
      <c r="CW263" s="115">
        <f t="shared" ca="1" si="205"/>
        <v>5.0774999999999997</v>
      </c>
      <c r="CX263" s="115">
        <f t="shared" ca="1" si="206"/>
        <v>3.2324999999999995</v>
      </c>
      <c r="CY263" s="115">
        <f ca="1">MAX(IF($C263="驱夜断愁",IF(模拟模式!$R$7="万念俱寂",6,45),CY262-$F$4),0)</f>
        <v>4.1549999999999994</v>
      </c>
      <c r="CZ263" s="115">
        <f t="shared" ca="1" si="207"/>
        <v>0</v>
      </c>
      <c r="DA263" s="115">
        <f ca="1">IF(模拟模式!$N$7="日月同辉",IF(DB262=2,0,MIN(6,IF(AND(OR(C263="赤日轮1",C263="赤日轮2",C263="赤日轮3",C263="幽月轮1",C263="幽月轮2",C263="幽月轮3"),AB263=1),DA262+1,DA262))),0)</f>
        <v>6</v>
      </c>
      <c r="DB263" s="115">
        <f t="shared" ca="1" si="208"/>
        <v>2</v>
      </c>
      <c r="DC263" s="115"/>
      <c r="DD263" s="115"/>
      <c r="DE263" s="115"/>
      <c r="DF263" s="115"/>
      <c r="DG263" s="115"/>
      <c r="DH263" s="115"/>
      <c r="DI263" s="115"/>
      <c r="DJ263" s="115"/>
      <c r="DK263" s="115"/>
      <c r="DL263" s="115"/>
      <c r="DM263" s="115"/>
    </row>
    <row r="264" spans="2:117" x14ac:dyDescent="0.2">
      <c r="B264" s="117">
        <f t="shared" si="209"/>
        <v>218.63250000000127</v>
      </c>
      <c r="C264" s="167" t="str">
        <f t="shared" ca="1" si="202"/>
        <v>净世破魔击·月</v>
      </c>
      <c r="D264" s="115">
        <f ca="1">IF(C264="赤日轮1",1,IF(C264="赤日轮2",2,IF(C264="赤日轮3",3,IF(C264="幽月轮1",4,IF(C264="幽月轮2",5,IF(C264="幽月轮3",6,IF(C264="烈日斩",7,IF(C264="银月斩",8,IF(C264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264="净世破魔击·月",17,IF(C264="驱夜断愁",18,0)))))))))))</f>
        <v>17</v>
      </c>
      <c r="E264" s="115">
        <f ca="1">IF(AND(CU264,OR(C264="幽月轮1",C264="幽月轮2",C264="幽月轮3",C264="银月斩",C264="驱夜断愁",C264="净世破魔击·月")),100,MIN(IF(OR(CN264,BE264),0,IF(OR($C264="赤日轮1",$C264="赤日轮2",$C264="赤日轮3"),E263+20+IF(模拟模式!$I$7="日月凌天",4,0)+IF(CR263,20,0),IF($C264="烈日斩",E263+40,IF($C264="驱夜断愁",IF(模拟模式!$R$7="万念俱寂",E263+20,E263+60),IF($C264="净世破魔击·月",IF(OR(DB263&gt;0,CV263&gt;0),100,IF(模拟模式!$M$7="辉耀红尘",E263+20,E263)),IF($C264="净世破魔击·日",E263-100,E263)))))),100))</f>
        <v>100</v>
      </c>
      <c r="F264" s="115">
        <f ca="1">IF(AND(CU264,OR(C264="赤日轮1",C264="赤日轮2",C264="赤日轮3",C264="烈日斩",C264="净世破魔击·日")),100,MIN(IF(CO264,0,IF(OR($C264="幽月轮1",$C264="幽月轮2",$C264="幽月轮3"),F263+20+IF(模拟模式!$I$7="日月凌天",4,0)+IF(CS263,20,0),IF($C264="银月斩",F263+40+IF(模拟模式!$X$12=1,5,0),IF($C264="驱夜断愁",IF(模拟模式!$R$7="万念俱寂",F263+20,F263+60),IF($C264="净世破魔击·月",IF(模拟模式!$M$7="辉耀红尘",F263-80,F263-100),IF(AND(C264="净世破魔击·日",OR(DB263&gt;0,CV263&gt;0)),100,F263)))))),100))</f>
        <v>20</v>
      </c>
      <c r="G264" s="117">
        <f ca="1">('模拟-全程加成'!$E$3+'模拟-全程加成'!$E$4+'模拟-全程加成'!$E$5+('模拟-全程加成'!$C$6-'模拟-全程加成'!$C$3)*系数!$B$9+BS264*23)*(1+'模拟-全程加成'!$F$4+'模拟-全程加成'!$F$5+BJ264*10%+BM264*20%+BP264*4%+CG264*30%)+$F$7*系数!$B$12</f>
        <v>20583.127400000001</v>
      </c>
      <c r="H264" s="45">
        <f ca="1">'模拟-全程加成'!$H$3+'模拟-全程加成'!$H$4+'模拟-全程加成'!$H$5+('模拟-全程加成'!$G$4+'模拟-全程加成'!$G$5+('模拟-全程加成'!$C$6-'模拟-全程加成'!$C$3)*系数!$B$13)/系数!$B$3+LOOKUP(D264,'模拟-单技能数据'!$A$2:$A$19,'模拟-单技能数据'!$K$2:$K$19)+BG264*10%+IF(BV264&gt;0,378,0)</f>
        <v>0.54185145527300216</v>
      </c>
      <c r="I264" s="45">
        <f ca="1">'模拟-全程加成'!$J$3+'模拟-全程加成'!$J$4+'模拟-全程加成'!$J$5+('模拟-全程加成'!$I$4+'模拟-全程加成'!$I$5)/系数!$B$4+LOOKUP(D264,'模拟-单技能数据'!$A$2:$A$19,'模拟-单技能数据'!$L$2:$L$19)+BG264*10%</f>
        <v>2.162482885499879</v>
      </c>
      <c r="J264" s="45">
        <f ca="1">(('模拟-全程加成'!$K$3+'模拟-全程加成'!$K$4+'模拟-全程加成'!$K$5+('模拟-全程加成'!$C$6-'模拟-全程加成'!$C$3)*系数!$B$10+IF(BV264&gt;0,882,0)+IF(BY264&gt;0,1831,0))*(1+'模拟-全程加成'!$L$4+'模拟-全程加成'!$L$5+CC264*20%))/系数!$B$5</f>
        <v>0.69723220422048726</v>
      </c>
      <c r="K264" s="119">
        <f ca="1">LOOKUP(D264,'模拟-单技能数据'!$A$2:$A$19,'模拟-单技能数据'!$J$2:$J$19)+IF(CM264,60%,0)+IF(DB263-DB264&gt;0,30%,0)+IF(OR(AND(OR(C264="赤日轮1",C264="赤日轮2",C264="赤日轮3"),CR264),AND(OR(C264="幽月轮1",C264="幽月轮2",C264="幽月轮3"),CS264)),35%,0)+CJ264</f>
        <v>1.1000000000000001</v>
      </c>
      <c r="L264" s="119">
        <f ca="1">IF(AND(C264="烈日斩",模拟模式!$X$11=1),10%,0)+IF(AND(C264="驱夜断愁",AB264=1),30%,0)</f>
        <v>0</v>
      </c>
      <c r="M264" s="45">
        <f t="shared" ca="1" si="241"/>
        <v>0.54185145527300216</v>
      </c>
      <c r="N264" s="45">
        <f t="shared" ca="1" si="242"/>
        <v>0.40424854472699789</v>
      </c>
      <c r="O264" s="46">
        <f t="shared" ca="1" si="210"/>
        <v>0.20274683398194759</v>
      </c>
      <c r="P264" s="46" t="str">
        <f t="shared" ca="1" si="211"/>
        <v>会</v>
      </c>
      <c r="Q264" s="45">
        <f t="shared" ca="1" si="212"/>
        <v>2.162482885499879</v>
      </c>
      <c r="R264" s="117">
        <f ca="1">模拟模式!$E$20*(1-IF(模拟模式!$J$19="有",0.15,0))*(1-IF(模拟模式!$K$19="有",0.3,0)-IF(CQ264,0.5,0))</f>
        <v>843.02999999999975</v>
      </c>
      <c r="S264" s="45">
        <f ca="1">R264/(R264+(185*模拟模式!$E$22-16800)*4.08224)</f>
        <v>8.389626085980037E-2</v>
      </c>
      <c r="T264" s="45" t="str">
        <f ca="1">LOOKUP(D264,'模拟-单技能数据'!$A$2:$A$19,'模拟-单技能数据'!$H$2:$H$19)</f>
        <v>阴</v>
      </c>
      <c r="U264" s="119">
        <f t="shared" ca="1" si="243"/>
        <v>0.08</v>
      </c>
      <c r="V264" s="47">
        <f ca="1">(1+L264)*(LOOKUP(D264,'模拟-单技能数据'!$A$2:$A$19,'模拟-单技能数据'!$D$2:$D$19)+G264*LOOKUP(D264,'模拟-单技能数据'!$A$2:$A$19,'模拟-单技能数据'!$F$2:$F$19))*(1+J264)*(1+K264)*(1-S264)*(1+U264)*Q264*LOOKUP(D264,'模拟-单技能数据'!$A$2:$A$19,'模拟-单技能数据'!$I$2:$I$20)</f>
        <v>204013.08685584151</v>
      </c>
      <c r="W264" s="47">
        <f ca="1">LOOKUP(D264,'模拟-单技能数据'!$A$2:$A$19,'模拟-单技能数据'!$G$2:$G$19)*$I$10</f>
        <v>361.51064354704795</v>
      </c>
      <c r="X264" s="47">
        <f t="shared" ca="1" si="213"/>
        <v>26136.840783105588</v>
      </c>
      <c r="Y264" s="47">
        <f t="shared" ca="1" si="244"/>
        <v>230511.43828249414</v>
      </c>
      <c r="Z264" s="49">
        <f t="shared" ca="1" si="245"/>
        <v>25253558.579690944</v>
      </c>
      <c r="AA264" s="97">
        <f t="shared" ca="1" si="246"/>
        <v>115506.88291855418</v>
      </c>
      <c r="AB264" s="115">
        <f ca="1">IF(OR(C264="赤日轮1",C264="赤日轮2",C264="赤日轮3"),IF(RAND()&lt;模拟模式!$Y$17,1,0),IF(OR(C264="幽月轮1",C264="幽月轮2",C264="幽月轮3"),IF(RAND()&lt;模拟模式!$Y$18,1,0),IF(C264="烈日斩",IF(RAND()&lt;模拟模式!$Y$19,1,0),IF(C264="银月斩",IF(RAND()&lt;模拟模式!$Y$20,1,0),IF(C264="驱夜断愁",IF(RAND()&lt;模拟模式!$Y$21,1,0),IF(C264="净世破魔击·日",IF(RAND()&lt;模拟模式!$Y$22,1,0),IF(C264="净世破魔击·月",IF(RAND()&lt;模拟模式!$Y$23,1,0),0)))))))</f>
        <v>1</v>
      </c>
      <c r="AC264" s="115" t="b">
        <f t="shared" ca="1" si="234"/>
        <v>0</v>
      </c>
      <c r="AD264" s="115" t="b">
        <f t="shared" ca="1" si="254"/>
        <v>1</v>
      </c>
      <c r="AE264" s="115">
        <f t="shared" ca="1" si="255"/>
        <v>4</v>
      </c>
      <c r="AF264" s="47">
        <f ca="1">IF(AC264,('模拟-单技能数据'!$D$20+G264*'模拟-单技能数据'!$F$20)*(1+J264)*(1+'模拟-单技能数据'!$J$20)*(1+U264),0)</f>
        <v>0</v>
      </c>
      <c r="AG264" s="61">
        <f t="shared" ca="1" si="247"/>
        <v>0.64185145527300214</v>
      </c>
      <c r="AH264" s="61">
        <f t="shared" ca="1" si="248"/>
        <v>2.2624828854998791</v>
      </c>
      <c r="AI264" s="62">
        <f t="shared" ca="1" si="214"/>
        <v>0.37974997802477251</v>
      </c>
      <c r="AJ264" s="47">
        <f ca="1">IF(AD264,IF(AI264&lt;$F$10,0,IF(AI264&lt;$F$10+$F$11,0.25,IF(AI264&lt;$F$10+$F$11+AG264,AH264,1)))*IF(AF264&gt;0,AF264,IF(AF263&gt;0,AF263,IF(AF262&gt;0,AF262,IF(AF261&gt;0,AF261,IF(AF260&gt;0,AF260,IF(AF259&gt;0,AF259,IF(AF258&gt;0,AF258,IF(AF257&gt;0,AF257,IF(AF256&gt;0,AF256,IF(AF254&gt;0,AF254,IF(AF253&gt;0,AF253,IF(AF252&gt;0,AF252,0)))))))))))),0)*(1-$S264)*'模拟-单技能数据'!$I$20</f>
        <v>9616.6571145767884</v>
      </c>
      <c r="AK264" s="115" t="b">
        <f t="shared" ca="1" si="235"/>
        <v>0</v>
      </c>
      <c r="AL264" s="115" t="b">
        <f t="shared" ca="1" si="256"/>
        <v>0</v>
      </c>
      <c r="AM264" s="115">
        <f t="shared" ca="1" si="257"/>
        <v>3</v>
      </c>
      <c r="AN264" s="47">
        <f ca="1">IF(AK264,('模拟-单技能数据'!$D$21+G264*'模拟-单技能数据'!$F$21)*(1+J264)*(1+'模拟-单技能数据'!$J$21)*(1+U264),0)</f>
        <v>0</v>
      </c>
      <c r="AO264" s="61">
        <f ca="1">IF(AN264&gt;0,M264-'模拟-单技能数据'!$K$10,AO263)</f>
        <v>0.42185145527300216</v>
      </c>
      <c r="AP264" s="61">
        <f ca="1">IF(AN264&gt;0,I264-'模拟-单技能数据'!$L$10,AP263)</f>
        <v>2.162482885499879</v>
      </c>
      <c r="AQ264" s="63">
        <f t="shared" ca="1" si="215"/>
        <v>0.15196976418046271</v>
      </c>
      <c r="AR264" s="64">
        <f ca="1">IF(AL264,IF(AQ264&lt;$F$10,0,IF(AQ264&lt;$F$10+$F$11,0.25,IF(AQ264&lt;$F$10+$F$11+AO264,AP264,1)))*IF(AN264&gt;0,AN264,IF(AN263&gt;0,AN263,IF(AN262&gt;0,AN262,IF(AN261&gt;0,AN261,IF(AN260&gt;0,AN260,IF(AN259&gt;0,AN259,IF(AN258&gt;0,AN258,IF(AN257&gt;0,AN257,IF(AN256&gt;0,AN256,IF(AN254&gt;0,AN254,IF(AN253&gt;0,AN253,IF(AN252&gt;0,AN252,0)))))))))))),0)*(1-$S264)*'模拟-单技能数据'!$I$21</f>
        <v>0</v>
      </c>
      <c r="AS264" s="61">
        <f ca="1">IF(OR(C264="净世破魔击·日",C264="净世破魔击·月"),M264-'模拟-单技能数据'!$K$10,0)</f>
        <v>0.42185145527300216</v>
      </c>
      <c r="AT264" s="61">
        <f ca="1">IF(OR(C264="净世破魔击·日",C264="净世破魔击·月"),I264-'模拟-单技能数据'!$L$10,0)</f>
        <v>2.162482885499879</v>
      </c>
      <c r="AU264" s="62">
        <f t="shared" ca="1" si="216"/>
        <v>0.20278473695521404</v>
      </c>
      <c r="AV264" s="64">
        <f ca="1">IF(AS264&gt;0,('模拟-单技能数据'!$D$22+G264*'模拟-单技能数据'!$F$22)*(1+J264)*(1-S264)*IF(AU264&lt;$F$10,0,IF(AU264&lt;$F$10+$F$11,0.25,IF(AU264&lt;$F$10+$F$11+AS264,AT264,1)))*(1+U264),0)*'模拟-单技能数据'!$I$22</f>
        <v>16520.1836685288</v>
      </c>
      <c r="AW264" s="108">
        <f t="shared" ca="1" si="217"/>
        <v>17.232500000000002</v>
      </c>
      <c r="AX264" s="108" t="b">
        <f ca="1">AND(模拟模式!$P$10="有",AW263=0,RAND()&lt;IF(C264="净世破魔击·月",0.1*8/3,IF(C264="净世破魔击·日",0.1*4/3,0.1*2/3)))</f>
        <v>0</v>
      </c>
      <c r="AY264" s="47">
        <f ca="1">IF(AX264,(18+G264*0.722)*(1+J264)*(1-S264)*(1+$I$4)*IF(P264="会",'模拟-全程加成'!$J$3+'模拟-全程加成'!$J$4+'模拟-全程加成'!$J$5+('模拟-全程加成'!$I$4+'模拟-全程加成'!$I$5)/系数!$B$4+BG264*10%,IF(P264="命",1,IF(P264="识",0.25,0))),0)</f>
        <v>0</v>
      </c>
      <c r="AZ264" s="108">
        <f t="shared" si="218"/>
        <v>4.3175000000000061</v>
      </c>
      <c r="BA264" s="108" t="b">
        <f>AND(模拟模式!$Q$10="有",AZ263=0)</f>
        <v>0</v>
      </c>
      <c r="BB264" s="140">
        <f>IF(BA264,(0+G264*0.287)*(1+J264)*(1-S264)*(1+$I$4)*IF(P264="会",'模拟-全程加成'!$J$3+'模拟-全程加成'!$J$4+'模拟-全程加成'!$J$5+('模拟-全程加成'!$I$4+'模拟-全程加成'!$I$5)/系数!$B$4+BG264*10%,IF(P264="命",1,IF(P264="识",0.25,0))),0)</f>
        <v>0</v>
      </c>
      <c r="BC264" s="115" t="b">
        <f ca="1">AND(模拟模式!$R$7="伏明众生",E264=60,F264=20,DA264&lt;5,CZ263&lt;$F$4)</f>
        <v>0</v>
      </c>
      <c r="BD264" s="115">
        <f t="shared" ca="1" si="236"/>
        <v>0</v>
      </c>
      <c r="BE264" s="115" t="b">
        <f t="shared" ca="1" si="237"/>
        <v>0</v>
      </c>
      <c r="BF264" s="47">
        <f ca="1">IF(BC264,4*('模拟-单技能数据'!$D$24+G264*'模拟-单技能数据'!$F$24)*(1+J264)*(1+'模拟-单技能数据'!$J$24)*(1-S264)*(1+$I$3)*(('模拟-全程加成'!$J$3+'模拟-全程加成'!$J$4+'模拟-全程加成'!$J$5+('模拟-全程加成'!$I$4+'模拟-全程加成'!$I$5)/系数!$B$4+BG264*10%)*('模拟-全程加成'!$J$3+'模拟-全程加成'!$J$4+'模拟-全程加成'!$J$5+('模拟-全程加成'!$I$4+'模拟-全程加成'!$I$5)/系数!$B$4+BG264*10%)+(1-('模拟-全程加成'!$J$3+'模拟-全程加成'!$J$4+'模拟-全程加成'!$J$5+('模拟-全程加成'!$I$4+'模拟-全程加成'!$I$5)/系数!$B$4+BG264*10%)-$F$10-$F$11)+F250*0.25),0)*'模拟-单技能数据'!$I$24</f>
        <v>0</v>
      </c>
      <c r="BG264" s="115" t="b">
        <f ca="1">OR(AND(OR(C264="烈日斩",C264="银月斩"),模拟模式!$I$7="净身明礼"),AND(C264="净世破魔击·日",模拟模式!$J$7="洞若观火"),AND(C265="净世破魔击·月",模拟模式!$J$7="洞若观火"),AB264=1)</f>
        <v>1</v>
      </c>
      <c r="BH264" s="115" t="b">
        <f t="shared" ca="1" si="219"/>
        <v>0</v>
      </c>
      <c r="BI264" s="115">
        <f t="shared" ca="1" si="238"/>
        <v>0</v>
      </c>
      <c r="BJ264" s="115" t="b">
        <f t="shared" ca="1" si="249"/>
        <v>0</v>
      </c>
      <c r="BK264" s="115" t="b">
        <f ca="1">AND(C264="驱夜断愁",模拟模式!$P$7="天地诛戮")</f>
        <v>0</v>
      </c>
      <c r="BL264" s="57">
        <f t="shared" ca="1" si="239"/>
        <v>17.232500000000002</v>
      </c>
      <c r="BM264" s="115" t="b">
        <f t="shared" ca="1" si="250"/>
        <v>1</v>
      </c>
      <c r="BN264" s="115" t="b">
        <f ca="1">AND(OR(C264="赤日轮1",C264="赤日轮2",C264="赤日轮3",C264="幽月轮1",C264="幽月轮2",C264="幽月轮3"),AB264=1,模拟模式!$L$7="明光恒照")</f>
        <v>0</v>
      </c>
      <c r="BO264" s="117">
        <f t="shared" ca="1" si="240"/>
        <v>29.077500000000001</v>
      </c>
      <c r="BP264" s="115">
        <f t="shared" ca="1" si="220"/>
        <v>6</v>
      </c>
      <c r="BQ264" s="115" t="b">
        <f>模拟模式!$K$10="2600·水"</f>
        <v>0</v>
      </c>
      <c r="BR264" s="117">
        <f t="shared" si="221"/>
        <v>0</v>
      </c>
      <c r="BS264" s="115">
        <f t="shared" si="222"/>
        <v>0</v>
      </c>
      <c r="BT264" s="115">
        <f t="shared" ca="1" si="223"/>
        <v>0</v>
      </c>
      <c r="BU264" s="115" t="b">
        <f ca="1">AND(模拟模式!$K$10="2300·雷",BT263=0,RAND()&lt;IF(C264="净世破魔击·月",5*0.05*2/3,IF(C264="净世破魔击·日",3*0.05*2/3,0.05*2*2/3)))</f>
        <v>0</v>
      </c>
      <c r="BV264" s="115">
        <f t="shared" ca="1" si="224"/>
        <v>0</v>
      </c>
      <c r="BW264" s="115">
        <f t="shared" ca="1" si="225"/>
        <v>153.2474999999996</v>
      </c>
      <c r="BX264" s="164" t="b">
        <f t="shared" ca="1" si="226"/>
        <v>0</v>
      </c>
      <c r="BY264" s="115">
        <f t="shared" ca="1" si="227"/>
        <v>0</v>
      </c>
      <c r="BZ264" s="115">
        <f>IF(OR(模拟模式!$P$16="10人团",模拟模式!$P$16="25人团"),IF(B264/30&gt;CA263,1,0),0)</f>
        <v>0</v>
      </c>
      <c r="CA264" s="115">
        <f t="shared" si="203"/>
        <v>0</v>
      </c>
      <c r="CB264" s="115">
        <f ca="1">IF(BZ264=1,IF(模拟模式!$P$16="10人团",15,0)+IF(模拟模式!$P$16="25人团",IF(RAND()&lt;0.6,15,0)),MAX(0,CB263-$F$4))</f>
        <v>0</v>
      </c>
      <c r="CC264" s="115" t="b">
        <f t="shared" ca="1" si="251"/>
        <v>0</v>
      </c>
      <c r="CD264" s="115">
        <f>IF(模拟模式!$Q$16="1个",IF(B264/40&gt;CE263,1,0),0)</f>
        <v>0</v>
      </c>
      <c r="CE264" s="115">
        <f t="shared" si="252"/>
        <v>0</v>
      </c>
      <c r="CF264" s="115">
        <f>IF(OR(CD264=1,模拟模式!$Q$16="2个"),20,MAX(0,CF263-$F$4))</f>
        <v>0</v>
      </c>
      <c r="CG264" s="115" t="b">
        <f t="shared" si="253"/>
        <v>0</v>
      </c>
      <c r="CH264" s="115">
        <f t="shared" ca="1" si="228"/>
        <v>12.472500000000011</v>
      </c>
      <c r="CI264" s="115" t="b">
        <f t="shared" ca="1" si="229"/>
        <v>0</v>
      </c>
      <c r="CJ264" s="119">
        <f t="shared" ca="1" si="230"/>
        <v>0</v>
      </c>
      <c r="CK264" s="115">
        <f t="shared" ca="1" si="231"/>
        <v>0</v>
      </c>
      <c r="CL264" s="115" t="b">
        <f ca="1">AND(模拟模式!$S$7="驱夷逐法",OR(AND(C264="净世破魔击·月",E263&gt;59),AND(C264="净世破魔击·日",F263&gt;59)))</f>
        <v>1</v>
      </c>
      <c r="CM264" s="115" t="b">
        <f ca="1">OR(CL264,AND(C264="净世破魔击·日",CL263,RAND()&lt;模拟模式!$U$23))</f>
        <v>1</v>
      </c>
      <c r="CN264" s="115" t="b">
        <f ca="1">IF(模拟模式!$M$7="辉耀红尘",AND(C264="净世破魔击·月",CL264,CV264=0,E263&lt;80),AND(C264="净世破魔击·月",CL264,E263&lt;100))</f>
        <v>0</v>
      </c>
      <c r="CO264" s="115" t="b">
        <f t="shared" ca="1" si="204"/>
        <v>0</v>
      </c>
      <c r="CP264" s="115" t="b">
        <f ca="1">AND(模拟模式!$O$7="用晦而明",OR(C264="净世破魔击·日",C264="净世破魔击·月",C264="驱夜断愁"),AB264)</f>
        <v>1</v>
      </c>
      <c r="CQ264" s="115" t="b">
        <f ca="1">OR(CP264,AND(CP263,RAND()&lt;模拟模式!$U$23))</f>
        <v>1</v>
      </c>
      <c r="CR264" s="115" t="b">
        <f ca="1">AND(模拟模式!$S$7="日月齐光",OR(C264="幽月轮1",C264="幽月轮2",C264="幽月轮3",CR263),NOT(OR(C264="赤日轮1",C264="赤日轮2",C264="赤日轮3")))</f>
        <v>0</v>
      </c>
      <c r="CS264" s="115" t="b">
        <f ca="1">AND(模拟模式!$S$7="日月齐光",OR(C264="赤日轮1",C264="赤日轮2",C264="赤日轮3",CS263),NOT(OR(C264="幽月轮1",C264="幽月轮2",C264="幽月轮3")))</f>
        <v>0</v>
      </c>
      <c r="CT264" s="115">
        <f t="shared" ca="1" si="232"/>
        <v>18.930000000000007</v>
      </c>
      <c r="CU264" s="115" t="b">
        <f ca="1">AND(模拟模式!$K$10="阴阳往极",CT263=0,RAND()&lt;IF(C264="净世破魔击·月",0.0275*7/3,IF(C264="净世破魔击·日",0.0275*3/3,0.0275*2/3)))</f>
        <v>0</v>
      </c>
      <c r="CV264" s="115">
        <f t="shared" ca="1" si="233"/>
        <v>0</v>
      </c>
      <c r="CW264" s="115">
        <f t="shared" ca="1" si="205"/>
        <v>4.1549999999999994</v>
      </c>
      <c r="CX264" s="115">
        <f t="shared" ca="1" si="206"/>
        <v>2.3099999999999996</v>
      </c>
      <c r="CY264" s="115">
        <f ca="1">MAX(IF($C264="驱夜断愁",IF(模拟模式!$R$7="万念俱寂",6,45),CY263-$F$4),0)</f>
        <v>3.2324999999999995</v>
      </c>
      <c r="CZ264" s="115">
        <f t="shared" ca="1" si="207"/>
        <v>0</v>
      </c>
      <c r="DA264" s="115">
        <f ca="1">IF(模拟模式!$N$7="日月同辉",IF(DB263=2,0,MIN(6,IF(AND(OR(C264="赤日轮1",C264="赤日轮2",C264="赤日轮3",C264="幽月轮1",C264="幽月轮2",C264="幽月轮3"),AB264=1),DA263+1,DA263))),0)</f>
        <v>0</v>
      </c>
      <c r="DB264" s="115">
        <f t="shared" ca="1" si="208"/>
        <v>1</v>
      </c>
      <c r="DC264" s="115"/>
      <c r="DD264" s="115"/>
      <c r="DE264" s="115"/>
      <c r="DF264" s="115"/>
      <c r="DG264" s="115"/>
      <c r="DH264" s="115"/>
      <c r="DI264" s="115"/>
      <c r="DJ264" s="115"/>
      <c r="DK264" s="115"/>
      <c r="DL264" s="115"/>
      <c r="DM264" s="115"/>
    </row>
    <row r="265" spans="2:117" x14ac:dyDescent="0.2">
      <c r="B265" s="117">
        <f t="shared" si="209"/>
        <v>219.55500000000129</v>
      </c>
      <c r="C265" s="167" t="str">
        <f t="shared" ca="1" si="202"/>
        <v>净世破魔击·日</v>
      </c>
      <c r="D265" s="115">
        <f ca="1">IF(C265="赤日轮1",1,IF(C265="赤日轮2",2,IF(C265="赤日轮3",3,IF(C265="幽月轮1",4,IF(C265="幽月轮2",5,IF(C265="幽月轮3",6,IF(C265="烈日斩",7,IF(C265="银月斩",8,IF(C265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265="净世破魔击·月",17,IF(C265="驱夜断愁",18,0)))))))))))</f>
        <v>9</v>
      </c>
      <c r="E265" s="115">
        <f ca="1">IF(AND(CU265,OR(C265="幽月轮1",C265="幽月轮2",C265="幽月轮3",C265="银月斩",C265="驱夜断愁",C265="净世破魔击·月")),100,MIN(IF(OR(CN265,BE265),0,IF(OR($C265="赤日轮1",$C265="赤日轮2",$C265="赤日轮3"),E264+20+IF(模拟模式!$I$7="日月凌天",4,0)+IF(CR264,20,0),IF($C265="烈日斩",E264+40,IF($C265="驱夜断愁",IF(模拟模式!$R$7="万念俱寂",E264+20,E264+60),IF($C265="净世破魔击·月",IF(OR(DB264&gt;0,CV264&gt;0),100,IF(模拟模式!$M$7="辉耀红尘",E264+20,E264)),IF($C265="净世破魔击·日",E264-100,E264)))))),100))</f>
        <v>0</v>
      </c>
      <c r="F265" s="115">
        <f ca="1">IF(AND(CU265,OR(C265="赤日轮1",C265="赤日轮2",C265="赤日轮3",C265="烈日斩",C265="净世破魔击·日")),100,MIN(IF(CO265,0,IF(OR($C265="幽月轮1",$C265="幽月轮2",$C265="幽月轮3"),F264+20+IF(模拟模式!$I$7="日月凌天",4,0)+IF(CS264,20,0),IF($C265="银月斩",F264+40+IF(模拟模式!$X$12=1,5,0),IF($C265="驱夜断愁",IF(模拟模式!$R$7="万念俱寂",F264+20,F264+60),IF($C265="净世破魔击·月",IF(模拟模式!$M$7="辉耀红尘",F264-80,F264-100),IF(AND(C265="净世破魔击·日",OR(DB264&gt;0,CV264&gt;0)),100,F264)))))),100))</f>
        <v>100</v>
      </c>
      <c r="G265" s="117">
        <f ca="1">('模拟-全程加成'!$E$3+'模拟-全程加成'!$E$4+'模拟-全程加成'!$E$5+('模拟-全程加成'!$C$6-'模拟-全程加成'!$C$3)*系数!$B$9+BS265*23)*(1+'模拟-全程加成'!$F$4+'模拟-全程加成'!$F$5+BJ265*10%+BM265*20%+BP265*4%+CG265*30%)+$F$7*系数!$B$12</f>
        <v>20583.127400000001</v>
      </c>
      <c r="H265" s="45">
        <f ca="1">'模拟-全程加成'!$H$3+'模拟-全程加成'!$H$4+'模拟-全程加成'!$H$5+('模拟-全程加成'!$G$4+'模拟-全程加成'!$G$5+('模拟-全程加成'!$C$6-'模拟-全程加成'!$C$3)*系数!$B$13)/系数!$B$3+LOOKUP(D265,'模拟-单技能数据'!$A$2:$A$19,'模拟-单技能数据'!$K$2:$K$19)+BG265*10%+IF(BV265&gt;0,378,0)</f>
        <v>0.54185145527300216</v>
      </c>
      <c r="I265" s="45">
        <f ca="1">'模拟-全程加成'!$J$3+'模拟-全程加成'!$J$4+'模拟-全程加成'!$J$5+('模拟-全程加成'!$I$4+'模拟-全程加成'!$I$5)/系数!$B$4+LOOKUP(D265,'模拟-单技能数据'!$A$2:$A$19,'模拟-单技能数据'!$L$2:$L$19)+BG265*10%</f>
        <v>2.162482885499879</v>
      </c>
      <c r="J265" s="45">
        <f ca="1">(('模拟-全程加成'!$K$3+'模拟-全程加成'!$K$4+'模拟-全程加成'!$K$5+('模拟-全程加成'!$C$6-'模拟-全程加成'!$C$3)*系数!$B$10+IF(BV265&gt;0,882,0)+IF(BY265&gt;0,1831,0))*(1+'模拟-全程加成'!$L$4+'模拟-全程加成'!$L$5+CC265*20%))/系数!$B$5</f>
        <v>0.69723220422048726</v>
      </c>
      <c r="K265" s="119">
        <f ca="1">LOOKUP(D265,'模拟-单技能数据'!$A$2:$A$19,'模拟-单技能数据'!$J$2:$J$19)+IF(CM265,60%,0)+IF(DB264-DB265&gt;0,30%,0)+IF(OR(AND(OR(C265="赤日轮1",C265="赤日轮2",C265="赤日轮3"),CR265),AND(OR(C265="幽月轮1",C265="幽月轮2",C265="幽月轮3"),CS265)),35%,0)+CJ265</f>
        <v>1.1000000000000001</v>
      </c>
      <c r="L265" s="119">
        <f ca="1">IF(AND(C265="烈日斩",模拟模式!$X$11=1),10%,0)+IF(AND(C265="驱夜断愁",AB265=1),30%,0)</f>
        <v>0</v>
      </c>
      <c r="M265" s="45">
        <f t="shared" ca="1" si="241"/>
        <v>0.54185145527300216</v>
      </c>
      <c r="N265" s="45">
        <f t="shared" ca="1" si="242"/>
        <v>0.40424854472699789</v>
      </c>
      <c r="O265" s="46">
        <f t="shared" ca="1" si="210"/>
        <v>0.45696370586135637</v>
      </c>
      <c r="P265" s="46" t="str">
        <f t="shared" ca="1" si="211"/>
        <v>会</v>
      </c>
      <c r="Q265" s="45">
        <f t="shared" ca="1" si="212"/>
        <v>2.162482885499879</v>
      </c>
      <c r="R265" s="117">
        <f ca="1">模拟模式!$E$20*(1-IF(模拟模式!$J$19="有",0.15,0))*(1-IF(模拟模式!$K$19="有",0.3,0)-IF(CQ265,0.5,0))</f>
        <v>843.02999999999975</v>
      </c>
      <c r="S265" s="45">
        <f ca="1">R265/(R265+(185*模拟模式!$E$22-16800)*4.08224)</f>
        <v>8.389626085980037E-2</v>
      </c>
      <c r="T265" s="45" t="str">
        <f ca="1">LOOKUP(D265,'模拟-单技能数据'!$A$2:$A$19,'模拟-单技能数据'!$H$2:$H$19)</f>
        <v>阳</v>
      </c>
      <c r="U265" s="119">
        <f t="shared" ca="1" si="243"/>
        <v>0.2</v>
      </c>
      <c r="V265" s="47">
        <f ca="1">(1+L265)*(LOOKUP(D265,'模拟-单技能数据'!$A$2:$A$19,'模拟-单技能数据'!$D$2:$D$19)+G265*LOOKUP(D265,'模拟-单技能数据'!$A$2:$A$19,'模拟-单技能数据'!$F$2:$F$19))*(1+J265)*(1+K265)*(1-S265)*(1+U265)*Q265*LOOKUP(D265,'模拟-单技能数据'!$A$2:$A$19,'模拟-单技能数据'!$I$2:$I$20)</f>
        <v>228568.4507011126</v>
      </c>
      <c r="W265" s="47">
        <f ca="1">LOOKUP(D265,'模拟-单技能数据'!$A$2:$A$19,'模拟-单技能数据'!$G$2:$G$19)*$I$10</f>
        <v>723.0212870940959</v>
      </c>
      <c r="X265" s="47">
        <f t="shared" ca="1" si="213"/>
        <v>29474.113140456007</v>
      </c>
      <c r="Y265" s="47">
        <f t="shared" ca="1" si="244"/>
        <v>258765.5851286627</v>
      </c>
      <c r="Z265" s="49">
        <f t="shared" ca="1" si="245"/>
        <v>25512324.164819606</v>
      </c>
      <c r="AA265" s="97">
        <f t="shared" ca="1" si="246"/>
        <v>116200.15105472185</v>
      </c>
      <c r="AB265" s="115">
        <f ca="1">IF(OR(C265="赤日轮1",C265="赤日轮2",C265="赤日轮3"),IF(RAND()&lt;模拟模式!$Y$17,1,0),IF(OR(C265="幽月轮1",C265="幽月轮2",C265="幽月轮3"),IF(RAND()&lt;模拟模式!$Y$18,1,0),IF(C265="烈日斩",IF(RAND()&lt;模拟模式!$Y$19,1,0),IF(C265="银月斩",IF(RAND()&lt;模拟模式!$Y$20,1,0),IF(C265="驱夜断愁",IF(RAND()&lt;模拟模式!$Y$21,1,0),IF(C265="净世破魔击·日",IF(RAND()&lt;模拟模式!$Y$22,1,0),IF(C265="净世破魔击·月",IF(RAND()&lt;模拟模式!$Y$23,1,0),0)))))))</f>
        <v>1</v>
      </c>
      <c r="AC265" s="115" t="b">
        <f t="shared" ca="1" si="234"/>
        <v>0</v>
      </c>
      <c r="AD265" s="115" t="b">
        <f t="shared" ca="1" si="254"/>
        <v>0</v>
      </c>
      <c r="AE265" s="115">
        <f t="shared" ca="1" si="255"/>
        <v>4</v>
      </c>
      <c r="AF265" s="47">
        <f ca="1">IF(AC265,('模拟-单技能数据'!$D$20+G265*'模拟-单技能数据'!$F$20)*(1+J265)*(1+'模拟-单技能数据'!$J$20)*(1+U265),0)</f>
        <v>0</v>
      </c>
      <c r="AG265" s="61">
        <f t="shared" ca="1" si="247"/>
        <v>0.64185145527300214</v>
      </c>
      <c r="AH265" s="61">
        <f t="shared" ca="1" si="248"/>
        <v>2.2624828854998791</v>
      </c>
      <c r="AI265" s="62">
        <f t="shared" ca="1" si="214"/>
        <v>0.28575294406773966</v>
      </c>
      <c r="AJ265" s="47">
        <f ca="1">IF(AD265,IF(AI265&lt;$F$10,0,IF(AI265&lt;$F$10+$F$11,0.25,IF(AI265&lt;$F$10+$F$11+AG265,AH265,1)))*IF(AF265&gt;0,AF265,IF(AF264&gt;0,AF264,IF(AF263&gt;0,AF263,IF(AF262&gt;0,AF262,IF(AF261&gt;0,AF261,IF(AF260&gt;0,AF260,IF(AF259&gt;0,AF259,IF(AF258&gt;0,AF258,IF(AF257&gt;0,AF257,IF(AF255&gt;0,AF255,IF(AF254&gt;0,AF254,IF(AF253&gt;0,AF253,0)))))))))))),0)*(1-$S265)*'模拟-单技能数据'!$I$20</f>
        <v>0</v>
      </c>
      <c r="AK265" s="115" t="b">
        <f t="shared" ca="1" si="235"/>
        <v>1</v>
      </c>
      <c r="AL265" s="115" t="b">
        <f t="shared" ca="1" si="256"/>
        <v>1</v>
      </c>
      <c r="AM265" s="115">
        <f t="shared" ca="1" si="257"/>
        <v>5</v>
      </c>
      <c r="AN265" s="47">
        <f ca="1">IF(AK265,('模拟-单技能数据'!$D$21+G265*'模拟-单技能数据'!$F$21)*(1+J265)*(1+'模拟-单技能数据'!$J$21)*(1+U265),0)</f>
        <v>12136.56601728573</v>
      </c>
      <c r="AO265" s="61">
        <f ca="1">IF(AN265&gt;0,M265-'模拟-单技能数据'!$K$10,AO264)</f>
        <v>0.42185145527300216</v>
      </c>
      <c r="AP265" s="61">
        <f ca="1">IF(AN265&gt;0,I265-'模拟-单技能数据'!$L$10,AP264)</f>
        <v>2.162482885499879</v>
      </c>
      <c r="AQ265" s="63">
        <f t="shared" ca="1" si="215"/>
        <v>0.94824856615203335</v>
      </c>
      <c r="AR265" s="64">
        <f ca="1">IF(AL265,IF(AQ265&lt;$F$10,0,IF(AQ265&lt;$F$10+$F$11,0.25,IF(AQ265&lt;$F$10+$F$11+AO265,AP265,1)))*IF(AN265&gt;0,AN265,IF(AN264&gt;0,AN264,IF(AN263&gt;0,AN263,IF(AN262&gt;0,AN262,IF(AN261&gt;0,AN261,IF(AN260&gt;0,AN260,IF(AN259&gt;0,AN259,IF(AN258&gt;0,AN258,IF(AN257&gt;0,AN257,IF(AN255&gt;0,AN255,IF(AN254&gt;0,AN254,IF(AN253&gt;0,AN253,0)))))))))))),0)*(1-$S265)*'模拟-单技能数据'!$I$21</f>
        <v>11118.353508757338</v>
      </c>
      <c r="AS265" s="61">
        <f ca="1">IF(OR(C265="净世破魔击·日",C265="净世破魔击·月"),M265-'模拟-单技能数据'!$K$10,0)</f>
        <v>0.42185145527300216</v>
      </c>
      <c r="AT265" s="61">
        <f ca="1">IF(OR(C265="净世破魔击·日",C265="净世破魔击·月"),I265-'模拟-单技能数据'!$L$10,0)</f>
        <v>2.162482885499879</v>
      </c>
      <c r="AU265" s="62">
        <f t="shared" ca="1" si="216"/>
        <v>0.35925545556684235</v>
      </c>
      <c r="AV265" s="64">
        <f ca="1">IF(AS265&gt;0,('模拟-单技能数据'!$D$22+G265*'模拟-单技能数据'!$F$22)*(1+J265)*(1-S265)*IF(AU265&lt;$F$10,0,IF(AU265&lt;$F$10+$F$11,0.25,IF(AU265&lt;$F$10+$F$11+AS265,AT265,1)))*(1+U265),0)*'模拟-单技能数据'!$I$22</f>
        <v>18355.759631698667</v>
      </c>
      <c r="AW265" s="108">
        <f t="shared" ca="1" si="217"/>
        <v>16.310000000000002</v>
      </c>
      <c r="AX265" s="108" t="b">
        <f ca="1">AND(模拟模式!$P$10="有",AW264=0,RAND()&lt;IF(C265="净世破魔击·月",0.1*8/3,IF(C265="净世破魔击·日",0.1*4/3,0.1*2/3)))</f>
        <v>0</v>
      </c>
      <c r="AY265" s="47">
        <f ca="1">IF(AX265,(18+G265*0.722)*(1+J265)*(1-S265)*(1+$I$4)*IF(P265="会",'模拟-全程加成'!$J$3+'模拟-全程加成'!$J$4+'模拟-全程加成'!$J$5+('模拟-全程加成'!$I$4+'模拟-全程加成'!$I$5)/系数!$B$4+BG265*10%,IF(P265="命",1,IF(P265="识",0.25,0))),0)</f>
        <v>0</v>
      </c>
      <c r="AZ265" s="108">
        <f t="shared" si="218"/>
        <v>3.3950000000000062</v>
      </c>
      <c r="BA265" s="108" t="b">
        <f>AND(模拟模式!$Q$10="有",AZ264=0)</f>
        <v>0</v>
      </c>
      <c r="BB265" s="140">
        <f>IF(BA265,(0+G265*0.287)*(1+J265)*(1-S265)*(1+$I$4)*IF(P265="会",'模拟-全程加成'!$J$3+'模拟-全程加成'!$J$4+'模拟-全程加成'!$J$5+('模拟-全程加成'!$I$4+'模拟-全程加成'!$I$5)/系数!$B$4+BG265*10%,IF(P265="命",1,IF(P265="识",0.25,0))),0)</f>
        <v>0</v>
      </c>
      <c r="BC265" s="115" t="b">
        <f ca="1">AND(模拟模式!$R$7="伏明众生",E265=60,F265=20,DA265&lt;5,CZ264&lt;$F$4)</f>
        <v>0</v>
      </c>
      <c r="BD265" s="115">
        <f t="shared" ca="1" si="236"/>
        <v>0</v>
      </c>
      <c r="BE265" s="115" t="b">
        <f t="shared" ca="1" si="237"/>
        <v>0</v>
      </c>
      <c r="BF265" s="47">
        <f ca="1">IF(BC265,4*('模拟-单技能数据'!$D$24+G265*'模拟-单技能数据'!$F$24)*(1+J265)*(1+'模拟-单技能数据'!$J$24)*(1-S265)*(1+$I$3)*(('模拟-全程加成'!$J$3+'模拟-全程加成'!$J$4+'模拟-全程加成'!$J$5+('模拟-全程加成'!$I$4+'模拟-全程加成'!$I$5)/系数!$B$4+BG265*10%)*('模拟-全程加成'!$J$3+'模拟-全程加成'!$J$4+'模拟-全程加成'!$J$5+('模拟-全程加成'!$I$4+'模拟-全程加成'!$I$5)/系数!$B$4+BG265*10%)+(1-('模拟-全程加成'!$J$3+'模拟-全程加成'!$J$4+'模拟-全程加成'!$J$5+('模拟-全程加成'!$I$4+'模拟-全程加成'!$I$5)/系数!$B$4+BG265*10%)-$F$10-$F$11)+F251*0.25),0)*'模拟-单技能数据'!$I$24</f>
        <v>0</v>
      </c>
      <c r="BG265" s="115" t="b">
        <f ca="1">OR(AND(OR(C265="烈日斩",C265="银月斩"),模拟模式!$I$7="净身明礼"),AND(C265="净世破魔击·日",模拟模式!$J$7="洞若观火"),AND(C266="净世破魔击·月",模拟模式!$J$7="洞若观火"),AB265=1)</f>
        <v>1</v>
      </c>
      <c r="BH265" s="115" t="b">
        <f t="shared" ca="1" si="219"/>
        <v>0</v>
      </c>
      <c r="BI265" s="115">
        <f t="shared" ca="1" si="238"/>
        <v>0</v>
      </c>
      <c r="BJ265" s="115" t="b">
        <f t="shared" ca="1" si="249"/>
        <v>0</v>
      </c>
      <c r="BK265" s="115" t="b">
        <f ca="1">AND(C265="驱夜断愁",模拟模式!$P$7="天地诛戮")</f>
        <v>0</v>
      </c>
      <c r="BL265" s="57">
        <f t="shared" ca="1" si="239"/>
        <v>16.310000000000002</v>
      </c>
      <c r="BM265" s="115" t="b">
        <f t="shared" ca="1" si="250"/>
        <v>1</v>
      </c>
      <c r="BN265" s="115" t="b">
        <f ca="1">AND(OR(C265="赤日轮1",C265="赤日轮2",C265="赤日轮3",C265="幽月轮1",C265="幽月轮2",C265="幽月轮3"),AB265=1,模拟模式!$L$7="明光恒照")</f>
        <v>0</v>
      </c>
      <c r="BO265" s="117">
        <f t="shared" ca="1" si="240"/>
        <v>28.155000000000001</v>
      </c>
      <c r="BP265" s="115">
        <f t="shared" ca="1" si="220"/>
        <v>6</v>
      </c>
      <c r="BQ265" s="115" t="b">
        <f>模拟模式!$K$10="2600·水"</f>
        <v>0</v>
      </c>
      <c r="BR265" s="117">
        <f t="shared" si="221"/>
        <v>0</v>
      </c>
      <c r="BS265" s="115">
        <f t="shared" si="222"/>
        <v>0</v>
      </c>
      <c r="BT265" s="115">
        <f t="shared" ca="1" si="223"/>
        <v>0</v>
      </c>
      <c r="BU265" s="115" t="b">
        <f ca="1">AND(模拟模式!$K$10="2300·雷",BT264=0,RAND()&lt;IF(C265="净世破魔击·月",5*0.05*2/3,IF(C265="净世破魔击·日",3*0.05*2/3,0.05*2*2/3)))</f>
        <v>0</v>
      </c>
      <c r="BV265" s="115">
        <f t="shared" ca="1" si="224"/>
        <v>0</v>
      </c>
      <c r="BW265" s="115">
        <f t="shared" ca="1" si="225"/>
        <v>152.32499999999959</v>
      </c>
      <c r="BX265" s="164" t="b">
        <f t="shared" ca="1" si="226"/>
        <v>0</v>
      </c>
      <c r="BY265" s="115">
        <f t="shared" ca="1" si="227"/>
        <v>0</v>
      </c>
      <c r="BZ265" s="115">
        <f>IF(OR(模拟模式!$P$16="10人团",模拟模式!$P$16="25人团"),IF(B265/30&gt;CA264,1,0),0)</f>
        <v>0</v>
      </c>
      <c r="CA265" s="115">
        <f t="shared" si="203"/>
        <v>0</v>
      </c>
      <c r="CB265" s="115">
        <f ca="1">IF(BZ265=1,IF(模拟模式!$P$16="10人团",15,0)+IF(模拟模式!$P$16="25人团",IF(RAND()&lt;0.6,15,0)),MAX(0,CB264-$F$4))</f>
        <v>0</v>
      </c>
      <c r="CC265" s="115" t="b">
        <f t="shared" ca="1" si="251"/>
        <v>0</v>
      </c>
      <c r="CD265" s="115">
        <f>IF(模拟模式!$Q$16="1个",IF(B265/40&gt;CE264,1,0),0)</f>
        <v>0</v>
      </c>
      <c r="CE265" s="115">
        <f t="shared" si="252"/>
        <v>0</v>
      </c>
      <c r="CF265" s="115">
        <f>IF(OR(CD265=1,模拟模式!$Q$16="2个"),20,MAX(0,CF264-$F$4))</f>
        <v>0</v>
      </c>
      <c r="CG265" s="115" t="b">
        <f t="shared" si="253"/>
        <v>0</v>
      </c>
      <c r="CH265" s="115">
        <f t="shared" ca="1" si="228"/>
        <v>11.550000000000011</v>
      </c>
      <c r="CI265" s="115" t="b">
        <f t="shared" ca="1" si="229"/>
        <v>0</v>
      </c>
      <c r="CJ265" s="119">
        <f t="shared" ca="1" si="230"/>
        <v>0</v>
      </c>
      <c r="CK265" s="115">
        <f t="shared" ca="1" si="231"/>
        <v>0</v>
      </c>
      <c r="CL265" s="115" t="b">
        <f ca="1">AND(模拟模式!$S$7="驱夷逐法",OR(AND(C265="净世破魔击·月",E264&gt;59),AND(C265="净世破魔击·日",F264&gt;59)))</f>
        <v>0</v>
      </c>
      <c r="CM265" s="115" t="b">
        <f ca="1">OR(CL265,AND(C265="净世破魔击·日",CL264,RAND()&lt;模拟模式!$U$23))</f>
        <v>1</v>
      </c>
      <c r="CN265" s="115" t="b">
        <f ca="1">IF(模拟模式!$M$7="辉耀红尘",AND(C265="净世破魔击·月",CL265,CV265=0,E264&lt;80),AND(C265="净世破魔击·月",CL265,E264&lt;100))</f>
        <v>0</v>
      </c>
      <c r="CO265" s="115" t="b">
        <f t="shared" ca="1" si="204"/>
        <v>0</v>
      </c>
      <c r="CP265" s="115" t="b">
        <f ca="1">AND(模拟模式!$O$7="用晦而明",OR(C265="净世破魔击·日",C265="净世破魔击·月",C265="驱夜断愁"),AB265)</f>
        <v>1</v>
      </c>
      <c r="CQ265" s="115" t="b">
        <f ca="1">OR(CP265,AND(CP264,RAND()&lt;模拟模式!$U$23))</f>
        <v>1</v>
      </c>
      <c r="CR265" s="115" t="b">
        <f ca="1">AND(模拟模式!$S$7="日月齐光",OR(C265="幽月轮1",C265="幽月轮2",C265="幽月轮3",CR264),NOT(OR(C265="赤日轮1",C265="赤日轮2",C265="赤日轮3")))</f>
        <v>0</v>
      </c>
      <c r="CS265" s="115" t="b">
        <f ca="1">AND(模拟模式!$S$7="日月齐光",OR(C265="赤日轮1",C265="赤日轮2",C265="赤日轮3",CS264),NOT(OR(C265="幽月轮1",C265="幽月轮2",C265="幽月轮3")))</f>
        <v>0</v>
      </c>
      <c r="CT265" s="115">
        <f t="shared" ca="1" si="232"/>
        <v>18.007500000000007</v>
      </c>
      <c r="CU265" s="115" t="b">
        <f ca="1">AND(模拟模式!$K$10="阴阳往极",CT264=0,RAND()&lt;IF(C265="净世破魔击·月",0.0275*7/3,IF(C265="净世破魔击·日",0.0275*3/3,0.0275*2/3)))</f>
        <v>0</v>
      </c>
      <c r="CV265" s="115">
        <f t="shared" ca="1" si="233"/>
        <v>0</v>
      </c>
      <c r="CW265" s="115">
        <f t="shared" ca="1" si="205"/>
        <v>3.2324999999999995</v>
      </c>
      <c r="CX265" s="115">
        <f t="shared" ca="1" si="206"/>
        <v>1.3874999999999997</v>
      </c>
      <c r="CY265" s="115">
        <f ca="1">MAX(IF($C265="驱夜断愁",IF(模拟模式!$R$7="万念俱寂",6,45),CY264-$F$4),0)</f>
        <v>2.3099999999999996</v>
      </c>
      <c r="CZ265" s="115">
        <f t="shared" ca="1" si="207"/>
        <v>0</v>
      </c>
      <c r="DA265" s="115">
        <f ca="1">IF(模拟模式!$N$7="日月同辉",IF(DB264=2,0,MIN(6,IF(AND(OR(C265="赤日轮1",C265="赤日轮2",C265="赤日轮3",C265="幽月轮1",C265="幽月轮2",C265="幽月轮3"),AB265=1),DA264+1,DA264))),0)</f>
        <v>0</v>
      </c>
      <c r="DB265" s="115">
        <f t="shared" ca="1" si="208"/>
        <v>0</v>
      </c>
      <c r="DC265" s="115"/>
      <c r="DD265" s="115"/>
      <c r="DE265" s="115"/>
      <c r="DF265" s="115"/>
      <c r="DG265" s="115"/>
      <c r="DH265" s="115"/>
      <c r="DI265" s="115"/>
      <c r="DJ265" s="115"/>
      <c r="DK265" s="115"/>
      <c r="DL265" s="115"/>
      <c r="DM265" s="115"/>
    </row>
    <row r="266" spans="2:117" x14ac:dyDescent="0.2">
      <c r="B266" s="117">
        <f t="shared" si="209"/>
        <v>220.4775000000013</v>
      </c>
      <c r="C266" s="167" t="str">
        <f t="shared" ca="1" si="202"/>
        <v>净世破魔击·月</v>
      </c>
      <c r="D266" s="115">
        <f ca="1">IF(C266="赤日轮1",1,IF(C266="赤日轮2",2,IF(C266="赤日轮3",3,IF(C266="幽月轮1",4,IF(C266="幽月轮2",5,IF(C266="幽月轮3",6,IF(C266="烈日斩",7,IF(C266="银月斩",8,IF(C266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266="净世破魔击·月",17,IF(C266="驱夜断愁",18,0)))))))))))</f>
        <v>17</v>
      </c>
      <c r="E266" s="115">
        <f ca="1">IF(AND(CU266,OR(C266="幽月轮1",C266="幽月轮2",C266="幽月轮3",C266="银月斩",C266="驱夜断愁",C266="净世破魔击·月")),100,MIN(IF(OR(CN266,BE266),0,IF(OR($C266="赤日轮1",$C266="赤日轮2",$C266="赤日轮3"),E265+20+IF(模拟模式!$I$7="日月凌天",4,0)+IF(CR265,20,0),IF($C266="烈日斩",E265+40,IF($C266="驱夜断愁",IF(模拟模式!$R$7="万念俱寂",E265+20,E265+60),IF($C266="净世破魔击·月",IF(OR(DB265&gt;0,CV265&gt;0),100,IF(模拟模式!$M$7="辉耀红尘",E265+20,E265)),IF($C266="净世破魔击·日",E265-100,E265)))))),100))</f>
        <v>20</v>
      </c>
      <c r="F266" s="115">
        <f ca="1">IF(AND(CU266,OR(C266="赤日轮1",C266="赤日轮2",C266="赤日轮3",C266="烈日斩",C266="净世破魔击·日")),100,MIN(IF(CO266,0,IF(OR($C266="幽月轮1",$C266="幽月轮2",$C266="幽月轮3"),F265+20+IF(模拟模式!$I$7="日月凌天",4,0)+IF(CS265,20,0),IF($C266="银月斩",F265+40+IF(模拟模式!$X$12=1,5,0),IF($C266="驱夜断愁",IF(模拟模式!$R$7="万念俱寂",F265+20,F265+60),IF($C266="净世破魔击·月",IF(模拟模式!$M$7="辉耀红尘",F265-80,F265-100),IF(AND(C266="净世破魔击·日",OR(DB265&gt;0,CV265&gt;0)),100,F265)))))),100))</f>
        <v>20</v>
      </c>
      <c r="G266" s="117">
        <f ca="1">('模拟-全程加成'!$E$3+'模拟-全程加成'!$E$4+'模拟-全程加成'!$E$5+('模拟-全程加成'!$C$6-'模拟-全程加成'!$C$3)*系数!$B$9+BS266*23)*(1+'模拟-全程加成'!$F$4+'模拟-全程加成'!$F$5+BJ266*10%+BM266*20%+BP266*4%+CG266*30%)+$F$7*系数!$B$12</f>
        <v>20583.127400000001</v>
      </c>
      <c r="H266" s="45">
        <f ca="1">'模拟-全程加成'!$H$3+'模拟-全程加成'!$H$4+'模拟-全程加成'!$H$5+('模拟-全程加成'!$G$4+'模拟-全程加成'!$G$5+('模拟-全程加成'!$C$6-'模拟-全程加成'!$C$3)*系数!$B$13)/系数!$B$3+LOOKUP(D266,'模拟-单技能数据'!$A$2:$A$19,'模拟-单技能数据'!$K$2:$K$19)+BG266*10%+IF(BV266&gt;0,378,0)</f>
        <v>0.54185145527300216</v>
      </c>
      <c r="I266" s="45">
        <f ca="1">'模拟-全程加成'!$J$3+'模拟-全程加成'!$J$4+'模拟-全程加成'!$J$5+('模拟-全程加成'!$I$4+'模拟-全程加成'!$I$5)/系数!$B$4+LOOKUP(D266,'模拟-单技能数据'!$A$2:$A$19,'模拟-单技能数据'!$L$2:$L$19)+BG266*10%</f>
        <v>2.162482885499879</v>
      </c>
      <c r="J266" s="45">
        <f ca="1">(('模拟-全程加成'!$K$3+'模拟-全程加成'!$K$4+'模拟-全程加成'!$K$5+('模拟-全程加成'!$C$6-'模拟-全程加成'!$C$3)*系数!$B$10+IF(BV266&gt;0,882,0)+IF(BY266&gt;0,1831,0))*(1+'模拟-全程加成'!$L$4+'模拟-全程加成'!$L$5+CC266*20%))/系数!$B$5</f>
        <v>0.69723220422048726</v>
      </c>
      <c r="K266" s="119">
        <f ca="1">LOOKUP(D266,'模拟-单技能数据'!$A$2:$A$19,'模拟-单技能数据'!$J$2:$J$19)+IF(CM266,60%,0)+IF(DB265-DB266&gt;0,30%,0)+IF(OR(AND(OR(C266="赤日轮1",C266="赤日轮2",C266="赤日轮3"),CR266),AND(OR(C266="幽月轮1",C266="幽月轮2",C266="幽月轮3"),CS266)),35%,0)+CJ266</f>
        <v>0.2</v>
      </c>
      <c r="L266" s="119">
        <f ca="1">IF(AND(C266="烈日斩",模拟模式!$X$11=1),10%,0)+IF(AND(C266="驱夜断愁",AB266=1),30%,0)</f>
        <v>0</v>
      </c>
      <c r="M266" s="45">
        <f t="shared" ca="1" si="241"/>
        <v>0.54185145527300216</v>
      </c>
      <c r="N266" s="45">
        <f t="shared" ca="1" si="242"/>
        <v>0.40424854472699789</v>
      </c>
      <c r="O266" s="46">
        <f t="shared" ca="1" si="210"/>
        <v>0.91674285889979934</v>
      </c>
      <c r="P266" s="46" t="str">
        <f t="shared" ca="1" si="211"/>
        <v>命</v>
      </c>
      <c r="Q266" s="45">
        <f t="shared" ca="1" si="212"/>
        <v>1</v>
      </c>
      <c r="R266" s="117">
        <f ca="1">模拟模式!$E$20*(1-IF(模拟模式!$J$19="有",0.15,0))*(1-IF(模拟模式!$K$19="有",0.3,0)-IF(CQ266,0.5,0))</f>
        <v>843.02999999999975</v>
      </c>
      <c r="S266" s="45">
        <f ca="1">R266/(R266+(185*模拟模式!$E$22-16800)*4.08224)</f>
        <v>8.389626085980037E-2</v>
      </c>
      <c r="T266" s="45" t="str">
        <f ca="1">LOOKUP(D266,'模拟-单技能数据'!$A$2:$A$19,'模拟-单技能数据'!$H$2:$H$19)</f>
        <v>阴</v>
      </c>
      <c r="U266" s="119">
        <f t="shared" ca="1" si="243"/>
        <v>0.08</v>
      </c>
      <c r="V266" s="47">
        <f ca="1">(1+L266)*(LOOKUP(D266,'模拟-单技能数据'!$A$2:$A$19,'模拟-单技能数据'!$D$2:$D$19)+G266*LOOKUP(D266,'模拟-单技能数据'!$A$2:$A$19,'模拟-单技能数据'!$F$2:$F$19))*(1+J266)*(1+K266)*(1-S266)*(1+U266)*Q266*LOOKUP(D266,'模拟-单技能数据'!$A$2:$A$19,'模拟-单技能数据'!$I$2:$I$20)</f>
        <v>53909.747705502974</v>
      </c>
      <c r="W266" s="47">
        <f ca="1">LOOKUP(D266,'模拟-单技能数据'!$A$2:$A$19,'模拟-单技能数据'!$G$2:$G$19)*$I$10</f>
        <v>361.51064354704795</v>
      </c>
      <c r="X266" s="47">
        <f t="shared" ca="1" si="213"/>
        <v>17256.108866681636</v>
      </c>
      <c r="Y266" s="47">
        <f t="shared" ca="1" si="244"/>
        <v>71527.367215731661</v>
      </c>
      <c r="Z266" s="49">
        <f t="shared" ca="1" si="245"/>
        <v>25583851.532035336</v>
      </c>
      <c r="AA266" s="97">
        <f t="shared" ca="1" si="246"/>
        <v>116038.37821108814</v>
      </c>
      <c r="AB266" s="115">
        <f ca="1">IF(OR(C266="赤日轮1",C266="赤日轮2",C266="赤日轮3"),IF(RAND()&lt;模拟模式!$Y$17,1,0),IF(OR(C266="幽月轮1",C266="幽月轮2",C266="幽月轮3"),IF(RAND()&lt;模拟模式!$Y$18,1,0),IF(C266="烈日斩",IF(RAND()&lt;模拟模式!$Y$19,1,0),IF(C266="银月斩",IF(RAND()&lt;模拟模式!$Y$20,1,0),IF(C266="驱夜断愁",IF(RAND()&lt;模拟模式!$Y$21,1,0),IF(C266="净世破魔击·日",IF(RAND()&lt;模拟模式!$Y$22,1,0),IF(C266="净世破魔击·月",IF(RAND()&lt;模拟模式!$Y$23,1,0),0)))))))</f>
        <v>1</v>
      </c>
      <c r="AC266" s="115" t="b">
        <f t="shared" ca="1" si="234"/>
        <v>0</v>
      </c>
      <c r="AD266" s="115" t="b">
        <f t="shared" ca="1" si="254"/>
        <v>1</v>
      </c>
      <c r="AE266" s="115">
        <f t="shared" ca="1" si="255"/>
        <v>3</v>
      </c>
      <c r="AF266" s="47">
        <f ca="1">IF(AC266,('模拟-单技能数据'!$D$20+G266*'模拟-单技能数据'!$F$20)*(1+J266)*(1+'模拟-单技能数据'!$J$20)*(1+U266),0)</f>
        <v>0</v>
      </c>
      <c r="AG266" s="61">
        <f t="shared" ca="1" si="247"/>
        <v>0.64185145527300214</v>
      </c>
      <c r="AH266" s="61">
        <f t="shared" ca="1" si="248"/>
        <v>2.2624828854998791</v>
      </c>
      <c r="AI266" s="62">
        <f t="shared" ca="1" si="214"/>
        <v>0.3188810208455477</v>
      </c>
      <c r="AJ266" s="47">
        <f ca="1">IF(AD266,IF(AI266&lt;$F$10,0,IF(AI266&lt;$F$10+$F$11,0.25,IF(AI266&lt;$F$10+$F$11+AG266,AH266,1)))*IF(AF266&gt;0,AF266,IF(AF265&gt;0,AF265,IF(AF264&gt;0,AF264,IF(AF263&gt;0,AF263,IF(AF262&gt;0,AF262,IF(AF261&gt;0,AF261,IF(AF260&gt;0,AF260,IF(AF259&gt;0,AF259,IF(AF258&gt;0,AF258,IF(AF256&gt;0,AF256,IF(AF255&gt;0,AF255,IF(AF254&gt;0,AF254,0)))))))))))),0)*(1-$S266)*'模拟-单技能数据'!$I$20</f>
        <v>9616.6571145767884</v>
      </c>
      <c r="AK266" s="115" t="b">
        <f t="shared" ca="1" si="235"/>
        <v>0</v>
      </c>
      <c r="AL266" s="115" t="b">
        <f t="shared" ca="1" si="256"/>
        <v>0</v>
      </c>
      <c r="AM266" s="115">
        <f t="shared" ca="1" si="257"/>
        <v>5</v>
      </c>
      <c r="AN266" s="47">
        <f ca="1">IF(AK266,('模拟-单技能数据'!$D$21+G266*'模拟-单技能数据'!$F$21)*(1+J266)*(1+'模拟-单技能数据'!$J$21)*(1+U266),0)</f>
        <v>0</v>
      </c>
      <c r="AO266" s="61">
        <f ca="1">IF(AN266&gt;0,M266-'模拟-单技能数据'!$K$10,AO265)</f>
        <v>0.42185145527300216</v>
      </c>
      <c r="AP266" s="61">
        <f ca="1">IF(AN266&gt;0,I266-'模拟-单技能数据'!$L$10,AP265)</f>
        <v>2.162482885499879</v>
      </c>
      <c r="AQ266" s="63">
        <f t="shared" ca="1" si="215"/>
        <v>0.93003871031212781</v>
      </c>
      <c r="AR266" s="64">
        <f ca="1">IF(AL266,IF(AQ266&lt;$F$10,0,IF(AQ266&lt;$F$10+$F$11,0.25,IF(AQ266&lt;$F$10+$F$11+AO266,AP266,1)))*IF(AN266&gt;0,AN266,IF(AN265&gt;0,AN265,IF(AN264&gt;0,AN264,IF(AN263&gt;0,AN263,IF(AN262&gt;0,AN262,IF(AN261&gt;0,AN261,IF(AN260&gt;0,AN260,IF(AN259&gt;0,AN259,IF(AN258&gt;0,AN258,IF(AN256&gt;0,AN256,IF(AN255&gt;0,AN255,IF(AN254&gt;0,AN254,0)))))))))))),0)*(1-$S266)*'模拟-单技能数据'!$I$21</f>
        <v>0</v>
      </c>
      <c r="AS266" s="61">
        <f ca="1">IF(OR(C266="净世破魔击·日",C266="净世破魔击·月"),M266-'模拟-单技能数据'!$K$10,0)</f>
        <v>0.42185145527300216</v>
      </c>
      <c r="AT266" s="61">
        <f ca="1">IF(OR(C266="净世破魔击·日",C266="净世破魔击·月"),I266-'模拟-单技能数据'!$L$10,0)</f>
        <v>2.162482885499879</v>
      </c>
      <c r="AU266" s="62">
        <f t="shared" ca="1" si="216"/>
        <v>0.84479267526602098</v>
      </c>
      <c r="AV266" s="64">
        <f ca="1">IF(AS266&gt;0,('模拟-单技能数据'!$D$22+G266*'模拟-单技能数据'!$F$22)*(1+J266)*(1-S266)*IF(AU266&lt;$F$10,0,IF(AU266&lt;$F$10+$F$11,0.25,IF(AU266&lt;$F$10+$F$11+AS266,AT266,1)))*(1+U266),0)*'模拟-单技能数据'!$I$22</f>
        <v>7639.4517521048492</v>
      </c>
      <c r="AW266" s="108">
        <f t="shared" ca="1" si="217"/>
        <v>15.387500000000003</v>
      </c>
      <c r="AX266" s="108" t="b">
        <f ca="1">AND(模拟模式!$P$10="有",AW265=0,RAND()&lt;IF(C266="净世破魔击·月",0.1*8/3,IF(C266="净世破魔击·日",0.1*4/3,0.1*2/3)))</f>
        <v>0</v>
      </c>
      <c r="AY266" s="47">
        <f ca="1">IF(AX266,(18+G266*0.722)*(1+J266)*(1-S266)*(1+$I$4)*IF(P266="会",'模拟-全程加成'!$J$3+'模拟-全程加成'!$J$4+'模拟-全程加成'!$J$5+('模拟-全程加成'!$I$4+'模拟-全程加成'!$I$5)/系数!$B$4+BG266*10%,IF(P266="命",1,IF(P266="识",0.25,0))),0)</f>
        <v>0</v>
      </c>
      <c r="AZ266" s="108">
        <f t="shared" si="218"/>
        <v>2.4725000000000064</v>
      </c>
      <c r="BA266" s="108" t="b">
        <f>AND(模拟模式!$Q$10="有",AZ265=0)</f>
        <v>0</v>
      </c>
      <c r="BB266" s="140">
        <f>IF(BA266,(0+G266*0.287)*(1+J266)*(1-S266)*(1+$I$4)*IF(P266="会",'模拟-全程加成'!$J$3+'模拟-全程加成'!$J$4+'模拟-全程加成'!$J$5+('模拟-全程加成'!$I$4+'模拟-全程加成'!$I$5)/系数!$B$4+BG266*10%,IF(P266="命",1,IF(P266="识",0.25,0))),0)</f>
        <v>0</v>
      </c>
      <c r="BC266" s="115" t="b">
        <f ca="1">AND(模拟模式!$R$7="伏明众生",E266=60,F266=20,DA266&lt;5,CZ265&lt;$F$4)</f>
        <v>0</v>
      </c>
      <c r="BD266" s="115">
        <f t="shared" ca="1" si="236"/>
        <v>0</v>
      </c>
      <c r="BE266" s="115" t="b">
        <f t="shared" ca="1" si="237"/>
        <v>0</v>
      </c>
      <c r="BF266" s="47">
        <f ca="1">IF(BC266,4*('模拟-单技能数据'!$D$24+G266*'模拟-单技能数据'!$F$24)*(1+J266)*(1+'模拟-单技能数据'!$J$24)*(1-S266)*(1+$I$3)*(('模拟-全程加成'!$J$3+'模拟-全程加成'!$J$4+'模拟-全程加成'!$J$5+('模拟-全程加成'!$I$4+'模拟-全程加成'!$I$5)/系数!$B$4+BG266*10%)*('模拟-全程加成'!$J$3+'模拟-全程加成'!$J$4+'模拟-全程加成'!$J$5+('模拟-全程加成'!$I$4+'模拟-全程加成'!$I$5)/系数!$B$4+BG266*10%)+(1-('模拟-全程加成'!$J$3+'模拟-全程加成'!$J$4+'模拟-全程加成'!$J$5+('模拟-全程加成'!$I$4+'模拟-全程加成'!$I$5)/系数!$B$4+BG266*10%)-$F$10-$F$11)+F252*0.25),0)*'模拟-单技能数据'!$I$24</f>
        <v>0</v>
      </c>
      <c r="BG266" s="115" t="b">
        <f ca="1">OR(AND(OR(C266="烈日斩",C266="银月斩"),模拟模式!$I$7="净身明礼"),AND(C266="净世破魔击·日",模拟模式!$J$7="洞若观火"),AND(C267="净世破魔击·月",模拟模式!$J$7="洞若观火"),AB266=1)</f>
        <v>1</v>
      </c>
      <c r="BH266" s="115" t="b">
        <f t="shared" ca="1" si="219"/>
        <v>0</v>
      </c>
      <c r="BI266" s="115">
        <f t="shared" ca="1" si="238"/>
        <v>0</v>
      </c>
      <c r="BJ266" s="115" t="b">
        <f t="shared" ca="1" si="249"/>
        <v>0</v>
      </c>
      <c r="BK266" s="115" t="b">
        <f ca="1">AND(C266="驱夜断愁",模拟模式!$P$7="天地诛戮")</f>
        <v>0</v>
      </c>
      <c r="BL266" s="57">
        <f t="shared" ca="1" si="239"/>
        <v>15.387500000000003</v>
      </c>
      <c r="BM266" s="115" t="b">
        <f t="shared" ca="1" si="250"/>
        <v>1</v>
      </c>
      <c r="BN266" s="115" t="b">
        <f ca="1">AND(OR(C266="赤日轮1",C266="赤日轮2",C266="赤日轮3",C266="幽月轮1",C266="幽月轮2",C266="幽月轮3"),AB266=1,模拟模式!$L$7="明光恒照")</f>
        <v>0</v>
      </c>
      <c r="BO266" s="117">
        <f t="shared" ca="1" si="240"/>
        <v>27.232500000000002</v>
      </c>
      <c r="BP266" s="115">
        <f t="shared" ca="1" si="220"/>
        <v>6</v>
      </c>
      <c r="BQ266" s="115" t="b">
        <f>模拟模式!$K$10="2600·水"</f>
        <v>0</v>
      </c>
      <c r="BR266" s="117">
        <f t="shared" si="221"/>
        <v>0</v>
      </c>
      <c r="BS266" s="115">
        <f t="shared" si="222"/>
        <v>0</v>
      </c>
      <c r="BT266" s="115">
        <f t="shared" ca="1" si="223"/>
        <v>0</v>
      </c>
      <c r="BU266" s="115" t="b">
        <f ca="1">AND(模拟模式!$K$10="2300·雷",BT265=0,RAND()&lt;IF(C266="净世破魔击·月",5*0.05*2/3,IF(C266="净世破魔击·日",3*0.05*2/3,0.05*2*2/3)))</f>
        <v>0</v>
      </c>
      <c r="BV266" s="115">
        <f t="shared" ca="1" si="224"/>
        <v>0</v>
      </c>
      <c r="BW266" s="115">
        <f t="shared" ca="1" si="225"/>
        <v>151.40249999999958</v>
      </c>
      <c r="BX266" s="164" t="b">
        <f t="shared" ca="1" si="226"/>
        <v>0</v>
      </c>
      <c r="BY266" s="115">
        <f t="shared" ca="1" si="227"/>
        <v>0</v>
      </c>
      <c r="BZ266" s="115">
        <f>IF(OR(模拟模式!$P$16="10人团",模拟模式!$P$16="25人团"),IF(B266/30&gt;CA265,1,0),0)</f>
        <v>0</v>
      </c>
      <c r="CA266" s="115">
        <f t="shared" si="203"/>
        <v>0</v>
      </c>
      <c r="CB266" s="115">
        <f ca="1">IF(BZ266=1,IF(模拟模式!$P$16="10人团",15,0)+IF(模拟模式!$P$16="25人团",IF(RAND()&lt;0.6,15,0)),MAX(0,CB265-$F$4))</f>
        <v>0</v>
      </c>
      <c r="CC266" s="115" t="b">
        <f t="shared" ca="1" si="251"/>
        <v>0</v>
      </c>
      <c r="CD266" s="115">
        <f>IF(模拟模式!$Q$16="1个",IF(B266/40&gt;CE265,1,0),0)</f>
        <v>0</v>
      </c>
      <c r="CE266" s="115">
        <f t="shared" si="252"/>
        <v>0</v>
      </c>
      <c r="CF266" s="115">
        <f>IF(OR(CD266=1,模拟模式!$Q$16="2个"),20,MAX(0,CF265-$F$4))</f>
        <v>0</v>
      </c>
      <c r="CG266" s="115" t="b">
        <f t="shared" si="253"/>
        <v>0</v>
      </c>
      <c r="CH266" s="115">
        <f t="shared" ca="1" si="228"/>
        <v>10.627500000000012</v>
      </c>
      <c r="CI266" s="115" t="b">
        <f t="shared" ca="1" si="229"/>
        <v>0</v>
      </c>
      <c r="CJ266" s="119">
        <f t="shared" ca="1" si="230"/>
        <v>0</v>
      </c>
      <c r="CK266" s="115">
        <f t="shared" ca="1" si="231"/>
        <v>0</v>
      </c>
      <c r="CL266" s="115" t="b">
        <f ca="1">AND(模拟模式!$S$7="驱夷逐法",OR(AND(C266="净世破魔击·月",E265&gt;59),AND(C266="净世破魔击·日",F265&gt;59)))</f>
        <v>0</v>
      </c>
      <c r="CM266" s="115" t="b">
        <f ca="1">OR(CL266,AND(C266="净世破魔击·日",CL265,RAND()&lt;模拟模式!$U$23))</f>
        <v>0</v>
      </c>
      <c r="CN266" s="115" t="b">
        <f ca="1">IF(模拟模式!$M$7="辉耀红尘",AND(C266="净世破魔击·月",CL266,CV266=0,E265&lt;80),AND(C266="净世破魔击·月",CL266,E265&lt;100))</f>
        <v>0</v>
      </c>
      <c r="CO266" s="115" t="b">
        <f t="shared" ca="1" si="204"/>
        <v>0</v>
      </c>
      <c r="CP266" s="115" t="b">
        <f ca="1">AND(模拟模式!$O$7="用晦而明",OR(C266="净世破魔击·日",C266="净世破魔击·月",C266="驱夜断愁"),AB266)</f>
        <v>1</v>
      </c>
      <c r="CQ266" s="115" t="b">
        <f ca="1">OR(CP266,AND(CP265,RAND()&lt;模拟模式!$U$23))</f>
        <v>1</v>
      </c>
      <c r="CR266" s="115" t="b">
        <f ca="1">AND(模拟模式!$S$7="日月齐光",OR(C266="幽月轮1",C266="幽月轮2",C266="幽月轮3",CR265),NOT(OR(C266="赤日轮1",C266="赤日轮2",C266="赤日轮3")))</f>
        <v>0</v>
      </c>
      <c r="CS266" s="115" t="b">
        <f ca="1">AND(模拟模式!$S$7="日月齐光",OR(C266="赤日轮1",C266="赤日轮2",C266="赤日轮3",CS265),NOT(OR(C266="幽月轮1",C266="幽月轮2",C266="幽月轮3")))</f>
        <v>0</v>
      </c>
      <c r="CT266" s="115">
        <f t="shared" ca="1" si="232"/>
        <v>17.085000000000008</v>
      </c>
      <c r="CU266" s="115" t="b">
        <f ca="1">AND(模拟模式!$K$10="阴阳往极",CT265=0,RAND()&lt;IF(C266="净世破魔击·月",0.0275*7/3,IF(C266="净世破魔击·日",0.0275*3/3,0.0275*2/3)))</f>
        <v>0</v>
      </c>
      <c r="CV266" s="115">
        <f t="shared" ca="1" si="233"/>
        <v>0</v>
      </c>
      <c r="CW266" s="115">
        <f t="shared" ca="1" si="205"/>
        <v>2.3099999999999996</v>
      </c>
      <c r="CX266" s="115">
        <f t="shared" ca="1" si="206"/>
        <v>0.46499999999999975</v>
      </c>
      <c r="CY266" s="115">
        <f ca="1">MAX(IF($C266="驱夜断愁",IF(模拟模式!$R$7="万念俱寂",6,45),CY265-$F$4),0)</f>
        <v>1.3874999999999997</v>
      </c>
      <c r="CZ266" s="115">
        <f t="shared" ca="1" si="207"/>
        <v>0</v>
      </c>
      <c r="DA266" s="115">
        <f ca="1">IF(模拟模式!$N$7="日月同辉",IF(DB265=2,0,MIN(6,IF(AND(OR(C266="赤日轮1",C266="赤日轮2",C266="赤日轮3",C266="幽月轮1",C266="幽月轮2",C266="幽月轮3"),AB266=1),DA265+1,DA265))),0)</f>
        <v>0</v>
      </c>
      <c r="DB266" s="115">
        <f t="shared" ca="1" si="208"/>
        <v>0</v>
      </c>
      <c r="DC266" s="115"/>
      <c r="DD266" s="115"/>
      <c r="DE266" s="115"/>
      <c r="DF266" s="115"/>
      <c r="DG266" s="115"/>
      <c r="DH266" s="115"/>
      <c r="DI266" s="115"/>
      <c r="DJ266" s="115"/>
      <c r="DK266" s="115"/>
      <c r="DL266" s="115"/>
      <c r="DM266" s="115"/>
    </row>
    <row r="267" spans="2:117" x14ac:dyDescent="0.2">
      <c r="B267" s="117">
        <f t="shared" si="209"/>
        <v>221.40000000000131</v>
      </c>
      <c r="C267" s="167" t="str">
        <f t="shared" ca="1" si="202"/>
        <v>银月斩</v>
      </c>
      <c r="D267" s="115">
        <f ca="1">IF(C267="赤日轮1",1,IF(C267="赤日轮2",2,IF(C267="赤日轮3",3,IF(C267="幽月轮1",4,IF(C267="幽月轮2",5,IF(C267="幽月轮3",6,IF(C267="烈日斩",7,IF(C267="银月斩",8,IF(C267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267="净世破魔击·月",17,IF(C267="驱夜断愁",18,0)))))))))))</f>
        <v>8</v>
      </c>
      <c r="E267" s="115">
        <f ca="1">IF(AND(CU267,OR(C267="幽月轮1",C267="幽月轮2",C267="幽月轮3",C267="银月斩",C267="驱夜断愁",C267="净世破魔击·月")),100,MIN(IF(OR(CN267,BE267),0,IF(OR($C267="赤日轮1",$C267="赤日轮2",$C267="赤日轮3"),E266+20+IF(模拟模式!$I$7="日月凌天",4,0)+IF(CR266,20,0),IF($C267="烈日斩",E266+40,IF($C267="驱夜断愁",IF(模拟模式!$R$7="万念俱寂",E266+20,E266+60),IF($C267="净世破魔击·月",IF(OR(DB266&gt;0,CV266&gt;0),100,IF(模拟模式!$M$7="辉耀红尘",E266+20,E266)),IF($C267="净世破魔击·日",E266-100,E266)))))),100))</f>
        <v>20</v>
      </c>
      <c r="F267" s="115">
        <f ca="1">IF(AND(CU267,OR(C267="赤日轮1",C267="赤日轮2",C267="赤日轮3",C267="烈日斩",C267="净世破魔击·日")),100,MIN(IF(CO267,0,IF(OR($C267="幽月轮1",$C267="幽月轮2",$C267="幽月轮3"),F266+20+IF(模拟模式!$I$7="日月凌天",4,0)+IF(CS266,20,0),IF($C267="银月斩",F266+40+IF(模拟模式!$X$12=1,5,0),IF($C267="驱夜断愁",IF(模拟模式!$R$7="万念俱寂",F266+20,F266+60),IF($C267="净世破魔击·月",IF(模拟模式!$M$7="辉耀红尘",F266-80,F266-100),IF(AND(C267="净世破魔击·日",OR(DB266&gt;0,CV266&gt;0)),100,F266)))))),100))</f>
        <v>65</v>
      </c>
      <c r="G267" s="117">
        <f ca="1">('模拟-全程加成'!$E$3+'模拟-全程加成'!$E$4+'模拟-全程加成'!$E$5+('模拟-全程加成'!$C$6-'模拟-全程加成'!$C$3)*系数!$B$9+BS267*23)*(1+'模拟-全程加成'!$F$4+'模拟-全程加成'!$F$5+BJ267*10%+BM267*20%+BP267*4%+CG267*30%)+$F$7*系数!$B$12</f>
        <v>20583.127400000001</v>
      </c>
      <c r="H267" s="45">
        <f ca="1">'模拟-全程加成'!$H$3+'模拟-全程加成'!$H$4+'模拟-全程加成'!$H$5+('模拟-全程加成'!$G$4+'模拟-全程加成'!$G$5+('模拟-全程加成'!$C$6-'模拟-全程加成'!$C$3)*系数!$B$13)/系数!$B$3+LOOKUP(D267,'模拟-单技能数据'!$A$2:$A$19,'模拟-单技能数据'!$K$2:$K$19)+BG267*10%+IF(BV267&gt;0,378,0)</f>
        <v>0.64185145527300214</v>
      </c>
      <c r="I267" s="45">
        <f ca="1">'模拟-全程加成'!$J$3+'模拟-全程加成'!$J$4+'模拟-全程加成'!$J$5+('模拟-全程加成'!$I$4+'模拟-全程加成'!$I$5)/系数!$B$4+LOOKUP(D267,'模拟-单技能数据'!$A$2:$A$19,'模拟-单技能数据'!$L$2:$L$19)+BG267*10%</f>
        <v>2.2624828854998791</v>
      </c>
      <c r="J267" s="45">
        <f ca="1">(('模拟-全程加成'!$K$3+'模拟-全程加成'!$K$4+'模拟-全程加成'!$K$5+('模拟-全程加成'!$C$6-'模拟-全程加成'!$C$3)*系数!$B$10+IF(BV267&gt;0,882,0)+IF(BY267&gt;0,1831,0))*(1+'模拟-全程加成'!$L$4+'模拟-全程加成'!$L$5+CC267*20%))/系数!$B$5</f>
        <v>0.69723220422048726</v>
      </c>
      <c r="K267" s="119">
        <f ca="1">LOOKUP(D267,'模拟-单技能数据'!$A$2:$A$19,'模拟-单技能数据'!$J$2:$J$19)+IF(CM267,60%,0)+IF(DB266-DB267&gt;0,30%,0)+IF(OR(AND(OR(C267="赤日轮1",C267="赤日轮2",C267="赤日轮3"),CR267),AND(OR(C267="幽月轮1",C267="幽月轮2",C267="幽月轮3"),CS267)),35%,0)+CJ267</f>
        <v>0.15</v>
      </c>
      <c r="L267" s="119">
        <f ca="1">IF(AND(C267="烈日斩",模拟模式!$X$11=1),10%,0)+IF(AND(C267="驱夜断愁",AB267=1),30%,0)</f>
        <v>0</v>
      </c>
      <c r="M267" s="45">
        <f t="shared" ca="1" si="241"/>
        <v>0.64185145527300214</v>
      </c>
      <c r="N267" s="45">
        <f t="shared" ca="1" si="242"/>
        <v>0.30424854472699792</v>
      </c>
      <c r="O267" s="46">
        <f t="shared" ca="1" si="210"/>
        <v>0.73551048145442788</v>
      </c>
      <c r="P267" s="46" t="str">
        <f t="shared" ca="1" si="211"/>
        <v>命</v>
      </c>
      <c r="Q267" s="45">
        <f t="shared" ca="1" si="212"/>
        <v>1</v>
      </c>
      <c r="R267" s="117">
        <f ca="1">模拟模式!$E$20*(1-IF(模拟模式!$J$19="有",0.15,0))*(1-IF(模拟模式!$K$19="有",0.3,0)-IF(CQ267,0.5,0))</f>
        <v>843.02999999999975</v>
      </c>
      <c r="S267" s="45">
        <f ca="1">R267/(R267+(185*模拟模式!$E$22-16800)*4.08224)</f>
        <v>8.389626085980037E-2</v>
      </c>
      <c r="T267" s="45" t="str">
        <f ca="1">LOOKUP(D267,'模拟-单技能数据'!$A$2:$A$19,'模拟-单技能数据'!$H$2:$H$19)</f>
        <v>阴</v>
      </c>
      <c r="U267" s="119">
        <f t="shared" ca="1" si="243"/>
        <v>0.08</v>
      </c>
      <c r="V267" s="47">
        <f ca="1">(1+L267)*(LOOKUP(D267,'模拟-单技能数据'!$A$2:$A$19,'模拟-单技能数据'!$D$2:$D$19)+G267*LOOKUP(D267,'模拟-单技能数据'!$A$2:$A$19,'模拟-单技能数据'!$F$2:$F$19))*(1+J267)*(1+K267)*(1-S267)*(1+U267)*Q267*LOOKUP(D267,'模拟-单技能数据'!$A$2:$A$19,'模拟-单技能数据'!$I$2:$I$20)</f>
        <v>21110.500523497569</v>
      </c>
      <c r="W267" s="47">
        <f ca="1">LOOKUP(D267,'模拟-单技能数据'!$A$2:$A$19,'模拟-单技能数据'!$G$2:$G$19)*$I$10</f>
        <v>361.51064354704795</v>
      </c>
      <c r="X267" s="47">
        <f t="shared" ca="1" si="213"/>
        <v>24043.249177625272</v>
      </c>
      <c r="Y267" s="47">
        <f t="shared" ca="1" si="244"/>
        <v>45515.260344669892</v>
      </c>
      <c r="Z267" s="49">
        <f t="shared" ca="1" si="245"/>
        <v>25629366.792380005</v>
      </c>
      <c r="AA267" s="97">
        <f t="shared" ca="1" si="246"/>
        <v>115760.46428355851</v>
      </c>
      <c r="AB267" s="115">
        <f ca="1">IF(OR(C267="赤日轮1",C267="赤日轮2",C267="赤日轮3"),IF(RAND()&lt;模拟模式!$Y$17,1,0),IF(OR(C267="幽月轮1",C267="幽月轮2",C267="幽月轮3"),IF(RAND()&lt;模拟模式!$Y$18,1,0),IF(C267="烈日斩",IF(RAND()&lt;模拟模式!$Y$19,1,0),IF(C267="银月斩",IF(RAND()&lt;模拟模式!$Y$20,1,0),IF(C267="驱夜断愁",IF(RAND()&lt;模拟模式!$Y$21,1,0),IF(C267="净世破魔击·日",IF(RAND()&lt;模拟模式!$Y$22,1,0),IF(C267="净世破魔击·月",IF(RAND()&lt;模拟模式!$Y$23,1,0),0)))))))</f>
        <v>1</v>
      </c>
      <c r="AC267" s="115" t="b">
        <f t="shared" ca="1" si="234"/>
        <v>1</v>
      </c>
      <c r="AD267" s="115" t="b">
        <f t="shared" ca="1" si="254"/>
        <v>0</v>
      </c>
      <c r="AE267" s="115">
        <f t="shared" ca="1" si="255"/>
        <v>6</v>
      </c>
      <c r="AF267" s="47">
        <f ca="1">IF(AC267,('模拟-单技能数据'!$D$20+G267*'模拟-单技能数据'!$F$20)*(1+J267)*(1+'模拟-单技能数据'!$J$20)*(1+U267),0)</f>
        <v>4447.8565560098323</v>
      </c>
      <c r="AG267" s="61">
        <f t="shared" ca="1" si="247"/>
        <v>0.64185145527300214</v>
      </c>
      <c r="AH267" s="61">
        <f t="shared" ca="1" si="248"/>
        <v>2.2624828854998791</v>
      </c>
      <c r="AI267" s="62">
        <f t="shared" ca="1" si="214"/>
        <v>0.34596129184985602</v>
      </c>
      <c r="AJ267" s="47">
        <f ca="1">IF(AD267,IF(AI267&lt;$F$10,0,IF(AI267&lt;$F$10+$F$11,0.25,IF(AI267&lt;$F$10+$F$11+AG267,AH267,1)))*IF(AF267&gt;0,AF267,IF(AF266&gt;0,AF266,IF(AF265&gt;0,AF265,IF(AF264&gt;0,AF264,IF(AF263&gt;0,AF263,IF(AF262&gt;0,AF262,IF(AF261&gt;0,AF261,IF(AF260&gt;0,AF260,IF(AF259&gt;0,AF259,IF(AF257&gt;0,AF257,IF(AF256&gt;0,AF256,IF(AF255&gt;0,AF255,0)))))))))))),0)*(1-$S267)*'模拟-单技能数据'!$I$20</f>
        <v>0</v>
      </c>
      <c r="AK267" s="115" t="b">
        <f t="shared" ca="1" si="235"/>
        <v>0</v>
      </c>
      <c r="AL267" s="115" t="b">
        <f t="shared" ca="1" si="256"/>
        <v>1</v>
      </c>
      <c r="AM267" s="115">
        <f t="shared" ca="1" si="257"/>
        <v>4</v>
      </c>
      <c r="AN267" s="47">
        <f ca="1">IF(AK267,('模拟-单技能数据'!$D$21+G267*'模拟-单技能数据'!$F$21)*(1+J267)*(1+'模拟-单技能数据'!$J$21)*(1+U267),0)</f>
        <v>0</v>
      </c>
      <c r="AO267" s="61">
        <f ca="1">IF(AN267&gt;0,M267-'模拟-单技能数据'!$K$10,AO266)</f>
        <v>0.42185145527300216</v>
      </c>
      <c r="AP267" s="61">
        <f ca="1">IF(AN267&gt;0,I267-'模拟-单技能数据'!$L$10,AP266)</f>
        <v>2.162482885499879</v>
      </c>
      <c r="AQ267" s="63">
        <f t="shared" ca="1" si="215"/>
        <v>0.15628133013123968</v>
      </c>
      <c r="AR267" s="64">
        <f ca="1">IF(AL267,IF(AQ267&lt;$F$10,0,IF(AQ267&lt;$F$10+$F$11,0.25,IF(AQ267&lt;$F$10+$F$11+AO267,AP267,1)))*IF(AN267&gt;0,AN267,IF(AN266&gt;0,AN266,IF(AN265&gt;0,AN265,IF(AN264&gt;0,AN264,IF(AN263&gt;0,AN263,IF(AN262&gt;0,AN262,IF(AN261&gt;0,AN261,IF(AN260&gt;0,AN260,IF(AN259&gt;0,AN259,IF(AN257&gt;0,AN257,IF(AN256&gt;0,AN256,IF(AN255&gt;0,AN255,0)))))))))))),0)*(1-$S267)*'模拟-单技能数据'!$I$21</f>
        <v>24043.249177625272</v>
      </c>
      <c r="AS267" s="61">
        <f ca="1">IF(OR(C267="净世破魔击·日",C267="净世破魔击·月"),M267-'模拟-单技能数据'!$K$10,0)</f>
        <v>0</v>
      </c>
      <c r="AT267" s="61">
        <f ca="1">IF(OR(C267="净世破魔击·日",C267="净世破魔击·月"),I267-'模拟-单技能数据'!$L$10,0)</f>
        <v>0</v>
      </c>
      <c r="AU267" s="62">
        <f t="shared" ca="1" si="216"/>
        <v>0.93269534864140702</v>
      </c>
      <c r="AV267" s="64">
        <f ca="1">IF(AS267&gt;0,('模拟-单技能数据'!$D$22+G267*'模拟-单技能数据'!$F$22)*(1+J267)*(1-S267)*IF(AU267&lt;$F$10,0,IF(AU267&lt;$F$10+$F$11,0.25,IF(AU267&lt;$F$10+$F$11+AS267,AT267,1)))*(1+U267),0)*'模拟-单技能数据'!$I$22</f>
        <v>0</v>
      </c>
      <c r="AW267" s="108">
        <f t="shared" ca="1" si="217"/>
        <v>14.465000000000003</v>
      </c>
      <c r="AX267" s="108" t="b">
        <f ca="1">AND(模拟模式!$P$10="有",AW266=0,RAND()&lt;IF(C267="净世破魔击·月",0.1*8/3,IF(C267="净世破魔击·日",0.1*4/3,0.1*2/3)))</f>
        <v>0</v>
      </c>
      <c r="AY267" s="47">
        <f ca="1">IF(AX267,(18+G267*0.722)*(1+J267)*(1-S267)*(1+$I$4)*IF(P267="会",'模拟-全程加成'!$J$3+'模拟-全程加成'!$J$4+'模拟-全程加成'!$J$5+('模拟-全程加成'!$I$4+'模拟-全程加成'!$I$5)/系数!$B$4+BG267*10%,IF(P267="命",1,IF(P267="识",0.25,0))),0)</f>
        <v>0</v>
      </c>
      <c r="AZ267" s="108">
        <f t="shared" si="218"/>
        <v>1.5500000000000065</v>
      </c>
      <c r="BA267" s="108" t="b">
        <f>AND(模拟模式!$Q$10="有",AZ266=0)</f>
        <v>0</v>
      </c>
      <c r="BB267" s="140">
        <f>IF(BA267,(0+G267*0.287)*(1+J267)*(1-S267)*(1+$I$4)*IF(P267="会",'模拟-全程加成'!$J$3+'模拟-全程加成'!$J$4+'模拟-全程加成'!$J$5+('模拟-全程加成'!$I$4+'模拟-全程加成'!$I$5)/系数!$B$4+BG267*10%,IF(P267="命",1,IF(P267="识",0.25,0))),0)</f>
        <v>0</v>
      </c>
      <c r="BC267" s="115" t="b">
        <f ca="1">AND(模拟模式!$R$7="伏明众生",E267=60,F267=20,DA267&lt;5,CZ266&lt;$F$4)</f>
        <v>0</v>
      </c>
      <c r="BD267" s="115">
        <f t="shared" ca="1" si="236"/>
        <v>0</v>
      </c>
      <c r="BE267" s="115" t="b">
        <f t="shared" ca="1" si="237"/>
        <v>0</v>
      </c>
      <c r="BF267" s="47">
        <f ca="1">IF(BC267,4*('模拟-单技能数据'!$D$24+G267*'模拟-单技能数据'!$F$24)*(1+J267)*(1+'模拟-单技能数据'!$J$24)*(1-S267)*(1+$I$3)*(('模拟-全程加成'!$J$3+'模拟-全程加成'!$J$4+'模拟-全程加成'!$J$5+('模拟-全程加成'!$I$4+'模拟-全程加成'!$I$5)/系数!$B$4+BG267*10%)*('模拟-全程加成'!$J$3+'模拟-全程加成'!$J$4+'模拟-全程加成'!$J$5+('模拟-全程加成'!$I$4+'模拟-全程加成'!$I$5)/系数!$B$4+BG267*10%)+(1-('模拟-全程加成'!$J$3+'模拟-全程加成'!$J$4+'模拟-全程加成'!$J$5+('模拟-全程加成'!$I$4+'模拟-全程加成'!$I$5)/系数!$B$4+BG267*10%)-$F$10-$F$11)+F253*0.25),0)*'模拟-单技能数据'!$I$24</f>
        <v>0</v>
      </c>
      <c r="BG267" s="115" t="b">
        <f ca="1">OR(AND(OR(C267="烈日斩",C267="银月斩"),模拟模式!$I$7="净身明礼"),AND(C267="净世破魔击·日",模拟模式!$J$7="洞若观火"),AND(C268="净世破魔击·月",模拟模式!$J$7="洞若观火"),AB267=1)</f>
        <v>1</v>
      </c>
      <c r="BH267" s="115" t="b">
        <f t="shared" ca="1" si="219"/>
        <v>0</v>
      </c>
      <c r="BI267" s="115">
        <f t="shared" ca="1" si="238"/>
        <v>0</v>
      </c>
      <c r="BJ267" s="115" t="b">
        <f t="shared" ca="1" si="249"/>
        <v>0</v>
      </c>
      <c r="BK267" s="115" t="b">
        <f ca="1">AND(C267="驱夜断愁",模拟模式!$P$7="天地诛戮")</f>
        <v>0</v>
      </c>
      <c r="BL267" s="57">
        <f t="shared" ca="1" si="239"/>
        <v>14.465000000000003</v>
      </c>
      <c r="BM267" s="115" t="b">
        <f t="shared" ca="1" si="250"/>
        <v>1</v>
      </c>
      <c r="BN267" s="115" t="b">
        <f ca="1">AND(OR(C267="赤日轮1",C267="赤日轮2",C267="赤日轮3",C267="幽月轮1",C267="幽月轮2",C267="幽月轮3"),AB267=1,模拟模式!$L$7="明光恒照")</f>
        <v>0</v>
      </c>
      <c r="BO267" s="117">
        <f t="shared" ca="1" si="240"/>
        <v>26.310000000000002</v>
      </c>
      <c r="BP267" s="115">
        <f t="shared" ca="1" si="220"/>
        <v>6</v>
      </c>
      <c r="BQ267" s="115" t="b">
        <f>模拟模式!$K$10="2600·水"</f>
        <v>0</v>
      </c>
      <c r="BR267" s="117">
        <f t="shared" si="221"/>
        <v>0</v>
      </c>
      <c r="BS267" s="115">
        <f t="shared" si="222"/>
        <v>0</v>
      </c>
      <c r="BT267" s="115">
        <f t="shared" ca="1" si="223"/>
        <v>0</v>
      </c>
      <c r="BU267" s="115" t="b">
        <f ca="1">AND(模拟模式!$K$10="2300·雷",BT266=0,RAND()&lt;IF(C267="净世破魔击·月",5*0.05*2/3,IF(C267="净世破魔击·日",3*0.05*2/3,0.05*2*2/3)))</f>
        <v>0</v>
      </c>
      <c r="BV267" s="115">
        <f t="shared" ca="1" si="224"/>
        <v>0</v>
      </c>
      <c r="BW267" s="115">
        <f t="shared" ca="1" si="225"/>
        <v>150.47999999999956</v>
      </c>
      <c r="BX267" s="164" t="b">
        <f t="shared" ca="1" si="226"/>
        <v>0</v>
      </c>
      <c r="BY267" s="115">
        <f t="shared" ca="1" si="227"/>
        <v>0</v>
      </c>
      <c r="BZ267" s="115">
        <f>IF(OR(模拟模式!$P$16="10人团",模拟模式!$P$16="25人团"),IF(B267/30&gt;CA266,1,0),0)</f>
        <v>0</v>
      </c>
      <c r="CA267" s="115">
        <f t="shared" si="203"/>
        <v>0</v>
      </c>
      <c r="CB267" s="115">
        <f ca="1">IF(BZ267=1,IF(模拟模式!$P$16="10人团",15,0)+IF(模拟模式!$P$16="25人团",IF(RAND()&lt;0.6,15,0)),MAX(0,CB266-$F$4))</f>
        <v>0</v>
      </c>
      <c r="CC267" s="115" t="b">
        <f t="shared" ca="1" si="251"/>
        <v>0</v>
      </c>
      <c r="CD267" s="115">
        <f>IF(模拟模式!$Q$16="1个",IF(B267/40&gt;CE266,1,0),0)</f>
        <v>0</v>
      </c>
      <c r="CE267" s="115">
        <f t="shared" si="252"/>
        <v>0</v>
      </c>
      <c r="CF267" s="115">
        <f>IF(OR(CD267=1,模拟模式!$Q$16="2个"),20,MAX(0,CF266-$F$4))</f>
        <v>0</v>
      </c>
      <c r="CG267" s="115" t="b">
        <f t="shared" si="253"/>
        <v>0</v>
      </c>
      <c r="CH267" s="115">
        <f t="shared" ca="1" si="228"/>
        <v>9.7050000000000125</v>
      </c>
      <c r="CI267" s="115" t="b">
        <f t="shared" ca="1" si="229"/>
        <v>0</v>
      </c>
      <c r="CJ267" s="119">
        <f t="shared" ca="1" si="230"/>
        <v>0</v>
      </c>
      <c r="CK267" s="115">
        <f t="shared" ca="1" si="231"/>
        <v>0</v>
      </c>
      <c r="CL267" s="115" t="b">
        <f ca="1">AND(模拟模式!$S$7="驱夷逐法",OR(AND(C267="净世破魔击·月",E266&gt;59),AND(C267="净世破魔击·日",F266&gt;59)))</f>
        <v>0</v>
      </c>
      <c r="CM267" s="115" t="b">
        <f ca="1">OR(CL267,AND(C267="净世破魔击·日",CL266,RAND()&lt;模拟模式!$U$23))</f>
        <v>0</v>
      </c>
      <c r="CN267" s="115" t="b">
        <f ca="1">IF(模拟模式!$M$7="辉耀红尘",AND(C267="净世破魔击·月",CL267,CV267=0,E266&lt;80),AND(C267="净世破魔击·月",CL267,E266&lt;100))</f>
        <v>0</v>
      </c>
      <c r="CO267" s="115" t="b">
        <f t="shared" ca="1" si="204"/>
        <v>0</v>
      </c>
      <c r="CP267" s="115" t="b">
        <f ca="1">AND(模拟模式!$O$7="用晦而明",OR(C267="净世破魔击·日",C267="净世破魔击·月",C267="驱夜断愁"),AB267)</f>
        <v>0</v>
      </c>
      <c r="CQ267" s="115" t="b">
        <f ca="1">OR(CP267,AND(CP266,RAND()&lt;模拟模式!$U$23))</f>
        <v>1</v>
      </c>
      <c r="CR267" s="115" t="b">
        <f ca="1">AND(模拟模式!$S$7="日月齐光",OR(C267="幽月轮1",C267="幽月轮2",C267="幽月轮3",CR266),NOT(OR(C267="赤日轮1",C267="赤日轮2",C267="赤日轮3")))</f>
        <v>0</v>
      </c>
      <c r="CS267" s="115" t="b">
        <f ca="1">AND(模拟模式!$S$7="日月齐光",OR(C267="赤日轮1",C267="赤日轮2",C267="赤日轮3",CS266),NOT(OR(C267="幽月轮1",C267="幽月轮2",C267="幽月轮3")))</f>
        <v>0</v>
      </c>
      <c r="CT267" s="115">
        <f t="shared" ca="1" si="232"/>
        <v>16.162500000000009</v>
      </c>
      <c r="CU267" s="115" t="b">
        <f ca="1">AND(模拟模式!$K$10="阴阳往极",CT266=0,RAND()&lt;IF(C267="净世破魔击·月",0.0275*7/3,IF(C267="净世破魔击·日",0.0275*3/3,0.0275*2/3)))</f>
        <v>0</v>
      </c>
      <c r="CV267" s="115">
        <f t="shared" ca="1" si="233"/>
        <v>0</v>
      </c>
      <c r="CW267" s="115">
        <f t="shared" ca="1" si="205"/>
        <v>1.3874999999999997</v>
      </c>
      <c r="CX267" s="115">
        <f t="shared" ca="1" si="206"/>
        <v>6</v>
      </c>
      <c r="CY267" s="115">
        <f ca="1">MAX(IF($C267="驱夜断愁",IF(模拟模式!$R$7="万念俱寂",6,45),CY266-$F$4),0)</f>
        <v>0.46499999999999975</v>
      </c>
      <c r="CZ267" s="115">
        <f t="shared" ca="1" si="207"/>
        <v>0</v>
      </c>
      <c r="DA267" s="115">
        <f ca="1">IF(模拟模式!$N$7="日月同辉",IF(DB266=2,0,MIN(6,IF(AND(OR(C267="赤日轮1",C267="赤日轮2",C267="赤日轮3",C267="幽月轮1",C267="幽月轮2",C267="幽月轮3"),AB267=1),DA266+1,DA266))),0)</f>
        <v>0</v>
      </c>
      <c r="DB267" s="115">
        <f t="shared" ca="1" si="208"/>
        <v>0</v>
      </c>
      <c r="DC267" s="115"/>
      <c r="DD267" s="115"/>
      <c r="DE267" s="115"/>
      <c r="DF267" s="115"/>
      <c r="DG267" s="115"/>
      <c r="DH267" s="115"/>
      <c r="DI267" s="115"/>
      <c r="DJ267" s="115"/>
      <c r="DK267" s="115"/>
      <c r="DL267" s="115"/>
      <c r="DM267" s="115"/>
    </row>
    <row r="268" spans="2:117" x14ac:dyDescent="0.2">
      <c r="B268" s="117">
        <f t="shared" si="209"/>
        <v>222.32250000000133</v>
      </c>
      <c r="C268" s="167" t="str">
        <f t="shared" ca="1" si="202"/>
        <v>驱夜断愁</v>
      </c>
      <c r="D268" s="115">
        <f ca="1">IF(C268="赤日轮1",1,IF(C268="赤日轮2",2,IF(C268="赤日轮3",3,IF(C268="幽月轮1",4,IF(C268="幽月轮2",5,IF(C268="幽月轮3",6,IF(C268="烈日斩",7,IF(C268="银月斩",8,IF(C268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268="净世破魔击·月",17,IF(C268="驱夜断愁",18,0)))))))))))</f>
        <v>18</v>
      </c>
      <c r="E268" s="115">
        <f ca="1">IF(AND(CU268,OR(C268="幽月轮1",C268="幽月轮2",C268="幽月轮3",C268="银月斩",C268="驱夜断愁",C268="净世破魔击·月")),100,MIN(IF(OR(CN268,BE268),0,IF(OR($C268="赤日轮1",$C268="赤日轮2",$C268="赤日轮3"),E267+20+IF(模拟模式!$I$7="日月凌天",4,0)+IF(CR267,20,0),IF($C268="烈日斩",E267+40,IF($C268="驱夜断愁",IF(模拟模式!$R$7="万念俱寂",E267+20,E267+60),IF($C268="净世破魔击·月",IF(OR(DB267&gt;0,CV267&gt;0),100,IF(模拟模式!$M$7="辉耀红尘",E267+20,E267)),IF($C268="净世破魔击·日",E267-100,E267)))))),100))</f>
        <v>40</v>
      </c>
      <c r="F268" s="115">
        <f ca="1">IF(AND(CU268,OR(C268="赤日轮1",C268="赤日轮2",C268="赤日轮3",C268="烈日斩",C268="净世破魔击·日")),100,MIN(IF(CO268,0,IF(OR($C268="幽月轮1",$C268="幽月轮2",$C268="幽月轮3"),F267+20+IF(模拟模式!$I$7="日月凌天",4,0)+IF(CS267,20,0),IF($C268="银月斩",F267+40+IF(模拟模式!$X$12=1,5,0),IF($C268="驱夜断愁",IF(模拟模式!$R$7="万念俱寂",F267+20,F267+60),IF($C268="净世破魔击·月",IF(模拟模式!$M$7="辉耀红尘",F267-80,F267-100),IF(AND(C268="净世破魔击·日",OR(DB267&gt;0,CV267&gt;0)),100,F267)))))),100))</f>
        <v>85</v>
      </c>
      <c r="G268" s="117">
        <f ca="1">('模拟-全程加成'!$E$3+'模拟-全程加成'!$E$4+'模拟-全程加成'!$E$5+('模拟-全程加成'!$C$6-'模拟-全程加成'!$C$3)*系数!$B$9+BS268*23)*(1+'模拟-全程加成'!$F$4+'模拟-全程加成'!$F$5+BJ268*10%+BM268*20%+BP268*4%+CG268*30%)+$F$7*系数!$B$12</f>
        <v>20583.127400000001</v>
      </c>
      <c r="H268" s="45">
        <f ca="1">'模拟-全程加成'!$H$3+'模拟-全程加成'!$H$4+'模拟-全程加成'!$H$5+('模拟-全程加成'!$G$4+'模拟-全程加成'!$G$5+('模拟-全程加成'!$C$6-'模拟-全程加成'!$C$3)*系数!$B$13)/系数!$B$3+LOOKUP(D268,'模拟-单技能数据'!$A$2:$A$19,'模拟-单技能数据'!$K$2:$K$19)+BG268*10%+IF(BV268&gt;0,378,0)</f>
        <v>0.51185145527300213</v>
      </c>
      <c r="I268" s="45">
        <f ca="1">'模拟-全程加成'!$J$3+'模拟-全程加成'!$J$4+'模拟-全程加成'!$J$5+('模拟-全程加成'!$I$4+'模拟-全程加成'!$I$5)/系数!$B$4+LOOKUP(D268,'模拟-单技能数据'!$A$2:$A$19,'模拟-单技能数据'!$L$2:$L$19)+BG268*10%</f>
        <v>2.162482885499879</v>
      </c>
      <c r="J268" s="45">
        <f ca="1">(('模拟-全程加成'!$K$3+'模拟-全程加成'!$K$4+'模拟-全程加成'!$K$5+('模拟-全程加成'!$C$6-'模拟-全程加成'!$C$3)*系数!$B$10+IF(BV268&gt;0,882,0)+IF(BY268&gt;0,1831,0))*(1+'模拟-全程加成'!$L$4+'模拟-全程加成'!$L$5+CC268*20%))/系数!$B$5</f>
        <v>0.69723220422048726</v>
      </c>
      <c r="K268" s="119">
        <f ca="1">LOOKUP(D268,'模拟-单技能数据'!$A$2:$A$19,'模拟-单技能数据'!$J$2:$J$19)+IF(CM268,60%,0)+IF(DB267-DB268&gt;0,30%,0)+IF(OR(AND(OR(C268="赤日轮1",C268="赤日轮2",C268="赤日轮3"),CR268),AND(OR(C268="幽月轮1",C268="幽月轮2",C268="幽月轮3"),CS268)),35%,0)+CJ268</f>
        <v>0.14000000000000001</v>
      </c>
      <c r="L268" s="119">
        <f ca="1">IF(AND(C268="烈日斩",模拟模式!$X$11=1),10%,0)+IF(AND(C268="驱夜断愁",AB268=1),30%,0)</f>
        <v>0.3</v>
      </c>
      <c r="M268" s="45">
        <f t="shared" ca="1" si="241"/>
        <v>0.51185145527300213</v>
      </c>
      <c r="N268" s="45">
        <f t="shared" ca="1" si="242"/>
        <v>0.43424854472699792</v>
      </c>
      <c r="O268" s="46">
        <f t="shared" ca="1" si="210"/>
        <v>0.59810282407649618</v>
      </c>
      <c r="P268" s="46" t="str">
        <f t="shared" ca="1" si="211"/>
        <v>命</v>
      </c>
      <c r="Q268" s="45">
        <f t="shared" ca="1" si="212"/>
        <v>1</v>
      </c>
      <c r="R268" s="117">
        <f ca="1">模拟模式!$E$20*(1-IF(模拟模式!$J$19="有",0.15,0))*(1-IF(模拟模式!$K$19="有",0.3,0)-IF(CQ268,0.5,0))</f>
        <v>843.02999999999975</v>
      </c>
      <c r="S268" s="45">
        <f ca="1">R268/(R268+(185*模拟模式!$E$22-16800)*4.08224)</f>
        <v>8.389626085980037E-2</v>
      </c>
      <c r="T268" s="45" t="str">
        <f ca="1">LOOKUP(D268,'模拟-单技能数据'!$A$2:$A$19,'模拟-单技能数据'!$H$2:$H$19)</f>
        <v>阴</v>
      </c>
      <c r="U268" s="119">
        <f t="shared" ca="1" si="243"/>
        <v>0.08</v>
      </c>
      <c r="V268" s="47">
        <f ca="1">(1+L268)*(LOOKUP(D268,'模拟-单技能数据'!$A$2:$A$19,'模拟-单技能数据'!$D$2:$D$19)+G268*LOOKUP(D268,'模拟-单技能数据'!$A$2:$A$19,'模拟-单技能数据'!$F$2:$F$19))*(1+J268)*(1+K268)*(1-S268)*(1+U268)*Q268*LOOKUP(D268,'模拟-单技能数据'!$A$2:$A$19,'模拟-单技能数据'!$I$2:$I$20)</f>
        <v>58943.088028757353</v>
      </c>
      <c r="W268" s="47">
        <f ca="1">LOOKUP(D268,'模拟-单技能数据'!$A$2:$A$19,'模拟-单技能数据'!$G$2:$G$19)*$I$10</f>
        <v>723.0212870940959</v>
      </c>
      <c r="X268" s="47">
        <f t="shared" ca="1" si="213"/>
        <v>4074.6980221198578</v>
      </c>
      <c r="Y268" s="47">
        <f t="shared" ca="1" si="244"/>
        <v>63740.80733797131</v>
      </c>
      <c r="Z268" s="49">
        <f t="shared" ca="1" si="245"/>
        <v>25693107.599717975</v>
      </c>
      <c r="AA268" s="97">
        <f t="shared" ca="1" si="246"/>
        <v>115566.8346645878</v>
      </c>
      <c r="AB268" s="115">
        <f ca="1">IF(OR(C268="赤日轮1",C268="赤日轮2",C268="赤日轮3"),IF(RAND()&lt;模拟模式!$Y$17,1,0),IF(OR(C268="幽月轮1",C268="幽月轮2",C268="幽月轮3"),IF(RAND()&lt;模拟模式!$Y$18,1,0),IF(C268="烈日斩",IF(RAND()&lt;模拟模式!$Y$19,1,0),IF(C268="银月斩",IF(RAND()&lt;模拟模式!$Y$20,1,0),IF(C268="驱夜断愁",IF(RAND()&lt;模拟模式!$Y$21,1,0),IF(C268="净世破魔击·日",IF(RAND()&lt;模拟模式!$Y$22,1,0),IF(C268="净世破魔击·月",IF(RAND()&lt;模拟模式!$Y$23,1,0),0)))))))</f>
        <v>1</v>
      </c>
      <c r="AC268" s="115" t="b">
        <f t="shared" ca="1" si="234"/>
        <v>0</v>
      </c>
      <c r="AD268" s="115" t="b">
        <f t="shared" ca="1" si="254"/>
        <v>1</v>
      </c>
      <c r="AE268" s="115">
        <f t="shared" ca="1" si="255"/>
        <v>5</v>
      </c>
      <c r="AF268" s="47">
        <f ca="1">IF(AC268,('模拟-单技能数据'!$D$20+G268*'模拟-单技能数据'!$F$20)*(1+J268)*(1+'模拟-单技能数据'!$J$20)*(1+U268),0)</f>
        <v>0</v>
      </c>
      <c r="AG268" s="61">
        <f t="shared" ca="1" si="247"/>
        <v>0.64185145527300214</v>
      </c>
      <c r="AH268" s="61">
        <f t="shared" ca="1" si="248"/>
        <v>2.2624828854998791</v>
      </c>
      <c r="AI268" s="62">
        <f t="shared" ca="1" si="214"/>
        <v>0.83136971282109517</v>
      </c>
      <c r="AJ268" s="47">
        <f ca="1">IF(AD268,IF(AI268&lt;$F$10,0,IF(AI268&lt;$F$10+$F$11,0.25,IF(AI268&lt;$F$10+$F$11+AG268,AH268,1)))*IF(AF268&gt;0,AF268,IF(AF267&gt;0,AF267,IF(AF266&gt;0,AF266,IF(AF265&gt;0,AF265,IF(AF264&gt;0,AF264,IF(AF263&gt;0,AF263,IF(AF262&gt;0,AF262,IF(AF261&gt;0,AF261,IF(AF260&gt;0,AF260,IF(AF258&gt;0,AF258,IF(AF257&gt;0,AF257,IF(AF256&gt;0,AF256,0)))))))))))),0)*(1-$S268)*'模拟-单技能数据'!$I$20</f>
        <v>4074.6980221198578</v>
      </c>
      <c r="AK268" s="115" t="b">
        <f t="shared" ca="1" si="235"/>
        <v>0</v>
      </c>
      <c r="AL268" s="115" t="b">
        <f t="shared" ca="1" si="256"/>
        <v>0</v>
      </c>
      <c r="AM268" s="115">
        <f t="shared" ca="1" si="257"/>
        <v>4</v>
      </c>
      <c r="AN268" s="47">
        <f ca="1">IF(AK268,('模拟-单技能数据'!$D$21+G268*'模拟-单技能数据'!$F$21)*(1+J268)*(1+'模拟-单技能数据'!$J$21)*(1+U268),0)</f>
        <v>0</v>
      </c>
      <c r="AO268" s="61">
        <f ca="1">IF(AN268&gt;0,M268-'模拟-单技能数据'!$K$10,AO267)</f>
        <v>0.42185145527300216</v>
      </c>
      <c r="AP268" s="61">
        <f ca="1">IF(AN268&gt;0,I268-'模拟-单技能数据'!$L$10,AP267)</f>
        <v>2.162482885499879</v>
      </c>
      <c r="AQ268" s="63">
        <f t="shared" ca="1" si="215"/>
        <v>0.74976031654679676</v>
      </c>
      <c r="AR268" s="64">
        <f ca="1">IF(AL268,IF(AQ268&lt;$F$10,0,IF(AQ268&lt;$F$10+$F$11,0.25,IF(AQ268&lt;$F$10+$F$11+AO268,AP268,1)))*IF(AN268&gt;0,AN268,IF(AN267&gt;0,AN267,IF(AN266&gt;0,AN266,IF(AN265&gt;0,AN265,IF(AN264&gt;0,AN264,IF(AN263&gt;0,AN263,IF(AN262&gt;0,AN262,IF(AN261&gt;0,AN261,IF(AN260&gt;0,AN260,IF(AN258&gt;0,AN258,IF(AN257&gt;0,AN257,IF(AN256&gt;0,AN256,0)))))))))))),0)*(1-$S268)*'模拟-单技能数据'!$I$21</f>
        <v>0</v>
      </c>
      <c r="AS268" s="61">
        <f ca="1">IF(OR(C268="净世破魔击·日",C268="净世破魔击·月"),M268-'模拟-单技能数据'!$K$10,0)</f>
        <v>0</v>
      </c>
      <c r="AT268" s="61">
        <f ca="1">IF(OR(C268="净世破魔击·日",C268="净世破魔击·月"),I268-'模拟-单技能数据'!$L$10,0)</f>
        <v>0</v>
      </c>
      <c r="AU268" s="62">
        <f t="shared" ca="1" si="216"/>
        <v>0.61501487810866007</v>
      </c>
      <c r="AV268" s="64">
        <f ca="1">IF(AS268&gt;0,('模拟-单技能数据'!$D$22+G268*'模拟-单技能数据'!$F$22)*(1+J268)*(1-S268)*IF(AU268&lt;$F$10,0,IF(AU268&lt;$F$10+$F$11,0.25,IF(AU268&lt;$F$10+$F$11+AS268,AT268,1)))*(1+U268),0)*'模拟-单技能数据'!$I$22</f>
        <v>0</v>
      </c>
      <c r="AW268" s="108">
        <f t="shared" ca="1" si="217"/>
        <v>13.542500000000004</v>
      </c>
      <c r="AX268" s="108" t="b">
        <f ca="1">AND(模拟模式!$P$10="有",AW267=0,RAND()&lt;IF(C268="净世破魔击·月",0.1*8/3,IF(C268="净世破魔击·日",0.1*4/3,0.1*2/3)))</f>
        <v>0</v>
      </c>
      <c r="AY268" s="47">
        <f ca="1">IF(AX268,(18+G268*0.722)*(1+J268)*(1-S268)*(1+$I$4)*IF(P268="会",'模拟-全程加成'!$J$3+'模拟-全程加成'!$J$4+'模拟-全程加成'!$J$5+('模拟-全程加成'!$I$4+'模拟-全程加成'!$I$5)/系数!$B$4+BG268*10%,IF(P268="命",1,IF(P268="识",0.25,0))),0)</f>
        <v>0</v>
      </c>
      <c r="AZ268" s="108">
        <f t="shared" si="218"/>
        <v>0.6275000000000065</v>
      </c>
      <c r="BA268" s="108" t="b">
        <f>AND(模拟模式!$Q$10="有",AZ267=0)</f>
        <v>0</v>
      </c>
      <c r="BB268" s="140">
        <f>IF(BA268,(0+G268*0.287)*(1+J268)*(1-S268)*(1+$I$4)*IF(P268="会",'模拟-全程加成'!$J$3+'模拟-全程加成'!$J$4+'模拟-全程加成'!$J$5+('模拟-全程加成'!$I$4+'模拟-全程加成'!$I$5)/系数!$B$4+BG268*10%,IF(P268="命",1,IF(P268="识",0.25,0))),0)</f>
        <v>0</v>
      </c>
      <c r="BC268" s="115" t="b">
        <f ca="1">AND(模拟模式!$R$7="伏明众生",E268=60,F268=20,DA268&lt;5,CZ267&lt;$F$4)</f>
        <v>0</v>
      </c>
      <c r="BD268" s="115">
        <f t="shared" ca="1" si="236"/>
        <v>0</v>
      </c>
      <c r="BE268" s="115" t="b">
        <f t="shared" ca="1" si="237"/>
        <v>0</v>
      </c>
      <c r="BF268" s="47">
        <f ca="1">IF(BC268,4*('模拟-单技能数据'!$D$24+G268*'模拟-单技能数据'!$F$24)*(1+J268)*(1+'模拟-单技能数据'!$J$24)*(1-S268)*(1+$I$3)*(('模拟-全程加成'!$J$3+'模拟-全程加成'!$J$4+'模拟-全程加成'!$J$5+('模拟-全程加成'!$I$4+'模拟-全程加成'!$I$5)/系数!$B$4+BG268*10%)*('模拟-全程加成'!$J$3+'模拟-全程加成'!$J$4+'模拟-全程加成'!$J$5+('模拟-全程加成'!$I$4+'模拟-全程加成'!$I$5)/系数!$B$4+BG268*10%)+(1-('模拟-全程加成'!$J$3+'模拟-全程加成'!$J$4+'模拟-全程加成'!$J$5+('模拟-全程加成'!$I$4+'模拟-全程加成'!$I$5)/系数!$B$4+BG268*10%)-$F$10-$F$11)+F254*0.25),0)*'模拟-单技能数据'!$I$24</f>
        <v>0</v>
      </c>
      <c r="BG268" s="115" t="b">
        <f ca="1">OR(AND(OR(C268="烈日斩",C268="银月斩"),模拟模式!$I$7="净身明礼"),AND(C268="净世破魔击·日",模拟模式!$J$7="洞若观火"),AND(C269="净世破魔击·月",模拟模式!$J$7="洞若观火"),AB268=1)</f>
        <v>1</v>
      </c>
      <c r="BH268" s="115" t="b">
        <f t="shared" ca="1" si="219"/>
        <v>0</v>
      </c>
      <c r="BI268" s="115">
        <f t="shared" ca="1" si="238"/>
        <v>0</v>
      </c>
      <c r="BJ268" s="115" t="b">
        <f t="shared" ca="1" si="249"/>
        <v>0</v>
      </c>
      <c r="BK268" s="115" t="b">
        <f ca="1">AND(C268="驱夜断愁",模拟模式!$P$7="天地诛戮")</f>
        <v>1</v>
      </c>
      <c r="BL268" s="57">
        <f t="shared" ca="1" si="239"/>
        <v>20</v>
      </c>
      <c r="BM268" s="115" t="b">
        <f t="shared" ca="1" si="250"/>
        <v>1</v>
      </c>
      <c r="BN268" s="115" t="b">
        <f ca="1">AND(OR(C268="赤日轮1",C268="赤日轮2",C268="赤日轮3",C268="幽月轮1",C268="幽月轮2",C268="幽月轮3"),AB268=1,模拟模式!$L$7="明光恒照")</f>
        <v>0</v>
      </c>
      <c r="BO268" s="117">
        <f t="shared" ca="1" si="240"/>
        <v>25.387500000000003</v>
      </c>
      <c r="BP268" s="115">
        <f t="shared" ca="1" si="220"/>
        <v>6</v>
      </c>
      <c r="BQ268" s="115" t="b">
        <f>模拟模式!$K$10="2600·水"</f>
        <v>0</v>
      </c>
      <c r="BR268" s="117">
        <f t="shared" si="221"/>
        <v>0</v>
      </c>
      <c r="BS268" s="115">
        <f t="shared" si="222"/>
        <v>0</v>
      </c>
      <c r="BT268" s="115">
        <f t="shared" ca="1" si="223"/>
        <v>0</v>
      </c>
      <c r="BU268" s="115" t="b">
        <f ca="1">AND(模拟模式!$K$10="2300·雷",BT267=0,RAND()&lt;IF(C268="净世破魔击·月",5*0.05*2/3,IF(C268="净世破魔击·日",3*0.05*2/3,0.05*2*2/3)))</f>
        <v>0</v>
      </c>
      <c r="BV268" s="115">
        <f t="shared" ca="1" si="224"/>
        <v>0</v>
      </c>
      <c r="BW268" s="115">
        <f t="shared" ca="1" si="225"/>
        <v>149.55749999999955</v>
      </c>
      <c r="BX268" s="164" t="b">
        <f t="shared" ca="1" si="226"/>
        <v>0</v>
      </c>
      <c r="BY268" s="115">
        <f t="shared" ca="1" si="227"/>
        <v>0</v>
      </c>
      <c r="BZ268" s="115">
        <f>IF(OR(模拟模式!$P$16="10人团",模拟模式!$P$16="25人团"),IF(B268/30&gt;CA267,1,0),0)</f>
        <v>0</v>
      </c>
      <c r="CA268" s="115">
        <f t="shared" si="203"/>
        <v>0</v>
      </c>
      <c r="CB268" s="115">
        <f ca="1">IF(BZ268=1,IF(模拟模式!$P$16="10人团",15,0)+IF(模拟模式!$P$16="25人团",IF(RAND()&lt;0.6,15,0)),MAX(0,CB267-$F$4))</f>
        <v>0</v>
      </c>
      <c r="CC268" s="115" t="b">
        <f t="shared" ca="1" si="251"/>
        <v>0</v>
      </c>
      <c r="CD268" s="115">
        <f>IF(模拟模式!$Q$16="1个",IF(B268/40&gt;CE267,1,0),0)</f>
        <v>0</v>
      </c>
      <c r="CE268" s="115">
        <f t="shared" si="252"/>
        <v>0</v>
      </c>
      <c r="CF268" s="115">
        <f>IF(OR(CD268=1,模拟模式!$Q$16="2个"),20,MAX(0,CF267-$F$4))</f>
        <v>0</v>
      </c>
      <c r="CG268" s="115" t="b">
        <f t="shared" si="253"/>
        <v>0</v>
      </c>
      <c r="CH268" s="115">
        <f t="shared" ca="1" si="228"/>
        <v>8.7825000000000131</v>
      </c>
      <c r="CI268" s="115" t="b">
        <f t="shared" ca="1" si="229"/>
        <v>0</v>
      </c>
      <c r="CJ268" s="119">
        <f t="shared" ca="1" si="230"/>
        <v>0</v>
      </c>
      <c r="CK268" s="115">
        <f t="shared" ca="1" si="231"/>
        <v>0</v>
      </c>
      <c r="CL268" s="115" t="b">
        <f ca="1">AND(模拟模式!$S$7="驱夷逐法",OR(AND(C268="净世破魔击·月",E267&gt;59),AND(C268="净世破魔击·日",F267&gt;59)))</f>
        <v>0</v>
      </c>
      <c r="CM268" s="115" t="b">
        <f ca="1">OR(CL268,AND(C268="净世破魔击·日",CL267,RAND()&lt;模拟模式!$U$23))</f>
        <v>0</v>
      </c>
      <c r="CN268" s="115" t="b">
        <f ca="1">IF(模拟模式!$M$7="辉耀红尘",AND(C268="净世破魔击·月",CL268,CV268=0,E267&lt;80),AND(C268="净世破魔击·月",CL268,E267&lt;100))</f>
        <v>0</v>
      </c>
      <c r="CO268" s="115" t="b">
        <f t="shared" ca="1" si="204"/>
        <v>0</v>
      </c>
      <c r="CP268" s="115" t="b">
        <f ca="1">AND(模拟模式!$O$7="用晦而明",OR(C268="净世破魔击·日",C268="净世破魔击·月",C268="驱夜断愁"),AB268)</f>
        <v>1</v>
      </c>
      <c r="CQ268" s="115" t="b">
        <f ca="1">OR(CP268,AND(CP267,RAND()&lt;模拟模式!$U$23))</f>
        <v>1</v>
      </c>
      <c r="CR268" s="115" t="b">
        <f ca="1">AND(模拟模式!$S$7="日月齐光",OR(C268="幽月轮1",C268="幽月轮2",C268="幽月轮3",CR267),NOT(OR(C268="赤日轮1",C268="赤日轮2",C268="赤日轮3")))</f>
        <v>0</v>
      </c>
      <c r="CS268" s="115" t="b">
        <f ca="1">AND(模拟模式!$S$7="日月齐光",OR(C268="赤日轮1",C268="赤日轮2",C268="赤日轮3",CS267),NOT(OR(C268="幽月轮1",C268="幽月轮2",C268="幽月轮3")))</f>
        <v>0</v>
      </c>
      <c r="CT268" s="115">
        <f t="shared" ca="1" si="232"/>
        <v>15.240000000000009</v>
      </c>
      <c r="CU268" s="115" t="b">
        <f ca="1">AND(模拟模式!$K$10="阴阳往极",CT267=0,RAND()&lt;IF(C268="净世破魔击·月",0.0275*7/3,IF(C268="净世破魔击·日",0.0275*3/3,0.0275*2/3)))</f>
        <v>0</v>
      </c>
      <c r="CV268" s="115">
        <f t="shared" ca="1" si="233"/>
        <v>0</v>
      </c>
      <c r="CW268" s="115">
        <f t="shared" ca="1" si="205"/>
        <v>0.46499999999999975</v>
      </c>
      <c r="CX268" s="115">
        <f t="shared" ca="1" si="206"/>
        <v>5.0774999999999997</v>
      </c>
      <c r="CY268" s="115">
        <f ca="1">MAX(IF($C268="驱夜断愁",IF(模拟模式!$R$7="万念俱寂",6,45),CY267-$F$4),0)</f>
        <v>6</v>
      </c>
      <c r="CZ268" s="115">
        <f t="shared" ca="1" si="207"/>
        <v>0</v>
      </c>
      <c r="DA268" s="115">
        <f ca="1">IF(模拟模式!$N$7="日月同辉",IF(DB267=2,0,MIN(6,IF(AND(OR(C268="赤日轮1",C268="赤日轮2",C268="赤日轮3",C268="幽月轮1",C268="幽月轮2",C268="幽月轮3"),AB268=1),DA267+1,DA267))),0)</f>
        <v>0</v>
      </c>
      <c r="DB268" s="115">
        <f t="shared" ca="1" si="208"/>
        <v>0</v>
      </c>
      <c r="DC268" s="115"/>
      <c r="DD268" s="115"/>
      <c r="DE268" s="115"/>
      <c r="DF268" s="115"/>
      <c r="DG268" s="115"/>
      <c r="DH268" s="115"/>
      <c r="DI268" s="115"/>
      <c r="DJ268" s="115"/>
      <c r="DK268" s="115"/>
      <c r="DL268" s="115"/>
      <c r="DM268" s="115"/>
    </row>
    <row r="269" spans="2:117" x14ac:dyDescent="0.2">
      <c r="B269" s="117">
        <f t="shared" si="209"/>
        <v>223.24500000000134</v>
      </c>
      <c r="C269" s="167" t="str">
        <f t="shared" ca="1" si="202"/>
        <v>烈日斩</v>
      </c>
      <c r="D269" s="115">
        <f ca="1">IF(C269="赤日轮1",1,IF(C269="赤日轮2",2,IF(C269="赤日轮3",3,IF(C269="幽月轮1",4,IF(C269="幽月轮2",5,IF(C269="幽月轮3",6,IF(C269="烈日斩",7,IF(C269="银月斩",8,IF(C269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269="净世破魔击·月",17,IF(C269="驱夜断愁",18,0)))))))))))</f>
        <v>7</v>
      </c>
      <c r="E269" s="115">
        <f ca="1">IF(AND(CU269,OR(C269="幽月轮1",C269="幽月轮2",C269="幽月轮3",C269="银月斩",C269="驱夜断愁",C269="净世破魔击·月")),100,MIN(IF(OR(CN269,BE269),0,IF(OR($C269="赤日轮1",$C269="赤日轮2",$C269="赤日轮3"),E268+20+IF(模拟模式!$I$7="日月凌天",4,0)+IF(CR268,20,0),IF($C269="烈日斩",E268+40,IF($C269="驱夜断愁",IF(模拟模式!$R$7="万念俱寂",E268+20,E268+60),IF($C269="净世破魔击·月",IF(OR(DB268&gt;0,CV268&gt;0),100,IF(模拟模式!$M$7="辉耀红尘",E268+20,E268)),IF($C269="净世破魔击·日",E268-100,E268)))))),100))</f>
        <v>80</v>
      </c>
      <c r="F269" s="115">
        <f ca="1">IF(AND(CU269,OR(C269="赤日轮1",C269="赤日轮2",C269="赤日轮3",C269="烈日斩",C269="净世破魔击·日")),100,MIN(IF(CO269,0,IF(OR($C269="幽月轮1",$C269="幽月轮2",$C269="幽月轮3"),F268+20+IF(模拟模式!$I$7="日月凌天",4,0)+IF(CS268,20,0),IF($C269="银月斩",F268+40+IF(模拟模式!$X$12=1,5,0),IF($C269="驱夜断愁",IF(模拟模式!$R$7="万念俱寂",F268+20,F268+60),IF($C269="净世破魔击·月",IF(模拟模式!$M$7="辉耀红尘",F268-80,F268-100),IF(AND(C269="净世破魔击·日",OR(DB268&gt;0,CV268&gt;0)),100,F268)))))),100))</f>
        <v>85</v>
      </c>
      <c r="G269" s="117">
        <f ca="1">('模拟-全程加成'!$E$3+'模拟-全程加成'!$E$4+'模拟-全程加成'!$E$5+('模拟-全程加成'!$C$6-'模拟-全程加成'!$C$3)*系数!$B$9+BS269*23)*(1+'模拟-全程加成'!$F$4+'模拟-全程加成'!$F$5+BJ269*10%+BM269*20%+BP269*4%+CG269*30%)+$F$7*系数!$B$12</f>
        <v>21493.829400000002</v>
      </c>
      <c r="H269" s="45">
        <f ca="1">'模拟-全程加成'!$H$3+'模拟-全程加成'!$H$4+'模拟-全程加成'!$H$5+('模拟-全程加成'!$G$4+'模拟-全程加成'!$G$5+('模拟-全程加成'!$C$6-'模拟-全程加成'!$C$3)*系数!$B$13)/系数!$B$3+LOOKUP(D269,'模拟-单技能数据'!$A$2:$A$19,'模拟-单技能数据'!$K$2:$K$19)+BG269*10%+IF(BV269&gt;0,378,0)</f>
        <v>0.56185145527300218</v>
      </c>
      <c r="I269" s="45">
        <f ca="1">'模拟-全程加成'!$J$3+'模拟-全程加成'!$J$4+'模拟-全程加成'!$J$5+('模拟-全程加成'!$I$4+'模拟-全程加成'!$I$5)/系数!$B$4+LOOKUP(D269,'模拟-单技能数据'!$A$2:$A$19,'模拟-单技能数据'!$L$2:$L$19)+BG269*10%</f>
        <v>2.2624828854998791</v>
      </c>
      <c r="J269" s="45">
        <f ca="1">(('模拟-全程加成'!$K$3+'模拟-全程加成'!$K$4+'模拟-全程加成'!$K$5+('模拟-全程加成'!$C$6-'模拟-全程加成'!$C$3)*系数!$B$10+IF(BV269&gt;0,882,0)+IF(BY269&gt;0,1831,0))*(1+'模拟-全程加成'!$L$4+'模拟-全程加成'!$L$5+CC269*20%))/系数!$B$5</f>
        <v>0.69723220422048726</v>
      </c>
      <c r="K269" s="119">
        <f ca="1">LOOKUP(D269,'模拟-单技能数据'!$A$2:$A$19,'模拟-单技能数据'!$J$2:$J$19)+IF(CM269,60%,0)+IF(DB268-DB269&gt;0,30%,0)+IF(OR(AND(OR(C269="赤日轮1",C269="赤日轮2",C269="赤日轮3"),CR269),AND(OR(C269="幽月轮1",C269="幽月轮2",C269="幽月轮3"),CS269)),35%,0)+CJ269</f>
        <v>0.24</v>
      </c>
      <c r="L269" s="119">
        <f ca="1">IF(AND(C269="烈日斩",模拟模式!$X$11=1),10%,0)+IF(AND(C269="驱夜断愁",AB269=1),30%,0)</f>
        <v>0.1</v>
      </c>
      <c r="M269" s="45">
        <f t="shared" ca="1" si="241"/>
        <v>0.56185145527300218</v>
      </c>
      <c r="N269" s="45">
        <f t="shared" ca="1" si="242"/>
        <v>0.38424854472699788</v>
      </c>
      <c r="O269" s="46">
        <f t="shared" ca="1" si="210"/>
        <v>0.24905812152272655</v>
      </c>
      <c r="P269" s="46" t="str">
        <f t="shared" ca="1" si="211"/>
        <v>会</v>
      </c>
      <c r="Q269" s="45">
        <f t="shared" ca="1" si="212"/>
        <v>2.2624828854998791</v>
      </c>
      <c r="R269" s="117">
        <f ca="1">模拟模式!$E$20*(1-IF(模拟模式!$J$19="有",0.15,0))*(1-IF(模拟模式!$K$19="有",0.3,0)-IF(CQ269,0.5,0))</f>
        <v>843.02999999999975</v>
      </c>
      <c r="S269" s="45">
        <f ca="1">R269/(R269+(185*模拟模式!$E$22-16800)*4.08224)</f>
        <v>8.389626085980037E-2</v>
      </c>
      <c r="T269" s="45" t="str">
        <f ca="1">LOOKUP(D269,'模拟-单技能数据'!$A$2:$A$19,'模拟-单技能数据'!$H$2:$H$19)</f>
        <v>阳</v>
      </c>
      <c r="U269" s="119">
        <f t="shared" ca="1" si="243"/>
        <v>0.2</v>
      </c>
      <c r="V269" s="47">
        <f ca="1">(1+L269)*(LOOKUP(D269,'模拟-单技能数据'!$A$2:$A$19,'模拟-单技能数据'!$D$2:$D$19)+G269*LOOKUP(D269,'模拟-单技能数据'!$A$2:$A$19,'模拟-单技能数据'!$F$2:$F$19))*(1+J269)*(1+K269)*(1-S269)*(1+U269)*Q269*LOOKUP(D269,'模拟-单技能数据'!$A$2:$A$19,'模拟-单技能数据'!$I$2:$I$20)</f>
        <v>110503.35617153208</v>
      </c>
      <c r="W269" s="47">
        <f ca="1">LOOKUP(D269,'模拟-单技能数据'!$A$2:$A$19,'模拟-单技能数据'!$G$2:$G$19)*$I$10</f>
        <v>361.51064354704795</v>
      </c>
      <c r="X269" s="47">
        <f t="shared" ca="1" si="213"/>
        <v>11118.353508757338</v>
      </c>
      <c r="Y269" s="47">
        <f t="shared" ca="1" si="244"/>
        <v>121983.22032383647</v>
      </c>
      <c r="Z269" s="49">
        <f t="shared" ca="1" si="245"/>
        <v>25815090.820041813</v>
      </c>
      <c r="AA269" s="97">
        <f t="shared" ca="1" si="246"/>
        <v>115635.6954020993</v>
      </c>
      <c r="AB269" s="115">
        <f ca="1">IF(OR(C269="赤日轮1",C269="赤日轮2",C269="赤日轮3"),IF(RAND()&lt;模拟模式!$Y$17,1,0),IF(OR(C269="幽月轮1",C269="幽月轮2",C269="幽月轮3"),IF(RAND()&lt;模拟模式!$Y$18,1,0),IF(C269="烈日斩",IF(RAND()&lt;模拟模式!$Y$19,1,0),IF(C269="银月斩",IF(RAND()&lt;模拟模式!$Y$20,1,0),IF(C269="驱夜断愁",IF(RAND()&lt;模拟模式!$Y$21,1,0),IF(C269="净世破魔击·日",IF(RAND()&lt;模拟模式!$Y$22,1,0),IF(C269="净世破魔击·月",IF(RAND()&lt;模拟模式!$Y$23,1,0),0)))))))</f>
        <v>1</v>
      </c>
      <c r="AC269" s="115" t="b">
        <f t="shared" ca="1" si="234"/>
        <v>0</v>
      </c>
      <c r="AD269" s="115" t="b">
        <f t="shared" ca="1" si="254"/>
        <v>0</v>
      </c>
      <c r="AE269" s="115">
        <f t="shared" ca="1" si="255"/>
        <v>5</v>
      </c>
      <c r="AF269" s="47">
        <f ca="1">IF(AC269,('模拟-单技能数据'!$D$20+G269*'模拟-单技能数据'!$F$20)*(1+J269)*(1+'模拟-单技能数据'!$J$20)*(1+U269),0)</f>
        <v>0</v>
      </c>
      <c r="AG269" s="61">
        <f t="shared" ca="1" si="247"/>
        <v>0.64185145527300214</v>
      </c>
      <c r="AH269" s="61">
        <f t="shared" ca="1" si="248"/>
        <v>2.2624828854998791</v>
      </c>
      <c r="AI269" s="62">
        <f t="shared" ca="1" si="214"/>
        <v>0.89899397352216159</v>
      </c>
      <c r="AJ269" s="47">
        <f ca="1">IF(AD269,IF(AI269&lt;$F$10,0,IF(AI269&lt;$F$10+$F$11,0.25,IF(AI269&lt;$F$10+$F$11+AG269,AH269,1)))*IF(AF269&gt;0,AF269,IF(AF268&gt;0,AF268,IF(AF267&gt;0,AF267,IF(AF266&gt;0,AF266,IF(AF265&gt;0,AF265,IF(AF264&gt;0,AF264,IF(AF263&gt;0,AF263,IF(AF262&gt;0,AF262,IF(AF261&gt;0,AF261,IF(AF259&gt;0,AF259,IF(AF258&gt;0,AF258,IF(AF257&gt;0,AF257,0)))))))))))),0)*(1-$S269)*'模拟-单技能数据'!$I$20</f>
        <v>0</v>
      </c>
      <c r="AK269" s="115" t="b">
        <f t="shared" ca="1" si="235"/>
        <v>0</v>
      </c>
      <c r="AL269" s="115" t="b">
        <f t="shared" ca="1" si="256"/>
        <v>1</v>
      </c>
      <c r="AM269" s="115">
        <f t="shared" ca="1" si="257"/>
        <v>3</v>
      </c>
      <c r="AN269" s="47">
        <f ca="1">IF(AK269,('模拟-单技能数据'!$D$21+G269*'模拟-单技能数据'!$F$21)*(1+J269)*(1+'模拟-单技能数据'!$J$21)*(1+U269),0)</f>
        <v>0</v>
      </c>
      <c r="AO269" s="61">
        <f ca="1">IF(AN269&gt;0,M269-'模拟-单技能数据'!$K$10,AO268)</f>
        <v>0.42185145527300216</v>
      </c>
      <c r="AP269" s="61">
        <f ca="1">IF(AN269&gt;0,I269-'模拟-单技能数据'!$L$10,AP268)</f>
        <v>2.162482885499879</v>
      </c>
      <c r="AQ269" s="63">
        <f t="shared" ca="1" si="215"/>
        <v>0.5153209237321178</v>
      </c>
      <c r="AR269" s="64">
        <f ca="1">IF(AL269,IF(AQ269&lt;$F$10,0,IF(AQ269&lt;$F$10+$F$11,0.25,IF(AQ269&lt;$F$10+$F$11+AO269,AP269,1)))*IF(AN269&gt;0,AN269,IF(AN268&gt;0,AN268,IF(AN267&gt;0,AN267,IF(AN266&gt;0,AN266,IF(AN265&gt;0,AN265,IF(AN264&gt;0,AN264,IF(AN263&gt;0,AN263,IF(AN262&gt;0,AN262,IF(AN261&gt;0,AN261,IF(AN259&gt;0,AN259,IF(AN258&gt;0,AN258,IF(AN257&gt;0,AN257,0)))))))))))),0)*(1-$S269)*'模拟-单技能数据'!$I$21</f>
        <v>11118.353508757338</v>
      </c>
      <c r="AS269" s="61">
        <f ca="1">IF(OR(C269="净世破魔击·日",C269="净世破魔击·月"),M269-'模拟-单技能数据'!$K$10,0)</f>
        <v>0</v>
      </c>
      <c r="AT269" s="61">
        <f ca="1">IF(OR(C269="净世破魔击·日",C269="净世破魔击·月"),I269-'模拟-单技能数据'!$L$10,0)</f>
        <v>0</v>
      </c>
      <c r="AU269" s="62">
        <f t="shared" ca="1" si="216"/>
        <v>0.56986064295526551</v>
      </c>
      <c r="AV269" s="64">
        <f ca="1">IF(AS269&gt;0,('模拟-单技能数据'!$D$22+G269*'模拟-单技能数据'!$F$22)*(1+J269)*(1-S269)*IF(AU269&lt;$F$10,0,IF(AU269&lt;$F$10+$F$11,0.25,IF(AU269&lt;$F$10+$F$11+AS269,AT269,1)))*(1+U269),0)*'模拟-单技能数据'!$I$22</f>
        <v>0</v>
      </c>
      <c r="AW269" s="108">
        <f t="shared" ca="1" si="217"/>
        <v>12.620000000000005</v>
      </c>
      <c r="AX269" s="108" t="b">
        <f ca="1">AND(模拟模式!$P$10="有",AW268=0,RAND()&lt;IF(C269="净世破魔击·月",0.1*8/3,IF(C269="净世破魔击·日",0.1*4/3,0.1*2/3)))</f>
        <v>0</v>
      </c>
      <c r="AY269" s="47">
        <f ca="1">IF(AX269,(18+G269*0.722)*(1+J269)*(1-S269)*(1+$I$4)*IF(P269="会",'模拟-全程加成'!$J$3+'模拟-全程加成'!$J$4+'模拟-全程加成'!$J$5+('模拟-全程加成'!$I$4+'模拟-全程加成'!$I$5)/系数!$B$4+BG269*10%,IF(P269="命",1,IF(P269="识",0.25,0))),0)</f>
        <v>0</v>
      </c>
      <c r="AZ269" s="108">
        <f t="shared" si="218"/>
        <v>0</v>
      </c>
      <c r="BA269" s="108" t="b">
        <f>AND(模拟模式!$Q$10="有",AZ268=0)</f>
        <v>0</v>
      </c>
      <c r="BB269" s="140">
        <f>IF(BA269,(0+G269*0.287)*(1+J269)*(1-S269)*(1+$I$4)*IF(P269="会",'模拟-全程加成'!$J$3+'模拟-全程加成'!$J$4+'模拟-全程加成'!$J$5+('模拟-全程加成'!$I$4+'模拟-全程加成'!$I$5)/系数!$B$4+BG269*10%,IF(P269="命",1,IF(P269="识",0.25,0))),0)</f>
        <v>0</v>
      </c>
      <c r="BC269" s="115" t="b">
        <f ca="1">AND(模拟模式!$R$7="伏明众生",E269=60,F269=20,DA269&lt;5,CZ268&lt;$F$4)</f>
        <v>0</v>
      </c>
      <c r="BD269" s="115">
        <f t="shared" ca="1" si="236"/>
        <v>0</v>
      </c>
      <c r="BE269" s="115" t="b">
        <f t="shared" ca="1" si="237"/>
        <v>0</v>
      </c>
      <c r="BF269" s="47">
        <f ca="1">IF(BC269,4*('模拟-单技能数据'!$D$24+G269*'模拟-单技能数据'!$F$24)*(1+J269)*(1+'模拟-单技能数据'!$J$24)*(1-S269)*(1+$I$3)*(('模拟-全程加成'!$J$3+'模拟-全程加成'!$J$4+'模拟-全程加成'!$J$5+('模拟-全程加成'!$I$4+'模拟-全程加成'!$I$5)/系数!$B$4+BG269*10%)*('模拟-全程加成'!$J$3+'模拟-全程加成'!$J$4+'模拟-全程加成'!$J$5+('模拟-全程加成'!$I$4+'模拟-全程加成'!$I$5)/系数!$B$4+BG269*10%)+(1-('模拟-全程加成'!$J$3+'模拟-全程加成'!$J$4+'模拟-全程加成'!$J$5+('模拟-全程加成'!$I$4+'模拟-全程加成'!$I$5)/系数!$B$4+BG269*10%)-$F$10-$F$11)+F255*0.25),0)*'模拟-单技能数据'!$I$24</f>
        <v>0</v>
      </c>
      <c r="BG269" s="115" t="b">
        <f ca="1">OR(AND(OR(C269="烈日斩",C269="银月斩"),模拟模式!$I$7="净身明礼"),AND(C269="净世破魔击·日",模拟模式!$J$7="洞若观火"),AND(C270="净世破魔击·月",模拟模式!$J$7="洞若观火"),AB269=1)</f>
        <v>1</v>
      </c>
      <c r="BH269" s="115" t="b">
        <f t="shared" ca="1" si="219"/>
        <v>1</v>
      </c>
      <c r="BI269" s="115">
        <f t="shared" ca="1" si="238"/>
        <v>6</v>
      </c>
      <c r="BJ269" s="115" t="b">
        <f t="shared" ca="1" si="249"/>
        <v>1</v>
      </c>
      <c r="BK269" s="115" t="b">
        <f ca="1">AND(C269="驱夜断愁",模拟模式!$P$7="天地诛戮")</f>
        <v>0</v>
      </c>
      <c r="BL269" s="57">
        <f t="shared" ca="1" si="239"/>
        <v>19.077500000000001</v>
      </c>
      <c r="BM269" s="115" t="b">
        <f t="shared" ca="1" si="250"/>
        <v>1</v>
      </c>
      <c r="BN269" s="115" t="b">
        <f ca="1">AND(OR(C269="赤日轮1",C269="赤日轮2",C269="赤日轮3",C269="幽月轮1",C269="幽月轮2",C269="幽月轮3"),AB269=1,模拟模式!$L$7="明光恒照")</f>
        <v>0</v>
      </c>
      <c r="BO269" s="117">
        <f t="shared" ca="1" si="240"/>
        <v>24.465000000000003</v>
      </c>
      <c r="BP269" s="115">
        <f t="shared" ca="1" si="220"/>
        <v>6</v>
      </c>
      <c r="BQ269" s="115" t="b">
        <f>模拟模式!$K$10="2600·水"</f>
        <v>0</v>
      </c>
      <c r="BR269" s="117">
        <f t="shared" si="221"/>
        <v>0</v>
      </c>
      <c r="BS269" s="115">
        <f t="shared" si="222"/>
        <v>0</v>
      </c>
      <c r="BT269" s="115">
        <f t="shared" ca="1" si="223"/>
        <v>0</v>
      </c>
      <c r="BU269" s="115" t="b">
        <f ca="1">AND(模拟模式!$K$10="2300·雷",BT268=0,RAND()&lt;IF(C269="净世破魔击·月",5*0.05*2/3,IF(C269="净世破魔击·日",3*0.05*2/3,0.05*2*2/3)))</f>
        <v>0</v>
      </c>
      <c r="BV269" s="115">
        <f t="shared" ca="1" si="224"/>
        <v>0</v>
      </c>
      <c r="BW269" s="115">
        <f t="shared" ca="1" si="225"/>
        <v>148.63499999999954</v>
      </c>
      <c r="BX269" s="164" t="b">
        <f t="shared" ca="1" si="226"/>
        <v>0</v>
      </c>
      <c r="BY269" s="115">
        <f t="shared" ca="1" si="227"/>
        <v>0</v>
      </c>
      <c r="BZ269" s="115">
        <f>IF(OR(模拟模式!$P$16="10人团",模拟模式!$P$16="25人团"),IF(B269/30&gt;CA268,1,0),0)</f>
        <v>0</v>
      </c>
      <c r="CA269" s="115">
        <f t="shared" si="203"/>
        <v>0</v>
      </c>
      <c r="CB269" s="115">
        <f ca="1">IF(BZ269=1,IF(模拟模式!$P$16="10人团",15,0)+IF(模拟模式!$P$16="25人团",IF(RAND()&lt;0.6,15,0)),MAX(0,CB268-$F$4))</f>
        <v>0</v>
      </c>
      <c r="CC269" s="115" t="b">
        <f t="shared" ca="1" si="251"/>
        <v>0</v>
      </c>
      <c r="CD269" s="115">
        <f>IF(模拟模式!$Q$16="1个",IF(B269/40&gt;CE268,1,0),0)</f>
        <v>0</v>
      </c>
      <c r="CE269" s="115">
        <f t="shared" si="252"/>
        <v>0</v>
      </c>
      <c r="CF269" s="115">
        <f>IF(OR(CD269=1,模拟模式!$Q$16="2个"),20,MAX(0,CF268-$F$4))</f>
        <v>0</v>
      </c>
      <c r="CG269" s="115" t="b">
        <f t="shared" si="253"/>
        <v>0</v>
      </c>
      <c r="CH269" s="115">
        <f t="shared" ca="1" si="228"/>
        <v>7.8600000000000128</v>
      </c>
      <c r="CI269" s="115" t="b">
        <f t="shared" ca="1" si="229"/>
        <v>0</v>
      </c>
      <c r="CJ269" s="119">
        <f t="shared" ca="1" si="230"/>
        <v>0</v>
      </c>
      <c r="CK269" s="115">
        <f t="shared" ca="1" si="231"/>
        <v>0</v>
      </c>
      <c r="CL269" s="115" t="b">
        <f ca="1">AND(模拟模式!$S$7="驱夷逐法",OR(AND(C269="净世破魔击·月",E268&gt;59),AND(C269="净世破魔击·日",F268&gt;59)))</f>
        <v>0</v>
      </c>
      <c r="CM269" s="115" t="b">
        <f ca="1">OR(CL269,AND(C269="净世破魔击·日",CL268,RAND()&lt;模拟模式!$U$23))</f>
        <v>0</v>
      </c>
      <c r="CN269" s="115" t="b">
        <f ca="1">IF(模拟模式!$M$7="辉耀红尘",AND(C269="净世破魔击·月",CL269,CV269=0,E268&lt;80),AND(C269="净世破魔击·月",CL269,E268&lt;100))</f>
        <v>0</v>
      </c>
      <c r="CO269" s="115" t="b">
        <f t="shared" ca="1" si="204"/>
        <v>0</v>
      </c>
      <c r="CP269" s="115" t="b">
        <f ca="1">AND(模拟模式!$O$7="用晦而明",OR(C269="净世破魔击·日",C269="净世破魔击·月",C269="驱夜断愁"),AB269)</f>
        <v>0</v>
      </c>
      <c r="CQ269" s="115" t="b">
        <f ca="1">OR(CP269,AND(CP268,RAND()&lt;模拟模式!$U$23))</f>
        <v>1</v>
      </c>
      <c r="CR269" s="115" t="b">
        <f ca="1">AND(模拟模式!$S$7="日月齐光",OR(C269="幽月轮1",C269="幽月轮2",C269="幽月轮3",CR268),NOT(OR(C269="赤日轮1",C269="赤日轮2",C269="赤日轮3")))</f>
        <v>0</v>
      </c>
      <c r="CS269" s="115" t="b">
        <f ca="1">AND(模拟模式!$S$7="日月齐光",OR(C269="赤日轮1",C269="赤日轮2",C269="赤日轮3",CS268),NOT(OR(C269="幽月轮1",C269="幽月轮2",C269="幽月轮3")))</f>
        <v>0</v>
      </c>
      <c r="CT269" s="115">
        <f t="shared" ca="1" si="232"/>
        <v>14.31750000000001</v>
      </c>
      <c r="CU269" s="115" t="b">
        <f ca="1">AND(模拟模式!$K$10="阴阳往极",CT268=0,RAND()&lt;IF(C269="净世破魔击·月",0.0275*7/3,IF(C269="净世破魔击·日",0.0275*3/3,0.0275*2/3)))</f>
        <v>0</v>
      </c>
      <c r="CV269" s="115">
        <f t="shared" ca="1" si="233"/>
        <v>0</v>
      </c>
      <c r="CW269" s="115">
        <f t="shared" ca="1" si="205"/>
        <v>6</v>
      </c>
      <c r="CX269" s="115">
        <f t="shared" ca="1" si="206"/>
        <v>4.1549999999999994</v>
      </c>
      <c r="CY269" s="115">
        <f ca="1">MAX(IF($C269="驱夜断愁",IF(模拟模式!$R$7="万念俱寂",6,45),CY268-$F$4),0)</f>
        <v>5.0774999999999997</v>
      </c>
      <c r="CZ269" s="115">
        <f t="shared" ca="1" si="207"/>
        <v>0</v>
      </c>
      <c r="DA269" s="115">
        <f ca="1">IF(模拟模式!$N$7="日月同辉",IF(DB268=2,0,MIN(6,IF(AND(OR(C269="赤日轮1",C269="赤日轮2",C269="赤日轮3",C269="幽月轮1",C269="幽月轮2",C269="幽月轮3"),AB269=1),DA268+1,DA268))),0)</f>
        <v>0</v>
      </c>
      <c r="DB269" s="115">
        <f t="shared" ca="1" si="208"/>
        <v>0</v>
      </c>
      <c r="DC269" s="115"/>
      <c r="DD269" s="115"/>
      <c r="DE269" s="115"/>
      <c r="DF269" s="115"/>
      <c r="DG269" s="115"/>
      <c r="DH269" s="115"/>
      <c r="DI269" s="115"/>
      <c r="DJ269" s="115"/>
      <c r="DK269" s="115"/>
      <c r="DL269" s="115"/>
      <c r="DM269" s="115"/>
    </row>
    <row r="270" spans="2:117" x14ac:dyDescent="0.2">
      <c r="B270" s="117">
        <f t="shared" si="209"/>
        <v>224.16750000000135</v>
      </c>
      <c r="C270" s="167" t="str">
        <f t="shared" ca="1" si="202"/>
        <v>幽月轮1</v>
      </c>
      <c r="D270" s="115">
        <f ca="1">IF(C270="赤日轮1",1,IF(C270="赤日轮2",2,IF(C270="赤日轮3",3,IF(C270="幽月轮1",4,IF(C270="幽月轮2",5,IF(C270="幽月轮3",6,IF(C270="烈日斩",7,IF(C270="银月斩",8,IF(C270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270="净世破魔击·月",17,IF(C270="驱夜断愁",18,0)))))))))))</f>
        <v>4</v>
      </c>
      <c r="E270" s="115">
        <f ca="1">IF(AND(CU270,OR(C270="幽月轮1",C270="幽月轮2",C270="幽月轮3",C270="银月斩",C270="驱夜断愁",C270="净世破魔击·月")),100,MIN(IF(OR(CN270,BE270),0,IF(OR($C270="赤日轮1",$C270="赤日轮2",$C270="赤日轮3"),E269+20+IF(模拟模式!$I$7="日月凌天",4,0)+IF(CR269,20,0),IF($C270="烈日斩",E269+40,IF($C270="驱夜断愁",IF(模拟模式!$R$7="万念俱寂",E269+20,E269+60),IF($C270="净世破魔击·月",IF(OR(DB269&gt;0,CV269&gt;0),100,IF(模拟模式!$M$7="辉耀红尘",E269+20,E269)),IF($C270="净世破魔击·日",E269-100,E269)))))),100))</f>
        <v>80</v>
      </c>
      <c r="F270" s="115">
        <f ca="1">IF(AND(CU270,OR(C270="赤日轮1",C270="赤日轮2",C270="赤日轮3",C270="烈日斩",C270="净世破魔击·日")),100,MIN(IF(CO270,0,IF(OR($C270="幽月轮1",$C270="幽月轮2",$C270="幽月轮3"),F269+20+IF(模拟模式!$I$7="日月凌天",4,0)+IF(CS269,20,0),IF($C270="银月斩",F269+40+IF(模拟模式!$X$12=1,5,0),IF($C270="驱夜断愁",IF(模拟模式!$R$7="万念俱寂",F269+20,F269+60),IF($C270="净世破魔击·月",IF(模拟模式!$M$7="辉耀红尘",F269-80,F269-100),IF(AND(C270="净世破魔击·日",OR(DB269&gt;0,CV269&gt;0)),100,F269)))))),100))</f>
        <v>100</v>
      </c>
      <c r="G270" s="117">
        <f ca="1">('模拟-全程加成'!$E$3+'模拟-全程加成'!$E$4+'模拟-全程加成'!$E$5+('模拟-全程加成'!$C$6-'模拟-全程加成'!$C$3)*系数!$B$9+BS270*23)*(1+'模拟-全程加成'!$F$4+'模拟-全程加成'!$F$5+BJ270*10%+BM270*20%+BP270*4%+CG270*30%)+$F$7*系数!$B$12</f>
        <v>21493.829400000002</v>
      </c>
      <c r="H270" s="45">
        <f ca="1">'模拟-全程加成'!$H$3+'模拟-全程加成'!$H$4+'模拟-全程加成'!$H$5+('模拟-全程加成'!$G$4+'模拟-全程加成'!$G$5+('模拟-全程加成'!$C$6-'模拟-全程加成'!$C$3)*系数!$B$13)/系数!$B$3+LOOKUP(D270,'模拟-单技能数据'!$A$2:$A$19,'模拟-单技能数据'!$K$2:$K$19)+BG270*10%+IF(BV270&gt;0,378,0)</f>
        <v>0.51185145527300213</v>
      </c>
      <c r="I270" s="45">
        <f ca="1">'模拟-全程加成'!$J$3+'模拟-全程加成'!$J$4+'模拟-全程加成'!$J$5+('模拟-全程加成'!$I$4+'模拟-全程加成'!$I$5)/系数!$B$4+LOOKUP(D270,'模拟-单技能数据'!$A$2:$A$19,'模拟-单技能数据'!$L$2:$L$19)+BG270*10%</f>
        <v>2.162482885499879</v>
      </c>
      <c r="J270" s="45">
        <f ca="1">(('模拟-全程加成'!$K$3+'模拟-全程加成'!$K$4+'模拟-全程加成'!$K$5+('模拟-全程加成'!$C$6-'模拟-全程加成'!$C$3)*系数!$B$10+IF(BV270&gt;0,882,0)+IF(BY270&gt;0,1831,0))*(1+'模拟-全程加成'!$L$4+'模拟-全程加成'!$L$5+CC270*20%))/系数!$B$5</f>
        <v>0.69723220422048726</v>
      </c>
      <c r="K270" s="119">
        <f ca="1">LOOKUP(D270,'模拟-单技能数据'!$A$2:$A$19,'模拟-单技能数据'!$J$2:$J$19)+IF(CM270,60%,0)+IF(DB269-DB270&gt;0,30%,0)+IF(OR(AND(OR(C270="赤日轮1",C270="赤日轮2",C270="赤日轮3"),CR270),AND(OR(C270="幽月轮1",C270="幽月轮2",C270="幽月轮3"),CS270)),35%,0)+CJ270</f>
        <v>7.0000000000000007E-2</v>
      </c>
      <c r="L270" s="119">
        <f ca="1">IF(AND(C270="烈日斩",模拟模式!$X$11=1),10%,0)+IF(AND(C270="驱夜断愁",AB270=1),30%,0)</f>
        <v>0</v>
      </c>
      <c r="M270" s="45">
        <f t="shared" ca="1" si="241"/>
        <v>0.51185145527300213</v>
      </c>
      <c r="N270" s="45">
        <f t="shared" ca="1" si="242"/>
        <v>0.43424854472699792</v>
      </c>
      <c r="O270" s="46">
        <f t="shared" ca="1" si="210"/>
        <v>4.1160499788224003E-2</v>
      </c>
      <c r="P270" s="46" t="str">
        <f t="shared" ca="1" si="211"/>
        <v>识</v>
      </c>
      <c r="Q270" s="45">
        <f t="shared" ca="1" si="212"/>
        <v>0.25</v>
      </c>
      <c r="R270" s="117">
        <f ca="1">模拟模式!$E$20*(1-IF(模拟模式!$J$19="有",0.15,0))*(1-IF(模拟模式!$K$19="有",0.3,0)-IF(CQ270,0.5,0))</f>
        <v>2950.6049999999996</v>
      </c>
      <c r="S270" s="45">
        <f ca="1">R270/(R270+(185*模拟模式!$E$22-16800)*4.08224)</f>
        <v>0.24272716014590323</v>
      </c>
      <c r="T270" s="45" t="str">
        <f ca="1">LOOKUP(D270,'模拟-单技能数据'!$A$2:$A$19,'模拟-单技能数据'!$H$2:$H$19)</f>
        <v>阴</v>
      </c>
      <c r="U270" s="119">
        <f t="shared" ca="1" si="243"/>
        <v>0.08</v>
      </c>
      <c r="V270" s="47">
        <f ca="1">(1+L270)*(LOOKUP(D270,'模拟-单技能数据'!$A$2:$A$19,'模拟-单技能数据'!$D$2:$D$19)+G270*LOOKUP(D270,'模拟-单技能数据'!$A$2:$A$19,'模拟-单技能数据'!$F$2:$F$19))*(1+J270)*(1+K270)*(1-S270)*(1+U270)*Q270*LOOKUP(D270,'模拟-单技能数据'!$A$2:$A$19,'模拟-单技能数据'!$I$2:$I$20)</f>
        <v>4234.7967582548099</v>
      </c>
      <c r="W270" s="47">
        <f ca="1">LOOKUP(D270,'模拟-单技能数据'!$A$2:$A$19,'模拟-单技能数据'!$G$2:$G$19)*$I$10</f>
        <v>361.51064354704795</v>
      </c>
      <c r="X270" s="47">
        <f t="shared" ca="1" si="213"/>
        <v>9761.2741995651104</v>
      </c>
      <c r="Y270" s="47">
        <f t="shared" ca="1" si="244"/>
        <v>14357.581601366968</v>
      </c>
      <c r="Z270" s="49">
        <f t="shared" ca="1" si="245"/>
        <v>25829448.401643179</v>
      </c>
      <c r="AA270" s="97">
        <f t="shared" ca="1" si="246"/>
        <v>115223.87679589157</v>
      </c>
      <c r="AB270" s="115">
        <f ca="1">IF(OR(C270="赤日轮1",C270="赤日轮2",C270="赤日轮3"),IF(RAND()&lt;模拟模式!$Y$17,1,0),IF(OR(C270="幽月轮1",C270="幽月轮2",C270="幽月轮3"),IF(RAND()&lt;模拟模式!$Y$18,1,0),IF(C270="烈日斩",IF(RAND()&lt;模拟模式!$Y$19,1,0),IF(C270="银月斩",IF(RAND()&lt;模拟模式!$Y$20,1,0),IF(C270="驱夜断愁",IF(RAND()&lt;模拟模式!$Y$21,1,0),IF(C270="净世破魔击·日",IF(RAND()&lt;模拟模式!$Y$22,1,0),IF(C270="净世破魔击·月",IF(RAND()&lt;模拟模式!$Y$23,1,0),0)))))))</f>
        <v>1</v>
      </c>
      <c r="AC270" s="115" t="b">
        <f t="shared" ca="1" si="234"/>
        <v>0</v>
      </c>
      <c r="AD270" s="115" t="b">
        <f t="shared" ca="1" si="254"/>
        <v>1</v>
      </c>
      <c r="AE270" s="115">
        <f t="shared" ca="1" si="255"/>
        <v>4</v>
      </c>
      <c r="AF270" s="47">
        <f ca="1">IF(AC270,('模拟-单技能数据'!$D$20+G270*'模拟-单技能数据'!$F$20)*(1+J270)*(1+'模拟-单技能数据'!$J$20)*(1+U270),0)</f>
        <v>0</v>
      </c>
      <c r="AG270" s="61">
        <f t="shared" ca="1" si="247"/>
        <v>0.64185145527300214</v>
      </c>
      <c r="AH270" s="61">
        <f t="shared" ca="1" si="248"/>
        <v>2.2624828854998791</v>
      </c>
      <c r="AI270" s="62">
        <f t="shared" ca="1" si="214"/>
        <v>0.1971705239808571</v>
      </c>
      <c r="AJ270" s="47">
        <f ca="1">IF(AD270,IF(AI270&lt;$F$10,0,IF(AI270&lt;$F$10+$F$11,0.25,IF(AI270&lt;$F$10+$F$11+AG270,AH270,1)))*IF(AF270&gt;0,AF270,IF(AF269&gt;0,AF269,IF(AF268&gt;0,AF268,IF(AF267&gt;0,AF267,IF(AF266&gt;0,AF266,IF(AF265&gt;0,AF265,IF(AF264&gt;0,AF264,IF(AF263&gt;0,AF263,IF(AF262&gt;0,AF262,IF(AF260&gt;0,AF260,IF(AF259&gt;0,AF259,IF(AF258&gt;0,AF258,0)))))))))))),0)*(1-$S270)*'模拟-单技能数据'!$I$20</f>
        <v>7620.5875385322679</v>
      </c>
      <c r="AK270" s="115" t="b">
        <f t="shared" ca="1" si="235"/>
        <v>0</v>
      </c>
      <c r="AL270" s="115" t="b">
        <f t="shared" ca="1" si="256"/>
        <v>0</v>
      </c>
      <c r="AM270" s="115">
        <f t="shared" ca="1" si="257"/>
        <v>3</v>
      </c>
      <c r="AN270" s="47">
        <f ca="1">IF(AK270,('模拟-单技能数据'!$D$21+G270*'模拟-单技能数据'!$F$21)*(1+J270)*(1+'模拟-单技能数据'!$J$21)*(1+U270),0)</f>
        <v>0</v>
      </c>
      <c r="AO270" s="61">
        <f ca="1">IF(AN270&gt;0,M270-'模拟-单技能数据'!$K$10,AO269)</f>
        <v>0.42185145527300216</v>
      </c>
      <c r="AP270" s="61">
        <f ca="1">IF(AN270&gt;0,I270-'模拟-单技能数据'!$L$10,AP269)</f>
        <v>2.162482885499879</v>
      </c>
      <c r="AQ270" s="63">
        <f t="shared" ca="1" si="215"/>
        <v>0.8986167168982675</v>
      </c>
      <c r="AR270" s="64">
        <f ca="1">IF(AL270,IF(AQ270&lt;$F$10,0,IF(AQ270&lt;$F$10+$F$11,0.25,IF(AQ270&lt;$F$10+$F$11+AO270,AP270,1)))*IF(AN270&gt;0,AN270,IF(AN269&gt;0,AN269,IF(AN268&gt;0,AN268,IF(AN267&gt;0,AN267,IF(AN266&gt;0,AN266,IF(AN265&gt;0,AN265,IF(AN264&gt;0,AN264,IF(AN263&gt;0,AN263,IF(AN262&gt;0,AN262,IF(AN260&gt;0,AN260,IF(AN259&gt;0,AN259,IF(AN258&gt;0,AN258,0)))))))))))),0)*(1-$S270)*'模拟-单技能数据'!$I$21</f>
        <v>0</v>
      </c>
      <c r="AS270" s="61">
        <f ca="1">IF(OR(C270="净世破魔击·日",C270="净世破魔击·月"),M270-'模拟-单技能数据'!$K$10,0)</f>
        <v>0</v>
      </c>
      <c r="AT270" s="61">
        <f ca="1">IF(OR(C270="净世破魔击·日",C270="净世破魔击·月"),I270-'模拟-单技能数据'!$L$10,0)</f>
        <v>0</v>
      </c>
      <c r="AU270" s="62">
        <f t="shared" ca="1" si="216"/>
        <v>0.50046047235925972</v>
      </c>
      <c r="AV270" s="64">
        <f ca="1">IF(AS270&gt;0,('模拟-单技能数据'!$D$22+G270*'模拟-单技能数据'!$F$22)*(1+J270)*(1-S270)*IF(AU270&lt;$F$10,0,IF(AU270&lt;$F$10+$F$11,0.25,IF(AU270&lt;$F$10+$F$11+AS270,AT270,1)))*(1+U270),0)*'模拟-单技能数据'!$I$22</f>
        <v>0</v>
      </c>
      <c r="AW270" s="108">
        <f t="shared" ca="1" si="217"/>
        <v>11.697500000000005</v>
      </c>
      <c r="AX270" s="108" t="b">
        <f ca="1">AND(模拟模式!$P$10="有",AW269=0,RAND()&lt;IF(C270="净世破魔击·月",0.1*8/3,IF(C270="净世破魔击·日",0.1*4/3,0.1*2/3)))</f>
        <v>0</v>
      </c>
      <c r="AY270" s="47">
        <f ca="1">IF(AX270,(18+G270*0.722)*(1+J270)*(1-S270)*(1+$I$4)*IF(P270="会",'模拟-全程加成'!$J$3+'模拟-全程加成'!$J$4+'模拟-全程加成'!$J$5+('模拟-全程加成'!$I$4+'模拟-全程加成'!$I$5)/系数!$B$4+BG270*10%,IF(P270="命",1,IF(P270="识",0.25,0))),0)</f>
        <v>0</v>
      </c>
      <c r="AZ270" s="108">
        <f t="shared" si="218"/>
        <v>19.077500000000001</v>
      </c>
      <c r="BA270" s="108" t="b">
        <f>AND(模拟模式!$Q$10="有",AZ269=0)</f>
        <v>1</v>
      </c>
      <c r="BB270" s="140">
        <f ca="1">IF(BA270,(0+G270*0.287)*(1+J270)*(1-S270)*(1+$I$4)*IF(P270="会",'模拟-全程加成'!$J$3+'模拟-全程加成'!$J$4+'模拟-全程加成'!$J$5+('模拟-全程加成'!$I$4+'模拟-全程加成'!$I$5)/系数!$B$4+BG270*10%,IF(P270="命",1,IF(P270="识",0.25,0))),0)</f>
        <v>2140.686661032842</v>
      </c>
      <c r="BC270" s="115" t="b">
        <f ca="1">AND(模拟模式!$R$7="伏明众生",E270=60,F270=20,DA270&lt;5,CZ269&lt;$F$4)</f>
        <v>0</v>
      </c>
      <c r="BD270" s="115">
        <f t="shared" ca="1" si="236"/>
        <v>0</v>
      </c>
      <c r="BE270" s="115" t="b">
        <f t="shared" ca="1" si="237"/>
        <v>0</v>
      </c>
      <c r="BF270" s="47">
        <f ca="1">IF(BC270,4*('模拟-单技能数据'!$D$24+G270*'模拟-单技能数据'!$F$24)*(1+J270)*(1+'模拟-单技能数据'!$J$24)*(1-S270)*(1+$I$3)*(('模拟-全程加成'!$J$3+'模拟-全程加成'!$J$4+'模拟-全程加成'!$J$5+('模拟-全程加成'!$I$4+'模拟-全程加成'!$I$5)/系数!$B$4+BG270*10%)*('模拟-全程加成'!$J$3+'模拟-全程加成'!$J$4+'模拟-全程加成'!$J$5+('模拟-全程加成'!$I$4+'模拟-全程加成'!$I$5)/系数!$B$4+BG270*10%)+(1-('模拟-全程加成'!$J$3+'模拟-全程加成'!$J$4+'模拟-全程加成'!$J$5+('模拟-全程加成'!$I$4+'模拟-全程加成'!$I$5)/系数!$B$4+BG270*10%)-$F$10-$F$11)+F256*0.25),0)*'模拟-单技能数据'!$I$24</f>
        <v>0</v>
      </c>
      <c r="BG270" s="115" t="b">
        <f ca="1">OR(AND(OR(C270="烈日斩",C270="银月斩"),模拟模式!$I$7="净身明礼"),AND(C270="净世破魔击·日",模拟模式!$J$7="洞若观火"),AND(C271="净世破魔击·月",模拟模式!$J$7="洞若观火"),AB270=1)</f>
        <v>1</v>
      </c>
      <c r="BH270" s="115" t="b">
        <f t="shared" ca="1" si="219"/>
        <v>0</v>
      </c>
      <c r="BI270" s="115">
        <f t="shared" ca="1" si="238"/>
        <v>5.0774999999999997</v>
      </c>
      <c r="BJ270" s="115" t="b">
        <f t="shared" ca="1" si="249"/>
        <v>1</v>
      </c>
      <c r="BK270" s="115" t="b">
        <f ca="1">AND(C270="驱夜断愁",模拟模式!$P$7="天地诛戮")</f>
        <v>0</v>
      </c>
      <c r="BL270" s="57">
        <f t="shared" ca="1" si="239"/>
        <v>18.155000000000001</v>
      </c>
      <c r="BM270" s="115" t="b">
        <f t="shared" ca="1" si="250"/>
        <v>1</v>
      </c>
      <c r="BN270" s="115" t="b">
        <f ca="1">AND(OR(C270="赤日轮1",C270="赤日轮2",C270="赤日轮3",C270="幽月轮1",C270="幽月轮2",C270="幽月轮3"),AB270=1,模拟模式!$L$7="明光恒照")</f>
        <v>1</v>
      </c>
      <c r="BO270" s="117">
        <f t="shared" ca="1" si="240"/>
        <v>30</v>
      </c>
      <c r="BP270" s="115">
        <f t="shared" ca="1" si="220"/>
        <v>6</v>
      </c>
      <c r="BQ270" s="115" t="b">
        <f>模拟模式!$K$10="2600·水"</f>
        <v>0</v>
      </c>
      <c r="BR270" s="117">
        <f t="shared" si="221"/>
        <v>0</v>
      </c>
      <c r="BS270" s="115">
        <f t="shared" si="222"/>
        <v>0</v>
      </c>
      <c r="BT270" s="115">
        <f t="shared" ca="1" si="223"/>
        <v>0</v>
      </c>
      <c r="BU270" s="115" t="b">
        <f ca="1">AND(模拟模式!$K$10="2300·雷",BT269=0,RAND()&lt;IF(C270="净世破魔击·月",5*0.05*2/3,IF(C270="净世破魔击·日",3*0.05*2/3,0.05*2*2/3)))</f>
        <v>0</v>
      </c>
      <c r="BV270" s="115">
        <f t="shared" ca="1" si="224"/>
        <v>0</v>
      </c>
      <c r="BW270" s="115">
        <f t="shared" ca="1" si="225"/>
        <v>147.71249999999952</v>
      </c>
      <c r="BX270" s="164" t="b">
        <f t="shared" ca="1" si="226"/>
        <v>0</v>
      </c>
      <c r="BY270" s="115">
        <f t="shared" ca="1" si="227"/>
        <v>0</v>
      </c>
      <c r="BZ270" s="115">
        <f>IF(OR(模拟模式!$P$16="10人团",模拟模式!$P$16="25人团"),IF(B270/30&gt;CA269,1,0),0)</f>
        <v>0</v>
      </c>
      <c r="CA270" s="115">
        <f t="shared" si="203"/>
        <v>0</v>
      </c>
      <c r="CB270" s="115">
        <f ca="1">IF(BZ270=1,IF(模拟模式!$P$16="10人团",15,0)+IF(模拟模式!$P$16="25人团",IF(RAND()&lt;0.6,15,0)),MAX(0,CB269-$F$4))</f>
        <v>0</v>
      </c>
      <c r="CC270" s="115" t="b">
        <f t="shared" ca="1" si="251"/>
        <v>0</v>
      </c>
      <c r="CD270" s="115">
        <f>IF(模拟模式!$Q$16="1个",IF(B270/40&gt;CE269,1,0),0)</f>
        <v>0</v>
      </c>
      <c r="CE270" s="115">
        <f t="shared" si="252"/>
        <v>0</v>
      </c>
      <c r="CF270" s="115">
        <f>IF(OR(CD270=1,模拟模式!$Q$16="2个"),20,MAX(0,CF269-$F$4))</f>
        <v>0</v>
      </c>
      <c r="CG270" s="115" t="b">
        <f t="shared" si="253"/>
        <v>0</v>
      </c>
      <c r="CH270" s="115">
        <f t="shared" ca="1" si="228"/>
        <v>6.9375000000000124</v>
      </c>
      <c r="CI270" s="115" t="b">
        <f t="shared" ca="1" si="229"/>
        <v>0</v>
      </c>
      <c r="CJ270" s="119">
        <f t="shared" ca="1" si="230"/>
        <v>0</v>
      </c>
      <c r="CK270" s="115">
        <f t="shared" ca="1" si="231"/>
        <v>0</v>
      </c>
      <c r="CL270" s="115" t="b">
        <f ca="1">AND(模拟模式!$S$7="驱夷逐法",OR(AND(C270="净世破魔击·月",E269&gt;59),AND(C270="净世破魔击·日",F269&gt;59)))</f>
        <v>0</v>
      </c>
      <c r="CM270" s="115" t="b">
        <f ca="1">OR(CL270,AND(C270="净世破魔击·日",CL269,RAND()&lt;模拟模式!$U$23))</f>
        <v>0</v>
      </c>
      <c r="CN270" s="115" t="b">
        <f ca="1">IF(模拟模式!$M$7="辉耀红尘",AND(C270="净世破魔击·月",CL270,CV270=0,E269&lt;80),AND(C270="净世破魔击·月",CL270,E269&lt;100))</f>
        <v>0</v>
      </c>
      <c r="CO270" s="115" t="b">
        <f t="shared" ca="1" si="204"/>
        <v>0</v>
      </c>
      <c r="CP270" s="115" t="b">
        <f ca="1">AND(模拟模式!$O$7="用晦而明",OR(C270="净世破魔击·日",C270="净世破魔击·月",C270="驱夜断愁"),AB270)</f>
        <v>0</v>
      </c>
      <c r="CQ270" s="115" t="b">
        <f ca="1">OR(CP270,AND(CP269,RAND()&lt;模拟模式!$U$23))</f>
        <v>0</v>
      </c>
      <c r="CR270" s="115" t="b">
        <f ca="1">AND(模拟模式!$S$7="日月齐光",OR(C270="幽月轮1",C270="幽月轮2",C270="幽月轮3",CR269),NOT(OR(C270="赤日轮1",C270="赤日轮2",C270="赤日轮3")))</f>
        <v>0</v>
      </c>
      <c r="CS270" s="115" t="b">
        <f ca="1">AND(模拟模式!$S$7="日月齐光",OR(C270="赤日轮1",C270="赤日轮2",C270="赤日轮3",CS269),NOT(OR(C270="幽月轮1",C270="幽月轮2",C270="幽月轮3")))</f>
        <v>0</v>
      </c>
      <c r="CT270" s="115">
        <f t="shared" ca="1" si="232"/>
        <v>13.39500000000001</v>
      </c>
      <c r="CU270" s="115" t="b">
        <f ca="1">AND(模拟模式!$K$10="阴阳往极",CT269=0,RAND()&lt;IF(C270="净世破魔击·月",0.0275*7/3,IF(C270="净世破魔击·日",0.0275*3/3,0.0275*2/3)))</f>
        <v>0</v>
      </c>
      <c r="CV270" s="115">
        <f t="shared" ca="1" si="233"/>
        <v>0</v>
      </c>
      <c r="CW270" s="115">
        <f t="shared" ca="1" si="205"/>
        <v>5.0774999999999997</v>
      </c>
      <c r="CX270" s="115">
        <f t="shared" ca="1" si="206"/>
        <v>3.2324999999999995</v>
      </c>
      <c r="CY270" s="115">
        <f ca="1">MAX(IF($C270="驱夜断愁",IF(模拟模式!$R$7="万念俱寂",6,45),CY269-$F$4),0)</f>
        <v>4.1549999999999994</v>
      </c>
      <c r="CZ270" s="115">
        <f t="shared" ca="1" si="207"/>
        <v>0</v>
      </c>
      <c r="DA270" s="115">
        <f ca="1">IF(模拟模式!$N$7="日月同辉",IF(DB269=2,0,MIN(6,IF(AND(OR(C270="赤日轮1",C270="赤日轮2",C270="赤日轮3",C270="幽月轮1",C270="幽月轮2",C270="幽月轮3"),AB270=1),DA269+1,DA269))),0)</f>
        <v>1</v>
      </c>
      <c r="DB270" s="115">
        <f t="shared" ca="1" si="208"/>
        <v>0</v>
      </c>
      <c r="DC270" s="115"/>
      <c r="DD270" s="115"/>
      <c r="DE270" s="115"/>
      <c r="DF270" s="115"/>
      <c r="DG270" s="115"/>
      <c r="DH270" s="115"/>
      <c r="DI270" s="115"/>
      <c r="DJ270" s="115"/>
      <c r="DK270" s="115"/>
      <c r="DL270" s="115"/>
      <c r="DM270" s="115"/>
    </row>
    <row r="271" spans="2:117" x14ac:dyDescent="0.2">
      <c r="B271" s="117">
        <f t="shared" si="209"/>
        <v>225.09000000000137</v>
      </c>
      <c r="C271" s="167" t="str">
        <f t="shared" ca="1" si="202"/>
        <v>净世破魔击·月</v>
      </c>
      <c r="D271" s="115">
        <f ca="1">IF(C271="赤日轮1",1,IF(C271="赤日轮2",2,IF(C271="赤日轮3",3,IF(C271="幽月轮1",4,IF(C271="幽月轮2",5,IF(C271="幽月轮3",6,IF(C271="烈日斩",7,IF(C271="银月斩",8,IF(C271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271="净世破魔击·月",17,IF(C271="驱夜断愁",18,0)))))))))))</f>
        <v>17</v>
      </c>
      <c r="E271" s="115">
        <f ca="1">IF(AND(CU271,OR(C271="幽月轮1",C271="幽月轮2",C271="幽月轮3",C271="银月斩",C271="驱夜断愁",C271="净世破魔击·月")),100,MIN(IF(OR(CN271,BE271),0,IF(OR($C271="赤日轮1",$C271="赤日轮2",$C271="赤日轮3"),E270+20+IF(模拟模式!$I$7="日月凌天",4,0)+IF(CR270,20,0),IF($C271="烈日斩",E270+40,IF($C271="驱夜断愁",IF(模拟模式!$R$7="万念俱寂",E270+20,E270+60),IF($C271="净世破魔击·月",IF(OR(DB270&gt;0,CV270&gt;0),100,IF(模拟模式!$M$7="辉耀红尘",E270+20,E270)),IF($C271="净世破魔击·日",E270-100,E270)))))),100))</f>
        <v>100</v>
      </c>
      <c r="F271" s="115">
        <f ca="1">IF(AND(CU271,OR(C271="赤日轮1",C271="赤日轮2",C271="赤日轮3",C271="烈日斩",C271="净世破魔击·日")),100,MIN(IF(CO271,0,IF(OR($C271="幽月轮1",$C271="幽月轮2",$C271="幽月轮3"),F270+20+IF(模拟模式!$I$7="日月凌天",4,0)+IF(CS270,20,0),IF($C271="银月斩",F270+40+IF(模拟模式!$X$12=1,5,0),IF($C271="驱夜断愁",IF(模拟模式!$R$7="万念俱寂",F270+20,F270+60),IF($C271="净世破魔击·月",IF(模拟模式!$M$7="辉耀红尘",F270-80,F270-100),IF(AND(C271="净世破魔击·日",OR(DB270&gt;0,CV270&gt;0)),100,F270)))))),100))</f>
        <v>20</v>
      </c>
      <c r="G271" s="117">
        <f ca="1">('模拟-全程加成'!$E$3+'模拟-全程加成'!$E$4+'模拟-全程加成'!$E$5+('模拟-全程加成'!$C$6-'模拟-全程加成'!$C$3)*系数!$B$9+BS271*23)*(1+'模拟-全程加成'!$F$4+'模拟-全程加成'!$F$5+BJ271*10%+BM271*20%+BP271*4%+CG271*30%)+$F$7*系数!$B$12</f>
        <v>21493.829400000002</v>
      </c>
      <c r="H271" s="45">
        <f ca="1">'模拟-全程加成'!$H$3+'模拟-全程加成'!$H$4+'模拟-全程加成'!$H$5+('模拟-全程加成'!$G$4+'模拟-全程加成'!$G$5+('模拟-全程加成'!$C$6-'模拟-全程加成'!$C$3)*系数!$B$13)/系数!$B$3+LOOKUP(D271,'模拟-单技能数据'!$A$2:$A$19,'模拟-单技能数据'!$K$2:$K$19)+BG271*10%+IF(BV271&gt;0,378,0)</f>
        <v>0.54185145527300216</v>
      </c>
      <c r="I271" s="45">
        <f ca="1">'模拟-全程加成'!$J$3+'模拟-全程加成'!$J$4+'模拟-全程加成'!$J$5+('模拟-全程加成'!$I$4+'模拟-全程加成'!$I$5)/系数!$B$4+LOOKUP(D271,'模拟-单技能数据'!$A$2:$A$19,'模拟-单技能数据'!$L$2:$L$19)+BG271*10%</f>
        <v>2.162482885499879</v>
      </c>
      <c r="J271" s="45">
        <f ca="1">(('模拟-全程加成'!$K$3+'模拟-全程加成'!$K$4+'模拟-全程加成'!$K$5+('模拟-全程加成'!$C$6-'模拟-全程加成'!$C$3)*系数!$B$10+IF(BV271&gt;0,882,0)+IF(BY271&gt;0,1831,0))*(1+'模拟-全程加成'!$L$4+'模拟-全程加成'!$L$5+CC271*20%))/系数!$B$5</f>
        <v>0.69723220422048726</v>
      </c>
      <c r="K271" s="119">
        <f ca="1">LOOKUP(D271,'模拟-单技能数据'!$A$2:$A$19,'模拟-单技能数据'!$J$2:$J$19)+IF(CM271,60%,0)+IF(DB270-DB271&gt;0,30%,0)+IF(OR(AND(OR(C271="赤日轮1",C271="赤日轮2",C271="赤日轮3"),CR271),AND(OR(C271="幽月轮1",C271="幽月轮2",C271="幽月轮3"),CS271)),35%,0)+CJ271</f>
        <v>0.8</v>
      </c>
      <c r="L271" s="119">
        <f ca="1">IF(AND(C271="烈日斩",模拟模式!$X$11=1),10%,0)+IF(AND(C271="驱夜断愁",AB271=1),30%,0)</f>
        <v>0</v>
      </c>
      <c r="M271" s="45">
        <f t="shared" ca="1" si="241"/>
        <v>0.54185145527300216</v>
      </c>
      <c r="N271" s="45">
        <f t="shared" ca="1" si="242"/>
        <v>0.40424854472699789</v>
      </c>
      <c r="O271" s="46">
        <f t="shared" ca="1" si="210"/>
        <v>0.59748119026128299</v>
      </c>
      <c r="P271" s="46" t="str">
        <f t="shared" ca="1" si="211"/>
        <v>命</v>
      </c>
      <c r="Q271" s="45">
        <f t="shared" ca="1" si="212"/>
        <v>1</v>
      </c>
      <c r="R271" s="117">
        <f ca="1">模拟模式!$E$20*(1-IF(模拟模式!$J$19="有",0.15,0))*(1-IF(模拟模式!$K$19="有",0.3,0)-IF(CQ271,0.5,0))</f>
        <v>843.02999999999975</v>
      </c>
      <c r="S271" s="45">
        <f ca="1">R271/(R271+(185*模拟模式!$E$22-16800)*4.08224)</f>
        <v>8.389626085980037E-2</v>
      </c>
      <c r="T271" s="45" t="str">
        <f ca="1">LOOKUP(D271,'模拟-单技能数据'!$A$2:$A$19,'模拟-单技能数据'!$H$2:$H$19)</f>
        <v>阴</v>
      </c>
      <c r="U271" s="119">
        <f t="shared" ca="1" si="243"/>
        <v>0.08</v>
      </c>
      <c r="V271" s="47">
        <f ca="1">(1+L271)*(LOOKUP(D271,'模拟-单技能数据'!$A$2:$A$19,'模拟-单技能数据'!$D$2:$D$19)+G271*LOOKUP(D271,'模拟-单技能数据'!$A$2:$A$19,'模拟-单技能数据'!$F$2:$F$19))*(1+J271)*(1+K271)*(1-S271)*(1+U271)*Q271*LOOKUP(D271,'模拟-单技能数据'!$A$2:$A$19,'模拟-单技能数据'!$I$2:$I$20)</f>
        <v>84412.793434348554</v>
      </c>
      <c r="W271" s="47">
        <f ca="1">LOOKUP(D271,'模拟-单技能数据'!$A$2:$A$19,'模拟-单技能数据'!$G$2:$G$19)*$I$10</f>
        <v>361.51064354704795</v>
      </c>
      <c r="X271" s="47">
        <f t="shared" ca="1" si="213"/>
        <v>19074.564266128786</v>
      </c>
      <c r="Y271" s="47">
        <f t="shared" ca="1" si="244"/>
        <v>103848.86834402439</v>
      </c>
      <c r="Z271" s="49">
        <f t="shared" ca="1" si="245"/>
        <v>25933297.269987203</v>
      </c>
      <c r="AA271" s="97">
        <f t="shared" ca="1" si="246"/>
        <v>115213.01377221131</v>
      </c>
      <c r="AB271" s="115">
        <f ca="1">IF(OR(C271="赤日轮1",C271="赤日轮2",C271="赤日轮3"),IF(RAND()&lt;模拟模式!$Y$17,1,0),IF(OR(C271="幽月轮1",C271="幽月轮2",C271="幽月轮3"),IF(RAND()&lt;模拟模式!$Y$18,1,0),IF(C271="烈日斩",IF(RAND()&lt;模拟模式!$Y$19,1,0),IF(C271="银月斩",IF(RAND()&lt;模拟模式!$Y$20,1,0),IF(C271="驱夜断愁",IF(RAND()&lt;模拟模式!$Y$21,1,0),IF(C271="净世破魔击·日",IF(RAND()&lt;模拟模式!$Y$22,1,0),IF(C271="净世破魔击·月",IF(RAND()&lt;模拟模式!$Y$23,1,0),0)))))))</f>
        <v>1</v>
      </c>
      <c r="AC271" s="115" t="b">
        <f t="shared" ca="1" si="234"/>
        <v>0</v>
      </c>
      <c r="AD271" s="115" t="b">
        <f t="shared" ca="1" si="254"/>
        <v>0</v>
      </c>
      <c r="AE271" s="115">
        <f t="shared" ca="1" si="255"/>
        <v>4</v>
      </c>
      <c r="AF271" s="47">
        <f ca="1">IF(AC271,('模拟-单技能数据'!$D$20+G271*'模拟-单技能数据'!$F$20)*(1+J271)*(1+'模拟-单技能数据'!$J$20)*(1+U271),0)</f>
        <v>0</v>
      </c>
      <c r="AG271" s="61">
        <f t="shared" ca="1" si="247"/>
        <v>0.64185145527300214</v>
      </c>
      <c r="AH271" s="61">
        <f t="shared" ca="1" si="248"/>
        <v>2.2624828854998791</v>
      </c>
      <c r="AI271" s="62">
        <f t="shared" ca="1" si="214"/>
        <v>0.67480729199619705</v>
      </c>
      <c r="AJ271" s="47">
        <f ca="1">IF(AD271,IF(AI271&lt;$F$10,0,IF(AI271&lt;$F$10+$F$11,0.25,IF(AI271&lt;$F$10+$F$11+AG271,AH271,1)))*IF(AF271&gt;0,AF271,IF(AF270&gt;0,AF270,IF(AF269&gt;0,AF269,IF(AF268&gt;0,AF268,IF(AF267&gt;0,AF267,IF(AF266&gt;0,AF266,IF(AF265&gt;0,AF265,IF(AF264&gt;0,AF264,IF(AF263&gt;0,AF263,IF(AF261&gt;0,AF261,IF(AF260&gt;0,AF260,IF(AF259&gt;0,AF259,0)))))))))))),0)*(1-$S271)*'模拟-单技能数据'!$I$20</f>
        <v>0</v>
      </c>
      <c r="AK271" s="115" t="b">
        <f t="shared" ca="1" si="235"/>
        <v>0</v>
      </c>
      <c r="AL271" s="115" t="b">
        <f t="shared" ca="1" si="256"/>
        <v>1</v>
      </c>
      <c r="AM271" s="115">
        <f t="shared" ca="1" si="257"/>
        <v>2</v>
      </c>
      <c r="AN271" s="47">
        <f ca="1">IF(AK271,('模拟-单技能数据'!$D$21+G271*'模拟-单技能数据'!$F$21)*(1+J271)*(1+'模拟-单技能数据'!$J$21)*(1+U271),0)</f>
        <v>0</v>
      </c>
      <c r="AO271" s="61">
        <f ca="1">IF(AN271&gt;0,M271-'模拟-单技能数据'!$K$10,AO270)</f>
        <v>0.42185145527300216</v>
      </c>
      <c r="AP271" s="61">
        <f ca="1">IF(AN271&gt;0,I271-'模拟-单技能数据'!$L$10,AP270)</f>
        <v>2.162482885499879</v>
      </c>
      <c r="AQ271" s="63">
        <f t="shared" ca="1" si="215"/>
        <v>0.82800515190226354</v>
      </c>
      <c r="AR271" s="64">
        <f ca="1">IF(AL271,IF(AQ271&lt;$F$10,0,IF(AQ271&lt;$F$10+$F$11,0.25,IF(AQ271&lt;$F$10+$F$11+AO271,AP271,1)))*IF(AN271&gt;0,AN271,IF(AN270&gt;0,AN270,IF(AN269&gt;0,AN269,IF(AN268&gt;0,AN268,IF(AN267&gt;0,AN267,IF(AN266&gt;0,AN266,IF(AN265&gt;0,AN265,IF(AN264&gt;0,AN264,IF(AN263&gt;0,AN263,IF(AN261&gt;0,AN261,IF(AN260&gt;0,AN260,IF(AN259&gt;0,AN259,0)))))))))))),0)*(1-$S271)*'模拟-单技能数据'!$I$21</f>
        <v>11118.353508757338</v>
      </c>
      <c r="AS271" s="61">
        <f ca="1">IF(OR(C271="净世破魔击·日",C271="净世破魔击·月"),M271-'模拟-单技能数据'!$K$10,0)</f>
        <v>0.42185145527300216</v>
      </c>
      <c r="AT271" s="61">
        <f ca="1">IF(OR(C271="净世破魔击·日",C271="净世破魔击·月"),I271-'模拟-单技能数据'!$L$10,0)</f>
        <v>2.162482885499879</v>
      </c>
      <c r="AU271" s="62">
        <f t="shared" ca="1" si="216"/>
        <v>0.59023865513619944</v>
      </c>
      <c r="AV271" s="64">
        <f ca="1">IF(AS271&gt;0,('模拟-单技能数据'!$D$22+G271*'模拟-单技能数据'!$F$22)*(1+J271)*(1-S271)*IF(AU271&lt;$F$10,0,IF(AU271&lt;$F$10+$F$11,0.25,IF(AU271&lt;$F$10+$F$11+AS271,AT271,1)))*(1+U271),0)*'模拟-单技能数据'!$I$22</f>
        <v>7956.2107573714466</v>
      </c>
      <c r="AW271" s="108">
        <f t="shared" ca="1" si="217"/>
        <v>10.775000000000006</v>
      </c>
      <c r="AX271" s="108" t="b">
        <f ca="1">AND(模拟模式!$P$10="有",AW270=0,RAND()&lt;IF(C271="净世破魔击·月",0.1*8/3,IF(C271="净世破魔击·日",0.1*4/3,0.1*2/3)))</f>
        <v>0</v>
      </c>
      <c r="AY271" s="47">
        <f ca="1">IF(AX271,(18+G271*0.722)*(1+J271)*(1-S271)*(1+$I$4)*IF(P271="会",'模拟-全程加成'!$J$3+'模拟-全程加成'!$J$4+'模拟-全程加成'!$J$5+('模拟-全程加成'!$I$4+'模拟-全程加成'!$I$5)/系数!$B$4+BG271*10%,IF(P271="命",1,IF(P271="识",0.25,0))),0)</f>
        <v>0</v>
      </c>
      <c r="AZ271" s="108">
        <f t="shared" si="218"/>
        <v>18.155000000000001</v>
      </c>
      <c r="BA271" s="108" t="b">
        <f>AND(模拟模式!$Q$10="有",AZ270=0)</f>
        <v>0</v>
      </c>
      <c r="BB271" s="140">
        <f>IF(BA271,(0+G271*0.287)*(1+J271)*(1-S271)*(1+$I$4)*IF(P271="会",'模拟-全程加成'!$J$3+'模拟-全程加成'!$J$4+'模拟-全程加成'!$J$5+('模拟-全程加成'!$I$4+'模拟-全程加成'!$I$5)/系数!$B$4+BG271*10%,IF(P271="命",1,IF(P271="识",0.25,0))),0)</f>
        <v>0</v>
      </c>
      <c r="BC271" s="115" t="b">
        <f ca="1">AND(模拟模式!$R$7="伏明众生",E271=60,F271=20,DA271&lt;5,CZ270&lt;$F$4)</f>
        <v>0</v>
      </c>
      <c r="BD271" s="115">
        <f t="shared" ca="1" si="236"/>
        <v>0</v>
      </c>
      <c r="BE271" s="115" t="b">
        <f t="shared" ca="1" si="237"/>
        <v>0</v>
      </c>
      <c r="BF271" s="47">
        <f ca="1">IF(BC271,4*('模拟-单技能数据'!$D$24+G271*'模拟-单技能数据'!$F$24)*(1+J271)*(1+'模拟-单技能数据'!$J$24)*(1-S271)*(1+$I$3)*(('模拟-全程加成'!$J$3+'模拟-全程加成'!$J$4+'模拟-全程加成'!$J$5+('模拟-全程加成'!$I$4+'模拟-全程加成'!$I$5)/系数!$B$4+BG271*10%)*('模拟-全程加成'!$J$3+'模拟-全程加成'!$J$4+'模拟-全程加成'!$J$5+('模拟-全程加成'!$I$4+'模拟-全程加成'!$I$5)/系数!$B$4+BG271*10%)+(1-('模拟-全程加成'!$J$3+'模拟-全程加成'!$J$4+'模拟-全程加成'!$J$5+('模拟-全程加成'!$I$4+'模拟-全程加成'!$I$5)/系数!$B$4+BG271*10%)-$F$10-$F$11)+F257*0.25),0)*'模拟-单技能数据'!$I$24</f>
        <v>0</v>
      </c>
      <c r="BG271" s="115" t="b">
        <f ca="1">OR(AND(OR(C271="烈日斩",C271="银月斩"),模拟模式!$I$7="净身明礼"),AND(C271="净世破魔击·日",模拟模式!$J$7="洞若观火"),AND(C272="净世破魔击·月",模拟模式!$J$7="洞若观火"),AB271=1)</f>
        <v>1</v>
      </c>
      <c r="BH271" s="115" t="b">
        <f t="shared" ca="1" si="219"/>
        <v>1</v>
      </c>
      <c r="BI271" s="115">
        <f t="shared" ca="1" si="238"/>
        <v>6</v>
      </c>
      <c r="BJ271" s="115" t="b">
        <f t="shared" ca="1" si="249"/>
        <v>1</v>
      </c>
      <c r="BK271" s="115" t="b">
        <f ca="1">AND(C271="驱夜断愁",模拟模式!$P$7="天地诛戮")</f>
        <v>0</v>
      </c>
      <c r="BL271" s="57">
        <f t="shared" ca="1" si="239"/>
        <v>17.232500000000002</v>
      </c>
      <c r="BM271" s="115" t="b">
        <f t="shared" ca="1" si="250"/>
        <v>1</v>
      </c>
      <c r="BN271" s="115" t="b">
        <f ca="1">AND(OR(C271="赤日轮1",C271="赤日轮2",C271="赤日轮3",C271="幽月轮1",C271="幽月轮2",C271="幽月轮3"),AB271=1,模拟模式!$L$7="明光恒照")</f>
        <v>0</v>
      </c>
      <c r="BO271" s="117">
        <f t="shared" ca="1" si="240"/>
        <v>29.077500000000001</v>
      </c>
      <c r="BP271" s="115">
        <f t="shared" ca="1" si="220"/>
        <v>6</v>
      </c>
      <c r="BQ271" s="115" t="b">
        <f>模拟模式!$K$10="2600·水"</f>
        <v>0</v>
      </c>
      <c r="BR271" s="117">
        <f t="shared" si="221"/>
        <v>0</v>
      </c>
      <c r="BS271" s="115">
        <f t="shared" si="222"/>
        <v>0</v>
      </c>
      <c r="BT271" s="115">
        <f t="shared" ca="1" si="223"/>
        <v>0</v>
      </c>
      <c r="BU271" s="115" t="b">
        <f ca="1">AND(模拟模式!$K$10="2300·雷",BT270=0,RAND()&lt;IF(C271="净世破魔击·月",5*0.05*2/3,IF(C271="净世破魔击·日",3*0.05*2/3,0.05*2*2/3)))</f>
        <v>0</v>
      </c>
      <c r="BV271" s="115">
        <f t="shared" ca="1" si="224"/>
        <v>0</v>
      </c>
      <c r="BW271" s="115">
        <f t="shared" ca="1" si="225"/>
        <v>146.78999999999951</v>
      </c>
      <c r="BX271" s="164" t="b">
        <f t="shared" ca="1" si="226"/>
        <v>0</v>
      </c>
      <c r="BY271" s="115">
        <f t="shared" ca="1" si="227"/>
        <v>0</v>
      </c>
      <c r="BZ271" s="115">
        <f>IF(OR(模拟模式!$P$16="10人团",模拟模式!$P$16="25人团"),IF(B271/30&gt;CA270,1,0),0)</f>
        <v>0</v>
      </c>
      <c r="CA271" s="115">
        <f t="shared" si="203"/>
        <v>0</v>
      </c>
      <c r="CB271" s="115">
        <f ca="1">IF(BZ271=1,IF(模拟模式!$P$16="10人团",15,0)+IF(模拟模式!$P$16="25人团",IF(RAND()&lt;0.6,15,0)),MAX(0,CB270-$F$4))</f>
        <v>0</v>
      </c>
      <c r="CC271" s="115" t="b">
        <f t="shared" ca="1" si="251"/>
        <v>0</v>
      </c>
      <c r="CD271" s="115">
        <f>IF(模拟模式!$Q$16="1个",IF(B271/40&gt;CE270,1,0),0)</f>
        <v>0</v>
      </c>
      <c r="CE271" s="115">
        <f t="shared" si="252"/>
        <v>0</v>
      </c>
      <c r="CF271" s="115">
        <f>IF(OR(CD271=1,模拟模式!$Q$16="2个"),20,MAX(0,CF270-$F$4))</f>
        <v>0</v>
      </c>
      <c r="CG271" s="115" t="b">
        <f t="shared" si="253"/>
        <v>0</v>
      </c>
      <c r="CH271" s="115">
        <f t="shared" ca="1" si="228"/>
        <v>6.0150000000000121</v>
      </c>
      <c r="CI271" s="115" t="b">
        <f t="shared" ca="1" si="229"/>
        <v>0</v>
      </c>
      <c r="CJ271" s="119">
        <f t="shared" ca="1" si="230"/>
        <v>0</v>
      </c>
      <c r="CK271" s="115">
        <f t="shared" ca="1" si="231"/>
        <v>0</v>
      </c>
      <c r="CL271" s="115" t="b">
        <f ca="1">AND(模拟模式!$S$7="驱夷逐法",OR(AND(C271="净世破魔击·月",E270&gt;59),AND(C271="净世破魔击·日",F270&gt;59)))</f>
        <v>1</v>
      </c>
      <c r="CM271" s="115" t="b">
        <f ca="1">OR(CL271,AND(C271="净世破魔击·日",CL270,RAND()&lt;模拟模式!$U$23))</f>
        <v>1</v>
      </c>
      <c r="CN271" s="115" t="b">
        <f ca="1">IF(模拟模式!$M$7="辉耀红尘",AND(C271="净世破魔击·月",CL271,CV271=0,E270&lt;80),AND(C271="净世破魔击·月",CL271,E270&lt;100))</f>
        <v>0</v>
      </c>
      <c r="CO271" s="115" t="b">
        <f t="shared" ca="1" si="204"/>
        <v>0</v>
      </c>
      <c r="CP271" s="115" t="b">
        <f ca="1">AND(模拟模式!$O$7="用晦而明",OR(C271="净世破魔击·日",C271="净世破魔击·月",C271="驱夜断愁"),AB271)</f>
        <v>1</v>
      </c>
      <c r="CQ271" s="115" t="b">
        <f ca="1">OR(CP271,AND(CP270,RAND()&lt;模拟模式!$U$23))</f>
        <v>1</v>
      </c>
      <c r="CR271" s="115" t="b">
        <f ca="1">AND(模拟模式!$S$7="日月齐光",OR(C271="幽月轮1",C271="幽月轮2",C271="幽月轮3",CR270),NOT(OR(C271="赤日轮1",C271="赤日轮2",C271="赤日轮3")))</f>
        <v>0</v>
      </c>
      <c r="CS271" s="115" t="b">
        <f ca="1">AND(模拟模式!$S$7="日月齐光",OR(C271="赤日轮1",C271="赤日轮2",C271="赤日轮3",CS270),NOT(OR(C271="幽月轮1",C271="幽月轮2",C271="幽月轮3")))</f>
        <v>0</v>
      </c>
      <c r="CT271" s="115">
        <f t="shared" ca="1" si="232"/>
        <v>12.472500000000011</v>
      </c>
      <c r="CU271" s="115" t="b">
        <f ca="1">AND(模拟模式!$K$10="阴阳往极",CT270=0,RAND()&lt;IF(C271="净世破魔击·月",0.0275*7/3,IF(C271="净世破魔击·日",0.0275*3/3,0.0275*2/3)))</f>
        <v>0</v>
      </c>
      <c r="CV271" s="115">
        <f t="shared" ca="1" si="233"/>
        <v>0</v>
      </c>
      <c r="CW271" s="115">
        <f t="shared" ca="1" si="205"/>
        <v>4.1549999999999994</v>
      </c>
      <c r="CX271" s="115">
        <f t="shared" ca="1" si="206"/>
        <v>2.3099999999999996</v>
      </c>
      <c r="CY271" s="115">
        <f ca="1">MAX(IF($C271="驱夜断愁",IF(模拟模式!$R$7="万念俱寂",6,45),CY270-$F$4),0)</f>
        <v>3.2324999999999995</v>
      </c>
      <c r="CZ271" s="115">
        <f t="shared" ca="1" si="207"/>
        <v>0</v>
      </c>
      <c r="DA271" s="115">
        <f ca="1">IF(模拟模式!$N$7="日月同辉",IF(DB270=2,0,MIN(6,IF(AND(OR(C271="赤日轮1",C271="赤日轮2",C271="赤日轮3",C271="幽月轮1",C271="幽月轮2",C271="幽月轮3"),AB271=1),DA270+1,DA270))),0)</f>
        <v>1</v>
      </c>
      <c r="DB271" s="115">
        <f t="shared" ca="1" si="208"/>
        <v>0</v>
      </c>
      <c r="DC271" s="115"/>
      <c r="DD271" s="115"/>
      <c r="DE271" s="115"/>
      <c r="DF271" s="115"/>
      <c r="DG271" s="115"/>
      <c r="DH271" s="115"/>
      <c r="DI271" s="115"/>
      <c r="DJ271" s="115"/>
      <c r="DK271" s="115"/>
      <c r="DL271" s="115"/>
      <c r="DM271" s="115"/>
    </row>
    <row r="272" spans="2:117" x14ac:dyDescent="0.2">
      <c r="B272" s="117">
        <f t="shared" si="209"/>
        <v>226.01250000000138</v>
      </c>
      <c r="C272" s="167" t="str">
        <f t="shared" ca="1" si="202"/>
        <v>净世破魔击·日</v>
      </c>
      <c r="D272" s="115">
        <f ca="1">IF(C272="赤日轮1",1,IF(C272="赤日轮2",2,IF(C272="赤日轮3",3,IF(C272="幽月轮1",4,IF(C272="幽月轮2",5,IF(C272="幽月轮3",6,IF(C272="烈日斩",7,IF(C272="银月斩",8,IF(C272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272="净世破魔击·月",17,IF(C272="驱夜断愁",18,0)))))))))))</f>
        <v>9</v>
      </c>
      <c r="E272" s="115">
        <f ca="1">IF(AND(CU272,OR(C272="幽月轮1",C272="幽月轮2",C272="幽月轮3",C272="银月斩",C272="驱夜断愁",C272="净世破魔击·月")),100,MIN(IF(OR(CN272,BE272),0,IF(OR($C272="赤日轮1",$C272="赤日轮2",$C272="赤日轮3"),E271+20+IF(模拟模式!$I$7="日月凌天",4,0)+IF(CR271,20,0),IF($C272="烈日斩",E271+40,IF($C272="驱夜断愁",IF(模拟模式!$R$7="万念俱寂",E271+20,E271+60),IF($C272="净世破魔击·月",IF(OR(DB271&gt;0,CV271&gt;0),100,IF(模拟模式!$M$7="辉耀红尘",E271+20,E271)),IF($C272="净世破魔击·日",E271-100,E271)))))),100))</f>
        <v>0</v>
      </c>
      <c r="F272" s="115">
        <f ca="1">IF(AND(CU272,OR(C272="赤日轮1",C272="赤日轮2",C272="赤日轮3",C272="烈日斩",C272="净世破魔击·日")),100,MIN(IF(CO272,0,IF(OR($C272="幽月轮1",$C272="幽月轮2",$C272="幽月轮3"),F271+20+IF(模拟模式!$I$7="日月凌天",4,0)+IF(CS271,20,0),IF($C272="银月斩",F271+40+IF(模拟模式!$X$12=1,5,0),IF($C272="驱夜断愁",IF(模拟模式!$R$7="万念俱寂",F271+20,F271+60),IF($C272="净世破魔击·月",IF(模拟模式!$M$7="辉耀红尘",F271-80,F271-100),IF(AND(C272="净世破魔击·日",OR(DB271&gt;0,CV271&gt;0)),100,F271)))))),100))</f>
        <v>20</v>
      </c>
      <c r="G272" s="117">
        <f ca="1">('模拟-全程加成'!$E$3+'模拟-全程加成'!$E$4+'模拟-全程加成'!$E$5+('模拟-全程加成'!$C$6-'模拟-全程加成'!$C$3)*系数!$B$9+BS272*23)*(1+'模拟-全程加成'!$F$4+'模拟-全程加成'!$F$5+BJ272*10%+BM272*20%+BP272*4%+CG272*30%)+$F$7*系数!$B$12</f>
        <v>21493.829400000002</v>
      </c>
      <c r="H272" s="45">
        <f ca="1">'模拟-全程加成'!$H$3+'模拟-全程加成'!$H$4+'模拟-全程加成'!$H$5+('模拟-全程加成'!$G$4+'模拟-全程加成'!$G$5+('模拟-全程加成'!$C$6-'模拟-全程加成'!$C$3)*系数!$B$13)/系数!$B$3+LOOKUP(D272,'模拟-单技能数据'!$A$2:$A$19,'模拟-单技能数据'!$K$2:$K$19)+BG272*10%+IF(BV272&gt;0,378,0)</f>
        <v>0.54185145527300216</v>
      </c>
      <c r="I272" s="45">
        <f ca="1">'模拟-全程加成'!$J$3+'模拟-全程加成'!$J$4+'模拟-全程加成'!$J$5+('模拟-全程加成'!$I$4+'模拟-全程加成'!$I$5)/系数!$B$4+LOOKUP(D272,'模拟-单技能数据'!$A$2:$A$19,'模拟-单技能数据'!$L$2:$L$19)+BG272*10%</f>
        <v>2.162482885499879</v>
      </c>
      <c r="J272" s="45">
        <f ca="1">(('模拟-全程加成'!$K$3+'模拟-全程加成'!$K$4+'模拟-全程加成'!$K$5+('模拟-全程加成'!$C$6-'模拟-全程加成'!$C$3)*系数!$B$10+IF(BV272&gt;0,882,0)+IF(BY272&gt;0,1831,0))*(1+'模拟-全程加成'!$L$4+'模拟-全程加成'!$L$5+CC272*20%))/系数!$B$5</f>
        <v>0.69723220422048726</v>
      </c>
      <c r="K272" s="119">
        <f ca="1">LOOKUP(D272,'模拟-单技能数据'!$A$2:$A$19,'模拟-单技能数据'!$J$2:$J$19)+IF(CM272,60%,0)+IF(DB271-DB272&gt;0,30%,0)+IF(OR(AND(OR(C272="赤日轮1",C272="赤日轮2",C272="赤日轮3"),CR272),AND(OR(C272="幽月轮1",C272="幽月轮2",C272="幽月轮3"),CS272)),35%,0)+CJ272</f>
        <v>0.8</v>
      </c>
      <c r="L272" s="119">
        <f ca="1">IF(AND(C272="烈日斩",模拟模式!$X$11=1),10%,0)+IF(AND(C272="驱夜断愁",AB272=1),30%,0)</f>
        <v>0</v>
      </c>
      <c r="M272" s="45">
        <f t="shared" ca="1" si="241"/>
        <v>0.54185145527300216</v>
      </c>
      <c r="N272" s="45">
        <f t="shared" ca="1" si="242"/>
        <v>0.40424854472699789</v>
      </c>
      <c r="O272" s="46">
        <f t="shared" ca="1" si="210"/>
        <v>0.21571632487604964</v>
      </c>
      <c r="P272" s="46" t="str">
        <f t="shared" ca="1" si="211"/>
        <v>会</v>
      </c>
      <c r="Q272" s="45">
        <f t="shared" ca="1" si="212"/>
        <v>2.162482885499879</v>
      </c>
      <c r="R272" s="117">
        <f ca="1">模拟模式!$E$20*(1-IF(模拟模式!$J$19="有",0.15,0))*(1-IF(模拟模式!$K$19="有",0.3,0)-IF(CQ272,0.5,0))</f>
        <v>843.02999999999975</v>
      </c>
      <c r="S272" s="45">
        <f ca="1">R272/(R272+(185*模拟模式!$E$22-16800)*4.08224)</f>
        <v>8.389626085980037E-2</v>
      </c>
      <c r="T272" s="45" t="str">
        <f ca="1">LOOKUP(D272,'模拟-单技能数据'!$A$2:$A$19,'模拟-单技能数据'!$H$2:$H$19)</f>
        <v>阳</v>
      </c>
      <c r="U272" s="119">
        <f t="shared" ca="1" si="243"/>
        <v>0.2</v>
      </c>
      <c r="V272" s="47">
        <f ca="1">(1+L272)*(LOOKUP(D272,'模拟-单技能数据'!$A$2:$A$19,'模拟-单技能数据'!$D$2:$D$19)+G272*LOOKUP(D272,'模拟-单技能数据'!$A$2:$A$19,'模拟-单技能数据'!$F$2:$F$19))*(1+J272)*(1+K272)*(1-S272)*(1+U272)*Q272*LOOKUP(D272,'模拟-单技能数据'!$A$2:$A$19,'模拟-单技能数据'!$I$2:$I$20)</f>
        <v>204517.60843249681</v>
      </c>
      <c r="W272" s="47">
        <f ca="1">LOOKUP(D272,'模拟-单技能数据'!$A$2:$A$19,'模拟-单技能数据'!$G$2:$G$19)*$I$10</f>
        <v>723.0212870940959</v>
      </c>
      <c r="X272" s="47">
        <f t="shared" ca="1" si="213"/>
        <v>11428.993082340676</v>
      </c>
      <c r="Y272" s="47">
        <f t="shared" ca="1" si="244"/>
        <v>216669.62280193157</v>
      </c>
      <c r="Z272" s="49">
        <f t="shared" ca="1" si="245"/>
        <v>26149966.892789133</v>
      </c>
      <c r="AA272" s="97">
        <f t="shared" ca="1" si="246"/>
        <v>115701.4186949349</v>
      </c>
      <c r="AB272" s="115">
        <f ca="1">IF(OR(C272="赤日轮1",C272="赤日轮2",C272="赤日轮3"),IF(RAND()&lt;模拟模式!$Y$17,1,0),IF(OR(C272="幽月轮1",C272="幽月轮2",C272="幽月轮3"),IF(RAND()&lt;模拟模式!$Y$18,1,0),IF(C272="烈日斩",IF(RAND()&lt;模拟模式!$Y$19,1,0),IF(C272="银月斩",IF(RAND()&lt;模拟模式!$Y$20,1,0),IF(C272="驱夜断愁",IF(RAND()&lt;模拟模式!$Y$21,1,0),IF(C272="净世破魔击·日",IF(RAND()&lt;模拟模式!$Y$22,1,0),IF(C272="净世破魔击·月",IF(RAND()&lt;模拟模式!$Y$23,1,0),0)))))))</f>
        <v>1</v>
      </c>
      <c r="AC272" s="115" t="b">
        <f t="shared" ca="1" si="234"/>
        <v>0</v>
      </c>
      <c r="AD272" s="115" t="b">
        <f t="shared" ca="1" si="254"/>
        <v>1</v>
      </c>
      <c r="AE272" s="115">
        <f t="shared" ca="1" si="255"/>
        <v>3</v>
      </c>
      <c r="AF272" s="47">
        <f ca="1">IF(AC272,('模拟-单技能数据'!$D$20+G272*'模拟-单技能数据'!$F$20)*(1+J272)*(1+'模拟-单技能数据'!$J$20)*(1+U272),0)</f>
        <v>0</v>
      </c>
      <c r="AG272" s="61">
        <f t="shared" ca="1" si="247"/>
        <v>0.64185145527300214</v>
      </c>
      <c r="AH272" s="61">
        <f t="shared" ca="1" si="248"/>
        <v>2.2624828854998791</v>
      </c>
      <c r="AI272" s="62">
        <f t="shared" ca="1" si="214"/>
        <v>0.12191964225180807</v>
      </c>
      <c r="AJ272" s="47">
        <f ca="1">IF(AD272,IF(AI272&lt;$F$10,0,IF(AI272&lt;$F$10+$F$11,0.25,IF(AI272&lt;$F$10+$F$11+AG272,AH272,1)))*IF(AF272&gt;0,AF272,IF(AF271&gt;0,AF271,IF(AF270&gt;0,AF270,IF(AF269&gt;0,AF269,IF(AF268&gt;0,AF268,IF(AF267&gt;0,AF267,IF(AF266&gt;0,AF266,IF(AF265&gt;0,AF265,IF(AF264&gt;0,AF264,IF(AF262&gt;0,AF262,IF(AF261&gt;0,AF261,IF(AF260&gt;0,AF260,0)))))))))))),0)*(1-$S272)*'模拟-单技能数据'!$I$20</f>
        <v>9218.9345386263849</v>
      </c>
      <c r="AK272" s="115" t="b">
        <f t="shared" ca="1" si="235"/>
        <v>1</v>
      </c>
      <c r="AL272" s="115" t="b">
        <f t="shared" ca="1" si="256"/>
        <v>0</v>
      </c>
      <c r="AM272" s="115">
        <f t="shared" ca="1" si="257"/>
        <v>6</v>
      </c>
      <c r="AN272" s="47">
        <f ca="1">IF(AK272,('模拟-单技能数据'!$D$21+G272*'模拟-单技能数据'!$F$21)*(1+J272)*(1+'模拟-单技能数据'!$J$21)*(1+U272),0)</f>
        <v>12670.936004857545</v>
      </c>
      <c r="AO272" s="61">
        <f ca="1">IF(AN272&gt;0,M272-'模拟-单技能数据'!$K$10,AO271)</f>
        <v>0.42185145527300216</v>
      </c>
      <c r="AP272" s="61">
        <f ca="1">IF(AN272&gt;0,I272-'模拟-单技能数据'!$L$10,AP271)</f>
        <v>2.162482885499879</v>
      </c>
      <c r="AQ272" s="63">
        <f t="shared" ca="1" si="215"/>
        <v>0.93591183814923451</v>
      </c>
      <c r="AR272" s="64">
        <f ca="1">IF(AL272,IF(AQ272&lt;$F$10,0,IF(AQ272&lt;$F$10+$F$11,0.25,IF(AQ272&lt;$F$10+$F$11+AO272,AP272,1)))*IF(AN272&gt;0,AN272,IF(AN271&gt;0,AN271,IF(AN270&gt;0,AN270,IF(AN269&gt;0,AN269,IF(AN268&gt;0,AN268,IF(AN267&gt;0,AN267,IF(AN266&gt;0,AN266,IF(AN265&gt;0,AN265,IF(AN264&gt;0,AN264,IF(AN262&gt;0,AN262,IF(AN261&gt;0,AN261,IF(AN260&gt;0,AN260,0)))))))))))),0)*(1-$S272)*'模拟-单技能数据'!$I$21</f>
        <v>0</v>
      </c>
      <c r="AS272" s="61">
        <f ca="1">IF(OR(C272="净世破魔击·日",C272="净世破魔击·月"),M272-'模拟-单技能数据'!$K$10,0)</f>
        <v>0.42185145527300216</v>
      </c>
      <c r="AT272" s="61">
        <f ca="1">IF(OR(C272="净世破魔击·日",C272="净世破魔击·月"),I272-'模拟-单技能数据'!$L$10,0)</f>
        <v>2.162482885499879</v>
      </c>
      <c r="AU272" s="62">
        <f t="shared" ca="1" si="216"/>
        <v>4.297609328710017E-2</v>
      </c>
      <c r="AV272" s="64">
        <f ca="1">IF(AS272&gt;0,('模拟-单技能数据'!$D$22+G272*'模拟-单技能数据'!$F$22)*(1+J272)*(1-S272)*IF(AU272&lt;$F$10,0,IF(AU272&lt;$F$10+$F$11,0.25,IF(AU272&lt;$F$10+$F$11+AS272,AT272,1)))*(1+U272),0)*'模拟-单技能数据'!$I$22</f>
        <v>2210.0585437142904</v>
      </c>
      <c r="AW272" s="108">
        <f t="shared" ca="1" si="217"/>
        <v>9.8525000000000063</v>
      </c>
      <c r="AX272" s="108" t="b">
        <f ca="1">AND(模拟模式!$P$10="有",AW271=0,RAND()&lt;IF(C272="净世破魔击·月",0.1*8/3,IF(C272="净世破魔击·日",0.1*4/3,0.1*2/3)))</f>
        <v>0</v>
      </c>
      <c r="AY272" s="47">
        <f ca="1">IF(AX272,(18+G272*0.722)*(1+J272)*(1-S272)*(1+$I$4)*IF(P272="会",'模拟-全程加成'!$J$3+'模拟-全程加成'!$J$4+'模拟-全程加成'!$J$5+('模拟-全程加成'!$I$4+'模拟-全程加成'!$I$5)/系数!$B$4+BG272*10%,IF(P272="命",1,IF(P272="识",0.25,0))),0)</f>
        <v>0</v>
      </c>
      <c r="AZ272" s="108">
        <f t="shared" si="218"/>
        <v>17.232500000000002</v>
      </c>
      <c r="BA272" s="108" t="b">
        <f>AND(模拟模式!$Q$10="有",AZ271=0)</f>
        <v>0</v>
      </c>
      <c r="BB272" s="140">
        <f>IF(BA272,(0+G272*0.287)*(1+J272)*(1-S272)*(1+$I$4)*IF(P272="会",'模拟-全程加成'!$J$3+'模拟-全程加成'!$J$4+'模拟-全程加成'!$J$5+('模拟-全程加成'!$I$4+'模拟-全程加成'!$I$5)/系数!$B$4+BG272*10%,IF(P272="命",1,IF(P272="识",0.25,0))),0)</f>
        <v>0</v>
      </c>
      <c r="BC272" s="115" t="b">
        <f ca="1">AND(模拟模式!$R$7="伏明众生",E272=60,F272=20,DA272&lt;5,CZ271&lt;$F$4)</f>
        <v>0</v>
      </c>
      <c r="BD272" s="115">
        <f t="shared" ca="1" si="236"/>
        <v>0</v>
      </c>
      <c r="BE272" s="115" t="b">
        <f t="shared" ca="1" si="237"/>
        <v>0</v>
      </c>
      <c r="BF272" s="47">
        <f ca="1">IF(BC272,4*('模拟-单技能数据'!$D$24+G272*'模拟-单技能数据'!$F$24)*(1+J272)*(1+'模拟-单技能数据'!$J$24)*(1-S272)*(1+$I$3)*(('模拟-全程加成'!$J$3+'模拟-全程加成'!$J$4+'模拟-全程加成'!$J$5+('模拟-全程加成'!$I$4+'模拟-全程加成'!$I$5)/系数!$B$4+BG272*10%)*('模拟-全程加成'!$J$3+'模拟-全程加成'!$J$4+'模拟-全程加成'!$J$5+('模拟-全程加成'!$I$4+'模拟-全程加成'!$I$5)/系数!$B$4+BG272*10%)+(1-('模拟-全程加成'!$J$3+'模拟-全程加成'!$J$4+'模拟-全程加成'!$J$5+('模拟-全程加成'!$I$4+'模拟-全程加成'!$I$5)/系数!$B$4+BG272*10%)-$F$10-$F$11)+F258*0.25),0)*'模拟-单技能数据'!$I$24</f>
        <v>0</v>
      </c>
      <c r="BG272" s="115" t="b">
        <f ca="1">OR(AND(OR(C272="烈日斩",C272="银月斩"),模拟模式!$I$7="净身明礼"),AND(C272="净世破魔击·日",模拟模式!$J$7="洞若观火"),AND(C273="净世破魔击·月",模拟模式!$J$7="洞若观火"),AB272=1)</f>
        <v>1</v>
      </c>
      <c r="BH272" s="115" t="b">
        <f t="shared" ca="1" si="219"/>
        <v>0</v>
      </c>
      <c r="BI272" s="115">
        <f t="shared" ca="1" si="238"/>
        <v>5.0774999999999997</v>
      </c>
      <c r="BJ272" s="115" t="b">
        <f t="shared" ca="1" si="249"/>
        <v>1</v>
      </c>
      <c r="BK272" s="115" t="b">
        <f ca="1">AND(C272="驱夜断愁",模拟模式!$P$7="天地诛戮")</f>
        <v>0</v>
      </c>
      <c r="BL272" s="57">
        <f t="shared" ca="1" si="239"/>
        <v>16.310000000000002</v>
      </c>
      <c r="BM272" s="115" t="b">
        <f t="shared" ca="1" si="250"/>
        <v>1</v>
      </c>
      <c r="BN272" s="115" t="b">
        <f ca="1">AND(OR(C272="赤日轮1",C272="赤日轮2",C272="赤日轮3",C272="幽月轮1",C272="幽月轮2",C272="幽月轮3"),AB272=1,模拟模式!$L$7="明光恒照")</f>
        <v>0</v>
      </c>
      <c r="BO272" s="117">
        <f t="shared" ca="1" si="240"/>
        <v>28.155000000000001</v>
      </c>
      <c r="BP272" s="115">
        <f t="shared" ca="1" si="220"/>
        <v>6</v>
      </c>
      <c r="BQ272" s="115" t="b">
        <f>模拟模式!$K$10="2600·水"</f>
        <v>0</v>
      </c>
      <c r="BR272" s="117">
        <f t="shared" si="221"/>
        <v>0</v>
      </c>
      <c r="BS272" s="115">
        <f t="shared" si="222"/>
        <v>0</v>
      </c>
      <c r="BT272" s="115">
        <f t="shared" ca="1" si="223"/>
        <v>0</v>
      </c>
      <c r="BU272" s="115" t="b">
        <f ca="1">AND(模拟模式!$K$10="2300·雷",BT271=0,RAND()&lt;IF(C272="净世破魔击·月",5*0.05*2/3,IF(C272="净世破魔击·日",3*0.05*2/3,0.05*2*2/3)))</f>
        <v>0</v>
      </c>
      <c r="BV272" s="115">
        <f t="shared" ca="1" si="224"/>
        <v>0</v>
      </c>
      <c r="BW272" s="115">
        <f t="shared" ca="1" si="225"/>
        <v>145.8674999999995</v>
      </c>
      <c r="BX272" s="164" t="b">
        <f t="shared" ca="1" si="226"/>
        <v>0</v>
      </c>
      <c r="BY272" s="115">
        <f t="shared" ca="1" si="227"/>
        <v>0</v>
      </c>
      <c r="BZ272" s="115">
        <f>IF(OR(模拟模式!$P$16="10人团",模拟模式!$P$16="25人团"),IF(B272/30&gt;CA271,1,0),0)</f>
        <v>0</v>
      </c>
      <c r="CA272" s="115">
        <f t="shared" si="203"/>
        <v>0</v>
      </c>
      <c r="CB272" s="115">
        <f ca="1">IF(BZ272=1,IF(模拟模式!$P$16="10人团",15,0)+IF(模拟模式!$P$16="25人团",IF(RAND()&lt;0.6,15,0)),MAX(0,CB271-$F$4))</f>
        <v>0</v>
      </c>
      <c r="CC272" s="115" t="b">
        <f t="shared" ca="1" si="251"/>
        <v>0</v>
      </c>
      <c r="CD272" s="115">
        <f>IF(模拟模式!$Q$16="1个",IF(B272/40&gt;CE271,1,0),0)</f>
        <v>0</v>
      </c>
      <c r="CE272" s="115">
        <f t="shared" si="252"/>
        <v>0</v>
      </c>
      <c r="CF272" s="115">
        <f>IF(OR(CD272=1,模拟模式!$Q$16="2个"),20,MAX(0,CF271-$F$4))</f>
        <v>0</v>
      </c>
      <c r="CG272" s="115" t="b">
        <f t="shared" si="253"/>
        <v>0</v>
      </c>
      <c r="CH272" s="115">
        <f t="shared" ca="1" si="228"/>
        <v>5.0925000000000118</v>
      </c>
      <c r="CI272" s="115" t="b">
        <f t="shared" ca="1" si="229"/>
        <v>0</v>
      </c>
      <c r="CJ272" s="119">
        <f t="shared" ca="1" si="230"/>
        <v>0</v>
      </c>
      <c r="CK272" s="115">
        <f t="shared" ca="1" si="231"/>
        <v>0</v>
      </c>
      <c r="CL272" s="115" t="b">
        <f ca="1">AND(模拟模式!$S$7="驱夷逐法",OR(AND(C272="净世破魔击·月",E271&gt;59),AND(C272="净世破魔击·日",F271&gt;59)))</f>
        <v>0</v>
      </c>
      <c r="CM272" s="115" t="b">
        <f ca="1">OR(CL272,AND(C272="净世破魔击·日",CL271,RAND()&lt;模拟模式!$U$23))</f>
        <v>1</v>
      </c>
      <c r="CN272" s="115" t="b">
        <f ca="1">IF(模拟模式!$M$7="辉耀红尘",AND(C272="净世破魔击·月",CL272,CV272=0,E271&lt;80),AND(C272="净世破魔击·月",CL272,E271&lt;100))</f>
        <v>0</v>
      </c>
      <c r="CO272" s="115" t="b">
        <f t="shared" ca="1" si="204"/>
        <v>0</v>
      </c>
      <c r="CP272" s="115" t="b">
        <f ca="1">AND(模拟模式!$O$7="用晦而明",OR(C272="净世破魔击·日",C272="净世破魔击·月",C272="驱夜断愁"),AB272)</f>
        <v>1</v>
      </c>
      <c r="CQ272" s="115" t="b">
        <f ca="1">OR(CP272,AND(CP271,RAND()&lt;模拟模式!$U$23))</f>
        <v>1</v>
      </c>
      <c r="CR272" s="115" t="b">
        <f ca="1">AND(模拟模式!$S$7="日月齐光",OR(C272="幽月轮1",C272="幽月轮2",C272="幽月轮3",CR271),NOT(OR(C272="赤日轮1",C272="赤日轮2",C272="赤日轮3")))</f>
        <v>0</v>
      </c>
      <c r="CS272" s="115" t="b">
        <f ca="1">AND(模拟模式!$S$7="日月齐光",OR(C272="赤日轮1",C272="赤日轮2",C272="赤日轮3",CS271),NOT(OR(C272="幽月轮1",C272="幽月轮2",C272="幽月轮3")))</f>
        <v>0</v>
      </c>
      <c r="CT272" s="115">
        <f t="shared" ca="1" si="232"/>
        <v>11.550000000000011</v>
      </c>
      <c r="CU272" s="115" t="b">
        <f ca="1">AND(模拟模式!$K$10="阴阳往极",CT271=0,RAND()&lt;IF(C272="净世破魔击·月",0.0275*7/3,IF(C272="净世破魔击·日",0.0275*3/3,0.0275*2/3)))</f>
        <v>0</v>
      </c>
      <c r="CV272" s="115">
        <f t="shared" ca="1" si="233"/>
        <v>0</v>
      </c>
      <c r="CW272" s="115">
        <f t="shared" ca="1" si="205"/>
        <v>3.2324999999999995</v>
      </c>
      <c r="CX272" s="115">
        <f t="shared" ca="1" si="206"/>
        <v>1.3874999999999997</v>
      </c>
      <c r="CY272" s="115">
        <f ca="1">MAX(IF($C272="驱夜断愁",IF(模拟模式!$R$7="万念俱寂",6,45),CY271-$F$4),0)</f>
        <v>2.3099999999999996</v>
      </c>
      <c r="CZ272" s="115">
        <f t="shared" ca="1" si="207"/>
        <v>0</v>
      </c>
      <c r="DA272" s="115">
        <f ca="1">IF(模拟模式!$N$7="日月同辉",IF(DB271=2,0,MIN(6,IF(AND(OR(C272="赤日轮1",C272="赤日轮2",C272="赤日轮3",C272="幽月轮1",C272="幽月轮2",C272="幽月轮3"),AB272=1),DA271+1,DA271))),0)</f>
        <v>1</v>
      </c>
      <c r="DB272" s="115">
        <f t="shared" ca="1" si="208"/>
        <v>0</v>
      </c>
      <c r="DC272" s="115"/>
      <c r="DD272" s="115"/>
      <c r="DE272" s="115"/>
      <c r="DF272" s="115"/>
      <c r="DG272" s="115"/>
      <c r="DH272" s="115"/>
      <c r="DI272" s="115"/>
      <c r="DJ272" s="115"/>
      <c r="DK272" s="115"/>
      <c r="DL272" s="115"/>
      <c r="DM272" s="115"/>
    </row>
    <row r="273" spans="2:117" x14ac:dyDescent="0.2">
      <c r="B273" s="117">
        <f t="shared" si="209"/>
        <v>226.93500000000139</v>
      </c>
      <c r="C273" s="167" t="str">
        <f t="shared" ca="1" si="202"/>
        <v>赤日轮1</v>
      </c>
      <c r="D273" s="115">
        <f ca="1">IF(C273="赤日轮1",1,IF(C273="赤日轮2",2,IF(C273="赤日轮3",3,IF(C273="幽月轮1",4,IF(C273="幽月轮2",5,IF(C273="幽月轮3",6,IF(C273="烈日斩",7,IF(C273="银月斩",8,IF(C273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273="净世破魔击·月",17,IF(C273="驱夜断愁",18,0)))))))))))</f>
        <v>1</v>
      </c>
      <c r="E273" s="115">
        <f ca="1">IF(AND(CU273,OR(C273="幽月轮1",C273="幽月轮2",C273="幽月轮3",C273="银月斩",C273="驱夜断愁",C273="净世破魔击·月")),100,MIN(IF(OR(CN273,BE273),0,IF(OR($C273="赤日轮1",$C273="赤日轮2",$C273="赤日轮3"),E272+20+IF(模拟模式!$I$7="日月凌天",4,0)+IF(CR272,20,0),IF($C273="烈日斩",E272+40,IF($C273="驱夜断愁",IF(模拟模式!$R$7="万念俱寂",E272+20,E272+60),IF($C273="净世破魔击·月",IF(OR(DB272&gt;0,CV272&gt;0),100,IF(模拟模式!$M$7="辉耀红尘",E272+20,E272)),IF($C273="净世破魔击·日",E272-100,E272)))))),100))</f>
        <v>20</v>
      </c>
      <c r="F273" s="115">
        <f ca="1">IF(AND(CU273,OR(C273="赤日轮1",C273="赤日轮2",C273="赤日轮3",C273="烈日斩",C273="净世破魔击·日")),100,MIN(IF(CO273,0,IF(OR($C273="幽月轮1",$C273="幽月轮2",$C273="幽月轮3"),F272+20+IF(模拟模式!$I$7="日月凌天",4,0)+IF(CS272,20,0),IF($C273="银月斩",F272+40+IF(模拟模式!$X$12=1,5,0),IF($C273="驱夜断愁",IF(模拟模式!$R$7="万念俱寂",F272+20,F272+60),IF($C273="净世破魔击·月",IF(模拟模式!$M$7="辉耀红尘",F272-80,F272-100),IF(AND(C273="净世破魔击·日",OR(DB272&gt;0,CV272&gt;0)),100,F272)))))),100))</f>
        <v>20</v>
      </c>
      <c r="G273" s="117">
        <f ca="1">('模拟-全程加成'!$E$3+'模拟-全程加成'!$E$4+'模拟-全程加成'!$E$5+('模拟-全程加成'!$C$6-'模拟-全程加成'!$C$3)*系数!$B$9+BS273*23)*(1+'模拟-全程加成'!$F$4+'模拟-全程加成'!$F$5+BJ273*10%+BM273*20%+BP273*4%+CG273*30%)+$F$7*系数!$B$12</f>
        <v>21493.829400000002</v>
      </c>
      <c r="H273" s="45">
        <f ca="1">'模拟-全程加成'!$H$3+'模拟-全程加成'!$H$4+'模拟-全程加成'!$H$5+('模拟-全程加成'!$G$4+'模拟-全程加成'!$G$5+('模拟-全程加成'!$C$6-'模拟-全程加成'!$C$3)*系数!$B$13)/系数!$B$3+LOOKUP(D273,'模拟-单技能数据'!$A$2:$A$19,'模拟-单技能数据'!$K$2:$K$19)+BG273*10%+IF(BV273&gt;0,378,0)</f>
        <v>0.4618514552730022</v>
      </c>
      <c r="I273" s="45">
        <f ca="1">'模拟-全程加成'!$J$3+'模拟-全程加成'!$J$4+'模拟-全程加成'!$J$5+('模拟-全程加成'!$I$4+'模拟-全程加成'!$I$5)/系数!$B$4+LOOKUP(D273,'模拟-单技能数据'!$A$2:$A$19,'模拟-单技能数据'!$L$2:$L$19)+BG273*10%</f>
        <v>2.162482885499879</v>
      </c>
      <c r="J273" s="45">
        <f ca="1">(('模拟-全程加成'!$K$3+'模拟-全程加成'!$K$4+'模拟-全程加成'!$K$5+('模拟-全程加成'!$C$6-'模拟-全程加成'!$C$3)*系数!$B$10+IF(BV273&gt;0,882,0)+IF(BY273&gt;0,1831,0))*(1+'模拟-全程加成'!$L$4+'模拟-全程加成'!$L$5+CC273*20%))/系数!$B$5</f>
        <v>0.69723220422048726</v>
      </c>
      <c r="K273" s="119">
        <f ca="1">LOOKUP(D273,'模拟-单技能数据'!$A$2:$A$19,'模拟-单技能数据'!$J$2:$J$19)+IF(CM273,60%,0)+IF(DB272-DB273&gt;0,30%,0)+IF(OR(AND(OR(C273="赤日轮1",C273="赤日轮2",C273="赤日轮3"),CR273),AND(OR(C273="幽月轮1",C273="幽月轮2",C273="幽月轮3"),CS273)),35%,0)+CJ273</f>
        <v>0.12</v>
      </c>
      <c r="L273" s="119">
        <f ca="1">IF(AND(C273="烈日斩",模拟模式!$X$11=1),10%,0)+IF(AND(C273="驱夜断愁",AB273=1),30%,0)</f>
        <v>0</v>
      </c>
      <c r="M273" s="45">
        <f t="shared" ca="1" si="241"/>
        <v>0.4618514552730022</v>
      </c>
      <c r="N273" s="45">
        <f t="shared" ca="1" si="242"/>
        <v>0.48424854472699785</v>
      </c>
      <c r="O273" s="46">
        <f t="shared" ca="1" si="210"/>
        <v>0.78314197160872556</v>
      </c>
      <c r="P273" s="46" t="str">
        <f t="shared" ca="1" si="211"/>
        <v>命</v>
      </c>
      <c r="Q273" s="45">
        <f t="shared" ca="1" si="212"/>
        <v>1</v>
      </c>
      <c r="R273" s="117">
        <f ca="1">模拟模式!$E$20*(1-IF(模拟模式!$J$19="有",0.15,0))*(1-IF(模拟模式!$K$19="有",0.3,0)-IF(CQ273,0.5,0))</f>
        <v>843.02999999999975</v>
      </c>
      <c r="S273" s="45">
        <f ca="1">R273/(R273+(185*模拟模式!$E$22-16800)*4.08224)</f>
        <v>8.389626085980037E-2</v>
      </c>
      <c r="T273" s="45" t="str">
        <f ca="1">LOOKUP(D273,'模拟-单技能数据'!$A$2:$A$19,'模拟-单技能数据'!$H$2:$H$19)</f>
        <v>阳</v>
      </c>
      <c r="U273" s="119">
        <f t="shared" ca="1" si="243"/>
        <v>0.2</v>
      </c>
      <c r="V273" s="47">
        <f ca="1">(1+L273)*(LOOKUP(D273,'模拟-单技能数据'!$A$2:$A$19,'模拟-单技能数据'!$D$2:$D$19)+G273*LOOKUP(D273,'模拟-单技能数据'!$A$2:$A$19,'模拟-单技能数据'!$F$2:$F$19))*(1+J273)*(1+K273)*(1-S273)*(1+U273)*Q273*LOOKUP(D273,'模拟-单技能数据'!$A$2:$A$19,'模拟-单技能数据'!$I$2:$I$20)</f>
        <v>26295.771631143321</v>
      </c>
      <c r="W273" s="47">
        <f ca="1">LOOKUP(D273,'模拟-单技能数据'!$A$2:$A$19,'模拟-单技能数据'!$G$2:$G$19)*$I$10</f>
        <v>361.51064354704795</v>
      </c>
      <c r="X273" s="47">
        <f t="shared" ca="1" si="213"/>
        <v>25101.867467669974</v>
      </c>
      <c r="Y273" s="47">
        <f t="shared" ca="1" si="244"/>
        <v>51759.149742360343</v>
      </c>
      <c r="Z273" s="49">
        <f t="shared" ca="1" si="245"/>
        <v>26201726.042531494</v>
      </c>
      <c r="AA273" s="97">
        <f t="shared" ca="1" si="246"/>
        <v>115459.16690916488</v>
      </c>
      <c r="AB273" s="115">
        <f ca="1">IF(OR(C273="赤日轮1",C273="赤日轮2",C273="赤日轮3"),IF(RAND()&lt;模拟模式!$Y$17,1,0),IF(OR(C273="幽月轮1",C273="幽月轮2",C273="幽月轮3"),IF(RAND()&lt;模拟模式!$Y$18,1,0),IF(C273="烈日斩",IF(RAND()&lt;模拟模式!$Y$19,1,0),IF(C273="银月斩",IF(RAND()&lt;模拟模式!$Y$20,1,0),IF(C273="驱夜断愁",IF(RAND()&lt;模拟模式!$Y$21,1,0),IF(C273="净世破魔击·日",IF(RAND()&lt;模拟模式!$Y$22,1,0),IF(C273="净世破魔击·月",IF(RAND()&lt;模拟模式!$Y$23,1,0),0)))))))</f>
        <v>1</v>
      </c>
      <c r="AC273" s="115" t="b">
        <f t="shared" ca="1" si="234"/>
        <v>0</v>
      </c>
      <c r="AD273" s="115" t="b">
        <f t="shared" ca="1" si="254"/>
        <v>0</v>
      </c>
      <c r="AE273" s="115">
        <f t="shared" ca="1" si="255"/>
        <v>3</v>
      </c>
      <c r="AF273" s="47">
        <f ca="1">IF(AC273,('模拟-单技能数据'!$D$20+G273*'模拟-单技能数据'!$F$20)*(1+J273)*(1+'模拟-单技能数据'!$J$20)*(1+U273),0)</f>
        <v>0</v>
      </c>
      <c r="AG273" s="61">
        <f t="shared" ca="1" si="247"/>
        <v>0.64185145527300214</v>
      </c>
      <c r="AH273" s="61">
        <f t="shared" ca="1" si="248"/>
        <v>2.2624828854998791</v>
      </c>
      <c r="AI273" s="62">
        <f t="shared" ca="1" si="214"/>
        <v>0.47077644544212682</v>
      </c>
      <c r="AJ273" s="47">
        <f ca="1">IF(AD273,IF(AI273&lt;$F$10,0,IF(AI273&lt;$F$10+$F$11,0.25,IF(AI273&lt;$F$10+$F$11+AG273,AH273,1)))*IF(AF273&gt;0,AF273,IF(AF272&gt;0,AF272,IF(AF271&gt;0,AF271,IF(AF270&gt;0,AF270,IF(AF269&gt;0,AF269,IF(AF268&gt;0,AF268,IF(AF267&gt;0,AF267,IF(AF266&gt;0,AF266,IF(AF265&gt;0,AF265,IF(AF263&gt;0,AF263,IF(AF262&gt;0,AF262,IF(AF261&gt;0,AF261,0)))))))))))),0)*(1-$S273)*'模拟-单技能数据'!$I$20</f>
        <v>0</v>
      </c>
      <c r="AK273" s="115" t="b">
        <f t="shared" ca="1" si="235"/>
        <v>0</v>
      </c>
      <c r="AL273" s="115" t="b">
        <f t="shared" ca="1" si="256"/>
        <v>1</v>
      </c>
      <c r="AM273" s="115">
        <f t="shared" ca="1" si="257"/>
        <v>5</v>
      </c>
      <c r="AN273" s="47">
        <f ca="1">IF(AK273,('模拟-单技能数据'!$D$21+G273*'模拟-单技能数据'!$F$21)*(1+J273)*(1+'模拟-单技能数据'!$J$21)*(1+U273),0)</f>
        <v>0</v>
      </c>
      <c r="AO273" s="61">
        <f ca="1">IF(AN273&gt;0,M273-'模拟-单技能数据'!$K$10,AO272)</f>
        <v>0.42185145527300216</v>
      </c>
      <c r="AP273" s="61">
        <f ca="1">IF(AN273&gt;0,I273-'模拟-单技能数据'!$L$10,AP272)</f>
        <v>2.162482885499879</v>
      </c>
      <c r="AQ273" s="63">
        <f t="shared" ca="1" si="215"/>
        <v>0.44229217929891051</v>
      </c>
      <c r="AR273" s="64">
        <f ca="1">IF(AL273,IF(AQ273&lt;$F$10,0,IF(AQ273&lt;$F$10+$F$11,0.25,IF(AQ273&lt;$F$10+$F$11+AO273,AP273,1)))*IF(AN273&gt;0,AN273,IF(AN272&gt;0,AN272,IF(AN271&gt;0,AN271,IF(AN270&gt;0,AN270,IF(AN269&gt;0,AN269,IF(AN268&gt;0,AN268,IF(AN267&gt;0,AN267,IF(AN266&gt;0,AN266,IF(AN265&gt;0,AN265,IF(AN263&gt;0,AN263,IF(AN262&gt;0,AN262,IF(AN261&gt;0,AN261,0)))))))))))),0)*(1-$S273)*'模拟-单技能数据'!$I$21</f>
        <v>25101.867467669974</v>
      </c>
      <c r="AS273" s="61">
        <f ca="1">IF(OR(C273="净世破魔击·日",C273="净世破魔击·月"),M273-'模拟-单技能数据'!$K$10,0)</f>
        <v>0</v>
      </c>
      <c r="AT273" s="61">
        <f ca="1">IF(OR(C273="净世破魔击·日",C273="净世破魔击·月"),I273-'模拟-单技能数据'!$L$10,0)</f>
        <v>0</v>
      </c>
      <c r="AU273" s="62">
        <f t="shared" ca="1" si="216"/>
        <v>0.20350307528964573</v>
      </c>
      <c r="AV273" s="64">
        <f ca="1">IF(AS273&gt;0,('模拟-单技能数据'!$D$22+G273*'模拟-单技能数据'!$F$22)*(1+J273)*(1-S273)*IF(AU273&lt;$F$10,0,IF(AU273&lt;$F$10+$F$11,0.25,IF(AU273&lt;$F$10+$F$11+AS273,AT273,1)))*(1+U273),0)*'模拟-单技能数据'!$I$22</f>
        <v>0</v>
      </c>
      <c r="AW273" s="108">
        <f t="shared" ca="1" si="217"/>
        <v>8.9300000000000068</v>
      </c>
      <c r="AX273" s="108" t="b">
        <f ca="1">AND(模拟模式!$P$10="有",AW272=0,RAND()&lt;IF(C273="净世破魔击·月",0.1*8/3,IF(C273="净世破魔击·日",0.1*4/3,0.1*2/3)))</f>
        <v>0</v>
      </c>
      <c r="AY273" s="47">
        <f ca="1">IF(AX273,(18+G273*0.722)*(1+J273)*(1-S273)*(1+$I$4)*IF(P273="会",'模拟-全程加成'!$J$3+'模拟-全程加成'!$J$4+'模拟-全程加成'!$J$5+('模拟-全程加成'!$I$4+'模拟-全程加成'!$I$5)/系数!$B$4+BG273*10%,IF(P273="命",1,IF(P273="识",0.25,0))),0)</f>
        <v>0</v>
      </c>
      <c r="AZ273" s="108">
        <f t="shared" si="218"/>
        <v>16.310000000000002</v>
      </c>
      <c r="BA273" s="108" t="b">
        <f>AND(模拟模式!$Q$10="有",AZ272=0)</f>
        <v>0</v>
      </c>
      <c r="BB273" s="140">
        <f>IF(BA273,(0+G273*0.287)*(1+J273)*(1-S273)*(1+$I$4)*IF(P273="会",'模拟-全程加成'!$J$3+'模拟-全程加成'!$J$4+'模拟-全程加成'!$J$5+('模拟-全程加成'!$I$4+'模拟-全程加成'!$I$5)/系数!$B$4+BG273*10%,IF(P273="命",1,IF(P273="识",0.25,0))),0)</f>
        <v>0</v>
      </c>
      <c r="BC273" s="115" t="b">
        <f ca="1">AND(模拟模式!$R$7="伏明众生",E273=60,F273=20,DA273&lt;5,CZ272&lt;$F$4)</f>
        <v>0</v>
      </c>
      <c r="BD273" s="115">
        <f t="shared" ca="1" si="236"/>
        <v>0</v>
      </c>
      <c r="BE273" s="115" t="b">
        <f t="shared" ca="1" si="237"/>
        <v>0</v>
      </c>
      <c r="BF273" s="47">
        <f ca="1">IF(BC273,4*('模拟-单技能数据'!$D$24+G273*'模拟-单技能数据'!$F$24)*(1+J273)*(1+'模拟-单技能数据'!$J$24)*(1-S273)*(1+$I$3)*(('模拟-全程加成'!$J$3+'模拟-全程加成'!$J$4+'模拟-全程加成'!$J$5+('模拟-全程加成'!$I$4+'模拟-全程加成'!$I$5)/系数!$B$4+BG273*10%)*('模拟-全程加成'!$J$3+'模拟-全程加成'!$J$4+'模拟-全程加成'!$J$5+('模拟-全程加成'!$I$4+'模拟-全程加成'!$I$5)/系数!$B$4+BG273*10%)+(1-('模拟-全程加成'!$J$3+'模拟-全程加成'!$J$4+'模拟-全程加成'!$J$5+('模拟-全程加成'!$I$4+'模拟-全程加成'!$I$5)/系数!$B$4+BG273*10%)-$F$10-$F$11)+F259*0.25),0)*'模拟-单技能数据'!$I$24</f>
        <v>0</v>
      </c>
      <c r="BG273" s="115" t="b">
        <f ca="1">OR(AND(OR(C273="烈日斩",C273="银月斩"),模拟模式!$I$7="净身明礼"),AND(C273="净世破魔击·日",模拟模式!$J$7="洞若观火"),AND(C274="净世破魔击·月",模拟模式!$J$7="洞若观火"),AB273=1)</f>
        <v>1</v>
      </c>
      <c r="BH273" s="115" t="b">
        <f t="shared" ca="1" si="219"/>
        <v>0</v>
      </c>
      <c r="BI273" s="115">
        <f t="shared" ca="1" si="238"/>
        <v>4.1549999999999994</v>
      </c>
      <c r="BJ273" s="115" t="b">
        <f t="shared" ca="1" si="249"/>
        <v>1</v>
      </c>
      <c r="BK273" s="115" t="b">
        <f ca="1">AND(C273="驱夜断愁",模拟模式!$P$7="天地诛戮")</f>
        <v>0</v>
      </c>
      <c r="BL273" s="57">
        <f t="shared" ca="1" si="239"/>
        <v>15.387500000000003</v>
      </c>
      <c r="BM273" s="115" t="b">
        <f t="shared" ca="1" si="250"/>
        <v>1</v>
      </c>
      <c r="BN273" s="115" t="b">
        <f ca="1">AND(OR(C273="赤日轮1",C273="赤日轮2",C273="赤日轮3",C273="幽月轮1",C273="幽月轮2",C273="幽月轮3"),AB273=1,模拟模式!$L$7="明光恒照")</f>
        <v>1</v>
      </c>
      <c r="BO273" s="117">
        <f t="shared" ca="1" si="240"/>
        <v>30</v>
      </c>
      <c r="BP273" s="115">
        <f t="shared" ca="1" si="220"/>
        <v>6</v>
      </c>
      <c r="BQ273" s="115" t="b">
        <f>模拟模式!$K$10="2600·水"</f>
        <v>0</v>
      </c>
      <c r="BR273" s="117">
        <f t="shared" si="221"/>
        <v>0</v>
      </c>
      <c r="BS273" s="115">
        <f t="shared" si="222"/>
        <v>0</v>
      </c>
      <c r="BT273" s="115">
        <f t="shared" ca="1" si="223"/>
        <v>0</v>
      </c>
      <c r="BU273" s="115" t="b">
        <f ca="1">AND(模拟模式!$K$10="2300·雷",BT272=0,RAND()&lt;IF(C273="净世破魔击·月",5*0.05*2/3,IF(C273="净世破魔击·日",3*0.05*2/3,0.05*2*2/3)))</f>
        <v>0</v>
      </c>
      <c r="BV273" s="115">
        <f t="shared" ca="1" si="224"/>
        <v>0</v>
      </c>
      <c r="BW273" s="115">
        <f t="shared" ca="1" si="225"/>
        <v>144.94499999999948</v>
      </c>
      <c r="BX273" s="164" t="b">
        <f t="shared" ca="1" si="226"/>
        <v>0</v>
      </c>
      <c r="BY273" s="115">
        <f t="shared" ca="1" si="227"/>
        <v>0</v>
      </c>
      <c r="BZ273" s="115">
        <f>IF(OR(模拟模式!$P$16="10人团",模拟模式!$P$16="25人团"),IF(B273/30&gt;CA272,1,0),0)</f>
        <v>0</v>
      </c>
      <c r="CA273" s="115">
        <f t="shared" si="203"/>
        <v>0</v>
      </c>
      <c r="CB273" s="115">
        <f ca="1">IF(BZ273=1,IF(模拟模式!$P$16="10人团",15,0)+IF(模拟模式!$P$16="25人团",IF(RAND()&lt;0.6,15,0)),MAX(0,CB272-$F$4))</f>
        <v>0</v>
      </c>
      <c r="CC273" s="115" t="b">
        <f t="shared" ca="1" si="251"/>
        <v>0</v>
      </c>
      <c r="CD273" s="115">
        <f>IF(模拟模式!$Q$16="1个",IF(B273/40&gt;CE272,1,0),0)</f>
        <v>0</v>
      </c>
      <c r="CE273" s="115">
        <f t="shared" si="252"/>
        <v>0</v>
      </c>
      <c r="CF273" s="115">
        <f>IF(OR(CD273=1,模拟模式!$Q$16="2个"),20,MAX(0,CF272-$F$4))</f>
        <v>0</v>
      </c>
      <c r="CG273" s="115" t="b">
        <f t="shared" si="253"/>
        <v>0</v>
      </c>
      <c r="CH273" s="115">
        <f t="shared" ca="1" si="228"/>
        <v>4.1700000000000115</v>
      </c>
      <c r="CI273" s="115" t="b">
        <f t="shared" ca="1" si="229"/>
        <v>0</v>
      </c>
      <c r="CJ273" s="119">
        <f t="shared" ca="1" si="230"/>
        <v>0</v>
      </c>
      <c r="CK273" s="115">
        <f t="shared" ca="1" si="231"/>
        <v>0</v>
      </c>
      <c r="CL273" s="115" t="b">
        <f ca="1">AND(模拟模式!$S$7="驱夷逐法",OR(AND(C273="净世破魔击·月",E272&gt;59),AND(C273="净世破魔击·日",F272&gt;59)))</f>
        <v>0</v>
      </c>
      <c r="CM273" s="115" t="b">
        <f ca="1">OR(CL273,AND(C273="净世破魔击·日",CL272,RAND()&lt;模拟模式!$U$23))</f>
        <v>0</v>
      </c>
      <c r="CN273" s="115" t="b">
        <f ca="1">IF(模拟模式!$M$7="辉耀红尘",AND(C273="净世破魔击·月",CL273,CV273=0,E272&lt;80),AND(C273="净世破魔击·月",CL273,E272&lt;100))</f>
        <v>0</v>
      </c>
      <c r="CO273" s="115" t="b">
        <f t="shared" ca="1" si="204"/>
        <v>0</v>
      </c>
      <c r="CP273" s="115" t="b">
        <f ca="1">AND(模拟模式!$O$7="用晦而明",OR(C273="净世破魔击·日",C273="净世破魔击·月",C273="驱夜断愁"),AB273)</f>
        <v>0</v>
      </c>
      <c r="CQ273" s="115" t="b">
        <f ca="1">OR(CP273,AND(CP272,RAND()&lt;模拟模式!$U$23))</f>
        <v>1</v>
      </c>
      <c r="CR273" s="115" t="b">
        <f ca="1">AND(模拟模式!$S$7="日月齐光",OR(C273="幽月轮1",C273="幽月轮2",C273="幽月轮3",CR272),NOT(OR(C273="赤日轮1",C273="赤日轮2",C273="赤日轮3")))</f>
        <v>0</v>
      </c>
      <c r="CS273" s="115" t="b">
        <f ca="1">AND(模拟模式!$S$7="日月齐光",OR(C273="赤日轮1",C273="赤日轮2",C273="赤日轮3",CS272),NOT(OR(C273="幽月轮1",C273="幽月轮2",C273="幽月轮3")))</f>
        <v>0</v>
      </c>
      <c r="CT273" s="115">
        <f t="shared" ca="1" si="232"/>
        <v>10.627500000000012</v>
      </c>
      <c r="CU273" s="115" t="b">
        <f ca="1">AND(模拟模式!$K$10="阴阳往极",CT272=0,RAND()&lt;IF(C273="净世破魔击·月",0.0275*7/3,IF(C273="净世破魔击·日",0.0275*3/3,0.0275*2/3)))</f>
        <v>0</v>
      </c>
      <c r="CV273" s="115">
        <f t="shared" ca="1" si="233"/>
        <v>0</v>
      </c>
      <c r="CW273" s="115">
        <f t="shared" ca="1" si="205"/>
        <v>2.3099999999999996</v>
      </c>
      <c r="CX273" s="115">
        <f t="shared" ca="1" si="206"/>
        <v>0.46499999999999975</v>
      </c>
      <c r="CY273" s="115">
        <f ca="1">MAX(IF($C273="驱夜断愁",IF(模拟模式!$R$7="万念俱寂",6,45),CY272-$F$4),0)</f>
        <v>1.3874999999999997</v>
      </c>
      <c r="CZ273" s="115">
        <f t="shared" ca="1" si="207"/>
        <v>0</v>
      </c>
      <c r="DA273" s="115">
        <f ca="1">IF(模拟模式!$N$7="日月同辉",IF(DB272=2,0,MIN(6,IF(AND(OR(C273="赤日轮1",C273="赤日轮2",C273="赤日轮3",C273="幽月轮1",C273="幽月轮2",C273="幽月轮3"),AB273=1),DA272+1,DA272))),0)</f>
        <v>2</v>
      </c>
      <c r="DB273" s="115">
        <f t="shared" ca="1" si="208"/>
        <v>0</v>
      </c>
      <c r="DC273" s="115"/>
      <c r="DD273" s="115"/>
      <c r="DE273" s="115"/>
      <c r="DF273" s="115"/>
      <c r="DG273" s="115"/>
      <c r="DH273" s="115"/>
      <c r="DI273" s="115"/>
      <c r="DJ273" s="115"/>
      <c r="DK273" s="115"/>
      <c r="DL273" s="115"/>
      <c r="DM273" s="115"/>
    </row>
    <row r="274" spans="2:117" x14ac:dyDescent="0.2">
      <c r="B274" s="117">
        <f t="shared" si="209"/>
        <v>227.85750000000141</v>
      </c>
      <c r="C274" s="167" t="str">
        <f t="shared" ca="1" si="202"/>
        <v>银月斩</v>
      </c>
      <c r="D274" s="115">
        <f ca="1">IF(C274="赤日轮1",1,IF(C274="赤日轮2",2,IF(C274="赤日轮3",3,IF(C274="幽月轮1",4,IF(C274="幽月轮2",5,IF(C274="幽月轮3",6,IF(C274="烈日斩",7,IF(C274="银月斩",8,IF(C274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274="净世破魔击·月",17,IF(C274="驱夜断愁",18,0)))))))))))</f>
        <v>8</v>
      </c>
      <c r="E274" s="115">
        <f ca="1">IF(AND(CU274,OR(C274="幽月轮1",C274="幽月轮2",C274="幽月轮3",C274="银月斩",C274="驱夜断愁",C274="净世破魔击·月")),100,MIN(IF(OR(CN274,BE274),0,IF(OR($C274="赤日轮1",$C274="赤日轮2",$C274="赤日轮3"),E273+20+IF(模拟模式!$I$7="日月凌天",4,0)+IF(CR273,20,0),IF($C274="烈日斩",E273+40,IF($C274="驱夜断愁",IF(模拟模式!$R$7="万念俱寂",E273+20,E273+60),IF($C274="净世破魔击·月",IF(OR(DB273&gt;0,CV273&gt;0),100,IF(模拟模式!$M$7="辉耀红尘",E273+20,E273)),IF($C274="净世破魔击·日",E273-100,E273)))))),100))</f>
        <v>20</v>
      </c>
      <c r="F274" s="115">
        <f ca="1">IF(AND(CU274,OR(C274="赤日轮1",C274="赤日轮2",C274="赤日轮3",C274="烈日斩",C274="净世破魔击·日")),100,MIN(IF(CO274,0,IF(OR($C274="幽月轮1",$C274="幽月轮2",$C274="幽月轮3"),F273+20+IF(模拟模式!$I$7="日月凌天",4,0)+IF(CS273,20,0),IF($C274="银月斩",F273+40+IF(模拟模式!$X$12=1,5,0),IF($C274="驱夜断愁",IF(模拟模式!$R$7="万念俱寂",F273+20,F273+60),IF($C274="净世破魔击·月",IF(模拟模式!$M$7="辉耀红尘",F273-80,F273-100),IF(AND(C274="净世破魔击·日",OR(DB273&gt;0,CV273&gt;0)),100,F273)))))),100))</f>
        <v>65</v>
      </c>
      <c r="G274" s="117">
        <f ca="1">('模拟-全程加成'!$E$3+'模拟-全程加成'!$E$4+'模拟-全程加成'!$E$5+('模拟-全程加成'!$C$6-'模拟-全程加成'!$C$3)*系数!$B$9+BS274*23)*(1+'模拟-全程加成'!$F$4+'模拟-全程加成'!$F$5+BJ274*10%+BM274*20%+BP274*4%+CG274*30%)+$F$7*系数!$B$12</f>
        <v>21493.829400000002</v>
      </c>
      <c r="H274" s="45">
        <f ca="1">'模拟-全程加成'!$H$3+'模拟-全程加成'!$H$4+'模拟-全程加成'!$H$5+('模拟-全程加成'!$G$4+'模拟-全程加成'!$G$5+('模拟-全程加成'!$C$6-'模拟-全程加成'!$C$3)*系数!$B$13)/系数!$B$3+LOOKUP(D274,'模拟-单技能数据'!$A$2:$A$19,'模拟-单技能数据'!$K$2:$K$19)+BG274*10%+IF(BV274&gt;0,378,0)</f>
        <v>0.64185145527300214</v>
      </c>
      <c r="I274" s="45">
        <f ca="1">'模拟-全程加成'!$J$3+'模拟-全程加成'!$J$4+'模拟-全程加成'!$J$5+('模拟-全程加成'!$I$4+'模拟-全程加成'!$I$5)/系数!$B$4+LOOKUP(D274,'模拟-单技能数据'!$A$2:$A$19,'模拟-单技能数据'!$L$2:$L$19)+BG274*10%</f>
        <v>2.2624828854998791</v>
      </c>
      <c r="J274" s="45">
        <f ca="1">(('模拟-全程加成'!$K$3+'模拟-全程加成'!$K$4+'模拟-全程加成'!$K$5+('模拟-全程加成'!$C$6-'模拟-全程加成'!$C$3)*系数!$B$10+IF(BV274&gt;0,882,0)+IF(BY274&gt;0,1831,0))*(1+'模拟-全程加成'!$L$4+'模拟-全程加成'!$L$5+CC274*20%))/系数!$B$5</f>
        <v>0.69723220422048726</v>
      </c>
      <c r="K274" s="119">
        <f ca="1">LOOKUP(D274,'模拟-单技能数据'!$A$2:$A$19,'模拟-单技能数据'!$J$2:$J$19)+IF(CM274,60%,0)+IF(DB273-DB274&gt;0,30%,0)+IF(OR(AND(OR(C274="赤日轮1",C274="赤日轮2",C274="赤日轮3"),CR274),AND(OR(C274="幽月轮1",C274="幽月轮2",C274="幽月轮3"),CS274)),35%,0)+CJ274</f>
        <v>0.15</v>
      </c>
      <c r="L274" s="119">
        <f ca="1">IF(AND(C274="烈日斩",模拟模式!$X$11=1),10%,0)+IF(AND(C274="驱夜断愁",AB274=1),30%,0)</f>
        <v>0</v>
      </c>
      <c r="M274" s="45">
        <f t="shared" ca="1" si="241"/>
        <v>0.64185145527300214</v>
      </c>
      <c r="N274" s="45">
        <f t="shared" ca="1" si="242"/>
        <v>0.30424854472699792</v>
      </c>
      <c r="O274" s="46">
        <f t="shared" ca="1" si="210"/>
        <v>0.84351056598229357</v>
      </c>
      <c r="P274" s="46" t="str">
        <f t="shared" ca="1" si="211"/>
        <v>命</v>
      </c>
      <c r="Q274" s="45">
        <f t="shared" ca="1" si="212"/>
        <v>1</v>
      </c>
      <c r="R274" s="117">
        <f ca="1">模拟模式!$E$20*(1-IF(模拟模式!$J$19="有",0.15,0))*(1-IF(模拟模式!$K$19="有",0.3,0)-IF(CQ274,0.5,0))</f>
        <v>2950.6049999999996</v>
      </c>
      <c r="S274" s="45">
        <f ca="1">R274/(R274+(185*模拟模式!$E$22-16800)*4.08224)</f>
        <v>0.24272716014590323</v>
      </c>
      <c r="T274" s="45" t="str">
        <f ca="1">LOOKUP(D274,'模拟-单技能数据'!$A$2:$A$19,'模拟-单技能数据'!$H$2:$H$19)</f>
        <v>阴</v>
      </c>
      <c r="U274" s="119">
        <f t="shared" ca="1" si="243"/>
        <v>0.08</v>
      </c>
      <c r="V274" s="47">
        <f ca="1">(1+L274)*(LOOKUP(D274,'模拟-单技能数据'!$A$2:$A$19,'模拟-单技能数据'!$D$2:$D$19)+G274*LOOKUP(D274,'模拟-单技能数据'!$A$2:$A$19,'模拟-单技能数据'!$F$2:$F$19))*(1+J274)*(1+K274)*(1-S274)*(1+U274)*Q274*LOOKUP(D274,'模拟-单技能数据'!$A$2:$A$19,'模拟-单技能数据'!$I$2:$I$20)</f>
        <v>18215.255972688272</v>
      </c>
      <c r="W274" s="47">
        <f ca="1">LOOKUP(D274,'模拟-单技能数据'!$A$2:$A$19,'模拟-单技能数据'!$G$2:$G$19)*$I$10</f>
        <v>361.51064354704795</v>
      </c>
      <c r="X274" s="47">
        <f t="shared" ca="1" si="213"/>
        <v>3513.5533621728819</v>
      </c>
      <c r="Y274" s="47">
        <f t="shared" ca="1" si="244"/>
        <v>22090.319978408203</v>
      </c>
      <c r="Z274" s="49">
        <f t="shared" ca="1" si="245"/>
        <v>26223816.362509903</v>
      </c>
      <c r="AA274" s="97">
        <f t="shared" ca="1" si="246"/>
        <v>115088.66885009158</v>
      </c>
      <c r="AB274" s="115">
        <f ca="1">IF(OR(C274="赤日轮1",C274="赤日轮2",C274="赤日轮3"),IF(RAND()&lt;模拟模式!$Y$17,1,0),IF(OR(C274="幽月轮1",C274="幽月轮2",C274="幽月轮3"),IF(RAND()&lt;模拟模式!$Y$18,1,0),IF(C274="烈日斩",IF(RAND()&lt;模拟模式!$Y$19,1,0),IF(C274="银月斩",IF(RAND()&lt;模拟模式!$Y$20,1,0),IF(C274="驱夜断愁",IF(RAND()&lt;模拟模式!$Y$21,1,0),IF(C274="净世破魔击·日",IF(RAND()&lt;模拟模式!$Y$22,1,0),IF(C274="净世破魔击·月",IF(RAND()&lt;模拟模式!$Y$23,1,0),0)))))))</f>
        <v>1</v>
      </c>
      <c r="AC274" s="115" t="b">
        <f t="shared" ca="1" si="234"/>
        <v>1</v>
      </c>
      <c r="AD274" s="115" t="b">
        <f t="shared" ca="1" si="254"/>
        <v>1</v>
      </c>
      <c r="AE274" s="115">
        <f t="shared" ca="1" si="255"/>
        <v>5</v>
      </c>
      <c r="AF274" s="47">
        <f ca="1">IF(AC274,('模拟-单技能数据'!$D$20+G274*'模拟-单技能数据'!$F$20)*(1+J274)*(1+'模拟-单技能数据'!$J$20)*(1+U274),0)</f>
        <v>4639.7456468263617</v>
      </c>
      <c r="AG274" s="61">
        <f t="shared" ca="1" si="247"/>
        <v>0.64185145527300214</v>
      </c>
      <c r="AH274" s="61">
        <f t="shared" ca="1" si="248"/>
        <v>2.2624828854998791</v>
      </c>
      <c r="AI274" s="62">
        <f t="shared" ca="1" si="214"/>
        <v>0.76337526546915002</v>
      </c>
      <c r="AJ274" s="47">
        <f ca="1">IF(AD274,IF(AI274&lt;$F$10,0,IF(AI274&lt;$F$10+$F$11,0.25,IF(AI274&lt;$F$10+$F$11+AG274,AH274,1)))*IF(AF274&gt;0,AF274,IF(AF273&gt;0,AF273,IF(AF272&gt;0,AF272,IF(AF271&gt;0,AF271,IF(AF270&gt;0,AF270,IF(AF269&gt;0,AF269,IF(AF268&gt;0,AF268,IF(AF267&gt;0,AF267,IF(AF266&gt;0,AF266,IF(AF264&gt;0,AF264,IF(AF263&gt;0,AF263,IF(AF262&gt;0,AF262,0)))))))))))),0)*(1-$S274)*'模拟-单技能数据'!$I$20</f>
        <v>3513.5533621728819</v>
      </c>
      <c r="AK274" s="115" t="b">
        <f t="shared" ca="1" si="235"/>
        <v>0</v>
      </c>
      <c r="AL274" s="115" t="b">
        <f t="shared" ca="1" si="256"/>
        <v>0</v>
      </c>
      <c r="AM274" s="115">
        <f t="shared" ca="1" si="257"/>
        <v>5</v>
      </c>
      <c r="AN274" s="47">
        <f ca="1">IF(AK274,('模拟-单技能数据'!$D$21+G274*'模拟-单技能数据'!$F$21)*(1+J274)*(1+'模拟-单技能数据'!$J$21)*(1+U274),0)</f>
        <v>0</v>
      </c>
      <c r="AO274" s="61">
        <f ca="1">IF(AN274&gt;0,M274-'模拟-单技能数据'!$K$10,AO273)</f>
        <v>0.42185145527300216</v>
      </c>
      <c r="AP274" s="61">
        <f ca="1">IF(AN274&gt;0,I274-'模拟-单技能数据'!$L$10,AP273)</f>
        <v>2.162482885499879</v>
      </c>
      <c r="AQ274" s="63">
        <f t="shared" ca="1" si="215"/>
        <v>0.47248212037238591</v>
      </c>
      <c r="AR274" s="64">
        <f ca="1">IF(AL274,IF(AQ274&lt;$F$10,0,IF(AQ274&lt;$F$10+$F$11,0.25,IF(AQ274&lt;$F$10+$F$11+AO274,AP274,1)))*IF(AN274&gt;0,AN274,IF(AN273&gt;0,AN273,IF(AN272&gt;0,AN272,IF(AN271&gt;0,AN271,IF(AN270&gt;0,AN270,IF(AN269&gt;0,AN269,IF(AN268&gt;0,AN268,IF(AN267&gt;0,AN267,IF(AN266&gt;0,AN266,IF(AN264&gt;0,AN264,IF(AN263&gt;0,AN263,IF(AN262&gt;0,AN262,0)))))))))))),0)*(1-$S274)*'模拟-单技能数据'!$I$21</f>
        <v>0</v>
      </c>
      <c r="AS274" s="61">
        <f ca="1">IF(OR(C274="净世破魔击·日",C274="净世破魔击·月"),M274-'模拟-单技能数据'!$K$10,0)</f>
        <v>0</v>
      </c>
      <c r="AT274" s="61">
        <f ca="1">IF(OR(C274="净世破魔击·日",C274="净世破魔击·月"),I274-'模拟-单技能数据'!$L$10,0)</f>
        <v>0</v>
      </c>
      <c r="AU274" s="62">
        <f t="shared" ca="1" si="216"/>
        <v>2.4215894063421506E-2</v>
      </c>
      <c r="AV274" s="64">
        <f ca="1">IF(AS274&gt;0,('模拟-单技能数据'!$D$22+G274*'模拟-单技能数据'!$F$22)*(1+J274)*(1-S274)*IF(AU274&lt;$F$10,0,IF(AU274&lt;$F$10+$F$11,0.25,IF(AU274&lt;$F$10+$F$11+AS274,AT274,1)))*(1+U274),0)*'模拟-单技能数据'!$I$22</f>
        <v>0</v>
      </c>
      <c r="AW274" s="108">
        <f t="shared" ca="1" si="217"/>
        <v>8.0075000000000074</v>
      </c>
      <c r="AX274" s="108" t="b">
        <f ca="1">AND(模拟模式!$P$10="有",AW273=0,RAND()&lt;IF(C274="净世破魔击·月",0.1*8/3,IF(C274="净世破魔击·日",0.1*4/3,0.1*2/3)))</f>
        <v>0</v>
      </c>
      <c r="AY274" s="47">
        <f ca="1">IF(AX274,(18+G274*0.722)*(1+J274)*(1-S274)*(1+$I$4)*IF(P274="会",'模拟-全程加成'!$J$3+'模拟-全程加成'!$J$4+'模拟-全程加成'!$J$5+('模拟-全程加成'!$I$4+'模拟-全程加成'!$I$5)/系数!$B$4+BG274*10%,IF(P274="命",1,IF(P274="识",0.25,0))),0)</f>
        <v>0</v>
      </c>
      <c r="AZ274" s="108">
        <f t="shared" si="218"/>
        <v>15.387500000000003</v>
      </c>
      <c r="BA274" s="108" t="b">
        <f>AND(模拟模式!$Q$10="有",AZ273=0)</f>
        <v>0</v>
      </c>
      <c r="BB274" s="140">
        <f>IF(BA274,(0+G274*0.287)*(1+J274)*(1-S274)*(1+$I$4)*IF(P274="会",'模拟-全程加成'!$J$3+'模拟-全程加成'!$J$4+'模拟-全程加成'!$J$5+('模拟-全程加成'!$I$4+'模拟-全程加成'!$I$5)/系数!$B$4+BG274*10%,IF(P274="命",1,IF(P274="识",0.25,0))),0)</f>
        <v>0</v>
      </c>
      <c r="BC274" s="115" t="b">
        <f ca="1">AND(模拟模式!$R$7="伏明众生",E274=60,F274=20,DA274&lt;5,CZ273&lt;$F$4)</f>
        <v>0</v>
      </c>
      <c r="BD274" s="115">
        <f t="shared" ca="1" si="236"/>
        <v>0</v>
      </c>
      <c r="BE274" s="115" t="b">
        <f t="shared" ca="1" si="237"/>
        <v>0</v>
      </c>
      <c r="BF274" s="47">
        <f ca="1">IF(BC274,4*('模拟-单技能数据'!$D$24+G274*'模拟-单技能数据'!$F$24)*(1+J274)*(1+'模拟-单技能数据'!$J$24)*(1-S274)*(1+$I$3)*(('模拟-全程加成'!$J$3+'模拟-全程加成'!$J$4+'模拟-全程加成'!$J$5+('模拟-全程加成'!$I$4+'模拟-全程加成'!$I$5)/系数!$B$4+BG274*10%)*('模拟-全程加成'!$J$3+'模拟-全程加成'!$J$4+'模拟-全程加成'!$J$5+('模拟-全程加成'!$I$4+'模拟-全程加成'!$I$5)/系数!$B$4+BG274*10%)+(1-('模拟-全程加成'!$J$3+'模拟-全程加成'!$J$4+'模拟-全程加成'!$J$5+('模拟-全程加成'!$I$4+'模拟-全程加成'!$I$5)/系数!$B$4+BG274*10%)-$F$10-$F$11)+F260*0.25),0)*'模拟-单技能数据'!$I$24</f>
        <v>0</v>
      </c>
      <c r="BG274" s="115" t="b">
        <f ca="1">OR(AND(OR(C274="烈日斩",C274="银月斩"),模拟模式!$I$7="净身明礼"),AND(C274="净世破魔击·日",模拟模式!$J$7="洞若观火"),AND(C275="净世破魔击·月",模拟模式!$J$7="洞若观火"),AB274=1)</f>
        <v>1</v>
      </c>
      <c r="BH274" s="115" t="b">
        <f t="shared" ca="1" si="219"/>
        <v>0</v>
      </c>
      <c r="BI274" s="115">
        <f t="shared" ca="1" si="238"/>
        <v>3.2324999999999995</v>
      </c>
      <c r="BJ274" s="115" t="b">
        <f t="shared" ca="1" si="249"/>
        <v>1</v>
      </c>
      <c r="BK274" s="115" t="b">
        <f ca="1">AND(C274="驱夜断愁",模拟模式!$P$7="天地诛戮")</f>
        <v>0</v>
      </c>
      <c r="BL274" s="57">
        <f t="shared" ca="1" si="239"/>
        <v>14.465000000000003</v>
      </c>
      <c r="BM274" s="115" t="b">
        <f t="shared" ca="1" si="250"/>
        <v>1</v>
      </c>
      <c r="BN274" s="115" t="b">
        <f ca="1">AND(OR(C274="赤日轮1",C274="赤日轮2",C274="赤日轮3",C274="幽月轮1",C274="幽月轮2",C274="幽月轮3"),AB274=1,模拟模式!$L$7="明光恒照")</f>
        <v>0</v>
      </c>
      <c r="BO274" s="117">
        <f t="shared" ca="1" si="240"/>
        <v>29.077500000000001</v>
      </c>
      <c r="BP274" s="115">
        <f t="shared" ca="1" si="220"/>
        <v>6</v>
      </c>
      <c r="BQ274" s="115" t="b">
        <f>模拟模式!$K$10="2600·水"</f>
        <v>0</v>
      </c>
      <c r="BR274" s="117">
        <f t="shared" si="221"/>
        <v>0</v>
      </c>
      <c r="BS274" s="115">
        <f t="shared" si="222"/>
        <v>0</v>
      </c>
      <c r="BT274" s="115">
        <f t="shared" ca="1" si="223"/>
        <v>0</v>
      </c>
      <c r="BU274" s="115" t="b">
        <f ca="1">AND(模拟模式!$K$10="2300·雷",BT273=0,RAND()&lt;IF(C274="净世破魔击·月",5*0.05*2/3,IF(C274="净世破魔击·日",3*0.05*2/3,0.05*2*2/3)))</f>
        <v>0</v>
      </c>
      <c r="BV274" s="115">
        <f t="shared" ca="1" si="224"/>
        <v>0</v>
      </c>
      <c r="BW274" s="115">
        <f t="shared" ca="1" si="225"/>
        <v>144.02249999999947</v>
      </c>
      <c r="BX274" s="164" t="b">
        <f t="shared" ca="1" si="226"/>
        <v>0</v>
      </c>
      <c r="BY274" s="115">
        <f t="shared" ca="1" si="227"/>
        <v>0</v>
      </c>
      <c r="BZ274" s="115">
        <f>IF(OR(模拟模式!$P$16="10人团",模拟模式!$P$16="25人团"),IF(B274/30&gt;CA273,1,0),0)</f>
        <v>0</v>
      </c>
      <c r="CA274" s="115">
        <f t="shared" si="203"/>
        <v>0</v>
      </c>
      <c r="CB274" s="115">
        <f ca="1">IF(BZ274=1,IF(模拟模式!$P$16="10人团",15,0)+IF(模拟模式!$P$16="25人团",IF(RAND()&lt;0.6,15,0)),MAX(0,CB273-$F$4))</f>
        <v>0</v>
      </c>
      <c r="CC274" s="115" t="b">
        <f t="shared" ca="1" si="251"/>
        <v>0</v>
      </c>
      <c r="CD274" s="115">
        <f>IF(模拟模式!$Q$16="1个",IF(B274/40&gt;CE273,1,0),0)</f>
        <v>0</v>
      </c>
      <c r="CE274" s="115">
        <f t="shared" si="252"/>
        <v>0</v>
      </c>
      <c r="CF274" s="115">
        <f>IF(OR(CD274=1,模拟模式!$Q$16="2个"),20,MAX(0,CF273-$F$4))</f>
        <v>0</v>
      </c>
      <c r="CG274" s="115" t="b">
        <f t="shared" si="253"/>
        <v>0</v>
      </c>
      <c r="CH274" s="115">
        <f t="shared" ca="1" si="228"/>
        <v>3.2475000000000116</v>
      </c>
      <c r="CI274" s="115" t="b">
        <f t="shared" ca="1" si="229"/>
        <v>0</v>
      </c>
      <c r="CJ274" s="119">
        <f t="shared" ca="1" si="230"/>
        <v>0</v>
      </c>
      <c r="CK274" s="115">
        <f t="shared" ca="1" si="231"/>
        <v>0</v>
      </c>
      <c r="CL274" s="115" t="b">
        <f ca="1">AND(模拟模式!$S$7="驱夷逐法",OR(AND(C274="净世破魔击·月",E273&gt;59),AND(C274="净世破魔击·日",F273&gt;59)))</f>
        <v>0</v>
      </c>
      <c r="CM274" s="115" t="b">
        <f ca="1">OR(CL274,AND(C274="净世破魔击·日",CL273,RAND()&lt;模拟模式!$U$23))</f>
        <v>0</v>
      </c>
      <c r="CN274" s="115" t="b">
        <f ca="1">IF(模拟模式!$M$7="辉耀红尘",AND(C274="净世破魔击·月",CL274,CV274=0,E273&lt;80),AND(C274="净世破魔击·月",CL274,E273&lt;100))</f>
        <v>0</v>
      </c>
      <c r="CO274" s="115" t="b">
        <f t="shared" ca="1" si="204"/>
        <v>0</v>
      </c>
      <c r="CP274" s="115" t="b">
        <f ca="1">AND(模拟模式!$O$7="用晦而明",OR(C274="净世破魔击·日",C274="净世破魔击·月",C274="驱夜断愁"),AB274)</f>
        <v>0</v>
      </c>
      <c r="CQ274" s="115" t="b">
        <f ca="1">OR(CP274,AND(CP273,RAND()&lt;模拟模式!$U$23))</f>
        <v>0</v>
      </c>
      <c r="CR274" s="115" t="b">
        <f ca="1">AND(模拟模式!$S$7="日月齐光",OR(C274="幽月轮1",C274="幽月轮2",C274="幽月轮3",CR273),NOT(OR(C274="赤日轮1",C274="赤日轮2",C274="赤日轮3")))</f>
        <v>0</v>
      </c>
      <c r="CS274" s="115" t="b">
        <f ca="1">AND(模拟模式!$S$7="日月齐光",OR(C274="赤日轮1",C274="赤日轮2",C274="赤日轮3",CS273),NOT(OR(C274="幽月轮1",C274="幽月轮2",C274="幽月轮3")))</f>
        <v>0</v>
      </c>
      <c r="CT274" s="115">
        <f t="shared" ca="1" si="232"/>
        <v>9.7050000000000125</v>
      </c>
      <c r="CU274" s="115" t="b">
        <f ca="1">AND(模拟模式!$K$10="阴阳往极",CT273=0,RAND()&lt;IF(C274="净世破魔击·月",0.0275*7/3,IF(C274="净世破魔击·日",0.0275*3/3,0.0275*2/3)))</f>
        <v>0</v>
      </c>
      <c r="CV274" s="115">
        <f t="shared" ca="1" si="233"/>
        <v>0</v>
      </c>
      <c r="CW274" s="115">
        <f t="shared" ca="1" si="205"/>
        <v>1.3874999999999997</v>
      </c>
      <c r="CX274" s="115">
        <f t="shared" ca="1" si="206"/>
        <v>6</v>
      </c>
      <c r="CY274" s="115">
        <f ca="1">MAX(IF($C274="驱夜断愁",IF(模拟模式!$R$7="万念俱寂",6,45),CY273-$F$4),0)</f>
        <v>0.46499999999999975</v>
      </c>
      <c r="CZ274" s="115">
        <f t="shared" ca="1" si="207"/>
        <v>0</v>
      </c>
      <c r="DA274" s="115">
        <f ca="1">IF(模拟模式!$N$7="日月同辉",IF(DB273=2,0,MIN(6,IF(AND(OR(C274="赤日轮1",C274="赤日轮2",C274="赤日轮3",C274="幽月轮1",C274="幽月轮2",C274="幽月轮3"),AB274=1),DA273+1,DA273))),0)</f>
        <v>2</v>
      </c>
      <c r="DB274" s="115">
        <f t="shared" ca="1" si="208"/>
        <v>0</v>
      </c>
      <c r="DC274" s="115"/>
      <c r="DD274" s="115"/>
      <c r="DE274" s="115"/>
      <c r="DF274" s="115"/>
      <c r="DG274" s="115"/>
      <c r="DH274" s="115"/>
      <c r="DI274" s="115"/>
      <c r="DJ274" s="115"/>
      <c r="DK274" s="115"/>
      <c r="DL274" s="115"/>
      <c r="DM274" s="115"/>
    </row>
    <row r="275" spans="2:117" x14ac:dyDescent="0.2">
      <c r="B275" s="117">
        <f t="shared" si="209"/>
        <v>228.78000000000142</v>
      </c>
      <c r="C275" s="167" t="str">
        <f t="shared" ca="1" si="202"/>
        <v>驱夜断愁</v>
      </c>
      <c r="D275" s="115">
        <f ca="1">IF(C275="赤日轮1",1,IF(C275="赤日轮2",2,IF(C275="赤日轮3",3,IF(C275="幽月轮1",4,IF(C275="幽月轮2",5,IF(C275="幽月轮3",6,IF(C275="烈日斩",7,IF(C275="银月斩",8,IF(C275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275="净世破魔击·月",17,IF(C275="驱夜断愁",18,0)))))))))))</f>
        <v>18</v>
      </c>
      <c r="E275" s="115">
        <f ca="1">IF(AND(CU275,OR(C275="幽月轮1",C275="幽月轮2",C275="幽月轮3",C275="银月斩",C275="驱夜断愁",C275="净世破魔击·月")),100,MIN(IF(OR(CN275,BE275),0,IF(OR($C275="赤日轮1",$C275="赤日轮2",$C275="赤日轮3"),E274+20+IF(模拟模式!$I$7="日月凌天",4,0)+IF(CR274,20,0),IF($C275="烈日斩",E274+40,IF($C275="驱夜断愁",IF(模拟模式!$R$7="万念俱寂",E274+20,E274+60),IF($C275="净世破魔击·月",IF(OR(DB274&gt;0,CV274&gt;0),100,IF(模拟模式!$M$7="辉耀红尘",E274+20,E274)),IF($C275="净世破魔击·日",E274-100,E274)))))),100))</f>
        <v>40</v>
      </c>
      <c r="F275" s="115">
        <f ca="1">IF(AND(CU275,OR(C275="赤日轮1",C275="赤日轮2",C275="赤日轮3",C275="烈日斩",C275="净世破魔击·日")),100,MIN(IF(CO275,0,IF(OR($C275="幽月轮1",$C275="幽月轮2",$C275="幽月轮3"),F274+20+IF(模拟模式!$I$7="日月凌天",4,0)+IF(CS274,20,0),IF($C275="银月斩",F274+40+IF(模拟模式!$X$12=1,5,0),IF($C275="驱夜断愁",IF(模拟模式!$R$7="万念俱寂",F274+20,F274+60),IF($C275="净世破魔击·月",IF(模拟模式!$M$7="辉耀红尘",F274-80,F274-100),IF(AND(C275="净世破魔击·日",OR(DB274&gt;0,CV274&gt;0)),100,F274)))))),100))</f>
        <v>85</v>
      </c>
      <c r="G275" s="117">
        <f ca="1">('模拟-全程加成'!$E$3+'模拟-全程加成'!$E$4+'模拟-全程加成'!$E$5+('模拟-全程加成'!$C$6-'模拟-全程加成'!$C$3)*系数!$B$9+BS275*23)*(1+'模拟-全程加成'!$F$4+'模拟-全程加成'!$F$5+BJ275*10%+BM275*20%+BP275*4%+CG275*30%)+$F$7*系数!$B$12</f>
        <v>21493.829400000002</v>
      </c>
      <c r="H275" s="45">
        <f ca="1">'模拟-全程加成'!$H$3+'模拟-全程加成'!$H$4+'模拟-全程加成'!$H$5+('模拟-全程加成'!$G$4+'模拟-全程加成'!$G$5+('模拟-全程加成'!$C$6-'模拟-全程加成'!$C$3)*系数!$B$13)/系数!$B$3+LOOKUP(D275,'模拟-单技能数据'!$A$2:$A$19,'模拟-单技能数据'!$K$2:$K$19)+BG275*10%+IF(BV275&gt;0,378,0)</f>
        <v>0.51185145527300213</v>
      </c>
      <c r="I275" s="45">
        <f ca="1">'模拟-全程加成'!$J$3+'模拟-全程加成'!$J$4+'模拟-全程加成'!$J$5+('模拟-全程加成'!$I$4+'模拟-全程加成'!$I$5)/系数!$B$4+LOOKUP(D275,'模拟-单技能数据'!$A$2:$A$19,'模拟-单技能数据'!$L$2:$L$19)+BG275*10%</f>
        <v>2.162482885499879</v>
      </c>
      <c r="J275" s="45">
        <f ca="1">(('模拟-全程加成'!$K$3+'模拟-全程加成'!$K$4+'模拟-全程加成'!$K$5+('模拟-全程加成'!$C$6-'模拟-全程加成'!$C$3)*系数!$B$10+IF(BV275&gt;0,882,0)+IF(BY275&gt;0,1831,0))*(1+'模拟-全程加成'!$L$4+'模拟-全程加成'!$L$5+CC275*20%))/系数!$B$5</f>
        <v>0.69723220422048726</v>
      </c>
      <c r="K275" s="119">
        <f ca="1">LOOKUP(D275,'模拟-单技能数据'!$A$2:$A$19,'模拟-单技能数据'!$J$2:$J$19)+IF(CM275,60%,0)+IF(DB274-DB275&gt;0,30%,0)+IF(OR(AND(OR(C275="赤日轮1",C275="赤日轮2",C275="赤日轮3"),CR275),AND(OR(C275="幽月轮1",C275="幽月轮2",C275="幽月轮3"),CS275)),35%,0)+CJ275</f>
        <v>0.14000000000000001</v>
      </c>
      <c r="L275" s="119">
        <f ca="1">IF(AND(C275="烈日斩",模拟模式!$X$11=1),10%,0)+IF(AND(C275="驱夜断愁",AB275=1),30%,0)</f>
        <v>0.3</v>
      </c>
      <c r="M275" s="45">
        <f t="shared" ca="1" si="241"/>
        <v>0.51185145527300213</v>
      </c>
      <c r="N275" s="45">
        <f t="shared" ca="1" si="242"/>
        <v>0.43424854472699792</v>
      </c>
      <c r="O275" s="46">
        <f t="shared" ca="1" si="210"/>
        <v>0.12462064167135867</v>
      </c>
      <c r="P275" s="46" t="str">
        <f t="shared" ca="1" si="211"/>
        <v>会</v>
      </c>
      <c r="Q275" s="45">
        <f t="shared" ca="1" si="212"/>
        <v>2.162482885499879</v>
      </c>
      <c r="R275" s="117">
        <f ca="1">模拟模式!$E$20*(1-IF(模拟模式!$J$19="有",0.15,0))*(1-IF(模拟模式!$K$19="有",0.3,0)-IF(CQ275,0.5,0))</f>
        <v>843.02999999999975</v>
      </c>
      <c r="S275" s="45">
        <f ca="1">R275/(R275+(185*模拟模式!$E$22-16800)*4.08224)</f>
        <v>8.389626085980037E-2</v>
      </c>
      <c r="T275" s="45" t="str">
        <f ca="1">LOOKUP(D275,'模拟-单技能数据'!$A$2:$A$19,'模拟-单技能数据'!$H$2:$H$19)</f>
        <v>阴</v>
      </c>
      <c r="U275" s="119">
        <f t="shared" ca="1" si="243"/>
        <v>0.08</v>
      </c>
      <c r="V275" s="47">
        <f ca="1">(1+L275)*(LOOKUP(D275,'模拟-单技能数据'!$A$2:$A$19,'模拟-单技能数据'!$D$2:$D$19)+G275*LOOKUP(D275,'模拟-单技能数据'!$A$2:$A$19,'模拟-单技能数据'!$F$2:$F$19))*(1+J275)*(1+K275)*(1-S275)*(1+U275)*Q275*LOOKUP(D275,'模拟-单技能数据'!$A$2:$A$19,'模拟-单技能数据'!$I$2:$I$20)</f>
        <v>133079.35569364758</v>
      </c>
      <c r="W275" s="47">
        <f ca="1">LOOKUP(D275,'模拟-单技能数据'!$A$2:$A$19,'模拟-单技能数据'!$G$2:$G$19)*$I$10</f>
        <v>723.0212870940959</v>
      </c>
      <c r="X275" s="47">
        <f t="shared" ca="1" si="213"/>
        <v>25101.867467669974</v>
      </c>
      <c r="Y275" s="47">
        <f t="shared" ca="1" si="244"/>
        <v>158904.24444841166</v>
      </c>
      <c r="Z275" s="49">
        <f t="shared" ca="1" si="245"/>
        <v>26382720.606958315</v>
      </c>
      <c r="AA275" s="97">
        <f t="shared" ca="1" si="246"/>
        <v>115319.17390924972</v>
      </c>
      <c r="AB275" s="115">
        <f ca="1">IF(OR(C275="赤日轮1",C275="赤日轮2",C275="赤日轮3"),IF(RAND()&lt;模拟模式!$Y$17,1,0),IF(OR(C275="幽月轮1",C275="幽月轮2",C275="幽月轮3"),IF(RAND()&lt;模拟模式!$Y$18,1,0),IF(C275="烈日斩",IF(RAND()&lt;模拟模式!$Y$19,1,0),IF(C275="银月斩",IF(RAND()&lt;模拟模式!$Y$20,1,0),IF(C275="驱夜断愁",IF(RAND()&lt;模拟模式!$Y$21,1,0),IF(C275="净世破魔击·日",IF(RAND()&lt;模拟模式!$Y$22,1,0),IF(C275="净世破魔击·月",IF(RAND()&lt;模拟模式!$Y$23,1,0),0)))))))</f>
        <v>1</v>
      </c>
      <c r="AC275" s="115" t="b">
        <f t="shared" ca="1" si="234"/>
        <v>0</v>
      </c>
      <c r="AD275" s="115" t="b">
        <f t="shared" ca="1" si="254"/>
        <v>0</v>
      </c>
      <c r="AE275" s="115">
        <f t="shared" ca="1" si="255"/>
        <v>5</v>
      </c>
      <c r="AF275" s="47">
        <f ca="1">IF(AC275,('模拟-单技能数据'!$D$20+G275*'模拟-单技能数据'!$F$20)*(1+J275)*(1+'模拟-单技能数据'!$J$20)*(1+U275),0)</f>
        <v>0</v>
      </c>
      <c r="AG275" s="61">
        <f t="shared" ca="1" si="247"/>
        <v>0.64185145527300214</v>
      </c>
      <c r="AH275" s="61">
        <f t="shared" ca="1" si="248"/>
        <v>2.2624828854998791</v>
      </c>
      <c r="AI275" s="62">
        <f t="shared" ca="1" si="214"/>
        <v>0.73472811846981279</v>
      </c>
      <c r="AJ275" s="47">
        <f ca="1">IF(AD275,IF(AI275&lt;$F$10,0,IF(AI275&lt;$F$10+$F$11,0.25,IF(AI275&lt;$F$10+$F$11+AG275,AH275,1)))*IF(AF275&gt;0,AF275,IF(AF274&gt;0,AF274,IF(AF273&gt;0,AF273,IF(AF272&gt;0,AF272,IF(AF271&gt;0,AF271,IF(AF270&gt;0,AF270,IF(AF269&gt;0,AF269,IF(AF268&gt;0,AF268,IF(AF267&gt;0,AF267,IF(AF265&gt;0,AF265,IF(AF264&gt;0,AF264,IF(AF263&gt;0,AF263,0)))))))))))),0)*(1-$S275)*'模拟-单技能数据'!$I$20</f>
        <v>0</v>
      </c>
      <c r="AK275" s="115" t="b">
        <f t="shared" ca="1" si="235"/>
        <v>0</v>
      </c>
      <c r="AL275" s="115" t="b">
        <f t="shared" ca="1" si="256"/>
        <v>1</v>
      </c>
      <c r="AM275" s="115">
        <f t="shared" ca="1" si="257"/>
        <v>4</v>
      </c>
      <c r="AN275" s="47">
        <f ca="1">IF(AK275,('模拟-单技能数据'!$D$21+G275*'模拟-单技能数据'!$F$21)*(1+J275)*(1+'模拟-单技能数据'!$J$21)*(1+U275),0)</f>
        <v>0</v>
      </c>
      <c r="AO275" s="61">
        <f ca="1">IF(AN275&gt;0,M275-'模拟-单技能数据'!$K$10,AO274)</f>
        <v>0.42185145527300216</v>
      </c>
      <c r="AP275" s="61">
        <f ca="1">IF(AN275&gt;0,I275-'模拟-单技能数据'!$L$10,AP274)</f>
        <v>2.162482885499879</v>
      </c>
      <c r="AQ275" s="63">
        <f t="shared" ca="1" si="215"/>
        <v>0.22030711958189697</v>
      </c>
      <c r="AR275" s="64">
        <f ca="1">IF(AL275,IF(AQ275&lt;$F$10,0,IF(AQ275&lt;$F$10+$F$11,0.25,IF(AQ275&lt;$F$10+$F$11+AO275,AP275,1)))*IF(AN275&gt;0,AN275,IF(AN274&gt;0,AN274,IF(AN273&gt;0,AN273,IF(AN272&gt;0,AN272,IF(AN271&gt;0,AN271,IF(AN270&gt;0,AN270,IF(AN269&gt;0,AN269,IF(AN268&gt;0,AN268,IF(AN267&gt;0,AN267,IF(AN265&gt;0,AN265,IF(AN264&gt;0,AN264,IF(AN263&gt;0,AN263,0)))))))))))),0)*(1-$S275)*'模拟-单技能数据'!$I$21</f>
        <v>25101.867467669974</v>
      </c>
      <c r="AS275" s="61">
        <f ca="1">IF(OR(C275="净世破魔击·日",C275="净世破魔击·月"),M275-'模拟-单技能数据'!$K$10,0)</f>
        <v>0</v>
      </c>
      <c r="AT275" s="61">
        <f ca="1">IF(OR(C275="净世破魔击·日",C275="净世破魔击·月"),I275-'模拟-单技能数据'!$L$10,0)</f>
        <v>0</v>
      </c>
      <c r="AU275" s="62">
        <f t="shared" ca="1" si="216"/>
        <v>0.38160389889226543</v>
      </c>
      <c r="AV275" s="64">
        <f ca="1">IF(AS275&gt;0,('模拟-单技能数据'!$D$22+G275*'模拟-单技能数据'!$F$22)*(1+J275)*(1-S275)*IF(AU275&lt;$F$10,0,IF(AU275&lt;$F$10+$F$11,0.25,IF(AU275&lt;$F$10+$F$11+AS275,AT275,1)))*(1+U275),0)*'模拟-单技能数据'!$I$22</f>
        <v>0</v>
      </c>
      <c r="AW275" s="108">
        <f t="shared" ca="1" si="217"/>
        <v>7.0850000000000071</v>
      </c>
      <c r="AX275" s="108" t="b">
        <f ca="1">AND(模拟模式!$P$10="有",AW274=0,RAND()&lt;IF(C275="净世破魔击·月",0.1*8/3,IF(C275="净世破魔击·日",0.1*4/3,0.1*2/3)))</f>
        <v>0</v>
      </c>
      <c r="AY275" s="47">
        <f ca="1">IF(AX275,(18+G275*0.722)*(1+J275)*(1-S275)*(1+$I$4)*IF(P275="会",'模拟-全程加成'!$J$3+'模拟-全程加成'!$J$4+'模拟-全程加成'!$J$5+('模拟-全程加成'!$I$4+'模拟-全程加成'!$I$5)/系数!$B$4+BG275*10%,IF(P275="命",1,IF(P275="识",0.25,0))),0)</f>
        <v>0</v>
      </c>
      <c r="AZ275" s="108">
        <f t="shared" si="218"/>
        <v>14.465000000000003</v>
      </c>
      <c r="BA275" s="108" t="b">
        <f>AND(模拟模式!$Q$10="有",AZ274=0)</f>
        <v>0</v>
      </c>
      <c r="BB275" s="140">
        <f>IF(BA275,(0+G275*0.287)*(1+J275)*(1-S275)*(1+$I$4)*IF(P275="会",'模拟-全程加成'!$J$3+'模拟-全程加成'!$J$4+'模拟-全程加成'!$J$5+('模拟-全程加成'!$I$4+'模拟-全程加成'!$I$5)/系数!$B$4+BG275*10%,IF(P275="命",1,IF(P275="识",0.25,0))),0)</f>
        <v>0</v>
      </c>
      <c r="BC275" s="115" t="b">
        <f ca="1">AND(模拟模式!$R$7="伏明众生",E275=60,F275=20,DA275&lt;5,CZ274&lt;$F$4)</f>
        <v>0</v>
      </c>
      <c r="BD275" s="115">
        <f t="shared" ca="1" si="236"/>
        <v>0</v>
      </c>
      <c r="BE275" s="115" t="b">
        <f t="shared" ca="1" si="237"/>
        <v>0</v>
      </c>
      <c r="BF275" s="47">
        <f ca="1">IF(BC275,4*('模拟-单技能数据'!$D$24+G275*'模拟-单技能数据'!$F$24)*(1+J275)*(1+'模拟-单技能数据'!$J$24)*(1-S275)*(1+$I$3)*(('模拟-全程加成'!$J$3+'模拟-全程加成'!$J$4+'模拟-全程加成'!$J$5+('模拟-全程加成'!$I$4+'模拟-全程加成'!$I$5)/系数!$B$4+BG275*10%)*('模拟-全程加成'!$J$3+'模拟-全程加成'!$J$4+'模拟-全程加成'!$J$5+('模拟-全程加成'!$I$4+'模拟-全程加成'!$I$5)/系数!$B$4+BG275*10%)+(1-('模拟-全程加成'!$J$3+'模拟-全程加成'!$J$4+'模拟-全程加成'!$J$5+('模拟-全程加成'!$I$4+'模拟-全程加成'!$I$5)/系数!$B$4+BG275*10%)-$F$10-$F$11)+F261*0.25),0)*'模拟-单技能数据'!$I$24</f>
        <v>0</v>
      </c>
      <c r="BG275" s="115" t="b">
        <f ca="1">OR(AND(OR(C275="烈日斩",C275="银月斩"),模拟模式!$I$7="净身明礼"),AND(C275="净世破魔击·日",模拟模式!$J$7="洞若观火"),AND(C276="净世破魔击·月",模拟模式!$J$7="洞若观火"),AB275=1)</f>
        <v>1</v>
      </c>
      <c r="BH275" s="115" t="b">
        <f t="shared" ca="1" si="219"/>
        <v>0</v>
      </c>
      <c r="BI275" s="115">
        <f t="shared" ca="1" si="238"/>
        <v>2.3099999999999996</v>
      </c>
      <c r="BJ275" s="115" t="b">
        <f t="shared" ca="1" si="249"/>
        <v>1</v>
      </c>
      <c r="BK275" s="115" t="b">
        <f ca="1">AND(C275="驱夜断愁",模拟模式!$P$7="天地诛戮")</f>
        <v>1</v>
      </c>
      <c r="BL275" s="57">
        <f t="shared" ca="1" si="239"/>
        <v>20</v>
      </c>
      <c r="BM275" s="115" t="b">
        <f t="shared" ca="1" si="250"/>
        <v>1</v>
      </c>
      <c r="BN275" s="115" t="b">
        <f ca="1">AND(OR(C275="赤日轮1",C275="赤日轮2",C275="赤日轮3",C275="幽月轮1",C275="幽月轮2",C275="幽月轮3"),AB275=1,模拟模式!$L$7="明光恒照")</f>
        <v>0</v>
      </c>
      <c r="BO275" s="117">
        <f t="shared" ca="1" si="240"/>
        <v>28.155000000000001</v>
      </c>
      <c r="BP275" s="115">
        <f t="shared" ca="1" si="220"/>
        <v>6</v>
      </c>
      <c r="BQ275" s="115" t="b">
        <f>模拟模式!$K$10="2600·水"</f>
        <v>0</v>
      </c>
      <c r="BR275" s="117">
        <f t="shared" si="221"/>
        <v>0</v>
      </c>
      <c r="BS275" s="115">
        <f t="shared" si="222"/>
        <v>0</v>
      </c>
      <c r="BT275" s="115">
        <f t="shared" ca="1" si="223"/>
        <v>0</v>
      </c>
      <c r="BU275" s="115" t="b">
        <f ca="1">AND(模拟模式!$K$10="2300·雷",BT274=0,RAND()&lt;IF(C275="净世破魔击·月",5*0.05*2/3,IF(C275="净世破魔击·日",3*0.05*2/3,0.05*2*2/3)))</f>
        <v>0</v>
      </c>
      <c r="BV275" s="115">
        <f t="shared" ca="1" si="224"/>
        <v>0</v>
      </c>
      <c r="BW275" s="115">
        <f t="shared" ca="1" si="225"/>
        <v>143.09999999999945</v>
      </c>
      <c r="BX275" s="164" t="b">
        <f t="shared" ca="1" si="226"/>
        <v>0</v>
      </c>
      <c r="BY275" s="115">
        <f t="shared" ca="1" si="227"/>
        <v>0</v>
      </c>
      <c r="BZ275" s="115">
        <f>IF(OR(模拟模式!$P$16="10人团",模拟模式!$P$16="25人团"),IF(B275/30&gt;CA274,1,0),0)</f>
        <v>0</v>
      </c>
      <c r="CA275" s="115">
        <f t="shared" si="203"/>
        <v>0</v>
      </c>
      <c r="CB275" s="115">
        <f ca="1">IF(BZ275=1,IF(模拟模式!$P$16="10人团",15,0)+IF(模拟模式!$P$16="25人团",IF(RAND()&lt;0.6,15,0)),MAX(0,CB274-$F$4))</f>
        <v>0</v>
      </c>
      <c r="CC275" s="115" t="b">
        <f t="shared" ca="1" si="251"/>
        <v>0</v>
      </c>
      <c r="CD275" s="115">
        <f>IF(模拟模式!$Q$16="1个",IF(B275/40&gt;CE274,1,0),0)</f>
        <v>0</v>
      </c>
      <c r="CE275" s="115">
        <f t="shared" si="252"/>
        <v>0</v>
      </c>
      <c r="CF275" s="115">
        <f>IF(OR(CD275=1,模拟模式!$Q$16="2个"),20,MAX(0,CF274-$F$4))</f>
        <v>0</v>
      </c>
      <c r="CG275" s="115" t="b">
        <f t="shared" si="253"/>
        <v>0</v>
      </c>
      <c r="CH275" s="115">
        <f t="shared" ca="1" si="228"/>
        <v>2.3250000000000117</v>
      </c>
      <c r="CI275" s="115" t="b">
        <f t="shared" ca="1" si="229"/>
        <v>0</v>
      </c>
      <c r="CJ275" s="119">
        <f t="shared" ca="1" si="230"/>
        <v>0</v>
      </c>
      <c r="CK275" s="115">
        <f t="shared" ca="1" si="231"/>
        <v>0</v>
      </c>
      <c r="CL275" s="115" t="b">
        <f ca="1">AND(模拟模式!$S$7="驱夷逐法",OR(AND(C275="净世破魔击·月",E274&gt;59),AND(C275="净世破魔击·日",F274&gt;59)))</f>
        <v>0</v>
      </c>
      <c r="CM275" s="115" t="b">
        <f ca="1">OR(CL275,AND(C275="净世破魔击·日",CL274,RAND()&lt;模拟模式!$U$23))</f>
        <v>0</v>
      </c>
      <c r="CN275" s="115" t="b">
        <f ca="1">IF(模拟模式!$M$7="辉耀红尘",AND(C275="净世破魔击·月",CL275,CV275=0,E274&lt;80),AND(C275="净世破魔击·月",CL275,E274&lt;100))</f>
        <v>0</v>
      </c>
      <c r="CO275" s="115" t="b">
        <f t="shared" ca="1" si="204"/>
        <v>0</v>
      </c>
      <c r="CP275" s="115" t="b">
        <f ca="1">AND(模拟模式!$O$7="用晦而明",OR(C275="净世破魔击·日",C275="净世破魔击·月",C275="驱夜断愁"),AB275)</f>
        <v>1</v>
      </c>
      <c r="CQ275" s="115" t="b">
        <f ca="1">OR(CP275,AND(CP274,RAND()&lt;模拟模式!$U$23))</f>
        <v>1</v>
      </c>
      <c r="CR275" s="115" t="b">
        <f ca="1">AND(模拟模式!$S$7="日月齐光",OR(C275="幽月轮1",C275="幽月轮2",C275="幽月轮3",CR274),NOT(OR(C275="赤日轮1",C275="赤日轮2",C275="赤日轮3")))</f>
        <v>0</v>
      </c>
      <c r="CS275" s="115" t="b">
        <f ca="1">AND(模拟模式!$S$7="日月齐光",OR(C275="赤日轮1",C275="赤日轮2",C275="赤日轮3",CS274),NOT(OR(C275="幽月轮1",C275="幽月轮2",C275="幽月轮3")))</f>
        <v>0</v>
      </c>
      <c r="CT275" s="115">
        <f t="shared" ca="1" si="232"/>
        <v>8.7825000000000131</v>
      </c>
      <c r="CU275" s="115" t="b">
        <f ca="1">AND(模拟模式!$K$10="阴阳往极",CT274=0,RAND()&lt;IF(C275="净世破魔击·月",0.0275*7/3,IF(C275="净世破魔击·日",0.0275*3/3,0.0275*2/3)))</f>
        <v>0</v>
      </c>
      <c r="CV275" s="115">
        <f t="shared" ca="1" si="233"/>
        <v>0</v>
      </c>
      <c r="CW275" s="115">
        <f t="shared" ca="1" si="205"/>
        <v>0.46499999999999975</v>
      </c>
      <c r="CX275" s="115">
        <f t="shared" ca="1" si="206"/>
        <v>5.0774999999999997</v>
      </c>
      <c r="CY275" s="115">
        <f ca="1">MAX(IF($C275="驱夜断愁",IF(模拟模式!$R$7="万念俱寂",6,45),CY274-$F$4),0)</f>
        <v>6</v>
      </c>
      <c r="CZ275" s="115">
        <f t="shared" ca="1" si="207"/>
        <v>0</v>
      </c>
      <c r="DA275" s="115">
        <f ca="1">IF(模拟模式!$N$7="日月同辉",IF(DB274=2,0,MIN(6,IF(AND(OR(C275="赤日轮1",C275="赤日轮2",C275="赤日轮3",C275="幽月轮1",C275="幽月轮2",C275="幽月轮3"),AB275=1),DA274+1,DA274))),0)</f>
        <v>2</v>
      </c>
      <c r="DB275" s="115">
        <f t="shared" ca="1" si="208"/>
        <v>0</v>
      </c>
      <c r="DC275" s="115"/>
      <c r="DD275" s="115"/>
      <c r="DE275" s="115"/>
      <c r="DF275" s="115"/>
      <c r="DG275" s="115"/>
      <c r="DH275" s="115"/>
      <c r="DI275" s="115"/>
      <c r="DJ275" s="115"/>
      <c r="DK275" s="115"/>
      <c r="DL275" s="115"/>
      <c r="DM275" s="115"/>
    </row>
    <row r="276" spans="2:117" x14ac:dyDescent="0.2">
      <c r="B276" s="117">
        <f t="shared" si="209"/>
        <v>229.70250000000144</v>
      </c>
      <c r="C276" s="167" t="str">
        <f t="shared" ca="1" si="202"/>
        <v>烈日斩</v>
      </c>
      <c r="D276" s="115">
        <f ca="1">IF(C276="赤日轮1",1,IF(C276="赤日轮2",2,IF(C276="赤日轮3",3,IF(C276="幽月轮1",4,IF(C276="幽月轮2",5,IF(C276="幽月轮3",6,IF(C276="烈日斩",7,IF(C276="银月斩",8,IF(C276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276="净世破魔击·月",17,IF(C276="驱夜断愁",18,0)))))))))))</f>
        <v>7</v>
      </c>
      <c r="E276" s="115">
        <f ca="1">IF(AND(CU276,OR(C276="幽月轮1",C276="幽月轮2",C276="幽月轮3",C276="银月斩",C276="驱夜断愁",C276="净世破魔击·月")),100,MIN(IF(OR(CN276,BE276),0,IF(OR($C276="赤日轮1",$C276="赤日轮2",$C276="赤日轮3"),E275+20+IF(模拟模式!$I$7="日月凌天",4,0)+IF(CR275,20,0),IF($C276="烈日斩",E275+40,IF($C276="驱夜断愁",IF(模拟模式!$R$7="万念俱寂",E275+20,E275+60),IF($C276="净世破魔击·月",IF(OR(DB275&gt;0,CV275&gt;0),100,IF(模拟模式!$M$7="辉耀红尘",E275+20,E275)),IF($C276="净世破魔击·日",E275-100,E275)))))),100))</f>
        <v>80</v>
      </c>
      <c r="F276" s="115">
        <f ca="1">IF(AND(CU276,OR(C276="赤日轮1",C276="赤日轮2",C276="赤日轮3",C276="烈日斩",C276="净世破魔击·日")),100,MIN(IF(CO276,0,IF(OR($C276="幽月轮1",$C276="幽月轮2",$C276="幽月轮3"),F275+20+IF(模拟模式!$I$7="日月凌天",4,0)+IF(CS275,20,0),IF($C276="银月斩",F275+40+IF(模拟模式!$X$12=1,5,0),IF($C276="驱夜断愁",IF(模拟模式!$R$7="万念俱寂",F275+20,F275+60),IF($C276="净世破魔击·月",IF(模拟模式!$M$7="辉耀红尘",F275-80,F275-100),IF(AND(C276="净世破魔击·日",OR(DB275&gt;0,CV275&gt;0)),100,F275)))))),100))</f>
        <v>85</v>
      </c>
      <c r="G276" s="117">
        <f ca="1">('模拟-全程加成'!$E$3+'模拟-全程加成'!$E$4+'模拟-全程加成'!$E$5+('模拟-全程加成'!$C$6-'模拟-全程加成'!$C$3)*系数!$B$9+BS276*23)*(1+'模拟-全程加成'!$F$4+'模拟-全程加成'!$F$5+BJ276*10%+BM276*20%+BP276*4%+CG276*30%)+$F$7*系数!$B$12</f>
        <v>21493.829400000002</v>
      </c>
      <c r="H276" s="45">
        <f ca="1">'模拟-全程加成'!$H$3+'模拟-全程加成'!$H$4+'模拟-全程加成'!$H$5+('模拟-全程加成'!$G$4+'模拟-全程加成'!$G$5+('模拟-全程加成'!$C$6-'模拟-全程加成'!$C$3)*系数!$B$13)/系数!$B$3+LOOKUP(D276,'模拟-单技能数据'!$A$2:$A$19,'模拟-单技能数据'!$K$2:$K$19)+BG276*10%+IF(BV276&gt;0,378,0)</f>
        <v>0.56185145527300218</v>
      </c>
      <c r="I276" s="45">
        <f ca="1">'模拟-全程加成'!$J$3+'模拟-全程加成'!$J$4+'模拟-全程加成'!$J$5+('模拟-全程加成'!$I$4+'模拟-全程加成'!$I$5)/系数!$B$4+LOOKUP(D276,'模拟-单技能数据'!$A$2:$A$19,'模拟-单技能数据'!$L$2:$L$19)+BG276*10%</f>
        <v>2.2624828854998791</v>
      </c>
      <c r="J276" s="45">
        <f ca="1">(('模拟-全程加成'!$K$3+'模拟-全程加成'!$K$4+'模拟-全程加成'!$K$5+('模拟-全程加成'!$C$6-'模拟-全程加成'!$C$3)*系数!$B$10+IF(BV276&gt;0,882,0)+IF(BY276&gt;0,1831,0))*(1+'模拟-全程加成'!$L$4+'模拟-全程加成'!$L$5+CC276*20%))/系数!$B$5</f>
        <v>0.69723220422048726</v>
      </c>
      <c r="K276" s="119">
        <f ca="1">LOOKUP(D276,'模拟-单技能数据'!$A$2:$A$19,'模拟-单技能数据'!$J$2:$J$19)+IF(CM276,60%,0)+IF(DB275-DB276&gt;0,30%,0)+IF(OR(AND(OR(C276="赤日轮1",C276="赤日轮2",C276="赤日轮3"),CR276),AND(OR(C276="幽月轮1",C276="幽月轮2",C276="幽月轮3"),CS276)),35%,0)+CJ276</f>
        <v>0.24</v>
      </c>
      <c r="L276" s="119">
        <f ca="1">IF(AND(C276="烈日斩",模拟模式!$X$11=1),10%,0)+IF(AND(C276="驱夜断愁",AB276=1),30%,0)</f>
        <v>0.1</v>
      </c>
      <c r="M276" s="45">
        <f t="shared" ca="1" si="241"/>
        <v>0.56185145527300218</v>
      </c>
      <c r="N276" s="45">
        <f t="shared" ca="1" si="242"/>
        <v>0.38424854472699788</v>
      </c>
      <c r="O276" s="46">
        <f t="shared" ca="1" si="210"/>
        <v>0.16785037172274953</v>
      </c>
      <c r="P276" s="46" t="str">
        <f t="shared" ca="1" si="211"/>
        <v>会</v>
      </c>
      <c r="Q276" s="45">
        <f t="shared" ca="1" si="212"/>
        <v>2.2624828854998791</v>
      </c>
      <c r="R276" s="117">
        <f ca="1">模拟模式!$E$20*(1-IF(模拟模式!$J$19="有",0.15,0))*(1-IF(模拟模式!$K$19="有",0.3,0)-IF(CQ276,0.5,0))</f>
        <v>843.02999999999975</v>
      </c>
      <c r="S276" s="45">
        <f ca="1">R276/(R276+(185*模拟模式!$E$22-16800)*4.08224)</f>
        <v>8.389626085980037E-2</v>
      </c>
      <c r="T276" s="45" t="str">
        <f ca="1">LOOKUP(D276,'模拟-单技能数据'!$A$2:$A$19,'模拟-单技能数据'!$H$2:$H$19)</f>
        <v>阳</v>
      </c>
      <c r="U276" s="119">
        <f t="shared" ca="1" si="243"/>
        <v>0.2</v>
      </c>
      <c r="V276" s="47">
        <f ca="1">(1+L276)*(LOOKUP(D276,'模拟-单技能数据'!$A$2:$A$19,'模拟-单技能数据'!$D$2:$D$19)+G276*LOOKUP(D276,'模拟-单技能数据'!$A$2:$A$19,'模拟-单技能数据'!$F$2:$F$19))*(1+J276)*(1+K276)*(1-S276)*(1+U276)*Q276*LOOKUP(D276,'模拟-单技能数据'!$A$2:$A$19,'模拟-单技能数据'!$I$2:$I$20)</f>
        <v>110503.35617153208</v>
      </c>
      <c r="W276" s="47">
        <f ca="1">LOOKUP(D276,'模拟-单技能数据'!$A$2:$A$19,'模拟-单技能数据'!$G$2:$G$19)*$I$10</f>
        <v>361.51064354704795</v>
      </c>
      <c r="X276" s="47">
        <f t="shared" ca="1" si="213"/>
        <v>1062.6220839292735</v>
      </c>
      <c r="Y276" s="47">
        <f t="shared" ca="1" si="244"/>
        <v>111927.48889900841</v>
      </c>
      <c r="Z276" s="49">
        <f t="shared" ca="1" si="245"/>
        <v>26494648.095857322</v>
      </c>
      <c r="AA276" s="97">
        <f t="shared" ca="1" si="246"/>
        <v>115343.31622797817</v>
      </c>
      <c r="AB276" s="115">
        <f ca="1">IF(OR(C276="赤日轮1",C276="赤日轮2",C276="赤日轮3"),IF(RAND()&lt;模拟模式!$Y$17,1,0),IF(OR(C276="幽月轮1",C276="幽月轮2",C276="幽月轮3"),IF(RAND()&lt;模拟模式!$Y$18,1,0),IF(C276="烈日斩",IF(RAND()&lt;模拟模式!$Y$19,1,0),IF(C276="银月斩",IF(RAND()&lt;模拟模式!$Y$20,1,0),IF(C276="驱夜断愁",IF(RAND()&lt;模拟模式!$Y$21,1,0),IF(C276="净世破魔击·日",IF(RAND()&lt;模拟模式!$Y$22,1,0),IF(C276="净世破魔击·月",IF(RAND()&lt;模拟模式!$Y$23,1,0),0)))))))</f>
        <v>1</v>
      </c>
      <c r="AC276" s="115" t="b">
        <f t="shared" ca="1" si="234"/>
        <v>0</v>
      </c>
      <c r="AD276" s="115" t="b">
        <f t="shared" ca="1" si="254"/>
        <v>1</v>
      </c>
      <c r="AE276" s="115">
        <f t="shared" ca="1" si="255"/>
        <v>4</v>
      </c>
      <c r="AF276" s="47">
        <f ca="1">IF(AC276,('模拟-单技能数据'!$D$20+G276*'模拟-单技能数据'!$F$20)*(1+J276)*(1+'模拟-单技能数据'!$J$20)*(1+U276),0)</f>
        <v>0</v>
      </c>
      <c r="AG276" s="61">
        <f t="shared" ca="1" si="247"/>
        <v>0.64185145527300214</v>
      </c>
      <c r="AH276" s="61">
        <f t="shared" ca="1" si="248"/>
        <v>2.2624828854998791</v>
      </c>
      <c r="AI276" s="62">
        <f t="shared" ca="1" si="214"/>
        <v>5.0762912661250659E-2</v>
      </c>
      <c r="AJ276" s="47">
        <f ca="1">IF(AD276,IF(AI276&lt;$F$10,0,IF(AI276&lt;$F$10+$F$11,0.25,IF(AI276&lt;$F$10+$F$11+AG276,AH276,1)))*IF(AF276&gt;0,AF276,IF(AF275&gt;0,AF275,IF(AF274&gt;0,AF274,IF(AF273&gt;0,AF273,IF(AF272&gt;0,AF272,IF(AF271&gt;0,AF271,IF(AF270&gt;0,AF270,IF(AF269&gt;0,AF269,IF(AF268&gt;0,AF268,IF(AF266&gt;0,AF266,IF(AF265&gt;0,AF265,IF(AF264&gt;0,AF264,0)))))))))))),0)*(1-$S276)*'模拟-单技能数据'!$I$20</f>
        <v>1062.6220839292735</v>
      </c>
      <c r="AK276" s="115" t="b">
        <f t="shared" ca="1" si="235"/>
        <v>0</v>
      </c>
      <c r="AL276" s="115" t="b">
        <f t="shared" ca="1" si="256"/>
        <v>0</v>
      </c>
      <c r="AM276" s="115">
        <f t="shared" ca="1" si="257"/>
        <v>4</v>
      </c>
      <c r="AN276" s="47">
        <f ca="1">IF(AK276,('模拟-单技能数据'!$D$21+G276*'模拟-单技能数据'!$F$21)*(1+J276)*(1+'模拟-单技能数据'!$J$21)*(1+U276),0)</f>
        <v>0</v>
      </c>
      <c r="AO276" s="61">
        <f ca="1">IF(AN276&gt;0,M276-'模拟-单技能数据'!$K$10,AO275)</f>
        <v>0.42185145527300216</v>
      </c>
      <c r="AP276" s="61">
        <f ca="1">IF(AN276&gt;0,I276-'模拟-单技能数据'!$L$10,AP275)</f>
        <v>2.162482885499879</v>
      </c>
      <c r="AQ276" s="63">
        <f t="shared" ca="1" si="215"/>
        <v>0.93166568447489395</v>
      </c>
      <c r="AR276" s="64">
        <f ca="1">IF(AL276,IF(AQ276&lt;$F$10,0,IF(AQ276&lt;$F$10+$F$11,0.25,IF(AQ276&lt;$F$10+$F$11+AO276,AP276,1)))*IF(AN276&gt;0,AN276,IF(AN275&gt;0,AN275,IF(AN274&gt;0,AN274,IF(AN273&gt;0,AN273,IF(AN272&gt;0,AN272,IF(AN271&gt;0,AN271,IF(AN270&gt;0,AN270,IF(AN269&gt;0,AN269,IF(AN268&gt;0,AN268,IF(AN266&gt;0,AN266,IF(AN265&gt;0,AN265,IF(AN264&gt;0,AN264,0)))))))))))),0)*(1-$S276)*'模拟-单技能数据'!$I$21</f>
        <v>0</v>
      </c>
      <c r="AS276" s="61">
        <f ca="1">IF(OR(C276="净世破魔击·日",C276="净世破魔击·月"),M276-'模拟-单技能数据'!$K$10,0)</f>
        <v>0</v>
      </c>
      <c r="AT276" s="61">
        <f ca="1">IF(OR(C276="净世破魔击·日",C276="净世破魔击·月"),I276-'模拟-单技能数据'!$L$10,0)</f>
        <v>0</v>
      </c>
      <c r="AU276" s="62">
        <f t="shared" ca="1" si="216"/>
        <v>0.51912108331509865</v>
      </c>
      <c r="AV276" s="64">
        <f ca="1">IF(AS276&gt;0,('模拟-单技能数据'!$D$22+G276*'模拟-单技能数据'!$F$22)*(1+J276)*(1-S276)*IF(AU276&lt;$F$10,0,IF(AU276&lt;$F$10+$F$11,0.25,IF(AU276&lt;$F$10+$F$11+AS276,AT276,1)))*(1+U276),0)*'模拟-单技能数据'!$I$22</f>
        <v>0</v>
      </c>
      <c r="AW276" s="108">
        <f t="shared" ca="1" si="217"/>
        <v>6.1625000000000068</v>
      </c>
      <c r="AX276" s="108" t="b">
        <f ca="1">AND(模拟模式!$P$10="有",AW275=0,RAND()&lt;IF(C276="净世破魔击·月",0.1*8/3,IF(C276="净世破魔击·日",0.1*4/3,0.1*2/3)))</f>
        <v>0</v>
      </c>
      <c r="AY276" s="47">
        <f ca="1">IF(AX276,(18+G276*0.722)*(1+J276)*(1-S276)*(1+$I$4)*IF(P276="会",'模拟-全程加成'!$J$3+'模拟-全程加成'!$J$4+'模拟-全程加成'!$J$5+('模拟-全程加成'!$I$4+'模拟-全程加成'!$I$5)/系数!$B$4+BG276*10%,IF(P276="命",1,IF(P276="识",0.25,0))),0)</f>
        <v>0</v>
      </c>
      <c r="AZ276" s="108">
        <f t="shared" si="218"/>
        <v>13.542500000000004</v>
      </c>
      <c r="BA276" s="108" t="b">
        <f>AND(模拟模式!$Q$10="有",AZ275=0)</f>
        <v>0</v>
      </c>
      <c r="BB276" s="140">
        <f>IF(BA276,(0+G276*0.287)*(1+J276)*(1-S276)*(1+$I$4)*IF(P276="会",'模拟-全程加成'!$J$3+'模拟-全程加成'!$J$4+'模拟-全程加成'!$J$5+('模拟-全程加成'!$I$4+'模拟-全程加成'!$I$5)/系数!$B$4+BG276*10%,IF(P276="命",1,IF(P276="识",0.25,0))),0)</f>
        <v>0</v>
      </c>
      <c r="BC276" s="115" t="b">
        <f ca="1">AND(模拟模式!$R$7="伏明众生",E276=60,F276=20,DA276&lt;5,CZ275&lt;$F$4)</f>
        <v>0</v>
      </c>
      <c r="BD276" s="115">
        <f t="shared" ca="1" si="236"/>
        <v>0</v>
      </c>
      <c r="BE276" s="115" t="b">
        <f t="shared" ca="1" si="237"/>
        <v>0</v>
      </c>
      <c r="BF276" s="47">
        <f ca="1">IF(BC276,4*('模拟-单技能数据'!$D$24+G276*'模拟-单技能数据'!$F$24)*(1+J276)*(1+'模拟-单技能数据'!$J$24)*(1-S276)*(1+$I$3)*(('模拟-全程加成'!$J$3+'模拟-全程加成'!$J$4+'模拟-全程加成'!$J$5+('模拟-全程加成'!$I$4+'模拟-全程加成'!$I$5)/系数!$B$4+BG276*10%)*('模拟-全程加成'!$J$3+'模拟-全程加成'!$J$4+'模拟-全程加成'!$J$5+('模拟-全程加成'!$I$4+'模拟-全程加成'!$I$5)/系数!$B$4+BG276*10%)+(1-('模拟-全程加成'!$J$3+'模拟-全程加成'!$J$4+'模拟-全程加成'!$J$5+('模拟-全程加成'!$I$4+'模拟-全程加成'!$I$5)/系数!$B$4+BG276*10%)-$F$10-$F$11)+F262*0.25),0)*'模拟-单技能数据'!$I$24</f>
        <v>0</v>
      </c>
      <c r="BG276" s="115" t="b">
        <f ca="1">OR(AND(OR(C276="烈日斩",C276="银月斩"),模拟模式!$I$7="净身明礼"),AND(C276="净世破魔击·日",模拟模式!$J$7="洞若观火"),AND(C277="净世破魔击·月",模拟模式!$J$7="洞若观火"),AB276=1)</f>
        <v>1</v>
      </c>
      <c r="BH276" s="115" t="b">
        <f t="shared" ca="1" si="219"/>
        <v>0</v>
      </c>
      <c r="BI276" s="115">
        <f t="shared" ca="1" si="238"/>
        <v>1.3874999999999997</v>
      </c>
      <c r="BJ276" s="115" t="b">
        <f t="shared" ca="1" si="249"/>
        <v>1</v>
      </c>
      <c r="BK276" s="115" t="b">
        <f ca="1">AND(C276="驱夜断愁",模拟模式!$P$7="天地诛戮")</f>
        <v>0</v>
      </c>
      <c r="BL276" s="57">
        <f t="shared" ca="1" si="239"/>
        <v>19.077500000000001</v>
      </c>
      <c r="BM276" s="115" t="b">
        <f t="shared" ca="1" si="250"/>
        <v>1</v>
      </c>
      <c r="BN276" s="115" t="b">
        <f ca="1">AND(OR(C276="赤日轮1",C276="赤日轮2",C276="赤日轮3",C276="幽月轮1",C276="幽月轮2",C276="幽月轮3"),AB276=1,模拟模式!$L$7="明光恒照")</f>
        <v>0</v>
      </c>
      <c r="BO276" s="117">
        <f t="shared" ca="1" si="240"/>
        <v>27.232500000000002</v>
      </c>
      <c r="BP276" s="115">
        <f t="shared" ca="1" si="220"/>
        <v>6</v>
      </c>
      <c r="BQ276" s="115" t="b">
        <f>模拟模式!$K$10="2600·水"</f>
        <v>0</v>
      </c>
      <c r="BR276" s="117">
        <f t="shared" si="221"/>
        <v>0</v>
      </c>
      <c r="BS276" s="115">
        <f t="shared" si="222"/>
        <v>0</v>
      </c>
      <c r="BT276" s="115">
        <f t="shared" ca="1" si="223"/>
        <v>0</v>
      </c>
      <c r="BU276" s="115" t="b">
        <f ca="1">AND(模拟模式!$K$10="2300·雷",BT275=0,RAND()&lt;IF(C276="净世破魔击·月",5*0.05*2/3,IF(C276="净世破魔击·日",3*0.05*2/3,0.05*2*2/3)))</f>
        <v>0</v>
      </c>
      <c r="BV276" s="115">
        <f t="shared" ca="1" si="224"/>
        <v>0</v>
      </c>
      <c r="BW276" s="115">
        <f t="shared" ca="1" si="225"/>
        <v>142.17749999999944</v>
      </c>
      <c r="BX276" s="164" t="b">
        <f t="shared" ca="1" si="226"/>
        <v>0</v>
      </c>
      <c r="BY276" s="115">
        <f t="shared" ca="1" si="227"/>
        <v>0</v>
      </c>
      <c r="BZ276" s="115">
        <f>IF(OR(模拟模式!$P$16="10人团",模拟模式!$P$16="25人团"),IF(B276/30&gt;CA275,1,0),0)</f>
        <v>0</v>
      </c>
      <c r="CA276" s="115">
        <f t="shared" si="203"/>
        <v>0</v>
      </c>
      <c r="CB276" s="115">
        <f ca="1">IF(BZ276=1,IF(模拟模式!$P$16="10人团",15,0)+IF(模拟模式!$P$16="25人团",IF(RAND()&lt;0.6,15,0)),MAX(0,CB275-$F$4))</f>
        <v>0</v>
      </c>
      <c r="CC276" s="115" t="b">
        <f t="shared" ca="1" si="251"/>
        <v>0</v>
      </c>
      <c r="CD276" s="115">
        <f>IF(模拟模式!$Q$16="1个",IF(B276/40&gt;CE275,1,0),0)</f>
        <v>0</v>
      </c>
      <c r="CE276" s="115">
        <f t="shared" si="252"/>
        <v>0</v>
      </c>
      <c r="CF276" s="115">
        <f>IF(OR(CD276=1,模拟模式!$Q$16="2个"),20,MAX(0,CF275-$F$4))</f>
        <v>0</v>
      </c>
      <c r="CG276" s="115" t="b">
        <f t="shared" si="253"/>
        <v>0</v>
      </c>
      <c r="CH276" s="115">
        <f t="shared" ca="1" si="228"/>
        <v>1.4025000000000118</v>
      </c>
      <c r="CI276" s="115" t="b">
        <f t="shared" ca="1" si="229"/>
        <v>0</v>
      </c>
      <c r="CJ276" s="119">
        <f t="shared" ca="1" si="230"/>
        <v>0</v>
      </c>
      <c r="CK276" s="115">
        <f t="shared" ca="1" si="231"/>
        <v>0</v>
      </c>
      <c r="CL276" s="115" t="b">
        <f ca="1">AND(模拟模式!$S$7="驱夷逐法",OR(AND(C276="净世破魔击·月",E275&gt;59),AND(C276="净世破魔击·日",F275&gt;59)))</f>
        <v>0</v>
      </c>
      <c r="CM276" s="115" t="b">
        <f ca="1">OR(CL276,AND(C276="净世破魔击·日",CL275,RAND()&lt;模拟模式!$U$23))</f>
        <v>0</v>
      </c>
      <c r="CN276" s="115" t="b">
        <f ca="1">IF(模拟模式!$M$7="辉耀红尘",AND(C276="净世破魔击·月",CL276,CV276=0,E275&lt;80),AND(C276="净世破魔击·月",CL276,E275&lt;100))</f>
        <v>0</v>
      </c>
      <c r="CO276" s="115" t="b">
        <f t="shared" ca="1" si="204"/>
        <v>0</v>
      </c>
      <c r="CP276" s="115" t="b">
        <f ca="1">AND(模拟模式!$O$7="用晦而明",OR(C276="净世破魔击·日",C276="净世破魔击·月",C276="驱夜断愁"),AB276)</f>
        <v>0</v>
      </c>
      <c r="CQ276" s="115" t="b">
        <f ca="1">OR(CP276,AND(CP275,RAND()&lt;模拟模式!$U$23))</f>
        <v>1</v>
      </c>
      <c r="CR276" s="115" t="b">
        <f ca="1">AND(模拟模式!$S$7="日月齐光",OR(C276="幽月轮1",C276="幽月轮2",C276="幽月轮3",CR275),NOT(OR(C276="赤日轮1",C276="赤日轮2",C276="赤日轮3")))</f>
        <v>0</v>
      </c>
      <c r="CS276" s="115" t="b">
        <f ca="1">AND(模拟模式!$S$7="日月齐光",OR(C276="赤日轮1",C276="赤日轮2",C276="赤日轮3",CS275),NOT(OR(C276="幽月轮1",C276="幽月轮2",C276="幽月轮3")))</f>
        <v>0</v>
      </c>
      <c r="CT276" s="115">
        <f t="shared" ca="1" si="232"/>
        <v>7.8600000000000128</v>
      </c>
      <c r="CU276" s="115" t="b">
        <f ca="1">AND(模拟模式!$K$10="阴阳往极",CT275=0,RAND()&lt;IF(C276="净世破魔击·月",0.0275*7/3,IF(C276="净世破魔击·日",0.0275*3/3,0.0275*2/3)))</f>
        <v>0</v>
      </c>
      <c r="CV276" s="115">
        <f t="shared" ca="1" si="233"/>
        <v>0</v>
      </c>
      <c r="CW276" s="115">
        <f t="shared" ca="1" si="205"/>
        <v>6</v>
      </c>
      <c r="CX276" s="115">
        <f t="shared" ca="1" si="206"/>
        <v>4.1549999999999994</v>
      </c>
      <c r="CY276" s="115">
        <f ca="1">MAX(IF($C276="驱夜断愁",IF(模拟模式!$R$7="万念俱寂",6,45),CY275-$F$4),0)</f>
        <v>5.0774999999999997</v>
      </c>
      <c r="CZ276" s="115">
        <f t="shared" ca="1" si="207"/>
        <v>0</v>
      </c>
      <c r="DA276" s="115">
        <f ca="1">IF(模拟模式!$N$7="日月同辉",IF(DB275=2,0,MIN(6,IF(AND(OR(C276="赤日轮1",C276="赤日轮2",C276="赤日轮3",C276="幽月轮1",C276="幽月轮2",C276="幽月轮3"),AB276=1),DA275+1,DA275))),0)</f>
        <v>2</v>
      </c>
      <c r="DB276" s="115">
        <f t="shared" ca="1" si="208"/>
        <v>0</v>
      </c>
      <c r="DC276" s="115"/>
      <c r="DD276" s="115"/>
      <c r="DE276" s="115"/>
      <c r="DF276" s="115"/>
      <c r="DG276" s="115"/>
      <c r="DH276" s="115"/>
      <c r="DI276" s="115"/>
      <c r="DJ276" s="115"/>
      <c r="DK276" s="115"/>
      <c r="DL276" s="115"/>
      <c r="DM276" s="115"/>
    </row>
    <row r="277" spans="2:117" x14ac:dyDescent="0.2">
      <c r="B277" s="117">
        <f t="shared" si="209"/>
        <v>230.62500000000145</v>
      </c>
      <c r="C277" s="167" t="str">
        <f t="shared" ca="1" si="202"/>
        <v>幽月轮1</v>
      </c>
      <c r="D277" s="115">
        <f ca="1">IF(C277="赤日轮1",1,IF(C277="赤日轮2",2,IF(C277="赤日轮3",3,IF(C277="幽月轮1",4,IF(C277="幽月轮2",5,IF(C277="幽月轮3",6,IF(C277="烈日斩",7,IF(C277="银月斩",8,IF(C277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277="净世破魔击·月",17,IF(C277="驱夜断愁",18,0)))))))))))</f>
        <v>4</v>
      </c>
      <c r="E277" s="115">
        <f ca="1">IF(AND(CU277,OR(C277="幽月轮1",C277="幽月轮2",C277="幽月轮3",C277="银月斩",C277="驱夜断愁",C277="净世破魔击·月")),100,MIN(IF(OR(CN277,BE277),0,IF(OR($C277="赤日轮1",$C277="赤日轮2",$C277="赤日轮3"),E276+20+IF(模拟模式!$I$7="日月凌天",4,0)+IF(CR276,20,0),IF($C277="烈日斩",E276+40,IF($C277="驱夜断愁",IF(模拟模式!$R$7="万念俱寂",E276+20,E276+60),IF($C277="净世破魔击·月",IF(OR(DB276&gt;0,CV276&gt;0),100,IF(模拟模式!$M$7="辉耀红尘",E276+20,E276)),IF($C277="净世破魔击·日",E276-100,E276)))))),100))</f>
        <v>80</v>
      </c>
      <c r="F277" s="115">
        <f ca="1">IF(AND(CU277,OR(C277="赤日轮1",C277="赤日轮2",C277="赤日轮3",C277="烈日斩",C277="净世破魔击·日")),100,MIN(IF(CO277,0,IF(OR($C277="幽月轮1",$C277="幽月轮2",$C277="幽月轮3"),F276+20+IF(模拟模式!$I$7="日月凌天",4,0)+IF(CS276,20,0),IF($C277="银月斩",F276+40+IF(模拟模式!$X$12=1,5,0),IF($C277="驱夜断愁",IF(模拟模式!$R$7="万念俱寂",F276+20,F276+60),IF($C277="净世破魔击·月",IF(模拟模式!$M$7="辉耀红尘",F276-80,F276-100),IF(AND(C277="净世破魔击·日",OR(DB276&gt;0,CV276&gt;0)),100,F276)))))),100))</f>
        <v>100</v>
      </c>
      <c r="G277" s="117">
        <f ca="1">('模拟-全程加成'!$E$3+'模拟-全程加成'!$E$4+'模拟-全程加成'!$E$5+('模拟-全程加成'!$C$6-'模拟-全程加成'!$C$3)*系数!$B$9+BS277*23)*(1+'模拟-全程加成'!$F$4+'模拟-全程加成'!$F$5+BJ277*10%+BM277*20%+BP277*4%+CG277*30%)+$F$7*系数!$B$12</f>
        <v>21493.829400000002</v>
      </c>
      <c r="H277" s="45">
        <f ca="1">'模拟-全程加成'!$H$3+'模拟-全程加成'!$H$4+'模拟-全程加成'!$H$5+('模拟-全程加成'!$G$4+'模拟-全程加成'!$G$5+('模拟-全程加成'!$C$6-'模拟-全程加成'!$C$3)*系数!$B$13)/系数!$B$3+LOOKUP(D277,'模拟-单技能数据'!$A$2:$A$19,'模拟-单技能数据'!$K$2:$K$19)+BG277*10%+IF(BV277&gt;0,378,0)</f>
        <v>0.51185145527300213</v>
      </c>
      <c r="I277" s="45">
        <f ca="1">'模拟-全程加成'!$J$3+'模拟-全程加成'!$J$4+'模拟-全程加成'!$J$5+('模拟-全程加成'!$I$4+'模拟-全程加成'!$I$5)/系数!$B$4+LOOKUP(D277,'模拟-单技能数据'!$A$2:$A$19,'模拟-单技能数据'!$L$2:$L$19)+BG277*10%</f>
        <v>2.162482885499879</v>
      </c>
      <c r="J277" s="45">
        <f ca="1">(('模拟-全程加成'!$K$3+'模拟-全程加成'!$K$4+'模拟-全程加成'!$K$5+('模拟-全程加成'!$C$6-'模拟-全程加成'!$C$3)*系数!$B$10+IF(BV277&gt;0,882,0)+IF(BY277&gt;0,1831,0))*(1+'模拟-全程加成'!$L$4+'模拟-全程加成'!$L$5+CC277*20%))/系数!$B$5</f>
        <v>0.69723220422048726</v>
      </c>
      <c r="K277" s="119">
        <f ca="1">LOOKUP(D277,'模拟-单技能数据'!$A$2:$A$19,'模拟-单技能数据'!$J$2:$J$19)+IF(CM277,60%,0)+IF(DB276-DB277&gt;0,30%,0)+IF(OR(AND(OR(C277="赤日轮1",C277="赤日轮2",C277="赤日轮3"),CR277),AND(OR(C277="幽月轮1",C277="幽月轮2",C277="幽月轮3"),CS277)),35%,0)+CJ277</f>
        <v>7.0000000000000007E-2</v>
      </c>
      <c r="L277" s="119">
        <f ca="1">IF(AND(C277="烈日斩",模拟模式!$X$11=1),10%,0)+IF(AND(C277="驱夜断愁",AB277=1),30%,0)</f>
        <v>0</v>
      </c>
      <c r="M277" s="45">
        <f t="shared" ca="1" si="241"/>
        <v>0.51185145527300213</v>
      </c>
      <c r="N277" s="45">
        <f t="shared" ca="1" si="242"/>
        <v>0.43424854472699792</v>
      </c>
      <c r="O277" s="46">
        <f t="shared" ca="1" si="210"/>
        <v>0.66574844432486702</v>
      </c>
      <c r="P277" s="46" t="str">
        <f t="shared" ca="1" si="211"/>
        <v>命</v>
      </c>
      <c r="Q277" s="45">
        <f t="shared" ca="1" si="212"/>
        <v>1</v>
      </c>
      <c r="R277" s="117">
        <f ca="1">模拟模式!$E$20*(1-IF(模拟模式!$J$19="有",0.15,0))*(1-IF(模拟模式!$K$19="有",0.3,0)-IF(CQ277,0.5,0))</f>
        <v>2950.6049999999996</v>
      </c>
      <c r="S277" s="45">
        <f ca="1">R277/(R277+(185*模拟模式!$E$22-16800)*4.08224)</f>
        <v>0.24272716014590323</v>
      </c>
      <c r="T277" s="45" t="str">
        <f ca="1">LOOKUP(D277,'模拟-单技能数据'!$A$2:$A$19,'模拟-单技能数据'!$H$2:$H$19)</f>
        <v>阴</v>
      </c>
      <c r="U277" s="119">
        <f t="shared" ca="1" si="243"/>
        <v>0.08</v>
      </c>
      <c r="V277" s="47">
        <f ca="1">(1+L277)*(LOOKUP(D277,'模拟-单技能数据'!$A$2:$A$19,'模拟-单技能数据'!$D$2:$D$19)+G277*LOOKUP(D277,'模拟-单技能数据'!$A$2:$A$19,'模拟-单技能数据'!$F$2:$F$19))*(1+J277)*(1+K277)*(1-S277)*(1+U277)*Q277*LOOKUP(D277,'模拟-单技能数据'!$A$2:$A$19,'模拟-单技能数据'!$I$2:$I$20)</f>
        <v>16939.18703301924</v>
      </c>
      <c r="W277" s="47">
        <f ca="1">LOOKUP(D277,'模拟-单技能数据'!$A$2:$A$19,'模拟-单技能数据'!$G$2:$G$19)*$I$10</f>
        <v>361.51064354704795</v>
      </c>
      <c r="X277" s="47">
        <f t="shared" ca="1" si="213"/>
        <v>9595.3556920079973</v>
      </c>
      <c r="Y277" s="47">
        <f t="shared" ca="1" si="244"/>
        <v>26896.053368574285</v>
      </c>
      <c r="Z277" s="49">
        <f t="shared" ca="1" si="245"/>
        <v>26521544.149225898</v>
      </c>
      <c r="AA277" s="97">
        <f t="shared" ca="1" si="246"/>
        <v>114998.56541669693</v>
      </c>
      <c r="AB277" s="115">
        <f ca="1">IF(OR(C277="赤日轮1",C277="赤日轮2",C277="赤日轮3"),IF(RAND()&lt;模拟模式!$Y$17,1,0),IF(OR(C277="幽月轮1",C277="幽月轮2",C277="幽月轮3"),IF(RAND()&lt;模拟模式!$Y$18,1,0),IF(C277="烈日斩",IF(RAND()&lt;模拟模式!$Y$19,1,0),IF(C277="银月斩",IF(RAND()&lt;模拟模式!$Y$20,1,0),IF(C277="驱夜断愁",IF(RAND()&lt;模拟模式!$Y$21,1,0),IF(C277="净世破魔击·日",IF(RAND()&lt;模拟模式!$Y$22,1,0),IF(C277="净世破魔击·月",IF(RAND()&lt;模拟模式!$Y$23,1,0),0)))))))</f>
        <v>1</v>
      </c>
      <c r="AC277" s="115" t="b">
        <f t="shared" ca="1" si="234"/>
        <v>0</v>
      </c>
      <c r="AD277" s="115" t="b">
        <f t="shared" ca="1" si="254"/>
        <v>0</v>
      </c>
      <c r="AE277" s="115">
        <f t="shared" ca="1" si="255"/>
        <v>4</v>
      </c>
      <c r="AF277" s="47">
        <f ca="1">IF(AC277,('模拟-单技能数据'!$D$20+G277*'模拟-单技能数据'!$F$20)*(1+J277)*(1+'模拟-单技能数据'!$J$20)*(1+U277),0)</f>
        <v>0</v>
      </c>
      <c r="AG277" s="61">
        <f t="shared" ca="1" si="247"/>
        <v>0.64185145527300214</v>
      </c>
      <c r="AH277" s="61">
        <f t="shared" ca="1" si="248"/>
        <v>2.2624828854998791</v>
      </c>
      <c r="AI277" s="62">
        <f t="shared" ca="1" si="214"/>
        <v>0.3832801792983852</v>
      </c>
      <c r="AJ277" s="47">
        <f ca="1">IF(AD277,IF(AI277&lt;$F$10,0,IF(AI277&lt;$F$10+$F$11,0.25,IF(AI277&lt;$F$10+$F$11+AG277,AH277,1)))*IF(AF277&gt;0,AF277,IF(AF276&gt;0,AF276,IF(AF275&gt;0,AF275,IF(AF274&gt;0,AF274,IF(AF273&gt;0,AF273,IF(AF272&gt;0,AF272,IF(AF271&gt;0,AF271,IF(AF270&gt;0,AF270,IF(AF269&gt;0,AF269,IF(AF267&gt;0,AF267,IF(AF266&gt;0,AF266,IF(AF265&gt;0,AF265,0)))))))))))),0)*(1-$S277)*'模拟-单技能数据'!$I$20</f>
        <v>0</v>
      </c>
      <c r="AK277" s="115" t="b">
        <f t="shared" ca="1" si="235"/>
        <v>0</v>
      </c>
      <c r="AL277" s="115" t="b">
        <f t="shared" ca="1" si="256"/>
        <v>1</v>
      </c>
      <c r="AM277" s="115">
        <f t="shared" ca="1" si="257"/>
        <v>3</v>
      </c>
      <c r="AN277" s="47">
        <f ca="1">IF(AK277,('模拟-单技能数据'!$D$21+G277*'模拟-单技能数据'!$F$21)*(1+J277)*(1+'模拟-单技能数据'!$J$21)*(1+U277),0)</f>
        <v>0</v>
      </c>
      <c r="AO277" s="61">
        <f ca="1">IF(AN277&gt;0,M277-'模拟-单技能数据'!$K$10,AO276)</f>
        <v>0.42185145527300216</v>
      </c>
      <c r="AP277" s="61">
        <f ca="1">IF(AN277&gt;0,I277-'模拟-单技能数据'!$L$10,AP276)</f>
        <v>2.162482885499879</v>
      </c>
      <c r="AQ277" s="63">
        <f t="shared" ca="1" si="215"/>
        <v>0.74086725783190488</v>
      </c>
      <c r="AR277" s="64">
        <f ca="1">IF(AL277,IF(AQ277&lt;$F$10,0,IF(AQ277&lt;$F$10+$F$11,0.25,IF(AQ277&lt;$F$10+$F$11+AO277,AP277,1)))*IF(AN277&gt;0,AN277,IF(AN276&gt;0,AN276,IF(AN275&gt;0,AN275,IF(AN274&gt;0,AN274,IF(AN273&gt;0,AN273,IF(AN272&gt;0,AN272,IF(AN271&gt;0,AN271,IF(AN270&gt;0,AN270,IF(AN269&gt;0,AN269,IF(AN267&gt;0,AN267,IF(AN266&gt;0,AN266,IF(AN265&gt;0,AN265,0)))))))))))),0)*(1-$S277)*'模拟-单技能数据'!$I$21</f>
        <v>9595.3556920079973</v>
      </c>
      <c r="AS277" s="61">
        <f ca="1">IF(OR(C277="净世破魔击·日",C277="净世破魔击·月"),M277-'模拟-单技能数据'!$K$10,0)</f>
        <v>0</v>
      </c>
      <c r="AT277" s="61">
        <f ca="1">IF(OR(C277="净世破魔击·日",C277="净世破魔击·月"),I277-'模拟-单技能数据'!$L$10,0)</f>
        <v>0</v>
      </c>
      <c r="AU277" s="62">
        <f t="shared" ca="1" si="216"/>
        <v>0.4722563892388596</v>
      </c>
      <c r="AV277" s="64">
        <f ca="1">IF(AS277&gt;0,('模拟-单技能数据'!$D$22+G277*'模拟-单技能数据'!$F$22)*(1+J277)*(1-S277)*IF(AU277&lt;$F$10,0,IF(AU277&lt;$F$10+$F$11,0.25,IF(AU277&lt;$F$10+$F$11+AS277,AT277,1)))*(1+U277),0)*'模拟-单技能数据'!$I$22</f>
        <v>0</v>
      </c>
      <c r="AW277" s="108">
        <f t="shared" ca="1" si="217"/>
        <v>5.2400000000000064</v>
      </c>
      <c r="AX277" s="108" t="b">
        <f ca="1">AND(模拟模式!$P$10="有",AW276=0,RAND()&lt;IF(C277="净世破魔击·月",0.1*8/3,IF(C277="净世破魔击·日",0.1*4/3,0.1*2/3)))</f>
        <v>0</v>
      </c>
      <c r="AY277" s="47">
        <f ca="1">IF(AX277,(18+G277*0.722)*(1+J277)*(1-S277)*(1+$I$4)*IF(P277="会",'模拟-全程加成'!$J$3+'模拟-全程加成'!$J$4+'模拟-全程加成'!$J$5+('模拟-全程加成'!$I$4+'模拟-全程加成'!$I$5)/系数!$B$4+BG277*10%,IF(P277="命",1,IF(P277="识",0.25,0))),0)</f>
        <v>0</v>
      </c>
      <c r="AZ277" s="108">
        <f t="shared" si="218"/>
        <v>12.620000000000005</v>
      </c>
      <c r="BA277" s="108" t="b">
        <f>AND(模拟模式!$Q$10="有",AZ276=0)</f>
        <v>0</v>
      </c>
      <c r="BB277" s="140">
        <f>IF(BA277,(0+G277*0.287)*(1+J277)*(1-S277)*(1+$I$4)*IF(P277="会",'模拟-全程加成'!$J$3+'模拟-全程加成'!$J$4+'模拟-全程加成'!$J$5+('模拟-全程加成'!$I$4+'模拟-全程加成'!$I$5)/系数!$B$4+BG277*10%,IF(P277="命",1,IF(P277="识",0.25,0))),0)</f>
        <v>0</v>
      </c>
      <c r="BC277" s="115" t="b">
        <f ca="1">AND(模拟模式!$R$7="伏明众生",E277=60,F277=20,DA277&lt;5,CZ276&lt;$F$4)</f>
        <v>0</v>
      </c>
      <c r="BD277" s="115">
        <f t="shared" ca="1" si="236"/>
        <v>0</v>
      </c>
      <c r="BE277" s="115" t="b">
        <f t="shared" ca="1" si="237"/>
        <v>0</v>
      </c>
      <c r="BF277" s="47">
        <f ca="1">IF(BC277,4*('模拟-单技能数据'!$D$24+G277*'模拟-单技能数据'!$F$24)*(1+J277)*(1+'模拟-单技能数据'!$J$24)*(1-S277)*(1+$I$3)*(('模拟-全程加成'!$J$3+'模拟-全程加成'!$J$4+'模拟-全程加成'!$J$5+('模拟-全程加成'!$I$4+'模拟-全程加成'!$I$5)/系数!$B$4+BG277*10%)*('模拟-全程加成'!$J$3+'模拟-全程加成'!$J$4+'模拟-全程加成'!$J$5+('模拟-全程加成'!$I$4+'模拟-全程加成'!$I$5)/系数!$B$4+BG277*10%)+(1-('模拟-全程加成'!$J$3+'模拟-全程加成'!$J$4+'模拟-全程加成'!$J$5+('模拟-全程加成'!$I$4+'模拟-全程加成'!$I$5)/系数!$B$4+BG277*10%)-$F$10-$F$11)+F263*0.25),0)*'模拟-单技能数据'!$I$24</f>
        <v>0</v>
      </c>
      <c r="BG277" s="115" t="b">
        <f ca="1">OR(AND(OR(C277="烈日斩",C277="银月斩"),模拟模式!$I$7="净身明礼"),AND(C277="净世破魔击·日",模拟模式!$J$7="洞若观火"),AND(C278="净世破魔击·月",模拟模式!$J$7="洞若观火"),AB277=1)</f>
        <v>1</v>
      </c>
      <c r="BH277" s="115" t="b">
        <f t="shared" ca="1" si="219"/>
        <v>0</v>
      </c>
      <c r="BI277" s="115">
        <f t="shared" ca="1" si="238"/>
        <v>0.46499999999999975</v>
      </c>
      <c r="BJ277" s="115" t="b">
        <f t="shared" ca="1" si="249"/>
        <v>1</v>
      </c>
      <c r="BK277" s="115" t="b">
        <f ca="1">AND(C277="驱夜断愁",模拟模式!$P$7="天地诛戮")</f>
        <v>0</v>
      </c>
      <c r="BL277" s="57">
        <f t="shared" ca="1" si="239"/>
        <v>18.155000000000001</v>
      </c>
      <c r="BM277" s="115" t="b">
        <f t="shared" ca="1" si="250"/>
        <v>1</v>
      </c>
      <c r="BN277" s="115" t="b">
        <f ca="1">AND(OR(C277="赤日轮1",C277="赤日轮2",C277="赤日轮3",C277="幽月轮1",C277="幽月轮2",C277="幽月轮3"),AB277=1,模拟模式!$L$7="明光恒照")</f>
        <v>1</v>
      </c>
      <c r="BO277" s="117">
        <f t="shared" ca="1" si="240"/>
        <v>30</v>
      </c>
      <c r="BP277" s="115">
        <f t="shared" ca="1" si="220"/>
        <v>6</v>
      </c>
      <c r="BQ277" s="115" t="b">
        <f>模拟模式!$K$10="2600·水"</f>
        <v>0</v>
      </c>
      <c r="BR277" s="117">
        <f t="shared" si="221"/>
        <v>0</v>
      </c>
      <c r="BS277" s="115">
        <f t="shared" si="222"/>
        <v>0</v>
      </c>
      <c r="BT277" s="115">
        <f t="shared" ca="1" si="223"/>
        <v>0</v>
      </c>
      <c r="BU277" s="115" t="b">
        <f ca="1">AND(模拟模式!$K$10="2300·雷",BT276=0,RAND()&lt;IF(C277="净世破魔击·月",5*0.05*2/3,IF(C277="净世破魔击·日",3*0.05*2/3,0.05*2*2/3)))</f>
        <v>0</v>
      </c>
      <c r="BV277" s="115">
        <f t="shared" ca="1" si="224"/>
        <v>0</v>
      </c>
      <c r="BW277" s="115">
        <f t="shared" ca="1" si="225"/>
        <v>141.25499999999943</v>
      </c>
      <c r="BX277" s="164" t="b">
        <f t="shared" ca="1" si="226"/>
        <v>0</v>
      </c>
      <c r="BY277" s="115">
        <f t="shared" ca="1" si="227"/>
        <v>0</v>
      </c>
      <c r="BZ277" s="115">
        <f>IF(OR(模拟模式!$P$16="10人团",模拟模式!$P$16="25人团"),IF(B277/30&gt;CA276,1,0),0)</f>
        <v>0</v>
      </c>
      <c r="CA277" s="115">
        <f t="shared" si="203"/>
        <v>0</v>
      </c>
      <c r="CB277" s="115">
        <f ca="1">IF(BZ277=1,IF(模拟模式!$P$16="10人团",15,0)+IF(模拟模式!$P$16="25人团",IF(RAND()&lt;0.6,15,0)),MAX(0,CB276-$F$4))</f>
        <v>0</v>
      </c>
      <c r="CC277" s="115" t="b">
        <f t="shared" ca="1" si="251"/>
        <v>0</v>
      </c>
      <c r="CD277" s="115">
        <f>IF(模拟模式!$Q$16="1个",IF(B277/40&gt;CE276,1,0),0)</f>
        <v>0</v>
      </c>
      <c r="CE277" s="115">
        <f t="shared" si="252"/>
        <v>0</v>
      </c>
      <c r="CF277" s="115">
        <f>IF(OR(CD277=1,模拟模式!$Q$16="2个"),20,MAX(0,CF276-$F$4))</f>
        <v>0</v>
      </c>
      <c r="CG277" s="115" t="b">
        <f t="shared" si="253"/>
        <v>0</v>
      </c>
      <c r="CH277" s="115">
        <f t="shared" ca="1" si="228"/>
        <v>0.48000000000001186</v>
      </c>
      <c r="CI277" s="115" t="b">
        <f t="shared" ca="1" si="229"/>
        <v>0</v>
      </c>
      <c r="CJ277" s="119">
        <f t="shared" ca="1" si="230"/>
        <v>0</v>
      </c>
      <c r="CK277" s="115">
        <f t="shared" ca="1" si="231"/>
        <v>0</v>
      </c>
      <c r="CL277" s="115" t="b">
        <f ca="1">AND(模拟模式!$S$7="驱夷逐法",OR(AND(C277="净世破魔击·月",E276&gt;59),AND(C277="净世破魔击·日",F276&gt;59)))</f>
        <v>0</v>
      </c>
      <c r="CM277" s="115" t="b">
        <f ca="1">OR(CL277,AND(C277="净世破魔击·日",CL276,RAND()&lt;模拟模式!$U$23))</f>
        <v>0</v>
      </c>
      <c r="CN277" s="115" t="b">
        <f ca="1">IF(模拟模式!$M$7="辉耀红尘",AND(C277="净世破魔击·月",CL277,CV277=0,E276&lt;80),AND(C277="净世破魔击·月",CL277,E276&lt;100))</f>
        <v>0</v>
      </c>
      <c r="CO277" s="115" t="b">
        <f t="shared" ca="1" si="204"/>
        <v>0</v>
      </c>
      <c r="CP277" s="115" t="b">
        <f ca="1">AND(模拟模式!$O$7="用晦而明",OR(C277="净世破魔击·日",C277="净世破魔击·月",C277="驱夜断愁"),AB277)</f>
        <v>0</v>
      </c>
      <c r="CQ277" s="115" t="b">
        <f ca="1">OR(CP277,AND(CP276,RAND()&lt;模拟模式!$U$23))</f>
        <v>0</v>
      </c>
      <c r="CR277" s="115" t="b">
        <f ca="1">AND(模拟模式!$S$7="日月齐光",OR(C277="幽月轮1",C277="幽月轮2",C277="幽月轮3",CR276),NOT(OR(C277="赤日轮1",C277="赤日轮2",C277="赤日轮3")))</f>
        <v>0</v>
      </c>
      <c r="CS277" s="115" t="b">
        <f ca="1">AND(模拟模式!$S$7="日月齐光",OR(C277="赤日轮1",C277="赤日轮2",C277="赤日轮3",CS276),NOT(OR(C277="幽月轮1",C277="幽月轮2",C277="幽月轮3")))</f>
        <v>0</v>
      </c>
      <c r="CT277" s="115">
        <f t="shared" ca="1" si="232"/>
        <v>6.9375000000000124</v>
      </c>
      <c r="CU277" s="115" t="b">
        <f ca="1">AND(模拟模式!$K$10="阴阳往极",CT276=0,RAND()&lt;IF(C277="净世破魔击·月",0.0275*7/3,IF(C277="净世破魔击·日",0.0275*3/3,0.0275*2/3)))</f>
        <v>0</v>
      </c>
      <c r="CV277" s="115">
        <f t="shared" ca="1" si="233"/>
        <v>0</v>
      </c>
      <c r="CW277" s="115">
        <f t="shared" ca="1" si="205"/>
        <v>5.0774999999999997</v>
      </c>
      <c r="CX277" s="115">
        <f t="shared" ca="1" si="206"/>
        <v>3.2324999999999995</v>
      </c>
      <c r="CY277" s="115">
        <f ca="1">MAX(IF($C277="驱夜断愁",IF(模拟模式!$R$7="万念俱寂",6,45),CY276-$F$4),0)</f>
        <v>4.1549999999999994</v>
      </c>
      <c r="CZ277" s="115">
        <f t="shared" ca="1" si="207"/>
        <v>0</v>
      </c>
      <c r="DA277" s="115">
        <f ca="1">IF(模拟模式!$N$7="日月同辉",IF(DB276=2,0,MIN(6,IF(AND(OR(C277="赤日轮1",C277="赤日轮2",C277="赤日轮3",C277="幽月轮1",C277="幽月轮2",C277="幽月轮3"),AB277=1),DA276+1,DA276))),0)</f>
        <v>3</v>
      </c>
      <c r="DB277" s="115">
        <f t="shared" ca="1" si="208"/>
        <v>0</v>
      </c>
      <c r="DC277" s="115"/>
      <c r="DD277" s="115"/>
      <c r="DE277" s="115"/>
      <c r="DF277" s="115"/>
      <c r="DG277" s="115"/>
      <c r="DH277" s="115"/>
      <c r="DI277" s="115"/>
      <c r="DJ277" s="115"/>
      <c r="DK277" s="115"/>
      <c r="DL277" s="115"/>
      <c r="DM277" s="115"/>
    </row>
    <row r="278" spans="2:117" x14ac:dyDescent="0.2">
      <c r="B278" s="117">
        <f t="shared" si="209"/>
        <v>231.54750000000146</v>
      </c>
      <c r="C278" s="167" t="str">
        <f t="shared" ca="1" si="202"/>
        <v>净世破魔击·月</v>
      </c>
      <c r="D278" s="115">
        <f ca="1">IF(C278="赤日轮1",1,IF(C278="赤日轮2",2,IF(C278="赤日轮3",3,IF(C278="幽月轮1",4,IF(C278="幽月轮2",5,IF(C278="幽月轮3",6,IF(C278="烈日斩",7,IF(C278="银月斩",8,IF(C278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278="净世破魔击·月",17,IF(C278="驱夜断愁",18,0)))))))))))</f>
        <v>17</v>
      </c>
      <c r="E278" s="115">
        <f ca="1">IF(AND(CU278,OR(C278="幽月轮1",C278="幽月轮2",C278="幽月轮3",C278="银月斩",C278="驱夜断愁",C278="净世破魔击·月")),100,MIN(IF(OR(CN278,BE278),0,IF(OR($C278="赤日轮1",$C278="赤日轮2",$C278="赤日轮3"),E277+20+IF(模拟模式!$I$7="日月凌天",4,0)+IF(CR277,20,0),IF($C278="烈日斩",E277+40,IF($C278="驱夜断愁",IF(模拟模式!$R$7="万念俱寂",E277+20,E277+60),IF($C278="净世破魔击·月",IF(OR(DB277&gt;0,CV277&gt;0),100,IF(模拟模式!$M$7="辉耀红尘",E277+20,E277)),IF($C278="净世破魔击·日",E277-100,E277)))))),100))</f>
        <v>100</v>
      </c>
      <c r="F278" s="115">
        <f ca="1">IF(AND(CU278,OR(C278="赤日轮1",C278="赤日轮2",C278="赤日轮3",C278="烈日斩",C278="净世破魔击·日")),100,MIN(IF(CO278,0,IF(OR($C278="幽月轮1",$C278="幽月轮2",$C278="幽月轮3"),F277+20+IF(模拟模式!$I$7="日月凌天",4,0)+IF(CS277,20,0),IF($C278="银月斩",F277+40+IF(模拟模式!$X$12=1,5,0),IF($C278="驱夜断愁",IF(模拟模式!$R$7="万念俱寂",F277+20,F277+60),IF($C278="净世破魔击·月",IF(模拟模式!$M$7="辉耀红尘",F277-80,F277-100),IF(AND(C278="净世破魔击·日",OR(DB277&gt;0,CV277&gt;0)),100,F277)))))),100))</f>
        <v>20</v>
      </c>
      <c r="G278" s="117">
        <f ca="1">('模拟-全程加成'!$E$3+'模拟-全程加成'!$E$4+'模拟-全程加成'!$E$5+('模拟-全程加成'!$C$6-'模拟-全程加成'!$C$3)*系数!$B$9+BS278*23)*(1+'模拟-全程加成'!$F$4+'模拟-全程加成'!$F$5+BJ278*10%+BM278*20%+BP278*4%+CG278*30%)+$F$7*系数!$B$12</f>
        <v>20583.127400000001</v>
      </c>
      <c r="H278" s="45">
        <f ca="1">'模拟-全程加成'!$H$3+'模拟-全程加成'!$H$4+'模拟-全程加成'!$H$5+('模拟-全程加成'!$G$4+'模拟-全程加成'!$G$5+('模拟-全程加成'!$C$6-'模拟-全程加成'!$C$3)*系数!$B$13)/系数!$B$3+LOOKUP(D278,'模拟-单技能数据'!$A$2:$A$19,'模拟-单技能数据'!$K$2:$K$19)+BG278*10%+IF(BV278&gt;0,378,0)</f>
        <v>0.54185145527300216</v>
      </c>
      <c r="I278" s="45">
        <f ca="1">'模拟-全程加成'!$J$3+'模拟-全程加成'!$J$4+'模拟-全程加成'!$J$5+('模拟-全程加成'!$I$4+'模拟-全程加成'!$I$5)/系数!$B$4+LOOKUP(D278,'模拟-单技能数据'!$A$2:$A$19,'模拟-单技能数据'!$L$2:$L$19)+BG278*10%</f>
        <v>2.162482885499879</v>
      </c>
      <c r="J278" s="45">
        <f ca="1">(('模拟-全程加成'!$K$3+'模拟-全程加成'!$K$4+'模拟-全程加成'!$K$5+('模拟-全程加成'!$C$6-'模拟-全程加成'!$C$3)*系数!$B$10+IF(BV278&gt;0,882,0)+IF(BY278&gt;0,1831,0))*(1+'模拟-全程加成'!$L$4+'模拟-全程加成'!$L$5+CC278*20%))/系数!$B$5</f>
        <v>0.69723220422048726</v>
      </c>
      <c r="K278" s="119">
        <f ca="1">LOOKUP(D278,'模拟-单技能数据'!$A$2:$A$19,'模拟-单技能数据'!$J$2:$J$19)+IF(CM278,60%,0)+IF(DB277-DB278&gt;0,30%,0)+IF(OR(AND(OR(C278="赤日轮1",C278="赤日轮2",C278="赤日轮3"),CR278),AND(OR(C278="幽月轮1",C278="幽月轮2",C278="幽月轮3"),CS278)),35%,0)+CJ278</f>
        <v>0.8</v>
      </c>
      <c r="L278" s="119">
        <f ca="1">IF(AND(C278="烈日斩",模拟模式!$X$11=1),10%,0)+IF(AND(C278="驱夜断愁",AB278=1),30%,0)</f>
        <v>0</v>
      </c>
      <c r="M278" s="45">
        <f t="shared" ca="1" si="241"/>
        <v>0.54185145527300216</v>
      </c>
      <c r="N278" s="45">
        <f t="shared" ca="1" si="242"/>
        <v>0.40424854472699789</v>
      </c>
      <c r="O278" s="46">
        <f t="shared" ca="1" si="210"/>
        <v>0.88061371219585893</v>
      </c>
      <c r="P278" s="46" t="str">
        <f t="shared" ca="1" si="211"/>
        <v>命</v>
      </c>
      <c r="Q278" s="45">
        <f t="shared" ca="1" si="212"/>
        <v>1</v>
      </c>
      <c r="R278" s="117">
        <f ca="1">模拟模式!$E$20*(1-IF(模拟模式!$J$19="有",0.15,0))*(1-IF(模拟模式!$K$19="有",0.3,0)-IF(CQ278,0.5,0))</f>
        <v>843.02999999999975</v>
      </c>
      <c r="S278" s="45">
        <f ca="1">R278/(R278+(185*模拟模式!$E$22-16800)*4.08224)</f>
        <v>8.389626085980037E-2</v>
      </c>
      <c r="T278" s="45" t="str">
        <f ca="1">LOOKUP(D278,'模拟-单技能数据'!$A$2:$A$19,'模拟-单技能数据'!$H$2:$H$19)</f>
        <v>阴</v>
      </c>
      <c r="U278" s="119">
        <f t="shared" ca="1" si="243"/>
        <v>0.08</v>
      </c>
      <c r="V278" s="47">
        <f ca="1">(1+L278)*(LOOKUP(D278,'模拟-单技能数据'!$A$2:$A$19,'模拟-单技能数据'!$D$2:$D$19)+G278*LOOKUP(D278,'模拟-单技能数据'!$A$2:$A$19,'模拟-单技能数据'!$F$2:$F$19))*(1+J278)*(1+K278)*(1-S278)*(1+U278)*Q278*LOOKUP(D278,'模拟-单技能数据'!$A$2:$A$19,'模拟-单技能数据'!$I$2:$I$20)</f>
        <v>80864.621558254468</v>
      </c>
      <c r="W278" s="47">
        <f ca="1">LOOKUP(D278,'模拟-单技能数据'!$A$2:$A$19,'模拟-单技能数据'!$G$2:$G$19)*$I$10</f>
        <v>361.51064354704795</v>
      </c>
      <c r="X278" s="47">
        <f t="shared" ca="1" si="213"/>
        <v>11889.940087821942</v>
      </c>
      <c r="Y278" s="47">
        <f t="shared" ca="1" si="244"/>
        <v>93116.072289623466</v>
      </c>
      <c r="Z278" s="49">
        <f t="shared" ca="1" si="245"/>
        <v>26614660.221515521</v>
      </c>
      <c r="AA278" s="97">
        <f t="shared" ca="1" si="246"/>
        <v>114942.55054153188</v>
      </c>
      <c r="AB278" s="115">
        <f ca="1">IF(OR(C278="赤日轮1",C278="赤日轮2",C278="赤日轮3"),IF(RAND()&lt;模拟模式!$Y$17,1,0),IF(OR(C278="幽月轮1",C278="幽月轮2",C278="幽月轮3"),IF(RAND()&lt;模拟模式!$Y$18,1,0),IF(C278="烈日斩",IF(RAND()&lt;模拟模式!$Y$19,1,0),IF(C278="银月斩",IF(RAND()&lt;模拟模式!$Y$20,1,0),IF(C278="驱夜断愁",IF(RAND()&lt;模拟模式!$Y$21,1,0),IF(C278="净世破魔击·日",IF(RAND()&lt;模拟模式!$Y$22,1,0),IF(C278="净世破魔击·月",IF(RAND()&lt;模拟模式!$Y$23,1,0),0)))))))</f>
        <v>1</v>
      </c>
      <c r="AC278" s="115" t="b">
        <f t="shared" ca="1" si="234"/>
        <v>0</v>
      </c>
      <c r="AD278" s="115" t="b">
        <f t="shared" ca="1" si="254"/>
        <v>1</v>
      </c>
      <c r="AE278" s="115">
        <f t="shared" ca="1" si="255"/>
        <v>3</v>
      </c>
      <c r="AF278" s="47">
        <f ca="1">IF(AC278,('模拟-单技能数据'!$D$20+G278*'模拟-单技能数据'!$F$20)*(1+J278)*(1+'模拟-单技能数据'!$J$20)*(1+U278),0)</f>
        <v>0</v>
      </c>
      <c r="AG278" s="61">
        <f t="shared" ca="1" si="247"/>
        <v>0.64185145527300214</v>
      </c>
      <c r="AH278" s="61">
        <f t="shared" ca="1" si="248"/>
        <v>2.2624828854998791</v>
      </c>
      <c r="AI278" s="62">
        <f t="shared" ca="1" si="214"/>
        <v>0.75645084919783623</v>
      </c>
      <c r="AJ278" s="47">
        <f ca="1">IF(AD278,IF(AI278&lt;$F$10,0,IF(AI278&lt;$F$10+$F$11,0.25,IF(AI278&lt;$F$10+$F$11+AG278,AH278,1)))*IF(AF278&gt;0,AF278,IF(AF277&gt;0,AF277,IF(AF276&gt;0,AF276,IF(AF275&gt;0,AF275,IF(AF274&gt;0,AF274,IF(AF273&gt;0,AF273,IF(AF272&gt;0,AF272,IF(AF271&gt;0,AF271,IF(AF270&gt;0,AF270,IF(AF268&gt;0,AF268,IF(AF267&gt;0,AF267,IF(AF266&gt;0,AF266,0)))))))))))),0)*(1-$S278)*'模拟-单技能数据'!$I$20</f>
        <v>4250.4883357170938</v>
      </c>
      <c r="AK278" s="115" t="b">
        <f t="shared" ca="1" si="235"/>
        <v>0</v>
      </c>
      <c r="AL278" s="115" t="b">
        <f t="shared" ca="1" si="256"/>
        <v>0</v>
      </c>
      <c r="AM278" s="115">
        <f t="shared" ca="1" si="257"/>
        <v>3</v>
      </c>
      <c r="AN278" s="47">
        <f ca="1">IF(AK278,('模拟-单技能数据'!$D$21+G278*'模拟-单技能数据'!$F$21)*(1+J278)*(1+'模拟-单技能数据'!$J$21)*(1+U278),0)</f>
        <v>0</v>
      </c>
      <c r="AO278" s="61">
        <f ca="1">IF(AN278&gt;0,M278-'模拟-单技能数据'!$K$10,AO277)</f>
        <v>0.42185145527300216</v>
      </c>
      <c r="AP278" s="61">
        <f ca="1">IF(AN278&gt;0,I278-'模拟-单技能数据'!$L$10,AP277)</f>
        <v>2.162482885499879</v>
      </c>
      <c r="AQ278" s="63">
        <f t="shared" ca="1" si="215"/>
        <v>0.16967302202000778</v>
      </c>
      <c r="AR278" s="64">
        <f ca="1">IF(AL278,IF(AQ278&lt;$F$10,0,IF(AQ278&lt;$F$10+$F$11,0.25,IF(AQ278&lt;$F$10+$F$11+AO278,AP278,1)))*IF(AN278&gt;0,AN278,IF(AN277&gt;0,AN277,IF(AN276&gt;0,AN276,IF(AN275&gt;0,AN275,IF(AN274&gt;0,AN274,IF(AN273&gt;0,AN273,IF(AN272&gt;0,AN272,IF(AN271&gt;0,AN271,IF(AN270&gt;0,AN270,IF(AN268&gt;0,AN268,IF(AN267&gt;0,AN267,IF(AN266&gt;0,AN266,0)))))))))))),0)*(1-$S278)*'模拟-单技能数据'!$I$21</f>
        <v>0</v>
      </c>
      <c r="AS278" s="61">
        <f ca="1">IF(OR(C278="净世破魔击·日",C278="净世破魔击·月"),M278-'模拟-单技能数据'!$K$10,0)</f>
        <v>0.42185145527300216</v>
      </c>
      <c r="AT278" s="61">
        <f ca="1">IF(OR(C278="净世破魔击·日",C278="净世破魔击·月"),I278-'模拟-单技能数据'!$L$10,0)</f>
        <v>2.162482885499879</v>
      </c>
      <c r="AU278" s="62">
        <f t="shared" ca="1" si="216"/>
        <v>0.65293604182735498</v>
      </c>
      <c r="AV278" s="64">
        <f ca="1">IF(AS278&gt;0,('模拟-单技能数据'!$D$22+G278*'模拟-单技能数据'!$F$22)*(1+J278)*(1-S278)*IF(AU278&lt;$F$10,0,IF(AU278&lt;$F$10+$F$11,0.25,IF(AU278&lt;$F$10+$F$11+AS278,AT278,1)))*(1+U278),0)*'模拟-单技能数据'!$I$22</f>
        <v>7639.4517521048492</v>
      </c>
      <c r="AW278" s="108">
        <f t="shared" ca="1" si="217"/>
        <v>4.3175000000000061</v>
      </c>
      <c r="AX278" s="108" t="b">
        <f ca="1">AND(模拟模式!$P$10="有",AW277=0,RAND()&lt;IF(C278="净世破魔击·月",0.1*8/3,IF(C278="净世破魔击·日",0.1*4/3,0.1*2/3)))</f>
        <v>0</v>
      </c>
      <c r="AY278" s="47">
        <f ca="1">IF(AX278,(18+G278*0.722)*(1+J278)*(1-S278)*(1+$I$4)*IF(P278="会",'模拟-全程加成'!$J$3+'模拟-全程加成'!$J$4+'模拟-全程加成'!$J$5+('模拟-全程加成'!$I$4+'模拟-全程加成'!$I$5)/系数!$B$4+BG278*10%,IF(P278="命",1,IF(P278="识",0.25,0))),0)</f>
        <v>0</v>
      </c>
      <c r="AZ278" s="108">
        <f t="shared" si="218"/>
        <v>11.697500000000005</v>
      </c>
      <c r="BA278" s="108" t="b">
        <f>AND(模拟模式!$Q$10="有",AZ277=0)</f>
        <v>0</v>
      </c>
      <c r="BB278" s="140">
        <f>IF(BA278,(0+G278*0.287)*(1+J278)*(1-S278)*(1+$I$4)*IF(P278="会",'模拟-全程加成'!$J$3+'模拟-全程加成'!$J$4+'模拟-全程加成'!$J$5+('模拟-全程加成'!$I$4+'模拟-全程加成'!$I$5)/系数!$B$4+BG278*10%,IF(P278="命",1,IF(P278="识",0.25,0))),0)</f>
        <v>0</v>
      </c>
      <c r="BC278" s="115" t="b">
        <f ca="1">AND(模拟模式!$R$7="伏明众生",E278=60,F278=20,DA278&lt;5,CZ277&lt;$F$4)</f>
        <v>0</v>
      </c>
      <c r="BD278" s="115">
        <f t="shared" ca="1" si="236"/>
        <v>0</v>
      </c>
      <c r="BE278" s="115" t="b">
        <f t="shared" ca="1" si="237"/>
        <v>0</v>
      </c>
      <c r="BF278" s="47">
        <f ca="1">IF(BC278,4*('模拟-单技能数据'!$D$24+G278*'模拟-单技能数据'!$F$24)*(1+J278)*(1+'模拟-单技能数据'!$J$24)*(1-S278)*(1+$I$3)*(('模拟-全程加成'!$J$3+'模拟-全程加成'!$J$4+'模拟-全程加成'!$J$5+('模拟-全程加成'!$I$4+'模拟-全程加成'!$I$5)/系数!$B$4+BG278*10%)*('模拟-全程加成'!$J$3+'模拟-全程加成'!$J$4+'模拟-全程加成'!$J$5+('模拟-全程加成'!$I$4+'模拟-全程加成'!$I$5)/系数!$B$4+BG278*10%)+(1-('模拟-全程加成'!$J$3+'模拟-全程加成'!$J$4+'模拟-全程加成'!$J$5+('模拟-全程加成'!$I$4+'模拟-全程加成'!$I$5)/系数!$B$4+BG278*10%)-$F$10-$F$11)+F264*0.25),0)*'模拟-单技能数据'!$I$24</f>
        <v>0</v>
      </c>
      <c r="BG278" s="115" t="b">
        <f ca="1">OR(AND(OR(C278="烈日斩",C278="银月斩"),模拟模式!$I$7="净身明礼"),AND(C278="净世破魔击·日",模拟模式!$J$7="洞若观火"),AND(C279="净世破魔击·月",模拟模式!$J$7="洞若观火"),AB278=1)</f>
        <v>1</v>
      </c>
      <c r="BH278" s="115" t="b">
        <f t="shared" ca="1" si="219"/>
        <v>0</v>
      </c>
      <c r="BI278" s="115">
        <f t="shared" ca="1" si="238"/>
        <v>0</v>
      </c>
      <c r="BJ278" s="115" t="b">
        <f t="shared" ca="1" si="249"/>
        <v>0</v>
      </c>
      <c r="BK278" s="115" t="b">
        <f ca="1">AND(C278="驱夜断愁",模拟模式!$P$7="天地诛戮")</f>
        <v>0</v>
      </c>
      <c r="BL278" s="57">
        <f t="shared" ca="1" si="239"/>
        <v>17.232500000000002</v>
      </c>
      <c r="BM278" s="115" t="b">
        <f t="shared" ca="1" si="250"/>
        <v>1</v>
      </c>
      <c r="BN278" s="115" t="b">
        <f ca="1">AND(OR(C278="赤日轮1",C278="赤日轮2",C278="赤日轮3",C278="幽月轮1",C278="幽月轮2",C278="幽月轮3"),AB278=1,模拟模式!$L$7="明光恒照")</f>
        <v>0</v>
      </c>
      <c r="BO278" s="117">
        <f t="shared" ca="1" si="240"/>
        <v>29.077500000000001</v>
      </c>
      <c r="BP278" s="115">
        <f t="shared" ca="1" si="220"/>
        <v>6</v>
      </c>
      <c r="BQ278" s="115" t="b">
        <f>模拟模式!$K$10="2600·水"</f>
        <v>0</v>
      </c>
      <c r="BR278" s="117">
        <f t="shared" si="221"/>
        <v>0</v>
      </c>
      <c r="BS278" s="115">
        <f t="shared" si="222"/>
        <v>0</v>
      </c>
      <c r="BT278" s="115">
        <f t="shared" ca="1" si="223"/>
        <v>0</v>
      </c>
      <c r="BU278" s="115" t="b">
        <f ca="1">AND(模拟模式!$K$10="2300·雷",BT277=0,RAND()&lt;IF(C278="净世破魔击·月",5*0.05*2/3,IF(C278="净世破魔击·日",3*0.05*2/3,0.05*2*2/3)))</f>
        <v>0</v>
      </c>
      <c r="BV278" s="115">
        <f t="shared" ca="1" si="224"/>
        <v>0</v>
      </c>
      <c r="BW278" s="115">
        <f t="shared" ca="1" si="225"/>
        <v>140.33249999999941</v>
      </c>
      <c r="BX278" s="164" t="b">
        <f t="shared" ca="1" si="226"/>
        <v>0</v>
      </c>
      <c r="BY278" s="115">
        <f t="shared" ca="1" si="227"/>
        <v>0</v>
      </c>
      <c r="BZ278" s="115">
        <f>IF(OR(模拟模式!$P$16="10人团",模拟模式!$P$16="25人团"),IF(B278/30&gt;CA277,1,0),0)</f>
        <v>0</v>
      </c>
      <c r="CA278" s="115">
        <f t="shared" si="203"/>
        <v>0</v>
      </c>
      <c r="CB278" s="115">
        <f ca="1">IF(BZ278=1,IF(模拟模式!$P$16="10人团",15,0)+IF(模拟模式!$P$16="25人团",IF(RAND()&lt;0.6,15,0)),MAX(0,CB277-$F$4))</f>
        <v>0</v>
      </c>
      <c r="CC278" s="115" t="b">
        <f t="shared" ca="1" si="251"/>
        <v>0</v>
      </c>
      <c r="CD278" s="115">
        <f>IF(模拟模式!$Q$16="1个",IF(B278/40&gt;CE277,1,0),0)</f>
        <v>0</v>
      </c>
      <c r="CE278" s="115">
        <f t="shared" si="252"/>
        <v>0</v>
      </c>
      <c r="CF278" s="115">
        <f>IF(OR(CD278=1,模拟模式!$Q$16="2个"),20,MAX(0,CF277-$F$4))</f>
        <v>0</v>
      </c>
      <c r="CG278" s="115" t="b">
        <f t="shared" si="253"/>
        <v>0</v>
      </c>
      <c r="CH278" s="115">
        <f t="shared" ca="1" si="228"/>
        <v>0</v>
      </c>
      <c r="CI278" s="115" t="b">
        <f t="shared" ca="1" si="229"/>
        <v>0</v>
      </c>
      <c r="CJ278" s="119">
        <f t="shared" ca="1" si="230"/>
        <v>0</v>
      </c>
      <c r="CK278" s="115">
        <f t="shared" ca="1" si="231"/>
        <v>0</v>
      </c>
      <c r="CL278" s="115" t="b">
        <f ca="1">AND(模拟模式!$S$7="驱夷逐法",OR(AND(C278="净世破魔击·月",E277&gt;59),AND(C278="净世破魔击·日",F277&gt;59)))</f>
        <v>1</v>
      </c>
      <c r="CM278" s="115" t="b">
        <f ca="1">OR(CL278,AND(C278="净世破魔击·日",CL277,RAND()&lt;模拟模式!$U$23))</f>
        <v>1</v>
      </c>
      <c r="CN278" s="115" t="b">
        <f ca="1">IF(模拟模式!$M$7="辉耀红尘",AND(C278="净世破魔击·月",CL278,CV278=0,E277&lt;80),AND(C278="净世破魔击·月",CL278,E277&lt;100))</f>
        <v>0</v>
      </c>
      <c r="CO278" s="115" t="b">
        <f t="shared" ca="1" si="204"/>
        <v>0</v>
      </c>
      <c r="CP278" s="115" t="b">
        <f ca="1">AND(模拟模式!$O$7="用晦而明",OR(C278="净世破魔击·日",C278="净世破魔击·月",C278="驱夜断愁"),AB278)</f>
        <v>1</v>
      </c>
      <c r="CQ278" s="115" t="b">
        <f ca="1">OR(CP278,AND(CP277,RAND()&lt;模拟模式!$U$23))</f>
        <v>1</v>
      </c>
      <c r="CR278" s="115" t="b">
        <f ca="1">AND(模拟模式!$S$7="日月齐光",OR(C278="幽月轮1",C278="幽月轮2",C278="幽月轮3",CR277),NOT(OR(C278="赤日轮1",C278="赤日轮2",C278="赤日轮3")))</f>
        <v>0</v>
      </c>
      <c r="CS278" s="115" t="b">
        <f ca="1">AND(模拟模式!$S$7="日月齐光",OR(C278="赤日轮1",C278="赤日轮2",C278="赤日轮3",CS277),NOT(OR(C278="幽月轮1",C278="幽月轮2",C278="幽月轮3")))</f>
        <v>0</v>
      </c>
      <c r="CT278" s="115">
        <f t="shared" ca="1" si="232"/>
        <v>6.0150000000000121</v>
      </c>
      <c r="CU278" s="115" t="b">
        <f ca="1">AND(模拟模式!$K$10="阴阳往极",CT277=0,RAND()&lt;IF(C278="净世破魔击·月",0.0275*7/3,IF(C278="净世破魔击·日",0.0275*3/3,0.0275*2/3)))</f>
        <v>0</v>
      </c>
      <c r="CV278" s="115">
        <f t="shared" ca="1" si="233"/>
        <v>0</v>
      </c>
      <c r="CW278" s="115">
        <f t="shared" ca="1" si="205"/>
        <v>4.1549999999999994</v>
      </c>
      <c r="CX278" s="115">
        <f t="shared" ca="1" si="206"/>
        <v>2.3099999999999996</v>
      </c>
      <c r="CY278" s="115">
        <f ca="1">MAX(IF($C278="驱夜断愁",IF(模拟模式!$R$7="万念俱寂",6,45),CY277-$F$4),0)</f>
        <v>3.2324999999999995</v>
      </c>
      <c r="CZ278" s="115">
        <f t="shared" ca="1" si="207"/>
        <v>0</v>
      </c>
      <c r="DA278" s="115">
        <f ca="1">IF(模拟模式!$N$7="日月同辉",IF(DB277=2,0,MIN(6,IF(AND(OR(C278="赤日轮1",C278="赤日轮2",C278="赤日轮3",C278="幽月轮1",C278="幽月轮2",C278="幽月轮3"),AB278=1),DA277+1,DA277))),0)</f>
        <v>3</v>
      </c>
      <c r="DB278" s="115">
        <f t="shared" ca="1" si="208"/>
        <v>0</v>
      </c>
      <c r="DC278" s="115"/>
      <c r="DD278" s="115"/>
      <c r="DE278" s="115"/>
      <c r="DF278" s="115"/>
      <c r="DG278" s="115"/>
      <c r="DH278" s="115"/>
      <c r="DI278" s="115"/>
      <c r="DJ278" s="115"/>
      <c r="DK278" s="115"/>
      <c r="DL278" s="115"/>
      <c r="DM278" s="115"/>
    </row>
    <row r="279" spans="2:117" x14ac:dyDescent="0.2">
      <c r="B279" s="117">
        <f t="shared" si="209"/>
        <v>232.47000000000148</v>
      </c>
      <c r="C279" s="167" t="str">
        <f t="shared" ca="1" si="202"/>
        <v>净世破魔击·日</v>
      </c>
      <c r="D279" s="115">
        <f ca="1">IF(C279="赤日轮1",1,IF(C279="赤日轮2",2,IF(C279="赤日轮3",3,IF(C279="幽月轮1",4,IF(C279="幽月轮2",5,IF(C279="幽月轮3",6,IF(C279="烈日斩",7,IF(C279="银月斩",8,IF(C279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279="净世破魔击·月",17,IF(C279="驱夜断愁",18,0)))))))))))</f>
        <v>9</v>
      </c>
      <c r="E279" s="115">
        <f ca="1">IF(AND(CU279,OR(C279="幽月轮1",C279="幽月轮2",C279="幽月轮3",C279="银月斩",C279="驱夜断愁",C279="净世破魔击·月")),100,MIN(IF(OR(CN279,BE279),0,IF(OR($C279="赤日轮1",$C279="赤日轮2",$C279="赤日轮3"),E278+20+IF(模拟模式!$I$7="日月凌天",4,0)+IF(CR278,20,0),IF($C279="烈日斩",E278+40,IF($C279="驱夜断愁",IF(模拟模式!$R$7="万念俱寂",E278+20,E278+60),IF($C279="净世破魔击·月",IF(OR(DB278&gt;0,CV278&gt;0),100,IF(模拟模式!$M$7="辉耀红尘",E278+20,E278)),IF($C279="净世破魔击·日",E278-100,E278)))))),100))</f>
        <v>0</v>
      </c>
      <c r="F279" s="115">
        <f ca="1">IF(AND(CU279,OR(C279="赤日轮1",C279="赤日轮2",C279="赤日轮3",C279="烈日斩",C279="净世破魔击·日")),100,MIN(IF(CO279,0,IF(OR($C279="幽月轮1",$C279="幽月轮2",$C279="幽月轮3"),F278+20+IF(模拟模式!$I$7="日月凌天",4,0)+IF(CS278,20,0),IF($C279="银月斩",F278+40+IF(模拟模式!$X$12=1,5,0),IF($C279="驱夜断愁",IF(模拟模式!$R$7="万念俱寂",F278+20,F278+60),IF($C279="净世破魔击·月",IF(模拟模式!$M$7="辉耀红尘",F278-80,F278-100),IF(AND(C279="净世破魔击·日",OR(DB278&gt;0,CV278&gt;0)),100,F278)))))),100))</f>
        <v>20</v>
      </c>
      <c r="G279" s="117">
        <f ca="1">('模拟-全程加成'!$E$3+'模拟-全程加成'!$E$4+'模拟-全程加成'!$E$5+('模拟-全程加成'!$C$6-'模拟-全程加成'!$C$3)*系数!$B$9+BS279*23)*(1+'模拟-全程加成'!$F$4+'模拟-全程加成'!$F$5+BJ279*10%+BM279*20%+BP279*4%+CG279*30%)+$F$7*系数!$B$12</f>
        <v>20583.127400000001</v>
      </c>
      <c r="H279" s="45">
        <f ca="1">'模拟-全程加成'!$H$3+'模拟-全程加成'!$H$4+'模拟-全程加成'!$H$5+('模拟-全程加成'!$G$4+'模拟-全程加成'!$G$5+('模拟-全程加成'!$C$6-'模拟-全程加成'!$C$3)*系数!$B$13)/系数!$B$3+LOOKUP(D279,'模拟-单技能数据'!$A$2:$A$19,'模拟-单技能数据'!$K$2:$K$19)+BG279*10%+IF(BV279&gt;0,378,0)</f>
        <v>0.54185145527300216</v>
      </c>
      <c r="I279" s="45">
        <f ca="1">'模拟-全程加成'!$J$3+'模拟-全程加成'!$J$4+'模拟-全程加成'!$J$5+('模拟-全程加成'!$I$4+'模拟-全程加成'!$I$5)/系数!$B$4+LOOKUP(D279,'模拟-单技能数据'!$A$2:$A$19,'模拟-单技能数据'!$L$2:$L$19)+BG279*10%</f>
        <v>2.162482885499879</v>
      </c>
      <c r="J279" s="45">
        <f ca="1">(('模拟-全程加成'!$K$3+'模拟-全程加成'!$K$4+'模拟-全程加成'!$K$5+('模拟-全程加成'!$C$6-'模拟-全程加成'!$C$3)*系数!$B$10+IF(BV279&gt;0,882,0)+IF(BY279&gt;0,1831,0))*(1+'模拟-全程加成'!$L$4+'模拟-全程加成'!$L$5+CC279*20%))/系数!$B$5</f>
        <v>0.69723220422048726</v>
      </c>
      <c r="K279" s="119">
        <f ca="1">LOOKUP(D279,'模拟-单技能数据'!$A$2:$A$19,'模拟-单技能数据'!$J$2:$J$19)+IF(CM279,60%,0)+IF(DB278-DB279&gt;0,30%,0)+IF(OR(AND(OR(C279="赤日轮1",C279="赤日轮2",C279="赤日轮3"),CR279),AND(OR(C279="幽月轮1",C279="幽月轮2",C279="幽月轮3"),CS279)),35%,0)+CJ279</f>
        <v>0.8</v>
      </c>
      <c r="L279" s="119">
        <f ca="1">IF(AND(C279="烈日斩",模拟模式!$X$11=1),10%,0)+IF(AND(C279="驱夜断愁",AB279=1),30%,0)</f>
        <v>0</v>
      </c>
      <c r="M279" s="45">
        <f t="shared" ca="1" si="241"/>
        <v>0.54185145527300216</v>
      </c>
      <c r="N279" s="45">
        <f t="shared" ca="1" si="242"/>
        <v>0.40424854472699789</v>
      </c>
      <c r="O279" s="46">
        <f t="shared" ca="1" si="210"/>
        <v>0.53952470108281814</v>
      </c>
      <c r="P279" s="46" t="str">
        <f t="shared" ca="1" si="211"/>
        <v>会</v>
      </c>
      <c r="Q279" s="45">
        <f t="shared" ca="1" si="212"/>
        <v>2.162482885499879</v>
      </c>
      <c r="R279" s="117">
        <f ca="1">模拟模式!$E$20*(1-IF(模拟模式!$J$19="有",0.15,0))*(1-IF(模拟模式!$K$19="有",0.3,0)-IF(CQ279,0.5,0))</f>
        <v>843.02999999999975</v>
      </c>
      <c r="S279" s="45">
        <f ca="1">R279/(R279+(185*模拟模式!$E$22-16800)*4.08224)</f>
        <v>8.389626085980037E-2</v>
      </c>
      <c r="T279" s="45" t="str">
        <f ca="1">LOOKUP(D279,'模拟-单技能数据'!$A$2:$A$19,'模拟-单技能数据'!$H$2:$H$19)</f>
        <v>阳</v>
      </c>
      <c r="U279" s="119">
        <f t="shared" ca="1" si="243"/>
        <v>0.2</v>
      </c>
      <c r="V279" s="47">
        <f ca="1">(1+L279)*(LOOKUP(D279,'模拟-单技能数据'!$A$2:$A$19,'模拟-单技能数据'!$D$2:$D$19)+G279*LOOKUP(D279,'模拟-单技能数据'!$A$2:$A$19,'模拟-单技能数据'!$F$2:$F$19))*(1+J279)*(1+K279)*(1-S279)*(1+U279)*Q279*LOOKUP(D279,'模拟-单技能数据'!$A$2:$A$19,'模拟-单技能数据'!$I$2:$I$20)</f>
        <v>195915.814886668</v>
      </c>
      <c r="W279" s="47">
        <f ca="1">LOOKUP(D279,'模拟-单技能数据'!$A$2:$A$19,'模拟-单技能数据'!$G$2:$G$19)*$I$10</f>
        <v>723.0212870940959</v>
      </c>
      <c r="X279" s="47">
        <f t="shared" ca="1" si="213"/>
        <v>19606.63323331828</v>
      </c>
      <c r="Y279" s="47">
        <f t="shared" ca="1" si="244"/>
        <v>216245.46940708038</v>
      </c>
      <c r="Z279" s="49">
        <f t="shared" ca="1" si="245"/>
        <v>26830905.690922603</v>
      </c>
      <c r="AA279" s="97">
        <f t="shared" ca="1" si="246"/>
        <v>115416.63737653216</v>
      </c>
      <c r="AB279" s="115">
        <f ca="1">IF(OR(C279="赤日轮1",C279="赤日轮2",C279="赤日轮3"),IF(RAND()&lt;模拟模式!$Y$17,1,0),IF(OR(C279="幽月轮1",C279="幽月轮2",C279="幽月轮3"),IF(RAND()&lt;模拟模式!$Y$18,1,0),IF(C279="烈日斩",IF(RAND()&lt;模拟模式!$Y$19,1,0),IF(C279="银月斩",IF(RAND()&lt;模拟模式!$Y$20,1,0),IF(C279="驱夜断愁",IF(RAND()&lt;模拟模式!$Y$21,1,0),IF(C279="净世破魔击·日",IF(RAND()&lt;模拟模式!$Y$22,1,0),IF(C279="净世破魔击·月",IF(RAND()&lt;模拟模式!$Y$23,1,0),0)))))))</f>
        <v>1</v>
      </c>
      <c r="AC279" s="115" t="b">
        <f t="shared" ca="1" si="234"/>
        <v>0</v>
      </c>
      <c r="AD279" s="115" t="b">
        <f t="shared" ca="1" si="254"/>
        <v>0</v>
      </c>
      <c r="AE279" s="115">
        <f t="shared" ca="1" si="255"/>
        <v>3</v>
      </c>
      <c r="AF279" s="47">
        <f ca="1">IF(AC279,('模拟-单技能数据'!$D$20+G279*'模拟-单技能数据'!$F$20)*(1+J279)*(1+'模拟-单技能数据'!$J$20)*(1+U279),0)</f>
        <v>0</v>
      </c>
      <c r="AG279" s="61">
        <f t="shared" ca="1" si="247"/>
        <v>0.64185145527300214</v>
      </c>
      <c r="AH279" s="61">
        <f t="shared" ca="1" si="248"/>
        <v>2.2624828854998791</v>
      </c>
      <c r="AI279" s="62">
        <f t="shared" ca="1" si="214"/>
        <v>0.37159554981091825</v>
      </c>
      <c r="AJ279" s="47">
        <f ca="1">IF(AD279,IF(AI279&lt;$F$10,0,IF(AI279&lt;$F$10+$F$11,0.25,IF(AI279&lt;$F$10+$F$11+AG279,AH279,1)))*IF(AF279&gt;0,AF279,IF(AF278&gt;0,AF278,IF(AF277&gt;0,AF277,IF(AF276&gt;0,AF276,IF(AF275&gt;0,AF275,IF(AF274&gt;0,AF274,IF(AF273&gt;0,AF273,IF(AF272&gt;0,AF272,IF(AF271&gt;0,AF271,IF(AF269&gt;0,AF269,IF(AF268&gt;0,AF268,IF(AF267&gt;0,AF267,0)))))))))))),0)*(1-$S279)*'模拟-单技能数据'!$I$20</f>
        <v>0</v>
      </c>
      <c r="AK279" s="115" t="b">
        <f t="shared" ca="1" si="235"/>
        <v>1</v>
      </c>
      <c r="AL279" s="115" t="b">
        <f t="shared" ca="1" si="256"/>
        <v>1</v>
      </c>
      <c r="AM279" s="115">
        <f t="shared" ca="1" si="257"/>
        <v>5</v>
      </c>
      <c r="AN279" s="47">
        <f ca="1">IF(AK279,('模拟-单技能数据'!$D$21+G279*'模拟-单技能数据'!$F$21)*(1+J279)*(1+'模拟-单技能数据'!$J$21)*(1+U279),0)</f>
        <v>12136.56601728573</v>
      </c>
      <c r="AO279" s="61">
        <f ca="1">IF(AN279&gt;0,M279-'模拟-单技能数据'!$K$10,AO278)</f>
        <v>0.42185145527300216</v>
      </c>
      <c r="AP279" s="61">
        <f ca="1">IF(AN279&gt;0,I279-'模拟-单技能数据'!$L$10,AP278)</f>
        <v>2.162482885499879</v>
      </c>
      <c r="AQ279" s="63">
        <f t="shared" ca="1" si="215"/>
        <v>0.61976215130143408</v>
      </c>
      <c r="AR279" s="64">
        <f ca="1">IF(AL279,IF(AQ279&lt;$F$10,0,IF(AQ279&lt;$F$10+$F$11,0.25,IF(AQ279&lt;$F$10+$F$11+AO279,AP279,1)))*IF(AN279&gt;0,AN279,IF(AN278&gt;0,AN278,IF(AN277&gt;0,AN277,IF(AN276&gt;0,AN276,IF(AN275&gt;0,AN275,IF(AN274&gt;0,AN274,IF(AN273&gt;0,AN273,IF(AN272&gt;0,AN272,IF(AN271&gt;0,AN271,IF(AN269&gt;0,AN269,IF(AN268&gt;0,AN268,IF(AN267&gt;0,AN267,0)))))))))))),0)*(1-$S279)*'模拟-单技能数据'!$I$21</f>
        <v>11118.353508757338</v>
      </c>
      <c r="AS279" s="61">
        <f ca="1">IF(OR(C279="净世破魔击·日",C279="净世破魔击·月"),M279-'模拟-单技能数据'!$K$10,0)</f>
        <v>0.42185145527300216</v>
      </c>
      <c r="AT279" s="61">
        <f ca="1">IF(OR(C279="净世破魔击·日",C279="净世破魔击·月"),I279-'模拟-单技能数据'!$L$10,0)</f>
        <v>2.162482885499879</v>
      </c>
      <c r="AU279" s="62">
        <f t="shared" ca="1" si="216"/>
        <v>0.97583320294222209</v>
      </c>
      <c r="AV279" s="64">
        <f ca="1">IF(AS279&gt;0,('模拟-单技能数据'!$D$22+G279*'模拟-单技能数据'!$F$22)*(1+J279)*(1-S279)*IF(AU279&lt;$F$10,0,IF(AU279&lt;$F$10+$F$11,0.25,IF(AU279&lt;$F$10+$F$11+AS279,AT279,1)))*(1+U279),0)*'模拟-单技能数据'!$I$22</f>
        <v>8488.2797245609418</v>
      </c>
      <c r="AW279" s="108">
        <f t="shared" ca="1" si="217"/>
        <v>3.3950000000000062</v>
      </c>
      <c r="AX279" s="108" t="b">
        <f ca="1">AND(模拟模式!$P$10="有",AW278=0,RAND()&lt;IF(C279="净世破魔击·月",0.1*8/3,IF(C279="净世破魔击·日",0.1*4/3,0.1*2/3)))</f>
        <v>0</v>
      </c>
      <c r="AY279" s="47">
        <f ca="1">IF(AX279,(18+G279*0.722)*(1+J279)*(1-S279)*(1+$I$4)*IF(P279="会",'模拟-全程加成'!$J$3+'模拟-全程加成'!$J$4+'模拟-全程加成'!$J$5+('模拟-全程加成'!$I$4+'模拟-全程加成'!$I$5)/系数!$B$4+BG279*10%,IF(P279="命",1,IF(P279="识",0.25,0))),0)</f>
        <v>0</v>
      </c>
      <c r="AZ279" s="108">
        <f t="shared" si="218"/>
        <v>10.775000000000006</v>
      </c>
      <c r="BA279" s="108" t="b">
        <f>AND(模拟模式!$Q$10="有",AZ278=0)</f>
        <v>0</v>
      </c>
      <c r="BB279" s="140">
        <f>IF(BA279,(0+G279*0.287)*(1+J279)*(1-S279)*(1+$I$4)*IF(P279="会",'模拟-全程加成'!$J$3+'模拟-全程加成'!$J$4+'模拟-全程加成'!$J$5+('模拟-全程加成'!$I$4+'模拟-全程加成'!$I$5)/系数!$B$4+BG279*10%,IF(P279="命",1,IF(P279="识",0.25,0))),0)</f>
        <v>0</v>
      </c>
      <c r="BC279" s="115" t="b">
        <f ca="1">AND(模拟模式!$R$7="伏明众生",E279=60,F279=20,DA279&lt;5,CZ278&lt;$F$4)</f>
        <v>0</v>
      </c>
      <c r="BD279" s="115">
        <f t="shared" ca="1" si="236"/>
        <v>0</v>
      </c>
      <c r="BE279" s="115" t="b">
        <f t="shared" ca="1" si="237"/>
        <v>0</v>
      </c>
      <c r="BF279" s="47">
        <f ca="1">IF(BC279,4*('模拟-单技能数据'!$D$24+G279*'模拟-单技能数据'!$F$24)*(1+J279)*(1+'模拟-单技能数据'!$J$24)*(1-S279)*(1+$I$3)*(('模拟-全程加成'!$J$3+'模拟-全程加成'!$J$4+'模拟-全程加成'!$J$5+('模拟-全程加成'!$I$4+'模拟-全程加成'!$I$5)/系数!$B$4+BG279*10%)*('模拟-全程加成'!$J$3+'模拟-全程加成'!$J$4+'模拟-全程加成'!$J$5+('模拟-全程加成'!$I$4+'模拟-全程加成'!$I$5)/系数!$B$4+BG279*10%)+(1-('模拟-全程加成'!$J$3+'模拟-全程加成'!$J$4+'模拟-全程加成'!$J$5+('模拟-全程加成'!$I$4+'模拟-全程加成'!$I$5)/系数!$B$4+BG279*10%)-$F$10-$F$11)+F265*0.25),0)*'模拟-单技能数据'!$I$24</f>
        <v>0</v>
      </c>
      <c r="BG279" s="115" t="b">
        <f ca="1">OR(AND(OR(C279="烈日斩",C279="银月斩"),模拟模式!$I$7="净身明礼"),AND(C279="净世破魔击·日",模拟模式!$J$7="洞若观火"),AND(C280="净世破魔击·月",模拟模式!$J$7="洞若观火"),AB279=1)</f>
        <v>1</v>
      </c>
      <c r="BH279" s="115" t="b">
        <f t="shared" ca="1" si="219"/>
        <v>0</v>
      </c>
      <c r="BI279" s="115">
        <f t="shared" ca="1" si="238"/>
        <v>0</v>
      </c>
      <c r="BJ279" s="115" t="b">
        <f t="shared" ca="1" si="249"/>
        <v>0</v>
      </c>
      <c r="BK279" s="115" t="b">
        <f ca="1">AND(C279="驱夜断愁",模拟模式!$P$7="天地诛戮")</f>
        <v>0</v>
      </c>
      <c r="BL279" s="57">
        <f t="shared" ca="1" si="239"/>
        <v>16.310000000000002</v>
      </c>
      <c r="BM279" s="115" t="b">
        <f t="shared" ca="1" si="250"/>
        <v>1</v>
      </c>
      <c r="BN279" s="115" t="b">
        <f ca="1">AND(OR(C279="赤日轮1",C279="赤日轮2",C279="赤日轮3",C279="幽月轮1",C279="幽月轮2",C279="幽月轮3"),AB279=1,模拟模式!$L$7="明光恒照")</f>
        <v>0</v>
      </c>
      <c r="BO279" s="117">
        <f t="shared" ca="1" si="240"/>
        <v>28.155000000000001</v>
      </c>
      <c r="BP279" s="115">
        <f t="shared" ca="1" si="220"/>
        <v>6</v>
      </c>
      <c r="BQ279" s="115" t="b">
        <f>模拟模式!$K$10="2600·水"</f>
        <v>0</v>
      </c>
      <c r="BR279" s="117">
        <f t="shared" si="221"/>
        <v>0</v>
      </c>
      <c r="BS279" s="115">
        <f t="shared" si="222"/>
        <v>0</v>
      </c>
      <c r="BT279" s="115">
        <f t="shared" ca="1" si="223"/>
        <v>0</v>
      </c>
      <c r="BU279" s="115" t="b">
        <f ca="1">AND(模拟模式!$K$10="2300·雷",BT278=0,RAND()&lt;IF(C279="净世破魔击·月",5*0.05*2/3,IF(C279="净世破魔击·日",3*0.05*2/3,0.05*2*2/3)))</f>
        <v>0</v>
      </c>
      <c r="BV279" s="115">
        <f t="shared" ca="1" si="224"/>
        <v>0</v>
      </c>
      <c r="BW279" s="115">
        <f t="shared" ca="1" si="225"/>
        <v>139.4099999999994</v>
      </c>
      <c r="BX279" s="164" t="b">
        <f t="shared" ca="1" si="226"/>
        <v>0</v>
      </c>
      <c r="BY279" s="115">
        <f t="shared" ca="1" si="227"/>
        <v>0</v>
      </c>
      <c r="BZ279" s="115">
        <f>IF(OR(模拟模式!$P$16="10人团",模拟模式!$P$16="25人团"),IF(B279/30&gt;CA278,1,0),0)</f>
        <v>0</v>
      </c>
      <c r="CA279" s="115">
        <f t="shared" si="203"/>
        <v>0</v>
      </c>
      <c r="CB279" s="115">
        <f ca="1">IF(BZ279=1,IF(模拟模式!$P$16="10人团",15,0)+IF(模拟模式!$P$16="25人团",IF(RAND()&lt;0.6,15,0)),MAX(0,CB278-$F$4))</f>
        <v>0</v>
      </c>
      <c r="CC279" s="115" t="b">
        <f t="shared" ca="1" si="251"/>
        <v>0</v>
      </c>
      <c r="CD279" s="115">
        <f>IF(模拟模式!$Q$16="1个",IF(B279/40&gt;CE278,1,0),0)</f>
        <v>0</v>
      </c>
      <c r="CE279" s="115">
        <f t="shared" si="252"/>
        <v>0</v>
      </c>
      <c r="CF279" s="115">
        <f>IF(OR(CD279=1,模拟模式!$Q$16="2个"),20,MAX(0,CF278-$F$4))</f>
        <v>0</v>
      </c>
      <c r="CG279" s="115" t="b">
        <f t="shared" si="253"/>
        <v>0</v>
      </c>
      <c r="CH279" s="115">
        <f t="shared" ca="1" si="228"/>
        <v>0</v>
      </c>
      <c r="CI279" s="115" t="b">
        <f t="shared" ca="1" si="229"/>
        <v>0</v>
      </c>
      <c r="CJ279" s="119">
        <f t="shared" ca="1" si="230"/>
        <v>0</v>
      </c>
      <c r="CK279" s="115">
        <f t="shared" ca="1" si="231"/>
        <v>0</v>
      </c>
      <c r="CL279" s="115" t="b">
        <f ca="1">AND(模拟模式!$S$7="驱夷逐法",OR(AND(C279="净世破魔击·月",E278&gt;59),AND(C279="净世破魔击·日",F278&gt;59)))</f>
        <v>0</v>
      </c>
      <c r="CM279" s="115" t="b">
        <f ca="1">OR(CL279,AND(C279="净世破魔击·日",CL278,RAND()&lt;模拟模式!$U$23))</f>
        <v>1</v>
      </c>
      <c r="CN279" s="115" t="b">
        <f ca="1">IF(模拟模式!$M$7="辉耀红尘",AND(C279="净世破魔击·月",CL279,CV279=0,E278&lt;80),AND(C279="净世破魔击·月",CL279,E278&lt;100))</f>
        <v>0</v>
      </c>
      <c r="CO279" s="115" t="b">
        <f t="shared" ca="1" si="204"/>
        <v>0</v>
      </c>
      <c r="CP279" s="115" t="b">
        <f ca="1">AND(模拟模式!$O$7="用晦而明",OR(C279="净世破魔击·日",C279="净世破魔击·月",C279="驱夜断愁"),AB279)</f>
        <v>1</v>
      </c>
      <c r="CQ279" s="115" t="b">
        <f ca="1">OR(CP279,AND(CP278,RAND()&lt;模拟模式!$U$23))</f>
        <v>1</v>
      </c>
      <c r="CR279" s="115" t="b">
        <f ca="1">AND(模拟模式!$S$7="日月齐光",OR(C279="幽月轮1",C279="幽月轮2",C279="幽月轮3",CR278),NOT(OR(C279="赤日轮1",C279="赤日轮2",C279="赤日轮3")))</f>
        <v>0</v>
      </c>
      <c r="CS279" s="115" t="b">
        <f ca="1">AND(模拟模式!$S$7="日月齐光",OR(C279="赤日轮1",C279="赤日轮2",C279="赤日轮3",CS278),NOT(OR(C279="幽月轮1",C279="幽月轮2",C279="幽月轮3")))</f>
        <v>0</v>
      </c>
      <c r="CT279" s="115">
        <f t="shared" ca="1" si="232"/>
        <v>5.0925000000000118</v>
      </c>
      <c r="CU279" s="115" t="b">
        <f ca="1">AND(模拟模式!$K$10="阴阳往极",CT278=0,RAND()&lt;IF(C279="净世破魔击·月",0.0275*7/3,IF(C279="净世破魔击·日",0.0275*3/3,0.0275*2/3)))</f>
        <v>0</v>
      </c>
      <c r="CV279" s="115">
        <f t="shared" ca="1" si="233"/>
        <v>0</v>
      </c>
      <c r="CW279" s="115">
        <f t="shared" ca="1" si="205"/>
        <v>3.2324999999999995</v>
      </c>
      <c r="CX279" s="115">
        <f t="shared" ca="1" si="206"/>
        <v>1.3874999999999997</v>
      </c>
      <c r="CY279" s="115">
        <f ca="1">MAX(IF($C279="驱夜断愁",IF(模拟模式!$R$7="万念俱寂",6,45),CY278-$F$4),0)</f>
        <v>2.3099999999999996</v>
      </c>
      <c r="CZ279" s="115">
        <f t="shared" ca="1" si="207"/>
        <v>0</v>
      </c>
      <c r="DA279" s="115">
        <f ca="1">IF(模拟模式!$N$7="日月同辉",IF(DB278=2,0,MIN(6,IF(AND(OR(C279="赤日轮1",C279="赤日轮2",C279="赤日轮3",C279="幽月轮1",C279="幽月轮2",C279="幽月轮3"),AB279=1),DA278+1,DA278))),0)</f>
        <v>3</v>
      </c>
      <c r="DB279" s="115">
        <f t="shared" ca="1" si="208"/>
        <v>0</v>
      </c>
      <c r="DC279" s="115"/>
      <c r="DD279" s="115"/>
      <c r="DE279" s="115"/>
      <c r="DF279" s="115"/>
      <c r="DG279" s="115"/>
      <c r="DH279" s="115"/>
      <c r="DI279" s="115"/>
      <c r="DJ279" s="115"/>
      <c r="DK279" s="115"/>
      <c r="DL279" s="115"/>
      <c r="DM279" s="115"/>
    </row>
    <row r="280" spans="2:117" x14ac:dyDescent="0.2">
      <c r="B280" s="117">
        <f t="shared" si="209"/>
        <v>233.39250000000149</v>
      </c>
      <c r="C280" s="167" t="str">
        <f t="shared" ca="1" si="202"/>
        <v>赤日轮1</v>
      </c>
      <c r="D280" s="115">
        <f ca="1">IF(C280="赤日轮1",1,IF(C280="赤日轮2",2,IF(C280="赤日轮3",3,IF(C280="幽月轮1",4,IF(C280="幽月轮2",5,IF(C280="幽月轮3",6,IF(C280="烈日斩",7,IF(C280="银月斩",8,IF(C280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280="净世破魔击·月",17,IF(C280="驱夜断愁",18,0)))))))))))</f>
        <v>1</v>
      </c>
      <c r="E280" s="115">
        <f ca="1">IF(AND(CU280,OR(C280="幽月轮1",C280="幽月轮2",C280="幽月轮3",C280="银月斩",C280="驱夜断愁",C280="净世破魔击·月")),100,MIN(IF(OR(CN280,BE280),0,IF(OR($C280="赤日轮1",$C280="赤日轮2",$C280="赤日轮3"),E279+20+IF(模拟模式!$I$7="日月凌天",4,0)+IF(CR279,20,0),IF($C280="烈日斩",E279+40,IF($C280="驱夜断愁",IF(模拟模式!$R$7="万念俱寂",E279+20,E279+60),IF($C280="净世破魔击·月",IF(OR(DB279&gt;0,CV279&gt;0),100,IF(模拟模式!$M$7="辉耀红尘",E279+20,E279)),IF($C280="净世破魔击·日",E279-100,E279)))))),100))</f>
        <v>20</v>
      </c>
      <c r="F280" s="115">
        <f ca="1">IF(AND(CU280,OR(C280="赤日轮1",C280="赤日轮2",C280="赤日轮3",C280="烈日斩",C280="净世破魔击·日")),100,MIN(IF(CO280,0,IF(OR($C280="幽月轮1",$C280="幽月轮2",$C280="幽月轮3"),F279+20+IF(模拟模式!$I$7="日月凌天",4,0)+IF(CS279,20,0),IF($C280="银月斩",F279+40+IF(模拟模式!$X$12=1,5,0),IF($C280="驱夜断愁",IF(模拟模式!$R$7="万念俱寂",F279+20,F279+60),IF($C280="净世破魔击·月",IF(模拟模式!$M$7="辉耀红尘",F279-80,F279-100),IF(AND(C280="净世破魔击·日",OR(DB279&gt;0,CV279&gt;0)),100,F279)))))),100))</f>
        <v>20</v>
      </c>
      <c r="G280" s="117">
        <f ca="1">('模拟-全程加成'!$E$3+'模拟-全程加成'!$E$4+'模拟-全程加成'!$E$5+('模拟-全程加成'!$C$6-'模拟-全程加成'!$C$3)*系数!$B$9+BS280*23)*(1+'模拟-全程加成'!$F$4+'模拟-全程加成'!$F$5+BJ280*10%+BM280*20%+BP280*4%+CG280*30%)+$F$7*系数!$B$12</f>
        <v>20583.127400000001</v>
      </c>
      <c r="H280" s="45">
        <f ca="1">'模拟-全程加成'!$H$3+'模拟-全程加成'!$H$4+'模拟-全程加成'!$H$5+('模拟-全程加成'!$G$4+'模拟-全程加成'!$G$5+('模拟-全程加成'!$C$6-'模拟-全程加成'!$C$3)*系数!$B$13)/系数!$B$3+LOOKUP(D280,'模拟-单技能数据'!$A$2:$A$19,'模拟-单技能数据'!$K$2:$K$19)+BG280*10%+IF(BV280&gt;0,378,0)</f>
        <v>0.4618514552730022</v>
      </c>
      <c r="I280" s="45">
        <f ca="1">'模拟-全程加成'!$J$3+'模拟-全程加成'!$J$4+'模拟-全程加成'!$J$5+('模拟-全程加成'!$I$4+'模拟-全程加成'!$I$5)/系数!$B$4+LOOKUP(D280,'模拟-单技能数据'!$A$2:$A$19,'模拟-单技能数据'!$L$2:$L$19)+BG280*10%</f>
        <v>2.162482885499879</v>
      </c>
      <c r="J280" s="45">
        <f ca="1">(('模拟-全程加成'!$K$3+'模拟-全程加成'!$K$4+'模拟-全程加成'!$K$5+('模拟-全程加成'!$C$6-'模拟-全程加成'!$C$3)*系数!$B$10+IF(BV280&gt;0,882,0)+IF(BY280&gt;0,1831,0))*(1+'模拟-全程加成'!$L$4+'模拟-全程加成'!$L$5+CC280*20%))/系数!$B$5</f>
        <v>0.69723220422048726</v>
      </c>
      <c r="K280" s="119">
        <f ca="1">LOOKUP(D280,'模拟-单技能数据'!$A$2:$A$19,'模拟-单技能数据'!$J$2:$J$19)+IF(CM280,60%,0)+IF(DB279-DB280&gt;0,30%,0)+IF(OR(AND(OR(C280="赤日轮1",C280="赤日轮2",C280="赤日轮3"),CR280),AND(OR(C280="幽月轮1",C280="幽月轮2",C280="幽月轮3"),CS280)),35%,0)+CJ280</f>
        <v>0.12</v>
      </c>
      <c r="L280" s="119">
        <f ca="1">IF(AND(C280="烈日斩",模拟模式!$X$11=1),10%,0)+IF(AND(C280="驱夜断愁",AB280=1),30%,0)</f>
        <v>0</v>
      </c>
      <c r="M280" s="45">
        <f t="shared" ca="1" si="241"/>
        <v>0.4618514552730022</v>
      </c>
      <c r="N280" s="45">
        <f t="shared" ca="1" si="242"/>
        <v>0.48424854472699785</v>
      </c>
      <c r="O280" s="46">
        <f t="shared" ca="1" si="210"/>
        <v>0.14803042113461085</v>
      </c>
      <c r="P280" s="46" t="str">
        <f t="shared" ca="1" si="211"/>
        <v>会</v>
      </c>
      <c r="Q280" s="45">
        <f t="shared" ca="1" si="212"/>
        <v>2.162482885499879</v>
      </c>
      <c r="R280" s="117">
        <f ca="1">模拟模式!$E$20*(1-IF(模拟模式!$J$19="有",0.15,0))*(1-IF(模拟模式!$K$19="有",0.3,0)-IF(CQ280,0.5,0))</f>
        <v>843.02999999999975</v>
      </c>
      <c r="S280" s="45">
        <f ca="1">R280/(R280+(185*模拟模式!$E$22-16800)*4.08224)</f>
        <v>8.389626085980037E-2</v>
      </c>
      <c r="T280" s="45" t="str">
        <f ca="1">LOOKUP(D280,'模拟-单技能数据'!$A$2:$A$19,'模拟-单技能数据'!$H$2:$H$19)</f>
        <v>阳</v>
      </c>
      <c r="U280" s="119">
        <f t="shared" ca="1" si="243"/>
        <v>0.2</v>
      </c>
      <c r="V280" s="47">
        <f ca="1">(1+L280)*(LOOKUP(D280,'模拟-单技能数据'!$A$2:$A$19,'模拟-单技能数据'!$D$2:$D$19)+G280*LOOKUP(D280,'模拟-单技能数据'!$A$2:$A$19,'模拟-单技能数据'!$F$2:$F$19))*(1+J280)*(1+K280)*(1-S280)*(1+U280)*Q280*LOOKUP(D280,'模拟-单技能数据'!$A$2:$A$19,'模拟-单技能数据'!$I$2:$I$20)</f>
        <v>54482.562593809358</v>
      </c>
      <c r="W280" s="47">
        <f ca="1">LOOKUP(D280,'模拟-单技能数据'!$A$2:$A$19,'模拟-单技能数据'!$G$2:$G$19)*$I$10</f>
        <v>361.51064354704795</v>
      </c>
      <c r="X280" s="47">
        <f t="shared" ca="1" si="213"/>
        <v>4250.4883357170938</v>
      </c>
      <c r="Y280" s="47">
        <f t="shared" ca="1" si="244"/>
        <v>59094.561573073501</v>
      </c>
      <c r="Z280" s="49">
        <f t="shared" ca="1" si="245"/>
        <v>26890000.252495676</v>
      </c>
      <c r="AA280" s="97">
        <f t="shared" ca="1" si="246"/>
        <v>115213.64333684889</v>
      </c>
      <c r="AB280" s="115">
        <f ca="1">IF(OR(C280="赤日轮1",C280="赤日轮2",C280="赤日轮3"),IF(RAND()&lt;模拟模式!$Y$17,1,0),IF(OR(C280="幽月轮1",C280="幽月轮2",C280="幽月轮3"),IF(RAND()&lt;模拟模式!$Y$18,1,0),IF(C280="烈日斩",IF(RAND()&lt;模拟模式!$Y$19,1,0),IF(C280="银月斩",IF(RAND()&lt;模拟模式!$Y$20,1,0),IF(C280="驱夜断愁",IF(RAND()&lt;模拟模式!$Y$21,1,0),IF(C280="净世破魔击·日",IF(RAND()&lt;模拟模式!$Y$22,1,0),IF(C280="净世破魔击·月",IF(RAND()&lt;模拟模式!$Y$23,1,0),0)))))))</f>
        <v>1</v>
      </c>
      <c r="AC280" s="115" t="b">
        <f t="shared" ca="1" si="234"/>
        <v>0</v>
      </c>
      <c r="AD280" s="115" t="b">
        <f t="shared" ca="1" si="254"/>
        <v>1</v>
      </c>
      <c r="AE280" s="115">
        <f t="shared" ca="1" si="255"/>
        <v>2</v>
      </c>
      <c r="AF280" s="47">
        <f ca="1">IF(AC280,('模拟-单技能数据'!$D$20+G280*'模拟-单技能数据'!$F$20)*(1+J280)*(1+'模拟-单技能数据'!$J$20)*(1+U280),0)</f>
        <v>0</v>
      </c>
      <c r="AG280" s="61">
        <f t="shared" ca="1" si="247"/>
        <v>0.64185145527300214</v>
      </c>
      <c r="AH280" s="61">
        <f t="shared" ca="1" si="248"/>
        <v>2.2624828854998791</v>
      </c>
      <c r="AI280" s="62">
        <f t="shared" ca="1" si="214"/>
        <v>0.88186383128106238</v>
      </c>
      <c r="AJ280" s="47">
        <f ca="1">IF(AD280,IF(AI280&lt;$F$10,0,IF(AI280&lt;$F$10+$F$11,0.25,IF(AI280&lt;$F$10+$F$11+AG280,AH280,1)))*IF(AF280&gt;0,AF280,IF(AF279&gt;0,AF279,IF(AF278&gt;0,AF278,IF(AF277&gt;0,AF277,IF(AF276&gt;0,AF276,IF(AF275&gt;0,AF275,IF(AF274&gt;0,AF274,IF(AF273&gt;0,AF273,IF(AF272&gt;0,AF272,IF(AF270&gt;0,AF270,IF(AF269&gt;0,AF269,IF(AF268&gt;0,AF268,0)))))))))))),0)*(1-$S280)*'模拟-单技能数据'!$I$20</f>
        <v>4250.4883357170938</v>
      </c>
      <c r="AK280" s="115" t="b">
        <f t="shared" ca="1" si="235"/>
        <v>0</v>
      </c>
      <c r="AL280" s="115" t="b">
        <f t="shared" ca="1" si="256"/>
        <v>0</v>
      </c>
      <c r="AM280" s="115">
        <f t="shared" ca="1" si="257"/>
        <v>5</v>
      </c>
      <c r="AN280" s="47">
        <f ca="1">IF(AK280,('模拟-单技能数据'!$D$21+G280*'模拟-单技能数据'!$F$21)*(1+J280)*(1+'模拟-单技能数据'!$J$21)*(1+U280),0)</f>
        <v>0</v>
      </c>
      <c r="AO280" s="61">
        <f ca="1">IF(AN280&gt;0,M280-'模拟-单技能数据'!$K$10,AO279)</f>
        <v>0.42185145527300216</v>
      </c>
      <c r="AP280" s="61">
        <f ca="1">IF(AN280&gt;0,I280-'模拟-单技能数据'!$L$10,AP279)</f>
        <v>2.162482885499879</v>
      </c>
      <c r="AQ280" s="63">
        <f t="shared" ca="1" si="215"/>
        <v>0.17773066781862168</v>
      </c>
      <c r="AR280" s="64">
        <f ca="1">IF(AL280,IF(AQ280&lt;$F$10,0,IF(AQ280&lt;$F$10+$F$11,0.25,IF(AQ280&lt;$F$10+$F$11+AO280,AP280,1)))*IF(AN280&gt;0,AN280,IF(AN279&gt;0,AN279,IF(AN278&gt;0,AN278,IF(AN277&gt;0,AN277,IF(AN276&gt;0,AN276,IF(AN275&gt;0,AN275,IF(AN274&gt;0,AN274,IF(AN273&gt;0,AN273,IF(AN272&gt;0,AN272,IF(AN270&gt;0,AN270,IF(AN269&gt;0,AN269,IF(AN268&gt;0,AN268,0)))))))))))),0)*(1-$S280)*'模拟-单技能数据'!$I$21</f>
        <v>0</v>
      </c>
      <c r="AS280" s="61">
        <f ca="1">IF(OR(C280="净世破魔击·日",C280="净世破魔击·月"),M280-'模拟-单技能数据'!$K$10,0)</f>
        <v>0</v>
      </c>
      <c r="AT280" s="61">
        <f ca="1">IF(OR(C280="净世破魔击·日",C280="净世破魔击·月"),I280-'模拟-单技能数据'!$L$10,0)</f>
        <v>0</v>
      </c>
      <c r="AU280" s="62">
        <f t="shared" ca="1" si="216"/>
        <v>0.67975964350654128</v>
      </c>
      <c r="AV280" s="64">
        <f ca="1">IF(AS280&gt;0,('模拟-单技能数据'!$D$22+G280*'模拟-单技能数据'!$F$22)*(1+J280)*(1-S280)*IF(AU280&lt;$F$10,0,IF(AU280&lt;$F$10+$F$11,0.25,IF(AU280&lt;$F$10+$F$11+AS280,AT280,1)))*(1+U280),0)*'模拟-单技能数据'!$I$22</f>
        <v>0</v>
      </c>
      <c r="AW280" s="108">
        <f t="shared" ca="1" si="217"/>
        <v>2.4725000000000064</v>
      </c>
      <c r="AX280" s="108" t="b">
        <f ca="1">AND(模拟模式!$P$10="有",AW279=0,RAND()&lt;IF(C280="净世破魔击·月",0.1*8/3,IF(C280="净世破魔击·日",0.1*4/3,0.1*2/3)))</f>
        <v>0</v>
      </c>
      <c r="AY280" s="47">
        <f ca="1">IF(AX280,(18+G280*0.722)*(1+J280)*(1-S280)*(1+$I$4)*IF(P280="会",'模拟-全程加成'!$J$3+'模拟-全程加成'!$J$4+'模拟-全程加成'!$J$5+('模拟-全程加成'!$I$4+'模拟-全程加成'!$I$5)/系数!$B$4+BG280*10%,IF(P280="命",1,IF(P280="识",0.25,0))),0)</f>
        <v>0</v>
      </c>
      <c r="AZ280" s="108">
        <f t="shared" si="218"/>
        <v>9.8525000000000063</v>
      </c>
      <c r="BA280" s="108" t="b">
        <f>AND(模拟模式!$Q$10="有",AZ279=0)</f>
        <v>0</v>
      </c>
      <c r="BB280" s="140">
        <f>IF(BA280,(0+G280*0.287)*(1+J280)*(1-S280)*(1+$I$4)*IF(P280="会",'模拟-全程加成'!$J$3+'模拟-全程加成'!$J$4+'模拟-全程加成'!$J$5+('模拟-全程加成'!$I$4+'模拟-全程加成'!$I$5)/系数!$B$4+BG280*10%,IF(P280="命",1,IF(P280="识",0.25,0))),0)</f>
        <v>0</v>
      </c>
      <c r="BC280" s="115" t="b">
        <f ca="1">AND(模拟模式!$R$7="伏明众生",E280=60,F280=20,DA280&lt;5,CZ279&lt;$F$4)</f>
        <v>0</v>
      </c>
      <c r="BD280" s="115">
        <f t="shared" ca="1" si="236"/>
        <v>0</v>
      </c>
      <c r="BE280" s="115" t="b">
        <f t="shared" ca="1" si="237"/>
        <v>0</v>
      </c>
      <c r="BF280" s="47">
        <f ca="1">IF(BC280,4*('模拟-单技能数据'!$D$24+G280*'模拟-单技能数据'!$F$24)*(1+J280)*(1+'模拟-单技能数据'!$J$24)*(1-S280)*(1+$I$3)*(('模拟-全程加成'!$J$3+'模拟-全程加成'!$J$4+'模拟-全程加成'!$J$5+('模拟-全程加成'!$I$4+'模拟-全程加成'!$I$5)/系数!$B$4+BG280*10%)*('模拟-全程加成'!$J$3+'模拟-全程加成'!$J$4+'模拟-全程加成'!$J$5+('模拟-全程加成'!$I$4+'模拟-全程加成'!$I$5)/系数!$B$4+BG280*10%)+(1-('模拟-全程加成'!$J$3+'模拟-全程加成'!$J$4+'模拟-全程加成'!$J$5+('模拟-全程加成'!$I$4+'模拟-全程加成'!$I$5)/系数!$B$4+BG280*10%)-$F$10-$F$11)+F266*0.25),0)*'模拟-单技能数据'!$I$24</f>
        <v>0</v>
      </c>
      <c r="BG280" s="115" t="b">
        <f ca="1">OR(AND(OR(C280="烈日斩",C280="银月斩"),模拟模式!$I$7="净身明礼"),AND(C280="净世破魔击·日",模拟模式!$J$7="洞若观火"),AND(C281="净世破魔击·月",模拟模式!$J$7="洞若观火"),AB280=1)</f>
        <v>1</v>
      </c>
      <c r="BH280" s="115" t="b">
        <f t="shared" ca="1" si="219"/>
        <v>0</v>
      </c>
      <c r="BI280" s="115">
        <f t="shared" ca="1" si="238"/>
        <v>0</v>
      </c>
      <c r="BJ280" s="115" t="b">
        <f t="shared" ca="1" si="249"/>
        <v>0</v>
      </c>
      <c r="BK280" s="115" t="b">
        <f ca="1">AND(C280="驱夜断愁",模拟模式!$P$7="天地诛戮")</f>
        <v>0</v>
      </c>
      <c r="BL280" s="57">
        <f t="shared" ca="1" si="239"/>
        <v>15.387500000000003</v>
      </c>
      <c r="BM280" s="115" t="b">
        <f t="shared" ca="1" si="250"/>
        <v>1</v>
      </c>
      <c r="BN280" s="115" t="b">
        <f ca="1">AND(OR(C280="赤日轮1",C280="赤日轮2",C280="赤日轮3",C280="幽月轮1",C280="幽月轮2",C280="幽月轮3"),AB280=1,模拟模式!$L$7="明光恒照")</f>
        <v>1</v>
      </c>
      <c r="BO280" s="117">
        <f t="shared" ca="1" si="240"/>
        <v>30</v>
      </c>
      <c r="BP280" s="115">
        <f t="shared" ca="1" si="220"/>
        <v>6</v>
      </c>
      <c r="BQ280" s="115" t="b">
        <f>模拟模式!$K$10="2600·水"</f>
        <v>0</v>
      </c>
      <c r="BR280" s="117">
        <f t="shared" si="221"/>
        <v>0</v>
      </c>
      <c r="BS280" s="115">
        <f t="shared" si="222"/>
        <v>0</v>
      </c>
      <c r="BT280" s="115">
        <f t="shared" ca="1" si="223"/>
        <v>0</v>
      </c>
      <c r="BU280" s="115" t="b">
        <f ca="1">AND(模拟模式!$K$10="2300·雷",BT279=0,RAND()&lt;IF(C280="净世破魔击·月",5*0.05*2/3,IF(C280="净世破魔击·日",3*0.05*2/3,0.05*2*2/3)))</f>
        <v>0</v>
      </c>
      <c r="BV280" s="115">
        <f t="shared" ca="1" si="224"/>
        <v>0</v>
      </c>
      <c r="BW280" s="115">
        <f t="shared" ca="1" si="225"/>
        <v>138.48749999999939</v>
      </c>
      <c r="BX280" s="164" t="b">
        <f t="shared" ca="1" si="226"/>
        <v>0</v>
      </c>
      <c r="BY280" s="115">
        <f t="shared" ca="1" si="227"/>
        <v>0</v>
      </c>
      <c r="BZ280" s="115">
        <f>IF(OR(模拟模式!$P$16="10人团",模拟模式!$P$16="25人团"),IF(B280/30&gt;CA279,1,0),0)</f>
        <v>0</v>
      </c>
      <c r="CA280" s="115">
        <f t="shared" si="203"/>
        <v>0</v>
      </c>
      <c r="CB280" s="115">
        <f ca="1">IF(BZ280=1,IF(模拟模式!$P$16="10人团",15,0)+IF(模拟模式!$P$16="25人团",IF(RAND()&lt;0.6,15,0)),MAX(0,CB279-$F$4))</f>
        <v>0</v>
      </c>
      <c r="CC280" s="115" t="b">
        <f t="shared" ca="1" si="251"/>
        <v>0</v>
      </c>
      <c r="CD280" s="115">
        <f>IF(模拟模式!$Q$16="1个",IF(B280/40&gt;CE279,1,0),0)</f>
        <v>0</v>
      </c>
      <c r="CE280" s="115">
        <f t="shared" si="252"/>
        <v>0</v>
      </c>
      <c r="CF280" s="115">
        <f>IF(OR(CD280=1,模拟模式!$Q$16="2个"),20,MAX(0,CF279-$F$4))</f>
        <v>0</v>
      </c>
      <c r="CG280" s="115" t="b">
        <f t="shared" si="253"/>
        <v>0</v>
      </c>
      <c r="CH280" s="115">
        <f t="shared" ca="1" si="228"/>
        <v>0</v>
      </c>
      <c r="CI280" s="115" t="b">
        <f t="shared" ca="1" si="229"/>
        <v>0</v>
      </c>
      <c r="CJ280" s="119">
        <f t="shared" ca="1" si="230"/>
        <v>0</v>
      </c>
      <c r="CK280" s="115">
        <f t="shared" ca="1" si="231"/>
        <v>0</v>
      </c>
      <c r="CL280" s="115" t="b">
        <f ca="1">AND(模拟模式!$S$7="驱夷逐法",OR(AND(C280="净世破魔击·月",E279&gt;59),AND(C280="净世破魔击·日",F279&gt;59)))</f>
        <v>0</v>
      </c>
      <c r="CM280" s="115" t="b">
        <f ca="1">OR(CL280,AND(C280="净世破魔击·日",CL279,RAND()&lt;模拟模式!$U$23))</f>
        <v>0</v>
      </c>
      <c r="CN280" s="115" t="b">
        <f ca="1">IF(模拟模式!$M$7="辉耀红尘",AND(C280="净世破魔击·月",CL280,CV280=0,E279&lt;80),AND(C280="净世破魔击·月",CL280,E279&lt;100))</f>
        <v>0</v>
      </c>
      <c r="CO280" s="115" t="b">
        <f t="shared" ca="1" si="204"/>
        <v>0</v>
      </c>
      <c r="CP280" s="115" t="b">
        <f ca="1">AND(模拟模式!$O$7="用晦而明",OR(C280="净世破魔击·日",C280="净世破魔击·月",C280="驱夜断愁"),AB280)</f>
        <v>0</v>
      </c>
      <c r="CQ280" s="115" t="b">
        <f ca="1">OR(CP280,AND(CP279,RAND()&lt;模拟模式!$U$23))</f>
        <v>1</v>
      </c>
      <c r="CR280" s="115" t="b">
        <f ca="1">AND(模拟模式!$S$7="日月齐光",OR(C280="幽月轮1",C280="幽月轮2",C280="幽月轮3",CR279),NOT(OR(C280="赤日轮1",C280="赤日轮2",C280="赤日轮3")))</f>
        <v>0</v>
      </c>
      <c r="CS280" s="115" t="b">
        <f ca="1">AND(模拟模式!$S$7="日月齐光",OR(C280="赤日轮1",C280="赤日轮2",C280="赤日轮3",CS279),NOT(OR(C280="幽月轮1",C280="幽月轮2",C280="幽月轮3")))</f>
        <v>0</v>
      </c>
      <c r="CT280" s="115">
        <f t="shared" ca="1" si="232"/>
        <v>4.1700000000000115</v>
      </c>
      <c r="CU280" s="115" t="b">
        <f ca="1">AND(模拟模式!$K$10="阴阳往极",CT279=0,RAND()&lt;IF(C280="净世破魔击·月",0.0275*7/3,IF(C280="净世破魔击·日",0.0275*3/3,0.0275*2/3)))</f>
        <v>0</v>
      </c>
      <c r="CV280" s="115">
        <f t="shared" ca="1" si="233"/>
        <v>0</v>
      </c>
      <c r="CW280" s="115">
        <f t="shared" ca="1" si="205"/>
        <v>2.3099999999999996</v>
      </c>
      <c r="CX280" s="115">
        <f t="shared" ca="1" si="206"/>
        <v>0.46499999999999975</v>
      </c>
      <c r="CY280" s="115">
        <f ca="1">MAX(IF($C280="驱夜断愁",IF(模拟模式!$R$7="万念俱寂",6,45),CY279-$F$4),0)</f>
        <v>1.3874999999999997</v>
      </c>
      <c r="CZ280" s="115">
        <f t="shared" ca="1" si="207"/>
        <v>0</v>
      </c>
      <c r="DA280" s="115">
        <f ca="1">IF(模拟模式!$N$7="日月同辉",IF(DB279=2,0,MIN(6,IF(AND(OR(C280="赤日轮1",C280="赤日轮2",C280="赤日轮3",C280="幽月轮1",C280="幽月轮2",C280="幽月轮3"),AB280=1),DA279+1,DA279))),0)</f>
        <v>4</v>
      </c>
      <c r="DB280" s="115">
        <f t="shared" ca="1" si="208"/>
        <v>0</v>
      </c>
      <c r="DC280" s="115"/>
      <c r="DD280" s="115"/>
      <c r="DE280" s="115"/>
      <c r="DF280" s="115"/>
      <c r="DG280" s="115"/>
      <c r="DH280" s="115"/>
      <c r="DI280" s="115"/>
      <c r="DJ280" s="115"/>
      <c r="DK280" s="115"/>
      <c r="DL280" s="115"/>
      <c r="DM280" s="115"/>
    </row>
    <row r="281" spans="2:117" x14ac:dyDescent="0.2">
      <c r="B281" s="117">
        <f t="shared" si="209"/>
        <v>234.3150000000015</v>
      </c>
      <c r="C281" s="167" t="str">
        <f t="shared" ca="1" si="202"/>
        <v>银月斩</v>
      </c>
      <c r="D281" s="115">
        <f ca="1">IF(C281="赤日轮1",1,IF(C281="赤日轮2",2,IF(C281="赤日轮3",3,IF(C281="幽月轮1",4,IF(C281="幽月轮2",5,IF(C281="幽月轮3",6,IF(C281="烈日斩",7,IF(C281="银月斩",8,IF(C281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281="净世破魔击·月",17,IF(C281="驱夜断愁",18,0)))))))))))</f>
        <v>8</v>
      </c>
      <c r="E281" s="115">
        <f ca="1">IF(AND(CU281,OR(C281="幽月轮1",C281="幽月轮2",C281="幽月轮3",C281="银月斩",C281="驱夜断愁",C281="净世破魔击·月")),100,MIN(IF(OR(CN281,BE281),0,IF(OR($C281="赤日轮1",$C281="赤日轮2",$C281="赤日轮3"),E280+20+IF(模拟模式!$I$7="日月凌天",4,0)+IF(CR280,20,0),IF($C281="烈日斩",E280+40,IF($C281="驱夜断愁",IF(模拟模式!$R$7="万念俱寂",E280+20,E280+60),IF($C281="净世破魔击·月",IF(OR(DB280&gt;0,CV280&gt;0),100,IF(模拟模式!$M$7="辉耀红尘",E280+20,E280)),IF($C281="净世破魔击·日",E280-100,E280)))))),100))</f>
        <v>20</v>
      </c>
      <c r="F281" s="115">
        <f ca="1">IF(AND(CU281,OR(C281="赤日轮1",C281="赤日轮2",C281="赤日轮3",C281="烈日斩",C281="净世破魔击·日")),100,MIN(IF(CO281,0,IF(OR($C281="幽月轮1",$C281="幽月轮2",$C281="幽月轮3"),F280+20+IF(模拟模式!$I$7="日月凌天",4,0)+IF(CS280,20,0),IF($C281="银月斩",F280+40+IF(模拟模式!$X$12=1,5,0),IF($C281="驱夜断愁",IF(模拟模式!$R$7="万念俱寂",F280+20,F280+60),IF($C281="净世破魔击·月",IF(模拟模式!$M$7="辉耀红尘",F280-80,F280-100),IF(AND(C281="净世破魔击·日",OR(DB280&gt;0,CV280&gt;0)),100,F280)))))),100))</f>
        <v>65</v>
      </c>
      <c r="G281" s="117">
        <f ca="1">('模拟-全程加成'!$E$3+'模拟-全程加成'!$E$4+'模拟-全程加成'!$E$5+('模拟-全程加成'!$C$6-'模拟-全程加成'!$C$3)*系数!$B$9+BS281*23)*(1+'模拟-全程加成'!$F$4+'模拟-全程加成'!$F$5+BJ281*10%+BM281*20%+BP281*4%+CG281*30%)+$F$7*系数!$B$12</f>
        <v>20583.127400000001</v>
      </c>
      <c r="H281" s="45">
        <f ca="1">'模拟-全程加成'!$H$3+'模拟-全程加成'!$H$4+'模拟-全程加成'!$H$5+('模拟-全程加成'!$G$4+'模拟-全程加成'!$G$5+('模拟-全程加成'!$C$6-'模拟-全程加成'!$C$3)*系数!$B$13)/系数!$B$3+LOOKUP(D281,'模拟-单技能数据'!$A$2:$A$19,'模拟-单技能数据'!$K$2:$K$19)+BG281*10%+IF(BV281&gt;0,378,0)</f>
        <v>0.64185145527300214</v>
      </c>
      <c r="I281" s="45">
        <f ca="1">'模拟-全程加成'!$J$3+'模拟-全程加成'!$J$4+'模拟-全程加成'!$J$5+('模拟-全程加成'!$I$4+'模拟-全程加成'!$I$5)/系数!$B$4+LOOKUP(D281,'模拟-单技能数据'!$A$2:$A$19,'模拟-单技能数据'!$L$2:$L$19)+BG281*10%</f>
        <v>2.2624828854998791</v>
      </c>
      <c r="J281" s="45">
        <f ca="1">(('模拟-全程加成'!$K$3+'模拟-全程加成'!$K$4+'模拟-全程加成'!$K$5+('模拟-全程加成'!$C$6-'模拟-全程加成'!$C$3)*系数!$B$10+IF(BV281&gt;0,882,0)+IF(BY281&gt;0,1831,0))*(1+'模拟-全程加成'!$L$4+'模拟-全程加成'!$L$5+CC281*20%))/系数!$B$5</f>
        <v>0.69723220422048726</v>
      </c>
      <c r="K281" s="119">
        <f ca="1">LOOKUP(D281,'模拟-单技能数据'!$A$2:$A$19,'模拟-单技能数据'!$J$2:$J$19)+IF(CM281,60%,0)+IF(DB280-DB281&gt;0,30%,0)+IF(OR(AND(OR(C281="赤日轮1",C281="赤日轮2",C281="赤日轮3"),CR281),AND(OR(C281="幽月轮1",C281="幽月轮2",C281="幽月轮3"),CS281)),35%,0)+CJ281</f>
        <v>0.15</v>
      </c>
      <c r="L281" s="119">
        <f ca="1">IF(AND(C281="烈日斩",模拟模式!$X$11=1),10%,0)+IF(AND(C281="驱夜断愁",AB281=1),30%,0)</f>
        <v>0</v>
      </c>
      <c r="M281" s="45">
        <f t="shared" ca="1" si="241"/>
        <v>0.64185145527300214</v>
      </c>
      <c r="N281" s="45">
        <f t="shared" ca="1" si="242"/>
        <v>0.30424854472699792</v>
      </c>
      <c r="O281" s="46">
        <f t="shared" ca="1" si="210"/>
        <v>0.85948312750461164</v>
      </c>
      <c r="P281" s="46" t="str">
        <f t="shared" ca="1" si="211"/>
        <v>命</v>
      </c>
      <c r="Q281" s="45">
        <f t="shared" ca="1" si="212"/>
        <v>1</v>
      </c>
      <c r="R281" s="117">
        <f ca="1">模拟模式!$E$20*(1-IF(模拟模式!$J$19="有",0.15,0))*(1-IF(模拟模式!$K$19="有",0.3,0)-IF(CQ281,0.5,0))</f>
        <v>2950.6049999999996</v>
      </c>
      <c r="S281" s="45">
        <f ca="1">R281/(R281+(185*模拟模式!$E$22-16800)*4.08224)</f>
        <v>0.24272716014590323</v>
      </c>
      <c r="T281" s="45" t="str">
        <f ca="1">LOOKUP(D281,'模拟-单技能数据'!$A$2:$A$19,'模拟-单技能数据'!$H$2:$H$19)</f>
        <v>阴</v>
      </c>
      <c r="U281" s="119">
        <f t="shared" ca="1" si="243"/>
        <v>0.08</v>
      </c>
      <c r="V281" s="47">
        <f ca="1">(1+L281)*(LOOKUP(D281,'模拟-单技能数据'!$A$2:$A$19,'模拟-单技能数据'!$D$2:$D$19)+G281*LOOKUP(D281,'模拟-单技能数据'!$A$2:$A$19,'模拟-单技能数据'!$F$2:$F$19))*(1+J281)*(1+K281)*(1-S281)*(1+U281)*Q281*LOOKUP(D281,'模拟-单技能数据'!$A$2:$A$19,'模拟-单技能数据'!$I$2:$I$20)</f>
        <v>17450.434922549593</v>
      </c>
      <c r="W281" s="47">
        <f ca="1">LOOKUP(D281,'模拟-单技能数据'!$A$2:$A$19,'模拟-单技能数据'!$G$2:$G$19)*$I$10</f>
        <v>361.51064354704795</v>
      </c>
      <c r="X281" s="47">
        <f t="shared" ca="1" si="213"/>
        <v>9190.6918139866902</v>
      </c>
      <c r="Y281" s="47">
        <f t="shared" ca="1" si="244"/>
        <v>27002.637380083332</v>
      </c>
      <c r="Z281" s="49">
        <f t="shared" ca="1" si="245"/>
        <v>26917002.889875758</v>
      </c>
      <c r="AA281" s="97">
        <f t="shared" ca="1" si="246"/>
        <v>114875.2870702925</v>
      </c>
      <c r="AB281" s="115">
        <f ca="1">IF(OR(C281="赤日轮1",C281="赤日轮2",C281="赤日轮3"),IF(RAND()&lt;模拟模式!$Y$17,1,0),IF(OR(C281="幽月轮1",C281="幽月轮2",C281="幽月轮3"),IF(RAND()&lt;模拟模式!$Y$18,1,0),IF(C281="烈日斩",IF(RAND()&lt;模拟模式!$Y$19,1,0),IF(C281="银月斩",IF(RAND()&lt;模拟模式!$Y$20,1,0),IF(C281="驱夜断愁",IF(RAND()&lt;模拟模式!$Y$21,1,0),IF(C281="净世破魔击·日",IF(RAND()&lt;模拟模式!$Y$22,1,0),IF(C281="净世破魔击·月",IF(RAND()&lt;模拟模式!$Y$23,1,0),0)))))))</f>
        <v>1</v>
      </c>
      <c r="AC281" s="115" t="b">
        <f t="shared" ca="1" si="234"/>
        <v>1</v>
      </c>
      <c r="AD281" s="115" t="b">
        <f t="shared" ca="1" si="254"/>
        <v>0</v>
      </c>
      <c r="AE281" s="115">
        <f t="shared" ca="1" si="255"/>
        <v>6</v>
      </c>
      <c r="AF281" s="47">
        <f ca="1">IF(AC281,('模拟-单技能数据'!$D$20+G281*'模拟-单技能数据'!$F$20)*(1+J281)*(1+'模拟-单技能数据'!$J$20)*(1+U281),0)</f>
        <v>4447.8565560098323</v>
      </c>
      <c r="AG281" s="61">
        <f t="shared" ca="1" si="247"/>
        <v>0.64185145527300214</v>
      </c>
      <c r="AH281" s="61">
        <f t="shared" ca="1" si="248"/>
        <v>2.2624828854998791</v>
      </c>
      <c r="AI281" s="62">
        <f t="shared" ca="1" si="214"/>
        <v>0.5424616552815289</v>
      </c>
      <c r="AJ281" s="47">
        <f ca="1">IF(AD281,IF(AI281&lt;$F$10,0,IF(AI281&lt;$F$10+$F$11,0.25,IF(AI281&lt;$F$10+$F$11+AG281,AH281,1)))*IF(AF281&gt;0,AF281,IF(AF280&gt;0,AF280,IF(AF279&gt;0,AF279,IF(AF278&gt;0,AF278,IF(AF277&gt;0,AF277,IF(AF276&gt;0,AF276,IF(AF275&gt;0,AF275,IF(AF274&gt;0,AF274,IF(AF273&gt;0,AF273,IF(AF271&gt;0,AF271,IF(AF270&gt;0,AF270,IF(AF269&gt;0,AF269,0)))))))))))),0)*(1-$S281)*'模拟-单技能数据'!$I$20</f>
        <v>0</v>
      </c>
      <c r="AK281" s="115" t="b">
        <f t="shared" ca="1" si="235"/>
        <v>0</v>
      </c>
      <c r="AL281" s="115" t="b">
        <f t="shared" ca="1" si="256"/>
        <v>1</v>
      </c>
      <c r="AM281" s="115">
        <f t="shared" ca="1" si="257"/>
        <v>4</v>
      </c>
      <c r="AN281" s="47">
        <f ca="1">IF(AK281,('模拟-单技能数据'!$D$21+G281*'模拟-单技能数据'!$F$21)*(1+J281)*(1+'模拟-单技能数据'!$J$21)*(1+U281),0)</f>
        <v>0</v>
      </c>
      <c r="AO281" s="61">
        <f ca="1">IF(AN281&gt;0,M281-'模拟-单技能数据'!$K$10,AO280)</f>
        <v>0.42185145527300216</v>
      </c>
      <c r="AP281" s="61">
        <f ca="1">IF(AN281&gt;0,I281-'模拟-单技能数据'!$L$10,AP280)</f>
        <v>2.162482885499879</v>
      </c>
      <c r="AQ281" s="63">
        <f t="shared" ca="1" si="215"/>
        <v>0.80099958474475508</v>
      </c>
      <c r="AR281" s="64">
        <f ca="1">IF(AL281,IF(AQ281&lt;$F$10,0,IF(AQ281&lt;$F$10+$F$11,0.25,IF(AQ281&lt;$F$10+$F$11+AO281,AP281,1)))*IF(AN281&gt;0,AN281,IF(AN280&gt;0,AN280,IF(AN279&gt;0,AN279,IF(AN278&gt;0,AN278,IF(AN277&gt;0,AN277,IF(AN276&gt;0,AN276,IF(AN275&gt;0,AN275,IF(AN274&gt;0,AN274,IF(AN273&gt;0,AN273,IF(AN271&gt;0,AN271,IF(AN270&gt;0,AN270,IF(AN269&gt;0,AN269,0)))))))))))),0)*(1-$S281)*'模拟-单技能数据'!$I$21</f>
        <v>9190.6918139866902</v>
      </c>
      <c r="AS281" s="61">
        <f ca="1">IF(OR(C281="净世破魔击·日",C281="净世破魔击·月"),M281-'模拟-单技能数据'!$K$10,0)</f>
        <v>0</v>
      </c>
      <c r="AT281" s="61">
        <f ca="1">IF(OR(C281="净世破魔击·日",C281="净世破魔击·月"),I281-'模拟-单技能数据'!$L$10,0)</f>
        <v>0</v>
      </c>
      <c r="AU281" s="62">
        <f t="shared" ca="1" si="216"/>
        <v>0.85853432128069729</v>
      </c>
      <c r="AV281" s="64">
        <f ca="1">IF(AS281&gt;0,('模拟-单技能数据'!$D$22+G281*'模拟-单技能数据'!$F$22)*(1+J281)*(1-S281)*IF(AU281&lt;$F$10,0,IF(AU281&lt;$F$10+$F$11,0.25,IF(AU281&lt;$F$10+$F$11+AS281,AT281,1)))*(1+U281),0)*'模拟-单技能数据'!$I$22</f>
        <v>0</v>
      </c>
      <c r="AW281" s="108">
        <f t="shared" ca="1" si="217"/>
        <v>1.5500000000000065</v>
      </c>
      <c r="AX281" s="108" t="b">
        <f ca="1">AND(模拟模式!$P$10="有",AW280=0,RAND()&lt;IF(C281="净世破魔击·月",0.1*8/3,IF(C281="净世破魔击·日",0.1*4/3,0.1*2/3)))</f>
        <v>0</v>
      </c>
      <c r="AY281" s="47">
        <f ca="1">IF(AX281,(18+G281*0.722)*(1+J281)*(1-S281)*(1+$I$4)*IF(P281="会",'模拟-全程加成'!$J$3+'模拟-全程加成'!$J$4+'模拟-全程加成'!$J$5+('模拟-全程加成'!$I$4+'模拟-全程加成'!$I$5)/系数!$B$4+BG281*10%,IF(P281="命",1,IF(P281="识",0.25,0))),0)</f>
        <v>0</v>
      </c>
      <c r="AZ281" s="108">
        <f t="shared" si="218"/>
        <v>8.9300000000000068</v>
      </c>
      <c r="BA281" s="108" t="b">
        <f>AND(模拟模式!$Q$10="有",AZ280=0)</f>
        <v>0</v>
      </c>
      <c r="BB281" s="140">
        <f>IF(BA281,(0+G281*0.287)*(1+J281)*(1-S281)*(1+$I$4)*IF(P281="会",'模拟-全程加成'!$J$3+'模拟-全程加成'!$J$4+'模拟-全程加成'!$J$5+('模拟-全程加成'!$I$4+'模拟-全程加成'!$I$5)/系数!$B$4+BG281*10%,IF(P281="命",1,IF(P281="识",0.25,0))),0)</f>
        <v>0</v>
      </c>
      <c r="BC281" s="115" t="b">
        <f ca="1">AND(模拟模式!$R$7="伏明众生",E281=60,F281=20,DA281&lt;5,CZ280&lt;$F$4)</f>
        <v>0</v>
      </c>
      <c r="BD281" s="115">
        <f t="shared" ca="1" si="236"/>
        <v>0</v>
      </c>
      <c r="BE281" s="115" t="b">
        <f t="shared" ca="1" si="237"/>
        <v>0</v>
      </c>
      <c r="BF281" s="47">
        <f ca="1">IF(BC281,4*('模拟-单技能数据'!$D$24+G281*'模拟-单技能数据'!$F$24)*(1+J281)*(1+'模拟-单技能数据'!$J$24)*(1-S281)*(1+$I$3)*(('模拟-全程加成'!$J$3+'模拟-全程加成'!$J$4+'模拟-全程加成'!$J$5+('模拟-全程加成'!$I$4+'模拟-全程加成'!$I$5)/系数!$B$4+BG281*10%)*('模拟-全程加成'!$J$3+'模拟-全程加成'!$J$4+'模拟-全程加成'!$J$5+('模拟-全程加成'!$I$4+'模拟-全程加成'!$I$5)/系数!$B$4+BG281*10%)+(1-('模拟-全程加成'!$J$3+'模拟-全程加成'!$J$4+'模拟-全程加成'!$J$5+('模拟-全程加成'!$I$4+'模拟-全程加成'!$I$5)/系数!$B$4+BG281*10%)-$F$10-$F$11)+F267*0.25),0)*'模拟-单技能数据'!$I$24</f>
        <v>0</v>
      </c>
      <c r="BG281" s="115" t="b">
        <f ca="1">OR(AND(OR(C281="烈日斩",C281="银月斩"),模拟模式!$I$7="净身明礼"),AND(C281="净世破魔击·日",模拟模式!$J$7="洞若观火"),AND(C282="净世破魔击·月",模拟模式!$J$7="洞若观火"),AB281=1)</f>
        <v>1</v>
      </c>
      <c r="BH281" s="115" t="b">
        <f t="shared" ca="1" si="219"/>
        <v>0</v>
      </c>
      <c r="BI281" s="115">
        <f t="shared" ca="1" si="238"/>
        <v>0</v>
      </c>
      <c r="BJ281" s="115" t="b">
        <f t="shared" ca="1" si="249"/>
        <v>0</v>
      </c>
      <c r="BK281" s="115" t="b">
        <f ca="1">AND(C281="驱夜断愁",模拟模式!$P$7="天地诛戮")</f>
        <v>0</v>
      </c>
      <c r="BL281" s="57">
        <f t="shared" ca="1" si="239"/>
        <v>14.465000000000003</v>
      </c>
      <c r="BM281" s="115" t="b">
        <f t="shared" ca="1" si="250"/>
        <v>1</v>
      </c>
      <c r="BN281" s="115" t="b">
        <f ca="1">AND(OR(C281="赤日轮1",C281="赤日轮2",C281="赤日轮3",C281="幽月轮1",C281="幽月轮2",C281="幽月轮3"),AB281=1,模拟模式!$L$7="明光恒照")</f>
        <v>0</v>
      </c>
      <c r="BO281" s="117">
        <f t="shared" ca="1" si="240"/>
        <v>29.077500000000001</v>
      </c>
      <c r="BP281" s="115">
        <f t="shared" ca="1" si="220"/>
        <v>6</v>
      </c>
      <c r="BQ281" s="115" t="b">
        <f>模拟模式!$K$10="2600·水"</f>
        <v>0</v>
      </c>
      <c r="BR281" s="117">
        <f t="shared" si="221"/>
        <v>0</v>
      </c>
      <c r="BS281" s="115">
        <f t="shared" si="222"/>
        <v>0</v>
      </c>
      <c r="BT281" s="115">
        <f t="shared" ca="1" si="223"/>
        <v>0</v>
      </c>
      <c r="BU281" s="115" t="b">
        <f ca="1">AND(模拟模式!$K$10="2300·雷",BT280=0,RAND()&lt;IF(C281="净世破魔击·月",5*0.05*2/3,IF(C281="净世破魔击·日",3*0.05*2/3,0.05*2*2/3)))</f>
        <v>0</v>
      </c>
      <c r="BV281" s="115">
        <f t="shared" ca="1" si="224"/>
        <v>0</v>
      </c>
      <c r="BW281" s="115">
        <f t="shared" ca="1" si="225"/>
        <v>137.56499999999937</v>
      </c>
      <c r="BX281" s="164" t="b">
        <f t="shared" ca="1" si="226"/>
        <v>0</v>
      </c>
      <c r="BY281" s="115">
        <f t="shared" ca="1" si="227"/>
        <v>0</v>
      </c>
      <c r="BZ281" s="115">
        <f>IF(OR(模拟模式!$P$16="10人团",模拟模式!$P$16="25人团"),IF(B281/30&gt;CA280,1,0),0)</f>
        <v>0</v>
      </c>
      <c r="CA281" s="115">
        <f t="shared" si="203"/>
        <v>0</v>
      </c>
      <c r="CB281" s="115">
        <f ca="1">IF(BZ281=1,IF(模拟模式!$P$16="10人团",15,0)+IF(模拟模式!$P$16="25人团",IF(RAND()&lt;0.6,15,0)),MAX(0,CB280-$F$4))</f>
        <v>0</v>
      </c>
      <c r="CC281" s="115" t="b">
        <f t="shared" ca="1" si="251"/>
        <v>0</v>
      </c>
      <c r="CD281" s="115">
        <f>IF(模拟模式!$Q$16="1个",IF(B281/40&gt;CE280,1,0),0)</f>
        <v>0</v>
      </c>
      <c r="CE281" s="115">
        <f t="shared" si="252"/>
        <v>0</v>
      </c>
      <c r="CF281" s="115">
        <f>IF(OR(CD281=1,模拟模式!$Q$16="2个"),20,MAX(0,CF280-$F$4))</f>
        <v>0</v>
      </c>
      <c r="CG281" s="115" t="b">
        <f t="shared" si="253"/>
        <v>0</v>
      </c>
      <c r="CH281" s="115">
        <f t="shared" ca="1" si="228"/>
        <v>0</v>
      </c>
      <c r="CI281" s="115" t="b">
        <f t="shared" ca="1" si="229"/>
        <v>0</v>
      </c>
      <c r="CJ281" s="119">
        <f t="shared" ca="1" si="230"/>
        <v>0</v>
      </c>
      <c r="CK281" s="115">
        <f t="shared" ca="1" si="231"/>
        <v>0</v>
      </c>
      <c r="CL281" s="115" t="b">
        <f ca="1">AND(模拟模式!$S$7="驱夷逐法",OR(AND(C281="净世破魔击·月",E280&gt;59),AND(C281="净世破魔击·日",F280&gt;59)))</f>
        <v>0</v>
      </c>
      <c r="CM281" s="115" t="b">
        <f ca="1">OR(CL281,AND(C281="净世破魔击·日",CL280,RAND()&lt;模拟模式!$U$23))</f>
        <v>0</v>
      </c>
      <c r="CN281" s="115" t="b">
        <f ca="1">IF(模拟模式!$M$7="辉耀红尘",AND(C281="净世破魔击·月",CL281,CV281=0,E280&lt;80),AND(C281="净世破魔击·月",CL281,E280&lt;100))</f>
        <v>0</v>
      </c>
      <c r="CO281" s="115" t="b">
        <f t="shared" ca="1" si="204"/>
        <v>0</v>
      </c>
      <c r="CP281" s="115" t="b">
        <f ca="1">AND(模拟模式!$O$7="用晦而明",OR(C281="净世破魔击·日",C281="净世破魔击·月",C281="驱夜断愁"),AB281)</f>
        <v>0</v>
      </c>
      <c r="CQ281" s="115" t="b">
        <f ca="1">OR(CP281,AND(CP280,RAND()&lt;模拟模式!$U$23))</f>
        <v>0</v>
      </c>
      <c r="CR281" s="115" t="b">
        <f ca="1">AND(模拟模式!$S$7="日月齐光",OR(C281="幽月轮1",C281="幽月轮2",C281="幽月轮3",CR280),NOT(OR(C281="赤日轮1",C281="赤日轮2",C281="赤日轮3")))</f>
        <v>0</v>
      </c>
      <c r="CS281" s="115" t="b">
        <f ca="1">AND(模拟模式!$S$7="日月齐光",OR(C281="赤日轮1",C281="赤日轮2",C281="赤日轮3",CS280),NOT(OR(C281="幽月轮1",C281="幽月轮2",C281="幽月轮3")))</f>
        <v>0</v>
      </c>
      <c r="CT281" s="115">
        <f t="shared" ca="1" si="232"/>
        <v>3.2475000000000116</v>
      </c>
      <c r="CU281" s="115" t="b">
        <f ca="1">AND(模拟模式!$K$10="阴阳往极",CT280=0,RAND()&lt;IF(C281="净世破魔击·月",0.0275*7/3,IF(C281="净世破魔击·日",0.0275*3/3,0.0275*2/3)))</f>
        <v>0</v>
      </c>
      <c r="CV281" s="115">
        <f t="shared" ca="1" si="233"/>
        <v>0</v>
      </c>
      <c r="CW281" s="115">
        <f t="shared" ca="1" si="205"/>
        <v>1.3874999999999997</v>
      </c>
      <c r="CX281" s="115">
        <f t="shared" ca="1" si="206"/>
        <v>6</v>
      </c>
      <c r="CY281" s="115">
        <f ca="1">MAX(IF($C281="驱夜断愁",IF(模拟模式!$R$7="万念俱寂",6,45),CY280-$F$4),0)</f>
        <v>0.46499999999999975</v>
      </c>
      <c r="CZ281" s="115">
        <f t="shared" ca="1" si="207"/>
        <v>0</v>
      </c>
      <c r="DA281" s="115">
        <f ca="1">IF(模拟模式!$N$7="日月同辉",IF(DB280=2,0,MIN(6,IF(AND(OR(C281="赤日轮1",C281="赤日轮2",C281="赤日轮3",C281="幽月轮1",C281="幽月轮2",C281="幽月轮3"),AB281=1),DA280+1,DA280))),0)</f>
        <v>4</v>
      </c>
      <c r="DB281" s="115">
        <f t="shared" ca="1" si="208"/>
        <v>0</v>
      </c>
      <c r="DC281" s="115"/>
      <c r="DD281" s="115"/>
      <c r="DE281" s="115"/>
      <c r="DF281" s="115"/>
      <c r="DG281" s="115"/>
      <c r="DH281" s="115"/>
      <c r="DI281" s="115"/>
      <c r="DJ281" s="115"/>
      <c r="DK281" s="115"/>
      <c r="DL281" s="115"/>
      <c r="DM281" s="115"/>
    </row>
    <row r="282" spans="2:117" x14ac:dyDescent="0.2">
      <c r="B282" s="117">
        <f t="shared" si="209"/>
        <v>235.23750000000152</v>
      </c>
      <c r="C282" s="167" t="str">
        <f t="shared" ca="1" si="202"/>
        <v>驱夜断愁</v>
      </c>
      <c r="D282" s="115">
        <f ca="1">IF(C282="赤日轮1",1,IF(C282="赤日轮2",2,IF(C282="赤日轮3",3,IF(C282="幽月轮1",4,IF(C282="幽月轮2",5,IF(C282="幽月轮3",6,IF(C282="烈日斩",7,IF(C282="银月斩",8,IF(C282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282="净世破魔击·月",17,IF(C282="驱夜断愁",18,0)))))))))))</f>
        <v>18</v>
      </c>
      <c r="E282" s="115">
        <f ca="1">IF(AND(CU282,OR(C282="幽月轮1",C282="幽月轮2",C282="幽月轮3",C282="银月斩",C282="驱夜断愁",C282="净世破魔击·月")),100,MIN(IF(OR(CN282,BE282),0,IF(OR($C282="赤日轮1",$C282="赤日轮2",$C282="赤日轮3"),E281+20+IF(模拟模式!$I$7="日月凌天",4,0)+IF(CR281,20,0),IF($C282="烈日斩",E281+40,IF($C282="驱夜断愁",IF(模拟模式!$R$7="万念俱寂",E281+20,E281+60),IF($C282="净世破魔击·月",IF(OR(DB281&gt;0,CV281&gt;0),100,IF(模拟模式!$M$7="辉耀红尘",E281+20,E281)),IF($C282="净世破魔击·日",E281-100,E281)))))),100))</f>
        <v>40</v>
      </c>
      <c r="F282" s="115">
        <f ca="1">IF(AND(CU282,OR(C282="赤日轮1",C282="赤日轮2",C282="赤日轮3",C282="烈日斩",C282="净世破魔击·日")),100,MIN(IF(CO282,0,IF(OR($C282="幽月轮1",$C282="幽月轮2",$C282="幽月轮3"),F281+20+IF(模拟模式!$I$7="日月凌天",4,0)+IF(CS281,20,0),IF($C282="银月斩",F281+40+IF(模拟模式!$X$12=1,5,0),IF($C282="驱夜断愁",IF(模拟模式!$R$7="万念俱寂",F281+20,F281+60),IF($C282="净世破魔击·月",IF(模拟模式!$M$7="辉耀红尘",F281-80,F281-100),IF(AND(C282="净世破魔击·日",OR(DB281&gt;0,CV281&gt;0)),100,F281)))))),100))</f>
        <v>85</v>
      </c>
      <c r="G282" s="117">
        <f ca="1">('模拟-全程加成'!$E$3+'模拟-全程加成'!$E$4+'模拟-全程加成'!$E$5+('模拟-全程加成'!$C$6-'模拟-全程加成'!$C$3)*系数!$B$9+BS282*23)*(1+'模拟-全程加成'!$F$4+'模拟-全程加成'!$F$5+BJ282*10%+BM282*20%+BP282*4%+CG282*30%)+$F$7*系数!$B$12</f>
        <v>20583.127400000001</v>
      </c>
      <c r="H282" s="45">
        <f ca="1">'模拟-全程加成'!$H$3+'模拟-全程加成'!$H$4+'模拟-全程加成'!$H$5+('模拟-全程加成'!$G$4+'模拟-全程加成'!$G$5+('模拟-全程加成'!$C$6-'模拟-全程加成'!$C$3)*系数!$B$13)/系数!$B$3+LOOKUP(D282,'模拟-单技能数据'!$A$2:$A$19,'模拟-单技能数据'!$K$2:$K$19)+BG282*10%+IF(BV282&gt;0,378,0)</f>
        <v>0.51185145527300213</v>
      </c>
      <c r="I282" s="45">
        <f ca="1">'模拟-全程加成'!$J$3+'模拟-全程加成'!$J$4+'模拟-全程加成'!$J$5+('模拟-全程加成'!$I$4+'模拟-全程加成'!$I$5)/系数!$B$4+LOOKUP(D282,'模拟-单技能数据'!$A$2:$A$19,'模拟-单技能数据'!$L$2:$L$19)+BG282*10%</f>
        <v>2.162482885499879</v>
      </c>
      <c r="J282" s="45">
        <f ca="1">(('模拟-全程加成'!$K$3+'模拟-全程加成'!$K$4+'模拟-全程加成'!$K$5+('模拟-全程加成'!$C$6-'模拟-全程加成'!$C$3)*系数!$B$10+IF(BV282&gt;0,882,0)+IF(BY282&gt;0,1831,0))*(1+'模拟-全程加成'!$L$4+'模拟-全程加成'!$L$5+CC282*20%))/系数!$B$5</f>
        <v>0.69723220422048726</v>
      </c>
      <c r="K282" s="119">
        <f ca="1">LOOKUP(D282,'模拟-单技能数据'!$A$2:$A$19,'模拟-单技能数据'!$J$2:$J$19)+IF(CM282,60%,0)+IF(DB281-DB282&gt;0,30%,0)+IF(OR(AND(OR(C282="赤日轮1",C282="赤日轮2",C282="赤日轮3"),CR282),AND(OR(C282="幽月轮1",C282="幽月轮2",C282="幽月轮3"),CS282)),35%,0)+CJ282</f>
        <v>0.14000000000000001</v>
      </c>
      <c r="L282" s="119">
        <f ca="1">IF(AND(C282="烈日斩",模拟模式!$X$11=1),10%,0)+IF(AND(C282="驱夜断愁",AB282=1),30%,0)</f>
        <v>0.3</v>
      </c>
      <c r="M282" s="45">
        <f t="shared" ca="1" si="241"/>
        <v>0.51185145527300213</v>
      </c>
      <c r="N282" s="45">
        <f t="shared" ca="1" si="242"/>
        <v>0.43424854472699792</v>
      </c>
      <c r="O282" s="46">
        <f t="shared" ca="1" si="210"/>
        <v>0.54246028201663854</v>
      </c>
      <c r="P282" s="46" t="str">
        <f t="shared" ca="1" si="211"/>
        <v>会</v>
      </c>
      <c r="Q282" s="45">
        <f t="shared" ca="1" si="212"/>
        <v>2.162482885499879</v>
      </c>
      <c r="R282" s="117">
        <f ca="1">模拟模式!$E$20*(1-IF(模拟模式!$J$19="有",0.15,0))*(1-IF(模拟模式!$K$19="有",0.3,0)-IF(CQ282,0.5,0))</f>
        <v>843.02999999999975</v>
      </c>
      <c r="S282" s="45">
        <f ca="1">R282/(R282+(185*模拟模式!$E$22-16800)*4.08224)</f>
        <v>8.389626085980037E-2</v>
      </c>
      <c r="T282" s="45" t="str">
        <f ca="1">LOOKUP(D282,'模拟-单技能数据'!$A$2:$A$19,'模拟-单技能数据'!$H$2:$H$19)</f>
        <v>阴</v>
      </c>
      <c r="U282" s="119">
        <f t="shared" ca="1" si="243"/>
        <v>0.08</v>
      </c>
      <c r="V282" s="47">
        <f ca="1">(1+L282)*(LOOKUP(D282,'模拟-单技能数据'!$A$2:$A$19,'模拟-单技能数据'!$D$2:$D$19)+G282*LOOKUP(D282,'模拟-单技能数据'!$A$2:$A$19,'模拟-单技能数据'!$F$2:$F$19))*(1+J282)*(1+K282)*(1-S282)*(1+U282)*Q282*LOOKUP(D282,'模拟-单技能数据'!$A$2:$A$19,'模拟-单技能数据'!$I$2:$I$20)</f>
        <v>127463.41908070058</v>
      </c>
      <c r="W282" s="47">
        <f ca="1">LOOKUP(D282,'模拟-单技能数据'!$A$2:$A$19,'模拟-单技能数据'!$G$2:$G$19)*$I$10</f>
        <v>723.0212870940959</v>
      </c>
      <c r="X282" s="47">
        <f t="shared" ca="1" si="213"/>
        <v>1018.6745055299644</v>
      </c>
      <c r="Y282" s="47">
        <f t="shared" ca="1" si="244"/>
        <v>129205.11487332465</v>
      </c>
      <c r="Z282" s="49">
        <f t="shared" ca="1" si="245"/>
        <v>27046208.004749082</v>
      </c>
      <c r="AA282" s="97">
        <f t="shared" ca="1" si="246"/>
        <v>114974.0496508801</v>
      </c>
      <c r="AB282" s="115">
        <f ca="1">IF(OR(C282="赤日轮1",C282="赤日轮2",C282="赤日轮3"),IF(RAND()&lt;模拟模式!$Y$17,1,0),IF(OR(C282="幽月轮1",C282="幽月轮2",C282="幽月轮3"),IF(RAND()&lt;模拟模式!$Y$18,1,0),IF(C282="烈日斩",IF(RAND()&lt;模拟模式!$Y$19,1,0),IF(C282="银月斩",IF(RAND()&lt;模拟模式!$Y$20,1,0),IF(C282="驱夜断愁",IF(RAND()&lt;模拟模式!$Y$21,1,0),IF(C282="净世破魔击·日",IF(RAND()&lt;模拟模式!$Y$22,1,0),IF(C282="净世破魔击·月",IF(RAND()&lt;模拟模式!$Y$23,1,0),0)))))))</f>
        <v>1</v>
      </c>
      <c r="AC282" s="115" t="b">
        <f t="shared" ca="1" si="234"/>
        <v>0</v>
      </c>
      <c r="AD282" s="115" t="b">
        <f t="shared" ca="1" si="254"/>
        <v>1</v>
      </c>
      <c r="AE282" s="115">
        <f t="shared" ca="1" si="255"/>
        <v>5</v>
      </c>
      <c r="AF282" s="47">
        <f ca="1">IF(AC282,('模拟-单技能数据'!$D$20+G282*'模拟-单技能数据'!$F$20)*(1+J282)*(1+'模拟-单技能数据'!$J$20)*(1+U282),0)</f>
        <v>0</v>
      </c>
      <c r="AG282" s="61">
        <f t="shared" ca="1" si="247"/>
        <v>0.64185145527300214</v>
      </c>
      <c r="AH282" s="61">
        <f t="shared" ca="1" si="248"/>
        <v>2.2624828854998791</v>
      </c>
      <c r="AI282" s="62">
        <f t="shared" ca="1" si="214"/>
        <v>9.7154821454055185E-3</v>
      </c>
      <c r="AJ282" s="47">
        <f ca="1">IF(AD282,IF(AI282&lt;$F$10,0,IF(AI282&lt;$F$10+$F$11,0.25,IF(AI282&lt;$F$10+$F$11+AG282,AH282,1)))*IF(AF282&gt;0,AF282,IF(AF281&gt;0,AF281,IF(AF280&gt;0,AF280,IF(AF279&gt;0,AF279,IF(AF278&gt;0,AF278,IF(AF277&gt;0,AF277,IF(AF276&gt;0,AF276,IF(AF275&gt;0,AF275,IF(AF274&gt;0,AF274,IF(AF272&gt;0,AF272,IF(AF271&gt;0,AF271,IF(AF270&gt;0,AF270,0)))))))))))),0)*(1-$S282)*'模拟-单技能数据'!$I$20</f>
        <v>1018.6745055299644</v>
      </c>
      <c r="AK282" s="115" t="b">
        <f t="shared" ca="1" si="235"/>
        <v>0</v>
      </c>
      <c r="AL282" s="115" t="b">
        <f t="shared" ca="1" si="256"/>
        <v>0</v>
      </c>
      <c r="AM282" s="115">
        <f t="shared" ca="1" si="257"/>
        <v>4</v>
      </c>
      <c r="AN282" s="47">
        <f ca="1">IF(AK282,('模拟-单技能数据'!$D$21+G282*'模拟-单技能数据'!$F$21)*(1+J282)*(1+'模拟-单技能数据'!$J$21)*(1+U282),0)</f>
        <v>0</v>
      </c>
      <c r="AO282" s="61">
        <f ca="1">IF(AN282&gt;0,M282-'模拟-单技能数据'!$K$10,AO281)</f>
        <v>0.42185145527300216</v>
      </c>
      <c r="AP282" s="61">
        <f ca="1">IF(AN282&gt;0,I282-'模拟-单技能数据'!$L$10,AP281)</f>
        <v>2.162482885499879</v>
      </c>
      <c r="AQ282" s="63">
        <f t="shared" ca="1" si="215"/>
        <v>0.38706551035408432</v>
      </c>
      <c r="AR282" s="64">
        <f ca="1">IF(AL282,IF(AQ282&lt;$F$10,0,IF(AQ282&lt;$F$10+$F$11,0.25,IF(AQ282&lt;$F$10+$F$11+AO282,AP282,1)))*IF(AN282&gt;0,AN282,IF(AN281&gt;0,AN281,IF(AN280&gt;0,AN280,IF(AN279&gt;0,AN279,IF(AN278&gt;0,AN278,IF(AN277&gt;0,AN277,IF(AN276&gt;0,AN276,IF(AN275&gt;0,AN275,IF(AN274&gt;0,AN274,IF(AN272&gt;0,AN272,IF(AN271&gt;0,AN271,IF(AN270&gt;0,AN270,0)))))))))))),0)*(1-$S282)*'模拟-单技能数据'!$I$21</f>
        <v>0</v>
      </c>
      <c r="AS282" s="61">
        <f ca="1">IF(OR(C282="净世破魔击·日",C282="净世破魔击·月"),M282-'模拟-单技能数据'!$K$10,0)</f>
        <v>0</v>
      </c>
      <c r="AT282" s="61">
        <f ca="1">IF(OR(C282="净世破魔击·日",C282="净世破魔击·月"),I282-'模拟-单技能数据'!$L$10,0)</f>
        <v>0</v>
      </c>
      <c r="AU282" s="62">
        <f t="shared" ca="1" si="216"/>
        <v>0.96974328054831538</v>
      </c>
      <c r="AV282" s="64">
        <f ca="1">IF(AS282&gt;0,('模拟-单技能数据'!$D$22+G282*'模拟-单技能数据'!$F$22)*(1+J282)*(1-S282)*IF(AU282&lt;$F$10,0,IF(AU282&lt;$F$10+$F$11,0.25,IF(AU282&lt;$F$10+$F$11+AS282,AT282,1)))*(1+U282),0)*'模拟-单技能数据'!$I$22</f>
        <v>0</v>
      </c>
      <c r="AW282" s="108">
        <f t="shared" ca="1" si="217"/>
        <v>0.6275000000000065</v>
      </c>
      <c r="AX282" s="108" t="b">
        <f ca="1">AND(模拟模式!$P$10="有",AW281=0,RAND()&lt;IF(C282="净世破魔击·月",0.1*8/3,IF(C282="净世破魔击·日",0.1*4/3,0.1*2/3)))</f>
        <v>0</v>
      </c>
      <c r="AY282" s="47">
        <f ca="1">IF(AX282,(18+G282*0.722)*(1+J282)*(1-S282)*(1+$I$4)*IF(P282="会",'模拟-全程加成'!$J$3+'模拟-全程加成'!$J$4+'模拟-全程加成'!$J$5+('模拟-全程加成'!$I$4+'模拟-全程加成'!$I$5)/系数!$B$4+BG282*10%,IF(P282="命",1,IF(P282="识",0.25,0))),0)</f>
        <v>0</v>
      </c>
      <c r="AZ282" s="108">
        <f t="shared" si="218"/>
        <v>8.0075000000000074</v>
      </c>
      <c r="BA282" s="108" t="b">
        <f>AND(模拟模式!$Q$10="有",AZ281=0)</f>
        <v>0</v>
      </c>
      <c r="BB282" s="140">
        <f>IF(BA282,(0+G282*0.287)*(1+J282)*(1-S282)*(1+$I$4)*IF(P282="会",'模拟-全程加成'!$J$3+'模拟-全程加成'!$J$4+'模拟-全程加成'!$J$5+('模拟-全程加成'!$I$4+'模拟-全程加成'!$I$5)/系数!$B$4+BG282*10%,IF(P282="命",1,IF(P282="识",0.25,0))),0)</f>
        <v>0</v>
      </c>
      <c r="BC282" s="115" t="b">
        <f ca="1">AND(模拟模式!$R$7="伏明众生",E282=60,F282=20,DA282&lt;5,CZ281&lt;$F$4)</f>
        <v>0</v>
      </c>
      <c r="BD282" s="115">
        <f t="shared" ca="1" si="236"/>
        <v>0</v>
      </c>
      <c r="BE282" s="115" t="b">
        <f t="shared" ca="1" si="237"/>
        <v>0</v>
      </c>
      <c r="BF282" s="47">
        <f ca="1">IF(BC282,4*('模拟-单技能数据'!$D$24+G282*'模拟-单技能数据'!$F$24)*(1+J282)*(1+'模拟-单技能数据'!$J$24)*(1-S282)*(1+$I$3)*(('模拟-全程加成'!$J$3+'模拟-全程加成'!$J$4+'模拟-全程加成'!$J$5+('模拟-全程加成'!$I$4+'模拟-全程加成'!$I$5)/系数!$B$4+BG282*10%)*('模拟-全程加成'!$J$3+'模拟-全程加成'!$J$4+'模拟-全程加成'!$J$5+('模拟-全程加成'!$I$4+'模拟-全程加成'!$I$5)/系数!$B$4+BG282*10%)+(1-('模拟-全程加成'!$J$3+'模拟-全程加成'!$J$4+'模拟-全程加成'!$J$5+('模拟-全程加成'!$I$4+'模拟-全程加成'!$I$5)/系数!$B$4+BG282*10%)-$F$10-$F$11)+F268*0.25),0)*'模拟-单技能数据'!$I$24</f>
        <v>0</v>
      </c>
      <c r="BG282" s="115" t="b">
        <f ca="1">OR(AND(OR(C282="烈日斩",C282="银月斩"),模拟模式!$I$7="净身明礼"),AND(C282="净世破魔击·日",模拟模式!$J$7="洞若观火"),AND(C283="净世破魔击·月",模拟模式!$J$7="洞若观火"),AB282=1)</f>
        <v>1</v>
      </c>
      <c r="BH282" s="115" t="b">
        <f t="shared" ca="1" si="219"/>
        <v>0</v>
      </c>
      <c r="BI282" s="115">
        <f t="shared" ca="1" si="238"/>
        <v>0</v>
      </c>
      <c r="BJ282" s="115" t="b">
        <f t="shared" ca="1" si="249"/>
        <v>0</v>
      </c>
      <c r="BK282" s="115" t="b">
        <f ca="1">AND(C282="驱夜断愁",模拟模式!$P$7="天地诛戮")</f>
        <v>1</v>
      </c>
      <c r="BL282" s="57">
        <f t="shared" ca="1" si="239"/>
        <v>20</v>
      </c>
      <c r="BM282" s="115" t="b">
        <f t="shared" ca="1" si="250"/>
        <v>1</v>
      </c>
      <c r="BN282" s="115" t="b">
        <f ca="1">AND(OR(C282="赤日轮1",C282="赤日轮2",C282="赤日轮3",C282="幽月轮1",C282="幽月轮2",C282="幽月轮3"),AB282=1,模拟模式!$L$7="明光恒照")</f>
        <v>0</v>
      </c>
      <c r="BO282" s="117">
        <f t="shared" ca="1" si="240"/>
        <v>28.155000000000001</v>
      </c>
      <c r="BP282" s="115">
        <f t="shared" ca="1" si="220"/>
        <v>6</v>
      </c>
      <c r="BQ282" s="115" t="b">
        <f>模拟模式!$K$10="2600·水"</f>
        <v>0</v>
      </c>
      <c r="BR282" s="117">
        <f t="shared" si="221"/>
        <v>0</v>
      </c>
      <c r="BS282" s="115">
        <f t="shared" si="222"/>
        <v>0</v>
      </c>
      <c r="BT282" s="115">
        <f t="shared" ca="1" si="223"/>
        <v>0</v>
      </c>
      <c r="BU282" s="115" t="b">
        <f ca="1">AND(模拟模式!$K$10="2300·雷",BT281=0,RAND()&lt;IF(C282="净世破魔击·月",5*0.05*2/3,IF(C282="净世破魔击·日",3*0.05*2/3,0.05*2*2/3)))</f>
        <v>0</v>
      </c>
      <c r="BV282" s="115">
        <f t="shared" ca="1" si="224"/>
        <v>0</v>
      </c>
      <c r="BW282" s="115">
        <f t="shared" ca="1" si="225"/>
        <v>136.64249999999936</v>
      </c>
      <c r="BX282" s="164" t="b">
        <f t="shared" ca="1" si="226"/>
        <v>0</v>
      </c>
      <c r="BY282" s="115">
        <f t="shared" ca="1" si="227"/>
        <v>0</v>
      </c>
      <c r="BZ282" s="115">
        <f>IF(OR(模拟模式!$P$16="10人团",模拟模式!$P$16="25人团"),IF(B282/30&gt;CA281,1,0),0)</f>
        <v>0</v>
      </c>
      <c r="CA282" s="115">
        <f t="shared" si="203"/>
        <v>0</v>
      </c>
      <c r="CB282" s="115">
        <f ca="1">IF(BZ282=1,IF(模拟模式!$P$16="10人团",15,0)+IF(模拟模式!$P$16="25人团",IF(RAND()&lt;0.6,15,0)),MAX(0,CB281-$F$4))</f>
        <v>0</v>
      </c>
      <c r="CC282" s="115" t="b">
        <f t="shared" ca="1" si="251"/>
        <v>0</v>
      </c>
      <c r="CD282" s="115">
        <f>IF(模拟模式!$Q$16="1个",IF(B282/40&gt;CE281,1,0),0)</f>
        <v>0</v>
      </c>
      <c r="CE282" s="115">
        <f t="shared" si="252"/>
        <v>0</v>
      </c>
      <c r="CF282" s="115">
        <f>IF(OR(CD282=1,模拟模式!$Q$16="2个"),20,MAX(0,CF281-$F$4))</f>
        <v>0</v>
      </c>
      <c r="CG282" s="115" t="b">
        <f t="shared" si="253"/>
        <v>0</v>
      </c>
      <c r="CH282" s="115">
        <f t="shared" ca="1" si="228"/>
        <v>0</v>
      </c>
      <c r="CI282" s="115" t="b">
        <f t="shared" ca="1" si="229"/>
        <v>0</v>
      </c>
      <c r="CJ282" s="119">
        <f t="shared" ca="1" si="230"/>
        <v>0</v>
      </c>
      <c r="CK282" s="115">
        <f t="shared" ca="1" si="231"/>
        <v>0</v>
      </c>
      <c r="CL282" s="115" t="b">
        <f ca="1">AND(模拟模式!$S$7="驱夷逐法",OR(AND(C282="净世破魔击·月",E281&gt;59),AND(C282="净世破魔击·日",F281&gt;59)))</f>
        <v>0</v>
      </c>
      <c r="CM282" s="115" t="b">
        <f ca="1">OR(CL282,AND(C282="净世破魔击·日",CL281,RAND()&lt;模拟模式!$U$23))</f>
        <v>0</v>
      </c>
      <c r="CN282" s="115" t="b">
        <f ca="1">IF(模拟模式!$M$7="辉耀红尘",AND(C282="净世破魔击·月",CL282,CV282=0,E281&lt;80),AND(C282="净世破魔击·月",CL282,E281&lt;100))</f>
        <v>0</v>
      </c>
      <c r="CO282" s="115" t="b">
        <f t="shared" ca="1" si="204"/>
        <v>0</v>
      </c>
      <c r="CP282" s="115" t="b">
        <f ca="1">AND(模拟模式!$O$7="用晦而明",OR(C282="净世破魔击·日",C282="净世破魔击·月",C282="驱夜断愁"),AB282)</f>
        <v>1</v>
      </c>
      <c r="CQ282" s="115" t="b">
        <f ca="1">OR(CP282,AND(CP281,RAND()&lt;模拟模式!$U$23))</f>
        <v>1</v>
      </c>
      <c r="CR282" s="115" t="b">
        <f ca="1">AND(模拟模式!$S$7="日月齐光",OR(C282="幽月轮1",C282="幽月轮2",C282="幽月轮3",CR281),NOT(OR(C282="赤日轮1",C282="赤日轮2",C282="赤日轮3")))</f>
        <v>0</v>
      </c>
      <c r="CS282" s="115" t="b">
        <f ca="1">AND(模拟模式!$S$7="日月齐光",OR(C282="赤日轮1",C282="赤日轮2",C282="赤日轮3",CS281),NOT(OR(C282="幽月轮1",C282="幽月轮2",C282="幽月轮3")))</f>
        <v>0</v>
      </c>
      <c r="CT282" s="115">
        <f t="shared" ca="1" si="232"/>
        <v>2.3250000000000117</v>
      </c>
      <c r="CU282" s="115" t="b">
        <f ca="1">AND(模拟模式!$K$10="阴阳往极",CT281=0,RAND()&lt;IF(C282="净世破魔击·月",0.0275*7/3,IF(C282="净世破魔击·日",0.0275*3/3,0.0275*2/3)))</f>
        <v>0</v>
      </c>
      <c r="CV282" s="115">
        <f t="shared" ca="1" si="233"/>
        <v>0</v>
      </c>
      <c r="CW282" s="115">
        <f t="shared" ca="1" si="205"/>
        <v>0.46499999999999975</v>
      </c>
      <c r="CX282" s="115">
        <f t="shared" ca="1" si="206"/>
        <v>5.0774999999999997</v>
      </c>
      <c r="CY282" s="115">
        <f ca="1">MAX(IF($C282="驱夜断愁",IF(模拟模式!$R$7="万念俱寂",6,45),CY281-$F$4),0)</f>
        <v>6</v>
      </c>
      <c r="CZ282" s="115">
        <f t="shared" ca="1" si="207"/>
        <v>0</v>
      </c>
      <c r="DA282" s="115">
        <f ca="1">IF(模拟模式!$N$7="日月同辉",IF(DB281=2,0,MIN(6,IF(AND(OR(C282="赤日轮1",C282="赤日轮2",C282="赤日轮3",C282="幽月轮1",C282="幽月轮2",C282="幽月轮3"),AB282=1),DA281+1,DA281))),0)</f>
        <v>4</v>
      </c>
      <c r="DB282" s="115">
        <f t="shared" ca="1" si="208"/>
        <v>0</v>
      </c>
      <c r="DC282" s="115"/>
      <c r="DD282" s="115"/>
      <c r="DE282" s="115"/>
      <c r="DF282" s="115"/>
      <c r="DG282" s="115"/>
      <c r="DH282" s="115"/>
      <c r="DI282" s="115"/>
      <c r="DJ282" s="115"/>
      <c r="DK282" s="115"/>
      <c r="DL282" s="115"/>
      <c r="DM282" s="115"/>
    </row>
    <row r="283" spans="2:117" x14ac:dyDescent="0.2">
      <c r="B283" s="117">
        <f t="shared" si="209"/>
        <v>236.16000000000153</v>
      </c>
      <c r="C283" s="167" t="str">
        <f t="shared" ca="1" si="202"/>
        <v>烈日斩</v>
      </c>
      <c r="D283" s="115">
        <f ca="1">IF(C283="赤日轮1",1,IF(C283="赤日轮2",2,IF(C283="赤日轮3",3,IF(C283="幽月轮1",4,IF(C283="幽月轮2",5,IF(C283="幽月轮3",6,IF(C283="烈日斩",7,IF(C283="银月斩",8,IF(C283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283="净世破魔击·月",17,IF(C283="驱夜断愁",18,0)))))))))))</f>
        <v>7</v>
      </c>
      <c r="E283" s="115">
        <f ca="1">IF(AND(CU283,OR(C283="幽月轮1",C283="幽月轮2",C283="幽月轮3",C283="银月斩",C283="驱夜断愁",C283="净世破魔击·月")),100,MIN(IF(OR(CN283,BE283),0,IF(OR($C283="赤日轮1",$C283="赤日轮2",$C283="赤日轮3"),E282+20+IF(模拟模式!$I$7="日月凌天",4,0)+IF(CR282,20,0),IF($C283="烈日斩",E282+40,IF($C283="驱夜断愁",IF(模拟模式!$R$7="万念俱寂",E282+20,E282+60),IF($C283="净世破魔击·月",IF(OR(DB282&gt;0,CV282&gt;0),100,IF(模拟模式!$M$7="辉耀红尘",E282+20,E282)),IF($C283="净世破魔击·日",E282-100,E282)))))),100))</f>
        <v>80</v>
      </c>
      <c r="F283" s="115">
        <f ca="1">IF(AND(CU283,OR(C283="赤日轮1",C283="赤日轮2",C283="赤日轮3",C283="烈日斩",C283="净世破魔击·日")),100,MIN(IF(CO283,0,IF(OR($C283="幽月轮1",$C283="幽月轮2",$C283="幽月轮3"),F282+20+IF(模拟模式!$I$7="日月凌天",4,0)+IF(CS282,20,0),IF($C283="银月斩",F282+40+IF(模拟模式!$X$12=1,5,0),IF($C283="驱夜断愁",IF(模拟模式!$R$7="万念俱寂",F282+20,F282+60),IF($C283="净世破魔击·月",IF(模拟模式!$M$7="辉耀红尘",F282-80,F282-100),IF(AND(C283="净世破魔击·日",OR(DB282&gt;0,CV282&gt;0)),100,F282)))))),100))</f>
        <v>85</v>
      </c>
      <c r="G283" s="117">
        <f ca="1">('模拟-全程加成'!$E$3+'模拟-全程加成'!$E$4+'模拟-全程加成'!$E$5+('模拟-全程加成'!$C$6-'模拟-全程加成'!$C$3)*系数!$B$9+BS283*23)*(1+'模拟-全程加成'!$F$4+'模拟-全程加成'!$F$5+BJ283*10%+BM283*20%+BP283*4%+CG283*30%)+$F$7*系数!$B$12</f>
        <v>20583.127400000001</v>
      </c>
      <c r="H283" s="45">
        <f ca="1">'模拟-全程加成'!$H$3+'模拟-全程加成'!$H$4+'模拟-全程加成'!$H$5+('模拟-全程加成'!$G$4+'模拟-全程加成'!$G$5+('模拟-全程加成'!$C$6-'模拟-全程加成'!$C$3)*系数!$B$13)/系数!$B$3+LOOKUP(D283,'模拟-单技能数据'!$A$2:$A$19,'模拟-单技能数据'!$K$2:$K$19)+BG283*10%+IF(BV283&gt;0,378,0)</f>
        <v>0.56185145527300218</v>
      </c>
      <c r="I283" s="45">
        <f ca="1">'模拟-全程加成'!$J$3+'模拟-全程加成'!$J$4+'模拟-全程加成'!$J$5+('模拟-全程加成'!$I$4+'模拟-全程加成'!$I$5)/系数!$B$4+LOOKUP(D283,'模拟-单技能数据'!$A$2:$A$19,'模拟-单技能数据'!$L$2:$L$19)+BG283*10%</f>
        <v>2.2624828854998791</v>
      </c>
      <c r="J283" s="45">
        <f ca="1">(('模拟-全程加成'!$K$3+'模拟-全程加成'!$K$4+'模拟-全程加成'!$K$5+('模拟-全程加成'!$C$6-'模拟-全程加成'!$C$3)*系数!$B$10+IF(BV283&gt;0,882,0)+IF(BY283&gt;0,1831,0))*(1+'模拟-全程加成'!$L$4+'模拟-全程加成'!$L$5+CC283*20%))/系数!$B$5</f>
        <v>0.69723220422048726</v>
      </c>
      <c r="K283" s="119">
        <f ca="1">LOOKUP(D283,'模拟-单技能数据'!$A$2:$A$19,'模拟-单技能数据'!$J$2:$J$19)+IF(CM283,60%,0)+IF(DB282-DB283&gt;0,30%,0)+IF(OR(AND(OR(C283="赤日轮1",C283="赤日轮2",C283="赤日轮3"),CR283),AND(OR(C283="幽月轮1",C283="幽月轮2",C283="幽月轮3"),CS283)),35%,0)+CJ283</f>
        <v>0.24</v>
      </c>
      <c r="L283" s="119">
        <f ca="1">IF(AND(C283="烈日斩",模拟模式!$X$11=1),10%,0)+IF(AND(C283="驱夜断愁",AB283=1),30%,0)</f>
        <v>0.1</v>
      </c>
      <c r="M283" s="45">
        <f t="shared" ca="1" si="241"/>
        <v>0.56185145527300218</v>
      </c>
      <c r="N283" s="45">
        <f t="shared" ca="1" si="242"/>
        <v>0.38424854472699788</v>
      </c>
      <c r="O283" s="46">
        <f t="shared" ca="1" si="210"/>
        <v>3.8204587481830199E-2</v>
      </c>
      <c r="P283" s="46" t="str">
        <f t="shared" ca="1" si="211"/>
        <v>识</v>
      </c>
      <c r="Q283" s="45">
        <f t="shared" ca="1" si="212"/>
        <v>0.25</v>
      </c>
      <c r="R283" s="117">
        <f ca="1">模拟模式!$E$20*(1-IF(模拟模式!$J$19="有",0.15,0))*(1-IF(模拟模式!$K$19="有",0.3,0)-IF(CQ283,0.5,0))</f>
        <v>843.02999999999975</v>
      </c>
      <c r="S283" s="45">
        <f ca="1">R283/(R283+(185*模拟模式!$E$22-16800)*4.08224)</f>
        <v>8.389626085980037E-2</v>
      </c>
      <c r="T283" s="45" t="str">
        <f ca="1">LOOKUP(D283,'模拟-单技能数据'!$A$2:$A$19,'模拟-单技能数据'!$H$2:$H$19)</f>
        <v>阳</v>
      </c>
      <c r="U283" s="119">
        <f t="shared" ca="1" si="243"/>
        <v>0.2</v>
      </c>
      <c r="V283" s="47">
        <f ca="1">(1+L283)*(LOOKUP(D283,'模拟-单技能数据'!$A$2:$A$19,'模拟-单技能数据'!$D$2:$D$19)+G283*LOOKUP(D283,'模拟-单技能数据'!$A$2:$A$19,'模拟-单技能数据'!$F$2:$F$19))*(1+J283)*(1+K283)*(1-S283)*(1+U283)*Q283*LOOKUP(D283,'模拟-单技能数据'!$A$2:$A$19,'模拟-单技能数据'!$I$2:$I$20)</f>
        <v>11697.442296152003</v>
      </c>
      <c r="W283" s="47">
        <f ca="1">LOOKUP(D283,'模拟-单技能数据'!$A$2:$A$19,'模拟-单技能数据'!$G$2:$G$19)*$I$10</f>
        <v>361.51064354704795</v>
      </c>
      <c r="X283" s="47">
        <f t="shared" ca="1" si="213"/>
        <v>24043.249177625272</v>
      </c>
      <c r="Y283" s="47">
        <f t="shared" ca="1" si="244"/>
        <v>36102.202117324327</v>
      </c>
      <c r="Z283" s="49">
        <f t="shared" ca="1" si="245"/>
        <v>27082310.206866406</v>
      </c>
      <c r="AA283" s="97">
        <f t="shared" ca="1" si="246"/>
        <v>114677.8040602398</v>
      </c>
      <c r="AB283" s="115">
        <f ca="1">IF(OR(C283="赤日轮1",C283="赤日轮2",C283="赤日轮3"),IF(RAND()&lt;模拟模式!$Y$17,1,0),IF(OR(C283="幽月轮1",C283="幽月轮2",C283="幽月轮3"),IF(RAND()&lt;模拟模式!$Y$18,1,0),IF(C283="烈日斩",IF(RAND()&lt;模拟模式!$Y$19,1,0),IF(C283="银月斩",IF(RAND()&lt;模拟模式!$Y$20,1,0),IF(C283="驱夜断愁",IF(RAND()&lt;模拟模式!$Y$21,1,0),IF(C283="净世破魔击·日",IF(RAND()&lt;模拟模式!$Y$22,1,0),IF(C283="净世破魔击·月",IF(RAND()&lt;模拟模式!$Y$23,1,0),0)))))))</f>
        <v>1</v>
      </c>
      <c r="AC283" s="115" t="b">
        <f t="shared" ca="1" si="234"/>
        <v>0</v>
      </c>
      <c r="AD283" s="115" t="b">
        <f t="shared" ca="1" si="254"/>
        <v>0</v>
      </c>
      <c r="AE283" s="115">
        <f t="shared" ca="1" si="255"/>
        <v>5</v>
      </c>
      <c r="AF283" s="47">
        <f ca="1">IF(AC283,('模拟-单技能数据'!$D$20+G283*'模拟-单技能数据'!$F$20)*(1+J283)*(1+'模拟-单技能数据'!$J$20)*(1+U283),0)</f>
        <v>0</v>
      </c>
      <c r="AG283" s="61">
        <f t="shared" ca="1" si="247"/>
        <v>0.64185145527300214</v>
      </c>
      <c r="AH283" s="61">
        <f t="shared" ca="1" si="248"/>
        <v>2.2624828854998791</v>
      </c>
      <c r="AI283" s="62">
        <f t="shared" ca="1" si="214"/>
        <v>0.98179208036251109</v>
      </c>
      <c r="AJ283" s="47">
        <f ca="1">IF(AD283,IF(AI283&lt;$F$10,0,IF(AI283&lt;$F$10+$F$11,0.25,IF(AI283&lt;$F$10+$F$11+AG283,AH283,1)))*IF(AF283&gt;0,AF283,IF(AF282&gt;0,AF282,IF(AF281&gt;0,AF281,IF(AF280&gt;0,AF280,IF(AF279&gt;0,AF279,IF(AF278&gt;0,AF278,IF(AF277&gt;0,AF277,IF(AF276&gt;0,AF276,IF(AF275&gt;0,AF275,IF(AF273&gt;0,AF273,IF(AF272&gt;0,AF272,IF(AF271&gt;0,AF271,0)))))))))))),0)*(1-$S283)*'模拟-单技能数据'!$I$20</f>
        <v>0</v>
      </c>
      <c r="AK283" s="115" t="b">
        <f t="shared" ca="1" si="235"/>
        <v>0</v>
      </c>
      <c r="AL283" s="115" t="b">
        <f t="shared" ca="1" si="256"/>
        <v>1</v>
      </c>
      <c r="AM283" s="115">
        <f t="shared" ca="1" si="257"/>
        <v>3</v>
      </c>
      <c r="AN283" s="47">
        <f ca="1">IF(AK283,('模拟-单技能数据'!$D$21+G283*'模拟-单技能数据'!$F$21)*(1+J283)*(1+'模拟-单技能数据'!$J$21)*(1+U283),0)</f>
        <v>0</v>
      </c>
      <c r="AO283" s="61">
        <f ca="1">IF(AN283&gt;0,M283-'模拟-单技能数据'!$K$10,AO282)</f>
        <v>0.42185145527300216</v>
      </c>
      <c r="AP283" s="61">
        <f ca="1">IF(AN283&gt;0,I283-'模拟-单技能数据'!$L$10,AP282)</f>
        <v>2.162482885499879</v>
      </c>
      <c r="AQ283" s="63">
        <f t="shared" ca="1" si="215"/>
        <v>0.17593544792830662</v>
      </c>
      <c r="AR283" s="64">
        <f ca="1">IF(AL283,IF(AQ283&lt;$F$10,0,IF(AQ283&lt;$F$10+$F$11,0.25,IF(AQ283&lt;$F$10+$F$11+AO283,AP283,1)))*IF(AN283&gt;0,AN283,IF(AN282&gt;0,AN282,IF(AN281&gt;0,AN281,IF(AN280&gt;0,AN280,IF(AN279&gt;0,AN279,IF(AN278&gt;0,AN278,IF(AN277&gt;0,AN277,IF(AN276&gt;0,AN276,IF(AN275&gt;0,AN275,IF(AN273&gt;0,AN273,IF(AN272&gt;0,AN272,IF(AN271&gt;0,AN271,0)))))))))))),0)*(1-$S283)*'模拟-单技能数据'!$I$21</f>
        <v>24043.249177625272</v>
      </c>
      <c r="AS283" s="61">
        <f ca="1">IF(OR(C283="净世破魔击·日",C283="净世破魔击·月"),M283-'模拟-单技能数据'!$K$10,0)</f>
        <v>0</v>
      </c>
      <c r="AT283" s="61">
        <f ca="1">IF(OR(C283="净世破魔击·日",C283="净世破魔击·月"),I283-'模拟-单技能数据'!$L$10,0)</f>
        <v>0</v>
      </c>
      <c r="AU283" s="62">
        <f t="shared" ca="1" si="216"/>
        <v>0.69630901538373802</v>
      </c>
      <c r="AV283" s="64">
        <f ca="1">IF(AS283&gt;0,('模拟-单技能数据'!$D$22+G283*'模拟-单技能数据'!$F$22)*(1+J283)*(1-S283)*IF(AU283&lt;$F$10,0,IF(AU283&lt;$F$10+$F$11,0.25,IF(AU283&lt;$F$10+$F$11+AS283,AT283,1)))*(1+U283),0)*'模拟-单技能数据'!$I$22</f>
        <v>0</v>
      </c>
      <c r="AW283" s="108">
        <f t="shared" ca="1" si="217"/>
        <v>0</v>
      </c>
      <c r="AX283" s="108" t="b">
        <f ca="1">AND(模拟模式!$P$10="有",AW282=0,RAND()&lt;IF(C283="净世破魔击·月",0.1*8/3,IF(C283="净世破魔击·日",0.1*4/3,0.1*2/3)))</f>
        <v>0</v>
      </c>
      <c r="AY283" s="47">
        <f ca="1">IF(AX283,(18+G283*0.722)*(1+J283)*(1-S283)*(1+$I$4)*IF(P283="会",'模拟-全程加成'!$J$3+'模拟-全程加成'!$J$4+'模拟-全程加成'!$J$5+('模拟-全程加成'!$I$4+'模拟-全程加成'!$I$5)/系数!$B$4+BG283*10%,IF(P283="命",1,IF(P283="识",0.25,0))),0)</f>
        <v>0</v>
      </c>
      <c r="AZ283" s="108">
        <f t="shared" si="218"/>
        <v>7.0850000000000071</v>
      </c>
      <c r="BA283" s="108" t="b">
        <f>AND(模拟模式!$Q$10="有",AZ282=0)</f>
        <v>0</v>
      </c>
      <c r="BB283" s="140">
        <f>IF(BA283,(0+G283*0.287)*(1+J283)*(1-S283)*(1+$I$4)*IF(P283="会",'模拟-全程加成'!$J$3+'模拟-全程加成'!$J$4+'模拟-全程加成'!$J$5+('模拟-全程加成'!$I$4+'模拟-全程加成'!$I$5)/系数!$B$4+BG283*10%,IF(P283="命",1,IF(P283="识",0.25,0))),0)</f>
        <v>0</v>
      </c>
      <c r="BC283" s="115" t="b">
        <f ca="1">AND(模拟模式!$R$7="伏明众生",E283=60,F283=20,DA283&lt;5,CZ282&lt;$F$4)</f>
        <v>0</v>
      </c>
      <c r="BD283" s="115">
        <f t="shared" ca="1" si="236"/>
        <v>0</v>
      </c>
      <c r="BE283" s="115" t="b">
        <f t="shared" ca="1" si="237"/>
        <v>0</v>
      </c>
      <c r="BF283" s="47">
        <f ca="1">IF(BC283,4*('模拟-单技能数据'!$D$24+G283*'模拟-单技能数据'!$F$24)*(1+J283)*(1+'模拟-单技能数据'!$J$24)*(1-S283)*(1+$I$3)*(('模拟-全程加成'!$J$3+'模拟-全程加成'!$J$4+'模拟-全程加成'!$J$5+('模拟-全程加成'!$I$4+'模拟-全程加成'!$I$5)/系数!$B$4+BG283*10%)*('模拟-全程加成'!$J$3+'模拟-全程加成'!$J$4+'模拟-全程加成'!$J$5+('模拟-全程加成'!$I$4+'模拟-全程加成'!$I$5)/系数!$B$4+BG283*10%)+(1-('模拟-全程加成'!$J$3+'模拟-全程加成'!$J$4+'模拟-全程加成'!$J$5+('模拟-全程加成'!$I$4+'模拟-全程加成'!$I$5)/系数!$B$4+BG283*10%)-$F$10-$F$11)+F269*0.25),0)*'模拟-单技能数据'!$I$24</f>
        <v>0</v>
      </c>
      <c r="BG283" s="115" t="b">
        <f ca="1">OR(AND(OR(C283="烈日斩",C283="银月斩"),模拟模式!$I$7="净身明礼"),AND(C283="净世破魔击·日",模拟模式!$J$7="洞若观火"),AND(C284="净世破魔击·月",模拟模式!$J$7="洞若观火"),AB283=1)</f>
        <v>1</v>
      </c>
      <c r="BH283" s="115" t="b">
        <f t="shared" ca="1" si="219"/>
        <v>0</v>
      </c>
      <c r="BI283" s="115">
        <f t="shared" ca="1" si="238"/>
        <v>0</v>
      </c>
      <c r="BJ283" s="115" t="b">
        <f t="shared" ca="1" si="249"/>
        <v>0</v>
      </c>
      <c r="BK283" s="115" t="b">
        <f ca="1">AND(C283="驱夜断愁",模拟模式!$P$7="天地诛戮")</f>
        <v>0</v>
      </c>
      <c r="BL283" s="57">
        <f t="shared" ca="1" si="239"/>
        <v>19.077500000000001</v>
      </c>
      <c r="BM283" s="115" t="b">
        <f t="shared" ca="1" si="250"/>
        <v>1</v>
      </c>
      <c r="BN283" s="115" t="b">
        <f ca="1">AND(OR(C283="赤日轮1",C283="赤日轮2",C283="赤日轮3",C283="幽月轮1",C283="幽月轮2",C283="幽月轮3"),AB283=1,模拟模式!$L$7="明光恒照")</f>
        <v>0</v>
      </c>
      <c r="BO283" s="117">
        <f t="shared" ca="1" si="240"/>
        <v>27.232500000000002</v>
      </c>
      <c r="BP283" s="115">
        <f t="shared" ca="1" si="220"/>
        <v>6</v>
      </c>
      <c r="BQ283" s="115" t="b">
        <f>模拟模式!$K$10="2600·水"</f>
        <v>0</v>
      </c>
      <c r="BR283" s="117">
        <f t="shared" si="221"/>
        <v>0</v>
      </c>
      <c r="BS283" s="115">
        <f t="shared" si="222"/>
        <v>0</v>
      </c>
      <c r="BT283" s="115">
        <f t="shared" ca="1" si="223"/>
        <v>0</v>
      </c>
      <c r="BU283" s="115" t="b">
        <f ca="1">AND(模拟模式!$K$10="2300·雷",BT282=0,RAND()&lt;IF(C283="净世破魔击·月",5*0.05*2/3,IF(C283="净世破魔击·日",3*0.05*2/3,0.05*2*2/3)))</f>
        <v>0</v>
      </c>
      <c r="BV283" s="115">
        <f t="shared" ca="1" si="224"/>
        <v>0</v>
      </c>
      <c r="BW283" s="115">
        <f t="shared" ca="1" si="225"/>
        <v>135.71999999999935</v>
      </c>
      <c r="BX283" s="164" t="b">
        <f t="shared" ca="1" si="226"/>
        <v>0</v>
      </c>
      <c r="BY283" s="115">
        <f t="shared" ca="1" si="227"/>
        <v>0</v>
      </c>
      <c r="BZ283" s="115">
        <f>IF(OR(模拟模式!$P$16="10人团",模拟模式!$P$16="25人团"),IF(B283/30&gt;CA282,1,0),0)</f>
        <v>0</v>
      </c>
      <c r="CA283" s="115">
        <f t="shared" si="203"/>
        <v>0</v>
      </c>
      <c r="CB283" s="115">
        <f ca="1">IF(BZ283=1,IF(模拟模式!$P$16="10人团",15,0)+IF(模拟模式!$P$16="25人团",IF(RAND()&lt;0.6,15,0)),MAX(0,CB282-$F$4))</f>
        <v>0</v>
      </c>
      <c r="CC283" s="115" t="b">
        <f t="shared" ca="1" si="251"/>
        <v>0</v>
      </c>
      <c r="CD283" s="115">
        <f>IF(模拟模式!$Q$16="1个",IF(B283/40&gt;CE282,1,0),0)</f>
        <v>0</v>
      </c>
      <c r="CE283" s="115">
        <f t="shared" si="252"/>
        <v>0</v>
      </c>
      <c r="CF283" s="115">
        <f>IF(OR(CD283=1,模拟模式!$Q$16="2个"),20,MAX(0,CF282-$F$4))</f>
        <v>0</v>
      </c>
      <c r="CG283" s="115" t="b">
        <f t="shared" si="253"/>
        <v>0</v>
      </c>
      <c r="CH283" s="115">
        <f t="shared" ca="1" si="228"/>
        <v>0</v>
      </c>
      <c r="CI283" s="115" t="b">
        <f t="shared" ca="1" si="229"/>
        <v>0</v>
      </c>
      <c r="CJ283" s="119">
        <f t="shared" ca="1" si="230"/>
        <v>0</v>
      </c>
      <c r="CK283" s="115">
        <f t="shared" ca="1" si="231"/>
        <v>0</v>
      </c>
      <c r="CL283" s="115" t="b">
        <f ca="1">AND(模拟模式!$S$7="驱夷逐法",OR(AND(C283="净世破魔击·月",E282&gt;59),AND(C283="净世破魔击·日",F282&gt;59)))</f>
        <v>0</v>
      </c>
      <c r="CM283" s="115" t="b">
        <f ca="1">OR(CL283,AND(C283="净世破魔击·日",CL282,RAND()&lt;模拟模式!$U$23))</f>
        <v>0</v>
      </c>
      <c r="CN283" s="115" t="b">
        <f ca="1">IF(模拟模式!$M$7="辉耀红尘",AND(C283="净世破魔击·月",CL283,CV283=0,E282&lt;80),AND(C283="净世破魔击·月",CL283,E282&lt;100))</f>
        <v>0</v>
      </c>
      <c r="CO283" s="115" t="b">
        <f t="shared" ca="1" si="204"/>
        <v>0</v>
      </c>
      <c r="CP283" s="115" t="b">
        <f ca="1">AND(模拟模式!$O$7="用晦而明",OR(C283="净世破魔击·日",C283="净世破魔击·月",C283="驱夜断愁"),AB283)</f>
        <v>0</v>
      </c>
      <c r="CQ283" s="115" t="b">
        <f ca="1">OR(CP283,AND(CP282,RAND()&lt;模拟模式!$U$23))</f>
        <v>1</v>
      </c>
      <c r="CR283" s="115" t="b">
        <f ca="1">AND(模拟模式!$S$7="日月齐光",OR(C283="幽月轮1",C283="幽月轮2",C283="幽月轮3",CR282),NOT(OR(C283="赤日轮1",C283="赤日轮2",C283="赤日轮3")))</f>
        <v>0</v>
      </c>
      <c r="CS283" s="115" t="b">
        <f ca="1">AND(模拟模式!$S$7="日月齐光",OR(C283="赤日轮1",C283="赤日轮2",C283="赤日轮3",CS282),NOT(OR(C283="幽月轮1",C283="幽月轮2",C283="幽月轮3")))</f>
        <v>0</v>
      </c>
      <c r="CT283" s="115">
        <f t="shared" ca="1" si="232"/>
        <v>1.4025000000000118</v>
      </c>
      <c r="CU283" s="115" t="b">
        <f ca="1">AND(模拟模式!$K$10="阴阳往极",CT282=0,RAND()&lt;IF(C283="净世破魔击·月",0.0275*7/3,IF(C283="净世破魔击·日",0.0275*3/3,0.0275*2/3)))</f>
        <v>0</v>
      </c>
      <c r="CV283" s="115">
        <f t="shared" ca="1" si="233"/>
        <v>0</v>
      </c>
      <c r="CW283" s="115">
        <f t="shared" ca="1" si="205"/>
        <v>6</v>
      </c>
      <c r="CX283" s="115">
        <f t="shared" ca="1" si="206"/>
        <v>4.1549999999999994</v>
      </c>
      <c r="CY283" s="115">
        <f ca="1">MAX(IF($C283="驱夜断愁",IF(模拟模式!$R$7="万念俱寂",6,45),CY282-$F$4),0)</f>
        <v>5.0774999999999997</v>
      </c>
      <c r="CZ283" s="115">
        <f t="shared" ca="1" si="207"/>
        <v>0</v>
      </c>
      <c r="DA283" s="115">
        <f ca="1">IF(模拟模式!$N$7="日月同辉",IF(DB282=2,0,MIN(6,IF(AND(OR(C283="赤日轮1",C283="赤日轮2",C283="赤日轮3",C283="幽月轮1",C283="幽月轮2",C283="幽月轮3"),AB283=1),DA282+1,DA282))),0)</f>
        <v>4</v>
      </c>
      <c r="DB283" s="115">
        <f t="shared" ca="1" si="208"/>
        <v>0</v>
      </c>
      <c r="DC283" s="115"/>
      <c r="DD283" s="115"/>
      <c r="DE283" s="115"/>
      <c r="DF283" s="115"/>
      <c r="DG283" s="115"/>
      <c r="DH283" s="115"/>
      <c r="DI283" s="115"/>
      <c r="DJ283" s="115"/>
      <c r="DK283" s="115"/>
      <c r="DL283" s="115"/>
      <c r="DM283" s="115"/>
    </row>
    <row r="284" spans="2:117" x14ac:dyDescent="0.2">
      <c r="B284" s="117">
        <f t="shared" si="209"/>
        <v>237.08250000000155</v>
      </c>
      <c r="C284" s="167" t="str">
        <f t="shared" ref="C284:C347" ca="1" si="258">IF(F283=100,"净世破魔击·月",IF(E283=100,"净世破魔击·日",IF(E283&lt;20,IF(C283="赤日轮1","赤日轮2",IF(C283="赤日轮2","赤日轮3","赤日轮1")),IF(AND(E283&gt;19,F283&lt;44,CX283&lt;$F$4),"银月斩",IF(AND(E283&lt;40,CY283&lt;$F$4),"驱夜断愁",IF(AND(E283&lt;60,CW283&lt;$F$4),"烈日斩",IF(C283="幽月轮1","幽月轮2",IF(C283="幽月轮2","幽月轮3","幽月轮1"))))))))</f>
        <v>幽月轮1</v>
      </c>
      <c r="D284" s="115">
        <f ca="1">IF(C284="赤日轮1",1,IF(C284="赤日轮2",2,IF(C284="赤日轮3",3,IF(C284="幽月轮1",4,IF(C284="幽月轮2",5,IF(C284="幽月轮3",6,IF(C284="烈日斩",7,IF(C284="银月斩",8,IF(C284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284="净世破魔击·月",17,IF(C284="驱夜断愁",18,0)))))))))))</f>
        <v>4</v>
      </c>
      <c r="E284" s="115">
        <f ca="1">IF(AND(CU284,OR(C284="幽月轮1",C284="幽月轮2",C284="幽月轮3",C284="银月斩",C284="驱夜断愁",C284="净世破魔击·月")),100,MIN(IF(OR(CN284,BE284),0,IF(OR($C284="赤日轮1",$C284="赤日轮2",$C284="赤日轮3"),E283+20+IF(模拟模式!$I$7="日月凌天",4,0)+IF(CR283,20,0),IF($C284="烈日斩",E283+40,IF($C284="驱夜断愁",IF(模拟模式!$R$7="万念俱寂",E283+20,E283+60),IF($C284="净世破魔击·月",IF(OR(DB283&gt;0,CV283&gt;0),100,IF(模拟模式!$M$7="辉耀红尘",E283+20,E283)),IF($C284="净世破魔击·日",E283-100,E283)))))),100))</f>
        <v>80</v>
      </c>
      <c r="F284" s="115">
        <f ca="1">IF(AND(CU284,OR(C284="赤日轮1",C284="赤日轮2",C284="赤日轮3",C284="烈日斩",C284="净世破魔击·日")),100,MIN(IF(CO284,0,IF(OR($C284="幽月轮1",$C284="幽月轮2",$C284="幽月轮3"),F283+20+IF(模拟模式!$I$7="日月凌天",4,0)+IF(CS283,20,0),IF($C284="银月斩",F283+40+IF(模拟模式!$X$12=1,5,0),IF($C284="驱夜断愁",IF(模拟模式!$R$7="万念俱寂",F283+20,F283+60),IF($C284="净世破魔击·月",IF(模拟模式!$M$7="辉耀红尘",F283-80,F283-100),IF(AND(C284="净世破魔击·日",OR(DB283&gt;0,CV283&gt;0)),100,F283)))))),100))</f>
        <v>100</v>
      </c>
      <c r="G284" s="117">
        <f ca="1">('模拟-全程加成'!$E$3+'模拟-全程加成'!$E$4+'模拟-全程加成'!$E$5+('模拟-全程加成'!$C$6-'模拟-全程加成'!$C$3)*系数!$B$9+BS284*23)*(1+'模拟-全程加成'!$F$4+'模拟-全程加成'!$F$5+BJ284*10%+BM284*20%+BP284*4%+CG284*30%)+$F$7*系数!$B$12</f>
        <v>20583.127400000001</v>
      </c>
      <c r="H284" s="45">
        <f ca="1">'模拟-全程加成'!$H$3+'模拟-全程加成'!$H$4+'模拟-全程加成'!$H$5+('模拟-全程加成'!$G$4+'模拟-全程加成'!$G$5+('模拟-全程加成'!$C$6-'模拟-全程加成'!$C$3)*系数!$B$13)/系数!$B$3+LOOKUP(D284,'模拟-单技能数据'!$A$2:$A$19,'模拟-单技能数据'!$K$2:$K$19)+BG284*10%+IF(BV284&gt;0,378,0)</f>
        <v>0.51185145527300213</v>
      </c>
      <c r="I284" s="45">
        <f ca="1">'模拟-全程加成'!$J$3+'模拟-全程加成'!$J$4+'模拟-全程加成'!$J$5+('模拟-全程加成'!$I$4+'模拟-全程加成'!$I$5)/系数!$B$4+LOOKUP(D284,'模拟-单技能数据'!$A$2:$A$19,'模拟-单技能数据'!$L$2:$L$19)+BG284*10%</f>
        <v>2.162482885499879</v>
      </c>
      <c r="J284" s="45">
        <f ca="1">(('模拟-全程加成'!$K$3+'模拟-全程加成'!$K$4+'模拟-全程加成'!$K$5+('模拟-全程加成'!$C$6-'模拟-全程加成'!$C$3)*系数!$B$10+IF(BV284&gt;0,882,0)+IF(BY284&gt;0,1831,0))*(1+'模拟-全程加成'!$L$4+'模拟-全程加成'!$L$5+CC284*20%))/系数!$B$5</f>
        <v>0.69723220422048726</v>
      </c>
      <c r="K284" s="119">
        <f ca="1">LOOKUP(D284,'模拟-单技能数据'!$A$2:$A$19,'模拟-单技能数据'!$J$2:$J$19)+IF(CM284,60%,0)+IF(DB283-DB284&gt;0,30%,0)+IF(OR(AND(OR(C284="赤日轮1",C284="赤日轮2",C284="赤日轮3"),CR284),AND(OR(C284="幽月轮1",C284="幽月轮2",C284="幽月轮3"),CS284)),35%,0)+CJ284</f>
        <v>7.0000000000000007E-2</v>
      </c>
      <c r="L284" s="119">
        <f ca="1">IF(AND(C284="烈日斩",模拟模式!$X$11=1),10%,0)+IF(AND(C284="驱夜断愁",AB284=1),30%,0)</f>
        <v>0</v>
      </c>
      <c r="M284" s="45">
        <f t="shared" ca="1" si="241"/>
        <v>0.51185145527300213</v>
      </c>
      <c r="N284" s="45">
        <f t="shared" ca="1" si="242"/>
        <v>0.43424854472699792</v>
      </c>
      <c r="O284" s="46">
        <f t="shared" ca="1" si="210"/>
        <v>3.1539855995593835E-2</v>
      </c>
      <c r="P284" s="46" t="str">
        <f t="shared" ca="1" si="211"/>
        <v>识</v>
      </c>
      <c r="Q284" s="45">
        <f t="shared" ca="1" si="212"/>
        <v>0.25</v>
      </c>
      <c r="R284" s="117">
        <f ca="1">模拟模式!$E$20*(1-IF(模拟模式!$J$19="有",0.15,0))*(1-IF(模拟模式!$K$19="有",0.3,0)-IF(CQ284,0.5,0))</f>
        <v>2950.6049999999996</v>
      </c>
      <c r="S284" s="45">
        <f ca="1">R284/(R284+(185*模拟模式!$E$22-16800)*4.08224)</f>
        <v>0.24272716014590323</v>
      </c>
      <c r="T284" s="45" t="str">
        <f ca="1">LOOKUP(D284,'模拟-单技能数据'!$A$2:$A$19,'模拟-单技能数据'!$H$2:$H$19)</f>
        <v>阴</v>
      </c>
      <c r="U284" s="119">
        <f t="shared" ca="1" si="243"/>
        <v>0.08</v>
      </c>
      <c r="V284" s="47">
        <f ca="1">(1+L284)*(LOOKUP(D284,'模拟-单技能数据'!$A$2:$A$19,'模拟-单技能数据'!$D$2:$D$19)+G284*LOOKUP(D284,'模拟-单技能数据'!$A$2:$A$19,'模拟-单技能数据'!$F$2:$F$19))*(1+J284)*(1+K284)*(1-S284)*(1+U284)*Q284*LOOKUP(D284,'模拟-单技能数据'!$A$2:$A$19,'模拟-单技能数据'!$I$2:$I$20)</f>
        <v>4056.5545750795727</v>
      </c>
      <c r="W284" s="47">
        <f ca="1">LOOKUP(D284,'模拟-单技能数据'!$A$2:$A$19,'模拟-单技能数据'!$G$2:$G$19)*$I$10</f>
        <v>361.51064354704795</v>
      </c>
      <c r="X284" s="47">
        <f t="shared" ca="1" si="213"/>
        <v>7620.5875385322679</v>
      </c>
      <c r="Y284" s="47">
        <f t="shared" ca="1" si="244"/>
        <v>12038.652757158889</v>
      </c>
      <c r="Z284" s="49">
        <f t="shared" ca="1" si="245"/>
        <v>27094348.859623566</v>
      </c>
      <c r="AA284" s="97">
        <f t="shared" ca="1" si="246"/>
        <v>114282.36525101343</v>
      </c>
      <c r="AB284" s="115">
        <f ca="1">IF(OR(C284="赤日轮1",C284="赤日轮2",C284="赤日轮3"),IF(RAND()&lt;模拟模式!$Y$17,1,0),IF(OR(C284="幽月轮1",C284="幽月轮2",C284="幽月轮3"),IF(RAND()&lt;模拟模式!$Y$18,1,0),IF(C284="烈日斩",IF(RAND()&lt;模拟模式!$Y$19,1,0),IF(C284="银月斩",IF(RAND()&lt;模拟模式!$Y$20,1,0),IF(C284="驱夜断愁",IF(RAND()&lt;模拟模式!$Y$21,1,0),IF(C284="净世破魔击·日",IF(RAND()&lt;模拟模式!$Y$22,1,0),IF(C284="净世破魔击·月",IF(RAND()&lt;模拟模式!$Y$23,1,0),0)))))))</f>
        <v>1</v>
      </c>
      <c r="AC284" s="115" t="b">
        <f t="shared" ca="1" si="234"/>
        <v>0</v>
      </c>
      <c r="AD284" s="115" t="b">
        <f t="shared" ca="1" si="254"/>
        <v>1</v>
      </c>
      <c r="AE284" s="115">
        <f t="shared" ca="1" si="255"/>
        <v>4</v>
      </c>
      <c r="AF284" s="47">
        <f ca="1">IF(AC284,('模拟-单技能数据'!$D$20+G284*'模拟-单技能数据'!$F$20)*(1+J284)*(1+'模拟-单技能数据'!$J$20)*(1+U284),0)</f>
        <v>0</v>
      </c>
      <c r="AG284" s="61">
        <f t="shared" ca="1" si="247"/>
        <v>0.64185145527300214</v>
      </c>
      <c r="AH284" s="61">
        <f t="shared" ca="1" si="248"/>
        <v>2.2624828854998791</v>
      </c>
      <c r="AI284" s="62">
        <f t="shared" ca="1" si="214"/>
        <v>0.21450087315091326</v>
      </c>
      <c r="AJ284" s="47">
        <f ca="1">IF(AD284,IF(AI284&lt;$F$10,0,IF(AI284&lt;$F$10+$F$11,0.25,IF(AI284&lt;$F$10+$F$11+AG284,AH284,1)))*IF(AF284&gt;0,AF284,IF(AF283&gt;0,AF283,IF(AF282&gt;0,AF282,IF(AF281&gt;0,AF281,IF(AF280&gt;0,AF280,IF(AF279&gt;0,AF279,IF(AF278&gt;0,AF278,IF(AF277&gt;0,AF277,IF(AF276&gt;0,AF276,IF(AF274&gt;0,AF274,IF(AF273&gt;0,AF273,IF(AF272&gt;0,AF272,0)))))))))))),0)*(1-$S284)*'模拟-单技能数据'!$I$20</f>
        <v>7620.5875385322679</v>
      </c>
      <c r="AK284" s="115" t="b">
        <f t="shared" ca="1" si="235"/>
        <v>0</v>
      </c>
      <c r="AL284" s="115" t="b">
        <f t="shared" ca="1" si="256"/>
        <v>0</v>
      </c>
      <c r="AM284" s="115">
        <f t="shared" ca="1" si="257"/>
        <v>3</v>
      </c>
      <c r="AN284" s="47">
        <f ca="1">IF(AK284,('模拟-单技能数据'!$D$21+G284*'模拟-单技能数据'!$F$21)*(1+J284)*(1+'模拟-单技能数据'!$J$21)*(1+U284),0)</f>
        <v>0</v>
      </c>
      <c r="AO284" s="61">
        <f ca="1">IF(AN284&gt;0,M284-'模拟-单技能数据'!$K$10,AO283)</f>
        <v>0.42185145527300216</v>
      </c>
      <c r="AP284" s="61">
        <f ca="1">IF(AN284&gt;0,I284-'模拟-单技能数据'!$L$10,AP283)</f>
        <v>2.162482885499879</v>
      </c>
      <c r="AQ284" s="63">
        <f t="shared" ca="1" si="215"/>
        <v>0.69732834043162328</v>
      </c>
      <c r="AR284" s="64">
        <f ca="1">IF(AL284,IF(AQ284&lt;$F$10,0,IF(AQ284&lt;$F$10+$F$11,0.25,IF(AQ284&lt;$F$10+$F$11+AO284,AP284,1)))*IF(AN284&gt;0,AN284,IF(AN283&gt;0,AN283,IF(AN282&gt;0,AN282,IF(AN281&gt;0,AN281,IF(AN280&gt;0,AN280,IF(AN279&gt;0,AN279,IF(AN278&gt;0,AN278,IF(AN277&gt;0,AN277,IF(AN276&gt;0,AN276,IF(AN274&gt;0,AN274,IF(AN273&gt;0,AN273,IF(AN272&gt;0,AN272,0)))))))))))),0)*(1-$S284)*'模拟-单技能数据'!$I$21</f>
        <v>0</v>
      </c>
      <c r="AS284" s="61">
        <f ca="1">IF(OR(C284="净世破魔击·日",C284="净世破魔击·月"),M284-'模拟-单技能数据'!$K$10,0)</f>
        <v>0</v>
      </c>
      <c r="AT284" s="61">
        <f ca="1">IF(OR(C284="净世破魔击·日",C284="净世破魔击·月"),I284-'模拟-单技能数据'!$L$10,0)</f>
        <v>0</v>
      </c>
      <c r="AU284" s="62">
        <f t="shared" ca="1" si="216"/>
        <v>0.64035089404890233</v>
      </c>
      <c r="AV284" s="64">
        <f ca="1">IF(AS284&gt;0,('模拟-单技能数据'!$D$22+G284*'模拟-单技能数据'!$F$22)*(1+J284)*(1-S284)*IF(AU284&lt;$F$10,0,IF(AU284&lt;$F$10+$F$11,0.25,IF(AU284&lt;$F$10+$F$11+AS284,AT284,1)))*(1+U284),0)*'模拟-单技能数据'!$I$22</f>
        <v>0</v>
      </c>
      <c r="AW284" s="108">
        <f t="shared" ca="1" si="217"/>
        <v>0</v>
      </c>
      <c r="AX284" s="108" t="b">
        <f ca="1">AND(模拟模式!$P$10="有",AW283=0,RAND()&lt;IF(C284="净世破魔击·月",0.1*8/3,IF(C284="净世破魔击·日",0.1*4/3,0.1*2/3)))</f>
        <v>0</v>
      </c>
      <c r="AY284" s="47">
        <f ca="1">IF(AX284,(18+G284*0.722)*(1+J284)*(1-S284)*(1+$I$4)*IF(P284="会",'模拟-全程加成'!$J$3+'模拟-全程加成'!$J$4+'模拟-全程加成'!$J$5+('模拟-全程加成'!$I$4+'模拟-全程加成'!$I$5)/系数!$B$4+BG284*10%,IF(P284="命",1,IF(P284="识",0.25,0))),0)</f>
        <v>0</v>
      </c>
      <c r="AZ284" s="108">
        <f t="shared" si="218"/>
        <v>6.1625000000000068</v>
      </c>
      <c r="BA284" s="108" t="b">
        <f>AND(模拟模式!$Q$10="有",AZ283=0)</f>
        <v>0</v>
      </c>
      <c r="BB284" s="140">
        <f>IF(BA284,(0+G284*0.287)*(1+J284)*(1-S284)*(1+$I$4)*IF(P284="会",'模拟-全程加成'!$J$3+'模拟-全程加成'!$J$4+'模拟-全程加成'!$J$5+('模拟-全程加成'!$I$4+'模拟-全程加成'!$I$5)/系数!$B$4+BG284*10%,IF(P284="命",1,IF(P284="识",0.25,0))),0)</f>
        <v>0</v>
      </c>
      <c r="BC284" s="115" t="b">
        <f ca="1">AND(模拟模式!$R$7="伏明众生",E284=60,F284=20,DA284&lt;5,CZ283&lt;$F$4)</f>
        <v>0</v>
      </c>
      <c r="BD284" s="115">
        <f t="shared" ca="1" si="236"/>
        <v>0</v>
      </c>
      <c r="BE284" s="115" t="b">
        <f t="shared" ca="1" si="237"/>
        <v>0</v>
      </c>
      <c r="BF284" s="47">
        <f ca="1">IF(BC284,4*('模拟-单技能数据'!$D$24+G284*'模拟-单技能数据'!$F$24)*(1+J284)*(1+'模拟-单技能数据'!$J$24)*(1-S284)*(1+$I$3)*(('模拟-全程加成'!$J$3+'模拟-全程加成'!$J$4+'模拟-全程加成'!$J$5+('模拟-全程加成'!$I$4+'模拟-全程加成'!$I$5)/系数!$B$4+BG284*10%)*('模拟-全程加成'!$J$3+'模拟-全程加成'!$J$4+'模拟-全程加成'!$J$5+('模拟-全程加成'!$I$4+'模拟-全程加成'!$I$5)/系数!$B$4+BG284*10%)+(1-('模拟-全程加成'!$J$3+'模拟-全程加成'!$J$4+'模拟-全程加成'!$J$5+('模拟-全程加成'!$I$4+'模拟-全程加成'!$I$5)/系数!$B$4+BG284*10%)-$F$10-$F$11)+F270*0.25),0)*'模拟-单技能数据'!$I$24</f>
        <v>0</v>
      </c>
      <c r="BG284" s="115" t="b">
        <f ca="1">OR(AND(OR(C284="烈日斩",C284="银月斩"),模拟模式!$I$7="净身明礼"),AND(C284="净世破魔击·日",模拟模式!$J$7="洞若观火"),AND(C285="净世破魔击·月",模拟模式!$J$7="洞若观火"),AB284=1)</f>
        <v>1</v>
      </c>
      <c r="BH284" s="115" t="b">
        <f t="shared" ca="1" si="219"/>
        <v>0</v>
      </c>
      <c r="BI284" s="115">
        <f t="shared" ca="1" si="238"/>
        <v>0</v>
      </c>
      <c r="BJ284" s="115" t="b">
        <f t="shared" ca="1" si="249"/>
        <v>0</v>
      </c>
      <c r="BK284" s="115" t="b">
        <f ca="1">AND(C284="驱夜断愁",模拟模式!$P$7="天地诛戮")</f>
        <v>0</v>
      </c>
      <c r="BL284" s="57">
        <f t="shared" ca="1" si="239"/>
        <v>18.155000000000001</v>
      </c>
      <c r="BM284" s="115" t="b">
        <f t="shared" ca="1" si="250"/>
        <v>1</v>
      </c>
      <c r="BN284" s="115" t="b">
        <f ca="1">AND(OR(C284="赤日轮1",C284="赤日轮2",C284="赤日轮3",C284="幽月轮1",C284="幽月轮2",C284="幽月轮3"),AB284=1,模拟模式!$L$7="明光恒照")</f>
        <v>1</v>
      </c>
      <c r="BO284" s="117">
        <f t="shared" ca="1" si="240"/>
        <v>30</v>
      </c>
      <c r="BP284" s="115">
        <f t="shared" ca="1" si="220"/>
        <v>6</v>
      </c>
      <c r="BQ284" s="115" t="b">
        <f>模拟模式!$K$10="2600·水"</f>
        <v>0</v>
      </c>
      <c r="BR284" s="117">
        <f t="shared" si="221"/>
        <v>0</v>
      </c>
      <c r="BS284" s="115">
        <f t="shared" si="222"/>
        <v>0</v>
      </c>
      <c r="BT284" s="115">
        <f t="shared" ca="1" si="223"/>
        <v>0</v>
      </c>
      <c r="BU284" s="115" t="b">
        <f ca="1">AND(模拟模式!$K$10="2300·雷",BT283=0,RAND()&lt;IF(C284="净世破魔击·月",5*0.05*2/3,IF(C284="净世破魔击·日",3*0.05*2/3,0.05*2*2/3)))</f>
        <v>0</v>
      </c>
      <c r="BV284" s="115">
        <f t="shared" ca="1" si="224"/>
        <v>0</v>
      </c>
      <c r="BW284" s="115">
        <f t="shared" ca="1" si="225"/>
        <v>134.79749999999933</v>
      </c>
      <c r="BX284" s="164" t="b">
        <f t="shared" ca="1" si="226"/>
        <v>0</v>
      </c>
      <c r="BY284" s="115">
        <f t="shared" ca="1" si="227"/>
        <v>0</v>
      </c>
      <c r="BZ284" s="115">
        <f>IF(OR(模拟模式!$P$16="10人团",模拟模式!$P$16="25人团"),IF(B284/30&gt;CA283,1,0),0)</f>
        <v>0</v>
      </c>
      <c r="CA284" s="115">
        <f t="shared" ref="CA284:CA347" si="259">CA283+BZ284</f>
        <v>0</v>
      </c>
      <c r="CB284" s="115">
        <f ca="1">IF(BZ284=1,IF(模拟模式!$P$16="10人团",15,0)+IF(模拟模式!$P$16="25人团",IF(RAND()&lt;0.6,15,0)),MAX(0,CB283-$F$4))</f>
        <v>0</v>
      </c>
      <c r="CC284" s="115" t="b">
        <f t="shared" ca="1" si="251"/>
        <v>0</v>
      </c>
      <c r="CD284" s="115">
        <f>IF(模拟模式!$Q$16="1个",IF(B284/40&gt;CE283,1,0),0)</f>
        <v>0</v>
      </c>
      <c r="CE284" s="115">
        <f t="shared" si="252"/>
        <v>0</v>
      </c>
      <c r="CF284" s="115">
        <f>IF(OR(CD284=1,模拟模式!$Q$16="2个"),20,MAX(0,CF283-$F$4))</f>
        <v>0</v>
      </c>
      <c r="CG284" s="115" t="b">
        <f t="shared" si="253"/>
        <v>0</v>
      </c>
      <c r="CH284" s="115">
        <f t="shared" ca="1" si="228"/>
        <v>0</v>
      </c>
      <c r="CI284" s="115" t="b">
        <f t="shared" ca="1" si="229"/>
        <v>0</v>
      </c>
      <c r="CJ284" s="119">
        <f t="shared" ca="1" si="230"/>
        <v>0</v>
      </c>
      <c r="CK284" s="115">
        <f t="shared" ca="1" si="231"/>
        <v>0</v>
      </c>
      <c r="CL284" s="115" t="b">
        <f ca="1">AND(模拟模式!$S$7="驱夷逐法",OR(AND(C284="净世破魔击·月",E283&gt;59),AND(C284="净世破魔击·日",F283&gt;59)))</f>
        <v>0</v>
      </c>
      <c r="CM284" s="115" t="b">
        <f ca="1">OR(CL284,AND(C284="净世破魔击·日",CL283,RAND()&lt;模拟模式!$U$23))</f>
        <v>0</v>
      </c>
      <c r="CN284" s="115" t="b">
        <f ca="1">IF(模拟模式!$M$7="辉耀红尘",AND(C284="净世破魔击·月",CL284,CV284=0,E283&lt;80),AND(C284="净世破魔击·月",CL284,E283&lt;100))</f>
        <v>0</v>
      </c>
      <c r="CO284" s="115" t="b">
        <f t="shared" ref="CO284:CO347" ca="1" si="260">AND(C284="净世破魔击·日",CL284,CV284=0)</f>
        <v>0</v>
      </c>
      <c r="CP284" s="115" t="b">
        <f ca="1">AND(模拟模式!$O$7="用晦而明",OR(C284="净世破魔击·日",C284="净世破魔击·月",C284="驱夜断愁"),AB284)</f>
        <v>0</v>
      </c>
      <c r="CQ284" s="115" t="b">
        <f ca="1">OR(CP284,AND(CP283,RAND()&lt;模拟模式!$U$23))</f>
        <v>0</v>
      </c>
      <c r="CR284" s="115" t="b">
        <f ca="1">AND(模拟模式!$S$7="日月齐光",OR(C284="幽月轮1",C284="幽月轮2",C284="幽月轮3",CR283),NOT(OR(C284="赤日轮1",C284="赤日轮2",C284="赤日轮3")))</f>
        <v>0</v>
      </c>
      <c r="CS284" s="115" t="b">
        <f ca="1">AND(模拟模式!$S$7="日月齐光",OR(C284="赤日轮1",C284="赤日轮2",C284="赤日轮3",CS283),NOT(OR(C284="幽月轮1",C284="幽月轮2",C284="幽月轮3")))</f>
        <v>0</v>
      </c>
      <c r="CT284" s="115">
        <f t="shared" ca="1" si="232"/>
        <v>0.48000000000001186</v>
      </c>
      <c r="CU284" s="115" t="b">
        <f ca="1">AND(模拟模式!$K$10="阴阳往极",CT283=0,RAND()&lt;IF(C284="净世破魔击·月",0.0275*7/3,IF(C284="净世破魔击·日",0.0275*3/3,0.0275*2/3)))</f>
        <v>0</v>
      </c>
      <c r="CV284" s="115">
        <f t="shared" ca="1" si="233"/>
        <v>0</v>
      </c>
      <c r="CW284" s="115">
        <f t="shared" ref="CW284:CW347" ca="1" si="261">MAX(IF($C284="烈日斩",6,CW283-$F$4),0)</f>
        <v>5.0774999999999997</v>
      </c>
      <c r="CX284" s="115">
        <f t="shared" ref="CX284:CX347" ca="1" si="262">MAX(IF($C284="银月斩",6,CX283-$F$4),0)</f>
        <v>3.2324999999999995</v>
      </c>
      <c r="CY284" s="115">
        <f ca="1">MAX(IF($C284="驱夜断愁",IF(模拟模式!$R$7="万念俱寂",6,45),CY283-$F$4),0)</f>
        <v>4.1549999999999994</v>
      </c>
      <c r="CZ284" s="115">
        <f t="shared" ref="CZ284:CZ347" ca="1" si="263">IF(BC284,25,MAX(0,CZ283-$F$4))</f>
        <v>0</v>
      </c>
      <c r="DA284" s="115">
        <f ca="1">IF(模拟模式!$N$7="日月同辉",IF(DB283=2,0,MIN(6,IF(AND(OR(C284="赤日轮1",C284="赤日轮2",C284="赤日轮3",C284="幽月轮1",C284="幽月轮2",C284="幽月轮3"),AB284=1),DA283+1,DA283))),0)</f>
        <v>5</v>
      </c>
      <c r="DB284" s="115">
        <f t="shared" ref="DB284:DB347" ca="1" si="264">MAX(0,IF(DA284=6,2,IF(OR(C284="净世破魔击·月",C284="净世破魔击·日"),DB283-1,DB283)))</f>
        <v>0</v>
      </c>
      <c r="DC284" s="115"/>
      <c r="DD284" s="115"/>
      <c r="DE284" s="115"/>
      <c r="DF284" s="115"/>
      <c r="DG284" s="115"/>
      <c r="DH284" s="115"/>
      <c r="DI284" s="115"/>
      <c r="DJ284" s="115"/>
      <c r="DK284" s="115"/>
      <c r="DL284" s="115"/>
      <c r="DM284" s="115"/>
    </row>
    <row r="285" spans="2:117" x14ac:dyDescent="0.2">
      <c r="B285" s="117">
        <f t="shared" ref="B285:B348" si="265">B284+$F$4</f>
        <v>238.00500000000156</v>
      </c>
      <c r="C285" s="167" t="str">
        <f t="shared" ca="1" si="258"/>
        <v>净世破魔击·月</v>
      </c>
      <c r="D285" s="115">
        <f ca="1">IF(C285="赤日轮1",1,IF(C285="赤日轮2",2,IF(C285="赤日轮3",3,IF(C285="幽月轮1",4,IF(C285="幽月轮2",5,IF(C285="幽月轮3",6,IF(C285="烈日斩",7,IF(C285="银月斩",8,IF(C285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285="净世破魔击·月",17,IF(C285="驱夜断愁",18,0)))))))))))</f>
        <v>17</v>
      </c>
      <c r="E285" s="115">
        <f ca="1">IF(AND(CU285,OR(C285="幽月轮1",C285="幽月轮2",C285="幽月轮3",C285="银月斩",C285="驱夜断愁",C285="净世破魔击·月")),100,MIN(IF(OR(CN285,BE285),0,IF(OR($C285="赤日轮1",$C285="赤日轮2",$C285="赤日轮3"),E284+20+IF(模拟模式!$I$7="日月凌天",4,0)+IF(CR284,20,0),IF($C285="烈日斩",E284+40,IF($C285="驱夜断愁",IF(模拟模式!$R$7="万念俱寂",E284+20,E284+60),IF($C285="净世破魔击·月",IF(OR(DB284&gt;0,CV284&gt;0),100,IF(模拟模式!$M$7="辉耀红尘",E284+20,E284)),IF($C285="净世破魔击·日",E284-100,E284)))))),100))</f>
        <v>100</v>
      </c>
      <c r="F285" s="115">
        <f ca="1">IF(AND(CU285,OR(C285="赤日轮1",C285="赤日轮2",C285="赤日轮3",C285="烈日斩",C285="净世破魔击·日")),100,MIN(IF(CO285,0,IF(OR($C285="幽月轮1",$C285="幽月轮2",$C285="幽月轮3"),F284+20+IF(模拟模式!$I$7="日月凌天",4,0)+IF(CS284,20,0),IF($C285="银月斩",F284+40+IF(模拟模式!$X$12=1,5,0),IF($C285="驱夜断愁",IF(模拟模式!$R$7="万念俱寂",F284+20,F284+60),IF($C285="净世破魔击·月",IF(模拟模式!$M$7="辉耀红尘",F284-80,F284-100),IF(AND(C285="净世破魔击·日",OR(DB284&gt;0,CV284&gt;0)),100,F284)))))),100))</f>
        <v>20</v>
      </c>
      <c r="G285" s="117">
        <f ca="1">('模拟-全程加成'!$E$3+'模拟-全程加成'!$E$4+'模拟-全程加成'!$E$5+('模拟-全程加成'!$C$6-'模拟-全程加成'!$C$3)*系数!$B$9+BS285*23)*(1+'模拟-全程加成'!$F$4+'模拟-全程加成'!$F$5+BJ285*10%+BM285*20%+BP285*4%+CG285*30%)+$F$7*系数!$B$12</f>
        <v>20583.127400000001</v>
      </c>
      <c r="H285" s="45">
        <f ca="1">'模拟-全程加成'!$H$3+'模拟-全程加成'!$H$4+'模拟-全程加成'!$H$5+('模拟-全程加成'!$G$4+'模拟-全程加成'!$G$5+('模拟-全程加成'!$C$6-'模拟-全程加成'!$C$3)*系数!$B$13)/系数!$B$3+LOOKUP(D285,'模拟-单技能数据'!$A$2:$A$19,'模拟-单技能数据'!$K$2:$K$19)+BG285*10%+IF(BV285&gt;0,378,0)</f>
        <v>0.54185145527300216</v>
      </c>
      <c r="I285" s="45">
        <f ca="1">'模拟-全程加成'!$J$3+'模拟-全程加成'!$J$4+'模拟-全程加成'!$J$5+('模拟-全程加成'!$I$4+'模拟-全程加成'!$I$5)/系数!$B$4+LOOKUP(D285,'模拟-单技能数据'!$A$2:$A$19,'模拟-单技能数据'!$L$2:$L$19)+BG285*10%</f>
        <v>2.162482885499879</v>
      </c>
      <c r="J285" s="45">
        <f ca="1">(('模拟-全程加成'!$K$3+'模拟-全程加成'!$K$4+'模拟-全程加成'!$K$5+('模拟-全程加成'!$C$6-'模拟-全程加成'!$C$3)*系数!$B$10+IF(BV285&gt;0,882,0)+IF(BY285&gt;0,1831,0))*(1+'模拟-全程加成'!$L$4+'模拟-全程加成'!$L$5+CC285*20%))/系数!$B$5</f>
        <v>0.69723220422048726</v>
      </c>
      <c r="K285" s="119">
        <f ca="1">LOOKUP(D285,'模拟-单技能数据'!$A$2:$A$19,'模拟-单技能数据'!$J$2:$J$19)+IF(CM285,60%,0)+IF(DB284-DB285&gt;0,30%,0)+IF(OR(AND(OR(C285="赤日轮1",C285="赤日轮2",C285="赤日轮3"),CR285),AND(OR(C285="幽月轮1",C285="幽月轮2",C285="幽月轮3"),CS285)),35%,0)+CJ285</f>
        <v>0.81</v>
      </c>
      <c r="L285" s="119">
        <f ca="1">IF(AND(C285="烈日斩",模拟模式!$X$11=1),10%,0)+IF(AND(C285="驱夜断愁",AB285=1),30%,0)</f>
        <v>0</v>
      </c>
      <c r="M285" s="45">
        <f t="shared" ca="1" si="241"/>
        <v>0.54185145527300216</v>
      </c>
      <c r="N285" s="45">
        <f t="shared" ca="1" si="242"/>
        <v>0.40424854472699789</v>
      </c>
      <c r="O285" s="46">
        <f t="shared" ref="O285:O348" ca="1" si="266">RAND()</f>
        <v>4.5717176378001878E-2</v>
      </c>
      <c r="P285" s="46" t="str">
        <f t="shared" ref="P285:P348" ca="1" si="267">IF(O285&lt;$F$10,"偏",IF(O285&lt;$F$10+$F$11,"识",IF(O285&lt;$F$10+$F$11+H285,"会","命")))</f>
        <v>识</v>
      </c>
      <c r="Q285" s="45">
        <f t="shared" ref="Q285:Q348" ca="1" si="268">IF(P285="会",I285,IF(P285="命",1,IF(P285="识",0.25,0)))</f>
        <v>0.25</v>
      </c>
      <c r="R285" s="117">
        <f ca="1">模拟模式!$E$20*(1-IF(模拟模式!$J$19="有",0.15,0))*(1-IF(模拟模式!$K$19="有",0.3,0)-IF(CQ285,0.5,0))</f>
        <v>843.02999999999975</v>
      </c>
      <c r="S285" s="45">
        <f ca="1">R285/(R285+(185*模拟模式!$E$22-16800)*4.08224)</f>
        <v>8.389626085980037E-2</v>
      </c>
      <c r="T285" s="45" t="str">
        <f ca="1">LOOKUP(D285,'模拟-单技能数据'!$A$2:$A$19,'模拟-单技能数据'!$H$2:$H$19)</f>
        <v>阴</v>
      </c>
      <c r="U285" s="119">
        <f t="shared" ca="1" si="243"/>
        <v>0.08</v>
      </c>
      <c r="V285" s="47">
        <f ca="1">(1+L285)*(LOOKUP(D285,'模拟-单技能数据'!$A$2:$A$19,'模拟-单技能数据'!$D$2:$D$19)+G285*LOOKUP(D285,'模拟-单技能数据'!$A$2:$A$19,'模拟-单技能数据'!$F$2:$F$19))*(1+J285)*(1+K285)*(1-S285)*(1+U285)*Q285*LOOKUP(D285,'模拟-单技能数据'!$A$2:$A$19,'模拟-单技能数据'!$I$2:$I$20)</f>
        <v>20328.46736395008</v>
      </c>
      <c r="W285" s="47">
        <f ca="1">LOOKUP(D285,'模拟-单技能数据'!$A$2:$A$19,'模拟-单技能数据'!$G$2:$G$19)*$I$10</f>
        <v>361.51064354704795</v>
      </c>
      <c r="X285" s="47">
        <f t="shared" ref="X285:X348" ca="1" si="269">AJ285+AR285+AV285+BF285+AY285+BB285</f>
        <v>19274.53246050889</v>
      </c>
      <c r="Y285" s="47">
        <f t="shared" ca="1" si="244"/>
        <v>39964.510468006018</v>
      </c>
      <c r="Z285" s="49">
        <f t="shared" ca="1" si="245"/>
        <v>27134313.370091572</v>
      </c>
      <c r="AA285" s="97">
        <f t="shared" ca="1" si="246"/>
        <v>114007.32493053253</v>
      </c>
      <c r="AB285" s="115">
        <f ca="1">IF(OR(C285="赤日轮1",C285="赤日轮2",C285="赤日轮3"),IF(RAND()&lt;模拟模式!$Y$17,1,0),IF(OR(C285="幽月轮1",C285="幽月轮2",C285="幽月轮3"),IF(RAND()&lt;模拟模式!$Y$18,1,0),IF(C285="烈日斩",IF(RAND()&lt;模拟模式!$Y$19,1,0),IF(C285="银月斩",IF(RAND()&lt;模拟模式!$Y$20,1,0),IF(C285="驱夜断愁",IF(RAND()&lt;模拟模式!$Y$21,1,0),IF(C285="净世破魔击·日",IF(RAND()&lt;模拟模式!$Y$22,1,0),IF(C285="净世破魔击·月",IF(RAND()&lt;模拟模式!$Y$23,1,0),0)))))))</f>
        <v>1</v>
      </c>
      <c r="AC285" s="115" t="b">
        <f t="shared" ca="1" si="234"/>
        <v>0</v>
      </c>
      <c r="AD285" s="115" t="b">
        <f t="shared" ca="1" si="254"/>
        <v>0</v>
      </c>
      <c r="AE285" s="115">
        <f t="shared" ca="1" si="255"/>
        <v>4</v>
      </c>
      <c r="AF285" s="47">
        <f ca="1">IF(AC285,('模拟-单技能数据'!$D$20+G285*'模拟-单技能数据'!$F$20)*(1+J285)*(1+'模拟-单技能数据'!$J$20)*(1+U285),0)</f>
        <v>0</v>
      </c>
      <c r="AG285" s="61">
        <f t="shared" ca="1" si="247"/>
        <v>0.64185145527300214</v>
      </c>
      <c r="AH285" s="61">
        <f t="shared" ca="1" si="248"/>
        <v>2.2624828854998791</v>
      </c>
      <c r="AI285" s="62">
        <f t="shared" ref="AI285:AI348" ca="1" si="270">RAND()</f>
        <v>0.95208328860694857</v>
      </c>
      <c r="AJ285" s="47">
        <f ca="1">IF(AD285,IF(AI285&lt;$F$10,0,IF(AI285&lt;$F$10+$F$11,0.25,IF(AI285&lt;$F$10+$F$11+AG285,AH285,1)))*IF(AF285&gt;0,AF285,IF(AF284&gt;0,AF284,IF(AF283&gt;0,AF283,IF(AF282&gt;0,AF282,IF(AF281&gt;0,AF281,IF(AF280&gt;0,AF280,IF(AF279&gt;0,AF279,IF(AF278&gt;0,AF278,IF(AF277&gt;0,AF277,IF(AF275&gt;0,AF275,IF(AF274&gt;0,AF274,IF(AF273&gt;0,AF273,0)))))))))))),0)*(1-$S285)*'模拟-单技能数据'!$I$20</f>
        <v>0</v>
      </c>
      <c r="AK285" s="115" t="b">
        <f t="shared" ca="1" si="235"/>
        <v>0</v>
      </c>
      <c r="AL285" s="115" t="b">
        <f t="shared" ca="1" si="256"/>
        <v>1</v>
      </c>
      <c r="AM285" s="115">
        <f t="shared" ca="1" si="257"/>
        <v>2</v>
      </c>
      <c r="AN285" s="47">
        <f ca="1">IF(AK285,('模拟-单技能数据'!$D$21+G285*'模拟-单技能数据'!$F$21)*(1+J285)*(1+'模拟-单技能数据'!$J$21)*(1+U285),0)</f>
        <v>0</v>
      </c>
      <c r="AO285" s="61">
        <f ca="1">IF(AN285&gt;0,M285-'模拟-单技能数据'!$K$10,AO284)</f>
        <v>0.42185145527300216</v>
      </c>
      <c r="AP285" s="61">
        <f ca="1">IF(AN285&gt;0,I285-'模拟-单技能数据'!$L$10,AP284)</f>
        <v>2.162482885499879</v>
      </c>
      <c r="AQ285" s="63">
        <f t="shared" ref="AQ285:AQ348" ca="1" si="271">RAND()</f>
        <v>0.87692822262871251</v>
      </c>
      <c r="AR285" s="64">
        <f ca="1">IF(AL285,IF(AQ285&lt;$F$10,0,IF(AQ285&lt;$F$10+$F$11,0.25,IF(AQ285&lt;$F$10+$F$11+AO285,AP285,1)))*IF(AN285&gt;0,AN285,IF(AN284&gt;0,AN284,IF(AN283&gt;0,AN283,IF(AN282&gt;0,AN282,IF(AN281&gt;0,AN281,IF(AN280&gt;0,AN280,IF(AN279&gt;0,AN279,IF(AN278&gt;0,AN278,IF(AN277&gt;0,AN277,IF(AN275&gt;0,AN275,IF(AN274&gt;0,AN274,IF(AN273&gt;0,AN273,0)))))))))))),0)*(1-$S285)*'模拟-单技能数据'!$I$21</f>
        <v>11118.353508757338</v>
      </c>
      <c r="AS285" s="61">
        <f ca="1">IF(OR(C285="净世破魔击·日",C285="净世破魔击·月"),M285-'模拟-单技能数据'!$K$10,0)</f>
        <v>0.42185145527300216</v>
      </c>
      <c r="AT285" s="61">
        <f ca="1">IF(OR(C285="净世破魔击·日",C285="净世破魔击·月"),I285-'模拟-单技能数据'!$L$10,0)</f>
        <v>2.162482885499879</v>
      </c>
      <c r="AU285" s="62">
        <f t="shared" ref="AU285:AU348" ca="1" si="272">RAND()</f>
        <v>4.7848137111487388E-2</v>
      </c>
      <c r="AV285" s="64">
        <f ca="1">IF(AS285&gt;0,('模拟-单技能数据'!$D$22+G285*'模拟-单技能数据'!$F$22)*(1+J285)*(1-S285)*IF(AU285&lt;$F$10,0,IF(AU285&lt;$F$10+$F$11,0.25,IF(AU285&lt;$F$10+$F$11+AS285,AT285,1)))*(1+U285),0)*'模拟-单技能数据'!$I$22</f>
        <v>1909.8629380262123</v>
      </c>
      <c r="AW285" s="108">
        <f t="shared" ref="AW285:AW348" ca="1" si="273">IF(AX285,20-$F$4,MAX(AW284-$F$4,0))</f>
        <v>19.077500000000001</v>
      </c>
      <c r="AX285" s="108" t="b">
        <f ca="1">AND(模拟模式!$P$10="有",AW284=0,RAND()&lt;IF(C285="净世破魔击·月",0.1*8/3,IF(C285="净世破魔击·日",0.1*4/3,0.1*2/3)))</f>
        <v>1</v>
      </c>
      <c r="AY285" s="47">
        <f ca="1">IF(AX285,(18+G285*0.722)*(1+J285)*(1-S285)*(1+$I$4)*IF(P285="会",'模拟-全程加成'!$J$3+'模拟-全程加成'!$J$4+'模拟-全程加成'!$J$5+('模拟-全程加成'!$I$4+'模拟-全程加成'!$I$5)/系数!$B$4+BG285*10%,IF(P285="命",1,IF(P285="识",0.25,0))),0)</f>
        <v>6246.3160137253408</v>
      </c>
      <c r="AZ285" s="108">
        <f t="shared" ref="AZ285:AZ348" si="274">IF(BA285,20-$F$4,MAX(AZ284-$F$4,0))</f>
        <v>5.2400000000000064</v>
      </c>
      <c r="BA285" s="108" t="b">
        <f>AND(模拟模式!$Q$10="有",AZ284=0)</f>
        <v>0</v>
      </c>
      <c r="BB285" s="140">
        <f>IF(BA285,(0+G285*0.287)*(1+J285)*(1-S285)*(1+$I$4)*IF(P285="会",'模拟-全程加成'!$J$3+'模拟-全程加成'!$J$4+'模拟-全程加成'!$J$5+('模拟-全程加成'!$I$4+'模拟-全程加成'!$I$5)/系数!$B$4+BG285*10%,IF(P285="命",1,IF(P285="识",0.25,0))),0)</f>
        <v>0</v>
      </c>
      <c r="BC285" s="115" t="b">
        <f ca="1">AND(模拟模式!$R$7="伏明众生",E285=60,F285=20,DA285&lt;5,CZ284&lt;$F$4)</f>
        <v>0</v>
      </c>
      <c r="BD285" s="115">
        <f t="shared" ca="1" si="236"/>
        <v>0</v>
      </c>
      <c r="BE285" s="115" t="b">
        <f t="shared" ca="1" si="237"/>
        <v>0</v>
      </c>
      <c r="BF285" s="47">
        <f ca="1">IF(BC285,4*('模拟-单技能数据'!$D$24+G285*'模拟-单技能数据'!$F$24)*(1+J285)*(1+'模拟-单技能数据'!$J$24)*(1-S285)*(1+$I$3)*(('模拟-全程加成'!$J$3+'模拟-全程加成'!$J$4+'模拟-全程加成'!$J$5+('模拟-全程加成'!$I$4+'模拟-全程加成'!$I$5)/系数!$B$4+BG285*10%)*('模拟-全程加成'!$J$3+'模拟-全程加成'!$J$4+'模拟-全程加成'!$J$5+('模拟-全程加成'!$I$4+'模拟-全程加成'!$I$5)/系数!$B$4+BG285*10%)+(1-('模拟-全程加成'!$J$3+'模拟-全程加成'!$J$4+'模拟-全程加成'!$J$5+('模拟-全程加成'!$I$4+'模拟-全程加成'!$I$5)/系数!$B$4+BG285*10%)-$F$10-$F$11)+F271*0.25),0)*'模拟-单技能数据'!$I$24</f>
        <v>0</v>
      </c>
      <c r="BG285" s="115" t="b">
        <f ca="1">OR(AND(OR(C285="烈日斩",C285="银月斩"),模拟模式!$I$7="净身明礼"),AND(C285="净世破魔击·日",模拟模式!$J$7="洞若观火"),AND(C286="净世破魔击·月",模拟模式!$J$7="洞若观火"),AB285=1)</f>
        <v>1</v>
      </c>
      <c r="BH285" s="115" t="b">
        <f t="shared" ref="BH285:BH348" ca="1" si="275">RAND()&lt;IF(C285="净世破魔击·月",4*$I$7,IF(C285="净世破魔击·日",2*$I$7,$I$7))</f>
        <v>0</v>
      </c>
      <c r="BI285" s="115">
        <f t="shared" ca="1" si="238"/>
        <v>0</v>
      </c>
      <c r="BJ285" s="115" t="b">
        <f t="shared" ca="1" si="249"/>
        <v>0</v>
      </c>
      <c r="BK285" s="115" t="b">
        <f ca="1">AND(C285="驱夜断愁",模拟模式!$P$7="天地诛戮")</f>
        <v>0</v>
      </c>
      <c r="BL285" s="57">
        <f t="shared" ca="1" si="239"/>
        <v>17.232500000000002</v>
      </c>
      <c r="BM285" s="115" t="b">
        <f t="shared" ca="1" si="250"/>
        <v>1</v>
      </c>
      <c r="BN285" s="115" t="b">
        <f ca="1">AND(OR(C285="赤日轮1",C285="赤日轮2",C285="赤日轮3",C285="幽月轮1",C285="幽月轮2",C285="幽月轮3"),AB285=1,模拟模式!$L$7="明光恒照")</f>
        <v>0</v>
      </c>
      <c r="BO285" s="117">
        <f t="shared" ca="1" si="240"/>
        <v>29.077500000000001</v>
      </c>
      <c r="BP285" s="115">
        <f t="shared" ref="BP285:BP348" ca="1" si="276">IF(BO285&gt;0,MIN(6,IF(BN285,BP284+1,BP284)),0)</f>
        <v>6</v>
      </c>
      <c r="BQ285" s="115" t="b">
        <f>模拟模式!$K$10="2600·水"</f>
        <v>0</v>
      </c>
      <c r="BR285" s="117">
        <f t="shared" ref="BR285:BR348" si="277">IF(BQ285,6,MAX(0,BR284-$F$4))</f>
        <v>0</v>
      </c>
      <c r="BS285" s="115">
        <f t="shared" ref="BS285:BS348" si="278">IF(BR285&gt;0,MIN(10,IF(BQ285,BS284+IF(C285="净世破魔击·月",4,IF(C285="净世破魔击·日",2,1)),BS284)),0)</f>
        <v>0</v>
      </c>
      <c r="BT285" s="115">
        <f t="shared" ref="BT285:BT348" ca="1" si="279">IF(BU285,60-$F$4,MAX(0,BT284-$F$4))</f>
        <v>0</v>
      </c>
      <c r="BU285" s="115" t="b">
        <f ca="1">AND(模拟模式!$K$10="2300·雷",BT284=0,RAND()&lt;IF(C285="净世破魔击·月",5*0.05*2/3,IF(C285="净世破魔击·日",3*0.05*2/3,0.05*2*2/3)))</f>
        <v>0</v>
      </c>
      <c r="BV285" s="115">
        <f t="shared" ref="BV285:BV348" ca="1" si="280">IF(BU285,15-$F$4,MAX(0,BV284-$F$4))</f>
        <v>0</v>
      </c>
      <c r="BW285" s="115">
        <f t="shared" ref="BW285:BW348" ca="1" si="281">IF(BX285,180-$F$4,MAX(0,BW284-$F$4))</f>
        <v>133.87499999999932</v>
      </c>
      <c r="BX285" s="164" t="b">
        <f t="shared" ref="BX285:BX348" ca="1" si="282">AND(BW284=0,OR(AND(E284=80,F284=100),CU285))</f>
        <v>0</v>
      </c>
      <c r="BY285" s="115">
        <f t="shared" ref="BY285:BY348" ca="1" si="283">IF(BX285,15-$F$4,MAX(0,BY284-$F$4))</f>
        <v>0</v>
      </c>
      <c r="BZ285" s="115">
        <f>IF(OR(模拟模式!$P$16="10人团",模拟模式!$P$16="25人团"),IF(B285/30&gt;CA284,1,0),0)</f>
        <v>0</v>
      </c>
      <c r="CA285" s="115">
        <f t="shared" si="259"/>
        <v>0</v>
      </c>
      <c r="CB285" s="115">
        <f ca="1">IF(BZ285=1,IF(模拟模式!$P$16="10人团",15,0)+IF(模拟模式!$P$16="25人团",IF(RAND()&lt;0.6,15,0)),MAX(0,CB284-$F$4))</f>
        <v>0</v>
      </c>
      <c r="CC285" s="115" t="b">
        <f t="shared" ca="1" si="251"/>
        <v>0</v>
      </c>
      <c r="CD285" s="115">
        <f>IF(模拟模式!$Q$16="1个",IF(B285/40&gt;CE284,1,0),0)</f>
        <v>0</v>
      </c>
      <c r="CE285" s="115">
        <f t="shared" si="252"/>
        <v>0</v>
      </c>
      <c r="CF285" s="115">
        <f>IF(OR(CD285=1,模拟模式!$Q$16="2个"),20,MAX(0,CF284-$F$4))</f>
        <v>0</v>
      </c>
      <c r="CG285" s="115" t="b">
        <f t="shared" si="253"/>
        <v>0</v>
      </c>
      <c r="CH285" s="115">
        <f t="shared" ref="CH285:CH348" ca="1" si="284">IF(CI285,30-$F$4,MAX(0,CH284-$F$4))</f>
        <v>29.077500000000001</v>
      </c>
      <c r="CI285" s="115" t="b">
        <f t="shared" ref="CI285:CI348" ca="1" si="285">AND(CH284=0,RAND()&lt;IF(C285="净世破魔击·月",4*0.2*2/3,IF(C285="净世破魔击·日",2*0.2*2/3,0.2*2/3)))</f>
        <v>1</v>
      </c>
      <c r="CJ285" s="119">
        <f t="shared" ref="CJ285:CJ348" ca="1" si="286">IF(CI285,IF(RAND()&lt;0.7,0.05,0.01),IF(CK285&gt;0,CJ284,0))</f>
        <v>0.01</v>
      </c>
      <c r="CK285" s="115">
        <f t="shared" ref="CK285:CK348" ca="1" si="287">IF(CI285,8-$F$4,MAX(0,CK284-$F$4))</f>
        <v>7.0774999999999997</v>
      </c>
      <c r="CL285" s="115" t="b">
        <f ca="1">AND(模拟模式!$S$7="驱夷逐法",OR(AND(C285="净世破魔击·月",E284&gt;59),AND(C285="净世破魔击·日",F284&gt;59)))</f>
        <v>1</v>
      </c>
      <c r="CM285" s="115" t="b">
        <f ca="1">OR(CL285,AND(C285="净世破魔击·日",CL284,RAND()&lt;模拟模式!$U$23))</f>
        <v>1</v>
      </c>
      <c r="CN285" s="115" t="b">
        <f ca="1">IF(模拟模式!$M$7="辉耀红尘",AND(C285="净世破魔击·月",CL285,CV285=0,E284&lt;80),AND(C285="净世破魔击·月",CL285,E284&lt;100))</f>
        <v>0</v>
      </c>
      <c r="CO285" s="115" t="b">
        <f t="shared" ca="1" si="260"/>
        <v>0</v>
      </c>
      <c r="CP285" s="115" t="b">
        <f ca="1">AND(模拟模式!$O$7="用晦而明",OR(C285="净世破魔击·日",C285="净世破魔击·月",C285="驱夜断愁"),AB285)</f>
        <v>1</v>
      </c>
      <c r="CQ285" s="115" t="b">
        <f ca="1">OR(CP285,AND(CP284,RAND()&lt;模拟模式!$U$23))</f>
        <v>1</v>
      </c>
      <c r="CR285" s="115" t="b">
        <f ca="1">AND(模拟模式!$S$7="日月齐光",OR(C285="幽月轮1",C285="幽月轮2",C285="幽月轮3",CR284),NOT(OR(C285="赤日轮1",C285="赤日轮2",C285="赤日轮3")))</f>
        <v>0</v>
      </c>
      <c r="CS285" s="115" t="b">
        <f ca="1">AND(模拟模式!$S$7="日月齐光",OR(C285="赤日轮1",C285="赤日轮2",C285="赤日轮3",CS284),NOT(OR(C285="幽月轮1",C285="幽月轮2",C285="幽月轮3")))</f>
        <v>0</v>
      </c>
      <c r="CT285" s="115">
        <f t="shared" ref="CT285:CT348" ca="1" si="288">IF(CU285,30,MAX(CT284-$F$4,0))</f>
        <v>0</v>
      </c>
      <c r="CU285" s="115" t="b">
        <f ca="1">AND(模拟模式!$K$10="阴阳往极",CT284=0,RAND()&lt;IF(C285="净世破魔击·月",0.0275*7/3,IF(C285="净世破魔击·日",0.0275*3/3,0.0275*2/3)))</f>
        <v>0</v>
      </c>
      <c r="CV285" s="115">
        <f t="shared" ref="CV285:CV348" ca="1" si="289">IF(CU285,5-$F$4,MAX(CV284-$F$4,0))</f>
        <v>0</v>
      </c>
      <c r="CW285" s="115">
        <f t="shared" ca="1" si="261"/>
        <v>4.1549999999999994</v>
      </c>
      <c r="CX285" s="115">
        <f t="shared" ca="1" si="262"/>
        <v>2.3099999999999996</v>
      </c>
      <c r="CY285" s="115">
        <f ca="1">MAX(IF($C285="驱夜断愁",IF(模拟模式!$R$7="万念俱寂",6,45),CY284-$F$4),0)</f>
        <v>3.2324999999999995</v>
      </c>
      <c r="CZ285" s="115">
        <f t="shared" ca="1" si="263"/>
        <v>0</v>
      </c>
      <c r="DA285" s="115">
        <f ca="1">IF(模拟模式!$N$7="日月同辉",IF(DB284=2,0,MIN(6,IF(AND(OR(C285="赤日轮1",C285="赤日轮2",C285="赤日轮3",C285="幽月轮1",C285="幽月轮2",C285="幽月轮3"),AB285=1),DA284+1,DA284))),0)</f>
        <v>5</v>
      </c>
      <c r="DB285" s="115">
        <f t="shared" ca="1" si="264"/>
        <v>0</v>
      </c>
      <c r="DC285" s="115"/>
      <c r="DD285" s="115"/>
      <c r="DE285" s="115"/>
      <c r="DF285" s="115"/>
      <c r="DG285" s="115"/>
      <c r="DH285" s="115"/>
      <c r="DI285" s="115"/>
      <c r="DJ285" s="115"/>
      <c r="DK285" s="115"/>
      <c r="DL285" s="115"/>
      <c r="DM285" s="115"/>
    </row>
    <row r="286" spans="2:117" x14ac:dyDescent="0.2">
      <c r="B286" s="117">
        <f t="shared" si="265"/>
        <v>238.92750000000157</v>
      </c>
      <c r="C286" s="167" t="str">
        <f t="shared" ca="1" si="258"/>
        <v>净世破魔击·日</v>
      </c>
      <c r="D286" s="115">
        <f ca="1">IF(C286="赤日轮1",1,IF(C286="赤日轮2",2,IF(C286="赤日轮3",3,IF(C286="幽月轮1",4,IF(C286="幽月轮2",5,IF(C286="幽月轮3",6,IF(C286="烈日斩",7,IF(C286="银月斩",8,IF(C286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286="净世破魔击·月",17,IF(C286="驱夜断愁",18,0)))))))))))</f>
        <v>9</v>
      </c>
      <c r="E286" s="115">
        <f ca="1">IF(AND(CU286,OR(C286="幽月轮1",C286="幽月轮2",C286="幽月轮3",C286="银月斩",C286="驱夜断愁",C286="净世破魔击·月")),100,MIN(IF(OR(CN286,BE286),0,IF(OR($C286="赤日轮1",$C286="赤日轮2",$C286="赤日轮3"),E285+20+IF(模拟模式!$I$7="日月凌天",4,0)+IF(CR285,20,0),IF($C286="烈日斩",E285+40,IF($C286="驱夜断愁",IF(模拟模式!$R$7="万念俱寂",E285+20,E285+60),IF($C286="净世破魔击·月",IF(OR(DB285&gt;0,CV285&gt;0),100,IF(模拟模式!$M$7="辉耀红尘",E285+20,E285)),IF($C286="净世破魔击·日",E285-100,E285)))))),100))</f>
        <v>0</v>
      </c>
      <c r="F286" s="115">
        <f ca="1">IF(AND(CU286,OR(C286="赤日轮1",C286="赤日轮2",C286="赤日轮3",C286="烈日斩",C286="净世破魔击·日")),100,MIN(IF(CO286,0,IF(OR($C286="幽月轮1",$C286="幽月轮2",$C286="幽月轮3"),F285+20+IF(模拟模式!$I$7="日月凌天",4,0)+IF(CS285,20,0),IF($C286="银月斩",F285+40+IF(模拟模式!$X$12=1,5,0),IF($C286="驱夜断愁",IF(模拟模式!$R$7="万念俱寂",F285+20,F285+60),IF($C286="净世破魔击·月",IF(模拟模式!$M$7="辉耀红尘",F285-80,F285-100),IF(AND(C286="净世破魔击·日",OR(DB285&gt;0,CV285&gt;0)),100,F285)))))),100))</f>
        <v>20</v>
      </c>
      <c r="G286" s="117">
        <f ca="1">('模拟-全程加成'!$E$3+'模拟-全程加成'!$E$4+'模拟-全程加成'!$E$5+('模拟-全程加成'!$C$6-'模拟-全程加成'!$C$3)*系数!$B$9+BS286*23)*(1+'模拟-全程加成'!$F$4+'模拟-全程加成'!$F$5+BJ286*10%+BM286*20%+BP286*4%+CG286*30%)+$F$7*系数!$B$12</f>
        <v>20583.127400000001</v>
      </c>
      <c r="H286" s="45">
        <f ca="1">'模拟-全程加成'!$H$3+'模拟-全程加成'!$H$4+'模拟-全程加成'!$H$5+('模拟-全程加成'!$G$4+'模拟-全程加成'!$G$5+('模拟-全程加成'!$C$6-'模拟-全程加成'!$C$3)*系数!$B$13)/系数!$B$3+LOOKUP(D286,'模拟-单技能数据'!$A$2:$A$19,'模拟-单技能数据'!$K$2:$K$19)+BG286*10%+IF(BV286&gt;0,378,0)</f>
        <v>0.54185145527300216</v>
      </c>
      <c r="I286" s="45">
        <f ca="1">'模拟-全程加成'!$J$3+'模拟-全程加成'!$J$4+'模拟-全程加成'!$J$5+('模拟-全程加成'!$I$4+'模拟-全程加成'!$I$5)/系数!$B$4+LOOKUP(D286,'模拟-单技能数据'!$A$2:$A$19,'模拟-单技能数据'!$L$2:$L$19)+BG286*10%</f>
        <v>2.162482885499879</v>
      </c>
      <c r="J286" s="45">
        <f ca="1">(('模拟-全程加成'!$K$3+'模拟-全程加成'!$K$4+'模拟-全程加成'!$K$5+('模拟-全程加成'!$C$6-'模拟-全程加成'!$C$3)*系数!$B$10+IF(BV286&gt;0,882,0)+IF(BY286&gt;0,1831,0))*(1+'模拟-全程加成'!$L$4+'模拟-全程加成'!$L$5+CC286*20%))/系数!$B$5</f>
        <v>0.69723220422048726</v>
      </c>
      <c r="K286" s="119">
        <f ca="1">LOOKUP(D286,'模拟-单技能数据'!$A$2:$A$19,'模拟-单技能数据'!$J$2:$J$19)+IF(CM286,60%,0)+IF(DB285-DB286&gt;0,30%,0)+IF(OR(AND(OR(C286="赤日轮1",C286="赤日轮2",C286="赤日轮3"),CR286),AND(OR(C286="幽月轮1",C286="幽月轮2",C286="幽月轮3"),CS286)),35%,0)+CJ286</f>
        <v>0.81</v>
      </c>
      <c r="L286" s="119">
        <f ca="1">IF(AND(C286="烈日斩",模拟模式!$X$11=1),10%,0)+IF(AND(C286="驱夜断愁",AB286=1),30%,0)</f>
        <v>0</v>
      </c>
      <c r="M286" s="45">
        <f t="shared" ca="1" si="241"/>
        <v>0.54185145527300216</v>
      </c>
      <c r="N286" s="45">
        <f t="shared" ca="1" si="242"/>
        <v>0.40424854472699789</v>
      </c>
      <c r="O286" s="46">
        <f t="shared" ca="1" si="266"/>
        <v>0.21737265253548088</v>
      </c>
      <c r="P286" s="46" t="str">
        <f t="shared" ca="1" si="267"/>
        <v>会</v>
      </c>
      <c r="Q286" s="45">
        <f t="shared" ca="1" si="268"/>
        <v>2.162482885499879</v>
      </c>
      <c r="R286" s="117">
        <f ca="1">模拟模式!$E$20*(1-IF(模拟模式!$J$19="有",0.15,0))*(1-IF(模拟模式!$K$19="有",0.3,0)-IF(CQ286,0.5,0))</f>
        <v>843.02999999999975</v>
      </c>
      <c r="S286" s="45">
        <f ca="1">R286/(R286+(185*模拟模式!$E$22-16800)*4.08224)</f>
        <v>8.389626085980037E-2</v>
      </c>
      <c r="T286" s="45" t="str">
        <f ca="1">LOOKUP(D286,'模拟-单技能数据'!$A$2:$A$19,'模拟-单技能数据'!$H$2:$H$19)</f>
        <v>阳</v>
      </c>
      <c r="U286" s="119">
        <f t="shared" ca="1" si="243"/>
        <v>0.2</v>
      </c>
      <c r="V286" s="47">
        <f ca="1">(1+L286)*(LOOKUP(D286,'模拟-单技能数据'!$A$2:$A$19,'模拟-单技能数据'!$D$2:$D$19)+G286*LOOKUP(D286,'模拟-单技能数据'!$A$2:$A$19,'模拟-单技能数据'!$F$2:$F$19))*(1+J286)*(1+K286)*(1-S286)*(1+U286)*Q286*LOOKUP(D286,'模拟-单技能数据'!$A$2:$A$19,'模拟-单技能数据'!$I$2:$I$20)</f>
        <v>197004.23608048278</v>
      </c>
      <c r="W286" s="47">
        <f ca="1">LOOKUP(D286,'模拟-单技能数据'!$A$2:$A$19,'模拟-单技能数据'!$G$2:$G$19)*$I$10</f>
        <v>723.0212870940959</v>
      </c>
      <c r="X286" s="47">
        <f t="shared" ca="1" si="269"/>
        <v>27574.694170325052</v>
      </c>
      <c r="Y286" s="47">
        <f t="shared" ca="1" si="244"/>
        <v>225301.95153790194</v>
      </c>
      <c r="Z286" s="49">
        <f t="shared" ca="1" si="245"/>
        <v>27359615.321629476</v>
      </c>
      <c r="AA286" s="97">
        <f t="shared" ca="1" si="246"/>
        <v>114510.11424649443</v>
      </c>
      <c r="AB286" s="115">
        <f ca="1">IF(OR(C286="赤日轮1",C286="赤日轮2",C286="赤日轮3"),IF(RAND()&lt;模拟模式!$Y$17,1,0),IF(OR(C286="幽月轮1",C286="幽月轮2",C286="幽月轮3"),IF(RAND()&lt;模拟模式!$Y$18,1,0),IF(C286="烈日斩",IF(RAND()&lt;模拟模式!$Y$19,1,0),IF(C286="银月斩",IF(RAND()&lt;模拟模式!$Y$20,1,0),IF(C286="驱夜断愁",IF(RAND()&lt;模拟模式!$Y$21,1,0),IF(C286="净世破魔击·日",IF(RAND()&lt;模拟模式!$Y$22,1,0),IF(C286="净世破魔击·月",IF(RAND()&lt;模拟模式!$Y$23,1,0),0)))))))</f>
        <v>1</v>
      </c>
      <c r="AC286" s="115" t="b">
        <f t="shared" ca="1" si="234"/>
        <v>0</v>
      </c>
      <c r="AD286" s="115" t="b">
        <f t="shared" ca="1" si="254"/>
        <v>1</v>
      </c>
      <c r="AE286" s="115">
        <f t="shared" ca="1" si="255"/>
        <v>3</v>
      </c>
      <c r="AF286" s="47">
        <f ca="1">IF(AC286,('模拟-单技能数据'!$D$20+G286*'模拟-单技能数据'!$F$20)*(1+J286)*(1+'模拟-单技能数据'!$J$20)*(1+U286),0)</f>
        <v>0</v>
      </c>
      <c r="AG286" s="61">
        <f t="shared" ca="1" si="247"/>
        <v>0.64185145527300214</v>
      </c>
      <c r="AH286" s="61">
        <f t="shared" ca="1" si="248"/>
        <v>2.2624828854998791</v>
      </c>
      <c r="AI286" s="62">
        <f t="shared" ca="1" si="270"/>
        <v>0.4452003915466034</v>
      </c>
      <c r="AJ286" s="47">
        <f ca="1">IF(AD286,IF(AI286&lt;$F$10,0,IF(AI286&lt;$F$10+$F$11,0.25,IF(AI286&lt;$F$10+$F$11+AG286,AH286,1)))*IF(AF286&gt;0,AF286,IF(AF285&gt;0,AF285,IF(AF284&gt;0,AF284,IF(AF283&gt;0,AF283,IF(AF282&gt;0,AF282,IF(AF281&gt;0,AF281,IF(AF280&gt;0,AF280,IF(AF279&gt;0,AF279,IF(AF278&gt;0,AF278,IF(AF276&gt;0,AF276,IF(AF275&gt;0,AF275,IF(AF274&gt;0,AF274,0)))))))))))),0)*(1-$S286)*'模拟-单技能数据'!$I$20</f>
        <v>9218.9345386263849</v>
      </c>
      <c r="AK286" s="115" t="b">
        <f t="shared" ca="1" si="235"/>
        <v>1</v>
      </c>
      <c r="AL286" s="115" t="b">
        <f t="shared" ca="1" si="256"/>
        <v>0</v>
      </c>
      <c r="AM286" s="115">
        <f t="shared" ca="1" si="257"/>
        <v>6</v>
      </c>
      <c r="AN286" s="47">
        <f ca="1">IF(AK286,('模拟-单技能数据'!$D$21+G286*'模拟-单技能数据'!$F$21)*(1+J286)*(1+'模拟-单技能数据'!$J$21)*(1+U286),0)</f>
        <v>12136.56601728573</v>
      </c>
      <c r="AO286" s="61">
        <f ca="1">IF(AN286&gt;0,M286-'模拟-单技能数据'!$K$10,AO285)</f>
        <v>0.42185145527300216</v>
      </c>
      <c r="AP286" s="61">
        <f ca="1">IF(AN286&gt;0,I286-'模拟-单技能数据'!$L$10,AP285)</f>
        <v>2.162482885499879</v>
      </c>
      <c r="AQ286" s="63">
        <f t="shared" ca="1" si="271"/>
        <v>0.29147354770356204</v>
      </c>
      <c r="AR286" s="64">
        <f ca="1">IF(AL286,IF(AQ286&lt;$F$10,0,IF(AQ286&lt;$F$10+$F$11,0.25,IF(AQ286&lt;$F$10+$F$11+AO286,AP286,1)))*IF(AN286&gt;0,AN286,IF(AN285&gt;0,AN285,IF(AN284&gt;0,AN284,IF(AN283&gt;0,AN283,IF(AN282&gt;0,AN282,IF(AN281&gt;0,AN281,IF(AN280&gt;0,AN280,IF(AN279&gt;0,AN279,IF(AN278&gt;0,AN278,IF(AN276&gt;0,AN276,IF(AN275&gt;0,AN275,IF(AN274&gt;0,AN274,0)))))))))))),0)*(1-$S286)*'模拟-单技能数据'!$I$21</f>
        <v>0</v>
      </c>
      <c r="AS286" s="61">
        <f ca="1">IF(OR(C286="净世破魔击·日",C286="净世破魔击·月"),M286-'模拟-单技能数据'!$K$10,0)</f>
        <v>0.42185145527300216</v>
      </c>
      <c r="AT286" s="61">
        <f ca="1">IF(OR(C286="净世破魔击·日",C286="净世破魔击·月"),I286-'模拟-单技能数据'!$L$10,0)</f>
        <v>2.162482885499879</v>
      </c>
      <c r="AU286" s="62">
        <f t="shared" ca="1" si="272"/>
        <v>0.24748839880243245</v>
      </c>
      <c r="AV286" s="64">
        <f ca="1">IF(AS286&gt;0,('模拟-单技能数据'!$D$22+G286*'模拟-单技能数据'!$F$22)*(1+J286)*(1-S286)*IF(AU286&lt;$F$10,0,IF(AU286&lt;$F$10+$F$11,0.25,IF(AU286&lt;$F$10+$F$11+AS286,AT286,1)))*(1+U286),0)*'模拟-单技能数据'!$I$22</f>
        <v>18355.759631698667</v>
      </c>
      <c r="AW286" s="108">
        <f t="shared" ca="1" si="273"/>
        <v>18.155000000000001</v>
      </c>
      <c r="AX286" s="108" t="b">
        <f ca="1">AND(模拟模式!$P$10="有",AW285=0,RAND()&lt;IF(C286="净世破魔击·月",0.1*8/3,IF(C286="净世破魔击·日",0.1*4/3,0.1*2/3)))</f>
        <v>0</v>
      </c>
      <c r="AY286" s="47">
        <f ca="1">IF(AX286,(18+G286*0.722)*(1+J286)*(1-S286)*(1+$I$4)*IF(P286="会",'模拟-全程加成'!$J$3+'模拟-全程加成'!$J$4+'模拟-全程加成'!$J$5+('模拟-全程加成'!$I$4+'模拟-全程加成'!$I$5)/系数!$B$4+BG286*10%,IF(P286="命",1,IF(P286="识",0.25,0))),0)</f>
        <v>0</v>
      </c>
      <c r="AZ286" s="108">
        <f t="shared" si="274"/>
        <v>4.3175000000000061</v>
      </c>
      <c r="BA286" s="108" t="b">
        <f>AND(模拟模式!$Q$10="有",AZ285=0)</f>
        <v>0</v>
      </c>
      <c r="BB286" s="140">
        <f>IF(BA286,(0+G286*0.287)*(1+J286)*(1-S286)*(1+$I$4)*IF(P286="会",'模拟-全程加成'!$J$3+'模拟-全程加成'!$J$4+'模拟-全程加成'!$J$5+('模拟-全程加成'!$I$4+'模拟-全程加成'!$I$5)/系数!$B$4+BG286*10%,IF(P286="命",1,IF(P286="识",0.25,0))),0)</f>
        <v>0</v>
      </c>
      <c r="BC286" s="115" t="b">
        <f ca="1">AND(模拟模式!$R$7="伏明众生",E286=60,F286=20,DA286&lt;5,CZ285&lt;$F$4)</f>
        <v>0</v>
      </c>
      <c r="BD286" s="115">
        <f t="shared" ca="1" si="236"/>
        <v>0</v>
      </c>
      <c r="BE286" s="115" t="b">
        <f t="shared" ca="1" si="237"/>
        <v>0</v>
      </c>
      <c r="BF286" s="47">
        <f ca="1">IF(BC286,4*('模拟-单技能数据'!$D$24+G286*'模拟-单技能数据'!$F$24)*(1+J286)*(1+'模拟-单技能数据'!$J$24)*(1-S286)*(1+$I$3)*(('模拟-全程加成'!$J$3+'模拟-全程加成'!$J$4+'模拟-全程加成'!$J$5+('模拟-全程加成'!$I$4+'模拟-全程加成'!$I$5)/系数!$B$4+BG286*10%)*('模拟-全程加成'!$J$3+'模拟-全程加成'!$J$4+'模拟-全程加成'!$J$5+('模拟-全程加成'!$I$4+'模拟-全程加成'!$I$5)/系数!$B$4+BG286*10%)+(1-('模拟-全程加成'!$J$3+'模拟-全程加成'!$J$4+'模拟-全程加成'!$J$5+('模拟-全程加成'!$I$4+'模拟-全程加成'!$I$5)/系数!$B$4+BG286*10%)-$F$10-$F$11)+F272*0.25),0)*'模拟-单技能数据'!$I$24</f>
        <v>0</v>
      </c>
      <c r="BG286" s="115" t="b">
        <f ca="1">OR(AND(OR(C286="烈日斩",C286="银月斩"),模拟模式!$I$7="净身明礼"),AND(C286="净世破魔击·日",模拟模式!$J$7="洞若观火"),AND(C287="净世破魔击·月",模拟模式!$J$7="洞若观火"),AB286=1)</f>
        <v>1</v>
      </c>
      <c r="BH286" s="115" t="b">
        <f t="shared" ca="1" si="275"/>
        <v>0</v>
      </c>
      <c r="BI286" s="115">
        <f t="shared" ca="1" si="238"/>
        <v>0</v>
      </c>
      <c r="BJ286" s="115" t="b">
        <f t="shared" ca="1" si="249"/>
        <v>0</v>
      </c>
      <c r="BK286" s="115" t="b">
        <f ca="1">AND(C286="驱夜断愁",模拟模式!$P$7="天地诛戮")</f>
        <v>0</v>
      </c>
      <c r="BL286" s="57">
        <f t="shared" ca="1" si="239"/>
        <v>16.310000000000002</v>
      </c>
      <c r="BM286" s="115" t="b">
        <f t="shared" ca="1" si="250"/>
        <v>1</v>
      </c>
      <c r="BN286" s="115" t="b">
        <f ca="1">AND(OR(C286="赤日轮1",C286="赤日轮2",C286="赤日轮3",C286="幽月轮1",C286="幽月轮2",C286="幽月轮3"),AB286=1,模拟模式!$L$7="明光恒照")</f>
        <v>0</v>
      </c>
      <c r="BO286" s="117">
        <f t="shared" ca="1" si="240"/>
        <v>28.155000000000001</v>
      </c>
      <c r="BP286" s="115">
        <f t="shared" ca="1" si="276"/>
        <v>6</v>
      </c>
      <c r="BQ286" s="115" t="b">
        <f>模拟模式!$K$10="2600·水"</f>
        <v>0</v>
      </c>
      <c r="BR286" s="117">
        <f t="shared" si="277"/>
        <v>0</v>
      </c>
      <c r="BS286" s="115">
        <f t="shared" si="278"/>
        <v>0</v>
      </c>
      <c r="BT286" s="115">
        <f t="shared" ca="1" si="279"/>
        <v>0</v>
      </c>
      <c r="BU286" s="115" t="b">
        <f ca="1">AND(模拟模式!$K$10="2300·雷",BT285=0,RAND()&lt;IF(C286="净世破魔击·月",5*0.05*2/3,IF(C286="净世破魔击·日",3*0.05*2/3,0.05*2*2/3)))</f>
        <v>0</v>
      </c>
      <c r="BV286" s="115">
        <f t="shared" ca="1" si="280"/>
        <v>0</v>
      </c>
      <c r="BW286" s="115">
        <f t="shared" ca="1" si="281"/>
        <v>132.9524999999993</v>
      </c>
      <c r="BX286" s="164" t="b">
        <f t="shared" ca="1" si="282"/>
        <v>0</v>
      </c>
      <c r="BY286" s="115">
        <f t="shared" ca="1" si="283"/>
        <v>0</v>
      </c>
      <c r="BZ286" s="115">
        <f>IF(OR(模拟模式!$P$16="10人团",模拟模式!$P$16="25人团"),IF(B286/30&gt;CA285,1,0),0)</f>
        <v>0</v>
      </c>
      <c r="CA286" s="115">
        <f t="shared" si="259"/>
        <v>0</v>
      </c>
      <c r="CB286" s="115">
        <f ca="1">IF(BZ286=1,IF(模拟模式!$P$16="10人团",15,0)+IF(模拟模式!$P$16="25人团",IF(RAND()&lt;0.6,15,0)),MAX(0,CB285-$F$4))</f>
        <v>0</v>
      </c>
      <c r="CC286" s="115" t="b">
        <f t="shared" ca="1" si="251"/>
        <v>0</v>
      </c>
      <c r="CD286" s="115">
        <f>IF(模拟模式!$Q$16="1个",IF(B286/40&gt;CE285,1,0),0)</f>
        <v>0</v>
      </c>
      <c r="CE286" s="115">
        <f t="shared" si="252"/>
        <v>0</v>
      </c>
      <c r="CF286" s="115">
        <f>IF(OR(CD286=1,模拟模式!$Q$16="2个"),20,MAX(0,CF285-$F$4))</f>
        <v>0</v>
      </c>
      <c r="CG286" s="115" t="b">
        <f t="shared" si="253"/>
        <v>0</v>
      </c>
      <c r="CH286" s="115">
        <f t="shared" ca="1" si="284"/>
        <v>28.155000000000001</v>
      </c>
      <c r="CI286" s="115" t="b">
        <f t="shared" ca="1" si="285"/>
        <v>0</v>
      </c>
      <c r="CJ286" s="119">
        <f t="shared" ca="1" si="286"/>
        <v>0.01</v>
      </c>
      <c r="CK286" s="115">
        <f t="shared" ca="1" si="287"/>
        <v>6.1549999999999994</v>
      </c>
      <c r="CL286" s="115" t="b">
        <f ca="1">AND(模拟模式!$S$7="驱夷逐法",OR(AND(C286="净世破魔击·月",E285&gt;59),AND(C286="净世破魔击·日",F285&gt;59)))</f>
        <v>0</v>
      </c>
      <c r="CM286" s="115" t="b">
        <f ca="1">OR(CL286,AND(C286="净世破魔击·日",CL285,RAND()&lt;模拟模式!$U$23))</f>
        <v>1</v>
      </c>
      <c r="CN286" s="115" t="b">
        <f ca="1">IF(模拟模式!$M$7="辉耀红尘",AND(C286="净世破魔击·月",CL286,CV286=0,E285&lt;80),AND(C286="净世破魔击·月",CL286,E285&lt;100))</f>
        <v>0</v>
      </c>
      <c r="CO286" s="115" t="b">
        <f t="shared" ca="1" si="260"/>
        <v>0</v>
      </c>
      <c r="CP286" s="115" t="b">
        <f ca="1">AND(模拟模式!$O$7="用晦而明",OR(C286="净世破魔击·日",C286="净世破魔击·月",C286="驱夜断愁"),AB286)</f>
        <v>1</v>
      </c>
      <c r="CQ286" s="115" t="b">
        <f ca="1">OR(CP286,AND(CP285,RAND()&lt;模拟模式!$U$23))</f>
        <v>1</v>
      </c>
      <c r="CR286" s="115" t="b">
        <f ca="1">AND(模拟模式!$S$7="日月齐光",OR(C286="幽月轮1",C286="幽月轮2",C286="幽月轮3",CR285),NOT(OR(C286="赤日轮1",C286="赤日轮2",C286="赤日轮3")))</f>
        <v>0</v>
      </c>
      <c r="CS286" s="115" t="b">
        <f ca="1">AND(模拟模式!$S$7="日月齐光",OR(C286="赤日轮1",C286="赤日轮2",C286="赤日轮3",CS285),NOT(OR(C286="幽月轮1",C286="幽月轮2",C286="幽月轮3")))</f>
        <v>0</v>
      </c>
      <c r="CT286" s="115">
        <f t="shared" ca="1" si="288"/>
        <v>0</v>
      </c>
      <c r="CU286" s="115" t="b">
        <f ca="1">AND(模拟模式!$K$10="阴阳往极",CT285=0,RAND()&lt;IF(C286="净世破魔击·月",0.0275*7/3,IF(C286="净世破魔击·日",0.0275*3/3,0.0275*2/3)))</f>
        <v>0</v>
      </c>
      <c r="CV286" s="115">
        <f t="shared" ca="1" si="289"/>
        <v>0</v>
      </c>
      <c r="CW286" s="115">
        <f t="shared" ca="1" si="261"/>
        <v>3.2324999999999995</v>
      </c>
      <c r="CX286" s="115">
        <f t="shared" ca="1" si="262"/>
        <v>1.3874999999999997</v>
      </c>
      <c r="CY286" s="115">
        <f ca="1">MAX(IF($C286="驱夜断愁",IF(模拟模式!$R$7="万念俱寂",6,45),CY285-$F$4),0)</f>
        <v>2.3099999999999996</v>
      </c>
      <c r="CZ286" s="115">
        <f t="shared" ca="1" si="263"/>
        <v>0</v>
      </c>
      <c r="DA286" s="115">
        <f ca="1">IF(模拟模式!$N$7="日月同辉",IF(DB285=2,0,MIN(6,IF(AND(OR(C286="赤日轮1",C286="赤日轮2",C286="赤日轮3",C286="幽月轮1",C286="幽月轮2",C286="幽月轮3"),AB286=1),DA285+1,DA285))),0)</f>
        <v>5</v>
      </c>
      <c r="DB286" s="115">
        <f t="shared" ca="1" si="264"/>
        <v>0</v>
      </c>
      <c r="DC286" s="115"/>
      <c r="DD286" s="115"/>
      <c r="DE286" s="115"/>
      <c r="DF286" s="115"/>
      <c r="DG286" s="115"/>
      <c r="DH286" s="115"/>
      <c r="DI286" s="115"/>
      <c r="DJ286" s="115"/>
      <c r="DK286" s="115"/>
      <c r="DL286" s="115"/>
      <c r="DM286" s="115"/>
    </row>
    <row r="287" spans="2:117" x14ac:dyDescent="0.2">
      <c r="B287" s="117">
        <f t="shared" si="265"/>
        <v>239.85000000000159</v>
      </c>
      <c r="C287" s="167" t="str">
        <f t="shared" ca="1" si="258"/>
        <v>赤日轮1</v>
      </c>
      <c r="D287" s="115">
        <f ca="1">IF(C287="赤日轮1",1,IF(C287="赤日轮2",2,IF(C287="赤日轮3",3,IF(C287="幽月轮1",4,IF(C287="幽月轮2",5,IF(C287="幽月轮3",6,IF(C287="烈日斩",7,IF(C287="银月斩",8,IF(C287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287="净世破魔击·月",17,IF(C287="驱夜断愁",18,0)))))))))))</f>
        <v>1</v>
      </c>
      <c r="E287" s="115">
        <f ca="1">IF(AND(CU287,OR(C287="幽月轮1",C287="幽月轮2",C287="幽月轮3",C287="银月斩",C287="驱夜断愁",C287="净世破魔击·月")),100,MIN(IF(OR(CN287,BE287),0,IF(OR($C287="赤日轮1",$C287="赤日轮2",$C287="赤日轮3"),E286+20+IF(模拟模式!$I$7="日月凌天",4,0)+IF(CR286,20,0),IF($C287="烈日斩",E286+40,IF($C287="驱夜断愁",IF(模拟模式!$R$7="万念俱寂",E286+20,E286+60),IF($C287="净世破魔击·月",IF(OR(DB286&gt;0,CV286&gt;0),100,IF(模拟模式!$M$7="辉耀红尘",E286+20,E286)),IF($C287="净世破魔击·日",E286-100,E286)))))),100))</f>
        <v>20</v>
      </c>
      <c r="F287" s="115">
        <f ca="1">IF(AND(CU287,OR(C287="赤日轮1",C287="赤日轮2",C287="赤日轮3",C287="烈日斩",C287="净世破魔击·日")),100,MIN(IF(CO287,0,IF(OR($C287="幽月轮1",$C287="幽月轮2",$C287="幽月轮3"),F286+20+IF(模拟模式!$I$7="日月凌天",4,0)+IF(CS286,20,0),IF($C287="银月斩",F286+40+IF(模拟模式!$X$12=1,5,0),IF($C287="驱夜断愁",IF(模拟模式!$R$7="万念俱寂",F286+20,F286+60),IF($C287="净世破魔击·月",IF(模拟模式!$M$7="辉耀红尘",F286-80,F286-100),IF(AND(C287="净世破魔击·日",OR(DB286&gt;0,CV286&gt;0)),100,F286)))))),100))</f>
        <v>20</v>
      </c>
      <c r="G287" s="117">
        <f ca="1">('模拟-全程加成'!$E$3+'模拟-全程加成'!$E$4+'模拟-全程加成'!$E$5+('模拟-全程加成'!$C$6-'模拟-全程加成'!$C$3)*系数!$B$9+BS287*23)*(1+'模拟-全程加成'!$F$4+'模拟-全程加成'!$F$5+BJ287*10%+BM287*20%+BP287*4%+CG287*30%)+$F$7*系数!$B$12</f>
        <v>20583.127400000001</v>
      </c>
      <c r="H287" s="45">
        <f ca="1">'模拟-全程加成'!$H$3+'模拟-全程加成'!$H$4+'模拟-全程加成'!$H$5+('模拟-全程加成'!$G$4+'模拟-全程加成'!$G$5+('模拟-全程加成'!$C$6-'模拟-全程加成'!$C$3)*系数!$B$13)/系数!$B$3+LOOKUP(D287,'模拟-单技能数据'!$A$2:$A$19,'模拟-单技能数据'!$K$2:$K$19)+BG287*10%+IF(BV287&gt;0,378,0)</f>
        <v>0.4618514552730022</v>
      </c>
      <c r="I287" s="45">
        <f ca="1">'模拟-全程加成'!$J$3+'模拟-全程加成'!$J$4+'模拟-全程加成'!$J$5+('模拟-全程加成'!$I$4+'模拟-全程加成'!$I$5)/系数!$B$4+LOOKUP(D287,'模拟-单技能数据'!$A$2:$A$19,'模拟-单技能数据'!$L$2:$L$19)+BG287*10%</f>
        <v>2.162482885499879</v>
      </c>
      <c r="J287" s="45">
        <f ca="1">(('模拟-全程加成'!$K$3+'模拟-全程加成'!$K$4+'模拟-全程加成'!$K$5+('模拟-全程加成'!$C$6-'模拟-全程加成'!$C$3)*系数!$B$10+IF(BV287&gt;0,882,0)+IF(BY287&gt;0,1831,0))*(1+'模拟-全程加成'!$L$4+'模拟-全程加成'!$L$5+CC287*20%))/系数!$B$5</f>
        <v>0.69723220422048726</v>
      </c>
      <c r="K287" s="119">
        <f ca="1">LOOKUP(D287,'模拟-单技能数据'!$A$2:$A$19,'模拟-单技能数据'!$J$2:$J$19)+IF(CM287,60%,0)+IF(DB286-DB287&gt;0,30%,0)+IF(OR(AND(OR(C287="赤日轮1",C287="赤日轮2",C287="赤日轮3"),CR287),AND(OR(C287="幽月轮1",C287="幽月轮2",C287="幽月轮3"),CS287)),35%,0)+CJ287</f>
        <v>0.13</v>
      </c>
      <c r="L287" s="119">
        <f ca="1">IF(AND(C287="烈日斩",模拟模式!$X$11=1),10%,0)+IF(AND(C287="驱夜断愁",AB287=1),30%,0)</f>
        <v>0</v>
      </c>
      <c r="M287" s="45">
        <f t="shared" ca="1" si="241"/>
        <v>0.4618514552730022</v>
      </c>
      <c r="N287" s="45">
        <f t="shared" ca="1" si="242"/>
        <v>0.48424854472699785</v>
      </c>
      <c r="O287" s="46">
        <f t="shared" ca="1" si="266"/>
        <v>0.86974057404499439</v>
      </c>
      <c r="P287" s="46" t="str">
        <f t="shared" ca="1" si="267"/>
        <v>命</v>
      </c>
      <c r="Q287" s="45">
        <f t="shared" ca="1" si="268"/>
        <v>1</v>
      </c>
      <c r="R287" s="117">
        <f ca="1">模拟模式!$E$20*(1-IF(模拟模式!$J$19="有",0.15,0))*(1-IF(模拟模式!$K$19="有",0.3,0)-IF(CQ287,0.5,0))</f>
        <v>843.02999999999975</v>
      </c>
      <c r="S287" s="45">
        <f ca="1">R287/(R287+(185*模拟模式!$E$22-16800)*4.08224)</f>
        <v>8.389626085980037E-2</v>
      </c>
      <c r="T287" s="45" t="str">
        <f ca="1">LOOKUP(D287,'模拟-单技能数据'!$A$2:$A$19,'模拟-单技能数据'!$H$2:$H$19)</f>
        <v>阳</v>
      </c>
      <c r="U287" s="119">
        <f t="shared" ca="1" si="243"/>
        <v>0.2</v>
      </c>
      <c r="V287" s="47">
        <f ca="1">(1+L287)*(LOOKUP(D287,'模拟-单技能数据'!$A$2:$A$19,'模拟-单技能数据'!$D$2:$D$19)+G287*LOOKUP(D287,'模拟-单技能数据'!$A$2:$A$19,'模拟-单技能数据'!$F$2:$F$19))*(1+J287)*(1+K287)*(1-S287)*(1+U287)*Q287*LOOKUP(D287,'模拟-单技能数据'!$A$2:$A$19,'模拟-单技能数据'!$I$2:$I$20)</f>
        <v>25419.398421196373</v>
      </c>
      <c r="W287" s="47">
        <f ca="1">LOOKUP(D287,'模拟-单技能数据'!$A$2:$A$19,'模拟-单技能数据'!$G$2:$G$19)*$I$10</f>
        <v>361.51064354704795</v>
      </c>
      <c r="X287" s="47">
        <f t="shared" ca="1" si="269"/>
        <v>11118.353508757338</v>
      </c>
      <c r="Y287" s="47">
        <f t="shared" ca="1" si="244"/>
        <v>36899.26257350076</v>
      </c>
      <c r="Z287" s="49">
        <f t="shared" ca="1" si="245"/>
        <v>27396514.584202975</v>
      </c>
      <c r="AA287" s="97">
        <f t="shared" ca="1" si="246"/>
        <v>114223.53380947589</v>
      </c>
      <c r="AB287" s="115">
        <f ca="1">IF(OR(C287="赤日轮1",C287="赤日轮2",C287="赤日轮3"),IF(RAND()&lt;模拟模式!$Y$17,1,0),IF(OR(C287="幽月轮1",C287="幽月轮2",C287="幽月轮3"),IF(RAND()&lt;模拟模式!$Y$18,1,0),IF(C287="烈日斩",IF(RAND()&lt;模拟模式!$Y$19,1,0),IF(C287="银月斩",IF(RAND()&lt;模拟模式!$Y$20,1,0),IF(C287="驱夜断愁",IF(RAND()&lt;模拟模式!$Y$21,1,0),IF(C287="净世破魔击·日",IF(RAND()&lt;模拟模式!$Y$22,1,0),IF(C287="净世破魔击·月",IF(RAND()&lt;模拟模式!$Y$23,1,0),0)))))))</f>
        <v>1</v>
      </c>
      <c r="AC287" s="115" t="b">
        <f t="shared" ca="1" si="234"/>
        <v>0</v>
      </c>
      <c r="AD287" s="115" t="b">
        <f t="shared" ca="1" si="254"/>
        <v>0</v>
      </c>
      <c r="AE287" s="115">
        <f t="shared" ca="1" si="255"/>
        <v>3</v>
      </c>
      <c r="AF287" s="47">
        <f ca="1">IF(AC287,('模拟-单技能数据'!$D$20+G287*'模拟-单技能数据'!$F$20)*(1+J287)*(1+'模拟-单技能数据'!$J$20)*(1+U287),0)</f>
        <v>0</v>
      </c>
      <c r="AG287" s="61">
        <f t="shared" ca="1" si="247"/>
        <v>0.64185145527300214</v>
      </c>
      <c r="AH287" s="61">
        <f t="shared" ca="1" si="248"/>
        <v>2.2624828854998791</v>
      </c>
      <c r="AI287" s="62">
        <f t="shared" ca="1" si="270"/>
        <v>0.2766096766314845</v>
      </c>
      <c r="AJ287" s="47">
        <f ca="1">IF(AD287,IF(AI287&lt;$F$10,0,IF(AI287&lt;$F$10+$F$11,0.25,IF(AI287&lt;$F$10+$F$11+AG287,AH287,1)))*IF(AF287&gt;0,AF287,IF(AF286&gt;0,AF286,IF(AF285&gt;0,AF285,IF(AF284&gt;0,AF284,IF(AF283&gt;0,AF283,IF(AF282&gt;0,AF282,IF(AF281&gt;0,AF281,IF(AF280&gt;0,AF280,IF(AF279&gt;0,AF279,IF(AF277&gt;0,AF277,IF(AF276&gt;0,AF276,IF(AF275&gt;0,AF275,0)))))))))))),0)*(1-$S287)*'模拟-单技能数据'!$I$20</f>
        <v>0</v>
      </c>
      <c r="AK287" s="115" t="b">
        <f t="shared" ca="1" si="235"/>
        <v>0</v>
      </c>
      <c r="AL287" s="115" t="b">
        <f t="shared" ca="1" si="256"/>
        <v>1</v>
      </c>
      <c r="AM287" s="115">
        <f t="shared" ca="1" si="257"/>
        <v>5</v>
      </c>
      <c r="AN287" s="47">
        <f ca="1">IF(AK287,('模拟-单技能数据'!$D$21+G287*'模拟-单技能数据'!$F$21)*(1+J287)*(1+'模拟-单技能数据'!$J$21)*(1+U287),0)</f>
        <v>0</v>
      </c>
      <c r="AO287" s="61">
        <f ca="1">IF(AN287&gt;0,M287-'模拟-单技能数据'!$K$10,AO286)</f>
        <v>0.42185145527300216</v>
      </c>
      <c r="AP287" s="61">
        <f ca="1">IF(AN287&gt;0,I287-'模拟-单技能数据'!$L$10,AP286)</f>
        <v>2.162482885499879</v>
      </c>
      <c r="AQ287" s="63">
        <f t="shared" ca="1" si="271"/>
        <v>0.91623359298347851</v>
      </c>
      <c r="AR287" s="64">
        <f ca="1">IF(AL287,IF(AQ287&lt;$F$10,0,IF(AQ287&lt;$F$10+$F$11,0.25,IF(AQ287&lt;$F$10+$F$11+AO287,AP287,1)))*IF(AN287&gt;0,AN287,IF(AN286&gt;0,AN286,IF(AN285&gt;0,AN285,IF(AN284&gt;0,AN284,IF(AN283&gt;0,AN283,IF(AN282&gt;0,AN282,IF(AN281&gt;0,AN281,IF(AN280&gt;0,AN280,IF(AN279&gt;0,AN279,IF(AN277&gt;0,AN277,IF(AN276&gt;0,AN276,IF(AN275&gt;0,AN275,0)))))))))))),0)*(1-$S287)*'模拟-单技能数据'!$I$21</f>
        <v>11118.353508757338</v>
      </c>
      <c r="AS287" s="61">
        <f ca="1">IF(OR(C287="净世破魔击·日",C287="净世破魔击·月"),M287-'模拟-单技能数据'!$K$10,0)</f>
        <v>0</v>
      </c>
      <c r="AT287" s="61">
        <f ca="1">IF(OR(C287="净世破魔击·日",C287="净世破魔击·月"),I287-'模拟-单技能数据'!$L$10,0)</f>
        <v>0</v>
      </c>
      <c r="AU287" s="62">
        <f t="shared" ca="1" si="272"/>
        <v>0.30247460776867896</v>
      </c>
      <c r="AV287" s="64">
        <f ca="1">IF(AS287&gt;0,('模拟-单技能数据'!$D$22+G287*'模拟-单技能数据'!$F$22)*(1+J287)*(1-S287)*IF(AU287&lt;$F$10,0,IF(AU287&lt;$F$10+$F$11,0.25,IF(AU287&lt;$F$10+$F$11+AS287,AT287,1)))*(1+U287),0)*'模拟-单技能数据'!$I$22</f>
        <v>0</v>
      </c>
      <c r="AW287" s="108">
        <f t="shared" ca="1" si="273"/>
        <v>17.232500000000002</v>
      </c>
      <c r="AX287" s="108" t="b">
        <f ca="1">AND(模拟模式!$P$10="有",AW286=0,RAND()&lt;IF(C287="净世破魔击·月",0.1*8/3,IF(C287="净世破魔击·日",0.1*4/3,0.1*2/3)))</f>
        <v>0</v>
      </c>
      <c r="AY287" s="47">
        <f ca="1">IF(AX287,(18+G287*0.722)*(1+J287)*(1-S287)*(1+$I$4)*IF(P287="会",'模拟-全程加成'!$J$3+'模拟-全程加成'!$J$4+'模拟-全程加成'!$J$5+('模拟-全程加成'!$I$4+'模拟-全程加成'!$I$5)/系数!$B$4+BG287*10%,IF(P287="命",1,IF(P287="识",0.25,0))),0)</f>
        <v>0</v>
      </c>
      <c r="AZ287" s="108">
        <f t="shared" si="274"/>
        <v>3.3950000000000062</v>
      </c>
      <c r="BA287" s="108" t="b">
        <f>AND(模拟模式!$Q$10="有",AZ286=0)</f>
        <v>0</v>
      </c>
      <c r="BB287" s="140">
        <f>IF(BA287,(0+G287*0.287)*(1+J287)*(1-S287)*(1+$I$4)*IF(P287="会",'模拟-全程加成'!$J$3+'模拟-全程加成'!$J$4+'模拟-全程加成'!$J$5+('模拟-全程加成'!$I$4+'模拟-全程加成'!$I$5)/系数!$B$4+BG287*10%,IF(P287="命",1,IF(P287="识",0.25,0))),0)</f>
        <v>0</v>
      </c>
      <c r="BC287" s="115" t="b">
        <f ca="1">AND(模拟模式!$R$7="伏明众生",E287=60,F287=20,DA287&lt;5,CZ286&lt;$F$4)</f>
        <v>0</v>
      </c>
      <c r="BD287" s="115">
        <f t="shared" ca="1" si="236"/>
        <v>0</v>
      </c>
      <c r="BE287" s="115" t="b">
        <f t="shared" ca="1" si="237"/>
        <v>0</v>
      </c>
      <c r="BF287" s="47">
        <f ca="1">IF(BC287,4*('模拟-单技能数据'!$D$24+G287*'模拟-单技能数据'!$F$24)*(1+J287)*(1+'模拟-单技能数据'!$J$24)*(1-S287)*(1+$I$3)*(('模拟-全程加成'!$J$3+'模拟-全程加成'!$J$4+'模拟-全程加成'!$J$5+('模拟-全程加成'!$I$4+'模拟-全程加成'!$I$5)/系数!$B$4+BG287*10%)*('模拟-全程加成'!$J$3+'模拟-全程加成'!$J$4+'模拟-全程加成'!$J$5+('模拟-全程加成'!$I$4+'模拟-全程加成'!$I$5)/系数!$B$4+BG287*10%)+(1-('模拟-全程加成'!$J$3+'模拟-全程加成'!$J$4+'模拟-全程加成'!$J$5+('模拟-全程加成'!$I$4+'模拟-全程加成'!$I$5)/系数!$B$4+BG287*10%)-$F$10-$F$11)+F273*0.25),0)*'模拟-单技能数据'!$I$24</f>
        <v>0</v>
      </c>
      <c r="BG287" s="115" t="b">
        <f ca="1">OR(AND(OR(C287="烈日斩",C287="银月斩"),模拟模式!$I$7="净身明礼"),AND(C287="净世破魔击·日",模拟模式!$J$7="洞若观火"),AND(C288="净世破魔击·月",模拟模式!$J$7="洞若观火"),AB287=1)</f>
        <v>1</v>
      </c>
      <c r="BH287" s="115" t="b">
        <f t="shared" ca="1" si="275"/>
        <v>0</v>
      </c>
      <c r="BI287" s="115">
        <f t="shared" ca="1" si="238"/>
        <v>0</v>
      </c>
      <c r="BJ287" s="115" t="b">
        <f t="shared" ca="1" si="249"/>
        <v>0</v>
      </c>
      <c r="BK287" s="115" t="b">
        <f ca="1">AND(C287="驱夜断愁",模拟模式!$P$7="天地诛戮")</f>
        <v>0</v>
      </c>
      <c r="BL287" s="57">
        <f t="shared" ca="1" si="239"/>
        <v>15.387500000000003</v>
      </c>
      <c r="BM287" s="115" t="b">
        <f t="shared" ca="1" si="250"/>
        <v>1</v>
      </c>
      <c r="BN287" s="115" t="b">
        <f ca="1">AND(OR(C287="赤日轮1",C287="赤日轮2",C287="赤日轮3",C287="幽月轮1",C287="幽月轮2",C287="幽月轮3"),AB287=1,模拟模式!$L$7="明光恒照")</f>
        <v>1</v>
      </c>
      <c r="BO287" s="117">
        <f t="shared" ca="1" si="240"/>
        <v>30</v>
      </c>
      <c r="BP287" s="115">
        <f t="shared" ca="1" si="276"/>
        <v>6</v>
      </c>
      <c r="BQ287" s="115" t="b">
        <f>模拟模式!$K$10="2600·水"</f>
        <v>0</v>
      </c>
      <c r="BR287" s="117">
        <f t="shared" si="277"/>
        <v>0</v>
      </c>
      <c r="BS287" s="115">
        <f t="shared" si="278"/>
        <v>0</v>
      </c>
      <c r="BT287" s="115">
        <f t="shared" ca="1" si="279"/>
        <v>0</v>
      </c>
      <c r="BU287" s="115" t="b">
        <f ca="1">AND(模拟模式!$K$10="2300·雷",BT286=0,RAND()&lt;IF(C287="净世破魔击·月",5*0.05*2/3,IF(C287="净世破魔击·日",3*0.05*2/3,0.05*2*2/3)))</f>
        <v>0</v>
      </c>
      <c r="BV287" s="115">
        <f t="shared" ca="1" si="280"/>
        <v>0</v>
      </c>
      <c r="BW287" s="115">
        <f t="shared" ca="1" si="281"/>
        <v>132.02999999999929</v>
      </c>
      <c r="BX287" s="164" t="b">
        <f t="shared" ca="1" si="282"/>
        <v>0</v>
      </c>
      <c r="BY287" s="115">
        <f t="shared" ca="1" si="283"/>
        <v>0</v>
      </c>
      <c r="BZ287" s="115">
        <f>IF(OR(模拟模式!$P$16="10人团",模拟模式!$P$16="25人团"),IF(B287/30&gt;CA286,1,0),0)</f>
        <v>0</v>
      </c>
      <c r="CA287" s="115">
        <f t="shared" si="259"/>
        <v>0</v>
      </c>
      <c r="CB287" s="115">
        <f ca="1">IF(BZ287=1,IF(模拟模式!$P$16="10人团",15,0)+IF(模拟模式!$P$16="25人团",IF(RAND()&lt;0.6,15,0)),MAX(0,CB286-$F$4))</f>
        <v>0</v>
      </c>
      <c r="CC287" s="115" t="b">
        <f t="shared" ca="1" si="251"/>
        <v>0</v>
      </c>
      <c r="CD287" s="115">
        <f>IF(模拟模式!$Q$16="1个",IF(B287/40&gt;CE286,1,0),0)</f>
        <v>0</v>
      </c>
      <c r="CE287" s="115">
        <f t="shared" si="252"/>
        <v>0</v>
      </c>
      <c r="CF287" s="115">
        <f>IF(OR(CD287=1,模拟模式!$Q$16="2个"),20,MAX(0,CF286-$F$4))</f>
        <v>0</v>
      </c>
      <c r="CG287" s="115" t="b">
        <f t="shared" si="253"/>
        <v>0</v>
      </c>
      <c r="CH287" s="115">
        <f t="shared" ca="1" si="284"/>
        <v>27.232500000000002</v>
      </c>
      <c r="CI287" s="115" t="b">
        <f t="shared" ca="1" si="285"/>
        <v>0</v>
      </c>
      <c r="CJ287" s="119">
        <f t="shared" ca="1" si="286"/>
        <v>0.01</v>
      </c>
      <c r="CK287" s="115">
        <f t="shared" ca="1" si="287"/>
        <v>5.232499999999999</v>
      </c>
      <c r="CL287" s="115" t="b">
        <f ca="1">AND(模拟模式!$S$7="驱夷逐法",OR(AND(C287="净世破魔击·月",E286&gt;59),AND(C287="净世破魔击·日",F286&gt;59)))</f>
        <v>0</v>
      </c>
      <c r="CM287" s="115" t="b">
        <f ca="1">OR(CL287,AND(C287="净世破魔击·日",CL286,RAND()&lt;模拟模式!$U$23))</f>
        <v>0</v>
      </c>
      <c r="CN287" s="115" t="b">
        <f ca="1">IF(模拟模式!$M$7="辉耀红尘",AND(C287="净世破魔击·月",CL287,CV287=0,E286&lt;80),AND(C287="净世破魔击·月",CL287,E286&lt;100))</f>
        <v>0</v>
      </c>
      <c r="CO287" s="115" t="b">
        <f t="shared" ca="1" si="260"/>
        <v>0</v>
      </c>
      <c r="CP287" s="115" t="b">
        <f ca="1">AND(模拟模式!$O$7="用晦而明",OR(C287="净世破魔击·日",C287="净世破魔击·月",C287="驱夜断愁"),AB287)</f>
        <v>0</v>
      </c>
      <c r="CQ287" s="115" t="b">
        <f ca="1">OR(CP287,AND(CP286,RAND()&lt;模拟模式!$U$23))</f>
        <v>1</v>
      </c>
      <c r="CR287" s="115" t="b">
        <f ca="1">AND(模拟模式!$S$7="日月齐光",OR(C287="幽月轮1",C287="幽月轮2",C287="幽月轮3",CR286),NOT(OR(C287="赤日轮1",C287="赤日轮2",C287="赤日轮3")))</f>
        <v>0</v>
      </c>
      <c r="CS287" s="115" t="b">
        <f ca="1">AND(模拟模式!$S$7="日月齐光",OR(C287="赤日轮1",C287="赤日轮2",C287="赤日轮3",CS286),NOT(OR(C287="幽月轮1",C287="幽月轮2",C287="幽月轮3")))</f>
        <v>0</v>
      </c>
      <c r="CT287" s="115">
        <f t="shared" ca="1" si="288"/>
        <v>0</v>
      </c>
      <c r="CU287" s="115" t="b">
        <f ca="1">AND(模拟模式!$K$10="阴阳往极",CT286=0,RAND()&lt;IF(C287="净世破魔击·月",0.0275*7/3,IF(C287="净世破魔击·日",0.0275*3/3,0.0275*2/3)))</f>
        <v>0</v>
      </c>
      <c r="CV287" s="115">
        <f t="shared" ca="1" si="289"/>
        <v>0</v>
      </c>
      <c r="CW287" s="115">
        <f t="shared" ca="1" si="261"/>
        <v>2.3099999999999996</v>
      </c>
      <c r="CX287" s="115">
        <f t="shared" ca="1" si="262"/>
        <v>0.46499999999999975</v>
      </c>
      <c r="CY287" s="115">
        <f ca="1">MAX(IF($C287="驱夜断愁",IF(模拟模式!$R$7="万念俱寂",6,45),CY286-$F$4),0)</f>
        <v>1.3874999999999997</v>
      </c>
      <c r="CZ287" s="115">
        <f t="shared" ca="1" si="263"/>
        <v>0</v>
      </c>
      <c r="DA287" s="115">
        <f ca="1">IF(模拟模式!$N$7="日月同辉",IF(DB286=2,0,MIN(6,IF(AND(OR(C287="赤日轮1",C287="赤日轮2",C287="赤日轮3",C287="幽月轮1",C287="幽月轮2",C287="幽月轮3"),AB287=1),DA286+1,DA286))),0)</f>
        <v>6</v>
      </c>
      <c r="DB287" s="115">
        <f t="shared" ca="1" si="264"/>
        <v>2</v>
      </c>
      <c r="DC287" s="115"/>
      <c r="DD287" s="115"/>
      <c r="DE287" s="115"/>
      <c r="DF287" s="115"/>
      <c r="DG287" s="115"/>
      <c r="DH287" s="115"/>
      <c r="DI287" s="115"/>
      <c r="DJ287" s="115"/>
      <c r="DK287" s="115"/>
      <c r="DL287" s="115"/>
      <c r="DM287" s="115"/>
    </row>
    <row r="288" spans="2:117" x14ac:dyDescent="0.2">
      <c r="B288" s="117">
        <f t="shared" si="265"/>
        <v>240.7725000000016</v>
      </c>
      <c r="C288" s="167" t="str">
        <f t="shared" ca="1" si="258"/>
        <v>银月斩</v>
      </c>
      <c r="D288" s="115">
        <f ca="1">IF(C288="赤日轮1",1,IF(C288="赤日轮2",2,IF(C288="赤日轮3",3,IF(C288="幽月轮1",4,IF(C288="幽月轮2",5,IF(C288="幽月轮3",6,IF(C288="烈日斩",7,IF(C288="银月斩",8,IF(C288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288="净世破魔击·月",17,IF(C288="驱夜断愁",18,0)))))))))))</f>
        <v>8</v>
      </c>
      <c r="E288" s="115">
        <f ca="1">IF(AND(CU288,OR(C288="幽月轮1",C288="幽月轮2",C288="幽月轮3",C288="银月斩",C288="驱夜断愁",C288="净世破魔击·月")),100,MIN(IF(OR(CN288,BE288),0,IF(OR($C288="赤日轮1",$C288="赤日轮2",$C288="赤日轮3"),E287+20+IF(模拟模式!$I$7="日月凌天",4,0)+IF(CR287,20,0),IF($C288="烈日斩",E287+40,IF($C288="驱夜断愁",IF(模拟模式!$R$7="万念俱寂",E287+20,E287+60),IF($C288="净世破魔击·月",IF(OR(DB287&gt;0,CV287&gt;0),100,IF(模拟模式!$M$7="辉耀红尘",E287+20,E287)),IF($C288="净世破魔击·日",E287-100,E287)))))),100))</f>
        <v>20</v>
      </c>
      <c r="F288" s="115">
        <f ca="1">IF(AND(CU288,OR(C288="赤日轮1",C288="赤日轮2",C288="赤日轮3",C288="烈日斩",C288="净世破魔击·日")),100,MIN(IF(CO288,0,IF(OR($C288="幽月轮1",$C288="幽月轮2",$C288="幽月轮3"),F287+20+IF(模拟模式!$I$7="日月凌天",4,0)+IF(CS287,20,0),IF($C288="银月斩",F287+40+IF(模拟模式!$X$12=1,5,0),IF($C288="驱夜断愁",IF(模拟模式!$R$7="万念俱寂",F287+20,F287+60),IF($C288="净世破魔击·月",IF(模拟模式!$M$7="辉耀红尘",F287-80,F287-100),IF(AND(C288="净世破魔击·日",OR(DB287&gt;0,CV287&gt;0)),100,F287)))))),100))</f>
        <v>65</v>
      </c>
      <c r="G288" s="117">
        <f ca="1">('模拟-全程加成'!$E$3+'模拟-全程加成'!$E$4+'模拟-全程加成'!$E$5+('模拟-全程加成'!$C$6-'模拟-全程加成'!$C$3)*系数!$B$9+BS288*23)*(1+'模拟-全程加成'!$F$4+'模拟-全程加成'!$F$5+BJ288*10%+BM288*20%+BP288*4%+CG288*30%)+$F$7*系数!$B$12</f>
        <v>20583.127400000001</v>
      </c>
      <c r="H288" s="45">
        <f ca="1">'模拟-全程加成'!$H$3+'模拟-全程加成'!$H$4+'模拟-全程加成'!$H$5+('模拟-全程加成'!$G$4+'模拟-全程加成'!$G$5+('模拟-全程加成'!$C$6-'模拟-全程加成'!$C$3)*系数!$B$13)/系数!$B$3+LOOKUP(D288,'模拟-单技能数据'!$A$2:$A$19,'模拟-单技能数据'!$K$2:$K$19)+BG288*10%+IF(BV288&gt;0,378,0)</f>
        <v>0.64185145527300214</v>
      </c>
      <c r="I288" s="45">
        <f ca="1">'模拟-全程加成'!$J$3+'模拟-全程加成'!$J$4+'模拟-全程加成'!$J$5+('模拟-全程加成'!$I$4+'模拟-全程加成'!$I$5)/系数!$B$4+LOOKUP(D288,'模拟-单技能数据'!$A$2:$A$19,'模拟-单技能数据'!$L$2:$L$19)+BG288*10%</f>
        <v>2.2624828854998791</v>
      </c>
      <c r="J288" s="45">
        <f ca="1">(('模拟-全程加成'!$K$3+'模拟-全程加成'!$K$4+'模拟-全程加成'!$K$5+('模拟-全程加成'!$C$6-'模拟-全程加成'!$C$3)*系数!$B$10+IF(BV288&gt;0,882,0)+IF(BY288&gt;0,1831,0))*(1+'模拟-全程加成'!$L$4+'模拟-全程加成'!$L$5+CC288*20%))/系数!$B$5</f>
        <v>0.69723220422048726</v>
      </c>
      <c r="K288" s="119">
        <f ca="1">LOOKUP(D288,'模拟-单技能数据'!$A$2:$A$19,'模拟-单技能数据'!$J$2:$J$19)+IF(CM288,60%,0)+IF(DB287-DB288&gt;0,30%,0)+IF(OR(AND(OR(C288="赤日轮1",C288="赤日轮2",C288="赤日轮3"),CR288),AND(OR(C288="幽月轮1",C288="幽月轮2",C288="幽月轮3"),CS288)),35%,0)+CJ288</f>
        <v>0.16</v>
      </c>
      <c r="L288" s="119">
        <f ca="1">IF(AND(C288="烈日斩",模拟模式!$X$11=1),10%,0)+IF(AND(C288="驱夜断愁",AB288=1),30%,0)</f>
        <v>0</v>
      </c>
      <c r="M288" s="45">
        <f t="shared" ca="1" si="241"/>
        <v>0.64185145527300214</v>
      </c>
      <c r="N288" s="45">
        <f t="shared" ca="1" si="242"/>
        <v>0.30424854472699792</v>
      </c>
      <c r="O288" s="46">
        <f t="shared" ca="1" si="266"/>
        <v>0.64330017698766073</v>
      </c>
      <c r="P288" s="46" t="str">
        <f t="shared" ca="1" si="267"/>
        <v>会</v>
      </c>
      <c r="Q288" s="45">
        <f t="shared" ca="1" si="268"/>
        <v>2.2624828854998791</v>
      </c>
      <c r="R288" s="117">
        <f ca="1">模拟模式!$E$20*(1-IF(模拟模式!$J$19="有",0.15,0))*(1-IF(模拟模式!$K$19="有",0.3,0)-IF(CQ288,0.5,0))</f>
        <v>2950.6049999999996</v>
      </c>
      <c r="S288" s="45">
        <f ca="1">R288/(R288+(185*模拟模式!$E$22-16800)*4.08224)</f>
        <v>0.24272716014590323</v>
      </c>
      <c r="T288" s="45" t="str">
        <f ca="1">LOOKUP(D288,'模拟-单技能数据'!$A$2:$A$19,'模拟-单技能数据'!$H$2:$H$19)</f>
        <v>阴</v>
      </c>
      <c r="U288" s="119">
        <f t="shared" ca="1" si="243"/>
        <v>0.08</v>
      </c>
      <c r="V288" s="47">
        <f ca="1">(1+L288)*(LOOKUP(D288,'模拟-单技能数据'!$A$2:$A$19,'模拟-单技能数据'!$D$2:$D$19)+G288*LOOKUP(D288,'模拟-单技能数据'!$A$2:$A$19,'模拟-单技能数据'!$F$2:$F$19))*(1+J288)*(1+K288)*(1-S288)*(1+U288)*Q288*LOOKUP(D288,'模拟-单技能数据'!$A$2:$A$19,'模拟-单技能数据'!$I$2:$I$20)</f>
        <v>39824.626099030873</v>
      </c>
      <c r="W288" s="47">
        <f ca="1">LOOKUP(D288,'模拟-单技能数据'!$A$2:$A$19,'模拟-单技能数据'!$G$2:$G$19)*$I$10</f>
        <v>361.51064354704795</v>
      </c>
      <c r="X288" s="47">
        <f t="shared" ca="1" si="269"/>
        <v>7620.5875385322679</v>
      </c>
      <c r="Y288" s="47">
        <f t="shared" ca="1" si="244"/>
        <v>47806.724281110182</v>
      </c>
      <c r="Z288" s="49">
        <f t="shared" ca="1" si="245"/>
        <v>27444321.308484085</v>
      </c>
      <c r="AA288" s="97">
        <f t="shared" ca="1" si="246"/>
        <v>113984.45133262272</v>
      </c>
      <c r="AB288" s="115">
        <f ca="1">IF(OR(C288="赤日轮1",C288="赤日轮2",C288="赤日轮3"),IF(RAND()&lt;模拟模式!$Y$17,1,0),IF(OR(C288="幽月轮1",C288="幽月轮2",C288="幽月轮3"),IF(RAND()&lt;模拟模式!$Y$18,1,0),IF(C288="烈日斩",IF(RAND()&lt;模拟模式!$Y$19,1,0),IF(C288="银月斩",IF(RAND()&lt;模拟模式!$Y$20,1,0),IF(C288="驱夜断愁",IF(RAND()&lt;模拟模式!$Y$21,1,0),IF(C288="净世破魔击·日",IF(RAND()&lt;模拟模式!$Y$22,1,0),IF(C288="净世破魔击·月",IF(RAND()&lt;模拟模式!$Y$23,1,0),0)))))))</f>
        <v>1</v>
      </c>
      <c r="AC288" s="115" t="b">
        <f t="shared" ca="1" si="234"/>
        <v>1</v>
      </c>
      <c r="AD288" s="115" t="b">
        <f t="shared" ca="1" si="254"/>
        <v>1</v>
      </c>
      <c r="AE288" s="115">
        <f t="shared" ca="1" si="255"/>
        <v>5</v>
      </c>
      <c r="AF288" s="47">
        <f ca="1">IF(AC288,('模拟-单技能数据'!$D$20+G288*'模拟-单技能数据'!$F$20)*(1+J288)*(1+'模拟-单技能数据'!$J$20)*(1+U288),0)</f>
        <v>4447.8565560098323</v>
      </c>
      <c r="AG288" s="61">
        <f t="shared" ca="1" si="247"/>
        <v>0.64185145527300214</v>
      </c>
      <c r="AH288" s="61">
        <f t="shared" ca="1" si="248"/>
        <v>2.2624828854998791</v>
      </c>
      <c r="AI288" s="62">
        <f t="shared" ca="1" si="270"/>
        <v>9.6538688499807734E-2</v>
      </c>
      <c r="AJ288" s="47">
        <f ca="1">IF(AD288,IF(AI288&lt;$F$10,0,IF(AI288&lt;$F$10+$F$11,0.25,IF(AI288&lt;$F$10+$F$11+AG288,AH288,1)))*IF(AF288&gt;0,AF288,IF(AF287&gt;0,AF287,IF(AF286&gt;0,AF286,IF(AF285&gt;0,AF285,IF(AF284&gt;0,AF284,IF(AF283&gt;0,AF283,IF(AF282&gt;0,AF282,IF(AF281&gt;0,AF281,IF(AF280&gt;0,AF280,IF(AF278&gt;0,AF278,IF(AF277&gt;0,AF277,IF(AF276&gt;0,AF276,0)))))))))))),0)*(1-$S288)*'模拟-单技能数据'!$I$20</f>
        <v>7620.5875385322679</v>
      </c>
      <c r="AK288" s="115" t="b">
        <f t="shared" ca="1" si="235"/>
        <v>0</v>
      </c>
      <c r="AL288" s="115" t="b">
        <f t="shared" ca="1" si="256"/>
        <v>0</v>
      </c>
      <c r="AM288" s="115">
        <f t="shared" ca="1" si="257"/>
        <v>5</v>
      </c>
      <c r="AN288" s="47">
        <f ca="1">IF(AK288,('模拟-单技能数据'!$D$21+G288*'模拟-单技能数据'!$F$21)*(1+J288)*(1+'模拟-单技能数据'!$J$21)*(1+U288),0)</f>
        <v>0</v>
      </c>
      <c r="AO288" s="61">
        <f ca="1">IF(AN288&gt;0,M288-'模拟-单技能数据'!$K$10,AO287)</f>
        <v>0.42185145527300216</v>
      </c>
      <c r="AP288" s="61">
        <f ca="1">IF(AN288&gt;0,I288-'模拟-单技能数据'!$L$10,AP287)</f>
        <v>2.162482885499879</v>
      </c>
      <c r="AQ288" s="63">
        <f t="shared" ca="1" si="271"/>
        <v>0.14617894603547865</v>
      </c>
      <c r="AR288" s="64">
        <f ca="1">IF(AL288,IF(AQ288&lt;$F$10,0,IF(AQ288&lt;$F$10+$F$11,0.25,IF(AQ288&lt;$F$10+$F$11+AO288,AP288,1)))*IF(AN288&gt;0,AN288,IF(AN287&gt;0,AN287,IF(AN286&gt;0,AN286,IF(AN285&gt;0,AN285,IF(AN284&gt;0,AN284,IF(AN283&gt;0,AN283,IF(AN282&gt;0,AN282,IF(AN281&gt;0,AN281,IF(AN280&gt;0,AN280,IF(AN278&gt;0,AN278,IF(AN277&gt;0,AN277,IF(AN276&gt;0,AN276,0)))))))))))),0)*(1-$S288)*'模拟-单技能数据'!$I$21</f>
        <v>0</v>
      </c>
      <c r="AS288" s="61">
        <f ca="1">IF(OR(C288="净世破魔击·日",C288="净世破魔击·月"),M288-'模拟-单技能数据'!$K$10,0)</f>
        <v>0</v>
      </c>
      <c r="AT288" s="61">
        <f ca="1">IF(OR(C288="净世破魔击·日",C288="净世破魔击·月"),I288-'模拟-单技能数据'!$L$10,0)</f>
        <v>0</v>
      </c>
      <c r="AU288" s="62">
        <f t="shared" ca="1" si="272"/>
        <v>0.99124610518443734</v>
      </c>
      <c r="AV288" s="64">
        <f ca="1">IF(AS288&gt;0,('模拟-单技能数据'!$D$22+G288*'模拟-单技能数据'!$F$22)*(1+J288)*(1-S288)*IF(AU288&lt;$F$10,0,IF(AU288&lt;$F$10+$F$11,0.25,IF(AU288&lt;$F$10+$F$11+AS288,AT288,1)))*(1+U288),0)*'模拟-单技能数据'!$I$22</f>
        <v>0</v>
      </c>
      <c r="AW288" s="108">
        <f t="shared" ca="1" si="273"/>
        <v>16.310000000000002</v>
      </c>
      <c r="AX288" s="108" t="b">
        <f ca="1">AND(模拟模式!$P$10="有",AW287=0,RAND()&lt;IF(C288="净世破魔击·月",0.1*8/3,IF(C288="净世破魔击·日",0.1*4/3,0.1*2/3)))</f>
        <v>0</v>
      </c>
      <c r="AY288" s="47">
        <f ca="1">IF(AX288,(18+G288*0.722)*(1+J288)*(1-S288)*(1+$I$4)*IF(P288="会",'模拟-全程加成'!$J$3+'模拟-全程加成'!$J$4+'模拟-全程加成'!$J$5+('模拟-全程加成'!$I$4+'模拟-全程加成'!$I$5)/系数!$B$4+BG288*10%,IF(P288="命",1,IF(P288="识",0.25,0))),0)</f>
        <v>0</v>
      </c>
      <c r="AZ288" s="108">
        <f t="shared" si="274"/>
        <v>2.4725000000000064</v>
      </c>
      <c r="BA288" s="108" t="b">
        <f>AND(模拟模式!$Q$10="有",AZ287=0)</f>
        <v>0</v>
      </c>
      <c r="BB288" s="140">
        <f>IF(BA288,(0+G288*0.287)*(1+J288)*(1-S288)*(1+$I$4)*IF(P288="会",'模拟-全程加成'!$J$3+'模拟-全程加成'!$J$4+'模拟-全程加成'!$J$5+('模拟-全程加成'!$I$4+'模拟-全程加成'!$I$5)/系数!$B$4+BG288*10%,IF(P288="命",1,IF(P288="识",0.25,0))),0)</f>
        <v>0</v>
      </c>
      <c r="BC288" s="115" t="b">
        <f ca="1">AND(模拟模式!$R$7="伏明众生",E288=60,F288=20,DA288&lt;5,CZ287&lt;$F$4)</f>
        <v>0</v>
      </c>
      <c r="BD288" s="115">
        <f t="shared" ca="1" si="236"/>
        <v>0</v>
      </c>
      <c r="BE288" s="115" t="b">
        <f t="shared" ca="1" si="237"/>
        <v>0</v>
      </c>
      <c r="BF288" s="47">
        <f ca="1">IF(BC288,4*('模拟-单技能数据'!$D$24+G288*'模拟-单技能数据'!$F$24)*(1+J288)*(1+'模拟-单技能数据'!$J$24)*(1-S288)*(1+$I$3)*(('模拟-全程加成'!$J$3+'模拟-全程加成'!$J$4+'模拟-全程加成'!$J$5+('模拟-全程加成'!$I$4+'模拟-全程加成'!$I$5)/系数!$B$4+BG288*10%)*('模拟-全程加成'!$J$3+'模拟-全程加成'!$J$4+'模拟-全程加成'!$J$5+('模拟-全程加成'!$I$4+'模拟-全程加成'!$I$5)/系数!$B$4+BG288*10%)+(1-('模拟-全程加成'!$J$3+'模拟-全程加成'!$J$4+'模拟-全程加成'!$J$5+('模拟-全程加成'!$I$4+'模拟-全程加成'!$I$5)/系数!$B$4+BG288*10%)-$F$10-$F$11)+F274*0.25),0)*'模拟-单技能数据'!$I$24</f>
        <v>0</v>
      </c>
      <c r="BG288" s="115" t="b">
        <f ca="1">OR(AND(OR(C288="烈日斩",C288="银月斩"),模拟模式!$I$7="净身明礼"),AND(C288="净世破魔击·日",模拟模式!$J$7="洞若观火"),AND(C289="净世破魔击·月",模拟模式!$J$7="洞若观火"),AB288=1)</f>
        <v>1</v>
      </c>
      <c r="BH288" s="115" t="b">
        <f t="shared" ca="1" si="275"/>
        <v>0</v>
      </c>
      <c r="BI288" s="115">
        <f t="shared" ca="1" si="238"/>
        <v>0</v>
      </c>
      <c r="BJ288" s="115" t="b">
        <f t="shared" ca="1" si="249"/>
        <v>0</v>
      </c>
      <c r="BK288" s="115" t="b">
        <f ca="1">AND(C288="驱夜断愁",模拟模式!$P$7="天地诛戮")</f>
        <v>0</v>
      </c>
      <c r="BL288" s="57">
        <f t="shared" ca="1" si="239"/>
        <v>14.465000000000003</v>
      </c>
      <c r="BM288" s="115" t="b">
        <f t="shared" ca="1" si="250"/>
        <v>1</v>
      </c>
      <c r="BN288" s="115" t="b">
        <f ca="1">AND(OR(C288="赤日轮1",C288="赤日轮2",C288="赤日轮3",C288="幽月轮1",C288="幽月轮2",C288="幽月轮3"),AB288=1,模拟模式!$L$7="明光恒照")</f>
        <v>0</v>
      </c>
      <c r="BO288" s="117">
        <f t="shared" ca="1" si="240"/>
        <v>29.077500000000001</v>
      </c>
      <c r="BP288" s="115">
        <f t="shared" ca="1" si="276"/>
        <v>6</v>
      </c>
      <c r="BQ288" s="115" t="b">
        <f>模拟模式!$K$10="2600·水"</f>
        <v>0</v>
      </c>
      <c r="BR288" s="117">
        <f t="shared" si="277"/>
        <v>0</v>
      </c>
      <c r="BS288" s="115">
        <f t="shared" si="278"/>
        <v>0</v>
      </c>
      <c r="BT288" s="115">
        <f t="shared" ca="1" si="279"/>
        <v>0</v>
      </c>
      <c r="BU288" s="115" t="b">
        <f ca="1">AND(模拟模式!$K$10="2300·雷",BT287=0,RAND()&lt;IF(C288="净世破魔击·月",5*0.05*2/3,IF(C288="净世破魔击·日",3*0.05*2/3,0.05*2*2/3)))</f>
        <v>0</v>
      </c>
      <c r="BV288" s="115">
        <f t="shared" ca="1" si="280"/>
        <v>0</v>
      </c>
      <c r="BW288" s="115">
        <f t="shared" ca="1" si="281"/>
        <v>131.10749999999928</v>
      </c>
      <c r="BX288" s="164" t="b">
        <f t="shared" ca="1" si="282"/>
        <v>0</v>
      </c>
      <c r="BY288" s="115">
        <f t="shared" ca="1" si="283"/>
        <v>0</v>
      </c>
      <c r="BZ288" s="115">
        <f>IF(OR(模拟模式!$P$16="10人团",模拟模式!$P$16="25人团"),IF(B288/30&gt;CA287,1,0),0)</f>
        <v>0</v>
      </c>
      <c r="CA288" s="115">
        <f t="shared" si="259"/>
        <v>0</v>
      </c>
      <c r="CB288" s="115">
        <f ca="1">IF(BZ288=1,IF(模拟模式!$P$16="10人团",15,0)+IF(模拟模式!$P$16="25人团",IF(RAND()&lt;0.6,15,0)),MAX(0,CB287-$F$4))</f>
        <v>0</v>
      </c>
      <c r="CC288" s="115" t="b">
        <f t="shared" ca="1" si="251"/>
        <v>0</v>
      </c>
      <c r="CD288" s="115">
        <f>IF(模拟模式!$Q$16="1个",IF(B288/40&gt;CE287,1,0),0)</f>
        <v>0</v>
      </c>
      <c r="CE288" s="115">
        <f t="shared" si="252"/>
        <v>0</v>
      </c>
      <c r="CF288" s="115">
        <f>IF(OR(CD288=1,模拟模式!$Q$16="2个"),20,MAX(0,CF287-$F$4))</f>
        <v>0</v>
      </c>
      <c r="CG288" s="115" t="b">
        <f t="shared" si="253"/>
        <v>0</v>
      </c>
      <c r="CH288" s="115">
        <f t="shared" ca="1" si="284"/>
        <v>26.310000000000002</v>
      </c>
      <c r="CI288" s="115" t="b">
        <f t="shared" ca="1" si="285"/>
        <v>0</v>
      </c>
      <c r="CJ288" s="119">
        <f t="shared" ca="1" si="286"/>
        <v>0.01</v>
      </c>
      <c r="CK288" s="115">
        <f t="shared" ca="1" si="287"/>
        <v>4.3099999999999987</v>
      </c>
      <c r="CL288" s="115" t="b">
        <f ca="1">AND(模拟模式!$S$7="驱夷逐法",OR(AND(C288="净世破魔击·月",E287&gt;59),AND(C288="净世破魔击·日",F287&gt;59)))</f>
        <v>0</v>
      </c>
      <c r="CM288" s="115" t="b">
        <f ca="1">OR(CL288,AND(C288="净世破魔击·日",CL287,RAND()&lt;模拟模式!$U$23))</f>
        <v>0</v>
      </c>
      <c r="CN288" s="115" t="b">
        <f ca="1">IF(模拟模式!$M$7="辉耀红尘",AND(C288="净世破魔击·月",CL288,CV288=0,E287&lt;80),AND(C288="净世破魔击·月",CL288,E287&lt;100))</f>
        <v>0</v>
      </c>
      <c r="CO288" s="115" t="b">
        <f t="shared" ca="1" si="260"/>
        <v>0</v>
      </c>
      <c r="CP288" s="115" t="b">
        <f ca="1">AND(模拟模式!$O$7="用晦而明",OR(C288="净世破魔击·日",C288="净世破魔击·月",C288="驱夜断愁"),AB288)</f>
        <v>0</v>
      </c>
      <c r="CQ288" s="115" t="b">
        <f ca="1">OR(CP288,AND(CP287,RAND()&lt;模拟模式!$U$23))</f>
        <v>0</v>
      </c>
      <c r="CR288" s="115" t="b">
        <f ca="1">AND(模拟模式!$S$7="日月齐光",OR(C288="幽月轮1",C288="幽月轮2",C288="幽月轮3",CR287),NOT(OR(C288="赤日轮1",C288="赤日轮2",C288="赤日轮3")))</f>
        <v>0</v>
      </c>
      <c r="CS288" s="115" t="b">
        <f ca="1">AND(模拟模式!$S$7="日月齐光",OR(C288="赤日轮1",C288="赤日轮2",C288="赤日轮3",CS287),NOT(OR(C288="幽月轮1",C288="幽月轮2",C288="幽月轮3")))</f>
        <v>0</v>
      </c>
      <c r="CT288" s="115">
        <f t="shared" ca="1" si="288"/>
        <v>0</v>
      </c>
      <c r="CU288" s="115" t="b">
        <f ca="1">AND(模拟模式!$K$10="阴阳往极",CT287=0,RAND()&lt;IF(C288="净世破魔击·月",0.0275*7/3,IF(C288="净世破魔击·日",0.0275*3/3,0.0275*2/3)))</f>
        <v>0</v>
      </c>
      <c r="CV288" s="115">
        <f t="shared" ca="1" si="289"/>
        <v>0</v>
      </c>
      <c r="CW288" s="115">
        <f t="shared" ca="1" si="261"/>
        <v>1.3874999999999997</v>
      </c>
      <c r="CX288" s="115">
        <f t="shared" ca="1" si="262"/>
        <v>6</v>
      </c>
      <c r="CY288" s="115">
        <f ca="1">MAX(IF($C288="驱夜断愁",IF(模拟模式!$R$7="万念俱寂",6,45),CY287-$F$4),0)</f>
        <v>0.46499999999999975</v>
      </c>
      <c r="CZ288" s="115">
        <f t="shared" ca="1" si="263"/>
        <v>0</v>
      </c>
      <c r="DA288" s="115">
        <f ca="1">IF(模拟模式!$N$7="日月同辉",IF(DB287=2,0,MIN(6,IF(AND(OR(C288="赤日轮1",C288="赤日轮2",C288="赤日轮3",C288="幽月轮1",C288="幽月轮2",C288="幽月轮3"),AB288=1),DA287+1,DA287))),0)</f>
        <v>0</v>
      </c>
      <c r="DB288" s="115">
        <f t="shared" ca="1" si="264"/>
        <v>2</v>
      </c>
      <c r="DC288" s="115"/>
      <c r="DD288" s="115"/>
      <c r="DE288" s="115"/>
      <c r="DF288" s="115"/>
      <c r="DG288" s="115"/>
      <c r="DH288" s="115"/>
      <c r="DI288" s="115"/>
      <c r="DJ288" s="115"/>
      <c r="DK288" s="115"/>
      <c r="DL288" s="115"/>
      <c r="DM288" s="115"/>
    </row>
    <row r="289" spans="2:117" x14ac:dyDescent="0.2">
      <c r="B289" s="117">
        <f t="shared" si="265"/>
        <v>241.69500000000161</v>
      </c>
      <c r="C289" s="167" t="str">
        <f t="shared" ca="1" si="258"/>
        <v>驱夜断愁</v>
      </c>
      <c r="D289" s="115">
        <f ca="1">IF(C289="赤日轮1",1,IF(C289="赤日轮2",2,IF(C289="赤日轮3",3,IF(C289="幽月轮1",4,IF(C289="幽月轮2",5,IF(C289="幽月轮3",6,IF(C289="烈日斩",7,IF(C289="银月斩",8,IF(C289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289="净世破魔击·月",17,IF(C289="驱夜断愁",18,0)))))))))))</f>
        <v>18</v>
      </c>
      <c r="E289" s="115">
        <f ca="1">IF(AND(CU289,OR(C289="幽月轮1",C289="幽月轮2",C289="幽月轮3",C289="银月斩",C289="驱夜断愁",C289="净世破魔击·月")),100,MIN(IF(OR(CN289,BE289),0,IF(OR($C289="赤日轮1",$C289="赤日轮2",$C289="赤日轮3"),E288+20+IF(模拟模式!$I$7="日月凌天",4,0)+IF(CR288,20,0),IF($C289="烈日斩",E288+40,IF($C289="驱夜断愁",IF(模拟模式!$R$7="万念俱寂",E288+20,E288+60),IF($C289="净世破魔击·月",IF(OR(DB288&gt;0,CV288&gt;0),100,IF(模拟模式!$M$7="辉耀红尘",E288+20,E288)),IF($C289="净世破魔击·日",E288-100,E288)))))),100))</f>
        <v>40</v>
      </c>
      <c r="F289" s="115">
        <f ca="1">IF(AND(CU289,OR(C289="赤日轮1",C289="赤日轮2",C289="赤日轮3",C289="烈日斩",C289="净世破魔击·日")),100,MIN(IF(CO289,0,IF(OR($C289="幽月轮1",$C289="幽月轮2",$C289="幽月轮3"),F288+20+IF(模拟模式!$I$7="日月凌天",4,0)+IF(CS288,20,0),IF($C289="银月斩",F288+40+IF(模拟模式!$X$12=1,5,0),IF($C289="驱夜断愁",IF(模拟模式!$R$7="万念俱寂",F288+20,F288+60),IF($C289="净世破魔击·月",IF(模拟模式!$M$7="辉耀红尘",F288-80,F288-100),IF(AND(C289="净世破魔击·日",OR(DB288&gt;0,CV288&gt;0)),100,F288)))))),100))</f>
        <v>85</v>
      </c>
      <c r="G289" s="117">
        <f ca="1">('模拟-全程加成'!$E$3+'模拟-全程加成'!$E$4+'模拟-全程加成'!$E$5+('模拟-全程加成'!$C$6-'模拟-全程加成'!$C$3)*系数!$B$9+BS289*23)*(1+'模拟-全程加成'!$F$4+'模拟-全程加成'!$F$5+BJ289*10%+BM289*20%+BP289*4%+CG289*30%)+$F$7*系数!$B$12</f>
        <v>20583.127400000001</v>
      </c>
      <c r="H289" s="45">
        <f ca="1">'模拟-全程加成'!$H$3+'模拟-全程加成'!$H$4+'模拟-全程加成'!$H$5+('模拟-全程加成'!$G$4+'模拟-全程加成'!$G$5+('模拟-全程加成'!$C$6-'模拟-全程加成'!$C$3)*系数!$B$13)/系数!$B$3+LOOKUP(D289,'模拟-单技能数据'!$A$2:$A$19,'模拟-单技能数据'!$K$2:$K$19)+BG289*10%+IF(BV289&gt;0,378,0)</f>
        <v>0.51185145527300213</v>
      </c>
      <c r="I289" s="45">
        <f ca="1">'模拟-全程加成'!$J$3+'模拟-全程加成'!$J$4+'模拟-全程加成'!$J$5+('模拟-全程加成'!$I$4+'模拟-全程加成'!$I$5)/系数!$B$4+LOOKUP(D289,'模拟-单技能数据'!$A$2:$A$19,'模拟-单技能数据'!$L$2:$L$19)+BG289*10%</f>
        <v>2.162482885499879</v>
      </c>
      <c r="J289" s="45">
        <f ca="1">(('模拟-全程加成'!$K$3+'模拟-全程加成'!$K$4+'模拟-全程加成'!$K$5+('模拟-全程加成'!$C$6-'模拟-全程加成'!$C$3)*系数!$B$10+IF(BV289&gt;0,882,0)+IF(BY289&gt;0,1831,0))*(1+'模拟-全程加成'!$L$4+'模拟-全程加成'!$L$5+CC289*20%))/系数!$B$5</f>
        <v>0.69723220422048726</v>
      </c>
      <c r="K289" s="119">
        <f ca="1">LOOKUP(D289,'模拟-单技能数据'!$A$2:$A$19,'模拟-单技能数据'!$J$2:$J$19)+IF(CM289,60%,0)+IF(DB288-DB289&gt;0,30%,0)+IF(OR(AND(OR(C289="赤日轮1",C289="赤日轮2",C289="赤日轮3"),CR289),AND(OR(C289="幽月轮1",C289="幽月轮2",C289="幽月轮3"),CS289)),35%,0)+CJ289</f>
        <v>0.15000000000000002</v>
      </c>
      <c r="L289" s="119">
        <f ca="1">IF(AND(C289="烈日斩",模拟模式!$X$11=1),10%,0)+IF(AND(C289="驱夜断愁",AB289=1),30%,0)</f>
        <v>0.3</v>
      </c>
      <c r="M289" s="45">
        <f t="shared" ca="1" si="241"/>
        <v>0.51185145527300213</v>
      </c>
      <c r="N289" s="45">
        <f t="shared" ca="1" si="242"/>
        <v>0.43424854472699792</v>
      </c>
      <c r="O289" s="46">
        <f t="shared" ca="1" si="266"/>
        <v>0.1523730512382494</v>
      </c>
      <c r="P289" s="46" t="str">
        <f t="shared" ca="1" si="267"/>
        <v>会</v>
      </c>
      <c r="Q289" s="45">
        <f t="shared" ca="1" si="268"/>
        <v>2.162482885499879</v>
      </c>
      <c r="R289" s="117">
        <f ca="1">模拟模式!$E$20*(1-IF(模拟模式!$J$19="有",0.15,0))*(1-IF(模拟模式!$K$19="有",0.3,0)-IF(CQ289,0.5,0))</f>
        <v>843.02999999999975</v>
      </c>
      <c r="S289" s="45">
        <f ca="1">R289/(R289+(185*模拟模式!$E$22-16800)*4.08224)</f>
        <v>8.389626085980037E-2</v>
      </c>
      <c r="T289" s="45" t="str">
        <f ca="1">LOOKUP(D289,'模拟-单技能数据'!$A$2:$A$19,'模拟-单技能数据'!$H$2:$H$19)</f>
        <v>阴</v>
      </c>
      <c r="U289" s="119">
        <f t="shared" ca="1" si="243"/>
        <v>0.08</v>
      </c>
      <c r="V289" s="47">
        <f ca="1">(1+L289)*(LOOKUP(D289,'模拟-单技能数据'!$A$2:$A$19,'模拟-单技能数据'!$D$2:$D$19)+G289*LOOKUP(D289,'模拟-单技能数据'!$A$2:$A$19,'模拟-单技能数据'!$F$2:$F$19))*(1+J289)*(1+K289)*(1-S289)*(1+U289)*Q289*LOOKUP(D289,'模拟-单技能数据'!$A$2:$A$19,'模拟-单技能数据'!$I$2:$I$20)</f>
        <v>128581.51924807511</v>
      </c>
      <c r="W289" s="47">
        <f ca="1">LOOKUP(D289,'模拟-单技能数据'!$A$2:$A$19,'模拟-单技能数据'!$G$2:$G$19)*$I$10</f>
        <v>723.0212870940959</v>
      </c>
      <c r="X289" s="47">
        <f t="shared" ca="1" si="269"/>
        <v>11118.353508757338</v>
      </c>
      <c r="Y289" s="47">
        <f t="shared" ca="1" si="244"/>
        <v>140422.89404392656</v>
      </c>
      <c r="Z289" s="49">
        <f t="shared" ca="1" si="245"/>
        <v>27584744.202528011</v>
      </c>
      <c r="AA289" s="97">
        <f t="shared" ca="1" si="246"/>
        <v>114130.38830976159</v>
      </c>
      <c r="AB289" s="115">
        <f ca="1">IF(OR(C289="赤日轮1",C289="赤日轮2",C289="赤日轮3"),IF(RAND()&lt;模拟模式!$Y$17,1,0),IF(OR(C289="幽月轮1",C289="幽月轮2",C289="幽月轮3"),IF(RAND()&lt;模拟模式!$Y$18,1,0),IF(C289="烈日斩",IF(RAND()&lt;模拟模式!$Y$19,1,0),IF(C289="银月斩",IF(RAND()&lt;模拟模式!$Y$20,1,0),IF(C289="驱夜断愁",IF(RAND()&lt;模拟模式!$Y$21,1,0),IF(C289="净世破魔击·日",IF(RAND()&lt;模拟模式!$Y$22,1,0),IF(C289="净世破魔击·月",IF(RAND()&lt;模拟模式!$Y$23,1,0),0)))))))</f>
        <v>1</v>
      </c>
      <c r="AC289" s="115" t="b">
        <f t="shared" ca="1" si="234"/>
        <v>0</v>
      </c>
      <c r="AD289" s="115" t="b">
        <f t="shared" ca="1" si="254"/>
        <v>0</v>
      </c>
      <c r="AE289" s="115">
        <f t="shared" ca="1" si="255"/>
        <v>5</v>
      </c>
      <c r="AF289" s="47">
        <f ca="1">IF(AC289,('模拟-单技能数据'!$D$20+G289*'模拟-单技能数据'!$F$20)*(1+J289)*(1+'模拟-单技能数据'!$J$20)*(1+U289),0)</f>
        <v>0</v>
      </c>
      <c r="AG289" s="61">
        <f t="shared" ca="1" si="247"/>
        <v>0.64185145527300214</v>
      </c>
      <c r="AH289" s="61">
        <f t="shared" ca="1" si="248"/>
        <v>2.2624828854998791</v>
      </c>
      <c r="AI289" s="62">
        <f t="shared" ca="1" si="270"/>
        <v>0.77658076096405793</v>
      </c>
      <c r="AJ289" s="47">
        <f ca="1">IF(AD289,IF(AI289&lt;$F$10,0,IF(AI289&lt;$F$10+$F$11,0.25,IF(AI289&lt;$F$10+$F$11+AG289,AH289,1)))*IF(AF289&gt;0,AF289,IF(AF288&gt;0,AF288,IF(AF287&gt;0,AF287,IF(AF286&gt;0,AF286,IF(AF285&gt;0,AF285,IF(AF284&gt;0,AF284,IF(AF283&gt;0,AF283,IF(AF282&gt;0,AF282,IF(AF281&gt;0,AF281,IF(AF279&gt;0,AF279,IF(AF278&gt;0,AF278,IF(AF277&gt;0,AF277,0)))))))))))),0)*(1-$S289)*'模拟-单技能数据'!$I$20</f>
        <v>0</v>
      </c>
      <c r="AK289" s="115" t="b">
        <f t="shared" ca="1" si="235"/>
        <v>0</v>
      </c>
      <c r="AL289" s="115" t="b">
        <f t="shared" ca="1" si="256"/>
        <v>1</v>
      </c>
      <c r="AM289" s="115">
        <f t="shared" ca="1" si="257"/>
        <v>4</v>
      </c>
      <c r="AN289" s="47">
        <f ca="1">IF(AK289,('模拟-单技能数据'!$D$21+G289*'模拟-单技能数据'!$F$21)*(1+J289)*(1+'模拟-单技能数据'!$J$21)*(1+U289),0)</f>
        <v>0</v>
      </c>
      <c r="AO289" s="61">
        <f ca="1">IF(AN289&gt;0,M289-'模拟-单技能数据'!$K$10,AO288)</f>
        <v>0.42185145527300216</v>
      </c>
      <c r="AP289" s="61">
        <f ca="1">IF(AN289&gt;0,I289-'模拟-单技能数据'!$L$10,AP288)</f>
        <v>2.162482885499879</v>
      </c>
      <c r="AQ289" s="63">
        <f t="shared" ca="1" si="271"/>
        <v>0.93602175937793952</v>
      </c>
      <c r="AR289" s="64">
        <f ca="1">IF(AL289,IF(AQ289&lt;$F$10,0,IF(AQ289&lt;$F$10+$F$11,0.25,IF(AQ289&lt;$F$10+$F$11+AO289,AP289,1)))*IF(AN289&gt;0,AN289,IF(AN288&gt;0,AN288,IF(AN287&gt;0,AN287,IF(AN286&gt;0,AN286,IF(AN285&gt;0,AN285,IF(AN284&gt;0,AN284,IF(AN283&gt;0,AN283,IF(AN282&gt;0,AN282,IF(AN281&gt;0,AN281,IF(AN279&gt;0,AN279,IF(AN278&gt;0,AN278,IF(AN277&gt;0,AN277,0)))))))))))),0)*(1-$S289)*'模拟-单技能数据'!$I$21</f>
        <v>11118.353508757338</v>
      </c>
      <c r="AS289" s="61">
        <f ca="1">IF(OR(C289="净世破魔击·日",C289="净世破魔击·月"),M289-'模拟-单技能数据'!$K$10,0)</f>
        <v>0</v>
      </c>
      <c r="AT289" s="61">
        <f ca="1">IF(OR(C289="净世破魔击·日",C289="净世破魔击·月"),I289-'模拟-单技能数据'!$L$10,0)</f>
        <v>0</v>
      </c>
      <c r="AU289" s="62">
        <f t="shared" ca="1" si="272"/>
        <v>0.91003200005127438</v>
      </c>
      <c r="AV289" s="64">
        <f ca="1">IF(AS289&gt;0,('模拟-单技能数据'!$D$22+G289*'模拟-单技能数据'!$F$22)*(1+J289)*(1-S289)*IF(AU289&lt;$F$10,0,IF(AU289&lt;$F$10+$F$11,0.25,IF(AU289&lt;$F$10+$F$11+AS289,AT289,1)))*(1+U289),0)*'模拟-单技能数据'!$I$22</f>
        <v>0</v>
      </c>
      <c r="AW289" s="108">
        <f t="shared" ca="1" si="273"/>
        <v>15.387500000000003</v>
      </c>
      <c r="AX289" s="108" t="b">
        <f ca="1">AND(模拟模式!$P$10="有",AW288=0,RAND()&lt;IF(C289="净世破魔击·月",0.1*8/3,IF(C289="净世破魔击·日",0.1*4/3,0.1*2/3)))</f>
        <v>0</v>
      </c>
      <c r="AY289" s="47">
        <f ca="1">IF(AX289,(18+G289*0.722)*(1+J289)*(1-S289)*(1+$I$4)*IF(P289="会",'模拟-全程加成'!$J$3+'模拟-全程加成'!$J$4+'模拟-全程加成'!$J$5+('模拟-全程加成'!$I$4+'模拟-全程加成'!$I$5)/系数!$B$4+BG289*10%,IF(P289="命",1,IF(P289="识",0.25,0))),0)</f>
        <v>0</v>
      </c>
      <c r="AZ289" s="108">
        <f t="shared" si="274"/>
        <v>1.5500000000000065</v>
      </c>
      <c r="BA289" s="108" t="b">
        <f>AND(模拟模式!$Q$10="有",AZ288=0)</f>
        <v>0</v>
      </c>
      <c r="BB289" s="140">
        <f>IF(BA289,(0+G289*0.287)*(1+J289)*(1-S289)*(1+$I$4)*IF(P289="会",'模拟-全程加成'!$J$3+'模拟-全程加成'!$J$4+'模拟-全程加成'!$J$5+('模拟-全程加成'!$I$4+'模拟-全程加成'!$I$5)/系数!$B$4+BG289*10%,IF(P289="命",1,IF(P289="识",0.25,0))),0)</f>
        <v>0</v>
      </c>
      <c r="BC289" s="115" t="b">
        <f ca="1">AND(模拟模式!$R$7="伏明众生",E289=60,F289=20,DA289&lt;5,CZ288&lt;$F$4)</f>
        <v>0</v>
      </c>
      <c r="BD289" s="115">
        <f t="shared" ca="1" si="236"/>
        <v>0</v>
      </c>
      <c r="BE289" s="115" t="b">
        <f t="shared" ca="1" si="237"/>
        <v>0</v>
      </c>
      <c r="BF289" s="47">
        <f ca="1">IF(BC289,4*('模拟-单技能数据'!$D$24+G289*'模拟-单技能数据'!$F$24)*(1+J289)*(1+'模拟-单技能数据'!$J$24)*(1-S289)*(1+$I$3)*(('模拟-全程加成'!$J$3+'模拟-全程加成'!$J$4+'模拟-全程加成'!$J$5+('模拟-全程加成'!$I$4+'模拟-全程加成'!$I$5)/系数!$B$4+BG289*10%)*('模拟-全程加成'!$J$3+'模拟-全程加成'!$J$4+'模拟-全程加成'!$J$5+('模拟-全程加成'!$I$4+'模拟-全程加成'!$I$5)/系数!$B$4+BG289*10%)+(1-('模拟-全程加成'!$J$3+'模拟-全程加成'!$J$4+'模拟-全程加成'!$J$5+('模拟-全程加成'!$I$4+'模拟-全程加成'!$I$5)/系数!$B$4+BG289*10%)-$F$10-$F$11)+F275*0.25),0)*'模拟-单技能数据'!$I$24</f>
        <v>0</v>
      </c>
      <c r="BG289" s="115" t="b">
        <f ca="1">OR(AND(OR(C289="烈日斩",C289="银月斩"),模拟模式!$I$7="净身明礼"),AND(C289="净世破魔击·日",模拟模式!$J$7="洞若观火"),AND(C290="净世破魔击·月",模拟模式!$J$7="洞若观火"),AB289=1)</f>
        <v>1</v>
      </c>
      <c r="BH289" s="115" t="b">
        <f t="shared" ca="1" si="275"/>
        <v>0</v>
      </c>
      <c r="BI289" s="115">
        <f t="shared" ca="1" si="238"/>
        <v>0</v>
      </c>
      <c r="BJ289" s="115" t="b">
        <f t="shared" ca="1" si="249"/>
        <v>0</v>
      </c>
      <c r="BK289" s="115" t="b">
        <f ca="1">AND(C289="驱夜断愁",模拟模式!$P$7="天地诛戮")</f>
        <v>1</v>
      </c>
      <c r="BL289" s="57">
        <f t="shared" ca="1" si="239"/>
        <v>20</v>
      </c>
      <c r="BM289" s="115" t="b">
        <f t="shared" ca="1" si="250"/>
        <v>1</v>
      </c>
      <c r="BN289" s="115" t="b">
        <f ca="1">AND(OR(C289="赤日轮1",C289="赤日轮2",C289="赤日轮3",C289="幽月轮1",C289="幽月轮2",C289="幽月轮3"),AB289=1,模拟模式!$L$7="明光恒照")</f>
        <v>0</v>
      </c>
      <c r="BO289" s="117">
        <f t="shared" ca="1" si="240"/>
        <v>28.155000000000001</v>
      </c>
      <c r="BP289" s="115">
        <f t="shared" ca="1" si="276"/>
        <v>6</v>
      </c>
      <c r="BQ289" s="115" t="b">
        <f>模拟模式!$K$10="2600·水"</f>
        <v>0</v>
      </c>
      <c r="BR289" s="117">
        <f t="shared" si="277"/>
        <v>0</v>
      </c>
      <c r="BS289" s="115">
        <f t="shared" si="278"/>
        <v>0</v>
      </c>
      <c r="BT289" s="115">
        <f t="shared" ca="1" si="279"/>
        <v>0</v>
      </c>
      <c r="BU289" s="115" t="b">
        <f ca="1">AND(模拟模式!$K$10="2300·雷",BT288=0,RAND()&lt;IF(C289="净世破魔击·月",5*0.05*2/3,IF(C289="净世破魔击·日",3*0.05*2/3,0.05*2*2/3)))</f>
        <v>0</v>
      </c>
      <c r="BV289" s="115">
        <f t="shared" ca="1" si="280"/>
        <v>0</v>
      </c>
      <c r="BW289" s="115">
        <f t="shared" ca="1" si="281"/>
        <v>130.18499999999926</v>
      </c>
      <c r="BX289" s="164" t="b">
        <f t="shared" ca="1" si="282"/>
        <v>0</v>
      </c>
      <c r="BY289" s="115">
        <f t="shared" ca="1" si="283"/>
        <v>0</v>
      </c>
      <c r="BZ289" s="115">
        <f>IF(OR(模拟模式!$P$16="10人团",模拟模式!$P$16="25人团"),IF(B289/30&gt;CA288,1,0),0)</f>
        <v>0</v>
      </c>
      <c r="CA289" s="115">
        <f t="shared" si="259"/>
        <v>0</v>
      </c>
      <c r="CB289" s="115">
        <f ca="1">IF(BZ289=1,IF(模拟模式!$P$16="10人团",15,0)+IF(模拟模式!$P$16="25人团",IF(RAND()&lt;0.6,15,0)),MAX(0,CB288-$F$4))</f>
        <v>0</v>
      </c>
      <c r="CC289" s="115" t="b">
        <f t="shared" ca="1" si="251"/>
        <v>0</v>
      </c>
      <c r="CD289" s="115">
        <f>IF(模拟模式!$Q$16="1个",IF(B289/40&gt;CE288,1,0),0)</f>
        <v>0</v>
      </c>
      <c r="CE289" s="115">
        <f t="shared" si="252"/>
        <v>0</v>
      </c>
      <c r="CF289" s="115">
        <f>IF(OR(CD289=1,模拟模式!$Q$16="2个"),20,MAX(0,CF288-$F$4))</f>
        <v>0</v>
      </c>
      <c r="CG289" s="115" t="b">
        <f t="shared" si="253"/>
        <v>0</v>
      </c>
      <c r="CH289" s="115">
        <f t="shared" ca="1" si="284"/>
        <v>25.387500000000003</v>
      </c>
      <c r="CI289" s="115" t="b">
        <f t="shared" ca="1" si="285"/>
        <v>0</v>
      </c>
      <c r="CJ289" s="119">
        <f t="shared" ca="1" si="286"/>
        <v>0.01</v>
      </c>
      <c r="CK289" s="115">
        <f t="shared" ca="1" si="287"/>
        <v>3.3874999999999988</v>
      </c>
      <c r="CL289" s="115" t="b">
        <f ca="1">AND(模拟模式!$S$7="驱夷逐法",OR(AND(C289="净世破魔击·月",E288&gt;59),AND(C289="净世破魔击·日",F288&gt;59)))</f>
        <v>0</v>
      </c>
      <c r="CM289" s="115" t="b">
        <f ca="1">OR(CL289,AND(C289="净世破魔击·日",CL288,RAND()&lt;模拟模式!$U$23))</f>
        <v>0</v>
      </c>
      <c r="CN289" s="115" t="b">
        <f ca="1">IF(模拟模式!$M$7="辉耀红尘",AND(C289="净世破魔击·月",CL289,CV289=0,E288&lt;80),AND(C289="净世破魔击·月",CL289,E288&lt;100))</f>
        <v>0</v>
      </c>
      <c r="CO289" s="115" t="b">
        <f t="shared" ca="1" si="260"/>
        <v>0</v>
      </c>
      <c r="CP289" s="115" t="b">
        <f ca="1">AND(模拟模式!$O$7="用晦而明",OR(C289="净世破魔击·日",C289="净世破魔击·月",C289="驱夜断愁"),AB289)</f>
        <v>1</v>
      </c>
      <c r="CQ289" s="115" t="b">
        <f ca="1">OR(CP289,AND(CP288,RAND()&lt;模拟模式!$U$23))</f>
        <v>1</v>
      </c>
      <c r="CR289" s="115" t="b">
        <f ca="1">AND(模拟模式!$S$7="日月齐光",OR(C289="幽月轮1",C289="幽月轮2",C289="幽月轮3",CR288),NOT(OR(C289="赤日轮1",C289="赤日轮2",C289="赤日轮3")))</f>
        <v>0</v>
      </c>
      <c r="CS289" s="115" t="b">
        <f ca="1">AND(模拟模式!$S$7="日月齐光",OR(C289="赤日轮1",C289="赤日轮2",C289="赤日轮3",CS288),NOT(OR(C289="幽月轮1",C289="幽月轮2",C289="幽月轮3")))</f>
        <v>0</v>
      </c>
      <c r="CT289" s="115">
        <f t="shared" ca="1" si="288"/>
        <v>0</v>
      </c>
      <c r="CU289" s="115" t="b">
        <f ca="1">AND(模拟模式!$K$10="阴阳往极",CT288=0,RAND()&lt;IF(C289="净世破魔击·月",0.0275*7/3,IF(C289="净世破魔击·日",0.0275*3/3,0.0275*2/3)))</f>
        <v>0</v>
      </c>
      <c r="CV289" s="115">
        <f t="shared" ca="1" si="289"/>
        <v>0</v>
      </c>
      <c r="CW289" s="115">
        <f t="shared" ca="1" si="261"/>
        <v>0.46499999999999975</v>
      </c>
      <c r="CX289" s="115">
        <f t="shared" ca="1" si="262"/>
        <v>5.0774999999999997</v>
      </c>
      <c r="CY289" s="115">
        <f ca="1">MAX(IF($C289="驱夜断愁",IF(模拟模式!$R$7="万念俱寂",6,45),CY288-$F$4),0)</f>
        <v>6</v>
      </c>
      <c r="CZ289" s="115">
        <f t="shared" ca="1" si="263"/>
        <v>0</v>
      </c>
      <c r="DA289" s="115">
        <f ca="1">IF(模拟模式!$N$7="日月同辉",IF(DB288=2,0,MIN(6,IF(AND(OR(C289="赤日轮1",C289="赤日轮2",C289="赤日轮3",C289="幽月轮1",C289="幽月轮2",C289="幽月轮3"),AB289=1),DA288+1,DA288))),0)</f>
        <v>0</v>
      </c>
      <c r="DB289" s="115">
        <f t="shared" ca="1" si="264"/>
        <v>2</v>
      </c>
      <c r="DC289" s="115"/>
      <c r="DD289" s="115"/>
      <c r="DE289" s="115"/>
      <c r="DF289" s="115"/>
      <c r="DG289" s="115"/>
      <c r="DH289" s="115"/>
      <c r="DI289" s="115"/>
      <c r="DJ289" s="115"/>
      <c r="DK289" s="115"/>
      <c r="DL289" s="115"/>
      <c r="DM289" s="115"/>
    </row>
    <row r="290" spans="2:117" x14ac:dyDescent="0.2">
      <c r="B290" s="117">
        <f t="shared" si="265"/>
        <v>242.61750000000163</v>
      </c>
      <c r="C290" s="167" t="str">
        <f t="shared" ca="1" si="258"/>
        <v>烈日斩</v>
      </c>
      <c r="D290" s="115">
        <f ca="1">IF(C290="赤日轮1",1,IF(C290="赤日轮2",2,IF(C290="赤日轮3",3,IF(C290="幽月轮1",4,IF(C290="幽月轮2",5,IF(C290="幽月轮3",6,IF(C290="烈日斩",7,IF(C290="银月斩",8,IF(C290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290="净世破魔击·月",17,IF(C290="驱夜断愁",18,0)))))))))))</f>
        <v>7</v>
      </c>
      <c r="E290" s="115">
        <f ca="1">IF(AND(CU290,OR(C290="幽月轮1",C290="幽月轮2",C290="幽月轮3",C290="银月斩",C290="驱夜断愁",C290="净世破魔击·月")),100,MIN(IF(OR(CN290,BE290),0,IF(OR($C290="赤日轮1",$C290="赤日轮2",$C290="赤日轮3"),E289+20+IF(模拟模式!$I$7="日月凌天",4,0)+IF(CR289,20,0),IF($C290="烈日斩",E289+40,IF($C290="驱夜断愁",IF(模拟模式!$R$7="万念俱寂",E289+20,E289+60),IF($C290="净世破魔击·月",IF(OR(DB289&gt;0,CV289&gt;0),100,IF(模拟模式!$M$7="辉耀红尘",E289+20,E289)),IF($C290="净世破魔击·日",E289-100,E289)))))),100))</f>
        <v>80</v>
      </c>
      <c r="F290" s="115">
        <f ca="1">IF(AND(CU290,OR(C290="赤日轮1",C290="赤日轮2",C290="赤日轮3",C290="烈日斩",C290="净世破魔击·日")),100,MIN(IF(CO290,0,IF(OR($C290="幽月轮1",$C290="幽月轮2",$C290="幽月轮3"),F289+20+IF(模拟模式!$I$7="日月凌天",4,0)+IF(CS289,20,0),IF($C290="银月斩",F289+40+IF(模拟模式!$X$12=1,5,0),IF($C290="驱夜断愁",IF(模拟模式!$R$7="万念俱寂",F289+20,F289+60),IF($C290="净世破魔击·月",IF(模拟模式!$M$7="辉耀红尘",F289-80,F289-100),IF(AND(C290="净世破魔击·日",OR(DB289&gt;0,CV289&gt;0)),100,F289)))))),100))</f>
        <v>85</v>
      </c>
      <c r="G290" s="117">
        <f ca="1">('模拟-全程加成'!$E$3+'模拟-全程加成'!$E$4+'模拟-全程加成'!$E$5+('模拟-全程加成'!$C$6-'模拟-全程加成'!$C$3)*系数!$B$9+BS290*23)*(1+'模拟-全程加成'!$F$4+'模拟-全程加成'!$F$5+BJ290*10%+BM290*20%+BP290*4%+CG290*30%)+$F$7*系数!$B$12</f>
        <v>20583.127400000001</v>
      </c>
      <c r="H290" s="45">
        <f ca="1">'模拟-全程加成'!$H$3+'模拟-全程加成'!$H$4+'模拟-全程加成'!$H$5+('模拟-全程加成'!$G$4+'模拟-全程加成'!$G$5+('模拟-全程加成'!$C$6-'模拟-全程加成'!$C$3)*系数!$B$13)/系数!$B$3+LOOKUP(D290,'模拟-单技能数据'!$A$2:$A$19,'模拟-单技能数据'!$K$2:$K$19)+BG290*10%+IF(BV290&gt;0,378,0)</f>
        <v>0.56185145527300218</v>
      </c>
      <c r="I290" s="45">
        <f ca="1">'模拟-全程加成'!$J$3+'模拟-全程加成'!$J$4+'模拟-全程加成'!$J$5+('模拟-全程加成'!$I$4+'模拟-全程加成'!$I$5)/系数!$B$4+LOOKUP(D290,'模拟-单技能数据'!$A$2:$A$19,'模拟-单技能数据'!$L$2:$L$19)+BG290*10%</f>
        <v>2.2624828854998791</v>
      </c>
      <c r="J290" s="45">
        <f ca="1">(('模拟-全程加成'!$K$3+'模拟-全程加成'!$K$4+'模拟-全程加成'!$K$5+('模拟-全程加成'!$C$6-'模拟-全程加成'!$C$3)*系数!$B$10+IF(BV290&gt;0,882,0)+IF(BY290&gt;0,1831,0))*(1+'模拟-全程加成'!$L$4+'模拟-全程加成'!$L$5+CC290*20%))/系数!$B$5</f>
        <v>0.69723220422048726</v>
      </c>
      <c r="K290" s="119">
        <f ca="1">LOOKUP(D290,'模拟-单技能数据'!$A$2:$A$19,'模拟-单技能数据'!$J$2:$J$19)+IF(CM290,60%,0)+IF(DB289-DB290&gt;0,30%,0)+IF(OR(AND(OR(C290="赤日轮1",C290="赤日轮2",C290="赤日轮3"),CR290),AND(OR(C290="幽月轮1",C290="幽月轮2",C290="幽月轮3"),CS290)),35%,0)+CJ290</f>
        <v>0.25</v>
      </c>
      <c r="L290" s="119">
        <f ca="1">IF(AND(C290="烈日斩",模拟模式!$X$11=1),10%,0)+IF(AND(C290="驱夜断愁",AB290=1),30%,0)</f>
        <v>0.1</v>
      </c>
      <c r="M290" s="45">
        <f t="shared" ca="1" si="241"/>
        <v>0.56185145527300218</v>
      </c>
      <c r="N290" s="45">
        <f t="shared" ca="1" si="242"/>
        <v>0.38424854472699788</v>
      </c>
      <c r="O290" s="46">
        <f t="shared" ca="1" si="266"/>
        <v>0.95726035097047635</v>
      </c>
      <c r="P290" s="46" t="str">
        <f t="shared" ca="1" si="267"/>
        <v>命</v>
      </c>
      <c r="Q290" s="45">
        <f t="shared" ca="1" si="268"/>
        <v>1</v>
      </c>
      <c r="R290" s="117">
        <f ca="1">模拟模式!$E$20*(1-IF(模拟模式!$J$19="有",0.15,0))*(1-IF(模拟模式!$K$19="有",0.3,0)-IF(CQ290,0.5,0))</f>
        <v>843.02999999999975</v>
      </c>
      <c r="S290" s="45">
        <f ca="1">R290/(R290+(185*模拟模式!$E$22-16800)*4.08224)</f>
        <v>8.389626085980037E-2</v>
      </c>
      <c r="T290" s="45" t="str">
        <f ca="1">LOOKUP(D290,'模拟-单技能数据'!$A$2:$A$19,'模拟-单技能数据'!$H$2:$H$19)</f>
        <v>阳</v>
      </c>
      <c r="U290" s="119">
        <f t="shared" ca="1" si="243"/>
        <v>0.2</v>
      </c>
      <c r="V290" s="47">
        <f ca="1">(1+L290)*(LOOKUP(D290,'模拟-单技能数据'!$A$2:$A$19,'模拟-单技能数据'!$D$2:$D$19)+G290*LOOKUP(D290,'模拟-单技能数据'!$A$2:$A$19,'模拟-单技能数据'!$F$2:$F$19))*(1+J290)*(1+K290)*(1-S290)*(1+U290)*Q290*LOOKUP(D290,'模拟-单技能数据'!$A$2:$A$19,'模拟-单技能数据'!$I$2:$I$20)</f>
        <v>47167.106032870979</v>
      </c>
      <c r="W290" s="47">
        <f ca="1">LOOKUP(D290,'模拟-单技能数据'!$A$2:$A$19,'模拟-单技能数据'!$G$2:$G$19)*$I$10</f>
        <v>361.51064354704795</v>
      </c>
      <c r="X290" s="47">
        <f t="shared" ca="1" si="269"/>
        <v>9218.9345386263849</v>
      </c>
      <c r="Y290" s="47">
        <f t="shared" ca="1" si="244"/>
        <v>56747.551215044412</v>
      </c>
      <c r="Z290" s="49">
        <f t="shared" ca="1" si="245"/>
        <v>27641491.753743056</v>
      </c>
      <c r="AA290" s="97">
        <f t="shared" ca="1" si="246"/>
        <v>113930.32964952187</v>
      </c>
      <c r="AB290" s="115">
        <f ca="1">IF(OR(C290="赤日轮1",C290="赤日轮2",C290="赤日轮3"),IF(RAND()&lt;模拟模式!$Y$17,1,0),IF(OR(C290="幽月轮1",C290="幽月轮2",C290="幽月轮3"),IF(RAND()&lt;模拟模式!$Y$18,1,0),IF(C290="烈日斩",IF(RAND()&lt;模拟模式!$Y$19,1,0),IF(C290="银月斩",IF(RAND()&lt;模拟模式!$Y$20,1,0),IF(C290="驱夜断愁",IF(RAND()&lt;模拟模式!$Y$21,1,0),IF(C290="净世破魔击·日",IF(RAND()&lt;模拟模式!$Y$22,1,0),IF(C290="净世破魔击·月",IF(RAND()&lt;模拟模式!$Y$23,1,0),0)))))))</f>
        <v>1</v>
      </c>
      <c r="AC290" s="115" t="b">
        <f t="shared" ca="1" si="234"/>
        <v>0</v>
      </c>
      <c r="AD290" s="115" t="b">
        <f t="shared" ca="1" si="254"/>
        <v>1</v>
      </c>
      <c r="AE290" s="115">
        <f t="shared" ca="1" si="255"/>
        <v>4</v>
      </c>
      <c r="AF290" s="47">
        <f ca="1">IF(AC290,('模拟-单技能数据'!$D$20+G290*'模拟-单技能数据'!$F$20)*(1+J290)*(1+'模拟-单技能数据'!$J$20)*(1+U290),0)</f>
        <v>0</v>
      </c>
      <c r="AG290" s="61">
        <f t="shared" ca="1" si="247"/>
        <v>0.64185145527300214</v>
      </c>
      <c r="AH290" s="61">
        <f t="shared" ca="1" si="248"/>
        <v>2.2624828854998791</v>
      </c>
      <c r="AI290" s="62">
        <f t="shared" ca="1" si="270"/>
        <v>0.23716856616284077</v>
      </c>
      <c r="AJ290" s="47">
        <f ca="1">IF(AD290,IF(AI290&lt;$F$10,0,IF(AI290&lt;$F$10+$F$11,0.25,IF(AI290&lt;$F$10+$F$11+AG290,AH290,1)))*IF(AF290&gt;0,AF290,IF(AF289&gt;0,AF289,IF(AF288&gt;0,AF288,IF(AF287&gt;0,AF287,IF(AF286&gt;0,AF286,IF(AF285&gt;0,AF285,IF(AF284&gt;0,AF284,IF(AF283&gt;0,AF283,IF(AF282&gt;0,AF282,IF(AF280&gt;0,AF280,IF(AF279&gt;0,AF279,IF(AF278&gt;0,AF278,0)))))))))))),0)*(1-$S290)*'模拟-单技能数据'!$I$20</f>
        <v>9218.9345386263849</v>
      </c>
      <c r="AK290" s="115" t="b">
        <f t="shared" ca="1" si="235"/>
        <v>0</v>
      </c>
      <c r="AL290" s="115" t="b">
        <f t="shared" ca="1" si="256"/>
        <v>0</v>
      </c>
      <c r="AM290" s="115">
        <f t="shared" ca="1" si="257"/>
        <v>4</v>
      </c>
      <c r="AN290" s="47">
        <f ca="1">IF(AK290,('模拟-单技能数据'!$D$21+G290*'模拟-单技能数据'!$F$21)*(1+J290)*(1+'模拟-单技能数据'!$J$21)*(1+U290),0)</f>
        <v>0</v>
      </c>
      <c r="AO290" s="61">
        <f ca="1">IF(AN290&gt;0,M290-'模拟-单技能数据'!$K$10,AO289)</f>
        <v>0.42185145527300216</v>
      </c>
      <c r="AP290" s="61">
        <f ca="1">IF(AN290&gt;0,I290-'模拟-单技能数据'!$L$10,AP289)</f>
        <v>2.162482885499879</v>
      </c>
      <c r="AQ290" s="63">
        <f t="shared" ca="1" si="271"/>
        <v>9.4164687673128356E-2</v>
      </c>
      <c r="AR290" s="64">
        <f ca="1">IF(AL290,IF(AQ290&lt;$F$10,0,IF(AQ290&lt;$F$10+$F$11,0.25,IF(AQ290&lt;$F$10+$F$11+AO290,AP290,1)))*IF(AN290&gt;0,AN290,IF(AN289&gt;0,AN289,IF(AN288&gt;0,AN288,IF(AN287&gt;0,AN287,IF(AN286&gt;0,AN286,IF(AN285&gt;0,AN285,IF(AN284&gt;0,AN284,IF(AN283&gt;0,AN283,IF(AN282&gt;0,AN282,IF(AN280&gt;0,AN280,IF(AN279&gt;0,AN279,IF(AN278&gt;0,AN278,0)))))))))))),0)*(1-$S290)*'模拟-单技能数据'!$I$21</f>
        <v>0</v>
      </c>
      <c r="AS290" s="61">
        <f ca="1">IF(OR(C290="净世破魔击·日",C290="净世破魔击·月"),M290-'模拟-单技能数据'!$K$10,0)</f>
        <v>0</v>
      </c>
      <c r="AT290" s="61">
        <f ca="1">IF(OR(C290="净世破魔击·日",C290="净世破魔击·月"),I290-'模拟-单技能数据'!$L$10,0)</f>
        <v>0</v>
      </c>
      <c r="AU290" s="62">
        <f t="shared" ca="1" si="272"/>
        <v>0.3159717029911252</v>
      </c>
      <c r="AV290" s="64">
        <f ca="1">IF(AS290&gt;0,('模拟-单技能数据'!$D$22+G290*'模拟-单技能数据'!$F$22)*(1+J290)*(1-S290)*IF(AU290&lt;$F$10,0,IF(AU290&lt;$F$10+$F$11,0.25,IF(AU290&lt;$F$10+$F$11+AS290,AT290,1)))*(1+U290),0)*'模拟-单技能数据'!$I$22</f>
        <v>0</v>
      </c>
      <c r="AW290" s="108">
        <f t="shared" ca="1" si="273"/>
        <v>14.465000000000003</v>
      </c>
      <c r="AX290" s="108" t="b">
        <f ca="1">AND(模拟模式!$P$10="有",AW289=0,RAND()&lt;IF(C290="净世破魔击·月",0.1*8/3,IF(C290="净世破魔击·日",0.1*4/3,0.1*2/3)))</f>
        <v>0</v>
      </c>
      <c r="AY290" s="47">
        <f ca="1">IF(AX290,(18+G290*0.722)*(1+J290)*(1-S290)*(1+$I$4)*IF(P290="会",'模拟-全程加成'!$J$3+'模拟-全程加成'!$J$4+'模拟-全程加成'!$J$5+('模拟-全程加成'!$I$4+'模拟-全程加成'!$I$5)/系数!$B$4+BG290*10%,IF(P290="命",1,IF(P290="识",0.25,0))),0)</f>
        <v>0</v>
      </c>
      <c r="AZ290" s="108">
        <f t="shared" si="274"/>
        <v>0.6275000000000065</v>
      </c>
      <c r="BA290" s="108" t="b">
        <f>AND(模拟模式!$Q$10="有",AZ289=0)</f>
        <v>0</v>
      </c>
      <c r="BB290" s="140">
        <f>IF(BA290,(0+G290*0.287)*(1+J290)*(1-S290)*(1+$I$4)*IF(P290="会",'模拟-全程加成'!$J$3+'模拟-全程加成'!$J$4+'模拟-全程加成'!$J$5+('模拟-全程加成'!$I$4+'模拟-全程加成'!$I$5)/系数!$B$4+BG290*10%,IF(P290="命",1,IF(P290="识",0.25,0))),0)</f>
        <v>0</v>
      </c>
      <c r="BC290" s="115" t="b">
        <f ca="1">AND(模拟模式!$R$7="伏明众生",E290=60,F290=20,DA290&lt;5,CZ289&lt;$F$4)</f>
        <v>0</v>
      </c>
      <c r="BD290" s="115">
        <f t="shared" ca="1" si="236"/>
        <v>0</v>
      </c>
      <c r="BE290" s="115" t="b">
        <f t="shared" ca="1" si="237"/>
        <v>0</v>
      </c>
      <c r="BF290" s="47">
        <f ca="1">IF(BC290,4*('模拟-单技能数据'!$D$24+G290*'模拟-单技能数据'!$F$24)*(1+J290)*(1+'模拟-单技能数据'!$J$24)*(1-S290)*(1+$I$3)*(('模拟-全程加成'!$J$3+'模拟-全程加成'!$J$4+'模拟-全程加成'!$J$5+('模拟-全程加成'!$I$4+'模拟-全程加成'!$I$5)/系数!$B$4+BG290*10%)*('模拟-全程加成'!$J$3+'模拟-全程加成'!$J$4+'模拟-全程加成'!$J$5+('模拟-全程加成'!$I$4+'模拟-全程加成'!$I$5)/系数!$B$4+BG290*10%)+(1-('模拟-全程加成'!$J$3+'模拟-全程加成'!$J$4+'模拟-全程加成'!$J$5+('模拟-全程加成'!$I$4+'模拟-全程加成'!$I$5)/系数!$B$4+BG290*10%)-$F$10-$F$11)+F276*0.25),0)*'模拟-单技能数据'!$I$24</f>
        <v>0</v>
      </c>
      <c r="BG290" s="115" t="b">
        <f ca="1">OR(AND(OR(C290="烈日斩",C290="银月斩"),模拟模式!$I$7="净身明礼"),AND(C290="净世破魔击·日",模拟模式!$J$7="洞若观火"),AND(C291="净世破魔击·月",模拟模式!$J$7="洞若观火"),AB290=1)</f>
        <v>1</v>
      </c>
      <c r="BH290" s="115" t="b">
        <f t="shared" ca="1" si="275"/>
        <v>0</v>
      </c>
      <c r="BI290" s="115">
        <f t="shared" ca="1" si="238"/>
        <v>0</v>
      </c>
      <c r="BJ290" s="115" t="b">
        <f t="shared" ca="1" si="249"/>
        <v>0</v>
      </c>
      <c r="BK290" s="115" t="b">
        <f ca="1">AND(C290="驱夜断愁",模拟模式!$P$7="天地诛戮")</f>
        <v>0</v>
      </c>
      <c r="BL290" s="57">
        <f t="shared" ca="1" si="239"/>
        <v>19.077500000000001</v>
      </c>
      <c r="BM290" s="115" t="b">
        <f t="shared" ca="1" si="250"/>
        <v>1</v>
      </c>
      <c r="BN290" s="115" t="b">
        <f ca="1">AND(OR(C290="赤日轮1",C290="赤日轮2",C290="赤日轮3",C290="幽月轮1",C290="幽月轮2",C290="幽月轮3"),AB290=1,模拟模式!$L$7="明光恒照")</f>
        <v>0</v>
      </c>
      <c r="BO290" s="117">
        <f t="shared" ca="1" si="240"/>
        <v>27.232500000000002</v>
      </c>
      <c r="BP290" s="115">
        <f t="shared" ca="1" si="276"/>
        <v>6</v>
      </c>
      <c r="BQ290" s="115" t="b">
        <f>模拟模式!$K$10="2600·水"</f>
        <v>0</v>
      </c>
      <c r="BR290" s="117">
        <f t="shared" si="277"/>
        <v>0</v>
      </c>
      <c r="BS290" s="115">
        <f t="shared" si="278"/>
        <v>0</v>
      </c>
      <c r="BT290" s="115">
        <f t="shared" ca="1" si="279"/>
        <v>0</v>
      </c>
      <c r="BU290" s="115" t="b">
        <f ca="1">AND(模拟模式!$K$10="2300·雷",BT289=0,RAND()&lt;IF(C290="净世破魔击·月",5*0.05*2/3,IF(C290="净世破魔击·日",3*0.05*2/3,0.05*2*2/3)))</f>
        <v>0</v>
      </c>
      <c r="BV290" s="115">
        <f t="shared" ca="1" si="280"/>
        <v>0</v>
      </c>
      <c r="BW290" s="115">
        <f t="shared" ca="1" si="281"/>
        <v>129.26249999999925</v>
      </c>
      <c r="BX290" s="164" t="b">
        <f t="shared" ca="1" si="282"/>
        <v>0</v>
      </c>
      <c r="BY290" s="115">
        <f t="shared" ca="1" si="283"/>
        <v>0</v>
      </c>
      <c r="BZ290" s="115">
        <f>IF(OR(模拟模式!$P$16="10人团",模拟模式!$P$16="25人团"),IF(B290/30&gt;CA289,1,0),0)</f>
        <v>0</v>
      </c>
      <c r="CA290" s="115">
        <f t="shared" si="259"/>
        <v>0</v>
      </c>
      <c r="CB290" s="115">
        <f ca="1">IF(BZ290=1,IF(模拟模式!$P$16="10人团",15,0)+IF(模拟模式!$P$16="25人团",IF(RAND()&lt;0.6,15,0)),MAX(0,CB289-$F$4))</f>
        <v>0</v>
      </c>
      <c r="CC290" s="115" t="b">
        <f t="shared" ca="1" si="251"/>
        <v>0</v>
      </c>
      <c r="CD290" s="115">
        <f>IF(模拟模式!$Q$16="1个",IF(B290/40&gt;CE289,1,0),0)</f>
        <v>0</v>
      </c>
      <c r="CE290" s="115">
        <f t="shared" si="252"/>
        <v>0</v>
      </c>
      <c r="CF290" s="115">
        <f>IF(OR(CD290=1,模拟模式!$Q$16="2个"),20,MAX(0,CF289-$F$4))</f>
        <v>0</v>
      </c>
      <c r="CG290" s="115" t="b">
        <f t="shared" si="253"/>
        <v>0</v>
      </c>
      <c r="CH290" s="115">
        <f t="shared" ca="1" si="284"/>
        <v>24.465000000000003</v>
      </c>
      <c r="CI290" s="115" t="b">
        <f t="shared" ca="1" si="285"/>
        <v>0</v>
      </c>
      <c r="CJ290" s="119">
        <f t="shared" ca="1" si="286"/>
        <v>0.01</v>
      </c>
      <c r="CK290" s="115">
        <f t="shared" ca="1" si="287"/>
        <v>2.464999999999999</v>
      </c>
      <c r="CL290" s="115" t="b">
        <f ca="1">AND(模拟模式!$S$7="驱夷逐法",OR(AND(C290="净世破魔击·月",E289&gt;59),AND(C290="净世破魔击·日",F289&gt;59)))</f>
        <v>0</v>
      </c>
      <c r="CM290" s="115" t="b">
        <f ca="1">OR(CL290,AND(C290="净世破魔击·日",CL289,RAND()&lt;模拟模式!$U$23))</f>
        <v>0</v>
      </c>
      <c r="CN290" s="115" t="b">
        <f ca="1">IF(模拟模式!$M$7="辉耀红尘",AND(C290="净世破魔击·月",CL290,CV290=0,E289&lt;80),AND(C290="净世破魔击·月",CL290,E289&lt;100))</f>
        <v>0</v>
      </c>
      <c r="CO290" s="115" t="b">
        <f t="shared" ca="1" si="260"/>
        <v>0</v>
      </c>
      <c r="CP290" s="115" t="b">
        <f ca="1">AND(模拟模式!$O$7="用晦而明",OR(C290="净世破魔击·日",C290="净世破魔击·月",C290="驱夜断愁"),AB290)</f>
        <v>0</v>
      </c>
      <c r="CQ290" s="115" t="b">
        <f ca="1">OR(CP290,AND(CP289,RAND()&lt;模拟模式!$U$23))</f>
        <v>1</v>
      </c>
      <c r="CR290" s="115" t="b">
        <f ca="1">AND(模拟模式!$S$7="日月齐光",OR(C290="幽月轮1",C290="幽月轮2",C290="幽月轮3",CR289),NOT(OR(C290="赤日轮1",C290="赤日轮2",C290="赤日轮3")))</f>
        <v>0</v>
      </c>
      <c r="CS290" s="115" t="b">
        <f ca="1">AND(模拟模式!$S$7="日月齐光",OR(C290="赤日轮1",C290="赤日轮2",C290="赤日轮3",CS289),NOT(OR(C290="幽月轮1",C290="幽月轮2",C290="幽月轮3")))</f>
        <v>0</v>
      </c>
      <c r="CT290" s="115">
        <f t="shared" ca="1" si="288"/>
        <v>0</v>
      </c>
      <c r="CU290" s="115" t="b">
        <f ca="1">AND(模拟模式!$K$10="阴阳往极",CT289=0,RAND()&lt;IF(C290="净世破魔击·月",0.0275*7/3,IF(C290="净世破魔击·日",0.0275*3/3,0.0275*2/3)))</f>
        <v>0</v>
      </c>
      <c r="CV290" s="115">
        <f t="shared" ca="1" si="289"/>
        <v>0</v>
      </c>
      <c r="CW290" s="115">
        <f t="shared" ca="1" si="261"/>
        <v>6</v>
      </c>
      <c r="CX290" s="115">
        <f t="shared" ca="1" si="262"/>
        <v>4.1549999999999994</v>
      </c>
      <c r="CY290" s="115">
        <f ca="1">MAX(IF($C290="驱夜断愁",IF(模拟模式!$R$7="万念俱寂",6,45),CY289-$F$4),0)</f>
        <v>5.0774999999999997</v>
      </c>
      <c r="CZ290" s="115">
        <f t="shared" ca="1" si="263"/>
        <v>0</v>
      </c>
      <c r="DA290" s="115">
        <f ca="1">IF(模拟模式!$N$7="日月同辉",IF(DB289=2,0,MIN(6,IF(AND(OR(C290="赤日轮1",C290="赤日轮2",C290="赤日轮3",C290="幽月轮1",C290="幽月轮2",C290="幽月轮3"),AB290=1),DA289+1,DA289))),0)</f>
        <v>0</v>
      </c>
      <c r="DB290" s="115">
        <f t="shared" ca="1" si="264"/>
        <v>2</v>
      </c>
      <c r="DC290" s="115"/>
      <c r="DD290" s="115"/>
      <c r="DE290" s="115"/>
      <c r="DF290" s="115"/>
      <c r="DG290" s="115"/>
      <c r="DH290" s="115"/>
      <c r="DI290" s="115"/>
      <c r="DJ290" s="115"/>
      <c r="DK290" s="115"/>
      <c r="DL290" s="115"/>
      <c r="DM290" s="115"/>
    </row>
    <row r="291" spans="2:117" x14ac:dyDescent="0.2">
      <c r="B291" s="117">
        <f t="shared" si="265"/>
        <v>243.54000000000164</v>
      </c>
      <c r="C291" s="167" t="str">
        <f t="shared" ca="1" si="258"/>
        <v>幽月轮1</v>
      </c>
      <c r="D291" s="115">
        <f ca="1">IF(C291="赤日轮1",1,IF(C291="赤日轮2",2,IF(C291="赤日轮3",3,IF(C291="幽月轮1",4,IF(C291="幽月轮2",5,IF(C291="幽月轮3",6,IF(C291="烈日斩",7,IF(C291="银月斩",8,IF(C291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291="净世破魔击·月",17,IF(C291="驱夜断愁",18,0)))))))))))</f>
        <v>4</v>
      </c>
      <c r="E291" s="115">
        <f ca="1">IF(AND(CU291,OR(C291="幽月轮1",C291="幽月轮2",C291="幽月轮3",C291="银月斩",C291="驱夜断愁",C291="净世破魔击·月")),100,MIN(IF(OR(CN291,BE291),0,IF(OR($C291="赤日轮1",$C291="赤日轮2",$C291="赤日轮3"),E290+20+IF(模拟模式!$I$7="日月凌天",4,0)+IF(CR290,20,0),IF($C291="烈日斩",E290+40,IF($C291="驱夜断愁",IF(模拟模式!$R$7="万念俱寂",E290+20,E290+60),IF($C291="净世破魔击·月",IF(OR(DB290&gt;0,CV290&gt;0),100,IF(模拟模式!$M$7="辉耀红尘",E290+20,E290)),IF($C291="净世破魔击·日",E290-100,E290)))))),100))</f>
        <v>80</v>
      </c>
      <c r="F291" s="115">
        <f ca="1">IF(AND(CU291,OR(C291="赤日轮1",C291="赤日轮2",C291="赤日轮3",C291="烈日斩",C291="净世破魔击·日")),100,MIN(IF(CO291,0,IF(OR($C291="幽月轮1",$C291="幽月轮2",$C291="幽月轮3"),F290+20+IF(模拟模式!$I$7="日月凌天",4,0)+IF(CS290,20,0),IF($C291="银月斩",F290+40+IF(模拟模式!$X$12=1,5,0),IF($C291="驱夜断愁",IF(模拟模式!$R$7="万念俱寂",F290+20,F290+60),IF($C291="净世破魔击·月",IF(模拟模式!$M$7="辉耀红尘",F290-80,F290-100),IF(AND(C291="净世破魔击·日",OR(DB290&gt;0,CV290&gt;0)),100,F290)))))),100))</f>
        <v>100</v>
      </c>
      <c r="G291" s="117">
        <f ca="1">('模拟-全程加成'!$E$3+'模拟-全程加成'!$E$4+'模拟-全程加成'!$E$5+('模拟-全程加成'!$C$6-'模拟-全程加成'!$C$3)*系数!$B$9+BS291*23)*(1+'模拟-全程加成'!$F$4+'模拟-全程加成'!$F$5+BJ291*10%+BM291*20%+BP291*4%+CG291*30%)+$F$7*系数!$B$12</f>
        <v>20583.127400000001</v>
      </c>
      <c r="H291" s="45">
        <f ca="1">'模拟-全程加成'!$H$3+'模拟-全程加成'!$H$4+'模拟-全程加成'!$H$5+('模拟-全程加成'!$G$4+'模拟-全程加成'!$G$5+('模拟-全程加成'!$C$6-'模拟-全程加成'!$C$3)*系数!$B$13)/系数!$B$3+LOOKUP(D291,'模拟-单技能数据'!$A$2:$A$19,'模拟-单技能数据'!$K$2:$K$19)+BG291*10%+IF(BV291&gt;0,378,0)</f>
        <v>0.51185145527300213</v>
      </c>
      <c r="I291" s="45">
        <f ca="1">'模拟-全程加成'!$J$3+'模拟-全程加成'!$J$4+'模拟-全程加成'!$J$5+('模拟-全程加成'!$I$4+'模拟-全程加成'!$I$5)/系数!$B$4+LOOKUP(D291,'模拟-单技能数据'!$A$2:$A$19,'模拟-单技能数据'!$L$2:$L$19)+BG291*10%</f>
        <v>2.162482885499879</v>
      </c>
      <c r="J291" s="45">
        <f ca="1">(('模拟-全程加成'!$K$3+'模拟-全程加成'!$K$4+'模拟-全程加成'!$K$5+('模拟-全程加成'!$C$6-'模拟-全程加成'!$C$3)*系数!$B$10+IF(BV291&gt;0,882,0)+IF(BY291&gt;0,1831,0))*(1+'模拟-全程加成'!$L$4+'模拟-全程加成'!$L$5+CC291*20%))/系数!$B$5</f>
        <v>0.69723220422048726</v>
      </c>
      <c r="K291" s="119">
        <f ca="1">LOOKUP(D291,'模拟-单技能数据'!$A$2:$A$19,'模拟-单技能数据'!$J$2:$J$19)+IF(CM291,60%,0)+IF(DB290-DB291&gt;0,30%,0)+IF(OR(AND(OR(C291="赤日轮1",C291="赤日轮2",C291="赤日轮3"),CR291),AND(OR(C291="幽月轮1",C291="幽月轮2",C291="幽月轮3"),CS291)),35%,0)+CJ291</f>
        <v>0.08</v>
      </c>
      <c r="L291" s="119">
        <f ca="1">IF(AND(C291="烈日斩",模拟模式!$X$11=1),10%,0)+IF(AND(C291="驱夜断愁",AB291=1),30%,0)</f>
        <v>0</v>
      </c>
      <c r="M291" s="45">
        <f t="shared" ca="1" si="241"/>
        <v>0.51185145527300213</v>
      </c>
      <c r="N291" s="45">
        <f t="shared" ca="1" si="242"/>
        <v>0.43424854472699792</v>
      </c>
      <c r="O291" s="46">
        <f t="shared" ca="1" si="266"/>
        <v>0.90925989517746397</v>
      </c>
      <c r="P291" s="46" t="str">
        <f t="shared" ca="1" si="267"/>
        <v>命</v>
      </c>
      <c r="Q291" s="45">
        <f t="shared" ca="1" si="268"/>
        <v>1</v>
      </c>
      <c r="R291" s="117">
        <f ca="1">模拟模式!$E$20*(1-IF(模拟模式!$J$19="有",0.15,0))*(1-IF(模拟模式!$K$19="有",0.3,0)-IF(CQ291,0.5,0))</f>
        <v>2950.6049999999996</v>
      </c>
      <c r="S291" s="45">
        <f ca="1">R291/(R291+(185*模拟模式!$E$22-16800)*4.08224)</f>
        <v>0.24272716014590323</v>
      </c>
      <c r="T291" s="45" t="str">
        <f ca="1">LOOKUP(D291,'模拟-单技能数据'!$A$2:$A$19,'模拟-单技能数据'!$H$2:$H$19)</f>
        <v>阴</v>
      </c>
      <c r="U291" s="119">
        <f t="shared" ca="1" si="243"/>
        <v>0.08</v>
      </c>
      <c r="V291" s="47">
        <f ca="1">(1+L291)*(LOOKUP(D291,'模拟-单技能数据'!$A$2:$A$19,'模拟-单技能数据'!$D$2:$D$19)+G291*LOOKUP(D291,'模拟-单技能数据'!$A$2:$A$19,'模拟-单技能数据'!$F$2:$F$19))*(1+J291)*(1+K291)*(1-S291)*(1+U291)*Q291*LOOKUP(D291,'模拟-单技能数据'!$A$2:$A$19,'模拟-单技能数据'!$I$2:$I$20)</f>
        <v>16377.865200321266</v>
      </c>
      <c r="W291" s="47">
        <f ca="1">LOOKUP(D291,'模拟-单技能数据'!$A$2:$A$19,'模拟-单技能数据'!$G$2:$G$19)*$I$10</f>
        <v>361.51064354704795</v>
      </c>
      <c r="X291" s="47">
        <f t="shared" ca="1" si="269"/>
        <v>9190.6918139866902</v>
      </c>
      <c r="Y291" s="47">
        <f t="shared" ca="1" si="244"/>
        <v>25930.067657855005</v>
      </c>
      <c r="Z291" s="49">
        <f t="shared" ca="1" si="245"/>
        <v>27667421.821400911</v>
      </c>
      <c r="AA291" s="97">
        <f t="shared" ca="1" si="246"/>
        <v>113605.24686458374</v>
      </c>
      <c r="AB291" s="115">
        <f ca="1">IF(OR(C291="赤日轮1",C291="赤日轮2",C291="赤日轮3"),IF(RAND()&lt;模拟模式!$Y$17,1,0),IF(OR(C291="幽月轮1",C291="幽月轮2",C291="幽月轮3"),IF(RAND()&lt;模拟模式!$Y$18,1,0),IF(C291="烈日斩",IF(RAND()&lt;模拟模式!$Y$19,1,0),IF(C291="银月斩",IF(RAND()&lt;模拟模式!$Y$20,1,0),IF(C291="驱夜断愁",IF(RAND()&lt;模拟模式!$Y$21,1,0),IF(C291="净世破魔击·日",IF(RAND()&lt;模拟模式!$Y$22,1,0),IF(C291="净世破魔击·月",IF(RAND()&lt;模拟模式!$Y$23,1,0),0)))))))</f>
        <v>1</v>
      </c>
      <c r="AC291" s="115" t="b">
        <f t="shared" ca="1" si="234"/>
        <v>0</v>
      </c>
      <c r="AD291" s="115" t="b">
        <f t="shared" ca="1" si="254"/>
        <v>0</v>
      </c>
      <c r="AE291" s="115">
        <f t="shared" ca="1" si="255"/>
        <v>4</v>
      </c>
      <c r="AF291" s="47">
        <f ca="1">IF(AC291,('模拟-单技能数据'!$D$20+G291*'模拟-单技能数据'!$F$20)*(1+J291)*(1+'模拟-单技能数据'!$J$20)*(1+U291),0)</f>
        <v>0</v>
      </c>
      <c r="AG291" s="61">
        <f t="shared" ca="1" si="247"/>
        <v>0.64185145527300214</v>
      </c>
      <c r="AH291" s="61">
        <f t="shared" ca="1" si="248"/>
        <v>2.2624828854998791</v>
      </c>
      <c r="AI291" s="62">
        <f t="shared" ca="1" si="270"/>
        <v>0.57909675348525469</v>
      </c>
      <c r="AJ291" s="47">
        <f ca="1">IF(AD291,IF(AI291&lt;$F$10,0,IF(AI291&lt;$F$10+$F$11,0.25,IF(AI291&lt;$F$10+$F$11+AG291,AH291,1)))*IF(AF291&gt;0,AF291,IF(AF290&gt;0,AF290,IF(AF289&gt;0,AF289,IF(AF288&gt;0,AF288,IF(AF287&gt;0,AF287,IF(AF286&gt;0,AF286,IF(AF285&gt;0,AF285,IF(AF284&gt;0,AF284,IF(AF283&gt;0,AF283,IF(AF281&gt;0,AF281,IF(AF280&gt;0,AF280,IF(AF279&gt;0,AF279,0)))))))))))),0)*(1-$S291)*'模拟-单技能数据'!$I$20</f>
        <v>0</v>
      </c>
      <c r="AK291" s="115" t="b">
        <f t="shared" ca="1" si="235"/>
        <v>0</v>
      </c>
      <c r="AL291" s="115" t="b">
        <f t="shared" ca="1" si="256"/>
        <v>1</v>
      </c>
      <c r="AM291" s="115">
        <f t="shared" ca="1" si="257"/>
        <v>3</v>
      </c>
      <c r="AN291" s="47">
        <f ca="1">IF(AK291,('模拟-单技能数据'!$D$21+G291*'模拟-单技能数据'!$F$21)*(1+J291)*(1+'模拟-单技能数据'!$J$21)*(1+U291),0)</f>
        <v>0</v>
      </c>
      <c r="AO291" s="61">
        <f ca="1">IF(AN291&gt;0,M291-'模拟-单技能数据'!$K$10,AO290)</f>
        <v>0.42185145527300216</v>
      </c>
      <c r="AP291" s="61">
        <f ca="1">IF(AN291&gt;0,I291-'模拟-单技能数据'!$L$10,AP290)</f>
        <v>2.162482885499879</v>
      </c>
      <c r="AQ291" s="63">
        <f t="shared" ca="1" si="271"/>
        <v>0.89265621652294336</v>
      </c>
      <c r="AR291" s="64">
        <f ca="1">IF(AL291,IF(AQ291&lt;$F$10,0,IF(AQ291&lt;$F$10+$F$11,0.25,IF(AQ291&lt;$F$10+$F$11+AO291,AP291,1)))*IF(AN291&gt;0,AN291,IF(AN290&gt;0,AN290,IF(AN289&gt;0,AN289,IF(AN288&gt;0,AN288,IF(AN287&gt;0,AN287,IF(AN286&gt;0,AN286,IF(AN285&gt;0,AN285,IF(AN284&gt;0,AN284,IF(AN283&gt;0,AN283,IF(AN281&gt;0,AN281,IF(AN280&gt;0,AN280,IF(AN279&gt;0,AN279,0)))))))))))),0)*(1-$S291)*'模拟-单技能数据'!$I$21</f>
        <v>9190.6918139866902</v>
      </c>
      <c r="AS291" s="61">
        <f ca="1">IF(OR(C291="净世破魔击·日",C291="净世破魔击·月"),M291-'模拟-单技能数据'!$K$10,0)</f>
        <v>0</v>
      </c>
      <c r="AT291" s="61">
        <f ca="1">IF(OR(C291="净世破魔击·日",C291="净世破魔击·月"),I291-'模拟-单技能数据'!$L$10,0)</f>
        <v>0</v>
      </c>
      <c r="AU291" s="62">
        <f t="shared" ca="1" si="272"/>
        <v>0.96534344595674393</v>
      </c>
      <c r="AV291" s="64">
        <f ca="1">IF(AS291&gt;0,('模拟-单技能数据'!$D$22+G291*'模拟-单技能数据'!$F$22)*(1+J291)*(1-S291)*IF(AU291&lt;$F$10,0,IF(AU291&lt;$F$10+$F$11,0.25,IF(AU291&lt;$F$10+$F$11+AS291,AT291,1)))*(1+U291),0)*'模拟-单技能数据'!$I$22</f>
        <v>0</v>
      </c>
      <c r="AW291" s="108">
        <f t="shared" ca="1" si="273"/>
        <v>13.542500000000004</v>
      </c>
      <c r="AX291" s="108" t="b">
        <f ca="1">AND(模拟模式!$P$10="有",AW290=0,RAND()&lt;IF(C291="净世破魔击·月",0.1*8/3,IF(C291="净世破魔击·日",0.1*4/3,0.1*2/3)))</f>
        <v>0</v>
      </c>
      <c r="AY291" s="47">
        <f ca="1">IF(AX291,(18+G291*0.722)*(1+J291)*(1-S291)*(1+$I$4)*IF(P291="会",'模拟-全程加成'!$J$3+'模拟-全程加成'!$J$4+'模拟-全程加成'!$J$5+('模拟-全程加成'!$I$4+'模拟-全程加成'!$I$5)/系数!$B$4+BG291*10%,IF(P291="命",1,IF(P291="识",0.25,0))),0)</f>
        <v>0</v>
      </c>
      <c r="AZ291" s="108">
        <f t="shared" si="274"/>
        <v>0</v>
      </c>
      <c r="BA291" s="108" t="b">
        <f>AND(模拟模式!$Q$10="有",AZ290=0)</f>
        <v>0</v>
      </c>
      <c r="BB291" s="140">
        <f>IF(BA291,(0+G291*0.287)*(1+J291)*(1-S291)*(1+$I$4)*IF(P291="会",'模拟-全程加成'!$J$3+'模拟-全程加成'!$J$4+'模拟-全程加成'!$J$5+('模拟-全程加成'!$I$4+'模拟-全程加成'!$I$5)/系数!$B$4+BG291*10%,IF(P291="命",1,IF(P291="识",0.25,0))),0)</f>
        <v>0</v>
      </c>
      <c r="BC291" s="115" t="b">
        <f ca="1">AND(模拟模式!$R$7="伏明众生",E291=60,F291=20,DA291&lt;5,CZ290&lt;$F$4)</f>
        <v>0</v>
      </c>
      <c r="BD291" s="115">
        <f t="shared" ca="1" si="236"/>
        <v>0</v>
      </c>
      <c r="BE291" s="115" t="b">
        <f t="shared" ca="1" si="237"/>
        <v>0</v>
      </c>
      <c r="BF291" s="47">
        <f ca="1">IF(BC291,4*('模拟-单技能数据'!$D$24+G291*'模拟-单技能数据'!$F$24)*(1+J291)*(1+'模拟-单技能数据'!$J$24)*(1-S291)*(1+$I$3)*(('模拟-全程加成'!$J$3+'模拟-全程加成'!$J$4+'模拟-全程加成'!$J$5+('模拟-全程加成'!$I$4+'模拟-全程加成'!$I$5)/系数!$B$4+BG291*10%)*('模拟-全程加成'!$J$3+'模拟-全程加成'!$J$4+'模拟-全程加成'!$J$5+('模拟-全程加成'!$I$4+'模拟-全程加成'!$I$5)/系数!$B$4+BG291*10%)+(1-('模拟-全程加成'!$J$3+'模拟-全程加成'!$J$4+'模拟-全程加成'!$J$5+('模拟-全程加成'!$I$4+'模拟-全程加成'!$I$5)/系数!$B$4+BG291*10%)-$F$10-$F$11)+F277*0.25),0)*'模拟-单技能数据'!$I$24</f>
        <v>0</v>
      </c>
      <c r="BG291" s="115" t="b">
        <f ca="1">OR(AND(OR(C291="烈日斩",C291="银月斩"),模拟模式!$I$7="净身明礼"),AND(C291="净世破魔击·日",模拟模式!$J$7="洞若观火"),AND(C292="净世破魔击·月",模拟模式!$J$7="洞若观火"),AB291=1)</f>
        <v>1</v>
      </c>
      <c r="BH291" s="115" t="b">
        <f t="shared" ca="1" si="275"/>
        <v>0</v>
      </c>
      <c r="BI291" s="115">
        <f t="shared" ca="1" si="238"/>
        <v>0</v>
      </c>
      <c r="BJ291" s="115" t="b">
        <f t="shared" ca="1" si="249"/>
        <v>0</v>
      </c>
      <c r="BK291" s="115" t="b">
        <f ca="1">AND(C291="驱夜断愁",模拟模式!$P$7="天地诛戮")</f>
        <v>0</v>
      </c>
      <c r="BL291" s="57">
        <f t="shared" ca="1" si="239"/>
        <v>18.155000000000001</v>
      </c>
      <c r="BM291" s="115" t="b">
        <f t="shared" ca="1" si="250"/>
        <v>1</v>
      </c>
      <c r="BN291" s="115" t="b">
        <f ca="1">AND(OR(C291="赤日轮1",C291="赤日轮2",C291="赤日轮3",C291="幽月轮1",C291="幽月轮2",C291="幽月轮3"),AB291=1,模拟模式!$L$7="明光恒照")</f>
        <v>1</v>
      </c>
      <c r="BO291" s="117">
        <f t="shared" ca="1" si="240"/>
        <v>30</v>
      </c>
      <c r="BP291" s="115">
        <f t="shared" ca="1" si="276"/>
        <v>6</v>
      </c>
      <c r="BQ291" s="115" t="b">
        <f>模拟模式!$K$10="2600·水"</f>
        <v>0</v>
      </c>
      <c r="BR291" s="117">
        <f t="shared" si="277"/>
        <v>0</v>
      </c>
      <c r="BS291" s="115">
        <f t="shared" si="278"/>
        <v>0</v>
      </c>
      <c r="BT291" s="115">
        <f t="shared" ca="1" si="279"/>
        <v>0</v>
      </c>
      <c r="BU291" s="115" t="b">
        <f ca="1">AND(模拟模式!$K$10="2300·雷",BT290=0,RAND()&lt;IF(C291="净世破魔击·月",5*0.05*2/3,IF(C291="净世破魔击·日",3*0.05*2/3,0.05*2*2/3)))</f>
        <v>0</v>
      </c>
      <c r="BV291" s="115">
        <f t="shared" ca="1" si="280"/>
        <v>0</v>
      </c>
      <c r="BW291" s="115">
        <f t="shared" ca="1" si="281"/>
        <v>128.33999999999924</v>
      </c>
      <c r="BX291" s="164" t="b">
        <f t="shared" ca="1" si="282"/>
        <v>0</v>
      </c>
      <c r="BY291" s="115">
        <f t="shared" ca="1" si="283"/>
        <v>0</v>
      </c>
      <c r="BZ291" s="115">
        <f>IF(OR(模拟模式!$P$16="10人团",模拟模式!$P$16="25人团"),IF(B291/30&gt;CA290,1,0),0)</f>
        <v>0</v>
      </c>
      <c r="CA291" s="115">
        <f t="shared" si="259"/>
        <v>0</v>
      </c>
      <c r="CB291" s="115">
        <f ca="1">IF(BZ291=1,IF(模拟模式!$P$16="10人团",15,0)+IF(模拟模式!$P$16="25人团",IF(RAND()&lt;0.6,15,0)),MAX(0,CB290-$F$4))</f>
        <v>0</v>
      </c>
      <c r="CC291" s="115" t="b">
        <f t="shared" ca="1" si="251"/>
        <v>0</v>
      </c>
      <c r="CD291" s="115">
        <f>IF(模拟模式!$Q$16="1个",IF(B291/40&gt;CE290,1,0),0)</f>
        <v>0</v>
      </c>
      <c r="CE291" s="115">
        <f t="shared" si="252"/>
        <v>0</v>
      </c>
      <c r="CF291" s="115">
        <f>IF(OR(CD291=1,模拟模式!$Q$16="2个"),20,MAX(0,CF290-$F$4))</f>
        <v>0</v>
      </c>
      <c r="CG291" s="115" t="b">
        <f t="shared" si="253"/>
        <v>0</v>
      </c>
      <c r="CH291" s="115">
        <f t="shared" ca="1" si="284"/>
        <v>23.542500000000004</v>
      </c>
      <c r="CI291" s="115" t="b">
        <f t="shared" ca="1" si="285"/>
        <v>0</v>
      </c>
      <c r="CJ291" s="119">
        <f t="shared" ca="1" si="286"/>
        <v>0.01</v>
      </c>
      <c r="CK291" s="115">
        <f t="shared" ca="1" si="287"/>
        <v>1.5424999999999991</v>
      </c>
      <c r="CL291" s="115" t="b">
        <f ca="1">AND(模拟模式!$S$7="驱夷逐法",OR(AND(C291="净世破魔击·月",E290&gt;59),AND(C291="净世破魔击·日",F290&gt;59)))</f>
        <v>0</v>
      </c>
      <c r="CM291" s="115" t="b">
        <f ca="1">OR(CL291,AND(C291="净世破魔击·日",CL290,RAND()&lt;模拟模式!$U$23))</f>
        <v>0</v>
      </c>
      <c r="CN291" s="115" t="b">
        <f ca="1">IF(模拟模式!$M$7="辉耀红尘",AND(C291="净世破魔击·月",CL291,CV291=0,E290&lt;80),AND(C291="净世破魔击·月",CL291,E290&lt;100))</f>
        <v>0</v>
      </c>
      <c r="CO291" s="115" t="b">
        <f t="shared" ca="1" si="260"/>
        <v>0</v>
      </c>
      <c r="CP291" s="115" t="b">
        <f ca="1">AND(模拟模式!$O$7="用晦而明",OR(C291="净世破魔击·日",C291="净世破魔击·月",C291="驱夜断愁"),AB291)</f>
        <v>0</v>
      </c>
      <c r="CQ291" s="115" t="b">
        <f ca="1">OR(CP291,AND(CP290,RAND()&lt;模拟模式!$U$23))</f>
        <v>0</v>
      </c>
      <c r="CR291" s="115" t="b">
        <f ca="1">AND(模拟模式!$S$7="日月齐光",OR(C291="幽月轮1",C291="幽月轮2",C291="幽月轮3",CR290),NOT(OR(C291="赤日轮1",C291="赤日轮2",C291="赤日轮3")))</f>
        <v>0</v>
      </c>
      <c r="CS291" s="115" t="b">
        <f ca="1">AND(模拟模式!$S$7="日月齐光",OR(C291="赤日轮1",C291="赤日轮2",C291="赤日轮3",CS290),NOT(OR(C291="幽月轮1",C291="幽月轮2",C291="幽月轮3")))</f>
        <v>0</v>
      </c>
      <c r="CT291" s="115">
        <f t="shared" ca="1" si="288"/>
        <v>0</v>
      </c>
      <c r="CU291" s="115" t="b">
        <f ca="1">AND(模拟模式!$K$10="阴阳往极",CT290=0,RAND()&lt;IF(C291="净世破魔击·月",0.0275*7/3,IF(C291="净世破魔击·日",0.0275*3/3,0.0275*2/3)))</f>
        <v>0</v>
      </c>
      <c r="CV291" s="115">
        <f t="shared" ca="1" si="289"/>
        <v>0</v>
      </c>
      <c r="CW291" s="115">
        <f t="shared" ca="1" si="261"/>
        <v>5.0774999999999997</v>
      </c>
      <c r="CX291" s="115">
        <f t="shared" ca="1" si="262"/>
        <v>3.2324999999999995</v>
      </c>
      <c r="CY291" s="115">
        <f ca="1">MAX(IF($C291="驱夜断愁",IF(模拟模式!$R$7="万念俱寂",6,45),CY290-$F$4),0)</f>
        <v>4.1549999999999994</v>
      </c>
      <c r="CZ291" s="115">
        <f t="shared" ca="1" si="263"/>
        <v>0</v>
      </c>
      <c r="DA291" s="115">
        <f ca="1">IF(模拟模式!$N$7="日月同辉",IF(DB290=2,0,MIN(6,IF(AND(OR(C291="赤日轮1",C291="赤日轮2",C291="赤日轮3",C291="幽月轮1",C291="幽月轮2",C291="幽月轮3"),AB291=1),DA290+1,DA290))),0)</f>
        <v>0</v>
      </c>
      <c r="DB291" s="115">
        <f t="shared" ca="1" si="264"/>
        <v>2</v>
      </c>
      <c r="DC291" s="115"/>
      <c r="DD291" s="115"/>
      <c r="DE291" s="115"/>
      <c r="DF291" s="115"/>
      <c r="DG291" s="115"/>
      <c r="DH291" s="115"/>
      <c r="DI291" s="115"/>
      <c r="DJ291" s="115"/>
      <c r="DK291" s="115"/>
      <c r="DL291" s="115"/>
      <c r="DM291" s="115"/>
    </row>
    <row r="292" spans="2:117" x14ac:dyDescent="0.2">
      <c r="B292" s="117">
        <f t="shared" si="265"/>
        <v>244.46250000000165</v>
      </c>
      <c r="C292" s="167" t="str">
        <f t="shared" ca="1" si="258"/>
        <v>净世破魔击·月</v>
      </c>
      <c r="D292" s="115">
        <f ca="1">IF(C292="赤日轮1",1,IF(C292="赤日轮2",2,IF(C292="赤日轮3",3,IF(C292="幽月轮1",4,IF(C292="幽月轮2",5,IF(C292="幽月轮3",6,IF(C292="烈日斩",7,IF(C292="银月斩",8,IF(C292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292="净世破魔击·月",17,IF(C292="驱夜断愁",18,0)))))))))))</f>
        <v>17</v>
      </c>
      <c r="E292" s="115">
        <f ca="1">IF(AND(CU292,OR(C292="幽月轮1",C292="幽月轮2",C292="幽月轮3",C292="银月斩",C292="驱夜断愁",C292="净世破魔击·月")),100,MIN(IF(OR(CN292,BE292),0,IF(OR($C292="赤日轮1",$C292="赤日轮2",$C292="赤日轮3"),E291+20+IF(模拟模式!$I$7="日月凌天",4,0)+IF(CR291,20,0),IF($C292="烈日斩",E291+40,IF($C292="驱夜断愁",IF(模拟模式!$R$7="万念俱寂",E291+20,E291+60),IF($C292="净世破魔击·月",IF(OR(DB291&gt;0,CV291&gt;0),100,IF(模拟模式!$M$7="辉耀红尘",E291+20,E291)),IF($C292="净世破魔击·日",E291-100,E291)))))),100))</f>
        <v>100</v>
      </c>
      <c r="F292" s="115">
        <f ca="1">IF(AND(CU292,OR(C292="赤日轮1",C292="赤日轮2",C292="赤日轮3",C292="烈日斩",C292="净世破魔击·日")),100,MIN(IF(CO292,0,IF(OR($C292="幽月轮1",$C292="幽月轮2",$C292="幽月轮3"),F291+20+IF(模拟模式!$I$7="日月凌天",4,0)+IF(CS291,20,0),IF($C292="银月斩",F291+40+IF(模拟模式!$X$12=1,5,0),IF($C292="驱夜断愁",IF(模拟模式!$R$7="万念俱寂",F291+20,F291+60),IF($C292="净世破魔击·月",IF(模拟模式!$M$7="辉耀红尘",F291-80,F291-100),IF(AND(C292="净世破魔击·日",OR(DB291&gt;0,CV291&gt;0)),100,F291)))))),100))</f>
        <v>20</v>
      </c>
      <c r="G292" s="117">
        <f ca="1">('模拟-全程加成'!$E$3+'模拟-全程加成'!$E$4+'模拟-全程加成'!$E$5+('模拟-全程加成'!$C$6-'模拟-全程加成'!$C$3)*系数!$B$9+BS292*23)*(1+'模拟-全程加成'!$F$4+'模拟-全程加成'!$F$5+BJ292*10%+BM292*20%+BP292*4%+CG292*30%)+$F$7*系数!$B$12</f>
        <v>20583.127400000001</v>
      </c>
      <c r="H292" s="45">
        <f ca="1">'模拟-全程加成'!$H$3+'模拟-全程加成'!$H$4+'模拟-全程加成'!$H$5+('模拟-全程加成'!$G$4+'模拟-全程加成'!$G$5+('模拟-全程加成'!$C$6-'模拟-全程加成'!$C$3)*系数!$B$13)/系数!$B$3+LOOKUP(D292,'模拟-单技能数据'!$A$2:$A$19,'模拟-单技能数据'!$K$2:$K$19)+BG292*10%+IF(BV292&gt;0,378,0)</f>
        <v>0.54185145527300216</v>
      </c>
      <c r="I292" s="45">
        <f ca="1">'模拟-全程加成'!$J$3+'模拟-全程加成'!$J$4+'模拟-全程加成'!$J$5+('模拟-全程加成'!$I$4+'模拟-全程加成'!$I$5)/系数!$B$4+LOOKUP(D292,'模拟-单技能数据'!$A$2:$A$19,'模拟-单技能数据'!$L$2:$L$19)+BG292*10%</f>
        <v>2.162482885499879</v>
      </c>
      <c r="J292" s="45">
        <f ca="1">(('模拟-全程加成'!$K$3+'模拟-全程加成'!$K$4+'模拟-全程加成'!$K$5+('模拟-全程加成'!$C$6-'模拟-全程加成'!$C$3)*系数!$B$10+IF(BV292&gt;0,882,0)+IF(BY292&gt;0,1831,0))*(1+'模拟-全程加成'!$L$4+'模拟-全程加成'!$L$5+CC292*20%))/系数!$B$5</f>
        <v>0.69723220422048726</v>
      </c>
      <c r="K292" s="119">
        <f ca="1">LOOKUP(D292,'模拟-单技能数据'!$A$2:$A$19,'模拟-单技能数据'!$J$2:$J$19)+IF(CM292,60%,0)+IF(DB291-DB292&gt;0,30%,0)+IF(OR(AND(OR(C292="赤日轮1",C292="赤日轮2",C292="赤日轮3"),CR292),AND(OR(C292="幽月轮1",C292="幽月轮2",C292="幽月轮3"),CS292)),35%,0)+CJ292</f>
        <v>1.1100000000000001</v>
      </c>
      <c r="L292" s="119">
        <f ca="1">IF(AND(C292="烈日斩",模拟模式!$X$11=1),10%,0)+IF(AND(C292="驱夜断愁",AB292=1),30%,0)</f>
        <v>0</v>
      </c>
      <c r="M292" s="45">
        <f t="shared" ca="1" si="241"/>
        <v>0.54185145527300216</v>
      </c>
      <c r="N292" s="45">
        <f t="shared" ca="1" si="242"/>
        <v>0.40424854472699789</v>
      </c>
      <c r="O292" s="46">
        <f t="shared" ca="1" si="266"/>
        <v>0.46003394259858088</v>
      </c>
      <c r="P292" s="46" t="str">
        <f t="shared" ca="1" si="267"/>
        <v>会</v>
      </c>
      <c r="Q292" s="45">
        <f t="shared" ca="1" si="268"/>
        <v>2.162482885499879</v>
      </c>
      <c r="R292" s="117">
        <f ca="1">模拟模式!$E$20*(1-IF(模拟模式!$J$19="有",0.15,0))*(1-IF(模拟模式!$K$19="有",0.3,0)-IF(CQ292,0.5,0))</f>
        <v>843.02999999999975</v>
      </c>
      <c r="S292" s="45">
        <f ca="1">R292/(R292+(185*模拟模式!$E$22-16800)*4.08224)</f>
        <v>8.389626085980037E-2</v>
      </c>
      <c r="T292" s="45" t="str">
        <f ca="1">LOOKUP(D292,'模拟-单技能数据'!$A$2:$A$19,'模拟-单技能数据'!$H$2:$H$19)</f>
        <v>阴</v>
      </c>
      <c r="U292" s="119">
        <f t="shared" ca="1" si="243"/>
        <v>0.08</v>
      </c>
      <c r="V292" s="47">
        <f ca="1">(1+L292)*(LOOKUP(D292,'模拟-单技能数据'!$A$2:$A$19,'模拟-单技能数据'!$D$2:$D$19)+G292*LOOKUP(D292,'模拟-单技能数据'!$A$2:$A$19,'模拟-单技能数据'!$F$2:$F$19))*(1+J292)*(1+K292)*(1-S292)*(1+U292)*Q292*LOOKUP(D292,'模拟-单技能数据'!$A$2:$A$19,'模拟-单技能数据'!$I$2:$I$20)</f>
        <v>204984.57774563122</v>
      </c>
      <c r="W292" s="47">
        <f ca="1">LOOKUP(D292,'模拟-单技能数据'!$A$2:$A$19,'模拟-单技能数据'!$G$2:$G$19)*$I$10</f>
        <v>361.51064354704795</v>
      </c>
      <c r="X292" s="47">
        <f t="shared" ca="1" si="269"/>
        <v>32580.196078074914</v>
      </c>
      <c r="Y292" s="47">
        <f t="shared" ca="1" si="244"/>
        <v>237926.28446725319</v>
      </c>
      <c r="Z292" s="49">
        <f t="shared" ca="1" si="245"/>
        <v>27905348.105868164</v>
      </c>
      <c r="AA292" s="97">
        <f t="shared" ca="1" si="246"/>
        <v>114149.81073116725</v>
      </c>
      <c r="AB292" s="115">
        <f ca="1">IF(OR(C292="赤日轮1",C292="赤日轮2",C292="赤日轮3"),IF(RAND()&lt;模拟模式!$Y$17,1,0),IF(OR(C292="幽月轮1",C292="幽月轮2",C292="幽月轮3"),IF(RAND()&lt;模拟模式!$Y$18,1,0),IF(C292="烈日斩",IF(RAND()&lt;模拟模式!$Y$19,1,0),IF(C292="银月斩",IF(RAND()&lt;模拟模式!$Y$20,1,0),IF(C292="驱夜断愁",IF(RAND()&lt;模拟模式!$Y$21,1,0),IF(C292="净世破魔击·日",IF(RAND()&lt;模拟模式!$Y$22,1,0),IF(C292="净世破魔击·月",IF(RAND()&lt;模拟模式!$Y$23,1,0),0)))))))</f>
        <v>1</v>
      </c>
      <c r="AC292" s="115" t="b">
        <f t="shared" ca="1" si="234"/>
        <v>0</v>
      </c>
      <c r="AD292" s="115" t="b">
        <f t="shared" ca="1" si="254"/>
        <v>1</v>
      </c>
      <c r="AE292" s="115">
        <f t="shared" ca="1" si="255"/>
        <v>3</v>
      </c>
      <c r="AF292" s="47">
        <f ca="1">IF(AC292,('模拟-单技能数据'!$D$20+G292*'模拟-单技能数据'!$F$20)*(1+J292)*(1+'模拟-单技能数据'!$J$20)*(1+U292),0)</f>
        <v>0</v>
      </c>
      <c r="AG292" s="61">
        <f t="shared" ca="1" si="247"/>
        <v>0.64185145527300214</v>
      </c>
      <c r="AH292" s="61">
        <f t="shared" ca="1" si="248"/>
        <v>2.2624828854998791</v>
      </c>
      <c r="AI292" s="62">
        <f t="shared" ca="1" si="270"/>
        <v>0.48884199300095221</v>
      </c>
      <c r="AJ292" s="47">
        <f ca="1">IF(AD292,IF(AI292&lt;$F$10,0,IF(AI292&lt;$F$10+$F$11,0.25,IF(AI292&lt;$F$10+$F$11+AG292,AH292,1)))*IF(AF292&gt;0,AF292,IF(AF291&gt;0,AF291,IF(AF290&gt;0,AF290,IF(AF289&gt;0,AF289,IF(AF288&gt;0,AF288,IF(AF287&gt;0,AF287,IF(AF286&gt;0,AF286,IF(AF285&gt;0,AF285,IF(AF284&gt;0,AF284,IF(AF282&gt;0,AF282,IF(AF281&gt;0,AF281,IF(AF280&gt;0,AF280,0)))))))))))),0)*(1-$S292)*'模拟-单技能数据'!$I$20</f>
        <v>9218.9345386263849</v>
      </c>
      <c r="AK292" s="115" t="b">
        <f t="shared" ca="1" si="235"/>
        <v>0</v>
      </c>
      <c r="AL292" s="115" t="b">
        <f t="shared" ca="1" si="256"/>
        <v>0</v>
      </c>
      <c r="AM292" s="115">
        <f t="shared" ca="1" si="257"/>
        <v>3</v>
      </c>
      <c r="AN292" s="47">
        <f ca="1">IF(AK292,('模拟-单技能数据'!$D$21+G292*'模拟-单技能数据'!$F$21)*(1+J292)*(1+'模拟-单技能数据'!$J$21)*(1+U292),0)</f>
        <v>0</v>
      </c>
      <c r="AO292" s="61">
        <f ca="1">IF(AN292&gt;0,M292-'模拟-单技能数据'!$K$10,AO291)</f>
        <v>0.42185145527300216</v>
      </c>
      <c r="AP292" s="61">
        <f ca="1">IF(AN292&gt;0,I292-'模拟-单技能数据'!$L$10,AP291)</f>
        <v>2.162482885499879</v>
      </c>
      <c r="AQ292" s="63">
        <f t="shared" ca="1" si="271"/>
        <v>0.67675058944390953</v>
      </c>
      <c r="AR292" s="64">
        <f ca="1">IF(AL292,IF(AQ292&lt;$F$10,0,IF(AQ292&lt;$F$10+$F$11,0.25,IF(AQ292&lt;$F$10+$F$11+AO292,AP292,1)))*IF(AN292&gt;0,AN292,IF(AN291&gt;0,AN291,IF(AN290&gt;0,AN290,IF(AN289&gt;0,AN289,IF(AN288&gt;0,AN288,IF(AN287&gt;0,AN287,IF(AN286&gt;0,AN286,IF(AN285&gt;0,AN285,IF(AN284&gt;0,AN284,IF(AN282&gt;0,AN282,IF(AN281&gt;0,AN281,IF(AN280&gt;0,AN280,0)))))))))))),0)*(1-$S292)*'模拟-单技能数据'!$I$21</f>
        <v>0</v>
      </c>
      <c r="AS292" s="61">
        <f ca="1">IF(OR(C292="净世破魔击·日",C292="净世破魔击·月"),M292-'模拟-单技能数据'!$K$10,0)</f>
        <v>0.42185145527300216</v>
      </c>
      <c r="AT292" s="61">
        <f ca="1">IF(OR(C292="净世破魔击·日",C292="净世破魔击·月"),I292-'模拟-单技能数据'!$L$10,0)</f>
        <v>2.162482885499879</v>
      </c>
      <c r="AU292" s="62">
        <f t="shared" ca="1" si="272"/>
        <v>4.9439559603737027E-2</v>
      </c>
      <c r="AV292" s="64">
        <f ca="1">IF(AS292&gt;0,('模拟-单技能数据'!$D$22+G292*'模拟-单技能数据'!$F$22)*(1+J292)*(1-S292)*IF(AU292&lt;$F$10,0,IF(AU292&lt;$F$10+$F$11,0.25,IF(AU292&lt;$F$10+$F$11+AS292,AT292,1)))*(1+U292),0)*'模拟-单技能数据'!$I$22</f>
        <v>1909.8629380262123</v>
      </c>
      <c r="AW292" s="108">
        <f t="shared" ca="1" si="273"/>
        <v>12.620000000000005</v>
      </c>
      <c r="AX292" s="108" t="b">
        <f ca="1">AND(模拟模式!$P$10="有",AW291=0,RAND()&lt;IF(C292="净世破魔击·月",0.1*8/3,IF(C292="净世破魔击·日",0.1*4/3,0.1*2/3)))</f>
        <v>0</v>
      </c>
      <c r="AY292" s="47">
        <f ca="1">IF(AX292,(18+G292*0.722)*(1+J292)*(1-S292)*(1+$I$4)*IF(P292="会",'模拟-全程加成'!$J$3+'模拟-全程加成'!$J$4+'模拟-全程加成'!$J$5+('模拟-全程加成'!$I$4+'模拟-全程加成'!$I$5)/系数!$B$4+BG292*10%,IF(P292="命",1,IF(P292="识",0.25,0))),0)</f>
        <v>0</v>
      </c>
      <c r="AZ292" s="108">
        <f t="shared" si="274"/>
        <v>19.077500000000001</v>
      </c>
      <c r="BA292" s="108" t="b">
        <f>AND(模拟模式!$Q$10="有",AZ291=0)</f>
        <v>1</v>
      </c>
      <c r="BB292" s="140">
        <f ca="1">IF(BA292,(0+G292*0.287)*(1+J292)*(1-S292)*(1+$I$4)*IF(P292="会",'模拟-全程加成'!$J$3+'模拟-全程加成'!$J$4+'模拟-全程加成'!$J$5+('模拟-全程加成'!$I$4+'模拟-全程加成'!$I$5)/系数!$B$4+BG292*10%,IF(P292="命",1,IF(P292="识",0.25,0))),0)</f>
        <v>21451.398601422319</v>
      </c>
      <c r="BC292" s="115" t="b">
        <f ca="1">AND(模拟模式!$R$7="伏明众生",E292=60,F292=20,DA292&lt;5,CZ291&lt;$F$4)</f>
        <v>0</v>
      </c>
      <c r="BD292" s="115">
        <f t="shared" ca="1" si="236"/>
        <v>0</v>
      </c>
      <c r="BE292" s="115" t="b">
        <f t="shared" ca="1" si="237"/>
        <v>0</v>
      </c>
      <c r="BF292" s="47">
        <f ca="1">IF(BC292,4*('模拟-单技能数据'!$D$24+G292*'模拟-单技能数据'!$F$24)*(1+J292)*(1+'模拟-单技能数据'!$J$24)*(1-S292)*(1+$I$3)*(('模拟-全程加成'!$J$3+'模拟-全程加成'!$J$4+'模拟-全程加成'!$J$5+('模拟-全程加成'!$I$4+'模拟-全程加成'!$I$5)/系数!$B$4+BG292*10%)*('模拟-全程加成'!$J$3+'模拟-全程加成'!$J$4+'模拟-全程加成'!$J$5+('模拟-全程加成'!$I$4+'模拟-全程加成'!$I$5)/系数!$B$4+BG292*10%)+(1-('模拟-全程加成'!$J$3+'模拟-全程加成'!$J$4+'模拟-全程加成'!$J$5+('模拟-全程加成'!$I$4+'模拟-全程加成'!$I$5)/系数!$B$4+BG292*10%)-$F$10-$F$11)+F278*0.25),0)*'模拟-单技能数据'!$I$24</f>
        <v>0</v>
      </c>
      <c r="BG292" s="115" t="b">
        <f ca="1">OR(AND(OR(C292="烈日斩",C292="银月斩"),模拟模式!$I$7="净身明礼"),AND(C292="净世破魔击·日",模拟模式!$J$7="洞若观火"),AND(C293="净世破魔击·月",模拟模式!$J$7="洞若观火"),AB292=1)</f>
        <v>1</v>
      </c>
      <c r="BH292" s="115" t="b">
        <f t="shared" ca="1" si="275"/>
        <v>0</v>
      </c>
      <c r="BI292" s="115">
        <f t="shared" ca="1" si="238"/>
        <v>0</v>
      </c>
      <c r="BJ292" s="115" t="b">
        <f t="shared" ca="1" si="249"/>
        <v>0</v>
      </c>
      <c r="BK292" s="115" t="b">
        <f ca="1">AND(C292="驱夜断愁",模拟模式!$P$7="天地诛戮")</f>
        <v>0</v>
      </c>
      <c r="BL292" s="57">
        <f t="shared" ca="1" si="239"/>
        <v>17.232500000000002</v>
      </c>
      <c r="BM292" s="115" t="b">
        <f t="shared" ca="1" si="250"/>
        <v>1</v>
      </c>
      <c r="BN292" s="115" t="b">
        <f ca="1">AND(OR(C292="赤日轮1",C292="赤日轮2",C292="赤日轮3",C292="幽月轮1",C292="幽月轮2",C292="幽月轮3"),AB292=1,模拟模式!$L$7="明光恒照")</f>
        <v>0</v>
      </c>
      <c r="BO292" s="117">
        <f t="shared" ca="1" si="240"/>
        <v>29.077500000000001</v>
      </c>
      <c r="BP292" s="115">
        <f t="shared" ca="1" si="276"/>
        <v>6</v>
      </c>
      <c r="BQ292" s="115" t="b">
        <f>模拟模式!$K$10="2600·水"</f>
        <v>0</v>
      </c>
      <c r="BR292" s="117">
        <f t="shared" si="277"/>
        <v>0</v>
      </c>
      <c r="BS292" s="115">
        <f t="shared" si="278"/>
        <v>0</v>
      </c>
      <c r="BT292" s="115">
        <f t="shared" ca="1" si="279"/>
        <v>0</v>
      </c>
      <c r="BU292" s="115" t="b">
        <f ca="1">AND(模拟模式!$K$10="2300·雷",BT291=0,RAND()&lt;IF(C292="净世破魔击·月",5*0.05*2/3,IF(C292="净世破魔击·日",3*0.05*2/3,0.05*2*2/3)))</f>
        <v>0</v>
      </c>
      <c r="BV292" s="115">
        <f t="shared" ca="1" si="280"/>
        <v>0</v>
      </c>
      <c r="BW292" s="115">
        <f t="shared" ca="1" si="281"/>
        <v>127.41749999999924</v>
      </c>
      <c r="BX292" s="164" t="b">
        <f t="shared" ca="1" si="282"/>
        <v>0</v>
      </c>
      <c r="BY292" s="115">
        <f t="shared" ca="1" si="283"/>
        <v>0</v>
      </c>
      <c r="BZ292" s="115">
        <f>IF(OR(模拟模式!$P$16="10人团",模拟模式!$P$16="25人团"),IF(B292/30&gt;CA291,1,0),0)</f>
        <v>0</v>
      </c>
      <c r="CA292" s="115">
        <f t="shared" si="259"/>
        <v>0</v>
      </c>
      <c r="CB292" s="115">
        <f ca="1">IF(BZ292=1,IF(模拟模式!$P$16="10人团",15,0)+IF(模拟模式!$P$16="25人团",IF(RAND()&lt;0.6,15,0)),MAX(0,CB291-$F$4))</f>
        <v>0</v>
      </c>
      <c r="CC292" s="115" t="b">
        <f t="shared" ca="1" si="251"/>
        <v>0</v>
      </c>
      <c r="CD292" s="115">
        <f>IF(模拟模式!$Q$16="1个",IF(B292/40&gt;CE291,1,0),0)</f>
        <v>0</v>
      </c>
      <c r="CE292" s="115">
        <f t="shared" si="252"/>
        <v>0</v>
      </c>
      <c r="CF292" s="115">
        <f>IF(OR(CD292=1,模拟模式!$Q$16="2个"),20,MAX(0,CF291-$F$4))</f>
        <v>0</v>
      </c>
      <c r="CG292" s="115" t="b">
        <f t="shared" si="253"/>
        <v>0</v>
      </c>
      <c r="CH292" s="115">
        <f t="shared" ca="1" si="284"/>
        <v>22.620000000000005</v>
      </c>
      <c r="CI292" s="115" t="b">
        <f t="shared" ca="1" si="285"/>
        <v>0</v>
      </c>
      <c r="CJ292" s="119">
        <f t="shared" ca="1" si="286"/>
        <v>0.01</v>
      </c>
      <c r="CK292" s="115">
        <f t="shared" ca="1" si="287"/>
        <v>0.61999999999999911</v>
      </c>
      <c r="CL292" s="115" t="b">
        <f ca="1">AND(模拟模式!$S$7="驱夷逐法",OR(AND(C292="净世破魔击·月",E291&gt;59),AND(C292="净世破魔击·日",F291&gt;59)))</f>
        <v>1</v>
      </c>
      <c r="CM292" s="115" t="b">
        <f ca="1">OR(CL292,AND(C292="净世破魔击·日",CL291,RAND()&lt;模拟模式!$U$23))</f>
        <v>1</v>
      </c>
      <c r="CN292" s="115" t="b">
        <f ca="1">IF(模拟模式!$M$7="辉耀红尘",AND(C292="净世破魔击·月",CL292,CV292=0,E291&lt;80),AND(C292="净世破魔击·月",CL292,E291&lt;100))</f>
        <v>0</v>
      </c>
      <c r="CO292" s="115" t="b">
        <f t="shared" ca="1" si="260"/>
        <v>0</v>
      </c>
      <c r="CP292" s="115" t="b">
        <f ca="1">AND(模拟模式!$O$7="用晦而明",OR(C292="净世破魔击·日",C292="净世破魔击·月",C292="驱夜断愁"),AB292)</f>
        <v>1</v>
      </c>
      <c r="CQ292" s="115" t="b">
        <f ca="1">OR(CP292,AND(CP291,RAND()&lt;模拟模式!$U$23))</f>
        <v>1</v>
      </c>
      <c r="CR292" s="115" t="b">
        <f ca="1">AND(模拟模式!$S$7="日月齐光",OR(C292="幽月轮1",C292="幽月轮2",C292="幽月轮3",CR291),NOT(OR(C292="赤日轮1",C292="赤日轮2",C292="赤日轮3")))</f>
        <v>0</v>
      </c>
      <c r="CS292" s="115" t="b">
        <f ca="1">AND(模拟模式!$S$7="日月齐光",OR(C292="赤日轮1",C292="赤日轮2",C292="赤日轮3",CS291),NOT(OR(C292="幽月轮1",C292="幽月轮2",C292="幽月轮3")))</f>
        <v>0</v>
      </c>
      <c r="CT292" s="115">
        <f t="shared" ca="1" si="288"/>
        <v>0</v>
      </c>
      <c r="CU292" s="115" t="b">
        <f ca="1">AND(模拟模式!$K$10="阴阳往极",CT291=0,RAND()&lt;IF(C292="净世破魔击·月",0.0275*7/3,IF(C292="净世破魔击·日",0.0275*3/3,0.0275*2/3)))</f>
        <v>0</v>
      </c>
      <c r="CV292" s="115">
        <f t="shared" ca="1" si="289"/>
        <v>0</v>
      </c>
      <c r="CW292" s="115">
        <f t="shared" ca="1" si="261"/>
        <v>4.1549999999999994</v>
      </c>
      <c r="CX292" s="115">
        <f t="shared" ca="1" si="262"/>
        <v>2.3099999999999996</v>
      </c>
      <c r="CY292" s="115">
        <f ca="1">MAX(IF($C292="驱夜断愁",IF(模拟模式!$R$7="万念俱寂",6,45),CY291-$F$4),0)</f>
        <v>3.2324999999999995</v>
      </c>
      <c r="CZ292" s="115">
        <f t="shared" ca="1" si="263"/>
        <v>0</v>
      </c>
      <c r="DA292" s="115">
        <f ca="1">IF(模拟模式!$N$7="日月同辉",IF(DB291=2,0,MIN(6,IF(AND(OR(C292="赤日轮1",C292="赤日轮2",C292="赤日轮3",C292="幽月轮1",C292="幽月轮2",C292="幽月轮3"),AB292=1),DA291+1,DA291))),0)</f>
        <v>0</v>
      </c>
      <c r="DB292" s="115">
        <f t="shared" ca="1" si="264"/>
        <v>1</v>
      </c>
      <c r="DC292" s="115"/>
      <c r="DD292" s="115"/>
      <c r="DE292" s="115"/>
      <c r="DF292" s="115"/>
      <c r="DG292" s="115"/>
      <c r="DH292" s="115"/>
      <c r="DI292" s="115"/>
      <c r="DJ292" s="115"/>
      <c r="DK292" s="115"/>
      <c r="DL292" s="115"/>
      <c r="DM292" s="115"/>
    </row>
    <row r="293" spans="2:117" x14ac:dyDescent="0.2">
      <c r="B293" s="117">
        <f t="shared" si="265"/>
        <v>245.38500000000167</v>
      </c>
      <c r="C293" s="167" t="str">
        <f t="shared" ca="1" si="258"/>
        <v>净世破魔击·日</v>
      </c>
      <c r="D293" s="115">
        <f ca="1">IF(C293="赤日轮1",1,IF(C293="赤日轮2",2,IF(C293="赤日轮3",3,IF(C293="幽月轮1",4,IF(C293="幽月轮2",5,IF(C293="幽月轮3",6,IF(C293="烈日斩",7,IF(C293="银月斩",8,IF(C293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293="净世破魔击·月",17,IF(C293="驱夜断愁",18,0)))))))))))</f>
        <v>9</v>
      </c>
      <c r="E293" s="115">
        <f ca="1">IF(AND(CU293,OR(C293="幽月轮1",C293="幽月轮2",C293="幽月轮3",C293="银月斩",C293="驱夜断愁",C293="净世破魔击·月")),100,MIN(IF(OR(CN293,BE293),0,IF(OR($C293="赤日轮1",$C293="赤日轮2",$C293="赤日轮3"),E292+20+IF(模拟模式!$I$7="日月凌天",4,0)+IF(CR292,20,0),IF($C293="烈日斩",E292+40,IF($C293="驱夜断愁",IF(模拟模式!$R$7="万念俱寂",E292+20,E292+60),IF($C293="净世破魔击·月",IF(OR(DB292&gt;0,CV292&gt;0),100,IF(模拟模式!$M$7="辉耀红尘",E292+20,E292)),IF($C293="净世破魔击·日",E292-100,E292)))))),100))</f>
        <v>0</v>
      </c>
      <c r="F293" s="115">
        <f ca="1">IF(AND(CU293,OR(C293="赤日轮1",C293="赤日轮2",C293="赤日轮3",C293="烈日斩",C293="净世破魔击·日")),100,MIN(IF(CO293,0,IF(OR($C293="幽月轮1",$C293="幽月轮2",$C293="幽月轮3"),F292+20+IF(模拟模式!$I$7="日月凌天",4,0)+IF(CS292,20,0),IF($C293="银月斩",F292+40+IF(模拟模式!$X$12=1,5,0),IF($C293="驱夜断愁",IF(模拟模式!$R$7="万念俱寂",F292+20,F292+60),IF($C293="净世破魔击·月",IF(模拟模式!$M$7="辉耀红尘",F292-80,F292-100),IF(AND(C293="净世破魔击·日",OR(DB292&gt;0,CV292&gt;0)),100,F292)))))),100))</f>
        <v>100</v>
      </c>
      <c r="G293" s="117">
        <f ca="1">('模拟-全程加成'!$E$3+'模拟-全程加成'!$E$4+'模拟-全程加成'!$E$5+('模拟-全程加成'!$C$6-'模拟-全程加成'!$C$3)*系数!$B$9+BS293*23)*(1+'模拟-全程加成'!$F$4+'模拟-全程加成'!$F$5+BJ293*10%+BM293*20%+BP293*4%+CG293*30%)+$F$7*系数!$B$12</f>
        <v>20583.127400000001</v>
      </c>
      <c r="H293" s="45">
        <f ca="1">'模拟-全程加成'!$H$3+'模拟-全程加成'!$H$4+'模拟-全程加成'!$H$5+('模拟-全程加成'!$G$4+'模拟-全程加成'!$G$5+('模拟-全程加成'!$C$6-'模拟-全程加成'!$C$3)*系数!$B$13)/系数!$B$3+LOOKUP(D293,'模拟-单技能数据'!$A$2:$A$19,'模拟-单技能数据'!$K$2:$K$19)+BG293*10%+IF(BV293&gt;0,378,0)</f>
        <v>0.54185145527300216</v>
      </c>
      <c r="I293" s="45">
        <f ca="1">'模拟-全程加成'!$J$3+'模拟-全程加成'!$J$4+'模拟-全程加成'!$J$5+('模拟-全程加成'!$I$4+'模拟-全程加成'!$I$5)/系数!$B$4+LOOKUP(D293,'模拟-单技能数据'!$A$2:$A$19,'模拟-单技能数据'!$L$2:$L$19)+BG293*10%</f>
        <v>2.162482885499879</v>
      </c>
      <c r="J293" s="45">
        <f ca="1">(('模拟-全程加成'!$K$3+'模拟-全程加成'!$K$4+'模拟-全程加成'!$K$5+('模拟-全程加成'!$C$6-'模拟-全程加成'!$C$3)*系数!$B$10+IF(BV293&gt;0,882,0)+IF(BY293&gt;0,1831,0))*(1+'模拟-全程加成'!$L$4+'模拟-全程加成'!$L$5+CC293*20%))/系数!$B$5</f>
        <v>0.69723220422048726</v>
      </c>
      <c r="K293" s="119">
        <f ca="1">LOOKUP(D293,'模拟-单技能数据'!$A$2:$A$19,'模拟-单技能数据'!$J$2:$J$19)+IF(CM293,60%,0)+IF(DB292-DB293&gt;0,30%,0)+IF(OR(AND(OR(C293="赤日轮1",C293="赤日轮2",C293="赤日轮3"),CR293),AND(OR(C293="幽月轮1",C293="幽月轮2",C293="幽月轮3"),CS293)),35%,0)+CJ293</f>
        <v>1.1000000000000001</v>
      </c>
      <c r="L293" s="119">
        <f ca="1">IF(AND(C293="烈日斩",模拟模式!$X$11=1),10%,0)+IF(AND(C293="驱夜断愁",AB293=1),30%,0)</f>
        <v>0</v>
      </c>
      <c r="M293" s="45">
        <f t="shared" ca="1" si="241"/>
        <v>0.54185145527300216</v>
      </c>
      <c r="N293" s="45">
        <f t="shared" ca="1" si="242"/>
        <v>0.40424854472699789</v>
      </c>
      <c r="O293" s="46">
        <f t="shared" ca="1" si="266"/>
        <v>0.82460133249616596</v>
      </c>
      <c r="P293" s="46" t="str">
        <f t="shared" ca="1" si="267"/>
        <v>命</v>
      </c>
      <c r="Q293" s="45">
        <f t="shared" ca="1" si="268"/>
        <v>1</v>
      </c>
      <c r="R293" s="117">
        <f ca="1">模拟模式!$E$20*(1-IF(模拟模式!$J$19="有",0.15,0))*(1-IF(模拟模式!$K$19="有",0.3,0)-IF(CQ293,0.5,0))</f>
        <v>843.02999999999975</v>
      </c>
      <c r="S293" s="45">
        <f ca="1">R293/(R293+(185*模拟模式!$E$22-16800)*4.08224)</f>
        <v>8.389626085980037E-2</v>
      </c>
      <c r="T293" s="45" t="str">
        <f ca="1">LOOKUP(D293,'模拟-单技能数据'!$A$2:$A$19,'模拟-单技能数据'!$H$2:$H$19)</f>
        <v>阳</v>
      </c>
      <c r="U293" s="119">
        <f t="shared" ca="1" si="243"/>
        <v>0.2</v>
      </c>
      <c r="V293" s="47">
        <f ca="1">(1+L293)*(LOOKUP(D293,'模拟-单技能数据'!$A$2:$A$19,'模拟-单技能数据'!$D$2:$D$19)+G293*LOOKUP(D293,'模拟-单技能数据'!$A$2:$A$19,'模拟-单技能数据'!$F$2:$F$19))*(1+J293)*(1+K293)*(1-S293)*(1+U293)*Q293*LOOKUP(D293,'模拟-单技能数据'!$A$2:$A$19,'模拟-单技能数据'!$I$2:$I$20)</f>
        <v>105697.2298988978</v>
      </c>
      <c r="W293" s="47">
        <f ca="1">LOOKUP(D293,'模拟-单技能数据'!$A$2:$A$19,'模拟-单技能数据'!$G$2:$G$19)*$I$10</f>
        <v>723.0212870940959</v>
      </c>
      <c r="X293" s="47">
        <f t="shared" ca="1" si="269"/>
        <v>19606.63323331828</v>
      </c>
      <c r="Y293" s="47">
        <f t="shared" ca="1" si="244"/>
        <v>126026.88441931017</v>
      </c>
      <c r="Z293" s="49">
        <f t="shared" ca="1" si="245"/>
        <v>28031374.990287475</v>
      </c>
      <c r="AA293" s="97">
        <f t="shared" ca="1" si="246"/>
        <v>114234.26448351482</v>
      </c>
      <c r="AB293" s="115">
        <f ca="1">IF(OR(C293="赤日轮1",C293="赤日轮2",C293="赤日轮3"),IF(RAND()&lt;模拟模式!$Y$17,1,0),IF(OR(C293="幽月轮1",C293="幽月轮2",C293="幽月轮3"),IF(RAND()&lt;模拟模式!$Y$18,1,0),IF(C293="烈日斩",IF(RAND()&lt;模拟模式!$Y$19,1,0),IF(C293="银月斩",IF(RAND()&lt;模拟模式!$Y$20,1,0),IF(C293="驱夜断愁",IF(RAND()&lt;模拟模式!$Y$21,1,0),IF(C293="净世破魔击·日",IF(RAND()&lt;模拟模式!$Y$22,1,0),IF(C293="净世破魔击·月",IF(RAND()&lt;模拟模式!$Y$23,1,0),0)))))))</f>
        <v>1</v>
      </c>
      <c r="AC293" s="115" t="b">
        <f t="shared" ca="1" si="234"/>
        <v>0</v>
      </c>
      <c r="AD293" s="115" t="b">
        <f t="shared" ca="1" si="254"/>
        <v>0</v>
      </c>
      <c r="AE293" s="115">
        <f t="shared" ca="1" si="255"/>
        <v>3</v>
      </c>
      <c r="AF293" s="47">
        <f ca="1">IF(AC293,('模拟-单技能数据'!$D$20+G293*'模拟-单技能数据'!$F$20)*(1+J293)*(1+'模拟-单技能数据'!$J$20)*(1+U293),0)</f>
        <v>0</v>
      </c>
      <c r="AG293" s="61">
        <f t="shared" ca="1" si="247"/>
        <v>0.64185145527300214</v>
      </c>
      <c r="AH293" s="61">
        <f t="shared" ca="1" si="248"/>
        <v>2.2624828854998791</v>
      </c>
      <c r="AI293" s="62">
        <f t="shared" ca="1" si="270"/>
        <v>0.20395228162645429</v>
      </c>
      <c r="AJ293" s="47">
        <f ca="1">IF(AD293,IF(AI293&lt;$F$10,0,IF(AI293&lt;$F$10+$F$11,0.25,IF(AI293&lt;$F$10+$F$11+AG293,AH293,1)))*IF(AF293&gt;0,AF293,IF(AF292&gt;0,AF292,IF(AF291&gt;0,AF291,IF(AF290&gt;0,AF290,IF(AF289&gt;0,AF289,IF(AF288&gt;0,AF288,IF(AF287&gt;0,AF287,IF(AF286&gt;0,AF286,IF(AF285&gt;0,AF285,IF(AF283&gt;0,AF283,IF(AF282&gt;0,AF282,IF(AF281&gt;0,AF281,0)))))))))))),0)*(1-$S293)*'模拟-单技能数据'!$I$20</f>
        <v>0</v>
      </c>
      <c r="AK293" s="115" t="b">
        <f t="shared" ca="1" si="235"/>
        <v>1</v>
      </c>
      <c r="AL293" s="115" t="b">
        <f t="shared" ca="1" si="256"/>
        <v>1</v>
      </c>
      <c r="AM293" s="115">
        <f t="shared" ca="1" si="257"/>
        <v>5</v>
      </c>
      <c r="AN293" s="47">
        <f ca="1">IF(AK293,('模拟-单技能数据'!$D$21+G293*'模拟-单技能数据'!$F$21)*(1+J293)*(1+'模拟-单技能数据'!$J$21)*(1+U293),0)</f>
        <v>12136.56601728573</v>
      </c>
      <c r="AO293" s="61">
        <f ca="1">IF(AN293&gt;0,M293-'模拟-单技能数据'!$K$10,AO292)</f>
        <v>0.42185145527300216</v>
      </c>
      <c r="AP293" s="61">
        <f ca="1">IF(AN293&gt;0,I293-'模拟-单技能数据'!$L$10,AP292)</f>
        <v>2.162482885499879</v>
      </c>
      <c r="AQ293" s="63">
        <f t="shared" ca="1" si="271"/>
        <v>0.51740219288471945</v>
      </c>
      <c r="AR293" s="64">
        <f ca="1">IF(AL293,IF(AQ293&lt;$F$10,0,IF(AQ293&lt;$F$10+$F$11,0.25,IF(AQ293&lt;$F$10+$F$11+AO293,AP293,1)))*IF(AN293&gt;0,AN293,IF(AN292&gt;0,AN292,IF(AN291&gt;0,AN291,IF(AN290&gt;0,AN290,IF(AN289&gt;0,AN289,IF(AN288&gt;0,AN288,IF(AN287&gt;0,AN287,IF(AN286&gt;0,AN286,IF(AN285&gt;0,AN285,IF(AN283&gt;0,AN283,IF(AN282&gt;0,AN282,IF(AN281&gt;0,AN281,0)))))))))))),0)*(1-$S293)*'模拟-单技能数据'!$I$21</f>
        <v>11118.353508757338</v>
      </c>
      <c r="AS293" s="61">
        <f ca="1">IF(OR(C293="净世破魔击·日",C293="净世破魔击·月"),M293-'模拟-单技能数据'!$K$10,0)</f>
        <v>0.42185145527300216</v>
      </c>
      <c r="AT293" s="61">
        <f ca="1">IF(OR(C293="净世破魔击·日",C293="净世破魔击·月"),I293-'模拟-单技能数据'!$L$10,0)</f>
        <v>2.162482885499879</v>
      </c>
      <c r="AU293" s="62">
        <f t="shared" ca="1" si="272"/>
        <v>0.97203043609773621</v>
      </c>
      <c r="AV293" s="64">
        <f ca="1">IF(AS293&gt;0,('模拟-单技能数据'!$D$22+G293*'模拟-单技能数据'!$F$22)*(1+J293)*(1-S293)*IF(AU293&lt;$F$10,0,IF(AU293&lt;$F$10+$F$11,0.25,IF(AU293&lt;$F$10+$F$11+AS293,AT293,1)))*(1+U293),0)*'模拟-单技能数据'!$I$22</f>
        <v>8488.2797245609418</v>
      </c>
      <c r="AW293" s="108">
        <f t="shared" ca="1" si="273"/>
        <v>11.697500000000005</v>
      </c>
      <c r="AX293" s="108" t="b">
        <f ca="1">AND(模拟模式!$P$10="有",AW292=0,RAND()&lt;IF(C293="净世破魔击·月",0.1*8/3,IF(C293="净世破魔击·日",0.1*4/3,0.1*2/3)))</f>
        <v>0</v>
      </c>
      <c r="AY293" s="47">
        <f ca="1">IF(AX293,(18+G293*0.722)*(1+J293)*(1-S293)*(1+$I$4)*IF(P293="会",'模拟-全程加成'!$J$3+'模拟-全程加成'!$J$4+'模拟-全程加成'!$J$5+('模拟-全程加成'!$I$4+'模拟-全程加成'!$I$5)/系数!$B$4+BG293*10%,IF(P293="命",1,IF(P293="识",0.25,0))),0)</f>
        <v>0</v>
      </c>
      <c r="AZ293" s="108">
        <f t="shared" si="274"/>
        <v>18.155000000000001</v>
      </c>
      <c r="BA293" s="108" t="b">
        <f>AND(模拟模式!$Q$10="有",AZ292=0)</f>
        <v>0</v>
      </c>
      <c r="BB293" s="140">
        <f>IF(BA293,(0+G293*0.287)*(1+J293)*(1-S293)*(1+$I$4)*IF(P293="会",'模拟-全程加成'!$J$3+'模拟-全程加成'!$J$4+'模拟-全程加成'!$J$5+('模拟-全程加成'!$I$4+'模拟-全程加成'!$I$5)/系数!$B$4+BG293*10%,IF(P293="命",1,IF(P293="识",0.25,0))),0)</f>
        <v>0</v>
      </c>
      <c r="BC293" s="115" t="b">
        <f ca="1">AND(模拟模式!$R$7="伏明众生",E293=60,F293=20,DA293&lt;5,CZ292&lt;$F$4)</f>
        <v>0</v>
      </c>
      <c r="BD293" s="115">
        <f t="shared" ca="1" si="236"/>
        <v>0</v>
      </c>
      <c r="BE293" s="115" t="b">
        <f t="shared" ca="1" si="237"/>
        <v>0</v>
      </c>
      <c r="BF293" s="47">
        <f ca="1">IF(BC293,4*('模拟-单技能数据'!$D$24+G293*'模拟-单技能数据'!$F$24)*(1+J293)*(1+'模拟-单技能数据'!$J$24)*(1-S293)*(1+$I$3)*(('模拟-全程加成'!$J$3+'模拟-全程加成'!$J$4+'模拟-全程加成'!$J$5+('模拟-全程加成'!$I$4+'模拟-全程加成'!$I$5)/系数!$B$4+BG293*10%)*('模拟-全程加成'!$J$3+'模拟-全程加成'!$J$4+'模拟-全程加成'!$J$5+('模拟-全程加成'!$I$4+'模拟-全程加成'!$I$5)/系数!$B$4+BG293*10%)+(1-('模拟-全程加成'!$J$3+'模拟-全程加成'!$J$4+'模拟-全程加成'!$J$5+('模拟-全程加成'!$I$4+'模拟-全程加成'!$I$5)/系数!$B$4+BG293*10%)-$F$10-$F$11)+F279*0.25),0)*'模拟-单技能数据'!$I$24</f>
        <v>0</v>
      </c>
      <c r="BG293" s="115" t="b">
        <f ca="1">OR(AND(OR(C293="烈日斩",C293="银月斩"),模拟模式!$I$7="净身明礼"),AND(C293="净世破魔击·日",模拟模式!$J$7="洞若观火"),AND(C294="净世破魔击·月",模拟模式!$J$7="洞若观火"),AB293=1)</f>
        <v>1</v>
      </c>
      <c r="BH293" s="115" t="b">
        <f t="shared" ca="1" si="275"/>
        <v>0</v>
      </c>
      <c r="BI293" s="115">
        <f t="shared" ca="1" si="238"/>
        <v>0</v>
      </c>
      <c r="BJ293" s="115" t="b">
        <f t="shared" ca="1" si="249"/>
        <v>0</v>
      </c>
      <c r="BK293" s="115" t="b">
        <f ca="1">AND(C293="驱夜断愁",模拟模式!$P$7="天地诛戮")</f>
        <v>0</v>
      </c>
      <c r="BL293" s="57">
        <f t="shared" ca="1" si="239"/>
        <v>16.310000000000002</v>
      </c>
      <c r="BM293" s="115" t="b">
        <f t="shared" ca="1" si="250"/>
        <v>1</v>
      </c>
      <c r="BN293" s="115" t="b">
        <f ca="1">AND(OR(C293="赤日轮1",C293="赤日轮2",C293="赤日轮3",C293="幽月轮1",C293="幽月轮2",C293="幽月轮3"),AB293=1,模拟模式!$L$7="明光恒照")</f>
        <v>0</v>
      </c>
      <c r="BO293" s="117">
        <f t="shared" ca="1" si="240"/>
        <v>28.155000000000001</v>
      </c>
      <c r="BP293" s="115">
        <f t="shared" ca="1" si="276"/>
        <v>6</v>
      </c>
      <c r="BQ293" s="115" t="b">
        <f>模拟模式!$K$10="2600·水"</f>
        <v>0</v>
      </c>
      <c r="BR293" s="117">
        <f t="shared" si="277"/>
        <v>0</v>
      </c>
      <c r="BS293" s="115">
        <f t="shared" si="278"/>
        <v>0</v>
      </c>
      <c r="BT293" s="115">
        <f t="shared" ca="1" si="279"/>
        <v>0</v>
      </c>
      <c r="BU293" s="115" t="b">
        <f ca="1">AND(模拟模式!$K$10="2300·雷",BT292=0,RAND()&lt;IF(C293="净世破魔击·月",5*0.05*2/3,IF(C293="净世破魔击·日",3*0.05*2/3,0.05*2*2/3)))</f>
        <v>0</v>
      </c>
      <c r="BV293" s="115">
        <f t="shared" ca="1" si="280"/>
        <v>0</v>
      </c>
      <c r="BW293" s="115">
        <f t="shared" ca="1" si="281"/>
        <v>126.49499999999924</v>
      </c>
      <c r="BX293" s="164" t="b">
        <f t="shared" ca="1" si="282"/>
        <v>0</v>
      </c>
      <c r="BY293" s="115">
        <f t="shared" ca="1" si="283"/>
        <v>0</v>
      </c>
      <c r="BZ293" s="115">
        <f>IF(OR(模拟模式!$P$16="10人团",模拟模式!$P$16="25人团"),IF(B293/30&gt;CA292,1,0),0)</f>
        <v>0</v>
      </c>
      <c r="CA293" s="115">
        <f t="shared" si="259"/>
        <v>0</v>
      </c>
      <c r="CB293" s="115">
        <f ca="1">IF(BZ293=1,IF(模拟模式!$P$16="10人团",15,0)+IF(模拟模式!$P$16="25人团",IF(RAND()&lt;0.6,15,0)),MAX(0,CB292-$F$4))</f>
        <v>0</v>
      </c>
      <c r="CC293" s="115" t="b">
        <f t="shared" ca="1" si="251"/>
        <v>0</v>
      </c>
      <c r="CD293" s="115">
        <f>IF(模拟模式!$Q$16="1个",IF(B293/40&gt;CE292,1,0),0)</f>
        <v>0</v>
      </c>
      <c r="CE293" s="115">
        <f t="shared" si="252"/>
        <v>0</v>
      </c>
      <c r="CF293" s="115">
        <f>IF(OR(CD293=1,模拟模式!$Q$16="2个"),20,MAX(0,CF292-$F$4))</f>
        <v>0</v>
      </c>
      <c r="CG293" s="115" t="b">
        <f t="shared" si="253"/>
        <v>0</v>
      </c>
      <c r="CH293" s="115">
        <f t="shared" ca="1" si="284"/>
        <v>21.697500000000005</v>
      </c>
      <c r="CI293" s="115" t="b">
        <f t="shared" ca="1" si="285"/>
        <v>0</v>
      </c>
      <c r="CJ293" s="119">
        <f t="shared" ca="1" si="286"/>
        <v>0</v>
      </c>
      <c r="CK293" s="115">
        <f t="shared" ca="1" si="287"/>
        <v>0</v>
      </c>
      <c r="CL293" s="115" t="b">
        <f ca="1">AND(模拟模式!$S$7="驱夷逐法",OR(AND(C293="净世破魔击·月",E292&gt;59),AND(C293="净世破魔击·日",F292&gt;59)))</f>
        <v>0</v>
      </c>
      <c r="CM293" s="115" t="b">
        <f ca="1">OR(CL293,AND(C293="净世破魔击·日",CL292,RAND()&lt;模拟模式!$U$23))</f>
        <v>1</v>
      </c>
      <c r="CN293" s="115" t="b">
        <f ca="1">IF(模拟模式!$M$7="辉耀红尘",AND(C293="净世破魔击·月",CL293,CV293=0,E292&lt;80),AND(C293="净世破魔击·月",CL293,E292&lt;100))</f>
        <v>0</v>
      </c>
      <c r="CO293" s="115" t="b">
        <f t="shared" ca="1" si="260"/>
        <v>0</v>
      </c>
      <c r="CP293" s="115" t="b">
        <f ca="1">AND(模拟模式!$O$7="用晦而明",OR(C293="净世破魔击·日",C293="净世破魔击·月",C293="驱夜断愁"),AB293)</f>
        <v>1</v>
      </c>
      <c r="CQ293" s="115" t="b">
        <f ca="1">OR(CP293,AND(CP292,RAND()&lt;模拟模式!$U$23))</f>
        <v>1</v>
      </c>
      <c r="CR293" s="115" t="b">
        <f ca="1">AND(模拟模式!$S$7="日月齐光",OR(C293="幽月轮1",C293="幽月轮2",C293="幽月轮3",CR292),NOT(OR(C293="赤日轮1",C293="赤日轮2",C293="赤日轮3")))</f>
        <v>0</v>
      </c>
      <c r="CS293" s="115" t="b">
        <f ca="1">AND(模拟模式!$S$7="日月齐光",OR(C293="赤日轮1",C293="赤日轮2",C293="赤日轮3",CS292),NOT(OR(C293="幽月轮1",C293="幽月轮2",C293="幽月轮3")))</f>
        <v>0</v>
      </c>
      <c r="CT293" s="115">
        <f t="shared" ca="1" si="288"/>
        <v>0</v>
      </c>
      <c r="CU293" s="115" t="b">
        <f ca="1">AND(模拟模式!$K$10="阴阳往极",CT292=0,RAND()&lt;IF(C293="净世破魔击·月",0.0275*7/3,IF(C293="净世破魔击·日",0.0275*3/3,0.0275*2/3)))</f>
        <v>0</v>
      </c>
      <c r="CV293" s="115">
        <f t="shared" ca="1" si="289"/>
        <v>0</v>
      </c>
      <c r="CW293" s="115">
        <f t="shared" ca="1" si="261"/>
        <v>3.2324999999999995</v>
      </c>
      <c r="CX293" s="115">
        <f t="shared" ca="1" si="262"/>
        <v>1.3874999999999997</v>
      </c>
      <c r="CY293" s="115">
        <f ca="1">MAX(IF($C293="驱夜断愁",IF(模拟模式!$R$7="万念俱寂",6,45),CY292-$F$4),0)</f>
        <v>2.3099999999999996</v>
      </c>
      <c r="CZ293" s="115">
        <f t="shared" ca="1" si="263"/>
        <v>0</v>
      </c>
      <c r="DA293" s="115">
        <f ca="1">IF(模拟模式!$N$7="日月同辉",IF(DB292=2,0,MIN(6,IF(AND(OR(C293="赤日轮1",C293="赤日轮2",C293="赤日轮3",C293="幽月轮1",C293="幽月轮2",C293="幽月轮3"),AB293=1),DA292+1,DA292))),0)</f>
        <v>0</v>
      </c>
      <c r="DB293" s="115">
        <f t="shared" ca="1" si="264"/>
        <v>0</v>
      </c>
      <c r="DC293" s="115"/>
      <c r="DD293" s="115"/>
      <c r="DE293" s="115"/>
      <c r="DF293" s="115"/>
      <c r="DG293" s="115"/>
      <c r="DH293" s="115"/>
      <c r="DI293" s="115"/>
      <c r="DJ293" s="115"/>
      <c r="DK293" s="115"/>
      <c r="DL293" s="115"/>
      <c r="DM293" s="115"/>
    </row>
    <row r="294" spans="2:117" x14ac:dyDescent="0.2">
      <c r="B294" s="117">
        <f t="shared" si="265"/>
        <v>246.30750000000168</v>
      </c>
      <c r="C294" s="167" t="str">
        <f t="shared" ca="1" si="258"/>
        <v>净世破魔击·月</v>
      </c>
      <c r="D294" s="115">
        <f ca="1">IF(C294="赤日轮1",1,IF(C294="赤日轮2",2,IF(C294="赤日轮3",3,IF(C294="幽月轮1",4,IF(C294="幽月轮2",5,IF(C294="幽月轮3",6,IF(C294="烈日斩",7,IF(C294="银月斩",8,IF(C294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294="净世破魔击·月",17,IF(C294="驱夜断愁",18,0)))))))))))</f>
        <v>17</v>
      </c>
      <c r="E294" s="115">
        <f ca="1">IF(AND(CU294,OR(C294="幽月轮1",C294="幽月轮2",C294="幽月轮3",C294="银月斩",C294="驱夜断愁",C294="净世破魔击·月")),100,MIN(IF(OR(CN294,BE294),0,IF(OR($C294="赤日轮1",$C294="赤日轮2",$C294="赤日轮3"),E293+20+IF(模拟模式!$I$7="日月凌天",4,0)+IF(CR293,20,0),IF($C294="烈日斩",E293+40,IF($C294="驱夜断愁",IF(模拟模式!$R$7="万念俱寂",E293+20,E293+60),IF($C294="净世破魔击·月",IF(OR(DB293&gt;0,CV293&gt;0),100,IF(模拟模式!$M$7="辉耀红尘",E293+20,E293)),IF($C294="净世破魔击·日",E293-100,E293)))))),100))</f>
        <v>100</v>
      </c>
      <c r="F294" s="115">
        <f ca="1">IF(AND(CU294,OR(C294="赤日轮1",C294="赤日轮2",C294="赤日轮3",C294="烈日斩",C294="净世破魔击·日")),100,MIN(IF(CO294,0,IF(OR($C294="幽月轮1",$C294="幽月轮2",$C294="幽月轮3"),F293+20+IF(模拟模式!$I$7="日月凌天",4,0)+IF(CS293,20,0),IF($C294="银月斩",F293+40+IF(模拟模式!$X$12=1,5,0),IF($C294="驱夜断愁",IF(模拟模式!$R$7="万念俱寂",F293+20,F293+60),IF($C294="净世破魔击·月",IF(模拟模式!$M$7="辉耀红尘",F293-80,F293-100),IF(AND(C294="净世破魔击·日",OR(DB293&gt;0,CV293&gt;0)),100,F293)))))),100))</f>
        <v>20</v>
      </c>
      <c r="G294" s="117">
        <f ca="1">('模拟-全程加成'!$E$3+'模拟-全程加成'!$E$4+'模拟-全程加成'!$E$5+('模拟-全程加成'!$C$6-'模拟-全程加成'!$C$3)*系数!$B$9+BS294*23)*(1+'模拟-全程加成'!$F$4+'模拟-全程加成'!$F$5+BJ294*10%+BM294*20%+BP294*4%+CG294*30%)+$F$7*系数!$B$12</f>
        <v>20583.127400000001</v>
      </c>
      <c r="H294" s="45">
        <f ca="1">'模拟-全程加成'!$H$3+'模拟-全程加成'!$H$4+'模拟-全程加成'!$H$5+('模拟-全程加成'!$G$4+'模拟-全程加成'!$G$5+('模拟-全程加成'!$C$6-'模拟-全程加成'!$C$3)*系数!$B$13)/系数!$B$3+LOOKUP(D294,'模拟-单技能数据'!$A$2:$A$19,'模拟-单技能数据'!$K$2:$K$19)+BG294*10%+IF(BV294&gt;0,378,0)</f>
        <v>0.54185145527300216</v>
      </c>
      <c r="I294" s="45">
        <f ca="1">'模拟-全程加成'!$J$3+'模拟-全程加成'!$J$4+'模拟-全程加成'!$J$5+('模拟-全程加成'!$I$4+'模拟-全程加成'!$I$5)/系数!$B$4+LOOKUP(D294,'模拟-单技能数据'!$A$2:$A$19,'模拟-单技能数据'!$L$2:$L$19)+BG294*10%</f>
        <v>2.162482885499879</v>
      </c>
      <c r="J294" s="45">
        <f ca="1">(('模拟-全程加成'!$K$3+'模拟-全程加成'!$K$4+'模拟-全程加成'!$K$5+('模拟-全程加成'!$C$6-'模拟-全程加成'!$C$3)*系数!$B$10+IF(BV294&gt;0,882,0)+IF(BY294&gt;0,1831,0))*(1+'模拟-全程加成'!$L$4+'模拟-全程加成'!$L$5+CC294*20%))/系数!$B$5</f>
        <v>0.69723220422048726</v>
      </c>
      <c r="K294" s="119">
        <f ca="1">LOOKUP(D294,'模拟-单技能数据'!$A$2:$A$19,'模拟-单技能数据'!$J$2:$J$19)+IF(CM294,60%,0)+IF(DB293-DB294&gt;0,30%,0)+IF(OR(AND(OR(C294="赤日轮1",C294="赤日轮2",C294="赤日轮3"),CR294),AND(OR(C294="幽月轮1",C294="幽月轮2",C294="幽月轮3"),CS294)),35%,0)+CJ294</f>
        <v>0.2</v>
      </c>
      <c r="L294" s="119">
        <f ca="1">IF(AND(C294="烈日斩",模拟模式!$X$11=1),10%,0)+IF(AND(C294="驱夜断愁",AB294=1),30%,0)</f>
        <v>0</v>
      </c>
      <c r="M294" s="45">
        <f t="shared" ca="1" si="241"/>
        <v>0.54185145527300216</v>
      </c>
      <c r="N294" s="45">
        <f t="shared" ca="1" si="242"/>
        <v>0.40424854472699789</v>
      </c>
      <c r="O294" s="46">
        <f t="shared" ca="1" si="266"/>
        <v>0.31277505351129753</v>
      </c>
      <c r="P294" s="46" t="str">
        <f t="shared" ca="1" si="267"/>
        <v>会</v>
      </c>
      <c r="Q294" s="45">
        <f t="shared" ca="1" si="268"/>
        <v>2.162482885499879</v>
      </c>
      <c r="R294" s="117">
        <f ca="1">模拟模式!$E$20*(1-IF(模拟模式!$J$19="有",0.15,0))*(1-IF(模拟模式!$K$19="有",0.3,0)-IF(CQ294,0.5,0))</f>
        <v>843.02999999999975</v>
      </c>
      <c r="S294" s="45">
        <f ca="1">R294/(R294+(185*模拟模式!$E$22-16800)*4.08224)</f>
        <v>8.389626085980037E-2</v>
      </c>
      <c r="T294" s="45" t="str">
        <f ca="1">LOOKUP(D294,'模拟-单技能数据'!$A$2:$A$19,'模拟-单技能数据'!$H$2:$H$19)</f>
        <v>阴</v>
      </c>
      <c r="U294" s="119">
        <f t="shared" ca="1" si="243"/>
        <v>0.08</v>
      </c>
      <c r="V294" s="47">
        <f ca="1">(1+L294)*(LOOKUP(D294,'模拟-单技能数据'!$A$2:$A$19,'模拟-单技能数据'!$D$2:$D$19)+G294*LOOKUP(D294,'模拟-单技能数据'!$A$2:$A$19,'模拟-单技能数据'!$F$2:$F$19))*(1+J294)*(1+K294)*(1-S294)*(1+U294)*Q294*LOOKUP(D294,'模拟-单技能数据'!$A$2:$A$19,'模拟-单技能数据'!$I$2:$I$20)</f>
        <v>116578.90677476654</v>
      </c>
      <c r="W294" s="47">
        <f ca="1">LOOKUP(D294,'模拟-单技能数据'!$A$2:$A$19,'模拟-单技能数据'!$G$2:$G$19)*$I$10</f>
        <v>361.51064354704795</v>
      </c>
      <c r="X294" s="47">
        <f t="shared" ca="1" si="269"/>
        <v>20594.881690648657</v>
      </c>
      <c r="Y294" s="47">
        <f t="shared" ca="1" si="244"/>
        <v>137535.29910896224</v>
      </c>
      <c r="Z294" s="49">
        <f t="shared" ca="1" si="245"/>
        <v>28168910.289396439</v>
      </c>
      <c r="AA294" s="97">
        <f t="shared" ca="1" si="246"/>
        <v>114364.8093923094</v>
      </c>
      <c r="AB294" s="115">
        <f ca="1">IF(OR(C294="赤日轮1",C294="赤日轮2",C294="赤日轮3"),IF(RAND()&lt;模拟模式!$Y$17,1,0),IF(OR(C294="幽月轮1",C294="幽月轮2",C294="幽月轮3"),IF(RAND()&lt;模拟模式!$Y$18,1,0),IF(C294="烈日斩",IF(RAND()&lt;模拟模式!$Y$19,1,0),IF(C294="银月斩",IF(RAND()&lt;模拟模式!$Y$20,1,0),IF(C294="驱夜断愁",IF(RAND()&lt;模拟模式!$Y$21,1,0),IF(C294="净世破魔击·日",IF(RAND()&lt;模拟模式!$Y$22,1,0),IF(C294="净世破魔击·月",IF(RAND()&lt;模拟模式!$Y$23,1,0),0)))))))</f>
        <v>1</v>
      </c>
      <c r="AC294" s="115" t="b">
        <f t="shared" ca="1" si="234"/>
        <v>0</v>
      </c>
      <c r="AD294" s="115" t="b">
        <f t="shared" ca="1" si="254"/>
        <v>1</v>
      </c>
      <c r="AE294" s="115">
        <f t="shared" ca="1" si="255"/>
        <v>2</v>
      </c>
      <c r="AF294" s="47">
        <f ca="1">IF(AC294,('模拟-单技能数据'!$D$20+G294*'模拟-单技能数据'!$F$20)*(1+J294)*(1+'模拟-单技能数据'!$J$20)*(1+U294),0)</f>
        <v>0</v>
      </c>
      <c r="AG294" s="61">
        <f t="shared" ca="1" si="247"/>
        <v>0.64185145527300214</v>
      </c>
      <c r="AH294" s="61">
        <f t="shared" ca="1" si="248"/>
        <v>2.2624828854998791</v>
      </c>
      <c r="AI294" s="62">
        <f t="shared" ca="1" si="270"/>
        <v>0.75235971299442206</v>
      </c>
      <c r="AJ294" s="47">
        <f ca="1">IF(AD294,IF(AI294&lt;$F$10,0,IF(AI294&lt;$F$10+$F$11,0.25,IF(AI294&lt;$F$10+$F$11+AG294,AH294,1)))*IF(AF294&gt;0,AF294,IF(AF293&gt;0,AF293,IF(AF292&gt;0,AF292,IF(AF291&gt;0,AF291,IF(AF290&gt;0,AF290,IF(AF289&gt;0,AF289,IF(AF288&gt;0,AF288,IF(AF287&gt;0,AF287,IF(AF286&gt;0,AF286,IF(AF284&gt;0,AF284,IF(AF283&gt;0,AF283,IF(AF282&gt;0,AF282,0)))))))))))),0)*(1-$S294)*'模拟-单技能数据'!$I$20</f>
        <v>4074.6980221198578</v>
      </c>
      <c r="AK294" s="115" t="b">
        <f t="shared" ca="1" si="235"/>
        <v>0</v>
      </c>
      <c r="AL294" s="115" t="b">
        <f t="shared" ca="1" si="256"/>
        <v>0</v>
      </c>
      <c r="AM294" s="115">
        <f t="shared" ca="1" si="257"/>
        <v>5</v>
      </c>
      <c r="AN294" s="47">
        <f ca="1">IF(AK294,('模拟-单技能数据'!$D$21+G294*'模拟-单技能数据'!$F$21)*(1+J294)*(1+'模拟-单技能数据'!$J$21)*(1+U294),0)</f>
        <v>0</v>
      </c>
      <c r="AO294" s="61">
        <f ca="1">IF(AN294&gt;0,M294-'模拟-单技能数据'!$K$10,AO293)</f>
        <v>0.42185145527300216</v>
      </c>
      <c r="AP294" s="61">
        <f ca="1">IF(AN294&gt;0,I294-'模拟-单技能数据'!$L$10,AP293)</f>
        <v>2.162482885499879</v>
      </c>
      <c r="AQ294" s="63">
        <f t="shared" ca="1" si="271"/>
        <v>0.64860683572077837</v>
      </c>
      <c r="AR294" s="64">
        <f ca="1">IF(AL294,IF(AQ294&lt;$F$10,0,IF(AQ294&lt;$F$10+$F$11,0.25,IF(AQ294&lt;$F$10+$F$11+AO294,AP294,1)))*IF(AN294&gt;0,AN294,IF(AN293&gt;0,AN293,IF(AN292&gt;0,AN292,IF(AN291&gt;0,AN291,IF(AN290&gt;0,AN290,IF(AN289&gt;0,AN289,IF(AN288&gt;0,AN288,IF(AN287&gt;0,AN287,IF(AN286&gt;0,AN286,IF(AN284&gt;0,AN284,IF(AN283&gt;0,AN283,IF(AN282&gt;0,AN282,0)))))))))))),0)*(1-$S294)*'模拟-单技能数据'!$I$21</f>
        <v>0</v>
      </c>
      <c r="AS294" s="61">
        <f ca="1">IF(OR(C294="净世破魔击·日",C294="净世破魔击·月"),M294-'模拟-单技能数据'!$K$10,0)</f>
        <v>0.42185145527300216</v>
      </c>
      <c r="AT294" s="61">
        <f ca="1">IF(OR(C294="净世破魔击·日",C294="净世破魔击·月"),I294-'模拟-单技能数据'!$L$10,0)</f>
        <v>2.162482885499879</v>
      </c>
      <c r="AU294" s="62">
        <f t="shared" ca="1" si="272"/>
        <v>0.12722206656917689</v>
      </c>
      <c r="AV294" s="64">
        <f ca="1">IF(AS294&gt;0,('模拟-单技能数据'!$D$22+G294*'模拟-单技能数据'!$F$22)*(1+J294)*(1-S294)*IF(AU294&lt;$F$10,0,IF(AU294&lt;$F$10+$F$11,0.25,IF(AU294&lt;$F$10+$F$11+AS294,AT294,1)))*(1+U294),0)*'模拟-单技能数据'!$I$22</f>
        <v>16520.1836685288</v>
      </c>
      <c r="AW294" s="108">
        <f t="shared" ca="1" si="273"/>
        <v>10.775000000000006</v>
      </c>
      <c r="AX294" s="108" t="b">
        <f ca="1">AND(模拟模式!$P$10="有",AW293=0,RAND()&lt;IF(C294="净世破魔击·月",0.1*8/3,IF(C294="净世破魔击·日",0.1*4/3,0.1*2/3)))</f>
        <v>0</v>
      </c>
      <c r="AY294" s="47">
        <f ca="1">IF(AX294,(18+G294*0.722)*(1+J294)*(1-S294)*(1+$I$4)*IF(P294="会",'模拟-全程加成'!$J$3+'模拟-全程加成'!$J$4+'模拟-全程加成'!$J$5+('模拟-全程加成'!$I$4+'模拟-全程加成'!$I$5)/系数!$B$4+BG294*10%,IF(P294="命",1,IF(P294="识",0.25,0))),0)</f>
        <v>0</v>
      </c>
      <c r="AZ294" s="108">
        <f t="shared" si="274"/>
        <v>17.232500000000002</v>
      </c>
      <c r="BA294" s="108" t="b">
        <f>AND(模拟模式!$Q$10="有",AZ293=0)</f>
        <v>0</v>
      </c>
      <c r="BB294" s="140">
        <f>IF(BA294,(0+G294*0.287)*(1+J294)*(1-S294)*(1+$I$4)*IF(P294="会",'模拟-全程加成'!$J$3+'模拟-全程加成'!$J$4+'模拟-全程加成'!$J$5+('模拟-全程加成'!$I$4+'模拟-全程加成'!$I$5)/系数!$B$4+BG294*10%,IF(P294="命",1,IF(P294="识",0.25,0))),0)</f>
        <v>0</v>
      </c>
      <c r="BC294" s="115" t="b">
        <f ca="1">AND(模拟模式!$R$7="伏明众生",E294=60,F294=20,DA294&lt;5,CZ293&lt;$F$4)</f>
        <v>0</v>
      </c>
      <c r="BD294" s="115">
        <f t="shared" ca="1" si="236"/>
        <v>0</v>
      </c>
      <c r="BE294" s="115" t="b">
        <f t="shared" ca="1" si="237"/>
        <v>0</v>
      </c>
      <c r="BF294" s="47">
        <f ca="1">IF(BC294,4*('模拟-单技能数据'!$D$24+G294*'模拟-单技能数据'!$F$24)*(1+J294)*(1+'模拟-单技能数据'!$J$24)*(1-S294)*(1+$I$3)*(('模拟-全程加成'!$J$3+'模拟-全程加成'!$J$4+'模拟-全程加成'!$J$5+('模拟-全程加成'!$I$4+'模拟-全程加成'!$I$5)/系数!$B$4+BG294*10%)*('模拟-全程加成'!$J$3+'模拟-全程加成'!$J$4+'模拟-全程加成'!$J$5+('模拟-全程加成'!$I$4+'模拟-全程加成'!$I$5)/系数!$B$4+BG294*10%)+(1-('模拟-全程加成'!$J$3+'模拟-全程加成'!$J$4+'模拟-全程加成'!$J$5+('模拟-全程加成'!$I$4+'模拟-全程加成'!$I$5)/系数!$B$4+BG294*10%)-$F$10-$F$11)+F280*0.25),0)*'模拟-单技能数据'!$I$24</f>
        <v>0</v>
      </c>
      <c r="BG294" s="115" t="b">
        <f ca="1">OR(AND(OR(C294="烈日斩",C294="银月斩"),模拟模式!$I$7="净身明礼"),AND(C294="净世破魔击·日",模拟模式!$J$7="洞若观火"),AND(C295="净世破魔击·月",模拟模式!$J$7="洞若观火"),AB294=1)</f>
        <v>1</v>
      </c>
      <c r="BH294" s="115" t="b">
        <f t="shared" ca="1" si="275"/>
        <v>0</v>
      </c>
      <c r="BI294" s="115">
        <f t="shared" ca="1" si="238"/>
        <v>0</v>
      </c>
      <c r="BJ294" s="115" t="b">
        <f t="shared" ca="1" si="249"/>
        <v>0</v>
      </c>
      <c r="BK294" s="115" t="b">
        <f ca="1">AND(C294="驱夜断愁",模拟模式!$P$7="天地诛戮")</f>
        <v>0</v>
      </c>
      <c r="BL294" s="57">
        <f t="shared" ca="1" si="239"/>
        <v>15.387500000000003</v>
      </c>
      <c r="BM294" s="115" t="b">
        <f t="shared" ca="1" si="250"/>
        <v>1</v>
      </c>
      <c r="BN294" s="115" t="b">
        <f ca="1">AND(OR(C294="赤日轮1",C294="赤日轮2",C294="赤日轮3",C294="幽月轮1",C294="幽月轮2",C294="幽月轮3"),AB294=1,模拟模式!$L$7="明光恒照")</f>
        <v>0</v>
      </c>
      <c r="BO294" s="117">
        <f t="shared" ca="1" si="240"/>
        <v>27.232500000000002</v>
      </c>
      <c r="BP294" s="115">
        <f t="shared" ca="1" si="276"/>
        <v>6</v>
      </c>
      <c r="BQ294" s="115" t="b">
        <f>模拟模式!$K$10="2600·水"</f>
        <v>0</v>
      </c>
      <c r="BR294" s="117">
        <f t="shared" si="277"/>
        <v>0</v>
      </c>
      <c r="BS294" s="115">
        <f t="shared" si="278"/>
        <v>0</v>
      </c>
      <c r="BT294" s="115">
        <f t="shared" ca="1" si="279"/>
        <v>0</v>
      </c>
      <c r="BU294" s="115" t="b">
        <f ca="1">AND(模拟模式!$K$10="2300·雷",BT293=0,RAND()&lt;IF(C294="净世破魔击·月",5*0.05*2/3,IF(C294="净世破魔击·日",3*0.05*2/3,0.05*2*2/3)))</f>
        <v>0</v>
      </c>
      <c r="BV294" s="115">
        <f t="shared" ca="1" si="280"/>
        <v>0</v>
      </c>
      <c r="BW294" s="115">
        <f t="shared" ca="1" si="281"/>
        <v>125.57249999999924</v>
      </c>
      <c r="BX294" s="164" t="b">
        <f t="shared" ca="1" si="282"/>
        <v>0</v>
      </c>
      <c r="BY294" s="115">
        <f t="shared" ca="1" si="283"/>
        <v>0</v>
      </c>
      <c r="BZ294" s="115">
        <f>IF(OR(模拟模式!$P$16="10人团",模拟模式!$P$16="25人团"),IF(B294/30&gt;CA293,1,0),0)</f>
        <v>0</v>
      </c>
      <c r="CA294" s="115">
        <f t="shared" si="259"/>
        <v>0</v>
      </c>
      <c r="CB294" s="115">
        <f ca="1">IF(BZ294=1,IF(模拟模式!$P$16="10人团",15,0)+IF(模拟模式!$P$16="25人团",IF(RAND()&lt;0.6,15,0)),MAX(0,CB293-$F$4))</f>
        <v>0</v>
      </c>
      <c r="CC294" s="115" t="b">
        <f t="shared" ca="1" si="251"/>
        <v>0</v>
      </c>
      <c r="CD294" s="115">
        <f>IF(模拟模式!$Q$16="1个",IF(B294/40&gt;CE293,1,0),0)</f>
        <v>0</v>
      </c>
      <c r="CE294" s="115">
        <f t="shared" si="252"/>
        <v>0</v>
      </c>
      <c r="CF294" s="115">
        <f>IF(OR(CD294=1,模拟模式!$Q$16="2个"),20,MAX(0,CF293-$F$4))</f>
        <v>0</v>
      </c>
      <c r="CG294" s="115" t="b">
        <f t="shared" si="253"/>
        <v>0</v>
      </c>
      <c r="CH294" s="115">
        <f t="shared" ca="1" si="284"/>
        <v>20.775000000000006</v>
      </c>
      <c r="CI294" s="115" t="b">
        <f t="shared" ca="1" si="285"/>
        <v>0</v>
      </c>
      <c r="CJ294" s="119">
        <f t="shared" ca="1" si="286"/>
        <v>0</v>
      </c>
      <c r="CK294" s="115">
        <f t="shared" ca="1" si="287"/>
        <v>0</v>
      </c>
      <c r="CL294" s="115" t="b">
        <f ca="1">AND(模拟模式!$S$7="驱夷逐法",OR(AND(C294="净世破魔击·月",E293&gt;59),AND(C294="净世破魔击·日",F293&gt;59)))</f>
        <v>0</v>
      </c>
      <c r="CM294" s="115" t="b">
        <f ca="1">OR(CL294,AND(C294="净世破魔击·日",CL293,RAND()&lt;模拟模式!$U$23))</f>
        <v>0</v>
      </c>
      <c r="CN294" s="115" t="b">
        <f ca="1">IF(模拟模式!$M$7="辉耀红尘",AND(C294="净世破魔击·月",CL294,CV294=0,E293&lt;80),AND(C294="净世破魔击·月",CL294,E293&lt;100))</f>
        <v>0</v>
      </c>
      <c r="CO294" s="115" t="b">
        <f t="shared" ca="1" si="260"/>
        <v>0</v>
      </c>
      <c r="CP294" s="115" t="b">
        <f ca="1">AND(模拟模式!$O$7="用晦而明",OR(C294="净世破魔击·日",C294="净世破魔击·月",C294="驱夜断愁"),AB294)</f>
        <v>1</v>
      </c>
      <c r="CQ294" s="115" t="b">
        <f ca="1">OR(CP294,AND(CP293,RAND()&lt;模拟模式!$U$23))</f>
        <v>1</v>
      </c>
      <c r="CR294" s="115" t="b">
        <f ca="1">AND(模拟模式!$S$7="日月齐光",OR(C294="幽月轮1",C294="幽月轮2",C294="幽月轮3",CR293),NOT(OR(C294="赤日轮1",C294="赤日轮2",C294="赤日轮3")))</f>
        <v>0</v>
      </c>
      <c r="CS294" s="115" t="b">
        <f ca="1">AND(模拟模式!$S$7="日月齐光",OR(C294="赤日轮1",C294="赤日轮2",C294="赤日轮3",CS293),NOT(OR(C294="幽月轮1",C294="幽月轮2",C294="幽月轮3")))</f>
        <v>0</v>
      </c>
      <c r="CT294" s="115">
        <f t="shared" ca="1" si="288"/>
        <v>30</v>
      </c>
      <c r="CU294" s="115" t="b">
        <f ca="1">AND(模拟模式!$K$10="阴阳往极",CT293=0,RAND()&lt;IF(C294="净世破魔击·月",0.0275*7/3,IF(C294="净世破魔击·日",0.0275*3/3,0.0275*2/3)))</f>
        <v>1</v>
      </c>
      <c r="CV294" s="115">
        <f t="shared" ca="1" si="289"/>
        <v>4.0774999999999997</v>
      </c>
      <c r="CW294" s="115">
        <f t="shared" ca="1" si="261"/>
        <v>2.3099999999999996</v>
      </c>
      <c r="CX294" s="115">
        <f t="shared" ca="1" si="262"/>
        <v>0.46499999999999975</v>
      </c>
      <c r="CY294" s="115">
        <f ca="1">MAX(IF($C294="驱夜断愁",IF(模拟模式!$R$7="万念俱寂",6,45),CY293-$F$4),0)</f>
        <v>1.3874999999999997</v>
      </c>
      <c r="CZ294" s="115">
        <f t="shared" ca="1" si="263"/>
        <v>0</v>
      </c>
      <c r="DA294" s="115">
        <f ca="1">IF(模拟模式!$N$7="日月同辉",IF(DB293=2,0,MIN(6,IF(AND(OR(C294="赤日轮1",C294="赤日轮2",C294="赤日轮3",C294="幽月轮1",C294="幽月轮2",C294="幽月轮3"),AB294=1),DA293+1,DA293))),0)</f>
        <v>0</v>
      </c>
      <c r="DB294" s="115">
        <f t="shared" ca="1" si="264"/>
        <v>0</v>
      </c>
      <c r="DC294" s="115"/>
      <c r="DD294" s="115"/>
      <c r="DE294" s="115"/>
      <c r="DF294" s="115"/>
      <c r="DG294" s="115"/>
      <c r="DH294" s="115"/>
      <c r="DI294" s="115"/>
      <c r="DJ294" s="115"/>
      <c r="DK294" s="115"/>
      <c r="DL294" s="115"/>
      <c r="DM294" s="115"/>
    </row>
    <row r="295" spans="2:117" x14ac:dyDescent="0.2">
      <c r="B295" s="117">
        <f t="shared" si="265"/>
        <v>247.2300000000017</v>
      </c>
      <c r="C295" s="167" t="str">
        <f t="shared" ca="1" si="258"/>
        <v>净世破魔击·日</v>
      </c>
      <c r="D295" s="115">
        <f ca="1">IF(C295="赤日轮1",1,IF(C295="赤日轮2",2,IF(C295="赤日轮3",3,IF(C295="幽月轮1",4,IF(C295="幽月轮2",5,IF(C295="幽月轮3",6,IF(C295="烈日斩",7,IF(C295="银月斩",8,IF(C295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295="净世破魔击·月",17,IF(C295="驱夜断愁",18,0)))))))))))</f>
        <v>9</v>
      </c>
      <c r="E295" s="115">
        <f ca="1">IF(AND(CU295,OR(C295="幽月轮1",C295="幽月轮2",C295="幽月轮3",C295="银月斩",C295="驱夜断愁",C295="净世破魔击·月")),100,MIN(IF(OR(CN295,BE295),0,IF(OR($C295="赤日轮1",$C295="赤日轮2",$C295="赤日轮3"),E294+20+IF(模拟模式!$I$7="日月凌天",4,0)+IF(CR294,20,0),IF($C295="烈日斩",E294+40,IF($C295="驱夜断愁",IF(模拟模式!$R$7="万念俱寂",E294+20,E294+60),IF($C295="净世破魔击·月",IF(OR(DB294&gt;0,CV294&gt;0),100,IF(模拟模式!$M$7="辉耀红尘",E294+20,E294)),IF($C295="净世破魔击·日",E294-100,E294)))))),100))</f>
        <v>0</v>
      </c>
      <c r="F295" s="115">
        <f ca="1">IF(AND(CU295,OR(C295="赤日轮1",C295="赤日轮2",C295="赤日轮3",C295="烈日斩",C295="净世破魔击·日")),100,MIN(IF(CO295,0,IF(OR($C295="幽月轮1",$C295="幽月轮2",$C295="幽月轮3"),F294+20+IF(模拟模式!$I$7="日月凌天",4,0)+IF(CS294,20,0),IF($C295="银月斩",F294+40+IF(模拟模式!$X$12=1,5,0),IF($C295="驱夜断愁",IF(模拟模式!$R$7="万念俱寂",F294+20,F294+60),IF($C295="净世破魔击·月",IF(模拟模式!$M$7="辉耀红尘",F294-80,F294-100),IF(AND(C295="净世破魔击·日",OR(DB294&gt;0,CV294&gt;0)),100,F294)))))),100))</f>
        <v>100</v>
      </c>
      <c r="G295" s="117">
        <f ca="1">('模拟-全程加成'!$E$3+'模拟-全程加成'!$E$4+'模拟-全程加成'!$E$5+('模拟-全程加成'!$C$6-'模拟-全程加成'!$C$3)*系数!$B$9+BS295*23)*(1+'模拟-全程加成'!$F$4+'模拟-全程加成'!$F$5+BJ295*10%+BM295*20%+BP295*4%+CG295*30%)+$F$7*系数!$B$12</f>
        <v>20583.127400000001</v>
      </c>
      <c r="H295" s="45">
        <f ca="1">'模拟-全程加成'!$H$3+'模拟-全程加成'!$H$4+'模拟-全程加成'!$H$5+('模拟-全程加成'!$G$4+'模拟-全程加成'!$G$5+('模拟-全程加成'!$C$6-'模拟-全程加成'!$C$3)*系数!$B$13)/系数!$B$3+LOOKUP(D295,'模拟-单技能数据'!$A$2:$A$19,'模拟-单技能数据'!$K$2:$K$19)+BG295*10%+IF(BV295&gt;0,378,0)</f>
        <v>0.54185145527300216</v>
      </c>
      <c r="I295" s="45">
        <f ca="1">'模拟-全程加成'!$J$3+'模拟-全程加成'!$J$4+'模拟-全程加成'!$J$5+('模拟-全程加成'!$I$4+'模拟-全程加成'!$I$5)/系数!$B$4+LOOKUP(D295,'模拟-单技能数据'!$A$2:$A$19,'模拟-单技能数据'!$L$2:$L$19)+BG295*10%</f>
        <v>2.162482885499879</v>
      </c>
      <c r="J295" s="45">
        <f ca="1">(('模拟-全程加成'!$K$3+'模拟-全程加成'!$K$4+'模拟-全程加成'!$K$5+('模拟-全程加成'!$C$6-'模拟-全程加成'!$C$3)*系数!$B$10+IF(BV295&gt;0,882,0)+IF(BY295&gt;0,1831,0))*(1+'模拟-全程加成'!$L$4+'模拟-全程加成'!$L$5+CC295*20%))/系数!$B$5</f>
        <v>0.69723220422048726</v>
      </c>
      <c r="K295" s="119">
        <f ca="1">LOOKUP(D295,'模拟-单技能数据'!$A$2:$A$19,'模拟-单技能数据'!$J$2:$J$19)+IF(CM295,60%,0)+IF(DB294-DB295&gt;0,30%,0)+IF(OR(AND(OR(C295="赤日轮1",C295="赤日轮2",C295="赤日轮3"),CR295),AND(OR(C295="幽月轮1",C295="幽月轮2",C295="幽月轮3"),CS295)),35%,0)+CJ295</f>
        <v>0.2</v>
      </c>
      <c r="L295" s="119">
        <f ca="1">IF(AND(C295="烈日斩",模拟模式!$X$11=1),10%,0)+IF(AND(C295="驱夜断愁",AB295=1),30%,0)</f>
        <v>0</v>
      </c>
      <c r="M295" s="45">
        <f t="shared" ca="1" si="241"/>
        <v>0.54185145527300216</v>
      </c>
      <c r="N295" s="45">
        <f t="shared" ca="1" si="242"/>
        <v>0.40424854472699789</v>
      </c>
      <c r="O295" s="46">
        <f t="shared" ca="1" si="266"/>
        <v>0.96881100707981183</v>
      </c>
      <c r="P295" s="46" t="str">
        <f t="shared" ca="1" si="267"/>
        <v>命</v>
      </c>
      <c r="Q295" s="45">
        <f t="shared" ca="1" si="268"/>
        <v>1</v>
      </c>
      <c r="R295" s="117">
        <f ca="1">模拟模式!$E$20*(1-IF(模拟模式!$J$19="有",0.15,0))*(1-IF(模拟模式!$K$19="有",0.3,0)-IF(CQ295,0.5,0))</f>
        <v>843.02999999999975</v>
      </c>
      <c r="S295" s="45">
        <f ca="1">R295/(R295+(185*模拟模式!$E$22-16800)*4.08224)</f>
        <v>8.389626085980037E-2</v>
      </c>
      <c r="T295" s="45" t="str">
        <f ca="1">LOOKUP(D295,'模拟-单技能数据'!$A$2:$A$19,'模拟-单技能数据'!$H$2:$H$19)</f>
        <v>阳</v>
      </c>
      <c r="U295" s="119">
        <f t="shared" ca="1" si="243"/>
        <v>0.2</v>
      </c>
      <c r="V295" s="47">
        <f ca="1">(1+L295)*(LOOKUP(D295,'模拟-单技能数据'!$A$2:$A$19,'模拟-单技能数据'!$D$2:$D$19)+G295*LOOKUP(D295,'模拟-单技能数据'!$A$2:$A$19,'模拟-单技能数据'!$F$2:$F$19))*(1+J295)*(1+K295)*(1-S295)*(1+U295)*Q295*LOOKUP(D295,'模拟-单技能数据'!$A$2:$A$19,'模拟-单技能数据'!$I$2:$I$20)</f>
        <v>60398.417085084453</v>
      </c>
      <c r="W295" s="47">
        <f ca="1">LOOKUP(D295,'模拟-单技能数据'!$A$2:$A$19,'模拟-单技能数据'!$G$2:$G$19)*$I$10</f>
        <v>723.0212870940959</v>
      </c>
      <c r="X295" s="47">
        <f t="shared" ca="1" si="269"/>
        <v>32531.528902186212</v>
      </c>
      <c r="Y295" s="47">
        <f t="shared" ca="1" si="244"/>
        <v>93652.967274364753</v>
      </c>
      <c r="Z295" s="49">
        <f t="shared" ca="1" si="245"/>
        <v>28262563.256670803</v>
      </c>
      <c r="AA295" s="97">
        <f t="shared" ca="1" si="246"/>
        <v>114316.88410253856</v>
      </c>
      <c r="AB295" s="115">
        <f ca="1">IF(OR(C295="赤日轮1",C295="赤日轮2",C295="赤日轮3"),IF(RAND()&lt;模拟模式!$Y$17,1,0),IF(OR(C295="幽月轮1",C295="幽月轮2",C295="幽月轮3"),IF(RAND()&lt;模拟模式!$Y$18,1,0),IF(C295="烈日斩",IF(RAND()&lt;模拟模式!$Y$19,1,0),IF(C295="银月斩",IF(RAND()&lt;模拟模式!$Y$20,1,0),IF(C295="驱夜断愁",IF(RAND()&lt;模拟模式!$Y$21,1,0),IF(C295="净世破魔击·日",IF(RAND()&lt;模拟模式!$Y$22,1,0),IF(C295="净世破魔击·月",IF(RAND()&lt;模拟模式!$Y$23,1,0),0)))))))</f>
        <v>1</v>
      </c>
      <c r="AC295" s="115" t="b">
        <f t="shared" ca="1" si="234"/>
        <v>0</v>
      </c>
      <c r="AD295" s="115" t="b">
        <f t="shared" ca="1" si="254"/>
        <v>0</v>
      </c>
      <c r="AE295" s="115">
        <f t="shared" ca="1" si="255"/>
        <v>2</v>
      </c>
      <c r="AF295" s="47">
        <f ca="1">IF(AC295,('模拟-单技能数据'!$D$20+G295*'模拟-单技能数据'!$F$20)*(1+J295)*(1+'模拟-单技能数据'!$J$20)*(1+U295),0)</f>
        <v>0</v>
      </c>
      <c r="AG295" s="61">
        <f t="shared" ca="1" si="247"/>
        <v>0.64185145527300214</v>
      </c>
      <c r="AH295" s="61">
        <f t="shared" ca="1" si="248"/>
        <v>2.2624828854998791</v>
      </c>
      <c r="AI295" s="62">
        <f t="shared" ca="1" si="270"/>
        <v>0.49699715985714954</v>
      </c>
      <c r="AJ295" s="47">
        <f ca="1">IF(AD295,IF(AI295&lt;$F$10,0,IF(AI295&lt;$F$10+$F$11,0.25,IF(AI295&lt;$F$10+$F$11+AG295,AH295,1)))*IF(AF295&gt;0,AF295,IF(AF294&gt;0,AF294,IF(AF293&gt;0,AF293,IF(AF292&gt;0,AF292,IF(AF291&gt;0,AF291,IF(AF290&gt;0,AF290,IF(AF289&gt;0,AF289,IF(AF288&gt;0,AF288,IF(AF287&gt;0,AF287,IF(AF285&gt;0,AF285,IF(AF284&gt;0,AF284,IF(AF283&gt;0,AF283,0)))))))))))),0)*(1-$S295)*'模拟-单技能数据'!$I$20</f>
        <v>0</v>
      </c>
      <c r="AK295" s="115" t="b">
        <f t="shared" ca="1" si="235"/>
        <v>1</v>
      </c>
      <c r="AL295" s="115" t="b">
        <f t="shared" ca="1" si="256"/>
        <v>1</v>
      </c>
      <c r="AM295" s="115">
        <f t="shared" ca="1" si="257"/>
        <v>5</v>
      </c>
      <c r="AN295" s="47">
        <f ca="1">IF(AK295,('模拟-单技能数据'!$D$21+G295*'模拟-单技能数据'!$F$21)*(1+J295)*(1+'模拟-单技能数据'!$J$21)*(1+U295),0)</f>
        <v>12136.56601728573</v>
      </c>
      <c r="AO295" s="61">
        <f ca="1">IF(AN295&gt;0,M295-'模拟-单技能数据'!$K$10,AO294)</f>
        <v>0.42185145527300216</v>
      </c>
      <c r="AP295" s="61">
        <f ca="1">IF(AN295&gt;0,I295-'模拟-单技能数据'!$L$10,AP294)</f>
        <v>2.162482885499879</v>
      </c>
      <c r="AQ295" s="63">
        <f t="shared" ca="1" si="271"/>
        <v>0.12736949838854228</v>
      </c>
      <c r="AR295" s="64">
        <f ca="1">IF(AL295,IF(AQ295&lt;$F$10,0,IF(AQ295&lt;$F$10+$F$11,0.25,IF(AQ295&lt;$F$10+$F$11+AO295,AP295,1)))*IF(AN295&gt;0,AN295,IF(AN294&gt;0,AN294,IF(AN293&gt;0,AN293,IF(AN292&gt;0,AN292,IF(AN291&gt;0,AN291,IF(AN290&gt;0,AN290,IF(AN289&gt;0,AN289,IF(AN288&gt;0,AN288,IF(AN287&gt;0,AN287,IF(AN285&gt;0,AN285,IF(AN284&gt;0,AN284,IF(AN283&gt;0,AN283,0)))))))))))),0)*(1-$S295)*'模拟-单技能数据'!$I$21</f>
        <v>24043.249177625272</v>
      </c>
      <c r="AS295" s="61">
        <f ca="1">IF(OR(C295="净世破魔击·日",C295="净世破魔击·月"),M295-'模拟-单技能数据'!$K$10,0)</f>
        <v>0.42185145527300216</v>
      </c>
      <c r="AT295" s="61">
        <f ca="1">IF(OR(C295="净世破魔击·日",C295="净世破魔击·月"),I295-'模拟-单技能数据'!$L$10,0)</f>
        <v>2.162482885499879</v>
      </c>
      <c r="AU295" s="62">
        <f t="shared" ca="1" si="272"/>
        <v>0.4848932069221854</v>
      </c>
      <c r="AV295" s="64">
        <f ca="1">IF(AS295&gt;0,('模拟-单技能数据'!$D$22+G295*'模拟-单技能数据'!$F$22)*(1+J295)*(1-S295)*IF(AU295&lt;$F$10,0,IF(AU295&lt;$F$10+$F$11,0.25,IF(AU295&lt;$F$10+$F$11+AS295,AT295,1)))*(1+U295),0)*'模拟-单技能数据'!$I$22</f>
        <v>8488.2797245609418</v>
      </c>
      <c r="AW295" s="108">
        <f t="shared" ca="1" si="273"/>
        <v>9.8525000000000063</v>
      </c>
      <c r="AX295" s="108" t="b">
        <f ca="1">AND(模拟模式!$P$10="有",AW294=0,RAND()&lt;IF(C295="净世破魔击·月",0.1*8/3,IF(C295="净世破魔击·日",0.1*4/3,0.1*2/3)))</f>
        <v>0</v>
      </c>
      <c r="AY295" s="47">
        <f ca="1">IF(AX295,(18+G295*0.722)*(1+J295)*(1-S295)*(1+$I$4)*IF(P295="会",'模拟-全程加成'!$J$3+'模拟-全程加成'!$J$4+'模拟-全程加成'!$J$5+('模拟-全程加成'!$I$4+'模拟-全程加成'!$I$5)/系数!$B$4+BG295*10%,IF(P295="命",1,IF(P295="识",0.25,0))),0)</f>
        <v>0</v>
      </c>
      <c r="AZ295" s="108">
        <f t="shared" si="274"/>
        <v>16.310000000000002</v>
      </c>
      <c r="BA295" s="108" t="b">
        <f>AND(模拟模式!$Q$10="有",AZ294=0)</f>
        <v>0</v>
      </c>
      <c r="BB295" s="140">
        <f>IF(BA295,(0+G295*0.287)*(1+J295)*(1-S295)*(1+$I$4)*IF(P295="会",'模拟-全程加成'!$J$3+'模拟-全程加成'!$J$4+'模拟-全程加成'!$J$5+('模拟-全程加成'!$I$4+'模拟-全程加成'!$I$5)/系数!$B$4+BG295*10%,IF(P295="命",1,IF(P295="识",0.25,0))),0)</f>
        <v>0</v>
      </c>
      <c r="BC295" s="115" t="b">
        <f ca="1">AND(模拟模式!$R$7="伏明众生",E295=60,F295=20,DA295&lt;5,CZ294&lt;$F$4)</f>
        <v>0</v>
      </c>
      <c r="BD295" s="115">
        <f t="shared" ca="1" si="236"/>
        <v>0</v>
      </c>
      <c r="BE295" s="115" t="b">
        <f t="shared" ca="1" si="237"/>
        <v>0</v>
      </c>
      <c r="BF295" s="47">
        <f ca="1">IF(BC295,4*('模拟-单技能数据'!$D$24+G295*'模拟-单技能数据'!$F$24)*(1+J295)*(1+'模拟-单技能数据'!$J$24)*(1-S295)*(1+$I$3)*(('模拟-全程加成'!$J$3+'模拟-全程加成'!$J$4+'模拟-全程加成'!$J$5+('模拟-全程加成'!$I$4+'模拟-全程加成'!$I$5)/系数!$B$4+BG295*10%)*('模拟-全程加成'!$J$3+'模拟-全程加成'!$J$4+'模拟-全程加成'!$J$5+('模拟-全程加成'!$I$4+'模拟-全程加成'!$I$5)/系数!$B$4+BG295*10%)+(1-('模拟-全程加成'!$J$3+'模拟-全程加成'!$J$4+'模拟-全程加成'!$J$5+('模拟-全程加成'!$I$4+'模拟-全程加成'!$I$5)/系数!$B$4+BG295*10%)-$F$10-$F$11)+F281*0.25),0)*'模拟-单技能数据'!$I$24</f>
        <v>0</v>
      </c>
      <c r="BG295" s="115" t="b">
        <f ca="1">OR(AND(OR(C295="烈日斩",C295="银月斩"),模拟模式!$I$7="净身明礼"),AND(C295="净世破魔击·日",模拟模式!$J$7="洞若观火"),AND(C296="净世破魔击·月",模拟模式!$J$7="洞若观火"),AB295=1)</f>
        <v>1</v>
      </c>
      <c r="BH295" s="115" t="b">
        <f t="shared" ca="1" si="275"/>
        <v>0</v>
      </c>
      <c r="BI295" s="115">
        <f t="shared" ca="1" si="238"/>
        <v>0</v>
      </c>
      <c r="BJ295" s="115" t="b">
        <f t="shared" ca="1" si="249"/>
        <v>0</v>
      </c>
      <c r="BK295" s="115" t="b">
        <f ca="1">AND(C295="驱夜断愁",模拟模式!$P$7="天地诛戮")</f>
        <v>0</v>
      </c>
      <c r="BL295" s="57">
        <f t="shared" ca="1" si="239"/>
        <v>14.465000000000003</v>
      </c>
      <c r="BM295" s="115" t="b">
        <f t="shared" ca="1" si="250"/>
        <v>1</v>
      </c>
      <c r="BN295" s="115" t="b">
        <f ca="1">AND(OR(C295="赤日轮1",C295="赤日轮2",C295="赤日轮3",C295="幽月轮1",C295="幽月轮2",C295="幽月轮3"),AB295=1,模拟模式!$L$7="明光恒照")</f>
        <v>0</v>
      </c>
      <c r="BO295" s="117">
        <f t="shared" ca="1" si="240"/>
        <v>26.310000000000002</v>
      </c>
      <c r="BP295" s="115">
        <f t="shared" ca="1" si="276"/>
        <v>6</v>
      </c>
      <c r="BQ295" s="115" t="b">
        <f>模拟模式!$K$10="2600·水"</f>
        <v>0</v>
      </c>
      <c r="BR295" s="117">
        <f t="shared" si="277"/>
        <v>0</v>
      </c>
      <c r="BS295" s="115">
        <f t="shared" si="278"/>
        <v>0</v>
      </c>
      <c r="BT295" s="115">
        <f t="shared" ca="1" si="279"/>
        <v>0</v>
      </c>
      <c r="BU295" s="115" t="b">
        <f ca="1">AND(模拟模式!$K$10="2300·雷",BT294=0,RAND()&lt;IF(C295="净世破魔击·月",5*0.05*2/3,IF(C295="净世破魔击·日",3*0.05*2/3,0.05*2*2/3)))</f>
        <v>0</v>
      </c>
      <c r="BV295" s="115">
        <f t="shared" ca="1" si="280"/>
        <v>0</v>
      </c>
      <c r="BW295" s="115">
        <f t="shared" ca="1" si="281"/>
        <v>124.64999999999924</v>
      </c>
      <c r="BX295" s="164" t="b">
        <f t="shared" ca="1" si="282"/>
        <v>0</v>
      </c>
      <c r="BY295" s="115">
        <f t="shared" ca="1" si="283"/>
        <v>0</v>
      </c>
      <c r="BZ295" s="115">
        <f>IF(OR(模拟模式!$P$16="10人团",模拟模式!$P$16="25人团"),IF(B295/30&gt;CA294,1,0),0)</f>
        <v>0</v>
      </c>
      <c r="CA295" s="115">
        <f t="shared" si="259"/>
        <v>0</v>
      </c>
      <c r="CB295" s="115">
        <f ca="1">IF(BZ295=1,IF(模拟模式!$P$16="10人团",15,0)+IF(模拟模式!$P$16="25人团",IF(RAND()&lt;0.6,15,0)),MAX(0,CB294-$F$4))</f>
        <v>0</v>
      </c>
      <c r="CC295" s="115" t="b">
        <f t="shared" ca="1" si="251"/>
        <v>0</v>
      </c>
      <c r="CD295" s="115">
        <f>IF(模拟模式!$Q$16="1个",IF(B295/40&gt;CE294,1,0),0)</f>
        <v>0</v>
      </c>
      <c r="CE295" s="115">
        <f t="shared" si="252"/>
        <v>0</v>
      </c>
      <c r="CF295" s="115">
        <f>IF(OR(CD295=1,模拟模式!$Q$16="2个"),20,MAX(0,CF294-$F$4))</f>
        <v>0</v>
      </c>
      <c r="CG295" s="115" t="b">
        <f t="shared" si="253"/>
        <v>0</v>
      </c>
      <c r="CH295" s="115">
        <f t="shared" ca="1" si="284"/>
        <v>19.852500000000006</v>
      </c>
      <c r="CI295" s="115" t="b">
        <f t="shared" ca="1" si="285"/>
        <v>0</v>
      </c>
      <c r="CJ295" s="119">
        <f t="shared" ca="1" si="286"/>
        <v>0</v>
      </c>
      <c r="CK295" s="115">
        <f t="shared" ca="1" si="287"/>
        <v>0</v>
      </c>
      <c r="CL295" s="115" t="b">
        <f ca="1">AND(模拟模式!$S$7="驱夷逐法",OR(AND(C295="净世破魔击·月",E294&gt;59),AND(C295="净世破魔击·日",F294&gt;59)))</f>
        <v>0</v>
      </c>
      <c r="CM295" s="115" t="b">
        <f ca="1">OR(CL295,AND(C295="净世破魔击·日",CL294,RAND()&lt;模拟模式!$U$23))</f>
        <v>0</v>
      </c>
      <c r="CN295" s="115" t="b">
        <f ca="1">IF(模拟模式!$M$7="辉耀红尘",AND(C295="净世破魔击·月",CL295,CV295=0,E294&lt;80),AND(C295="净世破魔击·月",CL295,E294&lt;100))</f>
        <v>0</v>
      </c>
      <c r="CO295" s="115" t="b">
        <f t="shared" ca="1" si="260"/>
        <v>0</v>
      </c>
      <c r="CP295" s="115" t="b">
        <f ca="1">AND(模拟模式!$O$7="用晦而明",OR(C295="净世破魔击·日",C295="净世破魔击·月",C295="驱夜断愁"),AB295)</f>
        <v>1</v>
      </c>
      <c r="CQ295" s="115" t="b">
        <f ca="1">OR(CP295,AND(CP294,RAND()&lt;模拟模式!$U$23))</f>
        <v>1</v>
      </c>
      <c r="CR295" s="115" t="b">
        <f ca="1">AND(模拟模式!$S$7="日月齐光",OR(C295="幽月轮1",C295="幽月轮2",C295="幽月轮3",CR294),NOT(OR(C295="赤日轮1",C295="赤日轮2",C295="赤日轮3")))</f>
        <v>0</v>
      </c>
      <c r="CS295" s="115" t="b">
        <f ca="1">AND(模拟模式!$S$7="日月齐光",OR(C295="赤日轮1",C295="赤日轮2",C295="赤日轮3",CS294),NOT(OR(C295="幽月轮1",C295="幽月轮2",C295="幽月轮3")))</f>
        <v>0</v>
      </c>
      <c r="CT295" s="115">
        <f t="shared" ca="1" si="288"/>
        <v>29.077500000000001</v>
      </c>
      <c r="CU295" s="115" t="b">
        <f ca="1">AND(模拟模式!$K$10="阴阳往极",CT294=0,RAND()&lt;IF(C295="净世破魔击·月",0.0275*7/3,IF(C295="净世破魔击·日",0.0275*3/3,0.0275*2/3)))</f>
        <v>0</v>
      </c>
      <c r="CV295" s="115">
        <f t="shared" ca="1" si="289"/>
        <v>3.1549999999999998</v>
      </c>
      <c r="CW295" s="115">
        <f t="shared" ca="1" si="261"/>
        <v>1.3874999999999997</v>
      </c>
      <c r="CX295" s="115">
        <f t="shared" ca="1" si="262"/>
        <v>0</v>
      </c>
      <c r="CY295" s="115">
        <f ca="1">MAX(IF($C295="驱夜断愁",IF(模拟模式!$R$7="万念俱寂",6,45),CY294-$F$4),0)</f>
        <v>0.46499999999999975</v>
      </c>
      <c r="CZ295" s="115">
        <f t="shared" ca="1" si="263"/>
        <v>0</v>
      </c>
      <c r="DA295" s="115">
        <f ca="1">IF(模拟模式!$N$7="日月同辉",IF(DB294=2,0,MIN(6,IF(AND(OR(C295="赤日轮1",C295="赤日轮2",C295="赤日轮3",C295="幽月轮1",C295="幽月轮2",C295="幽月轮3"),AB295=1),DA294+1,DA294))),0)</f>
        <v>0</v>
      </c>
      <c r="DB295" s="115">
        <f t="shared" ca="1" si="264"/>
        <v>0</v>
      </c>
      <c r="DC295" s="115"/>
      <c r="DD295" s="115"/>
      <c r="DE295" s="115"/>
      <c r="DF295" s="115"/>
      <c r="DG295" s="115"/>
      <c r="DH295" s="115"/>
      <c r="DI295" s="115"/>
      <c r="DJ295" s="115"/>
      <c r="DK295" s="115"/>
      <c r="DL295" s="115"/>
      <c r="DM295" s="115"/>
    </row>
    <row r="296" spans="2:117" x14ac:dyDescent="0.2">
      <c r="B296" s="117">
        <f t="shared" si="265"/>
        <v>248.15250000000171</v>
      </c>
      <c r="C296" s="167" t="str">
        <f t="shared" ca="1" si="258"/>
        <v>净世破魔击·月</v>
      </c>
      <c r="D296" s="115">
        <f ca="1">IF(C296="赤日轮1",1,IF(C296="赤日轮2",2,IF(C296="赤日轮3",3,IF(C296="幽月轮1",4,IF(C296="幽月轮2",5,IF(C296="幽月轮3",6,IF(C296="烈日斩",7,IF(C296="银月斩",8,IF(C296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296="净世破魔击·月",17,IF(C296="驱夜断愁",18,0)))))))))))</f>
        <v>17</v>
      </c>
      <c r="E296" s="115">
        <f ca="1">IF(AND(CU296,OR(C296="幽月轮1",C296="幽月轮2",C296="幽月轮3",C296="银月斩",C296="驱夜断愁",C296="净世破魔击·月")),100,MIN(IF(OR(CN296,BE296),0,IF(OR($C296="赤日轮1",$C296="赤日轮2",$C296="赤日轮3"),E295+20+IF(模拟模式!$I$7="日月凌天",4,0)+IF(CR295,20,0),IF($C296="烈日斩",E295+40,IF($C296="驱夜断愁",IF(模拟模式!$R$7="万念俱寂",E295+20,E295+60),IF($C296="净世破魔击·月",IF(OR(DB295&gt;0,CV295&gt;0),100,IF(模拟模式!$M$7="辉耀红尘",E295+20,E295)),IF($C296="净世破魔击·日",E295-100,E295)))))),100))</f>
        <v>100</v>
      </c>
      <c r="F296" s="115">
        <f ca="1">IF(AND(CU296,OR(C296="赤日轮1",C296="赤日轮2",C296="赤日轮3",C296="烈日斩",C296="净世破魔击·日")),100,MIN(IF(CO296,0,IF(OR($C296="幽月轮1",$C296="幽月轮2",$C296="幽月轮3"),F295+20+IF(模拟模式!$I$7="日月凌天",4,0)+IF(CS295,20,0),IF($C296="银月斩",F295+40+IF(模拟模式!$X$12=1,5,0),IF($C296="驱夜断愁",IF(模拟模式!$R$7="万念俱寂",F295+20,F295+60),IF($C296="净世破魔击·月",IF(模拟模式!$M$7="辉耀红尘",F295-80,F295-100),IF(AND(C296="净世破魔击·日",OR(DB295&gt;0,CV295&gt;0)),100,F295)))))),100))</f>
        <v>20</v>
      </c>
      <c r="G296" s="117">
        <f ca="1">('模拟-全程加成'!$E$3+'模拟-全程加成'!$E$4+'模拟-全程加成'!$E$5+('模拟-全程加成'!$C$6-'模拟-全程加成'!$C$3)*系数!$B$9+BS296*23)*(1+'模拟-全程加成'!$F$4+'模拟-全程加成'!$F$5+BJ296*10%+BM296*20%+BP296*4%+CG296*30%)+$F$7*系数!$B$12</f>
        <v>20583.127400000001</v>
      </c>
      <c r="H296" s="45">
        <f ca="1">'模拟-全程加成'!$H$3+'模拟-全程加成'!$H$4+'模拟-全程加成'!$H$5+('模拟-全程加成'!$G$4+'模拟-全程加成'!$G$5+('模拟-全程加成'!$C$6-'模拟-全程加成'!$C$3)*系数!$B$13)/系数!$B$3+LOOKUP(D296,'模拟-单技能数据'!$A$2:$A$19,'模拟-单技能数据'!$K$2:$K$19)+BG296*10%+IF(BV296&gt;0,378,0)</f>
        <v>0.54185145527300216</v>
      </c>
      <c r="I296" s="45">
        <f ca="1">'模拟-全程加成'!$J$3+'模拟-全程加成'!$J$4+'模拟-全程加成'!$J$5+('模拟-全程加成'!$I$4+'模拟-全程加成'!$I$5)/系数!$B$4+LOOKUP(D296,'模拟-单技能数据'!$A$2:$A$19,'模拟-单技能数据'!$L$2:$L$19)+BG296*10%</f>
        <v>2.162482885499879</v>
      </c>
      <c r="J296" s="45">
        <f ca="1">(('模拟-全程加成'!$K$3+'模拟-全程加成'!$K$4+'模拟-全程加成'!$K$5+('模拟-全程加成'!$C$6-'模拟-全程加成'!$C$3)*系数!$B$10+IF(BV296&gt;0,882,0)+IF(BY296&gt;0,1831,0))*(1+'模拟-全程加成'!$L$4+'模拟-全程加成'!$L$5+CC296*20%))/系数!$B$5</f>
        <v>0.69723220422048726</v>
      </c>
      <c r="K296" s="119">
        <f ca="1">LOOKUP(D296,'模拟-单技能数据'!$A$2:$A$19,'模拟-单技能数据'!$J$2:$J$19)+IF(CM296,60%,0)+IF(DB295-DB296&gt;0,30%,0)+IF(OR(AND(OR(C296="赤日轮1",C296="赤日轮2",C296="赤日轮3"),CR296),AND(OR(C296="幽月轮1",C296="幽月轮2",C296="幽月轮3"),CS296)),35%,0)+CJ296</f>
        <v>0.2</v>
      </c>
      <c r="L296" s="119">
        <f ca="1">IF(AND(C296="烈日斩",模拟模式!$X$11=1),10%,0)+IF(AND(C296="驱夜断愁",AB296=1),30%,0)</f>
        <v>0</v>
      </c>
      <c r="M296" s="45">
        <f t="shared" ca="1" si="241"/>
        <v>0.54185145527300216</v>
      </c>
      <c r="N296" s="45">
        <f t="shared" ca="1" si="242"/>
        <v>0.40424854472699789</v>
      </c>
      <c r="O296" s="46">
        <f t="shared" ca="1" si="266"/>
        <v>0.34630558115280075</v>
      </c>
      <c r="P296" s="46" t="str">
        <f t="shared" ca="1" si="267"/>
        <v>会</v>
      </c>
      <c r="Q296" s="45">
        <f t="shared" ca="1" si="268"/>
        <v>2.162482885499879</v>
      </c>
      <c r="R296" s="117">
        <f ca="1">模拟模式!$E$20*(1-IF(模拟模式!$J$19="有",0.15,0))*(1-IF(模拟模式!$K$19="有",0.3,0)-IF(CQ296,0.5,0))</f>
        <v>843.02999999999975</v>
      </c>
      <c r="S296" s="45">
        <f ca="1">R296/(R296+(185*模拟模式!$E$22-16800)*4.08224)</f>
        <v>8.389626085980037E-2</v>
      </c>
      <c r="T296" s="45" t="str">
        <f ca="1">LOOKUP(D296,'模拟-单技能数据'!$A$2:$A$19,'模拟-单技能数据'!$H$2:$H$19)</f>
        <v>阴</v>
      </c>
      <c r="U296" s="119">
        <f t="shared" ca="1" si="243"/>
        <v>0.08</v>
      </c>
      <c r="V296" s="47">
        <f ca="1">(1+L296)*(LOOKUP(D296,'模拟-单技能数据'!$A$2:$A$19,'模拟-单技能数据'!$D$2:$D$19)+G296*LOOKUP(D296,'模拟-单技能数据'!$A$2:$A$19,'模拟-单技能数据'!$F$2:$F$19))*(1+J296)*(1+K296)*(1-S296)*(1+U296)*Q296*LOOKUP(D296,'模拟-单技能数据'!$A$2:$A$19,'模拟-单技能数据'!$I$2:$I$20)</f>
        <v>116578.90677476654</v>
      </c>
      <c r="W296" s="47">
        <f ca="1">LOOKUP(D296,'模拟-单技能数据'!$A$2:$A$19,'模拟-单技能数据'!$G$2:$G$19)*$I$10</f>
        <v>361.51064354704795</v>
      </c>
      <c r="X296" s="47">
        <f t="shared" ca="1" si="269"/>
        <v>16858.386290731236</v>
      </c>
      <c r="Y296" s="47">
        <f t="shared" ca="1" si="244"/>
        <v>133798.80370904482</v>
      </c>
      <c r="Z296" s="49">
        <f t="shared" ca="1" si="245"/>
        <v>28396362.060379848</v>
      </c>
      <c r="AA296" s="97">
        <f t="shared" ca="1" si="246"/>
        <v>114431.09402637351</v>
      </c>
      <c r="AB296" s="115">
        <f ca="1">IF(OR(C296="赤日轮1",C296="赤日轮2",C296="赤日轮3"),IF(RAND()&lt;模拟模式!$Y$17,1,0),IF(OR(C296="幽月轮1",C296="幽月轮2",C296="幽月轮3"),IF(RAND()&lt;模拟模式!$Y$18,1,0),IF(C296="烈日斩",IF(RAND()&lt;模拟模式!$Y$19,1,0),IF(C296="银月斩",IF(RAND()&lt;模拟模式!$Y$20,1,0),IF(C296="驱夜断愁",IF(RAND()&lt;模拟模式!$Y$21,1,0),IF(C296="净世破魔击·日",IF(RAND()&lt;模拟模式!$Y$22,1,0),IF(C296="净世破魔击·月",IF(RAND()&lt;模拟模式!$Y$23,1,0),0)))))))</f>
        <v>1</v>
      </c>
      <c r="AC296" s="115" t="b">
        <f t="shared" ca="1" si="234"/>
        <v>0</v>
      </c>
      <c r="AD296" s="115" t="b">
        <f t="shared" ca="1" si="254"/>
        <v>1</v>
      </c>
      <c r="AE296" s="115">
        <f t="shared" ca="1" si="255"/>
        <v>1</v>
      </c>
      <c r="AF296" s="47">
        <f ca="1">IF(AC296,('模拟-单技能数据'!$D$20+G296*'模拟-单技能数据'!$F$20)*(1+J296)*(1+'模拟-单技能数据'!$J$20)*(1+U296),0)</f>
        <v>0</v>
      </c>
      <c r="AG296" s="61">
        <f t="shared" ca="1" si="247"/>
        <v>0.64185145527300214</v>
      </c>
      <c r="AH296" s="61">
        <f t="shared" ca="1" si="248"/>
        <v>2.2624828854998791</v>
      </c>
      <c r="AI296" s="62">
        <f t="shared" ca="1" si="270"/>
        <v>0.68747584123087568</v>
      </c>
      <c r="AJ296" s="47">
        <f ca="1">IF(AD296,IF(AI296&lt;$F$10,0,IF(AI296&lt;$F$10+$F$11,0.25,IF(AI296&lt;$F$10+$F$11+AG296,AH296,1)))*IF(AF296&gt;0,AF296,IF(AF295&gt;0,AF295,IF(AF294&gt;0,AF294,IF(AF293&gt;0,AF293,IF(AF292&gt;0,AF292,IF(AF291&gt;0,AF291,IF(AF290&gt;0,AF290,IF(AF289&gt;0,AF289,IF(AF288&gt;0,AF288,IF(AF286&gt;0,AF286,IF(AF285&gt;0,AF285,IF(AF284&gt;0,AF284,0)))))))))))),0)*(1-$S296)*'模拟-单技能数据'!$I$20</f>
        <v>9218.9345386263849</v>
      </c>
      <c r="AK296" s="115" t="b">
        <f t="shared" ca="1" si="235"/>
        <v>0</v>
      </c>
      <c r="AL296" s="115" t="b">
        <f t="shared" ca="1" si="256"/>
        <v>0</v>
      </c>
      <c r="AM296" s="115">
        <f t="shared" ca="1" si="257"/>
        <v>5</v>
      </c>
      <c r="AN296" s="47">
        <f ca="1">IF(AK296,('模拟-单技能数据'!$D$21+G296*'模拟-单技能数据'!$F$21)*(1+J296)*(1+'模拟-单技能数据'!$J$21)*(1+U296),0)</f>
        <v>0</v>
      </c>
      <c r="AO296" s="61">
        <f ca="1">IF(AN296&gt;0,M296-'模拟-单技能数据'!$K$10,AO295)</f>
        <v>0.42185145527300216</v>
      </c>
      <c r="AP296" s="61">
        <f ca="1">IF(AN296&gt;0,I296-'模拟-单技能数据'!$L$10,AP295)</f>
        <v>2.162482885499879</v>
      </c>
      <c r="AQ296" s="63">
        <f t="shared" ca="1" si="271"/>
        <v>0.21045928839071371</v>
      </c>
      <c r="AR296" s="64">
        <f ca="1">IF(AL296,IF(AQ296&lt;$F$10,0,IF(AQ296&lt;$F$10+$F$11,0.25,IF(AQ296&lt;$F$10+$F$11+AO296,AP296,1)))*IF(AN296&gt;0,AN296,IF(AN295&gt;0,AN295,IF(AN294&gt;0,AN294,IF(AN293&gt;0,AN293,IF(AN292&gt;0,AN292,IF(AN291&gt;0,AN291,IF(AN290&gt;0,AN290,IF(AN289&gt;0,AN289,IF(AN288&gt;0,AN288,IF(AN286&gt;0,AN286,IF(AN285&gt;0,AN285,IF(AN284&gt;0,AN284,0)))))))))))),0)*(1-$S296)*'模拟-单技能数据'!$I$21</f>
        <v>0</v>
      </c>
      <c r="AS296" s="61">
        <f ca="1">IF(OR(C296="净世破魔击·日",C296="净世破魔击·月"),M296-'模拟-单技能数据'!$K$10,0)</f>
        <v>0.42185145527300216</v>
      </c>
      <c r="AT296" s="61">
        <f ca="1">IF(OR(C296="净世破魔击·日",C296="净世破魔击·月"),I296-'模拟-单技能数据'!$L$10,0)</f>
        <v>2.162482885499879</v>
      </c>
      <c r="AU296" s="62">
        <f t="shared" ca="1" si="272"/>
        <v>0.77910514974492284</v>
      </c>
      <c r="AV296" s="64">
        <f ca="1">IF(AS296&gt;0,('模拟-单技能数据'!$D$22+G296*'模拟-单技能数据'!$F$22)*(1+J296)*(1-S296)*IF(AU296&lt;$F$10,0,IF(AU296&lt;$F$10+$F$11,0.25,IF(AU296&lt;$F$10+$F$11+AS296,AT296,1)))*(1+U296),0)*'模拟-单技能数据'!$I$22</f>
        <v>7639.4517521048492</v>
      </c>
      <c r="AW296" s="108">
        <f t="shared" ca="1" si="273"/>
        <v>8.9300000000000068</v>
      </c>
      <c r="AX296" s="108" t="b">
        <f ca="1">AND(模拟模式!$P$10="有",AW295=0,RAND()&lt;IF(C296="净世破魔击·月",0.1*8/3,IF(C296="净世破魔击·日",0.1*4/3,0.1*2/3)))</f>
        <v>0</v>
      </c>
      <c r="AY296" s="47">
        <f ca="1">IF(AX296,(18+G296*0.722)*(1+J296)*(1-S296)*(1+$I$4)*IF(P296="会",'模拟-全程加成'!$J$3+'模拟-全程加成'!$J$4+'模拟-全程加成'!$J$5+('模拟-全程加成'!$I$4+'模拟-全程加成'!$I$5)/系数!$B$4+BG296*10%,IF(P296="命",1,IF(P296="识",0.25,0))),0)</f>
        <v>0</v>
      </c>
      <c r="AZ296" s="108">
        <f t="shared" si="274"/>
        <v>15.387500000000003</v>
      </c>
      <c r="BA296" s="108" t="b">
        <f>AND(模拟模式!$Q$10="有",AZ295=0)</f>
        <v>0</v>
      </c>
      <c r="BB296" s="140">
        <f>IF(BA296,(0+G296*0.287)*(1+J296)*(1-S296)*(1+$I$4)*IF(P296="会",'模拟-全程加成'!$J$3+'模拟-全程加成'!$J$4+'模拟-全程加成'!$J$5+('模拟-全程加成'!$I$4+'模拟-全程加成'!$I$5)/系数!$B$4+BG296*10%,IF(P296="命",1,IF(P296="识",0.25,0))),0)</f>
        <v>0</v>
      </c>
      <c r="BC296" s="115" t="b">
        <f ca="1">AND(模拟模式!$R$7="伏明众生",E296=60,F296=20,DA296&lt;5,CZ295&lt;$F$4)</f>
        <v>0</v>
      </c>
      <c r="BD296" s="115">
        <f t="shared" ca="1" si="236"/>
        <v>0</v>
      </c>
      <c r="BE296" s="115" t="b">
        <f t="shared" ca="1" si="237"/>
        <v>0</v>
      </c>
      <c r="BF296" s="47">
        <f ca="1">IF(BC296,4*('模拟-单技能数据'!$D$24+G296*'模拟-单技能数据'!$F$24)*(1+J296)*(1+'模拟-单技能数据'!$J$24)*(1-S296)*(1+$I$3)*(('模拟-全程加成'!$J$3+'模拟-全程加成'!$J$4+'模拟-全程加成'!$J$5+('模拟-全程加成'!$I$4+'模拟-全程加成'!$I$5)/系数!$B$4+BG296*10%)*('模拟-全程加成'!$J$3+'模拟-全程加成'!$J$4+'模拟-全程加成'!$J$5+('模拟-全程加成'!$I$4+'模拟-全程加成'!$I$5)/系数!$B$4+BG296*10%)+(1-('模拟-全程加成'!$J$3+'模拟-全程加成'!$J$4+'模拟-全程加成'!$J$5+('模拟-全程加成'!$I$4+'模拟-全程加成'!$I$5)/系数!$B$4+BG296*10%)-$F$10-$F$11)+F282*0.25),0)*'模拟-单技能数据'!$I$24</f>
        <v>0</v>
      </c>
      <c r="BG296" s="115" t="b">
        <f ca="1">OR(AND(OR(C296="烈日斩",C296="银月斩"),模拟模式!$I$7="净身明礼"),AND(C296="净世破魔击·日",模拟模式!$J$7="洞若观火"),AND(C297="净世破魔击·月",模拟模式!$J$7="洞若观火"),AB296=1)</f>
        <v>1</v>
      </c>
      <c r="BH296" s="115" t="b">
        <f t="shared" ca="1" si="275"/>
        <v>0</v>
      </c>
      <c r="BI296" s="115">
        <f t="shared" ca="1" si="238"/>
        <v>0</v>
      </c>
      <c r="BJ296" s="115" t="b">
        <f t="shared" ca="1" si="249"/>
        <v>0</v>
      </c>
      <c r="BK296" s="115" t="b">
        <f ca="1">AND(C296="驱夜断愁",模拟模式!$P$7="天地诛戮")</f>
        <v>0</v>
      </c>
      <c r="BL296" s="57">
        <f t="shared" ca="1" si="239"/>
        <v>13.542500000000004</v>
      </c>
      <c r="BM296" s="115" t="b">
        <f t="shared" ca="1" si="250"/>
        <v>1</v>
      </c>
      <c r="BN296" s="115" t="b">
        <f ca="1">AND(OR(C296="赤日轮1",C296="赤日轮2",C296="赤日轮3",C296="幽月轮1",C296="幽月轮2",C296="幽月轮3"),AB296=1,模拟模式!$L$7="明光恒照")</f>
        <v>0</v>
      </c>
      <c r="BO296" s="117">
        <f t="shared" ca="1" si="240"/>
        <v>25.387500000000003</v>
      </c>
      <c r="BP296" s="115">
        <f t="shared" ca="1" si="276"/>
        <v>6</v>
      </c>
      <c r="BQ296" s="115" t="b">
        <f>模拟模式!$K$10="2600·水"</f>
        <v>0</v>
      </c>
      <c r="BR296" s="117">
        <f t="shared" si="277"/>
        <v>0</v>
      </c>
      <c r="BS296" s="115">
        <f t="shared" si="278"/>
        <v>0</v>
      </c>
      <c r="BT296" s="115">
        <f t="shared" ca="1" si="279"/>
        <v>0</v>
      </c>
      <c r="BU296" s="115" t="b">
        <f ca="1">AND(模拟模式!$K$10="2300·雷",BT295=0,RAND()&lt;IF(C296="净世破魔击·月",5*0.05*2/3,IF(C296="净世破魔击·日",3*0.05*2/3,0.05*2*2/3)))</f>
        <v>0</v>
      </c>
      <c r="BV296" s="115">
        <f t="shared" ca="1" si="280"/>
        <v>0</v>
      </c>
      <c r="BW296" s="115">
        <f t="shared" ca="1" si="281"/>
        <v>123.72749999999924</v>
      </c>
      <c r="BX296" s="164" t="b">
        <f t="shared" ca="1" si="282"/>
        <v>0</v>
      </c>
      <c r="BY296" s="115">
        <f t="shared" ca="1" si="283"/>
        <v>0</v>
      </c>
      <c r="BZ296" s="115">
        <f>IF(OR(模拟模式!$P$16="10人团",模拟模式!$P$16="25人团"),IF(B296/30&gt;CA295,1,0),0)</f>
        <v>0</v>
      </c>
      <c r="CA296" s="115">
        <f t="shared" si="259"/>
        <v>0</v>
      </c>
      <c r="CB296" s="115">
        <f ca="1">IF(BZ296=1,IF(模拟模式!$P$16="10人团",15,0)+IF(模拟模式!$P$16="25人团",IF(RAND()&lt;0.6,15,0)),MAX(0,CB295-$F$4))</f>
        <v>0</v>
      </c>
      <c r="CC296" s="115" t="b">
        <f t="shared" ca="1" si="251"/>
        <v>0</v>
      </c>
      <c r="CD296" s="115">
        <f>IF(模拟模式!$Q$16="1个",IF(B296/40&gt;CE295,1,0),0)</f>
        <v>0</v>
      </c>
      <c r="CE296" s="115">
        <f t="shared" si="252"/>
        <v>0</v>
      </c>
      <c r="CF296" s="115">
        <f>IF(OR(CD296=1,模拟模式!$Q$16="2个"),20,MAX(0,CF295-$F$4))</f>
        <v>0</v>
      </c>
      <c r="CG296" s="115" t="b">
        <f t="shared" si="253"/>
        <v>0</v>
      </c>
      <c r="CH296" s="115">
        <f t="shared" ca="1" si="284"/>
        <v>18.930000000000007</v>
      </c>
      <c r="CI296" s="115" t="b">
        <f t="shared" ca="1" si="285"/>
        <v>0</v>
      </c>
      <c r="CJ296" s="119">
        <f t="shared" ca="1" si="286"/>
        <v>0</v>
      </c>
      <c r="CK296" s="115">
        <f t="shared" ca="1" si="287"/>
        <v>0</v>
      </c>
      <c r="CL296" s="115" t="b">
        <f ca="1">AND(模拟模式!$S$7="驱夷逐法",OR(AND(C296="净世破魔击·月",E295&gt;59),AND(C296="净世破魔击·日",F295&gt;59)))</f>
        <v>0</v>
      </c>
      <c r="CM296" s="115" t="b">
        <f ca="1">OR(CL296,AND(C296="净世破魔击·日",CL295,RAND()&lt;模拟模式!$U$23))</f>
        <v>0</v>
      </c>
      <c r="CN296" s="115" t="b">
        <f ca="1">IF(模拟模式!$M$7="辉耀红尘",AND(C296="净世破魔击·月",CL296,CV296=0,E295&lt;80),AND(C296="净世破魔击·月",CL296,E295&lt;100))</f>
        <v>0</v>
      </c>
      <c r="CO296" s="115" t="b">
        <f t="shared" ca="1" si="260"/>
        <v>0</v>
      </c>
      <c r="CP296" s="115" t="b">
        <f ca="1">AND(模拟模式!$O$7="用晦而明",OR(C296="净世破魔击·日",C296="净世破魔击·月",C296="驱夜断愁"),AB296)</f>
        <v>1</v>
      </c>
      <c r="CQ296" s="115" t="b">
        <f ca="1">OR(CP296,AND(CP295,RAND()&lt;模拟模式!$U$23))</f>
        <v>1</v>
      </c>
      <c r="CR296" s="115" t="b">
        <f ca="1">AND(模拟模式!$S$7="日月齐光",OR(C296="幽月轮1",C296="幽月轮2",C296="幽月轮3",CR295),NOT(OR(C296="赤日轮1",C296="赤日轮2",C296="赤日轮3")))</f>
        <v>0</v>
      </c>
      <c r="CS296" s="115" t="b">
        <f ca="1">AND(模拟模式!$S$7="日月齐光",OR(C296="赤日轮1",C296="赤日轮2",C296="赤日轮3",CS295),NOT(OR(C296="幽月轮1",C296="幽月轮2",C296="幽月轮3")))</f>
        <v>0</v>
      </c>
      <c r="CT296" s="115">
        <f t="shared" ca="1" si="288"/>
        <v>28.155000000000001</v>
      </c>
      <c r="CU296" s="115" t="b">
        <f ca="1">AND(模拟模式!$K$10="阴阳往极",CT295=0,RAND()&lt;IF(C296="净世破魔击·月",0.0275*7/3,IF(C296="净世破魔击·日",0.0275*3/3,0.0275*2/3)))</f>
        <v>0</v>
      </c>
      <c r="CV296" s="115">
        <f t="shared" ca="1" si="289"/>
        <v>2.2324999999999999</v>
      </c>
      <c r="CW296" s="115">
        <f t="shared" ca="1" si="261"/>
        <v>0.46499999999999975</v>
      </c>
      <c r="CX296" s="115">
        <f t="shared" ca="1" si="262"/>
        <v>0</v>
      </c>
      <c r="CY296" s="115">
        <f ca="1">MAX(IF($C296="驱夜断愁",IF(模拟模式!$R$7="万念俱寂",6,45),CY295-$F$4),0)</f>
        <v>0</v>
      </c>
      <c r="CZ296" s="115">
        <f t="shared" ca="1" si="263"/>
        <v>0</v>
      </c>
      <c r="DA296" s="115">
        <f ca="1">IF(模拟模式!$N$7="日月同辉",IF(DB295=2,0,MIN(6,IF(AND(OR(C296="赤日轮1",C296="赤日轮2",C296="赤日轮3",C296="幽月轮1",C296="幽月轮2",C296="幽月轮3"),AB296=1),DA295+1,DA295))),0)</f>
        <v>0</v>
      </c>
      <c r="DB296" s="115">
        <f t="shared" ca="1" si="264"/>
        <v>0</v>
      </c>
      <c r="DC296" s="115"/>
      <c r="DD296" s="115"/>
      <c r="DE296" s="115"/>
      <c r="DF296" s="115"/>
      <c r="DG296" s="115"/>
      <c r="DH296" s="115"/>
      <c r="DI296" s="115"/>
      <c r="DJ296" s="115"/>
      <c r="DK296" s="115"/>
      <c r="DL296" s="115"/>
      <c r="DM296" s="115"/>
    </row>
    <row r="297" spans="2:117" x14ac:dyDescent="0.2">
      <c r="B297" s="117">
        <f t="shared" si="265"/>
        <v>249.07500000000172</v>
      </c>
      <c r="C297" s="167" t="str">
        <f t="shared" ca="1" si="258"/>
        <v>净世破魔击·日</v>
      </c>
      <c r="D297" s="115">
        <f ca="1">IF(C297="赤日轮1",1,IF(C297="赤日轮2",2,IF(C297="赤日轮3",3,IF(C297="幽月轮1",4,IF(C297="幽月轮2",5,IF(C297="幽月轮3",6,IF(C297="烈日斩",7,IF(C297="银月斩",8,IF(C297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297="净世破魔击·月",17,IF(C297="驱夜断愁",18,0)))))))))))</f>
        <v>9</v>
      </c>
      <c r="E297" s="115">
        <f ca="1">IF(AND(CU297,OR(C297="幽月轮1",C297="幽月轮2",C297="幽月轮3",C297="银月斩",C297="驱夜断愁",C297="净世破魔击·月")),100,MIN(IF(OR(CN297,BE297),0,IF(OR($C297="赤日轮1",$C297="赤日轮2",$C297="赤日轮3"),E296+20+IF(模拟模式!$I$7="日月凌天",4,0)+IF(CR296,20,0),IF($C297="烈日斩",E296+40,IF($C297="驱夜断愁",IF(模拟模式!$R$7="万念俱寂",E296+20,E296+60),IF($C297="净世破魔击·月",IF(OR(DB296&gt;0,CV296&gt;0),100,IF(模拟模式!$M$7="辉耀红尘",E296+20,E296)),IF($C297="净世破魔击·日",E296-100,E296)))))),100))</f>
        <v>0</v>
      </c>
      <c r="F297" s="115">
        <f ca="1">IF(AND(CU297,OR(C297="赤日轮1",C297="赤日轮2",C297="赤日轮3",C297="烈日斩",C297="净世破魔击·日")),100,MIN(IF(CO297,0,IF(OR($C297="幽月轮1",$C297="幽月轮2",$C297="幽月轮3"),F296+20+IF(模拟模式!$I$7="日月凌天",4,0)+IF(CS296,20,0),IF($C297="银月斩",F296+40+IF(模拟模式!$X$12=1,5,0),IF($C297="驱夜断愁",IF(模拟模式!$R$7="万念俱寂",F296+20,F296+60),IF($C297="净世破魔击·月",IF(模拟模式!$M$7="辉耀红尘",F296-80,F296-100),IF(AND(C297="净世破魔击·日",OR(DB296&gt;0,CV296&gt;0)),100,F296)))))),100))</f>
        <v>100</v>
      </c>
      <c r="G297" s="117">
        <f ca="1">('模拟-全程加成'!$E$3+'模拟-全程加成'!$E$4+'模拟-全程加成'!$E$5+('模拟-全程加成'!$C$6-'模拟-全程加成'!$C$3)*系数!$B$9+BS297*23)*(1+'模拟-全程加成'!$F$4+'模拟-全程加成'!$F$5+BJ297*10%+BM297*20%+BP297*4%+CG297*30%)+$F$7*系数!$B$12</f>
        <v>20583.127400000001</v>
      </c>
      <c r="H297" s="45">
        <f ca="1">'模拟-全程加成'!$H$3+'模拟-全程加成'!$H$4+'模拟-全程加成'!$H$5+('模拟-全程加成'!$G$4+'模拟-全程加成'!$G$5+('模拟-全程加成'!$C$6-'模拟-全程加成'!$C$3)*系数!$B$13)/系数!$B$3+LOOKUP(D297,'模拟-单技能数据'!$A$2:$A$19,'模拟-单技能数据'!$K$2:$K$19)+BG297*10%+IF(BV297&gt;0,378,0)</f>
        <v>0.54185145527300216</v>
      </c>
      <c r="I297" s="45">
        <f ca="1">'模拟-全程加成'!$J$3+'模拟-全程加成'!$J$4+'模拟-全程加成'!$J$5+('模拟-全程加成'!$I$4+'模拟-全程加成'!$I$5)/系数!$B$4+LOOKUP(D297,'模拟-单技能数据'!$A$2:$A$19,'模拟-单技能数据'!$L$2:$L$19)+BG297*10%</f>
        <v>2.162482885499879</v>
      </c>
      <c r="J297" s="45">
        <f ca="1">(('模拟-全程加成'!$K$3+'模拟-全程加成'!$K$4+'模拟-全程加成'!$K$5+('模拟-全程加成'!$C$6-'模拟-全程加成'!$C$3)*系数!$B$10+IF(BV297&gt;0,882,0)+IF(BY297&gt;0,1831,0))*(1+'模拟-全程加成'!$L$4+'模拟-全程加成'!$L$5+CC297*20%))/系数!$B$5</f>
        <v>0.69723220422048726</v>
      </c>
      <c r="K297" s="119">
        <f ca="1">LOOKUP(D297,'模拟-单技能数据'!$A$2:$A$19,'模拟-单技能数据'!$J$2:$J$19)+IF(CM297,60%,0)+IF(DB296-DB297&gt;0,30%,0)+IF(OR(AND(OR(C297="赤日轮1",C297="赤日轮2",C297="赤日轮3"),CR297),AND(OR(C297="幽月轮1",C297="幽月轮2",C297="幽月轮3"),CS297)),35%,0)+CJ297</f>
        <v>0.2</v>
      </c>
      <c r="L297" s="119">
        <f ca="1">IF(AND(C297="烈日斩",模拟模式!$X$11=1),10%,0)+IF(AND(C297="驱夜断愁",AB297=1),30%,0)</f>
        <v>0</v>
      </c>
      <c r="M297" s="45">
        <f t="shared" ca="1" si="241"/>
        <v>0.54185145527300216</v>
      </c>
      <c r="N297" s="45">
        <f t="shared" ca="1" si="242"/>
        <v>0.40424854472699789</v>
      </c>
      <c r="O297" s="46">
        <f t="shared" ca="1" si="266"/>
        <v>0.90064164381784284</v>
      </c>
      <c r="P297" s="46" t="str">
        <f t="shared" ca="1" si="267"/>
        <v>命</v>
      </c>
      <c r="Q297" s="45">
        <f t="shared" ca="1" si="268"/>
        <v>1</v>
      </c>
      <c r="R297" s="117">
        <f ca="1">模拟模式!$E$20*(1-IF(模拟模式!$J$19="有",0.15,0))*(1-IF(模拟模式!$K$19="有",0.3,0)-IF(CQ297,0.5,0))</f>
        <v>843.02999999999975</v>
      </c>
      <c r="S297" s="45">
        <f ca="1">R297/(R297+(185*模拟模式!$E$22-16800)*4.08224)</f>
        <v>8.389626085980037E-2</v>
      </c>
      <c r="T297" s="45" t="str">
        <f ca="1">LOOKUP(D297,'模拟-单技能数据'!$A$2:$A$19,'模拟-单技能数据'!$H$2:$H$19)</f>
        <v>阳</v>
      </c>
      <c r="U297" s="119">
        <f t="shared" ca="1" si="243"/>
        <v>0.2</v>
      </c>
      <c r="V297" s="47">
        <f ca="1">(1+L297)*(LOOKUP(D297,'模拟-单技能数据'!$A$2:$A$19,'模拟-单技能数据'!$D$2:$D$19)+G297*LOOKUP(D297,'模拟-单技能数据'!$A$2:$A$19,'模拟-单技能数据'!$F$2:$F$19))*(1+J297)*(1+K297)*(1-S297)*(1+U297)*Q297*LOOKUP(D297,'模拟-单技能数据'!$A$2:$A$19,'模拟-单技能数据'!$I$2:$I$20)</f>
        <v>60398.417085084453</v>
      </c>
      <c r="W297" s="47">
        <f ca="1">LOOKUP(D297,'模拟-单技能数据'!$A$2:$A$19,'模拟-单技能数据'!$G$2:$G$19)*$I$10</f>
        <v>723.0212870940959</v>
      </c>
      <c r="X297" s="47">
        <f t="shared" ca="1" si="269"/>
        <v>32531.528902186212</v>
      </c>
      <c r="Y297" s="47">
        <f t="shared" ca="1" si="244"/>
        <v>93652.967274364753</v>
      </c>
      <c r="Z297" s="49">
        <f t="shared" ca="1" si="245"/>
        <v>28490015.027654212</v>
      </c>
      <c r="AA297" s="97">
        <f t="shared" ca="1" si="246"/>
        <v>114383.27824010445</v>
      </c>
      <c r="AB297" s="115">
        <f ca="1">IF(OR(C297="赤日轮1",C297="赤日轮2",C297="赤日轮3"),IF(RAND()&lt;模拟模式!$Y$17,1,0),IF(OR(C297="幽月轮1",C297="幽月轮2",C297="幽月轮3"),IF(RAND()&lt;模拟模式!$Y$18,1,0),IF(C297="烈日斩",IF(RAND()&lt;模拟模式!$Y$19,1,0),IF(C297="银月斩",IF(RAND()&lt;模拟模式!$Y$20,1,0),IF(C297="驱夜断愁",IF(RAND()&lt;模拟模式!$Y$21,1,0),IF(C297="净世破魔击·日",IF(RAND()&lt;模拟模式!$Y$22,1,0),IF(C297="净世破魔击·月",IF(RAND()&lt;模拟模式!$Y$23,1,0),0)))))))</f>
        <v>1</v>
      </c>
      <c r="AC297" s="115" t="b">
        <f t="shared" ca="1" si="234"/>
        <v>0</v>
      </c>
      <c r="AD297" s="115" t="b">
        <f t="shared" ca="1" si="254"/>
        <v>0</v>
      </c>
      <c r="AE297" s="115">
        <f t="shared" ca="1" si="255"/>
        <v>1</v>
      </c>
      <c r="AF297" s="47">
        <f ca="1">IF(AC297,('模拟-单技能数据'!$D$20+G297*'模拟-单技能数据'!$F$20)*(1+J297)*(1+'模拟-单技能数据'!$J$20)*(1+U297),0)</f>
        <v>0</v>
      </c>
      <c r="AG297" s="61">
        <f t="shared" ca="1" si="247"/>
        <v>0.64185145527300214</v>
      </c>
      <c r="AH297" s="61">
        <f t="shared" ca="1" si="248"/>
        <v>2.2624828854998791</v>
      </c>
      <c r="AI297" s="62">
        <f t="shared" ca="1" si="270"/>
        <v>0.47079464983259844</v>
      </c>
      <c r="AJ297" s="47">
        <f ca="1">IF(AD297,IF(AI297&lt;$F$10,0,IF(AI297&lt;$F$10+$F$11,0.25,IF(AI297&lt;$F$10+$F$11+AG297,AH297,1)))*IF(AF297&gt;0,AF297,IF(AF296&gt;0,AF296,IF(AF295&gt;0,AF295,IF(AF294&gt;0,AF294,IF(AF293&gt;0,AF293,IF(AF292&gt;0,AF292,IF(AF291&gt;0,AF291,IF(AF290&gt;0,AF290,IF(AF289&gt;0,AF289,IF(AF287&gt;0,AF287,IF(AF286&gt;0,AF286,IF(AF285&gt;0,AF285,0)))))))))))),0)*(1-$S297)*'模拟-单技能数据'!$I$20</f>
        <v>0</v>
      </c>
      <c r="AK297" s="115" t="b">
        <f t="shared" ca="1" si="235"/>
        <v>1</v>
      </c>
      <c r="AL297" s="115" t="b">
        <f t="shared" ca="1" si="256"/>
        <v>1</v>
      </c>
      <c r="AM297" s="115">
        <f t="shared" ca="1" si="257"/>
        <v>5</v>
      </c>
      <c r="AN297" s="47">
        <f ca="1">IF(AK297,('模拟-单技能数据'!$D$21+G297*'模拟-单技能数据'!$F$21)*(1+J297)*(1+'模拟-单技能数据'!$J$21)*(1+U297),0)</f>
        <v>12136.56601728573</v>
      </c>
      <c r="AO297" s="61">
        <f ca="1">IF(AN297&gt;0,M297-'模拟-单技能数据'!$K$10,AO296)</f>
        <v>0.42185145527300216</v>
      </c>
      <c r="AP297" s="61">
        <f ca="1">IF(AN297&gt;0,I297-'模拟-单技能数据'!$L$10,AP296)</f>
        <v>2.162482885499879</v>
      </c>
      <c r="AQ297" s="63">
        <f t="shared" ca="1" si="271"/>
        <v>0.45190930040287336</v>
      </c>
      <c r="AR297" s="64">
        <f ca="1">IF(AL297,IF(AQ297&lt;$F$10,0,IF(AQ297&lt;$F$10+$F$11,0.25,IF(AQ297&lt;$F$10+$F$11+AO297,AP297,1)))*IF(AN297&gt;0,AN297,IF(AN296&gt;0,AN296,IF(AN295&gt;0,AN295,IF(AN294&gt;0,AN294,IF(AN293&gt;0,AN293,IF(AN292&gt;0,AN292,IF(AN291&gt;0,AN291,IF(AN290&gt;0,AN290,IF(AN289&gt;0,AN289,IF(AN287&gt;0,AN287,IF(AN286&gt;0,AN286,IF(AN285&gt;0,AN285,0)))))))))))),0)*(1-$S297)*'模拟-单技能数据'!$I$21</f>
        <v>24043.249177625272</v>
      </c>
      <c r="AS297" s="61">
        <f ca="1">IF(OR(C297="净世破魔击·日",C297="净世破魔击·月"),M297-'模拟-单技能数据'!$K$10,0)</f>
        <v>0.42185145527300216</v>
      </c>
      <c r="AT297" s="61">
        <f ca="1">IF(OR(C297="净世破魔击·日",C297="净世破魔击·月"),I297-'模拟-单技能数据'!$L$10,0)</f>
        <v>2.162482885499879</v>
      </c>
      <c r="AU297" s="62">
        <f t="shared" ca="1" si="272"/>
        <v>0.85469138564142755</v>
      </c>
      <c r="AV297" s="64">
        <f ca="1">IF(AS297&gt;0,('模拟-单技能数据'!$D$22+G297*'模拟-单技能数据'!$F$22)*(1+J297)*(1-S297)*IF(AU297&lt;$F$10,0,IF(AU297&lt;$F$10+$F$11,0.25,IF(AU297&lt;$F$10+$F$11+AS297,AT297,1)))*(1+U297),0)*'模拟-单技能数据'!$I$22</f>
        <v>8488.2797245609418</v>
      </c>
      <c r="AW297" s="108">
        <f t="shared" ca="1" si="273"/>
        <v>8.0075000000000074</v>
      </c>
      <c r="AX297" s="108" t="b">
        <f ca="1">AND(模拟模式!$P$10="有",AW296=0,RAND()&lt;IF(C297="净世破魔击·月",0.1*8/3,IF(C297="净世破魔击·日",0.1*4/3,0.1*2/3)))</f>
        <v>0</v>
      </c>
      <c r="AY297" s="47">
        <f ca="1">IF(AX297,(18+G297*0.722)*(1+J297)*(1-S297)*(1+$I$4)*IF(P297="会",'模拟-全程加成'!$J$3+'模拟-全程加成'!$J$4+'模拟-全程加成'!$J$5+('模拟-全程加成'!$I$4+'模拟-全程加成'!$I$5)/系数!$B$4+BG297*10%,IF(P297="命",1,IF(P297="识",0.25,0))),0)</f>
        <v>0</v>
      </c>
      <c r="AZ297" s="108">
        <f t="shared" si="274"/>
        <v>14.465000000000003</v>
      </c>
      <c r="BA297" s="108" t="b">
        <f>AND(模拟模式!$Q$10="有",AZ296=0)</f>
        <v>0</v>
      </c>
      <c r="BB297" s="140">
        <f>IF(BA297,(0+G297*0.287)*(1+J297)*(1-S297)*(1+$I$4)*IF(P297="会",'模拟-全程加成'!$J$3+'模拟-全程加成'!$J$4+'模拟-全程加成'!$J$5+('模拟-全程加成'!$I$4+'模拟-全程加成'!$I$5)/系数!$B$4+BG297*10%,IF(P297="命",1,IF(P297="识",0.25,0))),0)</f>
        <v>0</v>
      </c>
      <c r="BC297" s="115" t="b">
        <f ca="1">AND(模拟模式!$R$7="伏明众生",E297=60,F297=20,DA297&lt;5,CZ296&lt;$F$4)</f>
        <v>0</v>
      </c>
      <c r="BD297" s="115">
        <f t="shared" ca="1" si="236"/>
        <v>0</v>
      </c>
      <c r="BE297" s="115" t="b">
        <f t="shared" ca="1" si="237"/>
        <v>0</v>
      </c>
      <c r="BF297" s="47">
        <f ca="1">IF(BC297,4*('模拟-单技能数据'!$D$24+G297*'模拟-单技能数据'!$F$24)*(1+J297)*(1+'模拟-单技能数据'!$J$24)*(1-S297)*(1+$I$3)*(('模拟-全程加成'!$J$3+'模拟-全程加成'!$J$4+'模拟-全程加成'!$J$5+('模拟-全程加成'!$I$4+'模拟-全程加成'!$I$5)/系数!$B$4+BG297*10%)*('模拟-全程加成'!$J$3+'模拟-全程加成'!$J$4+'模拟-全程加成'!$J$5+('模拟-全程加成'!$I$4+'模拟-全程加成'!$I$5)/系数!$B$4+BG297*10%)+(1-('模拟-全程加成'!$J$3+'模拟-全程加成'!$J$4+'模拟-全程加成'!$J$5+('模拟-全程加成'!$I$4+'模拟-全程加成'!$I$5)/系数!$B$4+BG297*10%)-$F$10-$F$11)+F283*0.25),0)*'模拟-单技能数据'!$I$24</f>
        <v>0</v>
      </c>
      <c r="BG297" s="115" t="b">
        <f ca="1">OR(AND(OR(C297="烈日斩",C297="银月斩"),模拟模式!$I$7="净身明礼"),AND(C297="净世破魔击·日",模拟模式!$J$7="洞若观火"),AND(C298="净世破魔击·月",模拟模式!$J$7="洞若观火"),AB297=1)</f>
        <v>1</v>
      </c>
      <c r="BH297" s="115" t="b">
        <f t="shared" ca="1" si="275"/>
        <v>0</v>
      </c>
      <c r="BI297" s="115">
        <f t="shared" ca="1" si="238"/>
        <v>0</v>
      </c>
      <c r="BJ297" s="115" t="b">
        <f t="shared" ca="1" si="249"/>
        <v>0</v>
      </c>
      <c r="BK297" s="115" t="b">
        <f ca="1">AND(C297="驱夜断愁",模拟模式!$P$7="天地诛戮")</f>
        <v>0</v>
      </c>
      <c r="BL297" s="57">
        <f t="shared" ca="1" si="239"/>
        <v>12.620000000000005</v>
      </c>
      <c r="BM297" s="115" t="b">
        <f t="shared" ca="1" si="250"/>
        <v>1</v>
      </c>
      <c r="BN297" s="115" t="b">
        <f ca="1">AND(OR(C297="赤日轮1",C297="赤日轮2",C297="赤日轮3",C297="幽月轮1",C297="幽月轮2",C297="幽月轮3"),AB297=1,模拟模式!$L$7="明光恒照")</f>
        <v>0</v>
      </c>
      <c r="BO297" s="117">
        <f t="shared" ca="1" si="240"/>
        <v>24.465000000000003</v>
      </c>
      <c r="BP297" s="115">
        <f t="shared" ca="1" si="276"/>
        <v>6</v>
      </c>
      <c r="BQ297" s="115" t="b">
        <f>模拟模式!$K$10="2600·水"</f>
        <v>0</v>
      </c>
      <c r="BR297" s="117">
        <f t="shared" si="277"/>
        <v>0</v>
      </c>
      <c r="BS297" s="115">
        <f t="shared" si="278"/>
        <v>0</v>
      </c>
      <c r="BT297" s="115">
        <f t="shared" ca="1" si="279"/>
        <v>0</v>
      </c>
      <c r="BU297" s="115" t="b">
        <f ca="1">AND(模拟模式!$K$10="2300·雷",BT296=0,RAND()&lt;IF(C297="净世破魔击·月",5*0.05*2/3,IF(C297="净世破魔击·日",3*0.05*2/3,0.05*2*2/3)))</f>
        <v>0</v>
      </c>
      <c r="BV297" s="115">
        <f t="shared" ca="1" si="280"/>
        <v>0</v>
      </c>
      <c r="BW297" s="115">
        <f t="shared" ca="1" si="281"/>
        <v>122.80499999999924</v>
      </c>
      <c r="BX297" s="164" t="b">
        <f t="shared" ca="1" si="282"/>
        <v>0</v>
      </c>
      <c r="BY297" s="115">
        <f t="shared" ca="1" si="283"/>
        <v>0</v>
      </c>
      <c r="BZ297" s="115">
        <f>IF(OR(模拟模式!$P$16="10人团",模拟模式!$P$16="25人团"),IF(B297/30&gt;CA296,1,0),0)</f>
        <v>0</v>
      </c>
      <c r="CA297" s="115">
        <f t="shared" si="259"/>
        <v>0</v>
      </c>
      <c r="CB297" s="115">
        <f ca="1">IF(BZ297=1,IF(模拟模式!$P$16="10人团",15,0)+IF(模拟模式!$P$16="25人团",IF(RAND()&lt;0.6,15,0)),MAX(0,CB296-$F$4))</f>
        <v>0</v>
      </c>
      <c r="CC297" s="115" t="b">
        <f t="shared" ca="1" si="251"/>
        <v>0</v>
      </c>
      <c r="CD297" s="115">
        <f>IF(模拟模式!$Q$16="1个",IF(B297/40&gt;CE296,1,0),0)</f>
        <v>0</v>
      </c>
      <c r="CE297" s="115">
        <f t="shared" si="252"/>
        <v>0</v>
      </c>
      <c r="CF297" s="115">
        <f>IF(OR(CD297=1,模拟模式!$Q$16="2个"),20,MAX(0,CF296-$F$4))</f>
        <v>0</v>
      </c>
      <c r="CG297" s="115" t="b">
        <f t="shared" si="253"/>
        <v>0</v>
      </c>
      <c r="CH297" s="115">
        <f t="shared" ca="1" si="284"/>
        <v>18.007500000000007</v>
      </c>
      <c r="CI297" s="115" t="b">
        <f t="shared" ca="1" si="285"/>
        <v>0</v>
      </c>
      <c r="CJ297" s="119">
        <f t="shared" ca="1" si="286"/>
        <v>0</v>
      </c>
      <c r="CK297" s="115">
        <f t="shared" ca="1" si="287"/>
        <v>0</v>
      </c>
      <c r="CL297" s="115" t="b">
        <f ca="1">AND(模拟模式!$S$7="驱夷逐法",OR(AND(C297="净世破魔击·月",E296&gt;59),AND(C297="净世破魔击·日",F296&gt;59)))</f>
        <v>0</v>
      </c>
      <c r="CM297" s="115" t="b">
        <f ca="1">OR(CL297,AND(C297="净世破魔击·日",CL296,RAND()&lt;模拟模式!$U$23))</f>
        <v>0</v>
      </c>
      <c r="CN297" s="115" t="b">
        <f ca="1">IF(模拟模式!$M$7="辉耀红尘",AND(C297="净世破魔击·月",CL297,CV297=0,E296&lt;80),AND(C297="净世破魔击·月",CL297,E296&lt;100))</f>
        <v>0</v>
      </c>
      <c r="CO297" s="115" t="b">
        <f t="shared" ca="1" si="260"/>
        <v>0</v>
      </c>
      <c r="CP297" s="115" t="b">
        <f ca="1">AND(模拟模式!$O$7="用晦而明",OR(C297="净世破魔击·日",C297="净世破魔击·月",C297="驱夜断愁"),AB297)</f>
        <v>1</v>
      </c>
      <c r="CQ297" s="115" t="b">
        <f ca="1">OR(CP297,AND(CP296,RAND()&lt;模拟模式!$U$23))</f>
        <v>1</v>
      </c>
      <c r="CR297" s="115" t="b">
        <f ca="1">AND(模拟模式!$S$7="日月齐光",OR(C297="幽月轮1",C297="幽月轮2",C297="幽月轮3",CR296),NOT(OR(C297="赤日轮1",C297="赤日轮2",C297="赤日轮3")))</f>
        <v>0</v>
      </c>
      <c r="CS297" s="115" t="b">
        <f ca="1">AND(模拟模式!$S$7="日月齐光",OR(C297="赤日轮1",C297="赤日轮2",C297="赤日轮3",CS296),NOT(OR(C297="幽月轮1",C297="幽月轮2",C297="幽月轮3")))</f>
        <v>0</v>
      </c>
      <c r="CT297" s="115">
        <f t="shared" ca="1" si="288"/>
        <v>27.232500000000002</v>
      </c>
      <c r="CU297" s="115" t="b">
        <f ca="1">AND(模拟模式!$K$10="阴阳往极",CT296=0,RAND()&lt;IF(C297="净世破魔击·月",0.0275*7/3,IF(C297="净世破魔击·日",0.0275*3/3,0.0275*2/3)))</f>
        <v>0</v>
      </c>
      <c r="CV297" s="115">
        <f t="shared" ca="1" si="289"/>
        <v>1.31</v>
      </c>
      <c r="CW297" s="115">
        <f t="shared" ca="1" si="261"/>
        <v>0</v>
      </c>
      <c r="CX297" s="115">
        <f t="shared" ca="1" si="262"/>
        <v>0</v>
      </c>
      <c r="CY297" s="115">
        <f ca="1">MAX(IF($C297="驱夜断愁",IF(模拟模式!$R$7="万念俱寂",6,45),CY296-$F$4),0)</f>
        <v>0</v>
      </c>
      <c r="CZ297" s="115">
        <f t="shared" ca="1" si="263"/>
        <v>0</v>
      </c>
      <c r="DA297" s="115">
        <f ca="1">IF(模拟模式!$N$7="日月同辉",IF(DB296=2,0,MIN(6,IF(AND(OR(C297="赤日轮1",C297="赤日轮2",C297="赤日轮3",C297="幽月轮1",C297="幽月轮2",C297="幽月轮3"),AB297=1),DA296+1,DA296))),0)</f>
        <v>0</v>
      </c>
      <c r="DB297" s="115">
        <f t="shared" ca="1" si="264"/>
        <v>0</v>
      </c>
      <c r="DC297" s="115"/>
      <c r="DD297" s="115"/>
      <c r="DE297" s="115"/>
      <c r="DF297" s="115"/>
      <c r="DG297" s="115"/>
      <c r="DH297" s="115"/>
      <c r="DI297" s="115"/>
      <c r="DJ297" s="115"/>
      <c r="DK297" s="115"/>
      <c r="DL297" s="115"/>
      <c r="DM297" s="115"/>
    </row>
    <row r="298" spans="2:117" x14ac:dyDescent="0.2">
      <c r="B298" s="117">
        <f t="shared" si="265"/>
        <v>249.99750000000174</v>
      </c>
      <c r="C298" s="167" t="str">
        <f t="shared" ca="1" si="258"/>
        <v>净世破魔击·月</v>
      </c>
      <c r="D298" s="115">
        <f ca="1">IF(C298="赤日轮1",1,IF(C298="赤日轮2",2,IF(C298="赤日轮3",3,IF(C298="幽月轮1",4,IF(C298="幽月轮2",5,IF(C298="幽月轮3",6,IF(C298="烈日斩",7,IF(C298="银月斩",8,IF(C298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298="净世破魔击·月",17,IF(C298="驱夜断愁",18,0)))))))))))</f>
        <v>17</v>
      </c>
      <c r="E298" s="115">
        <f ca="1">IF(AND(CU298,OR(C298="幽月轮1",C298="幽月轮2",C298="幽月轮3",C298="银月斩",C298="驱夜断愁",C298="净世破魔击·月")),100,MIN(IF(OR(CN298,BE298),0,IF(OR($C298="赤日轮1",$C298="赤日轮2",$C298="赤日轮3"),E297+20+IF(模拟模式!$I$7="日月凌天",4,0)+IF(CR297,20,0),IF($C298="烈日斩",E297+40,IF($C298="驱夜断愁",IF(模拟模式!$R$7="万念俱寂",E297+20,E297+60),IF($C298="净世破魔击·月",IF(OR(DB297&gt;0,CV297&gt;0),100,IF(模拟模式!$M$7="辉耀红尘",E297+20,E297)),IF($C298="净世破魔击·日",E297-100,E297)))))),100))</f>
        <v>100</v>
      </c>
      <c r="F298" s="115">
        <f ca="1">IF(AND(CU298,OR(C298="赤日轮1",C298="赤日轮2",C298="赤日轮3",C298="烈日斩",C298="净世破魔击·日")),100,MIN(IF(CO298,0,IF(OR($C298="幽月轮1",$C298="幽月轮2",$C298="幽月轮3"),F297+20+IF(模拟模式!$I$7="日月凌天",4,0)+IF(CS297,20,0),IF($C298="银月斩",F297+40+IF(模拟模式!$X$12=1,5,0),IF($C298="驱夜断愁",IF(模拟模式!$R$7="万念俱寂",F297+20,F297+60),IF($C298="净世破魔击·月",IF(模拟模式!$M$7="辉耀红尘",F297-80,F297-100),IF(AND(C298="净世破魔击·日",OR(DB297&gt;0,CV297&gt;0)),100,F297)))))),100))</f>
        <v>20</v>
      </c>
      <c r="G298" s="117">
        <f ca="1">('模拟-全程加成'!$E$3+'模拟-全程加成'!$E$4+'模拟-全程加成'!$E$5+('模拟-全程加成'!$C$6-'模拟-全程加成'!$C$3)*系数!$B$9+BS298*23)*(1+'模拟-全程加成'!$F$4+'模拟-全程加成'!$F$5+BJ298*10%+BM298*20%+BP298*4%+CG298*30%)+$F$7*系数!$B$12</f>
        <v>20583.127400000001</v>
      </c>
      <c r="H298" s="45">
        <f ca="1">'模拟-全程加成'!$H$3+'模拟-全程加成'!$H$4+'模拟-全程加成'!$H$5+('模拟-全程加成'!$G$4+'模拟-全程加成'!$G$5+('模拟-全程加成'!$C$6-'模拟-全程加成'!$C$3)*系数!$B$13)/系数!$B$3+LOOKUP(D298,'模拟-单技能数据'!$A$2:$A$19,'模拟-单技能数据'!$K$2:$K$19)+BG298*10%+IF(BV298&gt;0,378,0)</f>
        <v>0.54185145527300216</v>
      </c>
      <c r="I298" s="45">
        <f ca="1">'模拟-全程加成'!$J$3+'模拟-全程加成'!$J$4+'模拟-全程加成'!$J$5+('模拟-全程加成'!$I$4+'模拟-全程加成'!$I$5)/系数!$B$4+LOOKUP(D298,'模拟-单技能数据'!$A$2:$A$19,'模拟-单技能数据'!$L$2:$L$19)+BG298*10%</f>
        <v>2.162482885499879</v>
      </c>
      <c r="J298" s="45">
        <f ca="1">(('模拟-全程加成'!$K$3+'模拟-全程加成'!$K$4+'模拟-全程加成'!$K$5+('模拟-全程加成'!$C$6-'模拟-全程加成'!$C$3)*系数!$B$10+IF(BV298&gt;0,882,0)+IF(BY298&gt;0,1831,0))*(1+'模拟-全程加成'!$L$4+'模拟-全程加成'!$L$5+CC298*20%))/系数!$B$5</f>
        <v>0.69723220422048726</v>
      </c>
      <c r="K298" s="119">
        <f ca="1">LOOKUP(D298,'模拟-单技能数据'!$A$2:$A$19,'模拟-单技能数据'!$J$2:$J$19)+IF(CM298,60%,0)+IF(DB297-DB298&gt;0,30%,0)+IF(OR(AND(OR(C298="赤日轮1",C298="赤日轮2",C298="赤日轮3"),CR298),AND(OR(C298="幽月轮1",C298="幽月轮2",C298="幽月轮3"),CS298)),35%,0)+CJ298</f>
        <v>0.2</v>
      </c>
      <c r="L298" s="119">
        <f ca="1">IF(AND(C298="烈日斩",模拟模式!$X$11=1),10%,0)+IF(AND(C298="驱夜断愁",AB298=1),30%,0)</f>
        <v>0</v>
      </c>
      <c r="M298" s="45">
        <f t="shared" ca="1" si="241"/>
        <v>0.54185145527300216</v>
      </c>
      <c r="N298" s="45">
        <f t="shared" ca="1" si="242"/>
        <v>0.40424854472699789</v>
      </c>
      <c r="O298" s="46">
        <f t="shared" ca="1" si="266"/>
        <v>0.41632039918838215</v>
      </c>
      <c r="P298" s="46" t="str">
        <f t="shared" ca="1" si="267"/>
        <v>会</v>
      </c>
      <c r="Q298" s="45">
        <f t="shared" ca="1" si="268"/>
        <v>2.162482885499879</v>
      </c>
      <c r="R298" s="117">
        <f ca="1">模拟模式!$E$20*(1-IF(模拟模式!$J$19="有",0.15,0))*(1-IF(模拟模式!$K$19="有",0.3,0)-IF(CQ298,0.5,0))</f>
        <v>843.02999999999975</v>
      </c>
      <c r="S298" s="45">
        <f ca="1">R298/(R298+(185*模拟模式!$E$22-16800)*4.08224)</f>
        <v>8.389626085980037E-2</v>
      </c>
      <c r="T298" s="45" t="str">
        <f ca="1">LOOKUP(D298,'模拟-单技能数据'!$A$2:$A$19,'模拟-单技能数据'!$H$2:$H$19)</f>
        <v>阴</v>
      </c>
      <c r="U298" s="119">
        <f t="shared" ca="1" si="243"/>
        <v>0.08</v>
      </c>
      <c r="V298" s="47">
        <f ca="1">(1+L298)*(LOOKUP(D298,'模拟-单技能数据'!$A$2:$A$19,'模拟-单技能数据'!$D$2:$D$19)+G298*LOOKUP(D298,'模拟-单技能数据'!$A$2:$A$19,'模拟-单技能数据'!$F$2:$F$19))*(1+J298)*(1+K298)*(1-S298)*(1+U298)*Q298*LOOKUP(D298,'模拟-单技能数据'!$A$2:$A$19,'模拟-单技能数据'!$I$2:$I$20)</f>
        <v>116578.90677476654</v>
      </c>
      <c r="W298" s="47">
        <f ca="1">LOOKUP(D298,'模拟-单技能数据'!$A$2:$A$19,'模拟-单技能数据'!$G$2:$G$19)*$I$10</f>
        <v>361.51064354704795</v>
      </c>
      <c r="X298" s="47">
        <f t="shared" ca="1" si="269"/>
        <v>11714.149774224707</v>
      </c>
      <c r="Y298" s="47">
        <f t="shared" ca="1" si="244"/>
        <v>128654.56719253829</v>
      </c>
      <c r="Z298" s="49">
        <f t="shared" ca="1" si="245"/>
        <v>28618669.594846752</v>
      </c>
      <c r="AA298" s="97">
        <f t="shared" ca="1" si="246"/>
        <v>114475.82313761758</v>
      </c>
      <c r="AB298" s="115">
        <f ca="1">IF(OR(C298="赤日轮1",C298="赤日轮2",C298="赤日轮3"),IF(RAND()&lt;模拟模式!$Y$17,1,0),IF(OR(C298="幽月轮1",C298="幽月轮2",C298="幽月轮3"),IF(RAND()&lt;模拟模式!$Y$18,1,0),IF(C298="烈日斩",IF(RAND()&lt;模拟模式!$Y$19,1,0),IF(C298="银月斩",IF(RAND()&lt;模拟模式!$Y$20,1,0),IF(C298="驱夜断愁",IF(RAND()&lt;模拟模式!$Y$21,1,0),IF(C298="净世破魔击·日",IF(RAND()&lt;模拟模式!$Y$22,1,0),IF(C298="净世破魔击·月",IF(RAND()&lt;模拟模式!$Y$23,1,0),0)))))))</f>
        <v>1</v>
      </c>
      <c r="AC298" s="115" t="b">
        <f t="shared" ca="1" si="234"/>
        <v>0</v>
      </c>
      <c r="AD298" s="115" t="b">
        <f t="shared" ca="1" si="254"/>
        <v>1</v>
      </c>
      <c r="AE298" s="115">
        <f t="shared" ca="1" si="255"/>
        <v>0</v>
      </c>
      <c r="AF298" s="47">
        <f ca="1">IF(AC298,('模拟-单技能数据'!$D$20+G298*'模拟-单技能数据'!$F$20)*(1+J298)*(1+'模拟-单技能数据'!$J$20)*(1+U298),0)</f>
        <v>0</v>
      </c>
      <c r="AG298" s="61">
        <f t="shared" ca="1" si="247"/>
        <v>0.64185145527300214</v>
      </c>
      <c r="AH298" s="61">
        <f t="shared" ca="1" si="248"/>
        <v>2.2624828854998791</v>
      </c>
      <c r="AI298" s="62">
        <f t="shared" ca="1" si="270"/>
        <v>0.71258318000433174</v>
      </c>
      <c r="AJ298" s="47">
        <f ca="1">IF(AD298,IF(AI298&lt;$F$10,0,IF(AI298&lt;$F$10+$F$11,0.25,IF(AI298&lt;$F$10+$F$11+AG298,AH298,1)))*IF(AF298&gt;0,AF298,IF(AF297&gt;0,AF297,IF(AF296&gt;0,AF296,IF(AF295&gt;0,AF295,IF(AF294&gt;0,AF294,IF(AF293&gt;0,AF293,IF(AF292&gt;0,AF292,IF(AF291&gt;0,AF291,IF(AF290&gt;0,AF290,IF(AF288&gt;0,AF288,IF(AF287&gt;0,AF287,IF(AF286&gt;0,AF286,0)))))))))))),0)*(1-$S298)*'模拟-单技能数据'!$I$20</f>
        <v>4074.6980221198578</v>
      </c>
      <c r="AK298" s="115" t="b">
        <f t="shared" ca="1" si="235"/>
        <v>0</v>
      </c>
      <c r="AL298" s="115" t="b">
        <f t="shared" ca="1" si="256"/>
        <v>0</v>
      </c>
      <c r="AM298" s="115">
        <f t="shared" ca="1" si="257"/>
        <v>5</v>
      </c>
      <c r="AN298" s="47">
        <f ca="1">IF(AK298,('模拟-单技能数据'!$D$21+G298*'模拟-单技能数据'!$F$21)*(1+J298)*(1+'模拟-单技能数据'!$J$21)*(1+U298),0)</f>
        <v>0</v>
      </c>
      <c r="AO298" s="61">
        <f ca="1">IF(AN298&gt;0,M298-'模拟-单技能数据'!$K$10,AO297)</f>
        <v>0.42185145527300216</v>
      </c>
      <c r="AP298" s="61">
        <f ca="1">IF(AN298&gt;0,I298-'模拟-单技能数据'!$L$10,AP297)</f>
        <v>2.162482885499879</v>
      </c>
      <c r="AQ298" s="63">
        <f t="shared" ca="1" si="271"/>
        <v>0.15832680971598945</v>
      </c>
      <c r="AR298" s="64">
        <f ca="1">IF(AL298,IF(AQ298&lt;$F$10,0,IF(AQ298&lt;$F$10+$F$11,0.25,IF(AQ298&lt;$F$10+$F$11+AO298,AP298,1)))*IF(AN298&gt;0,AN298,IF(AN297&gt;0,AN297,IF(AN296&gt;0,AN296,IF(AN295&gt;0,AN295,IF(AN294&gt;0,AN294,IF(AN293&gt;0,AN293,IF(AN292&gt;0,AN292,IF(AN291&gt;0,AN291,IF(AN290&gt;0,AN290,IF(AN288&gt;0,AN288,IF(AN287&gt;0,AN287,IF(AN286&gt;0,AN286,0)))))))))))),0)*(1-$S298)*'模拟-单技能数据'!$I$21</f>
        <v>0</v>
      </c>
      <c r="AS298" s="61">
        <f ca="1">IF(OR(C298="净世破魔击·日",C298="净世破魔击·月"),M298-'模拟-单技能数据'!$K$10,0)</f>
        <v>0.42185145527300216</v>
      </c>
      <c r="AT298" s="61">
        <f ca="1">IF(OR(C298="净世破魔击·日",C298="净世破魔击·月"),I298-'模拟-单技能数据'!$L$10,0)</f>
        <v>2.162482885499879</v>
      </c>
      <c r="AU298" s="62">
        <f t="shared" ca="1" si="272"/>
        <v>0.82102907881054188</v>
      </c>
      <c r="AV298" s="64">
        <f ca="1">IF(AS298&gt;0,('模拟-单技能数据'!$D$22+G298*'模拟-单技能数据'!$F$22)*(1+J298)*(1-S298)*IF(AU298&lt;$F$10,0,IF(AU298&lt;$F$10+$F$11,0.25,IF(AU298&lt;$F$10+$F$11+AS298,AT298,1)))*(1+U298),0)*'模拟-单技能数据'!$I$22</f>
        <v>7639.4517521048492</v>
      </c>
      <c r="AW298" s="108">
        <f t="shared" ca="1" si="273"/>
        <v>7.0850000000000071</v>
      </c>
      <c r="AX298" s="108" t="b">
        <f ca="1">AND(模拟模式!$P$10="有",AW297=0,RAND()&lt;IF(C298="净世破魔击·月",0.1*8/3,IF(C298="净世破魔击·日",0.1*4/3,0.1*2/3)))</f>
        <v>0</v>
      </c>
      <c r="AY298" s="47">
        <f ca="1">IF(AX298,(18+G298*0.722)*(1+J298)*(1-S298)*(1+$I$4)*IF(P298="会",'模拟-全程加成'!$J$3+'模拟-全程加成'!$J$4+'模拟-全程加成'!$J$5+('模拟-全程加成'!$I$4+'模拟-全程加成'!$I$5)/系数!$B$4+BG298*10%,IF(P298="命",1,IF(P298="识",0.25,0))),0)</f>
        <v>0</v>
      </c>
      <c r="AZ298" s="108">
        <f t="shared" si="274"/>
        <v>13.542500000000004</v>
      </c>
      <c r="BA298" s="108" t="b">
        <f>AND(模拟模式!$Q$10="有",AZ297=0)</f>
        <v>0</v>
      </c>
      <c r="BB298" s="140">
        <f>IF(BA298,(0+G298*0.287)*(1+J298)*(1-S298)*(1+$I$4)*IF(P298="会",'模拟-全程加成'!$J$3+'模拟-全程加成'!$J$4+'模拟-全程加成'!$J$5+('模拟-全程加成'!$I$4+'模拟-全程加成'!$I$5)/系数!$B$4+BG298*10%,IF(P298="命",1,IF(P298="识",0.25,0))),0)</f>
        <v>0</v>
      </c>
      <c r="BC298" s="115" t="b">
        <f ca="1">AND(模拟模式!$R$7="伏明众生",E298=60,F298=20,DA298&lt;5,CZ297&lt;$F$4)</f>
        <v>0</v>
      </c>
      <c r="BD298" s="115">
        <f t="shared" ca="1" si="236"/>
        <v>0</v>
      </c>
      <c r="BE298" s="115" t="b">
        <f t="shared" ca="1" si="237"/>
        <v>0</v>
      </c>
      <c r="BF298" s="47">
        <f ca="1">IF(BC298,4*('模拟-单技能数据'!$D$24+G298*'模拟-单技能数据'!$F$24)*(1+J298)*(1+'模拟-单技能数据'!$J$24)*(1-S298)*(1+$I$3)*(('模拟-全程加成'!$J$3+'模拟-全程加成'!$J$4+'模拟-全程加成'!$J$5+('模拟-全程加成'!$I$4+'模拟-全程加成'!$I$5)/系数!$B$4+BG298*10%)*('模拟-全程加成'!$J$3+'模拟-全程加成'!$J$4+'模拟-全程加成'!$J$5+('模拟-全程加成'!$I$4+'模拟-全程加成'!$I$5)/系数!$B$4+BG298*10%)+(1-('模拟-全程加成'!$J$3+'模拟-全程加成'!$J$4+'模拟-全程加成'!$J$5+('模拟-全程加成'!$I$4+'模拟-全程加成'!$I$5)/系数!$B$4+BG298*10%)-$F$10-$F$11)+F284*0.25),0)*'模拟-单技能数据'!$I$24</f>
        <v>0</v>
      </c>
      <c r="BG298" s="115" t="b">
        <f ca="1">OR(AND(OR(C298="烈日斩",C298="银月斩"),模拟模式!$I$7="净身明礼"),AND(C298="净世破魔击·日",模拟模式!$J$7="洞若观火"),AND(C299="净世破魔击·月",模拟模式!$J$7="洞若观火"),AB298=1)</f>
        <v>1</v>
      </c>
      <c r="BH298" s="115" t="b">
        <f t="shared" ca="1" si="275"/>
        <v>0</v>
      </c>
      <c r="BI298" s="115">
        <f t="shared" ca="1" si="238"/>
        <v>0</v>
      </c>
      <c r="BJ298" s="115" t="b">
        <f t="shared" ca="1" si="249"/>
        <v>0</v>
      </c>
      <c r="BK298" s="115" t="b">
        <f ca="1">AND(C298="驱夜断愁",模拟模式!$P$7="天地诛戮")</f>
        <v>0</v>
      </c>
      <c r="BL298" s="57">
        <f t="shared" ca="1" si="239"/>
        <v>11.697500000000005</v>
      </c>
      <c r="BM298" s="115" t="b">
        <f t="shared" ca="1" si="250"/>
        <v>1</v>
      </c>
      <c r="BN298" s="115" t="b">
        <f ca="1">AND(OR(C298="赤日轮1",C298="赤日轮2",C298="赤日轮3",C298="幽月轮1",C298="幽月轮2",C298="幽月轮3"),AB298=1,模拟模式!$L$7="明光恒照")</f>
        <v>0</v>
      </c>
      <c r="BO298" s="117">
        <f t="shared" ca="1" si="240"/>
        <v>23.542500000000004</v>
      </c>
      <c r="BP298" s="115">
        <f t="shared" ca="1" si="276"/>
        <v>6</v>
      </c>
      <c r="BQ298" s="115" t="b">
        <f>模拟模式!$K$10="2600·水"</f>
        <v>0</v>
      </c>
      <c r="BR298" s="117">
        <f t="shared" si="277"/>
        <v>0</v>
      </c>
      <c r="BS298" s="115">
        <f t="shared" si="278"/>
        <v>0</v>
      </c>
      <c r="BT298" s="115">
        <f t="shared" ca="1" si="279"/>
        <v>0</v>
      </c>
      <c r="BU298" s="115" t="b">
        <f ca="1">AND(模拟模式!$K$10="2300·雷",BT297=0,RAND()&lt;IF(C298="净世破魔击·月",5*0.05*2/3,IF(C298="净世破魔击·日",3*0.05*2/3,0.05*2*2/3)))</f>
        <v>0</v>
      </c>
      <c r="BV298" s="115">
        <f t="shared" ca="1" si="280"/>
        <v>0</v>
      </c>
      <c r="BW298" s="115">
        <f t="shared" ca="1" si="281"/>
        <v>121.88249999999924</v>
      </c>
      <c r="BX298" s="164" t="b">
        <f t="shared" ca="1" si="282"/>
        <v>0</v>
      </c>
      <c r="BY298" s="115">
        <f t="shared" ca="1" si="283"/>
        <v>0</v>
      </c>
      <c r="BZ298" s="115">
        <f>IF(OR(模拟模式!$P$16="10人团",模拟模式!$P$16="25人团"),IF(B298/30&gt;CA297,1,0),0)</f>
        <v>0</v>
      </c>
      <c r="CA298" s="115">
        <f t="shared" si="259"/>
        <v>0</v>
      </c>
      <c r="CB298" s="115">
        <f ca="1">IF(BZ298=1,IF(模拟模式!$P$16="10人团",15,0)+IF(模拟模式!$P$16="25人团",IF(RAND()&lt;0.6,15,0)),MAX(0,CB297-$F$4))</f>
        <v>0</v>
      </c>
      <c r="CC298" s="115" t="b">
        <f t="shared" ca="1" si="251"/>
        <v>0</v>
      </c>
      <c r="CD298" s="115">
        <f>IF(模拟模式!$Q$16="1个",IF(B298/40&gt;CE297,1,0),0)</f>
        <v>0</v>
      </c>
      <c r="CE298" s="115">
        <f t="shared" si="252"/>
        <v>0</v>
      </c>
      <c r="CF298" s="115">
        <f>IF(OR(CD298=1,模拟模式!$Q$16="2个"),20,MAX(0,CF297-$F$4))</f>
        <v>0</v>
      </c>
      <c r="CG298" s="115" t="b">
        <f t="shared" si="253"/>
        <v>0</v>
      </c>
      <c r="CH298" s="115">
        <f t="shared" ca="1" si="284"/>
        <v>17.085000000000008</v>
      </c>
      <c r="CI298" s="115" t="b">
        <f t="shared" ca="1" si="285"/>
        <v>0</v>
      </c>
      <c r="CJ298" s="119">
        <f t="shared" ca="1" si="286"/>
        <v>0</v>
      </c>
      <c r="CK298" s="115">
        <f t="shared" ca="1" si="287"/>
        <v>0</v>
      </c>
      <c r="CL298" s="115" t="b">
        <f ca="1">AND(模拟模式!$S$7="驱夷逐法",OR(AND(C298="净世破魔击·月",E297&gt;59),AND(C298="净世破魔击·日",F297&gt;59)))</f>
        <v>0</v>
      </c>
      <c r="CM298" s="115" t="b">
        <f ca="1">OR(CL298,AND(C298="净世破魔击·日",CL297,RAND()&lt;模拟模式!$U$23))</f>
        <v>0</v>
      </c>
      <c r="CN298" s="115" t="b">
        <f ca="1">IF(模拟模式!$M$7="辉耀红尘",AND(C298="净世破魔击·月",CL298,CV298=0,E297&lt;80),AND(C298="净世破魔击·月",CL298,E297&lt;100))</f>
        <v>0</v>
      </c>
      <c r="CO298" s="115" t="b">
        <f t="shared" ca="1" si="260"/>
        <v>0</v>
      </c>
      <c r="CP298" s="115" t="b">
        <f ca="1">AND(模拟模式!$O$7="用晦而明",OR(C298="净世破魔击·日",C298="净世破魔击·月",C298="驱夜断愁"),AB298)</f>
        <v>1</v>
      </c>
      <c r="CQ298" s="115" t="b">
        <f ca="1">OR(CP298,AND(CP297,RAND()&lt;模拟模式!$U$23))</f>
        <v>1</v>
      </c>
      <c r="CR298" s="115" t="b">
        <f ca="1">AND(模拟模式!$S$7="日月齐光",OR(C298="幽月轮1",C298="幽月轮2",C298="幽月轮3",CR297),NOT(OR(C298="赤日轮1",C298="赤日轮2",C298="赤日轮3")))</f>
        <v>0</v>
      </c>
      <c r="CS298" s="115" t="b">
        <f ca="1">AND(模拟模式!$S$7="日月齐光",OR(C298="赤日轮1",C298="赤日轮2",C298="赤日轮3",CS297),NOT(OR(C298="幽月轮1",C298="幽月轮2",C298="幽月轮3")))</f>
        <v>0</v>
      </c>
      <c r="CT298" s="115">
        <f t="shared" ca="1" si="288"/>
        <v>26.310000000000002</v>
      </c>
      <c r="CU298" s="115" t="b">
        <f ca="1">AND(模拟模式!$K$10="阴阳往极",CT297=0,RAND()&lt;IF(C298="净世破魔击·月",0.0275*7/3,IF(C298="净世破魔击·日",0.0275*3/3,0.0275*2/3)))</f>
        <v>0</v>
      </c>
      <c r="CV298" s="115">
        <f t="shared" ca="1" si="289"/>
        <v>0.38750000000000007</v>
      </c>
      <c r="CW298" s="115">
        <f t="shared" ca="1" si="261"/>
        <v>0</v>
      </c>
      <c r="CX298" s="115">
        <f t="shared" ca="1" si="262"/>
        <v>0</v>
      </c>
      <c r="CY298" s="115">
        <f ca="1">MAX(IF($C298="驱夜断愁",IF(模拟模式!$R$7="万念俱寂",6,45),CY297-$F$4),0)</f>
        <v>0</v>
      </c>
      <c r="CZ298" s="115">
        <f t="shared" ca="1" si="263"/>
        <v>0</v>
      </c>
      <c r="DA298" s="115">
        <f ca="1">IF(模拟模式!$N$7="日月同辉",IF(DB297=2,0,MIN(6,IF(AND(OR(C298="赤日轮1",C298="赤日轮2",C298="赤日轮3",C298="幽月轮1",C298="幽月轮2",C298="幽月轮3"),AB298=1),DA297+1,DA297))),0)</f>
        <v>0</v>
      </c>
      <c r="DB298" s="115">
        <f t="shared" ca="1" si="264"/>
        <v>0</v>
      </c>
      <c r="DC298" s="115"/>
      <c r="DD298" s="115"/>
      <c r="DE298" s="115"/>
      <c r="DF298" s="115"/>
      <c r="DG298" s="115"/>
      <c r="DH298" s="115"/>
      <c r="DI298" s="115"/>
      <c r="DJ298" s="115"/>
      <c r="DK298" s="115"/>
      <c r="DL298" s="115"/>
      <c r="DM298" s="115"/>
    </row>
    <row r="299" spans="2:117" x14ac:dyDescent="0.2">
      <c r="B299" s="117">
        <f t="shared" si="265"/>
        <v>250.92000000000175</v>
      </c>
      <c r="C299" s="167" t="str">
        <f t="shared" ca="1" si="258"/>
        <v>净世破魔击·日</v>
      </c>
      <c r="D299" s="115">
        <f ca="1">IF(C299="赤日轮1",1,IF(C299="赤日轮2",2,IF(C299="赤日轮3",3,IF(C299="幽月轮1",4,IF(C299="幽月轮2",5,IF(C299="幽月轮3",6,IF(C299="烈日斩",7,IF(C299="银月斩",8,IF(C299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299="净世破魔击·月",17,IF(C299="驱夜断愁",18,0)))))))))))</f>
        <v>9</v>
      </c>
      <c r="E299" s="115">
        <f ca="1">IF(AND(CU299,OR(C299="幽月轮1",C299="幽月轮2",C299="幽月轮3",C299="银月斩",C299="驱夜断愁",C299="净世破魔击·月")),100,MIN(IF(OR(CN299,BE299),0,IF(OR($C299="赤日轮1",$C299="赤日轮2",$C299="赤日轮3"),E298+20+IF(模拟模式!$I$7="日月凌天",4,0)+IF(CR298,20,0),IF($C299="烈日斩",E298+40,IF($C299="驱夜断愁",IF(模拟模式!$R$7="万念俱寂",E298+20,E298+60),IF($C299="净世破魔击·月",IF(OR(DB298&gt;0,CV298&gt;0),100,IF(模拟模式!$M$7="辉耀红尘",E298+20,E298)),IF($C299="净世破魔击·日",E298-100,E298)))))),100))</f>
        <v>0</v>
      </c>
      <c r="F299" s="115">
        <f ca="1">IF(AND(CU299,OR(C299="赤日轮1",C299="赤日轮2",C299="赤日轮3",C299="烈日斩",C299="净世破魔击·日")),100,MIN(IF(CO299,0,IF(OR($C299="幽月轮1",$C299="幽月轮2",$C299="幽月轮3"),F298+20+IF(模拟模式!$I$7="日月凌天",4,0)+IF(CS298,20,0),IF($C299="银月斩",F298+40+IF(模拟模式!$X$12=1,5,0),IF($C299="驱夜断愁",IF(模拟模式!$R$7="万念俱寂",F298+20,F298+60),IF($C299="净世破魔击·月",IF(模拟模式!$M$7="辉耀红尘",F298-80,F298-100),IF(AND(C299="净世破魔击·日",OR(DB298&gt;0,CV298&gt;0)),100,F298)))))),100))</f>
        <v>100</v>
      </c>
      <c r="G299" s="117">
        <f ca="1">('模拟-全程加成'!$E$3+'模拟-全程加成'!$E$4+'模拟-全程加成'!$E$5+('模拟-全程加成'!$C$6-'模拟-全程加成'!$C$3)*系数!$B$9+BS299*23)*(1+'模拟-全程加成'!$F$4+'模拟-全程加成'!$F$5+BJ299*10%+BM299*20%+BP299*4%+CG299*30%)+$F$7*系数!$B$12</f>
        <v>20583.127400000001</v>
      </c>
      <c r="H299" s="45">
        <f ca="1">'模拟-全程加成'!$H$3+'模拟-全程加成'!$H$4+'模拟-全程加成'!$H$5+('模拟-全程加成'!$G$4+'模拟-全程加成'!$G$5+('模拟-全程加成'!$C$6-'模拟-全程加成'!$C$3)*系数!$B$13)/系数!$B$3+LOOKUP(D299,'模拟-单技能数据'!$A$2:$A$19,'模拟-单技能数据'!$K$2:$K$19)+BG299*10%+IF(BV299&gt;0,378,0)</f>
        <v>0.54185145527300216</v>
      </c>
      <c r="I299" s="45">
        <f ca="1">'模拟-全程加成'!$J$3+'模拟-全程加成'!$J$4+'模拟-全程加成'!$J$5+('模拟-全程加成'!$I$4+'模拟-全程加成'!$I$5)/系数!$B$4+LOOKUP(D299,'模拟-单技能数据'!$A$2:$A$19,'模拟-单技能数据'!$L$2:$L$19)+BG299*10%</f>
        <v>2.162482885499879</v>
      </c>
      <c r="J299" s="45">
        <f ca="1">(('模拟-全程加成'!$K$3+'模拟-全程加成'!$K$4+'模拟-全程加成'!$K$5+('模拟-全程加成'!$C$6-'模拟-全程加成'!$C$3)*系数!$B$10+IF(BV299&gt;0,882,0)+IF(BY299&gt;0,1831,0))*(1+'模拟-全程加成'!$L$4+'模拟-全程加成'!$L$5+CC299*20%))/系数!$B$5</f>
        <v>0.69723220422048726</v>
      </c>
      <c r="K299" s="119">
        <f ca="1">LOOKUP(D299,'模拟-单技能数据'!$A$2:$A$19,'模拟-单技能数据'!$J$2:$J$19)+IF(CM299,60%,0)+IF(DB298-DB299&gt;0,30%,0)+IF(OR(AND(OR(C299="赤日轮1",C299="赤日轮2",C299="赤日轮3"),CR299),AND(OR(C299="幽月轮1",C299="幽月轮2",C299="幽月轮3"),CS299)),35%,0)+CJ299</f>
        <v>0.2</v>
      </c>
      <c r="L299" s="119">
        <f ca="1">IF(AND(C299="烈日斩",模拟模式!$X$11=1),10%,0)+IF(AND(C299="驱夜断愁",AB299=1),30%,0)</f>
        <v>0</v>
      </c>
      <c r="M299" s="45">
        <f t="shared" ca="1" si="241"/>
        <v>0.54185145527300216</v>
      </c>
      <c r="N299" s="45">
        <f t="shared" ca="1" si="242"/>
        <v>0.40424854472699789</v>
      </c>
      <c r="O299" s="46">
        <f t="shared" ca="1" si="266"/>
        <v>0.57684260832346068</v>
      </c>
      <c r="P299" s="46" t="str">
        <f t="shared" ca="1" si="267"/>
        <v>会</v>
      </c>
      <c r="Q299" s="45">
        <f t="shared" ca="1" si="268"/>
        <v>2.162482885499879</v>
      </c>
      <c r="R299" s="117">
        <f ca="1">模拟模式!$E$20*(1-IF(模拟模式!$J$19="有",0.15,0))*(1-IF(模拟模式!$K$19="有",0.3,0)-IF(CQ299,0.5,0))</f>
        <v>843.02999999999975</v>
      </c>
      <c r="S299" s="45">
        <f ca="1">R299/(R299+(185*模拟模式!$E$22-16800)*4.08224)</f>
        <v>8.389626085980037E-2</v>
      </c>
      <c r="T299" s="45" t="str">
        <f ca="1">LOOKUP(D299,'模拟-单技能数据'!$A$2:$A$19,'模拟-单技能数据'!$H$2:$H$19)</f>
        <v>阳</v>
      </c>
      <c r="U299" s="119">
        <f t="shared" ca="1" si="243"/>
        <v>0.2</v>
      </c>
      <c r="V299" s="47">
        <f ca="1">(1+L299)*(LOOKUP(D299,'模拟-单技能数据'!$A$2:$A$19,'模拟-单技能数据'!$D$2:$D$19)+G299*LOOKUP(D299,'模拟-单技能数据'!$A$2:$A$19,'模拟-单技能数据'!$F$2:$F$19))*(1+J299)*(1+K299)*(1-S299)*(1+U299)*Q299*LOOKUP(D299,'模拟-单技能数据'!$A$2:$A$19,'模拟-单技能数据'!$I$2:$I$20)</f>
        <v>130610.54325777861</v>
      </c>
      <c r="W299" s="47">
        <f ca="1">LOOKUP(D299,'模拟-单技能数据'!$A$2:$A$19,'模拟-单技能数据'!$G$2:$G$19)*$I$10</f>
        <v>723.0212870940959</v>
      </c>
      <c r="X299" s="47">
        <f t="shared" ca="1" si="269"/>
        <v>29474.113140456007</v>
      </c>
      <c r="Y299" s="47">
        <f t="shared" ca="1" si="244"/>
        <v>160807.6776853287</v>
      </c>
      <c r="Z299" s="49">
        <f t="shared" ca="1" si="245"/>
        <v>28779477.272532079</v>
      </c>
      <c r="AA299" s="97">
        <f t="shared" ca="1" si="246"/>
        <v>114695.82844146293</v>
      </c>
      <c r="AB299" s="115">
        <f ca="1">IF(OR(C299="赤日轮1",C299="赤日轮2",C299="赤日轮3"),IF(RAND()&lt;模拟模式!$Y$17,1,0),IF(OR(C299="幽月轮1",C299="幽月轮2",C299="幽月轮3"),IF(RAND()&lt;模拟模式!$Y$18,1,0),IF(C299="烈日斩",IF(RAND()&lt;模拟模式!$Y$19,1,0),IF(C299="银月斩",IF(RAND()&lt;模拟模式!$Y$20,1,0),IF(C299="驱夜断愁",IF(RAND()&lt;模拟模式!$Y$21,1,0),IF(C299="净世破魔击·日",IF(RAND()&lt;模拟模式!$Y$22,1,0),IF(C299="净世破魔击·月",IF(RAND()&lt;模拟模式!$Y$23,1,0),0)))))))</f>
        <v>1</v>
      </c>
      <c r="AC299" s="115" t="b">
        <f t="shared" ca="1" si="234"/>
        <v>0</v>
      </c>
      <c r="AD299" s="115" t="b">
        <f t="shared" ca="1" si="254"/>
        <v>0</v>
      </c>
      <c r="AE299" s="115">
        <f t="shared" ca="1" si="255"/>
        <v>0</v>
      </c>
      <c r="AF299" s="47">
        <f ca="1">IF(AC299,('模拟-单技能数据'!$D$20+G299*'模拟-单技能数据'!$F$20)*(1+J299)*(1+'模拟-单技能数据'!$J$20)*(1+U299),0)</f>
        <v>0</v>
      </c>
      <c r="AG299" s="61">
        <f t="shared" ca="1" si="247"/>
        <v>0.64185145527300214</v>
      </c>
      <c r="AH299" s="61">
        <f t="shared" ca="1" si="248"/>
        <v>2.2624828854998791</v>
      </c>
      <c r="AI299" s="62">
        <f t="shared" ca="1" si="270"/>
        <v>0.27725560705272678</v>
      </c>
      <c r="AJ299" s="47">
        <f ca="1">IF(AD299,IF(AI299&lt;$F$10,0,IF(AI299&lt;$F$10+$F$11,0.25,IF(AI299&lt;$F$10+$F$11+AG299,AH299,1)))*IF(AF299&gt;0,AF299,IF(AF298&gt;0,AF298,IF(AF297&gt;0,AF297,IF(AF296&gt;0,AF296,IF(AF295&gt;0,AF295,IF(AF294&gt;0,AF294,IF(AF293&gt;0,AF293,IF(AF292&gt;0,AF292,IF(AF291&gt;0,AF291,IF(AF289&gt;0,AF289,IF(AF288&gt;0,AF288,IF(AF287&gt;0,AF287,0)))))))))))),0)*(1-$S299)*'模拟-单技能数据'!$I$20</f>
        <v>0</v>
      </c>
      <c r="AK299" s="115" t="b">
        <f t="shared" ca="1" si="235"/>
        <v>1</v>
      </c>
      <c r="AL299" s="115" t="b">
        <f t="shared" ca="1" si="256"/>
        <v>1</v>
      </c>
      <c r="AM299" s="115">
        <f t="shared" ca="1" si="257"/>
        <v>5</v>
      </c>
      <c r="AN299" s="47">
        <f ca="1">IF(AK299,('模拟-单技能数据'!$D$21+G299*'模拟-单技能数据'!$F$21)*(1+J299)*(1+'模拟-单技能数据'!$J$21)*(1+U299),0)</f>
        <v>12136.56601728573</v>
      </c>
      <c r="AO299" s="61">
        <f ca="1">IF(AN299&gt;0,M299-'模拟-单技能数据'!$K$10,AO298)</f>
        <v>0.42185145527300216</v>
      </c>
      <c r="AP299" s="61">
        <f ca="1">IF(AN299&gt;0,I299-'模拟-单技能数据'!$L$10,AP298)</f>
        <v>2.162482885499879</v>
      </c>
      <c r="AQ299" s="63">
        <f t="shared" ca="1" si="271"/>
        <v>0.90312836418821496</v>
      </c>
      <c r="AR299" s="64">
        <f ca="1">IF(AL299,IF(AQ299&lt;$F$10,0,IF(AQ299&lt;$F$10+$F$11,0.25,IF(AQ299&lt;$F$10+$F$11+AO299,AP299,1)))*IF(AN299&gt;0,AN299,IF(AN298&gt;0,AN298,IF(AN297&gt;0,AN297,IF(AN296&gt;0,AN296,IF(AN295&gt;0,AN295,IF(AN294&gt;0,AN294,IF(AN293&gt;0,AN293,IF(AN292&gt;0,AN292,IF(AN291&gt;0,AN291,IF(AN289&gt;0,AN289,IF(AN288&gt;0,AN288,IF(AN287&gt;0,AN287,0)))))))))))),0)*(1-$S299)*'模拟-单技能数据'!$I$21</f>
        <v>11118.353508757338</v>
      </c>
      <c r="AS299" s="61">
        <f ca="1">IF(OR(C299="净世破魔击·日",C299="净世破魔击·月"),M299-'模拟-单技能数据'!$K$10,0)</f>
        <v>0.42185145527300216</v>
      </c>
      <c r="AT299" s="61">
        <f ca="1">IF(OR(C299="净世破魔击·日",C299="净世破魔击·月"),I299-'模拟-单技能数据'!$L$10,0)</f>
        <v>2.162482885499879</v>
      </c>
      <c r="AU299" s="62">
        <f t="shared" ca="1" si="272"/>
        <v>0.43563183599938238</v>
      </c>
      <c r="AV299" s="64">
        <f ca="1">IF(AS299&gt;0,('模拟-单技能数据'!$D$22+G299*'模拟-单技能数据'!$F$22)*(1+J299)*(1-S299)*IF(AU299&lt;$F$10,0,IF(AU299&lt;$F$10+$F$11,0.25,IF(AU299&lt;$F$10+$F$11+AS299,AT299,1)))*(1+U299),0)*'模拟-单技能数据'!$I$22</f>
        <v>18355.759631698667</v>
      </c>
      <c r="AW299" s="108">
        <f t="shared" ca="1" si="273"/>
        <v>6.1625000000000068</v>
      </c>
      <c r="AX299" s="108" t="b">
        <f ca="1">AND(模拟模式!$P$10="有",AW298=0,RAND()&lt;IF(C299="净世破魔击·月",0.1*8/3,IF(C299="净世破魔击·日",0.1*4/3,0.1*2/3)))</f>
        <v>0</v>
      </c>
      <c r="AY299" s="47">
        <f ca="1">IF(AX299,(18+G299*0.722)*(1+J299)*(1-S299)*(1+$I$4)*IF(P299="会",'模拟-全程加成'!$J$3+'模拟-全程加成'!$J$4+'模拟-全程加成'!$J$5+('模拟-全程加成'!$I$4+'模拟-全程加成'!$I$5)/系数!$B$4+BG299*10%,IF(P299="命",1,IF(P299="识",0.25,0))),0)</f>
        <v>0</v>
      </c>
      <c r="AZ299" s="108">
        <f t="shared" si="274"/>
        <v>12.620000000000005</v>
      </c>
      <c r="BA299" s="108" t="b">
        <f>AND(模拟模式!$Q$10="有",AZ298=0)</f>
        <v>0</v>
      </c>
      <c r="BB299" s="140">
        <f>IF(BA299,(0+G299*0.287)*(1+J299)*(1-S299)*(1+$I$4)*IF(P299="会",'模拟-全程加成'!$J$3+'模拟-全程加成'!$J$4+'模拟-全程加成'!$J$5+('模拟-全程加成'!$I$4+'模拟-全程加成'!$I$5)/系数!$B$4+BG299*10%,IF(P299="命",1,IF(P299="识",0.25,0))),0)</f>
        <v>0</v>
      </c>
      <c r="BC299" s="115" t="b">
        <f ca="1">AND(模拟模式!$R$7="伏明众生",E299=60,F299=20,DA299&lt;5,CZ298&lt;$F$4)</f>
        <v>0</v>
      </c>
      <c r="BD299" s="115">
        <f t="shared" ca="1" si="236"/>
        <v>0</v>
      </c>
      <c r="BE299" s="115" t="b">
        <f t="shared" ca="1" si="237"/>
        <v>0</v>
      </c>
      <c r="BF299" s="47">
        <f ca="1">IF(BC299,4*('模拟-单技能数据'!$D$24+G299*'模拟-单技能数据'!$F$24)*(1+J299)*(1+'模拟-单技能数据'!$J$24)*(1-S299)*(1+$I$3)*(('模拟-全程加成'!$J$3+'模拟-全程加成'!$J$4+'模拟-全程加成'!$J$5+('模拟-全程加成'!$I$4+'模拟-全程加成'!$I$5)/系数!$B$4+BG299*10%)*('模拟-全程加成'!$J$3+'模拟-全程加成'!$J$4+'模拟-全程加成'!$J$5+('模拟-全程加成'!$I$4+'模拟-全程加成'!$I$5)/系数!$B$4+BG299*10%)+(1-('模拟-全程加成'!$J$3+'模拟-全程加成'!$J$4+'模拟-全程加成'!$J$5+('模拟-全程加成'!$I$4+'模拟-全程加成'!$I$5)/系数!$B$4+BG299*10%)-$F$10-$F$11)+F285*0.25),0)*'模拟-单技能数据'!$I$24</f>
        <v>0</v>
      </c>
      <c r="BG299" s="115" t="b">
        <f ca="1">OR(AND(OR(C299="烈日斩",C299="银月斩"),模拟模式!$I$7="净身明礼"),AND(C299="净世破魔击·日",模拟模式!$J$7="洞若观火"),AND(C300="净世破魔击·月",模拟模式!$J$7="洞若观火"),AB299=1)</f>
        <v>1</v>
      </c>
      <c r="BH299" s="115" t="b">
        <f t="shared" ca="1" si="275"/>
        <v>0</v>
      </c>
      <c r="BI299" s="115">
        <f t="shared" ca="1" si="238"/>
        <v>0</v>
      </c>
      <c r="BJ299" s="115" t="b">
        <f t="shared" ca="1" si="249"/>
        <v>0</v>
      </c>
      <c r="BK299" s="115" t="b">
        <f ca="1">AND(C299="驱夜断愁",模拟模式!$P$7="天地诛戮")</f>
        <v>0</v>
      </c>
      <c r="BL299" s="57">
        <f t="shared" ca="1" si="239"/>
        <v>10.775000000000006</v>
      </c>
      <c r="BM299" s="115" t="b">
        <f t="shared" ca="1" si="250"/>
        <v>1</v>
      </c>
      <c r="BN299" s="115" t="b">
        <f ca="1">AND(OR(C299="赤日轮1",C299="赤日轮2",C299="赤日轮3",C299="幽月轮1",C299="幽月轮2",C299="幽月轮3"),AB299=1,模拟模式!$L$7="明光恒照")</f>
        <v>0</v>
      </c>
      <c r="BO299" s="117">
        <f t="shared" ca="1" si="240"/>
        <v>22.620000000000005</v>
      </c>
      <c r="BP299" s="115">
        <f t="shared" ca="1" si="276"/>
        <v>6</v>
      </c>
      <c r="BQ299" s="115" t="b">
        <f>模拟模式!$K$10="2600·水"</f>
        <v>0</v>
      </c>
      <c r="BR299" s="117">
        <f t="shared" si="277"/>
        <v>0</v>
      </c>
      <c r="BS299" s="115">
        <f t="shared" si="278"/>
        <v>0</v>
      </c>
      <c r="BT299" s="115">
        <f t="shared" ca="1" si="279"/>
        <v>0</v>
      </c>
      <c r="BU299" s="115" t="b">
        <f ca="1">AND(模拟模式!$K$10="2300·雷",BT298=0,RAND()&lt;IF(C299="净世破魔击·月",5*0.05*2/3,IF(C299="净世破魔击·日",3*0.05*2/3,0.05*2*2/3)))</f>
        <v>0</v>
      </c>
      <c r="BV299" s="115">
        <f t="shared" ca="1" si="280"/>
        <v>0</v>
      </c>
      <c r="BW299" s="115">
        <f t="shared" ca="1" si="281"/>
        <v>120.95999999999924</v>
      </c>
      <c r="BX299" s="164" t="b">
        <f t="shared" ca="1" si="282"/>
        <v>0</v>
      </c>
      <c r="BY299" s="115">
        <f t="shared" ca="1" si="283"/>
        <v>0</v>
      </c>
      <c r="BZ299" s="115">
        <f>IF(OR(模拟模式!$P$16="10人团",模拟模式!$P$16="25人团"),IF(B299/30&gt;CA298,1,0),0)</f>
        <v>0</v>
      </c>
      <c r="CA299" s="115">
        <f t="shared" si="259"/>
        <v>0</v>
      </c>
      <c r="CB299" s="115">
        <f ca="1">IF(BZ299=1,IF(模拟模式!$P$16="10人团",15,0)+IF(模拟模式!$P$16="25人团",IF(RAND()&lt;0.6,15,0)),MAX(0,CB298-$F$4))</f>
        <v>0</v>
      </c>
      <c r="CC299" s="115" t="b">
        <f t="shared" ca="1" si="251"/>
        <v>0</v>
      </c>
      <c r="CD299" s="115">
        <f>IF(模拟模式!$Q$16="1个",IF(B299/40&gt;CE298,1,0),0)</f>
        <v>0</v>
      </c>
      <c r="CE299" s="115">
        <f t="shared" si="252"/>
        <v>0</v>
      </c>
      <c r="CF299" s="115">
        <f>IF(OR(CD299=1,模拟模式!$Q$16="2个"),20,MAX(0,CF298-$F$4))</f>
        <v>0</v>
      </c>
      <c r="CG299" s="115" t="b">
        <f t="shared" si="253"/>
        <v>0</v>
      </c>
      <c r="CH299" s="115">
        <f t="shared" ca="1" si="284"/>
        <v>16.162500000000009</v>
      </c>
      <c r="CI299" s="115" t="b">
        <f t="shared" ca="1" si="285"/>
        <v>0</v>
      </c>
      <c r="CJ299" s="119">
        <f t="shared" ca="1" si="286"/>
        <v>0</v>
      </c>
      <c r="CK299" s="115">
        <f t="shared" ca="1" si="287"/>
        <v>0</v>
      </c>
      <c r="CL299" s="115" t="b">
        <f ca="1">AND(模拟模式!$S$7="驱夷逐法",OR(AND(C299="净世破魔击·月",E298&gt;59),AND(C299="净世破魔击·日",F298&gt;59)))</f>
        <v>0</v>
      </c>
      <c r="CM299" s="115" t="b">
        <f ca="1">OR(CL299,AND(C299="净世破魔击·日",CL298,RAND()&lt;模拟模式!$U$23))</f>
        <v>0</v>
      </c>
      <c r="CN299" s="115" t="b">
        <f ca="1">IF(模拟模式!$M$7="辉耀红尘",AND(C299="净世破魔击·月",CL299,CV299=0,E298&lt;80),AND(C299="净世破魔击·月",CL299,E298&lt;100))</f>
        <v>0</v>
      </c>
      <c r="CO299" s="115" t="b">
        <f t="shared" ca="1" si="260"/>
        <v>0</v>
      </c>
      <c r="CP299" s="115" t="b">
        <f ca="1">AND(模拟模式!$O$7="用晦而明",OR(C299="净世破魔击·日",C299="净世破魔击·月",C299="驱夜断愁"),AB299)</f>
        <v>1</v>
      </c>
      <c r="CQ299" s="115" t="b">
        <f ca="1">OR(CP299,AND(CP298,RAND()&lt;模拟模式!$U$23))</f>
        <v>1</v>
      </c>
      <c r="CR299" s="115" t="b">
        <f ca="1">AND(模拟模式!$S$7="日月齐光",OR(C299="幽月轮1",C299="幽月轮2",C299="幽月轮3",CR298),NOT(OR(C299="赤日轮1",C299="赤日轮2",C299="赤日轮3")))</f>
        <v>0</v>
      </c>
      <c r="CS299" s="115" t="b">
        <f ca="1">AND(模拟模式!$S$7="日月齐光",OR(C299="赤日轮1",C299="赤日轮2",C299="赤日轮3",CS298),NOT(OR(C299="幽月轮1",C299="幽月轮2",C299="幽月轮3")))</f>
        <v>0</v>
      </c>
      <c r="CT299" s="115">
        <f t="shared" ca="1" si="288"/>
        <v>25.387500000000003</v>
      </c>
      <c r="CU299" s="115" t="b">
        <f ca="1">AND(模拟模式!$K$10="阴阳往极",CT298=0,RAND()&lt;IF(C299="净世破魔击·月",0.0275*7/3,IF(C299="净世破魔击·日",0.0275*3/3,0.0275*2/3)))</f>
        <v>0</v>
      </c>
      <c r="CV299" s="115">
        <f t="shared" ca="1" si="289"/>
        <v>0</v>
      </c>
      <c r="CW299" s="115">
        <f t="shared" ca="1" si="261"/>
        <v>0</v>
      </c>
      <c r="CX299" s="115">
        <f t="shared" ca="1" si="262"/>
        <v>0</v>
      </c>
      <c r="CY299" s="115">
        <f ca="1">MAX(IF($C299="驱夜断愁",IF(模拟模式!$R$7="万念俱寂",6,45),CY298-$F$4),0)</f>
        <v>0</v>
      </c>
      <c r="CZ299" s="115">
        <f t="shared" ca="1" si="263"/>
        <v>0</v>
      </c>
      <c r="DA299" s="115">
        <f ca="1">IF(模拟模式!$N$7="日月同辉",IF(DB298=2,0,MIN(6,IF(AND(OR(C299="赤日轮1",C299="赤日轮2",C299="赤日轮3",C299="幽月轮1",C299="幽月轮2",C299="幽月轮3"),AB299=1),DA298+1,DA298))),0)</f>
        <v>0</v>
      </c>
      <c r="DB299" s="115">
        <f t="shared" ca="1" si="264"/>
        <v>0</v>
      </c>
      <c r="DC299" s="115"/>
      <c r="DD299" s="115"/>
      <c r="DE299" s="115"/>
      <c r="DF299" s="115"/>
      <c r="DG299" s="115"/>
      <c r="DH299" s="115"/>
      <c r="DI299" s="115"/>
      <c r="DJ299" s="115"/>
      <c r="DK299" s="115"/>
      <c r="DL299" s="115"/>
      <c r="DM299" s="115"/>
    </row>
    <row r="300" spans="2:117" x14ac:dyDescent="0.2">
      <c r="B300" s="117">
        <f t="shared" si="265"/>
        <v>251.84250000000176</v>
      </c>
      <c r="C300" s="167" t="str">
        <f t="shared" ca="1" si="258"/>
        <v>净世破魔击·月</v>
      </c>
      <c r="D300" s="115">
        <f ca="1">IF(C300="赤日轮1",1,IF(C300="赤日轮2",2,IF(C300="赤日轮3",3,IF(C300="幽月轮1",4,IF(C300="幽月轮2",5,IF(C300="幽月轮3",6,IF(C300="烈日斩",7,IF(C300="银月斩",8,IF(C300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300="净世破魔击·月",17,IF(C300="驱夜断愁",18,0)))))))))))</f>
        <v>17</v>
      </c>
      <c r="E300" s="115">
        <f ca="1">IF(AND(CU300,OR(C300="幽月轮1",C300="幽月轮2",C300="幽月轮3",C300="银月斩",C300="驱夜断愁",C300="净世破魔击·月")),100,MIN(IF(OR(CN300,BE300),0,IF(OR($C300="赤日轮1",$C300="赤日轮2",$C300="赤日轮3"),E299+20+IF(模拟模式!$I$7="日月凌天",4,0)+IF(CR299,20,0),IF($C300="烈日斩",E299+40,IF($C300="驱夜断愁",IF(模拟模式!$R$7="万念俱寂",E299+20,E299+60),IF($C300="净世破魔击·月",IF(OR(DB299&gt;0,CV299&gt;0),100,IF(模拟模式!$M$7="辉耀红尘",E299+20,E299)),IF($C300="净世破魔击·日",E299-100,E299)))))),100))</f>
        <v>20</v>
      </c>
      <c r="F300" s="115">
        <f ca="1">IF(AND(CU300,OR(C300="赤日轮1",C300="赤日轮2",C300="赤日轮3",C300="烈日斩",C300="净世破魔击·日")),100,MIN(IF(CO300,0,IF(OR($C300="幽月轮1",$C300="幽月轮2",$C300="幽月轮3"),F299+20+IF(模拟模式!$I$7="日月凌天",4,0)+IF(CS299,20,0),IF($C300="银月斩",F299+40+IF(模拟模式!$X$12=1,5,0),IF($C300="驱夜断愁",IF(模拟模式!$R$7="万念俱寂",F299+20,F299+60),IF($C300="净世破魔击·月",IF(模拟模式!$M$7="辉耀红尘",F299-80,F299-100),IF(AND(C300="净世破魔击·日",OR(DB299&gt;0,CV299&gt;0)),100,F299)))))),100))</f>
        <v>20</v>
      </c>
      <c r="G300" s="117">
        <f ca="1">('模拟-全程加成'!$E$3+'模拟-全程加成'!$E$4+'模拟-全程加成'!$E$5+('模拟-全程加成'!$C$6-'模拟-全程加成'!$C$3)*系数!$B$9+BS300*23)*(1+'模拟-全程加成'!$F$4+'模拟-全程加成'!$F$5+BJ300*10%+BM300*20%+BP300*4%+CG300*30%)+$F$7*系数!$B$12</f>
        <v>20583.127400000001</v>
      </c>
      <c r="H300" s="45">
        <f ca="1">'模拟-全程加成'!$H$3+'模拟-全程加成'!$H$4+'模拟-全程加成'!$H$5+('模拟-全程加成'!$G$4+'模拟-全程加成'!$G$5+('模拟-全程加成'!$C$6-'模拟-全程加成'!$C$3)*系数!$B$13)/系数!$B$3+LOOKUP(D300,'模拟-单技能数据'!$A$2:$A$19,'模拟-单技能数据'!$K$2:$K$19)+BG300*10%+IF(BV300&gt;0,378,0)</f>
        <v>0.54185145527300216</v>
      </c>
      <c r="I300" s="45">
        <f ca="1">'模拟-全程加成'!$J$3+'模拟-全程加成'!$J$4+'模拟-全程加成'!$J$5+('模拟-全程加成'!$I$4+'模拟-全程加成'!$I$5)/系数!$B$4+LOOKUP(D300,'模拟-单技能数据'!$A$2:$A$19,'模拟-单技能数据'!$L$2:$L$19)+BG300*10%</f>
        <v>2.162482885499879</v>
      </c>
      <c r="J300" s="45">
        <f ca="1">(('模拟-全程加成'!$K$3+'模拟-全程加成'!$K$4+'模拟-全程加成'!$K$5+('模拟-全程加成'!$C$6-'模拟-全程加成'!$C$3)*系数!$B$10+IF(BV300&gt;0,882,0)+IF(BY300&gt;0,1831,0))*(1+'模拟-全程加成'!$L$4+'模拟-全程加成'!$L$5+CC300*20%))/系数!$B$5</f>
        <v>0.69723220422048726</v>
      </c>
      <c r="K300" s="119">
        <f ca="1">LOOKUP(D300,'模拟-单技能数据'!$A$2:$A$19,'模拟-单技能数据'!$J$2:$J$19)+IF(CM300,60%,0)+IF(DB299-DB300&gt;0,30%,0)+IF(OR(AND(OR(C300="赤日轮1",C300="赤日轮2",C300="赤日轮3"),CR300),AND(OR(C300="幽月轮1",C300="幽月轮2",C300="幽月轮3"),CS300)),35%,0)+CJ300</f>
        <v>0.2</v>
      </c>
      <c r="L300" s="119">
        <f ca="1">IF(AND(C300="烈日斩",模拟模式!$X$11=1),10%,0)+IF(AND(C300="驱夜断愁",AB300=1),30%,0)</f>
        <v>0</v>
      </c>
      <c r="M300" s="45">
        <f t="shared" ca="1" si="241"/>
        <v>0.54185145527300216</v>
      </c>
      <c r="N300" s="45">
        <f t="shared" ca="1" si="242"/>
        <v>0.40424854472699789</v>
      </c>
      <c r="O300" s="46">
        <f t="shared" ca="1" si="266"/>
        <v>6.2027241498203489E-2</v>
      </c>
      <c r="P300" s="46" t="str">
        <f t="shared" ca="1" si="267"/>
        <v>会</v>
      </c>
      <c r="Q300" s="45">
        <f t="shared" ca="1" si="268"/>
        <v>2.162482885499879</v>
      </c>
      <c r="R300" s="117">
        <f ca="1">模拟模式!$E$20*(1-IF(模拟模式!$J$19="有",0.15,0))*(1-IF(模拟模式!$K$19="有",0.3,0)-IF(CQ300,0.5,0))</f>
        <v>843.02999999999975</v>
      </c>
      <c r="S300" s="45">
        <f ca="1">R300/(R300+(185*模拟模式!$E$22-16800)*4.08224)</f>
        <v>8.389626085980037E-2</v>
      </c>
      <c r="T300" s="45" t="str">
        <f ca="1">LOOKUP(D300,'模拟-单技能数据'!$A$2:$A$19,'模拟-单技能数据'!$H$2:$H$19)</f>
        <v>阴</v>
      </c>
      <c r="U300" s="119">
        <f t="shared" ca="1" si="243"/>
        <v>0.08</v>
      </c>
      <c r="V300" s="47">
        <f ca="1">(1+L300)*(LOOKUP(D300,'模拟-单技能数据'!$A$2:$A$19,'模拟-单技能数据'!$D$2:$D$19)+G300*LOOKUP(D300,'模拟-单技能数据'!$A$2:$A$19,'模拟-单技能数据'!$F$2:$F$19))*(1+J300)*(1+K300)*(1-S300)*(1+U300)*Q300*LOOKUP(D300,'模拟-单技能数据'!$A$2:$A$19,'模拟-单技能数据'!$I$2:$I$20)</f>
        <v>116578.90677476654</v>
      </c>
      <c r="W300" s="47">
        <f ca="1">LOOKUP(D300,'模拟-单技能数据'!$A$2:$A$19,'模拟-单技能数据'!$G$2:$G$19)*$I$10</f>
        <v>361.51064354704795</v>
      </c>
      <c r="X300" s="47">
        <f t="shared" ca="1" si="269"/>
        <v>16520.1836685288</v>
      </c>
      <c r="Y300" s="47">
        <f t="shared" ca="1" si="244"/>
        <v>133460.60108684239</v>
      </c>
      <c r="Z300" s="49">
        <f t="shared" ca="1" si="245"/>
        <v>28912937.873618923</v>
      </c>
      <c r="AA300" s="97">
        <f t="shared" ca="1" si="246"/>
        <v>114805.63397210051</v>
      </c>
      <c r="AB300" s="115">
        <f ca="1">IF(OR(C300="赤日轮1",C300="赤日轮2",C300="赤日轮3"),IF(RAND()&lt;模拟模式!$Y$17,1,0),IF(OR(C300="幽月轮1",C300="幽月轮2",C300="幽月轮3"),IF(RAND()&lt;模拟模式!$Y$18,1,0),IF(C300="烈日斩",IF(RAND()&lt;模拟模式!$Y$19,1,0),IF(C300="银月斩",IF(RAND()&lt;模拟模式!$Y$20,1,0),IF(C300="驱夜断愁",IF(RAND()&lt;模拟模式!$Y$21,1,0),IF(C300="净世破魔击·日",IF(RAND()&lt;模拟模式!$Y$22,1,0),IF(C300="净世破魔击·月",IF(RAND()&lt;模拟模式!$Y$23,1,0),0)))))))</f>
        <v>1</v>
      </c>
      <c r="AC300" s="115" t="b">
        <f t="shared" ca="1" si="234"/>
        <v>0</v>
      </c>
      <c r="AD300" s="115" t="b">
        <f t="shared" ca="1" si="254"/>
        <v>0</v>
      </c>
      <c r="AE300" s="115">
        <f t="shared" ca="1" si="255"/>
        <v>0</v>
      </c>
      <c r="AF300" s="47">
        <f ca="1">IF(AC300,('模拟-单技能数据'!$D$20+G300*'模拟-单技能数据'!$F$20)*(1+J300)*(1+'模拟-单技能数据'!$J$20)*(1+U300),0)</f>
        <v>0</v>
      </c>
      <c r="AG300" s="61">
        <f t="shared" ca="1" si="247"/>
        <v>0.64185145527300214</v>
      </c>
      <c r="AH300" s="61">
        <f t="shared" ca="1" si="248"/>
        <v>2.2624828854998791</v>
      </c>
      <c r="AI300" s="62">
        <f t="shared" ca="1" si="270"/>
        <v>0.85548330871447165</v>
      </c>
      <c r="AJ300" s="47">
        <f ca="1">IF(AD300,IF(AI300&lt;$F$10,0,IF(AI300&lt;$F$10+$F$11,0.25,IF(AI300&lt;$F$10+$F$11+AG300,AH300,1)))*IF(AF300&gt;0,AF300,IF(AF299&gt;0,AF299,IF(AF298&gt;0,AF298,IF(AF297&gt;0,AF297,IF(AF296&gt;0,AF296,IF(AF295&gt;0,AF295,IF(AF294&gt;0,AF294,IF(AF293&gt;0,AF293,IF(AF292&gt;0,AF292,IF(AF290&gt;0,AF290,IF(AF289&gt;0,AF289,IF(AF288&gt;0,AF288,0)))))))))))),0)*(1-$S300)*'模拟-单技能数据'!$I$20</f>
        <v>0</v>
      </c>
      <c r="AK300" s="115" t="b">
        <f t="shared" ca="1" si="235"/>
        <v>0</v>
      </c>
      <c r="AL300" s="115" t="b">
        <f t="shared" ca="1" si="256"/>
        <v>0</v>
      </c>
      <c r="AM300" s="115">
        <f t="shared" ca="1" si="257"/>
        <v>5</v>
      </c>
      <c r="AN300" s="47">
        <f ca="1">IF(AK300,('模拟-单技能数据'!$D$21+G300*'模拟-单技能数据'!$F$21)*(1+J300)*(1+'模拟-单技能数据'!$J$21)*(1+U300),0)</f>
        <v>0</v>
      </c>
      <c r="AO300" s="61">
        <f ca="1">IF(AN300&gt;0,M300-'模拟-单技能数据'!$K$10,AO299)</f>
        <v>0.42185145527300216</v>
      </c>
      <c r="AP300" s="61">
        <f ca="1">IF(AN300&gt;0,I300-'模拟-单技能数据'!$L$10,AP299)</f>
        <v>2.162482885499879</v>
      </c>
      <c r="AQ300" s="63">
        <f t="shared" ca="1" si="271"/>
        <v>8.9047213417303039E-2</v>
      </c>
      <c r="AR300" s="64">
        <f ca="1">IF(AL300,IF(AQ300&lt;$F$10,0,IF(AQ300&lt;$F$10+$F$11,0.25,IF(AQ300&lt;$F$10+$F$11+AO300,AP300,1)))*IF(AN300&gt;0,AN300,IF(AN299&gt;0,AN299,IF(AN298&gt;0,AN298,IF(AN297&gt;0,AN297,IF(AN296&gt;0,AN296,IF(AN295&gt;0,AN295,IF(AN294&gt;0,AN294,IF(AN293&gt;0,AN293,IF(AN292&gt;0,AN292,IF(AN290&gt;0,AN290,IF(AN289&gt;0,AN289,IF(AN288&gt;0,AN288,0)))))))))))),0)*(1-$S300)*'模拟-单技能数据'!$I$21</f>
        <v>0</v>
      </c>
      <c r="AS300" s="61">
        <f ca="1">IF(OR(C300="净世破魔击·日",C300="净世破魔击·月"),M300-'模拟-单技能数据'!$K$10,0)</f>
        <v>0.42185145527300216</v>
      </c>
      <c r="AT300" s="61">
        <f ca="1">IF(OR(C300="净世破魔击·日",C300="净世破魔击·月"),I300-'模拟-单技能数据'!$L$10,0)</f>
        <v>2.162482885499879</v>
      </c>
      <c r="AU300" s="62">
        <f t="shared" ca="1" si="272"/>
        <v>0.4595866758730085</v>
      </c>
      <c r="AV300" s="64">
        <f ca="1">IF(AS300&gt;0,('模拟-单技能数据'!$D$22+G300*'模拟-单技能数据'!$F$22)*(1+J300)*(1-S300)*IF(AU300&lt;$F$10,0,IF(AU300&lt;$F$10+$F$11,0.25,IF(AU300&lt;$F$10+$F$11+AS300,AT300,1)))*(1+U300),0)*'模拟-单技能数据'!$I$22</f>
        <v>16520.1836685288</v>
      </c>
      <c r="AW300" s="108">
        <f t="shared" ca="1" si="273"/>
        <v>5.2400000000000064</v>
      </c>
      <c r="AX300" s="108" t="b">
        <f ca="1">AND(模拟模式!$P$10="有",AW299=0,RAND()&lt;IF(C300="净世破魔击·月",0.1*8/3,IF(C300="净世破魔击·日",0.1*4/3,0.1*2/3)))</f>
        <v>0</v>
      </c>
      <c r="AY300" s="47">
        <f ca="1">IF(AX300,(18+G300*0.722)*(1+J300)*(1-S300)*(1+$I$4)*IF(P300="会",'模拟-全程加成'!$J$3+'模拟-全程加成'!$J$4+'模拟-全程加成'!$J$5+('模拟-全程加成'!$I$4+'模拟-全程加成'!$I$5)/系数!$B$4+BG300*10%,IF(P300="命",1,IF(P300="识",0.25,0))),0)</f>
        <v>0</v>
      </c>
      <c r="AZ300" s="108">
        <f t="shared" si="274"/>
        <v>11.697500000000005</v>
      </c>
      <c r="BA300" s="108" t="b">
        <f>AND(模拟模式!$Q$10="有",AZ299=0)</f>
        <v>0</v>
      </c>
      <c r="BB300" s="140">
        <f>IF(BA300,(0+G300*0.287)*(1+J300)*(1-S300)*(1+$I$4)*IF(P300="会",'模拟-全程加成'!$J$3+'模拟-全程加成'!$J$4+'模拟-全程加成'!$J$5+('模拟-全程加成'!$I$4+'模拟-全程加成'!$I$5)/系数!$B$4+BG300*10%,IF(P300="命",1,IF(P300="识",0.25,0))),0)</f>
        <v>0</v>
      </c>
      <c r="BC300" s="115" t="b">
        <f ca="1">AND(模拟模式!$R$7="伏明众生",E300=60,F300=20,DA300&lt;5,CZ299&lt;$F$4)</f>
        <v>0</v>
      </c>
      <c r="BD300" s="115">
        <f t="shared" ca="1" si="236"/>
        <v>0</v>
      </c>
      <c r="BE300" s="115" t="b">
        <f t="shared" ca="1" si="237"/>
        <v>0</v>
      </c>
      <c r="BF300" s="47">
        <f ca="1">IF(BC300,4*('模拟-单技能数据'!$D$24+G300*'模拟-单技能数据'!$F$24)*(1+J300)*(1+'模拟-单技能数据'!$J$24)*(1-S300)*(1+$I$3)*(('模拟-全程加成'!$J$3+'模拟-全程加成'!$J$4+'模拟-全程加成'!$J$5+('模拟-全程加成'!$I$4+'模拟-全程加成'!$I$5)/系数!$B$4+BG300*10%)*('模拟-全程加成'!$J$3+'模拟-全程加成'!$J$4+'模拟-全程加成'!$J$5+('模拟-全程加成'!$I$4+'模拟-全程加成'!$I$5)/系数!$B$4+BG300*10%)+(1-('模拟-全程加成'!$J$3+'模拟-全程加成'!$J$4+'模拟-全程加成'!$J$5+('模拟-全程加成'!$I$4+'模拟-全程加成'!$I$5)/系数!$B$4+BG300*10%)-$F$10-$F$11)+F286*0.25),0)*'模拟-单技能数据'!$I$24</f>
        <v>0</v>
      </c>
      <c r="BG300" s="115" t="b">
        <f ca="1">OR(AND(OR(C300="烈日斩",C300="银月斩"),模拟模式!$I$7="净身明礼"),AND(C300="净世破魔击·日",模拟模式!$J$7="洞若观火"),AND(C301="净世破魔击·月",模拟模式!$J$7="洞若观火"),AB300=1)</f>
        <v>1</v>
      </c>
      <c r="BH300" s="115" t="b">
        <f t="shared" ca="1" si="275"/>
        <v>0</v>
      </c>
      <c r="BI300" s="115">
        <f t="shared" ca="1" si="238"/>
        <v>0</v>
      </c>
      <c r="BJ300" s="115" t="b">
        <f t="shared" ca="1" si="249"/>
        <v>0</v>
      </c>
      <c r="BK300" s="115" t="b">
        <f ca="1">AND(C300="驱夜断愁",模拟模式!$P$7="天地诛戮")</f>
        <v>0</v>
      </c>
      <c r="BL300" s="57">
        <f t="shared" ca="1" si="239"/>
        <v>9.8525000000000063</v>
      </c>
      <c r="BM300" s="115" t="b">
        <f t="shared" ca="1" si="250"/>
        <v>1</v>
      </c>
      <c r="BN300" s="115" t="b">
        <f ca="1">AND(OR(C300="赤日轮1",C300="赤日轮2",C300="赤日轮3",C300="幽月轮1",C300="幽月轮2",C300="幽月轮3"),AB300=1,模拟模式!$L$7="明光恒照")</f>
        <v>0</v>
      </c>
      <c r="BO300" s="117">
        <f t="shared" ca="1" si="240"/>
        <v>21.697500000000005</v>
      </c>
      <c r="BP300" s="115">
        <f t="shared" ca="1" si="276"/>
        <v>6</v>
      </c>
      <c r="BQ300" s="115" t="b">
        <f>模拟模式!$K$10="2600·水"</f>
        <v>0</v>
      </c>
      <c r="BR300" s="117">
        <f t="shared" si="277"/>
        <v>0</v>
      </c>
      <c r="BS300" s="115">
        <f t="shared" si="278"/>
        <v>0</v>
      </c>
      <c r="BT300" s="115">
        <f t="shared" ca="1" si="279"/>
        <v>0</v>
      </c>
      <c r="BU300" s="115" t="b">
        <f ca="1">AND(模拟模式!$K$10="2300·雷",BT299=0,RAND()&lt;IF(C300="净世破魔击·月",5*0.05*2/3,IF(C300="净世破魔击·日",3*0.05*2/3,0.05*2*2/3)))</f>
        <v>0</v>
      </c>
      <c r="BV300" s="115">
        <f t="shared" ca="1" si="280"/>
        <v>0</v>
      </c>
      <c r="BW300" s="115">
        <f t="shared" ca="1" si="281"/>
        <v>120.03749999999924</v>
      </c>
      <c r="BX300" s="164" t="b">
        <f t="shared" ca="1" si="282"/>
        <v>0</v>
      </c>
      <c r="BY300" s="115">
        <f t="shared" ca="1" si="283"/>
        <v>0</v>
      </c>
      <c r="BZ300" s="115">
        <f>IF(OR(模拟模式!$P$16="10人团",模拟模式!$P$16="25人团"),IF(B300/30&gt;CA299,1,0),0)</f>
        <v>0</v>
      </c>
      <c r="CA300" s="115">
        <f t="shared" si="259"/>
        <v>0</v>
      </c>
      <c r="CB300" s="115">
        <f ca="1">IF(BZ300=1,IF(模拟模式!$P$16="10人团",15,0)+IF(模拟模式!$P$16="25人团",IF(RAND()&lt;0.6,15,0)),MAX(0,CB299-$F$4))</f>
        <v>0</v>
      </c>
      <c r="CC300" s="115" t="b">
        <f t="shared" ca="1" si="251"/>
        <v>0</v>
      </c>
      <c r="CD300" s="115">
        <f>IF(模拟模式!$Q$16="1个",IF(B300/40&gt;CE299,1,0),0)</f>
        <v>0</v>
      </c>
      <c r="CE300" s="115">
        <f t="shared" si="252"/>
        <v>0</v>
      </c>
      <c r="CF300" s="115">
        <f>IF(OR(CD300=1,模拟模式!$Q$16="2个"),20,MAX(0,CF299-$F$4))</f>
        <v>0</v>
      </c>
      <c r="CG300" s="115" t="b">
        <f t="shared" si="253"/>
        <v>0</v>
      </c>
      <c r="CH300" s="115">
        <f t="shared" ca="1" si="284"/>
        <v>15.240000000000009</v>
      </c>
      <c r="CI300" s="115" t="b">
        <f t="shared" ca="1" si="285"/>
        <v>0</v>
      </c>
      <c r="CJ300" s="119">
        <f t="shared" ca="1" si="286"/>
        <v>0</v>
      </c>
      <c r="CK300" s="115">
        <f t="shared" ca="1" si="287"/>
        <v>0</v>
      </c>
      <c r="CL300" s="115" t="b">
        <f ca="1">AND(模拟模式!$S$7="驱夷逐法",OR(AND(C300="净世破魔击·月",E299&gt;59),AND(C300="净世破魔击·日",F299&gt;59)))</f>
        <v>0</v>
      </c>
      <c r="CM300" s="115" t="b">
        <f ca="1">OR(CL300,AND(C300="净世破魔击·日",CL299,RAND()&lt;模拟模式!$U$23))</f>
        <v>0</v>
      </c>
      <c r="CN300" s="115" t="b">
        <f ca="1">IF(模拟模式!$M$7="辉耀红尘",AND(C300="净世破魔击·月",CL300,CV300=0,E299&lt;80),AND(C300="净世破魔击·月",CL300,E299&lt;100))</f>
        <v>0</v>
      </c>
      <c r="CO300" s="115" t="b">
        <f t="shared" ca="1" si="260"/>
        <v>0</v>
      </c>
      <c r="CP300" s="115" t="b">
        <f ca="1">AND(模拟模式!$O$7="用晦而明",OR(C300="净世破魔击·日",C300="净世破魔击·月",C300="驱夜断愁"),AB300)</f>
        <v>1</v>
      </c>
      <c r="CQ300" s="115" t="b">
        <f ca="1">OR(CP300,AND(CP299,RAND()&lt;模拟模式!$U$23))</f>
        <v>1</v>
      </c>
      <c r="CR300" s="115" t="b">
        <f ca="1">AND(模拟模式!$S$7="日月齐光",OR(C300="幽月轮1",C300="幽月轮2",C300="幽月轮3",CR299),NOT(OR(C300="赤日轮1",C300="赤日轮2",C300="赤日轮3")))</f>
        <v>0</v>
      </c>
      <c r="CS300" s="115" t="b">
        <f ca="1">AND(模拟模式!$S$7="日月齐光",OR(C300="赤日轮1",C300="赤日轮2",C300="赤日轮3",CS299),NOT(OR(C300="幽月轮1",C300="幽月轮2",C300="幽月轮3")))</f>
        <v>0</v>
      </c>
      <c r="CT300" s="115">
        <f t="shared" ca="1" si="288"/>
        <v>24.465000000000003</v>
      </c>
      <c r="CU300" s="115" t="b">
        <f ca="1">AND(模拟模式!$K$10="阴阳往极",CT299=0,RAND()&lt;IF(C300="净世破魔击·月",0.0275*7/3,IF(C300="净世破魔击·日",0.0275*3/3,0.0275*2/3)))</f>
        <v>0</v>
      </c>
      <c r="CV300" s="115">
        <f t="shared" ca="1" si="289"/>
        <v>0</v>
      </c>
      <c r="CW300" s="115">
        <f t="shared" ca="1" si="261"/>
        <v>0</v>
      </c>
      <c r="CX300" s="115">
        <f t="shared" ca="1" si="262"/>
        <v>0</v>
      </c>
      <c r="CY300" s="115">
        <f ca="1">MAX(IF($C300="驱夜断愁",IF(模拟模式!$R$7="万念俱寂",6,45),CY299-$F$4),0)</f>
        <v>0</v>
      </c>
      <c r="CZ300" s="115">
        <f t="shared" ca="1" si="263"/>
        <v>0</v>
      </c>
      <c r="DA300" s="115">
        <f ca="1">IF(模拟模式!$N$7="日月同辉",IF(DB299=2,0,MIN(6,IF(AND(OR(C300="赤日轮1",C300="赤日轮2",C300="赤日轮3",C300="幽月轮1",C300="幽月轮2",C300="幽月轮3"),AB300=1),DA299+1,DA299))),0)</f>
        <v>0</v>
      </c>
      <c r="DB300" s="115">
        <f t="shared" ca="1" si="264"/>
        <v>0</v>
      </c>
      <c r="DC300" s="115"/>
      <c r="DD300" s="115"/>
      <c r="DE300" s="115"/>
      <c r="DF300" s="115"/>
      <c r="DG300" s="115"/>
      <c r="DH300" s="115"/>
      <c r="DI300" s="115"/>
      <c r="DJ300" s="115"/>
      <c r="DK300" s="115"/>
      <c r="DL300" s="115"/>
      <c r="DM300" s="115"/>
    </row>
    <row r="301" spans="2:117" x14ac:dyDescent="0.2">
      <c r="B301" s="117">
        <f t="shared" si="265"/>
        <v>252.76500000000178</v>
      </c>
      <c r="C301" s="167" t="str">
        <f t="shared" ca="1" si="258"/>
        <v>银月斩</v>
      </c>
      <c r="D301" s="115">
        <f ca="1">IF(C301="赤日轮1",1,IF(C301="赤日轮2",2,IF(C301="赤日轮3",3,IF(C301="幽月轮1",4,IF(C301="幽月轮2",5,IF(C301="幽月轮3",6,IF(C301="烈日斩",7,IF(C301="银月斩",8,IF(C301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301="净世破魔击·月",17,IF(C301="驱夜断愁",18,0)))))))))))</f>
        <v>8</v>
      </c>
      <c r="E301" s="115">
        <f ca="1">IF(AND(CU301,OR(C301="幽月轮1",C301="幽月轮2",C301="幽月轮3",C301="银月斩",C301="驱夜断愁",C301="净世破魔击·月")),100,MIN(IF(OR(CN301,BE301),0,IF(OR($C301="赤日轮1",$C301="赤日轮2",$C301="赤日轮3"),E300+20+IF(模拟模式!$I$7="日月凌天",4,0)+IF(CR300,20,0),IF($C301="烈日斩",E300+40,IF($C301="驱夜断愁",IF(模拟模式!$R$7="万念俱寂",E300+20,E300+60),IF($C301="净世破魔击·月",IF(OR(DB300&gt;0,CV300&gt;0),100,IF(模拟模式!$M$7="辉耀红尘",E300+20,E300)),IF($C301="净世破魔击·日",E300-100,E300)))))),100))</f>
        <v>20</v>
      </c>
      <c r="F301" s="115">
        <f ca="1">IF(AND(CU301,OR(C301="赤日轮1",C301="赤日轮2",C301="赤日轮3",C301="烈日斩",C301="净世破魔击·日")),100,MIN(IF(CO301,0,IF(OR($C301="幽月轮1",$C301="幽月轮2",$C301="幽月轮3"),F300+20+IF(模拟模式!$I$7="日月凌天",4,0)+IF(CS300,20,0),IF($C301="银月斩",F300+40+IF(模拟模式!$X$12=1,5,0),IF($C301="驱夜断愁",IF(模拟模式!$R$7="万念俱寂",F300+20,F300+60),IF($C301="净世破魔击·月",IF(模拟模式!$M$7="辉耀红尘",F300-80,F300-100),IF(AND(C301="净世破魔击·日",OR(DB300&gt;0,CV300&gt;0)),100,F300)))))),100))</f>
        <v>65</v>
      </c>
      <c r="G301" s="117">
        <f ca="1">('模拟-全程加成'!$E$3+'模拟-全程加成'!$E$4+'模拟-全程加成'!$E$5+('模拟-全程加成'!$C$6-'模拟-全程加成'!$C$3)*系数!$B$9+BS301*23)*(1+'模拟-全程加成'!$F$4+'模拟-全程加成'!$F$5+BJ301*10%+BM301*20%+BP301*4%+CG301*30%)+$F$7*系数!$B$12</f>
        <v>20583.127400000001</v>
      </c>
      <c r="H301" s="45">
        <f ca="1">'模拟-全程加成'!$H$3+'模拟-全程加成'!$H$4+'模拟-全程加成'!$H$5+('模拟-全程加成'!$G$4+'模拟-全程加成'!$G$5+('模拟-全程加成'!$C$6-'模拟-全程加成'!$C$3)*系数!$B$13)/系数!$B$3+LOOKUP(D301,'模拟-单技能数据'!$A$2:$A$19,'模拟-单技能数据'!$K$2:$K$19)+BG301*10%+IF(BV301&gt;0,378,0)</f>
        <v>0.64185145527300214</v>
      </c>
      <c r="I301" s="45">
        <f ca="1">'模拟-全程加成'!$J$3+'模拟-全程加成'!$J$4+'模拟-全程加成'!$J$5+('模拟-全程加成'!$I$4+'模拟-全程加成'!$I$5)/系数!$B$4+LOOKUP(D301,'模拟-单技能数据'!$A$2:$A$19,'模拟-单技能数据'!$L$2:$L$19)+BG301*10%</f>
        <v>2.2624828854998791</v>
      </c>
      <c r="J301" s="45">
        <f ca="1">(('模拟-全程加成'!$K$3+'模拟-全程加成'!$K$4+'模拟-全程加成'!$K$5+('模拟-全程加成'!$C$6-'模拟-全程加成'!$C$3)*系数!$B$10+IF(BV301&gt;0,882,0)+IF(BY301&gt;0,1831,0))*(1+'模拟-全程加成'!$L$4+'模拟-全程加成'!$L$5+CC301*20%))/系数!$B$5</f>
        <v>0.69723220422048726</v>
      </c>
      <c r="K301" s="119">
        <f ca="1">LOOKUP(D301,'模拟-单技能数据'!$A$2:$A$19,'模拟-单技能数据'!$J$2:$J$19)+IF(CM301,60%,0)+IF(DB300-DB301&gt;0,30%,0)+IF(OR(AND(OR(C301="赤日轮1",C301="赤日轮2",C301="赤日轮3"),CR301),AND(OR(C301="幽月轮1",C301="幽月轮2",C301="幽月轮3"),CS301)),35%,0)+CJ301</f>
        <v>0.15</v>
      </c>
      <c r="L301" s="119">
        <f ca="1">IF(AND(C301="烈日斩",模拟模式!$X$11=1),10%,0)+IF(AND(C301="驱夜断愁",AB301=1),30%,0)</f>
        <v>0</v>
      </c>
      <c r="M301" s="45">
        <f t="shared" ca="1" si="241"/>
        <v>0.64185145527300214</v>
      </c>
      <c r="N301" s="45">
        <f t="shared" ca="1" si="242"/>
        <v>0.30424854472699792</v>
      </c>
      <c r="O301" s="46">
        <f t="shared" ca="1" si="266"/>
        <v>0.34503838214666094</v>
      </c>
      <c r="P301" s="46" t="str">
        <f t="shared" ca="1" si="267"/>
        <v>会</v>
      </c>
      <c r="Q301" s="45">
        <f t="shared" ca="1" si="268"/>
        <v>2.2624828854998791</v>
      </c>
      <c r="R301" s="117">
        <f ca="1">模拟模式!$E$20*(1-IF(模拟模式!$J$19="有",0.15,0))*(1-IF(模拟模式!$K$19="有",0.3,0)-IF(CQ301,0.5,0))</f>
        <v>843.02999999999975</v>
      </c>
      <c r="S301" s="45">
        <f ca="1">R301/(R301+(185*模拟模式!$E$22-16800)*4.08224)</f>
        <v>8.389626085980037E-2</v>
      </c>
      <c r="T301" s="45" t="str">
        <f ca="1">LOOKUP(D301,'模拟-单技能数据'!$A$2:$A$19,'模拟-单技能数据'!$H$2:$H$19)</f>
        <v>阴</v>
      </c>
      <c r="U301" s="119">
        <f t="shared" ca="1" si="243"/>
        <v>0.08</v>
      </c>
      <c r="V301" s="47">
        <f ca="1">(1+L301)*(LOOKUP(D301,'模拟-单技能数据'!$A$2:$A$19,'模拟-单技能数据'!$D$2:$D$19)+G301*LOOKUP(D301,'模拟-单技能数据'!$A$2:$A$19,'模拟-单技能数据'!$F$2:$F$19))*(1+J301)*(1+K301)*(1-S301)*(1+U301)*Q301*LOOKUP(D301,'模拟-单技能数据'!$A$2:$A$19,'模拟-单技能数据'!$I$2:$I$20)</f>
        <v>47762.146138749486</v>
      </c>
      <c r="W301" s="47">
        <f ca="1">LOOKUP(D301,'模拟-单技能数据'!$A$2:$A$19,'模拟-单技能数据'!$G$2:$G$19)*$I$10</f>
        <v>361.51064354704795</v>
      </c>
      <c r="X301" s="47">
        <f t="shared" ca="1" si="269"/>
        <v>28117.947199745129</v>
      </c>
      <c r="Y301" s="47">
        <f t="shared" ca="1" si="244"/>
        <v>76241.603982041663</v>
      </c>
      <c r="Z301" s="49">
        <f t="shared" ca="1" si="245"/>
        <v>28989179.477600966</v>
      </c>
      <c r="AA301" s="97">
        <f t="shared" ca="1" si="246"/>
        <v>114688.26569185118</v>
      </c>
      <c r="AB301" s="115">
        <f ca="1">IF(OR(C301="赤日轮1",C301="赤日轮2",C301="赤日轮3"),IF(RAND()&lt;模拟模式!$Y$17,1,0),IF(OR(C301="幽月轮1",C301="幽月轮2",C301="幽月轮3"),IF(RAND()&lt;模拟模式!$Y$18,1,0),IF(C301="烈日斩",IF(RAND()&lt;模拟模式!$Y$19,1,0),IF(C301="银月斩",IF(RAND()&lt;模拟模式!$Y$20,1,0),IF(C301="驱夜断愁",IF(RAND()&lt;模拟模式!$Y$21,1,0),IF(C301="净世破魔击·日",IF(RAND()&lt;模拟模式!$Y$22,1,0),IF(C301="净世破魔击·月",IF(RAND()&lt;模拟模式!$Y$23,1,0),0)))))))</f>
        <v>1</v>
      </c>
      <c r="AC301" s="115" t="b">
        <f t="shared" ca="1" si="234"/>
        <v>1</v>
      </c>
      <c r="AD301" s="115" t="b">
        <f t="shared" ca="1" si="254"/>
        <v>1</v>
      </c>
      <c r="AE301" s="115">
        <f t="shared" ca="1" si="255"/>
        <v>6</v>
      </c>
      <c r="AF301" s="47">
        <f ca="1">IF(AC301,('模拟-单技能数据'!$D$20+G301*'模拟-单技能数据'!$F$20)*(1+J301)*(1+'模拟-单技能数据'!$J$20)*(1+U301),0)</f>
        <v>4447.8565560098323</v>
      </c>
      <c r="AG301" s="61">
        <f t="shared" ca="1" si="247"/>
        <v>0.64185145527300214</v>
      </c>
      <c r="AH301" s="61">
        <f t="shared" ca="1" si="248"/>
        <v>2.2624828854998791</v>
      </c>
      <c r="AI301" s="62">
        <f t="shared" ca="1" si="270"/>
        <v>0.80638516925108572</v>
      </c>
      <c r="AJ301" s="47">
        <f ca="1">IF(AD301,IF(AI301&lt;$F$10,0,IF(AI301&lt;$F$10+$F$11,0.25,IF(AI301&lt;$F$10+$F$11+AG301,AH301,1)))*IF(AF301&gt;0,AF301,IF(AF300&gt;0,AF300,IF(AF299&gt;0,AF299,IF(AF298&gt;0,AF298,IF(AF297&gt;0,AF297,IF(AF296&gt;0,AF296,IF(AF295&gt;0,AF295,IF(AF294&gt;0,AF294,IF(AF293&gt;0,AF293,IF(AF291&gt;0,AF291,IF(AF290&gt;0,AF290,IF(AF289&gt;0,AF289,0)))))))))))),0)*(1-$S301)*'模拟-单技能数据'!$I$20</f>
        <v>4074.6980221198578</v>
      </c>
      <c r="AK301" s="115" t="b">
        <f t="shared" ca="1" si="235"/>
        <v>0</v>
      </c>
      <c r="AL301" s="115" t="b">
        <f t="shared" ca="1" si="256"/>
        <v>1</v>
      </c>
      <c r="AM301" s="115">
        <f t="shared" ca="1" si="257"/>
        <v>4</v>
      </c>
      <c r="AN301" s="47">
        <f ca="1">IF(AK301,('模拟-单技能数据'!$D$21+G301*'模拟-单技能数据'!$F$21)*(1+J301)*(1+'模拟-单技能数据'!$J$21)*(1+U301),0)</f>
        <v>0</v>
      </c>
      <c r="AO301" s="61">
        <f ca="1">IF(AN301&gt;0,M301-'模拟-单技能数据'!$K$10,AO300)</f>
        <v>0.42185145527300216</v>
      </c>
      <c r="AP301" s="61">
        <f ca="1">IF(AN301&gt;0,I301-'模拟-单技能数据'!$L$10,AP300)</f>
        <v>2.162482885499879</v>
      </c>
      <c r="AQ301" s="63">
        <f t="shared" ca="1" si="271"/>
        <v>0.18482007456365201</v>
      </c>
      <c r="AR301" s="64">
        <f ca="1">IF(AL301,IF(AQ301&lt;$F$10,0,IF(AQ301&lt;$F$10+$F$11,0.25,IF(AQ301&lt;$F$10+$F$11+AO301,AP301,1)))*IF(AN301&gt;0,AN301,IF(AN300&gt;0,AN300,IF(AN299&gt;0,AN299,IF(AN298&gt;0,AN298,IF(AN297&gt;0,AN297,IF(AN296&gt;0,AN296,IF(AN295&gt;0,AN295,IF(AN294&gt;0,AN294,IF(AN293&gt;0,AN293,IF(AN291&gt;0,AN291,IF(AN290&gt;0,AN290,IF(AN289&gt;0,AN289,0)))))))))))),0)*(1-$S301)*'模拟-单技能数据'!$I$21</f>
        <v>24043.249177625272</v>
      </c>
      <c r="AS301" s="61">
        <f ca="1">IF(OR(C301="净世破魔击·日",C301="净世破魔击·月"),M301-'模拟-单技能数据'!$K$10,0)</f>
        <v>0</v>
      </c>
      <c r="AT301" s="61">
        <f ca="1">IF(OR(C301="净世破魔击·日",C301="净世破魔击·月"),I301-'模拟-单技能数据'!$L$10,0)</f>
        <v>0</v>
      </c>
      <c r="AU301" s="62">
        <f t="shared" ca="1" si="272"/>
        <v>0.32645970622555209</v>
      </c>
      <c r="AV301" s="64">
        <f ca="1">IF(AS301&gt;0,('模拟-单技能数据'!$D$22+G301*'模拟-单技能数据'!$F$22)*(1+J301)*(1-S301)*IF(AU301&lt;$F$10,0,IF(AU301&lt;$F$10+$F$11,0.25,IF(AU301&lt;$F$10+$F$11+AS301,AT301,1)))*(1+U301),0)*'模拟-单技能数据'!$I$22</f>
        <v>0</v>
      </c>
      <c r="AW301" s="108">
        <f t="shared" ca="1" si="273"/>
        <v>4.3175000000000061</v>
      </c>
      <c r="AX301" s="108" t="b">
        <f ca="1">AND(模拟模式!$P$10="有",AW300=0,RAND()&lt;IF(C301="净世破魔击·月",0.1*8/3,IF(C301="净世破魔击·日",0.1*4/3,0.1*2/3)))</f>
        <v>0</v>
      </c>
      <c r="AY301" s="47">
        <f ca="1">IF(AX301,(18+G301*0.722)*(1+J301)*(1-S301)*(1+$I$4)*IF(P301="会",'模拟-全程加成'!$J$3+'模拟-全程加成'!$J$4+'模拟-全程加成'!$J$5+('模拟-全程加成'!$I$4+'模拟-全程加成'!$I$5)/系数!$B$4+BG301*10%,IF(P301="命",1,IF(P301="识",0.25,0))),0)</f>
        <v>0</v>
      </c>
      <c r="AZ301" s="108">
        <f t="shared" si="274"/>
        <v>10.775000000000006</v>
      </c>
      <c r="BA301" s="108" t="b">
        <f>AND(模拟模式!$Q$10="有",AZ300=0)</f>
        <v>0</v>
      </c>
      <c r="BB301" s="140">
        <f>IF(BA301,(0+G301*0.287)*(1+J301)*(1-S301)*(1+$I$4)*IF(P301="会",'模拟-全程加成'!$J$3+'模拟-全程加成'!$J$4+'模拟-全程加成'!$J$5+('模拟-全程加成'!$I$4+'模拟-全程加成'!$I$5)/系数!$B$4+BG301*10%,IF(P301="命",1,IF(P301="识",0.25,0))),0)</f>
        <v>0</v>
      </c>
      <c r="BC301" s="115" t="b">
        <f ca="1">AND(模拟模式!$R$7="伏明众生",E301=60,F301=20,DA301&lt;5,CZ300&lt;$F$4)</f>
        <v>0</v>
      </c>
      <c r="BD301" s="115">
        <f t="shared" ca="1" si="236"/>
        <v>0</v>
      </c>
      <c r="BE301" s="115" t="b">
        <f t="shared" ca="1" si="237"/>
        <v>0</v>
      </c>
      <c r="BF301" s="47">
        <f ca="1">IF(BC301,4*('模拟-单技能数据'!$D$24+G301*'模拟-单技能数据'!$F$24)*(1+J301)*(1+'模拟-单技能数据'!$J$24)*(1-S301)*(1+$I$3)*(('模拟-全程加成'!$J$3+'模拟-全程加成'!$J$4+'模拟-全程加成'!$J$5+('模拟-全程加成'!$I$4+'模拟-全程加成'!$I$5)/系数!$B$4+BG301*10%)*('模拟-全程加成'!$J$3+'模拟-全程加成'!$J$4+'模拟-全程加成'!$J$5+('模拟-全程加成'!$I$4+'模拟-全程加成'!$I$5)/系数!$B$4+BG301*10%)+(1-('模拟-全程加成'!$J$3+'模拟-全程加成'!$J$4+'模拟-全程加成'!$J$5+('模拟-全程加成'!$I$4+'模拟-全程加成'!$I$5)/系数!$B$4+BG301*10%)-$F$10-$F$11)+F287*0.25),0)*'模拟-单技能数据'!$I$24</f>
        <v>0</v>
      </c>
      <c r="BG301" s="115" t="b">
        <f ca="1">OR(AND(OR(C301="烈日斩",C301="银月斩"),模拟模式!$I$7="净身明礼"),AND(C301="净世破魔击·日",模拟模式!$J$7="洞若观火"),AND(C302="净世破魔击·月",模拟模式!$J$7="洞若观火"),AB301=1)</f>
        <v>1</v>
      </c>
      <c r="BH301" s="115" t="b">
        <f t="shared" ca="1" si="275"/>
        <v>0</v>
      </c>
      <c r="BI301" s="115">
        <f t="shared" ca="1" si="238"/>
        <v>0</v>
      </c>
      <c r="BJ301" s="115" t="b">
        <f t="shared" ca="1" si="249"/>
        <v>0</v>
      </c>
      <c r="BK301" s="115" t="b">
        <f ca="1">AND(C301="驱夜断愁",模拟模式!$P$7="天地诛戮")</f>
        <v>0</v>
      </c>
      <c r="BL301" s="57">
        <f t="shared" ca="1" si="239"/>
        <v>8.9300000000000068</v>
      </c>
      <c r="BM301" s="115" t="b">
        <f t="shared" ca="1" si="250"/>
        <v>1</v>
      </c>
      <c r="BN301" s="115" t="b">
        <f ca="1">AND(OR(C301="赤日轮1",C301="赤日轮2",C301="赤日轮3",C301="幽月轮1",C301="幽月轮2",C301="幽月轮3"),AB301=1,模拟模式!$L$7="明光恒照")</f>
        <v>0</v>
      </c>
      <c r="BO301" s="117">
        <f t="shared" ca="1" si="240"/>
        <v>20.775000000000006</v>
      </c>
      <c r="BP301" s="115">
        <f t="shared" ca="1" si="276"/>
        <v>6</v>
      </c>
      <c r="BQ301" s="115" t="b">
        <f>模拟模式!$K$10="2600·水"</f>
        <v>0</v>
      </c>
      <c r="BR301" s="117">
        <f t="shared" si="277"/>
        <v>0</v>
      </c>
      <c r="BS301" s="115">
        <f t="shared" si="278"/>
        <v>0</v>
      </c>
      <c r="BT301" s="115">
        <f t="shared" ca="1" si="279"/>
        <v>0</v>
      </c>
      <c r="BU301" s="115" t="b">
        <f ca="1">AND(模拟模式!$K$10="2300·雷",BT300=0,RAND()&lt;IF(C301="净世破魔击·月",5*0.05*2/3,IF(C301="净世破魔击·日",3*0.05*2/3,0.05*2*2/3)))</f>
        <v>0</v>
      </c>
      <c r="BV301" s="115">
        <f t="shared" ca="1" si="280"/>
        <v>0</v>
      </c>
      <c r="BW301" s="115">
        <f t="shared" ca="1" si="281"/>
        <v>119.11499999999924</v>
      </c>
      <c r="BX301" s="164" t="b">
        <f t="shared" ca="1" si="282"/>
        <v>0</v>
      </c>
      <c r="BY301" s="115">
        <f t="shared" ca="1" si="283"/>
        <v>0</v>
      </c>
      <c r="BZ301" s="115">
        <f>IF(OR(模拟模式!$P$16="10人团",模拟模式!$P$16="25人团"),IF(B301/30&gt;CA300,1,0),0)</f>
        <v>0</v>
      </c>
      <c r="CA301" s="115">
        <f t="shared" si="259"/>
        <v>0</v>
      </c>
      <c r="CB301" s="115">
        <f ca="1">IF(BZ301=1,IF(模拟模式!$P$16="10人团",15,0)+IF(模拟模式!$P$16="25人团",IF(RAND()&lt;0.6,15,0)),MAX(0,CB300-$F$4))</f>
        <v>0</v>
      </c>
      <c r="CC301" s="115" t="b">
        <f t="shared" ca="1" si="251"/>
        <v>0</v>
      </c>
      <c r="CD301" s="115">
        <f>IF(模拟模式!$Q$16="1个",IF(B301/40&gt;CE300,1,0),0)</f>
        <v>0</v>
      </c>
      <c r="CE301" s="115">
        <f t="shared" si="252"/>
        <v>0</v>
      </c>
      <c r="CF301" s="115">
        <f>IF(OR(CD301=1,模拟模式!$Q$16="2个"),20,MAX(0,CF300-$F$4))</f>
        <v>0</v>
      </c>
      <c r="CG301" s="115" t="b">
        <f t="shared" si="253"/>
        <v>0</v>
      </c>
      <c r="CH301" s="115">
        <f t="shared" ca="1" si="284"/>
        <v>14.31750000000001</v>
      </c>
      <c r="CI301" s="115" t="b">
        <f t="shared" ca="1" si="285"/>
        <v>0</v>
      </c>
      <c r="CJ301" s="119">
        <f t="shared" ca="1" si="286"/>
        <v>0</v>
      </c>
      <c r="CK301" s="115">
        <f t="shared" ca="1" si="287"/>
        <v>0</v>
      </c>
      <c r="CL301" s="115" t="b">
        <f ca="1">AND(模拟模式!$S$7="驱夷逐法",OR(AND(C301="净世破魔击·月",E300&gt;59),AND(C301="净世破魔击·日",F300&gt;59)))</f>
        <v>0</v>
      </c>
      <c r="CM301" s="115" t="b">
        <f ca="1">OR(CL301,AND(C301="净世破魔击·日",CL300,RAND()&lt;模拟模式!$U$23))</f>
        <v>0</v>
      </c>
      <c r="CN301" s="115" t="b">
        <f ca="1">IF(模拟模式!$M$7="辉耀红尘",AND(C301="净世破魔击·月",CL301,CV301=0,E300&lt;80),AND(C301="净世破魔击·月",CL301,E300&lt;100))</f>
        <v>0</v>
      </c>
      <c r="CO301" s="115" t="b">
        <f t="shared" ca="1" si="260"/>
        <v>0</v>
      </c>
      <c r="CP301" s="115" t="b">
        <f ca="1">AND(模拟模式!$O$7="用晦而明",OR(C301="净世破魔击·日",C301="净世破魔击·月",C301="驱夜断愁"),AB301)</f>
        <v>0</v>
      </c>
      <c r="CQ301" s="115" t="b">
        <f ca="1">OR(CP301,AND(CP300,RAND()&lt;模拟模式!$U$23))</f>
        <v>1</v>
      </c>
      <c r="CR301" s="115" t="b">
        <f ca="1">AND(模拟模式!$S$7="日月齐光",OR(C301="幽月轮1",C301="幽月轮2",C301="幽月轮3",CR300),NOT(OR(C301="赤日轮1",C301="赤日轮2",C301="赤日轮3")))</f>
        <v>0</v>
      </c>
      <c r="CS301" s="115" t="b">
        <f ca="1">AND(模拟模式!$S$7="日月齐光",OR(C301="赤日轮1",C301="赤日轮2",C301="赤日轮3",CS300),NOT(OR(C301="幽月轮1",C301="幽月轮2",C301="幽月轮3")))</f>
        <v>0</v>
      </c>
      <c r="CT301" s="115">
        <f t="shared" ca="1" si="288"/>
        <v>23.542500000000004</v>
      </c>
      <c r="CU301" s="115" t="b">
        <f ca="1">AND(模拟模式!$K$10="阴阳往极",CT300=0,RAND()&lt;IF(C301="净世破魔击·月",0.0275*7/3,IF(C301="净世破魔击·日",0.0275*3/3,0.0275*2/3)))</f>
        <v>0</v>
      </c>
      <c r="CV301" s="115">
        <f t="shared" ca="1" si="289"/>
        <v>0</v>
      </c>
      <c r="CW301" s="115">
        <f t="shared" ca="1" si="261"/>
        <v>0</v>
      </c>
      <c r="CX301" s="115">
        <f t="shared" ca="1" si="262"/>
        <v>6</v>
      </c>
      <c r="CY301" s="115">
        <f ca="1">MAX(IF($C301="驱夜断愁",IF(模拟模式!$R$7="万念俱寂",6,45),CY300-$F$4),0)</f>
        <v>0</v>
      </c>
      <c r="CZ301" s="115">
        <f t="shared" ca="1" si="263"/>
        <v>0</v>
      </c>
      <c r="DA301" s="115">
        <f ca="1">IF(模拟模式!$N$7="日月同辉",IF(DB300=2,0,MIN(6,IF(AND(OR(C301="赤日轮1",C301="赤日轮2",C301="赤日轮3",C301="幽月轮1",C301="幽月轮2",C301="幽月轮3"),AB301=1),DA300+1,DA300))),0)</f>
        <v>0</v>
      </c>
      <c r="DB301" s="115">
        <f t="shared" ca="1" si="264"/>
        <v>0</v>
      </c>
      <c r="DC301" s="115"/>
      <c r="DD301" s="115"/>
      <c r="DE301" s="115"/>
      <c r="DF301" s="115"/>
      <c r="DG301" s="115"/>
      <c r="DH301" s="115"/>
      <c r="DI301" s="115"/>
      <c r="DJ301" s="115"/>
      <c r="DK301" s="115"/>
      <c r="DL301" s="115"/>
      <c r="DM301" s="115"/>
    </row>
    <row r="302" spans="2:117" x14ac:dyDescent="0.2">
      <c r="B302" s="117">
        <f t="shared" si="265"/>
        <v>253.68750000000179</v>
      </c>
      <c r="C302" s="167" t="str">
        <f t="shared" ca="1" si="258"/>
        <v>驱夜断愁</v>
      </c>
      <c r="D302" s="115">
        <f ca="1">IF(C302="赤日轮1",1,IF(C302="赤日轮2",2,IF(C302="赤日轮3",3,IF(C302="幽月轮1",4,IF(C302="幽月轮2",5,IF(C302="幽月轮3",6,IF(C302="烈日斩",7,IF(C302="银月斩",8,IF(C302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302="净世破魔击·月",17,IF(C302="驱夜断愁",18,0)))))))))))</f>
        <v>18</v>
      </c>
      <c r="E302" s="115">
        <f ca="1">IF(AND(CU302,OR(C302="幽月轮1",C302="幽月轮2",C302="幽月轮3",C302="银月斩",C302="驱夜断愁",C302="净世破魔击·月")),100,MIN(IF(OR(CN302,BE302),0,IF(OR($C302="赤日轮1",$C302="赤日轮2",$C302="赤日轮3"),E301+20+IF(模拟模式!$I$7="日月凌天",4,0)+IF(CR301,20,0),IF($C302="烈日斩",E301+40,IF($C302="驱夜断愁",IF(模拟模式!$R$7="万念俱寂",E301+20,E301+60),IF($C302="净世破魔击·月",IF(OR(DB301&gt;0,CV301&gt;0),100,IF(模拟模式!$M$7="辉耀红尘",E301+20,E301)),IF($C302="净世破魔击·日",E301-100,E301)))))),100))</f>
        <v>40</v>
      </c>
      <c r="F302" s="115">
        <f ca="1">IF(AND(CU302,OR(C302="赤日轮1",C302="赤日轮2",C302="赤日轮3",C302="烈日斩",C302="净世破魔击·日")),100,MIN(IF(CO302,0,IF(OR($C302="幽月轮1",$C302="幽月轮2",$C302="幽月轮3"),F301+20+IF(模拟模式!$I$7="日月凌天",4,0)+IF(CS301,20,0),IF($C302="银月斩",F301+40+IF(模拟模式!$X$12=1,5,0),IF($C302="驱夜断愁",IF(模拟模式!$R$7="万念俱寂",F301+20,F301+60),IF($C302="净世破魔击·月",IF(模拟模式!$M$7="辉耀红尘",F301-80,F301-100),IF(AND(C302="净世破魔击·日",OR(DB301&gt;0,CV301&gt;0)),100,F301)))))),100))</f>
        <v>85</v>
      </c>
      <c r="G302" s="117">
        <f ca="1">('模拟-全程加成'!$E$3+'模拟-全程加成'!$E$4+'模拟-全程加成'!$E$5+('模拟-全程加成'!$C$6-'模拟-全程加成'!$C$3)*系数!$B$9+BS302*23)*(1+'模拟-全程加成'!$F$4+'模拟-全程加成'!$F$5+BJ302*10%+BM302*20%+BP302*4%+CG302*30%)+$F$7*系数!$B$12</f>
        <v>20583.127400000001</v>
      </c>
      <c r="H302" s="45">
        <f ca="1">'模拟-全程加成'!$H$3+'模拟-全程加成'!$H$4+'模拟-全程加成'!$H$5+('模拟-全程加成'!$G$4+'模拟-全程加成'!$G$5+('模拟-全程加成'!$C$6-'模拟-全程加成'!$C$3)*系数!$B$13)/系数!$B$3+LOOKUP(D302,'模拟-单技能数据'!$A$2:$A$19,'模拟-单技能数据'!$K$2:$K$19)+BG302*10%+IF(BV302&gt;0,378,0)</f>
        <v>0.51185145527300213</v>
      </c>
      <c r="I302" s="45">
        <f ca="1">'模拟-全程加成'!$J$3+'模拟-全程加成'!$J$4+'模拟-全程加成'!$J$5+('模拟-全程加成'!$I$4+'模拟-全程加成'!$I$5)/系数!$B$4+LOOKUP(D302,'模拟-单技能数据'!$A$2:$A$19,'模拟-单技能数据'!$L$2:$L$19)+BG302*10%</f>
        <v>2.162482885499879</v>
      </c>
      <c r="J302" s="45">
        <f ca="1">(('模拟-全程加成'!$K$3+'模拟-全程加成'!$K$4+'模拟-全程加成'!$K$5+('模拟-全程加成'!$C$6-'模拟-全程加成'!$C$3)*系数!$B$10+IF(BV302&gt;0,882,0)+IF(BY302&gt;0,1831,0))*(1+'模拟-全程加成'!$L$4+'模拟-全程加成'!$L$5+CC302*20%))/系数!$B$5</f>
        <v>0.69723220422048726</v>
      </c>
      <c r="K302" s="119">
        <f ca="1">LOOKUP(D302,'模拟-单技能数据'!$A$2:$A$19,'模拟-单技能数据'!$J$2:$J$19)+IF(CM302,60%,0)+IF(DB301-DB302&gt;0,30%,0)+IF(OR(AND(OR(C302="赤日轮1",C302="赤日轮2",C302="赤日轮3"),CR302),AND(OR(C302="幽月轮1",C302="幽月轮2",C302="幽月轮3"),CS302)),35%,0)+CJ302</f>
        <v>0.14000000000000001</v>
      </c>
      <c r="L302" s="119">
        <f ca="1">IF(AND(C302="烈日斩",模拟模式!$X$11=1),10%,0)+IF(AND(C302="驱夜断愁",AB302=1),30%,0)</f>
        <v>0.3</v>
      </c>
      <c r="M302" s="45">
        <f t="shared" ca="1" si="241"/>
        <v>0.51185145527300213</v>
      </c>
      <c r="N302" s="45">
        <f t="shared" ca="1" si="242"/>
        <v>0.43424854472699792</v>
      </c>
      <c r="O302" s="46">
        <f t="shared" ca="1" si="266"/>
        <v>0.17232991552500865</v>
      </c>
      <c r="P302" s="46" t="str">
        <f t="shared" ca="1" si="267"/>
        <v>会</v>
      </c>
      <c r="Q302" s="45">
        <f t="shared" ca="1" si="268"/>
        <v>2.162482885499879</v>
      </c>
      <c r="R302" s="117">
        <f ca="1">模拟模式!$E$20*(1-IF(模拟模式!$J$19="有",0.15,0))*(1-IF(模拟模式!$K$19="有",0.3,0)-IF(CQ302,0.5,0))</f>
        <v>843.02999999999975</v>
      </c>
      <c r="S302" s="45">
        <f ca="1">R302/(R302+(185*模拟模式!$E$22-16800)*4.08224)</f>
        <v>8.389626085980037E-2</v>
      </c>
      <c r="T302" s="45" t="str">
        <f ca="1">LOOKUP(D302,'模拟-单技能数据'!$A$2:$A$19,'模拟-单技能数据'!$H$2:$H$19)</f>
        <v>阴</v>
      </c>
      <c r="U302" s="119">
        <f t="shared" ca="1" si="243"/>
        <v>0.08</v>
      </c>
      <c r="V302" s="47">
        <f ca="1">(1+L302)*(LOOKUP(D302,'模拟-单技能数据'!$A$2:$A$19,'模拟-单技能数据'!$D$2:$D$19)+G302*LOOKUP(D302,'模拟-单技能数据'!$A$2:$A$19,'模拟-单技能数据'!$F$2:$F$19))*(1+J302)*(1+K302)*(1-S302)*(1+U302)*Q302*LOOKUP(D302,'模拟-单技能数据'!$A$2:$A$19,'模拟-单技能数据'!$I$2:$I$20)</f>
        <v>127463.41908070058</v>
      </c>
      <c r="W302" s="47">
        <f ca="1">LOOKUP(D302,'模拟-单技能数据'!$A$2:$A$19,'模拟-单技能数据'!$G$2:$G$19)*$I$10</f>
        <v>723.0212870940959</v>
      </c>
      <c r="X302" s="47">
        <f t="shared" ca="1" si="269"/>
        <v>0</v>
      </c>
      <c r="Y302" s="47">
        <f t="shared" ca="1" si="244"/>
        <v>128186.44036779468</v>
      </c>
      <c r="Z302" s="49">
        <f t="shared" ca="1" si="245"/>
        <v>29117365.917968761</v>
      </c>
      <c r="AA302" s="97">
        <f t="shared" ca="1" si="246"/>
        <v>114776.51014720298</v>
      </c>
      <c r="AB302" s="115">
        <f ca="1">IF(OR(C302="赤日轮1",C302="赤日轮2",C302="赤日轮3"),IF(RAND()&lt;模拟模式!$Y$17,1,0),IF(OR(C302="幽月轮1",C302="幽月轮2",C302="幽月轮3"),IF(RAND()&lt;模拟模式!$Y$18,1,0),IF(C302="烈日斩",IF(RAND()&lt;模拟模式!$Y$19,1,0),IF(C302="银月斩",IF(RAND()&lt;模拟模式!$Y$20,1,0),IF(C302="驱夜断愁",IF(RAND()&lt;模拟模式!$Y$21,1,0),IF(C302="净世破魔击·日",IF(RAND()&lt;模拟模式!$Y$22,1,0),IF(C302="净世破魔击·月",IF(RAND()&lt;模拟模式!$Y$23,1,0),0)))))))</f>
        <v>1</v>
      </c>
      <c r="AC302" s="115" t="b">
        <f t="shared" ca="1" si="234"/>
        <v>0</v>
      </c>
      <c r="AD302" s="115" t="b">
        <f t="shared" ca="1" si="254"/>
        <v>0</v>
      </c>
      <c r="AE302" s="115">
        <f t="shared" ca="1" si="255"/>
        <v>6</v>
      </c>
      <c r="AF302" s="47">
        <f ca="1">IF(AC302,('模拟-单技能数据'!$D$20+G302*'模拟-单技能数据'!$F$20)*(1+J302)*(1+'模拟-单技能数据'!$J$20)*(1+U302),0)</f>
        <v>0</v>
      </c>
      <c r="AG302" s="61">
        <f t="shared" ca="1" si="247"/>
        <v>0.64185145527300214</v>
      </c>
      <c r="AH302" s="61">
        <f t="shared" ca="1" si="248"/>
        <v>2.2624828854998791</v>
      </c>
      <c r="AI302" s="62">
        <f t="shared" ca="1" si="270"/>
        <v>8.9626434620555417E-2</v>
      </c>
      <c r="AJ302" s="47">
        <f ca="1">IF(AD302,IF(AI302&lt;$F$10,0,IF(AI302&lt;$F$10+$F$11,0.25,IF(AI302&lt;$F$10+$F$11+AG302,AH302,1)))*IF(AF302&gt;0,AF302,IF(AF301&gt;0,AF301,IF(AF300&gt;0,AF300,IF(AF299&gt;0,AF299,IF(AF298&gt;0,AF298,IF(AF297&gt;0,AF297,IF(AF296&gt;0,AF296,IF(AF295&gt;0,AF295,IF(AF294&gt;0,AF294,IF(AF292&gt;0,AF292,IF(AF291&gt;0,AF291,IF(AF290&gt;0,AF290,0)))))))))))),0)*(1-$S302)*'模拟-单技能数据'!$I$20</f>
        <v>0</v>
      </c>
      <c r="AK302" s="115" t="b">
        <f t="shared" ca="1" si="235"/>
        <v>0</v>
      </c>
      <c r="AL302" s="115" t="b">
        <f t="shared" ca="1" si="256"/>
        <v>0</v>
      </c>
      <c r="AM302" s="115">
        <f t="shared" ca="1" si="257"/>
        <v>4</v>
      </c>
      <c r="AN302" s="47">
        <f ca="1">IF(AK302,('模拟-单技能数据'!$D$21+G302*'模拟-单技能数据'!$F$21)*(1+J302)*(1+'模拟-单技能数据'!$J$21)*(1+U302),0)</f>
        <v>0</v>
      </c>
      <c r="AO302" s="61">
        <f ca="1">IF(AN302&gt;0,M302-'模拟-单技能数据'!$K$10,AO301)</f>
        <v>0.42185145527300216</v>
      </c>
      <c r="AP302" s="61">
        <f ca="1">IF(AN302&gt;0,I302-'模拟-单技能数据'!$L$10,AP301)</f>
        <v>2.162482885499879</v>
      </c>
      <c r="AQ302" s="63">
        <f t="shared" ca="1" si="271"/>
        <v>0.48973387427076731</v>
      </c>
      <c r="AR302" s="64">
        <f ca="1">IF(AL302,IF(AQ302&lt;$F$10,0,IF(AQ302&lt;$F$10+$F$11,0.25,IF(AQ302&lt;$F$10+$F$11+AO302,AP302,1)))*IF(AN302&gt;0,AN302,IF(AN301&gt;0,AN301,IF(AN300&gt;0,AN300,IF(AN299&gt;0,AN299,IF(AN298&gt;0,AN298,IF(AN297&gt;0,AN297,IF(AN296&gt;0,AN296,IF(AN295&gt;0,AN295,IF(AN294&gt;0,AN294,IF(AN292&gt;0,AN292,IF(AN291&gt;0,AN291,IF(AN290&gt;0,AN290,0)))))))))))),0)*(1-$S302)*'模拟-单技能数据'!$I$21</f>
        <v>0</v>
      </c>
      <c r="AS302" s="61">
        <f ca="1">IF(OR(C302="净世破魔击·日",C302="净世破魔击·月"),M302-'模拟-单技能数据'!$K$10,0)</f>
        <v>0</v>
      </c>
      <c r="AT302" s="61">
        <f ca="1">IF(OR(C302="净世破魔击·日",C302="净世破魔击·月"),I302-'模拟-单技能数据'!$L$10,0)</f>
        <v>0</v>
      </c>
      <c r="AU302" s="62">
        <f t="shared" ca="1" si="272"/>
        <v>0.52213954285581954</v>
      </c>
      <c r="AV302" s="64">
        <f ca="1">IF(AS302&gt;0,('模拟-单技能数据'!$D$22+G302*'模拟-单技能数据'!$F$22)*(1+J302)*(1-S302)*IF(AU302&lt;$F$10,0,IF(AU302&lt;$F$10+$F$11,0.25,IF(AU302&lt;$F$10+$F$11+AS302,AT302,1)))*(1+U302),0)*'模拟-单技能数据'!$I$22</f>
        <v>0</v>
      </c>
      <c r="AW302" s="108">
        <f t="shared" ca="1" si="273"/>
        <v>3.3950000000000062</v>
      </c>
      <c r="AX302" s="108" t="b">
        <f ca="1">AND(模拟模式!$P$10="有",AW301=0,RAND()&lt;IF(C302="净世破魔击·月",0.1*8/3,IF(C302="净世破魔击·日",0.1*4/3,0.1*2/3)))</f>
        <v>0</v>
      </c>
      <c r="AY302" s="47">
        <f ca="1">IF(AX302,(18+G302*0.722)*(1+J302)*(1-S302)*(1+$I$4)*IF(P302="会",'模拟-全程加成'!$J$3+'模拟-全程加成'!$J$4+'模拟-全程加成'!$J$5+('模拟-全程加成'!$I$4+'模拟-全程加成'!$I$5)/系数!$B$4+BG302*10%,IF(P302="命",1,IF(P302="识",0.25,0))),0)</f>
        <v>0</v>
      </c>
      <c r="AZ302" s="108">
        <f t="shared" si="274"/>
        <v>9.8525000000000063</v>
      </c>
      <c r="BA302" s="108" t="b">
        <f>AND(模拟模式!$Q$10="有",AZ301=0)</f>
        <v>0</v>
      </c>
      <c r="BB302" s="140">
        <f>IF(BA302,(0+G302*0.287)*(1+J302)*(1-S302)*(1+$I$4)*IF(P302="会",'模拟-全程加成'!$J$3+'模拟-全程加成'!$J$4+'模拟-全程加成'!$J$5+('模拟-全程加成'!$I$4+'模拟-全程加成'!$I$5)/系数!$B$4+BG302*10%,IF(P302="命",1,IF(P302="识",0.25,0))),0)</f>
        <v>0</v>
      </c>
      <c r="BC302" s="115" t="b">
        <f ca="1">AND(模拟模式!$R$7="伏明众生",E302=60,F302=20,DA302&lt;5,CZ301&lt;$F$4)</f>
        <v>0</v>
      </c>
      <c r="BD302" s="115">
        <f t="shared" ca="1" si="236"/>
        <v>0</v>
      </c>
      <c r="BE302" s="115" t="b">
        <f t="shared" ca="1" si="237"/>
        <v>0</v>
      </c>
      <c r="BF302" s="47">
        <f ca="1">IF(BC302,4*('模拟-单技能数据'!$D$24+G302*'模拟-单技能数据'!$F$24)*(1+J302)*(1+'模拟-单技能数据'!$J$24)*(1-S302)*(1+$I$3)*(('模拟-全程加成'!$J$3+'模拟-全程加成'!$J$4+'模拟-全程加成'!$J$5+('模拟-全程加成'!$I$4+'模拟-全程加成'!$I$5)/系数!$B$4+BG302*10%)*('模拟-全程加成'!$J$3+'模拟-全程加成'!$J$4+'模拟-全程加成'!$J$5+('模拟-全程加成'!$I$4+'模拟-全程加成'!$I$5)/系数!$B$4+BG302*10%)+(1-('模拟-全程加成'!$J$3+'模拟-全程加成'!$J$4+'模拟-全程加成'!$J$5+('模拟-全程加成'!$I$4+'模拟-全程加成'!$I$5)/系数!$B$4+BG302*10%)-$F$10-$F$11)+F288*0.25),0)*'模拟-单技能数据'!$I$24</f>
        <v>0</v>
      </c>
      <c r="BG302" s="115" t="b">
        <f ca="1">OR(AND(OR(C302="烈日斩",C302="银月斩"),模拟模式!$I$7="净身明礼"),AND(C302="净世破魔击·日",模拟模式!$J$7="洞若观火"),AND(C303="净世破魔击·月",模拟模式!$J$7="洞若观火"),AB302=1)</f>
        <v>1</v>
      </c>
      <c r="BH302" s="115" t="b">
        <f t="shared" ca="1" si="275"/>
        <v>0</v>
      </c>
      <c r="BI302" s="115">
        <f t="shared" ca="1" si="238"/>
        <v>0</v>
      </c>
      <c r="BJ302" s="115" t="b">
        <f t="shared" ca="1" si="249"/>
        <v>0</v>
      </c>
      <c r="BK302" s="115" t="b">
        <f ca="1">AND(C302="驱夜断愁",模拟模式!$P$7="天地诛戮")</f>
        <v>1</v>
      </c>
      <c r="BL302" s="57">
        <f t="shared" ca="1" si="239"/>
        <v>20</v>
      </c>
      <c r="BM302" s="115" t="b">
        <f t="shared" ca="1" si="250"/>
        <v>1</v>
      </c>
      <c r="BN302" s="115" t="b">
        <f ca="1">AND(OR(C302="赤日轮1",C302="赤日轮2",C302="赤日轮3",C302="幽月轮1",C302="幽月轮2",C302="幽月轮3"),AB302=1,模拟模式!$L$7="明光恒照")</f>
        <v>0</v>
      </c>
      <c r="BO302" s="117">
        <f t="shared" ca="1" si="240"/>
        <v>19.852500000000006</v>
      </c>
      <c r="BP302" s="115">
        <f t="shared" ca="1" si="276"/>
        <v>6</v>
      </c>
      <c r="BQ302" s="115" t="b">
        <f>模拟模式!$K$10="2600·水"</f>
        <v>0</v>
      </c>
      <c r="BR302" s="117">
        <f t="shared" si="277"/>
        <v>0</v>
      </c>
      <c r="BS302" s="115">
        <f t="shared" si="278"/>
        <v>0</v>
      </c>
      <c r="BT302" s="115">
        <f t="shared" ca="1" si="279"/>
        <v>0</v>
      </c>
      <c r="BU302" s="115" t="b">
        <f ca="1">AND(模拟模式!$K$10="2300·雷",BT301=0,RAND()&lt;IF(C302="净世破魔击·月",5*0.05*2/3,IF(C302="净世破魔击·日",3*0.05*2/3,0.05*2*2/3)))</f>
        <v>0</v>
      </c>
      <c r="BV302" s="115">
        <f t="shared" ca="1" si="280"/>
        <v>0</v>
      </c>
      <c r="BW302" s="115">
        <f t="shared" ca="1" si="281"/>
        <v>118.19249999999924</v>
      </c>
      <c r="BX302" s="164" t="b">
        <f t="shared" ca="1" si="282"/>
        <v>0</v>
      </c>
      <c r="BY302" s="115">
        <f t="shared" ca="1" si="283"/>
        <v>0</v>
      </c>
      <c r="BZ302" s="115">
        <f>IF(OR(模拟模式!$P$16="10人团",模拟模式!$P$16="25人团"),IF(B302/30&gt;CA301,1,0),0)</f>
        <v>0</v>
      </c>
      <c r="CA302" s="115">
        <f t="shared" si="259"/>
        <v>0</v>
      </c>
      <c r="CB302" s="115">
        <f ca="1">IF(BZ302=1,IF(模拟模式!$P$16="10人团",15,0)+IF(模拟模式!$P$16="25人团",IF(RAND()&lt;0.6,15,0)),MAX(0,CB301-$F$4))</f>
        <v>0</v>
      </c>
      <c r="CC302" s="115" t="b">
        <f t="shared" ca="1" si="251"/>
        <v>0</v>
      </c>
      <c r="CD302" s="115">
        <f>IF(模拟模式!$Q$16="1个",IF(B302/40&gt;CE301,1,0),0)</f>
        <v>0</v>
      </c>
      <c r="CE302" s="115">
        <f t="shared" si="252"/>
        <v>0</v>
      </c>
      <c r="CF302" s="115">
        <f>IF(OR(CD302=1,模拟模式!$Q$16="2个"),20,MAX(0,CF301-$F$4))</f>
        <v>0</v>
      </c>
      <c r="CG302" s="115" t="b">
        <f t="shared" si="253"/>
        <v>0</v>
      </c>
      <c r="CH302" s="115">
        <f t="shared" ca="1" si="284"/>
        <v>13.39500000000001</v>
      </c>
      <c r="CI302" s="115" t="b">
        <f t="shared" ca="1" si="285"/>
        <v>0</v>
      </c>
      <c r="CJ302" s="119">
        <f t="shared" ca="1" si="286"/>
        <v>0</v>
      </c>
      <c r="CK302" s="115">
        <f t="shared" ca="1" si="287"/>
        <v>0</v>
      </c>
      <c r="CL302" s="115" t="b">
        <f ca="1">AND(模拟模式!$S$7="驱夷逐法",OR(AND(C302="净世破魔击·月",E301&gt;59),AND(C302="净世破魔击·日",F301&gt;59)))</f>
        <v>0</v>
      </c>
      <c r="CM302" s="115" t="b">
        <f ca="1">OR(CL302,AND(C302="净世破魔击·日",CL301,RAND()&lt;模拟模式!$U$23))</f>
        <v>0</v>
      </c>
      <c r="CN302" s="115" t="b">
        <f ca="1">IF(模拟模式!$M$7="辉耀红尘",AND(C302="净世破魔击·月",CL302,CV302=0,E301&lt;80),AND(C302="净世破魔击·月",CL302,E301&lt;100))</f>
        <v>0</v>
      </c>
      <c r="CO302" s="115" t="b">
        <f t="shared" ca="1" si="260"/>
        <v>0</v>
      </c>
      <c r="CP302" s="115" t="b">
        <f ca="1">AND(模拟模式!$O$7="用晦而明",OR(C302="净世破魔击·日",C302="净世破魔击·月",C302="驱夜断愁"),AB302)</f>
        <v>1</v>
      </c>
      <c r="CQ302" s="115" t="b">
        <f ca="1">OR(CP302,AND(CP301,RAND()&lt;模拟模式!$U$23))</f>
        <v>1</v>
      </c>
      <c r="CR302" s="115" t="b">
        <f ca="1">AND(模拟模式!$S$7="日月齐光",OR(C302="幽月轮1",C302="幽月轮2",C302="幽月轮3",CR301),NOT(OR(C302="赤日轮1",C302="赤日轮2",C302="赤日轮3")))</f>
        <v>0</v>
      </c>
      <c r="CS302" s="115" t="b">
        <f ca="1">AND(模拟模式!$S$7="日月齐光",OR(C302="赤日轮1",C302="赤日轮2",C302="赤日轮3",CS301),NOT(OR(C302="幽月轮1",C302="幽月轮2",C302="幽月轮3")))</f>
        <v>0</v>
      </c>
      <c r="CT302" s="115">
        <f t="shared" ca="1" si="288"/>
        <v>22.620000000000005</v>
      </c>
      <c r="CU302" s="115" t="b">
        <f ca="1">AND(模拟模式!$K$10="阴阳往极",CT301=0,RAND()&lt;IF(C302="净世破魔击·月",0.0275*7/3,IF(C302="净世破魔击·日",0.0275*3/3,0.0275*2/3)))</f>
        <v>0</v>
      </c>
      <c r="CV302" s="115">
        <f t="shared" ca="1" si="289"/>
        <v>0</v>
      </c>
      <c r="CW302" s="115">
        <f t="shared" ca="1" si="261"/>
        <v>0</v>
      </c>
      <c r="CX302" s="115">
        <f t="shared" ca="1" si="262"/>
        <v>5.0774999999999997</v>
      </c>
      <c r="CY302" s="115">
        <f ca="1">MAX(IF($C302="驱夜断愁",IF(模拟模式!$R$7="万念俱寂",6,45),CY301-$F$4),0)</f>
        <v>6</v>
      </c>
      <c r="CZ302" s="115">
        <f t="shared" ca="1" si="263"/>
        <v>0</v>
      </c>
      <c r="DA302" s="115">
        <f ca="1">IF(模拟模式!$N$7="日月同辉",IF(DB301=2,0,MIN(6,IF(AND(OR(C302="赤日轮1",C302="赤日轮2",C302="赤日轮3",C302="幽月轮1",C302="幽月轮2",C302="幽月轮3"),AB302=1),DA301+1,DA301))),0)</f>
        <v>0</v>
      </c>
      <c r="DB302" s="115">
        <f t="shared" ca="1" si="264"/>
        <v>0</v>
      </c>
      <c r="DC302" s="115"/>
      <c r="DD302" s="115"/>
      <c r="DE302" s="115"/>
      <c r="DF302" s="115"/>
      <c r="DG302" s="115"/>
      <c r="DH302" s="115"/>
      <c r="DI302" s="115"/>
      <c r="DJ302" s="115"/>
      <c r="DK302" s="115"/>
      <c r="DL302" s="115"/>
      <c r="DM302" s="115"/>
    </row>
    <row r="303" spans="2:117" x14ac:dyDescent="0.2">
      <c r="B303" s="117">
        <f t="shared" si="265"/>
        <v>254.6100000000018</v>
      </c>
      <c r="C303" s="167" t="str">
        <f t="shared" ca="1" si="258"/>
        <v>烈日斩</v>
      </c>
      <c r="D303" s="115">
        <f ca="1">IF(C303="赤日轮1",1,IF(C303="赤日轮2",2,IF(C303="赤日轮3",3,IF(C303="幽月轮1",4,IF(C303="幽月轮2",5,IF(C303="幽月轮3",6,IF(C303="烈日斩",7,IF(C303="银月斩",8,IF(C303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303="净世破魔击·月",17,IF(C303="驱夜断愁",18,0)))))))))))</f>
        <v>7</v>
      </c>
      <c r="E303" s="115">
        <f ca="1">IF(AND(CU303,OR(C303="幽月轮1",C303="幽月轮2",C303="幽月轮3",C303="银月斩",C303="驱夜断愁",C303="净世破魔击·月")),100,MIN(IF(OR(CN303,BE303),0,IF(OR($C303="赤日轮1",$C303="赤日轮2",$C303="赤日轮3"),E302+20+IF(模拟模式!$I$7="日月凌天",4,0)+IF(CR302,20,0),IF($C303="烈日斩",E302+40,IF($C303="驱夜断愁",IF(模拟模式!$R$7="万念俱寂",E302+20,E302+60),IF($C303="净世破魔击·月",IF(OR(DB302&gt;0,CV302&gt;0),100,IF(模拟模式!$M$7="辉耀红尘",E302+20,E302)),IF($C303="净世破魔击·日",E302-100,E302)))))),100))</f>
        <v>80</v>
      </c>
      <c r="F303" s="115">
        <f ca="1">IF(AND(CU303,OR(C303="赤日轮1",C303="赤日轮2",C303="赤日轮3",C303="烈日斩",C303="净世破魔击·日")),100,MIN(IF(CO303,0,IF(OR($C303="幽月轮1",$C303="幽月轮2",$C303="幽月轮3"),F302+20+IF(模拟模式!$I$7="日月凌天",4,0)+IF(CS302,20,0),IF($C303="银月斩",F302+40+IF(模拟模式!$X$12=1,5,0),IF($C303="驱夜断愁",IF(模拟模式!$R$7="万念俱寂",F302+20,F302+60),IF($C303="净世破魔击·月",IF(模拟模式!$M$7="辉耀红尘",F302-80,F302-100),IF(AND(C303="净世破魔击·日",OR(DB302&gt;0,CV302&gt;0)),100,F302)))))),100))</f>
        <v>85</v>
      </c>
      <c r="G303" s="117">
        <f ca="1">('模拟-全程加成'!$E$3+'模拟-全程加成'!$E$4+'模拟-全程加成'!$E$5+('模拟-全程加成'!$C$6-'模拟-全程加成'!$C$3)*系数!$B$9+BS303*23)*(1+'模拟-全程加成'!$F$4+'模拟-全程加成'!$F$5+BJ303*10%+BM303*20%+BP303*4%+CG303*30%)+$F$7*系数!$B$12</f>
        <v>20583.127400000001</v>
      </c>
      <c r="H303" s="45">
        <f ca="1">'模拟-全程加成'!$H$3+'模拟-全程加成'!$H$4+'模拟-全程加成'!$H$5+('模拟-全程加成'!$G$4+'模拟-全程加成'!$G$5+('模拟-全程加成'!$C$6-'模拟-全程加成'!$C$3)*系数!$B$13)/系数!$B$3+LOOKUP(D303,'模拟-单技能数据'!$A$2:$A$19,'模拟-单技能数据'!$K$2:$K$19)+BG303*10%+IF(BV303&gt;0,378,0)</f>
        <v>0.56185145527300218</v>
      </c>
      <c r="I303" s="45">
        <f ca="1">'模拟-全程加成'!$J$3+'模拟-全程加成'!$J$4+'模拟-全程加成'!$J$5+('模拟-全程加成'!$I$4+'模拟-全程加成'!$I$5)/系数!$B$4+LOOKUP(D303,'模拟-单技能数据'!$A$2:$A$19,'模拟-单技能数据'!$L$2:$L$19)+BG303*10%</f>
        <v>2.2624828854998791</v>
      </c>
      <c r="J303" s="45">
        <f ca="1">(('模拟-全程加成'!$K$3+'模拟-全程加成'!$K$4+'模拟-全程加成'!$K$5+('模拟-全程加成'!$C$6-'模拟-全程加成'!$C$3)*系数!$B$10+IF(BV303&gt;0,882,0)+IF(BY303&gt;0,1831,0))*(1+'模拟-全程加成'!$L$4+'模拟-全程加成'!$L$5+CC303*20%))/系数!$B$5</f>
        <v>0.69723220422048726</v>
      </c>
      <c r="K303" s="119">
        <f ca="1">LOOKUP(D303,'模拟-单技能数据'!$A$2:$A$19,'模拟-单技能数据'!$J$2:$J$19)+IF(CM303,60%,0)+IF(DB302-DB303&gt;0,30%,0)+IF(OR(AND(OR(C303="赤日轮1",C303="赤日轮2",C303="赤日轮3"),CR303),AND(OR(C303="幽月轮1",C303="幽月轮2",C303="幽月轮3"),CS303)),35%,0)+CJ303</f>
        <v>0.24</v>
      </c>
      <c r="L303" s="119">
        <f ca="1">IF(AND(C303="烈日斩",模拟模式!$X$11=1),10%,0)+IF(AND(C303="驱夜断愁",AB303=1),30%,0)</f>
        <v>0.1</v>
      </c>
      <c r="M303" s="45">
        <f t="shared" ca="1" si="241"/>
        <v>0.56185145527300218</v>
      </c>
      <c r="N303" s="45">
        <f t="shared" ca="1" si="242"/>
        <v>0.38424854472699788</v>
      </c>
      <c r="O303" s="46">
        <f t="shared" ca="1" si="266"/>
        <v>0.4394976885922578</v>
      </c>
      <c r="P303" s="46" t="str">
        <f t="shared" ca="1" si="267"/>
        <v>会</v>
      </c>
      <c r="Q303" s="45">
        <f t="shared" ca="1" si="268"/>
        <v>2.2624828854998791</v>
      </c>
      <c r="R303" s="117">
        <f ca="1">模拟模式!$E$20*(1-IF(模拟模式!$J$19="有",0.15,0))*(1-IF(模拟模式!$K$19="有",0.3,0)-IF(CQ303,0.5,0))</f>
        <v>843.02999999999975</v>
      </c>
      <c r="S303" s="45">
        <f ca="1">R303/(R303+(185*模拟模式!$E$22-16800)*4.08224)</f>
        <v>8.389626085980037E-2</v>
      </c>
      <c r="T303" s="45" t="str">
        <f ca="1">LOOKUP(D303,'模拟-单技能数据'!$A$2:$A$19,'模拟-单技能数据'!$H$2:$H$19)</f>
        <v>阳</v>
      </c>
      <c r="U303" s="119">
        <f t="shared" ca="1" si="243"/>
        <v>0.2</v>
      </c>
      <c r="V303" s="47">
        <f ca="1">(1+L303)*(LOOKUP(D303,'模拟-单技能数据'!$A$2:$A$19,'模拟-单技能数据'!$D$2:$D$19)+G303*LOOKUP(D303,'模拟-单技能数据'!$A$2:$A$19,'模拟-单技能数据'!$F$2:$F$19))*(1+J303)*(1+K303)*(1-S303)*(1+U303)*Q303*LOOKUP(D303,'模拟-单技能数据'!$A$2:$A$19,'模拟-单技能数据'!$I$2:$I$20)</f>
        <v>105861.05199666526</v>
      </c>
      <c r="W303" s="47">
        <f ca="1">LOOKUP(D303,'模拟-单技能数据'!$A$2:$A$19,'模拟-单技能数据'!$G$2:$G$19)*$I$10</f>
        <v>361.51064354704795</v>
      </c>
      <c r="X303" s="47">
        <f t="shared" ca="1" si="269"/>
        <v>20337.288047383721</v>
      </c>
      <c r="Y303" s="47">
        <f t="shared" ca="1" si="244"/>
        <v>126559.85068759604</v>
      </c>
      <c r="Z303" s="49">
        <f t="shared" ca="1" si="245"/>
        <v>29243925.768656358</v>
      </c>
      <c r="AA303" s="97">
        <f t="shared" ca="1" si="246"/>
        <v>114857.72659619084</v>
      </c>
      <c r="AB303" s="115">
        <f ca="1">IF(OR(C303="赤日轮1",C303="赤日轮2",C303="赤日轮3"),IF(RAND()&lt;模拟模式!$Y$17,1,0),IF(OR(C303="幽月轮1",C303="幽月轮2",C303="幽月轮3"),IF(RAND()&lt;模拟模式!$Y$18,1,0),IF(C303="烈日斩",IF(RAND()&lt;模拟模式!$Y$19,1,0),IF(C303="银月斩",IF(RAND()&lt;模拟模式!$Y$20,1,0),IF(C303="驱夜断愁",IF(RAND()&lt;模拟模式!$Y$21,1,0),IF(C303="净世破魔击·日",IF(RAND()&lt;模拟模式!$Y$22,1,0),IF(C303="净世破魔击·月",IF(RAND()&lt;模拟模式!$Y$23,1,0),0)))))))</f>
        <v>1</v>
      </c>
      <c r="AC303" s="115" t="b">
        <f t="shared" ca="1" si="234"/>
        <v>0</v>
      </c>
      <c r="AD303" s="115" t="b">
        <f t="shared" ca="1" si="254"/>
        <v>1</v>
      </c>
      <c r="AE303" s="115">
        <f t="shared" ca="1" si="255"/>
        <v>5</v>
      </c>
      <c r="AF303" s="47">
        <f ca="1">IF(AC303,('模拟-单技能数据'!$D$20+G303*'模拟-单技能数据'!$F$20)*(1+J303)*(1+'模拟-单技能数据'!$J$20)*(1+U303),0)</f>
        <v>0</v>
      </c>
      <c r="AG303" s="61">
        <f t="shared" ca="1" si="247"/>
        <v>0.64185145527300214</v>
      </c>
      <c r="AH303" s="61">
        <f t="shared" ca="1" si="248"/>
        <v>2.2624828854998791</v>
      </c>
      <c r="AI303" s="62">
        <f t="shared" ca="1" si="270"/>
        <v>0.3140205737499957</v>
      </c>
      <c r="AJ303" s="47">
        <f ca="1">IF(AD303,IF(AI303&lt;$F$10,0,IF(AI303&lt;$F$10+$F$11,0.25,IF(AI303&lt;$F$10+$F$11+AG303,AH303,1)))*IF(AF303&gt;0,AF303,IF(AF302&gt;0,AF302,IF(AF301&gt;0,AF301,IF(AF300&gt;0,AF300,IF(AF299&gt;0,AF299,IF(AF298&gt;0,AF298,IF(AF297&gt;0,AF297,IF(AF296&gt;0,AF296,IF(AF295&gt;0,AF295,IF(AF293&gt;0,AF293,IF(AF292&gt;0,AF292,IF(AF291&gt;0,AF291,0)))))))))))),0)*(1-$S303)*'模拟-单技能数据'!$I$20</f>
        <v>9218.9345386263849</v>
      </c>
      <c r="AK303" s="115" t="b">
        <f t="shared" ca="1" si="235"/>
        <v>0</v>
      </c>
      <c r="AL303" s="115" t="b">
        <f t="shared" ca="1" si="256"/>
        <v>1</v>
      </c>
      <c r="AM303" s="115">
        <f t="shared" ca="1" si="257"/>
        <v>3</v>
      </c>
      <c r="AN303" s="47">
        <f ca="1">IF(AK303,('模拟-单技能数据'!$D$21+G303*'模拟-单技能数据'!$F$21)*(1+J303)*(1+'模拟-单技能数据'!$J$21)*(1+U303),0)</f>
        <v>0</v>
      </c>
      <c r="AO303" s="61">
        <f ca="1">IF(AN303&gt;0,M303-'模拟-单技能数据'!$K$10,AO302)</f>
        <v>0.42185145527300216</v>
      </c>
      <c r="AP303" s="61">
        <f ca="1">IF(AN303&gt;0,I303-'模拟-单技能数据'!$L$10,AP302)</f>
        <v>2.162482885499879</v>
      </c>
      <c r="AQ303" s="63">
        <f t="shared" ca="1" si="271"/>
        <v>0.67852773466698713</v>
      </c>
      <c r="AR303" s="64">
        <f ca="1">IF(AL303,IF(AQ303&lt;$F$10,0,IF(AQ303&lt;$F$10+$F$11,0.25,IF(AQ303&lt;$F$10+$F$11+AO303,AP303,1)))*IF(AN303&gt;0,AN303,IF(AN302&gt;0,AN302,IF(AN301&gt;0,AN301,IF(AN300&gt;0,AN300,IF(AN299&gt;0,AN299,IF(AN298&gt;0,AN298,IF(AN297&gt;0,AN297,IF(AN296&gt;0,AN296,IF(AN295&gt;0,AN295,IF(AN293&gt;0,AN293,IF(AN292&gt;0,AN292,IF(AN291&gt;0,AN291,0)))))))))))),0)*(1-$S303)*'模拟-单技能数据'!$I$21</f>
        <v>11118.353508757338</v>
      </c>
      <c r="AS303" s="61">
        <f ca="1">IF(OR(C303="净世破魔击·日",C303="净世破魔击·月"),M303-'模拟-单技能数据'!$K$10,0)</f>
        <v>0</v>
      </c>
      <c r="AT303" s="61">
        <f ca="1">IF(OR(C303="净世破魔击·日",C303="净世破魔击·月"),I303-'模拟-单技能数据'!$L$10,0)</f>
        <v>0</v>
      </c>
      <c r="AU303" s="62">
        <f t="shared" ca="1" si="272"/>
        <v>0.87860935126226547</v>
      </c>
      <c r="AV303" s="64">
        <f ca="1">IF(AS303&gt;0,('模拟-单技能数据'!$D$22+G303*'模拟-单技能数据'!$F$22)*(1+J303)*(1-S303)*IF(AU303&lt;$F$10,0,IF(AU303&lt;$F$10+$F$11,0.25,IF(AU303&lt;$F$10+$F$11+AS303,AT303,1)))*(1+U303),0)*'模拟-单技能数据'!$I$22</f>
        <v>0</v>
      </c>
      <c r="AW303" s="108">
        <f t="shared" ca="1" si="273"/>
        <v>2.4725000000000064</v>
      </c>
      <c r="AX303" s="108" t="b">
        <f ca="1">AND(模拟模式!$P$10="有",AW302=0,RAND()&lt;IF(C303="净世破魔击·月",0.1*8/3,IF(C303="净世破魔击·日",0.1*4/3,0.1*2/3)))</f>
        <v>0</v>
      </c>
      <c r="AY303" s="47">
        <f ca="1">IF(AX303,(18+G303*0.722)*(1+J303)*(1-S303)*(1+$I$4)*IF(P303="会",'模拟-全程加成'!$J$3+'模拟-全程加成'!$J$4+'模拟-全程加成'!$J$5+('模拟-全程加成'!$I$4+'模拟-全程加成'!$I$5)/系数!$B$4+BG303*10%,IF(P303="命",1,IF(P303="识",0.25,0))),0)</f>
        <v>0</v>
      </c>
      <c r="AZ303" s="108">
        <f t="shared" si="274"/>
        <v>8.9300000000000068</v>
      </c>
      <c r="BA303" s="108" t="b">
        <f>AND(模拟模式!$Q$10="有",AZ302=0)</f>
        <v>0</v>
      </c>
      <c r="BB303" s="140">
        <f>IF(BA303,(0+G303*0.287)*(1+J303)*(1-S303)*(1+$I$4)*IF(P303="会",'模拟-全程加成'!$J$3+'模拟-全程加成'!$J$4+'模拟-全程加成'!$J$5+('模拟-全程加成'!$I$4+'模拟-全程加成'!$I$5)/系数!$B$4+BG303*10%,IF(P303="命",1,IF(P303="识",0.25,0))),0)</f>
        <v>0</v>
      </c>
      <c r="BC303" s="115" t="b">
        <f ca="1">AND(模拟模式!$R$7="伏明众生",E303=60,F303=20,DA303&lt;5,CZ302&lt;$F$4)</f>
        <v>0</v>
      </c>
      <c r="BD303" s="115">
        <f t="shared" ca="1" si="236"/>
        <v>0</v>
      </c>
      <c r="BE303" s="115" t="b">
        <f t="shared" ca="1" si="237"/>
        <v>0</v>
      </c>
      <c r="BF303" s="47">
        <f ca="1">IF(BC303,4*('模拟-单技能数据'!$D$24+G303*'模拟-单技能数据'!$F$24)*(1+J303)*(1+'模拟-单技能数据'!$J$24)*(1-S303)*(1+$I$3)*(('模拟-全程加成'!$J$3+'模拟-全程加成'!$J$4+'模拟-全程加成'!$J$5+('模拟-全程加成'!$I$4+'模拟-全程加成'!$I$5)/系数!$B$4+BG303*10%)*('模拟-全程加成'!$J$3+'模拟-全程加成'!$J$4+'模拟-全程加成'!$J$5+('模拟-全程加成'!$I$4+'模拟-全程加成'!$I$5)/系数!$B$4+BG303*10%)+(1-('模拟-全程加成'!$J$3+'模拟-全程加成'!$J$4+'模拟-全程加成'!$J$5+('模拟-全程加成'!$I$4+'模拟-全程加成'!$I$5)/系数!$B$4+BG303*10%)-$F$10-$F$11)+F289*0.25),0)*'模拟-单技能数据'!$I$24</f>
        <v>0</v>
      </c>
      <c r="BG303" s="115" t="b">
        <f ca="1">OR(AND(OR(C303="烈日斩",C303="银月斩"),模拟模式!$I$7="净身明礼"),AND(C303="净世破魔击·日",模拟模式!$J$7="洞若观火"),AND(C304="净世破魔击·月",模拟模式!$J$7="洞若观火"),AB303=1)</f>
        <v>1</v>
      </c>
      <c r="BH303" s="115" t="b">
        <f t="shared" ca="1" si="275"/>
        <v>0</v>
      </c>
      <c r="BI303" s="115">
        <f t="shared" ca="1" si="238"/>
        <v>0</v>
      </c>
      <c r="BJ303" s="115" t="b">
        <f t="shared" ca="1" si="249"/>
        <v>0</v>
      </c>
      <c r="BK303" s="115" t="b">
        <f ca="1">AND(C303="驱夜断愁",模拟模式!$P$7="天地诛戮")</f>
        <v>0</v>
      </c>
      <c r="BL303" s="57">
        <f t="shared" ca="1" si="239"/>
        <v>19.077500000000001</v>
      </c>
      <c r="BM303" s="115" t="b">
        <f t="shared" ca="1" si="250"/>
        <v>1</v>
      </c>
      <c r="BN303" s="115" t="b">
        <f ca="1">AND(OR(C303="赤日轮1",C303="赤日轮2",C303="赤日轮3",C303="幽月轮1",C303="幽月轮2",C303="幽月轮3"),AB303=1,模拟模式!$L$7="明光恒照")</f>
        <v>0</v>
      </c>
      <c r="BO303" s="117">
        <f t="shared" ca="1" si="240"/>
        <v>18.930000000000007</v>
      </c>
      <c r="BP303" s="115">
        <f t="shared" ca="1" si="276"/>
        <v>6</v>
      </c>
      <c r="BQ303" s="115" t="b">
        <f>模拟模式!$K$10="2600·水"</f>
        <v>0</v>
      </c>
      <c r="BR303" s="117">
        <f t="shared" si="277"/>
        <v>0</v>
      </c>
      <c r="BS303" s="115">
        <f t="shared" si="278"/>
        <v>0</v>
      </c>
      <c r="BT303" s="115">
        <f t="shared" ca="1" si="279"/>
        <v>0</v>
      </c>
      <c r="BU303" s="115" t="b">
        <f ca="1">AND(模拟模式!$K$10="2300·雷",BT302=0,RAND()&lt;IF(C303="净世破魔击·月",5*0.05*2/3,IF(C303="净世破魔击·日",3*0.05*2/3,0.05*2*2/3)))</f>
        <v>0</v>
      </c>
      <c r="BV303" s="115">
        <f t="shared" ca="1" si="280"/>
        <v>0</v>
      </c>
      <c r="BW303" s="115">
        <f t="shared" ca="1" si="281"/>
        <v>117.26999999999924</v>
      </c>
      <c r="BX303" s="164" t="b">
        <f t="shared" ca="1" si="282"/>
        <v>0</v>
      </c>
      <c r="BY303" s="115">
        <f t="shared" ca="1" si="283"/>
        <v>0</v>
      </c>
      <c r="BZ303" s="115">
        <f>IF(OR(模拟模式!$P$16="10人团",模拟模式!$P$16="25人团"),IF(B303/30&gt;CA302,1,0),0)</f>
        <v>0</v>
      </c>
      <c r="CA303" s="115">
        <f t="shared" si="259"/>
        <v>0</v>
      </c>
      <c r="CB303" s="115">
        <f ca="1">IF(BZ303=1,IF(模拟模式!$P$16="10人团",15,0)+IF(模拟模式!$P$16="25人团",IF(RAND()&lt;0.6,15,0)),MAX(0,CB302-$F$4))</f>
        <v>0</v>
      </c>
      <c r="CC303" s="115" t="b">
        <f t="shared" ca="1" si="251"/>
        <v>0</v>
      </c>
      <c r="CD303" s="115">
        <f>IF(模拟模式!$Q$16="1个",IF(B303/40&gt;CE302,1,0),0)</f>
        <v>0</v>
      </c>
      <c r="CE303" s="115">
        <f t="shared" si="252"/>
        <v>0</v>
      </c>
      <c r="CF303" s="115">
        <f>IF(OR(CD303=1,模拟模式!$Q$16="2个"),20,MAX(0,CF302-$F$4))</f>
        <v>0</v>
      </c>
      <c r="CG303" s="115" t="b">
        <f t="shared" si="253"/>
        <v>0</v>
      </c>
      <c r="CH303" s="115">
        <f t="shared" ca="1" si="284"/>
        <v>12.472500000000011</v>
      </c>
      <c r="CI303" s="115" t="b">
        <f t="shared" ca="1" si="285"/>
        <v>0</v>
      </c>
      <c r="CJ303" s="119">
        <f t="shared" ca="1" si="286"/>
        <v>0</v>
      </c>
      <c r="CK303" s="115">
        <f t="shared" ca="1" si="287"/>
        <v>0</v>
      </c>
      <c r="CL303" s="115" t="b">
        <f ca="1">AND(模拟模式!$S$7="驱夷逐法",OR(AND(C303="净世破魔击·月",E302&gt;59),AND(C303="净世破魔击·日",F302&gt;59)))</f>
        <v>0</v>
      </c>
      <c r="CM303" s="115" t="b">
        <f ca="1">OR(CL303,AND(C303="净世破魔击·日",CL302,RAND()&lt;模拟模式!$U$23))</f>
        <v>0</v>
      </c>
      <c r="CN303" s="115" t="b">
        <f ca="1">IF(模拟模式!$M$7="辉耀红尘",AND(C303="净世破魔击·月",CL303,CV303=0,E302&lt;80),AND(C303="净世破魔击·月",CL303,E302&lt;100))</f>
        <v>0</v>
      </c>
      <c r="CO303" s="115" t="b">
        <f t="shared" ca="1" si="260"/>
        <v>0</v>
      </c>
      <c r="CP303" s="115" t="b">
        <f ca="1">AND(模拟模式!$O$7="用晦而明",OR(C303="净世破魔击·日",C303="净世破魔击·月",C303="驱夜断愁"),AB303)</f>
        <v>0</v>
      </c>
      <c r="CQ303" s="115" t="b">
        <f ca="1">OR(CP303,AND(CP302,RAND()&lt;模拟模式!$U$23))</f>
        <v>1</v>
      </c>
      <c r="CR303" s="115" t="b">
        <f ca="1">AND(模拟模式!$S$7="日月齐光",OR(C303="幽月轮1",C303="幽月轮2",C303="幽月轮3",CR302),NOT(OR(C303="赤日轮1",C303="赤日轮2",C303="赤日轮3")))</f>
        <v>0</v>
      </c>
      <c r="CS303" s="115" t="b">
        <f ca="1">AND(模拟模式!$S$7="日月齐光",OR(C303="赤日轮1",C303="赤日轮2",C303="赤日轮3",CS302),NOT(OR(C303="幽月轮1",C303="幽月轮2",C303="幽月轮3")))</f>
        <v>0</v>
      </c>
      <c r="CT303" s="115">
        <f t="shared" ca="1" si="288"/>
        <v>21.697500000000005</v>
      </c>
      <c r="CU303" s="115" t="b">
        <f ca="1">AND(模拟模式!$K$10="阴阳往极",CT302=0,RAND()&lt;IF(C303="净世破魔击·月",0.0275*7/3,IF(C303="净世破魔击·日",0.0275*3/3,0.0275*2/3)))</f>
        <v>0</v>
      </c>
      <c r="CV303" s="115">
        <f t="shared" ca="1" si="289"/>
        <v>0</v>
      </c>
      <c r="CW303" s="115">
        <f t="shared" ca="1" si="261"/>
        <v>6</v>
      </c>
      <c r="CX303" s="115">
        <f t="shared" ca="1" si="262"/>
        <v>4.1549999999999994</v>
      </c>
      <c r="CY303" s="115">
        <f ca="1">MAX(IF($C303="驱夜断愁",IF(模拟模式!$R$7="万念俱寂",6,45),CY302-$F$4),0)</f>
        <v>5.0774999999999997</v>
      </c>
      <c r="CZ303" s="115">
        <f t="shared" ca="1" si="263"/>
        <v>0</v>
      </c>
      <c r="DA303" s="115">
        <f ca="1">IF(模拟模式!$N$7="日月同辉",IF(DB302=2,0,MIN(6,IF(AND(OR(C303="赤日轮1",C303="赤日轮2",C303="赤日轮3",C303="幽月轮1",C303="幽月轮2",C303="幽月轮3"),AB303=1),DA302+1,DA302))),0)</f>
        <v>0</v>
      </c>
      <c r="DB303" s="115">
        <f t="shared" ca="1" si="264"/>
        <v>0</v>
      </c>
      <c r="DC303" s="115"/>
      <c r="DD303" s="115"/>
      <c r="DE303" s="115"/>
      <c r="DF303" s="115"/>
      <c r="DG303" s="115"/>
      <c r="DH303" s="115"/>
      <c r="DI303" s="115"/>
      <c r="DJ303" s="115"/>
      <c r="DK303" s="115"/>
      <c r="DL303" s="115"/>
      <c r="DM303" s="115"/>
    </row>
    <row r="304" spans="2:117" x14ac:dyDescent="0.2">
      <c r="B304" s="117">
        <f t="shared" si="265"/>
        <v>255.53250000000182</v>
      </c>
      <c r="C304" s="167" t="str">
        <f t="shared" ca="1" si="258"/>
        <v>幽月轮1</v>
      </c>
      <c r="D304" s="115">
        <f ca="1">IF(C304="赤日轮1",1,IF(C304="赤日轮2",2,IF(C304="赤日轮3",3,IF(C304="幽月轮1",4,IF(C304="幽月轮2",5,IF(C304="幽月轮3",6,IF(C304="烈日斩",7,IF(C304="银月斩",8,IF(C304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304="净世破魔击·月",17,IF(C304="驱夜断愁",18,0)))))))))))</f>
        <v>4</v>
      </c>
      <c r="E304" s="115">
        <f ca="1">IF(AND(CU304,OR(C304="幽月轮1",C304="幽月轮2",C304="幽月轮3",C304="银月斩",C304="驱夜断愁",C304="净世破魔击·月")),100,MIN(IF(OR(CN304,BE304),0,IF(OR($C304="赤日轮1",$C304="赤日轮2",$C304="赤日轮3"),E303+20+IF(模拟模式!$I$7="日月凌天",4,0)+IF(CR303,20,0),IF($C304="烈日斩",E303+40,IF($C304="驱夜断愁",IF(模拟模式!$R$7="万念俱寂",E303+20,E303+60),IF($C304="净世破魔击·月",IF(OR(DB303&gt;0,CV303&gt;0),100,IF(模拟模式!$M$7="辉耀红尘",E303+20,E303)),IF($C304="净世破魔击·日",E303-100,E303)))))),100))</f>
        <v>80</v>
      </c>
      <c r="F304" s="115">
        <f ca="1">IF(AND(CU304,OR(C304="赤日轮1",C304="赤日轮2",C304="赤日轮3",C304="烈日斩",C304="净世破魔击·日")),100,MIN(IF(CO304,0,IF(OR($C304="幽月轮1",$C304="幽月轮2",$C304="幽月轮3"),F303+20+IF(模拟模式!$I$7="日月凌天",4,0)+IF(CS303,20,0),IF($C304="银月斩",F303+40+IF(模拟模式!$X$12=1,5,0),IF($C304="驱夜断愁",IF(模拟模式!$R$7="万念俱寂",F303+20,F303+60),IF($C304="净世破魔击·月",IF(模拟模式!$M$7="辉耀红尘",F303-80,F303-100),IF(AND(C304="净世破魔击·日",OR(DB303&gt;0,CV303&gt;0)),100,F303)))))),100))</f>
        <v>100</v>
      </c>
      <c r="G304" s="117">
        <f ca="1">('模拟-全程加成'!$E$3+'模拟-全程加成'!$E$4+'模拟-全程加成'!$E$5+('模拟-全程加成'!$C$6-'模拟-全程加成'!$C$3)*系数!$B$9+BS304*23)*(1+'模拟-全程加成'!$F$4+'模拟-全程加成'!$F$5+BJ304*10%+BM304*20%+BP304*4%+CG304*30%)+$F$7*系数!$B$12</f>
        <v>20583.127400000001</v>
      </c>
      <c r="H304" s="45">
        <f ca="1">'模拟-全程加成'!$H$3+'模拟-全程加成'!$H$4+'模拟-全程加成'!$H$5+('模拟-全程加成'!$G$4+'模拟-全程加成'!$G$5+('模拟-全程加成'!$C$6-'模拟-全程加成'!$C$3)*系数!$B$13)/系数!$B$3+LOOKUP(D304,'模拟-单技能数据'!$A$2:$A$19,'模拟-单技能数据'!$K$2:$K$19)+BG304*10%+IF(BV304&gt;0,378,0)</f>
        <v>0.51185145527300213</v>
      </c>
      <c r="I304" s="45">
        <f ca="1">'模拟-全程加成'!$J$3+'模拟-全程加成'!$J$4+'模拟-全程加成'!$J$5+('模拟-全程加成'!$I$4+'模拟-全程加成'!$I$5)/系数!$B$4+LOOKUP(D304,'模拟-单技能数据'!$A$2:$A$19,'模拟-单技能数据'!$L$2:$L$19)+BG304*10%</f>
        <v>2.162482885499879</v>
      </c>
      <c r="J304" s="45">
        <f ca="1">(('模拟-全程加成'!$K$3+'模拟-全程加成'!$K$4+'模拟-全程加成'!$K$5+('模拟-全程加成'!$C$6-'模拟-全程加成'!$C$3)*系数!$B$10+IF(BV304&gt;0,882,0)+IF(BY304&gt;0,1831,0))*(1+'模拟-全程加成'!$L$4+'模拟-全程加成'!$L$5+CC304*20%))/系数!$B$5</f>
        <v>0.69723220422048726</v>
      </c>
      <c r="K304" s="119">
        <f ca="1">LOOKUP(D304,'模拟-单技能数据'!$A$2:$A$19,'模拟-单技能数据'!$J$2:$J$19)+IF(CM304,60%,0)+IF(DB303-DB304&gt;0,30%,0)+IF(OR(AND(OR(C304="赤日轮1",C304="赤日轮2",C304="赤日轮3"),CR304),AND(OR(C304="幽月轮1",C304="幽月轮2",C304="幽月轮3"),CS304)),35%,0)+CJ304</f>
        <v>7.0000000000000007E-2</v>
      </c>
      <c r="L304" s="119">
        <f ca="1">IF(AND(C304="烈日斩",模拟模式!$X$11=1),10%,0)+IF(AND(C304="驱夜断愁",AB304=1),30%,0)</f>
        <v>0</v>
      </c>
      <c r="M304" s="45">
        <f t="shared" ca="1" si="241"/>
        <v>0.51185145527300213</v>
      </c>
      <c r="N304" s="45">
        <f t="shared" ca="1" si="242"/>
        <v>0.43424854472699792</v>
      </c>
      <c r="O304" s="46">
        <f t="shared" ca="1" si="266"/>
        <v>0.33602191925698566</v>
      </c>
      <c r="P304" s="46" t="str">
        <f t="shared" ca="1" si="267"/>
        <v>会</v>
      </c>
      <c r="Q304" s="45">
        <f t="shared" ca="1" si="268"/>
        <v>2.162482885499879</v>
      </c>
      <c r="R304" s="117">
        <f ca="1">模拟模式!$E$20*(1-IF(模拟模式!$J$19="有",0.15,0))*(1-IF(模拟模式!$K$19="有",0.3,0)-IF(CQ304,0.5,0))</f>
        <v>2950.6049999999996</v>
      </c>
      <c r="S304" s="45">
        <f ca="1">R304/(R304+(185*模拟模式!$E$22-16800)*4.08224)</f>
        <v>0.24272716014590323</v>
      </c>
      <c r="T304" s="45" t="str">
        <f ca="1">LOOKUP(D304,'模拟-单技能数据'!$A$2:$A$19,'模拟-单技能数据'!$H$2:$H$19)</f>
        <v>阴</v>
      </c>
      <c r="U304" s="119">
        <f t="shared" ca="1" si="243"/>
        <v>0.08</v>
      </c>
      <c r="V304" s="47">
        <f ca="1">(1+L304)*(LOOKUP(D304,'模拟-单技能数据'!$A$2:$A$19,'模拟-单技能数据'!$D$2:$D$19)+G304*LOOKUP(D304,'模拟-单技能数据'!$A$2:$A$19,'模拟-单技能数据'!$F$2:$F$19))*(1+J304)*(1+K304)*(1-S304)*(1+U304)*Q304*LOOKUP(D304,'模拟-单技能数据'!$A$2:$A$19,'模拟-单技能数据'!$I$2:$I$20)</f>
        <v>35088.919370823241</v>
      </c>
      <c r="W304" s="47">
        <f ca="1">LOOKUP(D304,'模拟-单技能数据'!$A$2:$A$19,'模拟-单技能数据'!$G$2:$G$19)*$I$10</f>
        <v>361.51064354704795</v>
      </c>
      <c r="X304" s="47">
        <f t="shared" ca="1" si="269"/>
        <v>0</v>
      </c>
      <c r="Y304" s="47">
        <f t="shared" ca="1" si="244"/>
        <v>35450.430014370286</v>
      </c>
      <c r="Z304" s="49">
        <f t="shared" ca="1" si="245"/>
        <v>29279376.19867073</v>
      </c>
      <c r="AA304" s="97">
        <f t="shared" ca="1" si="246"/>
        <v>114581.80935368504</v>
      </c>
      <c r="AB304" s="115">
        <f ca="1">IF(OR(C304="赤日轮1",C304="赤日轮2",C304="赤日轮3"),IF(RAND()&lt;模拟模式!$Y$17,1,0),IF(OR(C304="幽月轮1",C304="幽月轮2",C304="幽月轮3"),IF(RAND()&lt;模拟模式!$Y$18,1,0),IF(C304="烈日斩",IF(RAND()&lt;模拟模式!$Y$19,1,0),IF(C304="银月斩",IF(RAND()&lt;模拟模式!$Y$20,1,0),IF(C304="驱夜断愁",IF(RAND()&lt;模拟模式!$Y$21,1,0),IF(C304="净世破魔击·日",IF(RAND()&lt;模拟模式!$Y$22,1,0),IF(C304="净世破魔击·月",IF(RAND()&lt;模拟模式!$Y$23,1,0),0)))))))</f>
        <v>1</v>
      </c>
      <c r="AC304" s="115" t="b">
        <f t="shared" ca="1" si="234"/>
        <v>0</v>
      </c>
      <c r="AD304" s="115" t="b">
        <f t="shared" ca="1" si="254"/>
        <v>0</v>
      </c>
      <c r="AE304" s="115">
        <f t="shared" ca="1" si="255"/>
        <v>5</v>
      </c>
      <c r="AF304" s="47">
        <f ca="1">IF(AC304,('模拟-单技能数据'!$D$20+G304*'模拟-单技能数据'!$F$20)*(1+J304)*(1+'模拟-单技能数据'!$J$20)*(1+U304),0)</f>
        <v>0</v>
      </c>
      <c r="AG304" s="61">
        <f t="shared" ca="1" si="247"/>
        <v>0.64185145527300214</v>
      </c>
      <c r="AH304" s="61">
        <f t="shared" ca="1" si="248"/>
        <v>2.2624828854998791</v>
      </c>
      <c r="AI304" s="62">
        <f t="shared" ca="1" si="270"/>
        <v>0.8760814016396139</v>
      </c>
      <c r="AJ304" s="47">
        <f ca="1">IF(AD304,IF(AI304&lt;$F$10,0,IF(AI304&lt;$F$10+$F$11,0.25,IF(AI304&lt;$F$10+$F$11+AG304,AH304,1)))*IF(AF304&gt;0,AF304,IF(AF303&gt;0,AF303,IF(AF302&gt;0,AF302,IF(AF301&gt;0,AF301,IF(AF300&gt;0,AF300,IF(AF299&gt;0,AF299,IF(AF298&gt;0,AF298,IF(AF297&gt;0,AF297,IF(AF296&gt;0,AF296,IF(AF294&gt;0,AF294,IF(AF293&gt;0,AF293,IF(AF292&gt;0,AF292,0)))))))))))),0)*(1-$S304)*'模拟-单技能数据'!$I$20</f>
        <v>0</v>
      </c>
      <c r="AK304" s="115" t="b">
        <f t="shared" ca="1" si="235"/>
        <v>0</v>
      </c>
      <c r="AL304" s="115" t="b">
        <f t="shared" ca="1" si="256"/>
        <v>0</v>
      </c>
      <c r="AM304" s="115">
        <f t="shared" ca="1" si="257"/>
        <v>3</v>
      </c>
      <c r="AN304" s="47">
        <f ca="1">IF(AK304,('模拟-单技能数据'!$D$21+G304*'模拟-单技能数据'!$F$21)*(1+J304)*(1+'模拟-单技能数据'!$J$21)*(1+U304),0)</f>
        <v>0</v>
      </c>
      <c r="AO304" s="61">
        <f ca="1">IF(AN304&gt;0,M304-'模拟-单技能数据'!$K$10,AO303)</f>
        <v>0.42185145527300216</v>
      </c>
      <c r="AP304" s="61">
        <f ca="1">IF(AN304&gt;0,I304-'模拟-单技能数据'!$L$10,AP303)</f>
        <v>2.162482885499879</v>
      </c>
      <c r="AQ304" s="63">
        <f t="shared" ca="1" si="271"/>
        <v>0.94747491678282592</v>
      </c>
      <c r="AR304" s="64">
        <f ca="1">IF(AL304,IF(AQ304&lt;$F$10,0,IF(AQ304&lt;$F$10+$F$11,0.25,IF(AQ304&lt;$F$10+$F$11+AO304,AP304,1)))*IF(AN304&gt;0,AN304,IF(AN303&gt;0,AN303,IF(AN302&gt;0,AN302,IF(AN301&gt;0,AN301,IF(AN300&gt;0,AN300,IF(AN299&gt;0,AN299,IF(AN298&gt;0,AN298,IF(AN297&gt;0,AN297,IF(AN296&gt;0,AN296,IF(AN294&gt;0,AN294,IF(AN293&gt;0,AN293,IF(AN292&gt;0,AN292,0)))))))))))),0)*(1-$S304)*'模拟-单技能数据'!$I$21</f>
        <v>0</v>
      </c>
      <c r="AS304" s="61">
        <f ca="1">IF(OR(C304="净世破魔击·日",C304="净世破魔击·月"),M304-'模拟-单技能数据'!$K$10,0)</f>
        <v>0</v>
      </c>
      <c r="AT304" s="61">
        <f ca="1">IF(OR(C304="净世破魔击·日",C304="净世破魔击·月"),I304-'模拟-单技能数据'!$L$10,0)</f>
        <v>0</v>
      </c>
      <c r="AU304" s="62">
        <f t="shared" ca="1" si="272"/>
        <v>0.80255708839957063</v>
      </c>
      <c r="AV304" s="64">
        <f ca="1">IF(AS304&gt;0,('模拟-单技能数据'!$D$22+G304*'模拟-单技能数据'!$F$22)*(1+J304)*(1-S304)*IF(AU304&lt;$F$10,0,IF(AU304&lt;$F$10+$F$11,0.25,IF(AU304&lt;$F$10+$F$11+AS304,AT304,1)))*(1+U304),0)*'模拟-单技能数据'!$I$22</f>
        <v>0</v>
      </c>
      <c r="AW304" s="108">
        <f t="shared" ca="1" si="273"/>
        <v>1.5500000000000065</v>
      </c>
      <c r="AX304" s="108" t="b">
        <f ca="1">AND(模拟模式!$P$10="有",AW303=0,RAND()&lt;IF(C304="净世破魔击·月",0.1*8/3,IF(C304="净世破魔击·日",0.1*4/3,0.1*2/3)))</f>
        <v>0</v>
      </c>
      <c r="AY304" s="47">
        <f ca="1">IF(AX304,(18+G304*0.722)*(1+J304)*(1-S304)*(1+$I$4)*IF(P304="会",'模拟-全程加成'!$J$3+'模拟-全程加成'!$J$4+'模拟-全程加成'!$J$5+('模拟-全程加成'!$I$4+'模拟-全程加成'!$I$5)/系数!$B$4+BG304*10%,IF(P304="命",1,IF(P304="识",0.25,0))),0)</f>
        <v>0</v>
      </c>
      <c r="AZ304" s="108">
        <f t="shared" si="274"/>
        <v>8.0075000000000074</v>
      </c>
      <c r="BA304" s="108" t="b">
        <f>AND(模拟模式!$Q$10="有",AZ303=0)</f>
        <v>0</v>
      </c>
      <c r="BB304" s="140">
        <f>IF(BA304,(0+G304*0.287)*(1+J304)*(1-S304)*(1+$I$4)*IF(P304="会",'模拟-全程加成'!$J$3+'模拟-全程加成'!$J$4+'模拟-全程加成'!$J$5+('模拟-全程加成'!$I$4+'模拟-全程加成'!$I$5)/系数!$B$4+BG304*10%,IF(P304="命",1,IF(P304="识",0.25,0))),0)</f>
        <v>0</v>
      </c>
      <c r="BC304" s="115" t="b">
        <f ca="1">AND(模拟模式!$R$7="伏明众生",E304=60,F304=20,DA304&lt;5,CZ303&lt;$F$4)</f>
        <v>0</v>
      </c>
      <c r="BD304" s="115">
        <f t="shared" ca="1" si="236"/>
        <v>0</v>
      </c>
      <c r="BE304" s="115" t="b">
        <f t="shared" ca="1" si="237"/>
        <v>0</v>
      </c>
      <c r="BF304" s="47">
        <f ca="1">IF(BC304,4*('模拟-单技能数据'!$D$24+G304*'模拟-单技能数据'!$F$24)*(1+J304)*(1+'模拟-单技能数据'!$J$24)*(1-S304)*(1+$I$3)*(('模拟-全程加成'!$J$3+'模拟-全程加成'!$J$4+'模拟-全程加成'!$J$5+('模拟-全程加成'!$I$4+'模拟-全程加成'!$I$5)/系数!$B$4+BG304*10%)*('模拟-全程加成'!$J$3+'模拟-全程加成'!$J$4+'模拟-全程加成'!$J$5+('模拟-全程加成'!$I$4+'模拟-全程加成'!$I$5)/系数!$B$4+BG304*10%)+(1-('模拟-全程加成'!$J$3+'模拟-全程加成'!$J$4+'模拟-全程加成'!$J$5+('模拟-全程加成'!$I$4+'模拟-全程加成'!$I$5)/系数!$B$4+BG304*10%)-$F$10-$F$11)+F290*0.25),0)*'模拟-单技能数据'!$I$24</f>
        <v>0</v>
      </c>
      <c r="BG304" s="115" t="b">
        <f ca="1">OR(AND(OR(C304="烈日斩",C304="银月斩"),模拟模式!$I$7="净身明礼"),AND(C304="净世破魔击·日",模拟模式!$J$7="洞若观火"),AND(C305="净世破魔击·月",模拟模式!$J$7="洞若观火"),AB304=1)</f>
        <v>1</v>
      </c>
      <c r="BH304" s="115" t="b">
        <f t="shared" ca="1" si="275"/>
        <v>0</v>
      </c>
      <c r="BI304" s="115">
        <f t="shared" ca="1" si="238"/>
        <v>0</v>
      </c>
      <c r="BJ304" s="115" t="b">
        <f t="shared" ca="1" si="249"/>
        <v>0</v>
      </c>
      <c r="BK304" s="115" t="b">
        <f ca="1">AND(C304="驱夜断愁",模拟模式!$P$7="天地诛戮")</f>
        <v>0</v>
      </c>
      <c r="BL304" s="57">
        <f t="shared" ca="1" si="239"/>
        <v>18.155000000000001</v>
      </c>
      <c r="BM304" s="115" t="b">
        <f t="shared" ca="1" si="250"/>
        <v>1</v>
      </c>
      <c r="BN304" s="115" t="b">
        <f ca="1">AND(OR(C304="赤日轮1",C304="赤日轮2",C304="赤日轮3",C304="幽月轮1",C304="幽月轮2",C304="幽月轮3"),AB304=1,模拟模式!$L$7="明光恒照")</f>
        <v>1</v>
      </c>
      <c r="BO304" s="117">
        <f t="shared" ca="1" si="240"/>
        <v>30</v>
      </c>
      <c r="BP304" s="115">
        <f t="shared" ca="1" si="276"/>
        <v>6</v>
      </c>
      <c r="BQ304" s="115" t="b">
        <f>模拟模式!$K$10="2600·水"</f>
        <v>0</v>
      </c>
      <c r="BR304" s="117">
        <f t="shared" si="277"/>
        <v>0</v>
      </c>
      <c r="BS304" s="115">
        <f t="shared" si="278"/>
        <v>0</v>
      </c>
      <c r="BT304" s="115">
        <f t="shared" ca="1" si="279"/>
        <v>0</v>
      </c>
      <c r="BU304" s="115" t="b">
        <f ca="1">AND(模拟模式!$K$10="2300·雷",BT303=0,RAND()&lt;IF(C304="净世破魔击·月",5*0.05*2/3,IF(C304="净世破魔击·日",3*0.05*2/3,0.05*2*2/3)))</f>
        <v>0</v>
      </c>
      <c r="BV304" s="115">
        <f t="shared" ca="1" si="280"/>
        <v>0</v>
      </c>
      <c r="BW304" s="115">
        <f t="shared" ca="1" si="281"/>
        <v>116.34749999999924</v>
      </c>
      <c r="BX304" s="164" t="b">
        <f t="shared" ca="1" si="282"/>
        <v>0</v>
      </c>
      <c r="BY304" s="115">
        <f t="shared" ca="1" si="283"/>
        <v>0</v>
      </c>
      <c r="BZ304" s="115">
        <f>IF(OR(模拟模式!$P$16="10人团",模拟模式!$P$16="25人团"),IF(B304/30&gt;CA303,1,0),0)</f>
        <v>0</v>
      </c>
      <c r="CA304" s="115">
        <f t="shared" si="259"/>
        <v>0</v>
      </c>
      <c r="CB304" s="115">
        <f ca="1">IF(BZ304=1,IF(模拟模式!$P$16="10人团",15,0)+IF(模拟模式!$P$16="25人团",IF(RAND()&lt;0.6,15,0)),MAX(0,CB303-$F$4))</f>
        <v>0</v>
      </c>
      <c r="CC304" s="115" t="b">
        <f t="shared" ca="1" si="251"/>
        <v>0</v>
      </c>
      <c r="CD304" s="115">
        <f>IF(模拟模式!$Q$16="1个",IF(B304/40&gt;CE303,1,0),0)</f>
        <v>0</v>
      </c>
      <c r="CE304" s="115">
        <f t="shared" si="252"/>
        <v>0</v>
      </c>
      <c r="CF304" s="115">
        <f>IF(OR(CD304=1,模拟模式!$Q$16="2个"),20,MAX(0,CF303-$F$4))</f>
        <v>0</v>
      </c>
      <c r="CG304" s="115" t="b">
        <f t="shared" si="253"/>
        <v>0</v>
      </c>
      <c r="CH304" s="115">
        <f t="shared" ca="1" si="284"/>
        <v>11.550000000000011</v>
      </c>
      <c r="CI304" s="115" t="b">
        <f t="shared" ca="1" si="285"/>
        <v>0</v>
      </c>
      <c r="CJ304" s="119">
        <f t="shared" ca="1" si="286"/>
        <v>0</v>
      </c>
      <c r="CK304" s="115">
        <f t="shared" ca="1" si="287"/>
        <v>0</v>
      </c>
      <c r="CL304" s="115" t="b">
        <f ca="1">AND(模拟模式!$S$7="驱夷逐法",OR(AND(C304="净世破魔击·月",E303&gt;59),AND(C304="净世破魔击·日",F303&gt;59)))</f>
        <v>0</v>
      </c>
      <c r="CM304" s="115" t="b">
        <f ca="1">OR(CL304,AND(C304="净世破魔击·日",CL303,RAND()&lt;模拟模式!$U$23))</f>
        <v>0</v>
      </c>
      <c r="CN304" s="115" t="b">
        <f ca="1">IF(模拟模式!$M$7="辉耀红尘",AND(C304="净世破魔击·月",CL304,CV304=0,E303&lt;80),AND(C304="净世破魔击·月",CL304,E303&lt;100))</f>
        <v>0</v>
      </c>
      <c r="CO304" s="115" t="b">
        <f t="shared" ca="1" si="260"/>
        <v>0</v>
      </c>
      <c r="CP304" s="115" t="b">
        <f ca="1">AND(模拟模式!$O$7="用晦而明",OR(C304="净世破魔击·日",C304="净世破魔击·月",C304="驱夜断愁"),AB304)</f>
        <v>0</v>
      </c>
      <c r="CQ304" s="115" t="b">
        <f ca="1">OR(CP304,AND(CP303,RAND()&lt;模拟模式!$U$23))</f>
        <v>0</v>
      </c>
      <c r="CR304" s="115" t="b">
        <f ca="1">AND(模拟模式!$S$7="日月齐光",OR(C304="幽月轮1",C304="幽月轮2",C304="幽月轮3",CR303),NOT(OR(C304="赤日轮1",C304="赤日轮2",C304="赤日轮3")))</f>
        <v>0</v>
      </c>
      <c r="CS304" s="115" t="b">
        <f ca="1">AND(模拟模式!$S$7="日月齐光",OR(C304="赤日轮1",C304="赤日轮2",C304="赤日轮3",CS303),NOT(OR(C304="幽月轮1",C304="幽月轮2",C304="幽月轮3")))</f>
        <v>0</v>
      </c>
      <c r="CT304" s="115">
        <f t="shared" ca="1" si="288"/>
        <v>20.775000000000006</v>
      </c>
      <c r="CU304" s="115" t="b">
        <f ca="1">AND(模拟模式!$K$10="阴阳往极",CT303=0,RAND()&lt;IF(C304="净世破魔击·月",0.0275*7/3,IF(C304="净世破魔击·日",0.0275*3/3,0.0275*2/3)))</f>
        <v>0</v>
      </c>
      <c r="CV304" s="115">
        <f t="shared" ca="1" si="289"/>
        <v>0</v>
      </c>
      <c r="CW304" s="115">
        <f t="shared" ca="1" si="261"/>
        <v>5.0774999999999997</v>
      </c>
      <c r="CX304" s="115">
        <f t="shared" ca="1" si="262"/>
        <v>3.2324999999999995</v>
      </c>
      <c r="CY304" s="115">
        <f ca="1">MAX(IF($C304="驱夜断愁",IF(模拟模式!$R$7="万念俱寂",6,45),CY303-$F$4),0)</f>
        <v>4.1549999999999994</v>
      </c>
      <c r="CZ304" s="115">
        <f t="shared" ca="1" si="263"/>
        <v>0</v>
      </c>
      <c r="DA304" s="115">
        <f ca="1">IF(模拟模式!$N$7="日月同辉",IF(DB303=2,0,MIN(6,IF(AND(OR(C304="赤日轮1",C304="赤日轮2",C304="赤日轮3",C304="幽月轮1",C304="幽月轮2",C304="幽月轮3"),AB304=1),DA303+1,DA303))),0)</f>
        <v>1</v>
      </c>
      <c r="DB304" s="115">
        <f t="shared" ca="1" si="264"/>
        <v>0</v>
      </c>
      <c r="DC304" s="115"/>
      <c r="DD304" s="115"/>
      <c r="DE304" s="115"/>
      <c r="DF304" s="115"/>
      <c r="DG304" s="115"/>
      <c r="DH304" s="115"/>
      <c r="DI304" s="115"/>
      <c r="DJ304" s="115"/>
      <c r="DK304" s="115"/>
      <c r="DL304" s="115"/>
      <c r="DM304" s="115"/>
    </row>
    <row r="305" spans="2:117" x14ac:dyDescent="0.2">
      <c r="B305" s="117">
        <f t="shared" si="265"/>
        <v>256.4550000000018</v>
      </c>
      <c r="C305" s="167" t="str">
        <f t="shared" ca="1" si="258"/>
        <v>净世破魔击·月</v>
      </c>
      <c r="D305" s="115">
        <f ca="1">IF(C305="赤日轮1",1,IF(C305="赤日轮2",2,IF(C305="赤日轮3",3,IF(C305="幽月轮1",4,IF(C305="幽月轮2",5,IF(C305="幽月轮3",6,IF(C305="烈日斩",7,IF(C305="银月斩",8,IF(C305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305="净世破魔击·月",17,IF(C305="驱夜断愁",18,0)))))))))))</f>
        <v>17</v>
      </c>
      <c r="E305" s="115">
        <f ca="1">IF(AND(CU305,OR(C305="幽月轮1",C305="幽月轮2",C305="幽月轮3",C305="银月斩",C305="驱夜断愁",C305="净世破魔击·月")),100,MIN(IF(OR(CN305,BE305),0,IF(OR($C305="赤日轮1",$C305="赤日轮2",$C305="赤日轮3"),E304+20+IF(模拟模式!$I$7="日月凌天",4,0)+IF(CR304,20,0),IF($C305="烈日斩",E304+40,IF($C305="驱夜断愁",IF(模拟模式!$R$7="万念俱寂",E304+20,E304+60),IF($C305="净世破魔击·月",IF(OR(DB304&gt;0,CV304&gt;0),100,IF(模拟模式!$M$7="辉耀红尘",E304+20,E304)),IF($C305="净世破魔击·日",E304-100,E304)))))),100))</f>
        <v>100</v>
      </c>
      <c r="F305" s="115">
        <f ca="1">IF(AND(CU305,OR(C305="赤日轮1",C305="赤日轮2",C305="赤日轮3",C305="烈日斩",C305="净世破魔击·日")),100,MIN(IF(CO305,0,IF(OR($C305="幽月轮1",$C305="幽月轮2",$C305="幽月轮3"),F304+20+IF(模拟模式!$I$7="日月凌天",4,0)+IF(CS304,20,0),IF($C305="银月斩",F304+40+IF(模拟模式!$X$12=1,5,0),IF($C305="驱夜断愁",IF(模拟模式!$R$7="万念俱寂",F304+20,F304+60),IF($C305="净世破魔击·月",IF(模拟模式!$M$7="辉耀红尘",F304-80,F304-100),IF(AND(C305="净世破魔击·日",OR(DB304&gt;0,CV304&gt;0)),100,F304)))))),100))</f>
        <v>20</v>
      </c>
      <c r="G305" s="117">
        <f ca="1">('模拟-全程加成'!$E$3+'模拟-全程加成'!$E$4+'模拟-全程加成'!$E$5+('模拟-全程加成'!$C$6-'模拟-全程加成'!$C$3)*系数!$B$9+BS305*23)*(1+'模拟-全程加成'!$F$4+'模拟-全程加成'!$F$5+BJ305*10%+BM305*20%+BP305*4%+CG305*30%)+$F$7*系数!$B$12</f>
        <v>20583.127400000001</v>
      </c>
      <c r="H305" s="45">
        <f ca="1">'模拟-全程加成'!$H$3+'模拟-全程加成'!$H$4+'模拟-全程加成'!$H$5+('模拟-全程加成'!$G$4+'模拟-全程加成'!$G$5+('模拟-全程加成'!$C$6-'模拟-全程加成'!$C$3)*系数!$B$13)/系数!$B$3+LOOKUP(D305,'模拟-单技能数据'!$A$2:$A$19,'模拟-单技能数据'!$K$2:$K$19)+BG305*10%+IF(BV305&gt;0,378,0)</f>
        <v>0.54185145527300216</v>
      </c>
      <c r="I305" s="45">
        <f ca="1">'模拟-全程加成'!$J$3+'模拟-全程加成'!$J$4+'模拟-全程加成'!$J$5+('模拟-全程加成'!$I$4+'模拟-全程加成'!$I$5)/系数!$B$4+LOOKUP(D305,'模拟-单技能数据'!$A$2:$A$19,'模拟-单技能数据'!$L$2:$L$19)+BG305*10%</f>
        <v>2.162482885499879</v>
      </c>
      <c r="J305" s="45">
        <f ca="1">(('模拟-全程加成'!$K$3+'模拟-全程加成'!$K$4+'模拟-全程加成'!$K$5+('模拟-全程加成'!$C$6-'模拟-全程加成'!$C$3)*系数!$B$10+IF(BV305&gt;0,882,0)+IF(BY305&gt;0,1831,0))*(1+'模拟-全程加成'!$L$4+'模拟-全程加成'!$L$5+CC305*20%))/系数!$B$5</f>
        <v>0.69723220422048726</v>
      </c>
      <c r="K305" s="119">
        <f ca="1">LOOKUP(D305,'模拟-单技能数据'!$A$2:$A$19,'模拟-单技能数据'!$J$2:$J$19)+IF(CM305,60%,0)+IF(DB304-DB305&gt;0,30%,0)+IF(OR(AND(OR(C305="赤日轮1",C305="赤日轮2",C305="赤日轮3"),CR305),AND(OR(C305="幽月轮1",C305="幽月轮2",C305="幽月轮3"),CS305)),35%,0)+CJ305</f>
        <v>0.8</v>
      </c>
      <c r="L305" s="119">
        <f ca="1">IF(AND(C305="烈日斩",模拟模式!$X$11=1),10%,0)+IF(AND(C305="驱夜断愁",AB305=1),30%,0)</f>
        <v>0</v>
      </c>
      <c r="M305" s="45">
        <f t="shared" ca="1" si="241"/>
        <v>0.54185145527300216</v>
      </c>
      <c r="N305" s="45">
        <f t="shared" ca="1" si="242"/>
        <v>0.40424854472699789</v>
      </c>
      <c r="O305" s="46">
        <f t="shared" ca="1" si="266"/>
        <v>0.17890569163981873</v>
      </c>
      <c r="P305" s="46" t="str">
        <f t="shared" ca="1" si="267"/>
        <v>会</v>
      </c>
      <c r="Q305" s="45">
        <f t="shared" ca="1" si="268"/>
        <v>2.162482885499879</v>
      </c>
      <c r="R305" s="117">
        <f ca="1">模拟模式!$E$20*(1-IF(模拟模式!$J$19="有",0.15,0))*(1-IF(模拟模式!$K$19="有",0.3,0)-IF(CQ305,0.5,0))</f>
        <v>843.02999999999975</v>
      </c>
      <c r="S305" s="45">
        <f ca="1">R305/(R305+(185*模拟模式!$E$22-16800)*4.08224)</f>
        <v>8.389626085980037E-2</v>
      </c>
      <c r="T305" s="45" t="str">
        <f ca="1">LOOKUP(D305,'模拟-单技能数据'!$A$2:$A$19,'模拟-单技能数据'!$H$2:$H$19)</f>
        <v>阴</v>
      </c>
      <c r="U305" s="119">
        <f t="shared" ca="1" si="243"/>
        <v>0.08</v>
      </c>
      <c r="V305" s="47">
        <f ca="1">(1+L305)*(LOOKUP(D305,'模拟-单技能数据'!$A$2:$A$19,'模拟-单技能数据'!$D$2:$D$19)+G305*LOOKUP(D305,'模拟-单技能数据'!$A$2:$A$19,'模拟-单技能数据'!$F$2:$F$19))*(1+J305)*(1+K305)*(1-S305)*(1+U305)*Q305*LOOKUP(D305,'模拟-单技能数据'!$A$2:$A$19,'模拟-单技能数据'!$I$2:$I$20)</f>
        <v>174868.36016214982</v>
      </c>
      <c r="W305" s="47">
        <f ca="1">LOOKUP(D305,'模拟-单技能数据'!$A$2:$A$19,'模拟-单技能数据'!$G$2:$G$19)*$I$10</f>
        <v>361.51064354704795</v>
      </c>
      <c r="X305" s="47">
        <f t="shared" ca="1" si="269"/>
        <v>35172.046654277874</v>
      </c>
      <c r="Y305" s="47">
        <f t="shared" ca="1" si="244"/>
        <v>210401.91745997476</v>
      </c>
      <c r="Z305" s="49">
        <f t="shared" ca="1" si="245"/>
        <v>29489778.116130706</v>
      </c>
      <c r="AA305" s="97">
        <f t="shared" ca="1" si="246"/>
        <v>114990.06888588835</v>
      </c>
      <c r="AB305" s="115">
        <f ca="1">IF(OR(C305="赤日轮1",C305="赤日轮2",C305="赤日轮3"),IF(RAND()&lt;模拟模式!$Y$17,1,0),IF(OR(C305="幽月轮1",C305="幽月轮2",C305="幽月轮3"),IF(RAND()&lt;模拟模式!$Y$18,1,0),IF(C305="烈日斩",IF(RAND()&lt;模拟模式!$Y$19,1,0),IF(C305="银月斩",IF(RAND()&lt;模拟模式!$Y$20,1,0),IF(C305="驱夜断愁",IF(RAND()&lt;模拟模式!$Y$21,1,0),IF(C305="净世破魔击·日",IF(RAND()&lt;模拟模式!$Y$22,1,0),IF(C305="净世破魔击·月",IF(RAND()&lt;模拟模式!$Y$23,1,0),0)))))))</f>
        <v>1</v>
      </c>
      <c r="AC305" s="115" t="b">
        <f t="shared" ca="1" si="234"/>
        <v>0</v>
      </c>
      <c r="AD305" s="115" t="b">
        <f t="shared" ca="1" si="254"/>
        <v>1</v>
      </c>
      <c r="AE305" s="115">
        <f t="shared" ca="1" si="255"/>
        <v>4</v>
      </c>
      <c r="AF305" s="47">
        <f ca="1">IF(AC305,('模拟-单技能数据'!$D$20+G305*'模拟-单技能数据'!$F$20)*(1+J305)*(1+'模拟-单技能数据'!$J$20)*(1+U305),0)</f>
        <v>0</v>
      </c>
      <c r="AG305" s="61">
        <f t="shared" ca="1" si="247"/>
        <v>0.64185145527300214</v>
      </c>
      <c r="AH305" s="61">
        <f t="shared" ca="1" si="248"/>
        <v>2.2624828854998791</v>
      </c>
      <c r="AI305" s="62">
        <f t="shared" ca="1" si="270"/>
        <v>0.51707618459382743</v>
      </c>
      <c r="AJ305" s="47">
        <f ca="1">IF(AD305,IF(AI305&lt;$F$10,0,IF(AI305&lt;$F$10+$F$11,0.25,IF(AI305&lt;$F$10+$F$11+AG305,AH305,1)))*IF(AF305&gt;0,AF305,IF(AF304&gt;0,AF304,IF(AF303&gt;0,AF303,IF(AF302&gt;0,AF302,IF(AF301&gt;0,AF301,IF(AF300&gt;0,AF300,IF(AF299&gt;0,AF299,IF(AF298&gt;0,AF298,IF(AF297&gt;0,AF297,IF(AF295&gt;0,AF295,IF(AF294&gt;0,AF294,IF(AF293&gt;0,AF293,0)))))))))))),0)*(1-$S305)*'模拟-单技能数据'!$I$20</f>
        <v>9218.9345386263849</v>
      </c>
      <c r="AK305" s="115" t="b">
        <f t="shared" ca="1" si="235"/>
        <v>0</v>
      </c>
      <c r="AL305" s="115" t="b">
        <f t="shared" ca="1" si="256"/>
        <v>1</v>
      </c>
      <c r="AM305" s="115">
        <f t="shared" ca="1" si="257"/>
        <v>2</v>
      </c>
      <c r="AN305" s="47">
        <f ca="1">IF(AK305,('模拟-单技能数据'!$D$21+G305*'模拟-单技能数据'!$F$21)*(1+J305)*(1+'模拟-单技能数据'!$J$21)*(1+U305),0)</f>
        <v>0</v>
      </c>
      <c r="AO305" s="61">
        <f ca="1">IF(AN305&gt;0,M305-'模拟-单技能数据'!$K$10,AO304)</f>
        <v>0.42185145527300216</v>
      </c>
      <c r="AP305" s="61">
        <f ca="1">IF(AN305&gt;0,I305-'模拟-单技能数据'!$L$10,AP304)</f>
        <v>2.162482885499879</v>
      </c>
      <c r="AQ305" s="63">
        <f t="shared" ca="1" si="271"/>
        <v>0.46009056267815007</v>
      </c>
      <c r="AR305" s="64">
        <f ca="1">IF(AL305,IF(AQ305&lt;$F$10,0,IF(AQ305&lt;$F$10+$F$11,0.25,IF(AQ305&lt;$F$10+$F$11+AO305,AP305,1)))*IF(AN305&gt;0,AN305,IF(AN304&gt;0,AN304,IF(AN303&gt;0,AN303,IF(AN302&gt;0,AN302,IF(AN301&gt;0,AN301,IF(AN300&gt;0,AN300,IF(AN299&gt;0,AN299,IF(AN298&gt;0,AN298,IF(AN297&gt;0,AN297,IF(AN295&gt;0,AN295,IF(AN294&gt;0,AN294,IF(AN293&gt;0,AN293,0)))))))))))),0)*(1-$S305)*'模拟-单技能数据'!$I$21</f>
        <v>24043.249177625272</v>
      </c>
      <c r="AS305" s="61">
        <f ca="1">IF(OR(C305="净世破魔击·日",C305="净世破魔击·月"),M305-'模拟-单技能数据'!$K$10,0)</f>
        <v>0.42185145527300216</v>
      </c>
      <c r="AT305" s="61">
        <f ca="1">IF(OR(C305="净世破魔击·日",C305="净世破魔击·月"),I305-'模拟-单技能数据'!$L$10,0)</f>
        <v>2.162482885499879</v>
      </c>
      <c r="AU305" s="62">
        <f t="shared" ca="1" si="272"/>
        <v>3.6747385264755517E-2</v>
      </c>
      <c r="AV305" s="64">
        <f ca="1">IF(AS305&gt;0,('模拟-单技能数据'!$D$22+G305*'模拟-单技能数据'!$F$22)*(1+J305)*(1-S305)*IF(AU305&lt;$F$10,0,IF(AU305&lt;$F$10+$F$11,0.25,IF(AU305&lt;$F$10+$F$11+AS305,AT305,1)))*(1+U305),0)*'模拟-单技能数据'!$I$22</f>
        <v>1909.8629380262123</v>
      </c>
      <c r="AW305" s="108">
        <f t="shared" ca="1" si="273"/>
        <v>0.6275000000000065</v>
      </c>
      <c r="AX305" s="108" t="b">
        <f ca="1">AND(模拟模式!$P$10="有",AW304=0,RAND()&lt;IF(C305="净世破魔击·月",0.1*8/3,IF(C305="净世破魔击·日",0.1*4/3,0.1*2/3)))</f>
        <v>0</v>
      </c>
      <c r="AY305" s="47">
        <f ca="1">IF(AX305,(18+G305*0.722)*(1+J305)*(1-S305)*(1+$I$4)*IF(P305="会",'模拟-全程加成'!$J$3+'模拟-全程加成'!$J$4+'模拟-全程加成'!$J$5+('模拟-全程加成'!$I$4+'模拟-全程加成'!$I$5)/系数!$B$4+BG305*10%,IF(P305="命",1,IF(P305="识",0.25,0))),0)</f>
        <v>0</v>
      </c>
      <c r="AZ305" s="108">
        <f t="shared" si="274"/>
        <v>7.0850000000000071</v>
      </c>
      <c r="BA305" s="108" t="b">
        <f>AND(模拟模式!$Q$10="有",AZ304=0)</f>
        <v>0</v>
      </c>
      <c r="BB305" s="140">
        <f>IF(BA305,(0+G305*0.287)*(1+J305)*(1-S305)*(1+$I$4)*IF(P305="会",'模拟-全程加成'!$J$3+'模拟-全程加成'!$J$4+'模拟-全程加成'!$J$5+('模拟-全程加成'!$I$4+'模拟-全程加成'!$I$5)/系数!$B$4+BG305*10%,IF(P305="命",1,IF(P305="识",0.25,0))),0)</f>
        <v>0</v>
      </c>
      <c r="BC305" s="115" t="b">
        <f ca="1">AND(模拟模式!$R$7="伏明众生",E305=60,F305=20,DA305&lt;5,CZ304&lt;$F$4)</f>
        <v>0</v>
      </c>
      <c r="BD305" s="115">
        <f t="shared" ca="1" si="236"/>
        <v>0</v>
      </c>
      <c r="BE305" s="115" t="b">
        <f t="shared" ca="1" si="237"/>
        <v>0</v>
      </c>
      <c r="BF305" s="47">
        <f ca="1">IF(BC305,4*('模拟-单技能数据'!$D$24+G305*'模拟-单技能数据'!$F$24)*(1+J305)*(1+'模拟-单技能数据'!$J$24)*(1-S305)*(1+$I$3)*(('模拟-全程加成'!$J$3+'模拟-全程加成'!$J$4+'模拟-全程加成'!$J$5+('模拟-全程加成'!$I$4+'模拟-全程加成'!$I$5)/系数!$B$4+BG305*10%)*('模拟-全程加成'!$J$3+'模拟-全程加成'!$J$4+'模拟-全程加成'!$J$5+('模拟-全程加成'!$I$4+'模拟-全程加成'!$I$5)/系数!$B$4+BG305*10%)+(1-('模拟-全程加成'!$J$3+'模拟-全程加成'!$J$4+'模拟-全程加成'!$J$5+('模拟-全程加成'!$I$4+'模拟-全程加成'!$I$5)/系数!$B$4+BG305*10%)-$F$10-$F$11)+F291*0.25),0)*'模拟-单技能数据'!$I$24</f>
        <v>0</v>
      </c>
      <c r="BG305" s="115" t="b">
        <f ca="1">OR(AND(OR(C305="烈日斩",C305="银月斩"),模拟模式!$I$7="净身明礼"),AND(C305="净世破魔击·日",模拟模式!$J$7="洞若观火"),AND(C306="净世破魔击·月",模拟模式!$J$7="洞若观火"),AB305=1)</f>
        <v>1</v>
      </c>
      <c r="BH305" s="115" t="b">
        <f t="shared" ca="1" si="275"/>
        <v>0</v>
      </c>
      <c r="BI305" s="115">
        <f t="shared" ca="1" si="238"/>
        <v>0</v>
      </c>
      <c r="BJ305" s="115" t="b">
        <f t="shared" ca="1" si="249"/>
        <v>0</v>
      </c>
      <c r="BK305" s="115" t="b">
        <f ca="1">AND(C305="驱夜断愁",模拟模式!$P$7="天地诛戮")</f>
        <v>0</v>
      </c>
      <c r="BL305" s="57">
        <f t="shared" ca="1" si="239"/>
        <v>17.232500000000002</v>
      </c>
      <c r="BM305" s="115" t="b">
        <f t="shared" ca="1" si="250"/>
        <v>1</v>
      </c>
      <c r="BN305" s="115" t="b">
        <f ca="1">AND(OR(C305="赤日轮1",C305="赤日轮2",C305="赤日轮3",C305="幽月轮1",C305="幽月轮2",C305="幽月轮3"),AB305=1,模拟模式!$L$7="明光恒照")</f>
        <v>0</v>
      </c>
      <c r="BO305" s="117">
        <f t="shared" ca="1" si="240"/>
        <v>29.077500000000001</v>
      </c>
      <c r="BP305" s="115">
        <f t="shared" ca="1" si="276"/>
        <v>6</v>
      </c>
      <c r="BQ305" s="115" t="b">
        <f>模拟模式!$K$10="2600·水"</f>
        <v>0</v>
      </c>
      <c r="BR305" s="117">
        <f t="shared" si="277"/>
        <v>0</v>
      </c>
      <c r="BS305" s="115">
        <f t="shared" si="278"/>
        <v>0</v>
      </c>
      <c r="BT305" s="115">
        <f t="shared" ca="1" si="279"/>
        <v>0</v>
      </c>
      <c r="BU305" s="115" t="b">
        <f ca="1">AND(模拟模式!$K$10="2300·雷",BT304=0,RAND()&lt;IF(C305="净世破魔击·月",5*0.05*2/3,IF(C305="净世破魔击·日",3*0.05*2/3,0.05*2*2/3)))</f>
        <v>0</v>
      </c>
      <c r="BV305" s="115">
        <f t="shared" ca="1" si="280"/>
        <v>0</v>
      </c>
      <c r="BW305" s="115">
        <f t="shared" ca="1" si="281"/>
        <v>115.42499999999924</v>
      </c>
      <c r="BX305" s="164" t="b">
        <f t="shared" ca="1" si="282"/>
        <v>0</v>
      </c>
      <c r="BY305" s="115">
        <f t="shared" ca="1" si="283"/>
        <v>0</v>
      </c>
      <c r="BZ305" s="115">
        <f>IF(OR(模拟模式!$P$16="10人团",模拟模式!$P$16="25人团"),IF(B305/30&gt;CA304,1,0),0)</f>
        <v>0</v>
      </c>
      <c r="CA305" s="115">
        <f t="shared" si="259"/>
        <v>0</v>
      </c>
      <c r="CB305" s="115">
        <f ca="1">IF(BZ305=1,IF(模拟模式!$P$16="10人团",15,0)+IF(模拟模式!$P$16="25人团",IF(RAND()&lt;0.6,15,0)),MAX(0,CB304-$F$4))</f>
        <v>0</v>
      </c>
      <c r="CC305" s="115" t="b">
        <f t="shared" ca="1" si="251"/>
        <v>0</v>
      </c>
      <c r="CD305" s="115">
        <f>IF(模拟模式!$Q$16="1个",IF(B305/40&gt;CE304,1,0),0)</f>
        <v>0</v>
      </c>
      <c r="CE305" s="115">
        <f t="shared" si="252"/>
        <v>0</v>
      </c>
      <c r="CF305" s="115">
        <f>IF(OR(CD305=1,模拟模式!$Q$16="2个"),20,MAX(0,CF304-$F$4))</f>
        <v>0</v>
      </c>
      <c r="CG305" s="115" t="b">
        <f t="shared" si="253"/>
        <v>0</v>
      </c>
      <c r="CH305" s="115">
        <f t="shared" ca="1" si="284"/>
        <v>10.627500000000012</v>
      </c>
      <c r="CI305" s="115" t="b">
        <f t="shared" ca="1" si="285"/>
        <v>0</v>
      </c>
      <c r="CJ305" s="119">
        <f t="shared" ca="1" si="286"/>
        <v>0</v>
      </c>
      <c r="CK305" s="115">
        <f t="shared" ca="1" si="287"/>
        <v>0</v>
      </c>
      <c r="CL305" s="115" t="b">
        <f ca="1">AND(模拟模式!$S$7="驱夷逐法",OR(AND(C305="净世破魔击·月",E304&gt;59),AND(C305="净世破魔击·日",F304&gt;59)))</f>
        <v>1</v>
      </c>
      <c r="CM305" s="115" t="b">
        <f ca="1">OR(CL305,AND(C305="净世破魔击·日",CL304,RAND()&lt;模拟模式!$U$23))</f>
        <v>1</v>
      </c>
      <c r="CN305" s="115" t="b">
        <f ca="1">IF(模拟模式!$M$7="辉耀红尘",AND(C305="净世破魔击·月",CL305,CV305=0,E304&lt;80),AND(C305="净世破魔击·月",CL305,E304&lt;100))</f>
        <v>0</v>
      </c>
      <c r="CO305" s="115" t="b">
        <f t="shared" ca="1" si="260"/>
        <v>0</v>
      </c>
      <c r="CP305" s="115" t="b">
        <f ca="1">AND(模拟模式!$O$7="用晦而明",OR(C305="净世破魔击·日",C305="净世破魔击·月",C305="驱夜断愁"),AB305)</f>
        <v>1</v>
      </c>
      <c r="CQ305" s="115" t="b">
        <f ca="1">OR(CP305,AND(CP304,RAND()&lt;模拟模式!$U$23))</f>
        <v>1</v>
      </c>
      <c r="CR305" s="115" t="b">
        <f ca="1">AND(模拟模式!$S$7="日月齐光",OR(C305="幽月轮1",C305="幽月轮2",C305="幽月轮3",CR304),NOT(OR(C305="赤日轮1",C305="赤日轮2",C305="赤日轮3")))</f>
        <v>0</v>
      </c>
      <c r="CS305" s="115" t="b">
        <f ca="1">AND(模拟模式!$S$7="日月齐光",OR(C305="赤日轮1",C305="赤日轮2",C305="赤日轮3",CS304),NOT(OR(C305="幽月轮1",C305="幽月轮2",C305="幽月轮3")))</f>
        <v>0</v>
      </c>
      <c r="CT305" s="115">
        <f t="shared" ca="1" si="288"/>
        <v>19.852500000000006</v>
      </c>
      <c r="CU305" s="115" t="b">
        <f ca="1">AND(模拟模式!$K$10="阴阳往极",CT304=0,RAND()&lt;IF(C305="净世破魔击·月",0.0275*7/3,IF(C305="净世破魔击·日",0.0275*3/3,0.0275*2/3)))</f>
        <v>0</v>
      </c>
      <c r="CV305" s="115">
        <f t="shared" ca="1" si="289"/>
        <v>0</v>
      </c>
      <c r="CW305" s="115">
        <f t="shared" ca="1" si="261"/>
        <v>4.1549999999999994</v>
      </c>
      <c r="CX305" s="115">
        <f t="shared" ca="1" si="262"/>
        <v>2.3099999999999996</v>
      </c>
      <c r="CY305" s="115">
        <f ca="1">MAX(IF($C305="驱夜断愁",IF(模拟模式!$R$7="万念俱寂",6,45),CY304-$F$4),0)</f>
        <v>3.2324999999999995</v>
      </c>
      <c r="CZ305" s="115">
        <f t="shared" ca="1" si="263"/>
        <v>0</v>
      </c>
      <c r="DA305" s="115">
        <f ca="1">IF(模拟模式!$N$7="日月同辉",IF(DB304=2,0,MIN(6,IF(AND(OR(C305="赤日轮1",C305="赤日轮2",C305="赤日轮3",C305="幽月轮1",C305="幽月轮2",C305="幽月轮3"),AB305=1),DA304+1,DA304))),0)</f>
        <v>1</v>
      </c>
      <c r="DB305" s="115">
        <f t="shared" ca="1" si="264"/>
        <v>0</v>
      </c>
      <c r="DC305" s="115"/>
      <c r="DD305" s="115"/>
      <c r="DE305" s="115"/>
      <c r="DF305" s="115"/>
      <c r="DG305" s="115"/>
      <c r="DH305" s="115"/>
      <c r="DI305" s="115"/>
      <c r="DJ305" s="115"/>
      <c r="DK305" s="115"/>
      <c r="DL305" s="115"/>
      <c r="DM305" s="115"/>
    </row>
    <row r="306" spans="2:117" x14ac:dyDescent="0.2">
      <c r="B306" s="117">
        <f t="shared" si="265"/>
        <v>257.37750000000182</v>
      </c>
      <c r="C306" s="167" t="str">
        <f t="shared" ca="1" si="258"/>
        <v>净世破魔击·日</v>
      </c>
      <c r="D306" s="115">
        <f ca="1">IF(C306="赤日轮1",1,IF(C306="赤日轮2",2,IF(C306="赤日轮3",3,IF(C306="幽月轮1",4,IF(C306="幽月轮2",5,IF(C306="幽月轮3",6,IF(C306="烈日斩",7,IF(C306="银月斩",8,IF(C306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306="净世破魔击·月",17,IF(C306="驱夜断愁",18,0)))))))))))</f>
        <v>9</v>
      </c>
      <c r="E306" s="115">
        <f ca="1">IF(AND(CU306,OR(C306="幽月轮1",C306="幽月轮2",C306="幽月轮3",C306="银月斩",C306="驱夜断愁",C306="净世破魔击·月")),100,MIN(IF(OR(CN306,BE306),0,IF(OR($C306="赤日轮1",$C306="赤日轮2",$C306="赤日轮3"),E305+20+IF(模拟模式!$I$7="日月凌天",4,0)+IF(CR305,20,0),IF($C306="烈日斩",E305+40,IF($C306="驱夜断愁",IF(模拟模式!$R$7="万念俱寂",E305+20,E305+60),IF($C306="净世破魔击·月",IF(OR(DB305&gt;0,CV305&gt;0),100,IF(模拟模式!$M$7="辉耀红尘",E305+20,E305)),IF($C306="净世破魔击·日",E305-100,E305)))))),100))</f>
        <v>0</v>
      </c>
      <c r="F306" s="115">
        <f ca="1">IF(AND(CU306,OR(C306="赤日轮1",C306="赤日轮2",C306="赤日轮3",C306="烈日斩",C306="净世破魔击·日")),100,MIN(IF(CO306,0,IF(OR($C306="幽月轮1",$C306="幽月轮2",$C306="幽月轮3"),F305+20+IF(模拟模式!$I$7="日月凌天",4,0)+IF(CS305,20,0),IF($C306="银月斩",F305+40+IF(模拟模式!$X$12=1,5,0),IF($C306="驱夜断愁",IF(模拟模式!$R$7="万念俱寂",F305+20,F305+60),IF($C306="净世破魔击·月",IF(模拟模式!$M$7="辉耀红尘",F305-80,F305-100),IF(AND(C306="净世破魔击·日",OR(DB305&gt;0,CV305&gt;0)),100,F305)))))),100))</f>
        <v>20</v>
      </c>
      <c r="G306" s="117">
        <f ca="1">('模拟-全程加成'!$E$3+'模拟-全程加成'!$E$4+'模拟-全程加成'!$E$5+('模拟-全程加成'!$C$6-'模拟-全程加成'!$C$3)*系数!$B$9+BS306*23)*(1+'模拟-全程加成'!$F$4+'模拟-全程加成'!$F$5+BJ306*10%+BM306*20%+BP306*4%+CG306*30%)+$F$7*系数!$B$12</f>
        <v>20583.127400000001</v>
      </c>
      <c r="H306" s="45">
        <f ca="1">'模拟-全程加成'!$H$3+'模拟-全程加成'!$H$4+'模拟-全程加成'!$H$5+('模拟-全程加成'!$G$4+'模拟-全程加成'!$G$5+('模拟-全程加成'!$C$6-'模拟-全程加成'!$C$3)*系数!$B$13)/系数!$B$3+LOOKUP(D306,'模拟-单技能数据'!$A$2:$A$19,'模拟-单技能数据'!$K$2:$K$19)+BG306*10%+IF(BV306&gt;0,378,0)</f>
        <v>0.54185145527300216</v>
      </c>
      <c r="I306" s="45">
        <f ca="1">'模拟-全程加成'!$J$3+'模拟-全程加成'!$J$4+'模拟-全程加成'!$J$5+('模拟-全程加成'!$I$4+'模拟-全程加成'!$I$5)/系数!$B$4+LOOKUP(D306,'模拟-单技能数据'!$A$2:$A$19,'模拟-单技能数据'!$L$2:$L$19)+BG306*10%</f>
        <v>2.162482885499879</v>
      </c>
      <c r="J306" s="45">
        <f ca="1">(('模拟-全程加成'!$K$3+'模拟-全程加成'!$K$4+'模拟-全程加成'!$K$5+('模拟-全程加成'!$C$6-'模拟-全程加成'!$C$3)*系数!$B$10+IF(BV306&gt;0,882,0)+IF(BY306&gt;0,1831,0))*(1+'模拟-全程加成'!$L$4+'模拟-全程加成'!$L$5+CC306*20%))/系数!$B$5</f>
        <v>0.69723220422048726</v>
      </c>
      <c r="K306" s="119">
        <f ca="1">LOOKUP(D306,'模拟-单技能数据'!$A$2:$A$19,'模拟-单技能数据'!$J$2:$J$19)+IF(CM306,60%,0)+IF(DB305-DB306&gt;0,30%,0)+IF(OR(AND(OR(C306="赤日轮1",C306="赤日轮2",C306="赤日轮3"),CR306),AND(OR(C306="幽月轮1",C306="幽月轮2",C306="幽月轮3"),CS306)),35%,0)+CJ306</f>
        <v>0.8</v>
      </c>
      <c r="L306" s="119">
        <f ca="1">IF(AND(C306="烈日斩",模拟模式!$X$11=1),10%,0)+IF(AND(C306="驱夜断愁",AB306=1),30%,0)</f>
        <v>0</v>
      </c>
      <c r="M306" s="45">
        <f t="shared" ca="1" si="241"/>
        <v>0.54185145527300216</v>
      </c>
      <c r="N306" s="45">
        <f t="shared" ca="1" si="242"/>
        <v>0.40424854472699789</v>
      </c>
      <c r="O306" s="46">
        <f t="shared" ca="1" si="266"/>
        <v>0.437518892257868</v>
      </c>
      <c r="P306" s="46" t="str">
        <f t="shared" ca="1" si="267"/>
        <v>会</v>
      </c>
      <c r="Q306" s="45">
        <f t="shared" ca="1" si="268"/>
        <v>2.162482885499879</v>
      </c>
      <c r="R306" s="117">
        <f ca="1">模拟模式!$E$20*(1-IF(模拟模式!$J$19="有",0.15,0))*(1-IF(模拟模式!$K$19="有",0.3,0)-IF(CQ306,0.5,0))</f>
        <v>843.02999999999975</v>
      </c>
      <c r="S306" s="45">
        <f ca="1">R306/(R306+(185*模拟模式!$E$22-16800)*4.08224)</f>
        <v>8.389626085980037E-2</v>
      </c>
      <c r="T306" s="45" t="str">
        <f ca="1">LOOKUP(D306,'模拟-单技能数据'!$A$2:$A$19,'模拟-单技能数据'!$H$2:$H$19)</f>
        <v>阳</v>
      </c>
      <c r="U306" s="119">
        <f t="shared" ca="1" si="243"/>
        <v>0.2</v>
      </c>
      <c r="V306" s="47">
        <f ca="1">(1+L306)*(LOOKUP(D306,'模拟-单技能数据'!$A$2:$A$19,'模拟-单技能数据'!$D$2:$D$19)+G306*LOOKUP(D306,'模拟-单技能数据'!$A$2:$A$19,'模拟-单技能数据'!$F$2:$F$19))*(1+J306)*(1+K306)*(1-S306)*(1+U306)*Q306*LOOKUP(D306,'模拟-单技能数据'!$A$2:$A$19,'模拟-单技能数据'!$I$2:$I$20)</f>
        <v>195915.814886668</v>
      </c>
      <c r="W306" s="47">
        <f ca="1">LOOKUP(D306,'模拟-单技能数据'!$A$2:$A$19,'模拟-单技能数据'!$G$2:$G$19)*$I$10</f>
        <v>723.0212870940959</v>
      </c>
      <c r="X306" s="47">
        <f t="shared" ca="1" si="269"/>
        <v>8488.2797245609418</v>
      </c>
      <c r="Y306" s="47">
        <f t="shared" ca="1" si="244"/>
        <v>205127.11589832304</v>
      </c>
      <c r="Z306" s="49">
        <f t="shared" ca="1" si="245"/>
        <v>29694905.232029028</v>
      </c>
      <c r="AA306" s="97">
        <f t="shared" ca="1" si="246"/>
        <v>115374.90741043338</v>
      </c>
      <c r="AB306" s="115">
        <f ca="1">IF(OR(C306="赤日轮1",C306="赤日轮2",C306="赤日轮3"),IF(RAND()&lt;模拟模式!$Y$17,1,0),IF(OR(C306="幽月轮1",C306="幽月轮2",C306="幽月轮3"),IF(RAND()&lt;模拟模式!$Y$18,1,0),IF(C306="烈日斩",IF(RAND()&lt;模拟模式!$Y$19,1,0),IF(C306="银月斩",IF(RAND()&lt;模拟模式!$Y$20,1,0),IF(C306="驱夜断愁",IF(RAND()&lt;模拟模式!$Y$21,1,0),IF(C306="净世破魔击·日",IF(RAND()&lt;模拟模式!$Y$22,1,0),IF(C306="净世破魔击·月",IF(RAND()&lt;模拟模式!$Y$23,1,0),0)))))))</f>
        <v>1</v>
      </c>
      <c r="AC306" s="115" t="b">
        <f t="shared" ca="1" si="234"/>
        <v>0</v>
      </c>
      <c r="AD306" s="115" t="b">
        <f t="shared" ca="1" si="254"/>
        <v>0</v>
      </c>
      <c r="AE306" s="115">
        <f t="shared" ca="1" si="255"/>
        <v>4</v>
      </c>
      <c r="AF306" s="47">
        <f ca="1">IF(AC306,('模拟-单技能数据'!$D$20+G306*'模拟-单技能数据'!$F$20)*(1+J306)*(1+'模拟-单技能数据'!$J$20)*(1+U306),0)</f>
        <v>0</v>
      </c>
      <c r="AG306" s="61">
        <f t="shared" ca="1" si="247"/>
        <v>0.64185145527300214</v>
      </c>
      <c r="AH306" s="61">
        <f t="shared" ca="1" si="248"/>
        <v>2.2624828854998791</v>
      </c>
      <c r="AI306" s="62">
        <f t="shared" ca="1" si="270"/>
        <v>0.93635644648430516</v>
      </c>
      <c r="AJ306" s="47">
        <f ca="1">IF(AD306,IF(AI306&lt;$F$10,0,IF(AI306&lt;$F$10+$F$11,0.25,IF(AI306&lt;$F$10+$F$11+AG306,AH306,1)))*IF(AF306&gt;0,AF306,IF(AF305&gt;0,AF305,IF(AF304&gt;0,AF304,IF(AF303&gt;0,AF303,IF(AF302&gt;0,AF302,IF(AF301&gt;0,AF301,IF(AF300&gt;0,AF300,IF(AF299&gt;0,AF299,IF(AF298&gt;0,AF298,IF(AF296&gt;0,AF296,IF(AF295&gt;0,AF295,IF(AF294&gt;0,AF294,0)))))))))))),0)*(1-$S306)*'模拟-单技能数据'!$I$20</f>
        <v>0</v>
      </c>
      <c r="AK306" s="115" t="b">
        <f t="shared" ca="1" si="235"/>
        <v>1</v>
      </c>
      <c r="AL306" s="115" t="b">
        <f t="shared" ca="1" si="256"/>
        <v>0</v>
      </c>
      <c r="AM306" s="115">
        <f t="shared" ca="1" si="257"/>
        <v>6</v>
      </c>
      <c r="AN306" s="47">
        <f ca="1">IF(AK306,('模拟-单技能数据'!$D$21+G306*'模拟-单技能数据'!$F$21)*(1+J306)*(1+'模拟-单技能数据'!$J$21)*(1+U306),0)</f>
        <v>12136.56601728573</v>
      </c>
      <c r="AO306" s="61">
        <f ca="1">IF(AN306&gt;0,M306-'模拟-单技能数据'!$K$10,AO305)</f>
        <v>0.42185145527300216</v>
      </c>
      <c r="AP306" s="61">
        <f ca="1">IF(AN306&gt;0,I306-'模拟-单技能数据'!$L$10,AP305)</f>
        <v>2.162482885499879</v>
      </c>
      <c r="AQ306" s="63">
        <f t="shared" ca="1" si="271"/>
        <v>0.45298489888569293</v>
      </c>
      <c r="AR306" s="64">
        <f ca="1">IF(AL306,IF(AQ306&lt;$F$10,0,IF(AQ306&lt;$F$10+$F$11,0.25,IF(AQ306&lt;$F$10+$F$11+AO306,AP306,1)))*IF(AN306&gt;0,AN306,IF(AN305&gt;0,AN305,IF(AN304&gt;0,AN304,IF(AN303&gt;0,AN303,IF(AN302&gt;0,AN302,IF(AN301&gt;0,AN301,IF(AN300&gt;0,AN300,IF(AN299&gt;0,AN299,IF(AN298&gt;0,AN298,IF(AN296&gt;0,AN296,IF(AN295&gt;0,AN295,IF(AN294&gt;0,AN294,0)))))))))))),0)*(1-$S306)*'模拟-单技能数据'!$I$21</f>
        <v>0</v>
      </c>
      <c r="AS306" s="61">
        <f ca="1">IF(OR(C306="净世破魔击·日",C306="净世破魔击·月"),M306-'模拟-单技能数据'!$K$10,0)</f>
        <v>0.42185145527300216</v>
      </c>
      <c r="AT306" s="61">
        <f ca="1">IF(OR(C306="净世破魔击·日",C306="净世破魔击·月"),I306-'模拟-单技能数据'!$L$10,0)</f>
        <v>2.162482885499879</v>
      </c>
      <c r="AU306" s="62">
        <f t="shared" ca="1" si="272"/>
        <v>0.93726441517940606</v>
      </c>
      <c r="AV306" s="64">
        <f ca="1">IF(AS306&gt;0,('模拟-单技能数据'!$D$22+G306*'模拟-单技能数据'!$F$22)*(1+J306)*(1-S306)*IF(AU306&lt;$F$10,0,IF(AU306&lt;$F$10+$F$11,0.25,IF(AU306&lt;$F$10+$F$11+AS306,AT306,1)))*(1+U306),0)*'模拟-单技能数据'!$I$22</f>
        <v>8488.2797245609418</v>
      </c>
      <c r="AW306" s="108">
        <f t="shared" ca="1" si="273"/>
        <v>0</v>
      </c>
      <c r="AX306" s="108" t="b">
        <f ca="1">AND(模拟模式!$P$10="有",AW305=0,RAND()&lt;IF(C306="净世破魔击·月",0.1*8/3,IF(C306="净世破魔击·日",0.1*4/3,0.1*2/3)))</f>
        <v>0</v>
      </c>
      <c r="AY306" s="47">
        <f ca="1">IF(AX306,(18+G306*0.722)*(1+J306)*(1-S306)*(1+$I$4)*IF(P306="会",'模拟-全程加成'!$J$3+'模拟-全程加成'!$J$4+'模拟-全程加成'!$J$5+('模拟-全程加成'!$I$4+'模拟-全程加成'!$I$5)/系数!$B$4+BG306*10%,IF(P306="命",1,IF(P306="识",0.25,0))),0)</f>
        <v>0</v>
      </c>
      <c r="AZ306" s="108">
        <f t="shared" si="274"/>
        <v>6.1625000000000068</v>
      </c>
      <c r="BA306" s="108" t="b">
        <f>AND(模拟模式!$Q$10="有",AZ305=0)</f>
        <v>0</v>
      </c>
      <c r="BB306" s="140">
        <f>IF(BA306,(0+G306*0.287)*(1+J306)*(1-S306)*(1+$I$4)*IF(P306="会",'模拟-全程加成'!$J$3+'模拟-全程加成'!$J$4+'模拟-全程加成'!$J$5+('模拟-全程加成'!$I$4+'模拟-全程加成'!$I$5)/系数!$B$4+BG306*10%,IF(P306="命",1,IF(P306="识",0.25,0))),0)</f>
        <v>0</v>
      </c>
      <c r="BC306" s="115" t="b">
        <f ca="1">AND(模拟模式!$R$7="伏明众生",E306=60,F306=20,DA306&lt;5,CZ305&lt;$F$4)</f>
        <v>0</v>
      </c>
      <c r="BD306" s="115">
        <f t="shared" ca="1" si="236"/>
        <v>0</v>
      </c>
      <c r="BE306" s="115" t="b">
        <f t="shared" ca="1" si="237"/>
        <v>0</v>
      </c>
      <c r="BF306" s="47">
        <f ca="1">IF(BC306,4*('模拟-单技能数据'!$D$24+G306*'模拟-单技能数据'!$F$24)*(1+J306)*(1+'模拟-单技能数据'!$J$24)*(1-S306)*(1+$I$3)*(('模拟-全程加成'!$J$3+'模拟-全程加成'!$J$4+'模拟-全程加成'!$J$5+('模拟-全程加成'!$I$4+'模拟-全程加成'!$I$5)/系数!$B$4+BG306*10%)*('模拟-全程加成'!$J$3+'模拟-全程加成'!$J$4+'模拟-全程加成'!$J$5+('模拟-全程加成'!$I$4+'模拟-全程加成'!$I$5)/系数!$B$4+BG306*10%)+(1-('模拟-全程加成'!$J$3+'模拟-全程加成'!$J$4+'模拟-全程加成'!$J$5+('模拟-全程加成'!$I$4+'模拟-全程加成'!$I$5)/系数!$B$4+BG306*10%)-$F$10-$F$11)+F292*0.25),0)*'模拟-单技能数据'!$I$24</f>
        <v>0</v>
      </c>
      <c r="BG306" s="115" t="b">
        <f ca="1">OR(AND(OR(C306="烈日斩",C306="银月斩"),模拟模式!$I$7="净身明礼"),AND(C306="净世破魔击·日",模拟模式!$J$7="洞若观火"),AND(C307="净世破魔击·月",模拟模式!$J$7="洞若观火"),AB306=1)</f>
        <v>1</v>
      </c>
      <c r="BH306" s="115" t="b">
        <f t="shared" ca="1" si="275"/>
        <v>0</v>
      </c>
      <c r="BI306" s="115">
        <f t="shared" ca="1" si="238"/>
        <v>0</v>
      </c>
      <c r="BJ306" s="115" t="b">
        <f t="shared" ca="1" si="249"/>
        <v>0</v>
      </c>
      <c r="BK306" s="115" t="b">
        <f ca="1">AND(C306="驱夜断愁",模拟模式!$P$7="天地诛戮")</f>
        <v>0</v>
      </c>
      <c r="BL306" s="57">
        <f t="shared" ca="1" si="239"/>
        <v>16.310000000000002</v>
      </c>
      <c r="BM306" s="115" t="b">
        <f t="shared" ca="1" si="250"/>
        <v>1</v>
      </c>
      <c r="BN306" s="115" t="b">
        <f ca="1">AND(OR(C306="赤日轮1",C306="赤日轮2",C306="赤日轮3",C306="幽月轮1",C306="幽月轮2",C306="幽月轮3"),AB306=1,模拟模式!$L$7="明光恒照")</f>
        <v>0</v>
      </c>
      <c r="BO306" s="117">
        <f t="shared" ca="1" si="240"/>
        <v>28.155000000000001</v>
      </c>
      <c r="BP306" s="115">
        <f t="shared" ca="1" si="276"/>
        <v>6</v>
      </c>
      <c r="BQ306" s="115" t="b">
        <f>模拟模式!$K$10="2600·水"</f>
        <v>0</v>
      </c>
      <c r="BR306" s="117">
        <f t="shared" si="277"/>
        <v>0</v>
      </c>
      <c r="BS306" s="115">
        <f t="shared" si="278"/>
        <v>0</v>
      </c>
      <c r="BT306" s="115">
        <f t="shared" ca="1" si="279"/>
        <v>0</v>
      </c>
      <c r="BU306" s="115" t="b">
        <f ca="1">AND(模拟模式!$K$10="2300·雷",BT305=0,RAND()&lt;IF(C306="净世破魔击·月",5*0.05*2/3,IF(C306="净世破魔击·日",3*0.05*2/3,0.05*2*2/3)))</f>
        <v>0</v>
      </c>
      <c r="BV306" s="115">
        <f t="shared" ca="1" si="280"/>
        <v>0</v>
      </c>
      <c r="BW306" s="115">
        <f t="shared" ca="1" si="281"/>
        <v>114.50249999999924</v>
      </c>
      <c r="BX306" s="164" t="b">
        <f t="shared" ca="1" si="282"/>
        <v>0</v>
      </c>
      <c r="BY306" s="115">
        <f t="shared" ca="1" si="283"/>
        <v>0</v>
      </c>
      <c r="BZ306" s="115">
        <f>IF(OR(模拟模式!$P$16="10人团",模拟模式!$P$16="25人团"),IF(B306/30&gt;CA305,1,0),0)</f>
        <v>0</v>
      </c>
      <c r="CA306" s="115">
        <f t="shared" si="259"/>
        <v>0</v>
      </c>
      <c r="CB306" s="115">
        <f ca="1">IF(BZ306=1,IF(模拟模式!$P$16="10人团",15,0)+IF(模拟模式!$P$16="25人团",IF(RAND()&lt;0.6,15,0)),MAX(0,CB305-$F$4))</f>
        <v>0</v>
      </c>
      <c r="CC306" s="115" t="b">
        <f t="shared" ca="1" si="251"/>
        <v>0</v>
      </c>
      <c r="CD306" s="115">
        <f>IF(模拟模式!$Q$16="1个",IF(B306/40&gt;CE305,1,0),0)</f>
        <v>0</v>
      </c>
      <c r="CE306" s="115">
        <f t="shared" si="252"/>
        <v>0</v>
      </c>
      <c r="CF306" s="115">
        <f>IF(OR(CD306=1,模拟模式!$Q$16="2个"),20,MAX(0,CF305-$F$4))</f>
        <v>0</v>
      </c>
      <c r="CG306" s="115" t="b">
        <f t="shared" si="253"/>
        <v>0</v>
      </c>
      <c r="CH306" s="115">
        <f t="shared" ca="1" si="284"/>
        <v>9.7050000000000125</v>
      </c>
      <c r="CI306" s="115" t="b">
        <f t="shared" ca="1" si="285"/>
        <v>0</v>
      </c>
      <c r="CJ306" s="119">
        <f t="shared" ca="1" si="286"/>
        <v>0</v>
      </c>
      <c r="CK306" s="115">
        <f t="shared" ca="1" si="287"/>
        <v>0</v>
      </c>
      <c r="CL306" s="115" t="b">
        <f ca="1">AND(模拟模式!$S$7="驱夷逐法",OR(AND(C306="净世破魔击·月",E305&gt;59),AND(C306="净世破魔击·日",F305&gt;59)))</f>
        <v>0</v>
      </c>
      <c r="CM306" s="115" t="b">
        <f ca="1">OR(CL306,AND(C306="净世破魔击·日",CL305,RAND()&lt;模拟模式!$U$23))</f>
        <v>1</v>
      </c>
      <c r="CN306" s="115" t="b">
        <f ca="1">IF(模拟模式!$M$7="辉耀红尘",AND(C306="净世破魔击·月",CL306,CV306=0,E305&lt;80),AND(C306="净世破魔击·月",CL306,E305&lt;100))</f>
        <v>0</v>
      </c>
      <c r="CO306" s="115" t="b">
        <f t="shared" ca="1" si="260"/>
        <v>0</v>
      </c>
      <c r="CP306" s="115" t="b">
        <f ca="1">AND(模拟模式!$O$7="用晦而明",OR(C306="净世破魔击·日",C306="净世破魔击·月",C306="驱夜断愁"),AB306)</f>
        <v>1</v>
      </c>
      <c r="CQ306" s="115" t="b">
        <f ca="1">OR(CP306,AND(CP305,RAND()&lt;模拟模式!$U$23))</f>
        <v>1</v>
      </c>
      <c r="CR306" s="115" t="b">
        <f ca="1">AND(模拟模式!$S$7="日月齐光",OR(C306="幽月轮1",C306="幽月轮2",C306="幽月轮3",CR305),NOT(OR(C306="赤日轮1",C306="赤日轮2",C306="赤日轮3")))</f>
        <v>0</v>
      </c>
      <c r="CS306" s="115" t="b">
        <f ca="1">AND(模拟模式!$S$7="日月齐光",OR(C306="赤日轮1",C306="赤日轮2",C306="赤日轮3",CS305),NOT(OR(C306="幽月轮1",C306="幽月轮2",C306="幽月轮3")))</f>
        <v>0</v>
      </c>
      <c r="CT306" s="115">
        <f t="shared" ca="1" si="288"/>
        <v>18.930000000000007</v>
      </c>
      <c r="CU306" s="115" t="b">
        <f ca="1">AND(模拟模式!$K$10="阴阳往极",CT305=0,RAND()&lt;IF(C306="净世破魔击·月",0.0275*7/3,IF(C306="净世破魔击·日",0.0275*3/3,0.0275*2/3)))</f>
        <v>0</v>
      </c>
      <c r="CV306" s="115">
        <f t="shared" ca="1" si="289"/>
        <v>0</v>
      </c>
      <c r="CW306" s="115">
        <f t="shared" ca="1" si="261"/>
        <v>3.2324999999999995</v>
      </c>
      <c r="CX306" s="115">
        <f t="shared" ca="1" si="262"/>
        <v>1.3874999999999997</v>
      </c>
      <c r="CY306" s="115">
        <f ca="1">MAX(IF($C306="驱夜断愁",IF(模拟模式!$R$7="万念俱寂",6,45),CY305-$F$4),0)</f>
        <v>2.3099999999999996</v>
      </c>
      <c r="CZ306" s="115">
        <f t="shared" ca="1" si="263"/>
        <v>0</v>
      </c>
      <c r="DA306" s="115">
        <f ca="1">IF(模拟模式!$N$7="日月同辉",IF(DB305=2,0,MIN(6,IF(AND(OR(C306="赤日轮1",C306="赤日轮2",C306="赤日轮3",C306="幽月轮1",C306="幽月轮2",C306="幽月轮3"),AB306=1),DA305+1,DA305))),0)</f>
        <v>1</v>
      </c>
      <c r="DB306" s="115">
        <f t="shared" ca="1" si="264"/>
        <v>0</v>
      </c>
      <c r="DC306" s="115"/>
      <c r="DD306" s="115"/>
      <c r="DE306" s="115"/>
      <c r="DF306" s="115"/>
      <c r="DG306" s="115"/>
      <c r="DH306" s="115"/>
      <c r="DI306" s="115"/>
      <c r="DJ306" s="115"/>
      <c r="DK306" s="115"/>
      <c r="DL306" s="115"/>
      <c r="DM306" s="115"/>
    </row>
    <row r="307" spans="2:117" x14ac:dyDescent="0.2">
      <c r="B307" s="117">
        <f t="shared" si="265"/>
        <v>258.30000000000183</v>
      </c>
      <c r="C307" s="167" t="str">
        <f t="shared" ca="1" si="258"/>
        <v>赤日轮1</v>
      </c>
      <c r="D307" s="115">
        <f ca="1">IF(C307="赤日轮1",1,IF(C307="赤日轮2",2,IF(C307="赤日轮3",3,IF(C307="幽月轮1",4,IF(C307="幽月轮2",5,IF(C307="幽月轮3",6,IF(C307="烈日斩",7,IF(C307="银月斩",8,IF(C307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307="净世破魔击·月",17,IF(C307="驱夜断愁",18,0)))))))))))</f>
        <v>1</v>
      </c>
      <c r="E307" s="115">
        <f ca="1">IF(AND(CU307,OR(C307="幽月轮1",C307="幽月轮2",C307="幽月轮3",C307="银月斩",C307="驱夜断愁",C307="净世破魔击·月")),100,MIN(IF(OR(CN307,BE307),0,IF(OR($C307="赤日轮1",$C307="赤日轮2",$C307="赤日轮3"),E306+20+IF(模拟模式!$I$7="日月凌天",4,0)+IF(CR306,20,0),IF($C307="烈日斩",E306+40,IF($C307="驱夜断愁",IF(模拟模式!$R$7="万念俱寂",E306+20,E306+60),IF($C307="净世破魔击·月",IF(OR(DB306&gt;0,CV306&gt;0),100,IF(模拟模式!$M$7="辉耀红尘",E306+20,E306)),IF($C307="净世破魔击·日",E306-100,E306)))))),100))</f>
        <v>20</v>
      </c>
      <c r="F307" s="115">
        <f ca="1">IF(AND(CU307,OR(C307="赤日轮1",C307="赤日轮2",C307="赤日轮3",C307="烈日斩",C307="净世破魔击·日")),100,MIN(IF(CO307,0,IF(OR($C307="幽月轮1",$C307="幽月轮2",$C307="幽月轮3"),F306+20+IF(模拟模式!$I$7="日月凌天",4,0)+IF(CS306,20,0),IF($C307="银月斩",F306+40+IF(模拟模式!$X$12=1,5,0),IF($C307="驱夜断愁",IF(模拟模式!$R$7="万念俱寂",F306+20,F306+60),IF($C307="净世破魔击·月",IF(模拟模式!$M$7="辉耀红尘",F306-80,F306-100),IF(AND(C307="净世破魔击·日",OR(DB306&gt;0,CV306&gt;0)),100,F306)))))),100))</f>
        <v>20</v>
      </c>
      <c r="G307" s="117">
        <f ca="1">('模拟-全程加成'!$E$3+'模拟-全程加成'!$E$4+'模拟-全程加成'!$E$5+('模拟-全程加成'!$C$6-'模拟-全程加成'!$C$3)*系数!$B$9+BS307*23)*(1+'模拟-全程加成'!$F$4+'模拟-全程加成'!$F$5+BJ307*10%+BM307*20%+BP307*4%+CG307*30%)+$F$7*系数!$B$12</f>
        <v>20583.127400000001</v>
      </c>
      <c r="H307" s="45">
        <f ca="1">'模拟-全程加成'!$H$3+'模拟-全程加成'!$H$4+'模拟-全程加成'!$H$5+('模拟-全程加成'!$G$4+'模拟-全程加成'!$G$5+('模拟-全程加成'!$C$6-'模拟-全程加成'!$C$3)*系数!$B$13)/系数!$B$3+LOOKUP(D307,'模拟-单技能数据'!$A$2:$A$19,'模拟-单技能数据'!$K$2:$K$19)+BG307*10%+IF(BV307&gt;0,378,0)</f>
        <v>0.4618514552730022</v>
      </c>
      <c r="I307" s="45">
        <f ca="1">'模拟-全程加成'!$J$3+'模拟-全程加成'!$J$4+'模拟-全程加成'!$J$5+('模拟-全程加成'!$I$4+'模拟-全程加成'!$I$5)/系数!$B$4+LOOKUP(D307,'模拟-单技能数据'!$A$2:$A$19,'模拟-单技能数据'!$L$2:$L$19)+BG307*10%</f>
        <v>2.162482885499879</v>
      </c>
      <c r="J307" s="45">
        <f ca="1">(('模拟-全程加成'!$K$3+'模拟-全程加成'!$K$4+'模拟-全程加成'!$K$5+('模拟-全程加成'!$C$6-'模拟-全程加成'!$C$3)*系数!$B$10+IF(BV307&gt;0,882,0)+IF(BY307&gt;0,1831,0))*(1+'模拟-全程加成'!$L$4+'模拟-全程加成'!$L$5+CC307*20%))/系数!$B$5</f>
        <v>0.69723220422048726</v>
      </c>
      <c r="K307" s="119">
        <f ca="1">LOOKUP(D307,'模拟-单技能数据'!$A$2:$A$19,'模拟-单技能数据'!$J$2:$J$19)+IF(CM307,60%,0)+IF(DB306-DB307&gt;0,30%,0)+IF(OR(AND(OR(C307="赤日轮1",C307="赤日轮2",C307="赤日轮3"),CR307),AND(OR(C307="幽月轮1",C307="幽月轮2",C307="幽月轮3"),CS307)),35%,0)+CJ307</f>
        <v>0.12</v>
      </c>
      <c r="L307" s="119">
        <f ca="1">IF(AND(C307="烈日斩",模拟模式!$X$11=1),10%,0)+IF(AND(C307="驱夜断愁",AB307=1),30%,0)</f>
        <v>0</v>
      </c>
      <c r="M307" s="45">
        <f t="shared" ca="1" si="241"/>
        <v>0.4618514552730022</v>
      </c>
      <c r="N307" s="45">
        <f t="shared" ca="1" si="242"/>
        <v>0.48424854472699785</v>
      </c>
      <c r="O307" s="46">
        <f t="shared" ca="1" si="266"/>
        <v>0.98965973507970861</v>
      </c>
      <c r="P307" s="46" t="str">
        <f t="shared" ca="1" si="267"/>
        <v>命</v>
      </c>
      <c r="Q307" s="45">
        <f t="shared" ca="1" si="268"/>
        <v>1</v>
      </c>
      <c r="R307" s="117">
        <f ca="1">模拟模式!$E$20*(1-IF(模拟模式!$J$19="有",0.15,0))*(1-IF(模拟模式!$K$19="有",0.3,0)-IF(CQ307,0.5,0))</f>
        <v>843.02999999999975</v>
      </c>
      <c r="S307" s="45">
        <f ca="1">R307/(R307+(185*模拟模式!$E$22-16800)*4.08224)</f>
        <v>8.389626085980037E-2</v>
      </c>
      <c r="T307" s="45" t="str">
        <f ca="1">LOOKUP(D307,'模拟-单技能数据'!$A$2:$A$19,'模拟-单技能数据'!$H$2:$H$19)</f>
        <v>阳</v>
      </c>
      <c r="U307" s="119">
        <f t="shared" ca="1" si="243"/>
        <v>0.2</v>
      </c>
      <c r="V307" s="47">
        <f ca="1">(1+L307)*(LOOKUP(D307,'模拟-单技能数据'!$A$2:$A$19,'模拟-单技能数据'!$D$2:$D$19)+G307*LOOKUP(D307,'模拟-单技能数据'!$A$2:$A$19,'模拟-单技能数据'!$F$2:$F$19))*(1+J307)*(1+K307)*(1-S307)*(1+U307)*Q307*LOOKUP(D307,'模拟-单技能数据'!$A$2:$A$19,'模拟-单技能数据'!$I$2:$I$20)</f>
        <v>25194.44799269021</v>
      </c>
      <c r="W307" s="47">
        <f ca="1">LOOKUP(D307,'模拟-单技能数据'!$A$2:$A$19,'模拟-单技能数据'!$G$2:$G$19)*$I$10</f>
        <v>361.51064354704795</v>
      </c>
      <c r="X307" s="47">
        <f t="shared" ca="1" si="269"/>
        <v>20337.288047383721</v>
      </c>
      <c r="Y307" s="47">
        <f t="shared" ca="1" si="244"/>
        <v>45893.246683620979</v>
      </c>
      <c r="Z307" s="49">
        <f t="shared" ca="1" si="245"/>
        <v>29740798.478712648</v>
      </c>
      <c r="AA307" s="97">
        <f t="shared" ca="1" si="246"/>
        <v>115140.52837287045</v>
      </c>
      <c r="AB307" s="115">
        <f ca="1">IF(OR(C307="赤日轮1",C307="赤日轮2",C307="赤日轮3"),IF(RAND()&lt;模拟模式!$Y$17,1,0),IF(OR(C307="幽月轮1",C307="幽月轮2",C307="幽月轮3"),IF(RAND()&lt;模拟模式!$Y$18,1,0),IF(C307="烈日斩",IF(RAND()&lt;模拟模式!$Y$19,1,0),IF(C307="银月斩",IF(RAND()&lt;模拟模式!$Y$20,1,0),IF(C307="驱夜断愁",IF(RAND()&lt;模拟模式!$Y$21,1,0),IF(C307="净世破魔击·日",IF(RAND()&lt;模拟模式!$Y$22,1,0),IF(C307="净世破魔击·月",IF(RAND()&lt;模拟模式!$Y$23,1,0),0)))))))</f>
        <v>1</v>
      </c>
      <c r="AC307" s="115" t="b">
        <f t="shared" ca="1" si="234"/>
        <v>0</v>
      </c>
      <c r="AD307" s="115" t="b">
        <f t="shared" ca="1" si="254"/>
        <v>1</v>
      </c>
      <c r="AE307" s="115">
        <f t="shared" ca="1" si="255"/>
        <v>3</v>
      </c>
      <c r="AF307" s="47">
        <f ca="1">IF(AC307,('模拟-单技能数据'!$D$20+G307*'模拟-单技能数据'!$F$20)*(1+J307)*(1+'模拟-单技能数据'!$J$20)*(1+U307),0)</f>
        <v>0</v>
      </c>
      <c r="AG307" s="61">
        <f t="shared" ca="1" si="247"/>
        <v>0.64185145527300214</v>
      </c>
      <c r="AH307" s="61">
        <f t="shared" ca="1" si="248"/>
        <v>2.2624828854998791</v>
      </c>
      <c r="AI307" s="62">
        <f t="shared" ca="1" si="270"/>
        <v>0.60370163297365764</v>
      </c>
      <c r="AJ307" s="47">
        <f ca="1">IF(AD307,IF(AI307&lt;$F$10,0,IF(AI307&lt;$F$10+$F$11,0.25,IF(AI307&lt;$F$10+$F$11+AG307,AH307,1)))*IF(AF307&gt;0,AF307,IF(AF306&gt;0,AF306,IF(AF305&gt;0,AF305,IF(AF304&gt;0,AF304,IF(AF303&gt;0,AF303,IF(AF302&gt;0,AF302,IF(AF301&gt;0,AF301,IF(AF300&gt;0,AF300,IF(AF299&gt;0,AF299,IF(AF297&gt;0,AF297,IF(AF296&gt;0,AF296,IF(AF295&gt;0,AF295,0)))))))))))),0)*(1-$S307)*'模拟-单技能数据'!$I$20</f>
        <v>9218.9345386263849</v>
      </c>
      <c r="AK307" s="115" t="b">
        <f t="shared" ca="1" si="235"/>
        <v>0</v>
      </c>
      <c r="AL307" s="115" t="b">
        <f t="shared" ca="1" si="256"/>
        <v>1</v>
      </c>
      <c r="AM307" s="115">
        <f t="shared" ca="1" si="257"/>
        <v>5</v>
      </c>
      <c r="AN307" s="47">
        <f ca="1">IF(AK307,('模拟-单技能数据'!$D$21+G307*'模拟-单技能数据'!$F$21)*(1+J307)*(1+'模拟-单技能数据'!$J$21)*(1+U307),0)</f>
        <v>0</v>
      </c>
      <c r="AO307" s="61">
        <f ca="1">IF(AN307&gt;0,M307-'模拟-单技能数据'!$K$10,AO306)</f>
        <v>0.42185145527300216</v>
      </c>
      <c r="AP307" s="61">
        <f ca="1">IF(AN307&gt;0,I307-'模拟-单技能数据'!$L$10,AP306)</f>
        <v>2.162482885499879</v>
      </c>
      <c r="AQ307" s="63">
        <f t="shared" ca="1" si="271"/>
        <v>0.58885432299196749</v>
      </c>
      <c r="AR307" s="64">
        <f ca="1">IF(AL307,IF(AQ307&lt;$F$10,0,IF(AQ307&lt;$F$10+$F$11,0.25,IF(AQ307&lt;$F$10+$F$11+AO307,AP307,1)))*IF(AN307&gt;0,AN307,IF(AN306&gt;0,AN306,IF(AN305&gt;0,AN305,IF(AN304&gt;0,AN304,IF(AN303&gt;0,AN303,IF(AN302&gt;0,AN302,IF(AN301&gt;0,AN301,IF(AN300&gt;0,AN300,IF(AN299&gt;0,AN299,IF(AN297&gt;0,AN297,IF(AN296&gt;0,AN296,IF(AN295&gt;0,AN295,0)))))))))))),0)*(1-$S307)*'模拟-单技能数据'!$I$21</f>
        <v>11118.353508757338</v>
      </c>
      <c r="AS307" s="61">
        <f ca="1">IF(OR(C307="净世破魔击·日",C307="净世破魔击·月"),M307-'模拟-单技能数据'!$K$10,0)</f>
        <v>0</v>
      </c>
      <c r="AT307" s="61">
        <f ca="1">IF(OR(C307="净世破魔击·日",C307="净世破魔击·月"),I307-'模拟-单技能数据'!$L$10,0)</f>
        <v>0</v>
      </c>
      <c r="AU307" s="62">
        <f t="shared" ca="1" si="272"/>
        <v>0.45659333980708183</v>
      </c>
      <c r="AV307" s="64">
        <f ca="1">IF(AS307&gt;0,('模拟-单技能数据'!$D$22+G307*'模拟-单技能数据'!$F$22)*(1+J307)*(1-S307)*IF(AU307&lt;$F$10,0,IF(AU307&lt;$F$10+$F$11,0.25,IF(AU307&lt;$F$10+$F$11+AS307,AT307,1)))*(1+U307),0)*'模拟-单技能数据'!$I$22</f>
        <v>0</v>
      </c>
      <c r="AW307" s="108">
        <f t="shared" ca="1" si="273"/>
        <v>0</v>
      </c>
      <c r="AX307" s="108" t="b">
        <f ca="1">AND(模拟模式!$P$10="有",AW306=0,RAND()&lt;IF(C307="净世破魔击·月",0.1*8/3,IF(C307="净世破魔击·日",0.1*4/3,0.1*2/3)))</f>
        <v>0</v>
      </c>
      <c r="AY307" s="47">
        <f ca="1">IF(AX307,(18+G307*0.722)*(1+J307)*(1-S307)*(1+$I$4)*IF(P307="会",'模拟-全程加成'!$J$3+'模拟-全程加成'!$J$4+'模拟-全程加成'!$J$5+('模拟-全程加成'!$I$4+'模拟-全程加成'!$I$5)/系数!$B$4+BG307*10%,IF(P307="命",1,IF(P307="识",0.25,0))),0)</f>
        <v>0</v>
      </c>
      <c r="AZ307" s="108">
        <f t="shared" si="274"/>
        <v>5.2400000000000064</v>
      </c>
      <c r="BA307" s="108" t="b">
        <f>AND(模拟模式!$Q$10="有",AZ306=0)</f>
        <v>0</v>
      </c>
      <c r="BB307" s="140">
        <f>IF(BA307,(0+G307*0.287)*(1+J307)*(1-S307)*(1+$I$4)*IF(P307="会",'模拟-全程加成'!$J$3+'模拟-全程加成'!$J$4+'模拟-全程加成'!$J$5+('模拟-全程加成'!$I$4+'模拟-全程加成'!$I$5)/系数!$B$4+BG307*10%,IF(P307="命",1,IF(P307="识",0.25,0))),0)</f>
        <v>0</v>
      </c>
      <c r="BC307" s="115" t="b">
        <f ca="1">AND(模拟模式!$R$7="伏明众生",E307=60,F307=20,DA307&lt;5,CZ306&lt;$F$4)</f>
        <v>0</v>
      </c>
      <c r="BD307" s="115">
        <f t="shared" ca="1" si="236"/>
        <v>0</v>
      </c>
      <c r="BE307" s="115" t="b">
        <f t="shared" ca="1" si="237"/>
        <v>0</v>
      </c>
      <c r="BF307" s="47">
        <f ca="1">IF(BC307,4*('模拟-单技能数据'!$D$24+G307*'模拟-单技能数据'!$F$24)*(1+J307)*(1+'模拟-单技能数据'!$J$24)*(1-S307)*(1+$I$3)*(('模拟-全程加成'!$J$3+'模拟-全程加成'!$J$4+'模拟-全程加成'!$J$5+('模拟-全程加成'!$I$4+'模拟-全程加成'!$I$5)/系数!$B$4+BG307*10%)*('模拟-全程加成'!$J$3+'模拟-全程加成'!$J$4+'模拟-全程加成'!$J$5+('模拟-全程加成'!$I$4+'模拟-全程加成'!$I$5)/系数!$B$4+BG307*10%)+(1-('模拟-全程加成'!$J$3+'模拟-全程加成'!$J$4+'模拟-全程加成'!$J$5+('模拟-全程加成'!$I$4+'模拟-全程加成'!$I$5)/系数!$B$4+BG307*10%)-$F$10-$F$11)+F293*0.25),0)*'模拟-单技能数据'!$I$24</f>
        <v>0</v>
      </c>
      <c r="BG307" s="115" t="b">
        <f ca="1">OR(AND(OR(C307="烈日斩",C307="银月斩"),模拟模式!$I$7="净身明礼"),AND(C307="净世破魔击·日",模拟模式!$J$7="洞若观火"),AND(C308="净世破魔击·月",模拟模式!$J$7="洞若观火"),AB307=1)</f>
        <v>1</v>
      </c>
      <c r="BH307" s="115" t="b">
        <f t="shared" ca="1" si="275"/>
        <v>0</v>
      </c>
      <c r="BI307" s="115">
        <f t="shared" ca="1" si="238"/>
        <v>0</v>
      </c>
      <c r="BJ307" s="115" t="b">
        <f t="shared" ca="1" si="249"/>
        <v>0</v>
      </c>
      <c r="BK307" s="115" t="b">
        <f ca="1">AND(C307="驱夜断愁",模拟模式!$P$7="天地诛戮")</f>
        <v>0</v>
      </c>
      <c r="BL307" s="57">
        <f t="shared" ca="1" si="239"/>
        <v>15.387500000000003</v>
      </c>
      <c r="BM307" s="115" t="b">
        <f t="shared" ca="1" si="250"/>
        <v>1</v>
      </c>
      <c r="BN307" s="115" t="b">
        <f ca="1">AND(OR(C307="赤日轮1",C307="赤日轮2",C307="赤日轮3",C307="幽月轮1",C307="幽月轮2",C307="幽月轮3"),AB307=1,模拟模式!$L$7="明光恒照")</f>
        <v>1</v>
      </c>
      <c r="BO307" s="117">
        <f t="shared" ca="1" si="240"/>
        <v>30</v>
      </c>
      <c r="BP307" s="115">
        <f t="shared" ca="1" si="276"/>
        <v>6</v>
      </c>
      <c r="BQ307" s="115" t="b">
        <f>模拟模式!$K$10="2600·水"</f>
        <v>0</v>
      </c>
      <c r="BR307" s="117">
        <f t="shared" si="277"/>
        <v>0</v>
      </c>
      <c r="BS307" s="115">
        <f t="shared" si="278"/>
        <v>0</v>
      </c>
      <c r="BT307" s="115">
        <f t="shared" ca="1" si="279"/>
        <v>0</v>
      </c>
      <c r="BU307" s="115" t="b">
        <f ca="1">AND(模拟模式!$K$10="2300·雷",BT306=0,RAND()&lt;IF(C307="净世破魔击·月",5*0.05*2/3,IF(C307="净世破魔击·日",3*0.05*2/3,0.05*2*2/3)))</f>
        <v>0</v>
      </c>
      <c r="BV307" s="115">
        <f t="shared" ca="1" si="280"/>
        <v>0</v>
      </c>
      <c r="BW307" s="115">
        <f t="shared" ca="1" si="281"/>
        <v>113.57999999999925</v>
      </c>
      <c r="BX307" s="164" t="b">
        <f t="shared" ca="1" si="282"/>
        <v>0</v>
      </c>
      <c r="BY307" s="115">
        <f t="shared" ca="1" si="283"/>
        <v>0</v>
      </c>
      <c r="BZ307" s="115">
        <f>IF(OR(模拟模式!$P$16="10人团",模拟模式!$P$16="25人团"),IF(B307/30&gt;CA306,1,0),0)</f>
        <v>0</v>
      </c>
      <c r="CA307" s="115">
        <f t="shared" si="259"/>
        <v>0</v>
      </c>
      <c r="CB307" s="115">
        <f ca="1">IF(BZ307=1,IF(模拟模式!$P$16="10人团",15,0)+IF(模拟模式!$P$16="25人团",IF(RAND()&lt;0.6,15,0)),MAX(0,CB306-$F$4))</f>
        <v>0</v>
      </c>
      <c r="CC307" s="115" t="b">
        <f t="shared" ca="1" si="251"/>
        <v>0</v>
      </c>
      <c r="CD307" s="115">
        <f>IF(模拟模式!$Q$16="1个",IF(B307/40&gt;CE306,1,0),0)</f>
        <v>0</v>
      </c>
      <c r="CE307" s="115">
        <f t="shared" si="252"/>
        <v>0</v>
      </c>
      <c r="CF307" s="115">
        <f>IF(OR(CD307=1,模拟模式!$Q$16="2个"),20,MAX(0,CF306-$F$4))</f>
        <v>0</v>
      </c>
      <c r="CG307" s="115" t="b">
        <f t="shared" si="253"/>
        <v>0</v>
      </c>
      <c r="CH307" s="115">
        <f t="shared" ca="1" si="284"/>
        <v>8.7825000000000131</v>
      </c>
      <c r="CI307" s="115" t="b">
        <f t="shared" ca="1" si="285"/>
        <v>0</v>
      </c>
      <c r="CJ307" s="119">
        <f t="shared" ca="1" si="286"/>
        <v>0</v>
      </c>
      <c r="CK307" s="115">
        <f t="shared" ca="1" si="287"/>
        <v>0</v>
      </c>
      <c r="CL307" s="115" t="b">
        <f ca="1">AND(模拟模式!$S$7="驱夷逐法",OR(AND(C307="净世破魔击·月",E306&gt;59),AND(C307="净世破魔击·日",F306&gt;59)))</f>
        <v>0</v>
      </c>
      <c r="CM307" s="115" t="b">
        <f ca="1">OR(CL307,AND(C307="净世破魔击·日",CL306,RAND()&lt;模拟模式!$U$23))</f>
        <v>0</v>
      </c>
      <c r="CN307" s="115" t="b">
        <f ca="1">IF(模拟模式!$M$7="辉耀红尘",AND(C307="净世破魔击·月",CL307,CV307=0,E306&lt;80),AND(C307="净世破魔击·月",CL307,E306&lt;100))</f>
        <v>0</v>
      </c>
      <c r="CO307" s="115" t="b">
        <f t="shared" ca="1" si="260"/>
        <v>0</v>
      </c>
      <c r="CP307" s="115" t="b">
        <f ca="1">AND(模拟模式!$O$7="用晦而明",OR(C307="净世破魔击·日",C307="净世破魔击·月",C307="驱夜断愁"),AB307)</f>
        <v>0</v>
      </c>
      <c r="CQ307" s="115" t="b">
        <f ca="1">OR(CP307,AND(CP306,RAND()&lt;模拟模式!$U$23))</f>
        <v>1</v>
      </c>
      <c r="CR307" s="115" t="b">
        <f ca="1">AND(模拟模式!$S$7="日月齐光",OR(C307="幽月轮1",C307="幽月轮2",C307="幽月轮3",CR306),NOT(OR(C307="赤日轮1",C307="赤日轮2",C307="赤日轮3")))</f>
        <v>0</v>
      </c>
      <c r="CS307" s="115" t="b">
        <f ca="1">AND(模拟模式!$S$7="日月齐光",OR(C307="赤日轮1",C307="赤日轮2",C307="赤日轮3",CS306),NOT(OR(C307="幽月轮1",C307="幽月轮2",C307="幽月轮3")))</f>
        <v>0</v>
      </c>
      <c r="CT307" s="115">
        <f t="shared" ca="1" si="288"/>
        <v>18.007500000000007</v>
      </c>
      <c r="CU307" s="115" t="b">
        <f ca="1">AND(模拟模式!$K$10="阴阳往极",CT306=0,RAND()&lt;IF(C307="净世破魔击·月",0.0275*7/3,IF(C307="净世破魔击·日",0.0275*3/3,0.0275*2/3)))</f>
        <v>0</v>
      </c>
      <c r="CV307" s="115">
        <f t="shared" ca="1" si="289"/>
        <v>0</v>
      </c>
      <c r="CW307" s="115">
        <f t="shared" ca="1" si="261"/>
        <v>2.3099999999999996</v>
      </c>
      <c r="CX307" s="115">
        <f t="shared" ca="1" si="262"/>
        <v>0.46499999999999975</v>
      </c>
      <c r="CY307" s="115">
        <f ca="1">MAX(IF($C307="驱夜断愁",IF(模拟模式!$R$7="万念俱寂",6,45),CY306-$F$4),0)</f>
        <v>1.3874999999999997</v>
      </c>
      <c r="CZ307" s="115">
        <f t="shared" ca="1" si="263"/>
        <v>0</v>
      </c>
      <c r="DA307" s="115">
        <f ca="1">IF(模拟模式!$N$7="日月同辉",IF(DB306=2,0,MIN(6,IF(AND(OR(C307="赤日轮1",C307="赤日轮2",C307="赤日轮3",C307="幽月轮1",C307="幽月轮2",C307="幽月轮3"),AB307=1),DA306+1,DA306))),0)</f>
        <v>2</v>
      </c>
      <c r="DB307" s="115">
        <f t="shared" ca="1" si="264"/>
        <v>0</v>
      </c>
      <c r="DC307" s="115"/>
      <c r="DD307" s="115"/>
      <c r="DE307" s="115"/>
      <c r="DF307" s="115"/>
      <c r="DG307" s="115"/>
      <c r="DH307" s="115"/>
      <c r="DI307" s="115"/>
      <c r="DJ307" s="115"/>
      <c r="DK307" s="115"/>
      <c r="DL307" s="115"/>
      <c r="DM307" s="115"/>
    </row>
    <row r="308" spans="2:117" x14ac:dyDescent="0.2">
      <c r="B308" s="117">
        <f t="shared" si="265"/>
        <v>259.22250000000184</v>
      </c>
      <c r="C308" s="167" t="str">
        <f t="shared" ca="1" si="258"/>
        <v>银月斩</v>
      </c>
      <c r="D308" s="115">
        <f ca="1">IF(C308="赤日轮1",1,IF(C308="赤日轮2",2,IF(C308="赤日轮3",3,IF(C308="幽月轮1",4,IF(C308="幽月轮2",5,IF(C308="幽月轮3",6,IF(C308="烈日斩",7,IF(C308="银月斩",8,IF(C308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308="净世破魔击·月",17,IF(C308="驱夜断愁",18,0)))))))))))</f>
        <v>8</v>
      </c>
      <c r="E308" s="115">
        <f ca="1">IF(AND(CU308,OR(C308="幽月轮1",C308="幽月轮2",C308="幽月轮3",C308="银月斩",C308="驱夜断愁",C308="净世破魔击·月")),100,MIN(IF(OR(CN308,BE308),0,IF(OR($C308="赤日轮1",$C308="赤日轮2",$C308="赤日轮3"),E307+20+IF(模拟模式!$I$7="日月凌天",4,0)+IF(CR307,20,0),IF($C308="烈日斩",E307+40,IF($C308="驱夜断愁",IF(模拟模式!$R$7="万念俱寂",E307+20,E307+60),IF($C308="净世破魔击·月",IF(OR(DB307&gt;0,CV307&gt;0),100,IF(模拟模式!$M$7="辉耀红尘",E307+20,E307)),IF($C308="净世破魔击·日",E307-100,E307)))))),100))</f>
        <v>20</v>
      </c>
      <c r="F308" s="115">
        <f ca="1">IF(AND(CU308,OR(C308="赤日轮1",C308="赤日轮2",C308="赤日轮3",C308="烈日斩",C308="净世破魔击·日")),100,MIN(IF(CO308,0,IF(OR($C308="幽月轮1",$C308="幽月轮2",$C308="幽月轮3"),F307+20+IF(模拟模式!$I$7="日月凌天",4,0)+IF(CS307,20,0),IF($C308="银月斩",F307+40+IF(模拟模式!$X$12=1,5,0),IF($C308="驱夜断愁",IF(模拟模式!$R$7="万念俱寂",F307+20,F307+60),IF($C308="净世破魔击·月",IF(模拟模式!$M$7="辉耀红尘",F307-80,F307-100),IF(AND(C308="净世破魔击·日",OR(DB307&gt;0,CV307&gt;0)),100,F307)))))),100))</f>
        <v>65</v>
      </c>
      <c r="G308" s="117">
        <f ca="1">('模拟-全程加成'!$E$3+'模拟-全程加成'!$E$4+'模拟-全程加成'!$E$5+('模拟-全程加成'!$C$6-'模拟-全程加成'!$C$3)*系数!$B$9+BS308*23)*(1+'模拟-全程加成'!$F$4+'模拟-全程加成'!$F$5+BJ308*10%+BM308*20%+BP308*4%+CG308*30%)+$F$7*系数!$B$12</f>
        <v>20583.127400000001</v>
      </c>
      <c r="H308" s="45">
        <f ca="1">'模拟-全程加成'!$H$3+'模拟-全程加成'!$H$4+'模拟-全程加成'!$H$5+('模拟-全程加成'!$G$4+'模拟-全程加成'!$G$5+('模拟-全程加成'!$C$6-'模拟-全程加成'!$C$3)*系数!$B$13)/系数!$B$3+LOOKUP(D308,'模拟-单技能数据'!$A$2:$A$19,'模拟-单技能数据'!$K$2:$K$19)+BG308*10%+IF(BV308&gt;0,378,0)</f>
        <v>0.64185145527300214</v>
      </c>
      <c r="I308" s="45">
        <f ca="1">'模拟-全程加成'!$J$3+'模拟-全程加成'!$J$4+'模拟-全程加成'!$J$5+('模拟-全程加成'!$I$4+'模拟-全程加成'!$I$5)/系数!$B$4+LOOKUP(D308,'模拟-单技能数据'!$A$2:$A$19,'模拟-单技能数据'!$L$2:$L$19)+BG308*10%</f>
        <v>2.2624828854998791</v>
      </c>
      <c r="J308" s="45">
        <f ca="1">(('模拟-全程加成'!$K$3+'模拟-全程加成'!$K$4+'模拟-全程加成'!$K$5+('模拟-全程加成'!$C$6-'模拟-全程加成'!$C$3)*系数!$B$10+IF(BV308&gt;0,882,0)+IF(BY308&gt;0,1831,0))*(1+'模拟-全程加成'!$L$4+'模拟-全程加成'!$L$5+CC308*20%))/系数!$B$5</f>
        <v>0.69723220422048726</v>
      </c>
      <c r="K308" s="119">
        <f ca="1">LOOKUP(D308,'模拟-单技能数据'!$A$2:$A$19,'模拟-单技能数据'!$J$2:$J$19)+IF(CM308,60%,0)+IF(DB307-DB308&gt;0,30%,0)+IF(OR(AND(OR(C308="赤日轮1",C308="赤日轮2",C308="赤日轮3"),CR308),AND(OR(C308="幽月轮1",C308="幽月轮2",C308="幽月轮3"),CS308)),35%,0)+CJ308</f>
        <v>0.15</v>
      </c>
      <c r="L308" s="119">
        <f ca="1">IF(AND(C308="烈日斩",模拟模式!$X$11=1),10%,0)+IF(AND(C308="驱夜断愁",AB308=1),30%,0)</f>
        <v>0</v>
      </c>
      <c r="M308" s="45">
        <f t="shared" ca="1" si="241"/>
        <v>0.64185145527300214</v>
      </c>
      <c r="N308" s="45">
        <f t="shared" ca="1" si="242"/>
        <v>0.30424854472699792</v>
      </c>
      <c r="O308" s="46">
        <f t="shared" ca="1" si="266"/>
        <v>0.48350278907668998</v>
      </c>
      <c r="P308" s="46" t="str">
        <f t="shared" ca="1" si="267"/>
        <v>会</v>
      </c>
      <c r="Q308" s="45">
        <f t="shared" ca="1" si="268"/>
        <v>2.2624828854998791</v>
      </c>
      <c r="R308" s="117">
        <f ca="1">模拟模式!$E$20*(1-IF(模拟模式!$J$19="有",0.15,0))*(1-IF(模拟模式!$K$19="有",0.3,0)-IF(CQ308,0.5,0))</f>
        <v>2950.6049999999996</v>
      </c>
      <c r="S308" s="45">
        <f ca="1">R308/(R308+(185*模拟模式!$E$22-16800)*4.08224)</f>
        <v>0.24272716014590323</v>
      </c>
      <c r="T308" s="45" t="str">
        <f ca="1">LOOKUP(D308,'模拟-单技能数据'!$A$2:$A$19,'模拟-单技能数据'!$H$2:$H$19)</f>
        <v>阴</v>
      </c>
      <c r="U308" s="119">
        <f t="shared" ca="1" si="243"/>
        <v>0.08</v>
      </c>
      <c r="V308" s="47">
        <f ca="1">(1+L308)*(LOOKUP(D308,'模拟-单技能数据'!$A$2:$A$19,'模拟-单技能数据'!$D$2:$D$19)+G308*LOOKUP(D308,'模拟-单技能数据'!$A$2:$A$19,'模拟-单技能数据'!$F$2:$F$19))*(1+J308)*(1+K308)*(1-S308)*(1+U308)*Q308*LOOKUP(D308,'模拟-单技能数据'!$A$2:$A$19,'模拟-单技能数据'!$I$2:$I$20)</f>
        <v>39481.310356797861</v>
      </c>
      <c r="W308" s="47">
        <f ca="1">LOOKUP(D308,'模拟-单技能数据'!$A$2:$A$19,'模拟-单技能数据'!$G$2:$G$19)*$I$10</f>
        <v>361.51064354704795</v>
      </c>
      <c r="X308" s="47">
        <f t="shared" ca="1" si="269"/>
        <v>0</v>
      </c>
      <c r="Y308" s="47">
        <f t="shared" ca="1" si="244"/>
        <v>39842.821000344906</v>
      </c>
      <c r="Z308" s="49">
        <f t="shared" ca="1" si="245"/>
        <v>29780641.299712993</v>
      </c>
      <c r="AA308" s="97">
        <f t="shared" ca="1" si="246"/>
        <v>114884.47684793096</v>
      </c>
      <c r="AB308" s="115">
        <f ca="1">IF(OR(C308="赤日轮1",C308="赤日轮2",C308="赤日轮3"),IF(RAND()&lt;模拟模式!$Y$17,1,0),IF(OR(C308="幽月轮1",C308="幽月轮2",C308="幽月轮3"),IF(RAND()&lt;模拟模式!$Y$18,1,0),IF(C308="烈日斩",IF(RAND()&lt;模拟模式!$Y$19,1,0),IF(C308="银月斩",IF(RAND()&lt;模拟模式!$Y$20,1,0),IF(C308="驱夜断愁",IF(RAND()&lt;模拟模式!$Y$21,1,0),IF(C308="净世破魔击·日",IF(RAND()&lt;模拟模式!$Y$22,1,0),IF(C308="净世破魔击·月",IF(RAND()&lt;模拟模式!$Y$23,1,0),0)))))))</f>
        <v>1</v>
      </c>
      <c r="AC308" s="115" t="b">
        <f t="shared" ca="1" si="234"/>
        <v>1</v>
      </c>
      <c r="AD308" s="115" t="b">
        <f t="shared" ca="1" si="254"/>
        <v>0</v>
      </c>
      <c r="AE308" s="115">
        <f t="shared" ca="1" si="255"/>
        <v>6</v>
      </c>
      <c r="AF308" s="47">
        <f ca="1">IF(AC308,('模拟-单技能数据'!$D$20+G308*'模拟-单技能数据'!$F$20)*(1+J308)*(1+'模拟-单技能数据'!$J$20)*(1+U308),0)</f>
        <v>4447.8565560098323</v>
      </c>
      <c r="AG308" s="61">
        <f t="shared" ca="1" si="247"/>
        <v>0.64185145527300214</v>
      </c>
      <c r="AH308" s="61">
        <f t="shared" ca="1" si="248"/>
        <v>2.2624828854998791</v>
      </c>
      <c r="AI308" s="62">
        <f t="shared" ca="1" si="270"/>
        <v>0.48703192171632304</v>
      </c>
      <c r="AJ308" s="47">
        <f ca="1">IF(AD308,IF(AI308&lt;$F$10,0,IF(AI308&lt;$F$10+$F$11,0.25,IF(AI308&lt;$F$10+$F$11+AG308,AH308,1)))*IF(AF308&gt;0,AF308,IF(AF307&gt;0,AF307,IF(AF306&gt;0,AF306,IF(AF305&gt;0,AF305,IF(AF304&gt;0,AF304,IF(AF303&gt;0,AF303,IF(AF302&gt;0,AF302,IF(AF301&gt;0,AF301,IF(AF300&gt;0,AF300,IF(AF298&gt;0,AF298,IF(AF297&gt;0,AF297,IF(AF296&gt;0,AF296,0)))))))))))),0)*(1-$S308)*'模拟-单技能数据'!$I$20</f>
        <v>0</v>
      </c>
      <c r="AK308" s="115" t="b">
        <f t="shared" ca="1" si="235"/>
        <v>0</v>
      </c>
      <c r="AL308" s="115" t="b">
        <f t="shared" ca="1" si="256"/>
        <v>0</v>
      </c>
      <c r="AM308" s="115">
        <f t="shared" ca="1" si="257"/>
        <v>5</v>
      </c>
      <c r="AN308" s="47">
        <f ca="1">IF(AK308,('模拟-单技能数据'!$D$21+G308*'模拟-单技能数据'!$F$21)*(1+J308)*(1+'模拟-单技能数据'!$J$21)*(1+U308),0)</f>
        <v>0</v>
      </c>
      <c r="AO308" s="61">
        <f ca="1">IF(AN308&gt;0,M308-'模拟-单技能数据'!$K$10,AO307)</f>
        <v>0.42185145527300216</v>
      </c>
      <c r="AP308" s="61">
        <f ca="1">IF(AN308&gt;0,I308-'模拟-单技能数据'!$L$10,AP307)</f>
        <v>2.162482885499879</v>
      </c>
      <c r="AQ308" s="63">
        <f t="shared" ca="1" si="271"/>
        <v>0.71435559656956094</v>
      </c>
      <c r="AR308" s="64">
        <f ca="1">IF(AL308,IF(AQ308&lt;$F$10,0,IF(AQ308&lt;$F$10+$F$11,0.25,IF(AQ308&lt;$F$10+$F$11+AO308,AP308,1)))*IF(AN308&gt;0,AN308,IF(AN307&gt;0,AN307,IF(AN306&gt;0,AN306,IF(AN305&gt;0,AN305,IF(AN304&gt;0,AN304,IF(AN303&gt;0,AN303,IF(AN302&gt;0,AN302,IF(AN301&gt;0,AN301,IF(AN300&gt;0,AN300,IF(AN298&gt;0,AN298,IF(AN297&gt;0,AN297,IF(AN296&gt;0,AN296,0)))))))))))),0)*(1-$S308)*'模拟-单技能数据'!$I$21</f>
        <v>0</v>
      </c>
      <c r="AS308" s="61">
        <f ca="1">IF(OR(C308="净世破魔击·日",C308="净世破魔击·月"),M308-'模拟-单技能数据'!$K$10,0)</f>
        <v>0</v>
      </c>
      <c r="AT308" s="61">
        <f ca="1">IF(OR(C308="净世破魔击·日",C308="净世破魔击·月"),I308-'模拟-单技能数据'!$L$10,0)</f>
        <v>0</v>
      </c>
      <c r="AU308" s="62">
        <f t="shared" ca="1" si="272"/>
        <v>0.98583531036428784</v>
      </c>
      <c r="AV308" s="64">
        <f ca="1">IF(AS308&gt;0,('模拟-单技能数据'!$D$22+G308*'模拟-单技能数据'!$F$22)*(1+J308)*(1-S308)*IF(AU308&lt;$F$10,0,IF(AU308&lt;$F$10+$F$11,0.25,IF(AU308&lt;$F$10+$F$11+AS308,AT308,1)))*(1+U308),0)*'模拟-单技能数据'!$I$22</f>
        <v>0</v>
      </c>
      <c r="AW308" s="108">
        <f t="shared" ca="1" si="273"/>
        <v>0</v>
      </c>
      <c r="AX308" s="108" t="b">
        <f ca="1">AND(模拟模式!$P$10="有",AW307=0,RAND()&lt;IF(C308="净世破魔击·月",0.1*8/3,IF(C308="净世破魔击·日",0.1*4/3,0.1*2/3)))</f>
        <v>0</v>
      </c>
      <c r="AY308" s="47">
        <f ca="1">IF(AX308,(18+G308*0.722)*(1+J308)*(1-S308)*(1+$I$4)*IF(P308="会",'模拟-全程加成'!$J$3+'模拟-全程加成'!$J$4+'模拟-全程加成'!$J$5+('模拟-全程加成'!$I$4+'模拟-全程加成'!$I$5)/系数!$B$4+BG308*10%,IF(P308="命",1,IF(P308="识",0.25,0))),0)</f>
        <v>0</v>
      </c>
      <c r="AZ308" s="108">
        <f t="shared" si="274"/>
        <v>4.3175000000000061</v>
      </c>
      <c r="BA308" s="108" t="b">
        <f>AND(模拟模式!$Q$10="有",AZ307=0)</f>
        <v>0</v>
      </c>
      <c r="BB308" s="140">
        <f>IF(BA308,(0+G308*0.287)*(1+J308)*(1-S308)*(1+$I$4)*IF(P308="会",'模拟-全程加成'!$J$3+'模拟-全程加成'!$J$4+'模拟-全程加成'!$J$5+('模拟-全程加成'!$I$4+'模拟-全程加成'!$I$5)/系数!$B$4+BG308*10%,IF(P308="命",1,IF(P308="识",0.25,0))),0)</f>
        <v>0</v>
      </c>
      <c r="BC308" s="115" t="b">
        <f ca="1">AND(模拟模式!$R$7="伏明众生",E308=60,F308=20,DA308&lt;5,CZ307&lt;$F$4)</f>
        <v>0</v>
      </c>
      <c r="BD308" s="115">
        <f t="shared" ca="1" si="236"/>
        <v>0</v>
      </c>
      <c r="BE308" s="115" t="b">
        <f t="shared" ca="1" si="237"/>
        <v>0</v>
      </c>
      <c r="BF308" s="47">
        <f ca="1">IF(BC308,4*('模拟-单技能数据'!$D$24+G308*'模拟-单技能数据'!$F$24)*(1+J308)*(1+'模拟-单技能数据'!$J$24)*(1-S308)*(1+$I$3)*(('模拟-全程加成'!$J$3+'模拟-全程加成'!$J$4+'模拟-全程加成'!$J$5+('模拟-全程加成'!$I$4+'模拟-全程加成'!$I$5)/系数!$B$4+BG308*10%)*('模拟-全程加成'!$J$3+'模拟-全程加成'!$J$4+'模拟-全程加成'!$J$5+('模拟-全程加成'!$I$4+'模拟-全程加成'!$I$5)/系数!$B$4+BG308*10%)+(1-('模拟-全程加成'!$J$3+'模拟-全程加成'!$J$4+'模拟-全程加成'!$J$5+('模拟-全程加成'!$I$4+'模拟-全程加成'!$I$5)/系数!$B$4+BG308*10%)-$F$10-$F$11)+F294*0.25),0)*'模拟-单技能数据'!$I$24</f>
        <v>0</v>
      </c>
      <c r="BG308" s="115" t="b">
        <f ca="1">OR(AND(OR(C308="烈日斩",C308="银月斩"),模拟模式!$I$7="净身明礼"),AND(C308="净世破魔击·日",模拟模式!$J$7="洞若观火"),AND(C309="净世破魔击·月",模拟模式!$J$7="洞若观火"),AB308=1)</f>
        <v>1</v>
      </c>
      <c r="BH308" s="115" t="b">
        <f t="shared" ca="1" si="275"/>
        <v>0</v>
      </c>
      <c r="BI308" s="115">
        <f t="shared" ca="1" si="238"/>
        <v>0</v>
      </c>
      <c r="BJ308" s="115" t="b">
        <f t="shared" ca="1" si="249"/>
        <v>0</v>
      </c>
      <c r="BK308" s="115" t="b">
        <f ca="1">AND(C308="驱夜断愁",模拟模式!$P$7="天地诛戮")</f>
        <v>0</v>
      </c>
      <c r="BL308" s="57">
        <f t="shared" ca="1" si="239"/>
        <v>14.465000000000003</v>
      </c>
      <c r="BM308" s="115" t="b">
        <f t="shared" ca="1" si="250"/>
        <v>1</v>
      </c>
      <c r="BN308" s="115" t="b">
        <f ca="1">AND(OR(C308="赤日轮1",C308="赤日轮2",C308="赤日轮3",C308="幽月轮1",C308="幽月轮2",C308="幽月轮3"),AB308=1,模拟模式!$L$7="明光恒照")</f>
        <v>0</v>
      </c>
      <c r="BO308" s="117">
        <f t="shared" ca="1" si="240"/>
        <v>29.077500000000001</v>
      </c>
      <c r="BP308" s="115">
        <f t="shared" ca="1" si="276"/>
        <v>6</v>
      </c>
      <c r="BQ308" s="115" t="b">
        <f>模拟模式!$K$10="2600·水"</f>
        <v>0</v>
      </c>
      <c r="BR308" s="117">
        <f t="shared" si="277"/>
        <v>0</v>
      </c>
      <c r="BS308" s="115">
        <f t="shared" si="278"/>
        <v>0</v>
      </c>
      <c r="BT308" s="115">
        <f t="shared" ca="1" si="279"/>
        <v>0</v>
      </c>
      <c r="BU308" s="115" t="b">
        <f ca="1">AND(模拟模式!$K$10="2300·雷",BT307=0,RAND()&lt;IF(C308="净世破魔击·月",5*0.05*2/3,IF(C308="净世破魔击·日",3*0.05*2/3,0.05*2*2/3)))</f>
        <v>0</v>
      </c>
      <c r="BV308" s="115">
        <f t="shared" ca="1" si="280"/>
        <v>0</v>
      </c>
      <c r="BW308" s="115">
        <f t="shared" ca="1" si="281"/>
        <v>112.65749999999925</v>
      </c>
      <c r="BX308" s="164" t="b">
        <f t="shared" ca="1" si="282"/>
        <v>0</v>
      </c>
      <c r="BY308" s="115">
        <f t="shared" ca="1" si="283"/>
        <v>0</v>
      </c>
      <c r="BZ308" s="115">
        <f>IF(OR(模拟模式!$P$16="10人团",模拟模式!$P$16="25人团"),IF(B308/30&gt;CA307,1,0),0)</f>
        <v>0</v>
      </c>
      <c r="CA308" s="115">
        <f t="shared" si="259"/>
        <v>0</v>
      </c>
      <c r="CB308" s="115">
        <f ca="1">IF(BZ308=1,IF(模拟模式!$P$16="10人团",15,0)+IF(模拟模式!$P$16="25人团",IF(RAND()&lt;0.6,15,0)),MAX(0,CB307-$F$4))</f>
        <v>0</v>
      </c>
      <c r="CC308" s="115" t="b">
        <f t="shared" ca="1" si="251"/>
        <v>0</v>
      </c>
      <c r="CD308" s="115">
        <f>IF(模拟模式!$Q$16="1个",IF(B308/40&gt;CE307,1,0),0)</f>
        <v>0</v>
      </c>
      <c r="CE308" s="115">
        <f t="shared" si="252"/>
        <v>0</v>
      </c>
      <c r="CF308" s="115">
        <f>IF(OR(CD308=1,模拟模式!$Q$16="2个"),20,MAX(0,CF307-$F$4))</f>
        <v>0</v>
      </c>
      <c r="CG308" s="115" t="b">
        <f t="shared" si="253"/>
        <v>0</v>
      </c>
      <c r="CH308" s="115">
        <f t="shared" ca="1" si="284"/>
        <v>7.8600000000000128</v>
      </c>
      <c r="CI308" s="115" t="b">
        <f t="shared" ca="1" si="285"/>
        <v>0</v>
      </c>
      <c r="CJ308" s="119">
        <f t="shared" ca="1" si="286"/>
        <v>0</v>
      </c>
      <c r="CK308" s="115">
        <f t="shared" ca="1" si="287"/>
        <v>0</v>
      </c>
      <c r="CL308" s="115" t="b">
        <f ca="1">AND(模拟模式!$S$7="驱夷逐法",OR(AND(C308="净世破魔击·月",E307&gt;59),AND(C308="净世破魔击·日",F307&gt;59)))</f>
        <v>0</v>
      </c>
      <c r="CM308" s="115" t="b">
        <f ca="1">OR(CL308,AND(C308="净世破魔击·日",CL307,RAND()&lt;模拟模式!$U$23))</f>
        <v>0</v>
      </c>
      <c r="CN308" s="115" t="b">
        <f ca="1">IF(模拟模式!$M$7="辉耀红尘",AND(C308="净世破魔击·月",CL308,CV308=0,E307&lt;80),AND(C308="净世破魔击·月",CL308,E307&lt;100))</f>
        <v>0</v>
      </c>
      <c r="CO308" s="115" t="b">
        <f t="shared" ca="1" si="260"/>
        <v>0</v>
      </c>
      <c r="CP308" s="115" t="b">
        <f ca="1">AND(模拟模式!$O$7="用晦而明",OR(C308="净世破魔击·日",C308="净世破魔击·月",C308="驱夜断愁"),AB308)</f>
        <v>0</v>
      </c>
      <c r="CQ308" s="115" t="b">
        <f ca="1">OR(CP308,AND(CP307,RAND()&lt;模拟模式!$U$23))</f>
        <v>0</v>
      </c>
      <c r="CR308" s="115" t="b">
        <f ca="1">AND(模拟模式!$S$7="日月齐光",OR(C308="幽月轮1",C308="幽月轮2",C308="幽月轮3",CR307),NOT(OR(C308="赤日轮1",C308="赤日轮2",C308="赤日轮3")))</f>
        <v>0</v>
      </c>
      <c r="CS308" s="115" t="b">
        <f ca="1">AND(模拟模式!$S$7="日月齐光",OR(C308="赤日轮1",C308="赤日轮2",C308="赤日轮3",CS307),NOT(OR(C308="幽月轮1",C308="幽月轮2",C308="幽月轮3")))</f>
        <v>0</v>
      </c>
      <c r="CT308" s="115">
        <f t="shared" ca="1" si="288"/>
        <v>17.085000000000008</v>
      </c>
      <c r="CU308" s="115" t="b">
        <f ca="1">AND(模拟模式!$K$10="阴阳往极",CT307=0,RAND()&lt;IF(C308="净世破魔击·月",0.0275*7/3,IF(C308="净世破魔击·日",0.0275*3/3,0.0275*2/3)))</f>
        <v>0</v>
      </c>
      <c r="CV308" s="115">
        <f t="shared" ca="1" si="289"/>
        <v>0</v>
      </c>
      <c r="CW308" s="115">
        <f t="shared" ca="1" si="261"/>
        <v>1.3874999999999997</v>
      </c>
      <c r="CX308" s="115">
        <f t="shared" ca="1" si="262"/>
        <v>6</v>
      </c>
      <c r="CY308" s="115">
        <f ca="1">MAX(IF($C308="驱夜断愁",IF(模拟模式!$R$7="万念俱寂",6,45),CY307-$F$4),0)</f>
        <v>0.46499999999999975</v>
      </c>
      <c r="CZ308" s="115">
        <f t="shared" ca="1" si="263"/>
        <v>0</v>
      </c>
      <c r="DA308" s="115">
        <f ca="1">IF(模拟模式!$N$7="日月同辉",IF(DB307=2,0,MIN(6,IF(AND(OR(C308="赤日轮1",C308="赤日轮2",C308="赤日轮3",C308="幽月轮1",C308="幽月轮2",C308="幽月轮3"),AB308=1),DA307+1,DA307))),0)</f>
        <v>2</v>
      </c>
      <c r="DB308" s="115">
        <f t="shared" ca="1" si="264"/>
        <v>0</v>
      </c>
      <c r="DC308" s="115"/>
      <c r="DD308" s="115"/>
      <c r="DE308" s="115"/>
      <c r="DF308" s="115"/>
      <c r="DG308" s="115"/>
      <c r="DH308" s="115"/>
      <c r="DI308" s="115"/>
      <c r="DJ308" s="115"/>
      <c r="DK308" s="115"/>
      <c r="DL308" s="115"/>
      <c r="DM308" s="115"/>
    </row>
    <row r="309" spans="2:117" x14ac:dyDescent="0.2">
      <c r="B309" s="117">
        <f t="shared" si="265"/>
        <v>260.14500000000186</v>
      </c>
      <c r="C309" s="167" t="str">
        <f t="shared" ca="1" si="258"/>
        <v>驱夜断愁</v>
      </c>
      <c r="D309" s="115">
        <f ca="1">IF(C309="赤日轮1",1,IF(C309="赤日轮2",2,IF(C309="赤日轮3",3,IF(C309="幽月轮1",4,IF(C309="幽月轮2",5,IF(C309="幽月轮3",6,IF(C309="烈日斩",7,IF(C309="银月斩",8,IF(C309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309="净世破魔击·月",17,IF(C309="驱夜断愁",18,0)))))))))))</f>
        <v>18</v>
      </c>
      <c r="E309" s="115">
        <f ca="1">IF(AND(CU309,OR(C309="幽月轮1",C309="幽月轮2",C309="幽月轮3",C309="银月斩",C309="驱夜断愁",C309="净世破魔击·月")),100,MIN(IF(OR(CN309,BE309),0,IF(OR($C309="赤日轮1",$C309="赤日轮2",$C309="赤日轮3"),E308+20+IF(模拟模式!$I$7="日月凌天",4,0)+IF(CR308,20,0),IF($C309="烈日斩",E308+40,IF($C309="驱夜断愁",IF(模拟模式!$R$7="万念俱寂",E308+20,E308+60),IF($C309="净世破魔击·月",IF(OR(DB308&gt;0,CV308&gt;0),100,IF(模拟模式!$M$7="辉耀红尘",E308+20,E308)),IF($C309="净世破魔击·日",E308-100,E308)))))),100))</f>
        <v>40</v>
      </c>
      <c r="F309" s="115">
        <f ca="1">IF(AND(CU309,OR(C309="赤日轮1",C309="赤日轮2",C309="赤日轮3",C309="烈日斩",C309="净世破魔击·日")),100,MIN(IF(CO309,0,IF(OR($C309="幽月轮1",$C309="幽月轮2",$C309="幽月轮3"),F308+20+IF(模拟模式!$I$7="日月凌天",4,0)+IF(CS308,20,0),IF($C309="银月斩",F308+40+IF(模拟模式!$X$12=1,5,0),IF($C309="驱夜断愁",IF(模拟模式!$R$7="万念俱寂",F308+20,F308+60),IF($C309="净世破魔击·月",IF(模拟模式!$M$7="辉耀红尘",F308-80,F308-100),IF(AND(C309="净世破魔击·日",OR(DB308&gt;0,CV308&gt;0)),100,F308)))))),100))</f>
        <v>85</v>
      </c>
      <c r="G309" s="117">
        <f ca="1">('模拟-全程加成'!$E$3+'模拟-全程加成'!$E$4+'模拟-全程加成'!$E$5+('模拟-全程加成'!$C$6-'模拟-全程加成'!$C$3)*系数!$B$9+BS309*23)*(1+'模拟-全程加成'!$F$4+'模拟-全程加成'!$F$5+BJ309*10%+BM309*20%+BP309*4%+CG309*30%)+$F$7*系数!$B$12</f>
        <v>20583.127400000001</v>
      </c>
      <c r="H309" s="45">
        <f ca="1">'模拟-全程加成'!$H$3+'模拟-全程加成'!$H$4+'模拟-全程加成'!$H$5+('模拟-全程加成'!$G$4+'模拟-全程加成'!$G$5+('模拟-全程加成'!$C$6-'模拟-全程加成'!$C$3)*系数!$B$13)/系数!$B$3+LOOKUP(D309,'模拟-单技能数据'!$A$2:$A$19,'模拟-单技能数据'!$K$2:$K$19)+BG309*10%+IF(BV309&gt;0,378,0)</f>
        <v>0.51185145527300213</v>
      </c>
      <c r="I309" s="45">
        <f ca="1">'模拟-全程加成'!$J$3+'模拟-全程加成'!$J$4+'模拟-全程加成'!$J$5+('模拟-全程加成'!$I$4+'模拟-全程加成'!$I$5)/系数!$B$4+LOOKUP(D309,'模拟-单技能数据'!$A$2:$A$19,'模拟-单技能数据'!$L$2:$L$19)+BG309*10%</f>
        <v>2.162482885499879</v>
      </c>
      <c r="J309" s="45">
        <f ca="1">(('模拟-全程加成'!$K$3+'模拟-全程加成'!$K$4+'模拟-全程加成'!$K$5+('模拟-全程加成'!$C$6-'模拟-全程加成'!$C$3)*系数!$B$10+IF(BV309&gt;0,882,0)+IF(BY309&gt;0,1831,0))*(1+'模拟-全程加成'!$L$4+'模拟-全程加成'!$L$5+CC309*20%))/系数!$B$5</f>
        <v>0.69723220422048726</v>
      </c>
      <c r="K309" s="119">
        <f ca="1">LOOKUP(D309,'模拟-单技能数据'!$A$2:$A$19,'模拟-单技能数据'!$J$2:$J$19)+IF(CM309,60%,0)+IF(DB308-DB309&gt;0,30%,0)+IF(OR(AND(OR(C309="赤日轮1",C309="赤日轮2",C309="赤日轮3"),CR309),AND(OR(C309="幽月轮1",C309="幽月轮2",C309="幽月轮3"),CS309)),35%,0)+CJ309</f>
        <v>0.14000000000000001</v>
      </c>
      <c r="L309" s="119">
        <f ca="1">IF(AND(C309="烈日斩",模拟模式!$X$11=1),10%,0)+IF(AND(C309="驱夜断愁",AB309=1),30%,0)</f>
        <v>0.3</v>
      </c>
      <c r="M309" s="45">
        <f t="shared" ca="1" si="241"/>
        <v>0.51185145527300213</v>
      </c>
      <c r="N309" s="45">
        <f t="shared" ca="1" si="242"/>
        <v>0.43424854472699792</v>
      </c>
      <c r="O309" s="46">
        <f t="shared" ca="1" si="266"/>
        <v>0.46554362247934034</v>
      </c>
      <c r="P309" s="46" t="str">
        <f t="shared" ca="1" si="267"/>
        <v>会</v>
      </c>
      <c r="Q309" s="45">
        <f t="shared" ca="1" si="268"/>
        <v>2.162482885499879</v>
      </c>
      <c r="R309" s="117">
        <f ca="1">模拟模式!$E$20*(1-IF(模拟模式!$J$19="有",0.15,0))*(1-IF(模拟模式!$K$19="有",0.3,0)-IF(CQ309,0.5,0))</f>
        <v>843.02999999999975</v>
      </c>
      <c r="S309" s="45">
        <f ca="1">R309/(R309+(185*模拟模式!$E$22-16800)*4.08224)</f>
        <v>8.389626085980037E-2</v>
      </c>
      <c r="T309" s="45" t="str">
        <f ca="1">LOOKUP(D309,'模拟-单技能数据'!$A$2:$A$19,'模拟-单技能数据'!$H$2:$H$19)</f>
        <v>阴</v>
      </c>
      <c r="U309" s="119">
        <f t="shared" ca="1" si="243"/>
        <v>0.08</v>
      </c>
      <c r="V309" s="47">
        <f ca="1">(1+L309)*(LOOKUP(D309,'模拟-单技能数据'!$A$2:$A$19,'模拟-单技能数据'!$D$2:$D$19)+G309*LOOKUP(D309,'模拟-单技能数据'!$A$2:$A$19,'模拟-单技能数据'!$F$2:$F$19))*(1+J309)*(1+K309)*(1-S309)*(1+U309)*Q309*LOOKUP(D309,'模拟-单技能数据'!$A$2:$A$19,'模拟-单技能数据'!$I$2:$I$20)</f>
        <v>127463.41908070058</v>
      </c>
      <c r="W309" s="47">
        <f ca="1">LOOKUP(D309,'模拟-单技能数据'!$A$2:$A$19,'模拟-单技能数据'!$G$2:$G$19)*$I$10</f>
        <v>723.0212870940959</v>
      </c>
      <c r="X309" s="47">
        <f t="shared" ca="1" si="269"/>
        <v>25061.923683155237</v>
      </c>
      <c r="Y309" s="47">
        <f t="shared" ca="1" si="244"/>
        <v>153248.36405094992</v>
      </c>
      <c r="Z309" s="49">
        <f t="shared" ca="1" si="245"/>
        <v>29933889.663763944</v>
      </c>
      <c r="AA309" s="97">
        <f t="shared" ca="1" si="246"/>
        <v>115066.17334088193</v>
      </c>
      <c r="AB309" s="115">
        <f ca="1">IF(OR(C309="赤日轮1",C309="赤日轮2",C309="赤日轮3"),IF(RAND()&lt;模拟模式!$Y$17,1,0),IF(OR(C309="幽月轮1",C309="幽月轮2",C309="幽月轮3"),IF(RAND()&lt;模拟模式!$Y$18,1,0),IF(C309="烈日斩",IF(RAND()&lt;模拟模式!$Y$19,1,0),IF(C309="银月斩",IF(RAND()&lt;模拟模式!$Y$20,1,0),IF(C309="驱夜断愁",IF(RAND()&lt;模拟模式!$Y$21,1,0),IF(C309="净世破魔击·日",IF(RAND()&lt;模拟模式!$Y$22,1,0),IF(C309="净世破魔击·月",IF(RAND()&lt;模拟模式!$Y$23,1,0),0)))))))</f>
        <v>1</v>
      </c>
      <c r="AC309" s="115" t="b">
        <f t="shared" ca="1" si="234"/>
        <v>0</v>
      </c>
      <c r="AD309" s="115" t="b">
        <f t="shared" ca="1" si="254"/>
        <v>1</v>
      </c>
      <c r="AE309" s="115">
        <f t="shared" ca="1" si="255"/>
        <v>5</v>
      </c>
      <c r="AF309" s="47">
        <f ca="1">IF(AC309,('模拟-单技能数据'!$D$20+G309*'模拟-单技能数据'!$F$20)*(1+J309)*(1+'模拟-单技能数据'!$J$20)*(1+U309),0)</f>
        <v>0</v>
      </c>
      <c r="AG309" s="61">
        <f t="shared" ca="1" si="247"/>
        <v>0.64185145527300214</v>
      </c>
      <c r="AH309" s="61">
        <f t="shared" ca="1" si="248"/>
        <v>2.2624828854998791</v>
      </c>
      <c r="AI309" s="62">
        <f t="shared" ca="1" si="270"/>
        <v>3.8122044278448564E-2</v>
      </c>
      <c r="AJ309" s="47">
        <f ca="1">IF(AD309,IF(AI309&lt;$F$10,0,IF(AI309&lt;$F$10+$F$11,0.25,IF(AI309&lt;$F$10+$F$11+AG309,AH309,1)))*IF(AF309&gt;0,AF309,IF(AF308&gt;0,AF308,IF(AF307&gt;0,AF307,IF(AF306&gt;0,AF306,IF(AF305&gt;0,AF305,IF(AF304&gt;0,AF304,IF(AF303&gt;0,AF303,IF(AF302&gt;0,AF302,IF(AF301&gt;0,AF301,IF(AF299&gt;0,AF299,IF(AF298&gt;0,AF298,IF(AF297&gt;0,AF297,0)))))))))))),0)*(1-$S309)*'模拟-单技能数据'!$I$20</f>
        <v>1018.6745055299644</v>
      </c>
      <c r="AK309" s="115" t="b">
        <f t="shared" ca="1" si="235"/>
        <v>0</v>
      </c>
      <c r="AL309" s="115" t="b">
        <f t="shared" ca="1" si="256"/>
        <v>1</v>
      </c>
      <c r="AM309" s="115">
        <f t="shared" ca="1" si="257"/>
        <v>4</v>
      </c>
      <c r="AN309" s="47">
        <f ca="1">IF(AK309,('模拟-单技能数据'!$D$21+G309*'模拟-单技能数据'!$F$21)*(1+J309)*(1+'模拟-单技能数据'!$J$21)*(1+U309),0)</f>
        <v>0</v>
      </c>
      <c r="AO309" s="61">
        <f ca="1">IF(AN309&gt;0,M309-'模拟-单技能数据'!$K$10,AO308)</f>
        <v>0.42185145527300216</v>
      </c>
      <c r="AP309" s="61">
        <f ca="1">IF(AN309&gt;0,I309-'模拟-单技能数据'!$L$10,AP308)</f>
        <v>2.162482885499879</v>
      </c>
      <c r="AQ309" s="63">
        <f t="shared" ca="1" si="271"/>
        <v>0.11792623683360837</v>
      </c>
      <c r="AR309" s="64">
        <f ca="1">IF(AL309,IF(AQ309&lt;$F$10,0,IF(AQ309&lt;$F$10+$F$11,0.25,IF(AQ309&lt;$F$10+$F$11+AO309,AP309,1)))*IF(AN309&gt;0,AN309,IF(AN308&gt;0,AN308,IF(AN307&gt;0,AN307,IF(AN306&gt;0,AN306,IF(AN305&gt;0,AN305,IF(AN304&gt;0,AN304,IF(AN303&gt;0,AN303,IF(AN302&gt;0,AN302,IF(AN301&gt;0,AN301,IF(AN299&gt;0,AN299,IF(AN298&gt;0,AN298,IF(AN297&gt;0,AN297,0)))))))))))),0)*(1-$S309)*'模拟-单技能数据'!$I$21</f>
        <v>24043.249177625272</v>
      </c>
      <c r="AS309" s="61">
        <f ca="1">IF(OR(C309="净世破魔击·日",C309="净世破魔击·月"),M309-'模拟-单技能数据'!$K$10,0)</f>
        <v>0</v>
      </c>
      <c r="AT309" s="61">
        <f ca="1">IF(OR(C309="净世破魔击·日",C309="净世破魔击·月"),I309-'模拟-单技能数据'!$L$10,0)</f>
        <v>0</v>
      </c>
      <c r="AU309" s="62">
        <f t="shared" ca="1" si="272"/>
        <v>0.7299407533673935</v>
      </c>
      <c r="AV309" s="64">
        <f ca="1">IF(AS309&gt;0,('模拟-单技能数据'!$D$22+G309*'模拟-单技能数据'!$F$22)*(1+J309)*(1-S309)*IF(AU309&lt;$F$10,0,IF(AU309&lt;$F$10+$F$11,0.25,IF(AU309&lt;$F$10+$F$11+AS309,AT309,1)))*(1+U309),0)*'模拟-单技能数据'!$I$22</f>
        <v>0</v>
      </c>
      <c r="AW309" s="108">
        <f t="shared" ca="1" si="273"/>
        <v>0</v>
      </c>
      <c r="AX309" s="108" t="b">
        <f ca="1">AND(模拟模式!$P$10="有",AW308=0,RAND()&lt;IF(C309="净世破魔击·月",0.1*8/3,IF(C309="净世破魔击·日",0.1*4/3,0.1*2/3)))</f>
        <v>0</v>
      </c>
      <c r="AY309" s="47">
        <f ca="1">IF(AX309,(18+G309*0.722)*(1+J309)*(1-S309)*(1+$I$4)*IF(P309="会",'模拟-全程加成'!$J$3+'模拟-全程加成'!$J$4+'模拟-全程加成'!$J$5+('模拟-全程加成'!$I$4+'模拟-全程加成'!$I$5)/系数!$B$4+BG309*10%,IF(P309="命",1,IF(P309="识",0.25,0))),0)</f>
        <v>0</v>
      </c>
      <c r="AZ309" s="108">
        <f t="shared" si="274"/>
        <v>3.3950000000000062</v>
      </c>
      <c r="BA309" s="108" t="b">
        <f>AND(模拟模式!$Q$10="有",AZ308=0)</f>
        <v>0</v>
      </c>
      <c r="BB309" s="140">
        <f>IF(BA309,(0+G309*0.287)*(1+J309)*(1-S309)*(1+$I$4)*IF(P309="会",'模拟-全程加成'!$J$3+'模拟-全程加成'!$J$4+'模拟-全程加成'!$J$5+('模拟-全程加成'!$I$4+'模拟-全程加成'!$I$5)/系数!$B$4+BG309*10%,IF(P309="命",1,IF(P309="识",0.25,0))),0)</f>
        <v>0</v>
      </c>
      <c r="BC309" s="115" t="b">
        <f ca="1">AND(模拟模式!$R$7="伏明众生",E309=60,F309=20,DA309&lt;5,CZ308&lt;$F$4)</f>
        <v>0</v>
      </c>
      <c r="BD309" s="115">
        <f t="shared" ca="1" si="236"/>
        <v>0</v>
      </c>
      <c r="BE309" s="115" t="b">
        <f t="shared" ca="1" si="237"/>
        <v>0</v>
      </c>
      <c r="BF309" s="47">
        <f ca="1">IF(BC309,4*('模拟-单技能数据'!$D$24+G309*'模拟-单技能数据'!$F$24)*(1+J309)*(1+'模拟-单技能数据'!$J$24)*(1-S309)*(1+$I$3)*(('模拟-全程加成'!$J$3+'模拟-全程加成'!$J$4+'模拟-全程加成'!$J$5+('模拟-全程加成'!$I$4+'模拟-全程加成'!$I$5)/系数!$B$4+BG309*10%)*('模拟-全程加成'!$J$3+'模拟-全程加成'!$J$4+'模拟-全程加成'!$J$5+('模拟-全程加成'!$I$4+'模拟-全程加成'!$I$5)/系数!$B$4+BG309*10%)+(1-('模拟-全程加成'!$J$3+'模拟-全程加成'!$J$4+'模拟-全程加成'!$J$5+('模拟-全程加成'!$I$4+'模拟-全程加成'!$I$5)/系数!$B$4+BG309*10%)-$F$10-$F$11)+F295*0.25),0)*'模拟-单技能数据'!$I$24</f>
        <v>0</v>
      </c>
      <c r="BG309" s="115" t="b">
        <f ca="1">OR(AND(OR(C309="烈日斩",C309="银月斩"),模拟模式!$I$7="净身明礼"),AND(C309="净世破魔击·日",模拟模式!$J$7="洞若观火"),AND(C310="净世破魔击·月",模拟模式!$J$7="洞若观火"),AB309=1)</f>
        <v>1</v>
      </c>
      <c r="BH309" s="115" t="b">
        <f t="shared" ca="1" si="275"/>
        <v>0</v>
      </c>
      <c r="BI309" s="115">
        <f t="shared" ca="1" si="238"/>
        <v>0</v>
      </c>
      <c r="BJ309" s="115" t="b">
        <f t="shared" ca="1" si="249"/>
        <v>0</v>
      </c>
      <c r="BK309" s="115" t="b">
        <f ca="1">AND(C309="驱夜断愁",模拟模式!$P$7="天地诛戮")</f>
        <v>1</v>
      </c>
      <c r="BL309" s="57">
        <f t="shared" ca="1" si="239"/>
        <v>20</v>
      </c>
      <c r="BM309" s="115" t="b">
        <f t="shared" ca="1" si="250"/>
        <v>1</v>
      </c>
      <c r="BN309" s="115" t="b">
        <f ca="1">AND(OR(C309="赤日轮1",C309="赤日轮2",C309="赤日轮3",C309="幽月轮1",C309="幽月轮2",C309="幽月轮3"),AB309=1,模拟模式!$L$7="明光恒照")</f>
        <v>0</v>
      </c>
      <c r="BO309" s="117">
        <f t="shared" ca="1" si="240"/>
        <v>28.155000000000001</v>
      </c>
      <c r="BP309" s="115">
        <f t="shared" ca="1" si="276"/>
        <v>6</v>
      </c>
      <c r="BQ309" s="115" t="b">
        <f>模拟模式!$K$10="2600·水"</f>
        <v>0</v>
      </c>
      <c r="BR309" s="117">
        <f t="shared" si="277"/>
        <v>0</v>
      </c>
      <c r="BS309" s="115">
        <f t="shared" si="278"/>
        <v>0</v>
      </c>
      <c r="BT309" s="115">
        <f t="shared" ca="1" si="279"/>
        <v>0</v>
      </c>
      <c r="BU309" s="115" t="b">
        <f ca="1">AND(模拟模式!$K$10="2300·雷",BT308=0,RAND()&lt;IF(C309="净世破魔击·月",5*0.05*2/3,IF(C309="净世破魔击·日",3*0.05*2/3,0.05*2*2/3)))</f>
        <v>0</v>
      </c>
      <c r="BV309" s="115">
        <f t="shared" ca="1" si="280"/>
        <v>0</v>
      </c>
      <c r="BW309" s="115">
        <f t="shared" ca="1" si="281"/>
        <v>111.73499999999925</v>
      </c>
      <c r="BX309" s="164" t="b">
        <f t="shared" ca="1" si="282"/>
        <v>0</v>
      </c>
      <c r="BY309" s="115">
        <f t="shared" ca="1" si="283"/>
        <v>0</v>
      </c>
      <c r="BZ309" s="115">
        <f>IF(OR(模拟模式!$P$16="10人团",模拟模式!$P$16="25人团"),IF(B309/30&gt;CA308,1,0),0)</f>
        <v>0</v>
      </c>
      <c r="CA309" s="115">
        <f t="shared" si="259"/>
        <v>0</v>
      </c>
      <c r="CB309" s="115">
        <f ca="1">IF(BZ309=1,IF(模拟模式!$P$16="10人团",15,0)+IF(模拟模式!$P$16="25人团",IF(RAND()&lt;0.6,15,0)),MAX(0,CB308-$F$4))</f>
        <v>0</v>
      </c>
      <c r="CC309" s="115" t="b">
        <f t="shared" ca="1" si="251"/>
        <v>0</v>
      </c>
      <c r="CD309" s="115">
        <f>IF(模拟模式!$Q$16="1个",IF(B309/40&gt;CE308,1,0),0)</f>
        <v>0</v>
      </c>
      <c r="CE309" s="115">
        <f t="shared" si="252"/>
        <v>0</v>
      </c>
      <c r="CF309" s="115">
        <f>IF(OR(CD309=1,模拟模式!$Q$16="2个"),20,MAX(0,CF308-$F$4))</f>
        <v>0</v>
      </c>
      <c r="CG309" s="115" t="b">
        <f t="shared" si="253"/>
        <v>0</v>
      </c>
      <c r="CH309" s="115">
        <f t="shared" ca="1" si="284"/>
        <v>6.9375000000000124</v>
      </c>
      <c r="CI309" s="115" t="b">
        <f t="shared" ca="1" si="285"/>
        <v>0</v>
      </c>
      <c r="CJ309" s="119">
        <f t="shared" ca="1" si="286"/>
        <v>0</v>
      </c>
      <c r="CK309" s="115">
        <f t="shared" ca="1" si="287"/>
        <v>0</v>
      </c>
      <c r="CL309" s="115" t="b">
        <f ca="1">AND(模拟模式!$S$7="驱夷逐法",OR(AND(C309="净世破魔击·月",E308&gt;59),AND(C309="净世破魔击·日",F308&gt;59)))</f>
        <v>0</v>
      </c>
      <c r="CM309" s="115" t="b">
        <f ca="1">OR(CL309,AND(C309="净世破魔击·日",CL308,RAND()&lt;模拟模式!$U$23))</f>
        <v>0</v>
      </c>
      <c r="CN309" s="115" t="b">
        <f ca="1">IF(模拟模式!$M$7="辉耀红尘",AND(C309="净世破魔击·月",CL309,CV309=0,E308&lt;80),AND(C309="净世破魔击·月",CL309,E308&lt;100))</f>
        <v>0</v>
      </c>
      <c r="CO309" s="115" t="b">
        <f t="shared" ca="1" si="260"/>
        <v>0</v>
      </c>
      <c r="CP309" s="115" t="b">
        <f ca="1">AND(模拟模式!$O$7="用晦而明",OR(C309="净世破魔击·日",C309="净世破魔击·月",C309="驱夜断愁"),AB309)</f>
        <v>1</v>
      </c>
      <c r="CQ309" s="115" t="b">
        <f ca="1">OR(CP309,AND(CP308,RAND()&lt;模拟模式!$U$23))</f>
        <v>1</v>
      </c>
      <c r="CR309" s="115" t="b">
        <f ca="1">AND(模拟模式!$S$7="日月齐光",OR(C309="幽月轮1",C309="幽月轮2",C309="幽月轮3",CR308),NOT(OR(C309="赤日轮1",C309="赤日轮2",C309="赤日轮3")))</f>
        <v>0</v>
      </c>
      <c r="CS309" s="115" t="b">
        <f ca="1">AND(模拟模式!$S$7="日月齐光",OR(C309="赤日轮1",C309="赤日轮2",C309="赤日轮3",CS308),NOT(OR(C309="幽月轮1",C309="幽月轮2",C309="幽月轮3")))</f>
        <v>0</v>
      </c>
      <c r="CT309" s="115">
        <f t="shared" ca="1" si="288"/>
        <v>16.162500000000009</v>
      </c>
      <c r="CU309" s="115" t="b">
        <f ca="1">AND(模拟模式!$K$10="阴阳往极",CT308=0,RAND()&lt;IF(C309="净世破魔击·月",0.0275*7/3,IF(C309="净世破魔击·日",0.0275*3/3,0.0275*2/3)))</f>
        <v>0</v>
      </c>
      <c r="CV309" s="115">
        <f t="shared" ca="1" si="289"/>
        <v>0</v>
      </c>
      <c r="CW309" s="115">
        <f t="shared" ca="1" si="261"/>
        <v>0.46499999999999975</v>
      </c>
      <c r="CX309" s="115">
        <f t="shared" ca="1" si="262"/>
        <v>5.0774999999999997</v>
      </c>
      <c r="CY309" s="115">
        <f ca="1">MAX(IF($C309="驱夜断愁",IF(模拟模式!$R$7="万念俱寂",6,45),CY308-$F$4),0)</f>
        <v>6</v>
      </c>
      <c r="CZ309" s="115">
        <f t="shared" ca="1" si="263"/>
        <v>0</v>
      </c>
      <c r="DA309" s="115">
        <f ca="1">IF(模拟模式!$N$7="日月同辉",IF(DB308=2,0,MIN(6,IF(AND(OR(C309="赤日轮1",C309="赤日轮2",C309="赤日轮3",C309="幽月轮1",C309="幽月轮2",C309="幽月轮3"),AB309=1),DA308+1,DA308))),0)</f>
        <v>2</v>
      </c>
      <c r="DB309" s="115">
        <f t="shared" ca="1" si="264"/>
        <v>0</v>
      </c>
      <c r="DC309" s="115"/>
      <c r="DD309" s="115"/>
      <c r="DE309" s="115"/>
      <c r="DF309" s="115"/>
      <c r="DG309" s="115"/>
      <c r="DH309" s="115"/>
      <c r="DI309" s="115"/>
      <c r="DJ309" s="115"/>
      <c r="DK309" s="115"/>
      <c r="DL309" s="115"/>
      <c r="DM309" s="115"/>
    </row>
    <row r="310" spans="2:117" x14ac:dyDescent="0.2">
      <c r="B310" s="117">
        <f t="shared" si="265"/>
        <v>261.06750000000187</v>
      </c>
      <c r="C310" s="167" t="str">
        <f t="shared" ca="1" si="258"/>
        <v>烈日斩</v>
      </c>
      <c r="D310" s="115">
        <f ca="1">IF(C310="赤日轮1",1,IF(C310="赤日轮2",2,IF(C310="赤日轮3",3,IF(C310="幽月轮1",4,IF(C310="幽月轮2",5,IF(C310="幽月轮3",6,IF(C310="烈日斩",7,IF(C310="银月斩",8,IF(C310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310="净世破魔击·月",17,IF(C310="驱夜断愁",18,0)))))))))))</f>
        <v>7</v>
      </c>
      <c r="E310" s="115">
        <f ca="1">IF(AND(CU310,OR(C310="幽月轮1",C310="幽月轮2",C310="幽月轮3",C310="银月斩",C310="驱夜断愁",C310="净世破魔击·月")),100,MIN(IF(OR(CN310,BE310),0,IF(OR($C310="赤日轮1",$C310="赤日轮2",$C310="赤日轮3"),E309+20+IF(模拟模式!$I$7="日月凌天",4,0)+IF(CR309,20,0),IF($C310="烈日斩",E309+40,IF($C310="驱夜断愁",IF(模拟模式!$R$7="万念俱寂",E309+20,E309+60),IF($C310="净世破魔击·月",IF(OR(DB309&gt;0,CV309&gt;0),100,IF(模拟模式!$M$7="辉耀红尘",E309+20,E309)),IF($C310="净世破魔击·日",E309-100,E309)))))),100))</f>
        <v>80</v>
      </c>
      <c r="F310" s="115">
        <f ca="1">IF(AND(CU310,OR(C310="赤日轮1",C310="赤日轮2",C310="赤日轮3",C310="烈日斩",C310="净世破魔击·日")),100,MIN(IF(CO310,0,IF(OR($C310="幽月轮1",$C310="幽月轮2",$C310="幽月轮3"),F309+20+IF(模拟模式!$I$7="日月凌天",4,0)+IF(CS309,20,0),IF($C310="银月斩",F309+40+IF(模拟模式!$X$12=1,5,0),IF($C310="驱夜断愁",IF(模拟模式!$R$7="万念俱寂",F309+20,F309+60),IF($C310="净世破魔击·月",IF(模拟模式!$M$7="辉耀红尘",F309-80,F309-100),IF(AND(C310="净世破魔击·日",OR(DB309&gt;0,CV309&gt;0)),100,F309)))))),100))</f>
        <v>85</v>
      </c>
      <c r="G310" s="117">
        <f ca="1">('模拟-全程加成'!$E$3+'模拟-全程加成'!$E$4+'模拟-全程加成'!$E$5+('模拟-全程加成'!$C$6-'模拟-全程加成'!$C$3)*系数!$B$9+BS310*23)*(1+'模拟-全程加成'!$F$4+'模拟-全程加成'!$F$5+BJ310*10%+BM310*20%+BP310*4%+CG310*30%)+$F$7*系数!$B$12</f>
        <v>20583.127400000001</v>
      </c>
      <c r="H310" s="45">
        <f ca="1">'模拟-全程加成'!$H$3+'模拟-全程加成'!$H$4+'模拟-全程加成'!$H$5+('模拟-全程加成'!$G$4+'模拟-全程加成'!$G$5+('模拟-全程加成'!$C$6-'模拟-全程加成'!$C$3)*系数!$B$13)/系数!$B$3+LOOKUP(D310,'模拟-单技能数据'!$A$2:$A$19,'模拟-单技能数据'!$K$2:$K$19)+BG310*10%+IF(BV310&gt;0,378,0)</f>
        <v>0.56185145527300218</v>
      </c>
      <c r="I310" s="45">
        <f ca="1">'模拟-全程加成'!$J$3+'模拟-全程加成'!$J$4+'模拟-全程加成'!$J$5+('模拟-全程加成'!$I$4+'模拟-全程加成'!$I$5)/系数!$B$4+LOOKUP(D310,'模拟-单技能数据'!$A$2:$A$19,'模拟-单技能数据'!$L$2:$L$19)+BG310*10%</f>
        <v>2.2624828854998791</v>
      </c>
      <c r="J310" s="45">
        <f ca="1">(('模拟-全程加成'!$K$3+'模拟-全程加成'!$K$4+'模拟-全程加成'!$K$5+('模拟-全程加成'!$C$6-'模拟-全程加成'!$C$3)*系数!$B$10+IF(BV310&gt;0,882,0)+IF(BY310&gt;0,1831,0))*(1+'模拟-全程加成'!$L$4+'模拟-全程加成'!$L$5+CC310*20%))/系数!$B$5</f>
        <v>0.69723220422048726</v>
      </c>
      <c r="K310" s="119">
        <f ca="1">LOOKUP(D310,'模拟-单技能数据'!$A$2:$A$19,'模拟-单技能数据'!$J$2:$J$19)+IF(CM310,60%,0)+IF(DB309-DB310&gt;0,30%,0)+IF(OR(AND(OR(C310="赤日轮1",C310="赤日轮2",C310="赤日轮3"),CR310),AND(OR(C310="幽月轮1",C310="幽月轮2",C310="幽月轮3"),CS310)),35%,0)+CJ310</f>
        <v>0.24</v>
      </c>
      <c r="L310" s="119">
        <f ca="1">IF(AND(C310="烈日斩",模拟模式!$X$11=1),10%,0)+IF(AND(C310="驱夜断愁",AB310=1),30%,0)</f>
        <v>0.1</v>
      </c>
      <c r="M310" s="45">
        <f t="shared" ca="1" si="241"/>
        <v>0.56185145527300218</v>
      </c>
      <c r="N310" s="45">
        <f t="shared" ca="1" si="242"/>
        <v>0.38424854472699788</v>
      </c>
      <c r="O310" s="46">
        <f t="shared" ca="1" si="266"/>
        <v>0.87718593342146944</v>
      </c>
      <c r="P310" s="46" t="str">
        <f t="shared" ca="1" si="267"/>
        <v>命</v>
      </c>
      <c r="Q310" s="45">
        <f t="shared" ca="1" si="268"/>
        <v>1</v>
      </c>
      <c r="R310" s="117">
        <f ca="1">模拟模式!$E$20*(1-IF(模拟模式!$J$19="有",0.15,0))*(1-IF(模拟模式!$K$19="有",0.3,0)-IF(CQ310,0.5,0))</f>
        <v>843.02999999999975</v>
      </c>
      <c r="S310" s="45">
        <f ca="1">R310/(R310+(185*模拟模式!$E$22-16800)*4.08224)</f>
        <v>8.389626085980037E-2</v>
      </c>
      <c r="T310" s="45" t="str">
        <f ca="1">LOOKUP(D310,'模拟-单技能数据'!$A$2:$A$19,'模拟-单技能数据'!$H$2:$H$19)</f>
        <v>阳</v>
      </c>
      <c r="U310" s="119">
        <f t="shared" ca="1" si="243"/>
        <v>0.2</v>
      </c>
      <c r="V310" s="47">
        <f ca="1">(1+L310)*(LOOKUP(D310,'模拟-单技能数据'!$A$2:$A$19,'模拟-单技能数据'!$D$2:$D$19)+G310*LOOKUP(D310,'模拟-单技能数据'!$A$2:$A$19,'模拟-单技能数据'!$F$2:$F$19))*(1+J310)*(1+K310)*(1-S310)*(1+U310)*Q310*LOOKUP(D310,'模拟-单技能数据'!$A$2:$A$19,'模拟-单技能数据'!$I$2:$I$20)</f>
        <v>46789.769184608012</v>
      </c>
      <c r="W310" s="47">
        <f ca="1">LOOKUP(D310,'模拟-单技能数据'!$A$2:$A$19,'模拟-单技能数据'!$G$2:$G$19)*$I$10</f>
        <v>361.51064354704795</v>
      </c>
      <c r="X310" s="47">
        <f t="shared" ca="1" si="269"/>
        <v>0</v>
      </c>
      <c r="Y310" s="47">
        <f t="shared" ca="1" si="244"/>
        <v>47151.279828155064</v>
      </c>
      <c r="Z310" s="49">
        <f t="shared" ca="1" si="245"/>
        <v>29981040.943592098</v>
      </c>
      <c r="AA310" s="97">
        <f t="shared" ca="1" si="246"/>
        <v>114840.18862398376</v>
      </c>
      <c r="AB310" s="115">
        <f ca="1">IF(OR(C310="赤日轮1",C310="赤日轮2",C310="赤日轮3"),IF(RAND()&lt;模拟模式!$Y$17,1,0),IF(OR(C310="幽月轮1",C310="幽月轮2",C310="幽月轮3"),IF(RAND()&lt;模拟模式!$Y$18,1,0),IF(C310="烈日斩",IF(RAND()&lt;模拟模式!$Y$19,1,0),IF(C310="银月斩",IF(RAND()&lt;模拟模式!$Y$20,1,0),IF(C310="驱夜断愁",IF(RAND()&lt;模拟模式!$Y$21,1,0),IF(C310="净世破魔击·日",IF(RAND()&lt;模拟模式!$Y$22,1,0),IF(C310="净世破魔击·月",IF(RAND()&lt;模拟模式!$Y$23,1,0),0)))))))</f>
        <v>1</v>
      </c>
      <c r="AC310" s="115" t="b">
        <f t="shared" ca="1" si="234"/>
        <v>0</v>
      </c>
      <c r="AD310" s="115" t="b">
        <f t="shared" ca="1" si="254"/>
        <v>0</v>
      </c>
      <c r="AE310" s="115">
        <f t="shared" ca="1" si="255"/>
        <v>5</v>
      </c>
      <c r="AF310" s="47">
        <f ca="1">IF(AC310,('模拟-单技能数据'!$D$20+G310*'模拟-单技能数据'!$F$20)*(1+J310)*(1+'模拟-单技能数据'!$J$20)*(1+U310),0)</f>
        <v>0</v>
      </c>
      <c r="AG310" s="61">
        <f t="shared" ca="1" si="247"/>
        <v>0.64185145527300214</v>
      </c>
      <c r="AH310" s="61">
        <f t="shared" ca="1" si="248"/>
        <v>2.2624828854998791</v>
      </c>
      <c r="AI310" s="62">
        <f t="shared" ca="1" si="270"/>
        <v>0.1058980375845191</v>
      </c>
      <c r="AJ310" s="47">
        <f ca="1">IF(AD310,IF(AI310&lt;$F$10,0,IF(AI310&lt;$F$10+$F$11,0.25,IF(AI310&lt;$F$10+$F$11+AG310,AH310,1)))*IF(AF310&gt;0,AF310,IF(AF309&gt;0,AF309,IF(AF308&gt;0,AF308,IF(AF307&gt;0,AF307,IF(AF306&gt;0,AF306,IF(AF305&gt;0,AF305,IF(AF304&gt;0,AF304,IF(AF303&gt;0,AF303,IF(AF302&gt;0,AF302,IF(AF300&gt;0,AF300,IF(AF299&gt;0,AF299,IF(AF298&gt;0,AF298,0)))))))))))),0)*(1-$S310)*'模拟-单技能数据'!$I$20</f>
        <v>0</v>
      </c>
      <c r="AK310" s="115" t="b">
        <f t="shared" ca="1" si="235"/>
        <v>0</v>
      </c>
      <c r="AL310" s="115" t="b">
        <f t="shared" ca="1" si="256"/>
        <v>0</v>
      </c>
      <c r="AM310" s="115">
        <f t="shared" ca="1" si="257"/>
        <v>4</v>
      </c>
      <c r="AN310" s="47">
        <f ca="1">IF(AK310,('模拟-单技能数据'!$D$21+G310*'模拟-单技能数据'!$F$21)*(1+J310)*(1+'模拟-单技能数据'!$J$21)*(1+U310),0)</f>
        <v>0</v>
      </c>
      <c r="AO310" s="61">
        <f ca="1">IF(AN310&gt;0,M310-'模拟-单技能数据'!$K$10,AO309)</f>
        <v>0.42185145527300216</v>
      </c>
      <c r="AP310" s="61">
        <f ca="1">IF(AN310&gt;0,I310-'模拟-单技能数据'!$L$10,AP309)</f>
        <v>2.162482885499879</v>
      </c>
      <c r="AQ310" s="63">
        <f t="shared" ca="1" si="271"/>
        <v>0.1646567487246674</v>
      </c>
      <c r="AR310" s="64">
        <f ca="1">IF(AL310,IF(AQ310&lt;$F$10,0,IF(AQ310&lt;$F$10+$F$11,0.25,IF(AQ310&lt;$F$10+$F$11+AO310,AP310,1)))*IF(AN310&gt;0,AN310,IF(AN309&gt;0,AN309,IF(AN308&gt;0,AN308,IF(AN307&gt;0,AN307,IF(AN306&gt;0,AN306,IF(AN305&gt;0,AN305,IF(AN304&gt;0,AN304,IF(AN303&gt;0,AN303,IF(AN302&gt;0,AN302,IF(AN300&gt;0,AN300,IF(AN299&gt;0,AN299,IF(AN298&gt;0,AN298,0)))))))))))),0)*(1-$S310)*'模拟-单技能数据'!$I$21</f>
        <v>0</v>
      </c>
      <c r="AS310" s="61">
        <f ca="1">IF(OR(C310="净世破魔击·日",C310="净世破魔击·月"),M310-'模拟-单技能数据'!$K$10,0)</f>
        <v>0</v>
      </c>
      <c r="AT310" s="61">
        <f ca="1">IF(OR(C310="净世破魔击·日",C310="净世破魔击·月"),I310-'模拟-单技能数据'!$L$10,0)</f>
        <v>0</v>
      </c>
      <c r="AU310" s="62">
        <f t="shared" ca="1" si="272"/>
        <v>0.67488589879420369</v>
      </c>
      <c r="AV310" s="64">
        <f ca="1">IF(AS310&gt;0,('模拟-单技能数据'!$D$22+G310*'模拟-单技能数据'!$F$22)*(1+J310)*(1-S310)*IF(AU310&lt;$F$10,0,IF(AU310&lt;$F$10+$F$11,0.25,IF(AU310&lt;$F$10+$F$11+AS310,AT310,1)))*(1+U310),0)*'模拟-单技能数据'!$I$22</f>
        <v>0</v>
      </c>
      <c r="AW310" s="108">
        <f t="shared" ca="1" si="273"/>
        <v>0</v>
      </c>
      <c r="AX310" s="108" t="b">
        <f ca="1">AND(模拟模式!$P$10="有",AW309=0,RAND()&lt;IF(C310="净世破魔击·月",0.1*8/3,IF(C310="净世破魔击·日",0.1*4/3,0.1*2/3)))</f>
        <v>0</v>
      </c>
      <c r="AY310" s="47">
        <f ca="1">IF(AX310,(18+G310*0.722)*(1+J310)*(1-S310)*(1+$I$4)*IF(P310="会",'模拟-全程加成'!$J$3+'模拟-全程加成'!$J$4+'模拟-全程加成'!$J$5+('模拟-全程加成'!$I$4+'模拟-全程加成'!$I$5)/系数!$B$4+BG310*10%,IF(P310="命",1,IF(P310="识",0.25,0))),0)</f>
        <v>0</v>
      </c>
      <c r="AZ310" s="108">
        <f t="shared" si="274"/>
        <v>2.4725000000000064</v>
      </c>
      <c r="BA310" s="108" t="b">
        <f>AND(模拟模式!$Q$10="有",AZ309=0)</f>
        <v>0</v>
      </c>
      <c r="BB310" s="140">
        <f>IF(BA310,(0+G310*0.287)*(1+J310)*(1-S310)*(1+$I$4)*IF(P310="会",'模拟-全程加成'!$J$3+'模拟-全程加成'!$J$4+'模拟-全程加成'!$J$5+('模拟-全程加成'!$I$4+'模拟-全程加成'!$I$5)/系数!$B$4+BG310*10%,IF(P310="命",1,IF(P310="识",0.25,0))),0)</f>
        <v>0</v>
      </c>
      <c r="BC310" s="115" t="b">
        <f ca="1">AND(模拟模式!$R$7="伏明众生",E310=60,F310=20,DA310&lt;5,CZ309&lt;$F$4)</f>
        <v>0</v>
      </c>
      <c r="BD310" s="115">
        <f t="shared" ca="1" si="236"/>
        <v>0</v>
      </c>
      <c r="BE310" s="115" t="b">
        <f t="shared" ca="1" si="237"/>
        <v>0</v>
      </c>
      <c r="BF310" s="47">
        <f ca="1">IF(BC310,4*('模拟-单技能数据'!$D$24+G310*'模拟-单技能数据'!$F$24)*(1+J310)*(1+'模拟-单技能数据'!$J$24)*(1-S310)*(1+$I$3)*(('模拟-全程加成'!$J$3+'模拟-全程加成'!$J$4+'模拟-全程加成'!$J$5+('模拟-全程加成'!$I$4+'模拟-全程加成'!$I$5)/系数!$B$4+BG310*10%)*('模拟-全程加成'!$J$3+'模拟-全程加成'!$J$4+'模拟-全程加成'!$J$5+('模拟-全程加成'!$I$4+'模拟-全程加成'!$I$5)/系数!$B$4+BG310*10%)+(1-('模拟-全程加成'!$J$3+'模拟-全程加成'!$J$4+'模拟-全程加成'!$J$5+('模拟-全程加成'!$I$4+'模拟-全程加成'!$I$5)/系数!$B$4+BG310*10%)-$F$10-$F$11)+F296*0.25),0)*'模拟-单技能数据'!$I$24</f>
        <v>0</v>
      </c>
      <c r="BG310" s="115" t="b">
        <f ca="1">OR(AND(OR(C310="烈日斩",C310="银月斩"),模拟模式!$I$7="净身明礼"),AND(C310="净世破魔击·日",模拟模式!$J$7="洞若观火"),AND(C311="净世破魔击·月",模拟模式!$J$7="洞若观火"),AB310=1)</f>
        <v>1</v>
      </c>
      <c r="BH310" s="115" t="b">
        <f t="shared" ca="1" si="275"/>
        <v>0</v>
      </c>
      <c r="BI310" s="115">
        <f t="shared" ca="1" si="238"/>
        <v>0</v>
      </c>
      <c r="BJ310" s="115" t="b">
        <f t="shared" ca="1" si="249"/>
        <v>0</v>
      </c>
      <c r="BK310" s="115" t="b">
        <f ca="1">AND(C310="驱夜断愁",模拟模式!$P$7="天地诛戮")</f>
        <v>0</v>
      </c>
      <c r="BL310" s="57">
        <f t="shared" ca="1" si="239"/>
        <v>19.077500000000001</v>
      </c>
      <c r="BM310" s="115" t="b">
        <f t="shared" ca="1" si="250"/>
        <v>1</v>
      </c>
      <c r="BN310" s="115" t="b">
        <f ca="1">AND(OR(C310="赤日轮1",C310="赤日轮2",C310="赤日轮3",C310="幽月轮1",C310="幽月轮2",C310="幽月轮3"),AB310=1,模拟模式!$L$7="明光恒照")</f>
        <v>0</v>
      </c>
      <c r="BO310" s="117">
        <f t="shared" ca="1" si="240"/>
        <v>27.232500000000002</v>
      </c>
      <c r="BP310" s="115">
        <f t="shared" ca="1" si="276"/>
        <v>6</v>
      </c>
      <c r="BQ310" s="115" t="b">
        <f>模拟模式!$K$10="2600·水"</f>
        <v>0</v>
      </c>
      <c r="BR310" s="117">
        <f t="shared" si="277"/>
        <v>0</v>
      </c>
      <c r="BS310" s="115">
        <f t="shared" si="278"/>
        <v>0</v>
      </c>
      <c r="BT310" s="115">
        <f t="shared" ca="1" si="279"/>
        <v>0</v>
      </c>
      <c r="BU310" s="115" t="b">
        <f ca="1">AND(模拟模式!$K$10="2300·雷",BT309=0,RAND()&lt;IF(C310="净世破魔击·月",5*0.05*2/3,IF(C310="净世破魔击·日",3*0.05*2/3,0.05*2*2/3)))</f>
        <v>0</v>
      </c>
      <c r="BV310" s="115">
        <f t="shared" ca="1" si="280"/>
        <v>0</v>
      </c>
      <c r="BW310" s="115">
        <f t="shared" ca="1" si="281"/>
        <v>110.81249999999925</v>
      </c>
      <c r="BX310" s="164" t="b">
        <f t="shared" ca="1" si="282"/>
        <v>0</v>
      </c>
      <c r="BY310" s="115">
        <f t="shared" ca="1" si="283"/>
        <v>0</v>
      </c>
      <c r="BZ310" s="115">
        <f>IF(OR(模拟模式!$P$16="10人团",模拟模式!$P$16="25人团"),IF(B310/30&gt;CA309,1,0),0)</f>
        <v>0</v>
      </c>
      <c r="CA310" s="115">
        <f t="shared" si="259"/>
        <v>0</v>
      </c>
      <c r="CB310" s="115">
        <f ca="1">IF(BZ310=1,IF(模拟模式!$P$16="10人团",15,0)+IF(模拟模式!$P$16="25人团",IF(RAND()&lt;0.6,15,0)),MAX(0,CB309-$F$4))</f>
        <v>0</v>
      </c>
      <c r="CC310" s="115" t="b">
        <f t="shared" ca="1" si="251"/>
        <v>0</v>
      </c>
      <c r="CD310" s="115">
        <f>IF(模拟模式!$Q$16="1个",IF(B310/40&gt;CE309,1,0),0)</f>
        <v>0</v>
      </c>
      <c r="CE310" s="115">
        <f t="shared" si="252"/>
        <v>0</v>
      </c>
      <c r="CF310" s="115">
        <f>IF(OR(CD310=1,模拟模式!$Q$16="2个"),20,MAX(0,CF309-$F$4))</f>
        <v>0</v>
      </c>
      <c r="CG310" s="115" t="b">
        <f t="shared" si="253"/>
        <v>0</v>
      </c>
      <c r="CH310" s="115">
        <f t="shared" ca="1" si="284"/>
        <v>6.0150000000000121</v>
      </c>
      <c r="CI310" s="115" t="b">
        <f t="shared" ca="1" si="285"/>
        <v>0</v>
      </c>
      <c r="CJ310" s="119">
        <f t="shared" ca="1" si="286"/>
        <v>0</v>
      </c>
      <c r="CK310" s="115">
        <f t="shared" ca="1" si="287"/>
        <v>0</v>
      </c>
      <c r="CL310" s="115" t="b">
        <f ca="1">AND(模拟模式!$S$7="驱夷逐法",OR(AND(C310="净世破魔击·月",E309&gt;59),AND(C310="净世破魔击·日",F309&gt;59)))</f>
        <v>0</v>
      </c>
      <c r="CM310" s="115" t="b">
        <f ca="1">OR(CL310,AND(C310="净世破魔击·日",CL309,RAND()&lt;模拟模式!$U$23))</f>
        <v>0</v>
      </c>
      <c r="CN310" s="115" t="b">
        <f ca="1">IF(模拟模式!$M$7="辉耀红尘",AND(C310="净世破魔击·月",CL310,CV310=0,E309&lt;80),AND(C310="净世破魔击·月",CL310,E309&lt;100))</f>
        <v>0</v>
      </c>
      <c r="CO310" s="115" t="b">
        <f t="shared" ca="1" si="260"/>
        <v>0</v>
      </c>
      <c r="CP310" s="115" t="b">
        <f ca="1">AND(模拟模式!$O$7="用晦而明",OR(C310="净世破魔击·日",C310="净世破魔击·月",C310="驱夜断愁"),AB310)</f>
        <v>0</v>
      </c>
      <c r="CQ310" s="115" t="b">
        <f ca="1">OR(CP310,AND(CP309,RAND()&lt;模拟模式!$U$23))</f>
        <v>1</v>
      </c>
      <c r="CR310" s="115" t="b">
        <f ca="1">AND(模拟模式!$S$7="日月齐光",OR(C310="幽月轮1",C310="幽月轮2",C310="幽月轮3",CR309),NOT(OR(C310="赤日轮1",C310="赤日轮2",C310="赤日轮3")))</f>
        <v>0</v>
      </c>
      <c r="CS310" s="115" t="b">
        <f ca="1">AND(模拟模式!$S$7="日月齐光",OR(C310="赤日轮1",C310="赤日轮2",C310="赤日轮3",CS309),NOT(OR(C310="幽月轮1",C310="幽月轮2",C310="幽月轮3")))</f>
        <v>0</v>
      </c>
      <c r="CT310" s="115">
        <f t="shared" ca="1" si="288"/>
        <v>15.240000000000009</v>
      </c>
      <c r="CU310" s="115" t="b">
        <f ca="1">AND(模拟模式!$K$10="阴阳往极",CT309=0,RAND()&lt;IF(C310="净世破魔击·月",0.0275*7/3,IF(C310="净世破魔击·日",0.0275*3/3,0.0275*2/3)))</f>
        <v>0</v>
      </c>
      <c r="CV310" s="115">
        <f t="shared" ca="1" si="289"/>
        <v>0</v>
      </c>
      <c r="CW310" s="115">
        <f t="shared" ca="1" si="261"/>
        <v>6</v>
      </c>
      <c r="CX310" s="115">
        <f t="shared" ca="1" si="262"/>
        <v>4.1549999999999994</v>
      </c>
      <c r="CY310" s="115">
        <f ca="1">MAX(IF($C310="驱夜断愁",IF(模拟模式!$R$7="万念俱寂",6,45),CY309-$F$4),0)</f>
        <v>5.0774999999999997</v>
      </c>
      <c r="CZ310" s="115">
        <f t="shared" ca="1" si="263"/>
        <v>0</v>
      </c>
      <c r="DA310" s="115">
        <f ca="1">IF(模拟模式!$N$7="日月同辉",IF(DB309=2,0,MIN(6,IF(AND(OR(C310="赤日轮1",C310="赤日轮2",C310="赤日轮3",C310="幽月轮1",C310="幽月轮2",C310="幽月轮3"),AB310=1),DA309+1,DA309))),0)</f>
        <v>2</v>
      </c>
      <c r="DB310" s="115">
        <f t="shared" ca="1" si="264"/>
        <v>0</v>
      </c>
      <c r="DC310" s="115"/>
      <c r="DD310" s="115"/>
      <c r="DE310" s="115"/>
      <c r="DF310" s="115"/>
      <c r="DG310" s="115"/>
      <c r="DH310" s="115"/>
      <c r="DI310" s="115"/>
      <c r="DJ310" s="115"/>
      <c r="DK310" s="115"/>
      <c r="DL310" s="115"/>
      <c r="DM310" s="115"/>
    </row>
    <row r="311" spans="2:117" x14ac:dyDescent="0.2">
      <c r="B311" s="117">
        <f t="shared" si="265"/>
        <v>261.99000000000188</v>
      </c>
      <c r="C311" s="167" t="str">
        <f t="shared" ca="1" si="258"/>
        <v>幽月轮1</v>
      </c>
      <c r="D311" s="115">
        <f ca="1">IF(C311="赤日轮1",1,IF(C311="赤日轮2",2,IF(C311="赤日轮3",3,IF(C311="幽月轮1",4,IF(C311="幽月轮2",5,IF(C311="幽月轮3",6,IF(C311="烈日斩",7,IF(C311="银月斩",8,IF(C311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311="净世破魔击·月",17,IF(C311="驱夜断愁",18,0)))))))))))</f>
        <v>4</v>
      </c>
      <c r="E311" s="115">
        <f ca="1">IF(AND(CU311,OR(C311="幽月轮1",C311="幽月轮2",C311="幽月轮3",C311="银月斩",C311="驱夜断愁",C311="净世破魔击·月")),100,MIN(IF(OR(CN311,BE311),0,IF(OR($C311="赤日轮1",$C311="赤日轮2",$C311="赤日轮3"),E310+20+IF(模拟模式!$I$7="日月凌天",4,0)+IF(CR310,20,0),IF($C311="烈日斩",E310+40,IF($C311="驱夜断愁",IF(模拟模式!$R$7="万念俱寂",E310+20,E310+60),IF($C311="净世破魔击·月",IF(OR(DB310&gt;0,CV310&gt;0),100,IF(模拟模式!$M$7="辉耀红尘",E310+20,E310)),IF($C311="净世破魔击·日",E310-100,E310)))))),100))</f>
        <v>80</v>
      </c>
      <c r="F311" s="115">
        <f ca="1">IF(AND(CU311,OR(C311="赤日轮1",C311="赤日轮2",C311="赤日轮3",C311="烈日斩",C311="净世破魔击·日")),100,MIN(IF(CO311,0,IF(OR($C311="幽月轮1",$C311="幽月轮2",$C311="幽月轮3"),F310+20+IF(模拟模式!$I$7="日月凌天",4,0)+IF(CS310,20,0),IF($C311="银月斩",F310+40+IF(模拟模式!$X$12=1,5,0),IF($C311="驱夜断愁",IF(模拟模式!$R$7="万念俱寂",F310+20,F310+60),IF($C311="净世破魔击·月",IF(模拟模式!$M$7="辉耀红尘",F310-80,F310-100),IF(AND(C311="净世破魔击·日",OR(DB310&gt;0,CV310&gt;0)),100,F310)))))),100))</f>
        <v>100</v>
      </c>
      <c r="G311" s="117">
        <f ca="1">('模拟-全程加成'!$E$3+'模拟-全程加成'!$E$4+'模拟-全程加成'!$E$5+('模拟-全程加成'!$C$6-'模拟-全程加成'!$C$3)*系数!$B$9+BS311*23)*(1+'模拟-全程加成'!$F$4+'模拟-全程加成'!$F$5+BJ311*10%+BM311*20%+BP311*4%+CG311*30%)+$F$7*系数!$B$12</f>
        <v>20583.127400000001</v>
      </c>
      <c r="H311" s="45">
        <f ca="1">'模拟-全程加成'!$H$3+'模拟-全程加成'!$H$4+'模拟-全程加成'!$H$5+('模拟-全程加成'!$G$4+'模拟-全程加成'!$G$5+('模拟-全程加成'!$C$6-'模拟-全程加成'!$C$3)*系数!$B$13)/系数!$B$3+LOOKUP(D311,'模拟-单技能数据'!$A$2:$A$19,'模拟-单技能数据'!$K$2:$K$19)+BG311*10%+IF(BV311&gt;0,378,0)</f>
        <v>0.51185145527300213</v>
      </c>
      <c r="I311" s="45">
        <f ca="1">'模拟-全程加成'!$J$3+'模拟-全程加成'!$J$4+'模拟-全程加成'!$J$5+('模拟-全程加成'!$I$4+'模拟-全程加成'!$I$5)/系数!$B$4+LOOKUP(D311,'模拟-单技能数据'!$A$2:$A$19,'模拟-单技能数据'!$L$2:$L$19)+BG311*10%</f>
        <v>2.162482885499879</v>
      </c>
      <c r="J311" s="45">
        <f ca="1">(('模拟-全程加成'!$K$3+'模拟-全程加成'!$K$4+'模拟-全程加成'!$K$5+('模拟-全程加成'!$C$6-'模拟-全程加成'!$C$3)*系数!$B$10+IF(BV311&gt;0,882,0)+IF(BY311&gt;0,1831,0))*(1+'模拟-全程加成'!$L$4+'模拟-全程加成'!$L$5+CC311*20%))/系数!$B$5</f>
        <v>0.69723220422048726</v>
      </c>
      <c r="K311" s="119">
        <f ca="1">LOOKUP(D311,'模拟-单技能数据'!$A$2:$A$19,'模拟-单技能数据'!$J$2:$J$19)+IF(CM311,60%,0)+IF(DB310-DB311&gt;0,30%,0)+IF(OR(AND(OR(C311="赤日轮1",C311="赤日轮2",C311="赤日轮3"),CR311),AND(OR(C311="幽月轮1",C311="幽月轮2",C311="幽月轮3"),CS311)),35%,0)+CJ311</f>
        <v>7.0000000000000007E-2</v>
      </c>
      <c r="L311" s="119">
        <f ca="1">IF(AND(C311="烈日斩",模拟模式!$X$11=1),10%,0)+IF(AND(C311="驱夜断愁",AB311=1),30%,0)</f>
        <v>0</v>
      </c>
      <c r="M311" s="45">
        <f t="shared" ca="1" si="241"/>
        <v>0.51185145527300213</v>
      </c>
      <c r="N311" s="45">
        <f t="shared" ca="1" si="242"/>
        <v>0.43424854472699792</v>
      </c>
      <c r="O311" s="46">
        <f t="shared" ca="1" si="266"/>
        <v>0.39014338558050088</v>
      </c>
      <c r="P311" s="46" t="str">
        <f t="shared" ca="1" si="267"/>
        <v>会</v>
      </c>
      <c r="Q311" s="45">
        <f t="shared" ca="1" si="268"/>
        <v>2.162482885499879</v>
      </c>
      <c r="R311" s="117">
        <f ca="1">模拟模式!$E$20*(1-IF(模拟模式!$J$19="有",0.15,0))*(1-IF(模拟模式!$K$19="有",0.3,0)-IF(CQ311,0.5,0))</f>
        <v>2950.6049999999996</v>
      </c>
      <c r="S311" s="45">
        <f ca="1">R311/(R311+(185*模拟模式!$E$22-16800)*4.08224)</f>
        <v>0.24272716014590323</v>
      </c>
      <c r="T311" s="45" t="str">
        <f ca="1">LOOKUP(D311,'模拟-单技能数据'!$A$2:$A$19,'模拟-单技能数据'!$H$2:$H$19)</f>
        <v>阴</v>
      </c>
      <c r="U311" s="119">
        <f t="shared" ca="1" si="243"/>
        <v>0.08</v>
      </c>
      <c r="V311" s="47">
        <f ca="1">(1+L311)*(LOOKUP(D311,'模拟-单技能数据'!$A$2:$A$19,'模拟-单技能数据'!$D$2:$D$19)+G311*LOOKUP(D311,'模拟-单技能数据'!$A$2:$A$19,'模拟-单技能数据'!$F$2:$F$19))*(1+J311)*(1+K311)*(1-S311)*(1+U311)*Q311*LOOKUP(D311,'模拟-单技能数据'!$A$2:$A$19,'模拟-单技能数据'!$I$2:$I$20)</f>
        <v>35088.919370823241</v>
      </c>
      <c r="W311" s="47">
        <f ca="1">LOOKUP(D311,'模拟-单技能数据'!$A$2:$A$19,'模拟-单技能数据'!$G$2:$G$19)*$I$10</f>
        <v>361.51064354704795</v>
      </c>
      <c r="X311" s="47">
        <f t="shared" ca="1" si="269"/>
        <v>27495.301292182321</v>
      </c>
      <c r="Y311" s="47">
        <f t="shared" ca="1" si="244"/>
        <v>62945.73130655261</v>
      </c>
      <c r="Z311" s="49">
        <f t="shared" ca="1" si="245"/>
        <v>30043986.67489865</v>
      </c>
      <c r="AA311" s="97">
        <f t="shared" ca="1" si="246"/>
        <v>114676.08181571218</v>
      </c>
      <c r="AB311" s="115">
        <f ca="1">IF(OR(C311="赤日轮1",C311="赤日轮2",C311="赤日轮3"),IF(RAND()&lt;模拟模式!$Y$17,1,0),IF(OR(C311="幽月轮1",C311="幽月轮2",C311="幽月轮3"),IF(RAND()&lt;模拟模式!$Y$18,1,0),IF(C311="烈日斩",IF(RAND()&lt;模拟模式!$Y$19,1,0),IF(C311="银月斩",IF(RAND()&lt;模拟模式!$Y$20,1,0),IF(C311="驱夜断愁",IF(RAND()&lt;模拟模式!$Y$21,1,0),IF(C311="净世破魔击·日",IF(RAND()&lt;模拟模式!$Y$22,1,0),IF(C311="净世破魔击·月",IF(RAND()&lt;模拟模式!$Y$23,1,0),0)))))))</f>
        <v>1</v>
      </c>
      <c r="AC311" s="115" t="b">
        <f t="shared" ca="1" si="234"/>
        <v>0</v>
      </c>
      <c r="AD311" s="115" t="b">
        <f t="shared" ca="1" si="254"/>
        <v>1</v>
      </c>
      <c r="AE311" s="115">
        <f t="shared" ca="1" si="255"/>
        <v>4</v>
      </c>
      <c r="AF311" s="47">
        <f ca="1">IF(AC311,('模拟-单技能数据'!$D$20+G311*'模拟-单技能数据'!$F$20)*(1+J311)*(1+'模拟-单技能数据'!$J$20)*(1+U311),0)</f>
        <v>0</v>
      </c>
      <c r="AG311" s="61">
        <f t="shared" ca="1" si="247"/>
        <v>0.64185145527300214</v>
      </c>
      <c r="AH311" s="61">
        <f t="shared" ca="1" si="248"/>
        <v>2.2624828854998791</v>
      </c>
      <c r="AI311" s="62">
        <f t="shared" ca="1" si="270"/>
        <v>0.19097034789754153</v>
      </c>
      <c r="AJ311" s="47">
        <f ca="1">IF(AD311,IF(AI311&lt;$F$10,0,IF(AI311&lt;$F$10+$F$11,0.25,IF(AI311&lt;$F$10+$F$11+AG311,AH311,1)))*IF(AF311&gt;0,AF311,IF(AF310&gt;0,AF310,IF(AF309&gt;0,AF309,IF(AF308&gt;0,AF308,IF(AF307&gt;0,AF307,IF(AF306&gt;0,AF306,IF(AF305&gt;0,AF305,IF(AF304&gt;0,AF304,IF(AF303&gt;0,AF303,IF(AF301&gt;0,AF301,IF(AF300&gt;0,AF300,IF(AF299&gt;0,AF299,0)))))))))))),0)*(1-$S311)*'模拟-单技能数据'!$I$20</f>
        <v>7620.5875385322679</v>
      </c>
      <c r="AK311" s="115" t="b">
        <f t="shared" ca="1" si="235"/>
        <v>0</v>
      </c>
      <c r="AL311" s="115" t="b">
        <f t="shared" ca="1" si="256"/>
        <v>1</v>
      </c>
      <c r="AM311" s="115">
        <f t="shared" ca="1" si="257"/>
        <v>3</v>
      </c>
      <c r="AN311" s="47">
        <f ca="1">IF(AK311,('模拟-单技能数据'!$D$21+G311*'模拟-单技能数据'!$F$21)*(1+J311)*(1+'模拟-单技能数据'!$J$21)*(1+U311),0)</f>
        <v>0</v>
      </c>
      <c r="AO311" s="61">
        <f ca="1">IF(AN311&gt;0,M311-'模拟-单技能数据'!$K$10,AO310)</f>
        <v>0.42185145527300216</v>
      </c>
      <c r="AP311" s="61">
        <f ca="1">IF(AN311&gt;0,I311-'模拟-单技能数据'!$L$10,AP310)</f>
        <v>2.162482885499879</v>
      </c>
      <c r="AQ311" s="63">
        <f t="shared" ca="1" si="271"/>
        <v>0.47465475448246541</v>
      </c>
      <c r="AR311" s="64">
        <f ca="1">IF(AL311,IF(AQ311&lt;$F$10,0,IF(AQ311&lt;$F$10+$F$11,0.25,IF(AQ311&lt;$F$10+$F$11+AO311,AP311,1)))*IF(AN311&gt;0,AN311,IF(AN310&gt;0,AN310,IF(AN309&gt;0,AN309,IF(AN308&gt;0,AN308,IF(AN307&gt;0,AN307,IF(AN306&gt;0,AN306,IF(AN305&gt;0,AN305,IF(AN304&gt;0,AN304,IF(AN303&gt;0,AN303,IF(AN301&gt;0,AN301,IF(AN300&gt;0,AN300,IF(AN299&gt;0,AN299,0)))))))))))),0)*(1-$S311)*'模拟-单技能数据'!$I$21</f>
        <v>19874.713753650052</v>
      </c>
      <c r="AS311" s="61">
        <f ca="1">IF(OR(C311="净世破魔击·日",C311="净世破魔击·月"),M311-'模拟-单技能数据'!$K$10,0)</f>
        <v>0</v>
      </c>
      <c r="AT311" s="61">
        <f ca="1">IF(OR(C311="净世破魔击·日",C311="净世破魔击·月"),I311-'模拟-单技能数据'!$L$10,0)</f>
        <v>0</v>
      </c>
      <c r="AU311" s="62">
        <f t="shared" ca="1" si="272"/>
        <v>9.6532870518144187E-2</v>
      </c>
      <c r="AV311" s="64">
        <f ca="1">IF(AS311&gt;0,('模拟-单技能数据'!$D$22+G311*'模拟-单技能数据'!$F$22)*(1+J311)*(1-S311)*IF(AU311&lt;$F$10,0,IF(AU311&lt;$F$10+$F$11,0.25,IF(AU311&lt;$F$10+$F$11+AS311,AT311,1)))*(1+U311),0)*'模拟-单技能数据'!$I$22</f>
        <v>0</v>
      </c>
      <c r="AW311" s="108">
        <f t="shared" ca="1" si="273"/>
        <v>0</v>
      </c>
      <c r="AX311" s="108" t="b">
        <f ca="1">AND(模拟模式!$P$10="有",AW310=0,RAND()&lt;IF(C311="净世破魔击·月",0.1*8/3,IF(C311="净世破魔击·日",0.1*4/3,0.1*2/3)))</f>
        <v>0</v>
      </c>
      <c r="AY311" s="47">
        <f ca="1">IF(AX311,(18+G311*0.722)*(1+J311)*(1-S311)*(1+$I$4)*IF(P311="会",'模拟-全程加成'!$J$3+'模拟-全程加成'!$J$4+'模拟-全程加成'!$J$5+('模拟-全程加成'!$I$4+'模拟-全程加成'!$I$5)/系数!$B$4+BG311*10%,IF(P311="命",1,IF(P311="识",0.25,0))),0)</f>
        <v>0</v>
      </c>
      <c r="AZ311" s="108">
        <f t="shared" si="274"/>
        <v>1.5500000000000065</v>
      </c>
      <c r="BA311" s="108" t="b">
        <f>AND(模拟模式!$Q$10="有",AZ310=0)</f>
        <v>0</v>
      </c>
      <c r="BB311" s="140">
        <f>IF(BA311,(0+G311*0.287)*(1+J311)*(1-S311)*(1+$I$4)*IF(P311="会",'模拟-全程加成'!$J$3+'模拟-全程加成'!$J$4+'模拟-全程加成'!$J$5+('模拟-全程加成'!$I$4+'模拟-全程加成'!$I$5)/系数!$B$4+BG311*10%,IF(P311="命",1,IF(P311="识",0.25,0))),0)</f>
        <v>0</v>
      </c>
      <c r="BC311" s="115" t="b">
        <f ca="1">AND(模拟模式!$R$7="伏明众生",E311=60,F311=20,DA311&lt;5,CZ310&lt;$F$4)</f>
        <v>0</v>
      </c>
      <c r="BD311" s="115">
        <f t="shared" ca="1" si="236"/>
        <v>0</v>
      </c>
      <c r="BE311" s="115" t="b">
        <f t="shared" ca="1" si="237"/>
        <v>0</v>
      </c>
      <c r="BF311" s="47">
        <f ca="1">IF(BC311,4*('模拟-单技能数据'!$D$24+G311*'模拟-单技能数据'!$F$24)*(1+J311)*(1+'模拟-单技能数据'!$J$24)*(1-S311)*(1+$I$3)*(('模拟-全程加成'!$J$3+'模拟-全程加成'!$J$4+'模拟-全程加成'!$J$5+('模拟-全程加成'!$I$4+'模拟-全程加成'!$I$5)/系数!$B$4+BG311*10%)*('模拟-全程加成'!$J$3+'模拟-全程加成'!$J$4+'模拟-全程加成'!$J$5+('模拟-全程加成'!$I$4+'模拟-全程加成'!$I$5)/系数!$B$4+BG311*10%)+(1-('模拟-全程加成'!$J$3+'模拟-全程加成'!$J$4+'模拟-全程加成'!$J$5+('模拟-全程加成'!$I$4+'模拟-全程加成'!$I$5)/系数!$B$4+BG311*10%)-$F$10-$F$11)+F297*0.25),0)*'模拟-单技能数据'!$I$24</f>
        <v>0</v>
      </c>
      <c r="BG311" s="115" t="b">
        <f ca="1">OR(AND(OR(C311="烈日斩",C311="银月斩"),模拟模式!$I$7="净身明礼"),AND(C311="净世破魔击·日",模拟模式!$J$7="洞若观火"),AND(C312="净世破魔击·月",模拟模式!$J$7="洞若观火"),AB311=1)</f>
        <v>1</v>
      </c>
      <c r="BH311" s="115" t="b">
        <f t="shared" ca="1" si="275"/>
        <v>0</v>
      </c>
      <c r="BI311" s="115">
        <f t="shared" ca="1" si="238"/>
        <v>0</v>
      </c>
      <c r="BJ311" s="115" t="b">
        <f t="shared" ca="1" si="249"/>
        <v>0</v>
      </c>
      <c r="BK311" s="115" t="b">
        <f ca="1">AND(C311="驱夜断愁",模拟模式!$P$7="天地诛戮")</f>
        <v>0</v>
      </c>
      <c r="BL311" s="57">
        <f t="shared" ca="1" si="239"/>
        <v>18.155000000000001</v>
      </c>
      <c r="BM311" s="115" t="b">
        <f t="shared" ca="1" si="250"/>
        <v>1</v>
      </c>
      <c r="BN311" s="115" t="b">
        <f ca="1">AND(OR(C311="赤日轮1",C311="赤日轮2",C311="赤日轮3",C311="幽月轮1",C311="幽月轮2",C311="幽月轮3"),AB311=1,模拟模式!$L$7="明光恒照")</f>
        <v>1</v>
      </c>
      <c r="BO311" s="117">
        <f t="shared" ca="1" si="240"/>
        <v>30</v>
      </c>
      <c r="BP311" s="115">
        <f t="shared" ca="1" si="276"/>
        <v>6</v>
      </c>
      <c r="BQ311" s="115" t="b">
        <f>模拟模式!$K$10="2600·水"</f>
        <v>0</v>
      </c>
      <c r="BR311" s="117">
        <f t="shared" si="277"/>
        <v>0</v>
      </c>
      <c r="BS311" s="115">
        <f t="shared" si="278"/>
        <v>0</v>
      </c>
      <c r="BT311" s="115">
        <f t="shared" ca="1" si="279"/>
        <v>0</v>
      </c>
      <c r="BU311" s="115" t="b">
        <f ca="1">AND(模拟模式!$K$10="2300·雷",BT310=0,RAND()&lt;IF(C311="净世破魔击·月",5*0.05*2/3,IF(C311="净世破魔击·日",3*0.05*2/3,0.05*2*2/3)))</f>
        <v>0</v>
      </c>
      <c r="BV311" s="115">
        <f t="shared" ca="1" si="280"/>
        <v>0</v>
      </c>
      <c r="BW311" s="115">
        <f t="shared" ca="1" si="281"/>
        <v>109.88999999999925</v>
      </c>
      <c r="BX311" s="164" t="b">
        <f t="shared" ca="1" si="282"/>
        <v>0</v>
      </c>
      <c r="BY311" s="115">
        <f t="shared" ca="1" si="283"/>
        <v>0</v>
      </c>
      <c r="BZ311" s="115">
        <f>IF(OR(模拟模式!$P$16="10人团",模拟模式!$P$16="25人团"),IF(B311/30&gt;CA310,1,0),0)</f>
        <v>0</v>
      </c>
      <c r="CA311" s="115">
        <f t="shared" si="259"/>
        <v>0</v>
      </c>
      <c r="CB311" s="115">
        <f ca="1">IF(BZ311=1,IF(模拟模式!$P$16="10人团",15,0)+IF(模拟模式!$P$16="25人团",IF(RAND()&lt;0.6,15,0)),MAX(0,CB310-$F$4))</f>
        <v>0</v>
      </c>
      <c r="CC311" s="115" t="b">
        <f t="shared" ca="1" si="251"/>
        <v>0</v>
      </c>
      <c r="CD311" s="115">
        <f>IF(模拟模式!$Q$16="1个",IF(B311/40&gt;CE310,1,0),0)</f>
        <v>0</v>
      </c>
      <c r="CE311" s="115">
        <f t="shared" si="252"/>
        <v>0</v>
      </c>
      <c r="CF311" s="115">
        <f>IF(OR(CD311=1,模拟模式!$Q$16="2个"),20,MAX(0,CF310-$F$4))</f>
        <v>0</v>
      </c>
      <c r="CG311" s="115" t="b">
        <f t="shared" si="253"/>
        <v>0</v>
      </c>
      <c r="CH311" s="115">
        <f t="shared" ca="1" si="284"/>
        <v>5.0925000000000118</v>
      </c>
      <c r="CI311" s="115" t="b">
        <f t="shared" ca="1" si="285"/>
        <v>0</v>
      </c>
      <c r="CJ311" s="119">
        <f t="shared" ca="1" si="286"/>
        <v>0</v>
      </c>
      <c r="CK311" s="115">
        <f t="shared" ca="1" si="287"/>
        <v>0</v>
      </c>
      <c r="CL311" s="115" t="b">
        <f ca="1">AND(模拟模式!$S$7="驱夷逐法",OR(AND(C311="净世破魔击·月",E310&gt;59),AND(C311="净世破魔击·日",F310&gt;59)))</f>
        <v>0</v>
      </c>
      <c r="CM311" s="115" t="b">
        <f ca="1">OR(CL311,AND(C311="净世破魔击·日",CL310,RAND()&lt;模拟模式!$U$23))</f>
        <v>0</v>
      </c>
      <c r="CN311" s="115" t="b">
        <f ca="1">IF(模拟模式!$M$7="辉耀红尘",AND(C311="净世破魔击·月",CL311,CV311=0,E310&lt;80),AND(C311="净世破魔击·月",CL311,E310&lt;100))</f>
        <v>0</v>
      </c>
      <c r="CO311" s="115" t="b">
        <f t="shared" ca="1" si="260"/>
        <v>0</v>
      </c>
      <c r="CP311" s="115" t="b">
        <f ca="1">AND(模拟模式!$O$7="用晦而明",OR(C311="净世破魔击·日",C311="净世破魔击·月",C311="驱夜断愁"),AB311)</f>
        <v>0</v>
      </c>
      <c r="CQ311" s="115" t="b">
        <f ca="1">OR(CP311,AND(CP310,RAND()&lt;模拟模式!$U$23))</f>
        <v>0</v>
      </c>
      <c r="CR311" s="115" t="b">
        <f ca="1">AND(模拟模式!$S$7="日月齐光",OR(C311="幽月轮1",C311="幽月轮2",C311="幽月轮3",CR310),NOT(OR(C311="赤日轮1",C311="赤日轮2",C311="赤日轮3")))</f>
        <v>0</v>
      </c>
      <c r="CS311" s="115" t="b">
        <f ca="1">AND(模拟模式!$S$7="日月齐光",OR(C311="赤日轮1",C311="赤日轮2",C311="赤日轮3",CS310),NOT(OR(C311="幽月轮1",C311="幽月轮2",C311="幽月轮3")))</f>
        <v>0</v>
      </c>
      <c r="CT311" s="115">
        <f t="shared" ca="1" si="288"/>
        <v>14.31750000000001</v>
      </c>
      <c r="CU311" s="115" t="b">
        <f ca="1">AND(模拟模式!$K$10="阴阳往极",CT310=0,RAND()&lt;IF(C311="净世破魔击·月",0.0275*7/3,IF(C311="净世破魔击·日",0.0275*3/3,0.0275*2/3)))</f>
        <v>0</v>
      </c>
      <c r="CV311" s="115">
        <f t="shared" ca="1" si="289"/>
        <v>0</v>
      </c>
      <c r="CW311" s="115">
        <f t="shared" ca="1" si="261"/>
        <v>5.0774999999999997</v>
      </c>
      <c r="CX311" s="115">
        <f t="shared" ca="1" si="262"/>
        <v>3.2324999999999995</v>
      </c>
      <c r="CY311" s="115">
        <f ca="1">MAX(IF($C311="驱夜断愁",IF(模拟模式!$R$7="万念俱寂",6,45),CY310-$F$4),0)</f>
        <v>4.1549999999999994</v>
      </c>
      <c r="CZ311" s="115">
        <f t="shared" ca="1" si="263"/>
        <v>0</v>
      </c>
      <c r="DA311" s="115">
        <f ca="1">IF(模拟模式!$N$7="日月同辉",IF(DB310=2,0,MIN(6,IF(AND(OR(C311="赤日轮1",C311="赤日轮2",C311="赤日轮3",C311="幽月轮1",C311="幽月轮2",C311="幽月轮3"),AB311=1),DA310+1,DA310))),0)</f>
        <v>3</v>
      </c>
      <c r="DB311" s="115">
        <f t="shared" ca="1" si="264"/>
        <v>0</v>
      </c>
      <c r="DC311" s="115"/>
      <c r="DD311" s="115"/>
      <c r="DE311" s="115"/>
      <c r="DF311" s="115"/>
      <c r="DG311" s="115"/>
      <c r="DH311" s="115"/>
      <c r="DI311" s="115"/>
      <c r="DJ311" s="115"/>
      <c r="DK311" s="115"/>
      <c r="DL311" s="115"/>
      <c r="DM311" s="115"/>
    </row>
    <row r="312" spans="2:117" x14ac:dyDescent="0.2">
      <c r="B312" s="117">
        <f t="shared" si="265"/>
        <v>262.9125000000019</v>
      </c>
      <c r="C312" s="167" t="str">
        <f t="shared" ca="1" si="258"/>
        <v>净世破魔击·月</v>
      </c>
      <c r="D312" s="115">
        <f ca="1">IF(C312="赤日轮1",1,IF(C312="赤日轮2",2,IF(C312="赤日轮3",3,IF(C312="幽月轮1",4,IF(C312="幽月轮2",5,IF(C312="幽月轮3",6,IF(C312="烈日斩",7,IF(C312="银月斩",8,IF(C312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312="净世破魔击·月",17,IF(C312="驱夜断愁",18,0)))))))))))</f>
        <v>17</v>
      </c>
      <c r="E312" s="115">
        <f ca="1">IF(AND(CU312,OR(C312="幽月轮1",C312="幽月轮2",C312="幽月轮3",C312="银月斩",C312="驱夜断愁",C312="净世破魔击·月")),100,MIN(IF(OR(CN312,BE312),0,IF(OR($C312="赤日轮1",$C312="赤日轮2",$C312="赤日轮3"),E311+20+IF(模拟模式!$I$7="日月凌天",4,0)+IF(CR311,20,0),IF($C312="烈日斩",E311+40,IF($C312="驱夜断愁",IF(模拟模式!$R$7="万念俱寂",E311+20,E311+60),IF($C312="净世破魔击·月",IF(OR(DB311&gt;0,CV311&gt;0),100,IF(模拟模式!$M$7="辉耀红尘",E311+20,E311)),IF($C312="净世破魔击·日",E311-100,E311)))))),100))</f>
        <v>100</v>
      </c>
      <c r="F312" s="115">
        <f ca="1">IF(AND(CU312,OR(C312="赤日轮1",C312="赤日轮2",C312="赤日轮3",C312="烈日斩",C312="净世破魔击·日")),100,MIN(IF(CO312,0,IF(OR($C312="幽月轮1",$C312="幽月轮2",$C312="幽月轮3"),F311+20+IF(模拟模式!$I$7="日月凌天",4,0)+IF(CS311,20,0),IF($C312="银月斩",F311+40+IF(模拟模式!$X$12=1,5,0),IF($C312="驱夜断愁",IF(模拟模式!$R$7="万念俱寂",F311+20,F311+60),IF($C312="净世破魔击·月",IF(模拟模式!$M$7="辉耀红尘",F311-80,F311-100),IF(AND(C312="净世破魔击·日",OR(DB311&gt;0,CV311&gt;0)),100,F311)))))),100))</f>
        <v>20</v>
      </c>
      <c r="G312" s="117">
        <f ca="1">('模拟-全程加成'!$E$3+'模拟-全程加成'!$E$4+'模拟-全程加成'!$E$5+('模拟-全程加成'!$C$6-'模拟-全程加成'!$C$3)*系数!$B$9+BS312*23)*(1+'模拟-全程加成'!$F$4+'模拟-全程加成'!$F$5+BJ312*10%+BM312*20%+BP312*4%+CG312*30%)+$F$7*系数!$B$12</f>
        <v>20583.127400000001</v>
      </c>
      <c r="H312" s="45">
        <f ca="1">'模拟-全程加成'!$H$3+'模拟-全程加成'!$H$4+'模拟-全程加成'!$H$5+('模拟-全程加成'!$G$4+'模拟-全程加成'!$G$5+('模拟-全程加成'!$C$6-'模拟-全程加成'!$C$3)*系数!$B$13)/系数!$B$3+LOOKUP(D312,'模拟-单技能数据'!$A$2:$A$19,'模拟-单技能数据'!$K$2:$K$19)+BG312*10%+IF(BV312&gt;0,378,0)</f>
        <v>0.54185145527300216</v>
      </c>
      <c r="I312" s="45">
        <f ca="1">'模拟-全程加成'!$J$3+'模拟-全程加成'!$J$4+'模拟-全程加成'!$J$5+('模拟-全程加成'!$I$4+'模拟-全程加成'!$I$5)/系数!$B$4+LOOKUP(D312,'模拟-单技能数据'!$A$2:$A$19,'模拟-单技能数据'!$L$2:$L$19)+BG312*10%</f>
        <v>2.162482885499879</v>
      </c>
      <c r="J312" s="45">
        <f ca="1">(('模拟-全程加成'!$K$3+'模拟-全程加成'!$K$4+'模拟-全程加成'!$K$5+('模拟-全程加成'!$C$6-'模拟-全程加成'!$C$3)*系数!$B$10+IF(BV312&gt;0,882,0)+IF(BY312&gt;0,1831,0))*(1+'模拟-全程加成'!$L$4+'模拟-全程加成'!$L$5+CC312*20%))/系数!$B$5</f>
        <v>0.69723220422048726</v>
      </c>
      <c r="K312" s="119">
        <f ca="1">LOOKUP(D312,'模拟-单技能数据'!$A$2:$A$19,'模拟-单技能数据'!$J$2:$J$19)+IF(CM312,60%,0)+IF(DB311-DB312&gt;0,30%,0)+IF(OR(AND(OR(C312="赤日轮1",C312="赤日轮2",C312="赤日轮3"),CR312),AND(OR(C312="幽月轮1",C312="幽月轮2",C312="幽月轮3"),CS312)),35%,0)+CJ312</f>
        <v>0.8</v>
      </c>
      <c r="L312" s="119">
        <f ca="1">IF(AND(C312="烈日斩",模拟模式!$X$11=1),10%,0)+IF(AND(C312="驱夜断愁",AB312=1),30%,0)</f>
        <v>0</v>
      </c>
      <c r="M312" s="45">
        <f t="shared" ca="1" si="241"/>
        <v>0.54185145527300216</v>
      </c>
      <c r="N312" s="45">
        <f t="shared" ca="1" si="242"/>
        <v>0.40424854472699789</v>
      </c>
      <c r="O312" s="46">
        <f t="shared" ca="1" si="266"/>
        <v>0.89454863703312582</v>
      </c>
      <c r="P312" s="46" t="str">
        <f t="shared" ca="1" si="267"/>
        <v>命</v>
      </c>
      <c r="Q312" s="45">
        <f t="shared" ca="1" si="268"/>
        <v>1</v>
      </c>
      <c r="R312" s="117">
        <f ca="1">模拟模式!$E$20*(1-IF(模拟模式!$J$19="有",0.15,0))*(1-IF(模拟模式!$K$19="有",0.3,0)-IF(CQ312,0.5,0))</f>
        <v>843.02999999999975</v>
      </c>
      <c r="S312" s="45">
        <f ca="1">R312/(R312+(185*模拟模式!$E$22-16800)*4.08224)</f>
        <v>8.389626085980037E-2</v>
      </c>
      <c r="T312" s="45" t="str">
        <f ca="1">LOOKUP(D312,'模拟-单技能数据'!$A$2:$A$19,'模拟-单技能数据'!$H$2:$H$19)</f>
        <v>阴</v>
      </c>
      <c r="U312" s="119">
        <f t="shared" ca="1" si="243"/>
        <v>0.08</v>
      </c>
      <c r="V312" s="47">
        <f ca="1">(1+L312)*(LOOKUP(D312,'模拟-单技能数据'!$A$2:$A$19,'模拟-单技能数据'!$D$2:$D$19)+G312*LOOKUP(D312,'模拟-单技能数据'!$A$2:$A$19,'模拟-单技能数据'!$F$2:$F$19))*(1+J312)*(1+K312)*(1-S312)*(1+U312)*Q312*LOOKUP(D312,'模拟-单技能数据'!$A$2:$A$19,'模拟-单技能数据'!$I$2:$I$20)</f>
        <v>80864.621558254468</v>
      </c>
      <c r="W312" s="47">
        <f ca="1">LOOKUP(D312,'模拟-单技能数据'!$A$2:$A$19,'模拟-单技能数据'!$G$2:$G$19)*$I$10</f>
        <v>361.51064354704795</v>
      </c>
      <c r="X312" s="47">
        <f t="shared" ca="1" si="269"/>
        <v>7639.4517521048492</v>
      </c>
      <c r="Y312" s="47">
        <f t="shared" ca="1" si="244"/>
        <v>88865.583953906375</v>
      </c>
      <c r="Z312" s="49">
        <f t="shared" ca="1" si="245"/>
        <v>30132852.258852556</v>
      </c>
      <c r="AA312" s="97">
        <f t="shared" ca="1" si="246"/>
        <v>114611.71400695037</v>
      </c>
      <c r="AB312" s="115">
        <f ca="1">IF(OR(C312="赤日轮1",C312="赤日轮2",C312="赤日轮3"),IF(RAND()&lt;模拟模式!$Y$17,1,0),IF(OR(C312="幽月轮1",C312="幽月轮2",C312="幽月轮3"),IF(RAND()&lt;模拟模式!$Y$18,1,0),IF(C312="烈日斩",IF(RAND()&lt;模拟模式!$Y$19,1,0),IF(C312="银月斩",IF(RAND()&lt;模拟模式!$Y$20,1,0),IF(C312="驱夜断愁",IF(RAND()&lt;模拟模式!$Y$21,1,0),IF(C312="净世破魔击·日",IF(RAND()&lt;模拟模式!$Y$22,1,0),IF(C312="净世破魔击·月",IF(RAND()&lt;模拟模式!$Y$23,1,0),0)))))))</f>
        <v>1</v>
      </c>
      <c r="AC312" s="115" t="b">
        <f t="shared" ca="1" si="234"/>
        <v>0</v>
      </c>
      <c r="AD312" s="115" t="b">
        <f t="shared" ca="1" si="254"/>
        <v>0</v>
      </c>
      <c r="AE312" s="115">
        <f t="shared" ca="1" si="255"/>
        <v>4</v>
      </c>
      <c r="AF312" s="47">
        <f ca="1">IF(AC312,('模拟-单技能数据'!$D$20+G312*'模拟-单技能数据'!$F$20)*(1+J312)*(1+'模拟-单技能数据'!$J$20)*(1+U312),0)</f>
        <v>0</v>
      </c>
      <c r="AG312" s="61">
        <f t="shared" ca="1" si="247"/>
        <v>0.64185145527300214</v>
      </c>
      <c r="AH312" s="61">
        <f t="shared" ca="1" si="248"/>
        <v>2.2624828854998791</v>
      </c>
      <c r="AI312" s="62">
        <f t="shared" ca="1" si="270"/>
        <v>0.67531479129728034</v>
      </c>
      <c r="AJ312" s="47">
        <f ca="1">IF(AD312,IF(AI312&lt;$F$10,0,IF(AI312&lt;$F$10+$F$11,0.25,IF(AI312&lt;$F$10+$F$11+AG312,AH312,1)))*IF(AF312&gt;0,AF312,IF(AF311&gt;0,AF311,IF(AF310&gt;0,AF310,IF(AF309&gt;0,AF309,IF(AF308&gt;0,AF308,IF(AF307&gt;0,AF307,IF(AF306&gt;0,AF306,IF(AF305&gt;0,AF305,IF(AF304&gt;0,AF304,IF(AF302&gt;0,AF302,IF(AF301&gt;0,AF301,IF(AF300&gt;0,AF300,0)))))))))))),0)*(1-$S312)*'模拟-单技能数据'!$I$20</f>
        <v>0</v>
      </c>
      <c r="AK312" s="115" t="b">
        <f t="shared" ca="1" si="235"/>
        <v>0</v>
      </c>
      <c r="AL312" s="115" t="b">
        <f t="shared" ca="1" si="256"/>
        <v>0</v>
      </c>
      <c r="AM312" s="115">
        <f t="shared" ca="1" si="257"/>
        <v>3</v>
      </c>
      <c r="AN312" s="47">
        <f ca="1">IF(AK312,('模拟-单技能数据'!$D$21+G312*'模拟-单技能数据'!$F$21)*(1+J312)*(1+'模拟-单技能数据'!$J$21)*(1+U312),0)</f>
        <v>0</v>
      </c>
      <c r="AO312" s="61">
        <f ca="1">IF(AN312&gt;0,M312-'模拟-单技能数据'!$K$10,AO311)</f>
        <v>0.42185145527300216</v>
      </c>
      <c r="AP312" s="61">
        <f ca="1">IF(AN312&gt;0,I312-'模拟-单技能数据'!$L$10,AP311)</f>
        <v>2.162482885499879</v>
      </c>
      <c r="AQ312" s="63">
        <f t="shared" ca="1" si="271"/>
        <v>0.89026165171469751</v>
      </c>
      <c r="AR312" s="64">
        <f ca="1">IF(AL312,IF(AQ312&lt;$F$10,0,IF(AQ312&lt;$F$10+$F$11,0.25,IF(AQ312&lt;$F$10+$F$11+AO312,AP312,1)))*IF(AN312&gt;0,AN312,IF(AN311&gt;0,AN311,IF(AN310&gt;0,AN310,IF(AN309&gt;0,AN309,IF(AN308&gt;0,AN308,IF(AN307&gt;0,AN307,IF(AN306&gt;0,AN306,IF(AN305&gt;0,AN305,IF(AN304&gt;0,AN304,IF(AN302&gt;0,AN302,IF(AN301&gt;0,AN301,IF(AN300&gt;0,AN300,0)))))))))))),0)*(1-$S312)*'模拟-单技能数据'!$I$21</f>
        <v>0</v>
      </c>
      <c r="AS312" s="61">
        <f ca="1">IF(OR(C312="净世破魔击·日",C312="净世破魔击·月"),M312-'模拟-单技能数据'!$K$10,0)</f>
        <v>0.42185145527300216</v>
      </c>
      <c r="AT312" s="61">
        <f ca="1">IF(OR(C312="净世破魔击·日",C312="净世破魔击·月"),I312-'模拟-单技能数据'!$L$10,0)</f>
        <v>2.162482885499879</v>
      </c>
      <c r="AU312" s="62">
        <f t="shared" ca="1" si="272"/>
        <v>0.57765657103168488</v>
      </c>
      <c r="AV312" s="64">
        <f ca="1">IF(AS312&gt;0,('模拟-单技能数据'!$D$22+G312*'模拟-单技能数据'!$F$22)*(1+J312)*(1-S312)*IF(AU312&lt;$F$10,0,IF(AU312&lt;$F$10+$F$11,0.25,IF(AU312&lt;$F$10+$F$11+AS312,AT312,1)))*(1+U312),0)*'模拟-单技能数据'!$I$22</f>
        <v>7639.4517521048492</v>
      </c>
      <c r="AW312" s="108">
        <f t="shared" ca="1" si="273"/>
        <v>0</v>
      </c>
      <c r="AX312" s="108" t="b">
        <f ca="1">AND(模拟模式!$P$10="有",AW311=0,RAND()&lt;IF(C312="净世破魔击·月",0.1*8/3,IF(C312="净世破魔击·日",0.1*4/3,0.1*2/3)))</f>
        <v>0</v>
      </c>
      <c r="AY312" s="47">
        <f ca="1">IF(AX312,(18+G312*0.722)*(1+J312)*(1-S312)*(1+$I$4)*IF(P312="会",'模拟-全程加成'!$J$3+'模拟-全程加成'!$J$4+'模拟-全程加成'!$J$5+('模拟-全程加成'!$I$4+'模拟-全程加成'!$I$5)/系数!$B$4+BG312*10%,IF(P312="命",1,IF(P312="识",0.25,0))),0)</f>
        <v>0</v>
      </c>
      <c r="AZ312" s="108">
        <f t="shared" si="274"/>
        <v>0.6275000000000065</v>
      </c>
      <c r="BA312" s="108" t="b">
        <f>AND(模拟模式!$Q$10="有",AZ311=0)</f>
        <v>0</v>
      </c>
      <c r="BB312" s="140">
        <f>IF(BA312,(0+G312*0.287)*(1+J312)*(1-S312)*(1+$I$4)*IF(P312="会",'模拟-全程加成'!$J$3+'模拟-全程加成'!$J$4+'模拟-全程加成'!$J$5+('模拟-全程加成'!$I$4+'模拟-全程加成'!$I$5)/系数!$B$4+BG312*10%,IF(P312="命",1,IF(P312="识",0.25,0))),0)</f>
        <v>0</v>
      </c>
      <c r="BC312" s="115" t="b">
        <f ca="1">AND(模拟模式!$R$7="伏明众生",E312=60,F312=20,DA312&lt;5,CZ311&lt;$F$4)</f>
        <v>0</v>
      </c>
      <c r="BD312" s="115">
        <f t="shared" ca="1" si="236"/>
        <v>0</v>
      </c>
      <c r="BE312" s="115" t="b">
        <f t="shared" ca="1" si="237"/>
        <v>0</v>
      </c>
      <c r="BF312" s="47">
        <f ca="1">IF(BC312,4*('模拟-单技能数据'!$D$24+G312*'模拟-单技能数据'!$F$24)*(1+J312)*(1+'模拟-单技能数据'!$J$24)*(1-S312)*(1+$I$3)*(('模拟-全程加成'!$J$3+'模拟-全程加成'!$J$4+'模拟-全程加成'!$J$5+('模拟-全程加成'!$I$4+'模拟-全程加成'!$I$5)/系数!$B$4+BG312*10%)*('模拟-全程加成'!$J$3+'模拟-全程加成'!$J$4+'模拟-全程加成'!$J$5+('模拟-全程加成'!$I$4+'模拟-全程加成'!$I$5)/系数!$B$4+BG312*10%)+(1-('模拟-全程加成'!$J$3+'模拟-全程加成'!$J$4+'模拟-全程加成'!$J$5+('模拟-全程加成'!$I$4+'模拟-全程加成'!$I$5)/系数!$B$4+BG312*10%)-$F$10-$F$11)+F298*0.25),0)*'模拟-单技能数据'!$I$24</f>
        <v>0</v>
      </c>
      <c r="BG312" s="115" t="b">
        <f ca="1">OR(AND(OR(C312="烈日斩",C312="银月斩"),模拟模式!$I$7="净身明礼"),AND(C312="净世破魔击·日",模拟模式!$J$7="洞若观火"),AND(C313="净世破魔击·月",模拟模式!$J$7="洞若观火"),AB312=1)</f>
        <v>1</v>
      </c>
      <c r="BH312" s="115" t="b">
        <f t="shared" ca="1" si="275"/>
        <v>0</v>
      </c>
      <c r="BI312" s="115">
        <f t="shared" ca="1" si="238"/>
        <v>0</v>
      </c>
      <c r="BJ312" s="115" t="b">
        <f t="shared" ca="1" si="249"/>
        <v>0</v>
      </c>
      <c r="BK312" s="115" t="b">
        <f ca="1">AND(C312="驱夜断愁",模拟模式!$P$7="天地诛戮")</f>
        <v>0</v>
      </c>
      <c r="BL312" s="57">
        <f t="shared" ca="1" si="239"/>
        <v>17.232500000000002</v>
      </c>
      <c r="BM312" s="115" t="b">
        <f t="shared" ca="1" si="250"/>
        <v>1</v>
      </c>
      <c r="BN312" s="115" t="b">
        <f ca="1">AND(OR(C312="赤日轮1",C312="赤日轮2",C312="赤日轮3",C312="幽月轮1",C312="幽月轮2",C312="幽月轮3"),AB312=1,模拟模式!$L$7="明光恒照")</f>
        <v>0</v>
      </c>
      <c r="BO312" s="117">
        <f t="shared" ca="1" si="240"/>
        <v>29.077500000000001</v>
      </c>
      <c r="BP312" s="115">
        <f t="shared" ca="1" si="276"/>
        <v>6</v>
      </c>
      <c r="BQ312" s="115" t="b">
        <f>模拟模式!$K$10="2600·水"</f>
        <v>0</v>
      </c>
      <c r="BR312" s="117">
        <f t="shared" si="277"/>
        <v>0</v>
      </c>
      <c r="BS312" s="115">
        <f t="shared" si="278"/>
        <v>0</v>
      </c>
      <c r="BT312" s="115">
        <f t="shared" ca="1" si="279"/>
        <v>0</v>
      </c>
      <c r="BU312" s="115" t="b">
        <f ca="1">AND(模拟模式!$K$10="2300·雷",BT311=0,RAND()&lt;IF(C312="净世破魔击·月",5*0.05*2/3,IF(C312="净世破魔击·日",3*0.05*2/3,0.05*2*2/3)))</f>
        <v>0</v>
      </c>
      <c r="BV312" s="115">
        <f t="shared" ca="1" si="280"/>
        <v>0</v>
      </c>
      <c r="BW312" s="115">
        <f t="shared" ca="1" si="281"/>
        <v>108.96749999999925</v>
      </c>
      <c r="BX312" s="164" t="b">
        <f t="shared" ca="1" si="282"/>
        <v>0</v>
      </c>
      <c r="BY312" s="115">
        <f t="shared" ca="1" si="283"/>
        <v>0</v>
      </c>
      <c r="BZ312" s="115">
        <f>IF(OR(模拟模式!$P$16="10人团",模拟模式!$P$16="25人团"),IF(B312/30&gt;CA311,1,0),0)</f>
        <v>0</v>
      </c>
      <c r="CA312" s="115">
        <f t="shared" si="259"/>
        <v>0</v>
      </c>
      <c r="CB312" s="115">
        <f ca="1">IF(BZ312=1,IF(模拟模式!$P$16="10人团",15,0)+IF(模拟模式!$P$16="25人团",IF(RAND()&lt;0.6,15,0)),MAX(0,CB311-$F$4))</f>
        <v>0</v>
      </c>
      <c r="CC312" s="115" t="b">
        <f t="shared" ca="1" si="251"/>
        <v>0</v>
      </c>
      <c r="CD312" s="115">
        <f>IF(模拟模式!$Q$16="1个",IF(B312/40&gt;CE311,1,0),0)</f>
        <v>0</v>
      </c>
      <c r="CE312" s="115">
        <f t="shared" si="252"/>
        <v>0</v>
      </c>
      <c r="CF312" s="115">
        <f>IF(OR(CD312=1,模拟模式!$Q$16="2个"),20,MAX(0,CF311-$F$4))</f>
        <v>0</v>
      </c>
      <c r="CG312" s="115" t="b">
        <f t="shared" si="253"/>
        <v>0</v>
      </c>
      <c r="CH312" s="115">
        <f t="shared" ca="1" si="284"/>
        <v>4.1700000000000115</v>
      </c>
      <c r="CI312" s="115" t="b">
        <f t="shared" ca="1" si="285"/>
        <v>0</v>
      </c>
      <c r="CJ312" s="119">
        <f t="shared" ca="1" si="286"/>
        <v>0</v>
      </c>
      <c r="CK312" s="115">
        <f t="shared" ca="1" si="287"/>
        <v>0</v>
      </c>
      <c r="CL312" s="115" t="b">
        <f ca="1">AND(模拟模式!$S$7="驱夷逐法",OR(AND(C312="净世破魔击·月",E311&gt;59),AND(C312="净世破魔击·日",F311&gt;59)))</f>
        <v>1</v>
      </c>
      <c r="CM312" s="115" t="b">
        <f ca="1">OR(CL312,AND(C312="净世破魔击·日",CL311,RAND()&lt;模拟模式!$U$23))</f>
        <v>1</v>
      </c>
      <c r="CN312" s="115" t="b">
        <f ca="1">IF(模拟模式!$M$7="辉耀红尘",AND(C312="净世破魔击·月",CL312,CV312=0,E311&lt;80),AND(C312="净世破魔击·月",CL312,E311&lt;100))</f>
        <v>0</v>
      </c>
      <c r="CO312" s="115" t="b">
        <f t="shared" ca="1" si="260"/>
        <v>0</v>
      </c>
      <c r="CP312" s="115" t="b">
        <f ca="1">AND(模拟模式!$O$7="用晦而明",OR(C312="净世破魔击·日",C312="净世破魔击·月",C312="驱夜断愁"),AB312)</f>
        <v>1</v>
      </c>
      <c r="CQ312" s="115" t="b">
        <f ca="1">OR(CP312,AND(CP311,RAND()&lt;模拟模式!$U$23))</f>
        <v>1</v>
      </c>
      <c r="CR312" s="115" t="b">
        <f ca="1">AND(模拟模式!$S$7="日月齐光",OR(C312="幽月轮1",C312="幽月轮2",C312="幽月轮3",CR311),NOT(OR(C312="赤日轮1",C312="赤日轮2",C312="赤日轮3")))</f>
        <v>0</v>
      </c>
      <c r="CS312" s="115" t="b">
        <f ca="1">AND(模拟模式!$S$7="日月齐光",OR(C312="赤日轮1",C312="赤日轮2",C312="赤日轮3",CS311),NOT(OR(C312="幽月轮1",C312="幽月轮2",C312="幽月轮3")))</f>
        <v>0</v>
      </c>
      <c r="CT312" s="115">
        <f t="shared" ca="1" si="288"/>
        <v>13.39500000000001</v>
      </c>
      <c r="CU312" s="115" t="b">
        <f ca="1">AND(模拟模式!$K$10="阴阳往极",CT311=0,RAND()&lt;IF(C312="净世破魔击·月",0.0275*7/3,IF(C312="净世破魔击·日",0.0275*3/3,0.0275*2/3)))</f>
        <v>0</v>
      </c>
      <c r="CV312" s="115">
        <f t="shared" ca="1" si="289"/>
        <v>0</v>
      </c>
      <c r="CW312" s="115">
        <f t="shared" ca="1" si="261"/>
        <v>4.1549999999999994</v>
      </c>
      <c r="CX312" s="115">
        <f t="shared" ca="1" si="262"/>
        <v>2.3099999999999996</v>
      </c>
      <c r="CY312" s="115">
        <f ca="1">MAX(IF($C312="驱夜断愁",IF(模拟模式!$R$7="万念俱寂",6,45),CY311-$F$4),0)</f>
        <v>3.2324999999999995</v>
      </c>
      <c r="CZ312" s="115">
        <f t="shared" ca="1" si="263"/>
        <v>0</v>
      </c>
      <c r="DA312" s="115">
        <f ca="1">IF(模拟模式!$N$7="日月同辉",IF(DB311=2,0,MIN(6,IF(AND(OR(C312="赤日轮1",C312="赤日轮2",C312="赤日轮3",C312="幽月轮1",C312="幽月轮2",C312="幽月轮3"),AB312=1),DA311+1,DA311))),0)</f>
        <v>3</v>
      </c>
      <c r="DB312" s="115">
        <f t="shared" ca="1" si="264"/>
        <v>0</v>
      </c>
      <c r="DC312" s="115"/>
      <c r="DD312" s="115"/>
      <c r="DE312" s="115"/>
      <c r="DF312" s="115"/>
      <c r="DG312" s="115"/>
      <c r="DH312" s="115"/>
      <c r="DI312" s="115"/>
      <c r="DJ312" s="115"/>
      <c r="DK312" s="115"/>
      <c r="DL312" s="115"/>
      <c r="DM312" s="115"/>
    </row>
    <row r="313" spans="2:117" x14ac:dyDescent="0.2">
      <c r="B313" s="117">
        <f t="shared" si="265"/>
        <v>263.83500000000191</v>
      </c>
      <c r="C313" s="167" t="str">
        <f t="shared" ca="1" si="258"/>
        <v>净世破魔击·日</v>
      </c>
      <c r="D313" s="115">
        <f ca="1">IF(C313="赤日轮1",1,IF(C313="赤日轮2",2,IF(C313="赤日轮3",3,IF(C313="幽月轮1",4,IF(C313="幽月轮2",5,IF(C313="幽月轮3",6,IF(C313="烈日斩",7,IF(C313="银月斩",8,IF(C313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313="净世破魔击·月",17,IF(C313="驱夜断愁",18,0)))))))))))</f>
        <v>9</v>
      </c>
      <c r="E313" s="115">
        <f ca="1">IF(AND(CU313,OR(C313="幽月轮1",C313="幽月轮2",C313="幽月轮3",C313="银月斩",C313="驱夜断愁",C313="净世破魔击·月")),100,MIN(IF(OR(CN313,BE313),0,IF(OR($C313="赤日轮1",$C313="赤日轮2",$C313="赤日轮3"),E312+20+IF(模拟模式!$I$7="日月凌天",4,0)+IF(CR312,20,0),IF($C313="烈日斩",E312+40,IF($C313="驱夜断愁",IF(模拟模式!$R$7="万念俱寂",E312+20,E312+60),IF($C313="净世破魔击·月",IF(OR(DB312&gt;0,CV312&gt;0),100,IF(模拟模式!$M$7="辉耀红尘",E312+20,E312)),IF($C313="净世破魔击·日",E312-100,E312)))))),100))</f>
        <v>0</v>
      </c>
      <c r="F313" s="115">
        <f ca="1">IF(AND(CU313,OR(C313="赤日轮1",C313="赤日轮2",C313="赤日轮3",C313="烈日斩",C313="净世破魔击·日")),100,MIN(IF(CO313,0,IF(OR($C313="幽月轮1",$C313="幽月轮2",$C313="幽月轮3"),F312+20+IF(模拟模式!$I$7="日月凌天",4,0)+IF(CS312,20,0),IF($C313="银月斩",F312+40+IF(模拟模式!$X$12=1,5,0),IF($C313="驱夜断愁",IF(模拟模式!$R$7="万念俱寂",F312+20,F312+60),IF($C313="净世破魔击·月",IF(模拟模式!$M$7="辉耀红尘",F312-80,F312-100),IF(AND(C313="净世破魔击·日",OR(DB312&gt;0,CV312&gt;0)),100,F312)))))),100))</f>
        <v>20</v>
      </c>
      <c r="G313" s="117">
        <f ca="1">('模拟-全程加成'!$E$3+'模拟-全程加成'!$E$4+'模拟-全程加成'!$E$5+('模拟-全程加成'!$C$6-'模拟-全程加成'!$C$3)*系数!$B$9+BS313*23)*(1+'模拟-全程加成'!$F$4+'模拟-全程加成'!$F$5+BJ313*10%+BM313*20%+BP313*4%+CG313*30%)+$F$7*系数!$B$12</f>
        <v>20583.127400000001</v>
      </c>
      <c r="H313" s="45">
        <f ca="1">'模拟-全程加成'!$H$3+'模拟-全程加成'!$H$4+'模拟-全程加成'!$H$5+('模拟-全程加成'!$G$4+'模拟-全程加成'!$G$5+('模拟-全程加成'!$C$6-'模拟-全程加成'!$C$3)*系数!$B$13)/系数!$B$3+LOOKUP(D313,'模拟-单技能数据'!$A$2:$A$19,'模拟-单技能数据'!$K$2:$K$19)+BG313*10%+IF(BV313&gt;0,378,0)</f>
        <v>0.54185145527300216</v>
      </c>
      <c r="I313" s="45">
        <f ca="1">'模拟-全程加成'!$J$3+'模拟-全程加成'!$J$4+'模拟-全程加成'!$J$5+('模拟-全程加成'!$I$4+'模拟-全程加成'!$I$5)/系数!$B$4+LOOKUP(D313,'模拟-单技能数据'!$A$2:$A$19,'模拟-单技能数据'!$L$2:$L$19)+BG313*10%</f>
        <v>2.162482885499879</v>
      </c>
      <c r="J313" s="45">
        <f ca="1">(('模拟-全程加成'!$K$3+'模拟-全程加成'!$K$4+'模拟-全程加成'!$K$5+('模拟-全程加成'!$C$6-'模拟-全程加成'!$C$3)*系数!$B$10+IF(BV313&gt;0,882,0)+IF(BY313&gt;0,1831,0))*(1+'模拟-全程加成'!$L$4+'模拟-全程加成'!$L$5+CC313*20%))/系数!$B$5</f>
        <v>0.69723220422048726</v>
      </c>
      <c r="K313" s="119">
        <f ca="1">LOOKUP(D313,'模拟-单技能数据'!$A$2:$A$19,'模拟-单技能数据'!$J$2:$J$19)+IF(CM313,60%,0)+IF(DB312-DB313&gt;0,30%,0)+IF(OR(AND(OR(C313="赤日轮1",C313="赤日轮2",C313="赤日轮3"),CR313),AND(OR(C313="幽月轮1",C313="幽月轮2",C313="幽月轮3"),CS313)),35%,0)+CJ313</f>
        <v>0.8</v>
      </c>
      <c r="L313" s="119">
        <f ca="1">IF(AND(C313="烈日斩",模拟模式!$X$11=1),10%,0)+IF(AND(C313="驱夜断愁",AB313=1),30%,0)</f>
        <v>0</v>
      </c>
      <c r="M313" s="45">
        <f t="shared" ca="1" si="241"/>
        <v>0.54185145527300216</v>
      </c>
      <c r="N313" s="45">
        <f t="shared" ca="1" si="242"/>
        <v>0.40424854472699789</v>
      </c>
      <c r="O313" s="46">
        <f t="shared" ca="1" si="266"/>
        <v>0.80271576410952528</v>
      </c>
      <c r="P313" s="46" t="str">
        <f t="shared" ca="1" si="267"/>
        <v>命</v>
      </c>
      <c r="Q313" s="45">
        <f t="shared" ca="1" si="268"/>
        <v>1</v>
      </c>
      <c r="R313" s="117">
        <f ca="1">模拟模式!$E$20*(1-IF(模拟模式!$J$19="有",0.15,0))*(1-IF(模拟模式!$K$19="有",0.3,0)-IF(CQ313,0.5,0))</f>
        <v>843.02999999999975</v>
      </c>
      <c r="S313" s="45">
        <f ca="1">R313/(R313+(185*模拟模式!$E$22-16800)*4.08224)</f>
        <v>8.389626085980037E-2</v>
      </c>
      <c r="T313" s="45" t="str">
        <f ca="1">LOOKUP(D313,'模拟-单技能数据'!$A$2:$A$19,'模拟-单技能数据'!$H$2:$H$19)</f>
        <v>阳</v>
      </c>
      <c r="U313" s="119">
        <f t="shared" ca="1" si="243"/>
        <v>0.2</v>
      </c>
      <c r="V313" s="47">
        <f ca="1">(1+L313)*(LOOKUP(D313,'模拟-单技能数据'!$A$2:$A$19,'模拟-单技能数据'!$D$2:$D$19)+G313*LOOKUP(D313,'模拟-单技能数据'!$A$2:$A$19,'模拟-单技能数据'!$F$2:$F$19))*(1+J313)*(1+K313)*(1-S313)*(1+U313)*Q313*LOOKUP(D313,'模拟-单技能数据'!$A$2:$A$19,'模拟-单技能数据'!$I$2:$I$20)</f>
        <v>90597.625627626709</v>
      </c>
      <c r="W313" s="47">
        <f ca="1">LOOKUP(D313,'模拟-单技能数据'!$A$2:$A$19,'模拟-单技能数据'!$G$2:$G$19)*$I$10</f>
        <v>723.0212870940959</v>
      </c>
      <c r="X313" s="47">
        <f t="shared" ca="1" si="269"/>
        <v>41750.4634408126</v>
      </c>
      <c r="Y313" s="47">
        <f t="shared" ca="1" si="244"/>
        <v>133071.1103555334</v>
      </c>
      <c r="Z313" s="49">
        <f t="shared" ca="1" si="245"/>
        <v>30265923.36920809</v>
      </c>
      <c r="AA313" s="97">
        <f t="shared" ca="1" si="246"/>
        <v>114715.34621717312</v>
      </c>
      <c r="AB313" s="115">
        <f ca="1">IF(OR(C313="赤日轮1",C313="赤日轮2",C313="赤日轮3"),IF(RAND()&lt;模拟模式!$Y$17,1,0),IF(OR(C313="幽月轮1",C313="幽月轮2",C313="幽月轮3"),IF(RAND()&lt;模拟模式!$Y$18,1,0),IF(C313="烈日斩",IF(RAND()&lt;模拟模式!$Y$19,1,0),IF(C313="银月斩",IF(RAND()&lt;模拟模式!$Y$20,1,0),IF(C313="驱夜断愁",IF(RAND()&lt;模拟模式!$Y$21,1,0),IF(C313="净世破魔击·日",IF(RAND()&lt;模拟模式!$Y$22,1,0),IF(C313="净世破魔击·月",IF(RAND()&lt;模拟模式!$Y$23,1,0),0)))))))</f>
        <v>1</v>
      </c>
      <c r="AC313" s="115" t="b">
        <f t="shared" ca="1" si="234"/>
        <v>0</v>
      </c>
      <c r="AD313" s="115" t="b">
        <f t="shared" ca="1" si="254"/>
        <v>1</v>
      </c>
      <c r="AE313" s="115">
        <f t="shared" ca="1" si="255"/>
        <v>3</v>
      </c>
      <c r="AF313" s="47">
        <f ca="1">IF(AC313,('模拟-单技能数据'!$D$20+G313*'模拟-单技能数据'!$F$20)*(1+J313)*(1+'模拟-单技能数据'!$J$20)*(1+U313),0)</f>
        <v>0</v>
      </c>
      <c r="AG313" s="61">
        <f t="shared" ca="1" si="247"/>
        <v>0.64185145527300214</v>
      </c>
      <c r="AH313" s="61">
        <f t="shared" ca="1" si="248"/>
        <v>2.2624828854998791</v>
      </c>
      <c r="AI313" s="62">
        <f t="shared" ca="1" si="270"/>
        <v>0.63353285077042931</v>
      </c>
      <c r="AJ313" s="47">
        <f ca="1">IF(AD313,IF(AI313&lt;$F$10,0,IF(AI313&lt;$F$10+$F$11,0.25,IF(AI313&lt;$F$10+$F$11+AG313,AH313,1)))*IF(AF313&gt;0,AF313,IF(AF312&gt;0,AF312,IF(AF311&gt;0,AF311,IF(AF310&gt;0,AF310,IF(AF309&gt;0,AF309,IF(AF308&gt;0,AF308,IF(AF307&gt;0,AF307,IF(AF306&gt;0,AF306,IF(AF305&gt;0,AF305,IF(AF303&gt;0,AF303,IF(AF302&gt;0,AF302,IF(AF301&gt;0,AF301,0)))))))))))),0)*(1-$S313)*'模拟-单技能数据'!$I$20</f>
        <v>9218.9345386263849</v>
      </c>
      <c r="AK313" s="115" t="b">
        <f t="shared" ca="1" si="235"/>
        <v>1</v>
      </c>
      <c r="AL313" s="115" t="b">
        <f t="shared" ca="1" si="256"/>
        <v>1</v>
      </c>
      <c r="AM313" s="115">
        <f t="shared" ca="1" si="257"/>
        <v>5</v>
      </c>
      <c r="AN313" s="47">
        <f ca="1">IF(AK313,('模拟-单技能数据'!$D$21+G313*'模拟-单技能数据'!$F$21)*(1+J313)*(1+'模拟-单技能数据'!$J$21)*(1+U313),0)</f>
        <v>12136.56601728573</v>
      </c>
      <c r="AO313" s="61">
        <f ca="1">IF(AN313&gt;0,M313-'模拟-单技能数据'!$K$10,AO312)</f>
        <v>0.42185145527300216</v>
      </c>
      <c r="AP313" s="61">
        <f ca="1">IF(AN313&gt;0,I313-'模拟-单技能数据'!$L$10,AP312)</f>
        <v>2.162482885499879</v>
      </c>
      <c r="AQ313" s="63">
        <f t="shared" ca="1" si="271"/>
        <v>0.16312365805150064</v>
      </c>
      <c r="AR313" s="64">
        <f ca="1">IF(AL313,IF(AQ313&lt;$F$10,0,IF(AQ313&lt;$F$10+$F$11,0.25,IF(AQ313&lt;$F$10+$F$11+AO313,AP313,1)))*IF(AN313&gt;0,AN313,IF(AN312&gt;0,AN312,IF(AN311&gt;0,AN311,IF(AN310&gt;0,AN310,IF(AN309&gt;0,AN309,IF(AN308&gt;0,AN308,IF(AN307&gt;0,AN307,IF(AN306&gt;0,AN306,IF(AN305&gt;0,AN305,IF(AN303&gt;0,AN303,IF(AN302&gt;0,AN302,IF(AN301&gt;0,AN301,0)))))))))))),0)*(1-$S313)*'模拟-单技能数据'!$I$21</f>
        <v>24043.249177625272</v>
      </c>
      <c r="AS313" s="61">
        <f ca="1">IF(OR(C313="净世破魔击·日",C313="净世破魔击·月"),M313-'模拟-单技能数据'!$K$10,0)</f>
        <v>0.42185145527300216</v>
      </c>
      <c r="AT313" s="61">
        <f ca="1">IF(OR(C313="净世破魔击·日",C313="净世破魔击·月"),I313-'模拟-单技能数据'!$L$10,0)</f>
        <v>2.162482885499879</v>
      </c>
      <c r="AU313" s="62">
        <f t="shared" ca="1" si="272"/>
        <v>0.87455479046038209</v>
      </c>
      <c r="AV313" s="64">
        <f ca="1">IF(AS313&gt;0,('模拟-单技能数据'!$D$22+G313*'模拟-单技能数据'!$F$22)*(1+J313)*(1-S313)*IF(AU313&lt;$F$10,0,IF(AU313&lt;$F$10+$F$11,0.25,IF(AU313&lt;$F$10+$F$11+AS313,AT313,1)))*(1+U313),0)*'模拟-单技能数据'!$I$22</f>
        <v>8488.2797245609418</v>
      </c>
      <c r="AW313" s="108">
        <f t="shared" ca="1" si="273"/>
        <v>0</v>
      </c>
      <c r="AX313" s="108" t="b">
        <f ca="1">AND(模拟模式!$P$10="有",AW312=0,RAND()&lt;IF(C313="净世破魔击·月",0.1*8/3,IF(C313="净世破魔击·日",0.1*4/3,0.1*2/3)))</f>
        <v>0</v>
      </c>
      <c r="AY313" s="47">
        <f ca="1">IF(AX313,(18+G313*0.722)*(1+J313)*(1-S313)*(1+$I$4)*IF(P313="会",'模拟-全程加成'!$J$3+'模拟-全程加成'!$J$4+'模拟-全程加成'!$J$5+('模拟-全程加成'!$I$4+'模拟-全程加成'!$I$5)/系数!$B$4+BG313*10%,IF(P313="命",1,IF(P313="识",0.25,0))),0)</f>
        <v>0</v>
      </c>
      <c r="AZ313" s="108">
        <f t="shared" si="274"/>
        <v>0</v>
      </c>
      <c r="BA313" s="108" t="b">
        <f>AND(模拟模式!$Q$10="有",AZ312=0)</f>
        <v>0</v>
      </c>
      <c r="BB313" s="140">
        <f>IF(BA313,(0+G313*0.287)*(1+J313)*(1-S313)*(1+$I$4)*IF(P313="会",'模拟-全程加成'!$J$3+'模拟-全程加成'!$J$4+'模拟-全程加成'!$J$5+('模拟-全程加成'!$I$4+'模拟-全程加成'!$I$5)/系数!$B$4+BG313*10%,IF(P313="命",1,IF(P313="识",0.25,0))),0)</f>
        <v>0</v>
      </c>
      <c r="BC313" s="115" t="b">
        <f ca="1">AND(模拟模式!$R$7="伏明众生",E313=60,F313=20,DA313&lt;5,CZ312&lt;$F$4)</f>
        <v>0</v>
      </c>
      <c r="BD313" s="115">
        <f t="shared" ca="1" si="236"/>
        <v>0</v>
      </c>
      <c r="BE313" s="115" t="b">
        <f t="shared" ca="1" si="237"/>
        <v>0</v>
      </c>
      <c r="BF313" s="47">
        <f ca="1">IF(BC313,4*('模拟-单技能数据'!$D$24+G313*'模拟-单技能数据'!$F$24)*(1+J313)*(1+'模拟-单技能数据'!$J$24)*(1-S313)*(1+$I$3)*(('模拟-全程加成'!$J$3+'模拟-全程加成'!$J$4+'模拟-全程加成'!$J$5+('模拟-全程加成'!$I$4+'模拟-全程加成'!$I$5)/系数!$B$4+BG313*10%)*('模拟-全程加成'!$J$3+'模拟-全程加成'!$J$4+'模拟-全程加成'!$J$5+('模拟-全程加成'!$I$4+'模拟-全程加成'!$I$5)/系数!$B$4+BG313*10%)+(1-('模拟-全程加成'!$J$3+'模拟-全程加成'!$J$4+'模拟-全程加成'!$J$5+('模拟-全程加成'!$I$4+'模拟-全程加成'!$I$5)/系数!$B$4+BG313*10%)-$F$10-$F$11)+F299*0.25),0)*'模拟-单技能数据'!$I$24</f>
        <v>0</v>
      </c>
      <c r="BG313" s="115" t="b">
        <f ca="1">OR(AND(OR(C313="烈日斩",C313="银月斩"),模拟模式!$I$7="净身明礼"),AND(C313="净世破魔击·日",模拟模式!$J$7="洞若观火"),AND(C314="净世破魔击·月",模拟模式!$J$7="洞若观火"),AB313=1)</f>
        <v>1</v>
      </c>
      <c r="BH313" s="115" t="b">
        <f t="shared" ca="1" si="275"/>
        <v>0</v>
      </c>
      <c r="BI313" s="115">
        <f t="shared" ca="1" si="238"/>
        <v>0</v>
      </c>
      <c r="BJ313" s="115" t="b">
        <f t="shared" ca="1" si="249"/>
        <v>0</v>
      </c>
      <c r="BK313" s="115" t="b">
        <f ca="1">AND(C313="驱夜断愁",模拟模式!$P$7="天地诛戮")</f>
        <v>0</v>
      </c>
      <c r="BL313" s="57">
        <f t="shared" ca="1" si="239"/>
        <v>16.310000000000002</v>
      </c>
      <c r="BM313" s="115" t="b">
        <f t="shared" ca="1" si="250"/>
        <v>1</v>
      </c>
      <c r="BN313" s="115" t="b">
        <f ca="1">AND(OR(C313="赤日轮1",C313="赤日轮2",C313="赤日轮3",C313="幽月轮1",C313="幽月轮2",C313="幽月轮3"),AB313=1,模拟模式!$L$7="明光恒照")</f>
        <v>0</v>
      </c>
      <c r="BO313" s="117">
        <f t="shared" ca="1" si="240"/>
        <v>28.155000000000001</v>
      </c>
      <c r="BP313" s="115">
        <f t="shared" ca="1" si="276"/>
        <v>6</v>
      </c>
      <c r="BQ313" s="115" t="b">
        <f>模拟模式!$K$10="2600·水"</f>
        <v>0</v>
      </c>
      <c r="BR313" s="117">
        <f t="shared" si="277"/>
        <v>0</v>
      </c>
      <c r="BS313" s="115">
        <f t="shared" si="278"/>
        <v>0</v>
      </c>
      <c r="BT313" s="115">
        <f t="shared" ca="1" si="279"/>
        <v>0</v>
      </c>
      <c r="BU313" s="115" t="b">
        <f ca="1">AND(模拟模式!$K$10="2300·雷",BT312=0,RAND()&lt;IF(C313="净世破魔击·月",5*0.05*2/3,IF(C313="净世破魔击·日",3*0.05*2/3,0.05*2*2/3)))</f>
        <v>0</v>
      </c>
      <c r="BV313" s="115">
        <f t="shared" ca="1" si="280"/>
        <v>0</v>
      </c>
      <c r="BW313" s="115">
        <f t="shared" ca="1" si="281"/>
        <v>108.04499999999925</v>
      </c>
      <c r="BX313" s="164" t="b">
        <f t="shared" ca="1" si="282"/>
        <v>0</v>
      </c>
      <c r="BY313" s="115">
        <f t="shared" ca="1" si="283"/>
        <v>0</v>
      </c>
      <c r="BZ313" s="115">
        <f>IF(OR(模拟模式!$P$16="10人团",模拟模式!$P$16="25人团"),IF(B313/30&gt;CA312,1,0),0)</f>
        <v>0</v>
      </c>
      <c r="CA313" s="115">
        <f t="shared" si="259"/>
        <v>0</v>
      </c>
      <c r="CB313" s="115">
        <f ca="1">IF(BZ313=1,IF(模拟模式!$P$16="10人团",15,0)+IF(模拟模式!$P$16="25人团",IF(RAND()&lt;0.6,15,0)),MAX(0,CB312-$F$4))</f>
        <v>0</v>
      </c>
      <c r="CC313" s="115" t="b">
        <f t="shared" ca="1" si="251"/>
        <v>0</v>
      </c>
      <c r="CD313" s="115">
        <f>IF(模拟模式!$Q$16="1个",IF(B313/40&gt;CE312,1,0),0)</f>
        <v>0</v>
      </c>
      <c r="CE313" s="115">
        <f t="shared" si="252"/>
        <v>0</v>
      </c>
      <c r="CF313" s="115">
        <f>IF(OR(CD313=1,模拟模式!$Q$16="2个"),20,MAX(0,CF312-$F$4))</f>
        <v>0</v>
      </c>
      <c r="CG313" s="115" t="b">
        <f t="shared" si="253"/>
        <v>0</v>
      </c>
      <c r="CH313" s="115">
        <f t="shared" ca="1" si="284"/>
        <v>3.2475000000000116</v>
      </c>
      <c r="CI313" s="115" t="b">
        <f t="shared" ca="1" si="285"/>
        <v>0</v>
      </c>
      <c r="CJ313" s="119">
        <f t="shared" ca="1" si="286"/>
        <v>0</v>
      </c>
      <c r="CK313" s="115">
        <f t="shared" ca="1" si="287"/>
        <v>0</v>
      </c>
      <c r="CL313" s="115" t="b">
        <f ca="1">AND(模拟模式!$S$7="驱夷逐法",OR(AND(C313="净世破魔击·月",E312&gt;59),AND(C313="净世破魔击·日",F312&gt;59)))</f>
        <v>0</v>
      </c>
      <c r="CM313" s="115" t="b">
        <f ca="1">OR(CL313,AND(C313="净世破魔击·日",CL312,RAND()&lt;模拟模式!$U$23))</f>
        <v>1</v>
      </c>
      <c r="CN313" s="115" t="b">
        <f ca="1">IF(模拟模式!$M$7="辉耀红尘",AND(C313="净世破魔击·月",CL313,CV313=0,E312&lt;80),AND(C313="净世破魔击·月",CL313,E312&lt;100))</f>
        <v>0</v>
      </c>
      <c r="CO313" s="115" t="b">
        <f t="shared" ca="1" si="260"/>
        <v>0</v>
      </c>
      <c r="CP313" s="115" t="b">
        <f ca="1">AND(模拟模式!$O$7="用晦而明",OR(C313="净世破魔击·日",C313="净世破魔击·月",C313="驱夜断愁"),AB313)</f>
        <v>1</v>
      </c>
      <c r="CQ313" s="115" t="b">
        <f ca="1">OR(CP313,AND(CP312,RAND()&lt;模拟模式!$U$23))</f>
        <v>1</v>
      </c>
      <c r="CR313" s="115" t="b">
        <f ca="1">AND(模拟模式!$S$7="日月齐光",OR(C313="幽月轮1",C313="幽月轮2",C313="幽月轮3",CR312),NOT(OR(C313="赤日轮1",C313="赤日轮2",C313="赤日轮3")))</f>
        <v>0</v>
      </c>
      <c r="CS313" s="115" t="b">
        <f ca="1">AND(模拟模式!$S$7="日月齐光",OR(C313="赤日轮1",C313="赤日轮2",C313="赤日轮3",CS312),NOT(OR(C313="幽月轮1",C313="幽月轮2",C313="幽月轮3")))</f>
        <v>0</v>
      </c>
      <c r="CT313" s="115">
        <f t="shared" ca="1" si="288"/>
        <v>12.472500000000011</v>
      </c>
      <c r="CU313" s="115" t="b">
        <f ca="1">AND(模拟模式!$K$10="阴阳往极",CT312=0,RAND()&lt;IF(C313="净世破魔击·月",0.0275*7/3,IF(C313="净世破魔击·日",0.0275*3/3,0.0275*2/3)))</f>
        <v>0</v>
      </c>
      <c r="CV313" s="115">
        <f t="shared" ca="1" si="289"/>
        <v>0</v>
      </c>
      <c r="CW313" s="115">
        <f t="shared" ca="1" si="261"/>
        <v>3.2324999999999995</v>
      </c>
      <c r="CX313" s="115">
        <f t="shared" ca="1" si="262"/>
        <v>1.3874999999999997</v>
      </c>
      <c r="CY313" s="115">
        <f ca="1">MAX(IF($C313="驱夜断愁",IF(模拟模式!$R$7="万念俱寂",6,45),CY312-$F$4),0)</f>
        <v>2.3099999999999996</v>
      </c>
      <c r="CZ313" s="115">
        <f t="shared" ca="1" si="263"/>
        <v>0</v>
      </c>
      <c r="DA313" s="115">
        <f ca="1">IF(模拟模式!$N$7="日月同辉",IF(DB312=2,0,MIN(6,IF(AND(OR(C313="赤日轮1",C313="赤日轮2",C313="赤日轮3",C313="幽月轮1",C313="幽月轮2",C313="幽月轮3"),AB313=1),DA312+1,DA312))),0)</f>
        <v>3</v>
      </c>
      <c r="DB313" s="115">
        <f t="shared" ca="1" si="264"/>
        <v>0</v>
      </c>
      <c r="DC313" s="115"/>
      <c r="DD313" s="115"/>
      <c r="DE313" s="115"/>
      <c r="DF313" s="115"/>
      <c r="DG313" s="115"/>
      <c r="DH313" s="115"/>
      <c r="DI313" s="115"/>
      <c r="DJ313" s="115"/>
      <c r="DK313" s="115"/>
      <c r="DL313" s="115"/>
      <c r="DM313" s="115"/>
    </row>
    <row r="314" spans="2:117" x14ac:dyDescent="0.2">
      <c r="B314" s="117">
        <f t="shared" si="265"/>
        <v>264.75750000000193</v>
      </c>
      <c r="C314" s="167" t="str">
        <f t="shared" ca="1" si="258"/>
        <v>赤日轮1</v>
      </c>
      <c r="D314" s="115">
        <f ca="1">IF(C314="赤日轮1",1,IF(C314="赤日轮2",2,IF(C314="赤日轮3",3,IF(C314="幽月轮1",4,IF(C314="幽月轮2",5,IF(C314="幽月轮3",6,IF(C314="烈日斩",7,IF(C314="银月斩",8,IF(C314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314="净世破魔击·月",17,IF(C314="驱夜断愁",18,0)))))))))))</f>
        <v>1</v>
      </c>
      <c r="E314" s="115">
        <f ca="1">IF(AND(CU314,OR(C314="幽月轮1",C314="幽月轮2",C314="幽月轮3",C314="银月斩",C314="驱夜断愁",C314="净世破魔击·月")),100,MIN(IF(OR(CN314,BE314),0,IF(OR($C314="赤日轮1",$C314="赤日轮2",$C314="赤日轮3"),E313+20+IF(模拟模式!$I$7="日月凌天",4,0)+IF(CR313,20,0),IF($C314="烈日斩",E313+40,IF($C314="驱夜断愁",IF(模拟模式!$R$7="万念俱寂",E313+20,E313+60),IF($C314="净世破魔击·月",IF(OR(DB313&gt;0,CV313&gt;0),100,IF(模拟模式!$M$7="辉耀红尘",E313+20,E313)),IF($C314="净世破魔击·日",E313-100,E313)))))),100))</f>
        <v>20</v>
      </c>
      <c r="F314" s="115">
        <f ca="1">IF(AND(CU314,OR(C314="赤日轮1",C314="赤日轮2",C314="赤日轮3",C314="烈日斩",C314="净世破魔击·日")),100,MIN(IF(CO314,0,IF(OR($C314="幽月轮1",$C314="幽月轮2",$C314="幽月轮3"),F313+20+IF(模拟模式!$I$7="日月凌天",4,0)+IF(CS313,20,0),IF($C314="银月斩",F313+40+IF(模拟模式!$X$12=1,5,0),IF($C314="驱夜断愁",IF(模拟模式!$R$7="万念俱寂",F313+20,F313+60),IF($C314="净世破魔击·月",IF(模拟模式!$M$7="辉耀红尘",F313-80,F313-100),IF(AND(C314="净世破魔击·日",OR(DB313&gt;0,CV313&gt;0)),100,F313)))))),100))</f>
        <v>20</v>
      </c>
      <c r="G314" s="117">
        <f ca="1">('模拟-全程加成'!$E$3+'模拟-全程加成'!$E$4+'模拟-全程加成'!$E$5+('模拟-全程加成'!$C$6-'模拟-全程加成'!$C$3)*系数!$B$9+BS314*23)*(1+'模拟-全程加成'!$F$4+'模拟-全程加成'!$F$5+BJ314*10%+BM314*20%+BP314*4%+CG314*30%)+$F$7*系数!$B$12</f>
        <v>20583.127400000001</v>
      </c>
      <c r="H314" s="45">
        <f ca="1">'模拟-全程加成'!$H$3+'模拟-全程加成'!$H$4+'模拟-全程加成'!$H$5+('模拟-全程加成'!$G$4+'模拟-全程加成'!$G$5+('模拟-全程加成'!$C$6-'模拟-全程加成'!$C$3)*系数!$B$13)/系数!$B$3+LOOKUP(D314,'模拟-单技能数据'!$A$2:$A$19,'模拟-单技能数据'!$K$2:$K$19)+BG314*10%+IF(BV314&gt;0,378,0)</f>
        <v>0.4618514552730022</v>
      </c>
      <c r="I314" s="45">
        <f ca="1">'模拟-全程加成'!$J$3+'模拟-全程加成'!$J$4+'模拟-全程加成'!$J$5+('模拟-全程加成'!$I$4+'模拟-全程加成'!$I$5)/系数!$B$4+LOOKUP(D314,'模拟-单技能数据'!$A$2:$A$19,'模拟-单技能数据'!$L$2:$L$19)+BG314*10%</f>
        <v>2.162482885499879</v>
      </c>
      <c r="J314" s="45">
        <f ca="1">(('模拟-全程加成'!$K$3+'模拟-全程加成'!$K$4+'模拟-全程加成'!$K$5+('模拟-全程加成'!$C$6-'模拟-全程加成'!$C$3)*系数!$B$10+IF(BV314&gt;0,882,0)+IF(BY314&gt;0,1831,0))*(1+'模拟-全程加成'!$L$4+'模拟-全程加成'!$L$5+CC314*20%))/系数!$B$5</f>
        <v>0.69723220422048726</v>
      </c>
      <c r="K314" s="119">
        <f ca="1">LOOKUP(D314,'模拟-单技能数据'!$A$2:$A$19,'模拟-单技能数据'!$J$2:$J$19)+IF(CM314,60%,0)+IF(DB313-DB314&gt;0,30%,0)+IF(OR(AND(OR(C314="赤日轮1",C314="赤日轮2",C314="赤日轮3"),CR314),AND(OR(C314="幽月轮1",C314="幽月轮2",C314="幽月轮3"),CS314)),35%,0)+CJ314</f>
        <v>0.12</v>
      </c>
      <c r="L314" s="119">
        <f ca="1">IF(AND(C314="烈日斩",模拟模式!$X$11=1),10%,0)+IF(AND(C314="驱夜断愁",AB314=1),30%,0)</f>
        <v>0</v>
      </c>
      <c r="M314" s="45">
        <f t="shared" ca="1" si="241"/>
        <v>0.4618514552730022</v>
      </c>
      <c r="N314" s="45">
        <f t="shared" ca="1" si="242"/>
        <v>0.48424854472699785</v>
      </c>
      <c r="O314" s="46">
        <f t="shared" ca="1" si="266"/>
        <v>0.83054001854951287</v>
      </c>
      <c r="P314" s="46" t="str">
        <f t="shared" ca="1" si="267"/>
        <v>命</v>
      </c>
      <c r="Q314" s="45">
        <f t="shared" ca="1" si="268"/>
        <v>1</v>
      </c>
      <c r="R314" s="117">
        <f ca="1">模拟模式!$E$20*(1-IF(模拟模式!$J$19="有",0.15,0))*(1-IF(模拟模式!$K$19="有",0.3,0)-IF(CQ314,0.5,0))</f>
        <v>843.02999999999975</v>
      </c>
      <c r="S314" s="45">
        <f ca="1">R314/(R314+(185*模拟模式!$E$22-16800)*4.08224)</f>
        <v>8.389626085980037E-2</v>
      </c>
      <c r="T314" s="45" t="str">
        <f ca="1">LOOKUP(D314,'模拟-单技能数据'!$A$2:$A$19,'模拟-单技能数据'!$H$2:$H$19)</f>
        <v>阳</v>
      </c>
      <c r="U314" s="119">
        <f t="shared" ca="1" si="243"/>
        <v>0.2</v>
      </c>
      <c r="V314" s="47">
        <f ca="1">(1+L314)*(LOOKUP(D314,'模拟-单技能数据'!$A$2:$A$19,'模拟-单技能数据'!$D$2:$D$19)+G314*LOOKUP(D314,'模拟-单技能数据'!$A$2:$A$19,'模拟-单技能数据'!$F$2:$F$19))*(1+J314)*(1+K314)*(1-S314)*(1+U314)*Q314*LOOKUP(D314,'模拟-单技能数据'!$A$2:$A$19,'模拟-单技能数据'!$I$2:$I$20)</f>
        <v>25194.44799269021</v>
      </c>
      <c r="W314" s="47">
        <f ca="1">LOOKUP(D314,'模拟-单技能数据'!$A$2:$A$19,'模拟-单技能数据'!$G$2:$G$19)*$I$10</f>
        <v>361.51064354704795</v>
      </c>
      <c r="X314" s="47">
        <f t="shared" ca="1" si="269"/>
        <v>9919.8004040913456</v>
      </c>
      <c r="Y314" s="47">
        <f t="shared" ca="1" si="244"/>
        <v>35475.759040328601</v>
      </c>
      <c r="Z314" s="49">
        <f t="shared" ca="1" si="245"/>
        <v>30301399.12824842</v>
      </c>
      <c r="AA314" s="97">
        <f t="shared" ca="1" si="246"/>
        <v>114449.63458352719</v>
      </c>
      <c r="AB314" s="115">
        <f ca="1">IF(OR(C314="赤日轮1",C314="赤日轮2",C314="赤日轮3"),IF(RAND()&lt;模拟模式!$Y$17,1,0),IF(OR(C314="幽月轮1",C314="幽月轮2",C314="幽月轮3"),IF(RAND()&lt;模拟模式!$Y$18,1,0),IF(C314="烈日斩",IF(RAND()&lt;模拟模式!$Y$19,1,0),IF(C314="银月斩",IF(RAND()&lt;模拟模式!$Y$20,1,0),IF(C314="驱夜断愁",IF(RAND()&lt;模拟模式!$Y$21,1,0),IF(C314="净世破魔击·日",IF(RAND()&lt;模拟模式!$Y$22,1,0),IF(C314="净世破魔击·月",IF(RAND()&lt;模拟模式!$Y$23,1,0),0)))))))</f>
        <v>1</v>
      </c>
      <c r="AC314" s="115" t="b">
        <f t="shared" ca="1" si="234"/>
        <v>0</v>
      </c>
      <c r="AD314" s="115" t="b">
        <f t="shared" ca="1" si="254"/>
        <v>0</v>
      </c>
      <c r="AE314" s="115">
        <f t="shared" ca="1" si="255"/>
        <v>3</v>
      </c>
      <c r="AF314" s="47">
        <f ca="1">IF(AC314,('模拟-单技能数据'!$D$20+G314*'模拟-单技能数据'!$F$20)*(1+J314)*(1+'模拟-单技能数据'!$J$20)*(1+U314),0)</f>
        <v>0</v>
      </c>
      <c r="AG314" s="61">
        <f t="shared" ca="1" si="247"/>
        <v>0.64185145527300214</v>
      </c>
      <c r="AH314" s="61">
        <f t="shared" ca="1" si="248"/>
        <v>2.2624828854998791</v>
      </c>
      <c r="AI314" s="62">
        <f t="shared" ca="1" si="270"/>
        <v>0.34670531838157981</v>
      </c>
      <c r="AJ314" s="47">
        <f ca="1">IF(AD314,IF(AI314&lt;$F$10,0,IF(AI314&lt;$F$10+$F$11,0.25,IF(AI314&lt;$F$10+$F$11+AG314,AH314,1)))*IF(AF314&gt;0,AF314,IF(AF313&gt;0,AF313,IF(AF312&gt;0,AF312,IF(AF311&gt;0,AF311,IF(AF310&gt;0,AF310,IF(AF309&gt;0,AF309,IF(AF308&gt;0,AF308,IF(AF307&gt;0,AF307,IF(AF306&gt;0,AF306,IF(AF304&gt;0,AF304,IF(AF303&gt;0,AF303,IF(AF302&gt;0,AF302,0)))))))))))),0)*(1-$S314)*'模拟-单技能数据'!$I$20</f>
        <v>0</v>
      </c>
      <c r="AK314" s="115" t="b">
        <f t="shared" ca="1" si="235"/>
        <v>0</v>
      </c>
      <c r="AL314" s="115" t="b">
        <f t="shared" ca="1" si="256"/>
        <v>0</v>
      </c>
      <c r="AM314" s="115">
        <f t="shared" ca="1" si="257"/>
        <v>5</v>
      </c>
      <c r="AN314" s="47">
        <f ca="1">IF(AK314,('模拟-单技能数据'!$D$21+G314*'模拟-单技能数据'!$F$21)*(1+J314)*(1+'模拟-单技能数据'!$J$21)*(1+U314),0)</f>
        <v>0</v>
      </c>
      <c r="AO314" s="61">
        <f ca="1">IF(AN314&gt;0,M314-'模拟-单技能数据'!$K$10,AO313)</f>
        <v>0.42185145527300216</v>
      </c>
      <c r="AP314" s="61">
        <f ca="1">IF(AN314&gt;0,I314-'模拟-单技能数据'!$L$10,AP313)</f>
        <v>2.162482885499879</v>
      </c>
      <c r="AQ314" s="63">
        <f t="shared" ca="1" si="271"/>
        <v>0.88427093276825031</v>
      </c>
      <c r="AR314" s="64">
        <f ca="1">IF(AL314,IF(AQ314&lt;$F$10,0,IF(AQ314&lt;$F$10+$F$11,0.25,IF(AQ314&lt;$F$10+$F$11+AO314,AP314,1)))*IF(AN314&gt;0,AN314,IF(AN313&gt;0,AN313,IF(AN312&gt;0,AN312,IF(AN311&gt;0,AN311,IF(AN310&gt;0,AN310,IF(AN309&gt;0,AN309,IF(AN308&gt;0,AN308,IF(AN307&gt;0,AN307,IF(AN306&gt;0,AN306,IF(AN304&gt;0,AN304,IF(AN303&gt;0,AN303,IF(AN302&gt;0,AN302,0)))))))))))),0)*(1-$S314)*'模拟-单技能数据'!$I$21</f>
        <v>0</v>
      </c>
      <c r="AS314" s="61">
        <f ca="1">IF(OR(C314="净世破魔击·日",C314="净世破魔击·月"),M314-'模拟-单技能数据'!$K$10,0)</f>
        <v>0</v>
      </c>
      <c r="AT314" s="61">
        <f ca="1">IF(OR(C314="净世破魔击·日",C314="净世破魔击·月"),I314-'模拟-单技能数据'!$L$10,0)</f>
        <v>0</v>
      </c>
      <c r="AU314" s="62">
        <f t="shared" ca="1" si="272"/>
        <v>0.91263447761638061</v>
      </c>
      <c r="AV314" s="64">
        <f ca="1">IF(AS314&gt;0,('模拟-单技能数据'!$D$22+G314*'模拟-单技能数据'!$F$22)*(1+J314)*(1-S314)*IF(AU314&lt;$F$10,0,IF(AU314&lt;$F$10+$F$11,0.25,IF(AU314&lt;$F$10+$F$11+AS314,AT314,1)))*(1+U314),0)*'模拟-单技能数据'!$I$22</f>
        <v>0</v>
      </c>
      <c r="AW314" s="108">
        <f t="shared" ca="1" si="273"/>
        <v>0</v>
      </c>
      <c r="AX314" s="108" t="b">
        <f ca="1">AND(模拟模式!$P$10="有",AW313=0,RAND()&lt;IF(C314="净世破魔击·月",0.1*8/3,IF(C314="净世破魔击·日",0.1*4/3,0.1*2/3)))</f>
        <v>0</v>
      </c>
      <c r="AY314" s="47">
        <f ca="1">IF(AX314,(18+G314*0.722)*(1+J314)*(1-S314)*(1+$I$4)*IF(P314="会",'模拟-全程加成'!$J$3+'模拟-全程加成'!$J$4+'模拟-全程加成'!$J$5+('模拟-全程加成'!$I$4+'模拟-全程加成'!$I$5)/系数!$B$4+BG314*10%,IF(P314="命",1,IF(P314="识",0.25,0))),0)</f>
        <v>0</v>
      </c>
      <c r="AZ314" s="108">
        <f t="shared" si="274"/>
        <v>19.077500000000001</v>
      </c>
      <c r="BA314" s="108" t="b">
        <f>AND(模拟模式!$Q$10="有",AZ313=0)</f>
        <v>1</v>
      </c>
      <c r="BB314" s="140">
        <f ca="1">IF(BA314,(0+G314*0.287)*(1+J314)*(1-S314)*(1+$I$4)*IF(P314="会",'模拟-全程加成'!$J$3+'模拟-全程加成'!$J$4+'模拟-全程加成'!$J$5+('模拟-全程加成'!$I$4+'模拟-全程加成'!$I$5)/系数!$B$4+BG314*10%,IF(P314="命",1,IF(P314="识",0.25,0))),0)</f>
        <v>9919.8004040913456</v>
      </c>
      <c r="BC314" s="115" t="b">
        <f ca="1">AND(模拟模式!$R$7="伏明众生",E314=60,F314=20,DA314&lt;5,CZ313&lt;$F$4)</f>
        <v>0</v>
      </c>
      <c r="BD314" s="115">
        <f t="shared" ca="1" si="236"/>
        <v>0</v>
      </c>
      <c r="BE314" s="115" t="b">
        <f t="shared" ca="1" si="237"/>
        <v>0</v>
      </c>
      <c r="BF314" s="47">
        <f ca="1">IF(BC314,4*('模拟-单技能数据'!$D$24+G314*'模拟-单技能数据'!$F$24)*(1+J314)*(1+'模拟-单技能数据'!$J$24)*(1-S314)*(1+$I$3)*(('模拟-全程加成'!$J$3+'模拟-全程加成'!$J$4+'模拟-全程加成'!$J$5+('模拟-全程加成'!$I$4+'模拟-全程加成'!$I$5)/系数!$B$4+BG314*10%)*('模拟-全程加成'!$J$3+'模拟-全程加成'!$J$4+'模拟-全程加成'!$J$5+('模拟-全程加成'!$I$4+'模拟-全程加成'!$I$5)/系数!$B$4+BG314*10%)+(1-('模拟-全程加成'!$J$3+'模拟-全程加成'!$J$4+'模拟-全程加成'!$J$5+('模拟-全程加成'!$I$4+'模拟-全程加成'!$I$5)/系数!$B$4+BG314*10%)-$F$10-$F$11)+F300*0.25),0)*'模拟-单技能数据'!$I$24</f>
        <v>0</v>
      </c>
      <c r="BG314" s="115" t="b">
        <f ca="1">OR(AND(OR(C314="烈日斩",C314="银月斩"),模拟模式!$I$7="净身明礼"),AND(C314="净世破魔击·日",模拟模式!$J$7="洞若观火"),AND(C315="净世破魔击·月",模拟模式!$J$7="洞若观火"),AB314=1)</f>
        <v>1</v>
      </c>
      <c r="BH314" s="115" t="b">
        <f t="shared" ca="1" si="275"/>
        <v>0</v>
      </c>
      <c r="BI314" s="115">
        <f t="shared" ca="1" si="238"/>
        <v>0</v>
      </c>
      <c r="BJ314" s="115" t="b">
        <f t="shared" ca="1" si="249"/>
        <v>0</v>
      </c>
      <c r="BK314" s="115" t="b">
        <f ca="1">AND(C314="驱夜断愁",模拟模式!$P$7="天地诛戮")</f>
        <v>0</v>
      </c>
      <c r="BL314" s="57">
        <f t="shared" ca="1" si="239"/>
        <v>15.387500000000003</v>
      </c>
      <c r="BM314" s="115" t="b">
        <f t="shared" ca="1" si="250"/>
        <v>1</v>
      </c>
      <c r="BN314" s="115" t="b">
        <f ca="1">AND(OR(C314="赤日轮1",C314="赤日轮2",C314="赤日轮3",C314="幽月轮1",C314="幽月轮2",C314="幽月轮3"),AB314=1,模拟模式!$L$7="明光恒照")</f>
        <v>1</v>
      </c>
      <c r="BO314" s="117">
        <f t="shared" ca="1" si="240"/>
        <v>30</v>
      </c>
      <c r="BP314" s="115">
        <f t="shared" ca="1" si="276"/>
        <v>6</v>
      </c>
      <c r="BQ314" s="115" t="b">
        <f>模拟模式!$K$10="2600·水"</f>
        <v>0</v>
      </c>
      <c r="BR314" s="117">
        <f t="shared" si="277"/>
        <v>0</v>
      </c>
      <c r="BS314" s="115">
        <f t="shared" si="278"/>
        <v>0</v>
      </c>
      <c r="BT314" s="115">
        <f t="shared" ca="1" si="279"/>
        <v>0</v>
      </c>
      <c r="BU314" s="115" t="b">
        <f ca="1">AND(模拟模式!$K$10="2300·雷",BT313=0,RAND()&lt;IF(C314="净世破魔击·月",5*0.05*2/3,IF(C314="净世破魔击·日",3*0.05*2/3,0.05*2*2/3)))</f>
        <v>0</v>
      </c>
      <c r="BV314" s="115">
        <f t="shared" ca="1" si="280"/>
        <v>0</v>
      </c>
      <c r="BW314" s="115">
        <f t="shared" ca="1" si="281"/>
        <v>107.12249999999925</v>
      </c>
      <c r="BX314" s="164" t="b">
        <f t="shared" ca="1" si="282"/>
        <v>0</v>
      </c>
      <c r="BY314" s="115">
        <f t="shared" ca="1" si="283"/>
        <v>0</v>
      </c>
      <c r="BZ314" s="115">
        <f>IF(OR(模拟模式!$P$16="10人团",模拟模式!$P$16="25人团"),IF(B314/30&gt;CA313,1,0),0)</f>
        <v>0</v>
      </c>
      <c r="CA314" s="115">
        <f t="shared" si="259"/>
        <v>0</v>
      </c>
      <c r="CB314" s="115">
        <f ca="1">IF(BZ314=1,IF(模拟模式!$P$16="10人团",15,0)+IF(模拟模式!$P$16="25人团",IF(RAND()&lt;0.6,15,0)),MAX(0,CB313-$F$4))</f>
        <v>0</v>
      </c>
      <c r="CC314" s="115" t="b">
        <f t="shared" ca="1" si="251"/>
        <v>0</v>
      </c>
      <c r="CD314" s="115">
        <f>IF(模拟模式!$Q$16="1个",IF(B314/40&gt;CE313,1,0),0)</f>
        <v>0</v>
      </c>
      <c r="CE314" s="115">
        <f t="shared" si="252"/>
        <v>0</v>
      </c>
      <c r="CF314" s="115">
        <f>IF(OR(CD314=1,模拟模式!$Q$16="2个"),20,MAX(0,CF313-$F$4))</f>
        <v>0</v>
      </c>
      <c r="CG314" s="115" t="b">
        <f t="shared" si="253"/>
        <v>0</v>
      </c>
      <c r="CH314" s="115">
        <f t="shared" ca="1" si="284"/>
        <v>2.3250000000000117</v>
      </c>
      <c r="CI314" s="115" t="b">
        <f t="shared" ca="1" si="285"/>
        <v>0</v>
      </c>
      <c r="CJ314" s="119">
        <f t="shared" ca="1" si="286"/>
        <v>0</v>
      </c>
      <c r="CK314" s="115">
        <f t="shared" ca="1" si="287"/>
        <v>0</v>
      </c>
      <c r="CL314" s="115" t="b">
        <f ca="1">AND(模拟模式!$S$7="驱夷逐法",OR(AND(C314="净世破魔击·月",E313&gt;59),AND(C314="净世破魔击·日",F313&gt;59)))</f>
        <v>0</v>
      </c>
      <c r="CM314" s="115" t="b">
        <f ca="1">OR(CL314,AND(C314="净世破魔击·日",CL313,RAND()&lt;模拟模式!$U$23))</f>
        <v>0</v>
      </c>
      <c r="CN314" s="115" t="b">
        <f ca="1">IF(模拟模式!$M$7="辉耀红尘",AND(C314="净世破魔击·月",CL314,CV314=0,E313&lt;80),AND(C314="净世破魔击·月",CL314,E313&lt;100))</f>
        <v>0</v>
      </c>
      <c r="CO314" s="115" t="b">
        <f t="shared" ca="1" si="260"/>
        <v>0</v>
      </c>
      <c r="CP314" s="115" t="b">
        <f ca="1">AND(模拟模式!$O$7="用晦而明",OR(C314="净世破魔击·日",C314="净世破魔击·月",C314="驱夜断愁"),AB314)</f>
        <v>0</v>
      </c>
      <c r="CQ314" s="115" t="b">
        <f ca="1">OR(CP314,AND(CP313,RAND()&lt;模拟模式!$U$23))</f>
        <v>1</v>
      </c>
      <c r="CR314" s="115" t="b">
        <f ca="1">AND(模拟模式!$S$7="日月齐光",OR(C314="幽月轮1",C314="幽月轮2",C314="幽月轮3",CR313),NOT(OR(C314="赤日轮1",C314="赤日轮2",C314="赤日轮3")))</f>
        <v>0</v>
      </c>
      <c r="CS314" s="115" t="b">
        <f ca="1">AND(模拟模式!$S$7="日月齐光",OR(C314="赤日轮1",C314="赤日轮2",C314="赤日轮3",CS313),NOT(OR(C314="幽月轮1",C314="幽月轮2",C314="幽月轮3")))</f>
        <v>0</v>
      </c>
      <c r="CT314" s="115">
        <f t="shared" ca="1" si="288"/>
        <v>11.550000000000011</v>
      </c>
      <c r="CU314" s="115" t="b">
        <f ca="1">AND(模拟模式!$K$10="阴阳往极",CT313=0,RAND()&lt;IF(C314="净世破魔击·月",0.0275*7/3,IF(C314="净世破魔击·日",0.0275*3/3,0.0275*2/3)))</f>
        <v>0</v>
      </c>
      <c r="CV314" s="115">
        <f t="shared" ca="1" si="289"/>
        <v>0</v>
      </c>
      <c r="CW314" s="115">
        <f t="shared" ca="1" si="261"/>
        <v>2.3099999999999996</v>
      </c>
      <c r="CX314" s="115">
        <f t="shared" ca="1" si="262"/>
        <v>0.46499999999999975</v>
      </c>
      <c r="CY314" s="115">
        <f ca="1">MAX(IF($C314="驱夜断愁",IF(模拟模式!$R$7="万念俱寂",6,45),CY313-$F$4),0)</f>
        <v>1.3874999999999997</v>
      </c>
      <c r="CZ314" s="115">
        <f t="shared" ca="1" si="263"/>
        <v>0</v>
      </c>
      <c r="DA314" s="115">
        <f ca="1">IF(模拟模式!$N$7="日月同辉",IF(DB313=2,0,MIN(6,IF(AND(OR(C314="赤日轮1",C314="赤日轮2",C314="赤日轮3",C314="幽月轮1",C314="幽月轮2",C314="幽月轮3"),AB314=1),DA313+1,DA313))),0)</f>
        <v>4</v>
      </c>
      <c r="DB314" s="115">
        <f t="shared" ca="1" si="264"/>
        <v>0</v>
      </c>
      <c r="DC314" s="115"/>
      <c r="DD314" s="115"/>
      <c r="DE314" s="115"/>
      <c r="DF314" s="115"/>
      <c r="DG314" s="115"/>
      <c r="DH314" s="115"/>
      <c r="DI314" s="115"/>
      <c r="DJ314" s="115"/>
      <c r="DK314" s="115"/>
      <c r="DL314" s="115"/>
      <c r="DM314" s="115"/>
    </row>
    <row r="315" spans="2:117" x14ac:dyDescent="0.2">
      <c r="B315" s="117">
        <f t="shared" si="265"/>
        <v>265.68000000000194</v>
      </c>
      <c r="C315" s="167" t="str">
        <f t="shared" ca="1" si="258"/>
        <v>银月斩</v>
      </c>
      <c r="D315" s="115">
        <f ca="1">IF(C315="赤日轮1",1,IF(C315="赤日轮2",2,IF(C315="赤日轮3",3,IF(C315="幽月轮1",4,IF(C315="幽月轮2",5,IF(C315="幽月轮3",6,IF(C315="烈日斩",7,IF(C315="银月斩",8,IF(C315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315="净世破魔击·月",17,IF(C315="驱夜断愁",18,0)))))))))))</f>
        <v>8</v>
      </c>
      <c r="E315" s="115">
        <f ca="1">IF(AND(CU315,OR(C315="幽月轮1",C315="幽月轮2",C315="幽月轮3",C315="银月斩",C315="驱夜断愁",C315="净世破魔击·月")),100,MIN(IF(OR(CN315,BE315),0,IF(OR($C315="赤日轮1",$C315="赤日轮2",$C315="赤日轮3"),E314+20+IF(模拟模式!$I$7="日月凌天",4,0)+IF(CR314,20,0),IF($C315="烈日斩",E314+40,IF($C315="驱夜断愁",IF(模拟模式!$R$7="万念俱寂",E314+20,E314+60),IF($C315="净世破魔击·月",IF(OR(DB314&gt;0,CV314&gt;0),100,IF(模拟模式!$M$7="辉耀红尘",E314+20,E314)),IF($C315="净世破魔击·日",E314-100,E314)))))),100))</f>
        <v>20</v>
      </c>
      <c r="F315" s="115">
        <f ca="1">IF(AND(CU315,OR(C315="赤日轮1",C315="赤日轮2",C315="赤日轮3",C315="烈日斩",C315="净世破魔击·日")),100,MIN(IF(CO315,0,IF(OR($C315="幽月轮1",$C315="幽月轮2",$C315="幽月轮3"),F314+20+IF(模拟模式!$I$7="日月凌天",4,0)+IF(CS314,20,0),IF($C315="银月斩",F314+40+IF(模拟模式!$X$12=1,5,0),IF($C315="驱夜断愁",IF(模拟模式!$R$7="万念俱寂",F314+20,F314+60),IF($C315="净世破魔击·月",IF(模拟模式!$M$7="辉耀红尘",F314-80,F314-100),IF(AND(C315="净世破魔击·日",OR(DB314&gt;0,CV314&gt;0)),100,F314)))))),100))</f>
        <v>65</v>
      </c>
      <c r="G315" s="117">
        <f ca="1">('模拟-全程加成'!$E$3+'模拟-全程加成'!$E$4+'模拟-全程加成'!$E$5+('模拟-全程加成'!$C$6-'模拟-全程加成'!$C$3)*系数!$B$9+BS315*23)*(1+'模拟-全程加成'!$F$4+'模拟-全程加成'!$F$5+BJ315*10%+BM315*20%+BP315*4%+CG315*30%)+$F$7*系数!$B$12</f>
        <v>20583.127400000001</v>
      </c>
      <c r="H315" s="45">
        <f ca="1">'模拟-全程加成'!$H$3+'模拟-全程加成'!$H$4+'模拟-全程加成'!$H$5+('模拟-全程加成'!$G$4+'模拟-全程加成'!$G$5+('模拟-全程加成'!$C$6-'模拟-全程加成'!$C$3)*系数!$B$13)/系数!$B$3+LOOKUP(D315,'模拟-单技能数据'!$A$2:$A$19,'模拟-单技能数据'!$K$2:$K$19)+BG315*10%+IF(BV315&gt;0,378,0)</f>
        <v>0.64185145527300214</v>
      </c>
      <c r="I315" s="45">
        <f ca="1">'模拟-全程加成'!$J$3+'模拟-全程加成'!$J$4+'模拟-全程加成'!$J$5+('模拟-全程加成'!$I$4+'模拟-全程加成'!$I$5)/系数!$B$4+LOOKUP(D315,'模拟-单技能数据'!$A$2:$A$19,'模拟-单技能数据'!$L$2:$L$19)+BG315*10%</f>
        <v>2.2624828854998791</v>
      </c>
      <c r="J315" s="45">
        <f ca="1">(('模拟-全程加成'!$K$3+'模拟-全程加成'!$K$4+'模拟-全程加成'!$K$5+('模拟-全程加成'!$C$6-'模拟-全程加成'!$C$3)*系数!$B$10+IF(BV315&gt;0,882,0)+IF(BY315&gt;0,1831,0))*(1+'模拟-全程加成'!$L$4+'模拟-全程加成'!$L$5+CC315*20%))/系数!$B$5</f>
        <v>0.69723220422048726</v>
      </c>
      <c r="K315" s="119">
        <f ca="1">LOOKUP(D315,'模拟-单技能数据'!$A$2:$A$19,'模拟-单技能数据'!$J$2:$J$19)+IF(CM315,60%,0)+IF(DB314-DB315&gt;0,30%,0)+IF(OR(AND(OR(C315="赤日轮1",C315="赤日轮2",C315="赤日轮3"),CR315),AND(OR(C315="幽月轮1",C315="幽月轮2",C315="幽月轮3"),CS315)),35%,0)+CJ315</f>
        <v>0.15</v>
      </c>
      <c r="L315" s="119">
        <f ca="1">IF(AND(C315="烈日斩",模拟模式!$X$11=1),10%,0)+IF(AND(C315="驱夜断愁",AB315=1),30%,0)</f>
        <v>0</v>
      </c>
      <c r="M315" s="45">
        <f t="shared" ca="1" si="241"/>
        <v>0.64185145527300214</v>
      </c>
      <c r="N315" s="45">
        <f t="shared" ca="1" si="242"/>
        <v>0.30424854472699792</v>
      </c>
      <c r="O315" s="46">
        <f t="shared" ca="1" si="266"/>
        <v>0.66005994197326923</v>
      </c>
      <c r="P315" s="46" t="str">
        <f t="shared" ca="1" si="267"/>
        <v>会</v>
      </c>
      <c r="Q315" s="45">
        <f t="shared" ca="1" si="268"/>
        <v>2.2624828854998791</v>
      </c>
      <c r="R315" s="117">
        <f ca="1">模拟模式!$E$20*(1-IF(模拟模式!$J$19="有",0.15,0))*(1-IF(模拟模式!$K$19="有",0.3,0)-IF(CQ315,0.5,0))</f>
        <v>2950.6049999999996</v>
      </c>
      <c r="S315" s="45">
        <f ca="1">R315/(R315+(185*模拟模式!$E$22-16800)*4.08224)</f>
        <v>0.24272716014590323</v>
      </c>
      <c r="T315" s="45" t="str">
        <f ca="1">LOOKUP(D315,'模拟-单技能数据'!$A$2:$A$19,'模拟-单技能数据'!$H$2:$H$19)</f>
        <v>阴</v>
      </c>
      <c r="U315" s="119">
        <f t="shared" ca="1" si="243"/>
        <v>0.08</v>
      </c>
      <c r="V315" s="47">
        <f ca="1">(1+L315)*(LOOKUP(D315,'模拟-单技能数据'!$A$2:$A$19,'模拟-单技能数据'!$D$2:$D$19)+G315*LOOKUP(D315,'模拟-单技能数据'!$A$2:$A$19,'模拟-单技能数据'!$F$2:$F$19))*(1+J315)*(1+K315)*(1-S315)*(1+U315)*Q315*LOOKUP(D315,'模拟-单技能数据'!$A$2:$A$19,'模拟-单技能数据'!$I$2:$I$20)</f>
        <v>39481.310356797861</v>
      </c>
      <c r="W315" s="47">
        <f ca="1">LOOKUP(D315,'模拟-单技能数据'!$A$2:$A$19,'模拟-单技能数据'!$G$2:$G$19)*$I$10</f>
        <v>361.51064354704795</v>
      </c>
      <c r="X315" s="47">
        <f t="shared" ca="1" si="269"/>
        <v>16811.279352518959</v>
      </c>
      <c r="Y315" s="47">
        <f t="shared" ca="1" si="244"/>
        <v>56654.100352863868</v>
      </c>
      <c r="Z315" s="49">
        <f t="shared" ca="1" si="245"/>
        <v>30358053.228601284</v>
      </c>
      <c r="AA315" s="97">
        <f t="shared" ca="1" si="246"/>
        <v>114265.4818902479</v>
      </c>
      <c r="AB315" s="115">
        <f ca="1">IF(OR(C315="赤日轮1",C315="赤日轮2",C315="赤日轮3"),IF(RAND()&lt;模拟模式!$Y$17,1,0),IF(OR(C315="幽月轮1",C315="幽月轮2",C315="幽月轮3"),IF(RAND()&lt;模拟模式!$Y$18,1,0),IF(C315="烈日斩",IF(RAND()&lt;模拟模式!$Y$19,1,0),IF(C315="银月斩",IF(RAND()&lt;模拟模式!$Y$20,1,0),IF(C315="驱夜断愁",IF(RAND()&lt;模拟模式!$Y$21,1,0),IF(C315="净世破魔击·日",IF(RAND()&lt;模拟模式!$Y$22,1,0),IF(C315="净世破魔击·月",IF(RAND()&lt;模拟模式!$Y$23,1,0),0)))))))</f>
        <v>1</v>
      </c>
      <c r="AC315" s="115" t="b">
        <f t="shared" ca="1" si="234"/>
        <v>1</v>
      </c>
      <c r="AD315" s="115" t="b">
        <f t="shared" ca="1" si="254"/>
        <v>1</v>
      </c>
      <c r="AE315" s="115">
        <f t="shared" ca="1" si="255"/>
        <v>5</v>
      </c>
      <c r="AF315" s="47">
        <f ca="1">IF(AC315,('模拟-单技能数据'!$D$20+G315*'模拟-单技能数据'!$F$20)*(1+J315)*(1+'模拟-单技能数据'!$J$20)*(1+U315),0)</f>
        <v>4447.8565560098323</v>
      </c>
      <c r="AG315" s="61">
        <f t="shared" ca="1" si="247"/>
        <v>0.64185145527300214</v>
      </c>
      <c r="AH315" s="61">
        <f t="shared" ca="1" si="248"/>
        <v>2.2624828854998791</v>
      </c>
      <c r="AI315" s="62">
        <f t="shared" ca="1" si="270"/>
        <v>0.34985250028024228</v>
      </c>
      <c r="AJ315" s="47">
        <f ca="1">IF(AD315,IF(AI315&lt;$F$10,0,IF(AI315&lt;$F$10+$F$11,0.25,IF(AI315&lt;$F$10+$F$11+AG315,AH315,1)))*IF(AF315&gt;0,AF315,IF(AF314&gt;0,AF314,IF(AF313&gt;0,AF313,IF(AF312&gt;0,AF312,IF(AF311&gt;0,AF311,IF(AF310&gt;0,AF310,IF(AF309&gt;0,AF309,IF(AF308&gt;0,AF308,IF(AF307&gt;0,AF307,IF(AF305&gt;0,AF305,IF(AF304&gt;0,AF304,IF(AF303&gt;0,AF303,0)))))))))))),0)*(1-$S315)*'模拟-单技能数据'!$I$20</f>
        <v>7620.5875385322679</v>
      </c>
      <c r="AK315" s="115" t="b">
        <f t="shared" ca="1" si="235"/>
        <v>0</v>
      </c>
      <c r="AL315" s="115" t="b">
        <f t="shared" ca="1" si="256"/>
        <v>1</v>
      </c>
      <c r="AM315" s="115">
        <f t="shared" ca="1" si="257"/>
        <v>4</v>
      </c>
      <c r="AN315" s="47">
        <f ca="1">IF(AK315,('模拟-单技能数据'!$D$21+G315*'模拟-单技能数据'!$F$21)*(1+J315)*(1+'模拟-单技能数据'!$J$21)*(1+U315),0)</f>
        <v>0</v>
      </c>
      <c r="AO315" s="61">
        <f ca="1">IF(AN315&gt;0,M315-'模拟-单技能数据'!$K$10,AO314)</f>
        <v>0.42185145527300216</v>
      </c>
      <c r="AP315" s="61">
        <f ca="1">IF(AN315&gt;0,I315-'模拟-单技能数据'!$L$10,AP314)</f>
        <v>2.162482885499879</v>
      </c>
      <c r="AQ315" s="63">
        <f t="shared" ca="1" si="271"/>
        <v>0.51472715576474559</v>
      </c>
      <c r="AR315" s="64">
        <f ca="1">IF(AL315,IF(AQ315&lt;$F$10,0,IF(AQ315&lt;$F$10+$F$11,0.25,IF(AQ315&lt;$F$10+$F$11+AO315,AP315,1)))*IF(AN315&gt;0,AN315,IF(AN314&gt;0,AN314,IF(AN313&gt;0,AN313,IF(AN312&gt;0,AN312,IF(AN311&gt;0,AN311,IF(AN310&gt;0,AN310,IF(AN309&gt;0,AN309,IF(AN308&gt;0,AN308,IF(AN307&gt;0,AN307,IF(AN305&gt;0,AN305,IF(AN304&gt;0,AN304,IF(AN303&gt;0,AN303,0)))))))))))),0)*(1-$S315)*'模拟-单技能数据'!$I$21</f>
        <v>9190.6918139866902</v>
      </c>
      <c r="AS315" s="61">
        <f ca="1">IF(OR(C315="净世破魔击·日",C315="净世破魔击·月"),M315-'模拟-单技能数据'!$K$10,0)</f>
        <v>0</v>
      </c>
      <c r="AT315" s="61">
        <f ca="1">IF(OR(C315="净世破魔击·日",C315="净世破魔击·月"),I315-'模拟-单技能数据'!$L$10,0)</f>
        <v>0</v>
      </c>
      <c r="AU315" s="62">
        <f t="shared" ca="1" si="272"/>
        <v>4.310545726787518E-2</v>
      </c>
      <c r="AV315" s="64">
        <f ca="1">IF(AS315&gt;0,('模拟-单技能数据'!$D$22+G315*'模拟-单技能数据'!$F$22)*(1+J315)*(1-S315)*IF(AU315&lt;$F$10,0,IF(AU315&lt;$F$10+$F$11,0.25,IF(AU315&lt;$F$10+$F$11+AS315,AT315,1)))*(1+U315),0)*'模拟-单技能数据'!$I$22</f>
        <v>0</v>
      </c>
      <c r="AW315" s="108">
        <f t="shared" ca="1" si="273"/>
        <v>0</v>
      </c>
      <c r="AX315" s="108" t="b">
        <f ca="1">AND(模拟模式!$P$10="有",AW314=0,RAND()&lt;IF(C315="净世破魔击·月",0.1*8/3,IF(C315="净世破魔击·日",0.1*4/3,0.1*2/3)))</f>
        <v>0</v>
      </c>
      <c r="AY315" s="47">
        <f ca="1">IF(AX315,(18+G315*0.722)*(1+J315)*(1-S315)*(1+$I$4)*IF(P315="会",'模拟-全程加成'!$J$3+'模拟-全程加成'!$J$4+'模拟-全程加成'!$J$5+('模拟-全程加成'!$I$4+'模拟-全程加成'!$I$5)/系数!$B$4+BG315*10%,IF(P315="命",1,IF(P315="识",0.25,0))),0)</f>
        <v>0</v>
      </c>
      <c r="AZ315" s="108">
        <f t="shared" si="274"/>
        <v>18.155000000000001</v>
      </c>
      <c r="BA315" s="108" t="b">
        <f>AND(模拟模式!$Q$10="有",AZ314=0)</f>
        <v>0</v>
      </c>
      <c r="BB315" s="140">
        <f>IF(BA315,(0+G315*0.287)*(1+J315)*(1-S315)*(1+$I$4)*IF(P315="会",'模拟-全程加成'!$J$3+'模拟-全程加成'!$J$4+'模拟-全程加成'!$J$5+('模拟-全程加成'!$I$4+'模拟-全程加成'!$I$5)/系数!$B$4+BG315*10%,IF(P315="命",1,IF(P315="识",0.25,0))),0)</f>
        <v>0</v>
      </c>
      <c r="BC315" s="115" t="b">
        <f ca="1">AND(模拟模式!$R$7="伏明众生",E315=60,F315=20,DA315&lt;5,CZ314&lt;$F$4)</f>
        <v>0</v>
      </c>
      <c r="BD315" s="115">
        <f t="shared" ca="1" si="236"/>
        <v>0</v>
      </c>
      <c r="BE315" s="115" t="b">
        <f t="shared" ca="1" si="237"/>
        <v>0</v>
      </c>
      <c r="BF315" s="47">
        <f ca="1">IF(BC315,4*('模拟-单技能数据'!$D$24+G315*'模拟-单技能数据'!$F$24)*(1+J315)*(1+'模拟-单技能数据'!$J$24)*(1-S315)*(1+$I$3)*(('模拟-全程加成'!$J$3+'模拟-全程加成'!$J$4+'模拟-全程加成'!$J$5+('模拟-全程加成'!$I$4+'模拟-全程加成'!$I$5)/系数!$B$4+BG315*10%)*('模拟-全程加成'!$J$3+'模拟-全程加成'!$J$4+'模拟-全程加成'!$J$5+('模拟-全程加成'!$I$4+'模拟-全程加成'!$I$5)/系数!$B$4+BG315*10%)+(1-('模拟-全程加成'!$J$3+'模拟-全程加成'!$J$4+'模拟-全程加成'!$J$5+('模拟-全程加成'!$I$4+'模拟-全程加成'!$I$5)/系数!$B$4+BG315*10%)-$F$10-$F$11)+F301*0.25),0)*'模拟-单技能数据'!$I$24</f>
        <v>0</v>
      </c>
      <c r="BG315" s="115" t="b">
        <f ca="1">OR(AND(OR(C315="烈日斩",C315="银月斩"),模拟模式!$I$7="净身明礼"),AND(C315="净世破魔击·日",模拟模式!$J$7="洞若观火"),AND(C316="净世破魔击·月",模拟模式!$J$7="洞若观火"),AB315=1)</f>
        <v>1</v>
      </c>
      <c r="BH315" s="115" t="b">
        <f t="shared" ca="1" si="275"/>
        <v>0</v>
      </c>
      <c r="BI315" s="115">
        <f t="shared" ca="1" si="238"/>
        <v>0</v>
      </c>
      <c r="BJ315" s="115" t="b">
        <f t="shared" ca="1" si="249"/>
        <v>0</v>
      </c>
      <c r="BK315" s="115" t="b">
        <f ca="1">AND(C315="驱夜断愁",模拟模式!$P$7="天地诛戮")</f>
        <v>0</v>
      </c>
      <c r="BL315" s="57">
        <f t="shared" ca="1" si="239"/>
        <v>14.465000000000003</v>
      </c>
      <c r="BM315" s="115" t="b">
        <f t="shared" ca="1" si="250"/>
        <v>1</v>
      </c>
      <c r="BN315" s="115" t="b">
        <f ca="1">AND(OR(C315="赤日轮1",C315="赤日轮2",C315="赤日轮3",C315="幽月轮1",C315="幽月轮2",C315="幽月轮3"),AB315=1,模拟模式!$L$7="明光恒照")</f>
        <v>0</v>
      </c>
      <c r="BO315" s="117">
        <f t="shared" ca="1" si="240"/>
        <v>29.077500000000001</v>
      </c>
      <c r="BP315" s="115">
        <f t="shared" ca="1" si="276"/>
        <v>6</v>
      </c>
      <c r="BQ315" s="115" t="b">
        <f>模拟模式!$K$10="2600·水"</f>
        <v>0</v>
      </c>
      <c r="BR315" s="117">
        <f t="shared" si="277"/>
        <v>0</v>
      </c>
      <c r="BS315" s="115">
        <f t="shared" si="278"/>
        <v>0</v>
      </c>
      <c r="BT315" s="115">
        <f t="shared" ca="1" si="279"/>
        <v>0</v>
      </c>
      <c r="BU315" s="115" t="b">
        <f ca="1">AND(模拟模式!$K$10="2300·雷",BT314=0,RAND()&lt;IF(C315="净世破魔击·月",5*0.05*2/3,IF(C315="净世破魔击·日",3*0.05*2/3,0.05*2*2/3)))</f>
        <v>0</v>
      </c>
      <c r="BV315" s="115">
        <f t="shared" ca="1" si="280"/>
        <v>0</v>
      </c>
      <c r="BW315" s="115">
        <f t="shared" ca="1" si="281"/>
        <v>106.19999999999925</v>
      </c>
      <c r="BX315" s="164" t="b">
        <f t="shared" ca="1" si="282"/>
        <v>0</v>
      </c>
      <c r="BY315" s="115">
        <f t="shared" ca="1" si="283"/>
        <v>0</v>
      </c>
      <c r="BZ315" s="115">
        <f>IF(OR(模拟模式!$P$16="10人团",模拟模式!$P$16="25人团"),IF(B315/30&gt;CA314,1,0),0)</f>
        <v>0</v>
      </c>
      <c r="CA315" s="115">
        <f t="shared" si="259"/>
        <v>0</v>
      </c>
      <c r="CB315" s="115">
        <f ca="1">IF(BZ315=1,IF(模拟模式!$P$16="10人团",15,0)+IF(模拟模式!$P$16="25人团",IF(RAND()&lt;0.6,15,0)),MAX(0,CB314-$F$4))</f>
        <v>0</v>
      </c>
      <c r="CC315" s="115" t="b">
        <f t="shared" ca="1" si="251"/>
        <v>0</v>
      </c>
      <c r="CD315" s="115">
        <f>IF(模拟模式!$Q$16="1个",IF(B315/40&gt;CE314,1,0),0)</f>
        <v>0</v>
      </c>
      <c r="CE315" s="115">
        <f t="shared" si="252"/>
        <v>0</v>
      </c>
      <c r="CF315" s="115">
        <f>IF(OR(CD315=1,模拟模式!$Q$16="2个"),20,MAX(0,CF314-$F$4))</f>
        <v>0</v>
      </c>
      <c r="CG315" s="115" t="b">
        <f t="shared" si="253"/>
        <v>0</v>
      </c>
      <c r="CH315" s="115">
        <f t="shared" ca="1" si="284"/>
        <v>1.4025000000000118</v>
      </c>
      <c r="CI315" s="115" t="b">
        <f t="shared" ca="1" si="285"/>
        <v>0</v>
      </c>
      <c r="CJ315" s="119">
        <f t="shared" ca="1" si="286"/>
        <v>0</v>
      </c>
      <c r="CK315" s="115">
        <f t="shared" ca="1" si="287"/>
        <v>0</v>
      </c>
      <c r="CL315" s="115" t="b">
        <f ca="1">AND(模拟模式!$S$7="驱夷逐法",OR(AND(C315="净世破魔击·月",E314&gt;59),AND(C315="净世破魔击·日",F314&gt;59)))</f>
        <v>0</v>
      </c>
      <c r="CM315" s="115" t="b">
        <f ca="1">OR(CL315,AND(C315="净世破魔击·日",CL314,RAND()&lt;模拟模式!$U$23))</f>
        <v>0</v>
      </c>
      <c r="CN315" s="115" t="b">
        <f ca="1">IF(模拟模式!$M$7="辉耀红尘",AND(C315="净世破魔击·月",CL315,CV315=0,E314&lt;80),AND(C315="净世破魔击·月",CL315,E314&lt;100))</f>
        <v>0</v>
      </c>
      <c r="CO315" s="115" t="b">
        <f t="shared" ca="1" si="260"/>
        <v>0</v>
      </c>
      <c r="CP315" s="115" t="b">
        <f ca="1">AND(模拟模式!$O$7="用晦而明",OR(C315="净世破魔击·日",C315="净世破魔击·月",C315="驱夜断愁"),AB315)</f>
        <v>0</v>
      </c>
      <c r="CQ315" s="115" t="b">
        <f ca="1">OR(CP315,AND(CP314,RAND()&lt;模拟模式!$U$23))</f>
        <v>0</v>
      </c>
      <c r="CR315" s="115" t="b">
        <f ca="1">AND(模拟模式!$S$7="日月齐光",OR(C315="幽月轮1",C315="幽月轮2",C315="幽月轮3",CR314),NOT(OR(C315="赤日轮1",C315="赤日轮2",C315="赤日轮3")))</f>
        <v>0</v>
      </c>
      <c r="CS315" s="115" t="b">
        <f ca="1">AND(模拟模式!$S$7="日月齐光",OR(C315="赤日轮1",C315="赤日轮2",C315="赤日轮3",CS314),NOT(OR(C315="幽月轮1",C315="幽月轮2",C315="幽月轮3")))</f>
        <v>0</v>
      </c>
      <c r="CT315" s="115">
        <f t="shared" ca="1" si="288"/>
        <v>10.627500000000012</v>
      </c>
      <c r="CU315" s="115" t="b">
        <f ca="1">AND(模拟模式!$K$10="阴阳往极",CT314=0,RAND()&lt;IF(C315="净世破魔击·月",0.0275*7/3,IF(C315="净世破魔击·日",0.0275*3/3,0.0275*2/3)))</f>
        <v>0</v>
      </c>
      <c r="CV315" s="115">
        <f t="shared" ca="1" si="289"/>
        <v>0</v>
      </c>
      <c r="CW315" s="115">
        <f t="shared" ca="1" si="261"/>
        <v>1.3874999999999997</v>
      </c>
      <c r="CX315" s="115">
        <f t="shared" ca="1" si="262"/>
        <v>6</v>
      </c>
      <c r="CY315" s="115">
        <f ca="1">MAX(IF($C315="驱夜断愁",IF(模拟模式!$R$7="万念俱寂",6,45),CY314-$F$4),0)</f>
        <v>0.46499999999999975</v>
      </c>
      <c r="CZ315" s="115">
        <f t="shared" ca="1" si="263"/>
        <v>0</v>
      </c>
      <c r="DA315" s="115">
        <f ca="1">IF(模拟模式!$N$7="日月同辉",IF(DB314=2,0,MIN(6,IF(AND(OR(C315="赤日轮1",C315="赤日轮2",C315="赤日轮3",C315="幽月轮1",C315="幽月轮2",C315="幽月轮3"),AB315=1),DA314+1,DA314))),0)</f>
        <v>4</v>
      </c>
      <c r="DB315" s="115">
        <f t="shared" ca="1" si="264"/>
        <v>0</v>
      </c>
      <c r="DC315" s="115"/>
      <c r="DD315" s="115"/>
      <c r="DE315" s="115"/>
      <c r="DF315" s="115"/>
      <c r="DG315" s="115"/>
      <c r="DH315" s="115"/>
      <c r="DI315" s="115"/>
      <c r="DJ315" s="115"/>
      <c r="DK315" s="115"/>
      <c r="DL315" s="115"/>
      <c r="DM315" s="115"/>
    </row>
    <row r="316" spans="2:117" x14ac:dyDescent="0.2">
      <c r="B316" s="117">
        <f t="shared" si="265"/>
        <v>266.60250000000195</v>
      </c>
      <c r="C316" s="167" t="str">
        <f t="shared" ca="1" si="258"/>
        <v>驱夜断愁</v>
      </c>
      <c r="D316" s="115">
        <f ca="1">IF(C316="赤日轮1",1,IF(C316="赤日轮2",2,IF(C316="赤日轮3",3,IF(C316="幽月轮1",4,IF(C316="幽月轮2",5,IF(C316="幽月轮3",6,IF(C316="烈日斩",7,IF(C316="银月斩",8,IF(C316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316="净世破魔击·月",17,IF(C316="驱夜断愁",18,0)))))))))))</f>
        <v>18</v>
      </c>
      <c r="E316" s="115">
        <f ca="1">IF(AND(CU316,OR(C316="幽月轮1",C316="幽月轮2",C316="幽月轮3",C316="银月斩",C316="驱夜断愁",C316="净世破魔击·月")),100,MIN(IF(OR(CN316,BE316),0,IF(OR($C316="赤日轮1",$C316="赤日轮2",$C316="赤日轮3"),E315+20+IF(模拟模式!$I$7="日月凌天",4,0)+IF(CR315,20,0),IF($C316="烈日斩",E315+40,IF($C316="驱夜断愁",IF(模拟模式!$R$7="万念俱寂",E315+20,E315+60),IF($C316="净世破魔击·月",IF(OR(DB315&gt;0,CV315&gt;0),100,IF(模拟模式!$M$7="辉耀红尘",E315+20,E315)),IF($C316="净世破魔击·日",E315-100,E315)))))),100))</f>
        <v>40</v>
      </c>
      <c r="F316" s="115">
        <f ca="1">IF(AND(CU316,OR(C316="赤日轮1",C316="赤日轮2",C316="赤日轮3",C316="烈日斩",C316="净世破魔击·日")),100,MIN(IF(CO316,0,IF(OR($C316="幽月轮1",$C316="幽月轮2",$C316="幽月轮3"),F315+20+IF(模拟模式!$I$7="日月凌天",4,0)+IF(CS315,20,0),IF($C316="银月斩",F315+40+IF(模拟模式!$X$12=1,5,0),IF($C316="驱夜断愁",IF(模拟模式!$R$7="万念俱寂",F315+20,F315+60),IF($C316="净世破魔击·月",IF(模拟模式!$M$7="辉耀红尘",F315-80,F315-100),IF(AND(C316="净世破魔击·日",OR(DB315&gt;0,CV315&gt;0)),100,F315)))))),100))</f>
        <v>85</v>
      </c>
      <c r="G316" s="117">
        <f ca="1">('模拟-全程加成'!$E$3+'模拟-全程加成'!$E$4+'模拟-全程加成'!$E$5+('模拟-全程加成'!$C$6-'模拟-全程加成'!$C$3)*系数!$B$9+BS316*23)*(1+'模拟-全程加成'!$F$4+'模拟-全程加成'!$F$5+BJ316*10%+BM316*20%+BP316*4%+CG316*30%)+$F$7*系数!$B$12</f>
        <v>20583.127400000001</v>
      </c>
      <c r="H316" s="45">
        <f ca="1">'模拟-全程加成'!$H$3+'模拟-全程加成'!$H$4+'模拟-全程加成'!$H$5+('模拟-全程加成'!$G$4+'模拟-全程加成'!$G$5+('模拟-全程加成'!$C$6-'模拟-全程加成'!$C$3)*系数!$B$13)/系数!$B$3+LOOKUP(D316,'模拟-单技能数据'!$A$2:$A$19,'模拟-单技能数据'!$K$2:$K$19)+BG316*10%+IF(BV316&gt;0,378,0)</f>
        <v>0.51185145527300213</v>
      </c>
      <c r="I316" s="45">
        <f ca="1">'模拟-全程加成'!$J$3+'模拟-全程加成'!$J$4+'模拟-全程加成'!$J$5+('模拟-全程加成'!$I$4+'模拟-全程加成'!$I$5)/系数!$B$4+LOOKUP(D316,'模拟-单技能数据'!$A$2:$A$19,'模拟-单技能数据'!$L$2:$L$19)+BG316*10%</f>
        <v>2.162482885499879</v>
      </c>
      <c r="J316" s="45">
        <f ca="1">(('模拟-全程加成'!$K$3+'模拟-全程加成'!$K$4+'模拟-全程加成'!$K$5+('模拟-全程加成'!$C$6-'模拟-全程加成'!$C$3)*系数!$B$10+IF(BV316&gt;0,882,0)+IF(BY316&gt;0,1831,0))*(1+'模拟-全程加成'!$L$4+'模拟-全程加成'!$L$5+CC316*20%))/系数!$B$5</f>
        <v>0.69723220422048726</v>
      </c>
      <c r="K316" s="119">
        <f ca="1">LOOKUP(D316,'模拟-单技能数据'!$A$2:$A$19,'模拟-单技能数据'!$J$2:$J$19)+IF(CM316,60%,0)+IF(DB315-DB316&gt;0,30%,0)+IF(OR(AND(OR(C316="赤日轮1",C316="赤日轮2",C316="赤日轮3"),CR316),AND(OR(C316="幽月轮1",C316="幽月轮2",C316="幽月轮3"),CS316)),35%,0)+CJ316</f>
        <v>0.14000000000000001</v>
      </c>
      <c r="L316" s="119">
        <f ca="1">IF(AND(C316="烈日斩",模拟模式!$X$11=1),10%,0)+IF(AND(C316="驱夜断愁",AB316=1),30%,0)</f>
        <v>0.3</v>
      </c>
      <c r="M316" s="45">
        <f t="shared" ca="1" si="241"/>
        <v>0.51185145527300213</v>
      </c>
      <c r="N316" s="45">
        <f t="shared" ca="1" si="242"/>
        <v>0.43424854472699792</v>
      </c>
      <c r="O316" s="46">
        <f t="shared" ca="1" si="266"/>
        <v>0.67244564878034363</v>
      </c>
      <c r="P316" s="46" t="str">
        <f t="shared" ca="1" si="267"/>
        <v>命</v>
      </c>
      <c r="Q316" s="45">
        <f t="shared" ca="1" si="268"/>
        <v>1</v>
      </c>
      <c r="R316" s="117">
        <f ca="1">模拟模式!$E$20*(1-IF(模拟模式!$J$19="有",0.15,0))*(1-IF(模拟模式!$K$19="有",0.3,0)-IF(CQ316,0.5,0))</f>
        <v>843.02999999999975</v>
      </c>
      <c r="S316" s="45">
        <f ca="1">R316/(R316+(185*模拟模式!$E$22-16800)*4.08224)</f>
        <v>8.389626085980037E-2</v>
      </c>
      <c r="T316" s="45" t="str">
        <f ca="1">LOOKUP(D316,'模拟-单技能数据'!$A$2:$A$19,'模拟-单技能数据'!$H$2:$H$19)</f>
        <v>阴</v>
      </c>
      <c r="U316" s="119">
        <f t="shared" ca="1" si="243"/>
        <v>0.08</v>
      </c>
      <c r="V316" s="47">
        <f ca="1">(1+L316)*(LOOKUP(D316,'模拟-单技能数据'!$A$2:$A$19,'模拟-单技能数据'!$D$2:$D$19)+G316*LOOKUP(D316,'模拟-单技能数据'!$A$2:$A$19,'模拟-单技能数据'!$F$2:$F$19))*(1+J316)*(1+K316)*(1-S316)*(1+U316)*Q316*LOOKUP(D316,'模拟-单技能数据'!$A$2:$A$19,'模拟-单技能数据'!$I$2:$I$20)</f>
        <v>58943.088028757353</v>
      </c>
      <c r="W316" s="47">
        <f ca="1">LOOKUP(D316,'模拟-单技能数据'!$A$2:$A$19,'模拟-单技能数据'!$G$2:$G$19)*$I$10</f>
        <v>723.0212870940959</v>
      </c>
      <c r="X316" s="47">
        <f t="shared" ca="1" si="269"/>
        <v>0</v>
      </c>
      <c r="Y316" s="47">
        <f t="shared" ca="1" si="244"/>
        <v>59666.109315851449</v>
      </c>
      <c r="Z316" s="49">
        <f t="shared" ca="1" si="245"/>
        <v>30417719.337917134</v>
      </c>
      <c r="AA316" s="97">
        <f t="shared" ca="1" si="246"/>
        <v>114093.9013622037</v>
      </c>
      <c r="AB316" s="115">
        <f ca="1">IF(OR(C316="赤日轮1",C316="赤日轮2",C316="赤日轮3"),IF(RAND()&lt;模拟模式!$Y$17,1,0),IF(OR(C316="幽月轮1",C316="幽月轮2",C316="幽月轮3"),IF(RAND()&lt;模拟模式!$Y$18,1,0),IF(C316="烈日斩",IF(RAND()&lt;模拟模式!$Y$19,1,0),IF(C316="银月斩",IF(RAND()&lt;模拟模式!$Y$20,1,0),IF(C316="驱夜断愁",IF(RAND()&lt;模拟模式!$Y$21,1,0),IF(C316="净世破魔击·日",IF(RAND()&lt;模拟模式!$Y$22,1,0),IF(C316="净世破魔击·月",IF(RAND()&lt;模拟模式!$Y$23,1,0),0)))))))</f>
        <v>1</v>
      </c>
      <c r="AC316" s="115" t="b">
        <f t="shared" ca="1" si="234"/>
        <v>0</v>
      </c>
      <c r="AD316" s="115" t="b">
        <f t="shared" ca="1" si="254"/>
        <v>0</v>
      </c>
      <c r="AE316" s="115">
        <f t="shared" ca="1" si="255"/>
        <v>5</v>
      </c>
      <c r="AF316" s="47">
        <f ca="1">IF(AC316,('模拟-单技能数据'!$D$20+G316*'模拟-单技能数据'!$F$20)*(1+J316)*(1+'模拟-单技能数据'!$J$20)*(1+U316),0)</f>
        <v>0</v>
      </c>
      <c r="AG316" s="61">
        <f t="shared" ca="1" si="247"/>
        <v>0.64185145527300214</v>
      </c>
      <c r="AH316" s="61">
        <f t="shared" ca="1" si="248"/>
        <v>2.2624828854998791</v>
      </c>
      <c r="AI316" s="62">
        <f t="shared" ca="1" si="270"/>
        <v>8.2954843763770381E-2</v>
      </c>
      <c r="AJ316" s="47">
        <f ca="1">IF(AD316,IF(AI316&lt;$F$10,0,IF(AI316&lt;$F$10+$F$11,0.25,IF(AI316&lt;$F$10+$F$11+AG316,AH316,1)))*IF(AF316&gt;0,AF316,IF(AF315&gt;0,AF315,IF(AF314&gt;0,AF314,IF(AF313&gt;0,AF313,IF(AF312&gt;0,AF312,IF(AF311&gt;0,AF311,IF(AF310&gt;0,AF310,IF(AF309&gt;0,AF309,IF(AF308&gt;0,AF308,IF(AF306&gt;0,AF306,IF(AF305&gt;0,AF305,IF(AF304&gt;0,AF304,0)))))))))))),0)*(1-$S316)*'模拟-单技能数据'!$I$20</f>
        <v>0</v>
      </c>
      <c r="AK316" s="115" t="b">
        <f t="shared" ca="1" si="235"/>
        <v>0</v>
      </c>
      <c r="AL316" s="115" t="b">
        <f t="shared" ca="1" si="256"/>
        <v>0</v>
      </c>
      <c r="AM316" s="115">
        <f t="shared" ca="1" si="257"/>
        <v>4</v>
      </c>
      <c r="AN316" s="47">
        <f ca="1">IF(AK316,('模拟-单技能数据'!$D$21+G316*'模拟-单技能数据'!$F$21)*(1+J316)*(1+'模拟-单技能数据'!$J$21)*(1+U316),0)</f>
        <v>0</v>
      </c>
      <c r="AO316" s="61">
        <f ca="1">IF(AN316&gt;0,M316-'模拟-单技能数据'!$K$10,AO315)</f>
        <v>0.42185145527300216</v>
      </c>
      <c r="AP316" s="61">
        <f ca="1">IF(AN316&gt;0,I316-'模拟-单技能数据'!$L$10,AP315)</f>
        <v>2.162482885499879</v>
      </c>
      <c r="AQ316" s="63">
        <f t="shared" ca="1" si="271"/>
        <v>0.66966347448252128</v>
      </c>
      <c r="AR316" s="64">
        <f ca="1">IF(AL316,IF(AQ316&lt;$F$10,0,IF(AQ316&lt;$F$10+$F$11,0.25,IF(AQ316&lt;$F$10+$F$11+AO316,AP316,1)))*IF(AN316&gt;0,AN316,IF(AN315&gt;0,AN315,IF(AN314&gt;0,AN314,IF(AN313&gt;0,AN313,IF(AN312&gt;0,AN312,IF(AN311&gt;0,AN311,IF(AN310&gt;0,AN310,IF(AN309&gt;0,AN309,IF(AN308&gt;0,AN308,IF(AN306&gt;0,AN306,IF(AN305&gt;0,AN305,IF(AN304&gt;0,AN304,0)))))))))))),0)*(1-$S316)*'模拟-单技能数据'!$I$21</f>
        <v>0</v>
      </c>
      <c r="AS316" s="61">
        <f ca="1">IF(OR(C316="净世破魔击·日",C316="净世破魔击·月"),M316-'模拟-单技能数据'!$K$10,0)</f>
        <v>0</v>
      </c>
      <c r="AT316" s="61">
        <f ca="1">IF(OR(C316="净世破魔击·日",C316="净世破魔击·月"),I316-'模拟-单技能数据'!$L$10,0)</f>
        <v>0</v>
      </c>
      <c r="AU316" s="62">
        <f t="shared" ca="1" si="272"/>
        <v>0.42866384890149223</v>
      </c>
      <c r="AV316" s="64">
        <f ca="1">IF(AS316&gt;0,('模拟-单技能数据'!$D$22+G316*'模拟-单技能数据'!$F$22)*(1+J316)*(1-S316)*IF(AU316&lt;$F$10,0,IF(AU316&lt;$F$10+$F$11,0.25,IF(AU316&lt;$F$10+$F$11+AS316,AT316,1)))*(1+U316),0)*'模拟-单技能数据'!$I$22</f>
        <v>0</v>
      </c>
      <c r="AW316" s="108">
        <f t="shared" ca="1" si="273"/>
        <v>0</v>
      </c>
      <c r="AX316" s="108" t="b">
        <f ca="1">AND(模拟模式!$P$10="有",AW315=0,RAND()&lt;IF(C316="净世破魔击·月",0.1*8/3,IF(C316="净世破魔击·日",0.1*4/3,0.1*2/3)))</f>
        <v>0</v>
      </c>
      <c r="AY316" s="47">
        <f ca="1">IF(AX316,(18+G316*0.722)*(1+J316)*(1-S316)*(1+$I$4)*IF(P316="会",'模拟-全程加成'!$J$3+'模拟-全程加成'!$J$4+'模拟-全程加成'!$J$5+('模拟-全程加成'!$I$4+'模拟-全程加成'!$I$5)/系数!$B$4+BG316*10%,IF(P316="命",1,IF(P316="识",0.25,0))),0)</f>
        <v>0</v>
      </c>
      <c r="AZ316" s="108">
        <f t="shared" si="274"/>
        <v>17.232500000000002</v>
      </c>
      <c r="BA316" s="108" t="b">
        <f>AND(模拟模式!$Q$10="有",AZ315=0)</f>
        <v>0</v>
      </c>
      <c r="BB316" s="140">
        <f>IF(BA316,(0+G316*0.287)*(1+J316)*(1-S316)*(1+$I$4)*IF(P316="会",'模拟-全程加成'!$J$3+'模拟-全程加成'!$J$4+'模拟-全程加成'!$J$5+('模拟-全程加成'!$I$4+'模拟-全程加成'!$I$5)/系数!$B$4+BG316*10%,IF(P316="命",1,IF(P316="识",0.25,0))),0)</f>
        <v>0</v>
      </c>
      <c r="BC316" s="115" t="b">
        <f ca="1">AND(模拟模式!$R$7="伏明众生",E316=60,F316=20,DA316&lt;5,CZ315&lt;$F$4)</f>
        <v>0</v>
      </c>
      <c r="BD316" s="115">
        <f t="shared" ca="1" si="236"/>
        <v>0</v>
      </c>
      <c r="BE316" s="115" t="b">
        <f t="shared" ca="1" si="237"/>
        <v>0</v>
      </c>
      <c r="BF316" s="47">
        <f ca="1">IF(BC316,4*('模拟-单技能数据'!$D$24+G316*'模拟-单技能数据'!$F$24)*(1+J316)*(1+'模拟-单技能数据'!$J$24)*(1-S316)*(1+$I$3)*(('模拟-全程加成'!$J$3+'模拟-全程加成'!$J$4+'模拟-全程加成'!$J$5+('模拟-全程加成'!$I$4+'模拟-全程加成'!$I$5)/系数!$B$4+BG316*10%)*('模拟-全程加成'!$J$3+'模拟-全程加成'!$J$4+'模拟-全程加成'!$J$5+('模拟-全程加成'!$I$4+'模拟-全程加成'!$I$5)/系数!$B$4+BG316*10%)+(1-('模拟-全程加成'!$J$3+'模拟-全程加成'!$J$4+'模拟-全程加成'!$J$5+('模拟-全程加成'!$I$4+'模拟-全程加成'!$I$5)/系数!$B$4+BG316*10%)-$F$10-$F$11)+F302*0.25),0)*'模拟-单技能数据'!$I$24</f>
        <v>0</v>
      </c>
      <c r="BG316" s="115" t="b">
        <f ca="1">OR(AND(OR(C316="烈日斩",C316="银月斩"),模拟模式!$I$7="净身明礼"),AND(C316="净世破魔击·日",模拟模式!$J$7="洞若观火"),AND(C317="净世破魔击·月",模拟模式!$J$7="洞若观火"),AB316=1)</f>
        <v>1</v>
      </c>
      <c r="BH316" s="115" t="b">
        <f t="shared" ca="1" si="275"/>
        <v>0</v>
      </c>
      <c r="BI316" s="115">
        <f t="shared" ca="1" si="238"/>
        <v>0</v>
      </c>
      <c r="BJ316" s="115" t="b">
        <f t="shared" ca="1" si="249"/>
        <v>0</v>
      </c>
      <c r="BK316" s="115" t="b">
        <f ca="1">AND(C316="驱夜断愁",模拟模式!$P$7="天地诛戮")</f>
        <v>1</v>
      </c>
      <c r="BL316" s="57">
        <f t="shared" ca="1" si="239"/>
        <v>20</v>
      </c>
      <c r="BM316" s="115" t="b">
        <f t="shared" ca="1" si="250"/>
        <v>1</v>
      </c>
      <c r="BN316" s="115" t="b">
        <f ca="1">AND(OR(C316="赤日轮1",C316="赤日轮2",C316="赤日轮3",C316="幽月轮1",C316="幽月轮2",C316="幽月轮3"),AB316=1,模拟模式!$L$7="明光恒照")</f>
        <v>0</v>
      </c>
      <c r="BO316" s="117">
        <f t="shared" ca="1" si="240"/>
        <v>28.155000000000001</v>
      </c>
      <c r="BP316" s="115">
        <f t="shared" ca="1" si="276"/>
        <v>6</v>
      </c>
      <c r="BQ316" s="115" t="b">
        <f>模拟模式!$K$10="2600·水"</f>
        <v>0</v>
      </c>
      <c r="BR316" s="117">
        <f t="shared" si="277"/>
        <v>0</v>
      </c>
      <c r="BS316" s="115">
        <f t="shared" si="278"/>
        <v>0</v>
      </c>
      <c r="BT316" s="115">
        <f t="shared" ca="1" si="279"/>
        <v>0</v>
      </c>
      <c r="BU316" s="115" t="b">
        <f ca="1">AND(模拟模式!$K$10="2300·雷",BT315=0,RAND()&lt;IF(C316="净世破魔击·月",5*0.05*2/3,IF(C316="净世破魔击·日",3*0.05*2/3,0.05*2*2/3)))</f>
        <v>0</v>
      </c>
      <c r="BV316" s="115">
        <f t="shared" ca="1" si="280"/>
        <v>0</v>
      </c>
      <c r="BW316" s="115">
        <f t="shared" ca="1" si="281"/>
        <v>105.27749999999925</v>
      </c>
      <c r="BX316" s="164" t="b">
        <f t="shared" ca="1" si="282"/>
        <v>0</v>
      </c>
      <c r="BY316" s="115">
        <f t="shared" ca="1" si="283"/>
        <v>0</v>
      </c>
      <c r="BZ316" s="115">
        <f>IF(OR(模拟模式!$P$16="10人团",模拟模式!$P$16="25人团"),IF(B316/30&gt;CA315,1,0),0)</f>
        <v>0</v>
      </c>
      <c r="CA316" s="115">
        <f t="shared" si="259"/>
        <v>0</v>
      </c>
      <c r="CB316" s="115">
        <f ca="1">IF(BZ316=1,IF(模拟模式!$P$16="10人团",15,0)+IF(模拟模式!$P$16="25人团",IF(RAND()&lt;0.6,15,0)),MAX(0,CB315-$F$4))</f>
        <v>0</v>
      </c>
      <c r="CC316" s="115" t="b">
        <f t="shared" ca="1" si="251"/>
        <v>0</v>
      </c>
      <c r="CD316" s="115">
        <f>IF(模拟模式!$Q$16="1个",IF(B316/40&gt;CE315,1,0),0)</f>
        <v>0</v>
      </c>
      <c r="CE316" s="115">
        <f t="shared" si="252"/>
        <v>0</v>
      </c>
      <c r="CF316" s="115">
        <f>IF(OR(CD316=1,模拟模式!$Q$16="2个"),20,MAX(0,CF315-$F$4))</f>
        <v>0</v>
      </c>
      <c r="CG316" s="115" t="b">
        <f t="shared" si="253"/>
        <v>0</v>
      </c>
      <c r="CH316" s="115">
        <f t="shared" ca="1" si="284"/>
        <v>0.48000000000001186</v>
      </c>
      <c r="CI316" s="115" t="b">
        <f t="shared" ca="1" si="285"/>
        <v>0</v>
      </c>
      <c r="CJ316" s="119">
        <f t="shared" ca="1" si="286"/>
        <v>0</v>
      </c>
      <c r="CK316" s="115">
        <f t="shared" ca="1" si="287"/>
        <v>0</v>
      </c>
      <c r="CL316" s="115" t="b">
        <f ca="1">AND(模拟模式!$S$7="驱夷逐法",OR(AND(C316="净世破魔击·月",E315&gt;59),AND(C316="净世破魔击·日",F315&gt;59)))</f>
        <v>0</v>
      </c>
      <c r="CM316" s="115" t="b">
        <f ca="1">OR(CL316,AND(C316="净世破魔击·日",CL315,RAND()&lt;模拟模式!$U$23))</f>
        <v>0</v>
      </c>
      <c r="CN316" s="115" t="b">
        <f ca="1">IF(模拟模式!$M$7="辉耀红尘",AND(C316="净世破魔击·月",CL316,CV316=0,E315&lt;80),AND(C316="净世破魔击·月",CL316,E315&lt;100))</f>
        <v>0</v>
      </c>
      <c r="CO316" s="115" t="b">
        <f t="shared" ca="1" si="260"/>
        <v>0</v>
      </c>
      <c r="CP316" s="115" t="b">
        <f ca="1">AND(模拟模式!$O$7="用晦而明",OR(C316="净世破魔击·日",C316="净世破魔击·月",C316="驱夜断愁"),AB316)</f>
        <v>1</v>
      </c>
      <c r="CQ316" s="115" t="b">
        <f ca="1">OR(CP316,AND(CP315,RAND()&lt;模拟模式!$U$23))</f>
        <v>1</v>
      </c>
      <c r="CR316" s="115" t="b">
        <f ca="1">AND(模拟模式!$S$7="日月齐光",OR(C316="幽月轮1",C316="幽月轮2",C316="幽月轮3",CR315),NOT(OR(C316="赤日轮1",C316="赤日轮2",C316="赤日轮3")))</f>
        <v>0</v>
      </c>
      <c r="CS316" s="115" t="b">
        <f ca="1">AND(模拟模式!$S$7="日月齐光",OR(C316="赤日轮1",C316="赤日轮2",C316="赤日轮3",CS315),NOT(OR(C316="幽月轮1",C316="幽月轮2",C316="幽月轮3")))</f>
        <v>0</v>
      </c>
      <c r="CT316" s="115">
        <f t="shared" ca="1" si="288"/>
        <v>9.7050000000000125</v>
      </c>
      <c r="CU316" s="115" t="b">
        <f ca="1">AND(模拟模式!$K$10="阴阳往极",CT315=0,RAND()&lt;IF(C316="净世破魔击·月",0.0275*7/3,IF(C316="净世破魔击·日",0.0275*3/3,0.0275*2/3)))</f>
        <v>0</v>
      </c>
      <c r="CV316" s="115">
        <f t="shared" ca="1" si="289"/>
        <v>0</v>
      </c>
      <c r="CW316" s="115">
        <f t="shared" ca="1" si="261"/>
        <v>0.46499999999999975</v>
      </c>
      <c r="CX316" s="115">
        <f t="shared" ca="1" si="262"/>
        <v>5.0774999999999997</v>
      </c>
      <c r="CY316" s="115">
        <f ca="1">MAX(IF($C316="驱夜断愁",IF(模拟模式!$R$7="万念俱寂",6,45),CY315-$F$4),0)</f>
        <v>6</v>
      </c>
      <c r="CZ316" s="115">
        <f t="shared" ca="1" si="263"/>
        <v>0</v>
      </c>
      <c r="DA316" s="115">
        <f ca="1">IF(模拟模式!$N$7="日月同辉",IF(DB315=2,0,MIN(6,IF(AND(OR(C316="赤日轮1",C316="赤日轮2",C316="赤日轮3",C316="幽月轮1",C316="幽月轮2",C316="幽月轮3"),AB316=1),DA315+1,DA315))),0)</f>
        <v>4</v>
      </c>
      <c r="DB316" s="115">
        <f t="shared" ca="1" si="264"/>
        <v>0</v>
      </c>
      <c r="DC316" s="115"/>
      <c r="DD316" s="115"/>
      <c r="DE316" s="115"/>
      <c r="DF316" s="115"/>
      <c r="DG316" s="115"/>
      <c r="DH316" s="115"/>
      <c r="DI316" s="115"/>
      <c r="DJ316" s="115"/>
      <c r="DK316" s="115"/>
      <c r="DL316" s="115"/>
      <c r="DM316" s="115"/>
    </row>
    <row r="317" spans="2:117" x14ac:dyDescent="0.2">
      <c r="B317" s="117">
        <f t="shared" si="265"/>
        <v>267.52500000000197</v>
      </c>
      <c r="C317" s="167" t="str">
        <f t="shared" ca="1" si="258"/>
        <v>烈日斩</v>
      </c>
      <c r="D317" s="115">
        <f ca="1">IF(C317="赤日轮1",1,IF(C317="赤日轮2",2,IF(C317="赤日轮3",3,IF(C317="幽月轮1",4,IF(C317="幽月轮2",5,IF(C317="幽月轮3",6,IF(C317="烈日斩",7,IF(C317="银月斩",8,IF(C317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317="净世破魔击·月",17,IF(C317="驱夜断愁",18,0)))))))))))</f>
        <v>7</v>
      </c>
      <c r="E317" s="115">
        <f ca="1">IF(AND(CU317,OR(C317="幽月轮1",C317="幽月轮2",C317="幽月轮3",C317="银月斩",C317="驱夜断愁",C317="净世破魔击·月")),100,MIN(IF(OR(CN317,BE317),0,IF(OR($C317="赤日轮1",$C317="赤日轮2",$C317="赤日轮3"),E316+20+IF(模拟模式!$I$7="日月凌天",4,0)+IF(CR316,20,0),IF($C317="烈日斩",E316+40,IF($C317="驱夜断愁",IF(模拟模式!$R$7="万念俱寂",E316+20,E316+60),IF($C317="净世破魔击·月",IF(OR(DB316&gt;0,CV316&gt;0),100,IF(模拟模式!$M$7="辉耀红尘",E316+20,E316)),IF($C317="净世破魔击·日",E316-100,E316)))))),100))</f>
        <v>80</v>
      </c>
      <c r="F317" s="115">
        <f ca="1">IF(AND(CU317,OR(C317="赤日轮1",C317="赤日轮2",C317="赤日轮3",C317="烈日斩",C317="净世破魔击·日")),100,MIN(IF(CO317,0,IF(OR($C317="幽月轮1",$C317="幽月轮2",$C317="幽月轮3"),F316+20+IF(模拟模式!$I$7="日月凌天",4,0)+IF(CS316,20,0),IF($C317="银月斩",F316+40+IF(模拟模式!$X$12=1,5,0),IF($C317="驱夜断愁",IF(模拟模式!$R$7="万念俱寂",F316+20,F316+60),IF($C317="净世破魔击·月",IF(模拟模式!$M$7="辉耀红尘",F316-80,F316-100),IF(AND(C317="净世破魔击·日",OR(DB316&gt;0,CV316&gt;0)),100,F316)))))),100))</f>
        <v>85</v>
      </c>
      <c r="G317" s="117">
        <f ca="1">('模拟-全程加成'!$E$3+'模拟-全程加成'!$E$4+'模拟-全程加成'!$E$5+('模拟-全程加成'!$C$6-'模拟-全程加成'!$C$3)*系数!$B$9+BS317*23)*(1+'模拟-全程加成'!$F$4+'模拟-全程加成'!$F$5+BJ317*10%+BM317*20%+BP317*4%+CG317*30%)+$F$7*系数!$B$12</f>
        <v>20583.127400000001</v>
      </c>
      <c r="H317" s="45">
        <f ca="1">'模拟-全程加成'!$H$3+'模拟-全程加成'!$H$4+'模拟-全程加成'!$H$5+('模拟-全程加成'!$G$4+'模拟-全程加成'!$G$5+('模拟-全程加成'!$C$6-'模拟-全程加成'!$C$3)*系数!$B$13)/系数!$B$3+LOOKUP(D317,'模拟-单技能数据'!$A$2:$A$19,'模拟-单技能数据'!$K$2:$K$19)+BG317*10%+IF(BV317&gt;0,378,0)</f>
        <v>0.56185145527300218</v>
      </c>
      <c r="I317" s="45">
        <f ca="1">'模拟-全程加成'!$J$3+'模拟-全程加成'!$J$4+'模拟-全程加成'!$J$5+('模拟-全程加成'!$I$4+'模拟-全程加成'!$I$5)/系数!$B$4+LOOKUP(D317,'模拟-单技能数据'!$A$2:$A$19,'模拟-单技能数据'!$L$2:$L$19)+BG317*10%</f>
        <v>2.2624828854998791</v>
      </c>
      <c r="J317" s="45">
        <f ca="1">(('模拟-全程加成'!$K$3+'模拟-全程加成'!$K$4+'模拟-全程加成'!$K$5+('模拟-全程加成'!$C$6-'模拟-全程加成'!$C$3)*系数!$B$10+IF(BV317&gt;0,882,0)+IF(BY317&gt;0,1831,0))*(1+'模拟-全程加成'!$L$4+'模拟-全程加成'!$L$5+CC317*20%))/系数!$B$5</f>
        <v>0.69723220422048726</v>
      </c>
      <c r="K317" s="119">
        <f ca="1">LOOKUP(D317,'模拟-单技能数据'!$A$2:$A$19,'模拟-单技能数据'!$J$2:$J$19)+IF(CM317,60%,0)+IF(DB316-DB317&gt;0,30%,0)+IF(OR(AND(OR(C317="赤日轮1",C317="赤日轮2",C317="赤日轮3"),CR317),AND(OR(C317="幽月轮1",C317="幽月轮2",C317="幽月轮3"),CS317)),35%,0)+CJ317</f>
        <v>0.24</v>
      </c>
      <c r="L317" s="119">
        <f ca="1">IF(AND(C317="烈日斩",模拟模式!$X$11=1),10%,0)+IF(AND(C317="驱夜断愁",AB317=1),30%,0)</f>
        <v>0.1</v>
      </c>
      <c r="M317" s="45">
        <f t="shared" ca="1" si="241"/>
        <v>0.56185145527300218</v>
      </c>
      <c r="N317" s="45">
        <f t="shared" ca="1" si="242"/>
        <v>0.38424854472699788</v>
      </c>
      <c r="O317" s="46">
        <f t="shared" ca="1" si="266"/>
        <v>0.97905359811430337</v>
      </c>
      <c r="P317" s="46" t="str">
        <f t="shared" ca="1" si="267"/>
        <v>命</v>
      </c>
      <c r="Q317" s="45">
        <f t="shared" ca="1" si="268"/>
        <v>1</v>
      </c>
      <c r="R317" s="117">
        <f ca="1">模拟模式!$E$20*(1-IF(模拟模式!$J$19="有",0.15,0))*(1-IF(模拟模式!$K$19="有",0.3,0)-IF(CQ317,0.5,0))</f>
        <v>843.02999999999975</v>
      </c>
      <c r="S317" s="45">
        <f ca="1">R317/(R317+(185*模拟模式!$E$22-16800)*4.08224)</f>
        <v>8.389626085980037E-2</v>
      </c>
      <c r="T317" s="45" t="str">
        <f ca="1">LOOKUP(D317,'模拟-单技能数据'!$A$2:$A$19,'模拟-单技能数据'!$H$2:$H$19)</f>
        <v>阳</v>
      </c>
      <c r="U317" s="119">
        <f t="shared" ca="1" si="243"/>
        <v>0.2</v>
      </c>
      <c r="V317" s="47">
        <f ca="1">(1+L317)*(LOOKUP(D317,'模拟-单技能数据'!$A$2:$A$19,'模拟-单技能数据'!$D$2:$D$19)+G317*LOOKUP(D317,'模拟-单技能数据'!$A$2:$A$19,'模拟-单技能数据'!$F$2:$F$19))*(1+J317)*(1+K317)*(1-S317)*(1+U317)*Q317*LOOKUP(D317,'模拟-单技能数据'!$A$2:$A$19,'模拟-单技能数据'!$I$2:$I$20)</f>
        <v>46789.769184608012</v>
      </c>
      <c r="W317" s="47">
        <f ca="1">LOOKUP(D317,'模拟-单技能数据'!$A$2:$A$19,'模拟-单技能数据'!$G$2:$G$19)*$I$10</f>
        <v>361.51064354704795</v>
      </c>
      <c r="X317" s="47">
        <f t="shared" ca="1" si="269"/>
        <v>33262.18371625166</v>
      </c>
      <c r="Y317" s="47">
        <f t="shared" ca="1" si="244"/>
        <v>80413.463544406724</v>
      </c>
      <c r="Z317" s="49">
        <f t="shared" ca="1" si="245"/>
        <v>30498132.80146154</v>
      </c>
      <c r="AA317" s="97">
        <f t="shared" ca="1" si="246"/>
        <v>114001.05710292987</v>
      </c>
      <c r="AB317" s="115">
        <f ca="1">IF(OR(C317="赤日轮1",C317="赤日轮2",C317="赤日轮3"),IF(RAND()&lt;模拟模式!$Y$17,1,0),IF(OR(C317="幽月轮1",C317="幽月轮2",C317="幽月轮3"),IF(RAND()&lt;模拟模式!$Y$18,1,0),IF(C317="烈日斩",IF(RAND()&lt;模拟模式!$Y$19,1,0),IF(C317="银月斩",IF(RAND()&lt;模拟模式!$Y$20,1,0),IF(C317="驱夜断愁",IF(RAND()&lt;模拟模式!$Y$21,1,0),IF(C317="净世破魔击·日",IF(RAND()&lt;模拟模式!$Y$22,1,0),IF(C317="净世破魔击·月",IF(RAND()&lt;模拟模式!$Y$23,1,0),0)))))))</f>
        <v>1</v>
      </c>
      <c r="AC317" s="115" t="b">
        <f t="shared" ca="1" si="234"/>
        <v>0</v>
      </c>
      <c r="AD317" s="115" t="b">
        <f t="shared" ca="1" si="254"/>
        <v>1</v>
      </c>
      <c r="AE317" s="115">
        <f t="shared" ca="1" si="255"/>
        <v>4</v>
      </c>
      <c r="AF317" s="47">
        <f ca="1">IF(AC317,('模拟-单技能数据'!$D$20+G317*'模拟-单技能数据'!$F$20)*(1+J317)*(1+'模拟-单技能数据'!$J$20)*(1+U317),0)</f>
        <v>0</v>
      </c>
      <c r="AG317" s="61">
        <f t="shared" ca="1" si="247"/>
        <v>0.64185145527300214</v>
      </c>
      <c r="AH317" s="61">
        <f t="shared" ca="1" si="248"/>
        <v>2.2624828854998791</v>
      </c>
      <c r="AI317" s="62">
        <f t="shared" ca="1" si="270"/>
        <v>0.6557914129762068</v>
      </c>
      <c r="AJ317" s="47">
        <f ca="1">IF(AD317,IF(AI317&lt;$F$10,0,IF(AI317&lt;$F$10+$F$11,0.25,IF(AI317&lt;$F$10+$F$11+AG317,AH317,1)))*IF(AF317&gt;0,AF317,IF(AF316&gt;0,AF316,IF(AF315&gt;0,AF315,IF(AF314&gt;0,AF314,IF(AF313&gt;0,AF313,IF(AF312&gt;0,AF312,IF(AF311&gt;0,AF311,IF(AF310&gt;0,AF310,IF(AF309&gt;0,AF309,IF(AF307&gt;0,AF307,IF(AF306&gt;0,AF306,IF(AF305&gt;0,AF305,0)))))))))))),0)*(1-$S317)*'模拟-单技能数据'!$I$20</f>
        <v>9218.9345386263849</v>
      </c>
      <c r="AK317" s="115" t="b">
        <f t="shared" ca="1" si="235"/>
        <v>0</v>
      </c>
      <c r="AL317" s="115" t="b">
        <f t="shared" ca="1" si="256"/>
        <v>1</v>
      </c>
      <c r="AM317" s="115">
        <f t="shared" ca="1" si="257"/>
        <v>3</v>
      </c>
      <c r="AN317" s="47">
        <f ca="1">IF(AK317,('模拟-单技能数据'!$D$21+G317*'模拟-单技能数据'!$F$21)*(1+J317)*(1+'模拟-单技能数据'!$J$21)*(1+U317),0)</f>
        <v>0</v>
      </c>
      <c r="AO317" s="61">
        <f ca="1">IF(AN317&gt;0,M317-'模拟-单技能数据'!$K$10,AO316)</f>
        <v>0.42185145527300216</v>
      </c>
      <c r="AP317" s="61">
        <f ca="1">IF(AN317&gt;0,I317-'模拟-单技能数据'!$L$10,AP316)</f>
        <v>2.162482885499879</v>
      </c>
      <c r="AQ317" s="63">
        <f t="shared" ca="1" si="271"/>
        <v>9.256320493453396E-2</v>
      </c>
      <c r="AR317" s="64">
        <f ca="1">IF(AL317,IF(AQ317&lt;$F$10,0,IF(AQ317&lt;$F$10+$F$11,0.25,IF(AQ317&lt;$F$10+$F$11+AO317,AP317,1)))*IF(AN317&gt;0,AN317,IF(AN316&gt;0,AN316,IF(AN315&gt;0,AN315,IF(AN314&gt;0,AN314,IF(AN313&gt;0,AN313,IF(AN312&gt;0,AN312,IF(AN311&gt;0,AN311,IF(AN310&gt;0,AN310,IF(AN309&gt;0,AN309,IF(AN307&gt;0,AN307,IF(AN306&gt;0,AN306,IF(AN305&gt;0,AN305,0)))))))))))),0)*(1-$S317)*'模拟-单技能数据'!$I$21</f>
        <v>24043.249177625272</v>
      </c>
      <c r="AS317" s="61">
        <f ca="1">IF(OR(C317="净世破魔击·日",C317="净世破魔击·月"),M317-'模拟-单技能数据'!$K$10,0)</f>
        <v>0</v>
      </c>
      <c r="AT317" s="61">
        <f ca="1">IF(OR(C317="净世破魔击·日",C317="净世破魔击·月"),I317-'模拟-单技能数据'!$L$10,0)</f>
        <v>0</v>
      </c>
      <c r="AU317" s="62">
        <f t="shared" ca="1" si="272"/>
        <v>0.51665564573148992</v>
      </c>
      <c r="AV317" s="64">
        <f ca="1">IF(AS317&gt;0,('模拟-单技能数据'!$D$22+G317*'模拟-单技能数据'!$F$22)*(1+J317)*(1-S317)*IF(AU317&lt;$F$10,0,IF(AU317&lt;$F$10+$F$11,0.25,IF(AU317&lt;$F$10+$F$11+AS317,AT317,1)))*(1+U317),0)*'模拟-单技能数据'!$I$22</f>
        <v>0</v>
      </c>
      <c r="AW317" s="108">
        <f t="shared" ca="1" si="273"/>
        <v>0</v>
      </c>
      <c r="AX317" s="108" t="b">
        <f ca="1">AND(模拟模式!$P$10="有",AW316=0,RAND()&lt;IF(C317="净世破魔击·月",0.1*8/3,IF(C317="净世破魔击·日",0.1*4/3,0.1*2/3)))</f>
        <v>0</v>
      </c>
      <c r="AY317" s="47">
        <f ca="1">IF(AX317,(18+G317*0.722)*(1+J317)*(1-S317)*(1+$I$4)*IF(P317="会",'模拟-全程加成'!$J$3+'模拟-全程加成'!$J$4+'模拟-全程加成'!$J$5+('模拟-全程加成'!$I$4+'模拟-全程加成'!$I$5)/系数!$B$4+BG317*10%,IF(P317="命",1,IF(P317="识",0.25,0))),0)</f>
        <v>0</v>
      </c>
      <c r="AZ317" s="108">
        <f t="shared" si="274"/>
        <v>16.310000000000002</v>
      </c>
      <c r="BA317" s="108" t="b">
        <f>AND(模拟模式!$Q$10="有",AZ316=0)</f>
        <v>0</v>
      </c>
      <c r="BB317" s="140">
        <f>IF(BA317,(0+G317*0.287)*(1+J317)*(1-S317)*(1+$I$4)*IF(P317="会",'模拟-全程加成'!$J$3+'模拟-全程加成'!$J$4+'模拟-全程加成'!$J$5+('模拟-全程加成'!$I$4+'模拟-全程加成'!$I$5)/系数!$B$4+BG317*10%,IF(P317="命",1,IF(P317="识",0.25,0))),0)</f>
        <v>0</v>
      </c>
      <c r="BC317" s="115" t="b">
        <f ca="1">AND(模拟模式!$R$7="伏明众生",E317=60,F317=20,DA317&lt;5,CZ316&lt;$F$4)</f>
        <v>0</v>
      </c>
      <c r="BD317" s="115">
        <f t="shared" ca="1" si="236"/>
        <v>0</v>
      </c>
      <c r="BE317" s="115" t="b">
        <f t="shared" ca="1" si="237"/>
        <v>0</v>
      </c>
      <c r="BF317" s="47">
        <f ca="1">IF(BC317,4*('模拟-单技能数据'!$D$24+G317*'模拟-单技能数据'!$F$24)*(1+J317)*(1+'模拟-单技能数据'!$J$24)*(1-S317)*(1+$I$3)*(('模拟-全程加成'!$J$3+'模拟-全程加成'!$J$4+'模拟-全程加成'!$J$5+('模拟-全程加成'!$I$4+'模拟-全程加成'!$I$5)/系数!$B$4+BG317*10%)*('模拟-全程加成'!$J$3+'模拟-全程加成'!$J$4+'模拟-全程加成'!$J$5+('模拟-全程加成'!$I$4+'模拟-全程加成'!$I$5)/系数!$B$4+BG317*10%)+(1-('模拟-全程加成'!$J$3+'模拟-全程加成'!$J$4+'模拟-全程加成'!$J$5+('模拟-全程加成'!$I$4+'模拟-全程加成'!$I$5)/系数!$B$4+BG317*10%)-$F$10-$F$11)+F303*0.25),0)*'模拟-单技能数据'!$I$24</f>
        <v>0</v>
      </c>
      <c r="BG317" s="115" t="b">
        <f ca="1">OR(AND(OR(C317="烈日斩",C317="银月斩"),模拟模式!$I$7="净身明礼"),AND(C317="净世破魔击·日",模拟模式!$J$7="洞若观火"),AND(C318="净世破魔击·月",模拟模式!$J$7="洞若观火"),AB317=1)</f>
        <v>1</v>
      </c>
      <c r="BH317" s="115" t="b">
        <f t="shared" ca="1" si="275"/>
        <v>0</v>
      </c>
      <c r="BI317" s="115">
        <f t="shared" ca="1" si="238"/>
        <v>0</v>
      </c>
      <c r="BJ317" s="115" t="b">
        <f t="shared" ca="1" si="249"/>
        <v>0</v>
      </c>
      <c r="BK317" s="115" t="b">
        <f ca="1">AND(C317="驱夜断愁",模拟模式!$P$7="天地诛戮")</f>
        <v>0</v>
      </c>
      <c r="BL317" s="57">
        <f t="shared" ca="1" si="239"/>
        <v>19.077500000000001</v>
      </c>
      <c r="BM317" s="115" t="b">
        <f t="shared" ca="1" si="250"/>
        <v>1</v>
      </c>
      <c r="BN317" s="115" t="b">
        <f ca="1">AND(OR(C317="赤日轮1",C317="赤日轮2",C317="赤日轮3",C317="幽月轮1",C317="幽月轮2",C317="幽月轮3"),AB317=1,模拟模式!$L$7="明光恒照")</f>
        <v>0</v>
      </c>
      <c r="BO317" s="117">
        <f t="shared" ca="1" si="240"/>
        <v>27.232500000000002</v>
      </c>
      <c r="BP317" s="115">
        <f t="shared" ca="1" si="276"/>
        <v>6</v>
      </c>
      <c r="BQ317" s="115" t="b">
        <f>模拟模式!$K$10="2600·水"</f>
        <v>0</v>
      </c>
      <c r="BR317" s="117">
        <f t="shared" si="277"/>
        <v>0</v>
      </c>
      <c r="BS317" s="115">
        <f t="shared" si="278"/>
        <v>0</v>
      </c>
      <c r="BT317" s="115">
        <f t="shared" ca="1" si="279"/>
        <v>0</v>
      </c>
      <c r="BU317" s="115" t="b">
        <f ca="1">AND(模拟模式!$K$10="2300·雷",BT316=0,RAND()&lt;IF(C317="净世破魔击·月",5*0.05*2/3,IF(C317="净世破魔击·日",3*0.05*2/3,0.05*2*2/3)))</f>
        <v>0</v>
      </c>
      <c r="BV317" s="115">
        <f t="shared" ca="1" si="280"/>
        <v>0</v>
      </c>
      <c r="BW317" s="115">
        <f t="shared" ca="1" si="281"/>
        <v>104.35499999999925</v>
      </c>
      <c r="BX317" s="164" t="b">
        <f t="shared" ca="1" si="282"/>
        <v>0</v>
      </c>
      <c r="BY317" s="115">
        <f t="shared" ca="1" si="283"/>
        <v>0</v>
      </c>
      <c r="BZ317" s="115">
        <f>IF(OR(模拟模式!$P$16="10人团",模拟模式!$P$16="25人团"),IF(B317/30&gt;CA316,1,0),0)</f>
        <v>0</v>
      </c>
      <c r="CA317" s="115">
        <f t="shared" si="259"/>
        <v>0</v>
      </c>
      <c r="CB317" s="115">
        <f ca="1">IF(BZ317=1,IF(模拟模式!$P$16="10人团",15,0)+IF(模拟模式!$P$16="25人团",IF(RAND()&lt;0.6,15,0)),MAX(0,CB316-$F$4))</f>
        <v>0</v>
      </c>
      <c r="CC317" s="115" t="b">
        <f t="shared" ca="1" si="251"/>
        <v>0</v>
      </c>
      <c r="CD317" s="115">
        <f>IF(模拟模式!$Q$16="1个",IF(B317/40&gt;CE316,1,0),0)</f>
        <v>0</v>
      </c>
      <c r="CE317" s="115">
        <f t="shared" si="252"/>
        <v>0</v>
      </c>
      <c r="CF317" s="115">
        <f>IF(OR(CD317=1,模拟模式!$Q$16="2个"),20,MAX(0,CF316-$F$4))</f>
        <v>0</v>
      </c>
      <c r="CG317" s="115" t="b">
        <f t="shared" si="253"/>
        <v>0</v>
      </c>
      <c r="CH317" s="115">
        <f t="shared" ca="1" si="284"/>
        <v>0</v>
      </c>
      <c r="CI317" s="115" t="b">
        <f t="shared" ca="1" si="285"/>
        <v>0</v>
      </c>
      <c r="CJ317" s="119">
        <f t="shared" ca="1" si="286"/>
        <v>0</v>
      </c>
      <c r="CK317" s="115">
        <f t="shared" ca="1" si="287"/>
        <v>0</v>
      </c>
      <c r="CL317" s="115" t="b">
        <f ca="1">AND(模拟模式!$S$7="驱夷逐法",OR(AND(C317="净世破魔击·月",E316&gt;59),AND(C317="净世破魔击·日",F316&gt;59)))</f>
        <v>0</v>
      </c>
      <c r="CM317" s="115" t="b">
        <f ca="1">OR(CL317,AND(C317="净世破魔击·日",CL316,RAND()&lt;模拟模式!$U$23))</f>
        <v>0</v>
      </c>
      <c r="CN317" s="115" t="b">
        <f ca="1">IF(模拟模式!$M$7="辉耀红尘",AND(C317="净世破魔击·月",CL317,CV317=0,E316&lt;80),AND(C317="净世破魔击·月",CL317,E316&lt;100))</f>
        <v>0</v>
      </c>
      <c r="CO317" s="115" t="b">
        <f t="shared" ca="1" si="260"/>
        <v>0</v>
      </c>
      <c r="CP317" s="115" t="b">
        <f ca="1">AND(模拟模式!$O$7="用晦而明",OR(C317="净世破魔击·日",C317="净世破魔击·月",C317="驱夜断愁"),AB317)</f>
        <v>0</v>
      </c>
      <c r="CQ317" s="115" t="b">
        <f ca="1">OR(CP317,AND(CP316,RAND()&lt;模拟模式!$U$23))</f>
        <v>1</v>
      </c>
      <c r="CR317" s="115" t="b">
        <f ca="1">AND(模拟模式!$S$7="日月齐光",OR(C317="幽月轮1",C317="幽月轮2",C317="幽月轮3",CR316),NOT(OR(C317="赤日轮1",C317="赤日轮2",C317="赤日轮3")))</f>
        <v>0</v>
      </c>
      <c r="CS317" s="115" t="b">
        <f ca="1">AND(模拟模式!$S$7="日月齐光",OR(C317="赤日轮1",C317="赤日轮2",C317="赤日轮3",CS316),NOT(OR(C317="幽月轮1",C317="幽月轮2",C317="幽月轮3")))</f>
        <v>0</v>
      </c>
      <c r="CT317" s="115">
        <f t="shared" ca="1" si="288"/>
        <v>8.7825000000000131</v>
      </c>
      <c r="CU317" s="115" t="b">
        <f ca="1">AND(模拟模式!$K$10="阴阳往极",CT316=0,RAND()&lt;IF(C317="净世破魔击·月",0.0275*7/3,IF(C317="净世破魔击·日",0.0275*3/3,0.0275*2/3)))</f>
        <v>0</v>
      </c>
      <c r="CV317" s="115">
        <f t="shared" ca="1" si="289"/>
        <v>0</v>
      </c>
      <c r="CW317" s="115">
        <f t="shared" ca="1" si="261"/>
        <v>6</v>
      </c>
      <c r="CX317" s="115">
        <f t="shared" ca="1" si="262"/>
        <v>4.1549999999999994</v>
      </c>
      <c r="CY317" s="115">
        <f ca="1">MAX(IF($C317="驱夜断愁",IF(模拟模式!$R$7="万念俱寂",6,45),CY316-$F$4),0)</f>
        <v>5.0774999999999997</v>
      </c>
      <c r="CZ317" s="115">
        <f t="shared" ca="1" si="263"/>
        <v>0</v>
      </c>
      <c r="DA317" s="115">
        <f ca="1">IF(模拟模式!$N$7="日月同辉",IF(DB316=2,0,MIN(6,IF(AND(OR(C317="赤日轮1",C317="赤日轮2",C317="赤日轮3",C317="幽月轮1",C317="幽月轮2",C317="幽月轮3"),AB317=1),DA316+1,DA316))),0)</f>
        <v>4</v>
      </c>
      <c r="DB317" s="115">
        <f t="shared" ca="1" si="264"/>
        <v>0</v>
      </c>
      <c r="DC317" s="115"/>
      <c r="DD317" s="115"/>
      <c r="DE317" s="115"/>
      <c r="DF317" s="115"/>
      <c r="DG317" s="115"/>
      <c r="DH317" s="115"/>
      <c r="DI317" s="115"/>
      <c r="DJ317" s="115"/>
      <c r="DK317" s="115"/>
      <c r="DL317" s="115"/>
      <c r="DM317" s="115"/>
    </row>
    <row r="318" spans="2:117" x14ac:dyDescent="0.2">
      <c r="B318" s="117">
        <f t="shared" si="265"/>
        <v>268.44750000000198</v>
      </c>
      <c r="C318" s="167" t="str">
        <f t="shared" ca="1" si="258"/>
        <v>幽月轮1</v>
      </c>
      <c r="D318" s="115">
        <f ca="1">IF(C318="赤日轮1",1,IF(C318="赤日轮2",2,IF(C318="赤日轮3",3,IF(C318="幽月轮1",4,IF(C318="幽月轮2",5,IF(C318="幽月轮3",6,IF(C318="烈日斩",7,IF(C318="银月斩",8,IF(C318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318="净世破魔击·月",17,IF(C318="驱夜断愁",18,0)))))))))))</f>
        <v>4</v>
      </c>
      <c r="E318" s="115">
        <f ca="1">IF(AND(CU318,OR(C318="幽月轮1",C318="幽月轮2",C318="幽月轮3",C318="银月斩",C318="驱夜断愁",C318="净世破魔击·月")),100,MIN(IF(OR(CN318,BE318),0,IF(OR($C318="赤日轮1",$C318="赤日轮2",$C318="赤日轮3"),E317+20+IF(模拟模式!$I$7="日月凌天",4,0)+IF(CR317,20,0),IF($C318="烈日斩",E317+40,IF($C318="驱夜断愁",IF(模拟模式!$R$7="万念俱寂",E317+20,E317+60),IF($C318="净世破魔击·月",IF(OR(DB317&gt;0,CV317&gt;0),100,IF(模拟模式!$M$7="辉耀红尘",E317+20,E317)),IF($C318="净世破魔击·日",E317-100,E317)))))),100))</f>
        <v>80</v>
      </c>
      <c r="F318" s="115">
        <f ca="1">IF(AND(CU318,OR(C318="赤日轮1",C318="赤日轮2",C318="赤日轮3",C318="烈日斩",C318="净世破魔击·日")),100,MIN(IF(CO318,0,IF(OR($C318="幽月轮1",$C318="幽月轮2",$C318="幽月轮3"),F317+20+IF(模拟模式!$I$7="日月凌天",4,0)+IF(CS317,20,0),IF($C318="银月斩",F317+40+IF(模拟模式!$X$12=1,5,0),IF($C318="驱夜断愁",IF(模拟模式!$R$7="万念俱寂",F317+20,F317+60),IF($C318="净世破魔击·月",IF(模拟模式!$M$7="辉耀红尘",F317-80,F317-100),IF(AND(C318="净世破魔击·日",OR(DB317&gt;0,CV317&gt;0)),100,F317)))))),100))</f>
        <v>100</v>
      </c>
      <c r="G318" s="117">
        <f ca="1">('模拟-全程加成'!$E$3+'模拟-全程加成'!$E$4+'模拟-全程加成'!$E$5+('模拟-全程加成'!$C$6-'模拟-全程加成'!$C$3)*系数!$B$9+BS318*23)*(1+'模拟-全程加成'!$F$4+'模拟-全程加成'!$F$5+BJ318*10%+BM318*20%+BP318*4%+CG318*30%)+$F$7*系数!$B$12</f>
        <v>20583.127400000001</v>
      </c>
      <c r="H318" s="45">
        <f ca="1">'模拟-全程加成'!$H$3+'模拟-全程加成'!$H$4+'模拟-全程加成'!$H$5+('模拟-全程加成'!$G$4+'模拟-全程加成'!$G$5+('模拟-全程加成'!$C$6-'模拟-全程加成'!$C$3)*系数!$B$13)/系数!$B$3+LOOKUP(D318,'模拟-单技能数据'!$A$2:$A$19,'模拟-单技能数据'!$K$2:$K$19)+BG318*10%+IF(BV318&gt;0,378,0)</f>
        <v>0.51185145527300213</v>
      </c>
      <c r="I318" s="45">
        <f ca="1">'模拟-全程加成'!$J$3+'模拟-全程加成'!$J$4+'模拟-全程加成'!$J$5+('模拟-全程加成'!$I$4+'模拟-全程加成'!$I$5)/系数!$B$4+LOOKUP(D318,'模拟-单技能数据'!$A$2:$A$19,'模拟-单技能数据'!$L$2:$L$19)+BG318*10%</f>
        <v>2.162482885499879</v>
      </c>
      <c r="J318" s="45">
        <f ca="1">(('模拟-全程加成'!$K$3+'模拟-全程加成'!$K$4+'模拟-全程加成'!$K$5+('模拟-全程加成'!$C$6-'模拟-全程加成'!$C$3)*系数!$B$10+IF(BV318&gt;0,882,0)+IF(BY318&gt;0,1831,0))*(1+'模拟-全程加成'!$L$4+'模拟-全程加成'!$L$5+CC318*20%))/系数!$B$5</f>
        <v>0.69723220422048726</v>
      </c>
      <c r="K318" s="119">
        <f ca="1">LOOKUP(D318,'模拟-单技能数据'!$A$2:$A$19,'模拟-单技能数据'!$J$2:$J$19)+IF(CM318,60%,0)+IF(DB317-DB318&gt;0,30%,0)+IF(OR(AND(OR(C318="赤日轮1",C318="赤日轮2",C318="赤日轮3"),CR318),AND(OR(C318="幽月轮1",C318="幽月轮2",C318="幽月轮3"),CS318)),35%,0)+CJ318</f>
        <v>7.0000000000000007E-2</v>
      </c>
      <c r="L318" s="119">
        <f ca="1">IF(AND(C318="烈日斩",模拟模式!$X$11=1),10%,0)+IF(AND(C318="驱夜断愁",AB318=1),30%,0)</f>
        <v>0</v>
      </c>
      <c r="M318" s="45">
        <f t="shared" ca="1" si="241"/>
        <v>0.51185145527300213</v>
      </c>
      <c r="N318" s="45">
        <f t="shared" ca="1" si="242"/>
        <v>0.43424854472699792</v>
      </c>
      <c r="O318" s="46">
        <f t="shared" ca="1" si="266"/>
        <v>0.71781784167807194</v>
      </c>
      <c r="P318" s="46" t="str">
        <f t="shared" ca="1" si="267"/>
        <v>命</v>
      </c>
      <c r="Q318" s="45">
        <f t="shared" ca="1" si="268"/>
        <v>1</v>
      </c>
      <c r="R318" s="117">
        <f ca="1">模拟模式!$E$20*(1-IF(模拟模式!$J$19="有",0.15,0))*(1-IF(模拟模式!$K$19="有",0.3,0)-IF(CQ318,0.5,0))</f>
        <v>2950.6049999999996</v>
      </c>
      <c r="S318" s="45">
        <f ca="1">R318/(R318+(185*模拟模式!$E$22-16800)*4.08224)</f>
        <v>0.24272716014590323</v>
      </c>
      <c r="T318" s="45" t="str">
        <f ca="1">LOOKUP(D318,'模拟-单技能数据'!$A$2:$A$19,'模拟-单技能数据'!$H$2:$H$19)</f>
        <v>阴</v>
      </c>
      <c r="U318" s="119">
        <f t="shared" ca="1" si="243"/>
        <v>0.08</v>
      </c>
      <c r="V318" s="47">
        <f ca="1">(1+L318)*(LOOKUP(D318,'模拟-单技能数据'!$A$2:$A$19,'模拟-单技能数据'!$D$2:$D$19)+G318*LOOKUP(D318,'模拟-单技能数据'!$A$2:$A$19,'模拟-单技能数据'!$F$2:$F$19))*(1+J318)*(1+K318)*(1-S318)*(1+U318)*Q318*LOOKUP(D318,'模拟-单技能数据'!$A$2:$A$19,'模拟-单技能数据'!$I$2:$I$20)</f>
        <v>16226.218300318291</v>
      </c>
      <c r="W318" s="47">
        <f ca="1">LOOKUP(D318,'模拟-单技能数据'!$A$2:$A$19,'模拟-单技能数据'!$G$2:$G$19)*$I$10</f>
        <v>361.51064354704795</v>
      </c>
      <c r="X318" s="47">
        <f t="shared" ca="1" si="269"/>
        <v>0</v>
      </c>
      <c r="Y318" s="47">
        <f t="shared" ca="1" si="244"/>
        <v>16587.728943865339</v>
      </c>
      <c r="Z318" s="49">
        <f t="shared" ca="1" si="245"/>
        <v>30514720.530405406</v>
      </c>
      <c r="AA318" s="97">
        <f t="shared" ca="1" si="246"/>
        <v>113671.09222624602</v>
      </c>
      <c r="AB318" s="115">
        <f ca="1">IF(OR(C318="赤日轮1",C318="赤日轮2",C318="赤日轮3"),IF(RAND()&lt;模拟模式!$Y$17,1,0),IF(OR(C318="幽月轮1",C318="幽月轮2",C318="幽月轮3"),IF(RAND()&lt;模拟模式!$Y$18,1,0),IF(C318="烈日斩",IF(RAND()&lt;模拟模式!$Y$19,1,0),IF(C318="银月斩",IF(RAND()&lt;模拟模式!$Y$20,1,0),IF(C318="驱夜断愁",IF(RAND()&lt;模拟模式!$Y$21,1,0),IF(C318="净世破魔击·日",IF(RAND()&lt;模拟模式!$Y$22,1,0),IF(C318="净世破魔击·月",IF(RAND()&lt;模拟模式!$Y$23,1,0),0)))))))</f>
        <v>1</v>
      </c>
      <c r="AC318" s="115" t="b">
        <f t="shared" ca="1" si="234"/>
        <v>0</v>
      </c>
      <c r="AD318" s="115" t="b">
        <f t="shared" ca="1" si="254"/>
        <v>0</v>
      </c>
      <c r="AE318" s="115">
        <f t="shared" ca="1" si="255"/>
        <v>4</v>
      </c>
      <c r="AF318" s="47">
        <f ca="1">IF(AC318,('模拟-单技能数据'!$D$20+G318*'模拟-单技能数据'!$F$20)*(1+J318)*(1+'模拟-单技能数据'!$J$20)*(1+U318),0)</f>
        <v>0</v>
      </c>
      <c r="AG318" s="61">
        <f t="shared" ca="1" si="247"/>
        <v>0.64185145527300214</v>
      </c>
      <c r="AH318" s="61">
        <f t="shared" ca="1" si="248"/>
        <v>2.2624828854998791</v>
      </c>
      <c r="AI318" s="62">
        <f t="shared" ca="1" si="270"/>
        <v>0.89558715831615965</v>
      </c>
      <c r="AJ318" s="47">
        <f ca="1">IF(AD318,IF(AI318&lt;$F$10,0,IF(AI318&lt;$F$10+$F$11,0.25,IF(AI318&lt;$F$10+$F$11+AG318,AH318,1)))*IF(AF318&gt;0,AF318,IF(AF317&gt;0,AF317,IF(AF316&gt;0,AF316,IF(AF315&gt;0,AF315,IF(AF314&gt;0,AF314,IF(AF313&gt;0,AF313,IF(AF312&gt;0,AF312,IF(AF311&gt;0,AF311,IF(AF310&gt;0,AF310,IF(AF308&gt;0,AF308,IF(AF307&gt;0,AF307,IF(AF306&gt;0,AF306,0)))))))))))),0)*(1-$S318)*'模拟-单技能数据'!$I$20</f>
        <v>0</v>
      </c>
      <c r="AK318" s="115" t="b">
        <f t="shared" ca="1" si="235"/>
        <v>0</v>
      </c>
      <c r="AL318" s="115" t="b">
        <f t="shared" ca="1" si="256"/>
        <v>0</v>
      </c>
      <c r="AM318" s="115">
        <f t="shared" ca="1" si="257"/>
        <v>3</v>
      </c>
      <c r="AN318" s="47">
        <f ca="1">IF(AK318,('模拟-单技能数据'!$D$21+G318*'模拟-单技能数据'!$F$21)*(1+J318)*(1+'模拟-单技能数据'!$J$21)*(1+U318),0)</f>
        <v>0</v>
      </c>
      <c r="AO318" s="61">
        <f ca="1">IF(AN318&gt;0,M318-'模拟-单技能数据'!$K$10,AO317)</f>
        <v>0.42185145527300216</v>
      </c>
      <c r="AP318" s="61">
        <f ca="1">IF(AN318&gt;0,I318-'模拟-单技能数据'!$L$10,AP317)</f>
        <v>2.162482885499879</v>
      </c>
      <c r="AQ318" s="63">
        <f t="shared" ca="1" si="271"/>
        <v>0.35719953931380999</v>
      </c>
      <c r="AR318" s="64">
        <f ca="1">IF(AL318,IF(AQ318&lt;$F$10,0,IF(AQ318&lt;$F$10+$F$11,0.25,IF(AQ318&lt;$F$10+$F$11+AO318,AP318,1)))*IF(AN318&gt;0,AN318,IF(AN317&gt;0,AN317,IF(AN316&gt;0,AN316,IF(AN315&gt;0,AN315,IF(AN314&gt;0,AN314,IF(AN313&gt;0,AN313,IF(AN312&gt;0,AN312,IF(AN311&gt;0,AN311,IF(AN310&gt;0,AN310,IF(AN308&gt;0,AN308,IF(AN307&gt;0,AN307,IF(AN306&gt;0,AN306,0)))))))))))),0)*(1-$S318)*'模拟-单技能数据'!$I$21</f>
        <v>0</v>
      </c>
      <c r="AS318" s="61">
        <f ca="1">IF(OR(C318="净世破魔击·日",C318="净世破魔击·月"),M318-'模拟-单技能数据'!$K$10,0)</f>
        <v>0</v>
      </c>
      <c r="AT318" s="61">
        <f ca="1">IF(OR(C318="净世破魔击·日",C318="净世破魔击·月"),I318-'模拟-单技能数据'!$L$10,0)</f>
        <v>0</v>
      </c>
      <c r="AU318" s="62">
        <f t="shared" ca="1" si="272"/>
        <v>0.99530808233890355</v>
      </c>
      <c r="AV318" s="64">
        <f ca="1">IF(AS318&gt;0,('模拟-单技能数据'!$D$22+G318*'模拟-单技能数据'!$F$22)*(1+J318)*(1-S318)*IF(AU318&lt;$F$10,0,IF(AU318&lt;$F$10+$F$11,0.25,IF(AU318&lt;$F$10+$F$11+AS318,AT318,1)))*(1+U318),0)*'模拟-单技能数据'!$I$22</f>
        <v>0</v>
      </c>
      <c r="AW318" s="108">
        <f t="shared" ca="1" si="273"/>
        <v>0</v>
      </c>
      <c r="AX318" s="108" t="b">
        <f ca="1">AND(模拟模式!$P$10="有",AW317=0,RAND()&lt;IF(C318="净世破魔击·月",0.1*8/3,IF(C318="净世破魔击·日",0.1*4/3,0.1*2/3)))</f>
        <v>0</v>
      </c>
      <c r="AY318" s="47">
        <f ca="1">IF(AX318,(18+G318*0.722)*(1+J318)*(1-S318)*(1+$I$4)*IF(P318="会",'模拟-全程加成'!$J$3+'模拟-全程加成'!$J$4+'模拟-全程加成'!$J$5+('模拟-全程加成'!$I$4+'模拟-全程加成'!$I$5)/系数!$B$4+BG318*10%,IF(P318="命",1,IF(P318="识",0.25,0))),0)</f>
        <v>0</v>
      </c>
      <c r="AZ318" s="108">
        <f t="shared" si="274"/>
        <v>15.387500000000003</v>
      </c>
      <c r="BA318" s="108" t="b">
        <f>AND(模拟模式!$Q$10="有",AZ317=0)</f>
        <v>0</v>
      </c>
      <c r="BB318" s="140">
        <f>IF(BA318,(0+G318*0.287)*(1+J318)*(1-S318)*(1+$I$4)*IF(P318="会",'模拟-全程加成'!$J$3+'模拟-全程加成'!$J$4+'模拟-全程加成'!$J$5+('模拟-全程加成'!$I$4+'模拟-全程加成'!$I$5)/系数!$B$4+BG318*10%,IF(P318="命",1,IF(P318="识",0.25,0))),0)</f>
        <v>0</v>
      </c>
      <c r="BC318" s="115" t="b">
        <f ca="1">AND(模拟模式!$R$7="伏明众生",E318=60,F318=20,DA318&lt;5,CZ317&lt;$F$4)</f>
        <v>0</v>
      </c>
      <c r="BD318" s="115">
        <f t="shared" ca="1" si="236"/>
        <v>0</v>
      </c>
      <c r="BE318" s="115" t="b">
        <f t="shared" ca="1" si="237"/>
        <v>0</v>
      </c>
      <c r="BF318" s="47">
        <f ca="1">IF(BC318,4*('模拟-单技能数据'!$D$24+G318*'模拟-单技能数据'!$F$24)*(1+J318)*(1+'模拟-单技能数据'!$J$24)*(1-S318)*(1+$I$3)*(('模拟-全程加成'!$J$3+'模拟-全程加成'!$J$4+'模拟-全程加成'!$J$5+('模拟-全程加成'!$I$4+'模拟-全程加成'!$I$5)/系数!$B$4+BG318*10%)*('模拟-全程加成'!$J$3+'模拟-全程加成'!$J$4+'模拟-全程加成'!$J$5+('模拟-全程加成'!$I$4+'模拟-全程加成'!$I$5)/系数!$B$4+BG318*10%)+(1-('模拟-全程加成'!$J$3+'模拟-全程加成'!$J$4+'模拟-全程加成'!$J$5+('模拟-全程加成'!$I$4+'模拟-全程加成'!$I$5)/系数!$B$4+BG318*10%)-$F$10-$F$11)+F304*0.25),0)*'模拟-单技能数据'!$I$24</f>
        <v>0</v>
      </c>
      <c r="BG318" s="115" t="b">
        <f ca="1">OR(AND(OR(C318="烈日斩",C318="银月斩"),模拟模式!$I$7="净身明礼"),AND(C318="净世破魔击·日",模拟模式!$J$7="洞若观火"),AND(C319="净世破魔击·月",模拟模式!$J$7="洞若观火"),AB318=1)</f>
        <v>1</v>
      </c>
      <c r="BH318" s="115" t="b">
        <f t="shared" ca="1" si="275"/>
        <v>0</v>
      </c>
      <c r="BI318" s="115">
        <f t="shared" ca="1" si="238"/>
        <v>0</v>
      </c>
      <c r="BJ318" s="115" t="b">
        <f t="shared" ca="1" si="249"/>
        <v>0</v>
      </c>
      <c r="BK318" s="115" t="b">
        <f ca="1">AND(C318="驱夜断愁",模拟模式!$P$7="天地诛戮")</f>
        <v>0</v>
      </c>
      <c r="BL318" s="57">
        <f t="shared" ca="1" si="239"/>
        <v>18.155000000000001</v>
      </c>
      <c r="BM318" s="115" t="b">
        <f t="shared" ca="1" si="250"/>
        <v>1</v>
      </c>
      <c r="BN318" s="115" t="b">
        <f ca="1">AND(OR(C318="赤日轮1",C318="赤日轮2",C318="赤日轮3",C318="幽月轮1",C318="幽月轮2",C318="幽月轮3"),AB318=1,模拟模式!$L$7="明光恒照")</f>
        <v>1</v>
      </c>
      <c r="BO318" s="117">
        <f t="shared" ca="1" si="240"/>
        <v>30</v>
      </c>
      <c r="BP318" s="115">
        <f t="shared" ca="1" si="276"/>
        <v>6</v>
      </c>
      <c r="BQ318" s="115" t="b">
        <f>模拟模式!$K$10="2600·水"</f>
        <v>0</v>
      </c>
      <c r="BR318" s="117">
        <f t="shared" si="277"/>
        <v>0</v>
      </c>
      <c r="BS318" s="115">
        <f t="shared" si="278"/>
        <v>0</v>
      </c>
      <c r="BT318" s="115">
        <f t="shared" ca="1" si="279"/>
        <v>0</v>
      </c>
      <c r="BU318" s="115" t="b">
        <f ca="1">AND(模拟模式!$K$10="2300·雷",BT317=0,RAND()&lt;IF(C318="净世破魔击·月",5*0.05*2/3,IF(C318="净世破魔击·日",3*0.05*2/3,0.05*2*2/3)))</f>
        <v>0</v>
      </c>
      <c r="BV318" s="115">
        <f t="shared" ca="1" si="280"/>
        <v>0</v>
      </c>
      <c r="BW318" s="115">
        <f t="shared" ca="1" si="281"/>
        <v>103.43249999999925</v>
      </c>
      <c r="BX318" s="164" t="b">
        <f t="shared" ca="1" si="282"/>
        <v>0</v>
      </c>
      <c r="BY318" s="115">
        <f t="shared" ca="1" si="283"/>
        <v>0</v>
      </c>
      <c r="BZ318" s="115">
        <f>IF(OR(模拟模式!$P$16="10人团",模拟模式!$P$16="25人团"),IF(B318/30&gt;CA317,1,0),0)</f>
        <v>0</v>
      </c>
      <c r="CA318" s="115">
        <f t="shared" si="259"/>
        <v>0</v>
      </c>
      <c r="CB318" s="115">
        <f ca="1">IF(BZ318=1,IF(模拟模式!$P$16="10人团",15,0)+IF(模拟模式!$P$16="25人团",IF(RAND()&lt;0.6,15,0)),MAX(0,CB317-$F$4))</f>
        <v>0</v>
      </c>
      <c r="CC318" s="115" t="b">
        <f t="shared" ca="1" si="251"/>
        <v>0</v>
      </c>
      <c r="CD318" s="115">
        <f>IF(模拟模式!$Q$16="1个",IF(B318/40&gt;CE317,1,0),0)</f>
        <v>0</v>
      </c>
      <c r="CE318" s="115">
        <f t="shared" si="252"/>
        <v>0</v>
      </c>
      <c r="CF318" s="115">
        <f>IF(OR(CD318=1,模拟模式!$Q$16="2个"),20,MAX(0,CF317-$F$4))</f>
        <v>0</v>
      </c>
      <c r="CG318" s="115" t="b">
        <f t="shared" si="253"/>
        <v>0</v>
      </c>
      <c r="CH318" s="115">
        <f t="shared" ca="1" si="284"/>
        <v>0</v>
      </c>
      <c r="CI318" s="115" t="b">
        <f t="shared" ca="1" si="285"/>
        <v>0</v>
      </c>
      <c r="CJ318" s="119">
        <f t="shared" ca="1" si="286"/>
        <v>0</v>
      </c>
      <c r="CK318" s="115">
        <f t="shared" ca="1" si="287"/>
        <v>0</v>
      </c>
      <c r="CL318" s="115" t="b">
        <f ca="1">AND(模拟模式!$S$7="驱夷逐法",OR(AND(C318="净世破魔击·月",E317&gt;59),AND(C318="净世破魔击·日",F317&gt;59)))</f>
        <v>0</v>
      </c>
      <c r="CM318" s="115" t="b">
        <f ca="1">OR(CL318,AND(C318="净世破魔击·日",CL317,RAND()&lt;模拟模式!$U$23))</f>
        <v>0</v>
      </c>
      <c r="CN318" s="115" t="b">
        <f ca="1">IF(模拟模式!$M$7="辉耀红尘",AND(C318="净世破魔击·月",CL318,CV318=0,E317&lt;80),AND(C318="净世破魔击·月",CL318,E317&lt;100))</f>
        <v>0</v>
      </c>
      <c r="CO318" s="115" t="b">
        <f t="shared" ca="1" si="260"/>
        <v>0</v>
      </c>
      <c r="CP318" s="115" t="b">
        <f ca="1">AND(模拟模式!$O$7="用晦而明",OR(C318="净世破魔击·日",C318="净世破魔击·月",C318="驱夜断愁"),AB318)</f>
        <v>0</v>
      </c>
      <c r="CQ318" s="115" t="b">
        <f ca="1">OR(CP318,AND(CP317,RAND()&lt;模拟模式!$U$23))</f>
        <v>0</v>
      </c>
      <c r="CR318" s="115" t="b">
        <f ca="1">AND(模拟模式!$S$7="日月齐光",OR(C318="幽月轮1",C318="幽月轮2",C318="幽月轮3",CR317),NOT(OR(C318="赤日轮1",C318="赤日轮2",C318="赤日轮3")))</f>
        <v>0</v>
      </c>
      <c r="CS318" s="115" t="b">
        <f ca="1">AND(模拟模式!$S$7="日月齐光",OR(C318="赤日轮1",C318="赤日轮2",C318="赤日轮3",CS317),NOT(OR(C318="幽月轮1",C318="幽月轮2",C318="幽月轮3")))</f>
        <v>0</v>
      </c>
      <c r="CT318" s="115">
        <f t="shared" ca="1" si="288"/>
        <v>7.8600000000000128</v>
      </c>
      <c r="CU318" s="115" t="b">
        <f ca="1">AND(模拟模式!$K$10="阴阳往极",CT317=0,RAND()&lt;IF(C318="净世破魔击·月",0.0275*7/3,IF(C318="净世破魔击·日",0.0275*3/3,0.0275*2/3)))</f>
        <v>0</v>
      </c>
      <c r="CV318" s="115">
        <f t="shared" ca="1" si="289"/>
        <v>0</v>
      </c>
      <c r="CW318" s="115">
        <f t="shared" ca="1" si="261"/>
        <v>5.0774999999999997</v>
      </c>
      <c r="CX318" s="115">
        <f t="shared" ca="1" si="262"/>
        <v>3.2324999999999995</v>
      </c>
      <c r="CY318" s="115">
        <f ca="1">MAX(IF($C318="驱夜断愁",IF(模拟模式!$R$7="万念俱寂",6,45),CY317-$F$4),0)</f>
        <v>4.1549999999999994</v>
      </c>
      <c r="CZ318" s="115">
        <f t="shared" ca="1" si="263"/>
        <v>0</v>
      </c>
      <c r="DA318" s="115">
        <f ca="1">IF(模拟模式!$N$7="日月同辉",IF(DB317=2,0,MIN(6,IF(AND(OR(C318="赤日轮1",C318="赤日轮2",C318="赤日轮3",C318="幽月轮1",C318="幽月轮2",C318="幽月轮3"),AB318=1),DA317+1,DA317))),0)</f>
        <v>5</v>
      </c>
      <c r="DB318" s="115">
        <f t="shared" ca="1" si="264"/>
        <v>0</v>
      </c>
      <c r="DC318" s="115"/>
      <c r="DD318" s="115"/>
      <c r="DE318" s="115"/>
      <c r="DF318" s="115"/>
      <c r="DG318" s="115"/>
      <c r="DH318" s="115"/>
      <c r="DI318" s="115"/>
      <c r="DJ318" s="115"/>
      <c r="DK318" s="115"/>
      <c r="DL318" s="115"/>
      <c r="DM318" s="115"/>
    </row>
    <row r="319" spans="2:117" x14ac:dyDescent="0.2">
      <c r="B319" s="117">
        <f t="shared" si="265"/>
        <v>269.37000000000199</v>
      </c>
      <c r="C319" s="167" t="str">
        <f t="shared" ca="1" si="258"/>
        <v>净世破魔击·月</v>
      </c>
      <c r="D319" s="115">
        <f ca="1">IF(C319="赤日轮1",1,IF(C319="赤日轮2",2,IF(C319="赤日轮3",3,IF(C319="幽月轮1",4,IF(C319="幽月轮2",5,IF(C319="幽月轮3",6,IF(C319="烈日斩",7,IF(C319="银月斩",8,IF(C319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319="净世破魔击·月",17,IF(C319="驱夜断愁",18,0)))))))))))</f>
        <v>17</v>
      </c>
      <c r="E319" s="115">
        <f ca="1">IF(AND(CU319,OR(C319="幽月轮1",C319="幽月轮2",C319="幽月轮3",C319="银月斩",C319="驱夜断愁",C319="净世破魔击·月")),100,MIN(IF(OR(CN319,BE319),0,IF(OR($C319="赤日轮1",$C319="赤日轮2",$C319="赤日轮3"),E318+20+IF(模拟模式!$I$7="日月凌天",4,0)+IF(CR318,20,0),IF($C319="烈日斩",E318+40,IF($C319="驱夜断愁",IF(模拟模式!$R$7="万念俱寂",E318+20,E318+60),IF($C319="净世破魔击·月",IF(OR(DB318&gt;0,CV318&gt;0),100,IF(模拟模式!$M$7="辉耀红尘",E318+20,E318)),IF($C319="净世破魔击·日",E318-100,E318)))))),100))</f>
        <v>100</v>
      </c>
      <c r="F319" s="115">
        <f ca="1">IF(AND(CU319,OR(C319="赤日轮1",C319="赤日轮2",C319="赤日轮3",C319="烈日斩",C319="净世破魔击·日")),100,MIN(IF(CO319,0,IF(OR($C319="幽月轮1",$C319="幽月轮2",$C319="幽月轮3"),F318+20+IF(模拟模式!$I$7="日月凌天",4,0)+IF(CS318,20,0),IF($C319="银月斩",F318+40+IF(模拟模式!$X$12=1,5,0),IF($C319="驱夜断愁",IF(模拟模式!$R$7="万念俱寂",F318+20,F318+60),IF($C319="净世破魔击·月",IF(模拟模式!$M$7="辉耀红尘",F318-80,F318-100),IF(AND(C319="净世破魔击·日",OR(DB318&gt;0,CV318&gt;0)),100,F318)))))),100))</f>
        <v>20</v>
      </c>
      <c r="G319" s="117">
        <f ca="1">('模拟-全程加成'!$E$3+'模拟-全程加成'!$E$4+'模拟-全程加成'!$E$5+('模拟-全程加成'!$C$6-'模拟-全程加成'!$C$3)*系数!$B$9+BS319*23)*(1+'模拟-全程加成'!$F$4+'模拟-全程加成'!$F$5+BJ319*10%+BM319*20%+BP319*4%+CG319*30%)+$F$7*系数!$B$12</f>
        <v>21493.829400000002</v>
      </c>
      <c r="H319" s="45">
        <f ca="1">'模拟-全程加成'!$H$3+'模拟-全程加成'!$H$4+'模拟-全程加成'!$H$5+('模拟-全程加成'!$G$4+'模拟-全程加成'!$G$5+('模拟-全程加成'!$C$6-'模拟-全程加成'!$C$3)*系数!$B$13)/系数!$B$3+LOOKUP(D319,'模拟-单技能数据'!$A$2:$A$19,'模拟-单技能数据'!$K$2:$K$19)+BG319*10%+IF(BV319&gt;0,378,0)</f>
        <v>0.54185145527300216</v>
      </c>
      <c r="I319" s="45">
        <f ca="1">'模拟-全程加成'!$J$3+'模拟-全程加成'!$J$4+'模拟-全程加成'!$J$5+('模拟-全程加成'!$I$4+'模拟-全程加成'!$I$5)/系数!$B$4+LOOKUP(D319,'模拟-单技能数据'!$A$2:$A$19,'模拟-单技能数据'!$L$2:$L$19)+BG319*10%</f>
        <v>2.162482885499879</v>
      </c>
      <c r="J319" s="45">
        <f ca="1">(('模拟-全程加成'!$K$3+'模拟-全程加成'!$K$4+'模拟-全程加成'!$K$5+('模拟-全程加成'!$C$6-'模拟-全程加成'!$C$3)*系数!$B$10+IF(BV319&gt;0,882,0)+IF(BY319&gt;0,1831,0))*(1+'模拟-全程加成'!$L$4+'模拟-全程加成'!$L$5+CC319*20%))/系数!$B$5</f>
        <v>0.69723220422048726</v>
      </c>
      <c r="K319" s="119">
        <f ca="1">LOOKUP(D319,'模拟-单技能数据'!$A$2:$A$19,'模拟-单技能数据'!$J$2:$J$19)+IF(CM319,60%,0)+IF(DB318-DB319&gt;0,30%,0)+IF(OR(AND(OR(C319="赤日轮1",C319="赤日轮2",C319="赤日轮3"),CR319),AND(OR(C319="幽月轮1",C319="幽月轮2",C319="幽月轮3"),CS319)),35%,0)+CJ319</f>
        <v>0.8</v>
      </c>
      <c r="L319" s="119">
        <f ca="1">IF(AND(C319="烈日斩",模拟模式!$X$11=1),10%,0)+IF(AND(C319="驱夜断愁",AB319=1),30%,0)</f>
        <v>0</v>
      </c>
      <c r="M319" s="45">
        <f t="shared" ca="1" si="241"/>
        <v>0.54185145527300216</v>
      </c>
      <c r="N319" s="45">
        <f t="shared" ca="1" si="242"/>
        <v>0.40424854472699789</v>
      </c>
      <c r="O319" s="46">
        <f t="shared" ca="1" si="266"/>
        <v>0.72759153286691391</v>
      </c>
      <c r="P319" s="46" t="str">
        <f t="shared" ca="1" si="267"/>
        <v>命</v>
      </c>
      <c r="Q319" s="45">
        <f t="shared" ca="1" si="268"/>
        <v>1</v>
      </c>
      <c r="R319" s="117">
        <f ca="1">模拟模式!$E$20*(1-IF(模拟模式!$J$19="有",0.15,0))*(1-IF(模拟模式!$K$19="有",0.3,0)-IF(CQ319,0.5,0))</f>
        <v>843.02999999999975</v>
      </c>
      <c r="S319" s="45">
        <f ca="1">R319/(R319+(185*模拟模式!$E$22-16800)*4.08224)</f>
        <v>8.389626085980037E-2</v>
      </c>
      <c r="T319" s="45" t="str">
        <f ca="1">LOOKUP(D319,'模拟-单技能数据'!$A$2:$A$19,'模拟-单技能数据'!$H$2:$H$19)</f>
        <v>阴</v>
      </c>
      <c r="U319" s="119">
        <f t="shared" ca="1" si="243"/>
        <v>0.08</v>
      </c>
      <c r="V319" s="47">
        <f ca="1">(1+L319)*(LOOKUP(D319,'模拟-单技能数据'!$A$2:$A$19,'模拟-单技能数据'!$D$2:$D$19)+G319*LOOKUP(D319,'模拟-单技能数据'!$A$2:$A$19,'模拟-单技能数据'!$F$2:$F$19))*(1+J319)*(1+K319)*(1-S319)*(1+U319)*Q319*LOOKUP(D319,'模拟-单技能数据'!$A$2:$A$19,'模拟-单技能数据'!$I$2:$I$20)</f>
        <v>84412.793434348554</v>
      </c>
      <c r="W319" s="47">
        <f ca="1">LOOKUP(D319,'模拟-单技能数据'!$A$2:$A$19,'模拟-单技能数据'!$G$2:$G$19)*$I$10</f>
        <v>361.51064354704795</v>
      </c>
      <c r="X319" s="47">
        <f t="shared" ca="1" si="269"/>
        <v>28293.498804755167</v>
      </c>
      <c r="Y319" s="47">
        <f t="shared" ca="1" si="244"/>
        <v>113067.80288265078</v>
      </c>
      <c r="Z319" s="49">
        <f t="shared" ca="1" si="245"/>
        <v>30627788.333288055</v>
      </c>
      <c r="AA319" s="97">
        <f t="shared" ca="1" si="246"/>
        <v>113701.5567185946</v>
      </c>
      <c r="AB319" s="115">
        <f ca="1">IF(OR(C319="赤日轮1",C319="赤日轮2",C319="赤日轮3"),IF(RAND()&lt;模拟模式!$Y$17,1,0),IF(OR(C319="幽月轮1",C319="幽月轮2",C319="幽月轮3"),IF(RAND()&lt;模拟模式!$Y$18,1,0),IF(C319="烈日斩",IF(RAND()&lt;模拟模式!$Y$19,1,0),IF(C319="银月斩",IF(RAND()&lt;模拟模式!$Y$20,1,0),IF(C319="驱夜断愁",IF(RAND()&lt;模拟模式!$Y$21,1,0),IF(C319="净世破魔击·日",IF(RAND()&lt;模拟模式!$Y$22,1,0),IF(C319="净世破魔击·月",IF(RAND()&lt;模拟模式!$Y$23,1,0),0)))))))</f>
        <v>1</v>
      </c>
      <c r="AC319" s="115" t="b">
        <f t="shared" ca="1" si="234"/>
        <v>0</v>
      </c>
      <c r="AD319" s="115" t="b">
        <f t="shared" ca="1" si="254"/>
        <v>1</v>
      </c>
      <c r="AE319" s="115">
        <f t="shared" ca="1" si="255"/>
        <v>3</v>
      </c>
      <c r="AF319" s="47">
        <f ca="1">IF(AC319,('模拟-单技能数据'!$D$20+G319*'模拟-单技能数据'!$F$20)*(1+J319)*(1+'模拟-单技能数据'!$J$20)*(1+U319),0)</f>
        <v>0</v>
      </c>
      <c r="AG319" s="61">
        <f t="shared" ca="1" si="247"/>
        <v>0.64185145527300214</v>
      </c>
      <c r="AH319" s="61">
        <f t="shared" ca="1" si="248"/>
        <v>2.2624828854998791</v>
      </c>
      <c r="AI319" s="62">
        <f t="shared" ca="1" si="270"/>
        <v>0.25879166401911069</v>
      </c>
      <c r="AJ319" s="47">
        <f ca="1">IF(AD319,IF(AI319&lt;$F$10,0,IF(AI319&lt;$F$10+$F$11,0.25,IF(AI319&lt;$F$10+$F$11+AG319,AH319,1)))*IF(AF319&gt;0,AF319,IF(AF318&gt;0,AF318,IF(AF317&gt;0,AF317,IF(AF316&gt;0,AF316,IF(AF315&gt;0,AF315,IF(AF314&gt;0,AF314,IF(AF313&gt;0,AF313,IF(AF312&gt;0,AF312,IF(AF311&gt;0,AF311,IF(AF309&gt;0,AF309,IF(AF308&gt;0,AF308,IF(AF307&gt;0,AF307,0)))))))))))),0)*(1-$S319)*'模拟-单技能数据'!$I$20</f>
        <v>9218.9345386263849</v>
      </c>
      <c r="AK319" s="115" t="b">
        <f t="shared" ca="1" si="235"/>
        <v>0</v>
      </c>
      <c r="AL319" s="115" t="b">
        <f t="shared" ca="1" si="256"/>
        <v>1</v>
      </c>
      <c r="AM319" s="115">
        <f t="shared" ca="1" si="257"/>
        <v>2</v>
      </c>
      <c r="AN319" s="47">
        <f ca="1">IF(AK319,('模拟-单技能数据'!$D$21+G319*'模拟-单技能数据'!$F$21)*(1+J319)*(1+'模拟-单技能数据'!$J$21)*(1+U319),0)</f>
        <v>0</v>
      </c>
      <c r="AO319" s="61">
        <f ca="1">IF(AN319&gt;0,M319-'模拟-单技能数据'!$K$10,AO318)</f>
        <v>0.42185145527300216</v>
      </c>
      <c r="AP319" s="61">
        <f ca="1">IF(AN319&gt;0,I319-'模拟-单技能数据'!$L$10,AP318)</f>
        <v>2.162482885499879</v>
      </c>
      <c r="AQ319" s="63">
        <f t="shared" ca="1" si="271"/>
        <v>0.90021453691031073</v>
      </c>
      <c r="AR319" s="64">
        <f ca="1">IF(AL319,IF(AQ319&lt;$F$10,0,IF(AQ319&lt;$F$10+$F$11,0.25,IF(AQ319&lt;$F$10+$F$11+AO319,AP319,1)))*IF(AN319&gt;0,AN319,IF(AN318&gt;0,AN318,IF(AN317&gt;0,AN317,IF(AN316&gt;0,AN316,IF(AN315&gt;0,AN315,IF(AN314&gt;0,AN314,IF(AN313&gt;0,AN313,IF(AN312&gt;0,AN312,IF(AN311&gt;0,AN311,IF(AN309&gt;0,AN309,IF(AN308&gt;0,AN308,IF(AN307&gt;0,AN307,0)))))))))))),0)*(1-$S319)*'模拟-单技能数据'!$I$21</f>
        <v>11118.353508757338</v>
      </c>
      <c r="AS319" s="61">
        <f ca="1">IF(OR(C319="净世破魔击·日",C319="净世破魔击·月"),M319-'模拟-单技能数据'!$K$10,0)</f>
        <v>0.42185145527300216</v>
      </c>
      <c r="AT319" s="61">
        <f ca="1">IF(OR(C319="净世破魔击·日",C319="净世破魔击·月"),I319-'模拟-单技能数据'!$L$10,0)</f>
        <v>2.162482885499879</v>
      </c>
      <c r="AU319" s="62">
        <f t="shared" ca="1" si="272"/>
        <v>0.99864780365491768</v>
      </c>
      <c r="AV319" s="64">
        <f ca="1">IF(AS319&gt;0,('模拟-单技能数据'!$D$22+G319*'模拟-单技能数据'!$F$22)*(1+J319)*(1-S319)*IF(AU319&lt;$F$10,0,IF(AU319&lt;$F$10+$F$11,0.25,IF(AU319&lt;$F$10+$F$11+AS319,AT319,1)))*(1+U319),0)*'模拟-单技能数据'!$I$22</f>
        <v>7956.2107573714466</v>
      </c>
      <c r="AW319" s="108">
        <f t="shared" ca="1" si="273"/>
        <v>0</v>
      </c>
      <c r="AX319" s="108" t="b">
        <f ca="1">AND(模拟模式!$P$10="有",AW318=0,RAND()&lt;IF(C319="净世破魔击·月",0.1*8/3,IF(C319="净世破魔击·日",0.1*4/3,0.1*2/3)))</f>
        <v>0</v>
      </c>
      <c r="AY319" s="47">
        <f ca="1">IF(AX319,(18+G319*0.722)*(1+J319)*(1-S319)*(1+$I$4)*IF(P319="会",'模拟-全程加成'!$J$3+'模拟-全程加成'!$J$4+'模拟-全程加成'!$J$5+('模拟-全程加成'!$I$4+'模拟-全程加成'!$I$5)/系数!$B$4+BG319*10%,IF(P319="命",1,IF(P319="识",0.25,0))),0)</f>
        <v>0</v>
      </c>
      <c r="AZ319" s="108">
        <f t="shared" si="274"/>
        <v>14.465000000000003</v>
      </c>
      <c r="BA319" s="108" t="b">
        <f>AND(模拟模式!$Q$10="有",AZ318=0)</f>
        <v>0</v>
      </c>
      <c r="BB319" s="140">
        <f>IF(BA319,(0+G319*0.287)*(1+J319)*(1-S319)*(1+$I$4)*IF(P319="会",'模拟-全程加成'!$J$3+'模拟-全程加成'!$J$4+'模拟-全程加成'!$J$5+('模拟-全程加成'!$I$4+'模拟-全程加成'!$I$5)/系数!$B$4+BG319*10%,IF(P319="命",1,IF(P319="识",0.25,0))),0)</f>
        <v>0</v>
      </c>
      <c r="BC319" s="115" t="b">
        <f ca="1">AND(模拟模式!$R$7="伏明众生",E319=60,F319=20,DA319&lt;5,CZ318&lt;$F$4)</f>
        <v>0</v>
      </c>
      <c r="BD319" s="115">
        <f t="shared" ca="1" si="236"/>
        <v>0</v>
      </c>
      <c r="BE319" s="115" t="b">
        <f t="shared" ca="1" si="237"/>
        <v>0</v>
      </c>
      <c r="BF319" s="47">
        <f ca="1">IF(BC319,4*('模拟-单技能数据'!$D$24+G319*'模拟-单技能数据'!$F$24)*(1+J319)*(1+'模拟-单技能数据'!$J$24)*(1-S319)*(1+$I$3)*(('模拟-全程加成'!$J$3+'模拟-全程加成'!$J$4+'模拟-全程加成'!$J$5+('模拟-全程加成'!$I$4+'模拟-全程加成'!$I$5)/系数!$B$4+BG319*10%)*('模拟-全程加成'!$J$3+'模拟-全程加成'!$J$4+'模拟-全程加成'!$J$5+('模拟-全程加成'!$I$4+'模拟-全程加成'!$I$5)/系数!$B$4+BG319*10%)+(1-('模拟-全程加成'!$J$3+'模拟-全程加成'!$J$4+'模拟-全程加成'!$J$5+('模拟-全程加成'!$I$4+'模拟-全程加成'!$I$5)/系数!$B$4+BG319*10%)-$F$10-$F$11)+F305*0.25),0)*'模拟-单技能数据'!$I$24</f>
        <v>0</v>
      </c>
      <c r="BG319" s="115" t="b">
        <f ca="1">OR(AND(OR(C319="烈日斩",C319="银月斩"),模拟模式!$I$7="净身明礼"),AND(C319="净世破魔击·日",模拟模式!$J$7="洞若观火"),AND(C320="净世破魔击·月",模拟模式!$J$7="洞若观火"),AB319=1)</f>
        <v>1</v>
      </c>
      <c r="BH319" s="115" t="b">
        <f t="shared" ca="1" si="275"/>
        <v>1</v>
      </c>
      <c r="BI319" s="115">
        <f t="shared" ca="1" si="238"/>
        <v>6</v>
      </c>
      <c r="BJ319" s="115" t="b">
        <f t="shared" ca="1" si="249"/>
        <v>1</v>
      </c>
      <c r="BK319" s="115" t="b">
        <f ca="1">AND(C319="驱夜断愁",模拟模式!$P$7="天地诛戮")</f>
        <v>0</v>
      </c>
      <c r="BL319" s="57">
        <f t="shared" ca="1" si="239"/>
        <v>17.232500000000002</v>
      </c>
      <c r="BM319" s="115" t="b">
        <f t="shared" ca="1" si="250"/>
        <v>1</v>
      </c>
      <c r="BN319" s="115" t="b">
        <f ca="1">AND(OR(C319="赤日轮1",C319="赤日轮2",C319="赤日轮3",C319="幽月轮1",C319="幽月轮2",C319="幽月轮3"),AB319=1,模拟模式!$L$7="明光恒照")</f>
        <v>0</v>
      </c>
      <c r="BO319" s="117">
        <f t="shared" ca="1" si="240"/>
        <v>29.077500000000001</v>
      </c>
      <c r="BP319" s="115">
        <f t="shared" ca="1" si="276"/>
        <v>6</v>
      </c>
      <c r="BQ319" s="115" t="b">
        <f>模拟模式!$K$10="2600·水"</f>
        <v>0</v>
      </c>
      <c r="BR319" s="117">
        <f t="shared" si="277"/>
        <v>0</v>
      </c>
      <c r="BS319" s="115">
        <f t="shared" si="278"/>
        <v>0</v>
      </c>
      <c r="BT319" s="115">
        <f t="shared" ca="1" si="279"/>
        <v>0</v>
      </c>
      <c r="BU319" s="115" t="b">
        <f ca="1">AND(模拟模式!$K$10="2300·雷",BT318=0,RAND()&lt;IF(C319="净世破魔击·月",5*0.05*2/3,IF(C319="净世破魔击·日",3*0.05*2/3,0.05*2*2/3)))</f>
        <v>0</v>
      </c>
      <c r="BV319" s="115">
        <f t="shared" ca="1" si="280"/>
        <v>0</v>
      </c>
      <c r="BW319" s="115">
        <f t="shared" ca="1" si="281"/>
        <v>102.50999999999925</v>
      </c>
      <c r="BX319" s="164" t="b">
        <f t="shared" ca="1" si="282"/>
        <v>0</v>
      </c>
      <c r="BY319" s="115">
        <f t="shared" ca="1" si="283"/>
        <v>0</v>
      </c>
      <c r="BZ319" s="115">
        <f>IF(OR(模拟模式!$P$16="10人团",模拟模式!$P$16="25人团"),IF(B319/30&gt;CA318,1,0),0)</f>
        <v>0</v>
      </c>
      <c r="CA319" s="115">
        <f t="shared" si="259"/>
        <v>0</v>
      </c>
      <c r="CB319" s="115">
        <f ca="1">IF(BZ319=1,IF(模拟模式!$P$16="10人团",15,0)+IF(模拟模式!$P$16="25人团",IF(RAND()&lt;0.6,15,0)),MAX(0,CB318-$F$4))</f>
        <v>0</v>
      </c>
      <c r="CC319" s="115" t="b">
        <f t="shared" ca="1" si="251"/>
        <v>0</v>
      </c>
      <c r="CD319" s="115">
        <f>IF(模拟模式!$Q$16="1个",IF(B319/40&gt;CE318,1,0),0)</f>
        <v>0</v>
      </c>
      <c r="CE319" s="115">
        <f t="shared" si="252"/>
        <v>0</v>
      </c>
      <c r="CF319" s="115">
        <f>IF(OR(CD319=1,模拟模式!$Q$16="2个"),20,MAX(0,CF318-$F$4))</f>
        <v>0</v>
      </c>
      <c r="CG319" s="115" t="b">
        <f t="shared" si="253"/>
        <v>0</v>
      </c>
      <c r="CH319" s="115">
        <f t="shared" ca="1" si="284"/>
        <v>0</v>
      </c>
      <c r="CI319" s="115" t="b">
        <f t="shared" ca="1" si="285"/>
        <v>0</v>
      </c>
      <c r="CJ319" s="119">
        <f t="shared" ca="1" si="286"/>
        <v>0</v>
      </c>
      <c r="CK319" s="115">
        <f t="shared" ca="1" si="287"/>
        <v>0</v>
      </c>
      <c r="CL319" s="115" t="b">
        <f ca="1">AND(模拟模式!$S$7="驱夷逐法",OR(AND(C319="净世破魔击·月",E318&gt;59),AND(C319="净世破魔击·日",F318&gt;59)))</f>
        <v>1</v>
      </c>
      <c r="CM319" s="115" t="b">
        <f ca="1">OR(CL319,AND(C319="净世破魔击·日",CL318,RAND()&lt;模拟模式!$U$23))</f>
        <v>1</v>
      </c>
      <c r="CN319" s="115" t="b">
        <f ca="1">IF(模拟模式!$M$7="辉耀红尘",AND(C319="净世破魔击·月",CL319,CV319=0,E318&lt;80),AND(C319="净世破魔击·月",CL319,E318&lt;100))</f>
        <v>0</v>
      </c>
      <c r="CO319" s="115" t="b">
        <f t="shared" ca="1" si="260"/>
        <v>0</v>
      </c>
      <c r="CP319" s="115" t="b">
        <f ca="1">AND(模拟模式!$O$7="用晦而明",OR(C319="净世破魔击·日",C319="净世破魔击·月",C319="驱夜断愁"),AB319)</f>
        <v>1</v>
      </c>
      <c r="CQ319" s="115" t="b">
        <f ca="1">OR(CP319,AND(CP318,RAND()&lt;模拟模式!$U$23))</f>
        <v>1</v>
      </c>
      <c r="CR319" s="115" t="b">
        <f ca="1">AND(模拟模式!$S$7="日月齐光",OR(C319="幽月轮1",C319="幽月轮2",C319="幽月轮3",CR318),NOT(OR(C319="赤日轮1",C319="赤日轮2",C319="赤日轮3")))</f>
        <v>0</v>
      </c>
      <c r="CS319" s="115" t="b">
        <f ca="1">AND(模拟模式!$S$7="日月齐光",OR(C319="赤日轮1",C319="赤日轮2",C319="赤日轮3",CS318),NOT(OR(C319="幽月轮1",C319="幽月轮2",C319="幽月轮3")))</f>
        <v>0</v>
      </c>
      <c r="CT319" s="115">
        <f t="shared" ca="1" si="288"/>
        <v>6.9375000000000124</v>
      </c>
      <c r="CU319" s="115" t="b">
        <f ca="1">AND(模拟模式!$K$10="阴阳往极",CT318=0,RAND()&lt;IF(C319="净世破魔击·月",0.0275*7/3,IF(C319="净世破魔击·日",0.0275*3/3,0.0275*2/3)))</f>
        <v>0</v>
      </c>
      <c r="CV319" s="115">
        <f t="shared" ca="1" si="289"/>
        <v>0</v>
      </c>
      <c r="CW319" s="115">
        <f t="shared" ca="1" si="261"/>
        <v>4.1549999999999994</v>
      </c>
      <c r="CX319" s="115">
        <f t="shared" ca="1" si="262"/>
        <v>2.3099999999999996</v>
      </c>
      <c r="CY319" s="115">
        <f ca="1">MAX(IF($C319="驱夜断愁",IF(模拟模式!$R$7="万念俱寂",6,45),CY318-$F$4),0)</f>
        <v>3.2324999999999995</v>
      </c>
      <c r="CZ319" s="115">
        <f t="shared" ca="1" si="263"/>
        <v>0</v>
      </c>
      <c r="DA319" s="115">
        <f ca="1">IF(模拟模式!$N$7="日月同辉",IF(DB318=2,0,MIN(6,IF(AND(OR(C319="赤日轮1",C319="赤日轮2",C319="赤日轮3",C319="幽月轮1",C319="幽月轮2",C319="幽月轮3"),AB319=1),DA318+1,DA318))),0)</f>
        <v>5</v>
      </c>
      <c r="DB319" s="115">
        <f t="shared" ca="1" si="264"/>
        <v>0</v>
      </c>
      <c r="DC319" s="115"/>
      <c r="DD319" s="115"/>
      <c r="DE319" s="115"/>
      <c r="DF319" s="115"/>
      <c r="DG319" s="115"/>
      <c r="DH319" s="115"/>
      <c r="DI319" s="115"/>
      <c r="DJ319" s="115"/>
      <c r="DK319" s="115"/>
      <c r="DL319" s="115"/>
      <c r="DM319" s="115"/>
    </row>
    <row r="320" spans="2:117" x14ac:dyDescent="0.2">
      <c r="B320" s="117">
        <f t="shared" si="265"/>
        <v>270.29250000000201</v>
      </c>
      <c r="C320" s="167" t="str">
        <f t="shared" ca="1" si="258"/>
        <v>净世破魔击·日</v>
      </c>
      <c r="D320" s="115">
        <f ca="1">IF(C320="赤日轮1",1,IF(C320="赤日轮2",2,IF(C320="赤日轮3",3,IF(C320="幽月轮1",4,IF(C320="幽月轮2",5,IF(C320="幽月轮3",6,IF(C320="烈日斩",7,IF(C320="银月斩",8,IF(C320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320="净世破魔击·月",17,IF(C320="驱夜断愁",18,0)))))))))))</f>
        <v>9</v>
      </c>
      <c r="E320" s="115">
        <f ca="1">IF(AND(CU320,OR(C320="幽月轮1",C320="幽月轮2",C320="幽月轮3",C320="银月斩",C320="驱夜断愁",C320="净世破魔击·月")),100,MIN(IF(OR(CN320,BE320),0,IF(OR($C320="赤日轮1",$C320="赤日轮2",$C320="赤日轮3"),E319+20+IF(模拟模式!$I$7="日月凌天",4,0)+IF(CR319,20,0),IF($C320="烈日斩",E319+40,IF($C320="驱夜断愁",IF(模拟模式!$R$7="万念俱寂",E319+20,E319+60),IF($C320="净世破魔击·月",IF(OR(DB319&gt;0,CV319&gt;0),100,IF(模拟模式!$M$7="辉耀红尘",E319+20,E319)),IF($C320="净世破魔击·日",E319-100,E319)))))),100))</f>
        <v>0</v>
      </c>
      <c r="F320" s="115">
        <f ca="1">IF(AND(CU320,OR(C320="赤日轮1",C320="赤日轮2",C320="赤日轮3",C320="烈日斩",C320="净世破魔击·日")),100,MIN(IF(CO320,0,IF(OR($C320="幽月轮1",$C320="幽月轮2",$C320="幽月轮3"),F319+20+IF(模拟模式!$I$7="日月凌天",4,0)+IF(CS319,20,0),IF($C320="银月斩",F319+40+IF(模拟模式!$X$12=1,5,0),IF($C320="驱夜断愁",IF(模拟模式!$R$7="万念俱寂",F319+20,F319+60),IF($C320="净世破魔击·月",IF(模拟模式!$M$7="辉耀红尘",F319-80,F319-100),IF(AND(C320="净世破魔击·日",OR(DB319&gt;0,CV319&gt;0)),100,F319)))))),100))</f>
        <v>20</v>
      </c>
      <c r="G320" s="117">
        <f ca="1">('模拟-全程加成'!$E$3+'模拟-全程加成'!$E$4+'模拟-全程加成'!$E$5+('模拟-全程加成'!$C$6-'模拟-全程加成'!$C$3)*系数!$B$9+BS320*23)*(1+'模拟-全程加成'!$F$4+'模拟-全程加成'!$F$5+BJ320*10%+BM320*20%+BP320*4%+CG320*30%)+$F$7*系数!$B$12</f>
        <v>21493.829400000002</v>
      </c>
      <c r="H320" s="45">
        <f ca="1">'模拟-全程加成'!$H$3+'模拟-全程加成'!$H$4+'模拟-全程加成'!$H$5+('模拟-全程加成'!$G$4+'模拟-全程加成'!$G$5+('模拟-全程加成'!$C$6-'模拟-全程加成'!$C$3)*系数!$B$13)/系数!$B$3+LOOKUP(D320,'模拟-单技能数据'!$A$2:$A$19,'模拟-单技能数据'!$K$2:$K$19)+BG320*10%+IF(BV320&gt;0,378,0)</f>
        <v>0.54185145527300216</v>
      </c>
      <c r="I320" s="45">
        <f ca="1">'模拟-全程加成'!$J$3+'模拟-全程加成'!$J$4+'模拟-全程加成'!$J$5+('模拟-全程加成'!$I$4+'模拟-全程加成'!$I$5)/系数!$B$4+LOOKUP(D320,'模拟-单技能数据'!$A$2:$A$19,'模拟-单技能数据'!$L$2:$L$19)+BG320*10%</f>
        <v>2.162482885499879</v>
      </c>
      <c r="J320" s="45">
        <f ca="1">(('模拟-全程加成'!$K$3+'模拟-全程加成'!$K$4+'模拟-全程加成'!$K$5+('模拟-全程加成'!$C$6-'模拟-全程加成'!$C$3)*系数!$B$10+IF(BV320&gt;0,882,0)+IF(BY320&gt;0,1831,0))*(1+'模拟-全程加成'!$L$4+'模拟-全程加成'!$L$5+CC320*20%))/系数!$B$5</f>
        <v>0.69723220422048726</v>
      </c>
      <c r="K320" s="119">
        <f ca="1">LOOKUP(D320,'模拟-单技能数据'!$A$2:$A$19,'模拟-单技能数据'!$J$2:$J$19)+IF(CM320,60%,0)+IF(DB319-DB320&gt;0,30%,0)+IF(OR(AND(OR(C320="赤日轮1",C320="赤日轮2",C320="赤日轮3"),CR320),AND(OR(C320="幽月轮1",C320="幽月轮2",C320="幽月轮3"),CS320)),35%,0)+CJ320</f>
        <v>0.8</v>
      </c>
      <c r="L320" s="119">
        <f ca="1">IF(AND(C320="烈日斩",模拟模式!$X$11=1),10%,0)+IF(AND(C320="驱夜断愁",AB320=1),30%,0)</f>
        <v>0</v>
      </c>
      <c r="M320" s="45">
        <f t="shared" ca="1" si="241"/>
        <v>0.54185145527300216</v>
      </c>
      <c r="N320" s="45">
        <f t="shared" ca="1" si="242"/>
        <v>0.40424854472699789</v>
      </c>
      <c r="O320" s="46">
        <f t="shared" ca="1" si="266"/>
        <v>0.96413926731149224</v>
      </c>
      <c r="P320" s="46" t="str">
        <f t="shared" ca="1" si="267"/>
        <v>命</v>
      </c>
      <c r="Q320" s="45">
        <f t="shared" ca="1" si="268"/>
        <v>1</v>
      </c>
      <c r="R320" s="117">
        <f ca="1">模拟模式!$E$20*(1-IF(模拟模式!$J$19="有",0.15,0))*(1-IF(模拟模式!$K$19="有",0.3,0)-IF(CQ320,0.5,0))</f>
        <v>843.02999999999975</v>
      </c>
      <c r="S320" s="45">
        <f ca="1">R320/(R320+(185*模拟模式!$E$22-16800)*4.08224)</f>
        <v>8.389626085980037E-2</v>
      </c>
      <c r="T320" s="45" t="str">
        <f ca="1">LOOKUP(D320,'模拟-单技能数据'!$A$2:$A$19,'模拟-单技能数据'!$H$2:$H$19)</f>
        <v>阳</v>
      </c>
      <c r="U320" s="119">
        <f t="shared" ca="1" si="243"/>
        <v>0.2</v>
      </c>
      <c r="V320" s="47">
        <f ca="1">(1+L320)*(LOOKUP(D320,'模拟-单技能数据'!$A$2:$A$19,'模拟-单技能数据'!$D$2:$D$19)+G320*LOOKUP(D320,'模拟-单技能数据'!$A$2:$A$19,'模拟-单技能数据'!$F$2:$F$19))*(1+J320)*(1+K320)*(1-S320)*(1+U320)*Q320*LOOKUP(D320,'模拟-单技能数据'!$A$2:$A$19,'模拟-单技能数据'!$I$2:$I$20)</f>
        <v>94575.365106402023</v>
      </c>
      <c r="W320" s="47">
        <f ca="1">LOOKUP(D320,'模拟-单技能数据'!$A$2:$A$19,'模拟-单技能数据'!$G$2:$G$19)*$I$10</f>
        <v>723.0212870940959</v>
      </c>
      <c r="X320" s="47">
        <f t="shared" ca="1" si="269"/>
        <v>19116.855106939758</v>
      </c>
      <c r="Y320" s="47">
        <f t="shared" ca="1" si="244"/>
        <v>114415.24150043589</v>
      </c>
      <c r="Z320" s="49">
        <f t="shared" ca="1" si="245"/>
        <v>30742203.574788492</v>
      </c>
      <c r="AA320" s="97">
        <f t="shared" ca="1" si="246"/>
        <v>113736.79837505023</v>
      </c>
      <c r="AB320" s="115">
        <f ca="1">IF(OR(C320="赤日轮1",C320="赤日轮2",C320="赤日轮3"),IF(RAND()&lt;模拟模式!$Y$17,1,0),IF(OR(C320="幽月轮1",C320="幽月轮2",C320="幽月轮3"),IF(RAND()&lt;模拟模式!$Y$18,1,0),IF(C320="烈日斩",IF(RAND()&lt;模拟模式!$Y$19,1,0),IF(C320="银月斩",IF(RAND()&lt;模拟模式!$Y$20,1,0),IF(C320="驱夜断愁",IF(RAND()&lt;模拟模式!$Y$21,1,0),IF(C320="净世破魔击·日",IF(RAND()&lt;模拟模式!$Y$22,1,0),IF(C320="净世破魔击·月",IF(RAND()&lt;模拟模式!$Y$23,1,0),0)))))))</f>
        <v>1</v>
      </c>
      <c r="AC320" s="115" t="b">
        <f t="shared" ca="1" si="234"/>
        <v>0</v>
      </c>
      <c r="AD320" s="115" t="b">
        <f t="shared" ca="1" si="254"/>
        <v>0</v>
      </c>
      <c r="AE320" s="115">
        <f t="shared" ca="1" si="255"/>
        <v>3</v>
      </c>
      <c r="AF320" s="47">
        <f ca="1">IF(AC320,('模拟-单技能数据'!$D$20+G320*'模拟-单技能数据'!$F$20)*(1+J320)*(1+'模拟-单技能数据'!$J$20)*(1+U320),0)</f>
        <v>0</v>
      </c>
      <c r="AG320" s="61">
        <f t="shared" ca="1" si="247"/>
        <v>0.64185145527300214</v>
      </c>
      <c r="AH320" s="61">
        <f t="shared" ca="1" si="248"/>
        <v>2.2624828854998791</v>
      </c>
      <c r="AI320" s="62">
        <f t="shared" ca="1" si="270"/>
        <v>0.82781143635150711</v>
      </c>
      <c r="AJ320" s="47">
        <f ca="1">IF(AD320,IF(AI320&lt;$F$10,0,IF(AI320&lt;$F$10+$F$11,0.25,IF(AI320&lt;$F$10+$F$11+AG320,AH320,1)))*IF(AF320&gt;0,AF320,IF(AF319&gt;0,AF319,IF(AF318&gt;0,AF318,IF(AF317&gt;0,AF317,IF(AF316&gt;0,AF316,IF(AF315&gt;0,AF315,IF(AF314&gt;0,AF314,IF(AF313&gt;0,AF313,IF(AF312&gt;0,AF312,IF(AF310&gt;0,AF310,IF(AF309&gt;0,AF309,IF(AF308&gt;0,AF308,0)))))))))))),0)*(1-$S320)*'模拟-单技能数据'!$I$20</f>
        <v>0</v>
      </c>
      <c r="AK320" s="115" t="b">
        <f t="shared" ca="1" si="235"/>
        <v>1</v>
      </c>
      <c r="AL320" s="115" t="b">
        <f t="shared" ca="1" si="256"/>
        <v>0</v>
      </c>
      <c r="AM320" s="115">
        <f t="shared" ca="1" si="257"/>
        <v>6</v>
      </c>
      <c r="AN320" s="47">
        <f ca="1">IF(AK320,('模拟-单技能数据'!$D$21+G320*'模拟-单技能数据'!$F$21)*(1+J320)*(1+'模拟-单技能数据'!$J$21)*(1+U320),0)</f>
        <v>12670.936004857545</v>
      </c>
      <c r="AO320" s="61">
        <f ca="1">IF(AN320&gt;0,M320-'模拟-单技能数据'!$K$10,AO319)</f>
        <v>0.42185145527300216</v>
      </c>
      <c r="AP320" s="61">
        <f ca="1">IF(AN320&gt;0,I320-'模拟-单技能数据'!$L$10,AP319)</f>
        <v>2.162482885499879</v>
      </c>
      <c r="AQ320" s="63">
        <f t="shared" ca="1" si="271"/>
        <v>0.67532301073326428</v>
      </c>
      <c r="AR320" s="64">
        <f ca="1">IF(AL320,IF(AQ320&lt;$F$10,0,IF(AQ320&lt;$F$10+$F$11,0.25,IF(AQ320&lt;$F$10+$F$11+AO320,AP320,1)))*IF(AN320&gt;0,AN320,IF(AN319&gt;0,AN319,IF(AN318&gt;0,AN318,IF(AN317&gt;0,AN317,IF(AN316&gt;0,AN316,IF(AN315&gt;0,AN315,IF(AN314&gt;0,AN314,IF(AN313&gt;0,AN313,IF(AN312&gt;0,AN312,IF(AN310&gt;0,AN310,IF(AN309&gt;0,AN309,IF(AN308&gt;0,AN308,0)))))))))))),0)*(1-$S320)*'模拟-单技能数据'!$I$21</f>
        <v>0</v>
      </c>
      <c r="AS320" s="61">
        <f ca="1">IF(OR(C320="净世破魔击·日",C320="净世破魔击·月"),M320-'模拟-单技能数据'!$K$10,0)</f>
        <v>0.42185145527300216</v>
      </c>
      <c r="AT320" s="61">
        <f ca="1">IF(OR(C320="净世破魔击·日",C320="净世破魔击·月"),I320-'模拟-单技能数据'!$L$10,0)</f>
        <v>2.162482885499879</v>
      </c>
      <c r="AU320" s="62">
        <f t="shared" ca="1" si="272"/>
        <v>0.41814092759611143</v>
      </c>
      <c r="AV320" s="64">
        <f ca="1">IF(AS320&gt;0,('模拟-单技能数据'!$D$22+G320*'模拟-单技能数据'!$F$22)*(1+J320)*(1-S320)*IF(AU320&lt;$F$10,0,IF(AU320&lt;$F$10+$F$11,0.25,IF(AU320&lt;$F$10+$F$11+AS320,AT320,1)))*(1+U320),0)*'模拟-单技能数据'!$I$22</f>
        <v>19116.855106939758</v>
      </c>
      <c r="AW320" s="108">
        <f t="shared" ca="1" si="273"/>
        <v>0</v>
      </c>
      <c r="AX320" s="108" t="b">
        <f ca="1">AND(模拟模式!$P$10="有",AW319=0,RAND()&lt;IF(C320="净世破魔击·月",0.1*8/3,IF(C320="净世破魔击·日",0.1*4/3,0.1*2/3)))</f>
        <v>0</v>
      </c>
      <c r="AY320" s="47">
        <f ca="1">IF(AX320,(18+G320*0.722)*(1+J320)*(1-S320)*(1+$I$4)*IF(P320="会",'模拟-全程加成'!$J$3+'模拟-全程加成'!$J$4+'模拟-全程加成'!$J$5+('模拟-全程加成'!$I$4+'模拟-全程加成'!$I$5)/系数!$B$4+BG320*10%,IF(P320="命",1,IF(P320="识",0.25,0))),0)</f>
        <v>0</v>
      </c>
      <c r="AZ320" s="108">
        <f t="shared" si="274"/>
        <v>13.542500000000004</v>
      </c>
      <c r="BA320" s="108" t="b">
        <f>AND(模拟模式!$Q$10="有",AZ319=0)</f>
        <v>0</v>
      </c>
      <c r="BB320" s="140">
        <f>IF(BA320,(0+G320*0.287)*(1+J320)*(1-S320)*(1+$I$4)*IF(P320="会",'模拟-全程加成'!$J$3+'模拟-全程加成'!$J$4+'模拟-全程加成'!$J$5+('模拟-全程加成'!$I$4+'模拟-全程加成'!$I$5)/系数!$B$4+BG320*10%,IF(P320="命",1,IF(P320="识",0.25,0))),0)</f>
        <v>0</v>
      </c>
      <c r="BC320" s="115" t="b">
        <f ca="1">AND(模拟模式!$R$7="伏明众生",E320=60,F320=20,DA320&lt;5,CZ319&lt;$F$4)</f>
        <v>0</v>
      </c>
      <c r="BD320" s="115">
        <f t="shared" ca="1" si="236"/>
        <v>0</v>
      </c>
      <c r="BE320" s="115" t="b">
        <f t="shared" ca="1" si="237"/>
        <v>0</v>
      </c>
      <c r="BF320" s="47">
        <f ca="1">IF(BC320,4*('模拟-单技能数据'!$D$24+G320*'模拟-单技能数据'!$F$24)*(1+J320)*(1+'模拟-单技能数据'!$J$24)*(1-S320)*(1+$I$3)*(('模拟-全程加成'!$J$3+'模拟-全程加成'!$J$4+'模拟-全程加成'!$J$5+('模拟-全程加成'!$I$4+'模拟-全程加成'!$I$5)/系数!$B$4+BG320*10%)*('模拟-全程加成'!$J$3+'模拟-全程加成'!$J$4+'模拟-全程加成'!$J$5+('模拟-全程加成'!$I$4+'模拟-全程加成'!$I$5)/系数!$B$4+BG320*10%)+(1-('模拟-全程加成'!$J$3+'模拟-全程加成'!$J$4+'模拟-全程加成'!$J$5+('模拟-全程加成'!$I$4+'模拟-全程加成'!$I$5)/系数!$B$4+BG320*10%)-$F$10-$F$11)+F306*0.25),0)*'模拟-单技能数据'!$I$24</f>
        <v>0</v>
      </c>
      <c r="BG320" s="115" t="b">
        <f ca="1">OR(AND(OR(C320="烈日斩",C320="银月斩"),模拟模式!$I$7="净身明礼"),AND(C320="净世破魔击·日",模拟模式!$J$7="洞若观火"),AND(C321="净世破魔击·月",模拟模式!$J$7="洞若观火"),AB320=1)</f>
        <v>1</v>
      </c>
      <c r="BH320" s="115" t="b">
        <f t="shared" ca="1" si="275"/>
        <v>0</v>
      </c>
      <c r="BI320" s="115">
        <f t="shared" ca="1" si="238"/>
        <v>5.0774999999999997</v>
      </c>
      <c r="BJ320" s="115" t="b">
        <f t="shared" ca="1" si="249"/>
        <v>1</v>
      </c>
      <c r="BK320" s="115" t="b">
        <f ca="1">AND(C320="驱夜断愁",模拟模式!$P$7="天地诛戮")</f>
        <v>0</v>
      </c>
      <c r="BL320" s="57">
        <f t="shared" ca="1" si="239"/>
        <v>16.310000000000002</v>
      </c>
      <c r="BM320" s="115" t="b">
        <f t="shared" ca="1" si="250"/>
        <v>1</v>
      </c>
      <c r="BN320" s="115" t="b">
        <f ca="1">AND(OR(C320="赤日轮1",C320="赤日轮2",C320="赤日轮3",C320="幽月轮1",C320="幽月轮2",C320="幽月轮3"),AB320=1,模拟模式!$L$7="明光恒照")</f>
        <v>0</v>
      </c>
      <c r="BO320" s="117">
        <f t="shared" ca="1" si="240"/>
        <v>28.155000000000001</v>
      </c>
      <c r="BP320" s="115">
        <f t="shared" ca="1" si="276"/>
        <v>6</v>
      </c>
      <c r="BQ320" s="115" t="b">
        <f>模拟模式!$K$10="2600·水"</f>
        <v>0</v>
      </c>
      <c r="BR320" s="117">
        <f t="shared" si="277"/>
        <v>0</v>
      </c>
      <c r="BS320" s="115">
        <f t="shared" si="278"/>
        <v>0</v>
      </c>
      <c r="BT320" s="115">
        <f t="shared" ca="1" si="279"/>
        <v>0</v>
      </c>
      <c r="BU320" s="115" t="b">
        <f ca="1">AND(模拟模式!$K$10="2300·雷",BT319=0,RAND()&lt;IF(C320="净世破魔击·月",5*0.05*2/3,IF(C320="净世破魔击·日",3*0.05*2/3,0.05*2*2/3)))</f>
        <v>0</v>
      </c>
      <c r="BV320" s="115">
        <f t="shared" ca="1" si="280"/>
        <v>0</v>
      </c>
      <c r="BW320" s="115">
        <f t="shared" ca="1" si="281"/>
        <v>101.58749999999925</v>
      </c>
      <c r="BX320" s="164" t="b">
        <f t="shared" ca="1" si="282"/>
        <v>0</v>
      </c>
      <c r="BY320" s="115">
        <f t="shared" ca="1" si="283"/>
        <v>0</v>
      </c>
      <c r="BZ320" s="115">
        <f>IF(OR(模拟模式!$P$16="10人团",模拟模式!$P$16="25人团"),IF(B320/30&gt;CA319,1,0),0)</f>
        <v>0</v>
      </c>
      <c r="CA320" s="115">
        <f t="shared" si="259"/>
        <v>0</v>
      </c>
      <c r="CB320" s="115">
        <f ca="1">IF(BZ320=1,IF(模拟模式!$P$16="10人团",15,0)+IF(模拟模式!$P$16="25人团",IF(RAND()&lt;0.6,15,0)),MAX(0,CB319-$F$4))</f>
        <v>0</v>
      </c>
      <c r="CC320" s="115" t="b">
        <f t="shared" ca="1" si="251"/>
        <v>0</v>
      </c>
      <c r="CD320" s="115">
        <f>IF(模拟模式!$Q$16="1个",IF(B320/40&gt;CE319,1,0),0)</f>
        <v>0</v>
      </c>
      <c r="CE320" s="115">
        <f t="shared" si="252"/>
        <v>0</v>
      </c>
      <c r="CF320" s="115">
        <f>IF(OR(CD320=1,模拟模式!$Q$16="2个"),20,MAX(0,CF319-$F$4))</f>
        <v>0</v>
      </c>
      <c r="CG320" s="115" t="b">
        <f t="shared" si="253"/>
        <v>0</v>
      </c>
      <c r="CH320" s="115">
        <f t="shared" ca="1" si="284"/>
        <v>0</v>
      </c>
      <c r="CI320" s="115" t="b">
        <f t="shared" ca="1" si="285"/>
        <v>0</v>
      </c>
      <c r="CJ320" s="119">
        <f t="shared" ca="1" si="286"/>
        <v>0</v>
      </c>
      <c r="CK320" s="115">
        <f t="shared" ca="1" si="287"/>
        <v>0</v>
      </c>
      <c r="CL320" s="115" t="b">
        <f ca="1">AND(模拟模式!$S$7="驱夷逐法",OR(AND(C320="净世破魔击·月",E319&gt;59),AND(C320="净世破魔击·日",F319&gt;59)))</f>
        <v>0</v>
      </c>
      <c r="CM320" s="115" t="b">
        <f ca="1">OR(CL320,AND(C320="净世破魔击·日",CL319,RAND()&lt;模拟模式!$U$23))</f>
        <v>1</v>
      </c>
      <c r="CN320" s="115" t="b">
        <f ca="1">IF(模拟模式!$M$7="辉耀红尘",AND(C320="净世破魔击·月",CL320,CV320=0,E319&lt;80),AND(C320="净世破魔击·月",CL320,E319&lt;100))</f>
        <v>0</v>
      </c>
      <c r="CO320" s="115" t="b">
        <f t="shared" ca="1" si="260"/>
        <v>0</v>
      </c>
      <c r="CP320" s="115" t="b">
        <f ca="1">AND(模拟模式!$O$7="用晦而明",OR(C320="净世破魔击·日",C320="净世破魔击·月",C320="驱夜断愁"),AB320)</f>
        <v>1</v>
      </c>
      <c r="CQ320" s="115" t="b">
        <f ca="1">OR(CP320,AND(CP319,RAND()&lt;模拟模式!$U$23))</f>
        <v>1</v>
      </c>
      <c r="CR320" s="115" t="b">
        <f ca="1">AND(模拟模式!$S$7="日月齐光",OR(C320="幽月轮1",C320="幽月轮2",C320="幽月轮3",CR319),NOT(OR(C320="赤日轮1",C320="赤日轮2",C320="赤日轮3")))</f>
        <v>0</v>
      </c>
      <c r="CS320" s="115" t="b">
        <f ca="1">AND(模拟模式!$S$7="日月齐光",OR(C320="赤日轮1",C320="赤日轮2",C320="赤日轮3",CS319),NOT(OR(C320="幽月轮1",C320="幽月轮2",C320="幽月轮3")))</f>
        <v>0</v>
      </c>
      <c r="CT320" s="115">
        <f t="shared" ca="1" si="288"/>
        <v>6.0150000000000121</v>
      </c>
      <c r="CU320" s="115" t="b">
        <f ca="1">AND(模拟模式!$K$10="阴阳往极",CT319=0,RAND()&lt;IF(C320="净世破魔击·月",0.0275*7/3,IF(C320="净世破魔击·日",0.0275*3/3,0.0275*2/3)))</f>
        <v>0</v>
      </c>
      <c r="CV320" s="115">
        <f t="shared" ca="1" si="289"/>
        <v>0</v>
      </c>
      <c r="CW320" s="115">
        <f t="shared" ca="1" si="261"/>
        <v>3.2324999999999995</v>
      </c>
      <c r="CX320" s="115">
        <f t="shared" ca="1" si="262"/>
        <v>1.3874999999999997</v>
      </c>
      <c r="CY320" s="115">
        <f ca="1">MAX(IF($C320="驱夜断愁",IF(模拟模式!$R$7="万念俱寂",6,45),CY319-$F$4),0)</f>
        <v>2.3099999999999996</v>
      </c>
      <c r="CZ320" s="115">
        <f t="shared" ca="1" si="263"/>
        <v>0</v>
      </c>
      <c r="DA320" s="115">
        <f ca="1">IF(模拟模式!$N$7="日月同辉",IF(DB319=2,0,MIN(6,IF(AND(OR(C320="赤日轮1",C320="赤日轮2",C320="赤日轮3",C320="幽月轮1",C320="幽月轮2",C320="幽月轮3"),AB320=1),DA319+1,DA319))),0)</f>
        <v>5</v>
      </c>
      <c r="DB320" s="115">
        <f t="shared" ca="1" si="264"/>
        <v>0</v>
      </c>
      <c r="DC320" s="115"/>
      <c r="DD320" s="115"/>
      <c r="DE320" s="115"/>
      <c r="DF320" s="115"/>
      <c r="DG320" s="115"/>
      <c r="DH320" s="115"/>
      <c r="DI320" s="115"/>
      <c r="DJ320" s="115"/>
      <c r="DK320" s="115"/>
      <c r="DL320" s="115"/>
      <c r="DM320" s="115"/>
    </row>
    <row r="321" spans="2:117" x14ac:dyDescent="0.2">
      <c r="B321" s="117">
        <f t="shared" si="265"/>
        <v>271.21500000000202</v>
      </c>
      <c r="C321" s="167" t="str">
        <f t="shared" ca="1" si="258"/>
        <v>赤日轮1</v>
      </c>
      <c r="D321" s="115">
        <f ca="1">IF(C321="赤日轮1",1,IF(C321="赤日轮2",2,IF(C321="赤日轮3",3,IF(C321="幽月轮1",4,IF(C321="幽月轮2",5,IF(C321="幽月轮3",6,IF(C321="烈日斩",7,IF(C321="银月斩",8,IF(C321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321="净世破魔击·月",17,IF(C321="驱夜断愁",18,0)))))))))))</f>
        <v>1</v>
      </c>
      <c r="E321" s="115">
        <f ca="1">IF(AND(CU321,OR(C321="幽月轮1",C321="幽月轮2",C321="幽月轮3",C321="银月斩",C321="驱夜断愁",C321="净世破魔击·月")),100,MIN(IF(OR(CN321,BE321),0,IF(OR($C321="赤日轮1",$C321="赤日轮2",$C321="赤日轮3"),E320+20+IF(模拟模式!$I$7="日月凌天",4,0)+IF(CR320,20,0),IF($C321="烈日斩",E320+40,IF($C321="驱夜断愁",IF(模拟模式!$R$7="万念俱寂",E320+20,E320+60),IF($C321="净世破魔击·月",IF(OR(DB320&gt;0,CV320&gt;0),100,IF(模拟模式!$M$7="辉耀红尘",E320+20,E320)),IF($C321="净世破魔击·日",E320-100,E320)))))),100))</f>
        <v>20</v>
      </c>
      <c r="F321" s="115">
        <f ca="1">IF(AND(CU321,OR(C321="赤日轮1",C321="赤日轮2",C321="赤日轮3",C321="烈日斩",C321="净世破魔击·日")),100,MIN(IF(CO321,0,IF(OR($C321="幽月轮1",$C321="幽月轮2",$C321="幽月轮3"),F320+20+IF(模拟模式!$I$7="日月凌天",4,0)+IF(CS320,20,0),IF($C321="银月斩",F320+40+IF(模拟模式!$X$12=1,5,0),IF($C321="驱夜断愁",IF(模拟模式!$R$7="万念俱寂",F320+20,F320+60),IF($C321="净世破魔击·月",IF(模拟模式!$M$7="辉耀红尘",F320-80,F320-100),IF(AND(C321="净世破魔击·日",OR(DB320&gt;0,CV320&gt;0)),100,F320)))))),100))</f>
        <v>20</v>
      </c>
      <c r="G321" s="117">
        <f ca="1">('模拟-全程加成'!$E$3+'模拟-全程加成'!$E$4+'模拟-全程加成'!$E$5+('模拟-全程加成'!$C$6-'模拟-全程加成'!$C$3)*系数!$B$9+BS321*23)*(1+'模拟-全程加成'!$F$4+'模拟-全程加成'!$F$5+BJ321*10%+BM321*20%+BP321*4%+CG321*30%)+$F$7*系数!$B$12</f>
        <v>21493.829400000002</v>
      </c>
      <c r="H321" s="45">
        <f ca="1">'模拟-全程加成'!$H$3+'模拟-全程加成'!$H$4+'模拟-全程加成'!$H$5+('模拟-全程加成'!$G$4+'模拟-全程加成'!$G$5+('模拟-全程加成'!$C$6-'模拟-全程加成'!$C$3)*系数!$B$13)/系数!$B$3+LOOKUP(D321,'模拟-单技能数据'!$A$2:$A$19,'模拟-单技能数据'!$K$2:$K$19)+BG321*10%+IF(BV321&gt;0,378,0)</f>
        <v>0.4618514552730022</v>
      </c>
      <c r="I321" s="45">
        <f ca="1">'模拟-全程加成'!$J$3+'模拟-全程加成'!$J$4+'模拟-全程加成'!$J$5+('模拟-全程加成'!$I$4+'模拟-全程加成'!$I$5)/系数!$B$4+LOOKUP(D321,'模拟-单技能数据'!$A$2:$A$19,'模拟-单技能数据'!$L$2:$L$19)+BG321*10%</f>
        <v>2.162482885499879</v>
      </c>
      <c r="J321" s="45">
        <f ca="1">(('模拟-全程加成'!$K$3+'模拟-全程加成'!$K$4+'模拟-全程加成'!$K$5+('模拟-全程加成'!$C$6-'模拟-全程加成'!$C$3)*系数!$B$10+IF(BV321&gt;0,882,0)+IF(BY321&gt;0,1831,0))*(1+'模拟-全程加成'!$L$4+'模拟-全程加成'!$L$5+CC321*20%))/系数!$B$5</f>
        <v>0.69723220422048726</v>
      </c>
      <c r="K321" s="119">
        <f ca="1">LOOKUP(D321,'模拟-单技能数据'!$A$2:$A$19,'模拟-单技能数据'!$J$2:$J$19)+IF(CM321,60%,0)+IF(DB320-DB321&gt;0,30%,0)+IF(OR(AND(OR(C321="赤日轮1",C321="赤日轮2",C321="赤日轮3"),CR321),AND(OR(C321="幽月轮1",C321="幽月轮2",C321="幽月轮3"),CS321)),35%,0)+CJ321</f>
        <v>0.12</v>
      </c>
      <c r="L321" s="119">
        <f ca="1">IF(AND(C321="烈日斩",模拟模式!$X$11=1),10%,0)+IF(AND(C321="驱夜断愁",AB321=1),30%,0)</f>
        <v>0</v>
      </c>
      <c r="M321" s="45">
        <f t="shared" ca="1" si="241"/>
        <v>0.4618514552730022</v>
      </c>
      <c r="N321" s="45">
        <f t="shared" ca="1" si="242"/>
        <v>0.48424854472699785</v>
      </c>
      <c r="O321" s="46">
        <f t="shared" ca="1" si="266"/>
        <v>0.12799136152235269</v>
      </c>
      <c r="P321" s="46" t="str">
        <f t="shared" ca="1" si="267"/>
        <v>会</v>
      </c>
      <c r="Q321" s="45">
        <f t="shared" ca="1" si="268"/>
        <v>2.162482885499879</v>
      </c>
      <c r="R321" s="117">
        <f ca="1">模拟模式!$E$20*(1-IF(模拟模式!$J$19="有",0.15,0))*(1-IF(模拟模式!$K$19="有",0.3,0)-IF(CQ321,0.5,0))</f>
        <v>843.02999999999975</v>
      </c>
      <c r="S321" s="45">
        <f ca="1">R321/(R321+(185*模拟模式!$E$22-16800)*4.08224)</f>
        <v>8.389626085980037E-2</v>
      </c>
      <c r="T321" s="45" t="str">
        <f ca="1">LOOKUP(D321,'模拟-单技能数据'!$A$2:$A$19,'模拟-单技能数据'!$H$2:$H$19)</f>
        <v>阳</v>
      </c>
      <c r="U321" s="119">
        <f t="shared" ca="1" si="243"/>
        <v>0.2</v>
      </c>
      <c r="V321" s="47">
        <f ca="1">(1+L321)*(LOOKUP(D321,'模拟-单技能数据'!$A$2:$A$19,'模拟-单技能数据'!$D$2:$D$19)+G321*LOOKUP(D321,'模拟-单技能数据'!$A$2:$A$19,'模拟-单技能数据'!$F$2:$F$19))*(1+J321)*(1+K321)*(1-S321)*(1+U321)*Q321*LOOKUP(D321,'模拟-单技能数据'!$A$2:$A$19,'模拟-单技能数据'!$I$2:$I$20)</f>
        <v>56864.156113360666</v>
      </c>
      <c r="W321" s="47">
        <f ca="1">LOOKUP(D321,'模拟-单技能数据'!$A$2:$A$19,'模拟-单技能数据'!$G$2:$G$19)*$I$10</f>
        <v>361.51064354704795</v>
      </c>
      <c r="X321" s="47">
        <f t="shared" ca="1" si="269"/>
        <v>29176.565489789831</v>
      </c>
      <c r="Y321" s="47">
        <f t="shared" ca="1" si="244"/>
        <v>86402.232246697546</v>
      </c>
      <c r="Z321" s="49">
        <f t="shared" ca="1" si="245"/>
        <v>30828605.807035189</v>
      </c>
      <c r="AA321" s="97">
        <f t="shared" ca="1" si="246"/>
        <v>113668.51319814523</v>
      </c>
      <c r="AB321" s="115">
        <f ca="1">IF(OR(C321="赤日轮1",C321="赤日轮2",C321="赤日轮3"),IF(RAND()&lt;模拟模式!$Y$17,1,0),IF(OR(C321="幽月轮1",C321="幽月轮2",C321="幽月轮3"),IF(RAND()&lt;模拟模式!$Y$18,1,0),IF(C321="烈日斩",IF(RAND()&lt;模拟模式!$Y$19,1,0),IF(C321="银月斩",IF(RAND()&lt;模拟模式!$Y$20,1,0),IF(C321="驱夜断愁",IF(RAND()&lt;模拟模式!$Y$21,1,0),IF(C321="净世破魔击·日",IF(RAND()&lt;模拟模式!$Y$22,1,0),IF(C321="净世破魔击·月",IF(RAND()&lt;模拟模式!$Y$23,1,0),0)))))))</f>
        <v>1</v>
      </c>
      <c r="AC321" s="115" t="b">
        <f t="shared" ca="1" si="234"/>
        <v>0</v>
      </c>
      <c r="AD321" s="115" t="b">
        <f t="shared" ca="1" si="254"/>
        <v>1</v>
      </c>
      <c r="AE321" s="115">
        <f t="shared" ca="1" si="255"/>
        <v>2</v>
      </c>
      <c r="AF321" s="47">
        <f ca="1">IF(AC321,('模拟-单技能数据'!$D$20+G321*'模拟-单技能数据'!$F$20)*(1+J321)*(1+'模拟-单技能数据'!$J$20)*(1+U321),0)</f>
        <v>0</v>
      </c>
      <c r="AG321" s="61">
        <f t="shared" ca="1" si="247"/>
        <v>0.64185145527300214</v>
      </c>
      <c r="AH321" s="61">
        <f t="shared" ca="1" si="248"/>
        <v>2.2624828854998791</v>
      </c>
      <c r="AI321" s="62">
        <f t="shared" ca="1" si="270"/>
        <v>0.94277344041122946</v>
      </c>
      <c r="AJ321" s="47">
        <f ca="1">IF(AD321,IF(AI321&lt;$F$10,0,IF(AI321&lt;$F$10+$F$11,0.25,IF(AI321&lt;$F$10+$F$11+AG321,AH321,1)))*IF(AF321&gt;0,AF321,IF(AF320&gt;0,AF320,IF(AF319&gt;0,AF319,IF(AF318&gt;0,AF318,IF(AF317&gt;0,AF317,IF(AF316&gt;0,AF316,IF(AF315&gt;0,AF315,IF(AF314&gt;0,AF314,IF(AF313&gt;0,AF313,IF(AF311&gt;0,AF311,IF(AF310&gt;0,AF310,IF(AF309&gt;0,AF309,0)))))))))))),0)*(1-$S321)*'模拟-单技能数据'!$I$20</f>
        <v>4074.6980221198578</v>
      </c>
      <c r="AK321" s="115" t="b">
        <f t="shared" ca="1" si="235"/>
        <v>0</v>
      </c>
      <c r="AL321" s="115" t="b">
        <f t="shared" ca="1" si="256"/>
        <v>1</v>
      </c>
      <c r="AM321" s="115">
        <f t="shared" ca="1" si="257"/>
        <v>5</v>
      </c>
      <c r="AN321" s="47">
        <f ca="1">IF(AK321,('模拟-单技能数据'!$D$21+G321*'模拟-单技能数据'!$F$21)*(1+J321)*(1+'模拟-单技能数据'!$J$21)*(1+U321),0)</f>
        <v>0</v>
      </c>
      <c r="AO321" s="61">
        <f ca="1">IF(AN321&gt;0,M321-'模拟-单技能数据'!$K$10,AO320)</f>
        <v>0.42185145527300216</v>
      </c>
      <c r="AP321" s="61">
        <f ca="1">IF(AN321&gt;0,I321-'模拟-单技能数据'!$L$10,AP320)</f>
        <v>2.162482885499879</v>
      </c>
      <c r="AQ321" s="63">
        <f t="shared" ca="1" si="271"/>
        <v>7.2170427979250551E-2</v>
      </c>
      <c r="AR321" s="64">
        <f ca="1">IF(AL321,IF(AQ321&lt;$F$10,0,IF(AQ321&lt;$F$10+$F$11,0.25,IF(AQ321&lt;$F$10+$F$11+AO321,AP321,1)))*IF(AN321&gt;0,AN321,IF(AN320&gt;0,AN320,IF(AN319&gt;0,AN319,IF(AN318&gt;0,AN318,IF(AN317&gt;0,AN317,IF(AN316&gt;0,AN316,IF(AN315&gt;0,AN315,IF(AN314&gt;0,AN314,IF(AN313&gt;0,AN313,IF(AN311&gt;0,AN311,IF(AN310&gt;0,AN310,IF(AN309&gt;0,AN309,0)))))))))))),0)*(1-$S321)*'模拟-单技能数据'!$I$21</f>
        <v>25101.867467669974</v>
      </c>
      <c r="AS321" s="61">
        <f ca="1">IF(OR(C321="净世破魔击·日",C321="净世破魔击·月"),M321-'模拟-单技能数据'!$K$10,0)</f>
        <v>0</v>
      </c>
      <c r="AT321" s="61">
        <f ca="1">IF(OR(C321="净世破魔击·日",C321="净世破魔击·月"),I321-'模拟-单技能数据'!$L$10,0)</f>
        <v>0</v>
      </c>
      <c r="AU321" s="62">
        <f t="shared" ca="1" si="272"/>
        <v>0.91148747487507686</v>
      </c>
      <c r="AV321" s="64">
        <f ca="1">IF(AS321&gt;0,('模拟-单技能数据'!$D$22+G321*'模拟-单技能数据'!$F$22)*(1+J321)*(1-S321)*IF(AU321&lt;$F$10,0,IF(AU321&lt;$F$10+$F$11,0.25,IF(AU321&lt;$F$10+$F$11+AS321,AT321,1)))*(1+U321),0)*'模拟-单技能数据'!$I$22</f>
        <v>0</v>
      </c>
      <c r="AW321" s="108">
        <f t="shared" ca="1" si="273"/>
        <v>0</v>
      </c>
      <c r="AX321" s="108" t="b">
        <f ca="1">AND(模拟模式!$P$10="有",AW320=0,RAND()&lt;IF(C321="净世破魔击·月",0.1*8/3,IF(C321="净世破魔击·日",0.1*4/3,0.1*2/3)))</f>
        <v>0</v>
      </c>
      <c r="AY321" s="47">
        <f ca="1">IF(AX321,(18+G321*0.722)*(1+J321)*(1-S321)*(1+$I$4)*IF(P321="会",'模拟-全程加成'!$J$3+'模拟-全程加成'!$J$4+'模拟-全程加成'!$J$5+('模拟-全程加成'!$I$4+'模拟-全程加成'!$I$5)/系数!$B$4+BG321*10%,IF(P321="命",1,IF(P321="识",0.25,0))),0)</f>
        <v>0</v>
      </c>
      <c r="AZ321" s="108">
        <f t="shared" si="274"/>
        <v>12.620000000000005</v>
      </c>
      <c r="BA321" s="108" t="b">
        <f>AND(模拟模式!$Q$10="有",AZ320=0)</f>
        <v>0</v>
      </c>
      <c r="BB321" s="140">
        <f>IF(BA321,(0+G321*0.287)*(1+J321)*(1-S321)*(1+$I$4)*IF(P321="会",'模拟-全程加成'!$J$3+'模拟-全程加成'!$J$4+'模拟-全程加成'!$J$5+('模拟-全程加成'!$I$4+'模拟-全程加成'!$I$5)/系数!$B$4+BG321*10%,IF(P321="命",1,IF(P321="识",0.25,0))),0)</f>
        <v>0</v>
      </c>
      <c r="BC321" s="115" t="b">
        <f ca="1">AND(模拟模式!$R$7="伏明众生",E321=60,F321=20,DA321&lt;5,CZ320&lt;$F$4)</f>
        <v>0</v>
      </c>
      <c r="BD321" s="115">
        <f t="shared" ca="1" si="236"/>
        <v>0</v>
      </c>
      <c r="BE321" s="115" t="b">
        <f t="shared" ca="1" si="237"/>
        <v>0</v>
      </c>
      <c r="BF321" s="47">
        <f ca="1">IF(BC321,4*('模拟-单技能数据'!$D$24+G321*'模拟-单技能数据'!$F$24)*(1+J321)*(1+'模拟-单技能数据'!$J$24)*(1-S321)*(1+$I$3)*(('模拟-全程加成'!$J$3+'模拟-全程加成'!$J$4+'模拟-全程加成'!$J$5+('模拟-全程加成'!$I$4+'模拟-全程加成'!$I$5)/系数!$B$4+BG321*10%)*('模拟-全程加成'!$J$3+'模拟-全程加成'!$J$4+'模拟-全程加成'!$J$5+('模拟-全程加成'!$I$4+'模拟-全程加成'!$I$5)/系数!$B$4+BG321*10%)+(1-('模拟-全程加成'!$J$3+'模拟-全程加成'!$J$4+'模拟-全程加成'!$J$5+('模拟-全程加成'!$I$4+'模拟-全程加成'!$I$5)/系数!$B$4+BG321*10%)-$F$10-$F$11)+F307*0.25),0)*'模拟-单技能数据'!$I$24</f>
        <v>0</v>
      </c>
      <c r="BG321" s="115" t="b">
        <f ca="1">OR(AND(OR(C321="烈日斩",C321="银月斩"),模拟模式!$I$7="净身明礼"),AND(C321="净世破魔击·日",模拟模式!$J$7="洞若观火"),AND(C322="净世破魔击·月",模拟模式!$J$7="洞若观火"),AB321=1)</f>
        <v>1</v>
      </c>
      <c r="BH321" s="115" t="b">
        <f t="shared" ca="1" si="275"/>
        <v>0</v>
      </c>
      <c r="BI321" s="115">
        <f t="shared" ca="1" si="238"/>
        <v>4.1549999999999994</v>
      </c>
      <c r="BJ321" s="115" t="b">
        <f t="shared" ca="1" si="249"/>
        <v>1</v>
      </c>
      <c r="BK321" s="115" t="b">
        <f ca="1">AND(C321="驱夜断愁",模拟模式!$P$7="天地诛戮")</f>
        <v>0</v>
      </c>
      <c r="BL321" s="57">
        <f t="shared" ca="1" si="239"/>
        <v>15.387500000000003</v>
      </c>
      <c r="BM321" s="115" t="b">
        <f t="shared" ca="1" si="250"/>
        <v>1</v>
      </c>
      <c r="BN321" s="115" t="b">
        <f ca="1">AND(OR(C321="赤日轮1",C321="赤日轮2",C321="赤日轮3",C321="幽月轮1",C321="幽月轮2",C321="幽月轮3"),AB321=1,模拟模式!$L$7="明光恒照")</f>
        <v>1</v>
      </c>
      <c r="BO321" s="117">
        <f t="shared" ca="1" si="240"/>
        <v>30</v>
      </c>
      <c r="BP321" s="115">
        <f t="shared" ca="1" si="276"/>
        <v>6</v>
      </c>
      <c r="BQ321" s="115" t="b">
        <f>模拟模式!$K$10="2600·水"</f>
        <v>0</v>
      </c>
      <c r="BR321" s="117">
        <f t="shared" si="277"/>
        <v>0</v>
      </c>
      <c r="BS321" s="115">
        <f t="shared" si="278"/>
        <v>0</v>
      </c>
      <c r="BT321" s="115">
        <f t="shared" ca="1" si="279"/>
        <v>0</v>
      </c>
      <c r="BU321" s="115" t="b">
        <f ca="1">AND(模拟模式!$K$10="2300·雷",BT320=0,RAND()&lt;IF(C321="净世破魔击·月",5*0.05*2/3,IF(C321="净世破魔击·日",3*0.05*2/3,0.05*2*2/3)))</f>
        <v>0</v>
      </c>
      <c r="BV321" s="115">
        <f t="shared" ca="1" si="280"/>
        <v>0</v>
      </c>
      <c r="BW321" s="115">
        <f t="shared" ca="1" si="281"/>
        <v>100.66499999999925</v>
      </c>
      <c r="BX321" s="164" t="b">
        <f t="shared" ca="1" si="282"/>
        <v>0</v>
      </c>
      <c r="BY321" s="115">
        <f t="shared" ca="1" si="283"/>
        <v>0</v>
      </c>
      <c r="BZ321" s="115">
        <f>IF(OR(模拟模式!$P$16="10人团",模拟模式!$P$16="25人团"),IF(B321/30&gt;CA320,1,0),0)</f>
        <v>0</v>
      </c>
      <c r="CA321" s="115">
        <f t="shared" si="259"/>
        <v>0</v>
      </c>
      <c r="CB321" s="115">
        <f ca="1">IF(BZ321=1,IF(模拟模式!$P$16="10人团",15,0)+IF(模拟模式!$P$16="25人团",IF(RAND()&lt;0.6,15,0)),MAX(0,CB320-$F$4))</f>
        <v>0</v>
      </c>
      <c r="CC321" s="115" t="b">
        <f t="shared" ca="1" si="251"/>
        <v>0</v>
      </c>
      <c r="CD321" s="115">
        <f>IF(模拟模式!$Q$16="1个",IF(B321/40&gt;CE320,1,0),0)</f>
        <v>0</v>
      </c>
      <c r="CE321" s="115">
        <f t="shared" si="252"/>
        <v>0</v>
      </c>
      <c r="CF321" s="115">
        <f>IF(OR(CD321=1,模拟模式!$Q$16="2个"),20,MAX(0,CF320-$F$4))</f>
        <v>0</v>
      </c>
      <c r="CG321" s="115" t="b">
        <f t="shared" si="253"/>
        <v>0</v>
      </c>
      <c r="CH321" s="115">
        <f t="shared" ca="1" si="284"/>
        <v>0</v>
      </c>
      <c r="CI321" s="115" t="b">
        <f t="shared" ca="1" si="285"/>
        <v>0</v>
      </c>
      <c r="CJ321" s="119">
        <f t="shared" ca="1" si="286"/>
        <v>0</v>
      </c>
      <c r="CK321" s="115">
        <f t="shared" ca="1" si="287"/>
        <v>0</v>
      </c>
      <c r="CL321" s="115" t="b">
        <f ca="1">AND(模拟模式!$S$7="驱夷逐法",OR(AND(C321="净世破魔击·月",E320&gt;59),AND(C321="净世破魔击·日",F320&gt;59)))</f>
        <v>0</v>
      </c>
      <c r="CM321" s="115" t="b">
        <f ca="1">OR(CL321,AND(C321="净世破魔击·日",CL320,RAND()&lt;模拟模式!$U$23))</f>
        <v>0</v>
      </c>
      <c r="CN321" s="115" t="b">
        <f ca="1">IF(模拟模式!$M$7="辉耀红尘",AND(C321="净世破魔击·月",CL321,CV321=0,E320&lt;80),AND(C321="净世破魔击·月",CL321,E320&lt;100))</f>
        <v>0</v>
      </c>
      <c r="CO321" s="115" t="b">
        <f t="shared" ca="1" si="260"/>
        <v>0</v>
      </c>
      <c r="CP321" s="115" t="b">
        <f ca="1">AND(模拟模式!$O$7="用晦而明",OR(C321="净世破魔击·日",C321="净世破魔击·月",C321="驱夜断愁"),AB321)</f>
        <v>0</v>
      </c>
      <c r="CQ321" s="115" t="b">
        <f ca="1">OR(CP321,AND(CP320,RAND()&lt;模拟模式!$U$23))</f>
        <v>1</v>
      </c>
      <c r="CR321" s="115" t="b">
        <f ca="1">AND(模拟模式!$S$7="日月齐光",OR(C321="幽月轮1",C321="幽月轮2",C321="幽月轮3",CR320),NOT(OR(C321="赤日轮1",C321="赤日轮2",C321="赤日轮3")))</f>
        <v>0</v>
      </c>
      <c r="CS321" s="115" t="b">
        <f ca="1">AND(模拟模式!$S$7="日月齐光",OR(C321="赤日轮1",C321="赤日轮2",C321="赤日轮3",CS320),NOT(OR(C321="幽月轮1",C321="幽月轮2",C321="幽月轮3")))</f>
        <v>0</v>
      </c>
      <c r="CT321" s="115">
        <f t="shared" ca="1" si="288"/>
        <v>5.0925000000000118</v>
      </c>
      <c r="CU321" s="115" t="b">
        <f ca="1">AND(模拟模式!$K$10="阴阳往极",CT320=0,RAND()&lt;IF(C321="净世破魔击·月",0.0275*7/3,IF(C321="净世破魔击·日",0.0275*3/3,0.0275*2/3)))</f>
        <v>0</v>
      </c>
      <c r="CV321" s="115">
        <f t="shared" ca="1" si="289"/>
        <v>0</v>
      </c>
      <c r="CW321" s="115">
        <f t="shared" ca="1" si="261"/>
        <v>2.3099999999999996</v>
      </c>
      <c r="CX321" s="115">
        <f t="shared" ca="1" si="262"/>
        <v>0.46499999999999975</v>
      </c>
      <c r="CY321" s="115">
        <f ca="1">MAX(IF($C321="驱夜断愁",IF(模拟模式!$R$7="万念俱寂",6,45),CY320-$F$4),0)</f>
        <v>1.3874999999999997</v>
      </c>
      <c r="CZ321" s="115">
        <f t="shared" ca="1" si="263"/>
        <v>0</v>
      </c>
      <c r="DA321" s="115">
        <f ca="1">IF(模拟模式!$N$7="日月同辉",IF(DB320=2,0,MIN(6,IF(AND(OR(C321="赤日轮1",C321="赤日轮2",C321="赤日轮3",C321="幽月轮1",C321="幽月轮2",C321="幽月轮3"),AB321=1),DA320+1,DA320))),0)</f>
        <v>6</v>
      </c>
      <c r="DB321" s="115">
        <f t="shared" ca="1" si="264"/>
        <v>2</v>
      </c>
      <c r="DC321" s="115"/>
      <c r="DD321" s="115"/>
      <c r="DE321" s="115"/>
      <c r="DF321" s="115"/>
      <c r="DG321" s="115"/>
      <c r="DH321" s="115"/>
      <c r="DI321" s="115"/>
      <c r="DJ321" s="115"/>
      <c r="DK321" s="115"/>
      <c r="DL321" s="115"/>
      <c r="DM321" s="115"/>
    </row>
    <row r="322" spans="2:117" x14ac:dyDescent="0.2">
      <c r="B322" s="117">
        <f t="shared" si="265"/>
        <v>272.13750000000203</v>
      </c>
      <c r="C322" s="167" t="str">
        <f t="shared" ca="1" si="258"/>
        <v>银月斩</v>
      </c>
      <c r="D322" s="115">
        <f ca="1">IF(C322="赤日轮1",1,IF(C322="赤日轮2",2,IF(C322="赤日轮3",3,IF(C322="幽月轮1",4,IF(C322="幽月轮2",5,IF(C322="幽月轮3",6,IF(C322="烈日斩",7,IF(C322="银月斩",8,IF(C322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322="净世破魔击·月",17,IF(C322="驱夜断愁",18,0)))))))))))</f>
        <v>8</v>
      </c>
      <c r="E322" s="115">
        <f ca="1">IF(AND(CU322,OR(C322="幽月轮1",C322="幽月轮2",C322="幽月轮3",C322="银月斩",C322="驱夜断愁",C322="净世破魔击·月")),100,MIN(IF(OR(CN322,BE322),0,IF(OR($C322="赤日轮1",$C322="赤日轮2",$C322="赤日轮3"),E321+20+IF(模拟模式!$I$7="日月凌天",4,0)+IF(CR321,20,0),IF($C322="烈日斩",E321+40,IF($C322="驱夜断愁",IF(模拟模式!$R$7="万念俱寂",E321+20,E321+60),IF($C322="净世破魔击·月",IF(OR(DB321&gt;0,CV321&gt;0),100,IF(模拟模式!$M$7="辉耀红尘",E321+20,E321)),IF($C322="净世破魔击·日",E321-100,E321)))))),100))</f>
        <v>20</v>
      </c>
      <c r="F322" s="115">
        <f ca="1">IF(AND(CU322,OR(C322="赤日轮1",C322="赤日轮2",C322="赤日轮3",C322="烈日斩",C322="净世破魔击·日")),100,MIN(IF(CO322,0,IF(OR($C322="幽月轮1",$C322="幽月轮2",$C322="幽月轮3"),F321+20+IF(模拟模式!$I$7="日月凌天",4,0)+IF(CS321,20,0),IF($C322="银月斩",F321+40+IF(模拟模式!$X$12=1,5,0),IF($C322="驱夜断愁",IF(模拟模式!$R$7="万念俱寂",F321+20,F321+60),IF($C322="净世破魔击·月",IF(模拟模式!$M$7="辉耀红尘",F321-80,F321-100),IF(AND(C322="净世破魔击·日",OR(DB321&gt;0,CV321&gt;0)),100,F321)))))),100))</f>
        <v>65</v>
      </c>
      <c r="G322" s="117">
        <f ca="1">('模拟-全程加成'!$E$3+'模拟-全程加成'!$E$4+'模拟-全程加成'!$E$5+('模拟-全程加成'!$C$6-'模拟-全程加成'!$C$3)*系数!$B$9+BS322*23)*(1+'模拟-全程加成'!$F$4+'模拟-全程加成'!$F$5+BJ322*10%+BM322*20%+BP322*4%+CG322*30%)+$F$7*系数!$B$12</f>
        <v>21493.829400000002</v>
      </c>
      <c r="H322" s="45">
        <f ca="1">'模拟-全程加成'!$H$3+'模拟-全程加成'!$H$4+'模拟-全程加成'!$H$5+('模拟-全程加成'!$G$4+'模拟-全程加成'!$G$5+('模拟-全程加成'!$C$6-'模拟-全程加成'!$C$3)*系数!$B$13)/系数!$B$3+LOOKUP(D322,'模拟-单技能数据'!$A$2:$A$19,'模拟-单技能数据'!$K$2:$K$19)+BG322*10%+IF(BV322&gt;0,378,0)</f>
        <v>0.64185145527300214</v>
      </c>
      <c r="I322" s="45">
        <f ca="1">'模拟-全程加成'!$J$3+'模拟-全程加成'!$J$4+'模拟-全程加成'!$J$5+('模拟-全程加成'!$I$4+'模拟-全程加成'!$I$5)/系数!$B$4+LOOKUP(D322,'模拟-单技能数据'!$A$2:$A$19,'模拟-单技能数据'!$L$2:$L$19)+BG322*10%</f>
        <v>2.2624828854998791</v>
      </c>
      <c r="J322" s="45">
        <f ca="1">(('模拟-全程加成'!$K$3+'模拟-全程加成'!$K$4+'模拟-全程加成'!$K$5+('模拟-全程加成'!$C$6-'模拟-全程加成'!$C$3)*系数!$B$10+IF(BV322&gt;0,882,0)+IF(BY322&gt;0,1831,0))*(1+'模拟-全程加成'!$L$4+'模拟-全程加成'!$L$5+CC322*20%))/系数!$B$5</f>
        <v>0.69723220422048726</v>
      </c>
      <c r="K322" s="119">
        <f ca="1">LOOKUP(D322,'模拟-单技能数据'!$A$2:$A$19,'模拟-单技能数据'!$J$2:$J$19)+IF(CM322,60%,0)+IF(DB321-DB322&gt;0,30%,0)+IF(OR(AND(OR(C322="赤日轮1",C322="赤日轮2",C322="赤日轮3"),CR322),AND(OR(C322="幽月轮1",C322="幽月轮2",C322="幽月轮3"),CS322)),35%,0)+CJ322</f>
        <v>0.15</v>
      </c>
      <c r="L322" s="119">
        <f ca="1">IF(AND(C322="烈日斩",模拟模式!$X$11=1),10%,0)+IF(AND(C322="驱夜断愁",AB322=1),30%,0)</f>
        <v>0</v>
      </c>
      <c r="M322" s="45">
        <f t="shared" ca="1" si="241"/>
        <v>0.64185145527300214</v>
      </c>
      <c r="N322" s="45">
        <f t="shared" ca="1" si="242"/>
        <v>0.30424854472699792</v>
      </c>
      <c r="O322" s="46">
        <f t="shared" ca="1" si="266"/>
        <v>0.12177769859265031</v>
      </c>
      <c r="P322" s="46" t="str">
        <f t="shared" ca="1" si="267"/>
        <v>会</v>
      </c>
      <c r="Q322" s="45">
        <f t="shared" ca="1" si="268"/>
        <v>2.2624828854998791</v>
      </c>
      <c r="R322" s="117">
        <f ca="1">模拟模式!$E$20*(1-IF(模拟模式!$J$19="有",0.15,0))*(1-IF(模拟模式!$K$19="有",0.3,0)-IF(CQ322,0.5,0))</f>
        <v>2950.6049999999996</v>
      </c>
      <c r="S322" s="45">
        <f ca="1">R322/(R322+(185*模拟模式!$E$22-16800)*4.08224)</f>
        <v>0.24272716014590323</v>
      </c>
      <c r="T322" s="45" t="str">
        <f ca="1">LOOKUP(D322,'模拟-单技能数据'!$A$2:$A$19,'模拟-单技能数据'!$H$2:$H$19)</f>
        <v>阴</v>
      </c>
      <c r="U322" s="119">
        <f t="shared" ca="1" si="243"/>
        <v>0.08</v>
      </c>
      <c r="V322" s="47">
        <f ca="1">(1+L322)*(LOOKUP(D322,'模拟-单技能数据'!$A$2:$A$19,'模拟-单技能数据'!$D$2:$D$19)+G322*LOOKUP(D322,'模拟-单技能数据'!$A$2:$A$19,'模拟-单技能数据'!$F$2:$F$19))*(1+J322)*(1+K322)*(1-S322)*(1+U322)*Q322*LOOKUP(D322,'模拟-单技能数据'!$A$2:$A$19,'模拟-单技能数据'!$I$2:$I$20)</f>
        <v>41211.704893206668</v>
      </c>
      <c r="W322" s="47">
        <f ca="1">LOOKUP(D322,'模拟-单技能数据'!$A$2:$A$19,'模拟-单技能数据'!$G$2:$G$19)*$I$10</f>
        <v>361.51064354704795</v>
      </c>
      <c r="X322" s="47">
        <f t="shared" ca="1" si="269"/>
        <v>0</v>
      </c>
      <c r="Y322" s="47">
        <f t="shared" ca="1" si="244"/>
        <v>41573.21553675372</v>
      </c>
      <c r="Z322" s="49">
        <f t="shared" ca="1" si="245"/>
        <v>30870179.022571944</v>
      </c>
      <c r="AA322" s="97">
        <f t="shared" ca="1" si="246"/>
        <v>113435.96168323628</v>
      </c>
      <c r="AB322" s="115">
        <f ca="1">IF(OR(C322="赤日轮1",C322="赤日轮2",C322="赤日轮3"),IF(RAND()&lt;模拟模式!$Y$17,1,0),IF(OR(C322="幽月轮1",C322="幽月轮2",C322="幽月轮3"),IF(RAND()&lt;模拟模式!$Y$18,1,0),IF(C322="烈日斩",IF(RAND()&lt;模拟模式!$Y$19,1,0),IF(C322="银月斩",IF(RAND()&lt;模拟模式!$Y$20,1,0),IF(C322="驱夜断愁",IF(RAND()&lt;模拟模式!$Y$21,1,0),IF(C322="净世破魔击·日",IF(RAND()&lt;模拟模式!$Y$22,1,0),IF(C322="净世破魔击·月",IF(RAND()&lt;模拟模式!$Y$23,1,0),0)))))))</f>
        <v>1</v>
      </c>
      <c r="AC322" s="115" t="b">
        <f t="shared" ref="AC322:AC385" ca="1" si="290">C322="银月斩"</f>
        <v>1</v>
      </c>
      <c r="AD322" s="115" t="b">
        <f t="shared" ca="1" si="254"/>
        <v>0</v>
      </c>
      <c r="AE322" s="115">
        <f t="shared" ca="1" si="255"/>
        <v>6</v>
      </c>
      <c r="AF322" s="47">
        <f ca="1">IF(AC322,('模拟-单技能数据'!$D$20+G322*'模拟-单技能数据'!$F$20)*(1+J322)*(1+'模拟-单技能数据'!$J$20)*(1+U322),0)</f>
        <v>4639.7456468263617</v>
      </c>
      <c r="AG322" s="61">
        <f t="shared" ca="1" si="247"/>
        <v>0.64185145527300214</v>
      </c>
      <c r="AH322" s="61">
        <f t="shared" ca="1" si="248"/>
        <v>2.2624828854998791</v>
      </c>
      <c r="AI322" s="62">
        <f t="shared" ca="1" si="270"/>
        <v>0.13825688496858157</v>
      </c>
      <c r="AJ322" s="47">
        <f ca="1">IF(AD322,IF(AI322&lt;$F$10,0,IF(AI322&lt;$F$10+$F$11,0.25,IF(AI322&lt;$F$10+$F$11+AG322,AH322,1)))*IF(AF322&gt;0,AF322,IF(AF321&gt;0,AF321,IF(AF320&gt;0,AF320,IF(AF319&gt;0,AF319,IF(AF318&gt;0,AF318,IF(AF317&gt;0,AF317,IF(AF316&gt;0,AF316,IF(AF315&gt;0,AF315,IF(AF314&gt;0,AF314,IF(AF312&gt;0,AF312,IF(AF311&gt;0,AF311,IF(AF310&gt;0,AF310,0)))))))))))),0)*(1-$S322)*'模拟-单技能数据'!$I$20</f>
        <v>0</v>
      </c>
      <c r="AK322" s="115" t="b">
        <f t="shared" ref="AK322:AK385" ca="1" si="291">C322="净世破魔击·日"</f>
        <v>0</v>
      </c>
      <c r="AL322" s="115" t="b">
        <f t="shared" ca="1" si="256"/>
        <v>0</v>
      </c>
      <c r="AM322" s="115">
        <f t="shared" ca="1" si="257"/>
        <v>5</v>
      </c>
      <c r="AN322" s="47">
        <f ca="1">IF(AK322,('模拟-单技能数据'!$D$21+G322*'模拟-单技能数据'!$F$21)*(1+J322)*(1+'模拟-单技能数据'!$J$21)*(1+U322),0)</f>
        <v>0</v>
      </c>
      <c r="AO322" s="61">
        <f ca="1">IF(AN322&gt;0,M322-'模拟-单技能数据'!$K$10,AO321)</f>
        <v>0.42185145527300216</v>
      </c>
      <c r="AP322" s="61">
        <f ca="1">IF(AN322&gt;0,I322-'模拟-单技能数据'!$L$10,AP321)</f>
        <v>2.162482885499879</v>
      </c>
      <c r="AQ322" s="63">
        <f t="shared" ca="1" si="271"/>
        <v>0.20033809985770534</v>
      </c>
      <c r="AR322" s="64">
        <f ca="1">IF(AL322,IF(AQ322&lt;$F$10,0,IF(AQ322&lt;$F$10+$F$11,0.25,IF(AQ322&lt;$F$10+$F$11+AO322,AP322,1)))*IF(AN322&gt;0,AN322,IF(AN321&gt;0,AN321,IF(AN320&gt;0,AN320,IF(AN319&gt;0,AN319,IF(AN318&gt;0,AN318,IF(AN317&gt;0,AN317,IF(AN316&gt;0,AN316,IF(AN315&gt;0,AN315,IF(AN314&gt;0,AN314,IF(AN312&gt;0,AN312,IF(AN311&gt;0,AN311,IF(AN310&gt;0,AN310,0)))))))))))),0)*(1-$S322)*'模拟-单技能数据'!$I$21</f>
        <v>0</v>
      </c>
      <c r="AS322" s="61">
        <f ca="1">IF(OR(C322="净世破魔击·日",C322="净世破魔击·月"),M322-'模拟-单技能数据'!$K$10,0)</f>
        <v>0</v>
      </c>
      <c r="AT322" s="61">
        <f ca="1">IF(OR(C322="净世破魔击·日",C322="净世破魔击·月"),I322-'模拟-单技能数据'!$L$10,0)</f>
        <v>0</v>
      </c>
      <c r="AU322" s="62">
        <f t="shared" ca="1" si="272"/>
        <v>0.39478018666443127</v>
      </c>
      <c r="AV322" s="64">
        <f ca="1">IF(AS322&gt;0,('模拟-单技能数据'!$D$22+G322*'模拟-单技能数据'!$F$22)*(1+J322)*(1-S322)*IF(AU322&lt;$F$10,0,IF(AU322&lt;$F$10+$F$11,0.25,IF(AU322&lt;$F$10+$F$11+AS322,AT322,1)))*(1+U322),0)*'模拟-单技能数据'!$I$22</f>
        <v>0</v>
      </c>
      <c r="AW322" s="108">
        <f t="shared" ca="1" si="273"/>
        <v>0</v>
      </c>
      <c r="AX322" s="108" t="b">
        <f ca="1">AND(模拟模式!$P$10="有",AW321=0,RAND()&lt;IF(C322="净世破魔击·月",0.1*8/3,IF(C322="净世破魔击·日",0.1*4/3,0.1*2/3)))</f>
        <v>0</v>
      </c>
      <c r="AY322" s="47">
        <f ca="1">IF(AX322,(18+G322*0.722)*(1+J322)*(1-S322)*(1+$I$4)*IF(P322="会",'模拟-全程加成'!$J$3+'模拟-全程加成'!$J$4+'模拟-全程加成'!$J$5+('模拟-全程加成'!$I$4+'模拟-全程加成'!$I$5)/系数!$B$4+BG322*10%,IF(P322="命",1,IF(P322="识",0.25,0))),0)</f>
        <v>0</v>
      </c>
      <c r="AZ322" s="108">
        <f t="shared" si="274"/>
        <v>11.697500000000005</v>
      </c>
      <c r="BA322" s="108" t="b">
        <f>AND(模拟模式!$Q$10="有",AZ321=0)</f>
        <v>0</v>
      </c>
      <c r="BB322" s="140">
        <f>IF(BA322,(0+G322*0.287)*(1+J322)*(1-S322)*(1+$I$4)*IF(P322="会",'模拟-全程加成'!$J$3+'模拟-全程加成'!$J$4+'模拟-全程加成'!$J$5+('模拟-全程加成'!$I$4+'模拟-全程加成'!$I$5)/系数!$B$4+BG322*10%,IF(P322="命",1,IF(P322="识",0.25,0))),0)</f>
        <v>0</v>
      </c>
      <c r="BC322" s="115" t="b">
        <f ca="1">AND(模拟模式!$R$7="伏明众生",E322=60,F322=20,DA322&lt;5,CZ321&lt;$F$4)</f>
        <v>0</v>
      </c>
      <c r="BD322" s="115">
        <f t="shared" ref="BD322:BD385" ca="1" si="292">IF(BC322,6-$F$4,MAX(0,BD321-$F$4))</f>
        <v>0</v>
      </c>
      <c r="BE322" s="115" t="b">
        <f t="shared" ref="BE322:BE385" ca="1" si="293">AND(BD321&gt;0,BD321-$F$4&lt;0)</f>
        <v>0</v>
      </c>
      <c r="BF322" s="47">
        <f ca="1">IF(BC322,4*('模拟-单技能数据'!$D$24+G322*'模拟-单技能数据'!$F$24)*(1+J322)*(1+'模拟-单技能数据'!$J$24)*(1-S322)*(1+$I$3)*(('模拟-全程加成'!$J$3+'模拟-全程加成'!$J$4+'模拟-全程加成'!$J$5+('模拟-全程加成'!$I$4+'模拟-全程加成'!$I$5)/系数!$B$4+BG322*10%)*('模拟-全程加成'!$J$3+'模拟-全程加成'!$J$4+'模拟-全程加成'!$J$5+('模拟-全程加成'!$I$4+'模拟-全程加成'!$I$5)/系数!$B$4+BG322*10%)+(1-('模拟-全程加成'!$J$3+'模拟-全程加成'!$J$4+'模拟-全程加成'!$J$5+('模拟-全程加成'!$I$4+'模拟-全程加成'!$I$5)/系数!$B$4+BG322*10%)-$F$10-$F$11)+F308*0.25),0)*'模拟-单技能数据'!$I$24</f>
        <v>0</v>
      </c>
      <c r="BG322" s="115" t="b">
        <f ca="1">OR(AND(OR(C322="烈日斩",C322="银月斩"),模拟模式!$I$7="净身明礼"),AND(C322="净世破魔击·日",模拟模式!$J$7="洞若观火"),AND(C323="净世破魔击·月",模拟模式!$J$7="洞若观火"),AB322=1)</f>
        <v>1</v>
      </c>
      <c r="BH322" s="115" t="b">
        <f t="shared" ca="1" si="275"/>
        <v>0</v>
      </c>
      <c r="BI322" s="115">
        <f t="shared" ref="BI322:BI385" ca="1" si="294">IF(BH322,6,MAX(0,BI321-$F$4))</f>
        <v>3.2324999999999995</v>
      </c>
      <c r="BJ322" s="115" t="b">
        <f t="shared" ca="1" si="249"/>
        <v>1</v>
      </c>
      <c r="BK322" s="115" t="b">
        <f ca="1">AND(C322="驱夜断愁",模拟模式!$P$7="天地诛戮")</f>
        <v>0</v>
      </c>
      <c r="BL322" s="57">
        <f t="shared" ref="BL322:BL385" ca="1" si="295">IF(BK322,20,MAX(0,BL321-$F$4))</f>
        <v>14.465000000000003</v>
      </c>
      <c r="BM322" s="115" t="b">
        <f t="shared" ca="1" si="250"/>
        <v>1</v>
      </c>
      <c r="BN322" s="115" t="b">
        <f ca="1">AND(OR(C322="赤日轮1",C322="赤日轮2",C322="赤日轮3",C322="幽月轮1",C322="幽月轮2",C322="幽月轮3"),AB322=1,模拟模式!$L$7="明光恒照")</f>
        <v>0</v>
      </c>
      <c r="BO322" s="117">
        <f t="shared" ref="BO322:BO385" ca="1" si="296">IF(BN322,30,MAX(0,BO321-$F$4))</f>
        <v>29.077500000000001</v>
      </c>
      <c r="BP322" s="115">
        <f t="shared" ca="1" si="276"/>
        <v>6</v>
      </c>
      <c r="BQ322" s="115" t="b">
        <f>模拟模式!$K$10="2600·水"</f>
        <v>0</v>
      </c>
      <c r="BR322" s="117">
        <f t="shared" si="277"/>
        <v>0</v>
      </c>
      <c r="BS322" s="115">
        <f t="shared" si="278"/>
        <v>0</v>
      </c>
      <c r="BT322" s="115">
        <f t="shared" ca="1" si="279"/>
        <v>0</v>
      </c>
      <c r="BU322" s="115" t="b">
        <f ca="1">AND(模拟模式!$K$10="2300·雷",BT321=0,RAND()&lt;IF(C322="净世破魔击·月",5*0.05*2/3,IF(C322="净世破魔击·日",3*0.05*2/3,0.05*2*2/3)))</f>
        <v>0</v>
      </c>
      <c r="BV322" s="115">
        <f t="shared" ca="1" si="280"/>
        <v>0</v>
      </c>
      <c r="BW322" s="115">
        <f t="shared" ca="1" si="281"/>
        <v>99.742499999999254</v>
      </c>
      <c r="BX322" s="164" t="b">
        <f t="shared" ca="1" si="282"/>
        <v>0</v>
      </c>
      <c r="BY322" s="115">
        <f t="shared" ca="1" si="283"/>
        <v>0</v>
      </c>
      <c r="BZ322" s="115">
        <f>IF(OR(模拟模式!$P$16="10人团",模拟模式!$P$16="25人团"),IF(B322/30&gt;CA321,1,0),0)</f>
        <v>0</v>
      </c>
      <c r="CA322" s="115">
        <f t="shared" si="259"/>
        <v>0</v>
      </c>
      <c r="CB322" s="115">
        <f ca="1">IF(BZ322=1,IF(模拟模式!$P$16="10人团",15,0)+IF(模拟模式!$P$16="25人团",IF(RAND()&lt;0.6,15,0)),MAX(0,CB321-$F$4))</f>
        <v>0</v>
      </c>
      <c r="CC322" s="115" t="b">
        <f t="shared" ca="1" si="251"/>
        <v>0</v>
      </c>
      <c r="CD322" s="115">
        <f>IF(模拟模式!$Q$16="1个",IF(B322/40&gt;CE321,1,0),0)</f>
        <v>0</v>
      </c>
      <c r="CE322" s="115">
        <f t="shared" si="252"/>
        <v>0</v>
      </c>
      <c r="CF322" s="115">
        <f>IF(OR(CD322=1,模拟模式!$Q$16="2个"),20,MAX(0,CF321-$F$4))</f>
        <v>0</v>
      </c>
      <c r="CG322" s="115" t="b">
        <f t="shared" si="253"/>
        <v>0</v>
      </c>
      <c r="CH322" s="115">
        <f t="shared" ca="1" si="284"/>
        <v>0</v>
      </c>
      <c r="CI322" s="115" t="b">
        <f t="shared" ca="1" si="285"/>
        <v>0</v>
      </c>
      <c r="CJ322" s="119">
        <f t="shared" ca="1" si="286"/>
        <v>0</v>
      </c>
      <c r="CK322" s="115">
        <f t="shared" ca="1" si="287"/>
        <v>0</v>
      </c>
      <c r="CL322" s="115" t="b">
        <f ca="1">AND(模拟模式!$S$7="驱夷逐法",OR(AND(C322="净世破魔击·月",E321&gt;59),AND(C322="净世破魔击·日",F321&gt;59)))</f>
        <v>0</v>
      </c>
      <c r="CM322" s="115" t="b">
        <f ca="1">OR(CL322,AND(C322="净世破魔击·日",CL321,RAND()&lt;模拟模式!$U$23))</f>
        <v>0</v>
      </c>
      <c r="CN322" s="115" t="b">
        <f ca="1">IF(模拟模式!$M$7="辉耀红尘",AND(C322="净世破魔击·月",CL322,CV322=0,E321&lt;80),AND(C322="净世破魔击·月",CL322,E321&lt;100))</f>
        <v>0</v>
      </c>
      <c r="CO322" s="115" t="b">
        <f t="shared" ca="1" si="260"/>
        <v>0</v>
      </c>
      <c r="CP322" s="115" t="b">
        <f ca="1">AND(模拟模式!$O$7="用晦而明",OR(C322="净世破魔击·日",C322="净世破魔击·月",C322="驱夜断愁"),AB322)</f>
        <v>0</v>
      </c>
      <c r="CQ322" s="115" t="b">
        <f ca="1">OR(CP322,AND(CP321,RAND()&lt;模拟模式!$U$23))</f>
        <v>0</v>
      </c>
      <c r="CR322" s="115" t="b">
        <f ca="1">AND(模拟模式!$S$7="日月齐光",OR(C322="幽月轮1",C322="幽月轮2",C322="幽月轮3",CR321),NOT(OR(C322="赤日轮1",C322="赤日轮2",C322="赤日轮3")))</f>
        <v>0</v>
      </c>
      <c r="CS322" s="115" t="b">
        <f ca="1">AND(模拟模式!$S$7="日月齐光",OR(C322="赤日轮1",C322="赤日轮2",C322="赤日轮3",CS321),NOT(OR(C322="幽月轮1",C322="幽月轮2",C322="幽月轮3")))</f>
        <v>0</v>
      </c>
      <c r="CT322" s="115">
        <f t="shared" ca="1" si="288"/>
        <v>4.1700000000000115</v>
      </c>
      <c r="CU322" s="115" t="b">
        <f ca="1">AND(模拟模式!$K$10="阴阳往极",CT321=0,RAND()&lt;IF(C322="净世破魔击·月",0.0275*7/3,IF(C322="净世破魔击·日",0.0275*3/3,0.0275*2/3)))</f>
        <v>0</v>
      </c>
      <c r="CV322" s="115">
        <f t="shared" ca="1" si="289"/>
        <v>0</v>
      </c>
      <c r="CW322" s="115">
        <f t="shared" ca="1" si="261"/>
        <v>1.3874999999999997</v>
      </c>
      <c r="CX322" s="115">
        <f t="shared" ca="1" si="262"/>
        <v>6</v>
      </c>
      <c r="CY322" s="115">
        <f ca="1">MAX(IF($C322="驱夜断愁",IF(模拟模式!$R$7="万念俱寂",6,45),CY321-$F$4),0)</f>
        <v>0.46499999999999975</v>
      </c>
      <c r="CZ322" s="115">
        <f t="shared" ca="1" si="263"/>
        <v>0</v>
      </c>
      <c r="DA322" s="115">
        <f ca="1">IF(模拟模式!$N$7="日月同辉",IF(DB321=2,0,MIN(6,IF(AND(OR(C322="赤日轮1",C322="赤日轮2",C322="赤日轮3",C322="幽月轮1",C322="幽月轮2",C322="幽月轮3"),AB322=1),DA321+1,DA321))),0)</f>
        <v>0</v>
      </c>
      <c r="DB322" s="115">
        <f t="shared" ca="1" si="264"/>
        <v>2</v>
      </c>
      <c r="DC322" s="115"/>
      <c r="DD322" s="115"/>
      <c r="DE322" s="115"/>
      <c r="DF322" s="115"/>
      <c r="DG322" s="115"/>
      <c r="DH322" s="115"/>
      <c r="DI322" s="115"/>
      <c r="DJ322" s="115"/>
      <c r="DK322" s="115"/>
      <c r="DL322" s="115"/>
      <c r="DM322" s="115"/>
    </row>
    <row r="323" spans="2:117" x14ac:dyDescent="0.2">
      <c r="B323" s="117">
        <f t="shared" si="265"/>
        <v>273.06000000000205</v>
      </c>
      <c r="C323" s="167" t="str">
        <f t="shared" ca="1" si="258"/>
        <v>驱夜断愁</v>
      </c>
      <c r="D323" s="115">
        <f ca="1">IF(C323="赤日轮1",1,IF(C323="赤日轮2",2,IF(C323="赤日轮3",3,IF(C323="幽月轮1",4,IF(C323="幽月轮2",5,IF(C323="幽月轮3",6,IF(C323="烈日斩",7,IF(C323="银月斩",8,IF(C323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323="净世破魔击·月",17,IF(C323="驱夜断愁",18,0)))))))))))</f>
        <v>18</v>
      </c>
      <c r="E323" s="115">
        <f ca="1">IF(AND(CU323,OR(C323="幽月轮1",C323="幽月轮2",C323="幽月轮3",C323="银月斩",C323="驱夜断愁",C323="净世破魔击·月")),100,MIN(IF(OR(CN323,BE323),0,IF(OR($C323="赤日轮1",$C323="赤日轮2",$C323="赤日轮3"),E322+20+IF(模拟模式!$I$7="日月凌天",4,0)+IF(CR322,20,0),IF($C323="烈日斩",E322+40,IF($C323="驱夜断愁",IF(模拟模式!$R$7="万念俱寂",E322+20,E322+60),IF($C323="净世破魔击·月",IF(OR(DB322&gt;0,CV322&gt;0),100,IF(模拟模式!$M$7="辉耀红尘",E322+20,E322)),IF($C323="净世破魔击·日",E322-100,E322)))))),100))</f>
        <v>40</v>
      </c>
      <c r="F323" s="115">
        <f ca="1">IF(AND(CU323,OR(C323="赤日轮1",C323="赤日轮2",C323="赤日轮3",C323="烈日斩",C323="净世破魔击·日")),100,MIN(IF(CO323,0,IF(OR($C323="幽月轮1",$C323="幽月轮2",$C323="幽月轮3"),F322+20+IF(模拟模式!$I$7="日月凌天",4,0)+IF(CS322,20,0),IF($C323="银月斩",F322+40+IF(模拟模式!$X$12=1,5,0),IF($C323="驱夜断愁",IF(模拟模式!$R$7="万念俱寂",F322+20,F322+60),IF($C323="净世破魔击·月",IF(模拟模式!$M$7="辉耀红尘",F322-80,F322-100),IF(AND(C323="净世破魔击·日",OR(DB322&gt;0,CV322&gt;0)),100,F322)))))),100))</f>
        <v>85</v>
      </c>
      <c r="G323" s="117">
        <f ca="1">('模拟-全程加成'!$E$3+'模拟-全程加成'!$E$4+'模拟-全程加成'!$E$5+('模拟-全程加成'!$C$6-'模拟-全程加成'!$C$3)*系数!$B$9+BS323*23)*(1+'模拟-全程加成'!$F$4+'模拟-全程加成'!$F$5+BJ323*10%+BM323*20%+BP323*4%+CG323*30%)+$F$7*系数!$B$12</f>
        <v>21493.829400000002</v>
      </c>
      <c r="H323" s="45">
        <f ca="1">'模拟-全程加成'!$H$3+'模拟-全程加成'!$H$4+'模拟-全程加成'!$H$5+('模拟-全程加成'!$G$4+'模拟-全程加成'!$G$5+('模拟-全程加成'!$C$6-'模拟-全程加成'!$C$3)*系数!$B$13)/系数!$B$3+LOOKUP(D323,'模拟-单技能数据'!$A$2:$A$19,'模拟-单技能数据'!$K$2:$K$19)+BG323*10%+IF(BV323&gt;0,378,0)</f>
        <v>0.51185145527300213</v>
      </c>
      <c r="I323" s="45">
        <f ca="1">'模拟-全程加成'!$J$3+'模拟-全程加成'!$J$4+'模拟-全程加成'!$J$5+('模拟-全程加成'!$I$4+'模拟-全程加成'!$I$5)/系数!$B$4+LOOKUP(D323,'模拟-单技能数据'!$A$2:$A$19,'模拟-单技能数据'!$L$2:$L$19)+BG323*10%</f>
        <v>2.162482885499879</v>
      </c>
      <c r="J323" s="45">
        <f ca="1">(('模拟-全程加成'!$K$3+'模拟-全程加成'!$K$4+'模拟-全程加成'!$K$5+('模拟-全程加成'!$C$6-'模拟-全程加成'!$C$3)*系数!$B$10+IF(BV323&gt;0,882,0)+IF(BY323&gt;0,1831,0))*(1+'模拟-全程加成'!$L$4+'模拟-全程加成'!$L$5+CC323*20%))/系数!$B$5</f>
        <v>0.69723220422048726</v>
      </c>
      <c r="K323" s="119">
        <f ca="1">LOOKUP(D323,'模拟-单技能数据'!$A$2:$A$19,'模拟-单技能数据'!$J$2:$J$19)+IF(CM323,60%,0)+IF(DB322-DB323&gt;0,30%,0)+IF(OR(AND(OR(C323="赤日轮1",C323="赤日轮2",C323="赤日轮3"),CR323),AND(OR(C323="幽月轮1",C323="幽月轮2",C323="幽月轮3"),CS323)),35%,0)+CJ323</f>
        <v>0.14000000000000001</v>
      </c>
      <c r="L323" s="119">
        <f ca="1">IF(AND(C323="烈日斩",模拟模式!$X$11=1),10%,0)+IF(AND(C323="驱夜断愁",AB323=1),30%,0)</f>
        <v>0.3</v>
      </c>
      <c r="M323" s="45">
        <f t="shared" ref="M323:M386" ca="1" si="297">MIN(H323,1-$F$10-$F$11)</f>
        <v>0.51185145527300213</v>
      </c>
      <c r="N323" s="45">
        <f t="shared" ref="N323:N386" ca="1" si="298">1-$F$10-$F$11-M323</f>
        <v>0.43424854472699792</v>
      </c>
      <c r="O323" s="46">
        <f t="shared" ca="1" si="266"/>
        <v>0.26370285644971247</v>
      </c>
      <c r="P323" s="46" t="str">
        <f t="shared" ca="1" si="267"/>
        <v>会</v>
      </c>
      <c r="Q323" s="45">
        <f t="shared" ca="1" si="268"/>
        <v>2.162482885499879</v>
      </c>
      <c r="R323" s="117">
        <f ca="1">模拟模式!$E$20*(1-IF(模拟模式!$J$19="有",0.15,0))*(1-IF(模拟模式!$K$19="有",0.3,0)-IF(CQ323,0.5,0))</f>
        <v>843.02999999999975</v>
      </c>
      <c r="S323" s="45">
        <f ca="1">R323/(R323+(185*模拟模式!$E$22-16800)*4.08224)</f>
        <v>8.389626085980037E-2</v>
      </c>
      <c r="T323" s="45" t="str">
        <f ca="1">LOOKUP(D323,'模拟-单技能数据'!$A$2:$A$19,'模拟-单技能数据'!$H$2:$H$19)</f>
        <v>阴</v>
      </c>
      <c r="U323" s="119">
        <f t="shared" ref="U323:U386" ca="1" si="299">IF(T323="阳",$I$3,IF(T323="阴",$I$4,0))</f>
        <v>0.08</v>
      </c>
      <c r="V323" s="47">
        <f ca="1">(1+L323)*(LOOKUP(D323,'模拟-单技能数据'!$A$2:$A$19,'模拟-单技能数据'!$D$2:$D$19)+G323*LOOKUP(D323,'模拟-单技能数据'!$A$2:$A$19,'模拟-单技能数据'!$F$2:$F$19))*(1+J323)*(1+K323)*(1-S323)*(1+U323)*Q323*LOOKUP(D323,'模拟-单技能数据'!$A$2:$A$19,'模拟-单技能数据'!$I$2:$I$20)</f>
        <v>133079.35569364758</v>
      </c>
      <c r="W323" s="47">
        <f ca="1">LOOKUP(D323,'模拟-单技能数据'!$A$2:$A$19,'模拟-单技能数据'!$G$2:$G$19)*$I$10</f>
        <v>723.0212870940959</v>
      </c>
      <c r="X323" s="47">
        <f t="shared" ca="1" si="269"/>
        <v>21224.54896703297</v>
      </c>
      <c r="Y323" s="47">
        <f t="shared" ref="Y323:Y386" ca="1" si="300">V323+W323+X323</f>
        <v>155026.92594777467</v>
      </c>
      <c r="Z323" s="49">
        <f t="shared" ref="Z323:Z386" ca="1" si="301">Z322+Y323</f>
        <v>31025205.948519718</v>
      </c>
      <c r="AA323" s="97">
        <f t="shared" ref="AA323:AA386" ca="1" si="302">Z323/B323</f>
        <v>113620.47150267151</v>
      </c>
      <c r="AB323" s="115">
        <f ca="1">IF(OR(C323="赤日轮1",C323="赤日轮2",C323="赤日轮3"),IF(RAND()&lt;模拟模式!$Y$17,1,0),IF(OR(C323="幽月轮1",C323="幽月轮2",C323="幽月轮3"),IF(RAND()&lt;模拟模式!$Y$18,1,0),IF(C323="烈日斩",IF(RAND()&lt;模拟模式!$Y$19,1,0),IF(C323="银月斩",IF(RAND()&lt;模拟模式!$Y$20,1,0),IF(C323="驱夜断愁",IF(RAND()&lt;模拟模式!$Y$21,1,0),IF(C323="净世破魔击·日",IF(RAND()&lt;模拟模式!$Y$22,1,0),IF(C323="净世破魔击·月",IF(RAND()&lt;模拟模式!$Y$23,1,0),0)))))))</f>
        <v>1</v>
      </c>
      <c r="AC323" s="115" t="b">
        <f t="shared" ca="1" si="290"/>
        <v>0</v>
      </c>
      <c r="AD323" s="115" t="b">
        <f t="shared" ca="1" si="254"/>
        <v>1</v>
      </c>
      <c r="AE323" s="115">
        <f t="shared" ca="1" si="255"/>
        <v>5</v>
      </c>
      <c r="AF323" s="47">
        <f ca="1">IF(AC323,('模拟-单技能数据'!$D$20+G323*'模拟-单技能数据'!$F$20)*(1+J323)*(1+'模拟-单技能数据'!$J$20)*(1+U323),0)</f>
        <v>0</v>
      </c>
      <c r="AG323" s="61">
        <f t="shared" ref="AG323:AG386" ca="1" si="303">IF(AF323&gt;0,M323,AG322)</f>
        <v>0.64185145527300214</v>
      </c>
      <c r="AH323" s="61">
        <f t="shared" ref="AH323:AH386" ca="1" si="304">IF(AF323&gt;0,I323,AH322)</f>
        <v>2.2624828854998791</v>
      </c>
      <c r="AI323" s="62">
        <f t="shared" ca="1" si="270"/>
        <v>0.45959982284262746</v>
      </c>
      <c r="AJ323" s="47">
        <f ca="1">IF(AD323,IF(AI323&lt;$F$10,0,IF(AI323&lt;$F$10+$F$11,0.25,IF(AI323&lt;$F$10+$F$11+AG323,AH323,1)))*IF(AF323&gt;0,AF323,IF(AF322&gt;0,AF322,IF(AF321&gt;0,AF321,IF(AF320&gt;0,AF320,IF(AF319&gt;0,AF319,IF(AF318&gt;0,AF318,IF(AF317&gt;0,AF317,IF(AF316&gt;0,AF316,IF(AF315&gt;0,AF315,IF(AF313&gt;0,AF313,IF(AF312&gt;0,AF312,IF(AF311&gt;0,AF311,0)))))))))))),0)*(1-$S323)*'模拟-单技能数据'!$I$20</f>
        <v>9616.6571145767884</v>
      </c>
      <c r="AK323" s="115" t="b">
        <f t="shared" ca="1" si="291"/>
        <v>0</v>
      </c>
      <c r="AL323" s="115" t="b">
        <f t="shared" ca="1" si="256"/>
        <v>1</v>
      </c>
      <c r="AM323" s="115">
        <f t="shared" ca="1" si="257"/>
        <v>4</v>
      </c>
      <c r="AN323" s="47">
        <f ca="1">IF(AK323,('模拟-单技能数据'!$D$21+G323*'模拟-单技能数据'!$F$21)*(1+J323)*(1+'模拟-单技能数据'!$J$21)*(1+U323),0)</f>
        <v>0</v>
      </c>
      <c r="AO323" s="61">
        <f ca="1">IF(AN323&gt;0,M323-'模拟-单技能数据'!$K$10,AO322)</f>
        <v>0.42185145527300216</v>
      </c>
      <c r="AP323" s="61">
        <f ca="1">IF(AN323&gt;0,I323-'模拟-单技能数据'!$L$10,AP322)</f>
        <v>2.162482885499879</v>
      </c>
      <c r="AQ323" s="63">
        <f t="shared" ca="1" si="271"/>
        <v>0.88755932286269956</v>
      </c>
      <c r="AR323" s="64">
        <f ca="1">IF(AL323,IF(AQ323&lt;$F$10,0,IF(AQ323&lt;$F$10+$F$11,0.25,IF(AQ323&lt;$F$10+$F$11+AO323,AP323,1)))*IF(AN323&gt;0,AN323,IF(AN322&gt;0,AN322,IF(AN321&gt;0,AN321,IF(AN320&gt;0,AN320,IF(AN319&gt;0,AN319,IF(AN318&gt;0,AN318,IF(AN317&gt;0,AN317,IF(AN316&gt;0,AN316,IF(AN315&gt;0,AN315,IF(AN313&gt;0,AN313,IF(AN312&gt;0,AN312,IF(AN311&gt;0,AN311,0)))))))))))),0)*(1-$S323)*'模拟-单技能数据'!$I$21</f>
        <v>11607.89185245618</v>
      </c>
      <c r="AS323" s="61">
        <f ca="1">IF(OR(C323="净世破魔击·日",C323="净世破魔击·月"),M323-'模拟-单技能数据'!$K$10,0)</f>
        <v>0</v>
      </c>
      <c r="AT323" s="61">
        <f ca="1">IF(OR(C323="净世破魔击·日",C323="净世破魔击·月"),I323-'模拟-单技能数据'!$L$10,0)</f>
        <v>0</v>
      </c>
      <c r="AU323" s="62">
        <f t="shared" ca="1" si="272"/>
        <v>0.70009996572534638</v>
      </c>
      <c r="AV323" s="64">
        <f ca="1">IF(AS323&gt;0,('模拟-单技能数据'!$D$22+G323*'模拟-单技能数据'!$F$22)*(1+J323)*(1-S323)*IF(AU323&lt;$F$10,0,IF(AU323&lt;$F$10+$F$11,0.25,IF(AU323&lt;$F$10+$F$11+AS323,AT323,1)))*(1+U323),0)*'模拟-单技能数据'!$I$22</f>
        <v>0</v>
      </c>
      <c r="AW323" s="108">
        <f t="shared" ca="1" si="273"/>
        <v>0</v>
      </c>
      <c r="AX323" s="108" t="b">
        <f ca="1">AND(模拟模式!$P$10="有",AW322=0,RAND()&lt;IF(C323="净世破魔击·月",0.1*8/3,IF(C323="净世破魔击·日",0.1*4/3,0.1*2/3)))</f>
        <v>0</v>
      </c>
      <c r="AY323" s="47">
        <f ca="1">IF(AX323,(18+G323*0.722)*(1+J323)*(1-S323)*(1+$I$4)*IF(P323="会",'模拟-全程加成'!$J$3+'模拟-全程加成'!$J$4+'模拟-全程加成'!$J$5+('模拟-全程加成'!$I$4+'模拟-全程加成'!$I$5)/系数!$B$4+BG323*10%,IF(P323="命",1,IF(P323="识",0.25,0))),0)</f>
        <v>0</v>
      </c>
      <c r="AZ323" s="108">
        <f t="shared" si="274"/>
        <v>10.775000000000006</v>
      </c>
      <c r="BA323" s="108" t="b">
        <f>AND(模拟模式!$Q$10="有",AZ322=0)</f>
        <v>0</v>
      </c>
      <c r="BB323" s="140">
        <f>IF(BA323,(0+G323*0.287)*(1+J323)*(1-S323)*(1+$I$4)*IF(P323="会",'模拟-全程加成'!$J$3+'模拟-全程加成'!$J$4+'模拟-全程加成'!$J$5+('模拟-全程加成'!$I$4+'模拟-全程加成'!$I$5)/系数!$B$4+BG323*10%,IF(P323="命",1,IF(P323="识",0.25,0))),0)</f>
        <v>0</v>
      </c>
      <c r="BC323" s="115" t="b">
        <f ca="1">AND(模拟模式!$R$7="伏明众生",E323=60,F323=20,DA323&lt;5,CZ322&lt;$F$4)</f>
        <v>0</v>
      </c>
      <c r="BD323" s="115">
        <f t="shared" ca="1" si="292"/>
        <v>0</v>
      </c>
      <c r="BE323" s="115" t="b">
        <f t="shared" ca="1" si="293"/>
        <v>0</v>
      </c>
      <c r="BF323" s="47">
        <f ca="1">IF(BC323,4*('模拟-单技能数据'!$D$24+G323*'模拟-单技能数据'!$F$24)*(1+J323)*(1+'模拟-单技能数据'!$J$24)*(1-S323)*(1+$I$3)*(('模拟-全程加成'!$J$3+'模拟-全程加成'!$J$4+'模拟-全程加成'!$J$5+('模拟-全程加成'!$I$4+'模拟-全程加成'!$I$5)/系数!$B$4+BG323*10%)*('模拟-全程加成'!$J$3+'模拟-全程加成'!$J$4+'模拟-全程加成'!$J$5+('模拟-全程加成'!$I$4+'模拟-全程加成'!$I$5)/系数!$B$4+BG323*10%)+(1-('模拟-全程加成'!$J$3+'模拟-全程加成'!$J$4+'模拟-全程加成'!$J$5+('模拟-全程加成'!$I$4+'模拟-全程加成'!$I$5)/系数!$B$4+BG323*10%)-$F$10-$F$11)+F309*0.25),0)*'模拟-单技能数据'!$I$24</f>
        <v>0</v>
      </c>
      <c r="BG323" s="115" t="b">
        <f ca="1">OR(AND(OR(C323="烈日斩",C323="银月斩"),模拟模式!$I$7="净身明礼"),AND(C323="净世破魔击·日",模拟模式!$J$7="洞若观火"),AND(C324="净世破魔击·月",模拟模式!$J$7="洞若观火"),AB323=1)</f>
        <v>1</v>
      </c>
      <c r="BH323" s="115" t="b">
        <f t="shared" ca="1" si="275"/>
        <v>1</v>
      </c>
      <c r="BI323" s="115">
        <f t="shared" ca="1" si="294"/>
        <v>6</v>
      </c>
      <c r="BJ323" s="115" t="b">
        <f t="shared" ref="BJ323:BJ386" ca="1" si="305">BI323&gt;0</f>
        <v>1</v>
      </c>
      <c r="BK323" s="115" t="b">
        <f ca="1">AND(C323="驱夜断愁",模拟模式!$P$7="天地诛戮")</f>
        <v>1</v>
      </c>
      <c r="BL323" s="57">
        <f t="shared" ca="1" si="295"/>
        <v>20</v>
      </c>
      <c r="BM323" s="115" t="b">
        <f t="shared" ref="BM323:BM386" ca="1" si="306">BL323&gt;0</f>
        <v>1</v>
      </c>
      <c r="BN323" s="115" t="b">
        <f ca="1">AND(OR(C323="赤日轮1",C323="赤日轮2",C323="赤日轮3",C323="幽月轮1",C323="幽月轮2",C323="幽月轮3"),AB323=1,模拟模式!$L$7="明光恒照")</f>
        <v>0</v>
      </c>
      <c r="BO323" s="117">
        <f t="shared" ca="1" si="296"/>
        <v>28.155000000000001</v>
      </c>
      <c r="BP323" s="115">
        <f t="shared" ca="1" si="276"/>
        <v>6</v>
      </c>
      <c r="BQ323" s="115" t="b">
        <f>模拟模式!$K$10="2600·水"</f>
        <v>0</v>
      </c>
      <c r="BR323" s="117">
        <f t="shared" si="277"/>
        <v>0</v>
      </c>
      <c r="BS323" s="115">
        <f t="shared" si="278"/>
        <v>0</v>
      </c>
      <c r="BT323" s="115">
        <f t="shared" ca="1" si="279"/>
        <v>0</v>
      </c>
      <c r="BU323" s="115" t="b">
        <f ca="1">AND(模拟模式!$K$10="2300·雷",BT322=0,RAND()&lt;IF(C323="净世破魔击·月",5*0.05*2/3,IF(C323="净世破魔击·日",3*0.05*2/3,0.05*2*2/3)))</f>
        <v>0</v>
      </c>
      <c r="BV323" s="115">
        <f t="shared" ca="1" si="280"/>
        <v>0</v>
      </c>
      <c r="BW323" s="115">
        <f t="shared" ca="1" si="281"/>
        <v>98.819999999999254</v>
      </c>
      <c r="BX323" s="164" t="b">
        <f t="shared" ca="1" si="282"/>
        <v>0</v>
      </c>
      <c r="BY323" s="115">
        <f t="shared" ca="1" si="283"/>
        <v>0</v>
      </c>
      <c r="BZ323" s="115">
        <f>IF(OR(模拟模式!$P$16="10人团",模拟模式!$P$16="25人团"),IF(B323/30&gt;CA322,1,0),0)</f>
        <v>0</v>
      </c>
      <c r="CA323" s="115">
        <f t="shared" si="259"/>
        <v>0</v>
      </c>
      <c r="CB323" s="115">
        <f ca="1">IF(BZ323=1,IF(模拟模式!$P$16="10人团",15,0)+IF(模拟模式!$P$16="25人团",IF(RAND()&lt;0.6,15,0)),MAX(0,CB322-$F$4))</f>
        <v>0</v>
      </c>
      <c r="CC323" s="115" t="b">
        <f t="shared" ref="CC323:CC386" ca="1" si="307">CB323&gt;0</f>
        <v>0</v>
      </c>
      <c r="CD323" s="115">
        <f>IF(模拟模式!$Q$16="1个",IF(B323/40&gt;CE322,1,0),0)</f>
        <v>0</v>
      </c>
      <c r="CE323" s="115">
        <f t="shared" ref="CE323:CE386" si="308">CE322+CD323</f>
        <v>0</v>
      </c>
      <c r="CF323" s="115">
        <f>IF(OR(CD323=1,模拟模式!$Q$16="2个"),20,MAX(0,CF322-$F$4))</f>
        <v>0</v>
      </c>
      <c r="CG323" s="115" t="b">
        <f t="shared" ref="CG323:CG386" si="309">CF323&gt;0</f>
        <v>0</v>
      </c>
      <c r="CH323" s="115">
        <f t="shared" ca="1" si="284"/>
        <v>0</v>
      </c>
      <c r="CI323" s="115" t="b">
        <f t="shared" ca="1" si="285"/>
        <v>0</v>
      </c>
      <c r="CJ323" s="119">
        <f t="shared" ca="1" si="286"/>
        <v>0</v>
      </c>
      <c r="CK323" s="115">
        <f t="shared" ca="1" si="287"/>
        <v>0</v>
      </c>
      <c r="CL323" s="115" t="b">
        <f ca="1">AND(模拟模式!$S$7="驱夷逐法",OR(AND(C323="净世破魔击·月",E322&gt;59),AND(C323="净世破魔击·日",F322&gt;59)))</f>
        <v>0</v>
      </c>
      <c r="CM323" s="115" t="b">
        <f ca="1">OR(CL323,AND(C323="净世破魔击·日",CL322,RAND()&lt;模拟模式!$U$23))</f>
        <v>0</v>
      </c>
      <c r="CN323" s="115" t="b">
        <f ca="1">IF(模拟模式!$M$7="辉耀红尘",AND(C323="净世破魔击·月",CL323,CV323=0,E322&lt;80),AND(C323="净世破魔击·月",CL323,E322&lt;100))</f>
        <v>0</v>
      </c>
      <c r="CO323" s="115" t="b">
        <f t="shared" ca="1" si="260"/>
        <v>0</v>
      </c>
      <c r="CP323" s="115" t="b">
        <f ca="1">AND(模拟模式!$O$7="用晦而明",OR(C323="净世破魔击·日",C323="净世破魔击·月",C323="驱夜断愁"),AB323)</f>
        <v>1</v>
      </c>
      <c r="CQ323" s="115" t="b">
        <f ca="1">OR(CP323,AND(CP322,RAND()&lt;模拟模式!$U$23))</f>
        <v>1</v>
      </c>
      <c r="CR323" s="115" t="b">
        <f ca="1">AND(模拟模式!$S$7="日月齐光",OR(C323="幽月轮1",C323="幽月轮2",C323="幽月轮3",CR322),NOT(OR(C323="赤日轮1",C323="赤日轮2",C323="赤日轮3")))</f>
        <v>0</v>
      </c>
      <c r="CS323" s="115" t="b">
        <f ca="1">AND(模拟模式!$S$7="日月齐光",OR(C323="赤日轮1",C323="赤日轮2",C323="赤日轮3",CS322),NOT(OR(C323="幽月轮1",C323="幽月轮2",C323="幽月轮3")))</f>
        <v>0</v>
      </c>
      <c r="CT323" s="115">
        <f t="shared" ca="1" si="288"/>
        <v>3.2475000000000116</v>
      </c>
      <c r="CU323" s="115" t="b">
        <f ca="1">AND(模拟模式!$K$10="阴阳往极",CT322=0,RAND()&lt;IF(C323="净世破魔击·月",0.0275*7/3,IF(C323="净世破魔击·日",0.0275*3/3,0.0275*2/3)))</f>
        <v>0</v>
      </c>
      <c r="CV323" s="115">
        <f t="shared" ca="1" si="289"/>
        <v>0</v>
      </c>
      <c r="CW323" s="115">
        <f t="shared" ca="1" si="261"/>
        <v>0.46499999999999975</v>
      </c>
      <c r="CX323" s="115">
        <f t="shared" ca="1" si="262"/>
        <v>5.0774999999999997</v>
      </c>
      <c r="CY323" s="115">
        <f ca="1">MAX(IF($C323="驱夜断愁",IF(模拟模式!$R$7="万念俱寂",6,45),CY322-$F$4),0)</f>
        <v>6</v>
      </c>
      <c r="CZ323" s="115">
        <f t="shared" ca="1" si="263"/>
        <v>0</v>
      </c>
      <c r="DA323" s="115">
        <f ca="1">IF(模拟模式!$N$7="日月同辉",IF(DB322=2,0,MIN(6,IF(AND(OR(C323="赤日轮1",C323="赤日轮2",C323="赤日轮3",C323="幽月轮1",C323="幽月轮2",C323="幽月轮3"),AB323=1),DA322+1,DA322))),0)</f>
        <v>0</v>
      </c>
      <c r="DB323" s="115">
        <f t="shared" ca="1" si="264"/>
        <v>2</v>
      </c>
      <c r="DC323" s="115"/>
      <c r="DD323" s="115"/>
      <c r="DE323" s="115"/>
      <c r="DF323" s="115"/>
      <c r="DG323" s="115"/>
      <c r="DH323" s="115"/>
      <c r="DI323" s="115"/>
      <c r="DJ323" s="115"/>
      <c r="DK323" s="115"/>
      <c r="DL323" s="115"/>
      <c r="DM323" s="115"/>
    </row>
    <row r="324" spans="2:117" x14ac:dyDescent="0.2">
      <c r="B324" s="117">
        <f t="shared" si="265"/>
        <v>273.98250000000206</v>
      </c>
      <c r="C324" s="167" t="str">
        <f t="shared" ca="1" si="258"/>
        <v>烈日斩</v>
      </c>
      <c r="D324" s="115">
        <f ca="1">IF(C324="赤日轮1",1,IF(C324="赤日轮2",2,IF(C324="赤日轮3",3,IF(C324="幽月轮1",4,IF(C324="幽月轮2",5,IF(C324="幽月轮3",6,IF(C324="烈日斩",7,IF(C324="银月斩",8,IF(C324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324="净世破魔击·月",17,IF(C324="驱夜断愁",18,0)))))))))))</f>
        <v>7</v>
      </c>
      <c r="E324" s="115">
        <f ca="1">IF(AND(CU324,OR(C324="幽月轮1",C324="幽月轮2",C324="幽月轮3",C324="银月斩",C324="驱夜断愁",C324="净世破魔击·月")),100,MIN(IF(OR(CN324,BE324),0,IF(OR($C324="赤日轮1",$C324="赤日轮2",$C324="赤日轮3"),E323+20+IF(模拟模式!$I$7="日月凌天",4,0)+IF(CR323,20,0),IF($C324="烈日斩",E323+40,IF($C324="驱夜断愁",IF(模拟模式!$R$7="万念俱寂",E323+20,E323+60),IF($C324="净世破魔击·月",IF(OR(DB323&gt;0,CV323&gt;0),100,IF(模拟模式!$M$7="辉耀红尘",E323+20,E323)),IF($C324="净世破魔击·日",E323-100,E323)))))),100))</f>
        <v>80</v>
      </c>
      <c r="F324" s="115">
        <f ca="1">IF(AND(CU324,OR(C324="赤日轮1",C324="赤日轮2",C324="赤日轮3",C324="烈日斩",C324="净世破魔击·日")),100,MIN(IF(CO324,0,IF(OR($C324="幽月轮1",$C324="幽月轮2",$C324="幽月轮3"),F323+20+IF(模拟模式!$I$7="日月凌天",4,0)+IF(CS323,20,0),IF($C324="银月斩",F323+40+IF(模拟模式!$X$12=1,5,0),IF($C324="驱夜断愁",IF(模拟模式!$R$7="万念俱寂",F323+20,F323+60),IF($C324="净世破魔击·月",IF(模拟模式!$M$7="辉耀红尘",F323-80,F323-100),IF(AND(C324="净世破魔击·日",OR(DB323&gt;0,CV323&gt;0)),100,F323)))))),100))</f>
        <v>85</v>
      </c>
      <c r="G324" s="117">
        <f ca="1">('模拟-全程加成'!$E$3+'模拟-全程加成'!$E$4+'模拟-全程加成'!$E$5+('模拟-全程加成'!$C$6-'模拟-全程加成'!$C$3)*系数!$B$9+BS324*23)*(1+'模拟-全程加成'!$F$4+'模拟-全程加成'!$F$5+BJ324*10%+BM324*20%+BP324*4%+CG324*30%)+$F$7*系数!$B$12</f>
        <v>21493.829400000002</v>
      </c>
      <c r="H324" s="45">
        <f ca="1">'模拟-全程加成'!$H$3+'模拟-全程加成'!$H$4+'模拟-全程加成'!$H$5+('模拟-全程加成'!$G$4+'模拟-全程加成'!$G$5+('模拟-全程加成'!$C$6-'模拟-全程加成'!$C$3)*系数!$B$13)/系数!$B$3+LOOKUP(D324,'模拟-单技能数据'!$A$2:$A$19,'模拟-单技能数据'!$K$2:$K$19)+BG324*10%+IF(BV324&gt;0,378,0)</f>
        <v>0.56185145527300218</v>
      </c>
      <c r="I324" s="45">
        <f ca="1">'模拟-全程加成'!$J$3+'模拟-全程加成'!$J$4+'模拟-全程加成'!$J$5+('模拟-全程加成'!$I$4+'模拟-全程加成'!$I$5)/系数!$B$4+LOOKUP(D324,'模拟-单技能数据'!$A$2:$A$19,'模拟-单技能数据'!$L$2:$L$19)+BG324*10%</f>
        <v>2.2624828854998791</v>
      </c>
      <c r="J324" s="45">
        <f ca="1">(('模拟-全程加成'!$K$3+'模拟-全程加成'!$K$4+'模拟-全程加成'!$K$5+('模拟-全程加成'!$C$6-'模拟-全程加成'!$C$3)*系数!$B$10+IF(BV324&gt;0,882,0)+IF(BY324&gt;0,1831,0))*(1+'模拟-全程加成'!$L$4+'模拟-全程加成'!$L$5+CC324*20%))/系数!$B$5</f>
        <v>0.69723220422048726</v>
      </c>
      <c r="K324" s="119">
        <f ca="1">LOOKUP(D324,'模拟-单技能数据'!$A$2:$A$19,'模拟-单技能数据'!$J$2:$J$19)+IF(CM324,60%,0)+IF(DB323-DB324&gt;0,30%,0)+IF(OR(AND(OR(C324="赤日轮1",C324="赤日轮2",C324="赤日轮3"),CR324),AND(OR(C324="幽月轮1",C324="幽月轮2",C324="幽月轮3"),CS324)),35%,0)+CJ324</f>
        <v>0.24</v>
      </c>
      <c r="L324" s="119">
        <f ca="1">IF(AND(C324="烈日斩",模拟模式!$X$11=1),10%,0)+IF(AND(C324="驱夜断愁",AB324=1),30%,0)</f>
        <v>0.1</v>
      </c>
      <c r="M324" s="45">
        <f t="shared" ca="1" si="297"/>
        <v>0.56185145527300218</v>
      </c>
      <c r="N324" s="45">
        <f t="shared" ca="1" si="298"/>
        <v>0.38424854472699788</v>
      </c>
      <c r="O324" s="46">
        <f t="shared" ca="1" si="266"/>
        <v>0.86041168262042023</v>
      </c>
      <c r="P324" s="46" t="str">
        <f t="shared" ca="1" si="267"/>
        <v>命</v>
      </c>
      <c r="Q324" s="45">
        <f t="shared" ca="1" si="268"/>
        <v>1</v>
      </c>
      <c r="R324" s="117">
        <f ca="1">模拟模式!$E$20*(1-IF(模拟模式!$J$19="有",0.15,0))*(1-IF(模拟模式!$K$19="有",0.3,0)-IF(CQ324,0.5,0))</f>
        <v>843.02999999999975</v>
      </c>
      <c r="S324" s="45">
        <f ca="1">R324/(R324+(185*模拟模式!$E$22-16800)*4.08224)</f>
        <v>8.389626085980037E-2</v>
      </c>
      <c r="T324" s="45" t="str">
        <f ca="1">LOOKUP(D324,'模拟-单技能数据'!$A$2:$A$19,'模拟-单技能数据'!$H$2:$H$19)</f>
        <v>阳</v>
      </c>
      <c r="U324" s="119">
        <f t="shared" ca="1" si="299"/>
        <v>0.2</v>
      </c>
      <c r="V324" s="47">
        <f ca="1">(1+L324)*(LOOKUP(D324,'模拟-单技能数据'!$A$2:$A$19,'模拟-单技能数据'!$D$2:$D$19)+G324*LOOKUP(D324,'模拟-单技能数据'!$A$2:$A$19,'模拟-单技能数据'!$F$2:$F$19))*(1+J324)*(1+K324)*(1-S324)*(1+U324)*Q324*LOOKUP(D324,'模拟-单技能数据'!$A$2:$A$19,'模拟-单技能数据'!$I$2:$I$20)</f>
        <v>48841.631854871324</v>
      </c>
      <c r="W324" s="47">
        <f ca="1">LOOKUP(D324,'模拟-单技能数据'!$A$2:$A$19,'模拟-单技能数据'!$G$2:$G$19)*$I$10</f>
        <v>361.51064354704795</v>
      </c>
      <c r="X324" s="47">
        <f t="shared" ca="1" si="269"/>
        <v>0</v>
      </c>
      <c r="Y324" s="47">
        <f t="shared" ca="1" si="300"/>
        <v>49203.142498418369</v>
      </c>
      <c r="Z324" s="49">
        <f t="shared" ca="1" si="301"/>
        <v>31074409.091018137</v>
      </c>
      <c r="AA324" s="97">
        <f t="shared" ca="1" si="302"/>
        <v>113417.49597517324</v>
      </c>
      <c r="AB324" s="115">
        <f ca="1">IF(OR(C324="赤日轮1",C324="赤日轮2",C324="赤日轮3"),IF(RAND()&lt;模拟模式!$Y$17,1,0),IF(OR(C324="幽月轮1",C324="幽月轮2",C324="幽月轮3"),IF(RAND()&lt;模拟模式!$Y$18,1,0),IF(C324="烈日斩",IF(RAND()&lt;模拟模式!$Y$19,1,0),IF(C324="银月斩",IF(RAND()&lt;模拟模式!$Y$20,1,0),IF(C324="驱夜断愁",IF(RAND()&lt;模拟模式!$Y$21,1,0),IF(C324="净世破魔击·日",IF(RAND()&lt;模拟模式!$Y$22,1,0),IF(C324="净世破魔击·月",IF(RAND()&lt;模拟模式!$Y$23,1,0),0)))))))</f>
        <v>1</v>
      </c>
      <c r="AC324" s="115" t="b">
        <f t="shared" ca="1" si="290"/>
        <v>0</v>
      </c>
      <c r="AD324" s="115" t="b">
        <f t="shared" ref="AD324:AD387" ca="1" si="310">IF(AD323+AD322=1,IF(AE323&gt;0,NOT(AD323),FALSE),AC324)</f>
        <v>0</v>
      </c>
      <c r="AE324" s="115">
        <f t="shared" ref="AE324:AE387" ca="1" si="311">IF(AC324,IF(AD322+AD323=0,6,6-AD324),AE323-AD324)</f>
        <v>5</v>
      </c>
      <c r="AF324" s="47">
        <f ca="1">IF(AC324,('模拟-单技能数据'!$D$20+G324*'模拟-单技能数据'!$F$20)*(1+J324)*(1+'模拟-单技能数据'!$J$20)*(1+U324),0)</f>
        <v>0</v>
      </c>
      <c r="AG324" s="61">
        <f t="shared" ca="1" si="303"/>
        <v>0.64185145527300214</v>
      </c>
      <c r="AH324" s="61">
        <f t="shared" ca="1" si="304"/>
        <v>2.2624828854998791</v>
      </c>
      <c r="AI324" s="62">
        <f t="shared" ca="1" si="270"/>
        <v>0.44975498349572762</v>
      </c>
      <c r="AJ324" s="47">
        <f ca="1">IF(AD324,IF(AI324&lt;$F$10,0,IF(AI324&lt;$F$10+$F$11,0.25,IF(AI324&lt;$F$10+$F$11+AG324,AH324,1)))*IF(AF324&gt;0,AF324,IF(AF323&gt;0,AF323,IF(AF322&gt;0,AF322,IF(AF321&gt;0,AF321,IF(AF320&gt;0,AF320,IF(AF319&gt;0,AF319,IF(AF318&gt;0,AF318,IF(AF317&gt;0,AF317,IF(AF316&gt;0,AF316,IF(AF314&gt;0,AF314,IF(AF313&gt;0,AF313,IF(AF312&gt;0,AF312,0)))))))))))),0)*(1-$S324)*'模拟-单技能数据'!$I$20</f>
        <v>0</v>
      </c>
      <c r="AK324" s="115" t="b">
        <f t="shared" ca="1" si="291"/>
        <v>0</v>
      </c>
      <c r="AL324" s="115" t="b">
        <f t="shared" ref="AL324:AL387" ca="1" si="312">IF(AL323+AL322=1,IF(AM323&gt;0,NOT(AL323),FALSE),AK324)</f>
        <v>0</v>
      </c>
      <c r="AM324" s="115">
        <f t="shared" ref="AM324:AM387" ca="1" si="313">IF(AK324,IF(AL322+AL323=0,6,6-AL324),AM323-AL324)</f>
        <v>4</v>
      </c>
      <c r="AN324" s="47">
        <f ca="1">IF(AK324,('模拟-单技能数据'!$D$21+G324*'模拟-单技能数据'!$F$21)*(1+J324)*(1+'模拟-单技能数据'!$J$21)*(1+U324),0)</f>
        <v>0</v>
      </c>
      <c r="AO324" s="61">
        <f ca="1">IF(AN324&gt;0,M324-'模拟-单技能数据'!$K$10,AO323)</f>
        <v>0.42185145527300216</v>
      </c>
      <c r="AP324" s="61">
        <f ca="1">IF(AN324&gt;0,I324-'模拟-单技能数据'!$L$10,AP323)</f>
        <v>2.162482885499879</v>
      </c>
      <c r="AQ324" s="63">
        <f t="shared" ca="1" si="271"/>
        <v>0.94711181549547707</v>
      </c>
      <c r="AR324" s="64">
        <f ca="1">IF(AL324,IF(AQ324&lt;$F$10,0,IF(AQ324&lt;$F$10+$F$11,0.25,IF(AQ324&lt;$F$10+$F$11+AO324,AP324,1)))*IF(AN324&gt;0,AN324,IF(AN323&gt;0,AN323,IF(AN322&gt;0,AN322,IF(AN321&gt;0,AN321,IF(AN320&gt;0,AN320,IF(AN319&gt;0,AN319,IF(AN318&gt;0,AN318,IF(AN317&gt;0,AN317,IF(AN316&gt;0,AN316,IF(AN314&gt;0,AN314,IF(AN313&gt;0,AN313,IF(AN312&gt;0,AN312,0)))))))))))),0)*(1-$S324)*'模拟-单技能数据'!$I$21</f>
        <v>0</v>
      </c>
      <c r="AS324" s="61">
        <f ca="1">IF(OR(C324="净世破魔击·日",C324="净世破魔击·月"),M324-'模拟-单技能数据'!$K$10,0)</f>
        <v>0</v>
      </c>
      <c r="AT324" s="61">
        <f ca="1">IF(OR(C324="净世破魔击·日",C324="净世破魔击·月"),I324-'模拟-单技能数据'!$L$10,0)</f>
        <v>0</v>
      </c>
      <c r="AU324" s="62">
        <f t="shared" ca="1" si="272"/>
        <v>0.39013182691491322</v>
      </c>
      <c r="AV324" s="64">
        <f ca="1">IF(AS324&gt;0,('模拟-单技能数据'!$D$22+G324*'模拟-单技能数据'!$F$22)*(1+J324)*(1-S324)*IF(AU324&lt;$F$10,0,IF(AU324&lt;$F$10+$F$11,0.25,IF(AU324&lt;$F$10+$F$11+AS324,AT324,1)))*(1+U324),0)*'模拟-单技能数据'!$I$22</f>
        <v>0</v>
      </c>
      <c r="AW324" s="108">
        <f t="shared" ca="1" si="273"/>
        <v>0</v>
      </c>
      <c r="AX324" s="108" t="b">
        <f ca="1">AND(模拟模式!$P$10="有",AW323=0,RAND()&lt;IF(C324="净世破魔击·月",0.1*8/3,IF(C324="净世破魔击·日",0.1*4/3,0.1*2/3)))</f>
        <v>0</v>
      </c>
      <c r="AY324" s="47">
        <f ca="1">IF(AX324,(18+G324*0.722)*(1+J324)*(1-S324)*(1+$I$4)*IF(P324="会",'模拟-全程加成'!$J$3+'模拟-全程加成'!$J$4+'模拟-全程加成'!$J$5+('模拟-全程加成'!$I$4+'模拟-全程加成'!$I$5)/系数!$B$4+BG324*10%,IF(P324="命",1,IF(P324="识",0.25,0))),0)</f>
        <v>0</v>
      </c>
      <c r="AZ324" s="108">
        <f t="shared" si="274"/>
        <v>9.8525000000000063</v>
      </c>
      <c r="BA324" s="108" t="b">
        <f>AND(模拟模式!$Q$10="有",AZ323=0)</f>
        <v>0</v>
      </c>
      <c r="BB324" s="140">
        <f>IF(BA324,(0+G324*0.287)*(1+J324)*(1-S324)*(1+$I$4)*IF(P324="会",'模拟-全程加成'!$J$3+'模拟-全程加成'!$J$4+'模拟-全程加成'!$J$5+('模拟-全程加成'!$I$4+'模拟-全程加成'!$I$5)/系数!$B$4+BG324*10%,IF(P324="命",1,IF(P324="识",0.25,0))),0)</f>
        <v>0</v>
      </c>
      <c r="BC324" s="115" t="b">
        <f ca="1">AND(模拟模式!$R$7="伏明众生",E324=60,F324=20,DA324&lt;5,CZ323&lt;$F$4)</f>
        <v>0</v>
      </c>
      <c r="BD324" s="115">
        <f t="shared" ca="1" si="292"/>
        <v>0</v>
      </c>
      <c r="BE324" s="115" t="b">
        <f t="shared" ca="1" si="293"/>
        <v>0</v>
      </c>
      <c r="BF324" s="47">
        <f ca="1">IF(BC324,4*('模拟-单技能数据'!$D$24+G324*'模拟-单技能数据'!$F$24)*(1+J324)*(1+'模拟-单技能数据'!$J$24)*(1-S324)*(1+$I$3)*(('模拟-全程加成'!$J$3+'模拟-全程加成'!$J$4+'模拟-全程加成'!$J$5+('模拟-全程加成'!$I$4+'模拟-全程加成'!$I$5)/系数!$B$4+BG324*10%)*('模拟-全程加成'!$J$3+'模拟-全程加成'!$J$4+'模拟-全程加成'!$J$5+('模拟-全程加成'!$I$4+'模拟-全程加成'!$I$5)/系数!$B$4+BG324*10%)+(1-('模拟-全程加成'!$J$3+'模拟-全程加成'!$J$4+'模拟-全程加成'!$J$5+('模拟-全程加成'!$I$4+'模拟-全程加成'!$I$5)/系数!$B$4+BG324*10%)-$F$10-$F$11)+F310*0.25),0)*'模拟-单技能数据'!$I$24</f>
        <v>0</v>
      </c>
      <c r="BG324" s="115" t="b">
        <f ca="1">OR(AND(OR(C324="烈日斩",C324="银月斩"),模拟模式!$I$7="净身明礼"),AND(C324="净世破魔击·日",模拟模式!$J$7="洞若观火"),AND(C325="净世破魔击·月",模拟模式!$J$7="洞若观火"),AB324=1)</f>
        <v>1</v>
      </c>
      <c r="BH324" s="115" t="b">
        <f t="shared" ca="1" si="275"/>
        <v>0</v>
      </c>
      <c r="BI324" s="115">
        <f t="shared" ca="1" si="294"/>
        <v>5.0774999999999997</v>
      </c>
      <c r="BJ324" s="115" t="b">
        <f t="shared" ca="1" si="305"/>
        <v>1</v>
      </c>
      <c r="BK324" s="115" t="b">
        <f ca="1">AND(C324="驱夜断愁",模拟模式!$P$7="天地诛戮")</f>
        <v>0</v>
      </c>
      <c r="BL324" s="57">
        <f t="shared" ca="1" si="295"/>
        <v>19.077500000000001</v>
      </c>
      <c r="BM324" s="115" t="b">
        <f t="shared" ca="1" si="306"/>
        <v>1</v>
      </c>
      <c r="BN324" s="115" t="b">
        <f ca="1">AND(OR(C324="赤日轮1",C324="赤日轮2",C324="赤日轮3",C324="幽月轮1",C324="幽月轮2",C324="幽月轮3"),AB324=1,模拟模式!$L$7="明光恒照")</f>
        <v>0</v>
      </c>
      <c r="BO324" s="117">
        <f t="shared" ca="1" si="296"/>
        <v>27.232500000000002</v>
      </c>
      <c r="BP324" s="115">
        <f t="shared" ca="1" si="276"/>
        <v>6</v>
      </c>
      <c r="BQ324" s="115" t="b">
        <f>模拟模式!$K$10="2600·水"</f>
        <v>0</v>
      </c>
      <c r="BR324" s="117">
        <f t="shared" si="277"/>
        <v>0</v>
      </c>
      <c r="BS324" s="115">
        <f t="shared" si="278"/>
        <v>0</v>
      </c>
      <c r="BT324" s="115">
        <f t="shared" ca="1" si="279"/>
        <v>0</v>
      </c>
      <c r="BU324" s="115" t="b">
        <f ca="1">AND(模拟模式!$K$10="2300·雷",BT323=0,RAND()&lt;IF(C324="净世破魔击·月",5*0.05*2/3,IF(C324="净世破魔击·日",3*0.05*2/3,0.05*2*2/3)))</f>
        <v>0</v>
      </c>
      <c r="BV324" s="115">
        <f t="shared" ca="1" si="280"/>
        <v>0</v>
      </c>
      <c r="BW324" s="115">
        <f t="shared" ca="1" si="281"/>
        <v>97.897499999999255</v>
      </c>
      <c r="BX324" s="164" t="b">
        <f t="shared" ca="1" si="282"/>
        <v>0</v>
      </c>
      <c r="BY324" s="115">
        <f t="shared" ca="1" si="283"/>
        <v>0</v>
      </c>
      <c r="BZ324" s="115">
        <f>IF(OR(模拟模式!$P$16="10人团",模拟模式!$P$16="25人团"),IF(B324/30&gt;CA323,1,0),0)</f>
        <v>0</v>
      </c>
      <c r="CA324" s="115">
        <f t="shared" si="259"/>
        <v>0</v>
      </c>
      <c r="CB324" s="115">
        <f ca="1">IF(BZ324=1,IF(模拟模式!$P$16="10人团",15,0)+IF(模拟模式!$P$16="25人团",IF(RAND()&lt;0.6,15,0)),MAX(0,CB323-$F$4))</f>
        <v>0</v>
      </c>
      <c r="CC324" s="115" t="b">
        <f t="shared" ca="1" si="307"/>
        <v>0</v>
      </c>
      <c r="CD324" s="115">
        <f>IF(模拟模式!$Q$16="1个",IF(B324/40&gt;CE323,1,0),0)</f>
        <v>0</v>
      </c>
      <c r="CE324" s="115">
        <f t="shared" si="308"/>
        <v>0</v>
      </c>
      <c r="CF324" s="115">
        <f>IF(OR(CD324=1,模拟模式!$Q$16="2个"),20,MAX(0,CF323-$F$4))</f>
        <v>0</v>
      </c>
      <c r="CG324" s="115" t="b">
        <f t="shared" si="309"/>
        <v>0</v>
      </c>
      <c r="CH324" s="115">
        <f t="shared" ca="1" si="284"/>
        <v>0</v>
      </c>
      <c r="CI324" s="115" t="b">
        <f t="shared" ca="1" si="285"/>
        <v>0</v>
      </c>
      <c r="CJ324" s="119">
        <f t="shared" ca="1" si="286"/>
        <v>0</v>
      </c>
      <c r="CK324" s="115">
        <f t="shared" ca="1" si="287"/>
        <v>0</v>
      </c>
      <c r="CL324" s="115" t="b">
        <f ca="1">AND(模拟模式!$S$7="驱夷逐法",OR(AND(C324="净世破魔击·月",E323&gt;59),AND(C324="净世破魔击·日",F323&gt;59)))</f>
        <v>0</v>
      </c>
      <c r="CM324" s="115" t="b">
        <f ca="1">OR(CL324,AND(C324="净世破魔击·日",CL323,RAND()&lt;模拟模式!$U$23))</f>
        <v>0</v>
      </c>
      <c r="CN324" s="115" t="b">
        <f ca="1">IF(模拟模式!$M$7="辉耀红尘",AND(C324="净世破魔击·月",CL324,CV324=0,E323&lt;80),AND(C324="净世破魔击·月",CL324,E323&lt;100))</f>
        <v>0</v>
      </c>
      <c r="CO324" s="115" t="b">
        <f t="shared" ca="1" si="260"/>
        <v>0</v>
      </c>
      <c r="CP324" s="115" t="b">
        <f ca="1">AND(模拟模式!$O$7="用晦而明",OR(C324="净世破魔击·日",C324="净世破魔击·月",C324="驱夜断愁"),AB324)</f>
        <v>0</v>
      </c>
      <c r="CQ324" s="115" t="b">
        <f ca="1">OR(CP324,AND(CP323,RAND()&lt;模拟模式!$U$23))</f>
        <v>1</v>
      </c>
      <c r="CR324" s="115" t="b">
        <f ca="1">AND(模拟模式!$S$7="日月齐光",OR(C324="幽月轮1",C324="幽月轮2",C324="幽月轮3",CR323),NOT(OR(C324="赤日轮1",C324="赤日轮2",C324="赤日轮3")))</f>
        <v>0</v>
      </c>
      <c r="CS324" s="115" t="b">
        <f ca="1">AND(模拟模式!$S$7="日月齐光",OR(C324="赤日轮1",C324="赤日轮2",C324="赤日轮3",CS323),NOT(OR(C324="幽月轮1",C324="幽月轮2",C324="幽月轮3")))</f>
        <v>0</v>
      </c>
      <c r="CT324" s="115">
        <f t="shared" ca="1" si="288"/>
        <v>2.3250000000000117</v>
      </c>
      <c r="CU324" s="115" t="b">
        <f ca="1">AND(模拟模式!$K$10="阴阳往极",CT323=0,RAND()&lt;IF(C324="净世破魔击·月",0.0275*7/3,IF(C324="净世破魔击·日",0.0275*3/3,0.0275*2/3)))</f>
        <v>0</v>
      </c>
      <c r="CV324" s="115">
        <f t="shared" ca="1" si="289"/>
        <v>0</v>
      </c>
      <c r="CW324" s="115">
        <f t="shared" ca="1" si="261"/>
        <v>6</v>
      </c>
      <c r="CX324" s="115">
        <f t="shared" ca="1" si="262"/>
        <v>4.1549999999999994</v>
      </c>
      <c r="CY324" s="115">
        <f ca="1">MAX(IF($C324="驱夜断愁",IF(模拟模式!$R$7="万念俱寂",6,45),CY323-$F$4),0)</f>
        <v>5.0774999999999997</v>
      </c>
      <c r="CZ324" s="115">
        <f t="shared" ca="1" si="263"/>
        <v>0</v>
      </c>
      <c r="DA324" s="115">
        <f ca="1">IF(模拟模式!$N$7="日月同辉",IF(DB323=2,0,MIN(6,IF(AND(OR(C324="赤日轮1",C324="赤日轮2",C324="赤日轮3",C324="幽月轮1",C324="幽月轮2",C324="幽月轮3"),AB324=1),DA323+1,DA323))),0)</f>
        <v>0</v>
      </c>
      <c r="DB324" s="115">
        <f t="shared" ca="1" si="264"/>
        <v>2</v>
      </c>
      <c r="DC324" s="115"/>
      <c r="DD324" s="115"/>
      <c r="DE324" s="115"/>
      <c r="DF324" s="115"/>
      <c r="DG324" s="115"/>
      <c r="DH324" s="115"/>
      <c r="DI324" s="115"/>
      <c r="DJ324" s="115"/>
      <c r="DK324" s="115"/>
      <c r="DL324" s="115"/>
      <c r="DM324" s="115"/>
    </row>
    <row r="325" spans="2:117" x14ac:dyDescent="0.2">
      <c r="B325" s="117">
        <f t="shared" si="265"/>
        <v>274.90500000000208</v>
      </c>
      <c r="C325" s="167" t="str">
        <f t="shared" ca="1" si="258"/>
        <v>幽月轮1</v>
      </c>
      <c r="D325" s="115">
        <f ca="1">IF(C325="赤日轮1",1,IF(C325="赤日轮2",2,IF(C325="赤日轮3",3,IF(C325="幽月轮1",4,IF(C325="幽月轮2",5,IF(C325="幽月轮3",6,IF(C325="烈日斩",7,IF(C325="银月斩",8,IF(C325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325="净世破魔击·月",17,IF(C325="驱夜断愁",18,0)))))))))))</f>
        <v>4</v>
      </c>
      <c r="E325" s="115">
        <f ca="1">IF(AND(CU325,OR(C325="幽月轮1",C325="幽月轮2",C325="幽月轮3",C325="银月斩",C325="驱夜断愁",C325="净世破魔击·月")),100,MIN(IF(OR(CN325,BE325),0,IF(OR($C325="赤日轮1",$C325="赤日轮2",$C325="赤日轮3"),E324+20+IF(模拟模式!$I$7="日月凌天",4,0)+IF(CR324,20,0),IF($C325="烈日斩",E324+40,IF($C325="驱夜断愁",IF(模拟模式!$R$7="万念俱寂",E324+20,E324+60),IF($C325="净世破魔击·月",IF(OR(DB324&gt;0,CV324&gt;0),100,IF(模拟模式!$M$7="辉耀红尘",E324+20,E324)),IF($C325="净世破魔击·日",E324-100,E324)))))),100))</f>
        <v>80</v>
      </c>
      <c r="F325" s="115">
        <f ca="1">IF(AND(CU325,OR(C325="赤日轮1",C325="赤日轮2",C325="赤日轮3",C325="烈日斩",C325="净世破魔击·日")),100,MIN(IF(CO325,0,IF(OR($C325="幽月轮1",$C325="幽月轮2",$C325="幽月轮3"),F324+20+IF(模拟模式!$I$7="日月凌天",4,0)+IF(CS324,20,0),IF($C325="银月斩",F324+40+IF(模拟模式!$X$12=1,5,0),IF($C325="驱夜断愁",IF(模拟模式!$R$7="万念俱寂",F324+20,F324+60),IF($C325="净世破魔击·月",IF(模拟模式!$M$7="辉耀红尘",F324-80,F324-100),IF(AND(C325="净世破魔击·日",OR(DB324&gt;0,CV324&gt;0)),100,F324)))))),100))</f>
        <v>100</v>
      </c>
      <c r="G325" s="117">
        <f ca="1">('模拟-全程加成'!$E$3+'模拟-全程加成'!$E$4+'模拟-全程加成'!$E$5+('模拟-全程加成'!$C$6-'模拟-全程加成'!$C$3)*系数!$B$9+BS325*23)*(1+'模拟-全程加成'!$F$4+'模拟-全程加成'!$F$5+BJ325*10%+BM325*20%+BP325*4%+CG325*30%)+$F$7*系数!$B$12</f>
        <v>21493.829400000002</v>
      </c>
      <c r="H325" s="45">
        <f ca="1">'模拟-全程加成'!$H$3+'模拟-全程加成'!$H$4+'模拟-全程加成'!$H$5+('模拟-全程加成'!$G$4+'模拟-全程加成'!$G$5+('模拟-全程加成'!$C$6-'模拟-全程加成'!$C$3)*系数!$B$13)/系数!$B$3+LOOKUP(D325,'模拟-单技能数据'!$A$2:$A$19,'模拟-单技能数据'!$K$2:$K$19)+BG325*10%+IF(BV325&gt;0,378,0)</f>
        <v>0.51185145527300213</v>
      </c>
      <c r="I325" s="45">
        <f ca="1">'模拟-全程加成'!$J$3+'模拟-全程加成'!$J$4+'模拟-全程加成'!$J$5+('模拟-全程加成'!$I$4+'模拟-全程加成'!$I$5)/系数!$B$4+LOOKUP(D325,'模拟-单技能数据'!$A$2:$A$19,'模拟-单技能数据'!$L$2:$L$19)+BG325*10%</f>
        <v>2.162482885499879</v>
      </c>
      <c r="J325" s="45">
        <f ca="1">(('模拟-全程加成'!$K$3+'模拟-全程加成'!$K$4+'模拟-全程加成'!$K$5+('模拟-全程加成'!$C$6-'模拟-全程加成'!$C$3)*系数!$B$10+IF(BV325&gt;0,882,0)+IF(BY325&gt;0,1831,0))*(1+'模拟-全程加成'!$L$4+'模拟-全程加成'!$L$5+CC325*20%))/系数!$B$5</f>
        <v>0.69723220422048726</v>
      </c>
      <c r="K325" s="119">
        <f ca="1">LOOKUP(D325,'模拟-单技能数据'!$A$2:$A$19,'模拟-单技能数据'!$J$2:$J$19)+IF(CM325,60%,0)+IF(DB324-DB325&gt;0,30%,0)+IF(OR(AND(OR(C325="赤日轮1",C325="赤日轮2",C325="赤日轮3"),CR325),AND(OR(C325="幽月轮1",C325="幽月轮2",C325="幽月轮3"),CS325)),35%,0)+CJ325</f>
        <v>0.12000000000000001</v>
      </c>
      <c r="L325" s="119">
        <f ca="1">IF(AND(C325="烈日斩",模拟模式!$X$11=1),10%,0)+IF(AND(C325="驱夜断愁",AB325=1),30%,0)</f>
        <v>0</v>
      </c>
      <c r="M325" s="45">
        <f t="shared" ca="1" si="297"/>
        <v>0.51185145527300213</v>
      </c>
      <c r="N325" s="45">
        <f t="shared" ca="1" si="298"/>
        <v>0.43424854472699792</v>
      </c>
      <c r="O325" s="46">
        <f t="shared" ca="1" si="266"/>
        <v>0.5723324249463777</v>
      </c>
      <c r="P325" s="46" t="str">
        <f t="shared" ca="1" si="267"/>
        <v>命</v>
      </c>
      <c r="Q325" s="45">
        <f t="shared" ca="1" si="268"/>
        <v>1</v>
      </c>
      <c r="R325" s="117">
        <f ca="1">模拟模式!$E$20*(1-IF(模拟模式!$J$19="有",0.15,0))*(1-IF(模拟模式!$K$19="有",0.3,0)-IF(CQ325,0.5,0))</f>
        <v>2950.6049999999996</v>
      </c>
      <c r="S325" s="45">
        <f ca="1">R325/(R325+(185*模拟模式!$E$22-16800)*4.08224)</f>
        <v>0.24272716014590323</v>
      </c>
      <c r="T325" s="45" t="str">
        <f ca="1">LOOKUP(D325,'模拟-单技能数据'!$A$2:$A$19,'模拟-单技能数据'!$H$2:$H$19)</f>
        <v>阴</v>
      </c>
      <c r="U325" s="119">
        <f t="shared" ca="1" si="299"/>
        <v>0.08</v>
      </c>
      <c r="V325" s="47">
        <f ca="1">(1+L325)*(LOOKUP(D325,'模拟-单技能数据'!$A$2:$A$19,'模拟-单技能数据'!$D$2:$D$19)+G325*LOOKUP(D325,'模拟-单技能数据'!$A$2:$A$19,'模拟-单技能数据'!$F$2:$F$19))*(1+J325)*(1+K325)*(1-S325)*(1+U325)*Q325*LOOKUP(D325,'模拟-单技能数据'!$A$2:$A$19,'模拟-单技能数据'!$I$2:$I$20)</f>
        <v>17730.73782895472</v>
      </c>
      <c r="W325" s="47">
        <f ca="1">LOOKUP(D325,'模拟-单技能数据'!$A$2:$A$19,'模拟-单技能数据'!$G$2:$G$19)*$I$10</f>
        <v>361.51064354704795</v>
      </c>
      <c r="X325" s="47">
        <f t="shared" ca="1" si="269"/>
        <v>13108.90905418088</v>
      </c>
      <c r="Y325" s="47">
        <f t="shared" ca="1" si="300"/>
        <v>31201.157526682648</v>
      </c>
      <c r="Z325" s="49">
        <f t="shared" ca="1" si="301"/>
        <v>31105610.24854482</v>
      </c>
      <c r="AA325" s="97">
        <f t="shared" ca="1" si="302"/>
        <v>113150.39831412518</v>
      </c>
      <c r="AB325" s="115">
        <f ca="1">IF(OR(C325="赤日轮1",C325="赤日轮2",C325="赤日轮3"),IF(RAND()&lt;模拟模式!$Y$17,1,0),IF(OR(C325="幽月轮1",C325="幽月轮2",C325="幽月轮3"),IF(RAND()&lt;模拟模式!$Y$18,1,0),IF(C325="烈日斩",IF(RAND()&lt;模拟模式!$Y$19,1,0),IF(C325="银月斩",IF(RAND()&lt;模拟模式!$Y$20,1,0),IF(C325="驱夜断愁",IF(RAND()&lt;模拟模式!$Y$21,1,0),IF(C325="净世破魔击·日",IF(RAND()&lt;模拟模式!$Y$22,1,0),IF(C325="净世破魔击·月",IF(RAND()&lt;模拟模式!$Y$23,1,0),0)))))))</f>
        <v>1</v>
      </c>
      <c r="AC325" s="115" t="b">
        <f t="shared" ca="1" si="290"/>
        <v>0</v>
      </c>
      <c r="AD325" s="115" t="b">
        <f t="shared" ca="1" si="310"/>
        <v>1</v>
      </c>
      <c r="AE325" s="115">
        <f t="shared" ca="1" si="311"/>
        <v>4</v>
      </c>
      <c r="AF325" s="47">
        <f ca="1">IF(AC325,('模拟-单技能数据'!$D$20+G325*'模拟-单技能数据'!$F$20)*(1+J325)*(1+'模拟-单技能数据'!$J$20)*(1+U325),0)</f>
        <v>0</v>
      </c>
      <c r="AG325" s="61">
        <f t="shared" ca="1" si="303"/>
        <v>0.64185145527300214</v>
      </c>
      <c r="AH325" s="61">
        <f t="shared" ca="1" si="304"/>
        <v>2.2624828854998791</v>
      </c>
      <c r="AI325" s="62">
        <f t="shared" ca="1" si="270"/>
        <v>0.9847736937219882</v>
      </c>
      <c r="AJ325" s="47">
        <f ca="1">IF(AD325,IF(AI325&lt;$F$10,0,IF(AI325&lt;$F$10+$F$11,0.25,IF(AI325&lt;$F$10+$F$11+AG325,AH325,1)))*IF(AF325&gt;0,AF325,IF(AF324&gt;0,AF324,IF(AF323&gt;0,AF323,IF(AF322&gt;0,AF322,IF(AF321&gt;0,AF321,IF(AF320&gt;0,AF320,IF(AF319&gt;0,AF319,IF(AF318&gt;0,AF318,IF(AF317&gt;0,AF317,IF(AF315&gt;0,AF315,IF(AF314&gt;0,AF314,IF(AF313&gt;0,AF313,0)))))))))))),0)*(1-$S325)*'模拟-单技能数据'!$I$20</f>
        <v>3513.5533621728819</v>
      </c>
      <c r="AK325" s="115" t="b">
        <f t="shared" ca="1" si="291"/>
        <v>0</v>
      </c>
      <c r="AL325" s="115" t="b">
        <f t="shared" ca="1" si="312"/>
        <v>1</v>
      </c>
      <c r="AM325" s="115">
        <f t="shared" ca="1" si="313"/>
        <v>3</v>
      </c>
      <c r="AN325" s="47">
        <f ca="1">IF(AK325,('模拟-单技能数据'!$D$21+G325*'模拟-单技能数据'!$F$21)*(1+J325)*(1+'模拟-单技能数据'!$J$21)*(1+U325),0)</f>
        <v>0</v>
      </c>
      <c r="AO325" s="61">
        <f ca="1">IF(AN325&gt;0,M325-'模拟-单技能数据'!$K$10,AO324)</f>
        <v>0.42185145527300216</v>
      </c>
      <c r="AP325" s="61">
        <f ca="1">IF(AN325&gt;0,I325-'模拟-单技能数据'!$L$10,AP324)</f>
        <v>2.162482885499879</v>
      </c>
      <c r="AQ325" s="63">
        <f t="shared" ca="1" si="271"/>
        <v>0.48642813978192367</v>
      </c>
      <c r="AR325" s="64">
        <f ca="1">IF(AL325,IF(AQ325&lt;$F$10,0,IF(AQ325&lt;$F$10+$F$11,0.25,IF(AQ325&lt;$F$10+$F$11+AO325,AP325,1)))*IF(AN325&gt;0,AN325,IF(AN324&gt;0,AN324,IF(AN323&gt;0,AN323,IF(AN322&gt;0,AN322,IF(AN321&gt;0,AN321,IF(AN320&gt;0,AN320,IF(AN319&gt;0,AN319,IF(AN318&gt;0,AN318,IF(AN317&gt;0,AN317,IF(AN315&gt;0,AN315,IF(AN314&gt;0,AN314,IF(AN313&gt;0,AN313,0)))))))))))),0)*(1-$S325)*'模拟-单技能数据'!$I$21</f>
        <v>9595.3556920079973</v>
      </c>
      <c r="AS325" s="61">
        <f ca="1">IF(OR(C325="净世破魔击·日",C325="净世破魔击·月"),M325-'模拟-单技能数据'!$K$10,0)</f>
        <v>0</v>
      </c>
      <c r="AT325" s="61">
        <f ca="1">IF(OR(C325="净世破魔击·日",C325="净世破魔击·月"),I325-'模拟-单技能数据'!$L$10,0)</f>
        <v>0</v>
      </c>
      <c r="AU325" s="62">
        <f t="shared" ca="1" si="272"/>
        <v>0.12093349208770898</v>
      </c>
      <c r="AV325" s="64">
        <f ca="1">IF(AS325&gt;0,('模拟-单技能数据'!$D$22+G325*'模拟-单技能数据'!$F$22)*(1+J325)*(1-S325)*IF(AU325&lt;$F$10,0,IF(AU325&lt;$F$10+$F$11,0.25,IF(AU325&lt;$F$10+$F$11+AS325,AT325,1)))*(1+U325),0)*'模拟-单技能数据'!$I$22</f>
        <v>0</v>
      </c>
      <c r="AW325" s="108">
        <f t="shared" ca="1" si="273"/>
        <v>0</v>
      </c>
      <c r="AX325" s="108" t="b">
        <f ca="1">AND(模拟模式!$P$10="有",AW324=0,RAND()&lt;IF(C325="净世破魔击·月",0.1*8/3,IF(C325="净世破魔击·日",0.1*4/3,0.1*2/3)))</f>
        <v>0</v>
      </c>
      <c r="AY325" s="47">
        <f ca="1">IF(AX325,(18+G325*0.722)*(1+J325)*(1-S325)*(1+$I$4)*IF(P325="会",'模拟-全程加成'!$J$3+'模拟-全程加成'!$J$4+'模拟-全程加成'!$J$5+('模拟-全程加成'!$I$4+'模拟-全程加成'!$I$5)/系数!$B$4+BG325*10%,IF(P325="命",1,IF(P325="识",0.25,0))),0)</f>
        <v>0</v>
      </c>
      <c r="AZ325" s="108">
        <f t="shared" si="274"/>
        <v>8.9300000000000068</v>
      </c>
      <c r="BA325" s="108" t="b">
        <f>AND(模拟模式!$Q$10="有",AZ324=0)</f>
        <v>0</v>
      </c>
      <c r="BB325" s="140">
        <f>IF(BA325,(0+G325*0.287)*(1+J325)*(1-S325)*(1+$I$4)*IF(P325="会",'模拟-全程加成'!$J$3+'模拟-全程加成'!$J$4+'模拟-全程加成'!$J$5+('模拟-全程加成'!$I$4+'模拟-全程加成'!$I$5)/系数!$B$4+BG325*10%,IF(P325="命",1,IF(P325="识",0.25,0))),0)</f>
        <v>0</v>
      </c>
      <c r="BC325" s="115" t="b">
        <f ca="1">AND(模拟模式!$R$7="伏明众生",E325=60,F325=20,DA325&lt;5,CZ324&lt;$F$4)</f>
        <v>0</v>
      </c>
      <c r="BD325" s="115">
        <f t="shared" ca="1" si="292"/>
        <v>0</v>
      </c>
      <c r="BE325" s="115" t="b">
        <f t="shared" ca="1" si="293"/>
        <v>0</v>
      </c>
      <c r="BF325" s="47">
        <f ca="1">IF(BC325,4*('模拟-单技能数据'!$D$24+G325*'模拟-单技能数据'!$F$24)*(1+J325)*(1+'模拟-单技能数据'!$J$24)*(1-S325)*(1+$I$3)*(('模拟-全程加成'!$J$3+'模拟-全程加成'!$J$4+'模拟-全程加成'!$J$5+('模拟-全程加成'!$I$4+'模拟-全程加成'!$I$5)/系数!$B$4+BG325*10%)*('模拟-全程加成'!$J$3+'模拟-全程加成'!$J$4+'模拟-全程加成'!$J$5+('模拟-全程加成'!$I$4+'模拟-全程加成'!$I$5)/系数!$B$4+BG325*10%)+(1-('模拟-全程加成'!$J$3+'模拟-全程加成'!$J$4+'模拟-全程加成'!$J$5+('模拟-全程加成'!$I$4+'模拟-全程加成'!$I$5)/系数!$B$4+BG325*10%)-$F$10-$F$11)+F311*0.25),0)*'模拟-单技能数据'!$I$24</f>
        <v>0</v>
      </c>
      <c r="BG325" s="115" t="b">
        <f ca="1">OR(AND(OR(C325="烈日斩",C325="银月斩"),模拟模式!$I$7="净身明礼"),AND(C325="净世破魔击·日",模拟模式!$J$7="洞若观火"),AND(C326="净世破魔击·月",模拟模式!$J$7="洞若观火"),AB325=1)</f>
        <v>1</v>
      </c>
      <c r="BH325" s="115" t="b">
        <f t="shared" ca="1" si="275"/>
        <v>0</v>
      </c>
      <c r="BI325" s="115">
        <f t="shared" ca="1" si="294"/>
        <v>4.1549999999999994</v>
      </c>
      <c r="BJ325" s="115" t="b">
        <f t="shared" ca="1" si="305"/>
        <v>1</v>
      </c>
      <c r="BK325" s="115" t="b">
        <f ca="1">AND(C325="驱夜断愁",模拟模式!$P$7="天地诛戮")</f>
        <v>0</v>
      </c>
      <c r="BL325" s="57">
        <f t="shared" ca="1" si="295"/>
        <v>18.155000000000001</v>
      </c>
      <c r="BM325" s="115" t="b">
        <f t="shared" ca="1" si="306"/>
        <v>1</v>
      </c>
      <c r="BN325" s="115" t="b">
        <f ca="1">AND(OR(C325="赤日轮1",C325="赤日轮2",C325="赤日轮3",C325="幽月轮1",C325="幽月轮2",C325="幽月轮3"),AB325=1,模拟模式!$L$7="明光恒照")</f>
        <v>1</v>
      </c>
      <c r="BO325" s="117">
        <f t="shared" ca="1" si="296"/>
        <v>30</v>
      </c>
      <c r="BP325" s="115">
        <f t="shared" ca="1" si="276"/>
        <v>6</v>
      </c>
      <c r="BQ325" s="115" t="b">
        <f>模拟模式!$K$10="2600·水"</f>
        <v>0</v>
      </c>
      <c r="BR325" s="117">
        <f t="shared" si="277"/>
        <v>0</v>
      </c>
      <c r="BS325" s="115">
        <f t="shared" si="278"/>
        <v>0</v>
      </c>
      <c r="BT325" s="115">
        <f t="shared" ca="1" si="279"/>
        <v>0</v>
      </c>
      <c r="BU325" s="115" t="b">
        <f ca="1">AND(模拟模式!$K$10="2300·雷",BT324=0,RAND()&lt;IF(C325="净世破魔击·月",5*0.05*2/3,IF(C325="净世破魔击·日",3*0.05*2/3,0.05*2*2/3)))</f>
        <v>0</v>
      </c>
      <c r="BV325" s="115">
        <f t="shared" ca="1" si="280"/>
        <v>0</v>
      </c>
      <c r="BW325" s="115">
        <f t="shared" ca="1" si="281"/>
        <v>96.974999999999255</v>
      </c>
      <c r="BX325" s="164" t="b">
        <f t="shared" ca="1" si="282"/>
        <v>0</v>
      </c>
      <c r="BY325" s="115">
        <f t="shared" ca="1" si="283"/>
        <v>0</v>
      </c>
      <c r="BZ325" s="115">
        <f>IF(OR(模拟模式!$P$16="10人团",模拟模式!$P$16="25人团"),IF(B325/30&gt;CA324,1,0),0)</f>
        <v>0</v>
      </c>
      <c r="CA325" s="115">
        <f t="shared" si="259"/>
        <v>0</v>
      </c>
      <c r="CB325" s="115">
        <f ca="1">IF(BZ325=1,IF(模拟模式!$P$16="10人团",15,0)+IF(模拟模式!$P$16="25人团",IF(RAND()&lt;0.6,15,0)),MAX(0,CB324-$F$4))</f>
        <v>0</v>
      </c>
      <c r="CC325" s="115" t="b">
        <f t="shared" ca="1" si="307"/>
        <v>0</v>
      </c>
      <c r="CD325" s="115">
        <f>IF(模拟模式!$Q$16="1个",IF(B325/40&gt;CE324,1,0),0)</f>
        <v>0</v>
      </c>
      <c r="CE325" s="115">
        <f t="shared" si="308"/>
        <v>0</v>
      </c>
      <c r="CF325" s="115">
        <f>IF(OR(CD325=1,模拟模式!$Q$16="2个"),20,MAX(0,CF324-$F$4))</f>
        <v>0</v>
      </c>
      <c r="CG325" s="115" t="b">
        <f t="shared" si="309"/>
        <v>0</v>
      </c>
      <c r="CH325" s="115">
        <f t="shared" ca="1" si="284"/>
        <v>29.077500000000001</v>
      </c>
      <c r="CI325" s="115" t="b">
        <f t="shared" ca="1" si="285"/>
        <v>1</v>
      </c>
      <c r="CJ325" s="119">
        <f t="shared" ca="1" si="286"/>
        <v>0.05</v>
      </c>
      <c r="CK325" s="115">
        <f t="shared" ca="1" si="287"/>
        <v>7.0774999999999997</v>
      </c>
      <c r="CL325" s="115" t="b">
        <f ca="1">AND(模拟模式!$S$7="驱夷逐法",OR(AND(C325="净世破魔击·月",E324&gt;59),AND(C325="净世破魔击·日",F324&gt;59)))</f>
        <v>0</v>
      </c>
      <c r="CM325" s="115" t="b">
        <f ca="1">OR(CL325,AND(C325="净世破魔击·日",CL324,RAND()&lt;模拟模式!$U$23))</f>
        <v>0</v>
      </c>
      <c r="CN325" s="115" t="b">
        <f ca="1">IF(模拟模式!$M$7="辉耀红尘",AND(C325="净世破魔击·月",CL325,CV325=0,E324&lt;80),AND(C325="净世破魔击·月",CL325,E324&lt;100))</f>
        <v>0</v>
      </c>
      <c r="CO325" s="115" t="b">
        <f t="shared" ca="1" si="260"/>
        <v>0</v>
      </c>
      <c r="CP325" s="115" t="b">
        <f ca="1">AND(模拟模式!$O$7="用晦而明",OR(C325="净世破魔击·日",C325="净世破魔击·月",C325="驱夜断愁"),AB325)</f>
        <v>0</v>
      </c>
      <c r="CQ325" s="115" t="b">
        <f ca="1">OR(CP325,AND(CP324,RAND()&lt;模拟模式!$U$23))</f>
        <v>0</v>
      </c>
      <c r="CR325" s="115" t="b">
        <f ca="1">AND(模拟模式!$S$7="日月齐光",OR(C325="幽月轮1",C325="幽月轮2",C325="幽月轮3",CR324),NOT(OR(C325="赤日轮1",C325="赤日轮2",C325="赤日轮3")))</f>
        <v>0</v>
      </c>
      <c r="CS325" s="115" t="b">
        <f ca="1">AND(模拟模式!$S$7="日月齐光",OR(C325="赤日轮1",C325="赤日轮2",C325="赤日轮3",CS324),NOT(OR(C325="幽月轮1",C325="幽月轮2",C325="幽月轮3")))</f>
        <v>0</v>
      </c>
      <c r="CT325" s="115">
        <f t="shared" ca="1" si="288"/>
        <v>1.4025000000000118</v>
      </c>
      <c r="CU325" s="115" t="b">
        <f ca="1">AND(模拟模式!$K$10="阴阳往极",CT324=0,RAND()&lt;IF(C325="净世破魔击·月",0.0275*7/3,IF(C325="净世破魔击·日",0.0275*3/3,0.0275*2/3)))</f>
        <v>0</v>
      </c>
      <c r="CV325" s="115">
        <f t="shared" ca="1" si="289"/>
        <v>0</v>
      </c>
      <c r="CW325" s="115">
        <f t="shared" ca="1" si="261"/>
        <v>5.0774999999999997</v>
      </c>
      <c r="CX325" s="115">
        <f t="shared" ca="1" si="262"/>
        <v>3.2324999999999995</v>
      </c>
      <c r="CY325" s="115">
        <f ca="1">MAX(IF($C325="驱夜断愁",IF(模拟模式!$R$7="万念俱寂",6,45),CY324-$F$4),0)</f>
        <v>4.1549999999999994</v>
      </c>
      <c r="CZ325" s="115">
        <f t="shared" ca="1" si="263"/>
        <v>0</v>
      </c>
      <c r="DA325" s="115">
        <f ca="1">IF(模拟模式!$N$7="日月同辉",IF(DB324=2,0,MIN(6,IF(AND(OR(C325="赤日轮1",C325="赤日轮2",C325="赤日轮3",C325="幽月轮1",C325="幽月轮2",C325="幽月轮3"),AB325=1),DA324+1,DA324))),0)</f>
        <v>0</v>
      </c>
      <c r="DB325" s="115">
        <f t="shared" ca="1" si="264"/>
        <v>2</v>
      </c>
      <c r="DC325" s="115"/>
      <c r="DD325" s="115"/>
      <c r="DE325" s="115"/>
      <c r="DF325" s="115"/>
      <c r="DG325" s="115"/>
      <c r="DH325" s="115"/>
      <c r="DI325" s="115"/>
      <c r="DJ325" s="115"/>
      <c r="DK325" s="115"/>
      <c r="DL325" s="115"/>
      <c r="DM325" s="115"/>
    </row>
    <row r="326" spans="2:117" x14ac:dyDescent="0.2">
      <c r="B326" s="117">
        <f t="shared" si="265"/>
        <v>275.82750000000209</v>
      </c>
      <c r="C326" s="167" t="str">
        <f t="shared" ca="1" si="258"/>
        <v>净世破魔击·月</v>
      </c>
      <c r="D326" s="115">
        <f ca="1">IF(C326="赤日轮1",1,IF(C326="赤日轮2",2,IF(C326="赤日轮3",3,IF(C326="幽月轮1",4,IF(C326="幽月轮2",5,IF(C326="幽月轮3",6,IF(C326="烈日斩",7,IF(C326="银月斩",8,IF(C326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326="净世破魔击·月",17,IF(C326="驱夜断愁",18,0)))))))))))</f>
        <v>17</v>
      </c>
      <c r="E326" s="115">
        <f ca="1">IF(AND(CU326,OR(C326="幽月轮1",C326="幽月轮2",C326="幽月轮3",C326="银月斩",C326="驱夜断愁",C326="净世破魔击·月")),100,MIN(IF(OR(CN326,BE326),0,IF(OR($C326="赤日轮1",$C326="赤日轮2",$C326="赤日轮3"),E325+20+IF(模拟模式!$I$7="日月凌天",4,0)+IF(CR325,20,0),IF($C326="烈日斩",E325+40,IF($C326="驱夜断愁",IF(模拟模式!$R$7="万念俱寂",E325+20,E325+60),IF($C326="净世破魔击·月",IF(OR(DB325&gt;0,CV325&gt;0),100,IF(模拟模式!$M$7="辉耀红尘",E325+20,E325)),IF($C326="净世破魔击·日",E325-100,E325)))))),100))</f>
        <v>100</v>
      </c>
      <c r="F326" s="115">
        <f ca="1">IF(AND(CU326,OR(C326="赤日轮1",C326="赤日轮2",C326="赤日轮3",C326="烈日斩",C326="净世破魔击·日")),100,MIN(IF(CO326,0,IF(OR($C326="幽月轮1",$C326="幽月轮2",$C326="幽月轮3"),F325+20+IF(模拟模式!$I$7="日月凌天",4,0)+IF(CS325,20,0),IF($C326="银月斩",F325+40+IF(模拟模式!$X$12=1,5,0),IF($C326="驱夜断愁",IF(模拟模式!$R$7="万念俱寂",F325+20,F325+60),IF($C326="净世破魔击·月",IF(模拟模式!$M$7="辉耀红尘",F325-80,F325-100),IF(AND(C326="净世破魔击·日",OR(DB325&gt;0,CV325&gt;0)),100,F325)))))),100))</f>
        <v>20</v>
      </c>
      <c r="G326" s="117">
        <f ca="1">('模拟-全程加成'!$E$3+'模拟-全程加成'!$E$4+'模拟-全程加成'!$E$5+('模拟-全程加成'!$C$6-'模拟-全程加成'!$C$3)*系数!$B$9+BS326*23)*(1+'模拟-全程加成'!$F$4+'模拟-全程加成'!$F$5+BJ326*10%+BM326*20%+BP326*4%+CG326*30%)+$F$7*系数!$B$12</f>
        <v>21493.829400000002</v>
      </c>
      <c r="H326" s="45">
        <f ca="1">'模拟-全程加成'!$H$3+'模拟-全程加成'!$H$4+'模拟-全程加成'!$H$5+('模拟-全程加成'!$G$4+'模拟-全程加成'!$G$5+('模拟-全程加成'!$C$6-'模拟-全程加成'!$C$3)*系数!$B$13)/系数!$B$3+LOOKUP(D326,'模拟-单技能数据'!$A$2:$A$19,'模拟-单技能数据'!$K$2:$K$19)+BG326*10%+IF(BV326&gt;0,378,0)</f>
        <v>0.54185145527300216</v>
      </c>
      <c r="I326" s="45">
        <f ca="1">'模拟-全程加成'!$J$3+'模拟-全程加成'!$J$4+'模拟-全程加成'!$J$5+('模拟-全程加成'!$I$4+'模拟-全程加成'!$I$5)/系数!$B$4+LOOKUP(D326,'模拟-单技能数据'!$A$2:$A$19,'模拟-单技能数据'!$L$2:$L$19)+BG326*10%</f>
        <v>2.162482885499879</v>
      </c>
      <c r="J326" s="45">
        <f ca="1">(('模拟-全程加成'!$K$3+'模拟-全程加成'!$K$4+'模拟-全程加成'!$K$5+('模拟-全程加成'!$C$6-'模拟-全程加成'!$C$3)*系数!$B$10+IF(BV326&gt;0,882,0)+IF(BY326&gt;0,1831,0))*(1+'模拟-全程加成'!$L$4+'模拟-全程加成'!$L$5+CC326*20%))/系数!$B$5</f>
        <v>0.69723220422048726</v>
      </c>
      <c r="K326" s="119">
        <f ca="1">LOOKUP(D326,'模拟-单技能数据'!$A$2:$A$19,'模拟-单技能数据'!$J$2:$J$19)+IF(CM326,60%,0)+IF(DB325-DB326&gt;0,30%,0)+IF(OR(AND(OR(C326="赤日轮1",C326="赤日轮2",C326="赤日轮3"),CR326),AND(OR(C326="幽月轮1",C326="幽月轮2",C326="幽月轮3"),CS326)),35%,0)+CJ326</f>
        <v>1.1500000000000001</v>
      </c>
      <c r="L326" s="119">
        <f ca="1">IF(AND(C326="烈日斩",模拟模式!$X$11=1),10%,0)+IF(AND(C326="驱夜断愁",AB326=1),30%,0)</f>
        <v>0</v>
      </c>
      <c r="M326" s="45">
        <f t="shared" ca="1" si="297"/>
        <v>0.54185145527300216</v>
      </c>
      <c r="N326" s="45">
        <f t="shared" ca="1" si="298"/>
        <v>0.40424854472699789</v>
      </c>
      <c r="O326" s="46">
        <f t="shared" ca="1" si="266"/>
        <v>0.13518643585440826</v>
      </c>
      <c r="P326" s="46" t="str">
        <f t="shared" ca="1" si="267"/>
        <v>会</v>
      </c>
      <c r="Q326" s="45">
        <f t="shared" ca="1" si="268"/>
        <v>2.162482885499879</v>
      </c>
      <c r="R326" s="117">
        <f ca="1">模拟模式!$E$20*(1-IF(模拟模式!$J$19="有",0.15,0))*(1-IF(模拟模式!$K$19="有",0.3,0)-IF(CQ326,0.5,0))</f>
        <v>843.02999999999975</v>
      </c>
      <c r="S326" s="45">
        <f ca="1">R326/(R326+(185*模拟模式!$E$22-16800)*4.08224)</f>
        <v>8.389626085980037E-2</v>
      </c>
      <c r="T326" s="45" t="str">
        <f ca="1">LOOKUP(D326,'模拟-单技能数据'!$A$2:$A$19,'模拟-单技能数据'!$H$2:$H$19)</f>
        <v>阴</v>
      </c>
      <c r="U326" s="119">
        <f t="shared" ca="1" si="299"/>
        <v>0.08</v>
      </c>
      <c r="V326" s="47">
        <f ca="1">(1+L326)*(LOOKUP(D326,'模拟-单技能数据'!$A$2:$A$19,'模拟-单技能数据'!$D$2:$D$19)+G326*LOOKUP(D326,'模拟-单技能数据'!$A$2:$A$19,'模拟-单技能数据'!$F$2:$F$19))*(1+J326)*(1+K326)*(1-S326)*(1+U326)*Q326*LOOKUP(D326,'模拟-单技能数据'!$A$2:$A$19,'模拟-单技能数据'!$I$2:$I$20)</f>
        <v>218035.34744771273</v>
      </c>
      <c r="W326" s="47">
        <f ca="1">LOOKUP(D326,'模拟-单技能数据'!$A$2:$A$19,'模拟-单技能数据'!$G$2:$G$19)*$I$10</f>
        <v>361.51064354704795</v>
      </c>
      <c r="X326" s="47">
        <f t="shared" ca="1" si="269"/>
        <v>17205.169596245785</v>
      </c>
      <c r="Y326" s="47">
        <f t="shared" ca="1" si="300"/>
        <v>235602.02768750556</v>
      </c>
      <c r="Z326" s="49">
        <f t="shared" ca="1" si="301"/>
        <v>31341212.276232325</v>
      </c>
      <c r="AA326" s="97">
        <f t="shared" ca="1" si="302"/>
        <v>113626.13327616749</v>
      </c>
      <c r="AB326" s="115">
        <f ca="1">IF(OR(C326="赤日轮1",C326="赤日轮2",C326="赤日轮3"),IF(RAND()&lt;模拟模式!$Y$17,1,0),IF(OR(C326="幽月轮1",C326="幽月轮2",C326="幽月轮3"),IF(RAND()&lt;模拟模式!$Y$18,1,0),IF(C326="烈日斩",IF(RAND()&lt;模拟模式!$Y$19,1,0),IF(C326="银月斩",IF(RAND()&lt;模拟模式!$Y$20,1,0),IF(C326="驱夜断愁",IF(RAND()&lt;模拟模式!$Y$21,1,0),IF(C326="净世破魔击·日",IF(RAND()&lt;模拟模式!$Y$22,1,0),IF(C326="净世破魔击·月",IF(RAND()&lt;模拟模式!$Y$23,1,0),0)))))))</f>
        <v>1</v>
      </c>
      <c r="AC326" s="115" t="b">
        <f t="shared" ca="1" si="290"/>
        <v>0</v>
      </c>
      <c r="AD326" s="115" t="b">
        <f t="shared" ca="1" si="310"/>
        <v>0</v>
      </c>
      <c r="AE326" s="115">
        <f t="shared" ca="1" si="311"/>
        <v>4</v>
      </c>
      <c r="AF326" s="47">
        <f ca="1">IF(AC326,('模拟-单技能数据'!$D$20+G326*'模拟-单技能数据'!$F$20)*(1+J326)*(1+'模拟-单技能数据'!$J$20)*(1+U326),0)</f>
        <v>0</v>
      </c>
      <c r="AG326" s="61">
        <f t="shared" ca="1" si="303"/>
        <v>0.64185145527300214</v>
      </c>
      <c r="AH326" s="61">
        <f t="shared" ca="1" si="304"/>
        <v>2.2624828854998791</v>
      </c>
      <c r="AI326" s="62">
        <f t="shared" ca="1" si="270"/>
        <v>0.56537705800726967</v>
      </c>
      <c r="AJ326" s="47">
        <f ca="1">IF(AD326,IF(AI326&lt;$F$10,0,IF(AI326&lt;$F$10+$F$11,0.25,IF(AI326&lt;$F$10+$F$11+AG326,AH326,1)))*IF(AF326&gt;0,AF326,IF(AF325&gt;0,AF325,IF(AF324&gt;0,AF324,IF(AF323&gt;0,AF323,IF(AF322&gt;0,AF322,IF(AF321&gt;0,AF321,IF(AF320&gt;0,AF320,IF(AF319&gt;0,AF319,IF(AF318&gt;0,AF318,IF(AF316&gt;0,AF316,IF(AF315&gt;0,AF315,IF(AF314&gt;0,AF314,0)))))))))))),0)*(1-$S326)*'模拟-单技能数据'!$I$20</f>
        <v>0</v>
      </c>
      <c r="AK326" s="115" t="b">
        <f t="shared" ca="1" si="291"/>
        <v>0</v>
      </c>
      <c r="AL326" s="115" t="b">
        <f t="shared" ca="1" si="312"/>
        <v>0</v>
      </c>
      <c r="AM326" s="115">
        <f t="shared" ca="1" si="313"/>
        <v>3</v>
      </c>
      <c r="AN326" s="47">
        <f ca="1">IF(AK326,('模拟-单技能数据'!$D$21+G326*'模拟-单技能数据'!$F$21)*(1+J326)*(1+'模拟-单技能数据'!$J$21)*(1+U326),0)</f>
        <v>0</v>
      </c>
      <c r="AO326" s="61">
        <f ca="1">IF(AN326&gt;0,M326-'模拟-单技能数据'!$K$10,AO325)</f>
        <v>0.42185145527300216</v>
      </c>
      <c r="AP326" s="61">
        <f ca="1">IF(AN326&gt;0,I326-'模拟-单技能数据'!$L$10,AP325)</f>
        <v>2.162482885499879</v>
      </c>
      <c r="AQ326" s="63">
        <f t="shared" ca="1" si="271"/>
        <v>2.1333829476824384E-2</v>
      </c>
      <c r="AR326" s="64">
        <f ca="1">IF(AL326,IF(AQ326&lt;$F$10,0,IF(AQ326&lt;$F$10+$F$11,0.25,IF(AQ326&lt;$F$10+$F$11+AO326,AP326,1)))*IF(AN326&gt;0,AN326,IF(AN325&gt;0,AN325,IF(AN324&gt;0,AN324,IF(AN323&gt;0,AN323,IF(AN322&gt;0,AN322,IF(AN321&gt;0,AN321,IF(AN320&gt;0,AN320,IF(AN319&gt;0,AN319,IF(AN318&gt;0,AN318,IF(AN316&gt;0,AN316,IF(AN315&gt;0,AN315,IF(AN314&gt;0,AN314,0)))))))))))),0)*(1-$S326)*'模拟-单技能数据'!$I$21</f>
        <v>0</v>
      </c>
      <c r="AS326" s="61">
        <f ca="1">IF(OR(C326="净世破魔击·日",C326="净世破魔击·月"),M326-'模拟-单技能数据'!$K$10,0)</f>
        <v>0.42185145527300216</v>
      </c>
      <c r="AT326" s="61">
        <f ca="1">IF(OR(C326="净世破魔击·日",C326="净世破魔击·月"),I326-'模拟-单技能数据'!$L$10,0)</f>
        <v>2.162482885499879</v>
      </c>
      <c r="AU326" s="62">
        <f t="shared" ca="1" si="272"/>
        <v>0.44485990465727543</v>
      </c>
      <c r="AV326" s="64">
        <f ca="1">IF(AS326&gt;0,('模拟-单技能数据'!$D$22+G326*'模拟-单技能数据'!$F$22)*(1+J326)*(1-S326)*IF(AU326&lt;$F$10,0,IF(AU326&lt;$F$10+$F$11,0.25,IF(AU326&lt;$F$10+$F$11+AS326,AT326,1)))*(1+U326),0)*'模拟-单技能数据'!$I$22</f>
        <v>17205.169596245785</v>
      </c>
      <c r="AW326" s="108">
        <f t="shared" ca="1" si="273"/>
        <v>0</v>
      </c>
      <c r="AX326" s="108" t="b">
        <f ca="1">AND(模拟模式!$P$10="有",AW325=0,RAND()&lt;IF(C326="净世破魔击·月",0.1*8/3,IF(C326="净世破魔击·日",0.1*4/3,0.1*2/3)))</f>
        <v>0</v>
      </c>
      <c r="AY326" s="47">
        <f ca="1">IF(AX326,(18+G326*0.722)*(1+J326)*(1-S326)*(1+$I$4)*IF(P326="会",'模拟-全程加成'!$J$3+'模拟-全程加成'!$J$4+'模拟-全程加成'!$J$5+('模拟-全程加成'!$I$4+'模拟-全程加成'!$I$5)/系数!$B$4+BG326*10%,IF(P326="命",1,IF(P326="识",0.25,0))),0)</f>
        <v>0</v>
      </c>
      <c r="AZ326" s="108">
        <f t="shared" si="274"/>
        <v>8.0075000000000074</v>
      </c>
      <c r="BA326" s="108" t="b">
        <f>AND(模拟模式!$Q$10="有",AZ325=0)</f>
        <v>0</v>
      </c>
      <c r="BB326" s="140">
        <f>IF(BA326,(0+G326*0.287)*(1+J326)*(1-S326)*(1+$I$4)*IF(P326="会",'模拟-全程加成'!$J$3+'模拟-全程加成'!$J$4+'模拟-全程加成'!$J$5+('模拟-全程加成'!$I$4+'模拟-全程加成'!$I$5)/系数!$B$4+BG326*10%,IF(P326="命",1,IF(P326="识",0.25,0))),0)</f>
        <v>0</v>
      </c>
      <c r="BC326" s="115" t="b">
        <f ca="1">AND(模拟模式!$R$7="伏明众生",E326=60,F326=20,DA326&lt;5,CZ325&lt;$F$4)</f>
        <v>0</v>
      </c>
      <c r="BD326" s="115">
        <f t="shared" ca="1" si="292"/>
        <v>0</v>
      </c>
      <c r="BE326" s="115" t="b">
        <f t="shared" ca="1" si="293"/>
        <v>0</v>
      </c>
      <c r="BF326" s="47">
        <f ca="1">IF(BC326,4*('模拟-单技能数据'!$D$24+G326*'模拟-单技能数据'!$F$24)*(1+J326)*(1+'模拟-单技能数据'!$J$24)*(1-S326)*(1+$I$3)*(('模拟-全程加成'!$J$3+'模拟-全程加成'!$J$4+'模拟-全程加成'!$J$5+('模拟-全程加成'!$I$4+'模拟-全程加成'!$I$5)/系数!$B$4+BG326*10%)*('模拟-全程加成'!$J$3+'模拟-全程加成'!$J$4+'模拟-全程加成'!$J$5+('模拟-全程加成'!$I$4+'模拟-全程加成'!$I$5)/系数!$B$4+BG326*10%)+(1-('模拟-全程加成'!$J$3+'模拟-全程加成'!$J$4+'模拟-全程加成'!$J$5+('模拟-全程加成'!$I$4+'模拟-全程加成'!$I$5)/系数!$B$4+BG326*10%)-$F$10-$F$11)+F312*0.25),0)*'模拟-单技能数据'!$I$24</f>
        <v>0</v>
      </c>
      <c r="BG326" s="115" t="b">
        <f ca="1">OR(AND(OR(C326="烈日斩",C326="银月斩"),模拟模式!$I$7="净身明礼"),AND(C326="净世破魔击·日",模拟模式!$J$7="洞若观火"),AND(C327="净世破魔击·月",模拟模式!$J$7="洞若观火"),AB326=1)</f>
        <v>1</v>
      </c>
      <c r="BH326" s="115" t="b">
        <f t="shared" ca="1" si="275"/>
        <v>0</v>
      </c>
      <c r="BI326" s="115">
        <f t="shared" ca="1" si="294"/>
        <v>3.2324999999999995</v>
      </c>
      <c r="BJ326" s="115" t="b">
        <f t="shared" ca="1" si="305"/>
        <v>1</v>
      </c>
      <c r="BK326" s="115" t="b">
        <f ca="1">AND(C326="驱夜断愁",模拟模式!$P$7="天地诛戮")</f>
        <v>0</v>
      </c>
      <c r="BL326" s="57">
        <f t="shared" ca="1" si="295"/>
        <v>17.232500000000002</v>
      </c>
      <c r="BM326" s="115" t="b">
        <f t="shared" ca="1" si="306"/>
        <v>1</v>
      </c>
      <c r="BN326" s="115" t="b">
        <f ca="1">AND(OR(C326="赤日轮1",C326="赤日轮2",C326="赤日轮3",C326="幽月轮1",C326="幽月轮2",C326="幽月轮3"),AB326=1,模拟模式!$L$7="明光恒照")</f>
        <v>0</v>
      </c>
      <c r="BO326" s="117">
        <f t="shared" ca="1" si="296"/>
        <v>29.077500000000001</v>
      </c>
      <c r="BP326" s="115">
        <f t="shared" ca="1" si="276"/>
        <v>6</v>
      </c>
      <c r="BQ326" s="115" t="b">
        <f>模拟模式!$K$10="2600·水"</f>
        <v>0</v>
      </c>
      <c r="BR326" s="117">
        <f t="shared" si="277"/>
        <v>0</v>
      </c>
      <c r="BS326" s="115">
        <f t="shared" si="278"/>
        <v>0</v>
      </c>
      <c r="BT326" s="115">
        <f t="shared" ca="1" si="279"/>
        <v>0</v>
      </c>
      <c r="BU326" s="115" t="b">
        <f ca="1">AND(模拟模式!$K$10="2300·雷",BT325=0,RAND()&lt;IF(C326="净世破魔击·月",5*0.05*2/3,IF(C326="净世破魔击·日",3*0.05*2/3,0.05*2*2/3)))</f>
        <v>0</v>
      </c>
      <c r="BV326" s="115">
        <f t="shared" ca="1" si="280"/>
        <v>0</v>
      </c>
      <c r="BW326" s="115">
        <f t="shared" ca="1" si="281"/>
        <v>96.052499999999256</v>
      </c>
      <c r="BX326" s="164" t="b">
        <f t="shared" ca="1" si="282"/>
        <v>0</v>
      </c>
      <c r="BY326" s="115">
        <f t="shared" ca="1" si="283"/>
        <v>0</v>
      </c>
      <c r="BZ326" s="115">
        <f>IF(OR(模拟模式!$P$16="10人团",模拟模式!$P$16="25人团"),IF(B326/30&gt;CA325,1,0),0)</f>
        <v>0</v>
      </c>
      <c r="CA326" s="115">
        <f t="shared" si="259"/>
        <v>0</v>
      </c>
      <c r="CB326" s="115">
        <f ca="1">IF(BZ326=1,IF(模拟模式!$P$16="10人团",15,0)+IF(模拟模式!$P$16="25人团",IF(RAND()&lt;0.6,15,0)),MAX(0,CB325-$F$4))</f>
        <v>0</v>
      </c>
      <c r="CC326" s="115" t="b">
        <f t="shared" ca="1" si="307"/>
        <v>0</v>
      </c>
      <c r="CD326" s="115">
        <f>IF(模拟模式!$Q$16="1个",IF(B326/40&gt;CE325,1,0),0)</f>
        <v>0</v>
      </c>
      <c r="CE326" s="115">
        <f t="shared" si="308"/>
        <v>0</v>
      </c>
      <c r="CF326" s="115">
        <f>IF(OR(CD326=1,模拟模式!$Q$16="2个"),20,MAX(0,CF325-$F$4))</f>
        <v>0</v>
      </c>
      <c r="CG326" s="115" t="b">
        <f t="shared" si="309"/>
        <v>0</v>
      </c>
      <c r="CH326" s="115">
        <f t="shared" ca="1" si="284"/>
        <v>28.155000000000001</v>
      </c>
      <c r="CI326" s="115" t="b">
        <f t="shared" ca="1" si="285"/>
        <v>0</v>
      </c>
      <c r="CJ326" s="119">
        <f t="shared" ca="1" si="286"/>
        <v>0.05</v>
      </c>
      <c r="CK326" s="115">
        <f t="shared" ca="1" si="287"/>
        <v>6.1549999999999994</v>
      </c>
      <c r="CL326" s="115" t="b">
        <f ca="1">AND(模拟模式!$S$7="驱夷逐法",OR(AND(C326="净世破魔击·月",E325&gt;59),AND(C326="净世破魔击·日",F325&gt;59)))</f>
        <v>1</v>
      </c>
      <c r="CM326" s="115" t="b">
        <f ca="1">OR(CL326,AND(C326="净世破魔击·日",CL325,RAND()&lt;模拟模式!$U$23))</f>
        <v>1</v>
      </c>
      <c r="CN326" s="115" t="b">
        <f ca="1">IF(模拟模式!$M$7="辉耀红尘",AND(C326="净世破魔击·月",CL326,CV326=0,E325&lt;80),AND(C326="净世破魔击·月",CL326,E325&lt;100))</f>
        <v>0</v>
      </c>
      <c r="CO326" s="115" t="b">
        <f t="shared" ca="1" si="260"/>
        <v>0</v>
      </c>
      <c r="CP326" s="115" t="b">
        <f ca="1">AND(模拟模式!$O$7="用晦而明",OR(C326="净世破魔击·日",C326="净世破魔击·月",C326="驱夜断愁"),AB326)</f>
        <v>1</v>
      </c>
      <c r="CQ326" s="115" t="b">
        <f ca="1">OR(CP326,AND(CP325,RAND()&lt;模拟模式!$U$23))</f>
        <v>1</v>
      </c>
      <c r="CR326" s="115" t="b">
        <f ca="1">AND(模拟模式!$S$7="日月齐光",OR(C326="幽月轮1",C326="幽月轮2",C326="幽月轮3",CR325),NOT(OR(C326="赤日轮1",C326="赤日轮2",C326="赤日轮3")))</f>
        <v>0</v>
      </c>
      <c r="CS326" s="115" t="b">
        <f ca="1">AND(模拟模式!$S$7="日月齐光",OR(C326="赤日轮1",C326="赤日轮2",C326="赤日轮3",CS325),NOT(OR(C326="幽月轮1",C326="幽月轮2",C326="幽月轮3")))</f>
        <v>0</v>
      </c>
      <c r="CT326" s="115">
        <f t="shared" ca="1" si="288"/>
        <v>0.48000000000001186</v>
      </c>
      <c r="CU326" s="115" t="b">
        <f ca="1">AND(模拟模式!$K$10="阴阳往极",CT325=0,RAND()&lt;IF(C326="净世破魔击·月",0.0275*7/3,IF(C326="净世破魔击·日",0.0275*3/3,0.0275*2/3)))</f>
        <v>0</v>
      </c>
      <c r="CV326" s="115">
        <f t="shared" ca="1" si="289"/>
        <v>0</v>
      </c>
      <c r="CW326" s="115">
        <f t="shared" ca="1" si="261"/>
        <v>4.1549999999999994</v>
      </c>
      <c r="CX326" s="115">
        <f t="shared" ca="1" si="262"/>
        <v>2.3099999999999996</v>
      </c>
      <c r="CY326" s="115">
        <f ca="1">MAX(IF($C326="驱夜断愁",IF(模拟模式!$R$7="万念俱寂",6,45),CY325-$F$4),0)</f>
        <v>3.2324999999999995</v>
      </c>
      <c r="CZ326" s="115">
        <f t="shared" ca="1" si="263"/>
        <v>0</v>
      </c>
      <c r="DA326" s="115">
        <f ca="1">IF(模拟模式!$N$7="日月同辉",IF(DB325=2,0,MIN(6,IF(AND(OR(C326="赤日轮1",C326="赤日轮2",C326="赤日轮3",C326="幽月轮1",C326="幽月轮2",C326="幽月轮3"),AB326=1),DA325+1,DA325))),0)</f>
        <v>0</v>
      </c>
      <c r="DB326" s="115">
        <f t="shared" ca="1" si="264"/>
        <v>1</v>
      </c>
      <c r="DC326" s="115"/>
      <c r="DD326" s="115"/>
      <c r="DE326" s="115"/>
      <c r="DF326" s="115"/>
      <c r="DG326" s="115"/>
      <c r="DH326" s="115"/>
      <c r="DI326" s="115"/>
      <c r="DJ326" s="115"/>
      <c r="DK326" s="115"/>
      <c r="DL326" s="115"/>
      <c r="DM326" s="115"/>
    </row>
    <row r="327" spans="2:117" x14ac:dyDescent="0.2">
      <c r="B327" s="117">
        <f t="shared" si="265"/>
        <v>276.7500000000021</v>
      </c>
      <c r="C327" s="167" t="str">
        <f t="shared" ca="1" si="258"/>
        <v>净世破魔击·日</v>
      </c>
      <c r="D327" s="115">
        <f ca="1">IF(C327="赤日轮1",1,IF(C327="赤日轮2",2,IF(C327="赤日轮3",3,IF(C327="幽月轮1",4,IF(C327="幽月轮2",5,IF(C327="幽月轮3",6,IF(C327="烈日斩",7,IF(C327="银月斩",8,IF(C327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327="净世破魔击·月",17,IF(C327="驱夜断愁",18,0)))))))))))</f>
        <v>9</v>
      </c>
      <c r="E327" s="115">
        <f ca="1">IF(AND(CU327,OR(C327="幽月轮1",C327="幽月轮2",C327="幽月轮3",C327="银月斩",C327="驱夜断愁",C327="净世破魔击·月")),100,MIN(IF(OR(CN327,BE327),0,IF(OR($C327="赤日轮1",$C327="赤日轮2",$C327="赤日轮3"),E326+20+IF(模拟模式!$I$7="日月凌天",4,0)+IF(CR326,20,0),IF($C327="烈日斩",E326+40,IF($C327="驱夜断愁",IF(模拟模式!$R$7="万念俱寂",E326+20,E326+60),IF($C327="净世破魔击·月",IF(OR(DB326&gt;0,CV326&gt;0),100,IF(模拟模式!$M$7="辉耀红尘",E326+20,E326)),IF($C327="净世破魔击·日",E326-100,E326)))))),100))</f>
        <v>0</v>
      </c>
      <c r="F327" s="115">
        <f ca="1">IF(AND(CU327,OR(C327="赤日轮1",C327="赤日轮2",C327="赤日轮3",C327="烈日斩",C327="净世破魔击·日")),100,MIN(IF(CO327,0,IF(OR($C327="幽月轮1",$C327="幽月轮2",$C327="幽月轮3"),F326+20+IF(模拟模式!$I$7="日月凌天",4,0)+IF(CS326,20,0),IF($C327="银月斩",F326+40+IF(模拟模式!$X$12=1,5,0),IF($C327="驱夜断愁",IF(模拟模式!$R$7="万念俱寂",F326+20,F326+60),IF($C327="净世破魔击·月",IF(模拟模式!$M$7="辉耀红尘",F326-80,F326-100),IF(AND(C327="净世破魔击·日",OR(DB326&gt;0,CV326&gt;0)),100,F326)))))),100))</f>
        <v>100</v>
      </c>
      <c r="G327" s="117">
        <f ca="1">('模拟-全程加成'!$E$3+'模拟-全程加成'!$E$4+'模拟-全程加成'!$E$5+('模拟-全程加成'!$C$6-'模拟-全程加成'!$C$3)*系数!$B$9+BS327*23)*(1+'模拟-全程加成'!$F$4+'模拟-全程加成'!$F$5+BJ327*10%+BM327*20%+BP327*4%+CG327*30%)+$F$7*系数!$B$12</f>
        <v>21493.829400000002</v>
      </c>
      <c r="H327" s="45">
        <f ca="1">'模拟-全程加成'!$H$3+'模拟-全程加成'!$H$4+'模拟-全程加成'!$H$5+('模拟-全程加成'!$G$4+'模拟-全程加成'!$G$5+('模拟-全程加成'!$C$6-'模拟-全程加成'!$C$3)*系数!$B$13)/系数!$B$3+LOOKUP(D327,'模拟-单技能数据'!$A$2:$A$19,'模拟-单技能数据'!$K$2:$K$19)+BG327*10%+IF(BV327&gt;0,378,0)</f>
        <v>0.54185145527300216</v>
      </c>
      <c r="I327" s="45">
        <f ca="1">'模拟-全程加成'!$J$3+'模拟-全程加成'!$J$4+'模拟-全程加成'!$J$5+('模拟-全程加成'!$I$4+'模拟-全程加成'!$I$5)/系数!$B$4+LOOKUP(D327,'模拟-单技能数据'!$A$2:$A$19,'模拟-单技能数据'!$L$2:$L$19)+BG327*10%</f>
        <v>2.162482885499879</v>
      </c>
      <c r="J327" s="45">
        <f ca="1">(('模拟-全程加成'!$K$3+'模拟-全程加成'!$K$4+'模拟-全程加成'!$K$5+('模拟-全程加成'!$C$6-'模拟-全程加成'!$C$3)*系数!$B$10+IF(BV327&gt;0,882,0)+IF(BY327&gt;0,1831,0))*(1+'模拟-全程加成'!$L$4+'模拟-全程加成'!$L$5+CC327*20%))/系数!$B$5</f>
        <v>0.69723220422048726</v>
      </c>
      <c r="K327" s="119">
        <f ca="1">LOOKUP(D327,'模拟-单技能数据'!$A$2:$A$19,'模拟-单技能数据'!$J$2:$J$19)+IF(CM327,60%,0)+IF(DB326-DB327&gt;0,30%,0)+IF(OR(AND(OR(C327="赤日轮1",C327="赤日轮2",C327="赤日轮3"),CR327),AND(OR(C327="幽月轮1",C327="幽月轮2",C327="幽月轮3"),CS327)),35%,0)+CJ327</f>
        <v>1.1500000000000001</v>
      </c>
      <c r="L327" s="119">
        <f ca="1">IF(AND(C327="烈日斩",模拟模式!$X$11=1),10%,0)+IF(AND(C327="驱夜断愁",AB327=1),30%,0)</f>
        <v>0</v>
      </c>
      <c r="M327" s="45">
        <f t="shared" ca="1" si="297"/>
        <v>0.54185145527300216</v>
      </c>
      <c r="N327" s="45">
        <f t="shared" ca="1" si="298"/>
        <v>0.40424854472699789</v>
      </c>
      <c r="O327" s="46">
        <f t="shared" ca="1" si="266"/>
        <v>0.53073780803259596</v>
      </c>
      <c r="P327" s="46" t="str">
        <f t="shared" ca="1" si="267"/>
        <v>会</v>
      </c>
      <c r="Q327" s="45">
        <f t="shared" ca="1" si="268"/>
        <v>2.162482885499879</v>
      </c>
      <c r="R327" s="117">
        <f ca="1">模拟模式!$E$20*(1-IF(模拟模式!$J$19="有",0.15,0))*(1-IF(模拟模式!$K$19="有",0.3,0)-IF(CQ327,0.5,0))</f>
        <v>843.02999999999975</v>
      </c>
      <c r="S327" s="45">
        <f ca="1">R327/(R327+(185*模拟模式!$E$22-16800)*4.08224)</f>
        <v>8.389626085980037E-2</v>
      </c>
      <c r="T327" s="45" t="str">
        <f ca="1">LOOKUP(D327,'模拟-单技能数据'!$A$2:$A$19,'模拟-单技能数据'!$H$2:$H$19)</f>
        <v>阳</v>
      </c>
      <c r="U327" s="119">
        <f t="shared" ca="1" si="299"/>
        <v>0.2</v>
      </c>
      <c r="V327" s="47">
        <f ca="1">(1+L327)*(LOOKUP(D327,'模拟-单技能数据'!$A$2:$A$19,'模拟-单技能数据'!$D$2:$D$19)+G327*LOOKUP(D327,'模拟-单技能数据'!$A$2:$A$19,'模拟-单技能数据'!$F$2:$F$19))*(1+J327)*(1+K327)*(1-S327)*(1+U327)*Q327*LOOKUP(D327,'模拟-单技能数据'!$A$2:$A$19,'模拟-单技能数据'!$I$2:$I$20)</f>
        <v>244284.92118326013</v>
      </c>
      <c r="W327" s="47">
        <f ca="1">LOOKUP(D327,'模拟-单技能数据'!$A$2:$A$19,'模拟-单技能数据'!$G$2:$G$19)*$I$10</f>
        <v>723.0212870940959</v>
      </c>
      <c r="X327" s="47">
        <f t="shared" ca="1" si="269"/>
        <v>21358.864252547995</v>
      </c>
      <c r="Y327" s="47">
        <f t="shared" ca="1" si="300"/>
        <v>266366.80672290223</v>
      </c>
      <c r="Z327" s="49">
        <f t="shared" ca="1" si="301"/>
        <v>31607579.082955226</v>
      </c>
      <c r="AA327" s="97">
        <f t="shared" ca="1" si="302"/>
        <v>114209.86118502253</v>
      </c>
      <c r="AB327" s="115">
        <f ca="1">IF(OR(C327="赤日轮1",C327="赤日轮2",C327="赤日轮3"),IF(RAND()&lt;模拟模式!$Y$17,1,0),IF(OR(C327="幽月轮1",C327="幽月轮2",C327="幽月轮3"),IF(RAND()&lt;模拟模式!$Y$18,1,0),IF(C327="烈日斩",IF(RAND()&lt;模拟模式!$Y$19,1,0),IF(C327="银月斩",IF(RAND()&lt;模拟模式!$Y$20,1,0),IF(C327="驱夜断愁",IF(RAND()&lt;模拟模式!$Y$21,1,0),IF(C327="净世破魔击·日",IF(RAND()&lt;模拟模式!$Y$22,1,0),IF(C327="净世破魔击·月",IF(RAND()&lt;模拟模式!$Y$23,1,0),0)))))))</f>
        <v>1</v>
      </c>
      <c r="AC327" s="115" t="b">
        <f t="shared" ca="1" si="290"/>
        <v>0</v>
      </c>
      <c r="AD327" s="115" t="b">
        <f t="shared" ca="1" si="310"/>
        <v>1</v>
      </c>
      <c r="AE327" s="115">
        <f t="shared" ca="1" si="311"/>
        <v>3</v>
      </c>
      <c r="AF327" s="47">
        <f ca="1">IF(AC327,('模拟-单技能数据'!$D$20+G327*'模拟-单技能数据'!$F$20)*(1+J327)*(1+'模拟-单技能数据'!$J$20)*(1+U327),0)</f>
        <v>0</v>
      </c>
      <c r="AG327" s="61">
        <f t="shared" ca="1" si="303"/>
        <v>0.64185145527300214</v>
      </c>
      <c r="AH327" s="61">
        <f t="shared" ca="1" si="304"/>
        <v>2.2624828854998791</v>
      </c>
      <c r="AI327" s="62">
        <f t="shared" ca="1" si="270"/>
        <v>0.26248967294897507</v>
      </c>
      <c r="AJ327" s="47">
        <f ca="1">IF(AD327,IF(AI327&lt;$F$10,0,IF(AI327&lt;$F$10+$F$11,0.25,IF(AI327&lt;$F$10+$F$11+AG327,AH327,1)))*IF(AF327&gt;0,AF327,IF(AF326&gt;0,AF326,IF(AF325&gt;0,AF325,IF(AF324&gt;0,AF324,IF(AF323&gt;0,AF323,IF(AF322&gt;0,AF322,IF(AF321&gt;0,AF321,IF(AF320&gt;0,AF320,IF(AF319&gt;0,AF319,IF(AF317&gt;0,AF317,IF(AF316&gt;0,AF316,IF(AF315&gt;0,AF315,0)))))))))))),0)*(1-$S327)*'模拟-单技能数据'!$I$20</f>
        <v>9616.6571145767884</v>
      </c>
      <c r="AK327" s="115" t="b">
        <f t="shared" ca="1" si="291"/>
        <v>1</v>
      </c>
      <c r="AL327" s="115" t="b">
        <f t="shared" ca="1" si="312"/>
        <v>1</v>
      </c>
      <c r="AM327" s="115">
        <f t="shared" ca="1" si="313"/>
        <v>5</v>
      </c>
      <c r="AN327" s="47">
        <f ca="1">IF(AK327,('模拟-单技能数据'!$D$21+G327*'模拟-单技能数据'!$F$21)*(1+J327)*(1+'模拟-单技能数据'!$J$21)*(1+U327),0)</f>
        <v>12670.936004857545</v>
      </c>
      <c r="AO327" s="61">
        <f ca="1">IF(AN327&gt;0,M327-'模拟-单技能数据'!$K$10,AO326)</f>
        <v>0.42185145527300216</v>
      </c>
      <c r="AP327" s="61">
        <f ca="1">IF(AN327&gt;0,I327-'模拟-单技能数据'!$L$10,AP326)</f>
        <v>2.162482885499879</v>
      </c>
      <c r="AQ327" s="63">
        <f t="shared" ca="1" si="271"/>
        <v>5.7902396256911404E-3</v>
      </c>
      <c r="AR327" s="64">
        <f ca="1">IF(AL327,IF(AQ327&lt;$F$10,0,IF(AQ327&lt;$F$10+$F$11,0.25,IF(AQ327&lt;$F$10+$F$11+AO327,AP327,1)))*IF(AN327&gt;0,AN327,IF(AN326&gt;0,AN326,IF(AN325&gt;0,AN325,IF(AN324&gt;0,AN324,IF(AN323&gt;0,AN323,IF(AN322&gt;0,AN322,IF(AN321&gt;0,AN321,IF(AN320&gt;0,AN320,IF(AN319&gt;0,AN319,IF(AN317&gt;0,AN317,IF(AN316&gt;0,AN316,IF(AN315&gt;0,AN315,0)))))))))))),0)*(1-$S327)*'模拟-单技能数据'!$I$21</f>
        <v>2901.9729631140449</v>
      </c>
      <c r="AS327" s="61">
        <f ca="1">IF(OR(C327="净世破魔击·日",C327="净世破魔击·月"),M327-'模拟-单技能数据'!$K$10,0)</f>
        <v>0.42185145527300216</v>
      </c>
      <c r="AT327" s="61">
        <f ca="1">IF(OR(C327="净世破魔击·日",C327="净世破魔击·月"),I327-'模拟-单技能数据'!$L$10,0)</f>
        <v>2.162482885499879</v>
      </c>
      <c r="AU327" s="62">
        <f t="shared" ca="1" si="272"/>
        <v>0.97017545577059527</v>
      </c>
      <c r="AV327" s="64">
        <f ca="1">IF(AS327&gt;0,('模拟-单技能数据'!$D$22+G327*'模拟-单技能数据'!$F$22)*(1+J327)*(1-S327)*IF(AU327&lt;$F$10,0,IF(AU327&lt;$F$10+$F$11,0.25,IF(AU327&lt;$F$10+$F$11+AS327,AT327,1)))*(1+U327),0)*'模拟-单技能数据'!$I$22</f>
        <v>8840.2341748571616</v>
      </c>
      <c r="AW327" s="108">
        <f t="shared" ca="1" si="273"/>
        <v>0</v>
      </c>
      <c r="AX327" s="108" t="b">
        <f ca="1">AND(模拟模式!$P$10="有",AW326=0,RAND()&lt;IF(C327="净世破魔击·月",0.1*8/3,IF(C327="净世破魔击·日",0.1*4/3,0.1*2/3)))</f>
        <v>0</v>
      </c>
      <c r="AY327" s="47">
        <f ca="1">IF(AX327,(18+G327*0.722)*(1+J327)*(1-S327)*(1+$I$4)*IF(P327="会",'模拟-全程加成'!$J$3+'模拟-全程加成'!$J$4+'模拟-全程加成'!$J$5+('模拟-全程加成'!$I$4+'模拟-全程加成'!$I$5)/系数!$B$4+BG327*10%,IF(P327="命",1,IF(P327="识",0.25,0))),0)</f>
        <v>0</v>
      </c>
      <c r="AZ327" s="108">
        <f t="shared" si="274"/>
        <v>7.0850000000000071</v>
      </c>
      <c r="BA327" s="108" t="b">
        <f>AND(模拟模式!$Q$10="有",AZ326=0)</f>
        <v>0</v>
      </c>
      <c r="BB327" s="140">
        <f>IF(BA327,(0+G327*0.287)*(1+J327)*(1-S327)*(1+$I$4)*IF(P327="会",'模拟-全程加成'!$J$3+'模拟-全程加成'!$J$4+'模拟-全程加成'!$J$5+('模拟-全程加成'!$I$4+'模拟-全程加成'!$I$5)/系数!$B$4+BG327*10%,IF(P327="命",1,IF(P327="识",0.25,0))),0)</f>
        <v>0</v>
      </c>
      <c r="BC327" s="115" t="b">
        <f ca="1">AND(模拟模式!$R$7="伏明众生",E327=60,F327=20,DA327&lt;5,CZ326&lt;$F$4)</f>
        <v>0</v>
      </c>
      <c r="BD327" s="115">
        <f t="shared" ca="1" si="292"/>
        <v>0</v>
      </c>
      <c r="BE327" s="115" t="b">
        <f t="shared" ca="1" si="293"/>
        <v>0</v>
      </c>
      <c r="BF327" s="47">
        <f ca="1">IF(BC327,4*('模拟-单技能数据'!$D$24+G327*'模拟-单技能数据'!$F$24)*(1+J327)*(1+'模拟-单技能数据'!$J$24)*(1-S327)*(1+$I$3)*(('模拟-全程加成'!$J$3+'模拟-全程加成'!$J$4+'模拟-全程加成'!$J$5+('模拟-全程加成'!$I$4+'模拟-全程加成'!$I$5)/系数!$B$4+BG327*10%)*('模拟-全程加成'!$J$3+'模拟-全程加成'!$J$4+'模拟-全程加成'!$J$5+('模拟-全程加成'!$I$4+'模拟-全程加成'!$I$5)/系数!$B$4+BG327*10%)+(1-('模拟-全程加成'!$J$3+'模拟-全程加成'!$J$4+'模拟-全程加成'!$J$5+('模拟-全程加成'!$I$4+'模拟-全程加成'!$I$5)/系数!$B$4+BG327*10%)-$F$10-$F$11)+F313*0.25),0)*'模拟-单技能数据'!$I$24</f>
        <v>0</v>
      </c>
      <c r="BG327" s="115" t="b">
        <f ca="1">OR(AND(OR(C327="烈日斩",C327="银月斩"),模拟模式!$I$7="净身明礼"),AND(C327="净世破魔击·日",模拟模式!$J$7="洞若观火"),AND(C328="净世破魔击·月",模拟模式!$J$7="洞若观火"),AB327=1)</f>
        <v>1</v>
      </c>
      <c r="BH327" s="115" t="b">
        <f t="shared" ca="1" si="275"/>
        <v>1</v>
      </c>
      <c r="BI327" s="115">
        <f t="shared" ca="1" si="294"/>
        <v>6</v>
      </c>
      <c r="BJ327" s="115" t="b">
        <f t="shared" ca="1" si="305"/>
        <v>1</v>
      </c>
      <c r="BK327" s="115" t="b">
        <f ca="1">AND(C327="驱夜断愁",模拟模式!$P$7="天地诛戮")</f>
        <v>0</v>
      </c>
      <c r="BL327" s="57">
        <f t="shared" ca="1" si="295"/>
        <v>16.310000000000002</v>
      </c>
      <c r="BM327" s="115" t="b">
        <f t="shared" ca="1" si="306"/>
        <v>1</v>
      </c>
      <c r="BN327" s="115" t="b">
        <f ca="1">AND(OR(C327="赤日轮1",C327="赤日轮2",C327="赤日轮3",C327="幽月轮1",C327="幽月轮2",C327="幽月轮3"),AB327=1,模拟模式!$L$7="明光恒照")</f>
        <v>0</v>
      </c>
      <c r="BO327" s="117">
        <f t="shared" ca="1" si="296"/>
        <v>28.155000000000001</v>
      </c>
      <c r="BP327" s="115">
        <f t="shared" ca="1" si="276"/>
        <v>6</v>
      </c>
      <c r="BQ327" s="115" t="b">
        <f>模拟模式!$K$10="2600·水"</f>
        <v>0</v>
      </c>
      <c r="BR327" s="117">
        <f t="shared" si="277"/>
        <v>0</v>
      </c>
      <c r="BS327" s="115">
        <f t="shared" si="278"/>
        <v>0</v>
      </c>
      <c r="BT327" s="115">
        <f t="shared" ca="1" si="279"/>
        <v>0</v>
      </c>
      <c r="BU327" s="115" t="b">
        <f ca="1">AND(模拟模式!$K$10="2300·雷",BT326=0,RAND()&lt;IF(C327="净世破魔击·月",5*0.05*2/3,IF(C327="净世破魔击·日",3*0.05*2/3,0.05*2*2/3)))</f>
        <v>0</v>
      </c>
      <c r="BV327" s="115">
        <f t="shared" ca="1" si="280"/>
        <v>0</v>
      </c>
      <c r="BW327" s="115">
        <f t="shared" ca="1" si="281"/>
        <v>95.129999999999256</v>
      </c>
      <c r="BX327" s="164" t="b">
        <f t="shared" ca="1" si="282"/>
        <v>0</v>
      </c>
      <c r="BY327" s="115">
        <f t="shared" ca="1" si="283"/>
        <v>0</v>
      </c>
      <c r="BZ327" s="115">
        <f>IF(OR(模拟模式!$P$16="10人团",模拟模式!$P$16="25人团"),IF(B327/30&gt;CA326,1,0),0)</f>
        <v>0</v>
      </c>
      <c r="CA327" s="115">
        <f t="shared" si="259"/>
        <v>0</v>
      </c>
      <c r="CB327" s="115">
        <f ca="1">IF(BZ327=1,IF(模拟模式!$P$16="10人团",15,0)+IF(模拟模式!$P$16="25人团",IF(RAND()&lt;0.6,15,0)),MAX(0,CB326-$F$4))</f>
        <v>0</v>
      </c>
      <c r="CC327" s="115" t="b">
        <f t="shared" ca="1" si="307"/>
        <v>0</v>
      </c>
      <c r="CD327" s="115">
        <f>IF(模拟模式!$Q$16="1个",IF(B327/40&gt;CE326,1,0),0)</f>
        <v>0</v>
      </c>
      <c r="CE327" s="115">
        <f t="shared" si="308"/>
        <v>0</v>
      </c>
      <c r="CF327" s="115">
        <f>IF(OR(CD327=1,模拟模式!$Q$16="2个"),20,MAX(0,CF326-$F$4))</f>
        <v>0</v>
      </c>
      <c r="CG327" s="115" t="b">
        <f t="shared" si="309"/>
        <v>0</v>
      </c>
      <c r="CH327" s="115">
        <f t="shared" ca="1" si="284"/>
        <v>27.232500000000002</v>
      </c>
      <c r="CI327" s="115" t="b">
        <f t="shared" ca="1" si="285"/>
        <v>0</v>
      </c>
      <c r="CJ327" s="119">
        <f t="shared" ca="1" si="286"/>
        <v>0.05</v>
      </c>
      <c r="CK327" s="115">
        <f t="shared" ca="1" si="287"/>
        <v>5.232499999999999</v>
      </c>
      <c r="CL327" s="115" t="b">
        <f ca="1">AND(模拟模式!$S$7="驱夷逐法",OR(AND(C327="净世破魔击·月",E326&gt;59),AND(C327="净世破魔击·日",F326&gt;59)))</f>
        <v>0</v>
      </c>
      <c r="CM327" s="115" t="b">
        <f ca="1">OR(CL327,AND(C327="净世破魔击·日",CL326,RAND()&lt;模拟模式!$U$23))</f>
        <v>1</v>
      </c>
      <c r="CN327" s="115" t="b">
        <f ca="1">IF(模拟模式!$M$7="辉耀红尘",AND(C327="净世破魔击·月",CL327,CV327=0,E326&lt;80),AND(C327="净世破魔击·月",CL327,E326&lt;100))</f>
        <v>0</v>
      </c>
      <c r="CO327" s="115" t="b">
        <f t="shared" ca="1" si="260"/>
        <v>0</v>
      </c>
      <c r="CP327" s="115" t="b">
        <f ca="1">AND(模拟模式!$O$7="用晦而明",OR(C327="净世破魔击·日",C327="净世破魔击·月",C327="驱夜断愁"),AB327)</f>
        <v>1</v>
      </c>
      <c r="CQ327" s="115" t="b">
        <f ca="1">OR(CP327,AND(CP326,RAND()&lt;模拟模式!$U$23))</f>
        <v>1</v>
      </c>
      <c r="CR327" s="115" t="b">
        <f ca="1">AND(模拟模式!$S$7="日月齐光",OR(C327="幽月轮1",C327="幽月轮2",C327="幽月轮3",CR326),NOT(OR(C327="赤日轮1",C327="赤日轮2",C327="赤日轮3")))</f>
        <v>0</v>
      </c>
      <c r="CS327" s="115" t="b">
        <f ca="1">AND(模拟模式!$S$7="日月齐光",OR(C327="赤日轮1",C327="赤日轮2",C327="赤日轮3",CS326),NOT(OR(C327="幽月轮1",C327="幽月轮2",C327="幽月轮3")))</f>
        <v>0</v>
      </c>
      <c r="CT327" s="115">
        <f t="shared" ca="1" si="288"/>
        <v>0</v>
      </c>
      <c r="CU327" s="115" t="b">
        <f ca="1">AND(模拟模式!$K$10="阴阳往极",CT326=0,RAND()&lt;IF(C327="净世破魔击·月",0.0275*7/3,IF(C327="净世破魔击·日",0.0275*3/3,0.0275*2/3)))</f>
        <v>0</v>
      </c>
      <c r="CV327" s="115">
        <f t="shared" ca="1" si="289"/>
        <v>0</v>
      </c>
      <c r="CW327" s="115">
        <f t="shared" ca="1" si="261"/>
        <v>3.2324999999999995</v>
      </c>
      <c r="CX327" s="115">
        <f t="shared" ca="1" si="262"/>
        <v>1.3874999999999997</v>
      </c>
      <c r="CY327" s="115">
        <f ca="1">MAX(IF($C327="驱夜断愁",IF(模拟模式!$R$7="万念俱寂",6,45),CY326-$F$4),0)</f>
        <v>2.3099999999999996</v>
      </c>
      <c r="CZ327" s="115">
        <f t="shared" ca="1" si="263"/>
        <v>0</v>
      </c>
      <c r="DA327" s="115">
        <f ca="1">IF(模拟模式!$N$7="日月同辉",IF(DB326=2,0,MIN(6,IF(AND(OR(C327="赤日轮1",C327="赤日轮2",C327="赤日轮3",C327="幽月轮1",C327="幽月轮2",C327="幽月轮3"),AB327=1),DA326+1,DA326))),0)</f>
        <v>0</v>
      </c>
      <c r="DB327" s="115">
        <f t="shared" ca="1" si="264"/>
        <v>0</v>
      </c>
      <c r="DC327" s="115"/>
      <c r="DD327" s="115"/>
      <c r="DE327" s="115"/>
      <c r="DF327" s="115"/>
      <c r="DG327" s="115"/>
      <c r="DH327" s="115"/>
      <c r="DI327" s="115"/>
      <c r="DJ327" s="115"/>
      <c r="DK327" s="115"/>
      <c r="DL327" s="115"/>
      <c r="DM327" s="115"/>
    </row>
    <row r="328" spans="2:117" x14ac:dyDescent="0.2">
      <c r="B328" s="117">
        <f t="shared" si="265"/>
        <v>277.67250000000212</v>
      </c>
      <c r="C328" s="167" t="str">
        <f t="shared" ca="1" si="258"/>
        <v>净世破魔击·月</v>
      </c>
      <c r="D328" s="115">
        <f ca="1">IF(C328="赤日轮1",1,IF(C328="赤日轮2",2,IF(C328="赤日轮3",3,IF(C328="幽月轮1",4,IF(C328="幽月轮2",5,IF(C328="幽月轮3",6,IF(C328="烈日斩",7,IF(C328="银月斩",8,IF(C328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328="净世破魔击·月",17,IF(C328="驱夜断愁",18,0)))))))))))</f>
        <v>17</v>
      </c>
      <c r="E328" s="115">
        <f ca="1">IF(AND(CU328,OR(C328="幽月轮1",C328="幽月轮2",C328="幽月轮3",C328="银月斩",C328="驱夜断愁",C328="净世破魔击·月")),100,MIN(IF(OR(CN328,BE328),0,IF(OR($C328="赤日轮1",$C328="赤日轮2",$C328="赤日轮3"),E327+20+IF(模拟模式!$I$7="日月凌天",4,0)+IF(CR327,20,0),IF($C328="烈日斩",E327+40,IF($C328="驱夜断愁",IF(模拟模式!$R$7="万念俱寂",E327+20,E327+60),IF($C328="净世破魔击·月",IF(OR(DB327&gt;0,CV327&gt;0),100,IF(模拟模式!$M$7="辉耀红尘",E327+20,E327)),IF($C328="净世破魔击·日",E327-100,E327)))))),100))</f>
        <v>20</v>
      </c>
      <c r="F328" s="115">
        <f ca="1">IF(AND(CU328,OR(C328="赤日轮1",C328="赤日轮2",C328="赤日轮3",C328="烈日斩",C328="净世破魔击·日")),100,MIN(IF(CO328,0,IF(OR($C328="幽月轮1",$C328="幽月轮2",$C328="幽月轮3"),F327+20+IF(模拟模式!$I$7="日月凌天",4,0)+IF(CS327,20,0),IF($C328="银月斩",F327+40+IF(模拟模式!$X$12=1,5,0),IF($C328="驱夜断愁",IF(模拟模式!$R$7="万念俱寂",F327+20,F327+60),IF($C328="净世破魔击·月",IF(模拟模式!$M$7="辉耀红尘",F327-80,F327-100),IF(AND(C328="净世破魔击·日",OR(DB327&gt;0,CV327&gt;0)),100,F327)))))),100))</f>
        <v>20</v>
      </c>
      <c r="G328" s="117">
        <f ca="1">('模拟-全程加成'!$E$3+'模拟-全程加成'!$E$4+'模拟-全程加成'!$E$5+('模拟-全程加成'!$C$6-'模拟-全程加成'!$C$3)*系数!$B$9+BS328*23)*(1+'模拟-全程加成'!$F$4+'模拟-全程加成'!$F$5+BJ328*10%+BM328*20%+BP328*4%+CG328*30%)+$F$7*系数!$B$12</f>
        <v>21493.829400000002</v>
      </c>
      <c r="H328" s="45">
        <f ca="1">'模拟-全程加成'!$H$3+'模拟-全程加成'!$H$4+'模拟-全程加成'!$H$5+('模拟-全程加成'!$G$4+'模拟-全程加成'!$G$5+('模拟-全程加成'!$C$6-'模拟-全程加成'!$C$3)*系数!$B$13)/系数!$B$3+LOOKUP(D328,'模拟-单技能数据'!$A$2:$A$19,'模拟-单技能数据'!$K$2:$K$19)+BG328*10%+IF(BV328&gt;0,378,0)</f>
        <v>0.54185145527300216</v>
      </c>
      <c r="I328" s="45">
        <f ca="1">'模拟-全程加成'!$J$3+'模拟-全程加成'!$J$4+'模拟-全程加成'!$J$5+('模拟-全程加成'!$I$4+'模拟-全程加成'!$I$5)/系数!$B$4+LOOKUP(D328,'模拟-单技能数据'!$A$2:$A$19,'模拟-单技能数据'!$L$2:$L$19)+BG328*10%</f>
        <v>2.162482885499879</v>
      </c>
      <c r="J328" s="45">
        <f ca="1">(('模拟-全程加成'!$K$3+'模拟-全程加成'!$K$4+'模拟-全程加成'!$K$5+('模拟-全程加成'!$C$6-'模拟-全程加成'!$C$3)*系数!$B$10+IF(BV328&gt;0,882,0)+IF(BY328&gt;0,1831,0))*(1+'模拟-全程加成'!$L$4+'模拟-全程加成'!$L$5+CC328*20%))/系数!$B$5</f>
        <v>0.69723220422048726</v>
      </c>
      <c r="K328" s="119">
        <f ca="1">LOOKUP(D328,'模拟-单技能数据'!$A$2:$A$19,'模拟-单技能数据'!$J$2:$J$19)+IF(CM328,60%,0)+IF(DB327-DB328&gt;0,30%,0)+IF(OR(AND(OR(C328="赤日轮1",C328="赤日轮2",C328="赤日轮3"),CR328),AND(OR(C328="幽月轮1",C328="幽月轮2",C328="幽月轮3"),CS328)),35%,0)+CJ328</f>
        <v>0.25</v>
      </c>
      <c r="L328" s="119">
        <f ca="1">IF(AND(C328="烈日斩",模拟模式!$X$11=1),10%,0)+IF(AND(C328="驱夜断愁",AB328=1),30%,0)</f>
        <v>0</v>
      </c>
      <c r="M328" s="45">
        <f t="shared" ca="1" si="297"/>
        <v>0.54185145527300216</v>
      </c>
      <c r="N328" s="45">
        <f t="shared" ca="1" si="298"/>
        <v>0.40424854472699789</v>
      </c>
      <c r="O328" s="46">
        <f t="shared" ca="1" si="266"/>
        <v>2.8892267885859635E-2</v>
      </c>
      <c r="P328" s="46" t="str">
        <f t="shared" ca="1" si="267"/>
        <v>识</v>
      </c>
      <c r="Q328" s="45">
        <f t="shared" ca="1" si="268"/>
        <v>0.25</v>
      </c>
      <c r="R328" s="117">
        <f ca="1">模拟模式!$E$20*(1-IF(模拟模式!$J$19="有",0.15,0))*(1-IF(模拟模式!$K$19="有",0.3,0)-IF(CQ328,0.5,0))</f>
        <v>843.02999999999975</v>
      </c>
      <c r="S328" s="45">
        <f ca="1">R328/(R328+(185*模拟模式!$E$22-16800)*4.08224)</f>
        <v>8.389626085980037E-2</v>
      </c>
      <c r="T328" s="45" t="str">
        <f ca="1">LOOKUP(D328,'模拟-单技能数据'!$A$2:$A$19,'模拟-单技能数据'!$H$2:$H$19)</f>
        <v>阴</v>
      </c>
      <c r="U328" s="119">
        <f t="shared" ca="1" si="299"/>
        <v>0.08</v>
      </c>
      <c r="V328" s="47">
        <f ca="1">(1+L328)*(LOOKUP(D328,'模拟-单技能数据'!$A$2:$A$19,'模拟-单技能数据'!$D$2:$D$19)+G328*LOOKUP(D328,'模拟-单技能数据'!$A$2:$A$19,'模拟-单技能数据'!$F$2:$F$19))*(1+J328)*(1+K328)*(1-S328)*(1+U328)*Q328*LOOKUP(D328,'模拟-单技能数据'!$A$2:$A$19,'模拟-单技能数据'!$I$2:$I$20)</f>
        <v>14654.998860129956</v>
      </c>
      <c r="W328" s="47">
        <f ca="1">LOOKUP(D328,'模拟-单技能数据'!$A$2:$A$19,'模拟-单技能数据'!$G$2:$G$19)*$I$10</f>
        <v>361.51064354704795</v>
      </c>
      <c r="X328" s="47">
        <f t="shared" ca="1" si="269"/>
        <v>7956.2107573714466</v>
      </c>
      <c r="Y328" s="47">
        <f t="shared" ca="1" si="300"/>
        <v>22972.720261048449</v>
      </c>
      <c r="Z328" s="49">
        <f t="shared" ca="1" si="301"/>
        <v>31630551.803216275</v>
      </c>
      <c r="AA328" s="97">
        <f t="shared" ca="1" si="302"/>
        <v>113913.15957905818</v>
      </c>
      <c r="AB328" s="115">
        <f ca="1">IF(OR(C328="赤日轮1",C328="赤日轮2",C328="赤日轮3"),IF(RAND()&lt;模拟模式!$Y$17,1,0),IF(OR(C328="幽月轮1",C328="幽月轮2",C328="幽月轮3"),IF(RAND()&lt;模拟模式!$Y$18,1,0),IF(C328="烈日斩",IF(RAND()&lt;模拟模式!$Y$19,1,0),IF(C328="银月斩",IF(RAND()&lt;模拟模式!$Y$20,1,0),IF(C328="驱夜断愁",IF(RAND()&lt;模拟模式!$Y$21,1,0),IF(C328="净世破魔击·日",IF(RAND()&lt;模拟模式!$Y$22,1,0),IF(C328="净世破魔击·月",IF(RAND()&lt;模拟模式!$Y$23,1,0),0)))))))</f>
        <v>1</v>
      </c>
      <c r="AC328" s="115" t="b">
        <f t="shared" ca="1" si="290"/>
        <v>0</v>
      </c>
      <c r="AD328" s="115" t="b">
        <f t="shared" ca="1" si="310"/>
        <v>0</v>
      </c>
      <c r="AE328" s="115">
        <f t="shared" ca="1" si="311"/>
        <v>3</v>
      </c>
      <c r="AF328" s="47">
        <f ca="1">IF(AC328,('模拟-单技能数据'!$D$20+G328*'模拟-单技能数据'!$F$20)*(1+J328)*(1+'模拟-单技能数据'!$J$20)*(1+U328),0)</f>
        <v>0</v>
      </c>
      <c r="AG328" s="61">
        <f t="shared" ca="1" si="303"/>
        <v>0.64185145527300214</v>
      </c>
      <c r="AH328" s="61">
        <f t="shared" ca="1" si="304"/>
        <v>2.2624828854998791</v>
      </c>
      <c r="AI328" s="62">
        <f t="shared" ca="1" si="270"/>
        <v>0.4605339377941392</v>
      </c>
      <c r="AJ328" s="47">
        <f ca="1">IF(AD328,IF(AI328&lt;$F$10,0,IF(AI328&lt;$F$10+$F$11,0.25,IF(AI328&lt;$F$10+$F$11+AG328,AH328,1)))*IF(AF328&gt;0,AF328,IF(AF327&gt;0,AF327,IF(AF326&gt;0,AF326,IF(AF325&gt;0,AF325,IF(AF324&gt;0,AF324,IF(AF323&gt;0,AF323,IF(AF322&gt;0,AF322,IF(AF321&gt;0,AF321,IF(AF320&gt;0,AF320,IF(AF318&gt;0,AF318,IF(AF317&gt;0,AF317,IF(AF316&gt;0,AF316,0)))))))))))),0)*(1-$S328)*'模拟-单技能数据'!$I$20</f>
        <v>0</v>
      </c>
      <c r="AK328" s="115" t="b">
        <f t="shared" ca="1" si="291"/>
        <v>0</v>
      </c>
      <c r="AL328" s="115" t="b">
        <f t="shared" ca="1" si="312"/>
        <v>0</v>
      </c>
      <c r="AM328" s="115">
        <f t="shared" ca="1" si="313"/>
        <v>5</v>
      </c>
      <c r="AN328" s="47">
        <f ca="1">IF(AK328,('模拟-单技能数据'!$D$21+G328*'模拟-单技能数据'!$F$21)*(1+J328)*(1+'模拟-单技能数据'!$J$21)*(1+U328),0)</f>
        <v>0</v>
      </c>
      <c r="AO328" s="61">
        <f ca="1">IF(AN328&gt;0,M328-'模拟-单技能数据'!$K$10,AO327)</f>
        <v>0.42185145527300216</v>
      </c>
      <c r="AP328" s="61">
        <f ca="1">IF(AN328&gt;0,I328-'模拟-单技能数据'!$L$10,AP327)</f>
        <v>2.162482885499879</v>
      </c>
      <c r="AQ328" s="63">
        <f t="shared" ca="1" si="271"/>
        <v>0.91299742246737281</v>
      </c>
      <c r="AR328" s="64">
        <f ca="1">IF(AL328,IF(AQ328&lt;$F$10,0,IF(AQ328&lt;$F$10+$F$11,0.25,IF(AQ328&lt;$F$10+$F$11+AO328,AP328,1)))*IF(AN328&gt;0,AN328,IF(AN327&gt;0,AN327,IF(AN326&gt;0,AN326,IF(AN325&gt;0,AN325,IF(AN324&gt;0,AN324,IF(AN323&gt;0,AN323,IF(AN322&gt;0,AN322,IF(AN321&gt;0,AN321,IF(AN320&gt;0,AN320,IF(AN318&gt;0,AN318,IF(AN317&gt;0,AN317,IF(AN316&gt;0,AN316,0)))))))))))),0)*(1-$S328)*'模拟-单技能数据'!$I$21</f>
        <v>0</v>
      </c>
      <c r="AS328" s="61">
        <f ca="1">IF(OR(C328="净世破魔击·日",C328="净世破魔击·月"),M328-'模拟-单技能数据'!$K$10,0)</f>
        <v>0.42185145527300216</v>
      </c>
      <c r="AT328" s="61">
        <f ca="1">IF(OR(C328="净世破魔击·日",C328="净世破魔击·月"),I328-'模拟-单技能数据'!$L$10,0)</f>
        <v>2.162482885499879</v>
      </c>
      <c r="AU328" s="62">
        <f t="shared" ca="1" si="272"/>
        <v>0.81009965835888798</v>
      </c>
      <c r="AV328" s="64">
        <f ca="1">IF(AS328&gt;0,('模拟-单技能数据'!$D$22+G328*'模拟-单技能数据'!$F$22)*(1+J328)*(1-S328)*IF(AU328&lt;$F$10,0,IF(AU328&lt;$F$10+$F$11,0.25,IF(AU328&lt;$F$10+$F$11+AS328,AT328,1)))*(1+U328),0)*'模拟-单技能数据'!$I$22</f>
        <v>7956.2107573714466</v>
      </c>
      <c r="AW328" s="108">
        <f t="shared" ca="1" si="273"/>
        <v>0</v>
      </c>
      <c r="AX328" s="108" t="b">
        <f ca="1">AND(模拟模式!$P$10="有",AW327=0,RAND()&lt;IF(C328="净世破魔击·月",0.1*8/3,IF(C328="净世破魔击·日",0.1*4/3,0.1*2/3)))</f>
        <v>0</v>
      </c>
      <c r="AY328" s="47">
        <f ca="1">IF(AX328,(18+G328*0.722)*(1+J328)*(1-S328)*(1+$I$4)*IF(P328="会",'模拟-全程加成'!$J$3+'模拟-全程加成'!$J$4+'模拟-全程加成'!$J$5+('模拟-全程加成'!$I$4+'模拟-全程加成'!$I$5)/系数!$B$4+BG328*10%,IF(P328="命",1,IF(P328="识",0.25,0))),0)</f>
        <v>0</v>
      </c>
      <c r="AZ328" s="108">
        <f t="shared" si="274"/>
        <v>6.1625000000000068</v>
      </c>
      <c r="BA328" s="108" t="b">
        <f>AND(模拟模式!$Q$10="有",AZ327=0)</f>
        <v>0</v>
      </c>
      <c r="BB328" s="140">
        <f>IF(BA328,(0+G328*0.287)*(1+J328)*(1-S328)*(1+$I$4)*IF(P328="会",'模拟-全程加成'!$J$3+'模拟-全程加成'!$J$4+'模拟-全程加成'!$J$5+('模拟-全程加成'!$I$4+'模拟-全程加成'!$I$5)/系数!$B$4+BG328*10%,IF(P328="命",1,IF(P328="识",0.25,0))),0)</f>
        <v>0</v>
      </c>
      <c r="BC328" s="115" t="b">
        <f ca="1">AND(模拟模式!$R$7="伏明众生",E328=60,F328=20,DA328&lt;5,CZ327&lt;$F$4)</f>
        <v>0</v>
      </c>
      <c r="BD328" s="115">
        <f t="shared" ca="1" si="292"/>
        <v>0</v>
      </c>
      <c r="BE328" s="115" t="b">
        <f t="shared" ca="1" si="293"/>
        <v>0</v>
      </c>
      <c r="BF328" s="47">
        <f ca="1">IF(BC328,4*('模拟-单技能数据'!$D$24+G328*'模拟-单技能数据'!$F$24)*(1+J328)*(1+'模拟-单技能数据'!$J$24)*(1-S328)*(1+$I$3)*(('模拟-全程加成'!$J$3+'模拟-全程加成'!$J$4+'模拟-全程加成'!$J$5+('模拟-全程加成'!$I$4+'模拟-全程加成'!$I$5)/系数!$B$4+BG328*10%)*('模拟-全程加成'!$J$3+'模拟-全程加成'!$J$4+'模拟-全程加成'!$J$5+('模拟-全程加成'!$I$4+'模拟-全程加成'!$I$5)/系数!$B$4+BG328*10%)+(1-('模拟-全程加成'!$J$3+'模拟-全程加成'!$J$4+'模拟-全程加成'!$J$5+('模拟-全程加成'!$I$4+'模拟-全程加成'!$I$5)/系数!$B$4+BG328*10%)-$F$10-$F$11)+F314*0.25),0)*'模拟-单技能数据'!$I$24</f>
        <v>0</v>
      </c>
      <c r="BG328" s="115" t="b">
        <f ca="1">OR(AND(OR(C328="烈日斩",C328="银月斩"),模拟模式!$I$7="净身明礼"),AND(C328="净世破魔击·日",模拟模式!$J$7="洞若观火"),AND(C329="净世破魔击·月",模拟模式!$J$7="洞若观火"),AB328=1)</f>
        <v>1</v>
      </c>
      <c r="BH328" s="115" t="b">
        <f t="shared" ca="1" si="275"/>
        <v>0</v>
      </c>
      <c r="BI328" s="115">
        <f t="shared" ca="1" si="294"/>
        <v>5.0774999999999997</v>
      </c>
      <c r="BJ328" s="115" t="b">
        <f t="shared" ca="1" si="305"/>
        <v>1</v>
      </c>
      <c r="BK328" s="115" t="b">
        <f ca="1">AND(C328="驱夜断愁",模拟模式!$P$7="天地诛戮")</f>
        <v>0</v>
      </c>
      <c r="BL328" s="57">
        <f t="shared" ca="1" si="295"/>
        <v>15.387500000000003</v>
      </c>
      <c r="BM328" s="115" t="b">
        <f t="shared" ca="1" si="306"/>
        <v>1</v>
      </c>
      <c r="BN328" s="115" t="b">
        <f ca="1">AND(OR(C328="赤日轮1",C328="赤日轮2",C328="赤日轮3",C328="幽月轮1",C328="幽月轮2",C328="幽月轮3"),AB328=1,模拟模式!$L$7="明光恒照")</f>
        <v>0</v>
      </c>
      <c r="BO328" s="117">
        <f t="shared" ca="1" si="296"/>
        <v>27.232500000000002</v>
      </c>
      <c r="BP328" s="115">
        <f t="shared" ca="1" si="276"/>
        <v>6</v>
      </c>
      <c r="BQ328" s="115" t="b">
        <f>模拟模式!$K$10="2600·水"</f>
        <v>0</v>
      </c>
      <c r="BR328" s="117">
        <f t="shared" si="277"/>
        <v>0</v>
      </c>
      <c r="BS328" s="115">
        <f t="shared" si="278"/>
        <v>0</v>
      </c>
      <c r="BT328" s="115">
        <f t="shared" ca="1" si="279"/>
        <v>0</v>
      </c>
      <c r="BU328" s="115" t="b">
        <f ca="1">AND(模拟模式!$K$10="2300·雷",BT327=0,RAND()&lt;IF(C328="净世破魔击·月",5*0.05*2/3,IF(C328="净世破魔击·日",3*0.05*2/3,0.05*2*2/3)))</f>
        <v>0</v>
      </c>
      <c r="BV328" s="115">
        <f t="shared" ca="1" si="280"/>
        <v>0</v>
      </c>
      <c r="BW328" s="115">
        <f t="shared" ca="1" si="281"/>
        <v>94.207499999999257</v>
      </c>
      <c r="BX328" s="164" t="b">
        <f t="shared" ca="1" si="282"/>
        <v>0</v>
      </c>
      <c r="BY328" s="115">
        <f t="shared" ca="1" si="283"/>
        <v>0</v>
      </c>
      <c r="BZ328" s="115">
        <f>IF(OR(模拟模式!$P$16="10人团",模拟模式!$P$16="25人团"),IF(B328/30&gt;CA327,1,0),0)</f>
        <v>0</v>
      </c>
      <c r="CA328" s="115">
        <f t="shared" si="259"/>
        <v>0</v>
      </c>
      <c r="CB328" s="115">
        <f ca="1">IF(BZ328=1,IF(模拟模式!$P$16="10人团",15,0)+IF(模拟模式!$P$16="25人团",IF(RAND()&lt;0.6,15,0)),MAX(0,CB327-$F$4))</f>
        <v>0</v>
      </c>
      <c r="CC328" s="115" t="b">
        <f t="shared" ca="1" si="307"/>
        <v>0</v>
      </c>
      <c r="CD328" s="115">
        <f>IF(模拟模式!$Q$16="1个",IF(B328/40&gt;CE327,1,0),0)</f>
        <v>0</v>
      </c>
      <c r="CE328" s="115">
        <f t="shared" si="308"/>
        <v>0</v>
      </c>
      <c r="CF328" s="115">
        <f>IF(OR(CD328=1,模拟模式!$Q$16="2个"),20,MAX(0,CF327-$F$4))</f>
        <v>0</v>
      </c>
      <c r="CG328" s="115" t="b">
        <f t="shared" si="309"/>
        <v>0</v>
      </c>
      <c r="CH328" s="115">
        <f t="shared" ca="1" si="284"/>
        <v>26.310000000000002</v>
      </c>
      <c r="CI328" s="115" t="b">
        <f t="shared" ca="1" si="285"/>
        <v>0</v>
      </c>
      <c r="CJ328" s="119">
        <f t="shared" ca="1" si="286"/>
        <v>0.05</v>
      </c>
      <c r="CK328" s="115">
        <f t="shared" ca="1" si="287"/>
        <v>4.3099999999999987</v>
      </c>
      <c r="CL328" s="115" t="b">
        <f ca="1">AND(模拟模式!$S$7="驱夷逐法",OR(AND(C328="净世破魔击·月",E327&gt;59),AND(C328="净世破魔击·日",F327&gt;59)))</f>
        <v>0</v>
      </c>
      <c r="CM328" s="115" t="b">
        <f ca="1">OR(CL328,AND(C328="净世破魔击·日",CL327,RAND()&lt;模拟模式!$U$23))</f>
        <v>0</v>
      </c>
      <c r="CN328" s="115" t="b">
        <f ca="1">IF(模拟模式!$M$7="辉耀红尘",AND(C328="净世破魔击·月",CL328,CV328=0,E327&lt;80),AND(C328="净世破魔击·月",CL328,E327&lt;100))</f>
        <v>0</v>
      </c>
      <c r="CO328" s="115" t="b">
        <f t="shared" ca="1" si="260"/>
        <v>0</v>
      </c>
      <c r="CP328" s="115" t="b">
        <f ca="1">AND(模拟模式!$O$7="用晦而明",OR(C328="净世破魔击·日",C328="净世破魔击·月",C328="驱夜断愁"),AB328)</f>
        <v>1</v>
      </c>
      <c r="CQ328" s="115" t="b">
        <f ca="1">OR(CP328,AND(CP327,RAND()&lt;模拟模式!$U$23))</f>
        <v>1</v>
      </c>
      <c r="CR328" s="115" t="b">
        <f ca="1">AND(模拟模式!$S$7="日月齐光",OR(C328="幽月轮1",C328="幽月轮2",C328="幽月轮3",CR327),NOT(OR(C328="赤日轮1",C328="赤日轮2",C328="赤日轮3")))</f>
        <v>0</v>
      </c>
      <c r="CS328" s="115" t="b">
        <f ca="1">AND(模拟模式!$S$7="日月齐光",OR(C328="赤日轮1",C328="赤日轮2",C328="赤日轮3",CS327),NOT(OR(C328="幽月轮1",C328="幽月轮2",C328="幽月轮3")))</f>
        <v>0</v>
      </c>
      <c r="CT328" s="115">
        <f t="shared" ca="1" si="288"/>
        <v>0</v>
      </c>
      <c r="CU328" s="115" t="b">
        <f ca="1">AND(模拟模式!$K$10="阴阳往极",CT327=0,RAND()&lt;IF(C328="净世破魔击·月",0.0275*7/3,IF(C328="净世破魔击·日",0.0275*3/3,0.0275*2/3)))</f>
        <v>0</v>
      </c>
      <c r="CV328" s="115">
        <f t="shared" ca="1" si="289"/>
        <v>0</v>
      </c>
      <c r="CW328" s="115">
        <f t="shared" ca="1" si="261"/>
        <v>2.3099999999999996</v>
      </c>
      <c r="CX328" s="115">
        <f t="shared" ca="1" si="262"/>
        <v>0.46499999999999975</v>
      </c>
      <c r="CY328" s="115">
        <f ca="1">MAX(IF($C328="驱夜断愁",IF(模拟模式!$R$7="万念俱寂",6,45),CY327-$F$4),0)</f>
        <v>1.3874999999999997</v>
      </c>
      <c r="CZ328" s="115">
        <f t="shared" ca="1" si="263"/>
        <v>0</v>
      </c>
      <c r="DA328" s="115">
        <f ca="1">IF(模拟模式!$N$7="日月同辉",IF(DB327=2,0,MIN(6,IF(AND(OR(C328="赤日轮1",C328="赤日轮2",C328="赤日轮3",C328="幽月轮1",C328="幽月轮2",C328="幽月轮3"),AB328=1),DA327+1,DA327))),0)</f>
        <v>0</v>
      </c>
      <c r="DB328" s="115">
        <f t="shared" ca="1" si="264"/>
        <v>0</v>
      </c>
      <c r="DC328" s="115"/>
      <c r="DD328" s="115"/>
      <c r="DE328" s="115"/>
      <c r="DF328" s="115"/>
      <c r="DG328" s="115"/>
      <c r="DH328" s="115"/>
      <c r="DI328" s="115"/>
      <c r="DJ328" s="115"/>
      <c r="DK328" s="115"/>
      <c r="DL328" s="115"/>
      <c r="DM328" s="115"/>
    </row>
    <row r="329" spans="2:117" x14ac:dyDescent="0.2">
      <c r="B329" s="117">
        <f t="shared" si="265"/>
        <v>278.59500000000213</v>
      </c>
      <c r="C329" s="167" t="str">
        <f t="shared" ca="1" si="258"/>
        <v>银月斩</v>
      </c>
      <c r="D329" s="115">
        <f ca="1">IF(C329="赤日轮1",1,IF(C329="赤日轮2",2,IF(C329="赤日轮3",3,IF(C329="幽月轮1",4,IF(C329="幽月轮2",5,IF(C329="幽月轮3",6,IF(C329="烈日斩",7,IF(C329="银月斩",8,IF(C329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329="净世破魔击·月",17,IF(C329="驱夜断愁",18,0)))))))))))</f>
        <v>8</v>
      </c>
      <c r="E329" s="115">
        <f ca="1">IF(AND(CU329,OR(C329="幽月轮1",C329="幽月轮2",C329="幽月轮3",C329="银月斩",C329="驱夜断愁",C329="净世破魔击·月")),100,MIN(IF(OR(CN329,BE329),0,IF(OR($C329="赤日轮1",$C329="赤日轮2",$C329="赤日轮3"),E328+20+IF(模拟模式!$I$7="日月凌天",4,0)+IF(CR328,20,0),IF($C329="烈日斩",E328+40,IF($C329="驱夜断愁",IF(模拟模式!$R$7="万念俱寂",E328+20,E328+60),IF($C329="净世破魔击·月",IF(OR(DB328&gt;0,CV328&gt;0),100,IF(模拟模式!$M$7="辉耀红尘",E328+20,E328)),IF($C329="净世破魔击·日",E328-100,E328)))))),100))</f>
        <v>20</v>
      </c>
      <c r="F329" s="115">
        <f ca="1">IF(AND(CU329,OR(C329="赤日轮1",C329="赤日轮2",C329="赤日轮3",C329="烈日斩",C329="净世破魔击·日")),100,MIN(IF(CO329,0,IF(OR($C329="幽月轮1",$C329="幽月轮2",$C329="幽月轮3"),F328+20+IF(模拟模式!$I$7="日月凌天",4,0)+IF(CS328,20,0),IF($C329="银月斩",F328+40+IF(模拟模式!$X$12=1,5,0),IF($C329="驱夜断愁",IF(模拟模式!$R$7="万念俱寂",F328+20,F328+60),IF($C329="净世破魔击·月",IF(模拟模式!$M$7="辉耀红尘",F328-80,F328-100),IF(AND(C329="净世破魔击·日",OR(DB328&gt;0,CV328&gt;0)),100,F328)))))),100))</f>
        <v>65</v>
      </c>
      <c r="G329" s="117">
        <f ca="1">('模拟-全程加成'!$E$3+'模拟-全程加成'!$E$4+'模拟-全程加成'!$E$5+('模拟-全程加成'!$C$6-'模拟-全程加成'!$C$3)*系数!$B$9+BS329*23)*(1+'模拟-全程加成'!$F$4+'模拟-全程加成'!$F$5+BJ329*10%+BM329*20%+BP329*4%+CG329*30%)+$F$7*系数!$B$12</f>
        <v>21493.829400000002</v>
      </c>
      <c r="H329" s="45">
        <f ca="1">'模拟-全程加成'!$H$3+'模拟-全程加成'!$H$4+'模拟-全程加成'!$H$5+('模拟-全程加成'!$G$4+'模拟-全程加成'!$G$5+('模拟-全程加成'!$C$6-'模拟-全程加成'!$C$3)*系数!$B$13)/系数!$B$3+LOOKUP(D329,'模拟-单技能数据'!$A$2:$A$19,'模拟-单技能数据'!$K$2:$K$19)+BG329*10%+IF(BV329&gt;0,378,0)</f>
        <v>0.64185145527300214</v>
      </c>
      <c r="I329" s="45">
        <f ca="1">'模拟-全程加成'!$J$3+'模拟-全程加成'!$J$4+'模拟-全程加成'!$J$5+('模拟-全程加成'!$I$4+'模拟-全程加成'!$I$5)/系数!$B$4+LOOKUP(D329,'模拟-单技能数据'!$A$2:$A$19,'模拟-单技能数据'!$L$2:$L$19)+BG329*10%</f>
        <v>2.2624828854998791</v>
      </c>
      <c r="J329" s="45">
        <f ca="1">(('模拟-全程加成'!$K$3+'模拟-全程加成'!$K$4+'模拟-全程加成'!$K$5+('模拟-全程加成'!$C$6-'模拟-全程加成'!$C$3)*系数!$B$10+IF(BV329&gt;0,882,0)+IF(BY329&gt;0,1831,0))*(1+'模拟-全程加成'!$L$4+'模拟-全程加成'!$L$5+CC329*20%))/系数!$B$5</f>
        <v>0.69723220422048726</v>
      </c>
      <c r="K329" s="119">
        <f ca="1">LOOKUP(D329,'模拟-单技能数据'!$A$2:$A$19,'模拟-单技能数据'!$J$2:$J$19)+IF(CM329,60%,0)+IF(DB328-DB329&gt;0,30%,0)+IF(OR(AND(OR(C329="赤日轮1",C329="赤日轮2",C329="赤日轮3"),CR329),AND(OR(C329="幽月轮1",C329="幽月轮2",C329="幽月轮3"),CS329)),35%,0)+CJ329</f>
        <v>0.2</v>
      </c>
      <c r="L329" s="119">
        <f ca="1">IF(AND(C329="烈日斩",模拟模式!$X$11=1),10%,0)+IF(AND(C329="驱夜断愁",AB329=1),30%,0)</f>
        <v>0</v>
      </c>
      <c r="M329" s="45">
        <f t="shared" ca="1" si="297"/>
        <v>0.64185145527300214</v>
      </c>
      <c r="N329" s="45">
        <f t="shared" ca="1" si="298"/>
        <v>0.30424854472699792</v>
      </c>
      <c r="O329" s="46">
        <f t="shared" ca="1" si="266"/>
        <v>0.71658314436846393</v>
      </c>
      <c r="P329" s="46" t="str">
        <f t="shared" ca="1" si="267"/>
        <v>命</v>
      </c>
      <c r="Q329" s="45">
        <f t="shared" ca="1" si="268"/>
        <v>1</v>
      </c>
      <c r="R329" s="117">
        <f ca="1">模拟模式!$E$20*(1-IF(模拟模式!$J$19="有",0.15,0))*(1-IF(模拟模式!$K$19="有",0.3,0)-IF(CQ329,0.5,0))</f>
        <v>843.02999999999975</v>
      </c>
      <c r="S329" s="45">
        <f ca="1">R329/(R329+(185*模拟模式!$E$22-16800)*4.08224)</f>
        <v>8.389626085980037E-2</v>
      </c>
      <c r="T329" s="45" t="str">
        <f ca="1">LOOKUP(D329,'模拟-单技能数据'!$A$2:$A$19,'模拟-单技能数据'!$H$2:$H$19)</f>
        <v>阴</v>
      </c>
      <c r="U329" s="119">
        <f t="shared" ca="1" si="299"/>
        <v>0.08</v>
      </c>
      <c r="V329" s="47">
        <f ca="1">(1+L329)*(LOOKUP(D329,'模拟-单技能数据'!$A$2:$A$19,'模拟-单技能数据'!$D$2:$D$19)+G329*LOOKUP(D329,'模拟-单技能数据'!$A$2:$A$19,'模拟-单技能数据'!$F$2:$F$19))*(1+J329)*(1+K329)*(1-S329)*(1+U329)*Q329*LOOKUP(D329,'模拟-单技能数据'!$A$2:$A$19,'模拟-单技能数据'!$I$2:$I$20)</f>
        <v>22993.811102055657</v>
      </c>
      <c r="W329" s="47">
        <f ca="1">LOOKUP(D329,'模拟-单技能数据'!$A$2:$A$19,'模拟-单技能数据'!$G$2:$G$19)*$I$10</f>
        <v>361.51064354704795</v>
      </c>
      <c r="X329" s="47">
        <f t="shared" ca="1" si="269"/>
        <v>34718.524582246762</v>
      </c>
      <c r="Y329" s="47">
        <f t="shared" ca="1" si="300"/>
        <v>58073.846327849467</v>
      </c>
      <c r="Z329" s="49">
        <f t="shared" ca="1" si="301"/>
        <v>31688625.649544124</v>
      </c>
      <c r="AA329" s="97">
        <f t="shared" ca="1" si="302"/>
        <v>113744.41626570428</v>
      </c>
      <c r="AB329" s="115">
        <f ca="1">IF(OR(C329="赤日轮1",C329="赤日轮2",C329="赤日轮3"),IF(RAND()&lt;模拟模式!$Y$17,1,0),IF(OR(C329="幽月轮1",C329="幽月轮2",C329="幽月轮3"),IF(RAND()&lt;模拟模式!$Y$18,1,0),IF(C329="烈日斩",IF(RAND()&lt;模拟模式!$Y$19,1,0),IF(C329="银月斩",IF(RAND()&lt;模拟模式!$Y$20,1,0),IF(C329="驱夜断愁",IF(RAND()&lt;模拟模式!$Y$21,1,0),IF(C329="净世破魔击·日",IF(RAND()&lt;模拟模式!$Y$22,1,0),IF(C329="净世破魔击·月",IF(RAND()&lt;模拟模式!$Y$23,1,0),0)))))))</f>
        <v>1</v>
      </c>
      <c r="AC329" s="115" t="b">
        <f t="shared" ca="1" si="290"/>
        <v>1</v>
      </c>
      <c r="AD329" s="115" t="b">
        <f t="shared" ca="1" si="310"/>
        <v>1</v>
      </c>
      <c r="AE329" s="115">
        <f t="shared" ca="1" si="311"/>
        <v>5</v>
      </c>
      <c r="AF329" s="47">
        <f ca="1">IF(AC329,('模拟-单技能数据'!$D$20+G329*'模拟-单技能数据'!$F$20)*(1+J329)*(1+'模拟-单技能数据'!$J$20)*(1+U329),0)</f>
        <v>4639.7456468263617</v>
      </c>
      <c r="AG329" s="61">
        <f t="shared" ca="1" si="303"/>
        <v>0.64185145527300214</v>
      </c>
      <c r="AH329" s="61">
        <f t="shared" ca="1" si="304"/>
        <v>2.2624828854998791</v>
      </c>
      <c r="AI329" s="62">
        <f t="shared" ca="1" si="270"/>
        <v>0.51876328101491442</v>
      </c>
      <c r="AJ329" s="47">
        <f ca="1">IF(AD329,IF(AI329&lt;$F$10,0,IF(AI329&lt;$F$10+$F$11,0.25,IF(AI329&lt;$F$10+$F$11+AG329,AH329,1)))*IF(AF329&gt;0,AF329,IF(AF328&gt;0,AF328,IF(AF327&gt;0,AF327,IF(AF326&gt;0,AF326,IF(AF325&gt;0,AF325,IF(AF324&gt;0,AF324,IF(AF323&gt;0,AF323,IF(AF322&gt;0,AF322,IF(AF321&gt;0,AF321,IF(AF319&gt;0,AF319,IF(AF318&gt;0,AF318,IF(AF317&gt;0,AF317,0)))))))))))),0)*(1-$S329)*'模拟-单技能数据'!$I$20</f>
        <v>9616.6571145767884</v>
      </c>
      <c r="AK329" s="115" t="b">
        <f t="shared" ca="1" si="291"/>
        <v>0</v>
      </c>
      <c r="AL329" s="115" t="b">
        <f t="shared" ca="1" si="312"/>
        <v>1</v>
      </c>
      <c r="AM329" s="115">
        <f t="shared" ca="1" si="313"/>
        <v>4</v>
      </c>
      <c r="AN329" s="47">
        <f ca="1">IF(AK329,('模拟-单技能数据'!$D$21+G329*'模拟-单技能数据'!$F$21)*(1+J329)*(1+'模拟-单技能数据'!$J$21)*(1+U329),0)</f>
        <v>0</v>
      </c>
      <c r="AO329" s="61">
        <f ca="1">IF(AN329&gt;0,M329-'模拟-单技能数据'!$K$10,AO328)</f>
        <v>0.42185145527300216</v>
      </c>
      <c r="AP329" s="61">
        <f ca="1">IF(AN329&gt;0,I329-'模拟-单技能数据'!$L$10,AP328)</f>
        <v>2.162482885499879</v>
      </c>
      <c r="AQ329" s="63">
        <f t="shared" ca="1" si="271"/>
        <v>0.28989053453253055</v>
      </c>
      <c r="AR329" s="64">
        <f ca="1">IF(AL329,IF(AQ329&lt;$F$10,0,IF(AQ329&lt;$F$10+$F$11,0.25,IF(AQ329&lt;$F$10+$F$11+AO329,AP329,1)))*IF(AN329&gt;0,AN329,IF(AN328&gt;0,AN328,IF(AN327&gt;0,AN327,IF(AN326&gt;0,AN326,IF(AN325&gt;0,AN325,IF(AN324&gt;0,AN324,IF(AN323&gt;0,AN323,IF(AN322&gt;0,AN322,IF(AN321&gt;0,AN321,IF(AN319&gt;0,AN319,IF(AN318&gt;0,AN318,IF(AN317&gt;0,AN317,0)))))))))))),0)*(1-$S329)*'模拟-单技能数据'!$I$21</f>
        <v>25101.867467669974</v>
      </c>
      <c r="AS329" s="61">
        <f ca="1">IF(OR(C329="净世破魔击·日",C329="净世破魔击·月"),M329-'模拟-单技能数据'!$K$10,0)</f>
        <v>0</v>
      </c>
      <c r="AT329" s="61">
        <f ca="1">IF(OR(C329="净世破魔击·日",C329="净世破魔击·月"),I329-'模拟-单技能数据'!$L$10,0)</f>
        <v>0</v>
      </c>
      <c r="AU329" s="62">
        <f t="shared" ca="1" si="272"/>
        <v>8.4160608421128047E-2</v>
      </c>
      <c r="AV329" s="64">
        <f ca="1">IF(AS329&gt;0,('模拟-单技能数据'!$D$22+G329*'模拟-单技能数据'!$F$22)*(1+J329)*(1-S329)*IF(AU329&lt;$F$10,0,IF(AU329&lt;$F$10+$F$11,0.25,IF(AU329&lt;$F$10+$F$11+AS329,AT329,1)))*(1+U329),0)*'模拟-单技能数据'!$I$22</f>
        <v>0</v>
      </c>
      <c r="AW329" s="108">
        <f t="shared" ca="1" si="273"/>
        <v>0</v>
      </c>
      <c r="AX329" s="108" t="b">
        <f ca="1">AND(模拟模式!$P$10="有",AW328=0,RAND()&lt;IF(C329="净世破魔击·月",0.1*8/3,IF(C329="净世破魔击·日",0.1*4/3,0.1*2/3)))</f>
        <v>0</v>
      </c>
      <c r="AY329" s="47">
        <f ca="1">IF(AX329,(18+G329*0.722)*(1+J329)*(1-S329)*(1+$I$4)*IF(P329="会",'模拟-全程加成'!$J$3+'模拟-全程加成'!$J$4+'模拟-全程加成'!$J$5+('模拟-全程加成'!$I$4+'模拟-全程加成'!$I$5)/系数!$B$4+BG329*10%,IF(P329="命",1,IF(P329="识",0.25,0))),0)</f>
        <v>0</v>
      </c>
      <c r="AZ329" s="108">
        <f t="shared" si="274"/>
        <v>5.2400000000000064</v>
      </c>
      <c r="BA329" s="108" t="b">
        <f>AND(模拟模式!$Q$10="有",AZ328=0)</f>
        <v>0</v>
      </c>
      <c r="BB329" s="140">
        <f>IF(BA329,(0+G329*0.287)*(1+J329)*(1-S329)*(1+$I$4)*IF(P329="会",'模拟-全程加成'!$J$3+'模拟-全程加成'!$J$4+'模拟-全程加成'!$J$5+('模拟-全程加成'!$I$4+'模拟-全程加成'!$I$5)/系数!$B$4+BG329*10%,IF(P329="命",1,IF(P329="识",0.25,0))),0)</f>
        <v>0</v>
      </c>
      <c r="BC329" s="115" t="b">
        <f ca="1">AND(模拟模式!$R$7="伏明众生",E329=60,F329=20,DA329&lt;5,CZ328&lt;$F$4)</f>
        <v>0</v>
      </c>
      <c r="BD329" s="115">
        <f t="shared" ca="1" si="292"/>
        <v>0</v>
      </c>
      <c r="BE329" s="115" t="b">
        <f t="shared" ca="1" si="293"/>
        <v>0</v>
      </c>
      <c r="BF329" s="47">
        <f ca="1">IF(BC329,4*('模拟-单技能数据'!$D$24+G329*'模拟-单技能数据'!$F$24)*(1+J329)*(1+'模拟-单技能数据'!$J$24)*(1-S329)*(1+$I$3)*(('模拟-全程加成'!$J$3+'模拟-全程加成'!$J$4+'模拟-全程加成'!$J$5+('模拟-全程加成'!$I$4+'模拟-全程加成'!$I$5)/系数!$B$4+BG329*10%)*('模拟-全程加成'!$J$3+'模拟-全程加成'!$J$4+'模拟-全程加成'!$J$5+('模拟-全程加成'!$I$4+'模拟-全程加成'!$I$5)/系数!$B$4+BG329*10%)+(1-('模拟-全程加成'!$J$3+'模拟-全程加成'!$J$4+'模拟-全程加成'!$J$5+('模拟-全程加成'!$I$4+'模拟-全程加成'!$I$5)/系数!$B$4+BG329*10%)-$F$10-$F$11)+F315*0.25),0)*'模拟-单技能数据'!$I$24</f>
        <v>0</v>
      </c>
      <c r="BG329" s="115" t="b">
        <f ca="1">OR(AND(OR(C329="烈日斩",C329="银月斩"),模拟模式!$I$7="净身明礼"),AND(C329="净世破魔击·日",模拟模式!$J$7="洞若观火"),AND(C330="净世破魔击·月",模拟模式!$J$7="洞若观火"),AB329=1)</f>
        <v>1</v>
      </c>
      <c r="BH329" s="115" t="b">
        <f t="shared" ca="1" si="275"/>
        <v>0</v>
      </c>
      <c r="BI329" s="115">
        <f t="shared" ca="1" si="294"/>
        <v>4.1549999999999994</v>
      </c>
      <c r="BJ329" s="115" t="b">
        <f t="shared" ca="1" si="305"/>
        <v>1</v>
      </c>
      <c r="BK329" s="115" t="b">
        <f ca="1">AND(C329="驱夜断愁",模拟模式!$P$7="天地诛戮")</f>
        <v>0</v>
      </c>
      <c r="BL329" s="57">
        <f t="shared" ca="1" si="295"/>
        <v>14.465000000000003</v>
      </c>
      <c r="BM329" s="115" t="b">
        <f t="shared" ca="1" si="306"/>
        <v>1</v>
      </c>
      <c r="BN329" s="115" t="b">
        <f ca="1">AND(OR(C329="赤日轮1",C329="赤日轮2",C329="赤日轮3",C329="幽月轮1",C329="幽月轮2",C329="幽月轮3"),AB329=1,模拟模式!$L$7="明光恒照")</f>
        <v>0</v>
      </c>
      <c r="BO329" s="117">
        <f t="shared" ca="1" si="296"/>
        <v>26.310000000000002</v>
      </c>
      <c r="BP329" s="115">
        <f t="shared" ca="1" si="276"/>
        <v>6</v>
      </c>
      <c r="BQ329" s="115" t="b">
        <f>模拟模式!$K$10="2600·水"</f>
        <v>0</v>
      </c>
      <c r="BR329" s="117">
        <f t="shared" si="277"/>
        <v>0</v>
      </c>
      <c r="BS329" s="115">
        <f t="shared" si="278"/>
        <v>0</v>
      </c>
      <c r="BT329" s="115">
        <f t="shared" ca="1" si="279"/>
        <v>0</v>
      </c>
      <c r="BU329" s="115" t="b">
        <f ca="1">AND(模拟模式!$K$10="2300·雷",BT328=0,RAND()&lt;IF(C329="净世破魔击·月",5*0.05*2/3,IF(C329="净世破魔击·日",3*0.05*2/3,0.05*2*2/3)))</f>
        <v>0</v>
      </c>
      <c r="BV329" s="115">
        <f t="shared" ca="1" si="280"/>
        <v>0</v>
      </c>
      <c r="BW329" s="115">
        <f t="shared" ca="1" si="281"/>
        <v>93.284999999999258</v>
      </c>
      <c r="BX329" s="164" t="b">
        <f t="shared" ca="1" si="282"/>
        <v>0</v>
      </c>
      <c r="BY329" s="115">
        <f t="shared" ca="1" si="283"/>
        <v>0</v>
      </c>
      <c r="BZ329" s="115">
        <f>IF(OR(模拟模式!$P$16="10人团",模拟模式!$P$16="25人团"),IF(B329/30&gt;CA328,1,0),0)</f>
        <v>0</v>
      </c>
      <c r="CA329" s="115">
        <f t="shared" si="259"/>
        <v>0</v>
      </c>
      <c r="CB329" s="115">
        <f ca="1">IF(BZ329=1,IF(模拟模式!$P$16="10人团",15,0)+IF(模拟模式!$P$16="25人团",IF(RAND()&lt;0.6,15,0)),MAX(0,CB328-$F$4))</f>
        <v>0</v>
      </c>
      <c r="CC329" s="115" t="b">
        <f t="shared" ca="1" si="307"/>
        <v>0</v>
      </c>
      <c r="CD329" s="115">
        <f>IF(模拟模式!$Q$16="1个",IF(B329/40&gt;CE328,1,0),0)</f>
        <v>0</v>
      </c>
      <c r="CE329" s="115">
        <f t="shared" si="308"/>
        <v>0</v>
      </c>
      <c r="CF329" s="115">
        <f>IF(OR(CD329=1,模拟模式!$Q$16="2个"),20,MAX(0,CF328-$F$4))</f>
        <v>0</v>
      </c>
      <c r="CG329" s="115" t="b">
        <f t="shared" si="309"/>
        <v>0</v>
      </c>
      <c r="CH329" s="115">
        <f t="shared" ca="1" si="284"/>
        <v>25.387500000000003</v>
      </c>
      <c r="CI329" s="115" t="b">
        <f t="shared" ca="1" si="285"/>
        <v>0</v>
      </c>
      <c r="CJ329" s="119">
        <f t="shared" ca="1" si="286"/>
        <v>0.05</v>
      </c>
      <c r="CK329" s="115">
        <f t="shared" ca="1" si="287"/>
        <v>3.3874999999999988</v>
      </c>
      <c r="CL329" s="115" t="b">
        <f ca="1">AND(模拟模式!$S$7="驱夷逐法",OR(AND(C329="净世破魔击·月",E328&gt;59),AND(C329="净世破魔击·日",F328&gt;59)))</f>
        <v>0</v>
      </c>
      <c r="CM329" s="115" t="b">
        <f ca="1">OR(CL329,AND(C329="净世破魔击·日",CL328,RAND()&lt;模拟模式!$U$23))</f>
        <v>0</v>
      </c>
      <c r="CN329" s="115" t="b">
        <f ca="1">IF(模拟模式!$M$7="辉耀红尘",AND(C329="净世破魔击·月",CL329,CV329=0,E328&lt;80),AND(C329="净世破魔击·月",CL329,E328&lt;100))</f>
        <v>0</v>
      </c>
      <c r="CO329" s="115" t="b">
        <f t="shared" ca="1" si="260"/>
        <v>0</v>
      </c>
      <c r="CP329" s="115" t="b">
        <f ca="1">AND(模拟模式!$O$7="用晦而明",OR(C329="净世破魔击·日",C329="净世破魔击·月",C329="驱夜断愁"),AB329)</f>
        <v>0</v>
      </c>
      <c r="CQ329" s="115" t="b">
        <f ca="1">OR(CP329,AND(CP328,RAND()&lt;模拟模式!$U$23))</f>
        <v>1</v>
      </c>
      <c r="CR329" s="115" t="b">
        <f ca="1">AND(模拟模式!$S$7="日月齐光",OR(C329="幽月轮1",C329="幽月轮2",C329="幽月轮3",CR328),NOT(OR(C329="赤日轮1",C329="赤日轮2",C329="赤日轮3")))</f>
        <v>0</v>
      </c>
      <c r="CS329" s="115" t="b">
        <f ca="1">AND(模拟模式!$S$7="日月齐光",OR(C329="赤日轮1",C329="赤日轮2",C329="赤日轮3",CS328),NOT(OR(C329="幽月轮1",C329="幽月轮2",C329="幽月轮3")))</f>
        <v>0</v>
      </c>
      <c r="CT329" s="115">
        <f t="shared" ca="1" si="288"/>
        <v>0</v>
      </c>
      <c r="CU329" s="115" t="b">
        <f ca="1">AND(模拟模式!$K$10="阴阳往极",CT328=0,RAND()&lt;IF(C329="净世破魔击·月",0.0275*7/3,IF(C329="净世破魔击·日",0.0275*3/3,0.0275*2/3)))</f>
        <v>0</v>
      </c>
      <c r="CV329" s="115">
        <f t="shared" ca="1" si="289"/>
        <v>0</v>
      </c>
      <c r="CW329" s="115">
        <f t="shared" ca="1" si="261"/>
        <v>1.3874999999999997</v>
      </c>
      <c r="CX329" s="115">
        <f t="shared" ca="1" si="262"/>
        <v>6</v>
      </c>
      <c r="CY329" s="115">
        <f ca="1">MAX(IF($C329="驱夜断愁",IF(模拟模式!$R$7="万念俱寂",6,45),CY328-$F$4),0)</f>
        <v>0.46499999999999975</v>
      </c>
      <c r="CZ329" s="115">
        <f t="shared" ca="1" si="263"/>
        <v>0</v>
      </c>
      <c r="DA329" s="115">
        <f ca="1">IF(模拟模式!$N$7="日月同辉",IF(DB328=2,0,MIN(6,IF(AND(OR(C329="赤日轮1",C329="赤日轮2",C329="赤日轮3",C329="幽月轮1",C329="幽月轮2",C329="幽月轮3"),AB329=1),DA328+1,DA328))),0)</f>
        <v>0</v>
      </c>
      <c r="DB329" s="115">
        <f t="shared" ca="1" si="264"/>
        <v>0</v>
      </c>
      <c r="DC329" s="115"/>
      <c r="DD329" s="115"/>
      <c r="DE329" s="115"/>
      <c r="DF329" s="115"/>
      <c r="DG329" s="115"/>
      <c r="DH329" s="115"/>
      <c r="DI329" s="115"/>
      <c r="DJ329" s="115"/>
      <c r="DK329" s="115"/>
      <c r="DL329" s="115"/>
      <c r="DM329" s="115"/>
    </row>
    <row r="330" spans="2:117" x14ac:dyDescent="0.2">
      <c r="B330" s="117">
        <f t="shared" si="265"/>
        <v>279.51750000000214</v>
      </c>
      <c r="C330" s="167" t="str">
        <f t="shared" ca="1" si="258"/>
        <v>驱夜断愁</v>
      </c>
      <c r="D330" s="115">
        <f ca="1">IF(C330="赤日轮1",1,IF(C330="赤日轮2",2,IF(C330="赤日轮3",3,IF(C330="幽月轮1",4,IF(C330="幽月轮2",5,IF(C330="幽月轮3",6,IF(C330="烈日斩",7,IF(C330="银月斩",8,IF(C330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330="净世破魔击·月",17,IF(C330="驱夜断愁",18,0)))))))))))</f>
        <v>18</v>
      </c>
      <c r="E330" s="115">
        <f ca="1">IF(AND(CU330,OR(C330="幽月轮1",C330="幽月轮2",C330="幽月轮3",C330="银月斩",C330="驱夜断愁",C330="净世破魔击·月")),100,MIN(IF(OR(CN330,BE330),0,IF(OR($C330="赤日轮1",$C330="赤日轮2",$C330="赤日轮3"),E329+20+IF(模拟模式!$I$7="日月凌天",4,0)+IF(CR329,20,0),IF($C330="烈日斩",E329+40,IF($C330="驱夜断愁",IF(模拟模式!$R$7="万念俱寂",E329+20,E329+60),IF($C330="净世破魔击·月",IF(OR(DB329&gt;0,CV329&gt;0),100,IF(模拟模式!$M$7="辉耀红尘",E329+20,E329)),IF($C330="净世破魔击·日",E329-100,E329)))))),100))</f>
        <v>40</v>
      </c>
      <c r="F330" s="115">
        <f ca="1">IF(AND(CU330,OR(C330="赤日轮1",C330="赤日轮2",C330="赤日轮3",C330="烈日斩",C330="净世破魔击·日")),100,MIN(IF(CO330,0,IF(OR($C330="幽月轮1",$C330="幽月轮2",$C330="幽月轮3"),F329+20+IF(模拟模式!$I$7="日月凌天",4,0)+IF(CS329,20,0),IF($C330="银月斩",F329+40+IF(模拟模式!$X$12=1,5,0),IF($C330="驱夜断愁",IF(模拟模式!$R$7="万念俱寂",F329+20,F329+60),IF($C330="净世破魔击·月",IF(模拟模式!$M$7="辉耀红尘",F329-80,F329-100),IF(AND(C330="净世破魔击·日",OR(DB329&gt;0,CV329&gt;0)),100,F329)))))),100))</f>
        <v>85</v>
      </c>
      <c r="G330" s="117">
        <f ca="1">('模拟-全程加成'!$E$3+'模拟-全程加成'!$E$4+'模拟-全程加成'!$E$5+('模拟-全程加成'!$C$6-'模拟-全程加成'!$C$3)*系数!$B$9+BS330*23)*(1+'模拟-全程加成'!$F$4+'模拟-全程加成'!$F$5+BJ330*10%+BM330*20%+BP330*4%+CG330*30%)+$F$7*系数!$B$12</f>
        <v>21493.829400000002</v>
      </c>
      <c r="H330" s="45">
        <f ca="1">'模拟-全程加成'!$H$3+'模拟-全程加成'!$H$4+'模拟-全程加成'!$H$5+('模拟-全程加成'!$G$4+'模拟-全程加成'!$G$5+('模拟-全程加成'!$C$6-'模拟-全程加成'!$C$3)*系数!$B$13)/系数!$B$3+LOOKUP(D330,'模拟-单技能数据'!$A$2:$A$19,'模拟-单技能数据'!$K$2:$K$19)+BG330*10%+IF(BV330&gt;0,378,0)</f>
        <v>0.51185145527300213</v>
      </c>
      <c r="I330" s="45">
        <f ca="1">'模拟-全程加成'!$J$3+'模拟-全程加成'!$J$4+'模拟-全程加成'!$J$5+('模拟-全程加成'!$I$4+'模拟-全程加成'!$I$5)/系数!$B$4+LOOKUP(D330,'模拟-单技能数据'!$A$2:$A$19,'模拟-单技能数据'!$L$2:$L$19)+BG330*10%</f>
        <v>2.162482885499879</v>
      </c>
      <c r="J330" s="45">
        <f ca="1">(('模拟-全程加成'!$K$3+'模拟-全程加成'!$K$4+'模拟-全程加成'!$K$5+('模拟-全程加成'!$C$6-'模拟-全程加成'!$C$3)*系数!$B$10+IF(BV330&gt;0,882,0)+IF(BY330&gt;0,1831,0))*(1+'模拟-全程加成'!$L$4+'模拟-全程加成'!$L$5+CC330*20%))/系数!$B$5</f>
        <v>0.69723220422048726</v>
      </c>
      <c r="K330" s="119">
        <f ca="1">LOOKUP(D330,'模拟-单技能数据'!$A$2:$A$19,'模拟-单技能数据'!$J$2:$J$19)+IF(CM330,60%,0)+IF(DB329-DB330&gt;0,30%,0)+IF(OR(AND(OR(C330="赤日轮1",C330="赤日轮2",C330="赤日轮3"),CR330),AND(OR(C330="幽月轮1",C330="幽月轮2",C330="幽月轮3"),CS330)),35%,0)+CJ330</f>
        <v>0.19</v>
      </c>
      <c r="L330" s="119">
        <f ca="1">IF(AND(C330="烈日斩",模拟模式!$X$11=1),10%,0)+IF(AND(C330="驱夜断愁",AB330=1),30%,0)</f>
        <v>0.3</v>
      </c>
      <c r="M330" s="45">
        <f t="shared" ca="1" si="297"/>
        <v>0.51185145527300213</v>
      </c>
      <c r="N330" s="45">
        <f t="shared" ca="1" si="298"/>
        <v>0.43424854472699792</v>
      </c>
      <c r="O330" s="46">
        <f t="shared" ca="1" si="266"/>
        <v>8.8813300188165245E-2</v>
      </c>
      <c r="P330" s="46" t="str">
        <f t="shared" ca="1" si="267"/>
        <v>会</v>
      </c>
      <c r="Q330" s="45">
        <f t="shared" ca="1" si="268"/>
        <v>2.162482885499879</v>
      </c>
      <c r="R330" s="117">
        <f ca="1">模拟模式!$E$20*(1-IF(模拟模式!$J$19="有",0.15,0))*(1-IF(模拟模式!$K$19="有",0.3,0)-IF(CQ330,0.5,0))</f>
        <v>843.02999999999975</v>
      </c>
      <c r="S330" s="45">
        <f ca="1">R330/(R330+(185*模拟模式!$E$22-16800)*4.08224)</f>
        <v>8.389626085980037E-2</v>
      </c>
      <c r="T330" s="45" t="str">
        <f ca="1">LOOKUP(D330,'模拟-单技能数据'!$A$2:$A$19,'模拟-单技能数据'!$H$2:$H$19)</f>
        <v>阴</v>
      </c>
      <c r="U330" s="119">
        <f t="shared" ca="1" si="299"/>
        <v>0.08</v>
      </c>
      <c r="V330" s="47">
        <f ca="1">(1+L330)*(LOOKUP(D330,'模拟-单技能数据'!$A$2:$A$19,'模拟-单技能数据'!$D$2:$D$19)+G330*LOOKUP(D330,'模拟-单技能数据'!$A$2:$A$19,'模拟-单技能数据'!$F$2:$F$19))*(1+J330)*(1+K330)*(1-S330)*(1+U330)*Q330*LOOKUP(D330,'模拟-单技能数据'!$A$2:$A$19,'模拟-单技能数据'!$I$2:$I$20)</f>
        <v>138916.16953986019</v>
      </c>
      <c r="W330" s="47">
        <f ca="1">LOOKUP(D330,'模拟-单技能数据'!$A$2:$A$19,'模拟-单技能数据'!$G$2:$G$19)*$I$10</f>
        <v>723.0212870940959</v>
      </c>
      <c r="X330" s="47">
        <f t="shared" ca="1" si="269"/>
        <v>0</v>
      </c>
      <c r="Y330" s="47">
        <f t="shared" ca="1" si="300"/>
        <v>139639.19082695429</v>
      </c>
      <c r="Z330" s="49">
        <f t="shared" ca="1" si="301"/>
        <v>31828264.840371076</v>
      </c>
      <c r="AA330" s="97">
        <f t="shared" ca="1" si="302"/>
        <v>113868.59441849198</v>
      </c>
      <c r="AB330" s="115">
        <f ca="1">IF(OR(C330="赤日轮1",C330="赤日轮2",C330="赤日轮3"),IF(RAND()&lt;模拟模式!$Y$17,1,0),IF(OR(C330="幽月轮1",C330="幽月轮2",C330="幽月轮3"),IF(RAND()&lt;模拟模式!$Y$18,1,0),IF(C330="烈日斩",IF(RAND()&lt;模拟模式!$Y$19,1,0),IF(C330="银月斩",IF(RAND()&lt;模拟模式!$Y$20,1,0),IF(C330="驱夜断愁",IF(RAND()&lt;模拟模式!$Y$21,1,0),IF(C330="净世破魔击·日",IF(RAND()&lt;模拟模式!$Y$22,1,0),IF(C330="净世破魔击·月",IF(RAND()&lt;模拟模式!$Y$23,1,0),0)))))))</f>
        <v>1</v>
      </c>
      <c r="AC330" s="115" t="b">
        <f t="shared" ca="1" si="290"/>
        <v>0</v>
      </c>
      <c r="AD330" s="115" t="b">
        <f t="shared" ca="1" si="310"/>
        <v>0</v>
      </c>
      <c r="AE330" s="115">
        <f t="shared" ca="1" si="311"/>
        <v>5</v>
      </c>
      <c r="AF330" s="47">
        <f ca="1">IF(AC330,('模拟-单技能数据'!$D$20+G330*'模拟-单技能数据'!$F$20)*(1+J330)*(1+'模拟-单技能数据'!$J$20)*(1+U330),0)</f>
        <v>0</v>
      </c>
      <c r="AG330" s="61">
        <f t="shared" ca="1" si="303"/>
        <v>0.64185145527300214</v>
      </c>
      <c r="AH330" s="61">
        <f t="shared" ca="1" si="304"/>
        <v>2.2624828854998791</v>
      </c>
      <c r="AI330" s="62">
        <f t="shared" ca="1" si="270"/>
        <v>0.17741679497781793</v>
      </c>
      <c r="AJ330" s="47">
        <f ca="1">IF(AD330,IF(AI330&lt;$F$10,0,IF(AI330&lt;$F$10+$F$11,0.25,IF(AI330&lt;$F$10+$F$11+AG330,AH330,1)))*IF(AF330&gt;0,AF330,IF(AF329&gt;0,AF329,IF(AF328&gt;0,AF328,IF(AF327&gt;0,AF327,IF(AF326&gt;0,AF326,IF(AF325&gt;0,AF325,IF(AF324&gt;0,AF324,IF(AF323&gt;0,AF323,IF(AF322&gt;0,AF322,IF(AF320&gt;0,AF320,IF(AF319&gt;0,AF319,IF(AF318&gt;0,AF318,0)))))))))))),0)*(1-$S330)*'模拟-单技能数据'!$I$20</f>
        <v>0</v>
      </c>
      <c r="AK330" s="115" t="b">
        <f t="shared" ca="1" si="291"/>
        <v>0</v>
      </c>
      <c r="AL330" s="115" t="b">
        <f t="shared" ca="1" si="312"/>
        <v>0</v>
      </c>
      <c r="AM330" s="115">
        <f t="shared" ca="1" si="313"/>
        <v>4</v>
      </c>
      <c r="AN330" s="47">
        <f ca="1">IF(AK330,('模拟-单技能数据'!$D$21+G330*'模拟-单技能数据'!$F$21)*(1+J330)*(1+'模拟-单技能数据'!$J$21)*(1+U330),0)</f>
        <v>0</v>
      </c>
      <c r="AO330" s="61">
        <f ca="1">IF(AN330&gt;0,M330-'模拟-单技能数据'!$K$10,AO329)</f>
        <v>0.42185145527300216</v>
      </c>
      <c r="AP330" s="61">
        <f ca="1">IF(AN330&gt;0,I330-'模拟-单技能数据'!$L$10,AP329)</f>
        <v>2.162482885499879</v>
      </c>
      <c r="AQ330" s="63">
        <f t="shared" ca="1" si="271"/>
        <v>0.11872865633793961</v>
      </c>
      <c r="AR330" s="64">
        <f ca="1">IF(AL330,IF(AQ330&lt;$F$10,0,IF(AQ330&lt;$F$10+$F$11,0.25,IF(AQ330&lt;$F$10+$F$11+AO330,AP330,1)))*IF(AN330&gt;0,AN330,IF(AN329&gt;0,AN329,IF(AN328&gt;0,AN328,IF(AN327&gt;0,AN327,IF(AN326&gt;0,AN326,IF(AN325&gt;0,AN325,IF(AN324&gt;0,AN324,IF(AN323&gt;0,AN323,IF(AN322&gt;0,AN322,IF(AN320&gt;0,AN320,IF(AN319&gt;0,AN319,IF(AN318&gt;0,AN318,0)))))))))))),0)*(1-$S330)*'模拟-单技能数据'!$I$21</f>
        <v>0</v>
      </c>
      <c r="AS330" s="61">
        <f ca="1">IF(OR(C330="净世破魔击·日",C330="净世破魔击·月"),M330-'模拟-单技能数据'!$K$10,0)</f>
        <v>0</v>
      </c>
      <c r="AT330" s="61">
        <f ca="1">IF(OR(C330="净世破魔击·日",C330="净世破魔击·月"),I330-'模拟-单技能数据'!$L$10,0)</f>
        <v>0</v>
      </c>
      <c r="AU330" s="62">
        <f t="shared" ca="1" si="272"/>
        <v>6.616637128609193E-2</v>
      </c>
      <c r="AV330" s="64">
        <f ca="1">IF(AS330&gt;0,('模拟-单技能数据'!$D$22+G330*'模拟-单技能数据'!$F$22)*(1+J330)*(1-S330)*IF(AU330&lt;$F$10,0,IF(AU330&lt;$F$10+$F$11,0.25,IF(AU330&lt;$F$10+$F$11+AS330,AT330,1)))*(1+U330),0)*'模拟-单技能数据'!$I$22</f>
        <v>0</v>
      </c>
      <c r="AW330" s="108">
        <f t="shared" ca="1" si="273"/>
        <v>0</v>
      </c>
      <c r="AX330" s="108" t="b">
        <f ca="1">AND(模拟模式!$P$10="有",AW329=0,RAND()&lt;IF(C330="净世破魔击·月",0.1*8/3,IF(C330="净世破魔击·日",0.1*4/3,0.1*2/3)))</f>
        <v>0</v>
      </c>
      <c r="AY330" s="47">
        <f ca="1">IF(AX330,(18+G330*0.722)*(1+J330)*(1-S330)*(1+$I$4)*IF(P330="会",'模拟-全程加成'!$J$3+'模拟-全程加成'!$J$4+'模拟-全程加成'!$J$5+('模拟-全程加成'!$I$4+'模拟-全程加成'!$I$5)/系数!$B$4+BG330*10%,IF(P330="命",1,IF(P330="识",0.25,0))),0)</f>
        <v>0</v>
      </c>
      <c r="AZ330" s="108">
        <f t="shared" si="274"/>
        <v>4.3175000000000061</v>
      </c>
      <c r="BA330" s="108" t="b">
        <f>AND(模拟模式!$Q$10="有",AZ329=0)</f>
        <v>0</v>
      </c>
      <c r="BB330" s="140">
        <f>IF(BA330,(0+G330*0.287)*(1+J330)*(1-S330)*(1+$I$4)*IF(P330="会",'模拟-全程加成'!$J$3+'模拟-全程加成'!$J$4+'模拟-全程加成'!$J$5+('模拟-全程加成'!$I$4+'模拟-全程加成'!$I$5)/系数!$B$4+BG330*10%,IF(P330="命",1,IF(P330="识",0.25,0))),0)</f>
        <v>0</v>
      </c>
      <c r="BC330" s="115" t="b">
        <f ca="1">AND(模拟模式!$R$7="伏明众生",E330=60,F330=20,DA330&lt;5,CZ329&lt;$F$4)</f>
        <v>0</v>
      </c>
      <c r="BD330" s="115">
        <f t="shared" ca="1" si="292"/>
        <v>0</v>
      </c>
      <c r="BE330" s="115" t="b">
        <f t="shared" ca="1" si="293"/>
        <v>0</v>
      </c>
      <c r="BF330" s="47">
        <f ca="1">IF(BC330,4*('模拟-单技能数据'!$D$24+G330*'模拟-单技能数据'!$F$24)*(1+J330)*(1+'模拟-单技能数据'!$J$24)*(1-S330)*(1+$I$3)*(('模拟-全程加成'!$J$3+'模拟-全程加成'!$J$4+'模拟-全程加成'!$J$5+('模拟-全程加成'!$I$4+'模拟-全程加成'!$I$5)/系数!$B$4+BG330*10%)*('模拟-全程加成'!$J$3+'模拟-全程加成'!$J$4+'模拟-全程加成'!$J$5+('模拟-全程加成'!$I$4+'模拟-全程加成'!$I$5)/系数!$B$4+BG330*10%)+(1-('模拟-全程加成'!$J$3+'模拟-全程加成'!$J$4+'模拟-全程加成'!$J$5+('模拟-全程加成'!$I$4+'模拟-全程加成'!$I$5)/系数!$B$4+BG330*10%)-$F$10-$F$11)+F316*0.25),0)*'模拟-单技能数据'!$I$24</f>
        <v>0</v>
      </c>
      <c r="BG330" s="115" t="b">
        <f ca="1">OR(AND(OR(C330="烈日斩",C330="银月斩"),模拟模式!$I$7="净身明礼"),AND(C330="净世破魔击·日",模拟模式!$J$7="洞若观火"),AND(C331="净世破魔击·月",模拟模式!$J$7="洞若观火"),AB330=1)</f>
        <v>1</v>
      </c>
      <c r="BH330" s="115" t="b">
        <f t="shared" ca="1" si="275"/>
        <v>0</v>
      </c>
      <c r="BI330" s="115">
        <f t="shared" ca="1" si="294"/>
        <v>3.2324999999999995</v>
      </c>
      <c r="BJ330" s="115" t="b">
        <f t="shared" ca="1" si="305"/>
        <v>1</v>
      </c>
      <c r="BK330" s="115" t="b">
        <f ca="1">AND(C330="驱夜断愁",模拟模式!$P$7="天地诛戮")</f>
        <v>1</v>
      </c>
      <c r="BL330" s="57">
        <f t="shared" ca="1" si="295"/>
        <v>20</v>
      </c>
      <c r="BM330" s="115" t="b">
        <f t="shared" ca="1" si="306"/>
        <v>1</v>
      </c>
      <c r="BN330" s="115" t="b">
        <f ca="1">AND(OR(C330="赤日轮1",C330="赤日轮2",C330="赤日轮3",C330="幽月轮1",C330="幽月轮2",C330="幽月轮3"),AB330=1,模拟模式!$L$7="明光恒照")</f>
        <v>0</v>
      </c>
      <c r="BO330" s="117">
        <f t="shared" ca="1" si="296"/>
        <v>25.387500000000003</v>
      </c>
      <c r="BP330" s="115">
        <f t="shared" ca="1" si="276"/>
        <v>6</v>
      </c>
      <c r="BQ330" s="115" t="b">
        <f>模拟模式!$K$10="2600·水"</f>
        <v>0</v>
      </c>
      <c r="BR330" s="117">
        <f t="shared" si="277"/>
        <v>0</v>
      </c>
      <c r="BS330" s="115">
        <f t="shared" si="278"/>
        <v>0</v>
      </c>
      <c r="BT330" s="115">
        <f t="shared" ca="1" si="279"/>
        <v>0</v>
      </c>
      <c r="BU330" s="115" t="b">
        <f ca="1">AND(模拟模式!$K$10="2300·雷",BT329=0,RAND()&lt;IF(C330="净世破魔击·月",5*0.05*2/3,IF(C330="净世破魔击·日",3*0.05*2/3,0.05*2*2/3)))</f>
        <v>0</v>
      </c>
      <c r="BV330" s="115">
        <f t="shared" ca="1" si="280"/>
        <v>0</v>
      </c>
      <c r="BW330" s="115">
        <f t="shared" ca="1" si="281"/>
        <v>92.362499999999258</v>
      </c>
      <c r="BX330" s="164" t="b">
        <f t="shared" ca="1" si="282"/>
        <v>0</v>
      </c>
      <c r="BY330" s="115">
        <f t="shared" ca="1" si="283"/>
        <v>0</v>
      </c>
      <c r="BZ330" s="115">
        <f>IF(OR(模拟模式!$P$16="10人团",模拟模式!$P$16="25人团"),IF(B330/30&gt;CA329,1,0),0)</f>
        <v>0</v>
      </c>
      <c r="CA330" s="115">
        <f t="shared" si="259"/>
        <v>0</v>
      </c>
      <c r="CB330" s="115">
        <f ca="1">IF(BZ330=1,IF(模拟模式!$P$16="10人团",15,0)+IF(模拟模式!$P$16="25人团",IF(RAND()&lt;0.6,15,0)),MAX(0,CB329-$F$4))</f>
        <v>0</v>
      </c>
      <c r="CC330" s="115" t="b">
        <f t="shared" ca="1" si="307"/>
        <v>0</v>
      </c>
      <c r="CD330" s="115">
        <f>IF(模拟模式!$Q$16="1个",IF(B330/40&gt;CE329,1,0),0)</f>
        <v>0</v>
      </c>
      <c r="CE330" s="115">
        <f t="shared" si="308"/>
        <v>0</v>
      </c>
      <c r="CF330" s="115">
        <f>IF(OR(CD330=1,模拟模式!$Q$16="2个"),20,MAX(0,CF329-$F$4))</f>
        <v>0</v>
      </c>
      <c r="CG330" s="115" t="b">
        <f t="shared" si="309"/>
        <v>0</v>
      </c>
      <c r="CH330" s="115">
        <f t="shared" ca="1" si="284"/>
        <v>24.465000000000003</v>
      </c>
      <c r="CI330" s="115" t="b">
        <f t="shared" ca="1" si="285"/>
        <v>0</v>
      </c>
      <c r="CJ330" s="119">
        <f t="shared" ca="1" si="286"/>
        <v>0.05</v>
      </c>
      <c r="CK330" s="115">
        <f t="shared" ca="1" si="287"/>
        <v>2.464999999999999</v>
      </c>
      <c r="CL330" s="115" t="b">
        <f ca="1">AND(模拟模式!$S$7="驱夷逐法",OR(AND(C330="净世破魔击·月",E329&gt;59),AND(C330="净世破魔击·日",F329&gt;59)))</f>
        <v>0</v>
      </c>
      <c r="CM330" s="115" t="b">
        <f ca="1">OR(CL330,AND(C330="净世破魔击·日",CL329,RAND()&lt;模拟模式!$U$23))</f>
        <v>0</v>
      </c>
      <c r="CN330" s="115" t="b">
        <f ca="1">IF(模拟模式!$M$7="辉耀红尘",AND(C330="净世破魔击·月",CL330,CV330=0,E329&lt;80),AND(C330="净世破魔击·月",CL330,E329&lt;100))</f>
        <v>0</v>
      </c>
      <c r="CO330" s="115" t="b">
        <f t="shared" ca="1" si="260"/>
        <v>0</v>
      </c>
      <c r="CP330" s="115" t="b">
        <f ca="1">AND(模拟模式!$O$7="用晦而明",OR(C330="净世破魔击·日",C330="净世破魔击·月",C330="驱夜断愁"),AB330)</f>
        <v>1</v>
      </c>
      <c r="CQ330" s="115" t="b">
        <f ca="1">OR(CP330,AND(CP329,RAND()&lt;模拟模式!$U$23))</f>
        <v>1</v>
      </c>
      <c r="CR330" s="115" t="b">
        <f ca="1">AND(模拟模式!$S$7="日月齐光",OR(C330="幽月轮1",C330="幽月轮2",C330="幽月轮3",CR329),NOT(OR(C330="赤日轮1",C330="赤日轮2",C330="赤日轮3")))</f>
        <v>0</v>
      </c>
      <c r="CS330" s="115" t="b">
        <f ca="1">AND(模拟模式!$S$7="日月齐光",OR(C330="赤日轮1",C330="赤日轮2",C330="赤日轮3",CS329),NOT(OR(C330="幽月轮1",C330="幽月轮2",C330="幽月轮3")))</f>
        <v>0</v>
      </c>
      <c r="CT330" s="115">
        <f t="shared" ca="1" si="288"/>
        <v>0</v>
      </c>
      <c r="CU330" s="115" t="b">
        <f ca="1">AND(模拟模式!$K$10="阴阳往极",CT329=0,RAND()&lt;IF(C330="净世破魔击·月",0.0275*7/3,IF(C330="净世破魔击·日",0.0275*3/3,0.0275*2/3)))</f>
        <v>0</v>
      </c>
      <c r="CV330" s="115">
        <f t="shared" ca="1" si="289"/>
        <v>0</v>
      </c>
      <c r="CW330" s="115">
        <f t="shared" ca="1" si="261"/>
        <v>0.46499999999999975</v>
      </c>
      <c r="CX330" s="115">
        <f t="shared" ca="1" si="262"/>
        <v>5.0774999999999997</v>
      </c>
      <c r="CY330" s="115">
        <f ca="1">MAX(IF($C330="驱夜断愁",IF(模拟模式!$R$7="万念俱寂",6,45),CY329-$F$4),0)</f>
        <v>6</v>
      </c>
      <c r="CZ330" s="115">
        <f t="shared" ca="1" si="263"/>
        <v>0</v>
      </c>
      <c r="DA330" s="115">
        <f ca="1">IF(模拟模式!$N$7="日月同辉",IF(DB329=2,0,MIN(6,IF(AND(OR(C330="赤日轮1",C330="赤日轮2",C330="赤日轮3",C330="幽月轮1",C330="幽月轮2",C330="幽月轮3"),AB330=1),DA329+1,DA329))),0)</f>
        <v>0</v>
      </c>
      <c r="DB330" s="115">
        <f t="shared" ca="1" si="264"/>
        <v>0</v>
      </c>
      <c r="DC330" s="115"/>
      <c r="DD330" s="115"/>
      <c r="DE330" s="115"/>
      <c r="DF330" s="115"/>
      <c r="DG330" s="115"/>
      <c r="DH330" s="115"/>
      <c r="DI330" s="115"/>
      <c r="DJ330" s="115"/>
      <c r="DK330" s="115"/>
      <c r="DL330" s="115"/>
      <c r="DM330" s="115"/>
    </row>
    <row r="331" spans="2:117" x14ac:dyDescent="0.2">
      <c r="B331" s="117">
        <f t="shared" si="265"/>
        <v>280.44000000000216</v>
      </c>
      <c r="C331" s="167" t="str">
        <f t="shared" ca="1" si="258"/>
        <v>烈日斩</v>
      </c>
      <c r="D331" s="115">
        <f ca="1">IF(C331="赤日轮1",1,IF(C331="赤日轮2",2,IF(C331="赤日轮3",3,IF(C331="幽月轮1",4,IF(C331="幽月轮2",5,IF(C331="幽月轮3",6,IF(C331="烈日斩",7,IF(C331="银月斩",8,IF(C331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331="净世破魔击·月",17,IF(C331="驱夜断愁",18,0)))))))))))</f>
        <v>7</v>
      </c>
      <c r="E331" s="115">
        <f ca="1">IF(AND(CU331,OR(C331="幽月轮1",C331="幽月轮2",C331="幽月轮3",C331="银月斩",C331="驱夜断愁",C331="净世破魔击·月")),100,MIN(IF(OR(CN331,BE331),0,IF(OR($C331="赤日轮1",$C331="赤日轮2",$C331="赤日轮3"),E330+20+IF(模拟模式!$I$7="日月凌天",4,0)+IF(CR330,20,0),IF($C331="烈日斩",E330+40,IF($C331="驱夜断愁",IF(模拟模式!$R$7="万念俱寂",E330+20,E330+60),IF($C331="净世破魔击·月",IF(OR(DB330&gt;0,CV330&gt;0),100,IF(模拟模式!$M$7="辉耀红尘",E330+20,E330)),IF($C331="净世破魔击·日",E330-100,E330)))))),100))</f>
        <v>80</v>
      </c>
      <c r="F331" s="115">
        <f ca="1">IF(AND(CU331,OR(C331="赤日轮1",C331="赤日轮2",C331="赤日轮3",C331="烈日斩",C331="净世破魔击·日")),100,MIN(IF(CO331,0,IF(OR($C331="幽月轮1",$C331="幽月轮2",$C331="幽月轮3"),F330+20+IF(模拟模式!$I$7="日月凌天",4,0)+IF(CS330,20,0),IF($C331="银月斩",F330+40+IF(模拟模式!$X$12=1,5,0),IF($C331="驱夜断愁",IF(模拟模式!$R$7="万念俱寂",F330+20,F330+60),IF($C331="净世破魔击·月",IF(模拟模式!$M$7="辉耀红尘",F330-80,F330-100),IF(AND(C331="净世破魔击·日",OR(DB330&gt;0,CV330&gt;0)),100,F330)))))),100))</f>
        <v>85</v>
      </c>
      <c r="G331" s="117">
        <f ca="1">('模拟-全程加成'!$E$3+'模拟-全程加成'!$E$4+'模拟-全程加成'!$E$5+('模拟-全程加成'!$C$6-'模拟-全程加成'!$C$3)*系数!$B$9+BS331*23)*(1+'模拟-全程加成'!$F$4+'模拟-全程加成'!$F$5+BJ331*10%+BM331*20%+BP331*4%+CG331*30%)+$F$7*系数!$B$12</f>
        <v>21493.829400000002</v>
      </c>
      <c r="H331" s="45">
        <f ca="1">'模拟-全程加成'!$H$3+'模拟-全程加成'!$H$4+'模拟-全程加成'!$H$5+('模拟-全程加成'!$G$4+'模拟-全程加成'!$G$5+('模拟-全程加成'!$C$6-'模拟-全程加成'!$C$3)*系数!$B$13)/系数!$B$3+LOOKUP(D331,'模拟-单技能数据'!$A$2:$A$19,'模拟-单技能数据'!$K$2:$K$19)+BG331*10%+IF(BV331&gt;0,378,0)</f>
        <v>0.56185145527300218</v>
      </c>
      <c r="I331" s="45">
        <f ca="1">'模拟-全程加成'!$J$3+'模拟-全程加成'!$J$4+'模拟-全程加成'!$J$5+('模拟-全程加成'!$I$4+'模拟-全程加成'!$I$5)/系数!$B$4+LOOKUP(D331,'模拟-单技能数据'!$A$2:$A$19,'模拟-单技能数据'!$L$2:$L$19)+BG331*10%</f>
        <v>2.2624828854998791</v>
      </c>
      <c r="J331" s="45">
        <f ca="1">(('模拟-全程加成'!$K$3+'模拟-全程加成'!$K$4+'模拟-全程加成'!$K$5+('模拟-全程加成'!$C$6-'模拟-全程加成'!$C$3)*系数!$B$10+IF(BV331&gt;0,882,0)+IF(BY331&gt;0,1831,0))*(1+'模拟-全程加成'!$L$4+'模拟-全程加成'!$L$5+CC331*20%))/系数!$B$5</f>
        <v>0.69723220422048726</v>
      </c>
      <c r="K331" s="119">
        <f ca="1">LOOKUP(D331,'模拟-单技能数据'!$A$2:$A$19,'模拟-单技能数据'!$J$2:$J$19)+IF(CM331,60%,0)+IF(DB330-DB331&gt;0,30%,0)+IF(OR(AND(OR(C331="赤日轮1",C331="赤日轮2",C331="赤日轮3"),CR331),AND(OR(C331="幽月轮1",C331="幽月轮2",C331="幽月轮3"),CS331)),35%,0)+CJ331</f>
        <v>0.28999999999999998</v>
      </c>
      <c r="L331" s="119">
        <f ca="1">IF(AND(C331="烈日斩",模拟模式!$X$11=1),10%,0)+IF(AND(C331="驱夜断愁",AB331=1),30%,0)</f>
        <v>0.1</v>
      </c>
      <c r="M331" s="45">
        <f t="shared" ca="1" si="297"/>
        <v>0.56185145527300218</v>
      </c>
      <c r="N331" s="45">
        <f t="shared" ca="1" si="298"/>
        <v>0.38424854472699788</v>
      </c>
      <c r="O331" s="46">
        <f t="shared" ca="1" si="266"/>
        <v>0.3033614393268953</v>
      </c>
      <c r="P331" s="46" t="str">
        <f t="shared" ca="1" si="267"/>
        <v>会</v>
      </c>
      <c r="Q331" s="45">
        <f t="shared" ca="1" si="268"/>
        <v>2.2624828854998791</v>
      </c>
      <c r="R331" s="117">
        <f ca="1">模拟模式!$E$20*(1-IF(模拟模式!$J$19="有",0.15,0))*(1-IF(模拟模式!$K$19="有",0.3,0)-IF(CQ331,0.5,0))</f>
        <v>843.02999999999975</v>
      </c>
      <c r="S331" s="45">
        <f ca="1">R331/(R331+(185*模拟模式!$E$22-16800)*4.08224)</f>
        <v>8.389626085980037E-2</v>
      </c>
      <c r="T331" s="45" t="str">
        <f ca="1">LOOKUP(D331,'模拟-单技能数据'!$A$2:$A$19,'模拟-单技能数据'!$H$2:$H$19)</f>
        <v>阳</v>
      </c>
      <c r="U331" s="119">
        <f t="shared" ca="1" si="299"/>
        <v>0.2</v>
      </c>
      <c r="V331" s="47">
        <f ca="1">(1+L331)*(LOOKUP(D331,'模拟-单技能数据'!$A$2:$A$19,'模拟-单技能数据'!$D$2:$D$19)+G331*LOOKUP(D331,'模拟-单技能数据'!$A$2:$A$19,'模拟-单技能数据'!$F$2:$F$19))*(1+J331)*(1+K331)*(1-S331)*(1+U331)*Q331*LOOKUP(D331,'模拟-单技能数据'!$A$2:$A$19,'模拟-单技能数据'!$I$2:$I$20)</f>
        <v>114959.13666231967</v>
      </c>
      <c r="W331" s="47">
        <f ca="1">LOOKUP(D331,'模拟-单技能数据'!$A$2:$A$19,'模拟-单技能数据'!$G$2:$G$19)*$I$10</f>
        <v>361.51064354704795</v>
      </c>
      <c r="X331" s="47">
        <f t="shared" ca="1" si="269"/>
        <v>34718.524582246762</v>
      </c>
      <c r="Y331" s="47">
        <f t="shared" ca="1" si="300"/>
        <v>150039.17188811349</v>
      </c>
      <c r="Z331" s="49">
        <f t="shared" ca="1" si="301"/>
        <v>31978304.012259189</v>
      </c>
      <c r="AA331" s="97">
        <f t="shared" ca="1" si="302"/>
        <v>114029.04012358774</v>
      </c>
      <c r="AB331" s="115">
        <f ca="1">IF(OR(C331="赤日轮1",C331="赤日轮2",C331="赤日轮3"),IF(RAND()&lt;模拟模式!$Y$17,1,0),IF(OR(C331="幽月轮1",C331="幽月轮2",C331="幽月轮3"),IF(RAND()&lt;模拟模式!$Y$18,1,0),IF(C331="烈日斩",IF(RAND()&lt;模拟模式!$Y$19,1,0),IF(C331="银月斩",IF(RAND()&lt;模拟模式!$Y$20,1,0),IF(C331="驱夜断愁",IF(RAND()&lt;模拟模式!$Y$21,1,0),IF(C331="净世破魔击·日",IF(RAND()&lt;模拟模式!$Y$22,1,0),IF(C331="净世破魔击·月",IF(RAND()&lt;模拟模式!$Y$23,1,0),0)))))))</f>
        <v>1</v>
      </c>
      <c r="AC331" s="115" t="b">
        <f t="shared" ca="1" si="290"/>
        <v>0</v>
      </c>
      <c r="AD331" s="115" t="b">
        <f t="shared" ca="1" si="310"/>
        <v>1</v>
      </c>
      <c r="AE331" s="115">
        <f t="shared" ca="1" si="311"/>
        <v>4</v>
      </c>
      <c r="AF331" s="47">
        <f ca="1">IF(AC331,('模拟-单技能数据'!$D$20+G331*'模拟-单技能数据'!$F$20)*(1+J331)*(1+'模拟-单技能数据'!$J$20)*(1+U331),0)</f>
        <v>0</v>
      </c>
      <c r="AG331" s="61">
        <f t="shared" ca="1" si="303"/>
        <v>0.64185145527300214</v>
      </c>
      <c r="AH331" s="61">
        <f t="shared" ca="1" si="304"/>
        <v>2.2624828854998791</v>
      </c>
      <c r="AI331" s="62">
        <f t="shared" ca="1" si="270"/>
        <v>0.11241813057319472</v>
      </c>
      <c r="AJ331" s="47">
        <f ca="1">IF(AD331,IF(AI331&lt;$F$10,0,IF(AI331&lt;$F$10+$F$11,0.25,IF(AI331&lt;$F$10+$F$11+AG331,AH331,1)))*IF(AF331&gt;0,AF331,IF(AF330&gt;0,AF330,IF(AF329&gt;0,AF329,IF(AF328&gt;0,AF328,IF(AF327&gt;0,AF327,IF(AF326&gt;0,AF326,IF(AF325&gt;0,AF325,IF(AF324&gt;0,AF324,IF(AF323&gt;0,AF323,IF(AF321&gt;0,AF321,IF(AF320&gt;0,AF320,IF(AF319&gt;0,AF319,0)))))))))))),0)*(1-$S331)*'模拟-单技能数据'!$I$20</f>
        <v>9616.6571145767884</v>
      </c>
      <c r="AK331" s="115" t="b">
        <f t="shared" ca="1" si="291"/>
        <v>0</v>
      </c>
      <c r="AL331" s="115" t="b">
        <f t="shared" ca="1" si="312"/>
        <v>1</v>
      </c>
      <c r="AM331" s="115">
        <f t="shared" ca="1" si="313"/>
        <v>3</v>
      </c>
      <c r="AN331" s="47">
        <f ca="1">IF(AK331,('模拟-单技能数据'!$D$21+G331*'模拟-单技能数据'!$F$21)*(1+J331)*(1+'模拟-单技能数据'!$J$21)*(1+U331),0)</f>
        <v>0</v>
      </c>
      <c r="AO331" s="61">
        <f ca="1">IF(AN331&gt;0,M331-'模拟-单技能数据'!$K$10,AO330)</f>
        <v>0.42185145527300216</v>
      </c>
      <c r="AP331" s="61">
        <f ca="1">IF(AN331&gt;0,I331-'模拟-单技能数据'!$L$10,AP330)</f>
        <v>2.162482885499879</v>
      </c>
      <c r="AQ331" s="63">
        <f t="shared" ca="1" si="271"/>
        <v>0.31456226126714126</v>
      </c>
      <c r="AR331" s="64">
        <f ca="1">IF(AL331,IF(AQ331&lt;$F$10,0,IF(AQ331&lt;$F$10+$F$11,0.25,IF(AQ331&lt;$F$10+$F$11+AO331,AP331,1)))*IF(AN331&gt;0,AN331,IF(AN330&gt;0,AN330,IF(AN329&gt;0,AN329,IF(AN328&gt;0,AN328,IF(AN327&gt;0,AN327,IF(AN326&gt;0,AN326,IF(AN325&gt;0,AN325,IF(AN324&gt;0,AN324,IF(AN323&gt;0,AN323,IF(AN321&gt;0,AN321,IF(AN320&gt;0,AN320,IF(AN319&gt;0,AN319,0)))))))))))),0)*(1-$S331)*'模拟-单技能数据'!$I$21</f>
        <v>25101.867467669974</v>
      </c>
      <c r="AS331" s="61">
        <f ca="1">IF(OR(C331="净世破魔击·日",C331="净世破魔击·月"),M331-'模拟-单技能数据'!$K$10,0)</f>
        <v>0</v>
      </c>
      <c r="AT331" s="61">
        <f ca="1">IF(OR(C331="净世破魔击·日",C331="净世破魔击·月"),I331-'模拟-单技能数据'!$L$10,0)</f>
        <v>0</v>
      </c>
      <c r="AU331" s="62">
        <f t="shared" ca="1" si="272"/>
        <v>4.4899557047928251E-4</v>
      </c>
      <c r="AV331" s="64">
        <f ca="1">IF(AS331&gt;0,('模拟-单技能数据'!$D$22+G331*'模拟-单技能数据'!$F$22)*(1+J331)*(1-S331)*IF(AU331&lt;$F$10,0,IF(AU331&lt;$F$10+$F$11,0.25,IF(AU331&lt;$F$10+$F$11+AS331,AT331,1)))*(1+U331),0)*'模拟-单技能数据'!$I$22</f>
        <v>0</v>
      </c>
      <c r="AW331" s="108">
        <f t="shared" ca="1" si="273"/>
        <v>0</v>
      </c>
      <c r="AX331" s="108" t="b">
        <f ca="1">AND(模拟模式!$P$10="有",AW330=0,RAND()&lt;IF(C331="净世破魔击·月",0.1*8/3,IF(C331="净世破魔击·日",0.1*4/3,0.1*2/3)))</f>
        <v>0</v>
      </c>
      <c r="AY331" s="47">
        <f ca="1">IF(AX331,(18+G331*0.722)*(1+J331)*(1-S331)*(1+$I$4)*IF(P331="会",'模拟-全程加成'!$J$3+'模拟-全程加成'!$J$4+'模拟-全程加成'!$J$5+('模拟-全程加成'!$I$4+'模拟-全程加成'!$I$5)/系数!$B$4+BG331*10%,IF(P331="命",1,IF(P331="识",0.25,0))),0)</f>
        <v>0</v>
      </c>
      <c r="AZ331" s="108">
        <f t="shared" si="274"/>
        <v>3.3950000000000062</v>
      </c>
      <c r="BA331" s="108" t="b">
        <f>AND(模拟模式!$Q$10="有",AZ330=0)</f>
        <v>0</v>
      </c>
      <c r="BB331" s="140">
        <f>IF(BA331,(0+G331*0.287)*(1+J331)*(1-S331)*(1+$I$4)*IF(P331="会",'模拟-全程加成'!$J$3+'模拟-全程加成'!$J$4+'模拟-全程加成'!$J$5+('模拟-全程加成'!$I$4+'模拟-全程加成'!$I$5)/系数!$B$4+BG331*10%,IF(P331="命",1,IF(P331="识",0.25,0))),0)</f>
        <v>0</v>
      </c>
      <c r="BC331" s="115" t="b">
        <f ca="1">AND(模拟模式!$R$7="伏明众生",E331=60,F331=20,DA331&lt;5,CZ330&lt;$F$4)</f>
        <v>0</v>
      </c>
      <c r="BD331" s="115">
        <f t="shared" ca="1" si="292"/>
        <v>0</v>
      </c>
      <c r="BE331" s="115" t="b">
        <f t="shared" ca="1" si="293"/>
        <v>0</v>
      </c>
      <c r="BF331" s="47">
        <f ca="1">IF(BC331,4*('模拟-单技能数据'!$D$24+G331*'模拟-单技能数据'!$F$24)*(1+J331)*(1+'模拟-单技能数据'!$J$24)*(1-S331)*(1+$I$3)*(('模拟-全程加成'!$J$3+'模拟-全程加成'!$J$4+'模拟-全程加成'!$J$5+('模拟-全程加成'!$I$4+'模拟-全程加成'!$I$5)/系数!$B$4+BG331*10%)*('模拟-全程加成'!$J$3+'模拟-全程加成'!$J$4+'模拟-全程加成'!$J$5+('模拟-全程加成'!$I$4+'模拟-全程加成'!$I$5)/系数!$B$4+BG331*10%)+(1-('模拟-全程加成'!$J$3+'模拟-全程加成'!$J$4+'模拟-全程加成'!$J$5+('模拟-全程加成'!$I$4+'模拟-全程加成'!$I$5)/系数!$B$4+BG331*10%)-$F$10-$F$11)+F317*0.25),0)*'模拟-单技能数据'!$I$24</f>
        <v>0</v>
      </c>
      <c r="BG331" s="115" t="b">
        <f ca="1">OR(AND(OR(C331="烈日斩",C331="银月斩"),模拟模式!$I$7="净身明礼"),AND(C331="净世破魔击·日",模拟模式!$J$7="洞若观火"),AND(C332="净世破魔击·月",模拟模式!$J$7="洞若观火"),AB331=1)</f>
        <v>1</v>
      </c>
      <c r="BH331" s="115" t="b">
        <f t="shared" ca="1" si="275"/>
        <v>0</v>
      </c>
      <c r="BI331" s="115">
        <f t="shared" ca="1" si="294"/>
        <v>2.3099999999999996</v>
      </c>
      <c r="BJ331" s="115" t="b">
        <f t="shared" ca="1" si="305"/>
        <v>1</v>
      </c>
      <c r="BK331" s="115" t="b">
        <f ca="1">AND(C331="驱夜断愁",模拟模式!$P$7="天地诛戮")</f>
        <v>0</v>
      </c>
      <c r="BL331" s="57">
        <f t="shared" ca="1" si="295"/>
        <v>19.077500000000001</v>
      </c>
      <c r="BM331" s="115" t="b">
        <f t="shared" ca="1" si="306"/>
        <v>1</v>
      </c>
      <c r="BN331" s="115" t="b">
        <f ca="1">AND(OR(C331="赤日轮1",C331="赤日轮2",C331="赤日轮3",C331="幽月轮1",C331="幽月轮2",C331="幽月轮3"),AB331=1,模拟模式!$L$7="明光恒照")</f>
        <v>0</v>
      </c>
      <c r="BO331" s="117">
        <f t="shared" ca="1" si="296"/>
        <v>24.465000000000003</v>
      </c>
      <c r="BP331" s="115">
        <f t="shared" ca="1" si="276"/>
        <v>6</v>
      </c>
      <c r="BQ331" s="115" t="b">
        <f>模拟模式!$K$10="2600·水"</f>
        <v>0</v>
      </c>
      <c r="BR331" s="117">
        <f t="shared" si="277"/>
        <v>0</v>
      </c>
      <c r="BS331" s="115">
        <f t="shared" si="278"/>
        <v>0</v>
      </c>
      <c r="BT331" s="115">
        <f t="shared" ca="1" si="279"/>
        <v>0</v>
      </c>
      <c r="BU331" s="115" t="b">
        <f ca="1">AND(模拟模式!$K$10="2300·雷",BT330=0,RAND()&lt;IF(C331="净世破魔击·月",5*0.05*2/3,IF(C331="净世破魔击·日",3*0.05*2/3,0.05*2*2/3)))</f>
        <v>0</v>
      </c>
      <c r="BV331" s="115">
        <f t="shared" ca="1" si="280"/>
        <v>0</v>
      </c>
      <c r="BW331" s="115">
        <f t="shared" ca="1" si="281"/>
        <v>91.439999999999259</v>
      </c>
      <c r="BX331" s="164" t="b">
        <f t="shared" ca="1" si="282"/>
        <v>0</v>
      </c>
      <c r="BY331" s="115">
        <f t="shared" ca="1" si="283"/>
        <v>0</v>
      </c>
      <c r="BZ331" s="115">
        <f>IF(OR(模拟模式!$P$16="10人团",模拟模式!$P$16="25人团"),IF(B331/30&gt;CA330,1,0),0)</f>
        <v>0</v>
      </c>
      <c r="CA331" s="115">
        <f t="shared" si="259"/>
        <v>0</v>
      </c>
      <c r="CB331" s="115">
        <f ca="1">IF(BZ331=1,IF(模拟模式!$P$16="10人团",15,0)+IF(模拟模式!$P$16="25人团",IF(RAND()&lt;0.6,15,0)),MAX(0,CB330-$F$4))</f>
        <v>0</v>
      </c>
      <c r="CC331" s="115" t="b">
        <f t="shared" ca="1" si="307"/>
        <v>0</v>
      </c>
      <c r="CD331" s="115">
        <f>IF(模拟模式!$Q$16="1个",IF(B331/40&gt;CE330,1,0),0)</f>
        <v>0</v>
      </c>
      <c r="CE331" s="115">
        <f t="shared" si="308"/>
        <v>0</v>
      </c>
      <c r="CF331" s="115">
        <f>IF(OR(CD331=1,模拟模式!$Q$16="2个"),20,MAX(0,CF330-$F$4))</f>
        <v>0</v>
      </c>
      <c r="CG331" s="115" t="b">
        <f t="shared" si="309"/>
        <v>0</v>
      </c>
      <c r="CH331" s="115">
        <f t="shared" ca="1" si="284"/>
        <v>23.542500000000004</v>
      </c>
      <c r="CI331" s="115" t="b">
        <f t="shared" ca="1" si="285"/>
        <v>0</v>
      </c>
      <c r="CJ331" s="119">
        <f t="shared" ca="1" si="286"/>
        <v>0.05</v>
      </c>
      <c r="CK331" s="115">
        <f t="shared" ca="1" si="287"/>
        <v>1.5424999999999991</v>
      </c>
      <c r="CL331" s="115" t="b">
        <f ca="1">AND(模拟模式!$S$7="驱夷逐法",OR(AND(C331="净世破魔击·月",E330&gt;59),AND(C331="净世破魔击·日",F330&gt;59)))</f>
        <v>0</v>
      </c>
      <c r="CM331" s="115" t="b">
        <f ca="1">OR(CL331,AND(C331="净世破魔击·日",CL330,RAND()&lt;模拟模式!$U$23))</f>
        <v>0</v>
      </c>
      <c r="CN331" s="115" t="b">
        <f ca="1">IF(模拟模式!$M$7="辉耀红尘",AND(C331="净世破魔击·月",CL331,CV331=0,E330&lt;80),AND(C331="净世破魔击·月",CL331,E330&lt;100))</f>
        <v>0</v>
      </c>
      <c r="CO331" s="115" t="b">
        <f t="shared" ca="1" si="260"/>
        <v>0</v>
      </c>
      <c r="CP331" s="115" t="b">
        <f ca="1">AND(模拟模式!$O$7="用晦而明",OR(C331="净世破魔击·日",C331="净世破魔击·月",C331="驱夜断愁"),AB331)</f>
        <v>0</v>
      </c>
      <c r="CQ331" s="115" t="b">
        <f ca="1">OR(CP331,AND(CP330,RAND()&lt;模拟模式!$U$23))</f>
        <v>1</v>
      </c>
      <c r="CR331" s="115" t="b">
        <f ca="1">AND(模拟模式!$S$7="日月齐光",OR(C331="幽月轮1",C331="幽月轮2",C331="幽月轮3",CR330),NOT(OR(C331="赤日轮1",C331="赤日轮2",C331="赤日轮3")))</f>
        <v>0</v>
      </c>
      <c r="CS331" s="115" t="b">
        <f ca="1">AND(模拟模式!$S$7="日月齐光",OR(C331="赤日轮1",C331="赤日轮2",C331="赤日轮3",CS330),NOT(OR(C331="幽月轮1",C331="幽月轮2",C331="幽月轮3")))</f>
        <v>0</v>
      </c>
      <c r="CT331" s="115">
        <f t="shared" ca="1" si="288"/>
        <v>0</v>
      </c>
      <c r="CU331" s="115" t="b">
        <f ca="1">AND(模拟模式!$K$10="阴阳往极",CT330=0,RAND()&lt;IF(C331="净世破魔击·月",0.0275*7/3,IF(C331="净世破魔击·日",0.0275*3/3,0.0275*2/3)))</f>
        <v>0</v>
      </c>
      <c r="CV331" s="115">
        <f t="shared" ca="1" si="289"/>
        <v>0</v>
      </c>
      <c r="CW331" s="115">
        <f t="shared" ca="1" si="261"/>
        <v>6</v>
      </c>
      <c r="CX331" s="115">
        <f t="shared" ca="1" si="262"/>
        <v>4.1549999999999994</v>
      </c>
      <c r="CY331" s="115">
        <f ca="1">MAX(IF($C331="驱夜断愁",IF(模拟模式!$R$7="万念俱寂",6,45),CY330-$F$4),0)</f>
        <v>5.0774999999999997</v>
      </c>
      <c r="CZ331" s="115">
        <f t="shared" ca="1" si="263"/>
        <v>0</v>
      </c>
      <c r="DA331" s="115">
        <f ca="1">IF(模拟模式!$N$7="日月同辉",IF(DB330=2,0,MIN(6,IF(AND(OR(C331="赤日轮1",C331="赤日轮2",C331="赤日轮3",C331="幽月轮1",C331="幽月轮2",C331="幽月轮3"),AB331=1),DA330+1,DA330))),0)</f>
        <v>0</v>
      </c>
      <c r="DB331" s="115">
        <f t="shared" ca="1" si="264"/>
        <v>0</v>
      </c>
      <c r="DC331" s="115"/>
      <c r="DD331" s="115"/>
      <c r="DE331" s="115"/>
      <c r="DF331" s="115"/>
      <c r="DG331" s="115"/>
      <c r="DH331" s="115"/>
      <c r="DI331" s="115"/>
      <c r="DJ331" s="115"/>
      <c r="DK331" s="115"/>
      <c r="DL331" s="115"/>
      <c r="DM331" s="115"/>
    </row>
    <row r="332" spans="2:117" x14ac:dyDescent="0.2">
      <c r="B332" s="117">
        <f t="shared" si="265"/>
        <v>281.36250000000217</v>
      </c>
      <c r="C332" s="167" t="str">
        <f t="shared" ca="1" si="258"/>
        <v>幽月轮1</v>
      </c>
      <c r="D332" s="115">
        <f ca="1">IF(C332="赤日轮1",1,IF(C332="赤日轮2",2,IF(C332="赤日轮3",3,IF(C332="幽月轮1",4,IF(C332="幽月轮2",5,IF(C332="幽月轮3",6,IF(C332="烈日斩",7,IF(C332="银月斩",8,IF(C332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332="净世破魔击·月",17,IF(C332="驱夜断愁",18,0)))))))))))</f>
        <v>4</v>
      </c>
      <c r="E332" s="115">
        <f ca="1">IF(AND(CU332,OR(C332="幽月轮1",C332="幽月轮2",C332="幽月轮3",C332="银月斩",C332="驱夜断愁",C332="净世破魔击·月")),100,MIN(IF(OR(CN332,BE332),0,IF(OR($C332="赤日轮1",$C332="赤日轮2",$C332="赤日轮3"),E331+20+IF(模拟模式!$I$7="日月凌天",4,0)+IF(CR331,20,0),IF($C332="烈日斩",E331+40,IF($C332="驱夜断愁",IF(模拟模式!$R$7="万念俱寂",E331+20,E331+60),IF($C332="净世破魔击·月",IF(OR(DB331&gt;0,CV331&gt;0),100,IF(模拟模式!$M$7="辉耀红尘",E331+20,E331)),IF($C332="净世破魔击·日",E331-100,E331)))))),100))</f>
        <v>80</v>
      </c>
      <c r="F332" s="115">
        <f ca="1">IF(AND(CU332,OR(C332="赤日轮1",C332="赤日轮2",C332="赤日轮3",C332="烈日斩",C332="净世破魔击·日")),100,MIN(IF(CO332,0,IF(OR($C332="幽月轮1",$C332="幽月轮2",$C332="幽月轮3"),F331+20+IF(模拟模式!$I$7="日月凌天",4,0)+IF(CS331,20,0),IF($C332="银月斩",F331+40+IF(模拟模式!$X$12=1,5,0),IF($C332="驱夜断愁",IF(模拟模式!$R$7="万念俱寂",F331+20,F331+60),IF($C332="净世破魔击·月",IF(模拟模式!$M$7="辉耀红尘",F331-80,F331-100),IF(AND(C332="净世破魔击·日",OR(DB331&gt;0,CV331&gt;0)),100,F331)))))),100))</f>
        <v>100</v>
      </c>
      <c r="G332" s="117">
        <f ca="1">('模拟-全程加成'!$E$3+'模拟-全程加成'!$E$4+'模拟-全程加成'!$E$5+('模拟-全程加成'!$C$6-'模拟-全程加成'!$C$3)*系数!$B$9+BS332*23)*(1+'模拟-全程加成'!$F$4+'模拟-全程加成'!$F$5+BJ332*10%+BM332*20%+BP332*4%+CG332*30%)+$F$7*系数!$B$12</f>
        <v>21493.829400000002</v>
      </c>
      <c r="H332" s="45">
        <f ca="1">'模拟-全程加成'!$H$3+'模拟-全程加成'!$H$4+'模拟-全程加成'!$H$5+('模拟-全程加成'!$G$4+'模拟-全程加成'!$G$5+('模拟-全程加成'!$C$6-'模拟-全程加成'!$C$3)*系数!$B$13)/系数!$B$3+LOOKUP(D332,'模拟-单技能数据'!$A$2:$A$19,'模拟-单技能数据'!$K$2:$K$19)+BG332*10%+IF(BV332&gt;0,378,0)</f>
        <v>0.51185145527300213</v>
      </c>
      <c r="I332" s="45">
        <f ca="1">'模拟-全程加成'!$J$3+'模拟-全程加成'!$J$4+'模拟-全程加成'!$J$5+('模拟-全程加成'!$I$4+'模拟-全程加成'!$I$5)/系数!$B$4+LOOKUP(D332,'模拟-单技能数据'!$A$2:$A$19,'模拟-单技能数据'!$L$2:$L$19)+BG332*10%</f>
        <v>2.162482885499879</v>
      </c>
      <c r="J332" s="45">
        <f ca="1">(('模拟-全程加成'!$K$3+'模拟-全程加成'!$K$4+'模拟-全程加成'!$K$5+('模拟-全程加成'!$C$6-'模拟-全程加成'!$C$3)*系数!$B$10+IF(BV332&gt;0,882,0)+IF(BY332&gt;0,1831,0))*(1+'模拟-全程加成'!$L$4+'模拟-全程加成'!$L$5+CC332*20%))/系数!$B$5</f>
        <v>0.69723220422048726</v>
      </c>
      <c r="K332" s="119">
        <f ca="1">LOOKUP(D332,'模拟-单技能数据'!$A$2:$A$19,'模拟-单技能数据'!$J$2:$J$19)+IF(CM332,60%,0)+IF(DB331-DB332&gt;0,30%,0)+IF(OR(AND(OR(C332="赤日轮1",C332="赤日轮2",C332="赤日轮3"),CR332),AND(OR(C332="幽月轮1",C332="幽月轮2",C332="幽月轮3"),CS332)),35%,0)+CJ332</f>
        <v>0.12000000000000001</v>
      </c>
      <c r="L332" s="119">
        <f ca="1">IF(AND(C332="烈日斩",模拟模式!$X$11=1),10%,0)+IF(AND(C332="驱夜断愁",AB332=1),30%,0)</f>
        <v>0</v>
      </c>
      <c r="M332" s="45">
        <f t="shared" ca="1" si="297"/>
        <v>0.51185145527300213</v>
      </c>
      <c r="N332" s="45">
        <f t="shared" ca="1" si="298"/>
        <v>0.43424854472699792</v>
      </c>
      <c r="O332" s="46">
        <f t="shared" ca="1" si="266"/>
        <v>0.53012453550127792</v>
      </c>
      <c r="P332" s="46" t="str">
        <f t="shared" ca="1" si="267"/>
        <v>会</v>
      </c>
      <c r="Q332" s="45">
        <f t="shared" ca="1" si="268"/>
        <v>2.162482885499879</v>
      </c>
      <c r="R332" s="117">
        <f ca="1">模拟模式!$E$20*(1-IF(模拟模式!$J$19="有",0.15,0))*(1-IF(模拟模式!$K$19="有",0.3,0)-IF(CQ332,0.5,0))</f>
        <v>2950.6049999999996</v>
      </c>
      <c r="S332" s="45">
        <f ca="1">R332/(R332+(185*模拟模式!$E$22-16800)*4.08224)</f>
        <v>0.24272716014590323</v>
      </c>
      <c r="T332" s="45" t="str">
        <f ca="1">LOOKUP(D332,'模拟-单技能数据'!$A$2:$A$19,'模拟-单技能数据'!$H$2:$H$19)</f>
        <v>阴</v>
      </c>
      <c r="U332" s="119">
        <f t="shared" ca="1" si="299"/>
        <v>0.08</v>
      </c>
      <c r="V332" s="47">
        <f ca="1">(1+L332)*(LOOKUP(D332,'模拟-单技能数据'!$A$2:$A$19,'模拟-单技能数据'!$D$2:$D$19)+G332*LOOKUP(D332,'模拟-单技能数据'!$A$2:$A$19,'模拟-单技能数据'!$F$2:$F$19))*(1+J332)*(1+K332)*(1-S332)*(1+U332)*Q332*LOOKUP(D332,'模拟-单技能数据'!$A$2:$A$19,'模拟-单技能数据'!$I$2:$I$20)</f>
        <v>38342.417102399864</v>
      </c>
      <c r="W332" s="47">
        <f ca="1">LOOKUP(D332,'模拟-单技能数据'!$A$2:$A$19,'模拟-单技能数据'!$G$2:$G$19)*$I$10</f>
        <v>361.51064354704795</v>
      </c>
      <c r="X332" s="47">
        <f t="shared" ca="1" si="269"/>
        <v>0</v>
      </c>
      <c r="Y332" s="47">
        <f t="shared" ca="1" si="300"/>
        <v>38703.927745946916</v>
      </c>
      <c r="Z332" s="49">
        <f t="shared" ca="1" si="301"/>
        <v>32017007.940005135</v>
      </c>
      <c r="AA332" s="97">
        <f t="shared" ca="1" si="302"/>
        <v>113792.73336000671</v>
      </c>
      <c r="AB332" s="115">
        <f ca="1">IF(OR(C332="赤日轮1",C332="赤日轮2",C332="赤日轮3"),IF(RAND()&lt;模拟模式!$Y$17,1,0),IF(OR(C332="幽月轮1",C332="幽月轮2",C332="幽月轮3"),IF(RAND()&lt;模拟模式!$Y$18,1,0),IF(C332="烈日斩",IF(RAND()&lt;模拟模式!$Y$19,1,0),IF(C332="银月斩",IF(RAND()&lt;模拟模式!$Y$20,1,0),IF(C332="驱夜断愁",IF(RAND()&lt;模拟模式!$Y$21,1,0),IF(C332="净世破魔击·日",IF(RAND()&lt;模拟模式!$Y$22,1,0),IF(C332="净世破魔击·月",IF(RAND()&lt;模拟模式!$Y$23,1,0),0)))))))</f>
        <v>1</v>
      </c>
      <c r="AC332" s="115" t="b">
        <f t="shared" ca="1" si="290"/>
        <v>0</v>
      </c>
      <c r="AD332" s="115" t="b">
        <f t="shared" ca="1" si="310"/>
        <v>0</v>
      </c>
      <c r="AE332" s="115">
        <f t="shared" ca="1" si="311"/>
        <v>4</v>
      </c>
      <c r="AF332" s="47">
        <f ca="1">IF(AC332,('模拟-单技能数据'!$D$20+G332*'模拟-单技能数据'!$F$20)*(1+J332)*(1+'模拟-单技能数据'!$J$20)*(1+U332),0)</f>
        <v>0</v>
      </c>
      <c r="AG332" s="61">
        <f t="shared" ca="1" si="303"/>
        <v>0.64185145527300214</v>
      </c>
      <c r="AH332" s="61">
        <f t="shared" ca="1" si="304"/>
        <v>2.2624828854998791</v>
      </c>
      <c r="AI332" s="62">
        <f t="shared" ca="1" si="270"/>
        <v>4.9129497774316411E-2</v>
      </c>
      <c r="AJ332" s="47">
        <f ca="1">IF(AD332,IF(AI332&lt;$F$10,0,IF(AI332&lt;$F$10+$F$11,0.25,IF(AI332&lt;$F$10+$F$11+AG332,AH332,1)))*IF(AF332&gt;0,AF332,IF(AF331&gt;0,AF331,IF(AF330&gt;0,AF330,IF(AF329&gt;0,AF329,IF(AF328&gt;0,AF328,IF(AF327&gt;0,AF327,IF(AF326&gt;0,AF326,IF(AF325&gt;0,AF325,IF(AF324&gt;0,AF324,IF(AF322&gt;0,AF322,IF(AF321&gt;0,AF321,IF(AF320&gt;0,AF320,0)))))))))))),0)*(1-$S332)*'模拟-单技能数据'!$I$20</f>
        <v>0</v>
      </c>
      <c r="AK332" s="115" t="b">
        <f t="shared" ca="1" si="291"/>
        <v>0</v>
      </c>
      <c r="AL332" s="115" t="b">
        <f t="shared" ca="1" si="312"/>
        <v>0</v>
      </c>
      <c r="AM332" s="115">
        <f t="shared" ca="1" si="313"/>
        <v>3</v>
      </c>
      <c r="AN332" s="47">
        <f ca="1">IF(AK332,('模拟-单技能数据'!$D$21+G332*'模拟-单技能数据'!$F$21)*(1+J332)*(1+'模拟-单技能数据'!$J$21)*(1+U332),0)</f>
        <v>0</v>
      </c>
      <c r="AO332" s="61">
        <f ca="1">IF(AN332&gt;0,M332-'模拟-单技能数据'!$K$10,AO331)</f>
        <v>0.42185145527300216</v>
      </c>
      <c r="AP332" s="61">
        <f ca="1">IF(AN332&gt;0,I332-'模拟-单技能数据'!$L$10,AP331)</f>
        <v>2.162482885499879</v>
      </c>
      <c r="AQ332" s="63">
        <f t="shared" ca="1" si="271"/>
        <v>0.40946584247676532</v>
      </c>
      <c r="AR332" s="64">
        <f ca="1">IF(AL332,IF(AQ332&lt;$F$10,0,IF(AQ332&lt;$F$10+$F$11,0.25,IF(AQ332&lt;$F$10+$F$11+AO332,AP332,1)))*IF(AN332&gt;0,AN332,IF(AN331&gt;0,AN331,IF(AN330&gt;0,AN330,IF(AN329&gt;0,AN329,IF(AN328&gt;0,AN328,IF(AN327&gt;0,AN327,IF(AN326&gt;0,AN326,IF(AN325&gt;0,AN325,IF(AN324&gt;0,AN324,IF(AN322&gt;0,AN322,IF(AN321&gt;0,AN321,IF(AN320&gt;0,AN320,0)))))))))))),0)*(1-$S332)*'模拟-单技能数据'!$I$21</f>
        <v>0</v>
      </c>
      <c r="AS332" s="61">
        <f ca="1">IF(OR(C332="净世破魔击·日",C332="净世破魔击·月"),M332-'模拟-单技能数据'!$K$10,0)</f>
        <v>0</v>
      </c>
      <c r="AT332" s="61">
        <f ca="1">IF(OR(C332="净世破魔击·日",C332="净世破魔击·月"),I332-'模拟-单技能数据'!$L$10,0)</f>
        <v>0</v>
      </c>
      <c r="AU332" s="62">
        <f t="shared" ca="1" si="272"/>
        <v>0.19221468521791907</v>
      </c>
      <c r="AV332" s="64">
        <f ca="1">IF(AS332&gt;0,('模拟-单技能数据'!$D$22+G332*'模拟-单技能数据'!$F$22)*(1+J332)*(1-S332)*IF(AU332&lt;$F$10,0,IF(AU332&lt;$F$10+$F$11,0.25,IF(AU332&lt;$F$10+$F$11+AS332,AT332,1)))*(1+U332),0)*'模拟-单技能数据'!$I$22</f>
        <v>0</v>
      </c>
      <c r="AW332" s="108">
        <f t="shared" ca="1" si="273"/>
        <v>0</v>
      </c>
      <c r="AX332" s="108" t="b">
        <f ca="1">AND(模拟模式!$P$10="有",AW331=0,RAND()&lt;IF(C332="净世破魔击·月",0.1*8/3,IF(C332="净世破魔击·日",0.1*4/3,0.1*2/3)))</f>
        <v>0</v>
      </c>
      <c r="AY332" s="47">
        <f ca="1">IF(AX332,(18+G332*0.722)*(1+J332)*(1-S332)*(1+$I$4)*IF(P332="会",'模拟-全程加成'!$J$3+'模拟-全程加成'!$J$4+'模拟-全程加成'!$J$5+('模拟-全程加成'!$I$4+'模拟-全程加成'!$I$5)/系数!$B$4+BG332*10%,IF(P332="命",1,IF(P332="识",0.25,0))),0)</f>
        <v>0</v>
      </c>
      <c r="AZ332" s="108">
        <f t="shared" si="274"/>
        <v>2.4725000000000064</v>
      </c>
      <c r="BA332" s="108" t="b">
        <f>AND(模拟模式!$Q$10="有",AZ331=0)</f>
        <v>0</v>
      </c>
      <c r="BB332" s="140">
        <f>IF(BA332,(0+G332*0.287)*(1+J332)*(1-S332)*(1+$I$4)*IF(P332="会",'模拟-全程加成'!$J$3+'模拟-全程加成'!$J$4+'模拟-全程加成'!$J$5+('模拟-全程加成'!$I$4+'模拟-全程加成'!$I$5)/系数!$B$4+BG332*10%,IF(P332="命",1,IF(P332="识",0.25,0))),0)</f>
        <v>0</v>
      </c>
      <c r="BC332" s="115" t="b">
        <f ca="1">AND(模拟模式!$R$7="伏明众生",E332=60,F332=20,DA332&lt;5,CZ331&lt;$F$4)</f>
        <v>0</v>
      </c>
      <c r="BD332" s="115">
        <f t="shared" ca="1" si="292"/>
        <v>0</v>
      </c>
      <c r="BE332" s="115" t="b">
        <f t="shared" ca="1" si="293"/>
        <v>0</v>
      </c>
      <c r="BF332" s="47">
        <f ca="1">IF(BC332,4*('模拟-单技能数据'!$D$24+G332*'模拟-单技能数据'!$F$24)*(1+J332)*(1+'模拟-单技能数据'!$J$24)*(1-S332)*(1+$I$3)*(('模拟-全程加成'!$J$3+'模拟-全程加成'!$J$4+'模拟-全程加成'!$J$5+('模拟-全程加成'!$I$4+'模拟-全程加成'!$I$5)/系数!$B$4+BG332*10%)*('模拟-全程加成'!$J$3+'模拟-全程加成'!$J$4+'模拟-全程加成'!$J$5+('模拟-全程加成'!$I$4+'模拟-全程加成'!$I$5)/系数!$B$4+BG332*10%)+(1-('模拟-全程加成'!$J$3+'模拟-全程加成'!$J$4+'模拟-全程加成'!$J$5+('模拟-全程加成'!$I$4+'模拟-全程加成'!$I$5)/系数!$B$4+BG332*10%)-$F$10-$F$11)+F318*0.25),0)*'模拟-单技能数据'!$I$24</f>
        <v>0</v>
      </c>
      <c r="BG332" s="115" t="b">
        <f ca="1">OR(AND(OR(C332="烈日斩",C332="银月斩"),模拟模式!$I$7="净身明礼"),AND(C332="净世破魔击·日",模拟模式!$J$7="洞若观火"),AND(C333="净世破魔击·月",模拟模式!$J$7="洞若观火"),AB332=1)</f>
        <v>1</v>
      </c>
      <c r="BH332" s="115" t="b">
        <f t="shared" ca="1" si="275"/>
        <v>0</v>
      </c>
      <c r="BI332" s="115">
        <f t="shared" ca="1" si="294"/>
        <v>1.3874999999999997</v>
      </c>
      <c r="BJ332" s="115" t="b">
        <f t="shared" ca="1" si="305"/>
        <v>1</v>
      </c>
      <c r="BK332" s="115" t="b">
        <f ca="1">AND(C332="驱夜断愁",模拟模式!$P$7="天地诛戮")</f>
        <v>0</v>
      </c>
      <c r="BL332" s="57">
        <f t="shared" ca="1" si="295"/>
        <v>18.155000000000001</v>
      </c>
      <c r="BM332" s="115" t="b">
        <f t="shared" ca="1" si="306"/>
        <v>1</v>
      </c>
      <c r="BN332" s="115" t="b">
        <f ca="1">AND(OR(C332="赤日轮1",C332="赤日轮2",C332="赤日轮3",C332="幽月轮1",C332="幽月轮2",C332="幽月轮3"),AB332=1,模拟模式!$L$7="明光恒照")</f>
        <v>1</v>
      </c>
      <c r="BO332" s="117">
        <f t="shared" ca="1" si="296"/>
        <v>30</v>
      </c>
      <c r="BP332" s="115">
        <f t="shared" ca="1" si="276"/>
        <v>6</v>
      </c>
      <c r="BQ332" s="115" t="b">
        <f>模拟模式!$K$10="2600·水"</f>
        <v>0</v>
      </c>
      <c r="BR332" s="117">
        <f t="shared" si="277"/>
        <v>0</v>
      </c>
      <c r="BS332" s="115">
        <f t="shared" si="278"/>
        <v>0</v>
      </c>
      <c r="BT332" s="115">
        <f t="shared" ca="1" si="279"/>
        <v>0</v>
      </c>
      <c r="BU332" s="115" t="b">
        <f ca="1">AND(模拟模式!$K$10="2300·雷",BT331=0,RAND()&lt;IF(C332="净世破魔击·月",5*0.05*2/3,IF(C332="净世破魔击·日",3*0.05*2/3,0.05*2*2/3)))</f>
        <v>0</v>
      </c>
      <c r="BV332" s="115">
        <f t="shared" ca="1" si="280"/>
        <v>0</v>
      </c>
      <c r="BW332" s="115">
        <f t="shared" ca="1" si="281"/>
        <v>90.517499999999259</v>
      </c>
      <c r="BX332" s="164" t="b">
        <f t="shared" ca="1" si="282"/>
        <v>0</v>
      </c>
      <c r="BY332" s="115">
        <f t="shared" ca="1" si="283"/>
        <v>0</v>
      </c>
      <c r="BZ332" s="115">
        <f>IF(OR(模拟模式!$P$16="10人团",模拟模式!$P$16="25人团"),IF(B332/30&gt;CA331,1,0),0)</f>
        <v>0</v>
      </c>
      <c r="CA332" s="115">
        <f t="shared" si="259"/>
        <v>0</v>
      </c>
      <c r="CB332" s="115">
        <f ca="1">IF(BZ332=1,IF(模拟模式!$P$16="10人团",15,0)+IF(模拟模式!$P$16="25人团",IF(RAND()&lt;0.6,15,0)),MAX(0,CB331-$F$4))</f>
        <v>0</v>
      </c>
      <c r="CC332" s="115" t="b">
        <f t="shared" ca="1" si="307"/>
        <v>0</v>
      </c>
      <c r="CD332" s="115">
        <f>IF(模拟模式!$Q$16="1个",IF(B332/40&gt;CE331,1,0),0)</f>
        <v>0</v>
      </c>
      <c r="CE332" s="115">
        <f t="shared" si="308"/>
        <v>0</v>
      </c>
      <c r="CF332" s="115">
        <f>IF(OR(CD332=1,模拟模式!$Q$16="2个"),20,MAX(0,CF331-$F$4))</f>
        <v>0</v>
      </c>
      <c r="CG332" s="115" t="b">
        <f t="shared" si="309"/>
        <v>0</v>
      </c>
      <c r="CH332" s="115">
        <f t="shared" ca="1" si="284"/>
        <v>22.620000000000005</v>
      </c>
      <c r="CI332" s="115" t="b">
        <f t="shared" ca="1" si="285"/>
        <v>0</v>
      </c>
      <c r="CJ332" s="119">
        <f t="shared" ca="1" si="286"/>
        <v>0.05</v>
      </c>
      <c r="CK332" s="115">
        <f t="shared" ca="1" si="287"/>
        <v>0.61999999999999911</v>
      </c>
      <c r="CL332" s="115" t="b">
        <f ca="1">AND(模拟模式!$S$7="驱夷逐法",OR(AND(C332="净世破魔击·月",E331&gt;59),AND(C332="净世破魔击·日",F331&gt;59)))</f>
        <v>0</v>
      </c>
      <c r="CM332" s="115" t="b">
        <f ca="1">OR(CL332,AND(C332="净世破魔击·日",CL331,RAND()&lt;模拟模式!$U$23))</f>
        <v>0</v>
      </c>
      <c r="CN332" s="115" t="b">
        <f ca="1">IF(模拟模式!$M$7="辉耀红尘",AND(C332="净世破魔击·月",CL332,CV332=0,E331&lt;80),AND(C332="净世破魔击·月",CL332,E331&lt;100))</f>
        <v>0</v>
      </c>
      <c r="CO332" s="115" t="b">
        <f t="shared" ca="1" si="260"/>
        <v>0</v>
      </c>
      <c r="CP332" s="115" t="b">
        <f ca="1">AND(模拟模式!$O$7="用晦而明",OR(C332="净世破魔击·日",C332="净世破魔击·月",C332="驱夜断愁"),AB332)</f>
        <v>0</v>
      </c>
      <c r="CQ332" s="115" t="b">
        <f ca="1">OR(CP332,AND(CP331,RAND()&lt;模拟模式!$U$23))</f>
        <v>0</v>
      </c>
      <c r="CR332" s="115" t="b">
        <f ca="1">AND(模拟模式!$S$7="日月齐光",OR(C332="幽月轮1",C332="幽月轮2",C332="幽月轮3",CR331),NOT(OR(C332="赤日轮1",C332="赤日轮2",C332="赤日轮3")))</f>
        <v>0</v>
      </c>
      <c r="CS332" s="115" t="b">
        <f ca="1">AND(模拟模式!$S$7="日月齐光",OR(C332="赤日轮1",C332="赤日轮2",C332="赤日轮3",CS331),NOT(OR(C332="幽月轮1",C332="幽月轮2",C332="幽月轮3")))</f>
        <v>0</v>
      </c>
      <c r="CT332" s="115">
        <f t="shared" ca="1" si="288"/>
        <v>0</v>
      </c>
      <c r="CU332" s="115" t="b">
        <f ca="1">AND(模拟模式!$K$10="阴阳往极",CT331=0,RAND()&lt;IF(C332="净世破魔击·月",0.0275*7/3,IF(C332="净世破魔击·日",0.0275*3/3,0.0275*2/3)))</f>
        <v>0</v>
      </c>
      <c r="CV332" s="115">
        <f t="shared" ca="1" si="289"/>
        <v>0</v>
      </c>
      <c r="CW332" s="115">
        <f t="shared" ca="1" si="261"/>
        <v>5.0774999999999997</v>
      </c>
      <c r="CX332" s="115">
        <f t="shared" ca="1" si="262"/>
        <v>3.2324999999999995</v>
      </c>
      <c r="CY332" s="115">
        <f ca="1">MAX(IF($C332="驱夜断愁",IF(模拟模式!$R$7="万念俱寂",6,45),CY331-$F$4),0)</f>
        <v>4.1549999999999994</v>
      </c>
      <c r="CZ332" s="115">
        <f t="shared" ca="1" si="263"/>
        <v>0</v>
      </c>
      <c r="DA332" s="115">
        <f ca="1">IF(模拟模式!$N$7="日月同辉",IF(DB331=2,0,MIN(6,IF(AND(OR(C332="赤日轮1",C332="赤日轮2",C332="赤日轮3",C332="幽月轮1",C332="幽月轮2",C332="幽月轮3"),AB332=1),DA331+1,DA331))),0)</f>
        <v>1</v>
      </c>
      <c r="DB332" s="115">
        <f t="shared" ca="1" si="264"/>
        <v>0</v>
      </c>
      <c r="DC332" s="115"/>
      <c r="DD332" s="115"/>
      <c r="DE332" s="115"/>
      <c r="DF332" s="115"/>
      <c r="DG332" s="115"/>
      <c r="DH332" s="115"/>
      <c r="DI332" s="115"/>
      <c r="DJ332" s="115"/>
      <c r="DK332" s="115"/>
      <c r="DL332" s="115"/>
      <c r="DM332" s="115"/>
    </row>
    <row r="333" spans="2:117" x14ac:dyDescent="0.2">
      <c r="B333" s="117">
        <f t="shared" si="265"/>
        <v>282.28500000000219</v>
      </c>
      <c r="C333" s="167" t="str">
        <f t="shared" ca="1" si="258"/>
        <v>净世破魔击·月</v>
      </c>
      <c r="D333" s="115">
        <f ca="1">IF(C333="赤日轮1",1,IF(C333="赤日轮2",2,IF(C333="赤日轮3",3,IF(C333="幽月轮1",4,IF(C333="幽月轮2",5,IF(C333="幽月轮3",6,IF(C333="烈日斩",7,IF(C333="银月斩",8,IF(C333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333="净世破魔击·月",17,IF(C333="驱夜断愁",18,0)))))))))))</f>
        <v>17</v>
      </c>
      <c r="E333" s="115">
        <f ca="1">IF(AND(CU333,OR(C333="幽月轮1",C333="幽月轮2",C333="幽月轮3",C333="银月斩",C333="驱夜断愁",C333="净世破魔击·月")),100,MIN(IF(OR(CN333,BE333),0,IF(OR($C333="赤日轮1",$C333="赤日轮2",$C333="赤日轮3"),E332+20+IF(模拟模式!$I$7="日月凌天",4,0)+IF(CR332,20,0),IF($C333="烈日斩",E332+40,IF($C333="驱夜断愁",IF(模拟模式!$R$7="万念俱寂",E332+20,E332+60),IF($C333="净世破魔击·月",IF(OR(DB332&gt;0,CV332&gt;0),100,IF(模拟模式!$M$7="辉耀红尘",E332+20,E332)),IF($C333="净世破魔击·日",E332-100,E332)))))),100))</f>
        <v>100</v>
      </c>
      <c r="F333" s="115">
        <f ca="1">IF(AND(CU333,OR(C333="赤日轮1",C333="赤日轮2",C333="赤日轮3",C333="烈日斩",C333="净世破魔击·日")),100,MIN(IF(CO333,0,IF(OR($C333="幽月轮1",$C333="幽月轮2",$C333="幽月轮3"),F332+20+IF(模拟模式!$I$7="日月凌天",4,0)+IF(CS332,20,0),IF($C333="银月斩",F332+40+IF(模拟模式!$X$12=1,5,0),IF($C333="驱夜断愁",IF(模拟模式!$R$7="万念俱寂",F332+20,F332+60),IF($C333="净世破魔击·月",IF(模拟模式!$M$7="辉耀红尘",F332-80,F332-100),IF(AND(C333="净世破魔击·日",OR(DB332&gt;0,CV332&gt;0)),100,F332)))))),100))</f>
        <v>20</v>
      </c>
      <c r="G333" s="117">
        <f ca="1">('模拟-全程加成'!$E$3+'模拟-全程加成'!$E$4+'模拟-全程加成'!$E$5+('模拟-全程加成'!$C$6-'模拟-全程加成'!$C$3)*系数!$B$9+BS333*23)*(1+'模拟-全程加成'!$F$4+'模拟-全程加成'!$F$5+BJ333*10%+BM333*20%+BP333*4%+CG333*30%)+$F$7*系数!$B$12</f>
        <v>21493.829400000002</v>
      </c>
      <c r="H333" s="45">
        <f ca="1">'模拟-全程加成'!$H$3+'模拟-全程加成'!$H$4+'模拟-全程加成'!$H$5+('模拟-全程加成'!$G$4+'模拟-全程加成'!$G$5+('模拟-全程加成'!$C$6-'模拟-全程加成'!$C$3)*系数!$B$13)/系数!$B$3+LOOKUP(D333,'模拟-单技能数据'!$A$2:$A$19,'模拟-单技能数据'!$K$2:$K$19)+BG333*10%+IF(BV333&gt;0,378,0)</f>
        <v>0.54185145527300216</v>
      </c>
      <c r="I333" s="45">
        <f ca="1">'模拟-全程加成'!$J$3+'模拟-全程加成'!$J$4+'模拟-全程加成'!$J$5+('模拟-全程加成'!$I$4+'模拟-全程加成'!$I$5)/系数!$B$4+LOOKUP(D333,'模拟-单技能数据'!$A$2:$A$19,'模拟-单技能数据'!$L$2:$L$19)+BG333*10%</f>
        <v>2.162482885499879</v>
      </c>
      <c r="J333" s="45">
        <f ca="1">(('模拟-全程加成'!$K$3+'模拟-全程加成'!$K$4+'模拟-全程加成'!$K$5+('模拟-全程加成'!$C$6-'模拟-全程加成'!$C$3)*系数!$B$10+IF(BV333&gt;0,882,0)+IF(BY333&gt;0,1831,0))*(1+'模拟-全程加成'!$L$4+'模拟-全程加成'!$L$5+CC333*20%))/系数!$B$5</f>
        <v>0.69723220422048726</v>
      </c>
      <c r="K333" s="119">
        <f ca="1">LOOKUP(D333,'模拟-单技能数据'!$A$2:$A$19,'模拟-单技能数据'!$J$2:$J$19)+IF(CM333,60%,0)+IF(DB332-DB333&gt;0,30%,0)+IF(OR(AND(OR(C333="赤日轮1",C333="赤日轮2",C333="赤日轮3"),CR333),AND(OR(C333="幽月轮1",C333="幽月轮2",C333="幽月轮3"),CS333)),35%,0)+CJ333</f>
        <v>0.8</v>
      </c>
      <c r="L333" s="119">
        <f ca="1">IF(AND(C333="烈日斩",模拟模式!$X$11=1),10%,0)+IF(AND(C333="驱夜断愁",AB333=1),30%,0)</f>
        <v>0</v>
      </c>
      <c r="M333" s="45">
        <f t="shared" ca="1" si="297"/>
        <v>0.54185145527300216</v>
      </c>
      <c r="N333" s="45">
        <f t="shared" ca="1" si="298"/>
        <v>0.40424854472699789</v>
      </c>
      <c r="O333" s="46">
        <f t="shared" ca="1" si="266"/>
        <v>0.17478334538685836</v>
      </c>
      <c r="P333" s="46" t="str">
        <f t="shared" ca="1" si="267"/>
        <v>会</v>
      </c>
      <c r="Q333" s="45">
        <f t="shared" ca="1" si="268"/>
        <v>2.162482885499879</v>
      </c>
      <c r="R333" s="117">
        <f ca="1">模拟模式!$E$20*(1-IF(模拟模式!$J$19="有",0.15,0))*(1-IF(模拟模式!$K$19="有",0.3,0)-IF(CQ333,0.5,0))</f>
        <v>843.02999999999975</v>
      </c>
      <c r="S333" s="45">
        <f ca="1">R333/(R333+(185*模拟模式!$E$22-16800)*4.08224)</f>
        <v>8.389626085980037E-2</v>
      </c>
      <c r="T333" s="45" t="str">
        <f ca="1">LOOKUP(D333,'模拟-单技能数据'!$A$2:$A$19,'模拟-单技能数据'!$H$2:$H$19)</f>
        <v>阴</v>
      </c>
      <c r="U333" s="119">
        <f t="shared" ca="1" si="299"/>
        <v>0.08</v>
      </c>
      <c r="V333" s="47">
        <f ca="1">(1+L333)*(LOOKUP(D333,'模拟-单技能数据'!$A$2:$A$19,'模拟-单技能数据'!$D$2:$D$19)+G333*LOOKUP(D333,'模拟-单技能数据'!$A$2:$A$19,'模拟-单技能数据'!$F$2:$F$19))*(1+J333)*(1+K333)*(1-S333)*(1+U333)*Q333*LOOKUP(D333,'模拟-单技能数据'!$A$2:$A$19,'模拟-单技能数据'!$I$2:$I$20)</f>
        <v>182541.2211190153</v>
      </c>
      <c r="W333" s="47">
        <f ca="1">LOOKUP(D333,'模拟-单技能数据'!$A$2:$A$19,'模拟-单技能数据'!$G$2:$G$19)*$I$10</f>
        <v>361.51064354704795</v>
      </c>
      <c r="X333" s="47">
        <f t="shared" ca="1" si="269"/>
        <v>51923.694178492544</v>
      </c>
      <c r="Y333" s="47">
        <f t="shared" ca="1" si="300"/>
        <v>234826.42594105488</v>
      </c>
      <c r="Z333" s="49">
        <f t="shared" ca="1" si="301"/>
        <v>32251834.365946189</v>
      </c>
      <c r="AA333" s="97">
        <f t="shared" ca="1" si="302"/>
        <v>114252.73877799365</v>
      </c>
      <c r="AB333" s="115">
        <f ca="1">IF(OR(C333="赤日轮1",C333="赤日轮2",C333="赤日轮3"),IF(RAND()&lt;模拟模式!$Y$17,1,0),IF(OR(C333="幽月轮1",C333="幽月轮2",C333="幽月轮3"),IF(RAND()&lt;模拟模式!$Y$18,1,0),IF(C333="烈日斩",IF(RAND()&lt;模拟模式!$Y$19,1,0),IF(C333="银月斩",IF(RAND()&lt;模拟模式!$Y$20,1,0),IF(C333="驱夜断愁",IF(RAND()&lt;模拟模式!$Y$21,1,0),IF(C333="净世破魔击·日",IF(RAND()&lt;模拟模式!$Y$22,1,0),IF(C333="净世破魔击·月",IF(RAND()&lt;模拟模式!$Y$23,1,0),0)))))))</f>
        <v>1</v>
      </c>
      <c r="AC333" s="115" t="b">
        <f t="shared" ca="1" si="290"/>
        <v>0</v>
      </c>
      <c r="AD333" s="115" t="b">
        <f t="shared" ca="1" si="310"/>
        <v>1</v>
      </c>
      <c r="AE333" s="115">
        <f t="shared" ca="1" si="311"/>
        <v>3</v>
      </c>
      <c r="AF333" s="47">
        <f ca="1">IF(AC333,('模拟-单技能数据'!$D$20+G333*'模拟-单技能数据'!$F$20)*(1+J333)*(1+'模拟-单技能数据'!$J$20)*(1+U333),0)</f>
        <v>0</v>
      </c>
      <c r="AG333" s="61">
        <f t="shared" ca="1" si="303"/>
        <v>0.64185145527300214</v>
      </c>
      <c r="AH333" s="61">
        <f t="shared" ca="1" si="304"/>
        <v>2.2624828854998791</v>
      </c>
      <c r="AI333" s="62">
        <f t="shared" ca="1" si="270"/>
        <v>0.28742947369957428</v>
      </c>
      <c r="AJ333" s="47">
        <f ca="1">IF(AD333,IF(AI333&lt;$F$10,0,IF(AI333&lt;$F$10+$F$11,0.25,IF(AI333&lt;$F$10+$F$11+AG333,AH333,1)))*IF(AF333&gt;0,AF333,IF(AF332&gt;0,AF332,IF(AF331&gt;0,AF331,IF(AF330&gt;0,AF330,IF(AF329&gt;0,AF329,IF(AF328&gt;0,AF328,IF(AF327&gt;0,AF327,IF(AF326&gt;0,AF326,IF(AF325&gt;0,AF325,IF(AF323&gt;0,AF323,IF(AF322&gt;0,AF322,IF(AF321&gt;0,AF321,0)))))))))))),0)*(1-$S333)*'模拟-单技能数据'!$I$20</f>
        <v>9616.6571145767884</v>
      </c>
      <c r="AK333" s="115" t="b">
        <f t="shared" ca="1" si="291"/>
        <v>0</v>
      </c>
      <c r="AL333" s="115" t="b">
        <f t="shared" ca="1" si="312"/>
        <v>1</v>
      </c>
      <c r="AM333" s="115">
        <f t="shared" ca="1" si="313"/>
        <v>2</v>
      </c>
      <c r="AN333" s="47">
        <f ca="1">IF(AK333,('模拟-单技能数据'!$D$21+G333*'模拟-单技能数据'!$F$21)*(1+J333)*(1+'模拟-单技能数据'!$J$21)*(1+U333),0)</f>
        <v>0</v>
      </c>
      <c r="AO333" s="61">
        <f ca="1">IF(AN333&gt;0,M333-'模拟-单技能数据'!$K$10,AO332)</f>
        <v>0.42185145527300216</v>
      </c>
      <c r="AP333" s="61">
        <f ca="1">IF(AN333&gt;0,I333-'模拟-单技能数据'!$L$10,AP332)</f>
        <v>2.162482885499879</v>
      </c>
      <c r="AQ333" s="63">
        <f t="shared" ca="1" si="271"/>
        <v>0.11613281256451002</v>
      </c>
      <c r="AR333" s="64">
        <f ca="1">IF(AL333,IF(AQ333&lt;$F$10,0,IF(AQ333&lt;$F$10+$F$11,0.25,IF(AQ333&lt;$F$10+$F$11+AO333,AP333,1)))*IF(AN333&gt;0,AN333,IF(AN332&gt;0,AN332,IF(AN331&gt;0,AN331,IF(AN330&gt;0,AN330,IF(AN329&gt;0,AN329,IF(AN328&gt;0,AN328,IF(AN327&gt;0,AN327,IF(AN326&gt;0,AN326,IF(AN325&gt;0,AN325,IF(AN323&gt;0,AN323,IF(AN322&gt;0,AN322,IF(AN321&gt;0,AN321,0)))))))))))),0)*(1-$S333)*'模拟-单技能数据'!$I$21</f>
        <v>25101.867467669974</v>
      </c>
      <c r="AS333" s="61">
        <f ca="1">IF(OR(C333="净世破魔击·日",C333="净世破魔击·月"),M333-'模拟-单技能数据'!$K$10,0)</f>
        <v>0.42185145527300216</v>
      </c>
      <c r="AT333" s="61">
        <f ca="1">IF(OR(C333="净世破魔击·日",C333="净世破魔击·月"),I333-'模拟-单技能数据'!$L$10,0)</f>
        <v>2.162482885499879</v>
      </c>
      <c r="AU333" s="62">
        <f t="shared" ca="1" si="272"/>
        <v>0.21110964787140851</v>
      </c>
      <c r="AV333" s="64">
        <f ca="1">IF(AS333&gt;0,('模拟-单技能数据'!$D$22+G333*'模拟-单技能数据'!$F$22)*(1+J333)*(1-S333)*IF(AU333&lt;$F$10,0,IF(AU333&lt;$F$10+$F$11,0.25,IF(AU333&lt;$F$10+$F$11+AS333,AT333,1)))*(1+U333),0)*'模拟-单技能数据'!$I$22</f>
        <v>17205.169596245785</v>
      </c>
      <c r="AW333" s="108">
        <f t="shared" ca="1" si="273"/>
        <v>0</v>
      </c>
      <c r="AX333" s="108" t="b">
        <f ca="1">AND(模拟模式!$P$10="有",AW332=0,RAND()&lt;IF(C333="净世破魔击·月",0.1*8/3,IF(C333="净世破魔击·日",0.1*4/3,0.1*2/3)))</f>
        <v>0</v>
      </c>
      <c r="AY333" s="47">
        <f ca="1">IF(AX333,(18+G333*0.722)*(1+J333)*(1-S333)*(1+$I$4)*IF(P333="会",'模拟-全程加成'!$J$3+'模拟-全程加成'!$J$4+'模拟-全程加成'!$J$5+('模拟-全程加成'!$I$4+'模拟-全程加成'!$I$5)/系数!$B$4+BG333*10%,IF(P333="命",1,IF(P333="识",0.25,0))),0)</f>
        <v>0</v>
      </c>
      <c r="AZ333" s="108">
        <f t="shared" si="274"/>
        <v>1.5500000000000065</v>
      </c>
      <c r="BA333" s="108" t="b">
        <f>AND(模拟模式!$Q$10="有",AZ332=0)</f>
        <v>0</v>
      </c>
      <c r="BB333" s="140">
        <f>IF(BA333,(0+G333*0.287)*(1+J333)*(1-S333)*(1+$I$4)*IF(P333="会",'模拟-全程加成'!$J$3+'模拟-全程加成'!$J$4+'模拟-全程加成'!$J$5+('模拟-全程加成'!$I$4+'模拟-全程加成'!$I$5)/系数!$B$4+BG333*10%,IF(P333="命",1,IF(P333="识",0.25,0))),0)</f>
        <v>0</v>
      </c>
      <c r="BC333" s="115" t="b">
        <f ca="1">AND(模拟模式!$R$7="伏明众生",E333=60,F333=20,DA333&lt;5,CZ332&lt;$F$4)</f>
        <v>0</v>
      </c>
      <c r="BD333" s="115">
        <f t="shared" ca="1" si="292"/>
        <v>0</v>
      </c>
      <c r="BE333" s="115" t="b">
        <f t="shared" ca="1" si="293"/>
        <v>0</v>
      </c>
      <c r="BF333" s="47">
        <f ca="1">IF(BC333,4*('模拟-单技能数据'!$D$24+G333*'模拟-单技能数据'!$F$24)*(1+J333)*(1+'模拟-单技能数据'!$J$24)*(1-S333)*(1+$I$3)*(('模拟-全程加成'!$J$3+'模拟-全程加成'!$J$4+'模拟-全程加成'!$J$5+('模拟-全程加成'!$I$4+'模拟-全程加成'!$I$5)/系数!$B$4+BG333*10%)*('模拟-全程加成'!$J$3+'模拟-全程加成'!$J$4+'模拟-全程加成'!$J$5+('模拟-全程加成'!$I$4+'模拟-全程加成'!$I$5)/系数!$B$4+BG333*10%)+(1-('模拟-全程加成'!$J$3+'模拟-全程加成'!$J$4+'模拟-全程加成'!$J$5+('模拟-全程加成'!$I$4+'模拟-全程加成'!$I$5)/系数!$B$4+BG333*10%)-$F$10-$F$11)+F319*0.25),0)*'模拟-单技能数据'!$I$24</f>
        <v>0</v>
      </c>
      <c r="BG333" s="115" t="b">
        <f ca="1">OR(AND(OR(C333="烈日斩",C333="银月斩"),模拟模式!$I$7="净身明礼"),AND(C333="净世破魔击·日",模拟模式!$J$7="洞若观火"),AND(C334="净世破魔击·月",模拟模式!$J$7="洞若观火"),AB333=1)</f>
        <v>1</v>
      </c>
      <c r="BH333" s="115" t="b">
        <f t="shared" ca="1" si="275"/>
        <v>0</v>
      </c>
      <c r="BI333" s="115">
        <f t="shared" ca="1" si="294"/>
        <v>0.46499999999999975</v>
      </c>
      <c r="BJ333" s="115" t="b">
        <f t="shared" ca="1" si="305"/>
        <v>1</v>
      </c>
      <c r="BK333" s="115" t="b">
        <f ca="1">AND(C333="驱夜断愁",模拟模式!$P$7="天地诛戮")</f>
        <v>0</v>
      </c>
      <c r="BL333" s="57">
        <f t="shared" ca="1" si="295"/>
        <v>17.232500000000002</v>
      </c>
      <c r="BM333" s="115" t="b">
        <f t="shared" ca="1" si="306"/>
        <v>1</v>
      </c>
      <c r="BN333" s="115" t="b">
        <f ca="1">AND(OR(C333="赤日轮1",C333="赤日轮2",C333="赤日轮3",C333="幽月轮1",C333="幽月轮2",C333="幽月轮3"),AB333=1,模拟模式!$L$7="明光恒照")</f>
        <v>0</v>
      </c>
      <c r="BO333" s="117">
        <f t="shared" ca="1" si="296"/>
        <v>29.077500000000001</v>
      </c>
      <c r="BP333" s="115">
        <f t="shared" ca="1" si="276"/>
        <v>6</v>
      </c>
      <c r="BQ333" s="115" t="b">
        <f>模拟模式!$K$10="2600·水"</f>
        <v>0</v>
      </c>
      <c r="BR333" s="117">
        <f t="shared" si="277"/>
        <v>0</v>
      </c>
      <c r="BS333" s="115">
        <f t="shared" si="278"/>
        <v>0</v>
      </c>
      <c r="BT333" s="115">
        <f t="shared" ca="1" si="279"/>
        <v>0</v>
      </c>
      <c r="BU333" s="115" t="b">
        <f ca="1">AND(模拟模式!$K$10="2300·雷",BT332=0,RAND()&lt;IF(C333="净世破魔击·月",5*0.05*2/3,IF(C333="净世破魔击·日",3*0.05*2/3,0.05*2*2/3)))</f>
        <v>0</v>
      </c>
      <c r="BV333" s="115">
        <f t="shared" ca="1" si="280"/>
        <v>0</v>
      </c>
      <c r="BW333" s="115">
        <f t="shared" ca="1" si="281"/>
        <v>89.59499999999926</v>
      </c>
      <c r="BX333" s="164" t="b">
        <f t="shared" ca="1" si="282"/>
        <v>0</v>
      </c>
      <c r="BY333" s="115">
        <f t="shared" ca="1" si="283"/>
        <v>0</v>
      </c>
      <c r="BZ333" s="115">
        <f>IF(OR(模拟模式!$P$16="10人团",模拟模式!$P$16="25人团"),IF(B333/30&gt;CA332,1,0),0)</f>
        <v>0</v>
      </c>
      <c r="CA333" s="115">
        <f t="shared" si="259"/>
        <v>0</v>
      </c>
      <c r="CB333" s="115">
        <f ca="1">IF(BZ333=1,IF(模拟模式!$P$16="10人团",15,0)+IF(模拟模式!$P$16="25人团",IF(RAND()&lt;0.6,15,0)),MAX(0,CB332-$F$4))</f>
        <v>0</v>
      </c>
      <c r="CC333" s="115" t="b">
        <f t="shared" ca="1" si="307"/>
        <v>0</v>
      </c>
      <c r="CD333" s="115">
        <f>IF(模拟模式!$Q$16="1个",IF(B333/40&gt;CE332,1,0),0)</f>
        <v>0</v>
      </c>
      <c r="CE333" s="115">
        <f t="shared" si="308"/>
        <v>0</v>
      </c>
      <c r="CF333" s="115">
        <f>IF(OR(CD333=1,模拟模式!$Q$16="2个"),20,MAX(0,CF332-$F$4))</f>
        <v>0</v>
      </c>
      <c r="CG333" s="115" t="b">
        <f t="shared" si="309"/>
        <v>0</v>
      </c>
      <c r="CH333" s="115">
        <f t="shared" ca="1" si="284"/>
        <v>21.697500000000005</v>
      </c>
      <c r="CI333" s="115" t="b">
        <f t="shared" ca="1" si="285"/>
        <v>0</v>
      </c>
      <c r="CJ333" s="119">
        <f t="shared" ca="1" si="286"/>
        <v>0</v>
      </c>
      <c r="CK333" s="115">
        <f t="shared" ca="1" si="287"/>
        <v>0</v>
      </c>
      <c r="CL333" s="115" t="b">
        <f ca="1">AND(模拟模式!$S$7="驱夷逐法",OR(AND(C333="净世破魔击·月",E332&gt;59),AND(C333="净世破魔击·日",F332&gt;59)))</f>
        <v>1</v>
      </c>
      <c r="CM333" s="115" t="b">
        <f ca="1">OR(CL333,AND(C333="净世破魔击·日",CL332,RAND()&lt;模拟模式!$U$23))</f>
        <v>1</v>
      </c>
      <c r="CN333" s="115" t="b">
        <f ca="1">IF(模拟模式!$M$7="辉耀红尘",AND(C333="净世破魔击·月",CL333,CV333=0,E332&lt;80),AND(C333="净世破魔击·月",CL333,E332&lt;100))</f>
        <v>0</v>
      </c>
      <c r="CO333" s="115" t="b">
        <f t="shared" ca="1" si="260"/>
        <v>0</v>
      </c>
      <c r="CP333" s="115" t="b">
        <f ca="1">AND(模拟模式!$O$7="用晦而明",OR(C333="净世破魔击·日",C333="净世破魔击·月",C333="驱夜断愁"),AB333)</f>
        <v>1</v>
      </c>
      <c r="CQ333" s="115" t="b">
        <f ca="1">OR(CP333,AND(CP332,RAND()&lt;模拟模式!$U$23))</f>
        <v>1</v>
      </c>
      <c r="CR333" s="115" t="b">
        <f ca="1">AND(模拟模式!$S$7="日月齐光",OR(C333="幽月轮1",C333="幽月轮2",C333="幽月轮3",CR332),NOT(OR(C333="赤日轮1",C333="赤日轮2",C333="赤日轮3")))</f>
        <v>0</v>
      </c>
      <c r="CS333" s="115" t="b">
        <f ca="1">AND(模拟模式!$S$7="日月齐光",OR(C333="赤日轮1",C333="赤日轮2",C333="赤日轮3",CS332),NOT(OR(C333="幽月轮1",C333="幽月轮2",C333="幽月轮3")))</f>
        <v>0</v>
      </c>
      <c r="CT333" s="115">
        <f t="shared" ca="1" si="288"/>
        <v>0</v>
      </c>
      <c r="CU333" s="115" t="b">
        <f ca="1">AND(模拟模式!$K$10="阴阳往极",CT332=0,RAND()&lt;IF(C333="净世破魔击·月",0.0275*7/3,IF(C333="净世破魔击·日",0.0275*3/3,0.0275*2/3)))</f>
        <v>0</v>
      </c>
      <c r="CV333" s="115">
        <f t="shared" ca="1" si="289"/>
        <v>0</v>
      </c>
      <c r="CW333" s="115">
        <f t="shared" ca="1" si="261"/>
        <v>4.1549999999999994</v>
      </c>
      <c r="CX333" s="115">
        <f t="shared" ca="1" si="262"/>
        <v>2.3099999999999996</v>
      </c>
      <c r="CY333" s="115">
        <f ca="1">MAX(IF($C333="驱夜断愁",IF(模拟模式!$R$7="万念俱寂",6,45),CY332-$F$4),0)</f>
        <v>3.2324999999999995</v>
      </c>
      <c r="CZ333" s="115">
        <f t="shared" ca="1" si="263"/>
        <v>0</v>
      </c>
      <c r="DA333" s="115">
        <f ca="1">IF(模拟模式!$N$7="日月同辉",IF(DB332=2,0,MIN(6,IF(AND(OR(C333="赤日轮1",C333="赤日轮2",C333="赤日轮3",C333="幽月轮1",C333="幽月轮2",C333="幽月轮3"),AB333=1),DA332+1,DA332))),0)</f>
        <v>1</v>
      </c>
      <c r="DB333" s="115">
        <f t="shared" ca="1" si="264"/>
        <v>0</v>
      </c>
      <c r="DC333" s="115"/>
      <c r="DD333" s="115"/>
      <c r="DE333" s="115"/>
      <c r="DF333" s="115"/>
      <c r="DG333" s="115"/>
      <c r="DH333" s="115"/>
      <c r="DI333" s="115"/>
      <c r="DJ333" s="115"/>
      <c r="DK333" s="115"/>
      <c r="DL333" s="115"/>
      <c r="DM333" s="115"/>
    </row>
    <row r="334" spans="2:117" x14ac:dyDescent="0.2">
      <c r="B334" s="117">
        <f t="shared" si="265"/>
        <v>283.2075000000022</v>
      </c>
      <c r="C334" s="167" t="str">
        <f t="shared" ca="1" si="258"/>
        <v>净世破魔击·日</v>
      </c>
      <c r="D334" s="115">
        <f ca="1">IF(C334="赤日轮1",1,IF(C334="赤日轮2",2,IF(C334="赤日轮3",3,IF(C334="幽月轮1",4,IF(C334="幽月轮2",5,IF(C334="幽月轮3",6,IF(C334="烈日斩",7,IF(C334="银月斩",8,IF(C334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334="净世破魔击·月",17,IF(C334="驱夜断愁",18,0)))))))))))</f>
        <v>9</v>
      </c>
      <c r="E334" s="115">
        <f ca="1">IF(AND(CU334,OR(C334="幽月轮1",C334="幽月轮2",C334="幽月轮3",C334="银月斩",C334="驱夜断愁",C334="净世破魔击·月")),100,MIN(IF(OR(CN334,BE334),0,IF(OR($C334="赤日轮1",$C334="赤日轮2",$C334="赤日轮3"),E333+20+IF(模拟模式!$I$7="日月凌天",4,0)+IF(CR333,20,0),IF($C334="烈日斩",E333+40,IF($C334="驱夜断愁",IF(模拟模式!$R$7="万念俱寂",E333+20,E333+60),IF($C334="净世破魔击·月",IF(OR(DB333&gt;0,CV333&gt;0),100,IF(模拟模式!$M$7="辉耀红尘",E333+20,E333)),IF($C334="净世破魔击·日",E333-100,E333)))))),100))</f>
        <v>0</v>
      </c>
      <c r="F334" s="115">
        <f ca="1">IF(AND(CU334,OR(C334="赤日轮1",C334="赤日轮2",C334="赤日轮3",C334="烈日斩",C334="净世破魔击·日")),100,MIN(IF(CO334,0,IF(OR($C334="幽月轮1",$C334="幽月轮2",$C334="幽月轮3"),F333+20+IF(模拟模式!$I$7="日月凌天",4,0)+IF(CS333,20,0),IF($C334="银月斩",F333+40+IF(模拟模式!$X$12=1,5,0),IF($C334="驱夜断愁",IF(模拟模式!$R$7="万念俱寂",F333+20,F333+60),IF($C334="净世破魔击·月",IF(模拟模式!$M$7="辉耀红尘",F333-80,F333-100),IF(AND(C334="净世破魔击·日",OR(DB333&gt;0,CV333&gt;0)),100,F333)))))),100))</f>
        <v>20</v>
      </c>
      <c r="G334" s="117">
        <f ca="1">('模拟-全程加成'!$E$3+'模拟-全程加成'!$E$4+'模拟-全程加成'!$E$5+('模拟-全程加成'!$C$6-'模拟-全程加成'!$C$3)*系数!$B$9+BS334*23)*(1+'模拟-全程加成'!$F$4+'模拟-全程加成'!$F$5+BJ334*10%+BM334*20%+BP334*4%+CG334*30%)+$F$7*系数!$B$12</f>
        <v>20583.127400000001</v>
      </c>
      <c r="H334" s="45">
        <f ca="1">'模拟-全程加成'!$H$3+'模拟-全程加成'!$H$4+'模拟-全程加成'!$H$5+('模拟-全程加成'!$G$4+'模拟-全程加成'!$G$5+('模拟-全程加成'!$C$6-'模拟-全程加成'!$C$3)*系数!$B$13)/系数!$B$3+LOOKUP(D334,'模拟-单技能数据'!$A$2:$A$19,'模拟-单技能数据'!$K$2:$K$19)+BG334*10%+IF(BV334&gt;0,378,0)</f>
        <v>0.54185145527300216</v>
      </c>
      <c r="I334" s="45">
        <f ca="1">'模拟-全程加成'!$J$3+'模拟-全程加成'!$J$4+'模拟-全程加成'!$J$5+('模拟-全程加成'!$I$4+'模拟-全程加成'!$I$5)/系数!$B$4+LOOKUP(D334,'模拟-单技能数据'!$A$2:$A$19,'模拟-单技能数据'!$L$2:$L$19)+BG334*10%</f>
        <v>2.162482885499879</v>
      </c>
      <c r="J334" s="45">
        <f ca="1">(('模拟-全程加成'!$K$3+'模拟-全程加成'!$K$4+'模拟-全程加成'!$K$5+('模拟-全程加成'!$C$6-'模拟-全程加成'!$C$3)*系数!$B$10+IF(BV334&gt;0,882,0)+IF(BY334&gt;0,1831,0))*(1+'模拟-全程加成'!$L$4+'模拟-全程加成'!$L$5+CC334*20%))/系数!$B$5</f>
        <v>0.69723220422048726</v>
      </c>
      <c r="K334" s="119">
        <f ca="1">LOOKUP(D334,'模拟-单技能数据'!$A$2:$A$19,'模拟-单技能数据'!$J$2:$J$19)+IF(CM334,60%,0)+IF(DB333-DB334&gt;0,30%,0)+IF(OR(AND(OR(C334="赤日轮1",C334="赤日轮2",C334="赤日轮3"),CR334),AND(OR(C334="幽月轮1",C334="幽月轮2",C334="幽月轮3"),CS334)),35%,0)+CJ334</f>
        <v>0.8</v>
      </c>
      <c r="L334" s="119">
        <f ca="1">IF(AND(C334="烈日斩",模拟模式!$X$11=1),10%,0)+IF(AND(C334="驱夜断愁",AB334=1),30%,0)</f>
        <v>0</v>
      </c>
      <c r="M334" s="45">
        <f t="shared" ca="1" si="297"/>
        <v>0.54185145527300216</v>
      </c>
      <c r="N334" s="45">
        <f t="shared" ca="1" si="298"/>
        <v>0.40424854472699789</v>
      </c>
      <c r="O334" s="46">
        <f t="shared" ca="1" si="266"/>
        <v>0.82436170310792456</v>
      </c>
      <c r="P334" s="46" t="str">
        <f t="shared" ca="1" si="267"/>
        <v>命</v>
      </c>
      <c r="Q334" s="45">
        <f t="shared" ca="1" si="268"/>
        <v>1</v>
      </c>
      <c r="R334" s="117">
        <f ca="1">模拟模式!$E$20*(1-IF(模拟模式!$J$19="有",0.15,0))*(1-IF(模拟模式!$K$19="有",0.3,0)-IF(CQ334,0.5,0))</f>
        <v>843.02999999999975</v>
      </c>
      <c r="S334" s="45">
        <f ca="1">R334/(R334+(185*模拟模式!$E$22-16800)*4.08224)</f>
        <v>8.389626085980037E-2</v>
      </c>
      <c r="T334" s="45" t="str">
        <f ca="1">LOOKUP(D334,'模拟-单技能数据'!$A$2:$A$19,'模拟-单技能数据'!$H$2:$H$19)</f>
        <v>阳</v>
      </c>
      <c r="U334" s="119">
        <f t="shared" ca="1" si="299"/>
        <v>0.2</v>
      </c>
      <c r="V334" s="47">
        <f ca="1">(1+L334)*(LOOKUP(D334,'模拟-单技能数据'!$A$2:$A$19,'模拟-单技能数据'!$D$2:$D$19)+G334*LOOKUP(D334,'模拟-单技能数据'!$A$2:$A$19,'模拟-单技能数据'!$F$2:$F$19))*(1+J334)*(1+K334)*(1-S334)*(1+U334)*Q334*LOOKUP(D334,'模拟-单技能数据'!$A$2:$A$19,'模拟-单技能数据'!$I$2:$I$20)</f>
        <v>90597.625627626709</v>
      </c>
      <c r="W334" s="47">
        <f ca="1">LOOKUP(D334,'模拟-单技能数据'!$A$2:$A$19,'模拟-单技能数据'!$G$2:$G$19)*$I$10</f>
        <v>723.0212870940959</v>
      </c>
      <c r="X334" s="47">
        <f t="shared" ca="1" si="269"/>
        <v>2122.0699311402354</v>
      </c>
      <c r="Y334" s="47">
        <f t="shared" ca="1" si="300"/>
        <v>93442.716845861039</v>
      </c>
      <c r="Z334" s="49">
        <f t="shared" ca="1" si="301"/>
        <v>32345277.082792051</v>
      </c>
      <c r="AA334" s="97">
        <f t="shared" ca="1" si="302"/>
        <v>114210.52437803306</v>
      </c>
      <c r="AB334" s="115">
        <f ca="1">IF(OR(C334="赤日轮1",C334="赤日轮2",C334="赤日轮3"),IF(RAND()&lt;模拟模式!$Y$17,1,0),IF(OR(C334="幽月轮1",C334="幽月轮2",C334="幽月轮3"),IF(RAND()&lt;模拟模式!$Y$18,1,0),IF(C334="烈日斩",IF(RAND()&lt;模拟模式!$Y$19,1,0),IF(C334="银月斩",IF(RAND()&lt;模拟模式!$Y$20,1,0),IF(C334="驱夜断愁",IF(RAND()&lt;模拟模式!$Y$21,1,0),IF(C334="净世破魔击·日",IF(RAND()&lt;模拟模式!$Y$22,1,0),IF(C334="净世破魔击·月",IF(RAND()&lt;模拟模式!$Y$23,1,0),0)))))))</f>
        <v>1</v>
      </c>
      <c r="AC334" s="115" t="b">
        <f t="shared" ca="1" si="290"/>
        <v>0</v>
      </c>
      <c r="AD334" s="115" t="b">
        <f t="shared" ca="1" si="310"/>
        <v>0</v>
      </c>
      <c r="AE334" s="115">
        <f t="shared" ca="1" si="311"/>
        <v>3</v>
      </c>
      <c r="AF334" s="47">
        <f ca="1">IF(AC334,('模拟-单技能数据'!$D$20+G334*'模拟-单技能数据'!$F$20)*(1+J334)*(1+'模拟-单技能数据'!$J$20)*(1+U334),0)</f>
        <v>0</v>
      </c>
      <c r="AG334" s="61">
        <f t="shared" ca="1" si="303"/>
        <v>0.64185145527300214</v>
      </c>
      <c r="AH334" s="61">
        <f t="shared" ca="1" si="304"/>
        <v>2.2624828854998791</v>
      </c>
      <c r="AI334" s="62">
        <f t="shared" ca="1" si="270"/>
        <v>0.96717580374752765</v>
      </c>
      <c r="AJ334" s="47">
        <f ca="1">IF(AD334,IF(AI334&lt;$F$10,0,IF(AI334&lt;$F$10+$F$11,0.25,IF(AI334&lt;$F$10+$F$11+AG334,AH334,1)))*IF(AF334&gt;0,AF334,IF(AF333&gt;0,AF333,IF(AF332&gt;0,AF332,IF(AF331&gt;0,AF331,IF(AF330&gt;0,AF330,IF(AF329&gt;0,AF329,IF(AF328&gt;0,AF328,IF(AF327&gt;0,AF327,IF(AF326&gt;0,AF326,IF(AF324&gt;0,AF324,IF(AF323&gt;0,AF323,IF(AF322&gt;0,AF322,0)))))))))))),0)*(1-$S334)*'模拟-单技能数据'!$I$20</f>
        <v>0</v>
      </c>
      <c r="AK334" s="115" t="b">
        <f t="shared" ca="1" si="291"/>
        <v>1</v>
      </c>
      <c r="AL334" s="115" t="b">
        <f t="shared" ca="1" si="312"/>
        <v>0</v>
      </c>
      <c r="AM334" s="115">
        <f t="shared" ca="1" si="313"/>
        <v>6</v>
      </c>
      <c r="AN334" s="47">
        <f ca="1">IF(AK334,('模拟-单技能数据'!$D$21+G334*'模拟-单技能数据'!$F$21)*(1+J334)*(1+'模拟-单技能数据'!$J$21)*(1+U334),0)</f>
        <v>12136.56601728573</v>
      </c>
      <c r="AO334" s="61">
        <f ca="1">IF(AN334&gt;0,M334-'模拟-单技能数据'!$K$10,AO333)</f>
        <v>0.42185145527300216</v>
      </c>
      <c r="AP334" s="61">
        <f ca="1">IF(AN334&gt;0,I334-'模拟-单技能数据'!$L$10,AP333)</f>
        <v>2.162482885499879</v>
      </c>
      <c r="AQ334" s="63">
        <f t="shared" ca="1" si="271"/>
        <v>0.89137836374509427</v>
      </c>
      <c r="AR334" s="64">
        <f ca="1">IF(AL334,IF(AQ334&lt;$F$10,0,IF(AQ334&lt;$F$10+$F$11,0.25,IF(AQ334&lt;$F$10+$F$11+AO334,AP334,1)))*IF(AN334&gt;0,AN334,IF(AN333&gt;0,AN333,IF(AN332&gt;0,AN332,IF(AN331&gt;0,AN331,IF(AN330&gt;0,AN330,IF(AN329&gt;0,AN329,IF(AN328&gt;0,AN328,IF(AN327&gt;0,AN327,IF(AN326&gt;0,AN326,IF(AN324&gt;0,AN324,IF(AN323&gt;0,AN323,IF(AN322&gt;0,AN322,0)))))))))))),0)*(1-$S334)*'模拟-单技能数据'!$I$21</f>
        <v>0</v>
      </c>
      <c r="AS334" s="61">
        <f ca="1">IF(OR(C334="净世破魔击·日",C334="净世破魔击·月"),M334-'模拟-单技能数据'!$K$10,0)</f>
        <v>0.42185145527300216</v>
      </c>
      <c r="AT334" s="61">
        <f ca="1">IF(OR(C334="净世破魔击·日",C334="净世破魔击·月"),I334-'模拟-单技能数据'!$L$10,0)</f>
        <v>2.162482885499879</v>
      </c>
      <c r="AU334" s="62">
        <f t="shared" ca="1" si="272"/>
        <v>1.0535132965503347E-2</v>
      </c>
      <c r="AV334" s="64">
        <f ca="1">IF(AS334&gt;0,('模拟-单技能数据'!$D$22+G334*'模拟-单技能数据'!$F$22)*(1+J334)*(1-S334)*IF(AU334&lt;$F$10,0,IF(AU334&lt;$F$10+$F$11,0.25,IF(AU334&lt;$F$10+$F$11+AS334,AT334,1)))*(1+U334),0)*'模拟-单技能数据'!$I$22</f>
        <v>2122.0699311402354</v>
      </c>
      <c r="AW334" s="108">
        <f t="shared" ca="1" si="273"/>
        <v>0</v>
      </c>
      <c r="AX334" s="108" t="b">
        <f ca="1">AND(模拟模式!$P$10="有",AW333=0,RAND()&lt;IF(C334="净世破魔击·月",0.1*8/3,IF(C334="净世破魔击·日",0.1*4/3,0.1*2/3)))</f>
        <v>0</v>
      </c>
      <c r="AY334" s="47">
        <f ca="1">IF(AX334,(18+G334*0.722)*(1+J334)*(1-S334)*(1+$I$4)*IF(P334="会",'模拟-全程加成'!$J$3+'模拟-全程加成'!$J$4+'模拟-全程加成'!$J$5+('模拟-全程加成'!$I$4+'模拟-全程加成'!$I$5)/系数!$B$4+BG334*10%,IF(P334="命",1,IF(P334="识",0.25,0))),0)</f>
        <v>0</v>
      </c>
      <c r="AZ334" s="108">
        <f t="shared" si="274"/>
        <v>0.6275000000000065</v>
      </c>
      <c r="BA334" s="108" t="b">
        <f>AND(模拟模式!$Q$10="有",AZ333=0)</f>
        <v>0</v>
      </c>
      <c r="BB334" s="140">
        <f>IF(BA334,(0+G334*0.287)*(1+J334)*(1-S334)*(1+$I$4)*IF(P334="会",'模拟-全程加成'!$J$3+'模拟-全程加成'!$J$4+'模拟-全程加成'!$J$5+('模拟-全程加成'!$I$4+'模拟-全程加成'!$I$5)/系数!$B$4+BG334*10%,IF(P334="命",1,IF(P334="识",0.25,0))),0)</f>
        <v>0</v>
      </c>
      <c r="BC334" s="115" t="b">
        <f ca="1">AND(模拟模式!$R$7="伏明众生",E334=60,F334=20,DA334&lt;5,CZ333&lt;$F$4)</f>
        <v>0</v>
      </c>
      <c r="BD334" s="115">
        <f t="shared" ca="1" si="292"/>
        <v>0</v>
      </c>
      <c r="BE334" s="115" t="b">
        <f t="shared" ca="1" si="293"/>
        <v>0</v>
      </c>
      <c r="BF334" s="47">
        <f ca="1">IF(BC334,4*('模拟-单技能数据'!$D$24+G334*'模拟-单技能数据'!$F$24)*(1+J334)*(1+'模拟-单技能数据'!$J$24)*(1-S334)*(1+$I$3)*(('模拟-全程加成'!$J$3+'模拟-全程加成'!$J$4+'模拟-全程加成'!$J$5+('模拟-全程加成'!$I$4+'模拟-全程加成'!$I$5)/系数!$B$4+BG334*10%)*('模拟-全程加成'!$J$3+'模拟-全程加成'!$J$4+'模拟-全程加成'!$J$5+('模拟-全程加成'!$I$4+'模拟-全程加成'!$I$5)/系数!$B$4+BG334*10%)+(1-('模拟-全程加成'!$J$3+'模拟-全程加成'!$J$4+'模拟-全程加成'!$J$5+('模拟-全程加成'!$I$4+'模拟-全程加成'!$I$5)/系数!$B$4+BG334*10%)-$F$10-$F$11)+F320*0.25),0)*'模拟-单技能数据'!$I$24</f>
        <v>0</v>
      </c>
      <c r="BG334" s="115" t="b">
        <f ca="1">OR(AND(OR(C334="烈日斩",C334="银月斩"),模拟模式!$I$7="净身明礼"),AND(C334="净世破魔击·日",模拟模式!$J$7="洞若观火"),AND(C335="净世破魔击·月",模拟模式!$J$7="洞若观火"),AB334=1)</f>
        <v>1</v>
      </c>
      <c r="BH334" s="115" t="b">
        <f t="shared" ca="1" si="275"/>
        <v>0</v>
      </c>
      <c r="BI334" s="115">
        <f t="shared" ca="1" si="294"/>
        <v>0</v>
      </c>
      <c r="BJ334" s="115" t="b">
        <f t="shared" ca="1" si="305"/>
        <v>0</v>
      </c>
      <c r="BK334" s="115" t="b">
        <f ca="1">AND(C334="驱夜断愁",模拟模式!$P$7="天地诛戮")</f>
        <v>0</v>
      </c>
      <c r="BL334" s="57">
        <f t="shared" ca="1" si="295"/>
        <v>16.310000000000002</v>
      </c>
      <c r="BM334" s="115" t="b">
        <f t="shared" ca="1" si="306"/>
        <v>1</v>
      </c>
      <c r="BN334" s="115" t="b">
        <f ca="1">AND(OR(C334="赤日轮1",C334="赤日轮2",C334="赤日轮3",C334="幽月轮1",C334="幽月轮2",C334="幽月轮3"),AB334=1,模拟模式!$L$7="明光恒照")</f>
        <v>0</v>
      </c>
      <c r="BO334" s="117">
        <f t="shared" ca="1" si="296"/>
        <v>28.155000000000001</v>
      </c>
      <c r="BP334" s="115">
        <f t="shared" ca="1" si="276"/>
        <v>6</v>
      </c>
      <c r="BQ334" s="115" t="b">
        <f>模拟模式!$K$10="2600·水"</f>
        <v>0</v>
      </c>
      <c r="BR334" s="117">
        <f t="shared" si="277"/>
        <v>0</v>
      </c>
      <c r="BS334" s="115">
        <f t="shared" si="278"/>
        <v>0</v>
      </c>
      <c r="BT334" s="115">
        <f t="shared" ca="1" si="279"/>
        <v>0</v>
      </c>
      <c r="BU334" s="115" t="b">
        <f ca="1">AND(模拟模式!$K$10="2300·雷",BT333=0,RAND()&lt;IF(C334="净世破魔击·月",5*0.05*2/3,IF(C334="净世破魔击·日",3*0.05*2/3,0.05*2*2/3)))</f>
        <v>0</v>
      </c>
      <c r="BV334" s="115">
        <f t="shared" ca="1" si="280"/>
        <v>0</v>
      </c>
      <c r="BW334" s="115">
        <f t="shared" ca="1" si="281"/>
        <v>88.67249999999926</v>
      </c>
      <c r="BX334" s="164" t="b">
        <f t="shared" ca="1" si="282"/>
        <v>0</v>
      </c>
      <c r="BY334" s="115">
        <f t="shared" ca="1" si="283"/>
        <v>0</v>
      </c>
      <c r="BZ334" s="115">
        <f>IF(OR(模拟模式!$P$16="10人团",模拟模式!$P$16="25人团"),IF(B334/30&gt;CA333,1,0),0)</f>
        <v>0</v>
      </c>
      <c r="CA334" s="115">
        <f t="shared" si="259"/>
        <v>0</v>
      </c>
      <c r="CB334" s="115">
        <f ca="1">IF(BZ334=1,IF(模拟模式!$P$16="10人团",15,0)+IF(模拟模式!$P$16="25人团",IF(RAND()&lt;0.6,15,0)),MAX(0,CB333-$F$4))</f>
        <v>0</v>
      </c>
      <c r="CC334" s="115" t="b">
        <f t="shared" ca="1" si="307"/>
        <v>0</v>
      </c>
      <c r="CD334" s="115">
        <f>IF(模拟模式!$Q$16="1个",IF(B334/40&gt;CE333,1,0),0)</f>
        <v>0</v>
      </c>
      <c r="CE334" s="115">
        <f t="shared" si="308"/>
        <v>0</v>
      </c>
      <c r="CF334" s="115">
        <f>IF(OR(CD334=1,模拟模式!$Q$16="2个"),20,MAX(0,CF333-$F$4))</f>
        <v>0</v>
      </c>
      <c r="CG334" s="115" t="b">
        <f t="shared" si="309"/>
        <v>0</v>
      </c>
      <c r="CH334" s="115">
        <f t="shared" ca="1" si="284"/>
        <v>20.775000000000006</v>
      </c>
      <c r="CI334" s="115" t="b">
        <f t="shared" ca="1" si="285"/>
        <v>0</v>
      </c>
      <c r="CJ334" s="119">
        <f t="shared" ca="1" si="286"/>
        <v>0</v>
      </c>
      <c r="CK334" s="115">
        <f t="shared" ca="1" si="287"/>
        <v>0</v>
      </c>
      <c r="CL334" s="115" t="b">
        <f ca="1">AND(模拟模式!$S$7="驱夷逐法",OR(AND(C334="净世破魔击·月",E333&gt;59),AND(C334="净世破魔击·日",F333&gt;59)))</f>
        <v>0</v>
      </c>
      <c r="CM334" s="115" t="b">
        <f ca="1">OR(CL334,AND(C334="净世破魔击·日",CL333,RAND()&lt;模拟模式!$U$23))</f>
        <v>1</v>
      </c>
      <c r="CN334" s="115" t="b">
        <f ca="1">IF(模拟模式!$M$7="辉耀红尘",AND(C334="净世破魔击·月",CL334,CV334=0,E333&lt;80),AND(C334="净世破魔击·月",CL334,E333&lt;100))</f>
        <v>0</v>
      </c>
      <c r="CO334" s="115" t="b">
        <f t="shared" ca="1" si="260"/>
        <v>0</v>
      </c>
      <c r="CP334" s="115" t="b">
        <f ca="1">AND(模拟模式!$O$7="用晦而明",OR(C334="净世破魔击·日",C334="净世破魔击·月",C334="驱夜断愁"),AB334)</f>
        <v>1</v>
      </c>
      <c r="CQ334" s="115" t="b">
        <f ca="1">OR(CP334,AND(CP333,RAND()&lt;模拟模式!$U$23))</f>
        <v>1</v>
      </c>
      <c r="CR334" s="115" t="b">
        <f ca="1">AND(模拟模式!$S$7="日月齐光",OR(C334="幽月轮1",C334="幽月轮2",C334="幽月轮3",CR333),NOT(OR(C334="赤日轮1",C334="赤日轮2",C334="赤日轮3")))</f>
        <v>0</v>
      </c>
      <c r="CS334" s="115" t="b">
        <f ca="1">AND(模拟模式!$S$7="日月齐光",OR(C334="赤日轮1",C334="赤日轮2",C334="赤日轮3",CS333),NOT(OR(C334="幽月轮1",C334="幽月轮2",C334="幽月轮3")))</f>
        <v>0</v>
      </c>
      <c r="CT334" s="115">
        <f t="shared" ca="1" si="288"/>
        <v>0</v>
      </c>
      <c r="CU334" s="115" t="b">
        <f ca="1">AND(模拟模式!$K$10="阴阳往极",CT333=0,RAND()&lt;IF(C334="净世破魔击·月",0.0275*7/3,IF(C334="净世破魔击·日",0.0275*3/3,0.0275*2/3)))</f>
        <v>0</v>
      </c>
      <c r="CV334" s="115">
        <f t="shared" ca="1" si="289"/>
        <v>0</v>
      </c>
      <c r="CW334" s="115">
        <f t="shared" ca="1" si="261"/>
        <v>3.2324999999999995</v>
      </c>
      <c r="CX334" s="115">
        <f t="shared" ca="1" si="262"/>
        <v>1.3874999999999997</v>
      </c>
      <c r="CY334" s="115">
        <f ca="1">MAX(IF($C334="驱夜断愁",IF(模拟模式!$R$7="万念俱寂",6,45),CY333-$F$4),0)</f>
        <v>2.3099999999999996</v>
      </c>
      <c r="CZ334" s="115">
        <f t="shared" ca="1" si="263"/>
        <v>0</v>
      </c>
      <c r="DA334" s="115">
        <f ca="1">IF(模拟模式!$N$7="日月同辉",IF(DB333=2,0,MIN(6,IF(AND(OR(C334="赤日轮1",C334="赤日轮2",C334="赤日轮3",C334="幽月轮1",C334="幽月轮2",C334="幽月轮3"),AB334=1),DA333+1,DA333))),0)</f>
        <v>1</v>
      </c>
      <c r="DB334" s="115">
        <f t="shared" ca="1" si="264"/>
        <v>0</v>
      </c>
      <c r="DC334" s="115"/>
      <c r="DD334" s="115"/>
      <c r="DE334" s="115"/>
      <c r="DF334" s="115"/>
      <c r="DG334" s="115"/>
      <c r="DH334" s="115"/>
      <c r="DI334" s="115"/>
      <c r="DJ334" s="115"/>
      <c r="DK334" s="115"/>
      <c r="DL334" s="115"/>
      <c r="DM334" s="115"/>
    </row>
    <row r="335" spans="2:117" x14ac:dyDescent="0.2">
      <c r="B335" s="117">
        <f t="shared" si="265"/>
        <v>284.13000000000221</v>
      </c>
      <c r="C335" s="167" t="str">
        <f t="shared" ca="1" si="258"/>
        <v>赤日轮1</v>
      </c>
      <c r="D335" s="115">
        <f ca="1">IF(C335="赤日轮1",1,IF(C335="赤日轮2",2,IF(C335="赤日轮3",3,IF(C335="幽月轮1",4,IF(C335="幽月轮2",5,IF(C335="幽月轮3",6,IF(C335="烈日斩",7,IF(C335="银月斩",8,IF(C335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335="净世破魔击·月",17,IF(C335="驱夜断愁",18,0)))))))))))</f>
        <v>1</v>
      </c>
      <c r="E335" s="115">
        <f ca="1">IF(AND(CU335,OR(C335="幽月轮1",C335="幽月轮2",C335="幽月轮3",C335="银月斩",C335="驱夜断愁",C335="净世破魔击·月")),100,MIN(IF(OR(CN335,BE335),0,IF(OR($C335="赤日轮1",$C335="赤日轮2",$C335="赤日轮3"),E334+20+IF(模拟模式!$I$7="日月凌天",4,0)+IF(CR334,20,0),IF($C335="烈日斩",E334+40,IF($C335="驱夜断愁",IF(模拟模式!$R$7="万念俱寂",E334+20,E334+60),IF($C335="净世破魔击·月",IF(OR(DB334&gt;0,CV334&gt;0),100,IF(模拟模式!$M$7="辉耀红尘",E334+20,E334)),IF($C335="净世破魔击·日",E334-100,E334)))))),100))</f>
        <v>20</v>
      </c>
      <c r="F335" s="115">
        <f ca="1">IF(AND(CU335,OR(C335="赤日轮1",C335="赤日轮2",C335="赤日轮3",C335="烈日斩",C335="净世破魔击·日")),100,MIN(IF(CO335,0,IF(OR($C335="幽月轮1",$C335="幽月轮2",$C335="幽月轮3"),F334+20+IF(模拟模式!$I$7="日月凌天",4,0)+IF(CS334,20,0),IF($C335="银月斩",F334+40+IF(模拟模式!$X$12=1,5,0),IF($C335="驱夜断愁",IF(模拟模式!$R$7="万念俱寂",F334+20,F334+60),IF($C335="净世破魔击·月",IF(模拟模式!$M$7="辉耀红尘",F334-80,F334-100),IF(AND(C335="净世破魔击·日",OR(DB334&gt;0,CV334&gt;0)),100,F334)))))),100))</f>
        <v>20</v>
      </c>
      <c r="G335" s="117">
        <f ca="1">('模拟-全程加成'!$E$3+'模拟-全程加成'!$E$4+'模拟-全程加成'!$E$5+('模拟-全程加成'!$C$6-'模拟-全程加成'!$C$3)*系数!$B$9+BS335*23)*(1+'模拟-全程加成'!$F$4+'模拟-全程加成'!$F$5+BJ335*10%+BM335*20%+BP335*4%+CG335*30%)+$F$7*系数!$B$12</f>
        <v>20583.127400000001</v>
      </c>
      <c r="H335" s="45">
        <f ca="1">'模拟-全程加成'!$H$3+'模拟-全程加成'!$H$4+'模拟-全程加成'!$H$5+('模拟-全程加成'!$G$4+'模拟-全程加成'!$G$5+('模拟-全程加成'!$C$6-'模拟-全程加成'!$C$3)*系数!$B$13)/系数!$B$3+LOOKUP(D335,'模拟-单技能数据'!$A$2:$A$19,'模拟-单技能数据'!$K$2:$K$19)+BG335*10%+IF(BV335&gt;0,378,0)</f>
        <v>0.4618514552730022</v>
      </c>
      <c r="I335" s="45">
        <f ca="1">'模拟-全程加成'!$J$3+'模拟-全程加成'!$J$4+'模拟-全程加成'!$J$5+('模拟-全程加成'!$I$4+'模拟-全程加成'!$I$5)/系数!$B$4+LOOKUP(D335,'模拟-单技能数据'!$A$2:$A$19,'模拟-单技能数据'!$L$2:$L$19)+BG335*10%</f>
        <v>2.162482885499879</v>
      </c>
      <c r="J335" s="45">
        <f ca="1">(('模拟-全程加成'!$K$3+'模拟-全程加成'!$K$4+'模拟-全程加成'!$K$5+('模拟-全程加成'!$C$6-'模拟-全程加成'!$C$3)*系数!$B$10+IF(BV335&gt;0,882,0)+IF(BY335&gt;0,1831,0))*(1+'模拟-全程加成'!$L$4+'模拟-全程加成'!$L$5+CC335*20%))/系数!$B$5</f>
        <v>0.69723220422048726</v>
      </c>
      <c r="K335" s="119">
        <f ca="1">LOOKUP(D335,'模拟-单技能数据'!$A$2:$A$19,'模拟-单技能数据'!$J$2:$J$19)+IF(CM335,60%,0)+IF(DB334-DB335&gt;0,30%,0)+IF(OR(AND(OR(C335="赤日轮1",C335="赤日轮2",C335="赤日轮3"),CR335),AND(OR(C335="幽月轮1",C335="幽月轮2",C335="幽月轮3"),CS335)),35%,0)+CJ335</f>
        <v>0.12</v>
      </c>
      <c r="L335" s="119">
        <f ca="1">IF(AND(C335="烈日斩",模拟模式!$X$11=1),10%,0)+IF(AND(C335="驱夜断愁",AB335=1),30%,0)</f>
        <v>0</v>
      </c>
      <c r="M335" s="45">
        <f t="shared" ca="1" si="297"/>
        <v>0.4618514552730022</v>
      </c>
      <c r="N335" s="45">
        <f t="shared" ca="1" si="298"/>
        <v>0.48424854472699785</v>
      </c>
      <c r="O335" s="46">
        <f t="shared" ca="1" si="266"/>
        <v>0.66215054328144385</v>
      </c>
      <c r="P335" s="46" t="str">
        <f t="shared" ca="1" si="267"/>
        <v>命</v>
      </c>
      <c r="Q335" s="45">
        <f t="shared" ca="1" si="268"/>
        <v>1</v>
      </c>
      <c r="R335" s="117">
        <f ca="1">模拟模式!$E$20*(1-IF(模拟模式!$J$19="有",0.15,0))*(1-IF(模拟模式!$K$19="有",0.3,0)-IF(CQ335,0.5,0))</f>
        <v>843.02999999999975</v>
      </c>
      <c r="S335" s="45">
        <f ca="1">R335/(R335+(185*模拟模式!$E$22-16800)*4.08224)</f>
        <v>8.389626085980037E-2</v>
      </c>
      <c r="T335" s="45" t="str">
        <f ca="1">LOOKUP(D335,'模拟-单技能数据'!$A$2:$A$19,'模拟-单技能数据'!$H$2:$H$19)</f>
        <v>阳</v>
      </c>
      <c r="U335" s="119">
        <f t="shared" ca="1" si="299"/>
        <v>0.2</v>
      </c>
      <c r="V335" s="47">
        <f ca="1">(1+L335)*(LOOKUP(D335,'模拟-单技能数据'!$A$2:$A$19,'模拟-单技能数据'!$D$2:$D$19)+G335*LOOKUP(D335,'模拟-单技能数据'!$A$2:$A$19,'模拟-单技能数据'!$F$2:$F$19))*(1+J335)*(1+K335)*(1-S335)*(1+U335)*Q335*LOOKUP(D335,'模拟-单技能数据'!$A$2:$A$19,'模拟-单技能数据'!$I$2:$I$20)</f>
        <v>25194.44799269021</v>
      </c>
      <c r="W335" s="47">
        <f ca="1">LOOKUP(D335,'模拟-单技能数据'!$A$2:$A$19,'模拟-单技能数据'!$G$2:$G$19)*$I$10</f>
        <v>361.51064354704795</v>
      </c>
      <c r="X335" s="47">
        <f t="shared" ca="1" si="269"/>
        <v>20735.010623334128</v>
      </c>
      <c r="Y335" s="47">
        <f t="shared" ca="1" si="300"/>
        <v>46290.969259571386</v>
      </c>
      <c r="Z335" s="49">
        <f t="shared" ca="1" si="301"/>
        <v>32391568.052051622</v>
      </c>
      <c r="AA335" s="97">
        <f t="shared" ca="1" si="302"/>
        <v>114002.63278095017</v>
      </c>
      <c r="AB335" s="115">
        <f ca="1">IF(OR(C335="赤日轮1",C335="赤日轮2",C335="赤日轮3"),IF(RAND()&lt;模拟模式!$Y$17,1,0),IF(OR(C335="幽月轮1",C335="幽月轮2",C335="幽月轮3"),IF(RAND()&lt;模拟模式!$Y$18,1,0),IF(C335="烈日斩",IF(RAND()&lt;模拟模式!$Y$19,1,0),IF(C335="银月斩",IF(RAND()&lt;模拟模式!$Y$20,1,0),IF(C335="驱夜断愁",IF(RAND()&lt;模拟模式!$Y$21,1,0),IF(C335="净世破魔击·日",IF(RAND()&lt;模拟模式!$Y$22,1,0),IF(C335="净世破魔击·月",IF(RAND()&lt;模拟模式!$Y$23,1,0),0)))))))</f>
        <v>1</v>
      </c>
      <c r="AC335" s="115" t="b">
        <f t="shared" ca="1" si="290"/>
        <v>0</v>
      </c>
      <c r="AD335" s="115" t="b">
        <f t="shared" ca="1" si="310"/>
        <v>1</v>
      </c>
      <c r="AE335" s="115">
        <f t="shared" ca="1" si="311"/>
        <v>2</v>
      </c>
      <c r="AF335" s="47">
        <f ca="1">IF(AC335,('模拟-单技能数据'!$D$20+G335*'模拟-单技能数据'!$F$20)*(1+J335)*(1+'模拟-单技能数据'!$J$20)*(1+U335),0)</f>
        <v>0</v>
      </c>
      <c r="AG335" s="61">
        <f t="shared" ca="1" si="303"/>
        <v>0.64185145527300214</v>
      </c>
      <c r="AH335" s="61">
        <f t="shared" ca="1" si="304"/>
        <v>2.2624828854998791</v>
      </c>
      <c r="AI335" s="62">
        <f t="shared" ca="1" si="270"/>
        <v>0.585431636707334</v>
      </c>
      <c r="AJ335" s="47">
        <f ca="1">IF(AD335,IF(AI335&lt;$F$10,0,IF(AI335&lt;$F$10+$F$11,0.25,IF(AI335&lt;$F$10+$F$11+AG335,AH335,1)))*IF(AF335&gt;0,AF335,IF(AF334&gt;0,AF334,IF(AF333&gt;0,AF333,IF(AF332&gt;0,AF332,IF(AF331&gt;0,AF331,IF(AF330&gt;0,AF330,IF(AF329&gt;0,AF329,IF(AF328&gt;0,AF328,IF(AF327&gt;0,AF327,IF(AF325&gt;0,AF325,IF(AF324&gt;0,AF324,IF(AF323&gt;0,AF323,0)))))))))))),0)*(1-$S335)*'模拟-单技能数据'!$I$20</f>
        <v>9616.6571145767884</v>
      </c>
      <c r="AK335" s="115" t="b">
        <f t="shared" ca="1" si="291"/>
        <v>0</v>
      </c>
      <c r="AL335" s="115" t="b">
        <f t="shared" ca="1" si="312"/>
        <v>1</v>
      </c>
      <c r="AM335" s="115">
        <f t="shared" ca="1" si="313"/>
        <v>5</v>
      </c>
      <c r="AN335" s="47">
        <f ca="1">IF(AK335,('模拟-单技能数据'!$D$21+G335*'模拟-单技能数据'!$F$21)*(1+J335)*(1+'模拟-单技能数据'!$J$21)*(1+U335),0)</f>
        <v>0</v>
      </c>
      <c r="AO335" s="61">
        <f ca="1">IF(AN335&gt;0,M335-'模拟-单技能数据'!$K$10,AO334)</f>
        <v>0.42185145527300216</v>
      </c>
      <c r="AP335" s="61">
        <f ca="1">IF(AN335&gt;0,I335-'模拟-单技能数据'!$L$10,AP334)</f>
        <v>2.162482885499879</v>
      </c>
      <c r="AQ335" s="63">
        <f t="shared" ca="1" si="271"/>
        <v>0.80342306780794981</v>
      </c>
      <c r="AR335" s="64">
        <f ca="1">IF(AL335,IF(AQ335&lt;$F$10,0,IF(AQ335&lt;$F$10+$F$11,0.25,IF(AQ335&lt;$F$10+$F$11+AO335,AP335,1)))*IF(AN335&gt;0,AN335,IF(AN334&gt;0,AN334,IF(AN333&gt;0,AN333,IF(AN332&gt;0,AN332,IF(AN331&gt;0,AN331,IF(AN330&gt;0,AN330,IF(AN329&gt;0,AN329,IF(AN328&gt;0,AN328,IF(AN327&gt;0,AN327,IF(AN325&gt;0,AN325,IF(AN324&gt;0,AN324,IF(AN323&gt;0,AN323,0)))))))))))),0)*(1-$S335)*'模拟-单技能数据'!$I$21</f>
        <v>11118.353508757338</v>
      </c>
      <c r="AS335" s="61">
        <f ca="1">IF(OR(C335="净世破魔击·日",C335="净世破魔击·月"),M335-'模拟-单技能数据'!$K$10,0)</f>
        <v>0</v>
      </c>
      <c r="AT335" s="61">
        <f ca="1">IF(OR(C335="净世破魔击·日",C335="净世破魔击·月"),I335-'模拟-单技能数据'!$L$10,0)</f>
        <v>0</v>
      </c>
      <c r="AU335" s="62">
        <f t="shared" ca="1" si="272"/>
        <v>0.86606080108280525</v>
      </c>
      <c r="AV335" s="64">
        <f ca="1">IF(AS335&gt;0,('模拟-单技能数据'!$D$22+G335*'模拟-单技能数据'!$F$22)*(1+J335)*(1-S335)*IF(AU335&lt;$F$10,0,IF(AU335&lt;$F$10+$F$11,0.25,IF(AU335&lt;$F$10+$F$11+AS335,AT335,1)))*(1+U335),0)*'模拟-单技能数据'!$I$22</f>
        <v>0</v>
      </c>
      <c r="AW335" s="108">
        <f t="shared" ca="1" si="273"/>
        <v>0</v>
      </c>
      <c r="AX335" s="108" t="b">
        <f ca="1">AND(模拟模式!$P$10="有",AW334=0,RAND()&lt;IF(C335="净世破魔击·月",0.1*8/3,IF(C335="净世破魔击·日",0.1*4/3,0.1*2/3)))</f>
        <v>0</v>
      </c>
      <c r="AY335" s="47">
        <f ca="1">IF(AX335,(18+G335*0.722)*(1+J335)*(1-S335)*(1+$I$4)*IF(P335="会",'模拟-全程加成'!$J$3+'模拟-全程加成'!$J$4+'模拟-全程加成'!$J$5+('模拟-全程加成'!$I$4+'模拟-全程加成'!$I$5)/系数!$B$4+BG335*10%,IF(P335="命",1,IF(P335="识",0.25,0))),0)</f>
        <v>0</v>
      </c>
      <c r="AZ335" s="108">
        <f t="shared" si="274"/>
        <v>0</v>
      </c>
      <c r="BA335" s="108" t="b">
        <f>AND(模拟模式!$Q$10="有",AZ334=0)</f>
        <v>0</v>
      </c>
      <c r="BB335" s="140">
        <f>IF(BA335,(0+G335*0.287)*(1+J335)*(1-S335)*(1+$I$4)*IF(P335="会",'模拟-全程加成'!$J$3+'模拟-全程加成'!$J$4+'模拟-全程加成'!$J$5+('模拟-全程加成'!$I$4+'模拟-全程加成'!$I$5)/系数!$B$4+BG335*10%,IF(P335="命",1,IF(P335="识",0.25,0))),0)</f>
        <v>0</v>
      </c>
      <c r="BC335" s="115" t="b">
        <f ca="1">AND(模拟模式!$R$7="伏明众生",E335=60,F335=20,DA335&lt;5,CZ334&lt;$F$4)</f>
        <v>0</v>
      </c>
      <c r="BD335" s="115">
        <f t="shared" ca="1" si="292"/>
        <v>0</v>
      </c>
      <c r="BE335" s="115" t="b">
        <f t="shared" ca="1" si="293"/>
        <v>0</v>
      </c>
      <c r="BF335" s="47">
        <f ca="1">IF(BC335,4*('模拟-单技能数据'!$D$24+G335*'模拟-单技能数据'!$F$24)*(1+J335)*(1+'模拟-单技能数据'!$J$24)*(1-S335)*(1+$I$3)*(('模拟-全程加成'!$J$3+'模拟-全程加成'!$J$4+'模拟-全程加成'!$J$5+('模拟-全程加成'!$I$4+'模拟-全程加成'!$I$5)/系数!$B$4+BG335*10%)*('模拟-全程加成'!$J$3+'模拟-全程加成'!$J$4+'模拟-全程加成'!$J$5+('模拟-全程加成'!$I$4+'模拟-全程加成'!$I$5)/系数!$B$4+BG335*10%)+(1-('模拟-全程加成'!$J$3+'模拟-全程加成'!$J$4+'模拟-全程加成'!$J$5+('模拟-全程加成'!$I$4+'模拟-全程加成'!$I$5)/系数!$B$4+BG335*10%)-$F$10-$F$11)+F321*0.25),0)*'模拟-单技能数据'!$I$24</f>
        <v>0</v>
      </c>
      <c r="BG335" s="115" t="b">
        <f ca="1">OR(AND(OR(C335="烈日斩",C335="银月斩"),模拟模式!$I$7="净身明礼"),AND(C335="净世破魔击·日",模拟模式!$J$7="洞若观火"),AND(C336="净世破魔击·月",模拟模式!$J$7="洞若观火"),AB335=1)</f>
        <v>1</v>
      </c>
      <c r="BH335" s="115" t="b">
        <f t="shared" ca="1" si="275"/>
        <v>0</v>
      </c>
      <c r="BI335" s="115">
        <f t="shared" ca="1" si="294"/>
        <v>0</v>
      </c>
      <c r="BJ335" s="115" t="b">
        <f t="shared" ca="1" si="305"/>
        <v>0</v>
      </c>
      <c r="BK335" s="115" t="b">
        <f ca="1">AND(C335="驱夜断愁",模拟模式!$P$7="天地诛戮")</f>
        <v>0</v>
      </c>
      <c r="BL335" s="57">
        <f t="shared" ca="1" si="295"/>
        <v>15.387500000000003</v>
      </c>
      <c r="BM335" s="115" t="b">
        <f t="shared" ca="1" si="306"/>
        <v>1</v>
      </c>
      <c r="BN335" s="115" t="b">
        <f ca="1">AND(OR(C335="赤日轮1",C335="赤日轮2",C335="赤日轮3",C335="幽月轮1",C335="幽月轮2",C335="幽月轮3"),AB335=1,模拟模式!$L$7="明光恒照")</f>
        <v>1</v>
      </c>
      <c r="BO335" s="117">
        <f t="shared" ca="1" si="296"/>
        <v>30</v>
      </c>
      <c r="BP335" s="115">
        <f t="shared" ca="1" si="276"/>
        <v>6</v>
      </c>
      <c r="BQ335" s="115" t="b">
        <f>模拟模式!$K$10="2600·水"</f>
        <v>0</v>
      </c>
      <c r="BR335" s="117">
        <f t="shared" si="277"/>
        <v>0</v>
      </c>
      <c r="BS335" s="115">
        <f t="shared" si="278"/>
        <v>0</v>
      </c>
      <c r="BT335" s="115">
        <f t="shared" ca="1" si="279"/>
        <v>0</v>
      </c>
      <c r="BU335" s="115" t="b">
        <f ca="1">AND(模拟模式!$K$10="2300·雷",BT334=0,RAND()&lt;IF(C335="净世破魔击·月",5*0.05*2/3,IF(C335="净世破魔击·日",3*0.05*2/3,0.05*2*2/3)))</f>
        <v>0</v>
      </c>
      <c r="BV335" s="115">
        <f t="shared" ca="1" si="280"/>
        <v>0</v>
      </c>
      <c r="BW335" s="115">
        <f t="shared" ca="1" si="281"/>
        <v>87.749999999999261</v>
      </c>
      <c r="BX335" s="164" t="b">
        <f t="shared" ca="1" si="282"/>
        <v>0</v>
      </c>
      <c r="BY335" s="115">
        <f t="shared" ca="1" si="283"/>
        <v>0</v>
      </c>
      <c r="BZ335" s="115">
        <f>IF(OR(模拟模式!$P$16="10人团",模拟模式!$P$16="25人团"),IF(B335/30&gt;CA334,1,0),0)</f>
        <v>0</v>
      </c>
      <c r="CA335" s="115">
        <f t="shared" si="259"/>
        <v>0</v>
      </c>
      <c r="CB335" s="115">
        <f ca="1">IF(BZ335=1,IF(模拟模式!$P$16="10人团",15,0)+IF(模拟模式!$P$16="25人团",IF(RAND()&lt;0.6,15,0)),MAX(0,CB334-$F$4))</f>
        <v>0</v>
      </c>
      <c r="CC335" s="115" t="b">
        <f t="shared" ca="1" si="307"/>
        <v>0</v>
      </c>
      <c r="CD335" s="115">
        <f>IF(模拟模式!$Q$16="1个",IF(B335/40&gt;CE334,1,0),0)</f>
        <v>0</v>
      </c>
      <c r="CE335" s="115">
        <f t="shared" si="308"/>
        <v>0</v>
      </c>
      <c r="CF335" s="115">
        <f>IF(OR(CD335=1,模拟模式!$Q$16="2个"),20,MAX(0,CF334-$F$4))</f>
        <v>0</v>
      </c>
      <c r="CG335" s="115" t="b">
        <f t="shared" si="309"/>
        <v>0</v>
      </c>
      <c r="CH335" s="115">
        <f t="shared" ca="1" si="284"/>
        <v>19.852500000000006</v>
      </c>
      <c r="CI335" s="115" t="b">
        <f t="shared" ca="1" si="285"/>
        <v>0</v>
      </c>
      <c r="CJ335" s="119">
        <f t="shared" ca="1" si="286"/>
        <v>0</v>
      </c>
      <c r="CK335" s="115">
        <f t="shared" ca="1" si="287"/>
        <v>0</v>
      </c>
      <c r="CL335" s="115" t="b">
        <f ca="1">AND(模拟模式!$S$7="驱夷逐法",OR(AND(C335="净世破魔击·月",E334&gt;59),AND(C335="净世破魔击·日",F334&gt;59)))</f>
        <v>0</v>
      </c>
      <c r="CM335" s="115" t="b">
        <f ca="1">OR(CL335,AND(C335="净世破魔击·日",CL334,RAND()&lt;模拟模式!$U$23))</f>
        <v>0</v>
      </c>
      <c r="CN335" s="115" t="b">
        <f ca="1">IF(模拟模式!$M$7="辉耀红尘",AND(C335="净世破魔击·月",CL335,CV335=0,E334&lt;80),AND(C335="净世破魔击·月",CL335,E334&lt;100))</f>
        <v>0</v>
      </c>
      <c r="CO335" s="115" t="b">
        <f t="shared" ca="1" si="260"/>
        <v>0</v>
      </c>
      <c r="CP335" s="115" t="b">
        <f ca="1">AND(模拟模式!$O$7="用晦而明",OR(C335="净世破魔击·日",C335="净世破魔击·月",C335="驱夜断愁"),AB335)</f>
        <v>0</v>
      </c>
      <c r="CQ335" s="115" t="b">
        <f ca="1">OR(CP335,AND(CP334,RAND()&lt;模拟模式!$U$23))</f>
        <v>1</v>
      </c>
      <c r="CR335" s="115" t="b">
        <f ca="1">AND(模拟模式!$S$7="日月齐光",OR(C335="幽月轮1",C335="幽月轮2",C335="幽月轮3",CR334),NOT(OR(C335="赤日轮1",C335="赤日轮2",C335="赤日轮3")))</f>
        <v>0</v>
      </c>
      <c r="CS335" s="115" t="b">
        <f ca="1">AND(模拟模式!$S$7="日月齐光",OR(C335="赤日轮1",C335="赤日轮2",C335="赤日轮3",CS334),NOT(OR(C335="幽月轮1",C335="幽月轮2",C335="幽月轮3")))</f>
        <v>0</v>
      </c>
      <c r="CT335" s="115">
        <f t="shared" ca="1" si="288"/>
        <v>0</v>
      </c>
      <c r="CU335" s="115" t="b">
        <f ca="1">AND(模拟模式!$K$10="阴阳往极",CT334=0,RAND()&lt;IF(C335="净世破魔击·月",0.0275*7/3,IF(C335="净世破魔击·日",0.0275*3/3,0.0275*2/3)))</f>
        <v>0</v>
      </c>
      <c r="CV335" s="115">
        <f t="shared" ca="1" si="289"/>
        <v>0</v>
      </c>
      <c r="CW335" s="115">
        <f t="shared" ca="1" si="261"/>
        <v>2.3099999999999996</v>
      </c>
      <c r="CX335" s="115">
        <f t="shared" ca="1" si="262"/>
        <v>0.46499999999999975</v>
      </c>
      <c r="CY335" s="115">
        <f ca="1">MAX(IF($C335="驱夜断愁",IF(模拟模式!$R$7="万念俱寂",6,45),CY334-$F$4),0)</f>
        <v>1.3874999999999997</v>
      </c>
      <c r="CZ335" s="115">
        <f t="shared" ca="1" si="263"/>
        <v>0</v>
      </c>
      <c r="DA335" s="115">
        <f ca="1">IF(模拟模式!$N$7="日月同辉",IF(DB334=2,0,MIN(6,IF(AND(OR(C335="赤日轮1",C335="赤日轮2",C335="赤日轮3",C335="幽月轮1",C335="幽月轮2",C335="幽月轮3"),AB335=1),DA334+1,DA334))),0)</f>
        <v>2</v>
      </c>
      <c r="DB335" s="115">
        <f t="shared" ca="1" si="264"/>
        <v>0</v>
      </c>
      <c r="DC335" s="115"/>
      <c r="DD335" s="115"/>
      <c r="DE335" s="115"/>
      <c r="DF335" s="115"/>
      <c r="DG335" s="115"/>
      <c r="DH335" s="115"/>
      <c r="DI335" s="115"/>
      <c r="DJ335" s="115"/>
      <c r="DK335" s="115"/>
      <c r="DL335" s="115"/>
      <c r="DM335" s="115"/>
    </row>
    <row r="336" spans="2:117" x14ac:dyDescent="0.2">
      <c r="B336" s="117">
        <f t="shared" si="265"/>
        <v>285.05250000000223</v>
      </c>
      <c r="C336" s="167" t="str">
        <f t="shared" ca="1" si="258"/>
        <v>银月斩</v>
      </c>
      <c r="D336" s="115">
        <f ca="1">IF(C336="赤日轮1",1,IF(C336="赤日轮2",2,IF(C336="赤日轮3",3,IF(C336="幽月轮1",4,IF(C336="幽月轮2",5,IF(C336="幽月轮3",6,IF(C336="烈日斩",7,IF(C336="银月斩",8,IF(C336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336="净世破魔击·月",17,IF(C336="驱夜断愁",18,0)))))))))))</f>
        <v>8</v>
      </c>
      <c r="E336" s="115">
        <f ca="1">IF(AND(CU336,OR(C336="幽月轮1",C336="幽月轮2",C336="幽月轮3",C336="银月斩",C336="驱夜断愁",C336="净世破魔击·月")),100,MIN(IF(OR(CN336,BE336),0,IF(OR($C336="赤日轮1",$C336="赤日轮2",$C336="赤日轮3"),E335+20+IF(模拟模式!$I$7="日月凌天",4,0)+IF(CR335,20,0),IF($C336="烈日斩",E335+40,IF($C336="驱夜断愁",IF(模拟模式!$R$7="万念俱寂",E335+20,E335+60),IF($C336="净世破魔击·月",IF(OR(DB335&gt;0,CV335&gt;0),100,IF(模拟模式!$M$7="辉耀红尘",E335+20,E335)),IF($C336="净世破魔击·日",E335-100,E335)))))),100))</f>
        <v>20</v>
      </c>
      <c r="F336" s="115">
        <f ca="1">IF(AND(CU336,OR(C336="赤日轮1",C336="赤日轮2",C336="赤日轮3",C336="烈日斩",C336="净世破魔击·日")),100,MIN(IF(CO336,0,IF(OR($C336="幽月轮1",$C336="幽月轮2",$C336="幽月轮3"),F335+20+IF(模拟模式!$I$7="日月凌天",4,0)+IF(CS335,20,0),IF($C336="银月斩",F335+40+IF(模拟模式!$X$12=1,5,0),IF($C336="驱夜断愁",IF(模拟模式!$R$7="万念俱寂",F335+20,F335+60),IF($C336="净世破魔击·月",IF(模拟模式!$M$7="辉耀红尘",F335-80,F335-100),IF(AND(C336="净世破魔击·日",OR(DB335&gt;0,CV335&gt;0)),100,F335)))))),100))</f>
        <v>65</v>
      </c>
      <c r="G336" s="117">
        <f ca="1">('模拟-全程加成'!$E$3+'模拟-全程加成'!$E$4+'模拟-全程加成'!$E$5+('模拟-全程加成'!$C$6-'模拟-全程加成'!$C$3)*系数!$B$9+BS336*23)*(1+'模拟-全程加成'!$F$4+'模拟-全程加成'!$F$5+BJ336*10%+BM336*20%+BP336*4%+CG336*30%)+$F$7*系数!$B$12</f>
        <v>21493.829400000002</v>
      </c>
      <c r="H336" s="45">
        <f ca="1">'模拟-全程加成'!$H$3+'模拟-全程加成'!$H$4+'模拟-全程加成'!$H$5+('模拟-全程加成'!$G$4+'模拟-全程加成'!$G$5+('模拟-全程加成'!$C$6-'模拟-全程加成'!$C$3)*系数!$B$13)/系数!$B$3+LOOKUP(D336,'模拟-单技能数据'!$A$2:$A$19,'模拟-单技能数据'!$K$2:$K$19)+BG336*10%+IF(BV336&gt;0,378,0)</f>
        <v>0.64185145527300214</v>
      </c>
      <c r="I336" s="45">
        <f ca="1">'模拟-全程加成'!$J$3+'模拟-全程加成'!$J$4+'模拟-全程加成'!$J$5+('模拟-全程加成'!$I$4+'模拟-全程加成'!$I$5)/系数!$B$4+LOOKUP(D336,'模拟-单技能数据'!$A$2:$A$19,'模拟-单技能数据'!$L$2:$L$19)+BG336*10%</f>
        <v>2.2624828854998791</v>
      </c>
      <c r="J336" s="45">
        <f ca="1">(('模拟-全程加成'!$K$3+'模拟-全程加成'!$K$4+'模拟-全程加成'!$K$5+('模拟-全程加成'!$C$6-'模拟-全程加成'!$C$3)*系数!$B$10+IF(BV336&gt;0,882,0)+IF(BY336&gt;0,1831,0))*(1+'模拟-全程加成'!$L$4+'模拟-全程加成'!$L$5+CC336*20%))/系数!$B$5</f>
        <v>0.69723220422048726</v>
      </c>
      <c r="K336" s="119">
        <f ca="1">LOOKUP(D336,'模拟-单技能数据'!$A$2:$A$19,'模拟-单技能数据'!$J$2:$J$19)+IF(CM336,60%,0)+IF(DB335-DB336&gt;0,30%,0)+IF(OR(AND(OR(C336="赤日轮1",C336="赤日轮2",C336="赤日轮3"),CR336),AND(OR(C336="幽月轮1",C336="幽月轮2",C336="幽月轮3"),CS336)),35%,0)+CJ336</f>
        <v>0.15</v>
      </c>
      <c r="L336" s="119">
        <f ca="1">IF(AND(C336="烈日斩",模拟模式!$X$11=1),10%,0)+IF(AND(C336="驱夜断愁",AB336=1),30%,0)</f>
        <v>0</v>
      </c>
      <c r="M336" s="45">
        <f t="shared" ca="1" si="297"/>
        <v>0.64185145527300214</v>
      </c>
      <c r="N336" s="45">
        <f t="shared" ca="1" si="298"/>
        <v>0.30424854472699792</v>
      </c>
      <c r="O336" s="46">
        <f t="shared" ca="1" si="266"/>
        <v>0.70917502217836048</v>
      </c>
      <c r="P336" s="46" t="str">
        <f t="shared" ca="1" si="267"/>
        <v>命</v>
      </c>
      <c r="Q336" s="45">
        <f t="shared" ca="1" si="268"/>
        <v>1</v>
      </c>
      <c r="R336" s="117">
        <f ca="1">模拟模式!$E$20*(1-IF(模拟模式!$J$19="有",0.15,0))*(1-IF(模拟模式!$K$19="有",0.3,0)-IF(CQ336,0.5,0))</f>
        <v>2950.6049999999996</v>
      </c>
      <c r="S336" s="45">
        <f ca="1">R336/(R336+(185*模拟模式!$E$22-16800)*4.08224)</f>
        <v>0.24272716014590323</v>
      </c>
      <c r="T336" s="45" t="str">
        <f ca="1">LOOKUP(D336,'模拟-单技能数据'!$A$2:$A$19,'模拟-单技能数据'!$H$2:$H$19)</f>
        <v>阴</v>
      </c>
      <c r="U336" s="119">
        <f t="shared" ca="1" si="299"/>
        <v>0.08</v>
      </c>
      <c r="V336" s="47">
        <f ca="1">(1+L336)*(LOOKUP(D336,'模拟-单技能数据'!$A$2:$A$19,'模拟-单技能数据'!$D$2:$D$19)+G336*LOOKUP(D336,'模拟-单技能数据'!$A$2:$A$19,'模拟-单技能数据'!$F$2:$F$19))*(1+J336)*(1+K336)*(1-S336)*(1+U336)*Q336*LOOKUP(D336,'模拟-单技能数据'!$A$2:$A$19,'模拟-单技能数据'!$I$2:$I$20)</f>
        <v>18215.255972688272</v>
      </c>
      <c r="W336" s="47">
        <f ca="1">LOOKUP(D336,'模拟-单技能数据'!$A$2:$A$19,'模拟-单技能数据'!$G$2:$G$19)*$I$10</f>
        <v>361.51064354704795</v>
      </c>
      <c r="X336" s="47">
        <f t="shared" ca="1" si="269"/>
        <v>8562.7466441313682</v>
      </c>
      <c r="Y336" s="47">
        <f t="shared" ca="1" si="300"/>
        <v>27139.513260366686</v>
      </c>
      <c r="Z336" s="49">
        <f t="shared" ca="1" si="301"/>
        <v>32418707.565311991</v>
      </c>
      <c r="AA336" s="97">
        <f t="shared" ca="1" si="302"/>
        <v>113728.90104563803</v>
      </c>
      <c r="AB336" s="115">
        <f ca="1">IF(OR(C336="赤日轮1",C336="赤日轮2",C336="赤日轮3"),IF(RAND()&lt;模拟模式!$Y$17,1,0),IF(OR(C336="幽月轮1",C336="幽月轮2",C336="幽月轮3"),IF(RAND()&lt;模拟模式!$Y$18,1,0),IF(C336="烈日斩",IF(RAND()&lt;模拟模式!$Y$19,1,0),IF(C336="银月斩",IF(RAND()&lt;模拟模式!$Y$20,1,0),IF(C336="驱夜断愁",IF(RAND()&lt;模拟模式!$Y$21,1,0),IF(C336="净世破魔击·日",IF(RAND()&lt;模拟模式!$Y$22,1,0),IF(C336="净世破魔击·月",IF(RAND()&lt;模拟模式!$Y$23,1,0),0)))))))</f>
        <v>1</v>
      </c>
      <c r="AC336" s="115" t="b">
        <f t="shared" ca="1" si="290"/>
        <v>1</v>
      </c>
      <c r="AD336" s="115" t="b">
        <f t="shared" ca="1" si="310"/>
        <v>0</v>
      </c>
      <c r="AE336" s="115">
        <f t="shared" ca="1" si="311"/>
        <v>6</v>
      </c>
      <c r="AF336" s="47">
        <f ca="1">IF(AC336,('模拟-单技能数据'!$D$20+G336*'模拟-单技能数据'!$F$20)*(1+J336)*(1+'模拟-单技能数据'!$J$20)*(1+U336),0)</f>
        <v>4639.7456468263617</v>
      </c>
      <c r="AG336" s="61">
        <f t="shared" ca="1" si="303"/>
        <v>0.64185145527300214</v>
      </c>
      <c r="AH336" s="61">
        <f t="shared" ca="1" si="304"/>
        <v>2.2624828854998791</v>
      </c>
      <c r="AI336" s="62">
        <f t="shared" ca="1" si="270"/>
        <v>1.4186669564523746E-2</v>
      </c>
      <c r="AJ336" s="47">
        <f ca="1">IF(AD336,IF(AI336&lt;$F$10,0,IF(AI336&lt;$F$10+$F$11,0.25,IF(AI336&lt;$F$10+$F$11+AG336,AH336,1)))*IF(AF336&gt;0,AF336,IF(AF335&gt;0,AF335,IF(AF334&gt;0,AF334,IF(AF333&gt;0,AF333,IF(AF332&gt;0,AF332,IF(AF331&gt;0,AF331,IF(AF330&gt;0,AF330,IF(AF329&gt;0,AF329,IF(AF328&gt;0,AF328,IF(AF326&gt;0,AF326,IF(AF325&gt;0,AF325,IF(AF324&gt;0,AF324,0)))))))))))),0)*(1-$S336)*'模拟-单技能数据'!$I$20</f>
        <v>0</v>
      </c>
      <c r="AK336" s="115" t="b">
        <f t="shared" ca="1" si="291"/>
        <v>0</v>
      </c>
      <c r="AL336" s="115" t="b">
        <f t="shared" ca="1" si="312"/>
        <v>0</v>
      </c>
      <c r="AM336" s="115">
        <f t="shared" ca="1" si="313"/>
        <v>5</v>
      </c>
      <c r="AN336" s="47">
        <f ca="1">IF(AK336,('模拟-单技能数据'!$D$21+G336*'模拟-单技能数据'!$F$21)*(1+J336)*(1+'模拟-单技能数据'!$J$21)*(1+U336),0)</f>
        <v>0</v>
      </c>
      <c r="AO336" s="61">
        <f ca="1">IF(AN336&gt;0,M336-'模拟-单技能数据'!$K$10,AO335)</f>
        <v>0.42185145527300216</v>
      </c>
      <c r="AP336" s="61">
        <f ca="1">IF(AN336&gt;0,I336-'模拟-单技能数据'!$L$10,AP335)</f>
        <v>2.162482885499879</v>
      </c>
      <c r="AQ336" s="63">
        <f t="shared" ca="1" si="271"/>
        <v>0.92271668885482949</v>
      </c>
      <c r="AR336" s="64">
        <f ca="1">IF(AL336,IF(AQ336&lt;$F$10,0,IF(AQ336&lt;$F$10+$F$11,0.25,IF(AQ336&lt;$F$10+$F$11+AO336,AP336,1)))*IF(AN336&gt;0,AN336,IF(AN335&gt;0,AN335,IF(AN334&gt;0,AN334,IF(AN333&gt;0,AN333,IF(AN332&gt;0,AN332,IF(AN331&gt;0,AN331,IF(AN330&gt;0,AN330,IF(AN329&gt;0,AN329,IF(AN328&gt;0,AN328,IF(AN326&gt;0,AN326,IF(AN325&gt;0,AN325,IF(AN324&gt;0,AN324,0)))))))))))),0)*(1-$S336)*'模拟-单技能数据'!$I$21</f>
        <v>0</v>
      </c>
      <c r="AS336" s="61">
        <f ca="1">IF(OR(C336="净世破魔击·日",C336="净世破魔击·月"),M336-'模拟-单技能数据'!$K$10,0)</f>
        <v>0</v>
      </c>
      <c r="AT336" s="61">
        <f ca="1">IF(OR(C336="净世破魔击·日",C336="净世破魔击·月"),I336-'模拟-单技能数据'!$L$10,0)</f>
        <v>0</v>
      </c>
      <c r="AU336" s="62">
        <f t="shared" ca="1" si="272"/>
        <v>0.42779722047742341</v>
      </c>
      <c r="AV336" s="64">
        <f ca="1">IF(AS336&gt;0,('模拟-单技能数据'!$D$22+G336*'模拟-单技能数据'!$F$22)*(1+J336)*(1-S336)*IF(AU336&lt;$F$10,0,IF(AU336&lt;$F$10+$F$11,0.25,IF(AU336&lt;$F$10+$F$11+AS336,AT336,1)))*(1+U336),0)*'模拟-单技能数据'!$I$22</f>
        <v>0</v>
      </c>
      <c r="AW336" s="108">
        <f t="shared" ca="1" si="273"/>
        <v>0</v>
      </c>
      <c r="AX336" s="108" t="b">
        <f ca="1">AND(模拟模式!$P$10="有",AW335=0,RAND()&lt;IF(C336="净世破魔击·月",0.1*8/3,IF(C336="净世破魔击·日",0.1*4/3,0.1*2/3)))</f>
        <v>0</v>
      </c>
      <c r="AY336" s="47">
        <f ca="1">IF(AX336,(18+G336*0.722)*(1+J336)*(1-S336)*(1+$I$4)*IF(P336="会",'模拟-全程加成'!$J$3+'模拟-全程加成'!$J$4+'模拟-全程加成'!$J$5+('模拟-全程加成'!$I$4+'模拟-全程加成'!$I$5)/系数!$B$4+BG336*10%,IF(P336="命",1,IF(P336="识",0.25,0))),0)</f>
        <v>0</v>
      </c>
      <c r="AZ336" s="108">
        <f t="shared" si="274"/>
        <v>19.077500000000001</v>
      </c>
      <c r="BA336" s="108" t="b">
        <f>AND(模拟模式!$Q$10="有",AZ335=0)</f>
        <v>1</v>
      </c>
      <c r="BB336" s="140">
        <f ca="1">IF(BA336,(0+G336*0.287)*(1+J336)*(1-S336)*(1+$I$4)*IF(P336="会",'模拟-全程加成'!$J$3+'模拟-全程加成'!$J$4+'模拟-全程加成'!$J$5+('模拟-全程加成'!$I$4+'模拟-全程加成'!$I$5)/系数!$B$4+BG336*10%,IF(P336="命",1,IF(P336="识",0.25,0))),0)</f>
        <v>8562.7466441313682</v>
      </c>
      <c r="BC336" s="115" t="b">
        <f ca="1">AND(模拟模式!$R$7="伏明众生",E336=60,F336=20,DA336&lt;5,CZ335&lt;$F$4)</f>
        <v>0</v>
      </c>
      <c r="BD336" s="115">
        <f t="shared" ca="1" si="292"/>
        <v>0</v>
      </c>
      <c r="BE336" s="115" t="b">
        <f t="shared" ca="1" si="293"/>
        <v>0</v>
      </c>
      <c r="BF336" s="47">
        <f ca="1">IF(BC336,4*('模拟-单技能数据'!$D$24+G336*'模拟-单技能数据'!$F$24)*(1+J336)*(1+'模拟-单技能数据'!$J$24)*(1-S336)*(1+$I$3)*(('模拟-全程加成'!$J$3+'模拟-全程加成'!$J$4+'模拟-全程加成'!$J$5+('模拟-全程加成'!$I$4+'模拟-全程加成'!$I$5)/系数!$B$4+BG336*10%)*('模拟-全程加成'!$J$3+'模拟-全程加成'!$J$4+'模拟-全程加成'!$J$5+('模拟-全程加成'!$I$4+'模拟-全程加成'!$I$5)/系数!$B$4+BG336*10%)+(1-('模拟-全程加成'!$J$3+'模拟-全程加成'!$J$4+'模拟-全程加成'!$J$5+('模拟-全程加成'!$I$4+'模拟-全程加成'!$I$5)/系数!$B$4+BG336*10%)-$F$10-$F$11)+F322*0.25),0)*'模拟-单技能数据'!$I$24</f>
        <v>0</v>
      </c>
      <c r="BG336" s="115" t="b">
        <f ca="1">OR(AND(OR(C336="烈日斩",C336="银月斩"),模拟模式!$I$7="净身明礼"),AND(C336="净世破魔击·日",模拟模式!$J$7="洞若观火"),AND(C337="净世破魔击·月",模拟模式!$J$7="洞若观火"),AB336=1)</f>
        <v>1</v>
      </c>
      <c r="BH336" s="115" t="b">
        <f t="shared" ca="1" si="275"/>
        <v>1</v>
      </c>
      <c r="BI336" s="115">
        <f t="shared" ca="1" si="294"/>
        <v>6</v>
      </c>
      <c r="BJ336" s="115" t="b">
        <f t="shared" ca="1" si="305"/>
        <v>1</v>
      </c>
      <c r="BK336" s="115" t="b">
        <f ca="1">AND(C336="驱夜断愁",模拟模式!$P$7="天地诛戮")</f>
        <v>0</v>
      </c>
      <c r="BL336" s="57">
        <f t="shared" ca="1" si="295"/>
        <v>14.465000000000003</v>
      </c>
      <c r="BM336" s="115" t="b">
        <f t="shared" ca="1" si="306"/>
        <v>1</v>
      </c>
      <c r="BN336" s="115" t="b">
        <f ca="1">AND(OR(C336="赤日轮1",C336="赤日轮2",C336="赤日轮3",C336="幽月轮1",C336="幽月轮2",C336="幽月轮3"),AB336=1,模拟模式!$L$7="明光恒照")</f>
        <v>0</v>
      </c>
      <c r="BO336" s="117">
        <f t="shared" ca="1" si="296"/>
        <v>29.077500000000001</v>
      </c>
      <c r="BP336" s="115">
        <f t="shared" ca="1" si="276"/>
        <v>6</v>
      </c>
      <c r="BQ336" s="115" t="b">
        <f>模拟模式!$K$10="2600·水"</f>
        <v>0</v>
      </c>
      <c r="BR336" s="117">
        <f t="shared" si="277"/>
        <v>0</v>
      </c>
      <c r="BS336" s="115">
        <f t="shared" si="278"/>
        <v>0</v>
      </c>
      <c r="BT336" s="115">
        <f t="shared" ca="1" si="279"/>
        <v>0</v>
      </c>
      <c r="BU336" s="115" t="b">
        <f ca="1">AND(模拟模式!$K$10="2300·雷",BT335=0,RAND()&lt;IF(C336="净世破魔击·月",5*0.05*2/3,IF(C336="净世破魔击·日",3*0.05*2/3,0.05*2*2/3)))</f>
        <v>0</v>
      </c>
      <c r="BV336" s="115">
        <f t="shared" ca="1" si="280"/>
        <v>0</v>
      </c>
      <c r="BW336" s="115">
        <f t="shared" ca="1" si="281"/>
        <v>86.827499999999262</v>
      </c>
      <c r="BX336" s="164" t="b">
        <f t="shared" ca="1" si="282"/>
        <v>0</v>
      </c>
      <c r="BY336" s="115">
        <f t="shared" ca="1" si="283"/>
        <v>0</v>
      </c>
      <c r="BZ336" s="115">
        <f>IF(OR(模拟模式!$P$16="10人团",模拟模式!$P$16="25人团"),IF(B336/30&gt;CA335,1,0),0)</f>
        <v>0</v>
      </c>
      <c r="CA336" s="115">
        <f t="shared" si="259"/>
        <v>0</v>
      </c>
      <c r="CB336" s="115">
        <f ca="1">IF(BZ336=1,IF(模拟模式!$P$16="10人团",15,0)+IF(模拟模式!$P$16="25人团",IF(RAND()&lt;0.6,15,0)),MAX(0,CB335-$F$4))</f>
        <v>0</v>
      </c>
      <c r="CC336" s="115" t="b">
        <f t="shared" ca="1" si="307"/>
        <v>0</v>
      </c>
      <c r="CD336" s="115">
        <f>IF(模拟模式!$Q$16="1个",IF(B336/40&gt;CE335,1,0),0)</f>
        <v>0</v>
      </c>
      <c r="CE336" s="115">
        <f t="shared" si="308"/>
        <v>0</v>
      </c>
      <c r="CF336" s="115">
        <f>IF(OR(CD336=1,模拟模式!$Q$16="2个"),20,MAX(0,CF335-$F$4))</f>
        <v>0</v>
      </c>
      <c r="CG336" s="115" t="b">
        <f t="shared" si="309"/>
        <v>0</v>
      </c>
      <c r="CH336" s="115">
        <f t="shared" ca="1" si="284"/>
        <v>18.930000000000007</v>
      </c>
      <c r="CI336" s="115" t="b">
        <f t="shared" ca="1" si="285"/>
        <v>0</v>
      </c>
      <c r="CJ336" s="119">
        <f t="shared" ca="1" si="286"/>
        <v>0</v>
      </c>
      <c r="CK336" s="115">
        <f t="shared" ca="1" si="287"/>
        <v>0</v>
      </c>
      <c r="CL336" s="115" t="b">
        <f ca="1">AND(模拟模式!$S$7="驱夷逐法",OR(AND(C336="净世破魔击·月",E335&gt;59),AND(C336="净世破魔击·日",F335&gt;59)))</f>
        <v>0</v>
      </c>
      <c r="CM336" s="115" t="b">
        <f ca="1">OR(CL336,AND(C336="净世破魔击·日",CL335,RAND()&lt;模拟模式!$U$23))</f>
        <v>0</v>
      </c>
      <c r="CN336" s="115" t="b">
        <f ca="1">IF(模拟模式!$M$7="辉耀红尘",AND(C336="净世破魔击·月",CL336,CV336=0,E335&lt;80),AND(C336="净世破魔击·月",CL336,E335&lt;100))</f>
        <v>0</v>
      </c>
      <c r="CO336" s="115" t="b">
        <f t="shared" ca="1" si="260"/>
        <v>0</v>
      </c>
      <c r="CP336" s="115" t="b">
        <f ca="1">AND(模拟模式!$O$7="用晦而明",OR(C336="净世破魔击·日",C336="净世破魔击·月",C336="驱夜断愁"),AB336)</f>
        <v>0</v>
      </c>
      <c r="CQ336" s="115" t="b">
        <f ca="1">OR(CP336,AND(CP335,RAND()&lt;模拟模式!$U$23))</f>
        <v>0</v>
      </c>
      <c r="CR336" s="115" t="b">
        <f ca="1">AND(模拟模式!$S$7="日月齐光",OR(C336="幽月轮1",C336="幽月轮2",C336="幽月轮3",CR335),NOT(OR(C336="赤日轮1",C336="赤日轮2",C336="赤日轮3")))</f>
        <v>0</v>
      </c>
      <c r="CS336" s="115" t="b">
        <f ca="1">AND(模拟模式!$S$7="日月齐光",OR(C336="赤日轮1",C336="赤日轮2",C336="赤日轮3",CS335),NOT(OR(C336="幽月轮1",C336="幽月轮2",C336="幽月轮3")))</f>
        <v>0</v>
      </c>
      <c r="CT336" s="115">
        <f t="shared" ca="1" si="288"/>
        <v>0</v>
      </c>
      <c r="CU336" s="115" t="b">
        <f ca="1">AND(模拟模式!$K$10="阴阳往极",CT335=0,RAND()&lt;IF(C336="净世破魔击·月",0.0275*7/3,IF(C336="净世破魔击·日",0.0275*3/3,0.0275*2/3)))</f>
        <v>0</v>
      </c>
      <c r="CV336" s="115">
        <f t="shared" ca="1" si="289"/>
        <v>0</v>
      </c>
      <c r="CW336" s="115">
        <f t="shared" ca="1" si="261"/>
        <v>1.3874999999999997</v>
      </c>
      <c r="CX336" s="115">
        <f t="shared" ca="1" si="262"/>
        <v>6</v>
      </c>
      <c r="CY336" s="115">
        <f ca="1">MAX(IF($C336="驱夜断愁",IF(模拟模式!$R$7="万念俱寂",6,45),CY335-$F$4),0)</f>
        <v>0.46499999999999975</v>
      </c>
      <c r="CZ336" s="115">
        <f t="shared" ca="1" si="263"/>
        <v>0</v>
      </c>
      <c r="DA336" s="115">
        <f ca="1">IF(模拟模式!$N$7="日月同辉",IF(DB335=2,0,MIN(6,IF(AND(OR(C336="赤日轮1",C336="赤日轮2",C336="赤日轮3",C336="幽月轮1",C336="幽月轮2",C336="幽月轮3"),AB336=1),DA335+1,DA335))),0)</f>
        <v>2</v>
      </c>
      <c r="DB336" s="115">
        <f t="shared" ca="1" si="264"/>
        <v>0</v>
      </c>
      <c r="DC336" s="115"/>
      <c r="DD336" s="115"/>
      <c r="DE336" s="115"/>
      <c r="DF336" s="115"/>
      <c r="DG336" s="115"/>
      <c r="DH336" s="115"/>
      <c r="DI336" s="115"/>
      <c r="DJ336" s="115"/>
      <c r="DK336" s="115"/>
      <c r="DL336" s="115"/>
      <c r="DM336" s="115"/>
    </row>
    <row r="337" spans="2:117" x14ac:dyDescent="0.2">
      <c r="B337" s="117">
        <f t="shared" si="265"/>
        <v>285.97500000000224</v>
      </c>
      <c r="C337" s="167" t="str">
        <f t="shared" ca="1" si="258"/>
        <v>驱夜断愁</v>
      </c>
      <c r="D337" s="115">
        <f ca="1">IF(C337="赤日轮1",1,IF(C337="赤日轮2",2,IF(C337="赤日轮3",3,IF(C337="幽月轮1",4,IF(C337="幽月轮2",5,IF(C337="幽月轮3",6,IF(C337="烈日斩",7,IF(C337="银月斩",8,IF(C337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337="净世破魔击·月",17,IF(C337="驱夜断愁",18,0)))))))))))</f>
        <v>18</v>
      </c>
      <c r="E337" s="115">
        <f ca="1">IF(AND(CU337,OR(C337="幽月轮1",C337="幽月轮2",C337="幽月轮3",C337="银月斩",C337="驱夜断愁",C337="净世破魔击·月")),100,MIN(IF(OR(CN337,BE337),0,IF(OR($C337="赤日轮1",$C337="赤日轮2",$C337="赤日轮3"),E336+20+IF(模拟模式!$I$7="日月凌天",4,0)+IF(CR336,20,0),IF($C337="烈日斩",E336+40,IF($C337="驱夜断愁",IF(模拟模式!$R$7="万念俱寂",E336+20,E336+60),IF($C337="净世破魔击·月",IF(OR(DB336&gt;0,CV336&gt;0),100,IF(模拟模式!$M$7="辉耀红尘",E336+20,E336)),IF($C337="净世破魔击·日",E336-100,E336)))))),100))</f>
        <v>40</v>
      </c>
      <c r="F337" s="115">
        <f ca="1">IF(AND(CU337,OR(C337="赤日轮1",C337="赤日轮2",C337="赤日轮3",C337="烈日斩",C337="净世破魔击·日")),100,MIN(IF(CO337,0,IF(OR($C337="幽月轮1",$C337="幽月轮2",$C337="幽月轮3"),F336+20+IF(模拟模式!$I$7="日月凌天",4,0)+IF(CS336,20,0),IF($C337="银月斩",F336+40+IF(模拟模式!$X$12=1,5,0),IF($C337="驱夜断愁",IF(模拟模式!$R$7="万念俱寂",F336+20,F336+60),IF($C337="净世破魔击·月",IF(模拟模式!$M$7="辉耀红尘",F336-80,F336-100),IF(AND(C337="净世破魔击·日",OR(DB336&gt;0,CV336&gt;0)),100,F336)))))),100))</f>
        <v>85</v>
      </c>
      <c r="G337" s="117">
        <f ca="1">('模拟-全程加成'!$E$3+'模拟-全程加成'!$E$4+'模拟-全程加成'!$E$5+('模拟-全程加成'!$C$6-'模拟-全程加成'!$C$3)*系数!$B$9+BS337*23)*(1+'模拟-全程加成'!$F$4+'模拟-全程加成'!$F$5+BJ337*10%+BM337*20%+BP337*4%+CG337*30%)+$F$7*系数!$B$12</f>
        <v>21493.829400000002</v>
      </c>
      <c r="H337" s="45">
        <f ca="1">'模拟-全程加成'!$H$3+'模拟-全程加成'!$H$4+'模拟-全程加成'!$H$5+('模拟-全程加成'!$G$4+'模拟-全程加成'!$G$5+('模拟-全程加成'!$C$6-'模拟-全程加成'!$C$3)*系数!$B$13)/系数!$B$3+LOOKUP(D337,'模拟-单技能数据'!$A$2:$A$19,'模拟-单技能数据'!$K$2:$K$19)+BG337*10%+IF(BV337&gt;0,378,0)</f>
        <v>0.51185145527300213</v>
      </c>
      <c r="I337" s="45">
        <f ca="1">'模拟-全程加成'!$J$3+'模拟-全程加成'!$J$4+'模拟-全程加成'!$J$5+('模拟-全程加成'!$I$4+'模拟-全程加成'!$I$5)/系数!$B$4+LOOKUP(D337,'模拟-单技能数据'!$A$2:$A$19,'模拟-单技能数据'!$L$2:$L$19)+BG337*10%</f>
        <v>2.162482885499879</v>
      </c>
      <c r="J337" s="45">
        <f ca="1">(('模拟-全程加成'!$K$3+'模拟-全程加成'!$K$4+'模拟-全程加成'!$K$5+('模拟-全程加成'!$C$6-'模拟-全程加成'!$C$3)*系数!$B$10+IF(BV337&gt;0,882,0)+IF(BY337&gt;0,1831,0))*(1+'模拟-全程加成'!$L$4+'模拟-全程加成'!$L$5+CC337*20%))/系数!$B$5</f>
        <v>0.69723220422048726</v>
      </c>
      <c r="K337" s="119">
        <f ca="1">LOOKUP(D337,'模拟-单技能数据'!$A$2:$A$19,'模拟-单技能数据'!$J$2:$J$19)+IF(CM337,60%,0)+IF(DB336-DB337&gt;0,30%,0)+IF(OR(AND(OR(C337="赤日轮1",C337="赤日轮2",C337="赤日轮3"),CR337),AND(OR(C337="幽月轮1",C337="幽月轮2",C337="幽月轮3"),CS337)),35%,0)+CJ337</f>
        <v>0.14000000000000001</v>
      </c>
      <c r="L337" s="119">
        <f ca="1">IF(AND(C337="烈日斩",模拟模式!$X$11=1),10%,0)+IF(AND(C337="驱夜断愁",AB337=1),30%,0)</f>
        <v>0.3</v>
      </c>
      <c r="M337" s="45">
        <f t="shared" ca="1" si="297"/>
        <v>0.51185145527300213</v>
      </c>
      <c r="N337" s="45">
        <f t="shared" ca="1" si="298"/>
        <v>0.43424854472699792</v>
      </c>
      <c r="O337" s="46">
        <f t="shared" ca="1" si="266"/>
        <v>0.4024421489904102</v>
      </c>
      <c r="P337" s="46" t="str">
        <f t="shared" ca="1" si="267"/>
        <v>会</v>
      </c>
      <c r="Q337" s="45">
        <f t="shared" ca="1" si="268"/>
        <v>2.162482885499879</v>
      </c>
      <c r="R337" s="117">
        <f ca="1">模拟模式!$E$20*(1-IF(模拟模式!$J$19="有",0.15,0))*(1-IF(模拟模式!$K$19="有",0.3,0)-IF(CQ337,0.5,0))</f>
        <v>843.02999999999975</v>
      </c>
      <c r="S337" s="45">
        <f ca="1">R337/(R337+(185*模拟模式!$E$22-16800)*4.08224)</f>
        <v>8.389626085980037E-2</v>
      </c>
      <c r="T337" s="45" t="str">
        <f ca="1">LOOKUP(D337,'模拟-单技能数据'!$A$2:$A$19,'模拟-单技能数据'!$H$2:$H$19)</f>
        <v>阴</v>
      </c>
      <c r="U337" s="119">
        <f t="shared" ca="1" si="299"/>
        <v>0.08</v>
      </c>
      <c r="V337" s="47">
        <f ca="1">(1+L337)*(LOOKUP(D337,'模拟-单技能数据'!$A$2:$A$19,'模拟-单技能数据'!$D$2:$D$19)+G337*LOOKUP(D337,'模拟-单技能数据'!$A$2:$A$19,'模拟-单技能数据'!$F$2:$F$19))*(1+J337)*(1+K337)*(1-S337)*(1+U337)*Q337*LOOKUP(D337,'模拟-单技能数据'!$A$2:$A$19,'模拟-单技能数据'!$I$2:$I$20)</f>
        <v>133079.35569364758</v>
      </c>
      <c r="W337" s="47">
        <f ca="1">LOOKUP(D337,'模拟-单技能数据'!$A$2:$A$19,'模拟-单技能数据'!$G$2:$G$19)*$I$10</f>
        <v>723.0212870940959</v>
      </c>
      <c r="X337" s="47">
        <f t="shared" ca="1" si="269"/>
        <v>20735.010623334128</v>
      </c>
      <c r="Y337" s="47">
        <f t="shared" ca="1" si="300"/>
        <v>154537.3876040758</v>
      </c>
      <c r="Z337" s="49">
        <f t="shared" ca="1" si="301"/>
        <v>32573244.952916067</v>
      </c>
      <c r="AA337" s="97">
        <f t="shared" ca="1" si="302"/>
        <v>113902.42137570001</v>
      </c>
      <c r="AB337" s="115">
        <f ca="1">IF(OR(C337="赤日轮1",C337="赤日轮2",C337="赤日轮3"),IF(RAND()&lt;模拟模式!$Y$17,1,0),IF(OR(C337="幽月轮1",C337="幽月轮2",C337="幽月轮3"),IF(RAND()&lt;模拟模式!$Y$18,1,0),IF(C337="烈日斩",IF(RAND()&lt;模拟模式!$Y$19,1,0),IF(C337="银月斩",IF(RAND()&lt;模拟模式!$Y$20,1,0),IF(C337="驱夜断愁",IF(RAND()&lt;模拟模式!$Y$21,1,0),IF(C337="净世破魔击·日",IF(RAND()&lt;模拟模式!$Y$22,1,0),IF(C337="净世破魔击·月",IF(RAND()&lt;模拟模式!$Y$23,1,0),0)))))))</f>
        <v>1</v>
      </c>
      <c r="AC337" s="115" t="b">
        <f t="shared" ca="1" si="290"/>
        <v>0</v>
      </c>
      <c r="AD337" s="115" t="b">
        <f t="shared" ca="1" si="310"/>
        <v>1</v>
      </c>
      <c r="AE337" s="115">
        <f t="shared" ca="1" si="311"/>
        <v>5</v>
      </c>
      <c r="AF337" s="47">
        <f ca="1">IF(AC337,('模拟-单技能数据'!$D$20+G337*'模拟-单技能数据'!$F$20)*(1+J337)*(1+'模拟-单技能数据'!$J$20)*(1+U337),0)</f>
        <v>0</v>
      </c>
      <c r="AG337" s="61">
        <f t="shared" ca="1" si="303"/>
        <v>0.64185145527300214</v>
      </c>
      <c r="AH337" s="61">
        <f t="shared" ca="1" si="304"/>
        <v>2.2624828854998791</v>
      </c>
      <c r="AI337" s="62">
        <f t="shared" ca="1" si="270"/>
        <v>0.52361408514153829</v>
      </c>
      <c r="AJ337" s="47">
        <f ca="1">IF(AD337,IF(AI337&lt;$F$10,0,IF(AI337&lt;$F$10+$F$11,0.25,IF(AI337&lt;$F$10+$F$11+AG337,AH337,1)))*IF(AF337&gt;0,AF337,IF(AF336&gt;0,AF336,IF(AF335&gt;0,AF335,IF(AF334&gt;0,AF334,IF(AF333&gt;0,AF333,IF(AF332&gt;0,AF332,IF(AF331&gt;0,AF331,IF(AF330&gt;0,AF330,IF(AF329&gt;0,AF329,IF(AF327&gt;0,AF327,IF(AF326&gt;0,AF326,IF(AF325&gt;0,AF325,0)))))))))))),0)*(1-$S337)*'模拟-单技能数据'!$I$20</f>
        <v>9616.6571145767884</v>
      </c>
      <c r="AK337" s="115" t="b">
        <f t="shared" ca="1" si="291"/>
        <v>0</v>
      </c>
      <c r="AL337" s="115" t="b">
        <f t="shared" ca="1" si="312"/>
        <v>1</v>
      </c>
      <c r="AM337" s="115">
        <f t="shared" ca="1" si="313"/>
        <v>4</v>
      </c>
      <c r="AN337" s="47">
        <f ca="1">IF(AK337,('模拟-单技能数据'!$D$21+G337*'模拟-单技能数据'!$F$21)*(1+J337)*(1+'模拟-单技能数据'!$J$21)*(1+U337),0)</f>
        <v>0</v>
      </c>
      <c r="AO337" s="61">
        <f ca="1">IF(AN337&gt;0,M337-'模拟-单技能数据'!$K$10,AO336)</f>
        <v>0.42185145527300216</v>
      </c>
      <c r="AP337" s="61">
        <f ca="1">IF(AN337&gt;0,I337-'模拟-单技能数据'!$L$10,AP336)</f>
        <v>2.162482885499879</v>
      </c>
      <c r="AQ337" s="63">
        <f t="shared" ca="1" si="271"/>
        <v>0.66167620224503876</v>
      </c>
      <c r="AR337" s="64">
        <f ca="1">IF(AL337,IF(AQ337&lt;$F$10,0,IF(AQ337&lt;$F$10+$F$11,0.25,IF(AQ337&lt;$F$10+$F$11+AO337,AP337,1)))*IF(AN337&gt;0,AN337,IF(AN336&gt;0,AN336,IF(AN335&gt;0,AN335,IF(AN334&gt;0,AN334,IF(AN333&gt;0,AN333,IF(AN332&gt;0,AN332,IF(AN331&gt;0,AN331,IF(AN330&gt;0,AN330,IF(AN329&gt;0,AN329,IF(AN327&gt;0,AN327,IF(AN326&gt;0,AN326,IF(AN325&gt;0,AN325,0)))))))))))),0)*(1-$S337)*'模拟-单技能数据'!$I$21</f>
        <v>11118.353508757338</v>
      </c>
      <c r="AS337" s="61">
        <f ca="1">IF(OR(C337="净世破魔击·日",C337="净世破魔击·月"),M337-'模拟-单技能数据'!$K$10,0)</f>
        <v>0</v>
      </c>
      <c r="AT337" s="61">
        <f ca="1">IF(OR(C337="净世破魔击·日",C337="净世破魔击·月"),I337-'模拟-单技能数据'!$L$10,0)</f>
        <v>0</v>
      </c>
      <c r="AU337" s="62">
        <f t="shared" ca="1" si="272"/>
        <v>0.75780899630360254</v>
      </c>
      <c r="AV337" s="64">
        <f ca="1">IF(AS337&gt;0,('模拟-单技能数据'!$D$22+G337*'模拟-单技能数据'!$F$22)*(1+J337)*(1-S337)*IF(AU337&lt;$F$10,0,IF(AU337&lt;$F$10+$F$11,0.25,IF(AU337&lt;$F$10+$F$11+AS337,AT337,1)))*(1+U337),0)*'模拟-单技能数据'!$I$22</f>
        <v>0</v>
      </c>
      <c r="AW337" s="108">
        <f t="shared" ca="1" si="273"/>
        <v>0</v>
      </c>
      <c r="AX337" s="108" t="b">
        <f ca="1">AND(模拟模式!$P$10="有",AW336=0,RAND()&lt;IF(C337="净世破魔击·月",0.1*8/3,IF(C337="净世破魔击·日",0.1*4/3,0.1*2/3)))</f>
        <v>0</v>
      </c>
      <c r="AY337" s="47">
        <f ca="1">IF(AX337,(18+G337*0.722)*(1+J337)*(1-S337)*(1+$I$4)*IF(P337="会",'模拟-全程加成'!$J$3+'模拟-全程加成'!$J$4+'模拟-全程加成'!$J$5+('模拟-全程加成'!$I$4+'模拟-全程加成'!$I$5)/系数!$B$4+BG337*10%,IF(P337="命",1,IF(P337="识",0.25,0))),0)</f>
        <v>0</v>
      </c>
      <c r="AZ337" s="108">
        <f t="shared" si="274"/>
        <v>18.155000000000001</v>
      </c>
      <c r="BA337" s="108" t="b">
        <f>AND(模拟模式!$Q$10="有",AZ336=0)</f>
        <v>0</v>
      </c>
      <c r="BB337" s="140">
        <f>IF(BA337,(0+G337*0.287)*(1+J337)*(1-S337)*(1+$I$4)*IF(P337="会",'模拟-全程加成'!$J$3+'模拟-全程加成'!$J$4+'模拟-全程加成'!$J$5+('模拟-全程加成'!$I$4+'模拟-全程加成'!$I$5)/系数!$B$4+BG337*10%,IF(P337="命",1,IF(P337="识",0.25,0))),0)</f>
        <v>0</v>
      </c>
      <c r="BC337" s="115" t="b">
        <f ca="1">AND(模拟模式!$R$7="伏明众生",E337=60,F337=20,DA337&lt;5,CZ336&lt;$F$4)</f>
        <v>0</v>
      </c>
      <c r="BD337" s="115">
        <f t="shared" ca="1" si="292"/>
        <v>0</v>
      </c>
      <c r="BE337" s="115" t="b">
        <f t="shared" ca="1" si="293"/>
        <v>0</v>
      </c>
      <c r="BF337" s="47">
        <f ca="1">IF(BC337,4*('模拟-单技能数据'!$D$24+G337*'模拟-单技能数据'!$F$24)*(1+J337)*(1+'模拟-单技能数据'!$J$24)*(1-S337)*(1+$I$3)*(('模拟-全程加成'!$J$3+'模拟-全程加成'!$J$4+'模拟-全程加成'!$J$5+('模拟-全程加成'!$I$4+'模拟-全程加成'!$I$5)/系数!$B$4+BG337*10%)*('模拟-全程加成'!$J$3+'模拟-全程加成'!$J$4+'模拟-全程加成'!$J$5+('模拟-全程加成'!$I$4+'模拟-全程加成'!$I$5)/系数!$B$4+BG337*10%)+(1-('模拟-全程加成'!$J$3+'模拟-全程加成'!$J$4+'模拟-全程加成'!$J$5+('模拟-全程加成'!$I$4+'模拟-全程加成'!$I$5)/系数!$B$4+BG337*10%)-$F$10-$F$11)+F323*0.25),0)*'模拟-单技能数据'!$I$24</f>
        <v>0</v>
      </c>
      <c r="BG337" s="115" t="b">
        <f ca="1">OR(AND(OR(C337="烈日斩",C337="银月斩"),模拟模式!$I$7="净身明礼"),AND(C337="净世破魔击·日",模拟模式!$J$7="洞若观火"),AND(C338="净世破魔击·月",模拟模式!$J$7="洞若观火"),AB337=1)</f>
        <v>1</v>
      </c>
      <c r="BH337" s="115" t="b">
        <f t="shared" ca="1" si="275"/>
        <v>0</v>
      </c>
      <c r="BI337" s="115">
        <f t="shared" ca="1" si="294"/>
        <v>5.0774999999999997</v>
      </c>
      <c r="BJ337" s="115" t="b">
        <f t="shared" ca="1" si="305"/>
        <v>1</v>
      </c>
      <c r="BK337" s="115" t="b">
        <f ca="1">AND(C337="驱夜断愁",模拟模式!$P$7="天地诛戮")</f>
        <v>1</v>
      </c>
      <c r="BL337" s="57">
        <f t="shared" ca="1" si="295"/>
        <v>20</v>
      </c>
      <c r="BM337" s="115" t="b">
        <f t="shared" ca="1" si="306"/>
        <v>1</v>
      </c>
      <c r="BN337" s="115" t="b">
        <f ca="1">AND(OR(C337="赤日轮1",C337="赤日轮2",C337="赤日轮3",C337="幽月轮1",C337="幽月轮2",C337="幽月轮3"),AB337=1,模拟模式!$L$7="明光恒照")</f>
        <v>0</v>
      </c>
      <c r="BO337" s="117">
        <f t="shared" ca="1" si="296"/>
        <v>28.155000000000001</v>
      </c>
      <c r="BP337" s="115">
        <f t="shared" ca="1" si="276"/>
        <v>6</v>
      </c>
      <c r="BQ337" s="115" t="b">
        <f>模拟模式!$K$10="2600·水"</f>
        <v>0</v>
      </c>
      <c r="BR337" s="117">
        <f t="shared" si="277"/>
        <v>0</v>
      </c>
      <c r="BS337" s="115">
        <f t="shared" si="278"/>
        <v>0</v>
      </c>
      <c r="BT337" s="115">
        <f t="shared" ca="1" si="279"/>
        <v>0</v>
      </c>
      <c r="BU337" s="115" t="b">
        <f ca="1">AND(模拟模式!$K$10="2300·雷",BT336=0,RAND()&lt;IF(C337="净世破魔击·月",5*0.05*2/3,IF(C337="净世破魔击·日",3*0.05*2/3,0.05*2*2/3)))</f>
        <v>0</v>
      </c>
      <c r="BV337" s="115">
        <f t="shared" ca="1" si="280"/>
        <v>0</v>
      </c>
      <c r="BW337" s="115">
        <f t="shared" ca="1" si="281"/>
        <v>85.904999999999262</v>
      </c>
      <c r="BX337" s="164" t="b">
        <f t="shared" ca="1" si="282"/>
        <v>0</v>
      </c>
      <c r="BY337" s="115">
        <f t="shared" ca="1" si="283"/>
        <v>0</v>
      </c>
      <c r="BZ337" s="115">
        <f>IF(OR(模拟模式!$P$16="10人团",模拟模式!$P$16="25人团"),IF(B337/30&gt;CA336,1,0),0)</f>
        <v>0</v>
      </c>
      <c r="CA337" s="115">
        <f t="shared" si="259"/>
        <v>0</v>
      </c>
      <c r="CB337" s="115">
        <f ca="1">IF(BZ337=1,IF(模拟模式!$P$16="10人团",15,0)+IF(模拟模式!$P$16="25人团",IF(RAND()&lt;0.6,15,0)),MAX(0,CB336-$F$4))</f>
        <v>0</v>
      </c>
      <c r="CC337" s="115" t="b">
        <f t="shared" ca="1" si="307"/>
        <v>0</v>
      </c>
      <c r="CD337" s="115">
        <f>IF(模拟模式!$Q$16="1个",IF(B337/40&gt;CE336,1,0),0)</f>
        <v>0</v>
      </c>
      <c r="CE337" s="115">
        <f t="shared" si="308"/>
        <v>0</v>
      </c>
      <c r="CF337" s="115">
        <f>IF(OR(CD337=1,模拟模式!$Q$16="2个"),20,MAX(0,CF336-$F$4))</f>
        <v>0</v>
      </c>
      <c r="CG337" s="115" t="b">
        <f t="shared" si="309"/>
        <v>0</v>
      </c>
      <c r="CH337" s="115">
        <f t="shared" ca="1" si="284"/>
        <v>18.007500000000007</v>
      </c>
      <c r="CI337" s="115" t="b">
        <f t="shared" ca="1" si="285"/>
        <v>0</v>
      </c>
      <c r="CJ337" s="119">
        <f t="shared" ca="1" si="286"/>
        <v>0</v>
      </c>
      <c r="CK337" s="115">
        <f t="shared" ca="1" si="287"/>
        <v>0</v>
      </c>
      <c r="CL337" s="115" t="b">
        <f ca="1">AND(模拟模式!$S$7="驱夷逐法",OR(AND(C337="净世破魔击·月",E336&gt;59),AND(C337="净世破魔击·日",F336&gt;59)))</f>
        <v>0</v>
      </c>
      <c r="CM337" s="115" t="b">
        <f ca="1">OR(CL337,AND(C337="净世破魔击·日",CL336,RAND()&lt;模拟模式!$U$23))</f>
        <v>0</v>
      </c>
      <c r="CN337" s="115" t="b">
        <f ca="1">IF(模拟模式!$M$7="辉耀红尘",AND(C337="净世破魔击·月",CL337,CV337=0,E336&lt;80),AND(C337="净世破魔击·月",CL337,E336&lt;100))</f>
        <v>0</v>
      </c>
      <c r="CO337" s="115" t="b">
        <f t="shared" ca="1" si="260"/>
        <v>0</v>
      </c>
      <c r="CP337" s="115" t="b">
        <f ca="1">AND(模拟模式!$O$7="用晦而明",OR(C337="净世破魔击·日",C337="净世破魔击·月",C337="驱夜断愁"),AB337)</f>
        <v>1</v>
      </c>
      <c r="CQ337" s="115" t="b">
        <f ca="1">OR(CP337,AND(CP336,RAND()&lt;模拟模式!$U$23))</f>
        <v>1</v>
      </c>
      <c r="CR337" s="115" t="b">
        <f ca="1">AND(模拟模式!$S$7="日月齐光",OR(C337="幽月轮1",C337="幽月轮2",C337="幽月轮3",CR336),NOT(OR(C337="赤日轮1",C337="赤日轮2",C337="赤日轮3")))</f>
        <v>0</v>
      </c>
      <c r="CS337" s="115" t="b">
        <f ca="1">AND(模拟模式!$S$7="日月齐光",OR(C337="赤日轮1",C337="赤日轮2",C337="赤日轮3",CS336),NOT(OR(C337="幽月轮1",C337="幽月轮2",C337="幽月轮3")))</f>
        <v>0</v>
      </c>
      <c r="CT337" s="115">
        <f t="shared" ca="1" si="288"/>
        <v>0</v>
      </c>
      <c r="CU337" s="115" t="b">
        <f ca="1">AND(模拟模式!$K$10="阴阳往极",CT336=0,RAND()&lt;IF(C337="净世破魔击·月",0.0275*7/3,IF(C337="净世破魔击·日",0.0275*3/3,0.0275*2/3)))</f>
        <v>0</v>
      </c>
      <c r="CV337" s="115">
        <f t="shared" ca="1" si="289"/>
        <v>0</v>
      </c>
      <c r="CW337" s="115">
        <f t="shared" ca="1" si="261"/>
        <v>0.46499999999999975</v>
      </c>
      <c r="CX337" s="115">
        <f t="shared" ca="1" si="262"/>
        <v>5.0774999999999997</v>
      </c>
      <c r="CY337" s="115">
        <f ca="1">MAX(IF($C337="驱夜断愁",IF(模拟模式!$R$7="万念俱寂",6,45),CY336-$F$4),0)</f>
        <v>6</v>
      </c>
      <c r="CZ337" s="115">
        <f t="shared" ca="1" si="263"/>
        <v>0</v>
      </c>
      <c r="DA337" s="115">
        <f ca="1">IF(模拟模式!$N$7="日月同辉",IF(DB336=2,0,MIN(6,IF(AND(OR(C337="赤日轮1",C337="赤日轮2",C337="赤日轮3",C337="幽月轮1",C337="幽月轮2",C337="幽月轮3"),AB337=1),DA336+1,DA336))),0)</f>
        <v>2</v>
      </c>
      <c r="DB337" s="115">
        <f t="shared" ca="1" si="264"/>
        <v>0</v>
      </c>
      <c r="DC337" s="115"/>
      <c r="DD337" s="115"/>
      <c r="DE337" s="115"/>
      <c r="DF337" s="115"/>
      <c r="DG337" s="115"/>
      <c r="DH337" s="115"/>
      <c r="DI337" s="115"/>
      <c r="DJ337" s="115"/>
      <c r="DK337" s="115"/>
      <c r="DL337" s="115"/>
      <c r="DM337" s="115"/>
    </row>
    <row r="338" spans="2:117" x14ac:dyDescent="0.2">
      <c r="B338" s="117">
        <f t="shared" si="265"/>
        <v>286.89750000000225</v>
      </c>
      <c r="C338" s="167" t="str">
        <f t="shared" ca="1" si="258"/>
        <v>烈日斩</v>
      </c>
      <c r="D338" s="115">
        <f ca="1">IF(C338="赤日轮1",1,IF(C338="赤日轮2",2,IF(C338="赤日轮3",3,IF(C338="幽月轮1",4,IF(C338="幽月轮2",5,IF(C338="幽月轮3",6,IF(C338="烈日斩",7,IF(C338="银月斩",8,IF(C338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338="净世破魔击·月",17,IF(C338="驱夜断愁",18,0)))))))))))</f>
        <v>7</v>
      </c>
      <c r="E338" s="115">
        <f ca="1">IF(AND(CU338,OR(C338="幽月轮1",C338="幽月轮2",C338="幽月轮3",C338="银月斩",C338="驱夜断愁",C338="净世破魔击·月")),100,MIN(IF(OR(CN338,BE338),0,IF(OR($C338="赤日轮1",$C338="赤日轮2",$C338="赤日轮3"),E337+20+IF(模拟模式!$I$7="日月凌天",4,0)+IF(CR337,20,0),IF($C338="烈日斩",E337+40,IF($C338="驱夜断愁",IF(模拟模式!$R$7="万念俱寂",E337+20,E337+60),IF($C338="净世破魔击·月",IF(OR(DB337&gt;0,CV337&gt;0),100,IF(模拟模式!$M$7="辉耀红尘",E337+20,E337)),IF($C338="净世破魔击·日",E337-100,E337)))))),100))</f>
        <v>80</v>
      </c>
      <c r="F338" s="115">
        <f ca="1">IF(AND(CU338,OR(C338="赤日轮1",C338="赤日轮2",C338="赤日轮3",C338="烈日斩",C338="净世破魔击·日")),100,MIN(IF(CO338,0,IF(OR($C338="幽月轮1",$C338="幽月轮2",$C338="幽月轮3"),F337+20+IF(模拟模式!$I$7="日月凌天",4,0)+IF(CS337,20,0),IF($C338="银月斩",F337+40+IF(模拟模式!$X$12=1,5,0),IF($C338="驱夜断愁",IF(模拟模式!$R$7="万念俱寂",F337+20,F337+60),IF($C338="净世破魔击·月",IF(模拟模式!$M$7="辉耀红尘",F337-80,F337-100),IF(AND(C338="净世破魔击·日",OR(DB337&gt;0,CV337&gt;0)),100,F337)))))),100))</f>
        <v>85</v>
      </c>
      <c r="G338" s="117">
        <f ca="1">('模拟-全程加成'!$E$3+'模拟-全程加成'!$E$4+'模拟-全程加成'!$E$5+('模拟-全程加成'!$C$6-'模拟-全程加成'!$C$3)*系数!$B$9+BS338*23)*(1+'模拟-全程加成'!$F$4+'模拟-全程加成'!$F$5+BJ338*10%+BM338*20%+BP338*4%+CG338*30%)+$F$7*系数!$B$12</f>
        <v>21493.829400000002</v>
      </c>
      <c r="H338" s="45">
        <f ca="1">'模拟-全程加成'!$H$3+'模拟-全程加成'!$H$4+'模拟-全程加成'!$H$5+('模拟-全程加成'!$G$4+'模拟-全程加成'!$G$5+('模拟-全程加成'!$C$6-'模拟-全程加成'!$C$3)*系数!$B$13)/系数!$B$3+LOOKUP(D338,'模拟-单技能数据'!$A$2:$A$19,'模拟-单技能数据'!$K$2:$K$19)+BG338*10%+IF(BV338&gt;0,378,0)</f>
        <v>0.56185145527300218</v>
      </c>
      <c r="I338" s="45">
        <f ca="1">'模拟-全程加成'!$J$3+'模拟-全程加成'!$J$4+'模拟-全程加成'!$J$5+('模拟-全程加成'!$I$4+'模拟-全程加成'!$I$5)/系数!$B$4+LOOKUP(D338,'模拟-单技能数据'!$A$2:$A$19,'模拟-单技能数据'!$L$2:$L$19)+BG338*10%</f>
        <v>2.2624828854998791</v>
      </c>
      <c r="J338" s="45">
        <f ca="1">(('模拟-全程加成'!$K$3+'模拟-全程加成'!$K$4+'模拟-全程加成'!$K$5+('模拟-全程加成'!$C$6-'模拟-全程加成'!$C$3)*系数!$B$10+IF(BV338&gt;0,882,0)+IF(BY338&gt;0,1831,0))*(1+'模拟-全程加成'!$L$4+'模拟-全程加成'!$L$5+CC338*20%))/系数!$B$5</f>
        <v>0.69723220422048726</v>
      </c>
      <c r="K338" s="119">
        <f ca="1">LOOKUP(D338,'模拟-单技能数据'!$A$2:$A$19,'模拟-单技能数据'!$J$2:$J$19)+IF(CM338,60%,0)+IF(DB337-DB338&gt;0,30%,0)+IF(OR(AND(OR(C338="赤日轮1",C338="赤日轮2",C338="赤日轮3"),CR338),AND(OR(C338="幽月轮1",C338="幽月轮2",C338="幽月轮3"),CS338)),35%,0)+CJ338</f>
        <v>0.24</v>
      </c>
      <c r="L338" s="119">
        <f ca="1">IF(AND(C338="烈日斩",模拟模式!$X$11=1),10%,0)+IF(AND(C338="驱夜断愁",AB338=1),30%,0)</f>
        <v>0.1</v>
      </c>
      <c r="M338" s="45">
        <f t="shared" ca="1" si="297"/>
        <v>0.56185145527300218</v>
      </c>
      <c r="N338" s="45">
        <f t="shared" ca="1" si="298"/>
        <v>0.38424854472699788</v>
      </c>
      <c r="O338" s="46">
        <f t="shared" ca="1" si="266"/>
        <v>0.47322800684560684</v>
      </c>
      <c r="P338" s="46" t="str">
        <f t="shared" ca="1" si="267"/>
        <v>会</v>
      </c>
      <c r="Q338" s="45">
        <f t="shared" ca="1" si="268"/>
        <v>2.2624828854998791</v>
      </c>
      <c r="R338" s="117">
        <f ca="1">模拟模式!$E$20*(1-IF(模拟模式!$J$19="有",0.15,0))*(1-IF(模拟模式!$K$19="有",0.3,0)-IF(CQ338,0.5,0))</f>
        <v>843.02999999999975</v>
      </c>
      <c r="S338" s="45">
        <f ca="1">R338/(R338+(185*模拟模式!$E$22-16800)*4.08224)</f>
        <v>8.389626085980037E-2</v>
      </c>
      <c r="T338" s="45" t="str">
        <f ca="1">LOOKUP(D338,'模拟-单技能数据'!$A$2:$A$19,'模拟-单技能数据'!$H$2:$H$19)</f>
        <v>阳</v>
      </c>
      <c r="U338" s="119">
        <f t="shared" ca="1" si="299"/>
        <v>0.2</v>
      </c>
      <c r="V338" s="47">
        <f ca="1">(1+L338)*(LOOKUP(D338,'模拟-单技能数据'!$A$2:$A$19,'模拟-单技能数据'!$D$2:$D$19)+G338*LOOKUP(D338,'模拟-单技能数据'!$A$2:$A$19,'模拟-单技能数据'!$F$2:$F$19))*(1+J338)*(1+K338)*(1-S338)*(1+U338)*Q338*LOOKUP(D338,'模拟-单技能数据'!$A$2:$A$19,'模拟-单技能数据'!$I$2:$I$20)</f>
        <v>110503.35617153208</v>
      </c>
      <c r="W338" s="47">
        <f ca="1">LOOKUP(D338,'模拟-单技能数据'!$A$2:$A$19,'模拟-单技能数据'!$G$2:$G$19)*$I$10</f>
        <v>361.51064354704795</v>
      </c>
      <c r="X338" s="47">
        <f t="shared" ca="1" si="269"/>
        <v>0</v>
      </c>
      <c r="Y338" s="47">
        <f t="shared" ca="1" si="300"/>
        <v>110864.86681507913</v>
      </c>
      <c r="Z338" s="49">
        <f t="shared" ca="1" si="301"/>
        <v>32684109.819731146</v>
      </c>
      <c r="AA338" s="97">
        <f t="shared" ca="1" si="302"/>
        <v>113922.60239190265</v>
      </c>
      <c r="AB338" s="115">
        <f ca="1">IF(OR(C338="赤日轮1",C338="赤日轮2",C338="赤日轮3"),IF(RAND()&lt;模拟模式!$Y$17,1,0),IF(OR(C338="幽月轮1",C338="幽月轮2",C338="幽月轮3"),IF(RAND()&lt;模拟模式!$Y$18,1,0),IF(C338="烈日斩",IF(RAND()&lt;模拟模式!$Y$19,1,0),IF(C338="银月斩",IF(RAND()&lt;模拟模式!$Y$20,1,0),IF(C338="驱夜断愁",IF(RAND()&lt;模拟模式!$Y$21,1,0),IF(C338="净世破魔击·日",IF(RAND()&lt;模拟模式!$Y$22,1,0),IF(C338="净世破魔击·月",IF(RAND()&lt;模拟模式!$Y$23,1,0),0)))))))</f>
        <v>1</v>
      </c>
      <c r="AC338" s="115" t="b">
        <f t="shared" ca="1" si="290"/>
        <v>0</v>
      </c>
      <c r="AD338" s="115" t="b">
        <f t="shared" ca="1" si="310"/>
        <v>0</v>
      </c>
      <c r="AE338" s="115">
        <f t="shared" ca="1" si="311"/>
        <v>5</v>
      </c>
      <c r="AF338" s="47">
        <f ca="1">IF(AC338,('模拟-单技能数据'!$D$20+G338*'模拟-单技能数据'!$F$20)*(1+J338)*(1+'模拟-单技能数据'!$J$20)*(1+U338),0)</f>
        <v>0</v>
      </c>
      <c r="AG338" s="61">
        <f t="shared" ca="1" si="303"/>
        <v>0.64185145527300214</v>
      </c>
      <c r="AH338" s="61">
        <f t="shared" ca="1" si="304"/>
        <v>2.2624828854998791</v>
      </c>
      <c r="AI338" s="62">
        <f t="shared" ca="1" si="270"/>
        <v>0.32030583260400336</v>
      </c>
      <c r="AJ338" s="47">
        <f ca="1">IF(AD338,IF(AI338&lt;$F$10,0,IF(AI338&lt;$F$10+$F$11,0.25,IF(AI338&lt;$F$10+$F$11+AG338,AH338,1)))*IF(AF338&gt;0,AF338,IF(AF337&gt;0,AF337,IF(AF336&gt;0,AF336,IF(AF335&gt;0,AF335,IF(AF334&gt;0,AF334,IF(AF333&gt;0,AF333,IF(AF332&gt;0,AF332,IF(AF331&gt;0,AF331,IF(AF330&gt;0,AF330,IF(AF328&gt;0,AF328,IF(AF327&gt;0,AF327,IF(AF326&gt;0,AF326,0)))))))))))),0)*(1-$S338)*'模拟-单技能数据'!$I$20</f>
        <v>0</v>
      </c>
      <c r="AK338" s="115" t="b">
        <f t="shared" ca="1" si="291"/>
        <v>0</v>
      </c>
      <c r="AL338" s="115" t="b">
        <f t="shared" ca="1" si="312"/>
        <v>0</v>
      </c>
      <c r="AM338" s="115">
        <f t="shared" ca="1" si="313"/>
        <v>4</v>
      </c>
      <c r="AN338" s="47">
        <f ca="1">IF(AK338,('模拟-单技能数据'!$D$21+G338*'模拟-单技能数据'!$F$21)*(1+J338)*(1+'模拟-单技能数据'!$J$21)*(1+U338),0)</f>
        <v>0</v>
      </c>
      <c r="AO338" s="61">
        <f ca="1">IF(AN338&gt;0,M338-'模拟-单技能数据'!$K$10,AO337)</f>
        <v>0.42185145527300216</v>
      </c>
      <c r="AP338" s="61">
        <f ca="1">IF(AN338&gt;0,I338-'模拟-单技能数据'!$L$10,AP337)</f>
        <v>2.162482885499879</v>
      </c>
      <c r="AQ338" s="63">
        <f t="shared" ca="1" si="271"/>
        <v>0.93871523709715632</v>
      </c>
      <c r="AR338" s="64">
        <f ca="1">IF(AL338,IF(AQ338&lt;$F$10,0,IF(AQ338&lt;$F$10+$F$11,0.25,IF(AQ338&lt;$F$10+$F$11+AO338,AP338,1)))*IF(AN338&gt;0,AN338,IF(AN337&gt;0,AN337,IF(AN336&gt;0,AN336,IF(AN335&gt;0,AN335,IF(AN334&gt;0,AN334,IF(AN333&gt;0,AN333,IF(AN332&gt;0,AN332,IF(AN331&gt;0,AN331,IF(AN330&gt;0,AN330,IF(AN328&gt;0,AN328,IF(AN327&gt;0,AN327,IF(AN326&gt;0,AN326,0)))))))))))),0)*(1-$S338)*'模拟-单技能数据'!$I$21</f>
        <v>0</v>
      </c>
      <c r="AS338" s="61">
        <f ca="1">IF(OR(C338="净世破魔击·日",C338="净世破魔击·月"),M338-'模拟-单技能数据'!$K$10,0)</f>
        <v>0</v>
      </c>
      <c r="AT338" s="61">
        <f ca="1">IF(OR(C338="净世破魔击·日",C338="净世破魔击·月"),I338-'模拟-单技能数据'!$L$10,0)</f>
        <v>0</v>
      </c>
      <c r="AU338" s="62">
        <f t="shared" ca="1" si="272"/>
        <v>0.26916548434181553</v>
      </c>
      <c r="AV338" s="64">
        <f ca="1">IF(AS338&gt;0,('模拟-单技能数据'!$D$22+G338*'模拟-单技能数据'!$F$22)*(1+J338)*(1-S338)*IF(AU338&lt;$F$10,0,IF(AU338&lt;$F$10+$F$11,0.25,IF(AU338&lt;$F$10+$F$11+AS338,AT338,1)))*(1+U338),0)*'模拟-单技能数据'!$I$22</f>
        <v>0</v>
      </c>
      <c r="AW338" s="108">
        <f t="shared" ca="1" si="273"/>
        <v>0</v>
      </c>
      <c r="AX338" s="108" t="b">
        <f ca="1">AND(模拟模式!$P$10="有",AW337=0,RAND()&lt;IF(C338="净世破魔击·月",0.1*8/3,IF(C338="净世破魔击·日",0.1*4/3,0.1*2/3)))</f>
        <v>0</v>
      </c>
      <c r="AY338" s="47">
        <f ca="1">IF(AX338,(18+G338*0.722)*(1+J338)*(1-S338)*(1+$I$4)*IF(P338="会",'模拟-全程加成'!$J$3+'模拟-全程加成'!$J$4+'模拟-全程加成'!$J$5+('模拟-全程加成'!$I$4+'模拟-全程加成'!$I$5)/系数!$B$4+BG338*10%,IF(P338="命",1,IF(P338="识",0.25,0))),0)</f>
        <v>0</v>
      </c>
      <c r="AZ338" s="108">
        <f t="shared" si="274"/>
        <v>17.232500000000002</v>
      </c>
      <c r="BA338" s="108" t="b">
        <f>AND(模拟模式!$Q$10="有",AZ337=0)</f>
        <v>0</v>
      </c>
      <c r="BB338" s="140">
        <f>IF(BA338,(0+G338*0.287)*(1+J338)*(1-S338)*(1+$I$4)*IF(P338="会",'模拟-全程加成'!$J$3+'模拟-全程加成'!$J$4+'模拟-全程加成'!$J$5+('模拟-全程加成'!$I$4+'模拟-全程加成'!$I$5)/系数!$B$4+BG338*10%,IF(P338="命",1,IF(P338="识",0.25,0))),0)</f>
        <v>0</v>
      </c>
      <c r="BC338" s="115" t="b">
        <f ca="1">AND(模拟模式!$R$7="伏明众生",E338=60,F338=20,DA338&lt;5,CZ337&lt;$F$4)</f>
        <v>0</v>
      </c>
      <c r="BD338" s="115">
        <f t="shared" ca="1" si="292"/>
        <v>0</v>
      </c>
      <c r="BE338" s="115" t="b">
        <f t="shared" ca="1" si="293"/>
        <v>0</v>
      </c>
      <c r="BF338" s="47">
        <f ca="1">IF(BC338,4*('模拟-单技能数据'!$D$24+G338*'模拟-单技能数据'!$F$24)*(1+J338)*(1+'模拟-单技能数据'!$J$24)*(1-S338)*(1+$I$3)*(('模拟-全程加成'!$J$3+'模拟-全程加成'!$J$4+'模拟-全程加成'!$J$5+('模拟-全程加成'!$I$4+'模拟-全程加成'!$I$5)/系数!$B$4+BG338*10%)*('模拟-全程加成'!$J$3+'模拟-全程加成'!$J$4+'模拟-全程加成'!$J$5+('模拟-全程加成'!$I$4+'模拟-全程加成'!$I$5)/系数!$B$4+BG338*10%)+(1-('模拟-全程加成'!$J$3+'模拟-全程加成'!$J$4+'模拟-全程加成'!$J$5+('模拟-全程加成'!$I$4+'模拟-全程加成'!$I$5)/系数!$B$4+BG338*10%)-$F$10-$F$11)+F324*0.25),0)*'模拟-单技能数据'!$I$24</f>
        <v>0</v>
      </c>
      <c r="BG338" s="115" t="b">
        <f ca="1">OR(AND(OR(C338="烈日斩",C338="银月斩"),模拟模式!$I$7="净身明礼"),AND(C338="净世破魔击·日",模拟模式!$J$7="洞若观火"),AND(C339="净世破魔击·月",模拟模式!$J$7="洞若观火"),AB338=1)</f>
        <v>1</v>
      </c>
      <c r="BH338" s="115" t="b">
        <f t="shared" ca="1" si="275"/>
        <v>0</v>
      </c>
      <c r="BI338" s="115">
        <f t="shared" ca="1" si="294"/>
        <v>4.1549999999999994</v>
      </c>
      <c r="BJ338" s="115" t="b">
        <f t="shared" ca="1" si="305"/>
        <v>1</v>
      </c>
      <c r="BK338" s="115" t="b">
        <f ca="1">AND(C338="驱夜断愁",模拟模式!$P$7="天地诛戮")</f>
        <v>0</v>
      </c>
      <c r="BL338" s="57">
        <f t="shared" ca="1" si="295"/>
        <v>19.077500000000001</v>
      </c>
      <c r="BM338" s="115" t="b">
        <f t="shared" ca="1" si="306"/>
        <v>1</v>
      </c>
      <c r="BN338" s="115" t="b">
        <f ca="1">AND(OR(C338="赤日轮1",C338="赤日轮2",C338="赤日轮3",C338="幽月轮1",C338="幽月轮2",C338="幽月轮3"),AB338=1,模拟模式!$L$7="明光恒照")</f>
        <v>0</v>
      </c>
      <c r="BO338" s="117">
        <f t="shared" ca="1" si="296"/>
        <v>27.232500000000002</v>
      </c>
      <c r="BP338" s="115">
        <f t="shared" ca="1" si="276"/>
        <v>6</v>
      </c>
      <c r="BQ338" s="115" t="b">
        <f>模拟模式!$K$10="2600·水"</f>
        <v>0</v>
      </c>
      <c r="BR338" s="117">
        <f t="shared" si="277"/>
        <v>0</v>
      </c>
      <c r="BS338" s="115">
        <f t="shared" si="278"/>
        <v>0</v>
      </c>
      <c r="BT338" s="115">
        <f t="shared" ca="1" si="279"/>
        <v>0</v>
      </c>
      <c r="BU338" s="115" t="b">
        <f ca="1">AND(模拟模式!$K$10="2300·雷",BT337=0,RAND()&lt;IF(C338="净世破魔击·月",5*0.05*2/3,IF(C338="净世破魔击·日",3*0.05*2/3,0.05*2*2/3)))</f>
        <v>0</v>
      </c>
      <c r="BV338" s="115">
        <f t="shared" ca="1" si="280"/>
        <v>0</v>
      </c>
      <c r="BW338" s="115">
        <f t="shared" ca="1" si="281"/>
        <v>84.982499999999263</v>
      </c>
      <c r="BX338" s="164" t="b">
        <f t="shared" ca="1" si="282"/>
        <v>0</v>
      </c>
      <c r="BY338" s="115">
        <f t="shared" ca="1" si="283"/>
        <v>0</v>
      </c>
      <c r="BZ338" s="115">
        <f>IF(OR(模拟模式!$P$16="10人团",模拟模式!$P$16="25人团"),IF(B338/30&gt;CA337,1,0),0)</f>
        <v>0</v>
      </c>
      <c r="CA338" s="115">
        <f t="shared" si="259"/>
        <v>0</v>
      </c>
      <c r="CB338" s="115">
        <f ca="1">IF(BZ338=1,IF(模拟模式!$P$16="10人团",15,0)+IF(模拟模式!$P$16="25人团",IF(RAND()&lt;0.6,15,0)),MAX(0,CB337-$F$4))</f>
        <v>0</v>
      </c>
      <c r="CC338" s="115" t="b">
        <f t="shared" ca="1" si="307"/>
        <v>0</v>
      </c>
      <c r="CD338" s="115">
        <f>IF(模拟模式!$Q$16="1个",IF(B338/40&gt;CE337,1,0),0)</f>
        <v>0</v>
      </c>
      <c r="CE338" s="115">
        <f t="shared" si="308"/>
        <v>0</v>
      </c>
      <c r="CF338" s="115">
        <f>IF(OR(CD338=1,模拟模式!$Q$16="2个"),20,MAX(0,CF337-$F$4))</f>
        <v>0</v>
      </c>
      <c r="CG338" s="115" t="b">
        <f t="shared" si="309"/>
        <v>0</v>
      </c>
      <c r="CH338" s="115">
        <f t="shared" ca="1" si="284"/>
        <v>17.085000000000008</v>
      </c>
      <c r="CI338" s="115" t="b">
        <f t="shared" ca="1" si="285"/>
        <v>0</v>
      </c>
      <c r="CJ338" s="119">
        <f t="shared" ca="1" si="286"/>
        <v>0</v>
      </c>
      <c r="CK338" s="115">
        <f t="shared" ca="1" si="287"/>
        <v>0</v>
      </c>
      <c r="CL338" s="115" t="b">
        <f ca="1">AND(模拟模式!$S$7="驱夷逐法",OR(AND(C338="净世破魔击·月",E337&gt;59),AND(C338="净世破魔击·日",F337&gt;59)))</f>
        <v>0</v>
      </c>
      <c r="CM338" s="115" t="b">
        <f ca="1">OR(CL338,AND(C338="净世破魔击·日",CL337,RAND()&lt;模拟模式!$U$23))</f>
        <v>0</v>
      </c>
      <c r="CN338" s="115" t="b">
        <f ca="1">IF(模拟模式!$M$7="辉耀红尘",AND(C338="净世破魔击·月",CL338,CV338=0,E337&lt;80),AND(C338="净世破魔击·月",CL338,E337&lt;100))</f>
        <v>0</v>
      </c>
      <c r="CO338" s="115" t="b">
        <f t="shared" ca="1" si="260"/>
        <v>0</v>
      </c>
      <c r="CP338" s="115" t="b">
        <f ca="1">AND(模拟模式!$O$7="用晦而明",OR(C338="净世破魔击·日",C338="净世破魔击·月",C338="驱夜断愁"),AB338)</f>
        <v>0</v>
      </c>
      <c r="CQ338" s="115" t="b">
        <f ca="1">OR(CP338,AND(CP337,RAND()&lt;模拟模式!$U$23))</f>
        <v>1</v>
      </c>
      <c r="CR338" s="115" t="b">
        <f ca="1">AND(模拟模式!$S$7="日月齐光",OR(C338="幽月轮1",C338="幽月轮2",C338="幽月轮3",CR337),NOT(OR(C338="赤日轮1",C338="赤日轮2",C338="赤日轮3")))</f>
        <v>0</v>
      </c>
      <c r="CS338" s="115" t="b">
        <f ca="1">AND(模拟模式!$S$7="日月齐光",OR(C338="赤日轮1",C338="赤日轮2",C338="赤日轮3",CS337),NOT(OR(C338="幽月轮1",C338="幽月轮2",C338="幽月轮3")))</f>
        <v>0</v>
      </c>
      <c r="CT338" s="115">
        <f t="shared" ca="1" si="288"/>
        <v>0</v>
      </c>
      <c r="CU338" s="115" t="b">
        <f ca="1">AND(模拟模式!$K$10="阴阳往极",CT337=0,RAND()&lt;IF(C338="净世破魔击·月",0.0275*7/3,IF(C338="净世破魔击·日",0.0275*3/3,0.0275*2/3)))</f>
        <v>0</v>
      </c>
      <c r="CV338" s="115">
        <f t="shared" ca="1" si="289"/>
        <v>0</v>
      </c>
      <c r="CW338" s="115">
        <f t="shared" ca="1" si="261"/>
        <v>6</v>
      </c>
      <c r="CX338" s="115">
        <f t="shared" ca="1" si="262"/>
        <v>4.1549999999999994</v>
      </c>
      <c r="CY338" s="115">
        <f ca="1">MAX(IF($C338="驱夜断愁",IF(模拟模式!$R$7="万念俱寂",6,45),CY337-$F$4),0)</f>
        <v>5.0774999999999997</v>
      </c>
      <c r="CZ338" s="115">
        <f t="shared" ca="1" si="263"/>
        <v>0</v>
      </c>
      <c r="DA338" s="115">
        <f ca="1">IF(模拟模式!$N$7="日月同辉",IF(DB337=2,0,MIN(6,IF(AND(OR(C338="赤日轮1",C338="赤日轮2",C338="赤日轮3",C338="幽月轮1",C338="幽月轮2",C338="幽月轮3"),AB338=1),DA337+1,DA337))),0)</f>
        <v>2</v>
      </c>
      <c r="DB338" s="115">
        <f t="shared" ca="1" si="264"/>
        <v>0</v>
      </c>
      <c r="DC338" s="115"/>
      <c r="DD338" s="115"/>
      <c r="DE338" s="115"/>
      <c r="DF338" s="115"/>
      <c r="DG338" s="115"/>
      <c r="DH338" s="115"/>
      <c r="DI338" s="115"/>
      <c r="DJ338" s="115"/>
      <c r="DK338" s="115"/>
      <c r="DL338" s="115"/>
      <c r="DM338" s="115"/>
    </row>
    <row r="339" spans="2:117" x14ac:dyDescent="0.2">
      <c r="B339" s="117">
        <f t="shared" si="265"/>
        <v>287.82000000000227</v>
      </c>
      <c r="C339" s="167" t="str">
        <f t="shared" ca="1" si="258"/>
        <v>幽月轮1</v>
      </c>
      <c r="D339" s="115">
        <f ca="1">IF(C339="赤日轮1",1,IF(C339="赤日轮2",2,IF(C339="赤日轮3",3,IF(C339="幽月轮1",4,IF(C339="幽月轮2",5,IF(C339="幽月轮3",6,IF(C339="烈日斩",7,IF(C339="银月斩",8,IF(C339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339="净世破魔击·月",17,IF(C339="驱夜断愁",18,0)))))))))))</f>
        <v>4</v>
      </c>
      <c r="E339" s="115">
        <f ca="1">IF(AND(CU339,OR(C339="幽月轮1",C339="幽月轮2",C339="幽月轮3",C339="银月斩",C339="驱夜断愁",C339="净世破魔击·月")),100,MIN(IF(OR(CN339,BE339),0,IF(OR($C339="赤日轮1",$C339="赤日轮2",$C339="赤日轮3"),E338+20+IF(模拟模式!$I$7="日月凌天",4,0)+IF(CR338,20,0),IF($C339="烈日斩",E338+40,IF($C339="驱夜断愁",IF(模拟模式!$R$7="万念俱寂",E338+20,E338+60),IF($C339="净世破魔击·月",IF(OR(DB338&gt;0,CV338&gt;0),100,IF(模拟模式!$M$7="辉耀红尘",E338+20,E338)),IF($C339="净世破魔击·日",E338-100,E338)))))),100))</f>
        <v>80</v>
      </c>
      <c r="F339" s="115">
        <f ca="1">IF(AND(CU339,OR(C339="赤日轮1",C339="赤日轮2",C339="赤日轮3",C339="烈日斩",C339="净世破魔击·日")),100,MIN(IF(CO339,0,IF(OR($C339="幽月轮1",$C339="幽月轮2",$C339="幽月轮3"),F338+20+IF(模拟模式!$I$7="日月凌天",4,0)+IF(CS338,20,0),IF($C339="银月斩",F338+40+IF(模拟模式!$X$12=1,5,0),IF($C339="驱夜断愁",IF(模拟模式!$R$7="万念俱寂",F338+20,F338+60),IF($C339="净世破魔击·月",IF(模拟模式!$M$7="辉耀红尘",F338-80,F338-100),IF(AND(C339="净世破魔击·日",OR(DB338&gt;0,CV338&gt;0)),100,F338)))))),100))</f>
        <v>100</v>
      </c>
      <c r="G339" s="117">
        <f ca="1">('模拟-全程加成'!$E$3+'模拟-全程加成'!$E$4+'模拟-全程加成'!$E$5+('模拟-全程加成'!$C$6-'模拟-全程加成'!$C$3)*系数!$B$9+BS339*23)*(1+'模拟-全程加成'!$F$4+'模拟-全程加成'!$F$5+BJ339*10%+BM339*20%+BP339*4%+CG339*30%)+$F$7*系数!$B$12</f>
        <v>21493.829400000002</v>
      </c>
      <c r="H339" s="45">
        <f ca="1">'模拟-全程加成'!$H$3+'模拟-全程加成'!$H$4+'模拟-全程加成'!$H$5+('模拟-全程加成'!$G$4+'模拟-全程加成'!$G$5+('模拟-全程加成'!$C$6-'模拟-全程加成'!$C$3)*系数!$B$13)/系数!$B$3+LOOKUP(D339,'模拟-单技能数据'!$A$2:$A$19,'模拟-单技能数据'!$K$2:$K$19)+BG339*10%+IF(BV339&gt;0,378,0)</f>
        <v>0.51185145527300213</v>
      </c>
      <c r="I339" s="45">
        <f ca="1">'模拟-全程加成'!$J$3+'模拟-全程加成'!$J$4+'模拟-全程加成'!$J$5+('模拟-全程加成'!$I$4+'模拟-全程加成'!$I$5)/系数!$B$4+LOOKUP(D339,'模拟-单技能数据'!$A$2:$A$19,'模拟-单技能数据'!$L$2:$L$19)+BG339*10%</f>
        <v>2.162482885499879</v>
      </c>
      <c r="J339" s="45">
        <f ca="1">(('模拟-全程加成'!$K$3+'模拟-全程加成'!$K$4+'模拟-全程加成'!$K$5+('模拟-全程加成'!$C$6-'模拟-全程加成'!$C$3)*系数!$B$10+IF(BV339&gt;0,882,0)+IF(BY339&gt;0,1831,0))*(1+'模拟-全程加成'!$L$4+'模拟-全程加成'!$L$5+CC339*20%))/系数!$B$5</f>
        <v>0.69723220422048726</v>
      </c>
      <c r="K339" s="119">
        <f ca="1">LOOKUP(D339,'模拟-单技能数据'!$A$2:$A$19,'模拟-单技能数据'!$J$2:$J$19)+IF(CM339,60%,0)+IF(DB338-DB339&gt;0,30%,0)+IF(OR(AND(OR(C339="赤日轮1",C339="赤日轮2",C339="赤日轮3"),CR339),AND(OR(C339="幽月轮1",C339="幽月轮2",C339="幽月轮3"),CS339)),35%,0)+CJ339</f>
        <v>7.0000000000000007E-2</v>
      </c>
      <c r="L339" s="119">
        <f ca="1">IF(AND(C339="烈日斩",模拟模式!$X$11=1),10%,0)+IF(AND(C339="驱夜断愁",AB339=1),30%,0)</f>
        <v>0</v>
      </c>
      <c r="M339" s="45">
        <f t="shared" ca="1" si="297"/>
        <v>0.51185145527300213</v>
      </c>
      <c r="N339" s="45">
        <f t="shared" ca="1" si="298"/>
        <v>0.43424854472699792</v>
      </c>
      <c r="O339" s="46">
        <f t="shared" ca="1" si="266"/>
        <v>0.71849458445619452</v>
      </c>
      <c r="P339" s="46" t="str">
        <f t="shared" ca="1" si="267"/>
        <v>命</v>
      </c>
      <c r="Q339" s="45">
        <f t="shared" ca="1" si="268"/>
        <v>1</v>
      </c>
      <c r="R339" s="117">
        <f ca="1">模拟模式!$E$20*(1-IF(模拟模式!$J$19="有",0.15,0))*(1-IF(模拟模式!$K$19="有",0.3,0)-IF(CQ339,0.5,0))</f>
        <v>2950.6049999999996</v>
      </c>
      <c r="S339" s="45">
        <f ca="1">R339/(R339+(185*模拟模式!$E$22-16800)*4.08224)</f>
        <v>0.24272716014590323</v>
      </c>
      <c r="T339" s="45" t="str">
        <f ca="1">LOOKUP(D339,'模拟-单技能数据'!$A$2:$A$19,'模拟-单技能数据'!$H$2:$H$19)</f>
        <v>阴</v>
      </c>
      <c r="U339" s="119">
        <f t="shared" ca="1" si="299"/>
        <v>0.08</v>
      </c>
      <c r="V339" s="47">
        <f ca="1">(1+L339)*(LOOKUP(D339,'模拟-单技能数据'!$A$2:$A$19,'模拟-单技能数据'!$D$2:$D$19)+G339*LOOKUP(D339,'模拟-单技能数据'!$A$2:$A$19,'模拟-单技能数据'!$F$2:$F$19))*(1+J339)*(1+K339)*(1-S339)*(1+U339)*Q339*LOOKUP(D339,'模拟-单技能数据'!$A$2:$A$19,'模拟-单技能数据'!$I$2:$I$20)</f>
        <v>16939.18703301924</v>
      </c>
      <c r="W339" s="47">
        <f ca="1">LOOKUP(D339,'模拟-单技能数据'!$A$2:$A$19,'模拟-单技能数据'!$G$2:$G$19)*$I$10</f>
        <v>361.51064354704795</v>
      </c>
      <c r="X339" s="47">
        <f t="shared" ca="1" si="269"/>
        <v>17140.046163193394</v>
      </c>
      <c r="Y339" s="47">
        <f t="shared" ca="1" si="300"/>
        <v>34440.743839759685</v>
      </c>
      <c r="Z339" s="49">
        <f t="shared" ca="1" si="301"/>
        <v>32718550.563570905</v>
      </c>
      <c r="AA339" s="97">
        <f t="shared" ca="1" si="302"/>
        <v>113677.12654982506</v>
      </c>
      <c r="AB339" s="115">
        <f ca="1">IF(OR(C339="赤日轮1",C339="赤日轮2",C339="赤日轮3"),IF(RAND()&lt;模拟模式!$Y$17,1,0),IF(OR(C339="幽月轮1",C339="幽月轮2",C339="幽月轮3"),IF(RAND()&lt;模拟模式!$Y$18,1,0),IF(C339="烈日斩",IF(RAND()&lt;模拟模式!$Y$19,1,0),IF(C339="银月斩",IF(RAND()&lt;模拟模式!$Y$20,1,0),IF(C339="驱夜断愁",IF(RAND()&lt;模拟模式!$Y$21,1,0),IF(C339="净世破魔击·日",IF(RAND()&lt;模拟模式!$Y$22,1,0),IF(C339="净世破魔击·月",IF(RAND()&lt;模拟模式!$Y$23,1,0),0)))))))</f>
        <v>1</v>
      </c>
      <c r="AC339" s="115" t="b">
        <f t="shared" ca="1" si="290"/>
        <v>0</v>
      </c>
      <c r="AD339" s="115" t="b">
        <f t="shared" ca="1" si="310"/>
        <v>1</v>
      </c>
      <c r="AE339" s="115">
        <f t="shared" ca="1" si="311"/>
        <v>4</v>
      </c>
      <c r="AF339" s="47">
        <f ca="1">IF(AC339,('模拟-单技能数据'!$D$20+G339*'模拟-单技能数据'!$F$20)*(1+J339)*(1+'模拟-单技能数据'!$J$20)*(1+U339),0)</f>
        <v>0</v>
      </c>
      <c r="AG339" s="61">
        <f t="shared" ca="1" si="303"/>
        <v>0.64185145527300214</v>
      </c>
      <c r="AH339" s="61">
        <f t="shared" ca="1" si="304"/>
        <v>2.2624828854998791</v>
      </c>
      <c r="AI339" s="62">
        <f t="shared" ca="1" si="270"/>
        <v>0.45738222482025104</v>
      </c>
      <c r="AJ339" s="47">
        <f ca="1">IF(AD339,IF(AI339&lt;$F$10,0,IF(AI339&lt;$F$10+$F$11,0.25,IF(AI339&lt;$F$10+$F$11+AG339,AH339,1)))*IF(AF339&gt;0,AF339,IF(AF338&gt;0,AF338,IF(AF337&gt;0,AF337,IF(AF336&gt;0,AF336,IF(AF335&gt;0,AF335,IF(AF334&gt;0,AF334,IF(AF333&gt;0,AF333,IF(AF332&gt;0,AF332,IF(AF331&gt;0,AF331,IF(AF329&gt;0,AF329,IF(AF328&gt;0,AF328,IF(AF327&gt;0,AF327,0)))))))))))),0)*(1-$S339)*'模拟-单技能数据'!$I$20</f>
        <v>7949.3543492067038</v>
      </c>
      <c r="AK339" s="115" t="b">
        <f t="shared" ca="1" si="291"/>
        <v>0</v>
      </c>
      <c r="AL339" s="115" t="b">
        <f t="shared" ca="1" si="312"/>
        <v>1</v>
      </c>
      <c r="AM339" s="115">
        <f t="shared" ca="1" si="313"/>
        <v>3</v>
      </c>
      <c r="AN339" s="47">
        <f ca="1">IF(AK339,('模拟-单技能数据'!$D$21+G339*'模拟-单技能数据'!$F$21)*(1+J339)*(1+'模拟-单技能数据'!$J$21)*(1+U339),0)</f>
        <v>0</v>
      </c>
      <c r="AO339" s="61">
        <f ca="1">IF(AN339&gt;0,M339-'模拟-单技能数据'!$K$10,AO338)</f>
        <v>0.42185145527300216</v>
      </c>
      <c r="AP339" s="61">
        <f ca="1">IF(AN339&gt;0,I339-'模拟-单技能数据'!$L$10,AP338)</f>
        <v>2.162482885499879</v>
      </c>
      <c r="AQ339" s="63">
        <f t="shared" ca="1" si="271"/>
        <v>0.80066095319915487</v>
      </c>
      <c r="AR339" s="64">
        <f ca="1">IF(AL339,IF(AQ339&lt;$F$10,0,IF(AQ339&lt;$F$10+$F$11,0.25,IF(AQ339&lt;$F$10+$F$11+AO339,AP339,1)))*IF(AN339&gt;0,AN339,IF(AN338&gt;0,AN338,IF(AN337&gt;0,AN337,IF(AN336&gt;0,AN336,IF(AN335&gt;0,AN335,IF(AN334&gt;0,AN334,IF(AN333&gt;0,AN333,IF(AN332&gt;0,AN332,IF(AN331&gt;0,AN331,IF(AN329&gt;0,AN329,IF(AN328&gt;0,AN328,IF(AN327&gt;0,AN327,0)))))))))))),0)*(1-$S339)*'模拟-单技能数据'!$I$21</f>
        <v>9190.6918139866902</v>
      </c>
      <c r="AS339" s="61">
        <f ca="1">IF(OR(C339="净世破魔击·日",C339="净世破魔击·月"),M339-'模拟-单技能数据'!$K$10,0)</f>
        <v>0</v>
      </c>
      <c r="AT339" s="61">
        <f ca="1">IF(OR(C339="净世破魔击·日",C339="净世破魔击·月"),I339-'模拟-单技能数据'!$L$10,0)</f>
        <v>0</v>
      </c>
      <c r="AU339" s="62">
        <f t="shared" ca="1" si="272"/>
        <v>0.71204574779155638</v>
      </c>
      <c r="AV339" s="64">
        <f ca="1">IF(AS339&gt;0,('模拟-单技能数据'!$D$22+G339*'模拟-单技能数据'!$F$22)*(1+J339)*(1-S339)*IF(AU339&lt;$F$10,0,IF(AU339&lt;$F$10+$F$11,0.25,IF(AU339&lt;$F$10+$F$11+AS339,AT339,1)))*(1+U339),0)*'模拟-单技能数据'!$I$22</f>
        <v>0</v>
      </c>
      <c r="AW339" s="108">
        <f t="shared" ca="1" si="273"/>
        <v>0</v>
      </c>
      <c r="AX339" s="108" t="b">
        <f ca="1">AND(模拟模式!$P$10="有",AW338=0,RAND()&lt;IF(C339="净世破魔击·月",0.1*8/3,IF(C339="净世破魔击·日",0.1*4/3,0.1*2/3)))</f>
        <v>0</v>
      </c>
      <c r="AY339" s="47">
        <f ca="1">IF(AX339,(18+G339*0.722)*(1+J339)*(1-S339)*(1+$I$4)*IF(P339="会",'模拟-全程加成'!$J$3+'模拟-全程加成'!$J$4+'模拟-全程加成'!$J$5+('模拟-全程加成'!$I$4+'模拟-全程加成'!$I$5)/系数!$B$4+BG339*10%,IF(P339="命",1,IF(P339="识",0.25,0))),0)</f>
        <v>0</v>
      </c>
      <c r="AZ339" s="108">
        <f t="shared" si="274"/>
        <v>16.310000000000002</v>
      </c>
      <c r="BA339" s="108" t="b">
        <f>AND(模拟模式!$Q$10="有",AZ338=0)</f>
        <v>0</v>
      </c>
      <c r="BB339" s="140">
        <f>IF(BA339,(0+G339*0.287)*(1+J339)*(1-S339)*(1+$I$4)*IF(P339="会",'模拟-全程加成'!$J$3+'模拟-全程加成'!$J$4+'模拟-全程加成'!$J$5+('模拟-全程加成'!$I$4+'模拟-全程加成'!$I$5)/系数!$B$4+BG339*10%,IF(P339="命",1,IF(P339="识",0.25,0))),0)</f>
        <v>0</v>
      </c>
      <c r="BC339" s="115" t="b">
        <f ca="1">AND(模拟模式!$R$7="伏明众生",E339=60,F339=20,DA339&lt;5,CZ338&lt;$F$4)</f>
        <v>0</v>
      </c>
      <c r="BD339" s="115">
        <f t="shared" ca="1" si="292"/>
        <v>0</v>
      </c>
      <c r="BE339" s="115" t="b">
        <f t="shared" ca="1" si="293"/>
        <v>0</v>
      </c>
      <c r="BF339" s="47">
        <f ca="1">IF(BC339,4*('模拟-单技能数据'!$D$24+G339*'模拟-单技能数据'!$F$24)*(1+J339)*(1+'模拟-单技能数据'!$J$24)*(1-S339)*(1+$I$3)*(('模拟-全程加成'!$J$3+'模拟-全程加成'!$J$4+'模拟-全程加成'!$J$5+('模拟-全程加成'!$I$4+'模拟-全程加成'!$I$5)/系数!$B$4+BG339*10%)*('模拟-全程加成'!$J$3+'模拟-全程加成'!$J$4+'模拟-全程加成'!$J$5+('模拟-全程加成'!$I$4+'模拟-全程加成'!$I$5)/系数!$B$4+BG339*10%)+(1-('模拟-全程加成'!$J$3+'模拟-全程加成'!$J$4+'模拟-全程加成'!$J$5+('模拟-全程加成'!$I$4+'模拟-全程加成'!$I$5)/系数!$B$4+BG339*10%)-$F$10-$F$11)+F325*0.25),0)*'模拟-单技能数据'!$I$24</f>
        <v>0</v>
      </c>
      <c r="BG339" s="115" t="b">
        <f ca="1">OR(AND(OR(C339="烈日斩",C339="银月斩"),模拟模式!$I$7="净身明礼"),AND(C339="净世破魔击·日",模拟模式!$J$7="洞若观火"),AND(C340="净世破魔击·月",模拟模式!$J$7="洞若观火"),AB339=1)</f>
        <v>1</v>
      </c>
      <c r="BH339" s="115" t="b">
        <f t="shared" ca="1" si="275"/>
        <v>0</v>
      </c>
      <c r="BI339" s="115">
        <f t="shared" ca="1" si="294"/>
        <v>3.2324999999999995</v>
      </c>
      <c r="BJ339" s="115" t="b">
        <f t="shared" ca="1" si="305"/>
        <v>1</v>
      </c>
      <c r="BK339" s="115" t="b">
        <f ca="1">AND(C339="驱夜断愁",模拟模式!$P$7="天地诛戮")</f>
        <v>0</v>
      </c>
      <c r="BL339" s="57">
        <f t="shared" ca="1" si="295"/>
        <v>18.155000000000001</v>
      </c>
      <c r="BM339" s="115" t="b">
        <f t="shared" ca="1" si="306"/>
        <v>1</v>
      </c>
      <c r="BN339" s="115" t="b">
        <f ca="1">AND(OR(C339="赤日轮1",C339="赤日轮2",C339="赤日轮3",C339="幽月轮1",C339="幽月轮2",C339="幽月轮3"),AB339=1,模拟模式!$L$7="明光恒照")</f>
        <v>1</v>
      </c>
      <c r="BO339" s="117">
        <f t="shared" ca="1" si="296"/>
        <v>30</v>
      </c>
      <c r="BP339" s="115">
        <f t="shared" ca="1" si="276"/>
        <v>6</v>
      </c>
      <c r="BQ339" s="115" t="b">
        <f>模拟模式!$K$10="2600·水"</f>
        <v>0</v>
      </c>
      <c r="BR339" s="117">
        <f t="shared" si="277"/>
        <v>0</v>
      </c>
      <c r="BS339" s="115">
        <f t="shared" si="278"/>
        <v>0</v>
      </c>
      <c r="BT339" s="115">
        <f t="shared" ca="1" si="279"/>
        <v>0</v>
      </c>
      <c r="BU339" s="115" t="b">
        <f ca="1">AND(模拟模式!$K$10="2300·雷",BT338=0,RAND()&lt;IF(C339="净世破魔击·月",5*0.05*2/3,IF(C339="净世破魔击·日",3*0.05*2/3,0.05*2*2/3)))</f>
        <v>0</v>
      </c>
      <c r="BV339" s="115">
        <f t="shared" ca="1" si="280"/>
        <v>0</v>
      </c>
      <c r="BW339" s="115">
        <f t="shared" ca="1" si="281"/>
        <v>84.059999999999263</v>
      </c>
      <c r="BX339" s="164" t="b">
        <f t="shared" ca="1" si="282"/>
        <v>0</v>
      </c>
      <c r="BY339" s="115">
        <f t="shared" ca="1" si="283"/>
        <v>0</v>
      </c>
      <c r="BZ339" s="115">
        <f>IF(OR(模拟模式!$P$16="10人团",模拟模式!$P$16="25人团"),IF(B339/30&gt;CA338,1,0),0)</f>
        <v>0</v>
      </c>
      <c r="CA339" s="115">
        <f t="shared" si="259"/>
        <v>0</v>
      </c>
      <c r="CB339" s="115">
        <f ca="1">IF(BZ339=1,IF(模拟模式!$P$16="10人团",15,0)+IF(模拟模式!$P$16="25人团",IF(RAND()&lt;0.6,15,0)),MAX(0,CB338-$F$4))</f>
        <v>0</v>
      </c>
      <c r="CC339" s="115" t="b">
        <f t="shared" ca="1" si="307"/>
        <v>0</v>
      </c>
      <c r="CD339" s="115">
        <f>IF(模拟模式!$Q$16="1个",IF(B339/40&gt;CE338,1,0),0)</f>
        <v>0</v>
      </c>
      <c r="CE339" s="115">
        <f t="shared" si="308"/>
        <v>0</v>
      </c>
      <c r="CF339" s="115">
        <f>IF(OR(CD339=1,模拟模式!$Q$16="2个"),20,MAX(0,CF338-$F$4))</f>
        <v>0</v>
      </c>
      <c r="CG339" s="115" t="b">
        <f t="shared" si="309"/>
        <v>0</v>
      </c>
      <c r="CH339" s="115">
        <f t="shared" ca="1" si="284"/>
        <v>16.162500000000009</v>
      </c>
      <c r="CI339" s="115" t="b">
        <f t="shared" ca="1" si="285"/>
        <v>0</v>
      </c>
      <c r="CJ339" s="119">
        <f t="shared" ca="1" si="286"/>
        <v>0</v>
      </c>
      <c r="CK339" s="115">
        <f t="shared" ca="1" si="287"/>
        <v>0</v>
      </c>
      <c r="CL339" s="115" t="b">
        <f ca="1">AND(模拟模式!$S$7="驱夷逐法",OR(AND(C339="净世破魔击·月",E338&gt;59),AND(C339="净世破魔击·日",F338&gt;59)))</f>
        <v>0</v>
      </c>
      <c r="CM339" s="115" t="b">
        <f ca="1">OR(CL339,AND(C339="净世破魔击·日",CL338,RAND()&lt;模拟模式!$U$23))</f>
        <v>0</v>
      </c>
      <c r="CN339" s="115" t="b">
        <f ca="1">IF(模拟模式!$M$7="辉耀红尘",AND(C339="净世破魔击·月",CL339,CV339=0,E338&lt;80),AND(C339="净世破魔击·月",CL339,E338&lt;100))</f>
        <v>0</v>
      </c>
      <c r="CO339" s="115" t="b">
        <f t="shared" ca="1" si="260"/>
        <v>0</v>
      </c>
      <c r="CP339" s="115" t="b">
        <f ca="1">AND(模拟模式!$O$7="用晦而明",OR(C339="净世破魔击·日",C339="净世破魔击·月",C339="驱夜断愁"),AB339)</f>
        <v>0</v>
      </c>
      <c r="CQ339" s="115" t="b">
        <f ca="1">OR(CP339,AND(CP338,RAND()&lt;模拟模式!$U$23))</f>
        <v>0</v>
      </c>
      <c r="CR339" s="115" t="b">
        <f ca="1">AND(模拟模式!$S$7="日月齐光",OR(C339="幽月轮1",C339="幽月轮2",C339="幽月轮3",CR338),NOT(OR(C339="赤日轮1",C339="赤日轮2",C339="赤日轮3")))</f>
        <v>0</v>
      </c>
      <c r="CS339" s="115" t="b">
        <f ca="1">AND(模拟模式!$S$7="日月齐光",OR(C339="赤日轮1",C339="赤日轮2",C339="赤日轮3",CS338),NOT(OR(C339="幽月轮1",C339="幽月轮2",C339="幽月轮3")))</f>
        <v>0</v>
      </c>
      <c r="CT339" s="115">
        <f t="shared" ca="1" si="288"/>
        <v>0</v>
      </c>
      <c r="CU339" s="115" t="b">
        <f ca="1">AND(模拟模式!$K$10="阴阳往极",CT338=0,RAND()&lt;IF(C339="净世破魔击·月",0.0275*7/3,IF(C339="净世破魔击·日",0.0275*3/3,0.0275*2/3)))</f>
        <v>0</v>
      </c>
      <c r="CV339" s="115">
        <f t="shared" ca="1" si="289"/>
        <v>0</v>
      </c>
      <c r="CW339" s="115">
        <f t="shared" ca="1" si="261"/>
        <v>5.0774999999999997</v>
      </c>
      <c r="CX339" s="115">
        <f t="shared" ca="1" si="262"/>
        <v>3.2324999999999995</v>
      </c>
      <c r="CY339" s="115">
        <f ca="1">MAX(IF($C339="驱夜断愁",IF(模拟模式!$R$7="万念俱寂",6,45),CY338-$F$4),0)</f>
        <v>4.1549999999999994</v>
      </c>
      <c r="CZ339" s="115">
        <f t="shared" ca="1" si="263"/>
        <v>0</v>
      </c>
      <c r="DA339" s="115">
        <f ca="1">IF(模拟模式!$N$7="日月同辉",IF(DB338=2,0,MIN(6,IF(AND(OR(C339="赤日轮1",C339="赤日轮2",C339="赤日轮3",C339="幽月轮1",C339="幽月轮2",C339="幽月轮3"),AB339=1),DA338+1,DA338))),0)</f>
        <v>3</v>
      </c>
      <c r="DB339" s="115">
        <f t="shared" ca="1" si="264"/>
        <v>0</v>
      </c>
      <c r="DC339" s="115"/>
      <c r="DD339" s="115"/>
      <c r="DE339" s="115"/>
      <c r="DF339" s="115"/>
      <c r="DG339" s="115"/>
      <c r="DH339" s="115"/>
      <c r="DI339" s="115"/>
      <c r="DJ339" s="115"/>
      <c r="DK339" s="115"/>
      <c r="DL339" s="115"/>
      <c r="DM339" s="115"/>
    </row>
    <row r="340" spans="2:117" x14ac:dyDescent="0.2">
      <c r="B340" s="117">
        <f t="shared" si="265"/>
        <v>288.74250000000228</v>
      </c>
      <c r="C340" s="167" t="str">
        <f t="shared" ca="1" si="258"/>
        <v>净世破魔击·月</v>
      </c>
      <c r="D340" s="115">
        <f ca="1">IF(C340="赤日轮1",1,IF(C340="赤日轮2",2,IF(C340="赤日轮3",3,IF(C340="幽月轮1",4,IF(C340="幽月轮2",5,IF(C340="幽月轮3",6,IF(C340="烈日斩",7,IF(C340="银月斩",8,IF(C340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340="净世破魔击·月",17,IF(C340="驱夜断愁",18,0)))))))))))</f>
        <v>17</v>
      </c>
      <c r="E340" s="115">
        <f ca="1">IF(AND(CU340,OR(C340="幽月轮1",C340="幽月轮2",C340="幽月轮3",C340="银月斩",C340="驱夜断愁",C340="净世破魔击·月")),100,MIN(IF(OR(CN340,BE340),0,IF(OR($C340="赤日轮1",$C340="赤日轮2",$C340="赤日轮3"),E339+20+IF(模拟模式!$I$7="日月凌天",4,0)+IF(CR339,20,0),IF($C340="烈日斩",E339+40,IF($C340="驱夜断愁",IF(模拟模式!$R$7="万念俱寂",E339+20,E339+60),IF($C340="净世破魔击·月",IF(OR(DB339&gt;0,CV339&gt;0),100,IF(模拟模式!$M$7="辉耀红尘",E339+20,E339)),IF($C340="净世破魔击·日",E339-100,E339)))))),100))</f>
        <v>100</v>
      </c>
      <c r="F340" s="115">
        <f ca="1">IF(AND(CU340,OR(C340="赤日轮1",C340="赤日轮2",C340="赤日轮3",C340="烈日斩",C340="净世破魔击·日")),100,MIN(IF(CO340,0,IF(OR($C340="幽月轮1",$C340="幽月轮2",$C340="幽月轮3"),F339+20+IF(模拟模式!$I$7="日月凌天",4,0)+IF(CS339,20,0),IF($C340="银月斩",F339+40+IF(模拟模式!$X$12=1,5,0),IF($C340="驱夜断愁",IF(模拟模式!$R$7="万念俱寂",F339+20,F339+60),IF($C340="净世破魔击·月",IF(模拟模式!$M$7="辉耀红尘",F339-80,F339-100),IF(AND(C340="净世破魔击·日",OR(DB339&gt;0,CV339&gt;0)),100,F339)))))),100))</f>
        <v>20</v>
      </c>
      <c r="G340" s="117">
        <f ca="1">('模拟-全程加成'!$E$3+'模拟-全程加成'!$E$4+'模拟-全程加成'!$E$5+('模拟-全程加成'!$C$6-'模拟-全程加成'!$C$3)*系数!$B$9+BS340*23)*(1+'模拟-全程加成'!$F$4+'模拟-全程加成'!$F$5+BJ340*10%+BM340*20%+BP340*4%+CG340*30%)+$F$7*系数!$B$12</f>
        <v>21493.829400000002</v>
      </c>
      <c r="H340" s="45">
        <f ca="1">'模拟-全程加成'!$H$3+'模拟-全程加成'!$H$4+'模拟-全程加成'!$H$5+('模拟-全程加成'!$G$4+'模拟-全程加成'!$G$5+('模拟-全程加成'!$C$6-'模拟-全程加成'!$C$3)*系数!$B$13)/系数!$B$3+LOOKUP(D340,'模拟-单技能数据'!$A$2:$A$19,'模拟-单技能数据'!$K$2:$K$19)+BG340*10%+IF(BV340&gt;0,378,0)</f>
        <v>0.54185145527300216</v>
      </c>
      <c r="I340" s="45">
        <f ca="1">'模拟-全程加成'!$J$3+'模拟-全程加成'!$J$4+'模拟-全程加成'!$J$5+('模拟-全程加成'!$I$4+'模拟-全程加成'!$I$5)/系数!$B$4+LOOKUP(D340,'模拟-单技能数据'!$A$2:$A$19,'模拟-单技能数据'!$L$2:$L$19)+BG340*10%</f>
        <v>2.162482885499879</v>
      </c>
      <c r="J340" s="45">
        <f ca="1">(('模拟-全程加成'!$K$3+'模拟-全程加成'!$K$4+'模拟-全程加成'!$K$5+('模拟-全程加成'!$C$6-'模拟-全程加成'!$C$3)*系数!$B$10+IF(BV340&gt;0,882,0)+IF(BY340&gt;0,1831,0))*(1+'模拟-全程加成'!$L$4+'模拟-全程加成'!$L$5+CC340*20%))/系数!$B$5</f>
        <v>0.69723220422048726</v>
      </c>
      <c r="K340" s="119">
        <f ca="1">LOOKUP(D340,'模拟-单技能数据'!$A$2:$A$19,'模拟-单技能数据'!$J$2:$J$19)+IF(CM340,60%,0)+IF(DB339-DB340&gt;0,30%,0)+IF(OR(AND(OR(C340="赤日轮1",C340="赤日轮2",C340="赤日轮3"),CR340),AND(OR(C340="幽月轮1",C340="幽月轮2",C340="幽月轮3"),CS340)),35%,0)+CJ340</f>
        <v>0.8</v>
      </c>
      <c r="L340" s="119">
        <f ca="1">IF(AND(C340="烈日斩",模拟模式!$X$11=1),10%,0)+IF(AND(C340="驱夜断愁",AB340=1),30%,0)</f>
        <v>0</v>
      </c>
      <c r="M340" s="45">
        <f t="shared" ca="1" si="297"/>
        <v>0.54185145527300216</v>
      </c>
      <c r="N340" s="45">
        <f t="shared" ca="1" si="298"/>
        <v>0.40424854472699789</v>
      </c>
      <c r="O340" s="46">
        <f t="shared" ca="1" si="266"/>
        <v>0.54406169064154497</v>
      </c>
      <c r="P340" s="46" t="str">
        <f t="shared" ca="1" si="267"/>
        <v>会</v>
      </c>
      <c r="Q340" s="45">
        <f t="shared" ca="1" si="268"/>
        <v>2.162482885499879</v>
      </c>
      <c r="R340" s="117">
        <f ca="1">模拟模式!$E$20*(1-IF(模拟模式!$J$19="有",0.15,0))*(1-IF(模拟模式!$K$19="有",0.3,0)-IF(CQ340,0.5,0))</f>
        <v>843.02999999999975</v>
      </c>
      <c r="S340" s="45">
        <f ca="1">R340/(R340+(185*模拟模式!$E$22-16800)*4.08224)</f>
        <v>8.389626085980037E-2</v>
      </c>
      <c r="T340" s="45" t="str">
        <f ca="1">LOOKUP(D340,'模拟-单技能数据'!$A$2:$A$19,'模拟-单技能数据'!$H$2:$H$19)</f>
        <v>阴</v>
      </c>
      <c r="U340" s="119">
        <f t="shared" ca="1" si="299"/>
        <v>0.08</v>
      </c>
      <c r="V340" s="47">
        <f ca="1">(1+L340)*(LOOKUP(D340,'模拟-单技能数据'!$A$2:$A$19,'模拟-单技能数据'!$D$2:$D$19)+G340*LOOKUP(D340,'模拟-单技能数据'!$A$2:$A$19,'模拟-单技能数据'!$F$2:$F$19))*(1+J340)*(1+K340)*(1-S340)*(1+U340)*Q340*LOOKUP(D340,'模拟-单技能数据'!$A$2:$A$19,'模拟-单技能数据'!$I$2:$I$20)</f>
        <v>182541.2211190153</v>
      </c>
      <c r="W340" s="47">
        <f ca="1">LOOKUP(D340,'模拟-单技能数据'!$A$2:$A$19,'模拟-单技能数据'!$G$2:$G$19)*$I$10</f>
        <v>361.51064354704795</v>
      </c>
      <c r="X340" s="47">
        <f t="shared" ca="1" si="269"/>
        <v>73623.053966557156</v>
      </c>
      <c r="Y340" s="47">
        <f t="shared" ca="1" si="300"/>
        <v>256525.7857291195</v>
      </c>
      <c r="Z340" s="49">
        <f t="shared" ca="1" si="301"/>
        <v>32975076.349300023</v>
      </c>
      <c r="AA340" s="97">
        <f t="shared" ca="1" si="302"/>
        <v>114202.36490748596</v>
      </c>
      <c r="AB340" s="115">
        <f ca="1">IF(OR(C340="赤日轮1",C340="赤日轮2",C340="赤日轮3"),IF(RAND()&lt;模拟模式!$Y$17,1,0),IF(OR(C340="幽月轮1",C340="幽月轮2",C340="幽月轮3"),IF(RAND()&lt;模拟模式!$Y$18,1,0),IF(C340="烈日斩",IF(RAND()&lt;模拟模式!$Y$19,1,0),IF(C340="银月斩",IF(RAND()&lt;模拟模式!$Y$20,1,0),IF(C340="驱夜断愁",IF(RAND()&lt;模拟模式!$Y$21,1,0),IF(C340="净世破魔击·日",IF(RAND()&lt;模拟模式!$Y$22,1,0),IF(C340="净世破魔击·月",IF(RAND()&lt;模拟模式!$Y$23,1,0),0)))))))</f>
        <v>1</v>
      </c>
      <c r="AC340" s="115" t="b">
        <f t="shared" ca="1" si="290"/>
        <v>0</v>
      </c>
      <c r="AD340" s="115" t="b">
        <f t="shared" ca="1" si="310"/>
        <v>0</v>
      </c>
      <c r="AE340" s="115">
        <f t="shared" ca="1" si="311"/>
        <v>4</v>
      </c>
      <c r="AF340" s="47">
        <f ca="1">IF(AC340,('模拟-单技能数据'!$D$20+G340*'模拟-单技能数据'!$F$20)*(1+J340)*(1+'模拟-单技能数据'!$J$20)*(1+U340),0)</f>
        <v>0</v>
      </c>
      <c r="AG340" s="61">
        <f t="shared" ca="1" si="303"/>
        <v>0.64185145527300214</v>
      </c>
      <c r="AH340" s="61">
        <f t="shared" ca="1" si="304"/>
        <v>2.2624828854998791</v>
      </c>
      <c r="AI340" s="62">
        <f t="shared" ca="1" si="270"/>
        <v>0.90744359531233032</v>
      </c>
      <c r="AJ340" s="47">
        <f ca="1">IF(AD340,IF(AI340&lt;$F$10,0,IF(AI340&lt;$F$10+$F$11,0.25,IF(AI340&lt;$F$10+$F$11+AG340,AH340,1)))*IF(AF340&gt;0,AF340,IF(AF339&gt;0,AF339,IF(AF338&gt;0,AF338,IF(AF337&gt;0,AF337,IF(AF336&gt;0,AF336,IF(AF335&gt;0,AF335,IF(AF334&gt;0,AF334,IF(AF333&gt;0,AF333,IF(AF332&gt;0,AF332,IF(AF330&gt;0,AF330,IF(AF329&gt;0,AF329,IF(AF328&gt;0,AF328,0)))))))))))),0)*(1-$S340)*'模拟-单技能数据'!$I$20</f>
        <v>0</v>
      </c>
      <c r="AK340" s="115" t="b">
        <f t="shared" ca="1" si="291"/>
        <v>0</v>
      </c>
      <c r="AL340" s="115" t="b">
        <f t="shared" ca="1" si="312"/>
        <v>0</v>
      </c>
      <c r="AM340" s="115">
        <f t="shared" ca="1" si="313"/>
        <v>3</v>
      </c>
      <c r="AN340" s="47">
        <f ca="1">IF(AK340,('模拟-单技能数据'!$D$21+G340*'模拟-单技能数据'!$F$21)*(1+J340)*(1+'模拟-单技能数据'!$J$21)*(1+U340),0)</f>
        <v>0</v>
      </c>
      <c r="AO340" s="61">
        <f ca="1">IF(AN340&gt;0,M340-'模拟-单技能数据'!$K$10,AO339)</f>
        <v>0.42185145527300216</v>
      </c>
      <c r="AP340" s="61">
        <f ca="1">IF(AN340&gt;0,I340-'模拟-单技能数据'!$L$10,AP339)</f>
        <v>2.162482885499879</v>
      </c>
      <c r="AQ340" s="63">
        <f t="shared" ca="1" si="271"/>
        <v>7.1289094562544619E-2</v>
      </c>
      <c r="AR340" s="64">
        <f ca="1">IF(AL340,IF(AQ340&lt;$F$10,0,IF(AQ340&lt;$F$10+$F$11,0.25,IF(AQ340&lt;$F$10+$F$11+AO340,AP340,1)))*IF(AN340&gt;0,AN340,IF(AN339&gt;0,AN339,IF(AN338&gt;0,AN338,IF(AN337&gt;0,AN337,IF(AN336&gt;0,AN336,IF(AN335&gt;0,AN335,IF(AN334&gt;0,AN334,IF(AN333&gt;0,AN333,IF(AN332&gt;0,AN332,IF(AN330&gt;0,AN330,IF(AN329&gt;0,AN329,IF(AN328&gt;0,AN328,0)))))))))))),0)*(1-$S340)*'模拟-单技能数据'!$I$21</f>
        <v>0</v>
      </c>
      <c r="AS340" s="61">
        <f ca="1">IF(OR(C340="净世破魔击·日",C340="净世破魔击·月"),M340-'模拟-单技能数据'!$K$10,0)</f>
        <v>0.42185145527300216</v>
      </c>
      <c r="AT340" s="61">
        <f ca="1">IF(OR(C340="净世破魔击·日",C340="净世破魔击·月"),I340-'模拟-单技能数据'!$L$10,0)</f>
        <v>2.162482885499879</v>
      </c>
      <c r="AU340" s="62">
        <f t="shared" ca="1" si="272"/>
        <v>8.2760402379565168E-2</v>
      </c>
      <c r="AV340" s="64">
        <f ca="1">IF(AS340&gt;0,('模拟-单技能数据'!$D$22+G340*'模拟-单技能数据'!$F$22)*(1+J340)*(1-S340)*IF(AU340&lt;$F$10,0,IF(AU340&lt;$F$10+$F$11,0.25,IF(AU340&lt;$F$10+$F$11+AS340,AT340,1)))*(1+U340),0)*'模拟-单技能数据'!$I$22</f>
        <v>17205.169596245785</v>
      </c>
      <c r="AW340" s="108">
        <f t="shared" ca="1" si="273"/>
        <v>19.077500000000001</v>
      </c>
      <c r="AX340" s="108" t="b">
        <f ca="1">AND(模拟模式!$P$10="有",AW339=0,RAND()&lt;IF(C340="净世破魔击·月",0.1*8/3,IF(C340="净世破魔击·日",0.1*4/3,0.1*2/3)))</f>
        <v>1</v>
      </c>
      <c r="AY340" s="47">
        <f ca="1">IF(AX340,(18+G340*0.722)*(1+J340)*(1-S340)*(1+$I$4)*IF(P340="会",'模拟-全程加成'!$J$3+'模拟-全程加成'!$J$4+'模拟-全程加成'!$J$5+('模拟-全程加成'!$I$4+'模拟-全程加成'!$I$5)/系数!$B$4+BG340*10%,IF(P340="命",1,IF(P340="识",0.25,0))),0)</f>
        <v>56417.884370311374</v>
      </c>
      <c r="AZ340" s="108">
        <f t="shared" si="274"/>
        <v>15.387500000000003</v>
      </c>
      <c r="BA340" s="108" t="b">
        <f>AND(模拟模式!$Q$10="有",AZ339=0)</f>
        <v>0</v>
      </c>
      <c r="BB340" s="140">
        <f>IF(BA340,(0+G340*0.287)*(1+J340)*(1-S340)*(1+$I$4)*IF(P340="会",'模拟-全程加成'!$J$3+'模拟-全程加成'!$J$4+'模拟-全程加成'!$J$5+('模拟-全程加成'!$I$4+'模拟-全程加成'!$I$5)/系数!$B$4+BG340*10%,IF(P340="命",1,IF(P340="识",0.25,0))),0)</f>
        <v>0</v>
      </c>
      <c r="BC340" s="115" t="b">
        <f ca="1">AND(模拟模式!$R$7="伏明众生",E340=60,F340=20,DA340&lt;5,CZ339&lt;$F$4)</f>
        <v>0</v>
      </c>
      <c r="BD340" s="115">
        <f t="shared" ca="1" si="292"/>
        <v>0</v>
      </c>
      <c r="BE340" s="115" t="b">
        <f t="shared" ca="1" si="293"/>
        <v>0</v>
      </c>
      <c r="BF340" s="47">
        <f ca="1">IF(BC340,4*('模拟-单技能数据'!$D$24+G340*'模拟-单技能数据'!$F$24)*(1+J340)*(1+'模拟-单技能数据'!$J$24)*(1-S340)*(1+$I$3)*(('模拟-全程加成'!$J$3+'模拟-全程加成'!$J$4+'模拟-全程加成'!$J$5+('模拟-全程加成'!$I$4+'模拟-全程加成'!$I$5)/系数!$B$4+BG340*10%)*('模拟-全程加成'!$J$3+'模拟-全程加成'!$J$4+'模拟-全程加成'!$J$5+('模拟-全程加成'!$I$4+'模拟-全程加成'!$I$5)/系数!$B$4+BG340*10%)+(1-('模拟-全程加成'!$J$3+'模拟-全程加成'!$J$4+'模拟-全程加成'!$J$5+('模拟-全程加成'!$I$4+'模拟-全程加成'!$I$5)/系数!$B$4+BG340*10%)-$F$10-$F$11)+F326*0.25),0)*'模拟-单技能数据'!$I$24</f>
        <v>0</v>
      </c>
      <c r="BG340" s="115" t="b">
        <f ca="1">OR(AND(OR(C340="烈日斩",C340="银月斩"),模拟模式!$I$7="净身明礼"),AND(C340="净世破魔击·日",模拟模式!$J$7="洞若观火"),AND(C341="净世破魔击·月",模拟模式!$J$7="洞若观火"),AB340=1)</f>
        <v>1</v>
      </c>
      <c r="BH340" s="115" t="b">
        <f t="shared" ca="1" si="275"/>
        <v>0</v>
      </c>
      <c r="BI340" s="115">
        <f t="shared" ca="1" si="294"/>
        <v>2.3099999999999996</v>
      </c>
      <c r="BJ340" s="115" t="b">
        <f t="shared" ca="1" si="305"/>
        <v>1</v>
      </c>
      <c r="BK340" s="115" t="b">
        <f ca="1">AND(C340="驱夜断愁",模拟模式!$P$7="天地诛戮")</f>
        <v>0</v>
      </c>
      <c r="BL340" s="57">
        <f t="shared" ca="1" si="295"/>
        <v>17.232500000000002</v>
      </c>
      <c r="BM340" s="115" t="b">
        <f t="shared" ca="1" si="306"/>
        <v>1</v>
      </c>
      <c r="BN340" s="115" t="b">
        <f ca="1">AND(OR(C340="赤日轮1",C340="赤日轮2",C340="赤日轮3",C340="幽月轮1",C340="幽月轮2",C340="幽月轮3"),AB340=1,模拟模式!$L$7="明光恒照")</f>
        <v>0</v>
      </c>
      <c r="BO340" s="117">
        <f t="shared" ca="1" si="296"/>
        <v>29.077500000000001</v>
      </c>
      <c r="BP340" s="115">
        <f t="shared" ca="1" si="276"/>
        <v>6</v>
      </c>
      <c r="BQ340" s="115" t="b">
        <f>模拟模式!$K$10="2600·水"</f>
        <v>0</v>
      </c>
      <c r="BR340" s="117">
        <f t="shared" si="277"/>
        <v>0</v>
      </c>
      <c r="BS340" s="115">
        <f t="shared" si="278"/>
        <v>0</v>
      </c>
      <c r="BT340" s="115">
        <f t="shared" ca="1" si="279"/>
        <v>0</v>
      </c>
      <c r="BU340" s="115" t="b">
        <f ca="1">AND(模拟模式!$K$10="2300·雷",BT339=0,RAND()&lt;IF(C340="净世破魔击·月",5*0.05*2/3,IF(C340="净世破魔击·日",3*0.05*2/3,0.05*2*2/3)))</f>
        <v>0</v>
      </c>
      <c r="BV340" s="115">
        <f t="shared" ca="1" si="280"/>
        <v>0</v>
      </c>
      <c r="BW340" s="115">
        <f t="shared" ca="1" si="281"/>
        <v>83.137499999999264</v>
      </c>
      <c r="BX340" s="164" t="b">
        <f t="shared" ca="1" si="282"/>
        <v>0</v>
      </c>
      <c r="BY340" s="115">
        <f t="shared" ca="1" si="283"/>
        <v>0</v>
      </c>
      <c r="BZ340" s="115">
        <f>IF(OR(模拟模式!$P$16="10人团",模拟模式!$P$16="25人团"),IF(B340/30&gt;CA339,1,0),0)</f>
        <v>0</v>
      </c>
      <c r="CA340" s="115">
        <f t="shared" si="259"/>
        <v>0</v>
      </c>
      <c r="CB340" s="115">
        <f ca="1">IF(BZ340=1,IF(模拟模式!$P$16="10人团",15,0)+IF(模拟模式!$P$16="25人团",IF(RAND()&lt;0.6,15,0)),MAX(0,CB339-$F$4))</f>
        <v>0</v>
      </c>
      <c r="CC340" s="115" t="b">
        <f t="shared" ca="1" si="307"/>
        <v>0</v>
      </c>
      <c r="CD340" s="115">
        <f>IF(模拟模式!$Q$16="1个",IF(B340/40&gt;CE339,1,0),0)</f>
        <v>0</v>
      </c>
      <c r="CE340" s="115">
        <f t="shared" si="308"/>
        <v>0</v>
      </c>
      <c r="CF340" s="115">
        <f>IF(OR(CD340=1,模拟模式!$Q$16="2个"),20,MAX(0,CF339-$F$4))</f>
        <v>0</v>
      </c>
      <c r="CG340" s="115" t="b">
        <f t="shared" si="309"/>
        <v>0</v>
      </c>
      <c r="CH340" s="115">
        <f t="shared" ca="1" si="284"/>
        <v>15.240000000000009</v>
      </c>
      <c r="CI340" s="115" t="b">
        <f t="shared" ca="1" si="285"/>
        <v>0</v>
      </c>
      <c r="CJ340" s="119">
        <f t="shared" ca="1" si="286"/>
        <v>0</v>
      </c>
      <c r="CK340" s="115">
        <f t="shared" ca="1" si="287"/>
        <v>0</v>
      </c>
      <c r="CL340" s="115" t="b">
        <f ca="1">AND(模拟模式!$S$7="驱夷逐法",OR(AND(C340="净世破魔击·月",E339&gt;59),AND(C340="净世破魔击·日",F339&gt;59)))</f>
        <v>1</v>
      </c>
      <c r="CM340" s="115" t="b">
        <f ca="1">OR(CL340,AND(C340="净世破魔击·日",CL339,RAND()&lt;模拟模式!$U$23))</f>
        <v>1</v>
      </c>
      <c r="CN340" s="115" t="b">
        <f ca="1">IF(模拟模式!$M$7="辉耀红尘",AND(C340="净世破魔击·月",CL340,CV340=0,E339&lt;80),AND(C340="净世破魔击·月",CL340,E339&lt;100))</f>
        <v>0</v>
      </c>
      <c r="CO340" s="115" t="b">
        <f t="shared" ca="1" si="260"/>
        <v>0</v>
      </c>
      <c r="CP340" s="115" t="b">
        <f ca="1">AND(模拟模式!$O$7="用晦而明",OR(C340="净世破魔击·日",C340="净世破魔击·月",C340="驱夜断愁"),AB340)</f>
        <v>1</v>
      </c>
      <c r="CQ340" s="115" t="b">
        <f ca="1">OR(CP340,AND(CP339,RAND()&lt;模拟模式!$U$23))</f>
        <v>1</v>
      </c>
      <c r="CR340" s="115" t="b">
        <f ca="1">AND(模拟模式!$S$7="日月齐光",OR(C340="幽月轮1",C340="幽月轮2",C340="幽月轮3",CR339),NOT(OR(C340="赤日轮1",C340="赤日轮2",C340="赤日轮3")))</f>
        <v>0</v>
      </c>
      <c r="CS340" s="115" t="b">
        <f ca="1">AND(模拟模式!$S$7="日月齐光",OR(C340="赤日轮1",C340="赤日轮2",C340="赤日轮3",CS339),NOT(OR(C340="幽月轮1",C340="幽月轮2",C340="幽月轮3")))</f>
        <v>0</v>
      </c>
      <c r="CT340" s="115">
        <f t="shared" ca="1" si="288"/>
        <v>0</v>
      </c>
      <c r="CU340" s="115" t="b">
        <f ca="1">AND(模拟模式!$K$10="阴阳往极",CT339=0,RAND()&lt;IF(C340="净世破魔击·月",0.0275*7/3,IF(C340="净世破魔击·日",0.0275*3/3,0.0275*2/3)))</f>
        <v>0</v>
      </c>
      <c r="CV340" s="115">
        <f t="shared" ca="1" si="289"/>
        <v>0</v>
      </c>
      <c r="CW340" s="115">
        <f t="shared" ca="1" si="261"/>
        <v>4.1549999999999994</v>
      </c>
      <c r="CX340" s="115">
        <f t="shared" ca="1" si="262"/>
        <v>2.3099999999999996</v>
      </c>
      <c r="CY340" s="115">
        <f ca="1">MAX(IF($C340="驱夜断愁",IF(模拟模式!$R$7="万念俱寂",6,45),CY339-$F$4),0)</f>
        <v>3.2324999999999995</v>
      </c>
      <c r="CZ340" s="115">
        <f t="shared" ca="1" si="263"/>
        <v>0</v>
      </c>
      <c r="DA340" s="115">
        <f ca="1">IF(模拟模式!$N$7="日月同辉",IF(DB339=2,0,MIN(6,IF(AND(OR(C340="赤日轮1",C340="赤日轮2",C340="赤日轮3",C340="幽月轮1",C340="幽月轮2",C340="幽月轮3"),AB340=1),DA339+1,DA339))),0)</f>
        <v>3</v>
      </c>
      <c r="DB340" s="115">
        <f t="shared" ca="1" si="264"/>
        <v>0</v>
      </c>
      <c r="DC340" s="115"/>
      <c r="DD340" s="115"/>
      <c r="DE340" s="115"/>
      <c r="DF340" s="115"/>
      <c r="DG340" s="115"/>
      <c r="DH340" s="115"/>
      <c r="DI340" s="115"/>
      <c r="DJ340" s="115"/>
      <c r="DK340" s="115"/>
      <c r="DL340" s="115"/>
      <c r="DM340" s="115"/>
    </row>
    <row r="341" spans="2:117" x14ac:dyDescent="0.2">
      <c r="B341" s="117">
        <f t="shared" si="265"/>
        <v>289.66500000000229</v>
      </c>
      <c r="C341" s="167" t="str">
        <f t="shared" ca="1" si="258"/>
        <v>净世破魔击·日</v>
      </c>
      <c r="D341" s="115">
        <f ca="1">IF(C341="赤日轮1",1,IF(C341="赤日轮2",2,IF(C341="赤日轮3",3,IF(C341="幽月轮1",4,IF(C341="幽月轮2",5,IF(C341="幽月轮3",6,IF(C341="烈日斩",7,IF(C341="银月斩",8,IF(C341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341="净世破魔击·月",17,IF(C341="驱夜断愁",18,0)))))))))))</f>
        <v>9</v>
      </c>
      <c r="E341" s="115">
        <f ca="1">IF(AND(CU341,OR(C341="幽月轮1",C341="幽月轮2",C341="幽月轮3",C341="银月斩",C341="驱夜断愁",C341="净世破魔击·月")),100,MIN(IF(OR(CN341,BE341),0,IF(OR($C341="赤日轮1",$C341="赤日轮2",$C341="赤日轮3"),E340+20+IF(模拟模式!$I$7="日月凌天",4,0)+IF(CR340,20,0),IF($C341="烈日斩",E340+40,IF($C341="驱夜断愁",IF(模拟模式!$R$7="万念俱寂",E340+20,E340+60),IF($C341="净世破魔击·月",IF(OR(DB340&gt;0,CV340&gt;0),100,IF(模拟模式!$M$7="辉耀红尘",E340+20,E340)),IF($C341="净世破魔击·日",E340-100,E340)))))),100))</f>
        <v>0</v>
      </c>
      <c r="F341" s="115">
        <f ca="1">IF(AND(CU341,OR(C341="赤日轮1",C341="赤日轮2",C341="赤日轮3",C341="烈日斩",C341="净世破魔击·日")),100,MIN(IF(CO341,0,IF(OR($C341="幽月轮1",$C341="幽月轮2",$C341="幽月轮3"),F340+20+IF(模拟模式!$I$7="日月凌天",4,0)+IF(CS340,20,0),IF($C341="银月斩",F340+40+IF(模拟模式!$X$12=1,5,0),IF($C341="驱夜断愁",IF(模拟模式!$R$7="万念俱寂",F340+20,F340+60),IF($C341="净世破魔击·月",IF(模拟模式!$M$7="辉耀红尘",F340-80,F340-100),IF(AND(C341="净世破魔击·日",OR(DB340&gt;0,CV340&gt;0)),100,F340)))))),100))</f>
        <v>20</v>
      </c>
      <c r="G341" s="117">
        <f ca="1">('模拟-全程加成'!$E$3+'模拟-全程加成'!$E$4+'模拟-全程加成'!$E$5+('模拟-全程加成'!$C$6-'模拟-全程加成'!$C$3)*系数!$B$9+BS341*23)*(1+'模拟-全程加成'!$F$4+'模拟-全程加成'!$F$5+BJ341*10%+BM341*20%+BP341*4%+CG341*30%)+$F$7*系数!$B$12</f>
        <v>21493.829400000002</v>
      </c>
      <c r="H341" s="45">
        <f ca="1">'模拟-全程加成'!$H$3+'模拟-全程加成'!$H$4+'模拟-全程加成'!$H$5+('模拟-全程加成'!$G$4+'模拟-全程加成'!$G$5+('模拟-全程加成'!$C$6-'模拟-全程加成'!$C$3)*系数!$B$13)/系数!$B$3+LOOKUP(D341,'模拟-单技能数据'!$A$2:$A$19,'模拟-单技能数据'!$K$2:$K$19)+BG341*10%+IF(BV341&gt;0,378,0)</f>
        <v>0.54185145527300216</v>
      </c>
      <c r="I341" s="45">
        <f ca="1">'模拟-全程加成'!$J$3+'模拟-全程加成'!$J$4+'模拟-全程加成'!$J$5+('模拟-全程加成'!$I$4+'模拟-全程加成'!$I$5)/系数!$B$4+LOOKUP(D341,'模拟-单技能数据'!$A$2:$A$19,'模拟-单技能数据'!$L$2:$L$19)+BG341*10%</f>
        <v>2.162482885499879</v>
      </c>
      <c r="J341" s="45">
        <f ca="1">(('模拟-全程加成'!$K$3+'模拟-全程加成'!$K$4+'模拟-全程加成'!$K$5+('模拟-全程加成'!$C$6-'模拟-全程加成'!$C$3)*系数!$B$10+IF(BV341&gt;0,882,0)+IF(BY341&gt;0,1831,0))*(1+'模拟-全程加成'!$L$4+'模拟-全程加成'!$L$5+CC341*20%))/系数!$B$5</f>
        <v>0.69723220422048726</v>
      </c>
      <c r="K341" s="119">
        <f ca="1">LOOKUP(D341,'模拟-单技能数据'!$A$2:$A$19,'模拟-单技能数据'!$J$2:$J$19)+IF(CM341,60%,0)+IF(DB340-DB341&gt;0,30%,0)+IF(OR(AND(OR(C341="赤日轮1",C341="赤日轮2",C341="赤日轮3"),CR341),AND(OR(C341="幽月轮1",C341="幽月轮2",C341="幽月轮3"),CS341)),35%,0)+CJ341</f>
        <v>0.8</v>
      </c>
      <c r="L341" s="119">
        <f ca="1">IF(AND(C341="烈日斩",模拟模式!$X$11=1),10%,0)+IF(AND(C341="驱夜断愁",AB341=1),30%,0)</f>
        <v>0</v>
      </c>
      <c r="M341" s="45">
        <f t="shared" ca="1" si="297"/>
        <v>0.54185145527300216</v>
      </c>
      <c r="N341" s="45">
        <f t="shared" ca="1" si="298"/>
        <v>0.40424854472699789</v>
      </c>
      <c r="O341" s="46">
        <f t="shared" ca="1" si="266"/>
        <v>0.61676950883701587</v>
      </c>
      <c r="P341" s="46" t="str">
        <f t="shared" ca="1" si="267"/>
        <v>命</v>
      </c>
      <c r="Q341" s="45">
        <f t="shared" ca="1" si="268"/>
        <v>1</v>
      </c>
      <c r="R341" s="117">
        <f ca="1">模拟模式!$E$20*(1-IF(模拟模式!$J$19="有",0.15,0))*(1-IF(模拟模式!$K$19="有",0.3,0)-IF(CQ341,0.5,0))</f>
        <v>843.02999999999975</v>
      </c>
      <c r="S341" s="45">
        <f ca="1">R341/(R341+(185*模拟模式!$E$22-16800)*4.08224)</f>
        <v>8.389626085980037E-2</v>
      </c>
      <c r="T341" s="45" t="str">
        <f ca="1">LOOKUP(D341,'模拟-单技能数据'!$A$2:$A$19,'模拟-单技能数据'!$H$2:$H$19)</f>
        <v>阳</v>
      </c>
      <c r="U341" s="119">
        <f t="shared" ca="1" si="299"/>
        <v>0.2</v>
      </c>
      <c r="V341" s="47">
        <f ca="1">(1+L341)*(LOOKUP(D341,'模拟-单技能数据'!$A$2:$A$19,'模拟-单技能数据'!$D$2:$D$19)+G341*LOOKUP(D341,'模拟-单技能数据'!$A$2:$A$19,'模拟-单技能数据'!$F$2:$F$19))*(1+J341)*(1+K341)*(1-S341)*(1+U341)*Q341*LOOKUP(D341,'模拟-单技能数据'!$A$2:$A$19,'模拟-单技能数据'!$I$2:$I$20)</f>
        <v>94575.365106402023</v>
      </c>
      <c r="W341" s="47">
        <f ca="1">LOOKUP(D341,'模拟-单技能数据'!$A$2:$A$19,'模拟-单技能数据'!$G$2:$G$19)*$I$10</f>
        <v>723.0212870940959</v>
      </c>
      <c r="X341" s="47">
        <f t="shared" ca="1" si="269"/>
        <v>43558.758757103926</v>
      </c>
      <c r="Y341" s="47">
        <f t="shared" ca="1" si="300"/>
        <v>138857.14515060006</v>
      </c>
      <c r="Z341" s="49">
        <f t="shared" ca="1" si="301"/>
        <v>33113933.494450625</v>
      </c>
      <c r="AA341" s="97">
        <f t="shared" ca="1" si="302"/>
        <v>114318.03460704732</v>
      </c>
      <c r="AB341" s="115">
        <f ca="1">IF(OR(C341="赤日轮1",C341="赤日轮2",C341="赤日轮3"),IF(RAND()&lt;模拟模式!$Y$17,1,0),IF(OR(C341="幽月轮1",C341="幽月轮2",C341="幽月轮3"),IF(RAND()&lt;模拟模式!$Y$18,1,0),IF(C341="烈日斩",IF(RAND()&lt;模拟模式!$Y$19,1,0),IF(C341="银月斩",IF(RAND()&lt;模拟模式!$Y$20,1,0),IF(C341="驱夜断愁",IF(RAND()&lt;模拟模式!$Y$21,1,0),IF(C341="净世破魔击·日",IF(RAND()&lt;模拟模式!$Y$22,1,0),IF(C341="净世破魔击·月",IF(RAND()&lt;模拟模式!$Y$23,1,0),0)))))))</f>
        <v>1</v>
      </c>
      <c r="AC341" s="115" t="b">
        <f t="shared" ca="1" si="290"/>
        <v>0</v>
      </c>
      <c r="AD341" s="115" t="b">
        <f t="shared" ca="1" si="310"/>
        <v>1</v>
      </c>
      <c r="AE341" s="115">
        <f t="shared" ca="1" si="311"/>
        <v>3</v>
      </c>
      <c r="AF341" s="47">
        <f ca="1">IF(AC341,('模拟-单技能数据'!$D$20+G341*'模拟-单技能数据'!$F$20)*(1+J341)*(1+'模拟-单技能数据'!$J$20)*(1+U341),0)</f>
        <v>0</v>
      </c>
      <c r="AG341" s="61">
        <f t="shared" ca="1" si="303"/>
        <v>0.64185145527300214</v>
      </c>
      <c r="AH341" s="61">
        <f t="shared" ca="1" si="304"/>
        <v>2.2624828854998791</v>
      </c>
      <c r="AI341" s="62">
        <f t="shared" ca="1" si="270"/>
        <v>8.3619526256778376E-2</v>
      </c>
      <c r="AJ341" s="47">
        <f ca="1">IF(AD341,IF(AI341&lt;$F$10,0,IF(AI341&lt;$F$10+$F$11,0.25,IF(AI341&lt;$F$10+$F$11+AG341,AH341,1)))*IF(AF341&gt;0,AF341,IF(AF340&gt;0,AF340,IF(AF339&gt;0,AF339,IF(AF338&gt;0,AF338,IF(AF337&gt;0,AF337,IF(AF336&gt;0,AF336,IF(AF335&gt;0,AF335,IF(AF334&gt;0,AF334,IF(AF333&gt;0,AF333,IF(AF331&gt;0,AF331,IF(AF330&gt;0,AF330,IF(AF329&gt;0,AF329,0)))))))))))),0)*(1-$S341)*'模拟-单技能数据'!$I$20</f>
        <v>9616.6571145767884</v>
      </c>
      <c r="AK341" s="115" t="b">
        <f t="shared" ca="1" si="291"/>
        <v>1</v>
      </c>
      <c r="AL341" s="115" t="b">
        <f t="shared" ca="1" si="312"/>
        <v>1</v>
      </c>
      <c r="AM341" s="115">
        <f t="shared" ca="1" si="313"/>
        <v>5</v>
      </c>
      <c r="AN341" s="47">
        <f ca="1">IF(AK341,('模拟-单技能数据'!$D$21+G341*'模拟-单技能数据'!$F$21)*(1+J341)*(1+'模拟-单技能数据'!$J$21)*(1+U341),0)</f>
        <v>12670.936004857545</v>
      </c>
      <c r="AO341" s="61">
        <f ca="1">IF(AN341&gt;0,M341-'模拟-单技能数据'!$K$10,AO340)</f>
        <v>0.42185145527300216</v>
      </c>
      <c r="AP341" s="61">
        <f ca="1">IF(AN341&gt;0,I341-'模拟-单技能数据'!$L$10,AP340)</f>
        <v>2.162482885499879</v>
      </c>
      <c r="AQ341" s="63">
        <f t="shared" ca="1" si="271"/>
        <v>0.39406385949589073</v>
      </c>
      <c r="AR341" s="64">
        <f ca="1">IF(AL341,IF(AQ341&lt;$F$10,0,IF(AQ341&lt;$F$10+$F$11,0.25,IF(AQ341&lt;$F$10+$F$11+AO341,AP341,1)))*IF(AN341&gt;0,AN341,IF(AN340&gt;0,AN340,IF(AN339&gt;0,AN339,IF(AN338&gt;0,AN338,IF(AN337&gt;0,AN337,IF(AN336&gt;0,AN336,IF(AN335&gt;0,AN335,IF(AN334&gt;0,AN334,IF(AN333&gt;0,AN333,IF(AN331&gt;0,AN331,IF(AN330&gt;0,AN330,IF(AN329&gt;0,AN329,0)))))))))))),0)*(1-$S341)*'模拟-单技能数据'!$I$21</f>
        <v>25101.867467669974</v>
      </c>
      <c r="AS341" s="61">
        <f ca="1">IF(OR(C341="净世破魔击·日",C341="净世破魔击·月"),M341-'模拟-单技能数据'!$K$10,0)</f>
        <v>0.42185145527300216</v>
      </c>
      <c r="AT341" s="61">
        <f ca="1">IF(OR(C341="净世破魔击·日",C341="净世破魔击·月"),I341-'模拟-单技能数据'!$L$10,0)</f>
        <v>2.162482885499879</v>
      </c>
      <c r="AU341" s="62">
        <f t="shared" ca="1" si="272"/>
        <v>0.81356645205289557</v>
      </c>
      <c r="AV341" s="64">
        <f ca="1">IF(AS341&gt;0,('模拟-单技能数据'!$D$22+G341*'模拟-单技能数据'!$F$22)*(1+J341)*(1-S341)*IF(AU341&lt;$F$10,0,IF(AU341&lt;$F$10+$F$11,0.25,IF(AU341&lt;$F$10+$F$11+AS341,AT341,1)))*(1+U341),0)*'模拟-单技能数据'!$I$22</f>
        <v>8840.2341748571616</v>
      </c>
      <c r="AW341" s="108">
        <f t="shared" ca="1" si="273"/>
        <v>18.155000000000001</v>
      </c>
      <c r="AX341" s="108" t="b">
        <f ca="1">AND(模拟模式!$P$10="有",AW340=0,RAND()&lt;IF(C341="净世破魔击·月",0.1*8/3,IF(C341="净世破魔击·日",0.1*4/3,0.1*2/3)))</f>
        <v>0</v>
      </c>
      <c r="AY341" s="47">
        <f ca="1">IF(AX341,(18+G341*0.722)*(1+J341)*(1-S341)*(1+$I$4)*IF(P341="会",'模拟-全程加成'!$J$3+'模拟-全程加成'!$J$4+'模拟-全程加成'!$J$5+('模拟-全程加成'!$I$4+'模拟-全程加成'!$I$5)/系数!$B$4+BG341*10%,IF(P341="命",1,IF(P341="识",0.25,0))),0)</f>
        <v>0</v>
      </c>
      <c r="AZ341" s="108">
        <f t="shared" si="274"/>
        <v>14.465000000000003</v>
      </c>
      <c r="BA341" s="108" t="b">
        <f>AND(模拟模式!$Q$10="有",AZ340=0)</f>
        <v>0</v>
      </c>
      <c r="BB341" s="140">
        <f>IF(BA341,(0+G341*0.287)*(1+J341)*(1-S341)*(1+$I$4)*IF(P341="会",'模拟-全程加成'!$J$3+'模拟-全程加成'!$J$4+'模拟-全程加成'!$J$5+('模拟-全程加成'!$I$4+'模拟-全程加成'!$I$5)/系数!$B$4+BG341*10%,IF(P341="命",1,IF(P341="识",0.25,0))),0)</f>
        <v>0</v>
      </c>
      <c r="BC341" s="115" t="b">
        <f ca="1">AND(模拟模式!$R$7="伏明众生",E341=60,F341=20,DA341&lt;5,CZ340&lt;$F$4)</f>
        <v>0</v>
      </c>
      <c r="BD341" s="115">
        <f t="shared" ca="1" si="292"/>
        <v>0</v>
      </c>
      <c r="BE341" s="115" t="b">
        <f t="shared" ca="1" si="293"/>
        <v>0</v>
      </c>
      <c r="BF341" s="47">
        <f ca="1">IF(BC341,4*('模拟-单技能数据'!$D$24+G341*'模拟-单技能数据'!$F$24)*(1+J341)*(1+'模拟-单技能数据'!$J$24)*(1-S341)*(1+$I$3)*(('模拟-全程加成'!$J$3+'模拟-全程加成'!$J$4+'模拟-全程加成'!$J$5+('模拟-全程加成'!$I$4+'模拟-全程加成'!$I$5)/系数!$B$4+BG341*10%)*('模拟-全程加成'!$J$3+'模拟-全程加成'!$J$4+'模拟-全程加成'!$J$5+('模拟-全程加成'!$I$4+'模拟-全程加成'!$I$5)/系数!$B$4+BG341*10%)+(1-('模拟-全程加成'!$J$3+'模拟-全程加成'!$J$4+'模拟-全程加成'!$J$5+('模拟-全程加成'!$I$4+'模拟-全程加成'!$I$5)/系数!$B$4+BG341*10%)-$F$10-$F$11)+F327*0.25),0)*'模拟-单技能数据'!$I$24</f>
        <v>0</v>
      </c>
      <c r="BG341" s="115" t="b">
        <f ca="1">OR(AND(OR(C341="烈日斩",C341="银月斩"),模拟模式!$I$7="净身明礼"),AND(C341="净世破魔击·日",模拟模式!$J$7="洞若观火"),AND(C342="净世破魔击·月",模拟模式!$J$7="洞若观火"),AB341=1)</f>
        <v>1</v>
      </c>
      <c r="BH341" s="115" t="b">
        <f t="shared" ca="1" si="275"/>
        <v>0</v>
      </c>
      <c r="BI341" s="115">
        <f t="shared" ca="1" si="294"/>
        <v>1.3874999999999997</v>
      </c>
      <c r="BJ341" s="115" t="b">
        <f t="shared" ca="1" si="305"/>
        <v>1</v>
      </c>
      <c r="BK341" s="115" t="b">
        <f ca="1">AND(C341="驱夜断愁",模拟模式!$P$7="天地诛戮")</f>
        <v>0</v>
      </c>
      <c r="BL341" s="57">
        <f t="shared" ca="1" si="295"/>
        <v>16.310000000000002</v>
      </c>
      <c r="BM341" s="115" t="b">
        <f t="shared" ca="1" si="306"/>
        <v>1</v>
      </c>
      <c r="BN341" s="115" t="b">
        <f ca="1">AND(OR(C341="赤日轮1",C341="赤日轮2",C341="赤日轮3",C341="幽月轮1",C341="幽月轮2",C341="幽月轮3"),AB341=1,模拟模式!$L$7="明光恒照")</f>
        <v>0</v>
      </c>
      <c r="BO341" s="117">
        <f t="shared" ca="1" si="296"/>
        <v>28.155000000000001</v>
      </c>
      <c r="BP341" s="115">
        <f t="shared" ca="1" si="276"/>
        <v>6</v>
      </c>
      <c r="BQ341" s="115" t="b">
        <f>模拟模式!$K$10="2600·水"</f>
        <v>0</v>
      </c>
      <c r="BR341" s="117">
        <f t="shared" si="277"/>
        <v>0</v>
      </c>
      <c r="BS341" s="115">
        <f t="shared" si="278"/>
        <v>0</v>
      </c>
      <c r="BT341" s="115">
        <f t="shared" ca="1" si="279"/>
        <v>0</v>
      </c>
      <c r="BU341" s="115" t="b">
        <f ca="1">AND(模拟模式!$K$10="2300·雷",BT340=0,RAND()&lt;IF(C341="净世破魔击·月",5*0.05*2/3,IF(C341="净世破魔击·日",3*0.05*2/3,0.05*2*2/3)))</f>
        <v>0</v>
      </c>
      <c r="BV341" s="115">
        <f t="shared" ca="1" si="280"/>
        <v>0</v>
      </c>
      <c r="BW341" s="115">
        <f t="shared" ca="1" si="281"/>
        <v>82.214999999999264</v>
      </c>
      <c r="BX341" s="164" t="b">
        <f t="shared" ca="1" si="282"/>
        <v>0</v>
      </c>
      <c r="BY341" s="115">
        <f t="shared" ca="1" si="283"/>
        <v>0</v>
      </c>
      <c r="BZ341" s="115">
        <f>IF(OR(模拟模式!$P$16="10人团",模拟模式!$P$16="25人团"),IF(B341/30&gt;CA340,1,0),0)</f>
        <v>0</v>
      </c>
      <c r="CA341" s="115">
        <f t="shared" si="259"/>
        <v>0</v>
      </c>
      <c r="CB341" s="115">
        <f ca="1">IF(BZ341=1,IF(模拟模式!$P$16="10人团",15,0)+IF(模拟模式!$P$16="25人团",IF(RAND()&lt;0.6,15,0)),MAX(0,CB340-$F$4))</f>
        <v>0</v>
      </c>
      <c r="CC341" s="115" t="b">
        <f t="shared" ca="1" si="307"/>
        <v>0</v>
      </c>
      <c r="CD341" s="115">
        <f>IF(模拟模式!$Q$16="1个",IF(B341/40&gt;CE340,1,0),0)</f>
        <v>0</v>
      </c>
      <c r="CE341" s="115">
        <f t="shared" si="308"/>
        <v>0</v>
      </c>
      <c r="CF341" s="115">
        <f>IF(OR(CD341=1,模拟模式!$Q$16="2个"),20,MAX(0,CF340-$F$4))</f>
        <v>0</v>
      </c>
      <c r="CG341" s="115" t="b">
        <f t="shared" si="309"/>
        <v>0</v>
      </c>
      <c r="CH341" s="115">
        <f t="shared" ca="1" si="284"/>
        <v>14.31750000000001</v>
      </c>
      <c r="CI341" s="115" t="b">
        <f t="shared" ca="1" si="285"/>
        <v>0</v>
      </c>
      <c r="CJ341" s="119">
        <f t="shared" ca="1" si="286"/>
        <v>0</v>
      </c>
      <c r="CK341" s="115">
        <f t="shared" ca="1" si="287"/>
        <v>0</v>
      </c>
      <c r="CL341" s="115" t="b">
        <f ca="1">AND(模拟模式!$S$7="驱夷逐法",OR(AND(C341="净世破魔击·月",E340&gt;59),AND(C341="净世破魔击·日",F340&gt;59)))</f>
        <v>0</v>
      </c>
      <c r="CM341" s="115" t="b">
        <f ca="1">OR(CL341,AND(C341="净世破魔击·日",CL340,RAND()&lt;模拟模式!$U$23))</f>
        <v>1</v>
      </c>
      <c r="CN341" s="115" t="b">
        <f ca="1">IF(模拟模式!$M$7="辉耀红尘",AND(C341="净世破魔击·月",CL341,CV341=0,E340&lt;80),AND(C341="净世破魔击·月",CL341,E340&lt;100))</f>
        <v>0</v>
      </c>
      <c r="CO341" s="115" t="b">
        <f t="shared" ca="1" si="260"/>
        <v>0</v>
      </c>
      <c r="CP341" s="115" t="b">
        <f ca="1">AND(模拟模式!$O$7="用晦而明",OR(C341="净世破魔击·日",C341="净世破魔击·月",C341="驱夜断愁"),AB341)</f>
        <v>1</v>
      </c>
      <c r="CQ341" s="115" t="b">
        <f ca="1">OR(CP341,AND(CP340,RAND()&lt;模拟模式!$U$23))</f>
        <v>1</v>
      </c>
      <c r="CR341" s="115" t="b">
        <f ca="1">AND(模拟模式!$S$7="日月齐光",OR(C341="幽月轮1",C341="幽月轮2",C341="幽月轮3",CR340),NOT(OR(C341="赤日轮1",C341="赤日轮2",C341="赤日轮3")))</f>
        <v>0</v>
      </c>
      <c r="CS341" s="115" t="b">
        <f ca="1">AND(模拟模式!$S$7="日月齐光",OR(C341="赤日轮1",C341="赤日轮2",C341="赤日轮3",CS340),NOT(OR(C341="幽月轮1",C341="幽月轮2",C341="幽月轮3")))</f>
        <v>0</v>
      </c>
      <c r="CT341" s="115">
        <f t="shared" ca="1" si="288"/>
        <v>0</v>
      </c>
      <c r="CU341" s="115" t="b">
        <f ca="1">AND(模拟模式!$K$10="阴阳往极",CT340=0,RAND()&lt;IF(C341="净世破魔击·月",0.0275*7/3,IF(C341="净世破魔击·日",0.0275*3/3,0.0275*2/3)))</f>
        <v>0</v>
      </c>
      <c r="CV341" s="115">
        <f t="shared" ca="1" si="289"/>
        <v>0</v>
      </c>
      <c r="CW341" s="115">
        <f t="shared" ca="1" si="261"/>
        <v>3.2324999999999995</v>
      </c>
      <c r="CX341" s="115">
        <f t="shared" ca="1" si="262"/>
        <v>1.3874999999999997</v>
      </c>
      <c r="CY341" s="115">
        <f ca="1">MAX(IF($C341="驱夜断愁",IF(模拟模式!$R$7="万念俱寂",6,45),CY340-$F$4),0)</f>
        <v>2.3099999999999996</v>
      </c>
      <c r="CZ341" s="115">
        <f t="shared" ca="1" si="263"/>
        <v>0</v>
      </c>
      <c r="DA341" s="115">
        <f ca="1">IF(模拟模式!$N$7="日月同辉",IF(DB340=2,0,MIN(6,IF(AND(OR(C341="赤日轮1",C341="赤日轮2",C341="赤日轮3",C341="幽月轮1",C341="幽月轮2",C341="幽月轮3"),AB341=1),DA340+1,DA340))),0)</f>
        <v>3</v>
      </c>
      <c r="DB341" s="115">
        <f t="shared" ca="1" si="264"/>
        <v>0</v>
      </c>
      <c r="DC341" s="115"/>
      <c r="DD341" s="115"/>
      <c r="DE341" s="115"/>
      <c r="DF341" s="115"/>
      <c r="DG341" s="115"/>
      <c r="DH341" s="115"/>
      <c r="DI341" s="115"/>
      <c r="DJ341" s="115"/>
      <c r="DK341" s="115"/>
      <c r="DL341" s="115"/>
      <c r="DM341" s="115"/>
    </row>
    <row r="342" spans="2:117" x14ac:dyDescent="0.2">
      <c r="B342" s="117">
        <f t="shared" si="265"/>
        <v>290.58750000000231</v>
      </c>
      <c r="C342" s="167" t="str">
        <f t="shared" ca="1" si="258"/>
        <v>赤日轮1</v>
      </c>
      <c r="D342" s="115">
        <f ca="1">IF(C342="赤日轮1",1,IF(C342="赤日轮2",2,IF(C342="赤日轮3",3,IF(C342="幽月轮1",4,IF(C342="幽月轮2",5,IF(C342="幽月轮3",6,IF(C342="烈日斩",7,IF(C342="银月斩",8,IF(C342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342="净世破魔击·月",17,IF(C342="驱夜断愁",18,0)))))))))))</f>
        <v>1</v>
      </c>
      <c r="E342" s="115">
        <f ca="1">IF(AND(CU342,OR(C342="幽月轮1",C342="幽月轮2",C342="幽月轮3",C342="银月斩",C342="驱夜断愁",C342="净世破魔击·月")),100,MIN(IF(OR(CN342,BE342),0,IF(OR($C342="赤日轮1",$C342="赤日轮2",$C342="赤日轮3"),E341+20+IF(模拟模式!$I$7="日月凌天",4,0)+IF(CR341,20,0),IF($C342="烈日斩",E341+40,IF($C342="驱夜断愁",IF(模拟模式!$R$7="万念俱寂",E341+20,E341+60),IF($C342="净世破魔击·月",IF(OR(DB341&gt;0,CV341&gt;0),100,IF(模拟模式!$M$7="辉耀红尘",E341+20,E341)),IF($C342="净世破魔击·日",E341-100,E341)))))),100))</f>
        <v>20</v>
      </c>
      <c r="F342" s="115">
        <f ca="1">IF(AND(CU342,OR(C342="赤日轮1",C342="赤日轮2",C342="赤日轮3",C342="烈日斩",C342="净世破魔击·日")),100,MIN(IF(CO342,0,IF(OR($C342="幽月轮1",$C342="幽月轮2",$C342="幽月轮3"),F341+20+IF(模拟模式!$I$7="日月凌天",4,0)+IF(CS341,20,0),IF($C342="银月斩",F341+40+IF(模拟模式!$X$12=1,5,0),IF($C342="驱夜断愁",IF(模拟模式!$R$7="万念俱寂",F341+20,F341+60),IF($C342="净世破魔击·月",IF(模拟模式!$M$7="辉耀红尘",F341-80,F341-100),IF(AND(C342="净世破魔击·日",OR(DB341&gt;0,CV341&gt;0)),100,F341)))))),100))</f>
        <v>20</v>
      </c>
      <c r="G342" s="117">
        <f ca="1">('模拟-全程加成'!$E$3+'模拟-全程加成'!$E$4+'模拟-全程加成'!$E$5+('模拟-全程加成'!$C$6-'模拟-全程加成'!$C$3)*系数!$B$9+BS342*23)*(1+'模拟-全程加成'!$F$4+'模拟-全程加成'!$F$5+BJ342*10%+BM342*20%+BP342*4%+CG342*30%)+$F$7*系数!$B$12</f>
        <v>21493.829400000002</v>
      </c>
      <c r="H342" s="45">
        <f ca="1">'模拟-全程加成'!$H$3+'模拟-全程加成'!$H$4+'模拟-全程加成'!$H$5+('模拟-全程加成'!$G$4+'模拟-全程加成'!$G$5+('模拟-全程加成'!$C$6-'模拟-全程加成'!$C$3)*系数!$B$13)/系数!$B$3+LOOKUP(D342,'模拟-单技能数据'!$A$2:$A$19,'模拟-单技能数据'!$K$2:$K$19)+BG342*10%+IF(BV342&gt;0,378,0)</f>
        <v>0.4618514552730022</v>
      </c>
      <c r="I342" s="45">
        <f ca="1">'模拟-全程加成'!$J$3+'模拟-全程加成'!$J$4+'模拟-全程加成'!$J$5+('模拟-全程加成'!$I$4+'模拟-全程加成'!$I$5)/系数!$B$4+LOOKUP(D342,'模拟-单技能数据'!$A$2:$A$19,'模拟-单技能数据'!$L$2:$L$19)+BG342*10%</f>
        <v>2.162482885499879</v>
      </c>
      <c r="J342" s="45">
        <f ca="1">(('模拟-全程加成'!$K$3+'模拟-全程加成'!$K$4+'模拟-全程加成'!$K$5+('模拟-全程加成'!$C$6-'模拟-全程加成'!$C$3)*系数!$B$10+IF(BV342&gt;0,882,0)+IF(BY342&gt;0,1831,0))*(1+'模拟-全程加成'!$L$4+'模拟-全程加成'!$L$5+CC342*20%))/系数!$B$5</f>
        <v>0.69723220422048726</v>
      </c>
      <c r="K342" s="119">
        <f ca="1">LOOKUP(D342,'模拟-单技能数据'!$A$2:$A$19,'模拟-单技能数据'!$J$2:$J$19)+IF(CM342,60%,0)+IF(DB341-DB342&gt;0,30%,0)+IF(OR(AND(OR(C342="赤日轮1",C342="赤日轮2",C342="赤日轮3"),CR342),AND(OR(C342="幽月轮1",C342="幽月轮2",C342="幽月轮3"),CS342)),35%,0)+CJ342</f>
        <v>0.12</v>
      </c>
      <c r="L342" s="119">
        <f ca="1">IF(AND(C342="烈日斩",模拟模式!$X$11=1),10%,0)+IF(AND(C342="驱夜断愁",AB342=1),30%,0)</f>
        <v>0</v>
      </c>
      <c r="M342" s="45">
        <f t="shared" ca="1" si="297"/>
        <v>0.4618514552730022</v>
      </c>
      <c r="N342" s="45">
        <f t="shared" ca="1" si="298"/>
        <v>0.48424854472699785</v>
      </c>
      <c r="O342" s="46">
        <f t="shared" ca="1" si="266"/>
        <v>0.42923914951153297</v>
      </c>
      <c r="P342" s="46" t="str">
        <f t="shared" ca="1" si="267"/>
        <v>会</v>
      </c>
      <c r="Q342" s="45">
        <f t="shared" ca="1" si="268"/>
        <v>2.162482885499879</v>
      </c>
      <c r="R342" s="117">
        <f ca="1">模拟模式!$E$20*(1-IF(模拟模式!$J$19="有",0.15,0))*(1-IF(模拟模式!$K$19="有",0.3,0)-IF(CQ342,0.5,0))</f>
        <v>843.02999999999975</v>
      </c>
      <c r="S342" s="45">
        <f ca="1">R342/(R342+(185*模拟模式!$E$22-16800)*4.08224)</f>
        <v>8.389626085980037E-2</v>
      </c>
      <c r="T342" s="45" t="str">
        <f ca="1">LOOKUP(D342,'模拟-单技能数据'!$A$2:$A$19,'模拟-单技能数据'!$H$2:$H$19)</f>
        <v>阳</v>
      </c>
      <c r="U342" s="119">
        <f t="shared" ca="1" si="299"/>
        <v>0.2</v>
      </c>
      <c r="V342" s="47">
        <f ca="1">(1+L342)*(LOOKUP(D342,'模拟-单技能数据'!$A$2:$A$19,'模拟-单技能数据'!$D$2:$D$19)+G342*LOOKUP(D342,'模拟-单技能数据'!$A$2:$A$19,'模拟-单技能数据'!$F$2:$F$19))*(1+J342)*(1+K342)*(1-S342)*(1+U342)*Q342*LOOKUP(D342,'模拟-单技能数据'!$A$2:$A$19,'模拟-单技能数据'!$I$2:$I$20)</f>
        <v>56864.156113360666</v>
      </c>
      <c r="W342" s="47">
        <f ca="1">LOOKUP(D342,'模拟-单技能数据'!$A$2:$A$19,'模拟-单技能数据'!$G$2:$G$19)*$I$10</f>
        <v>361.51064354704795</v>
      </c>
      <c r="X342" s="47">
        <f t="shared" ca="1" si="269"/>
        <v>0</v>
      </c>
      <c r="Y342" s="47">
        <f t="shared" ca="1" si="300"/>
        <v>57225.666756907711</v>
      </c>
      <c r="Z342" s="49">
        <f t="shared" ca="1" si="301"/>
        <v>33171159.161207534</v>
      </c>
      <c r="AA342" s="97">
        <f t="shared" ca="1" si="302"/>
        <v>114152.05114193581</v>
      </c>
      <c r="AB342" s="115">
        <f ca="1">IF(OR(C342="赤日轮1",C342="赤日轮2",C342="赤日轮3"),IF(RAND()&lt;模拟模式!$Y$17,1,0),IF(OR(C342="幽月轮1",C342="幽月轮2",C342="幽月轮3"),IF(RAND()&lt;模拟模式!$Y$18,1,0),IF(C342="烈日斩",IF(RAND()&lt;模拟模式!$Y$19,1,0),IF(C342="银月斩",IF(RAND()&lt;模拟模式!$Y$20,1,0),IF(C342="驱夜断愁",IF(RAND()&lt;模拟模式!$Y$21,1,0),IF(C342="净世破魔击·日",IF(RAND()&lt;模拟模式!$Y$22,1,0),IF(C342="净世破魔击·月",IF(RAND()&lt;模拟模式!$Y$23,1,0),0)))))))</f>
        <v>1</v>
      </c>
      <c r="AC342" s="115" t="b">
        <f t="shared" ca="1" si="290"/>
        <v>0</v>
      </c>
      <c r="AD342" s="115" t="b">
        <f t="shared" ca="1" si="310"/>
        <v>0</v>
      </c>
      <c r="AE342" s="115">
        <f t="shared" ca="1" si="311"/>
        <v>3</v>
      </c>
      <c r="AF342" s="47">
        <f ca="1">IF(AC342,('模拟-单技能数据'!$D$20+G342*'模拟-单技能数据'!$F$20)*(1+J342)*(1+'模拟-单技能数据'!$J$20)*(1+U342),0)</f>
        <v>0</v>
      </c>
      <c r="AG342" s="61">
        <f t="shared" ca="1" si="303"/>
        <v>0.64185145527300214</v>
      </c>
      <c r="AH342" s="61">
        <f t="shared" ca="1" si="304"/>
        <v>2.2624828854998791</v>
      </c>
      <c r="AI342" s="62">
        <f t="shared" ca="1" si="270"/>
        <v>3.2820419583325711E-2</v>
      </c>
      <c r="AJ342" s="47">
        <f ca="1">IF(AD342,IF(AI342&lt;$F$10,0,IF(AI342&lt;$F$10+$F$11,0.25,IF(AI342&lt;$F$10+$F$11+AG342,AH342,1)))*IF(AF342&gt;0,AF342,IF(AF341&gt;0,AF341,IF(AF340&gt;0,AF340,IF(AF339&gt;0,AF339,IF(AF338&gt;0,AF338,IF(AF337&gt;0,AF337,IF(AF336&gt;0,AF336,IF(AF335&gt;0,AF335,IF(AF334&gt;0,AF334,IF(AF332&gt;0,AF332,IF(AF331&gt;0,AF331,IF(AF330&gt;0,AF330,0)))))))))))),0)*(1-$S342)*'模拟-单技能数据'!$I$20</f>
        <v>0</v>
      </c>
      <c r="AK342" s="115" t="b">
        <f t="shared" ca="1" si="291"/>
        <v>0</v>
      </c>
      <c r="AL342" s="115" t="b">
        <f t="shared" ca="1" si="312"/>
        <v>0</v>
      </c>
      <c r="AM342" s="115">
        <f t="shared" ca="1" si="313"/>
        <v>5</v>
      </c>
      <c r="AN342" s="47">
        <f ca="1">IF(AK342,('模拟-单技能数据'!$D$21+G342*'模拟-单技能数据'!$F$21)*(1+J342)*(1+'模拟-单技能数据'!$J$21)*(1+U342),0)</f>
        <v>0</v>
      </c>
      <c r="AO342" s="61">
        <f ca="1">IF(AN342&gt;0,M342-'模拟-单技能数据'!$K$10,AO341)</f>
        <v>0.42185145527300216</v>
      </c>
      <c r="AP342" s="61">
        <f ca="1">IF(AN342&gt;0,I342-'模拟-单技能数据'!$L$10,AP341)</f>
        <v>2.162482885499879</v>
      </c>
      <c r="AQ342" s="63">
        <f t="shared" ca="1" si="271"/>
        <v>0.78584608389213295</v>
      </c>
      <c r="AR342" s="64">
        <f ca="1">IF(AL342,IF(AQ342&lt;$F$10,0,IF(AQ342&lt;$F$10+$F$11,0.25,IF(AQ342&lt;$F$10+$F$11+AO342,AP342,1)))*IF(AN342&gt;0,AN342,IF(AN341&gt;0,AN341,IF(AN340&gt;0,AN340,IF(AN339&gt;0,AN339,IF(AN338&gt;0,AN338,IF(AN337&gt;0,AN337,IF(AN336&gt;0,AN336,IF(AN335&gt;0,AN335,IF(AN334&gt;0,AN334,IF(AN332&gt;0,AN332,IF(AN331&gt;0,AN331,IF(AN330&gt;0,AN330,0)))))))))))),0)*(1-$S342)*'模拟-单技能数据'!$I$21</f>
        <v>0</v>
      </c>
      <c r="AS342" s="61">
        <f ca="1">IF(OR(C342="净世破魔击·日",C342="净世破魔击·月"),M342-'模拟-单技能数据'!$K$10,0)</f>
        <v>0</v>
      </c>
      <c r="AT342" s="61">
        <f ca="1">IF(OR(C342="净世破魔击·日",C342="净世破魔击·月"),I342-'模拟-单技能数据'!$L$10,0)</f>
        <v>0</v>
      </c>
      <c r="AU342" s="62">
        <f t="shared" ca="1" si="272"/>
        <v>0.18639326661882694</v>
      </c>
      <c r="AV342" s="64">
        <f ca="1">IF(AS342&gt;0,('模拟-单技能数据'!$D$22+G342*'模拟-单技能数据'!$F$22)*(1+J342)*(1-S342)*IF(AU342&lt;$F$10,0,IF(AU342&lt;$F$10+$F$11,0.25,IF(AU342&lt;$F$10+$F$11+AS342,AT342,1)))*(1+U342),0)*'模拟-单技能数据'!$I$22</f>
        <v>0</v>
      </c>
      <c r="AW342" s="108">
        <f t="shared" ca="1" si="273"/>
        <v>17.232500000000002</v>
      </c>
      <c r="AX342" s="108" t="b">
        <f ca="1">AND(模拟模式!$P$10="有",AW341=0,RAND()&lt;IF(C342="净世破魔击·月",0.1*8/3,IF(C342="净世破魔击·日",0.1*4/3,0.1*2/3)))</f>
        <v>0</v>
      </c>
      <c r="AY342" s="47">
        <f ca="1">IF(AX342,(18+G342*0.722)*(1+J342)*(1-S342)*(1+$I$4)*IF(P342="会",'模拟-全程加成'!$J$3+'模拟-全程加成'!$J$4+'模拟-全程加成'!$J$5+('模拟-全程加成'!$I$4+'模拟-全程加成'!$I$5)/系数!$B$4+BG342*10%,IF(P342="命",1,IF(P342="识",0.25,0))),0)</f>
        <v>0</v>
      </c>
      <c r="AZ342" s="108">
        <f t="shared" si="274"/>
        <v>13.542500000000004</v>
      </c>
      <c r="BA342" s="108" t="b">
        <f>AND(模拟模式!$Q$10="有",AZ341=0)</f>
        <v>0</v>
      </c>
      <c r="BB342" s="140">
        <f>IF(BA342,(0+G342*0.287)*(1+J342)*(1-S342)*(1+$I$4)*IF(P342="会",'模拟-全程加成'!$J$3+'模拟-全程加成'!$J$4+'模拟-全程加成'!$J$5+('模拟-全程加成'!$I$4+'模拟-全程加成'!$I$5)/系数!$B$4+BG342*10%,IF(P342="命",1,IF(P342="识",0.25,0))),0)</f>
        <v>0</v>
      </c>
      <c r="BC342" s="115" t="b">
        <f ca="1">AND(模拟模式!$R$7="伏明众生",E342=60,F342=20,DA342&lt;5,CZ341&lt;$F$4)</f>
        <v>0</v>
      </c>
      <c r="BD342" s="115">
        <f t="shared" ca="1" si="292"/>
        <v>0</v>
      </c>
      <c r="BE342" s="115" t="b">
        <f t="shared" ca="1" si="293"/>
        <v>0</v>
      </c>
      <c r="BF342" s="47">
        <f ca="1">IF(BC342,4*('模拟-单技能数据'!$D$24+G342*'模拟-单技能数据'!$F$24)*(1+J342)*(1+'模拟-单技能数据'!$J$24)*(1-S342)*(1+$I$3)*(('模拟-全程加成'!$J$3+'模拟-全程加成'!$J$4+'模拟-全程加成'!$J$5+('模拟-全程加成'!$I$4+'模拟-全程加成'!$I$5)/系数!$B$4+BG342*10%)*('模拟-全程加成'!$J$3+'模拟-全程加成'!$J$4+'模拟-全程加成'!$J$5+('模拟-全程加成'!$I$4+'模拟-全程加成'!$I$5)/系数!$B$4+BG342*10%)+(1-('模拟-全程加成'!$J$3+'模拟-全程加成'!$J$4+'模拟-全程加成'!$J$5+('模拟-全程加成'!$I$4+'模拟-全程加成'!$I$5)/系数!$B$4+BG342*10%)-$F$10-$F$11)+F328*0.25),0)*'模拟-单技能数据'!$I$24</f>
        <v>0</v>
      </c>
      <c r="BG342" s="115" t="b">
        <f ca="1">OR(AND(OR(C342="烈日斩",C342="银月斩"),模拟模式!$I$7="净身明礼"),AND(C342="净世破魔击·日",模拟模式!$J$7="洞若观火"),AND(C343="净世破魔击·月",模拟模式!$J$7="洞若观火"),AB342=1)</f>
        <v>1</v>
      </c>
      <c r="BH342" s="115" t="b">
        <f t="shared" ca="1" si="275"/>
        <v>1</v>
      </c>
      <c r="BI342" s="115">
        <f t="shared" ca="1" si="294"/>
        <v>6</v>
      </c>
      <c r="BJ342" s="115" t="b">
        <f t="shared" ca="1" si="305"/>
        <v>1</v>
      </c>
      <c r="BK342" s="115" t="b">
        <f ca="1">AND(C342="驱夜断愁",模拟模式!$P$7="天地诛戮")</f>
        <v>0</v>
      </c>
      <c r="BL342" s="57">
        <f t="shared" ca="1" si="295"/>
        <v>15.387500000000003</v>
      </c>
      <c r="BM342" s="115" t="b">
        <f t="shared" ca="1" si="306"/>
        <v>1</v>
      </c>
      <c r="BN342" s="115" t="b">
        <f ca="1">AND(OR(C342="赤日轮1",C342="赤日轮2",C342="赤日轮3",C342="幽月轮1",C342="幽月轮2",C342="幽月轮3"),AB342=1,模拟模式!$L$7="明光恒照")</f>
        <v>1</v>
      </c>
      <c r="BO342" s="117">
        <f t="shared" ca="1" si="296"/>
        <v>30</v>
      </c>
      <c r="BP342" s="115">
        <f t="shared" ca="1" si="276"/>
        <v>6</v>
      </c>
      <c r="BQ342" s="115" t="b">
        <f>模拟模式!$K$10="2600·水"</f>
        <v>0</v>
      </c>
      <c r="BR342" s="117">
        <f t="shared" si="277"/>
        <v>0</v>
      </c>
      <c r="BS342" s="115">
        <f t="shared" si="278"/>
        <v>0</v>
      </c>
      <c r="BT342" s="115">
        <f t="shared" ca="1" si="279"/>
        <v>0</v>
      </c>
      <c r="BU342" s="115" t="b">
        <f ca="1">AND(模拟模式!$K$10="2300·雷",BT341=0,RAND()&lt;IF(C342="净世破魔击·月",5*0.05*2/3,IF(C342="净世破魔击·日",3*0.05*2/3,0.05*2*2/3)))</f>
        <v>0</v>
      </c>
      <c r="BV342" s="115">
        <f t="shared" ca="1" si="280"/>
        <v>0</v>
      </c>
      <c r="BW342" s="115">
        <f t="shared" ca="1" si="281"/>
        <v>81.292499999999265</v>
      </c>
      <c r="BX342" s="164" t="b">
        <f t="shared" ca="1" si="282"/>
        <v>0</v>
      </c>
      <c r="BY342" s="115">
        <f t="shared" ca="1" si="283"/>
        <v>0</v>
      </c>
      <c r="BZ342" s="115">
        <f>IF(OR(模拟模式!$P$16="10人团",模拟模式!$P$16="25人团"),IF(B342/30&gt;CA341,1,0),0)</f>
        <v>0</v>
      </c>
      <c r="CA342" s="115">
        <f t="shared" si="259"/>
        <v>0</v>
      </c>
      <c r="CB342" s="115">
        <f ca="1">IF(BZ342=1,IF(模拟模式!$P$16="10人团",15,0)+IF(模拟模式!$P$16="25人团",IF(RAND()&lt;0.6,15,0)),MAX(0,CB341-$F$4))</f>
        <v>0</v>
      </c>
      <c r="CC342" s="115" t="b">
        <f t="shared" ca="1" si="307"/>
        <v>0</v>
      </c>
      <c r="CD342" s="115">
        <f>IF(模拟模式!$Q$16="1个",IF(B342/40&gt;CE341,1,0),0)</f>
        <v>0</v>
      </c>
      <c r="CE342" s="115">
        <f t="shared" si="308"/>
        <v>0</v>
      </c>
      <c r="CF342" s="115">
        <f>IF(OR(CD342=1,模拟模式!$Q$16="2个"),20,MAX(0,CF341-$F$4))</f>
        <v>0</v>
      </c>
      <c r="CG342" s="115" t="b">
        <f t="shared" si="309"/>
        <v>0</v>
      </c>
      <c r="CH342" s="115">
        <f t="shared" ca="1" si="284"/>
        <v>13.39500000000001</v>
      </c>
      <c r="CI342" s="115" t="b">
        <f t="shared" ca="1" si="285"/>
        <v>0</v>
      </c>
      <c r="CJ342" s="119">
        <f t="shared" ca="1" si="286"/>
        <v>0</v>
      </c>
      <c r="CK342" s="115">
        <f t="shared" ca="1" si="287"/>
        <v>0</v>
      </c>
      <c r="CL342" s="115" t="b">
        <f ca="1">AND(模拟模式!$S$7="驱夷逐法",OR(AND(C342="净世破魔击·月",E341&gt;59),AND(C342="净世破魔击·日",F341&gt;59)))</f>
        <v>0</v>
      </c>
      <c r="CM342" s="115" t="b">
        <f ca="1">OR(CL342,AND(C342="净世破魔击·日",CL341,RAND()&lt;模拟模式!$U$23))</f>
        <v>0</v>
      </c>
      <c r="CN342" s="115" t="b">
        <f ca="1">IF(模拟模式!$M$7="辉耀红尘",AND(C342="净世破魔击·月",CL342,CV342=0,E341&lt;80),AND(C342="净世破魔击·月",CL342,E341&lt;100))</f>
        <v>0</v>
      </c>
      <c r="CO342" s="115" t="b">
        <f t="shared" ca="1" si="260"/>
        <v>0</v>
      </c>
      <c r="CP342" s="115" t="b">
        <f ca="1">AND(模拟模式!$O$7="用晦而明",OR(C342="净世破魔击·日",C342="净世破魔击·月",C342="驱夜断愁"),AB342)</f>
        <v>0</v>
      </c>
      <c r="CQ342" s="115" t="b">
        <f ca="1">OR(CP342,AND(CP341,RAND()&lt;模拟模式!$U$23))</f>
        <v>1</v>
      </c>
      <c r="CR342" s="115" t="b">
        <f ca="1">AND(模拟模式!$S$7="日月齐光",OR(C342="幽月轮1",C342="幽月轮2",C342="幽月轮3",CR341),NOT(OR(C342="赤日轮1",C342="赤日轮2",C342="赤日轮3")))</f>
        <v>0</v>
      </c>
      <c r="CS342" s="115" t="b">
        <f ca="1">AND(模拟模式!$S$7="日月齐光",OR(C342="赤日轮1",C342="赤日轮2",C342="赤日轮3",CS341),NOT(OR(C342="幽月轮1",C342="幽月轮2",C342="幽月轮3")))</f>
        <v>0</v>
      </c>
      <c r="CT342" s="115">
        <f t="shared" ca="1" si="288"/>
        <v>0</v>
      </c>
      <c r="CU342" s="115" t="b">
        <f ca="1">AND(模拟模式!$K$10="阴阳往极",CT341=0,RAND()&lt;IF(C342="净世破魔击·月",0.0275*7/3,IF(C342="净世破魔击·日",0.0275*3/3,0.0275*2/3)))</f>
        <v>0</v>
      </c>
      <c r="CV342" s="115">
        <f t="shared" ca="1" si="289"/>
        <v>0</v>
      </c>
      <c r="CW342" s="115">
        <f t="shared" ca="1" si="261"/>
        <v>2.3099999999999996</v>
      </c>
      <c r="CX342" s="115">
        <f t="shared" ca="1" si="262"/>
        <v>0.46499999999999975</v>
      </c>
      <c r="CY342" s="115">
        <f ca="1">MAX(IF($C342="驱夜断愁",IF(模拟模式!$R$7="万念俱寂",6,45),CY341-$F$4),0)</f>
        <v>1.3874999999999997</v>
      </c>
      <c r="CZ342" s="115">
        <f t="shared" ca="1" si="263"/>
        <v>0</v>
      </c>
      <c r="DA342" s="115">
        <f ca="1">IF(模拟模式!$N$7="日月同辉",IF(DB341=2,0,MIN(6,IF(AND(OR(C342="赤日轮1",C342="赤日轮2",C342="赤日轮3",C342="幽月轮1",C342="幽月轮2",C342="幽月轮3"),AB342=1),DA341+1,DA341))),0)</f>
        <v>4</v>
      </c>
      <c r="DB342" s="115">
        <f t="shared" ca="1" si="264"/>
        <v>0</v>
      </c>
      <c r="DC342" s="115"/>
      <c r="DD342" s="115"/>
      <c r="DE342" s="115"/>
      <c r="DF342" s="115"/>
      <c r="DG342" s="115"/>
      <c r="DH342" s="115"/>
      <c r="DI342" s="115"/>
      <c r="DJ342" s="115"/>
      <c r="DK342" s="115"/>
      <c r="DL342" s="115"/>
      <c r="DM342" s="115"/>
    </row>
    <row r="343" spans="2:117" x14ac:dyDescent="0.2">
      <c r="B343" s="117">
        <f t="shared" si="265"/>
        <v>291.51000000000232</v>
      </c>
      <c r="C343" s="167" t="str">
        <f t="shared" ca="1" si="258"/>
        <v>银月斩</v>
      </c>
      <c r="D343" s="115">
        <f ca="1">IF(C343="赤日轮1",1,IF(C343="赤日轮2",2,IF(C343="赤日轮3",3,IF(C343="幽月轮1",4,IF(C343="幽月轮2",5,IF(C343="幽月轮3",6,IF(C343="烈日斩",7,IF(C343="银月斩",8,IF(C343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343="净世破魔击·月",17,IF(C343="驱夜断愁",18,0)))))))))))</f>
        <v>8</v>
      </c>
      <c r="E343" s="115">
        <f ca="1">IF(AND(CU343,OR(C343="幽月轮1",C343="幽月轮2",C343="幽月轮3",C343="银月斩",C343="驱夜断愁",C343="净世破魔击·月")),100,MIN(IF(OR(CN343,BE343),0,IF(OR($C343="赤日轮1",$C343="赤日轮2",$C343="赤日轮3"),E342+20+IF(模拟模式!$I$7="日月凌天",4,0)+IF(CR342,20,0),IF($C343="烈日斩",E342+40,IF($C343="驱夜断愁",IF(模拟模式!$R$7="万念俱寂",E342+20,E342+60),IF($C343="净世破魔击·月",IF(OR(DB342&gt;0,CV342&gt;0),100,IF(模拟模式!$M$7="辉耀红尘",E342+20,E342)),IF($C343="净世破魔击·日",E342-100,E342)))))),100))</f>
        <v>20</v>
      </c>
      <c r="F343" s="115">
        <f ca="1">IF(AND(CU343,OR(C343="赤日轮1",C343="赤日轮2",C343="赤日轮3",C343="烈日斩",C343="净世破魔击·日")),100,MIN(IF(CO343,0,IF(OR($C343="幽月轮1",$C343="幽月轮2",$C343="幽月轮3"),F342+20+IF(模拟模式!$I$7="日月凌天",4,0)+IF(CS342,20,0),IF($C343="银月斩",F342+40+IF(模拟模式!$X$12=1,5,0),IF($C343="驱夜断愁",IF(模拟模式!$R$7="万念俱寂",F342+20,F342+60),IF($C343="净世破魔击·月",IF(模拟模式!$M$7="辉耀红尘",F342-80,F342-100),IF(AND(C343="净世破魔击·日",OR(DB342&gt;0,CV342&gt;0)),100,F342)))))),100))</f>
        <v>65</v>
      </c>
      <c r="G343" s="117">
        <f ca="1">('模拟-全程加成'!$E$3+'模拟-全程加成'!$E$4+'模拟-全程加成'!$E$5+('模拟-全程加成'!$C$6-'模拟-全程加成'!$C$3)*系数!$B$9+BS343*23)*(1+'模拟-全程加成'!$F$4+'模拟-全程加成'!$F$5+BJ343*10%+BM343*20%+BP343*4%+CG343*30%)+$F$7*系数!$B$12</f>
        <v>21493.829400000002</v>
      </c>
      <c r="H343" s="45">
        <f ca="1">'模拟-全程加成'!$H$3+'模拟-全程加成'!$H$4+'模拟-全程加成'!$H$5+('模拟-全程加成'!$G$4+'模拟-全程加成'!$G$5+('模拟-全程加成'!$C$6-'模拟-全程加成'!$C$3)*系数!$B$13)/系数!$B$3+LOOKUP(D343,'模拟-单技能数据'!$A$2:$A$19,'模拟-单技能数据'!$K$2:$K$19)+BG343*10%+IF(BV343&gt;0,378,0)</f>
        <v>0.64185145527300214</v>
      </c>
      <c r="I343" s="45">
        <f ca="1">'模拟-全程加成'!$J$3+'模拟-全程加成'!$J$4+'模拟-全程加成'!$J$5+('模拟-全程加成'!$I$4+'模拟-全程加成'!$I$5)/系数!$B$4+LOOKUP(D343,'模拟-单技能数据'!$A$2:$A$19,'模拟-单技能数据'!$L$2:$L$19)+BG343*10%</f>
        <v>2.2624828854998791</v>
      </c>
      <c r="J343" s="45">
        <f ca="1">(('模拟-全程加成'!$K$3+'模拟-全程加成'!$K$4+'模拟-全程加成'!$K$5+('模拟-全程加成'!$C$6-'模拟-全程加成'!$C$3)*系数!$B$10+IF(BV343&gt;0,882,0)+IF(BY343&gt;0,1831,0))*(1+'模拟-全程加成'!$L$4+'模拟-全程加成'!$L$5+CC343*20%))/系数!$B$5</f>
        <v>0.69723220422048726</v>
      </c>
      <c r="K343" s="119">
        <f ca="1">LOOKUP(D343,'模拟-单技能数据'!$A$2:$A$19,'模拟-单技能数据'!$J$2:$J$19)+IF(CM343,60%,0)+IF(DB342-DB343&gt;0,30%,0)+IF(OR(AND(OR(C343="赤日轮1",C343="赤日轮2",C343="赤日轮3"),CR343),AND(OR(C343="幽月轮1",C343="幽月轮2",C343="幽月轮3"),CS343)),35%,0)+CJ343</f>
        <v>0.15</v>
      </c>
      <c r="L343" s="119">
        <f ca="1">IF(AND(C343="烈日斩",模拟模式!$X$11=1),10%,0)+IF(AND(C343="驱夜断愁",AB343=1),30%,0)</f>
        <v>0</v>
      </c>
      <c r="M343" s="45">
        <f t="shared" ca="1" si="297"/>
        <v>0.64185145527300214</v>
      </c>
      <c r="N343" s="45">
        <f t="shared" ca="1" si="298"/>
        <v>0.30424854472699792</v>
      </c>
      <c r="O343" s="46">
        <f t="shared" ca="1" si="266"/>
        <v>0.24213316134421992</v>
      </c>
      <c r="P343" s="46" t="str">
        <f t="shared" ca="1" si="267"/>
        <v>会</v>
      </c>
      <c r="Q343" s="45">
        <f t="shared" ca="1" si="268"/>
        <v>2.2624828854998791</v>
      </c>
      <c r="R343" s="117">
        <f ca="1">模拟模式!$E$20*(1-IF(模拟模式!$J$19="有",0.15,0))*(1-IF(模拟模式!$K$19="有",0.3,0)-IF(CQ343,0.5,0))</f>
        <v>2950.6049999999996</v>
      </c>
      <c r="S343" s="45">
        <f ca="1">R343/(R343+(185*模拟模式!$E$22-16800)*4.08224)</f>
        <v>0.24272716014590323</v>
      </c>
      <c r="T343" s="45" t="str">
        <f ca="1">LOOKUP(D343,'模拟-单技能数据'!$A$2:$A$19,'模拟-单技能数据'!$H$2:$H$19)</f>
        <v>阴</v>
      </c>
      <c r="U343" s="119">
        <f t="shared" ca="1" si="299"/>
        <v>0.08</v>
      </c>
      <c r="V343" s="47">
        <f ca="1">(1+L343)*(LOOKUP(D343,'模拟-单技能数据'!$A$2:$A$19,'模拟-单技能数据'!$D$2:$D$19)+G343*LOOKUP(D343,'模拟-单技能数据'!$A$2:$A$19,'模拟-单技能数据'!$F$2:$F$19))*(1+J343)*(1+K343)*(1-S343)*(1+U343)*Q343*LOOKUP(D343,'模拟-单技能数据'!$A$2:$A$19,'模拟-单技能数据'!$I$2:$I$20)</f>
        <v>41211.704893206668</v>
      </c>
      <c r="W343" s="47">
        <f ca="1">LOOKUP(D343,'模拟-单技能数据'!$A$2:$A$19,'模拟-单技能数据'!$G$2:$G$19)*$I$10</f>
        <v>361.51064354704795</v>
      </c>
      <c r="X343" s="47">
        <f t="shared" ca="1" si="269"/>
        <v>17544.710041214701</v>
      </c>
      <c r="Y343" s="47">
        <f t="shared" ca="1" si="300"/>
        <v>59117.925577968417</v>
      </c>
      <c r="Z343" s="49">
        <f t="shared" ca="1" si="301"/>
        <v>33230277.086785503</v>
      </c>
      <c r="AA343" s="97">
        <f t="shared" ca="1" si="302"/>
        <v>113993.60943633234</v>
      </c>
      <c r="AB343" s="115">
        <f ca="1">IF(OR(C343="赤日轮1",C343="赤日轮2",C343="赤日轮3"),IF(RAND()&lt;模拟模式!$Y$17,1,0),IF(OR(C343="幽月轮1",C343="幽月轮2",C343="幽月轮3"),IF(RAND()&lt;模拟模式!$Y$18,1,0),IF(C343="烈日斩",IF(RAND()&lt;模拟模式!$Y$19,1,0),IF(C343="银月斩",IF(RAND()&lt;模拟模式!$Y$20,1,0),IF(C343="驱夜断愁",IF(RAND()&lt;模拟模式!$Y$21,1,0),IF(C343="净世破魔击·日",IF(RAND()&lt;模拟模式!$Y$22,1,0),IF(C343="净世破魔击·月",IF(RAND()&lt;模拟模式!$Y$23,1,0),0)))))))</f>
        <v>1</v>
      </c>
      <c r="AC343" s="115" t="b">
        <f t="shared" ca="1" si="290"/>
        <v>1</v>
      </c>
      <c r="AD343" s="115" t="b">
        <f t="shared" ca="1" si="310"/>
        <v>1</v>
      </c>
      <c r="AE343" s="115">
        <f t="shared" ca="1" si="311"/>
        <v>5</v>
      </c>
      <c r="AF343" s="47">
        <f ca="1">IF(AC343,('模拟-单技能数据'!$D$20+G343*'模拟-单技能数据'!$F$20)*(1+J343)*(1+'模拟-单技能数据'!$J$20)*(1+U343),0)</f>
        <v>4639.7456468263617</v>
      </c>
      <c r="AG343" s="61">
        <f t="shared" ca="1" si="303"/>
        <v>0.64185145527300214</v>
      </c>
      <c r="AH343" s="61">
        <f t="shared" ca="1" si="304"/>
        <v>2.2624828854998791</v>
      </c>
      <c r="AI343" s="62">
        <f t="shared" ca="1" si="270"/>
        <v>0.18446962041679327</v>
      </c>
      <c r="AJ343" s="47">
        <f ca="1">IF(AD343,IF(AI343&lt;$F$10,0,IF(AI343&lt;$F$10+$F$11,0.25,IF(AI343&lt;$F$10+$F$11+AG343,AH343,1)))*IF(AF343&gt;0,AF343,IF(AF342&gt;0,AF342,IF(AF341&gt;0,AF341,IF(AF340&gt;0,AF340,IF(AF339&gt;0,AF339,IF(AF338&gt;0,AF338,IF(AF337&gt;0,AF337,IF(AF336&gt;0,AF336,IF(AF335&gt;0,AF335,IF(AF333&gt;0,AF333,IF(AF332&gt;0,AF332,IF(AF331&gt;0,AF331,0)))))))))))),0)*(1-$S343)*'模拟-单技能数据'!$I$20</f>
        <v>7949.3543492067038</v>
      </c>
      <c r="AK343" s="115" t="b">
        <f t="shared" ca="1" si="291"/>
        <v>0</v>
      </c>
      <c r="AL343" s="115" t="b">
        <f t="shared" ca="1" si="312"/>
        <v>1</v>
      </c>
      <c r="AM343" s="115">
        <f t="shared" ca="1" si="313"/>
        <v>4</v>
      </c>
      <c r="AN343" s="47">
        <f ca="1">IF(AK343,('模拟-单技能数据'!$D$21+G343*'模拟-单技能数据'!$F$21)*(1+J343)*(1+'模拟-单技能数据'!$J$21)*(1+U343),0)</f>
        <v>0</v>
      </c>
      <c r="AO343" s="61">
        <f ca="1">IF(AN343&gt;0,M343-'模拟-单技能数据'!$K$10,AO342)</f>
        <v>0.42185145527300216</v>
      </c>
      <c r="AP343" s="61">
        <f ca="1">IF(AN343&gt;0,I343-'模拟-单技能数据'!$L$10,AP342)</f>
        <v>2.162482885499879</v>
      </c>
      <c r="AQ343" s="63">
        <f t="shared" ca="1" si="271"/>
        <v>0.90303689423732092</v>
      </c>
      <c r="AR343" s="64">
        <f ca="1">IF(AL343,IF(AQ343&lt;$F$10,0,IF(AQ343&lt;$F$10+$F$11,0.25,IF(AQ343&lt;$F$10+$F$11+AO343,AP343,1)))*IF(AN343&gt;0,AN343,IF(AN342&gt;0,AN342,IF(AN341&gt;0,AN341,IF(AN340&gt;0,AN340,IF(AN339&gt;0,AN339,IF(AN338&gt;0,AN338,IF(AN337&gt;0,AN337,IF(AN336&gt;0,AN336,IF(AN335&gt;0,AN335,IF(AN333&gt;0,AN333,IF(AN332&gt;0,AN332,IF(AN331&gt;0,AN331,0)))))))))))),0)*(1-$S343)*'模拟-单技能数据'!$I$21</f>
        <v>9595.3556920079973</v>
      </c>
      <c r="AS343" s="61">
        <f ca="1">IF(OR(C343="净世破魔击·日",C343="净世破魔击·月"),M343-'模拟-单技能数据'!$K$10,0)</f>
        <v>0</v>
      </c>
      <c r="AT343" s="61">
        <f ca="1">IF(OR(C343="净世破魔击·日",C343="净世破魔击·月"),I343-'模拟-单技能数据'!$L$10,0)</f>
        <v>0</v>
      </c>
      <c r="AU343" s="62">
        <f t="shared" ca="1" si="272"/>
        <v>0.6578448747985548</v>
      </c>
      <c r="AV343" s="64">
        <f ca="1">IF(AS343&gt;0,('模拟-单技能数据'!$D$22+G343*'模拟-单技能数据'!$F$22)*(1+J343)*(1-S343)*IF(AU343&lt;$F$10,0,IF(AU343&lt;$F$10+$F$11,0.25,IF(AU343&lt;$F$10+$F$11+AS343,AT343,1)))*(1+U343),0)*'模拟-单技能数据'!$I$22</f>
        <v>0</v>
      </c>
      <c r="AW343" s="108">
        <f t="shared" ca="1" si="273"/>
        <v>16.310000000000002</v>
      </c>
      <c r="AX343" s="108" t="b">
        <f ca="1">AND(模拟模式!$P$10="有",AW342=0,RAND()&lt;IF(C343="净世破魔击·月",0.1*8/3,IF(C343="净世破魔击·日",0.1*4/3,0.1*2/3)))</f>
        <v>0</v>
      </c>
      <c r="AY343" s="47">
        <f ca="1">IF(AX343,(18+G343*0.722)*(1+J343)*(1-S343)*(1+$I$4)*IF(P343="会",'模拟-全程加成'!$J$3+'模拟-全程加成'!$J$4+'模拟-全程加成'!$J$5+('模拟-全程加成'!$I$4+'模拟-全程加成'!$I$5)/系数!$B$4+BG343*10%,IF(P343="命",1,IF(P343="识",0.25,0))),0)</f>
        <v>0</v>
      </c>
      <c r="AZ343" s="108">
        <f t="shared" si="274"/>
        <v>12.620000000000005</v>
      </c>
      <c r="BA343" s="108" t="b">
        <f>AND(模拟模式!$Q$10="有",AZ342=0)</f>
        <v>0</v>
      </c>
      <c r="BB343" s="140">
        <f>IF(BA343,(0+G343*0.287)*(1+J343)*(1-S343)*(1+$I$4)*IF(P343="会",'模拟-全程加成'!$J$3+'模拟-全程加成'!$J$4+'模拟-全程加成'!$J$5+('模拟-全程加成'!$I$4+'模拟-全程加成'!$I$5)/系数!$B$4+BG343*10%,IF(P343="命",1,IF(P343="识",0.25,0))),0)</f>
        <v>0</v>
      </c>
      <c r="BC343" s="115" t="b">
        <f ca="1">AND(模拟模式!$R$7="伏明众生",E343=60,F343=20,DA343&lt;5,CZ342&lt;$F$4)</f>
        <v>0</v>
      </c>
      <c r="BD343" s="115">
        <f t="shared" ca="1" si="292"/>
        <v>0</v>
      </c>
      <c r="BE343" s="115" t="b">
        <f t="shared" ca="1" si="293"/>
        <v>0</v>
      </c>
      <c r="BF343" s="47">
        <f ca="1">IF(BC343,4*('模拟-单技能数据'!$D$24+G343*'模拟-单技能数据'!$F$24)*(1+J343)*(1+'模拟-单技能数据'!$J$24)*(1-S343)*(1+$I$3)*(('模拟-全程加成'!$J$3+'模拟-全程加成'!$J$4+'模拟-全程加成'!$J$5+('模拟-全程加成'!$I$4+'模拟-全程加成'!$I$5)/系数!$B$4+BG343*10%)*('模拟-全程加成'!$J$3+'模拟-全程加成'!$J$4+'模拟-全程加成'!$J$5+('模拟-全程加成'!$I$4+'模拟-全程加成'!$I$5)/系数!$B$4+BG343*10%)+(1-('模拟-全程加成'!$J$3+'模拟-全程加成'!$J$4+'模拟-全程加成'!$J$5+('模拟-全程加成'!$I$4+'模拟-全程加成'!$I$5)/系数!$B$4+BG343*10%)-$F$10-$F$11)+F329*0.25),0)*'模拟-单技能数据'!$I$24</f>
        <v>0</v>
      </c>
      <c r="BG343" s="115" t="b">
        <f ca="1">OR(AND(OR(C343="烈日斩",C343="银月斩"),模拟模式!$I$7="净身明礼"),AND(C343="净世破魔击·日",模拟模式!$J$7="洞若观火"),AND(C344="净世破魔击·月",模拟模式!$J$7="洞若观火"),AB343=1)</f>
        <v>1</v>
      </c>
      <c r="BH343" s="115" t="b">
        <f t="shared" ca="1" si="275"/>
        <v>0</v>
      </c>
      <c r="BI343" s="115">
        <f t="shared" ca="1" si="294"/>
        <v>5.0774999999999997</v>
      </c>
      <c r="BJ343" s="115" t="b">
        <f t="shared" ca="1" si="305"/>
        <v>1</v>
      </c>
      <c r="BK343" s="115" t="b">
        <f ca="1">AND(C343="驱夜断愁",模拟模式!$P$7="天地诛戮")</f>
        <v>0</v>
      </c>
      <c r="BL343" s="57">
        <f t="shared" ca="1" si="295"/>
        <v>14.465000000000003</v>
      </c>
      <c r="BM343" s="115" t="b">
        <f t="shared" ca="1" si="306"/>
        <v>1</v>
      </c>
      <c r="BN343" s="115" t="b">
        <f ca="1">AND(OR(C343="赤日轮1",C343="赤日轮2",C343="赤日轮3",C343="幽月轮1",C343="幽月轮2",C343="幽月轮3"),AB343=1,模拟模式!$L$7="明光恒照")</f>
        <v>0</v>
      </c>
      <c r="BO343" s="117">
        <f t="shared" ca="1" si="296"/>
        <v>29.077500000000001</v>
      </c>
      <c r="BP343" s="115">
        <f t="shared" ca="1" si="276"/>
        <v>6</v>
      </c>
      <c r="BQ343" s="115" t="b">
        <f>模拟模式!$K$10="2600·水"</f>
        <v>0</v>
      </c>
      <c r="BR343" s="117">
        <f t="shared" si="277"/>
        <v>0</v>
      </c>
      <c r="BS343" s="115">
        <f t="shared" si="278"/>
        <v>0</v>
      </c>
      <c r="BT343" s="115">
        <f t="shared" ca="1" si="279"/>
        <v>0</v>
      </c>
      <c r="BU343" s="115" t="b">
        <f ca="1">AND(模拟模式!$K$10="2300·雷",BT342=0,RAND()&lt;IF(C343="净世破魔击·月",5*0.05*2/3,IF(C343="净世破魔击·日",3*0.05*2/3,0.05*2*2/3)))</f>
        <v>0</v>
      </c>
      <c r="BV343" s="115">
        <f t="shared" ca="1" si="280"/>
        <v>0</v>
      </c>
      <c r="BW343" s="115">
        <f t="shared" ca="1" si="281"/>
        <v>80.369999999999266</v>
      </c>
      <c r="BX343" s="164" t="b">
        <f t="shared" ca="1" si="282"/>
        <v>0</v>
      </c>
      <c r="BY343" s="115">
        <f t="shared" ca="1" si="283"/>
        <v>0</v>
      </c>
      <c r="BZ343" s="115">
        <f>IF(OR(模拟模式!$P$16="10人团",模拟模式!$P$16="25人团"),IF(B343/30&gt;CA342,1,0),0)</f>
        <v>0</v>
      </c>
      <c r="CA343" s="115">
        <f t="shared" si="259"/>
        <v>0</v>
      </c>
      <c r="CB343" s="115">
        <f ca="1">IF(BZ343=1,IF(模拟模式!$P$16="10人团",15,0)+IF(模拟模式!$P$16="25人团",IF(RAND()&lt;0.6,15,0)),MAX(0,CB342-$F$4))</f>
        <v>0</v>
      </c>
      <c r="CC343" s="115" t="b">
        <f t="shared" ca="1" si="307"/>
        <v>0</v>
      </c>
      <c r="CD343" s="115">
        <f>IF(模拟模式!$Q$16="1个",IF(B343/40&gt;CE342,1,0),0)</f>
        <v>0</v>
      </c>
      <c r="CE343" s="115">
        <f t="shared" si="308"/>
        <v>0</v>
      </c>
      <c r="CF343" s="115">
        <f>IF(OR(CD343=1,模拟模式!$Q$16="2个"),20,MAX(0,CF342-$F$4))</f>
        <v>0</v>
      </c>
      <c r="CG343" s="115" t="b">
        <f t="shared" si="309"/>
        <v>0</v>
      </c>
      <c r="CH343" s="115">
        <f t="shared" ca="1" si="284"/>
        <v>12.472500000000011</v>
      </c>
      <c r="CI343" s="115" t="b">
        <f t="shared" ca="1" si="285"/>
        <v>0</v>
      </c>
      <c r="CJ343" s="119">
        <f t="shared" ca="1" si="286"/>
        <v>0</v>
      </c>
      <c r="CK343" s="115">
        <f t="shared" ca="1" si="287"/>
        <v>0</v>
      </c>
      <c r="CL343" s="115" t="b">
        <f ca="1">AND(模拟模式!$S$7="驱夷逐法",OR(AND(C343="净世破魔击·月",E342&gt;59),AND(C343="净世破魔击·日",F342&gt;59)))</f>
        <v>0</v>
      </c>
      <c r="CM343" s="115" t="b">
        <f ca="1">OR(CL343,AND(C343="净世破魔击·日",CL342,RAND()&lt;模拟模式!$U$23))</f>
        <v>0</v>
      </c>
      <c r="CN343" s="115" t="b">
        <f ca="1">IF(模拟模式!$M$7="辉耀红尘",AND(C343="净世破魔击·月",CL343,CV343=0,E342&lt;80),AND(C343="净世破魔击·月",CL343,E342&lt;100))</f>
        <v>0</v>
      </c>
      <c r="CO343" s="115" t="b">
        <f t="shared" ca="1" si="260"/>
        <v>0</v>
      </c>
      <c r="CP343" s="115" t="b">
        <f ca="1">AND(模拟模式!$O$7="用晦而明",OR(C343="净世破魔击·日",C343="净世破魔击·月",C343="驱夜断愁"),AB343)</f>
        <v>0</v>
      </c>
      <c r="CQ343" s="115" t="b">
        <f ca="1">OR(CP343,AND(CP342,RAND()&lt;模拟模式!$U$23))</f>
        <v>0</v>
      </c>
      <c r="CR343" s="115" t="b">
        <f ca="1">AND(模拟模式!$S$7="日月齐光",OR(C343="幽月轮1",C343="幽月轮2",C343="幽月轮3",CR342),NOT(OR(C343="赤日轮1",C343="赤日轮2",C343="赤日轮3")))</f>
        <v>0</v>
      </c>
      <c r="CS343" s="115" t="b">
        <f ca="1">AND(模拟模式!$S$7="日月齐光",OR(C343="赤日轮1",C343="赤日轮2",C343="赤日轮3",CS342),NOT(OR(C343="幽月轮1",C343="幽月轮2",C343="幽月轮3")))</f>
        <v>0</v>
      </c>
      <c r="CT343" s="115">
        <f t="shared" ca="1" si="288"/>
        <v>0</v>
      </c>
      <c r="CU343" s="115" t="b">
        <f ca="1">AND(模拟模式!$K$10="阴阳往极",CT342=0,RAND()&lt;IF(C343="净世破魔击·月",0.0275*7/3,IF(C343="净世破魔击·日",0.0275*3/3,0.0275*2/3)))</f>
        <v>0</v>
      </c>
      <c r="CV343" s="115">
        <f t="shared" ca="1" si="289"/>
        <v>0</v>
      </c>
      <c r="CW343" s="115">
        <f t="shared" ca="1" si="261"/>
        <v>1.3874999999999997</v>
      </c>
      <c r="CX343" s="115">
        <f t="shared" ca="1" si="262"/>
        <v>6</v>
      </c>
      <c r="CY343" s="115">
        <f ca="1">MAX(IF($C343="驱夜断愁",IF(模拟模式!$R$7="万念俱寂",6,45),CY342-$F$4),0)</f>
        <v>0.46499999999999975</v>
      </c>
      <c r="CZ343" s="115">
        <f t="shared" ca="1" si="263"/>
        <v>0</v>
      </c>
      <c r="DA343" s="115">
        <f ca="1">IF(模拟模式!$N$7="日月同辉",IF(DB342=2,0,MIN(6,IF(AND(OR(C343="赤日轮1",C343="赤日轮2",C343="赤日轮3",C343="幽月轮1",C343="幽月轮2",C343="幽月轮3"),AB343=1),DA342+1,DA342))),0)</f>
        <v>4</v>
      </c>
      <c r="DB343" s="115">
        <f t="shared" ca="1" si="264"/>
        <v>0</v>
      </c>
      <c r="DC343" s="115"/>
      <c r="DD343" s="115"/>
      <c r="DE343" s="115"/>
      <c r="DF343" s="115"/>
      <c r="DG343" s="115"/>
      <c r="DH343" s="115"/>
      <c r="DI343" s="115"/>
      <c r="DJ343" s="115"/>
      <c r="DK343" s="115"/>
      <c r="DL343" s="115"/>
      <c r="DM343" s="115"/>
    </row>
    <row r="344" spans="2:117" x14ac:dyDescent="0.2">
      <c r="B344" s="117">
        <f t="shared" si="265"/>
        <v>292.43250000000234</v>
      </c>
      <c r="C344" s="167" t="str">
        <f t="shared" ca="1" si="258"/>
        <v>驱夜断愁</v>
      </c>
      <c r="D344" s="115">
        <f ca="1">IF(C344="赤日轮1",1,IF(C344="赤日轮2",2,IF(C344="赤日轮3",3,IF(C344="幽月轮1",4,IF(C344="幽月轮2",5,IF(C344="幽月轮3",6,IF(C344="烈日斩",7,IF(C344="银月斩",8,IF(C344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344="净世破魔击·月",17,IF(C344="驱夜断愁",18,0)))))))))))</f>
        <v>18</v>
      </c>
      <c r="E344" s="115">
        <f ca="1">IF(AND(CU344,OR(C344="幽月轮1",C344="幽月轮2",C344="幽月轮3",C344="银月斩",C344="驱夜断愁",C344="净世破魔击·月")),100,MIN(IF(OR(CN344,BE344),0,IF(OR($C344="赤日轮1",$C344="赤日轮2",$C344="赤日轮3"),E343+20+IF(模拟模式!$I$7="日月凌天",4,0)+IF(CR343,20,0),IF($C344="烈日斩",E343+40,IF($C344="驱夜断愁",IF(模拟模式!$R$7="万念俱寂",E343+20,E343+60),IF($C344="净世破魔击·月",IF(OR(DB343&gt;0,CV343&gt;0),100,IF(模拟模式!$M$7="辉耀红尘",E343+20,E343)),IF($C344="净世破魔击·日",E343-100,E343)))))),100))</f>
        <v>40</v>
      </c>
      <c r="F344" s="115">
        <f ca="1">IF(AND(CU344,OR(C344="赤日轮1",C344="赤日轮2",C344="赤日轮3",C344="烈日斩",C344="净世破魔击·日")),100,MIN(IF(CO344,0,IF(OR($C344="幽月轮1",$C344="幽月轮2",$C344="幽月轮3"),F343+20+IF(模拟模式!$I$7="日月凌天",4,0)+IF(CS343,20,0),IF($C344="银月斩",F343+40+IF(模拟模式!$X$12=1,5,0),IF($C344="驱夜断愁",IF(模拟模式!$R$7="万念俱寂",F343+20,F343+60),IF($C344="净世破魔击·月",IF(模拟模式!$M$7="辉耀红尘",F343-80,F343-100),IF(AND(C344="净世破魔击·日",OR(DB343&gt;0,CV343&gt;0)),100,F343)))))),100))</f>
        <v>85</v>
      </c>
      <c r="G344" s="117">
        <f ca="1">('模拟-全程加成'!$E$3+'模拟-全程加成'!$E$4+'模拟-全程加成'!$E$5+('模拟-全程加成'!$C$6-'模拟-全程加成'!$C$3)*系数!$B$9+BS344*23)*(1+'模拟-全程加成'!$F$4+'模拟-全程加成'!$F$5+BJ344*10%+BM344*20%+BP344*4%+CG344*30%)+$F$7*系数!$B$12</f>
        <v>21493.829400000002</v>
      </c>
      <c r="H344" s="45">
        <f ca="1">'模拟-全程加成'!$H$3+'模拟-全程加成'!$H$4+'模拟-全程加成'!$H$5+('模拟-全程加成'!$G$4+'模拟-全程加成'!$G$5+('模拟-全程加成'!$C$6-'模拟-全程加成'!$C$3)*系数!$B$13)/系数!$B$3+LOOKUP(D344,'模拟-单技能数据'!$A$2:$A$19,'模拟-单技能数据'!$K$2:$K$19)+BG344*10%+IF(BV344&gt;0,378,0)</f>
        <v>0.51185145527300213</v>
      </c>
      <c r="I344" s="45">
        <f ca="1">'模拟-全程加成'!$J$3+'模拟-全程加成'!$J$4+'模拟-全程加成'!$J$5+('模拟-全程加成'!$I$4+'模拟-全程加成'!$I$5)/系数!$B$4+LOOKUP(D344,'模拟-单技能数据'!$A$2:$A$19,'模拟-单技能数据'!$L$2:$L$19)+BG344*10%</f>
        <v>2.162482885499879</v>
      </c>
      <c r="J344" s="45">
        <f ca="1">(('模拟-全程加成'!$K$3+'模拟-全程加成'!$K$4+'模拟-全程加成'!$K$5+('模拟-全程加成'!$C$6-'模拟-全程加成'!$C$3)*系数!$B$10+IF(BV344&gt;0,882,0)+IF(BY344&gt;0,1831,0))*(1+'模拟-全程加成'!$L$4+'模拟-全程加成'!$L$5+CC344*20%))/系数!$B$5</f>
        <v>0.69723220422048726</v>
      </c>
      <c r="K344" s="119">
        <f ca="1">LOOKUP(D344,'模拟-单技能数据'!$A$2:$A$19,'模拟-单技能数据'!$J$2:$J$19)+IF(CM344,60%,0)+IF(DB343-DB344&gt;0,30%,0)+IF(OR(AND(OR(C344="赤日轮1",C344="赤日轮2",C344="赤日轮3"),CR344),AND(OR(C344="幽月轮1",C344="幽月轮2",C344="幽月轮3"),CS344)),35%,0)+CJ344</f>
        <v>0.14000000000000001</v>
      </c>
      <c r="L344" s="119">
        <f ca="1">IF(AND(C344="烈日斩",模拟模式!$X$11=1),10%,0)+IF(AND(C344="驱夜断愁",AB344=1),30%,0)</f>
        <v>0.3</v>
      </c>
      <c r="M344" s="45">
        <f t="shared" ca="1" si="297"/>
        <v>0.51185145527300213</v>
      </c>
      <c r="N344" s="45">
        <f t="shared" ca="1" si="298"/>
        <v>0.43424854472699792</v>
      </c>
      <c r="O344" s="46">
        <f t="shared" ca="1" si="266"/>
        <v>0.56995162670192301</v>
      </c>
      <c r="P344" s="46" t="str">
        <f t="shared" ca="1" si="267"/>
        <v>命</v>
      </c>
      <c r="Q344" s="45">
        <f t="shared" ca="1" si="268"/>
        <v>1</v>
      </c>
      <c r="R344" s="117">
        <f ca="1">模拟模式!$E$20*(1-IF(模拟模式!$J$19="有",0.15,0))*(1-IF(模拟模式!$K$19="有",0.3,0)-IF(CQ344,0.5,0))</f>
        <v>843.02999999999975</v>
      </c>
      <c r="S344" s="45">
        <f ca="1">R344/(R344+(185*模拟模式!$E$22-16800)*4.08224)</f>
        <v>8.389626085980037E-2</v>
      </c>
      <c r="T344" s="45" t="str">
        <f ca="1">LOOKUP(D344,'模拟-单技能数据'!$A$2:$A$19,'模拟-单技能数据'!$H$2:$H$19)</f>
        <v>阴</v>
      </c>
      <c r="U344" s="119">
        <f t="shared" ca="1" si="299"/>
        <v>0.08</v>
      </c>
      <c r="V344" s="47">
        <f ca="1">(1+L344)*(LOOKUP(D344,'模拟-单技能数据'!$A$2:$A$19,'模拟-单技能数据'!$D$2:$D$19)+G344*LOOKUP(D344,'模拟-单技能数据'!$A$2:$A$19,'模拟-单技能数据'!$F$2:$F$19))*(1+J344)*(1+K344)*(1-S344)*(1+U344)*Q344*LOOKUP(D344,'模拟-单技能数据'!$A$2:$A$19,'模拟-单技能数据'!$I$2:$I$20)</f>
        <v>61540.073489592025</v>
      </c>
      <c r="W344" s="47">
        <f ca="1">LOOKUP(D344,'模拟-单技能数据'!$A$2:$A$19,'模拟-单技能数据'!$G$2:$G$19)*$I$10</f>
        <v>723.0212870940959</v>
      </c>
      <c r="X344" s="47">
        <f t="shared" ca="1" si="269"/>
        <v>0</v>
      </c>
      <c r="Y344" s="47">
        <f t="shared" ca="1" si="300"/>
        <v>62263.094776686121</v>
      </c>
      <c r="Z344" s="49">
        <f t="shared" ca="1" si="301"/>
        <v>33292540.181562189</v>
      </c>
      <c r="AA344" s="97">
        <f t="shared" ca="1" si="302"/>
        <v>113846.92256011874</v>
      </c>
      <c r="AB344" s="115">
        <f ca="1">IF(OR(C344="赤日轮1",C344="赤日轮2",C344="赤日轮3"),IF(RAND()&lt;模拟模式!$Y$17,1,0),IF(OR(C344="幽月轮1",C344="幽月轮2",C344="幽月轮3"),IF(RAND()&lt;模拟模式!$Y$18,1,0),IF(C344="烈日斩",IF(RAND()&lt;模拟模式!$Y$19,1,0),IF(C344="银月斩",IF(RAND()&lt;模拟模式!$Y$20,1,0),IF(C344="驱夜断愁",IF(RAND()&lt;模拟模式!$Y$21,1,0),IF(C344="净世破魔击·日",IF(RAND()&lt;模拟模式!$Y$22,1,0),IF(C344="净世破魔击·月",IF(RAND()&lt;模拟模式!$Y$23,1,0),0)))))))</f>
        <v>1</v>
      </c>
      <c r="AC344" s="115" t="b">
        <f t="shared" ca="1" si="290"/>
        <v>0</v>
      </c>
      <c r="AD344" s="115" t="b">
        <f t="shared" ca="1" si="310"/>
        <v>0</v>
      </c>
      <c r="AE344" s="115">
        <f t="shared" ca="1" si="311"/>
        <v>5</v>
      </c>
      <c r="AF344" s="47">
        <f ca="1">IF(AC344,('模拟-单技能数据'!$D$20+G344*'模拟-单技能数据'!$F$20)*(1+J344)*(1+'模拟-单技能数据'!$J$20)*(1+U344),0)</f>
        <v>0</v>
      </c>
      <c r="AG344" s="61">
        <f t="shared" ca="1" si="303"/>
        <v>0.64185145527300214</v>
      </c>
      <c r="AH344" s="61">
        <f t="shared" ca="1" si="304"/>
        <v>2.2624828854998791</v>
      </c>
      <c r="AI344" s="62">
        <f t="shared" ca="1" si="270"/>
        <v>0.94704633054096898</v>
      </c>
      <c r="AJ344" s="47">
        <f ca="1">IF(AD344,IF(AI344&lt;$F$10,0,IF(AI344&lt;$F$10+$F$11,0.25,IF(AI344&lt;$F$10+$F$11+AG344,AH344,1)))*IF(AF344&gt;0,AF344,IF(AF343&gt;0,AF343,IF(AF342&gt;0,AF342,IF(AF341&gt;0,AF341,IF(AF340&gt;0,AF340,IF(AF339&gt;0,AF339,IF(AF338&gt;0,AF338,IF(AF337&gt;0,AF337,IF(AF336&gt;0,AF336,IF(AF334&gt;0,AF334,IF(AF333&gt;0,AF333,IF(AF332&gt;0,AF332,0)))))))))))),0)*(1-$S344)*'模拟-单技能数据'!$I$20</f>
        <v>0</v>
      </c>
      <c r="AK344" s="115" t="b">
        <f t="shared" ca="1" si="291"/>
        <v>0</v>
      </c>
      <c r="AL344" s="115" t="b">
        <f t="shared" ca="1" si="312"/>
        <v>0</v>
      </c>
      <c r="AM344" s="115">
        <f t="shared" ca="1" si="313"/>
        <v>4</v>
      </c>
      <c r="AN344" s="47">
        <f ca="1">IF(AK344,('模拟-单技能数据'!$D$21+G344*'模拟-单技能数据'!$F$21)*(1+J344)*(1+'模拟-单技能数据'!$J$21)*(1+U344),0)</f>
        <v>0</v>
      </c>
      <c r="AO344" s="61">
        <f ca="1">IF(AN344&gt;0,M344-'模拟-单技能数据'!$K$10,AO343)</f>
        <v>0.42185145527300216</v>
      </c>
      <c r="AP344" s="61">
        <f ca="1">IF(AN344&gt;0,I344-'模拟-单技能数据'!$L$10,AP343)</f>
        <v>2.162482885499879</v>
      </c>
      <c r="AQ344" s="63">
        <f t="shared" ca="1" si="271"/>
        <v>0.19230978611343252</v>
      </c>
      <c r="AR344" s="64">
        <f ca="1">IF(AL344,IF(AQ344&lt;$F$10,0,IF(AQ344&lt;$F$10+$F$11,0.25,IF(AQ344&lt;$F$10+$F$11+AO344,AP344,1)))*IF(AN344&gt;0,AN344,IF(AN343&gt;0,AN343,IF(AN342&gt;0,AN342,IF(AN341&gt;0,AN341,IF(AN340&gt;0,AN340,IF(AN339&gt;0,AN339,IF(AN338&gt;0,AN338,IF(AN337&gt;0,AN337,IF(AN336&gt;0,AN336,IF(AN334&gt;0,AN334,IF(AN333&gt;0,AN333,IF(AN332&gt;0,AN332,0)))))))))))),0)*(1-$S344)*'模拟-单技能数据'!$I$21</f>
        <v>0</v>
      </c>
      <c r="AS344" s="61">
        <f ca="1">IF(OR(C344="净世破魔击·日",C344="净世破魔击·月"),M344-'模拟-单技能数据'!$K$10,0)</f>
        <v>0</v>
      </c>
      <c r="AT344" s="61">
        <f ca="1">IF(OR(C344="净世破魔击·日",C344="净世破魔击·月"),I344-'模拟-单技能数据'!$L$10,0)</f>
        <v>0</v>
      </c>
      <c r="AU344" s="62">
        <f t="shared" ca="1" si="272"/>
        <v>0.27477900905223951</v>
      </c>
      <c r="AV344" s="64">
        <f ca="1">IF(AS344&gt;0,('模拟-单技能数据'!$D$22+G344*'模拟-单技能数据'!$F$22)*(1+J344)*(1-S344)*IF(AU344&lt;$F$10,0,IF(AU344&lt;$F$10+$F$11,0.25,IF(AU344&lt;$F$10+$F$11+AS344,AT344,1)))*(1+U344),0)*'模拟-单技能数据'!$I$22</f>
        <v>0</v>
      </c>
      <c r="AW344" s="108">
        <f t="shared" ca="1" si="273"/>
        <v>15.387500000000003</v>
      </c>
      <c r="AX344" s="108" t="b">
        <f ca="1">AND(模拟模式!$P$10="有",AW343=0,RAND()&lt;IF(C344="净世破魔击·月",0.1*8/3,IF(C344="净世破魔击·日",0.1*4/3,0.1*2/3)))</f>
        <v>0</v>
      </c>
      <c r="AY344" s="47">
        <f ca="1">IF(AX344,(18+G344*0.722)*(1+J344)*(1-S344)*(1+$I$4)*IF(P344="会",'模拟-全程加成'!$J$3+'模拟-全程加成'!$J$4+'模拟-全程加成'!$J$5+('模拟-全程加成'!$I$4+'模拟-全程加成'!$I$5)/系数!$B$4+BG344*10%,IF(P344="命",1,IF(P344="识",0.25,0))),0)</f>
        <v>0</v>
      </c>
      <c r="AZ344" s="108">
        <f t="shared" si="274"/>
        <v>11.697500000000005</v>
      </c>
      <c r="BA344" s="108" t="b">
        <f>AND(模拟模式!$Q$10="有",AZ343=0)</f>
        <v>0</v>
      </c>
      <c r="BB344" s="140">
        <f>IF(BA344,(0+G344*0.287)*(1+J344)*(1-S344)*(1+$I$4)*IF(P344="会",'模拟-全程加成'!$J$3+'模拟-全程加成'!$J$4+'模拟-全程加成'!$J$5+('模拟-全程加成'!$I$4+'模拟-全程加成'!$I$5)/系数!$B$4+BG344*10%,IF(P344="命",1,IF(P344="识",0.25,0))),0)</f>
        <v>0</v>
      </c>
      <c r="BC344" s="115" t="b">
        <f ca="1">AND(模拟模式!$R$7="伏明众生",E344=60,F344=20,DA344&lt;5,CZ343&lt;$F$4)</f>
        <v>0</v>
      </c>
      <c r="BD344" s="115">
        <f t="shared" ca="1" si="292"/>
        <v>0</v>
      </c>
      <c r="BE344" s="115" t="b">
        <f t="shared" ca="1" si="293"/>
        <v>0</v>
      </c>
      <c r="BF344" s="47">
        <f ca="1">IF(BC344,4*('模拟-单技能数据'!$D$24+G344*'模拟-单技能数据'!$F$24)*(1+J344)*(1+'模拟-单技能数据'!$J$24)*(1-S344)*(1+$I$3)*(('模拟-全程加成'!$J$3+'模拟-全程加成'!$J$4+'模拟-全程加成'!$J$5+('模拟-全程加成'!$I$4+'模拟-全程加成'!$I$5)/系数!$B$4+BG344*10%)*('模拟-全程加成'!$J$3+'模拟-全程加成'!$J$4+'模拟-全程加成'!$J$5+('模拟-全程加成'!$I$4+'模拟-全程加成'!$I$5)/系数!$B$4+BG344*10%)+(1-('模拟-全程加成'!$J$3+'模拟-全程加成'!$J$4+'模拟-全程加成'!$J$5+('模拟-全程加成'!$I$4+'模拟-全程加成'!$I$5)/系数!$B$4+BG344*10%)-$F$10-$F$11)+F330*0.25),0)*'模拟-单技能数据'!$I$24</f>
        <v>0</v>
      </c>
      <c r="BG344" s="115" t="b">
        <f ca="1">OR(AND(OR(C344="烈日斩",C344="银月斩"),模拟模式!$I$7="净身明礼"),AND(C344="净世破魔击·日",模拟模式!$J$7="洞若观火"),AND(C345="净世破魔击·月",模拟模式!$J$7="洞若观火"),AB344=1)</f>
        <v>1</v>
      </c>
      <c r="BH344" s="115" t="b">
        <f t="shared" ca="1" si="275"/>
        <v>0</v>
      </c>
      <c r="BI344" s="115">
        <f t="shared" ca="1" si="294"/>
        <v>4.1549999999999994</v>
      </c>
      <c r="BJ344" s="115" t="b">
        <f t="shared" ca="1" si="305"/>
        <v>1</v>
      </c>
      <c r="BK344" s="115" t="b">
        <f ca="1">AND(C344="驱夜断愁",模拟模式!$P$7="天地诛戮")</f>
        <v>1</v>
      </c>
      <c r="BL344" s="57">
        <f t="shared" ca="1" si="295"/>
        <v>20</v>
      </c>
      <c r="BM344" s="115" t="b">
        <f t="shared" ca="1" si="306"/>
        <v>1</v>
      </c>
      <c r="BN344" s="115" t="b">
        <f ca="1">AND(OR(C344="赤日轮1",C344="赤日轮2",C344="赤日轮3",C344="幽月轮1",C344="幽月轮2",C344="幽月轮3"),AB344=1,模拟模式!$L$7="明光恒照")</f>
        <v>0</v>
      </c>
      <c r="BO344" s="117">
        <f t="shared" ca="1" si="296"/>
        <v>28.155000000000001</v>
      </c>
      <c r="BP344" s="115">
        <f t="shared" ca="1" si="276"/>
        <v>6</v>
      </c>
      <c r="BQ344" s="115" t="b">
        <f>模拟模式!$K$10="2600·水"</f>
        <v>0</v>
      </c>
      <c r="BR344" s="117">
        <f t="shared" si="277"/>
        <v>0</v>
      </c>
      <c r="BS344" s="115">
        <f t="shared" si="278"/>
        <v>0</v>
      </c>
      <c r="BT344" s="115">
        <f t="shared" ca="1" si="279"/>
        <v>0</v>
      </c>
      <c r="BU344" s="115" t="b">
        <f ca="1">AND(模拟模式!$K$10="2300·雷",BT343=0,RAND()&lt;IF(C344="净世破魔击·月",5*0.05*2/3,IF(C344="净世破魔击·日",3*0.05*2/3,0.05*2*2/3)))</f>
        <v>0</v>
      </c>
      <c r="BV344" s="115">
        <f t="shared" ca="1" si="280"/>
        <v>0</v>
      </c>
      <c r="BW344" s="115">
        <f t="shared" ca="1" si="281"/>
        <v>79.447499999999266</v>
      </c>
      <c r="BX344" s="164" t="b">
        <f t="shared" ca="1" si="282"/>
        <v>0</v>
      </c>
      <c r="BY344" s="115">
        <f t="shared" ca="1" si="283"/>
        <v>0</v>
      </c>
      <c r="BZ344" s="115">
        <f>IF(OR(模拟模式!$P$16="10人团",模拟模式!$P$16="25人团"),IF(B344/30&gt;CA343,1,0),0)</f>
        <v>0</v>
      </c>
      <c r="CA344" s="115">
        <f t="shared" si="259"/>
        <v>0</v>
      </c>
      <c r="CB344" s="115">
        <f ca="1">IF(BZ344=1,IF(模拟模式!$P$16="10人团",15,0)+IF(模拟模式!$P$16="25人团",IF(RAND()&lt;0.6,15,0)),MAX(0,CB343-$F$4))</f>
        <v>0</v>
      </c>
      <c r="CC344" s="115" t="b">
        <f t="shared" ca="1" si="307"/>
        <v>0</v>
      </c>
      <c r="CD344" s="115">
        <f>IF(模拟模式!$Q$16="1个",IF(B344/40&gt;CE343,1,0),0)</f>
        <v>0</v>
      </c>
      <c r="CE344" s="115">
        <f t="shared" si="308"/>
        <v>0</v>
      </c>
      <c r="CF344" s="115">
        <f>IF(OR(CD344=1,模拟模式!$Q$16="2个"),20,MAX(0,CF343-$F$4))</f>
        <v>0</v>
      </c>
      <c r="CG344" s="115" t="b">
        <f t="shared" si="309"/>
        <v>0</v>
      </c>
      <c r="CH344" s="115">
        <f t="shared" ca="1" si="284"/>
        <v>11.550000000000011</v>
      </c>
      <c r="CI344" s="115" t="b">
        <f t="shared" ca="1" si="285"/>
        <v>0</v>
      </c>
      <c r="CJ344" s="119">
        <f t="shared" ca="1" si="286"/>
        <v>0</v>
      </c>
      <c r="CK344" s="115">
        <f t="shared" ca="1" si="287"/>
        <v>0</v>
      </c>
      <c r="CL344" s="115" t="b">
        <f ca="1">AND(模拟模式!$S$7="驱夷逐法",OR(AND(C344="净世破魔击·月",E343&gt;59),AND(C344="净世破魔击·日",F343&gt;59)))</f>
        <v>0</v>
      </c>
      <c r="CM344" s="115" t="b">
        <f ca="1">OR(CL344,AND(C344="净世破魔击·日",CL343,RAND()&lt;模拟模式!$U$23))</f>
        <v>0</v>
      </c>
      <c r="CN344" s="115" t="b">
        <f ca="1">IF(模拟模式!$M$7="辉耀红尘",AND(C344="净世破魔击·月",CL344,CV344=0,E343&lt;80),AND(C344="净世破魔击·月",CL344,E343&lt;100))</f>
        <v>0</v>
      </c>
      <c r="CO344" s="115" t="b">
        <f t="shared" ca="1" si="260"/>
        <v>0</v>
      </c>
      <c r="CP344" s="115" t="b">
        <f ca="1">AND(模拟模式!$O$7="用晦而明",OR(C344="净世破魔击·日",C344="净世破魔击·月",C344="驱夜断愁"),AB344)</f>
        <v>1</v>
      </c>
      <c r="CQ344" s="115" t="b">
        <f ca="1">OR(CP344,AND(CP343,RAND()&lt;模拟模式!$U$23))</f>
        <v>1</v>
      </c>
      <c r="CR344" s="115" t="b">
        <f ca="1">AND(模拟模式!$S$7="日月齐光",OR(C344="幽月轮1",C344="幽月轮2",C344="幽月轮3",CR343),NOT(OR(C344="赤日轮1",C344="赤日轮2",C344="赤日轮3")))</f>
        <v>0</v>
      </c>
      <c r="CS344" s="115" t="b">
        <f ca="1">AND(模拟模式!$S$7="日月齐光",OR(C344="赤日轮1",C344="赤日轮2",C344="赤日轮3",CS343),NOT(OR(C344="幽月轮1",C344="幽月轮2",C344="幽月轮3")))</f>
        <v>0</v>
      </c>
      <c r="CT344" s="115">
        <f t="shared" ca="1" si="288"/>
        <v>0</v>
      </c>
      <c r="CU344" s="115" t="b">
        <f ca="1">AND(模拟模式!$K$10="阴阳往极",CT343=0,RAND()&lt;IF(C344="净世破魔击·月",0.0275*7/3,IF(C344="净世破魔击·日",0.0275*3/3,0.0275*2/3)))</f>
        <v>0</v>
      </c>
      <c r="CV344" s="115">
        <f t="shared" ca="1" si="289"/>
        <v>0</v>
      </c>
      <c r="CW344" s="115">
        <f t="shared" ca="1" si="261"/>
        <v>0.46499999999999975</v>
      </c>
      <c r="CX344" s="115">
        <f t="shared" ca="1" si="262"/>
        <v>5.0774999999999997</v>
      </c>
      <c r="CY344" s="115">
        <f ca="1">MAX(IF($C344="驱夜断愁",IF(模拟模式!$R$7="万念俱寂",6,45),CY343-$F$4),0)</f>
        <v>6</v>
      </c>
      <c r="CZ344" s="115">
        <f t="shared" ca="1" si="263"/>
        <v>0</v>
      </c>
      <c r="DA344" s="115">
        <f ca="1">IF(模拟模式!$N$7="日月同辉",IF(DB343=2,0,MIN(6,IF(AND(OR(C344="赤日轮1",C344="赤日轮2",C344="赤日轮3",C344="幽月轮1",C344="幽月轮2",C344="幽月轮3"),AB344=1),DA343+1,DA343))),0)</f>
        <v>4</v>
      </c>
      <c r="DB344" s="115">
        <f t="shared" ca="1" si="264"/>
        <v>0</v>
      </c>
      <c r="DC344" s="115"/>
      <c r="DD344" s="115"/>
      <c r="DE344" s="115"/>
      <c r="DF344" s="115"/>
      <c r="DG344" s="115"/>
      <c r="DH344" s="115"/>
      <c r="DI344" s="115"/>
      <c r="DJ344" s="115"/>
      <c r="DK344" s="115"/>
      <c r="DL344" s="115"/>
      <c r="DM344" s="115"/>
    </row>
    <row r="345" spans="2:117" x14ac:dyDescent="0.2">
      <c r="B345" s="117">
        <f t="shared" si="265"/>
        <v>293.35500000000235</v>
      </c>
      <c r="C345" s="167" t="str">
        <f t="shared" ca="1" si="258"/>
        <v>烈日斩</v>
      </c>
      <c r="D345" s="115">
        <f ca="1">IF(C345="赤日轮1",1,IF(C345="赤日轮2",2,IF(C345="赤日轮3",3,IF(C345="幽月轮1",4,IF(C345="幽月轮2",5,IF(C345="幽月轮3",6,IF(C345="烈日斩",7,IF(C345="银月斩",8,IF(C345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345="净世破魔击·月",17,IF(C345="驱夜断愁",18,0)))))))))))</f>
        <v>7</v>
      </c>
      <c r="E345" s="115">
        <f ca="1">IF(AND(CU345,OR(C345="幽月轮1",C345="幽月轮2",C345="幽月轮3",C345="银月斩",C345="驱夜断愁",C345="净世破魔击·月")),100,MIN(IF(OR(CN345,BE345),0,IF(OR($C345="赤日轮1",$C345="赤日轮2",$C345="赤日轮3"),E344+20+IF(模拟模式!$I$7="日月凌天",4,0)+IF(CR344,20,0),IF($C345="烈日斩",E344+40,IF($C345="驱夜断愁",IF(模拟模式!$R$7="万念俱寂",E344+20,E344+60),IF($C345="净世破魔击·月",IF(OR(DB344&gt;0,CV344&gt;0),100,IF(模拟模式!$M$7="辉耀红尘",E344+20,E344)),IF($C345="净世破魔击·日",E344-100,E344)))))),100))</f>
        <v>80</v>
      </c>
      <c r="F345" s="115">
        <f ca="1">IF(AND(CU345,OR(C345="赤日轮1",C345="赤日轮2",C345="赤日轮3",C345="烈日斩",C345="净世破魔击·日")),100,MIN(IF(CO345,0,IF(OR($C345="幽月轮1",$C345="幽月轮2",$C345="幽月轮3"),F344+20+IF(模拟模式!$I$7="日月凌天",4,0)+IF(CS344,20,0),IF($C345="银月斩",F344+40+IF(模拟模式!$X$12=1,5,0),IF($C345="驱夜断愁",IF(模拟模式!$R$7="万念俱寂",F344+20,F344+60),IF($C345="净世破魔击·月",IF(模拟模式!$M$7="辉耀红尘",F344-80,F344-100),IF(AND(C345="净世破魔击·日",OR(DB344&gt;0,CV344&gt;0)),100,F344)))))),100))</f>
        <v>85</v>
      </c>
      <c r="G345" s="117">
        <f ca="1">('模拟-全程加成'!$E$3+'模拟-全程加成'!$E$4+'模拟-全程加成'!$E$5+('模拟-全程加成'!$C$6-'模拟-全程加成'!$C$3)*系数!$B$9+BS345*23)*(1+'模拟-全程加成'!$F$4+'模拟-全程加成'!$F$5+BJ345*10%+BM345*20%+BP345*4%+CG345*30%)+$F$7*系数!$B$12</f>
        <v>21493.829400000002</v>
      </c>
      <c r="H345" s="45">
        <f ca="1">'模拟-全程加成'!$H$3+'模拟-全程加成'!$H$4+'模拟-全程加成'!$H$5+('模拟-全程加成'!$G$4+'模拟-全程加成'!$G$5+('模拟-全程加成'!$C$6-'模拟-全程加成'!$C$3)*系数!$B$13)/系数!$B$3+LOOKUP(D345,'模拟-单技能数据'!$A$2:$A$19,'模拟-单技能数据'!$K$2:$K$19)+BG345*10%+IF(BV345&gt;0,378,0)</f>
        <v>0.56185145527300218</v>
      </c>
      <c r="I345" s="45">
        <f ca="1">'模拟-全程加成'!$J$3+'模拟-全程加成'!$J$4+'模拟-全程加成'!$J$5+('模拟-全程加成'!$I$4+'模拟-全程加成'!$I$5)/系数!$B$4+LOOKUP(D345,'模拟-单技能数据'!$A$2:$A$19,'模拟-单技能数据'!$L$2:$L$19)+BG345*10%</f>
        <v>2.2624828854998791</v>
      </c>
      <c r="J345" s="45">
        <f ca="1">(('模拟-全程加成'!$K$3+'模拟-全程加成'!$K$4+'模拟-全程加成'!$K$5+('模拟-全程加成'!$C$6-'模拟-全程加成'!$C$3)*系数!$B$10+IF(BV345&gt;0,882,0)+IF(BY345&gt;0,1831,0))*(1+'模拟-全程加成'!$L$4+'模拟-全程加成'!$L$5+CC345*20%))/系数!$B$5</f>
        <v>0.69723220422048726</v>
      </c>
      <c r="K345" s="119">
        <f ca="1">LOOKUP(D345,'模拟-单技能数据'!$A$2:$A$19,'模拟-单技能数据'!$J$2:$J$19)+IF(CM345,60%,0)+IF(DB344-DB345&gt;0,30%,0)+IF(OR(AND(OR(C345="赤日轮1",C345="赤日轮2",C345="赤日轮3"),CR345),AND(OR(C345="幽月轮1",C345="幽月轮2",C345="幽月轮3"),CS345)),35%,0)+CJ345</f>
        <v>0.24</v>
      </c>
      <c r="L345" s="119">
        <f ca="1">IF(AND(C345="烈日斩",模拟模式!$X$11=1),10%,0)+IF(AND(C345="驱夜断愁",AB345=1),30%,0)</f>
        <v>0.1</v>
      </c>
      <c r="M345" s="45">
        <f t="shared" ca="1" si="297"/>
        <v>0.56185145527300218</v>
      </c>
      <c r="N345" s="45">
        <f t="shared" ca="1" si="298"/>
        <v>0.38424854472699788</v>
      </c>
      <c r="O345" s="46">
        <f t="shared" ca="1" si="266"/>
        <v>2.6993138724373811E-4</v>
      </c>
      <c r="P345" s="46" t="str">
        <f t="shared" ca="1" si="267"/>
        <v>识</v>
      </c>
      <c r="Q345" s="45">
        <f t="shared" ca="1" si="268"/>
        <v>0.25</v>
      </c>
      <c r="R345" s="117">
        <f ca="1">模拟模式!$E$20*(1-IF(模拟模式!$J$19="有",0.15,0))*(1-IF(模拟模式!$K$19="有",0.3,0)-IF(CQ345,0.5,0))</f>
        <v>843.02999999999975</v>
      </c>
      <c r="S345" s="45">
        <f ca="1">R345/(R345+(185*模拟模式!$E$22-16800)*4.08224)</f>
        <v>8.389626085980037E-2</v>
      </c>
      <c r="T345" s="45" t="str">
        <f ca="1">LOOKUP(D345,'模拟-单技能数据'!$A$2:$A$19,'模拟-单技能数据'!$H$2:$H$19)</f>
        <v>阳</v>
      </c>
      <c r="U345" s="119">
        <f t="shared" ca="1" si="299"/>
        <v>0.2</v>
      </c>
      <c r="V345" s="47">
        <f ca="1">(1+L345)*(LOOKUP(D345,'模拟-单技能数据'!$A$2:$A$19,'模拟-单技能数据'!$D$2:$D$19)+G345*LOOKUP(D345,'模拟-单技能数据'!$A$2:$A$19,'模拟-单技能数据'!$F$2:$F$19))*(1+J345)*(1+K345)*(1-S345)*(1+U345)*Q345*LOOKUP(D345,'模拟-单技能数据'!$A$2:$A$19,'模拟-单技能数据'!$I$2:$I$20)</f>
        <v>12210.407963717831</v>
      </c>
      <c r="W345" s="47">
        <f ca="1">LOOKUP(D345,'模拟-单技能数据'!$A$2:$A$19,'模拟-单技能数据'!$G$2:$G$19)*$I$10</f>
        <v>361.51064354704795</v>
      </c>
      <c r="X345" s="47">
        <f t="shared" ca="1" si="269"/>
        <v>34718.524582246762</v>
      </c>
      <c r="Y345" s="47">
        <f t="shared" ca="1" si="300"/>
        <v>47290.443189511643</v>
      </c>
      <c r="Z345" s="49">
        <f t="shared" ca="1" si="301"/>
        <v>33339830.624751702</v>
      </c>
      <c r="AA345" s="97">
        <f t="shared" ca="1" si="302"/>
        <v>113650.11888241698</v>
      </c>
      <c r="AB345" s="115">
        <f ca="1">IF(OR(C345="赤日轮1",C345="赤日轮2",C345="赤日轮3"),IF(RAND()&lt;模拟模式!$Y$17,1,0),IF(OR(C345="幽月轮1",C345="幽月轮2",C345="幽月轮3"),IF(RAND()&lt;模拟模式!$Y$18,1,0),IF(C345="烈日斩",IF(RAND()&lt;模拟模式!$Y$19,1,0),IF(C345="银月斩",IF(RAND()&lt;模拟模式!$Y$20,1,0),IF(C345="驱夜断愁",IF(RAND()&lt;模拟模式!$Y$21,1,0),IF(C345="净世破魔击·日",IF(RAND()&lt;模拟模式!$Y$22,1,0),IF(C345="净世破魔击·月",IF(RAND()&lt;模拟模式!$Y$23,1,0),0)))))))</f>
        <v>1</v>
      </c>
      <c r="AC345" s="115" t="b">
        <f t="shared" ca="1" si="290"/>
        <v>0</v>
      </c>
      <c r="AD345" s="115" t="b">
        <f t="shared" ca="1" si="310"/>
        <v>1</v>
      </c>
      <c r="AE345" s="115">
        <f t="shared" ca="1" si="311"/>
        <v>4</v>
      </c>
      <c r="AF345" s="47">
        <f ca="1">IF(AC345,('模拟-单技能数据'!$D$20+G345*'模拟-单技能数据'!$F$20)*(1+J345)*(1+'模拟-单技能数据'!$J$20)*(1+U345),0)</f>
        <v>0</v>
      </c>
      <c r="AG345" s="61">
        <f t="shared" ca="1" si="303"/>
        <v>0.64185145527300214</v>
      </c>
      <c r="AH345" s="61">
        <f t="shared" ca="1" si="304"/>
        <v>2.2624828854998791</v>
      </c>
      <c r="AI345" s="62">
        <f t="shared" ca="1" si="270"/>
        <v>0.36702952137649114</v>
      </c>
      <c r="AJ345" s="47">
        <f ca="1">IF(AD345,IF(AI345&lt;$F$10,0,IF(AI345&lt;$F$10+$F$11,0.25,IF(AI345&lt;$F$10+$F$11+AG345,AH345,1)))*IF(AF345&gt;0,AF345,IF(AF344&gt;0,AF344,IF(AF343&gt;0,AF343,IF(AF342&gt;0,AF342,IF(AF341&gt;0,AF341,IF(AF340&gt;0,AF340,IF(AF339&gt;0,AF339,IF(AF338&gt;0,AF338,IF(AF337&gt;0,AF337,IF(AF335&gt;0,AF335,IF(AF334&gt;0,AF334,IF(AF333&gt;0,AF333,0)))))))))))),0)*(1-$S345)*'模拟-单技能数据'!$I$20</f>
        <v>9616.6571145767884</v>
      </c>
      <c r="AK345" s="115" t="b">
        <f t="shared" ca="1" si="291"/>
        <v>0</v>
      </c>
      <c r="AL345" s="115" t="b">
        <f t="shared" ca="1" si="312"/>
        <v>1</v>
      </c>
      <c r="AM345" s="115">
        <f t="shared" ca="1" si="313"/>
        <v>3</v>
      </c>
      <c r="AN345" s="47">
        <f ca="1">IF(AK345,('模拟-单技能数据'!$D$21+G345*'模拟-单技能数据'!$F$21)*(1+J345)*(1+'模拟-单技能数据'!$J$21)*(1+U345),0)</f>
        <v>0</v>
      </c>
      <c r="AO345" s="61">
        <f ca="1">IF(AN345&gt;0,M345-'模拟-单技能数据'!$K$10,AO344)</f>
        <v>0.42185145527300216</v>
      </c>
      <c r="AP345" s="61">
        <f ca="1">IF(AN345&gt;0,I345-'模拟-单技能数据'!$L$10,AP344)</f>
        <v>2.162482885499879</v>
      </c>
      <c r="AQ345" s="63">
        <f t="shared" ca="1" si="271"/>
        <v>0.44100336232358406</v>
      </c>
      <c r="AR345" s="64">
        <f ca="1">IF(AL345,IF(AQ345&lt;$F$10,0,IF(AQ345&lt;$F$10+$F$11,0.25,IF(AQ345&lt;$F$10+$F$11+AO345,AP345,1)))*IF(AN345&gt;0,AN345,IF(AN344&gt;0,AN344,IF(AN343&gt;0,AN343,IF(AN342&gt;0,AN342,IF(AN341&gt;0,AN341,IF(AN340&gt;0,AN340,IF(AN339&gt;0,AN339,IF(AN338&gt;0,AN338,IF(AN337&gt;0,AN337,IF(AN335&gt;0,AN335,IF(AN334&gt;0,AN334,IF(AN333&gt;0,AN333,0)))))))))))),0)*(1-$S345)*'模拟-单技能数据'!$I$21</f>
        <v>25101.867467669974</v>
      </c>
      <c r="AS345" s="61">
        <f ca="1">IF(OR(C345="净世破魔击·日",C345="净世破魔击·月"),M345-'模拟-单技能数据'!$K$10,0)</f>
        <v>0</v>
      </c>
      <c r="AT345" s="61">
        <f ca="1">IF(OR(C345="净世破魔击·日",C345="净世破魔击·月"),I345-'模拟-单技能数据'!$L$10,0)</f>
        <v>0</v>
      </c>
      <c r="AU345" s="62">
        <f t="shared" ca="1" si="272"/>
        <v>0.47065029736942154</v>
      </c>
      <c r="AV345" s="64">
        <f ca="1">IF(AS345&gt;0,('模拟-单技能数据'!$D$22+G345*'模拟-单技能数据'!$F$22)*(1+J345)*(1-S345)*IF(AU345&lt;$F$10,0,IF(AU345&lt;$F$10+$F$11,0.25,IF(AU345&lt;$F$10+$F$11+AS345,AT345,1)))*(1+U345),0)*'模拟-单技能数据'!$I$22</f>
        <v>0</v>
      </c>
      <c r="AW345" s="108">
        <f t="shared" ca="1" si="273"/>
        <v>14.465000000000003</v>
      </c>
      <c r="AX345" s="108" t="b">
        <f ca="1">AND(模拟模式!$P$10="有",AW344=0,RAND()&lt;IF(C345="净世破魔击·月",0.1*8/3,IF(C345="净世破魔击·日",0.1*4/3,0.1*2/3)))</f>
        <v>0</v>
      </c>
      <c r="AY345" s="47">
        <f ca="1">IF(AX345,(18+G345*0.722)*(1+J345)*(1-S345)*(1+$I$4)*IF(P345="会",'模拟-全程加成'!$J$3+'模拟-全程加成'!$J$4+'模拟-全程加成'!$J$5+('模拟-全程加成'!$I$4+'模拟-全程加成'!$I$5)/系数!$B$4+BG345*10%,IF(P345="命",1,IF(P345="识",0.25,0))),0)</f>
        <v>0</v>
      </c>
      <c r="AZ345" s="108">
        <f t="shared" si="274"/>
        <v>10.775000000000006</v>
      </c>
      <c r="BA345" s="108" t="b">
        <f>AND(模拟模式!$Q$10="有",AZ344=0)</f>
        <v>0</v>
      </c>
      <c r="BB345" s="140">
        <f>IF(BA345,(0+G345*0.287)*(1+J345)*(1-S345)*(1+$I$4)*IF(P345="会",'模拟-全程加成'!$J$3+'模拟-全程加成'!$J$4+'模拟-全程加成'!$J$5+('模拟-全程加成'!$I$4+'模拟-全程加成'!$I$5)/系数!$B$4+BG345*10%,IF(P345="命",1,IF(P345="识",0.25,0))),0)</f>
        <v>0</v>
      </c>
      <c r="BC345" s="115" t="b">
        <f ca="1">AND(模拟模式!$R$7="伏明众生",E345=60,F345=20,DA345&lt;5,CZ344&lt;$F$4)</f>
        <v>0</v>
      </c>
      <c r="BD345" s="115">
        <f t="shared" ca="1" si="292"/>
        <v>0</v>
      </c>
      <c r="BE345" s="115" t="b">
        <f t="shared" ca="1" si="293"/>
        <v>0</v>
      </c>
      <c r="BF345" s="47">
        <f ca="1">IF(BC345,4*('模拟-单技能数据'!$D$24+G345*'模拟-单技能数据'!$F$24)*(1+J345)*(1+'模拟-单技能数据'!$J$24)*(1-S345)*(1+$I$3)*(('模拟-全程加成'!$J$3+'模拟-全程加成'!$J$4+'模拟-全程加成'!$J$5+('模拟-全程加成'!$I$4+'模拟-全程加成'!$I$5)/系数!$B$4+BG345*10%)*('模拟-全程加成'!$J$3+'模拟-全程加成'!$J$4+'模拟-全程加成'!$J$5+('模拟-全程加成'!$I$4+'模拟-全程加成'!$I$5)/系数!$B$4+BG345*10%)+(1-('模拟-全程加成'!$J$3+'模拟-全程加成'!$J$4+'模拟-全程加成'!$J$5+('模拟-全程加成'!$I$4+'模拟-全程加成'!$I$5)/系数!$B$4+BG345*10%)-$F$10-$F$11)+F331*0.25),0)*'模拟-单技能数据'!$I$24</f>
        <v>0</v>
      </c>
      <c r="BG345" s="115" t="b">
        <f ca="1">OR(AND(OR(C345="烈日斩",C345="银月斩"),模拟模式!$I$7="净身明礼"),AND(C345="净世破魔击·日",模拟模式!$J$7="洞若观火"),AND(C346="净世破魔击·月",模拟模式!$J$7="洞若观火"),AB345=1)</f>
        <v>1</v>
      </c>
      <c r="BH345" s="115" t="b">
        <f t="shared" ca="1" si="275"/>
        <v>0</v>
      </c>
      <c r="BI345" s="115">
        <f t="shared" ca="1" si="294"/>
        <v>3.2324999999999995</v>
      </c>
      <c r="BJ345" s="115" t="b">
        <f t="shared" ca="1" si="305"/>
        <v>1</v>
      </c>
      <c r="BK345" s="115" t="b">
        <f ca="1">AND(C345="驱夜断愁",模拟模式!$P$7="天地诛戮")</f>
        <v>0</v>
      </c>
      <c r="BL345" s="57">
        <f t="shared" ca="1" si="295"/>
        <v>19.077500000000001</v>
      </c>
      <c r="BM345" s="115" t="b">
        <f t="shared" ca="1" si="306"/>
        <v>1</v>
      </c>
      <c r="BN345" s="115" t="b">
        <f ca="1">AND(OR(C345="赤日轮1",C345="赤日轮2",C345="赤日轮3",C345="幽月轮1",C345="幽月轮2",C345="幽月轮3"),AB345=1,模拟模式!$L$7="明光恒照")</f>
        <v>0</v>
      </c>
      <c r="BO345" s="117">
        <f t="shared" ca="1" si="296"/>
        <v>27.232500000000002</v>
      </c>
      <c r="BP345" s="115">
        <f t="shared" ca="1" si="276"/>
        <v>6</v>
      </c>
      <c r="BQ345" s="115" t="b">
        <f>模拟模式!$K$10="2600·水"</f>
        <v>0</v>
      </c>
      <c r="BR345" s="117">
        <f t="shared" si="277"/>
        <v>0</v>
      </c>
      <c r="BS345" s="115">
        <f t="shared" si="278"/>
        <v>0</v>
      </c>
      <c r="BT345" s="115">
        <f t="shared" ca="1" si="279"/>
        <v>0</v>
      </c>
      <c r="BU345" s="115" t="b">
        <f ca="1">AND(模拟模式!$K$10="2300·雷",BT344=0,RAND()&lt;IF(C345="净世破魔击·月",5*0.05*2/3,IF(C345="净世破魔击·日",3*0.05*2/3,0.05*2*2/3)))</f>
        <v>0</v>
      </c>
      <c r="BV345" s="115">
        <f t="shared" ca="1" si="280"/>
        <v>0</v>
      </c>
      <c r="BW345" s="115">
        <f t="shared" ca="1" si="281"/>
        <v>78.524999999999267</v>
      </c>
      <c r="BX345" s="164" t="b">
        <f t="shared" ca="1" si="282"/>
        <v>0</v>
      </c>
      <c r="BY345" s="115">
        <f t="shared" ca="1" si="283"/>
        <v>0</v>
      </c>
      <c r="BZ345" s="115">
        <f>IF(OR(模拟模式!$P$16="10人团",模拟模式!$P$16="25人团"),IF(B345/30&gt;CA344,1,0),0)</f>
        <v>0</v>
      </c>
      <c r="CA345" s="115">
        <f t="shared" si="259"/>
        <v>0</v>
      </c>
      <c r="CB345" s="115">
        <f ca="1">IF(BZ345=1,IF(模拟模式!$P$16="10人团",15,0)+IF(模拟模式!$P$16="25人团",IF(RAND()&lt;0.6,15,0)),MAX(0,CB344-$F$4))</f>
        <v>0</v>
      </c>
      <c r="CC345" s="115" t="b">
        <f t="shared" ca="1" si="307"/>
        <v>0</v>
      </c>
      <c r="CD345" s="115">
        <f>IF(模拟模式!$Q$16="1个",IF(B345/40&gt;CE344,1,0),0)</f>
        <v>0</v>
      </c>
      <c r="CE345" s="115">
        <f t="shared" si="308"/>
        <v>0</v>
      </c>
      <c r="CF345" s="115">
        <f>IF(OR(CD345=1,模拟模式!$Q$16="2个"),20,MAX(0,CF344-$F$4))</f>
        <v>0</v>
      </c>
      <c r="CG345" s="115" t="b">
        <f t="shared" si="309"/>
        <v>0</v>
      </c>
      <c r="CH345" s="115">
        <f t="shared" ca="1" si="284"/>
        <v>10.627500000000012</v>
      </c>
      <c r="CI345" s="115" t="b">
        <f t="shared" ca="1" si="285"/>
        <v>0</v>
      </c>
      <c r="CJ345" s="119">
        <f t="shared" ca="1" si="286"/>
        <v>0</v>
      </c>
      <c r="CK345" s="115">
        <f t="shared" ca="1" si="287"/>
        <v>0</v>
      </c>
      <c r="CL345" s="115" t="b">
        <f ca="1">AND(模拟模式!$S$7="驱夷逐法",OR(AND(C345="净世破魔击·月",E344&gt;59),AND(C345="净世破魔击·日",F344&gt;59)))</f>
        <v>0</v>
      </c>
      <c r="CM345" s="115" t="b">
        <f ca="1">OR(CL345,AND(C345="净世破魔击·日",CL344,RAND()&lt;模拟模式!$U$23))</f>
        <v>0</v>
      </c>
      <c r="CN345" s="115" t="b">
        <f ca="1">IF(模拟模式!$M$7="辉耀红尘",AND(C345="净世破魔击·月",CL345,CV345=0,E344&lt;80),AND(C345="净世破魔击·月",CL345,E344&lt;100))</f>
        <v>0</v>
      </c>
      <c r="CO345" s="115" t="b">
        <f t="shared" ca="1" si="260"/>
        <v>0</v>
      </c>
      <c r="CP345" s="115" t="b">
        <f ca="1">AND(模拟模式!$O$7="用晦而明",OR(C345="净世破魔击·日",C345="净世破魔击·月",C345="驱夜断愁"),AB345)</f>
        <v>0</v>
      </c>
      <c r="CQ345" s="115" t="b">
        <f ca="1">OR(CP345,AND(CP344,RAND()&lt;模拟模式!$U$23))</f>
        <v>1</v>
      </c>
      <c r="CR345" s="115" t="b">
        <f ca="1">AND(模拟模式!$S$7="日月齐光",OR(C345="幽月轮1",C345="幽月轮2",C345="幽月轮3",CR344),NOT(OR(C345="赤日轮1",C345="赤日轮2",C345="赤日轮3")))</f>
        <v>0</v>
      </c>
      <c r="CS345" s="115" t="b">
        <f ca="1">AND(模拟模式!$S$7="日月齐光",OR(C345="赤日轮1",C345="赤日轮2",C345="赤日轮3",CS344),NOT(OR(C345="幽月轮1",C345="幽月轮2",C345="幽月轮3")))</f>
        <v>0</v>
      </c>
      <c r="CT345" s="115">
        <f t="shared" ca="1" si="288"/>
        <v>0</v>
      </c>
      <c r="CU345" s="115" t="b">
        <f ca="1">AND(模拟模式!$K$10="阴阳往极",CT344=0,RAND()&lt;IF(C345="净世破魔击·月",0.0275*7/3,IF(C345="净世破魔击·日",0.0275*3/3,0.0275*2/3)))</f>
        <v>0</v>
      </c>
      <c r="CV345" s="115">
        <f t="shared" ca="1" si="289"/>
        <v>0</v>
      </c>
      <c r="CW345" s="115">
        <f t="shared" ca="1" si="261"/>
        <v>6</v>
      </c>
      <c r="CX345" s="115">
        <f t="shared" ca="1" si="262"/>
        <v>4.1549999999999994</v>
      </c>
      <c r="CY345" s="115">
        <f ca="1">MAX(IF($C345="驱夜断愁",IF(模拟模式!$R$7="万念俱寂",6,45),CY344-$F$4),0)</f>
        <v>5.0774999999999997</v>
      </c>
      <c r="CZ345" s="115">
        <f t="shared" ca="1" si="263"/>
        <v>0</v>
      </c>
      <c r="DA345" s="115">
        <f ca="1">IF(模拟模式!$N$7="日月同辉",IF(DB344=2,0,MIN(6,IF(AND(OR(C345="赤日轮1",C345="赤日轮2",C345="赤日轮3",C345="幽月轮1",C345="幽月轮2",C345="幽月轮3"),AB345=1),DA344+1,DA344))),0)</f>
        <v>4</v>
      </c>
      <c r="DB345" s="115">
        <f t="shared" ca="1" si="264"/>
        <v>0</v>
      </c>
      <c r="DC345" s="115"/>
      <c r="DD345" s="115"/>
      <c r="DE345" s="115"/>
      <c r="DF345" s="115"/>
      <c r="DG345" s="115"/>
      <c r="DH345" s="115"/>
      <c r="DI345" s="115"/>
      <c r="DJ345" s="115"/>
      <c r="DK345" s="115"/>
      <c r="DL345" s="115"/>
      <c r="DM345" s="115"/>
    </row>
    <row r="346" spans="2:117" x14ac:dyDescent="0.2">
      <c r="B346" s="117">
        <f t="shared" si="265"/>
        <v>294.27750000000236</v>
      </c>
      <c r="C346" s="167" t="str">
        <f t="shared" ca="1" si="258"/>
        <v>幽月轮1</v>
      </c>
      <c r="D346" s="115">
        <f ca="1">IF(C346="赤日轮1",1,IF(C346="赤日轮2",2,IF(C346="赤日轮3",3,IF(C346="幽月轮1",4,IF(C346="幽月轮2",5,IF(C346="幽月轮3",6,IF(C346="烈日斩",7,IF(C346="银月斩",8,IF(C346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346="净世破魔击·月",17,IF(C346="驱夜断愁",18,0)))))))))))</f>
        <v>4</v>
      </c>
      <c r="E346" s="115">
        <f ca="1">IF(AND(CU346,OR(C346="幽月轮1",C346="幽月轮2",C346="幽月轮3",C346="银月斩",C346="驱夜断愁",C346="净世破魔击·月")),100,MIN(IF(OR(CN346,BE346),0,IF(OR($C346="赤日轮1",$C346="赤日轮2",$C346="赤日轮3"),E345+20+IF(模拟模式!$I$7="日月凌天",4,0)+IF(CR345,20,0),IF($C346="烈日斩",E345+40,IF($C346="驱夜断愁",IF(模拟模式!$R$7="万念俱寂",E345+20,E345+60),IF($C346="净世破魔击·月",IF(OR(DB345&gt;0,CV345&gt;0),100,IF(模拟模式!$M$7="辉耀红尘",E345+20,E345)),IF($C346="净世破魔击·日",E345-100,E345)))))),100))</f>
        <v>80</v>
      </c>
      <c r="F346" s="115">
        <f ca="1">IF(AND(CU346,OR(C346="赤日轮1",C346="赤日轮2",C346="赤日轮3",C346="烈日斩",C346="净世破魔击·日")),100,MIN(IF(CO346,0,IF(OR($C346="幽月轮1",$C346="幽月轮2",$C346="幽月轮3"),F345+20+IF(模拟模式!$I$7="日月凌天",4,0)+IF(CS345,20,0),IF($C346="银月斩",F345+40+IF(模拟模式!$X$12=1,5,0),IF($C346="驱夜断愁",IF(模拟模式!$R$7="万念俱寂",F345+20,F345+60),IF($C346="净世破魔击·月",IF(模拟模式!$M$7="辉耀红尘",F345-80,F345-100),IF(AND(C346="净世破魔击·日",OR(DB345&gt;0,CV345&gt;0)),100,F345)))))),100))</f>
        <v>100</v>
      </c>
      <c r="G346" s="117">
        <f ca="1">('模拟-全程加成'!$E$3+'模拟-全程加成'!$E$4+'模拟-全程加成'!$E$5+('模拟-全程加成'!$C$6-'模拟-全程加成'!$C$3)*系数!$B$9+BS346*23)*(1+'模拟-全程加成'!$F$4+'模拟-全程加成'!$F$5+BJ346*10%+BM346*20%+BP346*4%+CG346*30%)+$F$7*系数!$B$12</f>
        <v>21493.829400000002</v>
      </c>
      <c r="H346" s="45">
        <f ca="1">'模拟-全程加成'!$H$3+'模拟-全程加成'!$H$4+'模拟-全程加成'!$H$5+('模拟-全程加成'!$G$4+'模拟-全程加成'!$G$5+('模拟-全程加成'!$C$6-'模拟-全程加成'!$C$3)*系数!$B$13)/系数!$B$3+LOOKUP(D346,'模拟-单技能数据'!$A$2:$A$19,'模拟-单技能数据'!$K$2:$K$19)+BG346*10%+IF(BV346&gt;0,378,0)</f>
        <v>0.51185145527300213</v>
      </c>
      <c r="I346" s="45">
        <f ca="1">'模拟-全程加成'!$J$3+'模拟-全程加成'!$J$4+'模拟-全程加成'!$J$5+('模拟-全程加成'!$I$4+'模拟-全程加成'!$I$5)/系数!$B$4+LOOKUP(D346,'模拟-单技能数据'!$A$2:$A$19,'模拟-单技能数据'!$L$2:$L$19)+BG346*10%</f>
        <v>2.162482885499879</v>
      </c>
      <c r="J346" s="45">
        <f ca="1">(('模拟-全程加成'!$K$3+'模拟-全程加成'!$K$4+'模拟-全程加成'!$K$5+('模拟-全程加成'!$C$6-'模拟-全程加成'!$C$3)*系数!$B$10+IF(BV346&gt;0,882,0)+IF(BY346&gt;0,1831,0))*(1+'模拟-全程加成'!$L$4+'模拟-全程加成'!$L$5+CC346*20%))/系数!$B$5</f>
        <v>0.69723220422048726</v>
      </c>
      <c r="K346" s="119">
        <f ca="1">LOOKUP(D346,'模拟-单技能数据'!$A$2:$A$19,'模拟-单技能数据'!$J$2:$J$19)+IF(CM346,60%,0)+IF(DB345-DB346&gt;0,30%,0)+IF(OR(AND(OR(C346="赤日轮1",C346="赤日轮2",C346="赤日轮3"),CR346),AND(OR(C346="幽月轮1",C346="幽月轮2",C346="幽月轮3"),CS346)),35%,0)+CJ346</f>
        <v>7.0000000000000007E-2</v>
      </c>
      <c r="L346" s="119">
        <f ca="1">IF(AND(C346="烈日斩",模拟模式!$X$11=1),10%,0)+IF(AND(C346="驱夜断愁",AB346=1),30%,0)</f>
        <v>0</v>
      </c>
      <c r="M346" s="45">
        <f t="shared" ca="1" si="297"/>
        <v>0.51185145527300213</v>
      </c>
      <c r="N346" s="45">
        <f t="shared" ca="1" si="298"/>
        <v>0.43424854472699792</v>
      </c>
      <c r="O346" s="46">
        <f t="shared" ca="1" si="266"/>
        <v>1.7324066822956508E-2</v>
      </c>
      <c r="P346" s="46" t="str">
        <f t="shared" ca="1" si="267"/>
        <v>识</v>
      </c>
      <c r="Q346" s="45">
        <f t="shared" ca="1" si="268"/>
        <v>0.25</v>
      </c>
      <c r="R346" s="117">
        <f ca="1">模拟模式!$E$20*(1-IF(模拟模式!$J$19="有",0.15,0))*(1-IF(模拟模式!$K$19="有",0.3,0)-IF(CQ346,0.5,0))</f>
        <v>2950.6049999999996</v>
      </c>
      <c r="S346" s="45">
        <f ca="1">R346/(R346+(185*模拟模式!$E$22-16800)*4.08224)</f>
        <v>0.24272716014590323</v>
      </c>
      <c r="T346" s="45" t="str">
        <f ca="1">LOOKUP(D346,'模拟-单技能数据'!$A$2:$A$19,'模拟-单技能数据'!$H$2:$H$19)</f>
        <v>阴</v>
      </c>
      <c r="U346" s="119">
        <f t="shared" ca="1" si="299"/>
        <v>0.08</v>
      </c>
      <c r="V346" s="47">
        <f ca="1">(1+L346)*(LOOKUP(D346,'模拟-单技能数据'!$A$2:$A$19,'模拟-单技能数据'!$D$2:$D$19)+G346*LOOKUP(D346,'模拟-单技能数据'!$A$2:$A$19,'模拟-单技能数据'!$F$2:$F$19))*(1+J346)*(1+K346)*(1-S346)*(1+U346)*Q346*LOOKUP(D346,'模拟-单技能数据'!$A$2:$A$19,'模拟-单技能数据'!$I$2:$I$20)</f>
        <v>4234.7967582548099</v>
      </c>
      <c r="W346" s="47">
        <f ca="1">LOOKUP(D346,'模拟-单技能数据'!$A$2:$A$19,'模拟-单技能数据'!$G$2:$G$19)*$I$10</f>
        <v>361.51064354704795</v>
      </c>
      <c r="X346" s="47">
        <f t="shared" ca="1" si="269"/>
        <v>0</v>
      </c>
      <c r="Y346" s="47">
        <f t="shared" ca="1" si="300"/>
        <v>4596.3074018018578</v>
      </c>
      <c r="Z346" s="49">
        <f t="shared" ca="1" si="301"/>
        <v>33344426.932153504</v>
      </c>
      <c r="AA346" s="97">
        <f t="shared" ca="1" si="302"/>
        <v>113309.46787353174</v>
      </c>
      <c r="AB346" s="115">
        <f ca="1">IF(OR(C346="赤日轮1",C346="赤日轮2",C346="赤日轮3"),IF(RAND()&lt;模拟模式!$Y$17,1,0),IF(OR(C346="幽月轮1",C346="幽月轮2",C346="幽月轮3"),IF(RAND()&lt;模拟模式!$Y$18,1,0),IF(C346="烈日斩",IF(RAND()&lt;模拟模式!$Y$19,1,0),IF(C346="银月斩",IF(RAND()&lt;模拟模式!$Y$20,1,0),IF(C346="驱夜断愁",IF(RAND()&lt;模拟模式!$Y$21,1,0),IF(C346="净世破魔击·日",IF(RAND()&lt;模拟模式!$Y$22,1,0),IF(C346="净世破魔击·月",IF(RAND()&lt;模拟模式!$Y$23,1,0),0)))))))</f>
        <v>1</v>
      </c>
      <c r="AC346" s="115" t="b">
        <f t="shared" ca="1" si="290"/>
        <v>0</v>
      </c>
      <c r="AD346" s="115" t="b">
        <f t="shared" ca="1" si="310"/>
        <v>0</v>
      </c>
      <c r="AE346" s="115">
        <f t="shared" ca="1" si="311"/>
        <v>4</v>
      </c>
      <c r="AF346" s="47">
        <f ca="1">IF(AC346,('模拟-单技能数据'!$D$20+G346*'模拟-单技能数据'!$F$20)*(1+J346)*(1+'模拟-单技能数据'!$J$20)*(1+U346),0)</f>
        <v>0</v>
      </c>
      <c r="AG346" s="61">
        <f t="shared" ca="1" si="303"/>
        <v>0.64185145527300214</v>
      </c>
      <c r="AH346" s="61">
        <f t="shared" ca="1" si="304"/>
        <v>2.2624828854998791</v>
      </c>
      <c r="AI346" s="62">
        <f t="shared" ca="1" si="270"/>
        <v>0.84853088970775026</v>
      </c>
      <c r="AJ346" s="47">
        <f ca="1">IF(AD346,IF(AI346&lt;$F$10,0,IF(AI346&lt;$F$10+$F$11,0.25,IF(AI346&lt;$F$10+$F$11+AG346,AH346,1)))*IF(AF346&gt;0,AF346,IF(AF345&gt;0,AF345,IF(AF344&gt;0,AF344,IF(AF343&gt;0,AF343,IF(AF342&gt;0,AF342,IF(AF341&gt;0,AF341,IF(AF340&gt;0,AF340,IF(AF339&gt;0,AF339,IF(AF338&gt;0,AF338,IF(AF336&gt;0,AF336,IF(AF335&gt;0,AF335,IF(AF334&gt;0,AF334,0)))))))))))),0)*(1-$S346)*'模拟-单技能数据'!$I$20</f>
        <v>0</v>
      </c>
      <c r="AK346" s="115" t="b">
        <f t="shared" ca="1" si="291"/>
        <v>0</v>
      </c>
      <c r="AL346" s="115" t="b">
        <f t="shared" ca="1" si="312"/>
        <v>0</v>
      </c>
      <c r="AM346" s="115">
        <f t="shared" ca="1" si="313"/>
        <v>3</v>
      </c>
      <c r="AN346" s="47">
        <f ca="1">IF(AK346,('模拟-单技能数据'!$D$21+G346*'模拟-单技能数据'!$F$21)*(1+J346)*(1+'模拟-单技能数据'!$J$21)*(1+U346),0)</f>
        <v>0</v>
      </c>
      <c r="AO346" s="61">
        <f ca="1">IF(AN346&gt;0,M346-'模拟-单技能数据'!$K$10,AO345)</f>
        <v>0.42185145527300216</v>
      </c>
      <c r="AP346" s="61">
        <f ca="1">IF(AN346&gt;0,I346-'模拟-单技能数据'!$L$10,AP345)</f>
        <v>2.162482885499879</v>
      </c>
      <c r="AQ346" s="63">
        <f t="shared" ca="1" si="271"/>
        <v>0.25478201784010757</v>
      </c>
      <c r="AR346" s="64">
        <f ca="1">IF(AL346,IF(AQ346&lt;$F$10,0,IF(AQ346&lt;$F$10+$F$11,0.25,IF(AQ346&lt;$F$10+$F$11+AO346,AP346,1)))*IF(AN346&gt;0,AN346,IF(AN345&gt;0,AN345,IF(AN344&gt;0,AN344,IF(AN343&gt;0,AN343,IF(AN342&gt;0,AN342,IF(AN341&gt;0,AN341,IF(AN340&gt;0,AN340,IF(AN339&gt;0,AN339,IF(AN338&gt;0,AN338,IF(AN336&gt;0,AN336,IF(AN335&gt;0,AN335,IF(AN334&gt;0,AN334,0)))))))))))),0)*(1-$S346)*'模拟-单技能数据'!$I$21</f>
        <v>0</v>
      </c>
      <c r="AS346" s="61">
        <f ca="1">IF(OR(C346="净世破魔击·日",C346="净世破魔击·月"),M346-'模拟-单技能数据'!$K$10,0)</f>
        <v>0</v>
      </c>
      <c r="AT346" s="61">
        <f ca="1">IF(OR(C346="净世破魔击·日",C346="净世破魔击·月"),I346-'模拟-单技能数据'!$L$10,0)</f>
        <v>0</v>
      </c>
      <c r="AU346" s="62">
        <f t="shared" ca="1" si="272"/>
        <v>0.13002793363355092</v>
      </c>
      <c r="AV346" s="64">
        <f ca="1">IF(AS346&gt;0,('模拟-单技能数据'!$D$22+G346*'模拟-单技能数据'!$F$22)*(1+J346)*(1-S346)*IF(AU346&lt;$F$10,0,IF(AU346&lt;$F$10+$F$11,0.25,IF(AU346&lt;$F$10+$F$11+AS346,AT346,1)))*(1+U346),0)*'模拟-单技能数据'!$I$22</f>
        <v>0</v>
      </c>
      <c r="AW346" s="108">
        <f t="shared" ca="1" si="273"/>
        <v>13.542500000000004</v>
      </c>
      <c r="AX346" s="108" t="b">
        <f ca="1">AND(模拟模式!$P$10="有",AW345=0,RAND()&lt;IF(C346="净世破魔击·月",0.1*8/3,IF(C346="净世破魔击·日",0.1*4/3,0.1*2/3)))</f>
        <v>0</v>
      </c>
      <c r="AY346" s="47">
        <f ca="1">IF(AX346,(18+G346*0.722)*(1+J346)*(1-S346)*(1+$I$4)*IF(P346="会",'模拟-全程加成'!$J$3+'模拟-全程加成'!$J$4+'模拟-全程加成'!$J$5+('模拟-全程加成'!$I$4+'模拟-全程加成'!$I$5)/系数!$B$4+BG346*10%,IF(P346="命",1,IF(P346="识",0.25,0))),0)</f>
        <v>0</v>
      </c>
      <c r="AZ346" s="108">
        <f t="shared" si="274"/>
        <v>9.8525000000000063</v>
      </c>
      <c r="BA346" s="108" t="b">
        <f>AND(模拟模式!$Q$10="有",AZ345=0)</f>
        <v>0</v>
      </c>
      <c r="BB346" s="140">
        <f>IF(BA346,(0+G346*0.287)*(1+J346)*(1-S346)*(1+$I$4)*IF(P346="会",'模拟-全程加成'!$J$3+'模拟-全程加成'!$J$4+'模拟-全程加成'!$J$5+('模拟-全程加成'!$I$4+'模拟-全程加成'!$I$5)/系数!$B$4+BG346*10%,IF(P346="命",1,IF(P346="识",0.25,0))),0)</f>
        <v>0</v>
      </c>
      <c r="BC346" s="115" t="b">
        <f ca="1">AND(模拟模式!$R$7="伏明众生",E346=60,F346=20,DA346&lt;5,CZ345&lt;$F$4)</f>
        <v>0</v>
      </c>
      <c r="BD346" s="115">
        <f t="shared" ca="1" si="292"/>
        <v>0</v>
      </c>
      <c r="BE346" s="115" t="b">
        <f t="shared" ca="1" si="293"/>
        <v>0</v>
      </c>
      <c r="BF346" s="47">
        <f ca="1">IF(BC346,4*('模拟-单技能数据'!$D$24+G346*'模拟-单技能数据'!$F$24)*(1+J346)*(1+'模拟-单技能数据'!$J$24)*(1-S346)*(1+$I$3)*(('模拟-全程加成'!$J$3+'模拟-全程加成'!$J$4+'模拟-全程加成'!$J$5+('模拟-全程加成'!$I$4+'模拟-全程加成'!$I$5)/系数!$B$4+BG346*10%)*('模拟-全程加成'!$J$3+'模拟-全程加成'!$J$4+'模拟-全程加成'!$J$5+('模拟-全程加成'!$I$4+'模拟-全程加成'!$I$5)/系数!$B$4+BG346*10%)+(1-('模拟-全程加成'!$J$3+'模拟-全程加成'!$J$4+'模拟-全程加成'!$J$5+('模拟-全程加成'!$I$4+'模拟-全程加成'!$I$5)/系数!$B$4+BG346*10%)-$F$10-$F$11)+F332*0.25),0)*'模拟-单技能数据'!$I$24</f>
        <v>0</v>
      </c>
      <c r="BG346" s="115" t="b">
        <f ca="1">OR(AND(OR(C346="烈日斩",C346="银月斩"),模拟模式!$I$7="净身明礼"),AND(C346="净世破魔击·日",模拟模式!$J$7="洞若观火"),AND(C347="净世破魔击·月",模拟模式!$J$7="洞若观火"),AB346=1)</f>
        <v>1</v>
      </c>
      <c r="BH346" s="115" t="b">
        <f t="shared" ca="1" si="275"/>
        <v>0</v>
      </c>
      <c r="BI346" s="115">
        <f t="shared" ca="1" si="294"/>
        <v>2.3099999999999996</v>
      </c>
      <c r="BJ346" s="115" t="b">
        <f t="shared" ca="1" si="305"/>
        <v>1</v>
      </c>
      <c r="BK346" s="115" t="b">
        <f ca="1">AND(C346="驱夜断愁",模拟模式!$P$7="天地诛戮")</f>
        <v>0</v>
      </c>
      <c r="BL346" s="57">
        <f t="shared" ca="1" si="295"/>
        <v>18.155000000000001</v>
      </c>
      <c r="BM346" s="115" t="b">
        <f t="shared" ca="1" si="306"/>
        <v>1</v>
      </c>
      <c r="BN346" s="115" t="b">
        <f ca="1">AND(OR(C346="赤日轮1",C346="赤日轮2",C346="赤日轮3",C346="幽月轮1",C346="幽月轮2",C346="幽月轮3"),AB346=1,模拟模式!$L$7="明光恒照")</f>
        <v>1</v>
      </c>
      <c r="BO346" s="117">
        <f t="shared" ca="1" si="296"/>
        <v>30</v>
      </c>
      <c r="BP346" s="115">
        <f t="shared" ca="1" si="276"/>
        <v>6</v>
      </c>
      <c r="BQ346" s="115" t="b">
        <f>模拟模式!$K$10="2600·水"</f>
        <v>0</v>
      </c>
      <c r="BR346" s="117">
        <f t="shared" si="277"/>
        <v>0</v>
      </c>
      <c r="BS346" s="115">
        <f t="shared" si="278"/>
        <v>0</v>
      </c>
      <c r="BT346" s="115">
        <f t="shared" ca="1" si="279"/>
        <v>0</v>
      </c>
      <c r="BU346" s="115" t="b">
        <f ca="1">AND(模拟模式!$K$10="2300·雷",BT345=0,RAND()&lt;IF(C346="净世破魔击·月",5*0.05*2/3,IF(C346="净世破魔击·日",3*0.05*2/3,0.05*2*2/3)))</f>
        <v>0</v>
      </c>
      <c r="BV346" s="115">
        <f t="shared" ca="1" si="280"/>
        <v>0</v>
      </c>
      <c r="BW346" s="115">
        <f t="shared" ca="1" si="281"/>
        <v>77.602499999999267</v>
      </c>
      <c r="BX346" s="164" t="b">
        <f t="shared" ca="1" si="282"/>
        <v>0</v>
      </c>
      <c r="BY346" s="115">
        <f t="shared" ca="1" si="283"/>
        <v>0</v>
      </c>
      <c r="BZ346" s="115">
        <f>IF(OR(模拟模式!$P$16="10人团",模拟模式!$P$16="25人团"),IF(B346/30&gt;CA345,1,0),0)</f>
        <v>0</v>
      </c>
      <c r="CA346" s="115">
        <f t="shared" si="259"/>
        <v>0</v>
      </c>
      <c r="CB346" s="115">
        <f ca="1">IF(BZ346=1,IF(模拟模式!$P$16="10人团",15,0)+IF(模拟模式!$P$16="25人团",IF(RAND()&lt;0.6,15,0)),MAX(0,CB345-$F$4))</f>
        <v>0</v>
      </c>
      <c r="CC346" s="115" t="b">
        <f t="shared" ca="1" si="307"/>
        <v>0</v>
      </c>
      <c r="CD346" s="115">
        <f>IF(模拟模式!$Q$16="1个",IF(B346/40&gt;CE345,1,0),0)</f>
        <v>0</v>
      </c>
      <c r="CE346" s="115">
        <f t="shared" si="308"/>
        <v>0</v>
      </c>
      <c r="CF346" s="115">
        <f>IF(OR(CD346=1,模拟模式!$Q$16="2个"),20,MAX(0,CF345-$F$4))</f>
        <v>0</v>
      </c>
      <c r="CG346" s="115" t="b">
        <f t="shared" si="309"/>
        <v>0</v>
      </c>
      <c r="CH346" s="115">
        <f t="shared" ca="1" si="284"/>
        <v>9.7050000000000125</v>
      </c>
      <c r="CI346" s="115" t="b">
        <f t="shared" ca="1" si="285"/>
        <v>0</v>
      </c>
      <c r="CJ346" s="119">
        <f t="shared" ca="1" si="286"/>
        <v>0</v>
      </c>
      <c r="CK346" s="115">
        <f t="shared" ca="1" si="287"/>
        <v>0</v>
      </c>
      <c r="CL346" s="115" t="b">
        <f ca="1">AND(模拟模式!$S$7="驱夷逐法",OR(AND(C346="净世破魔击·月",E345&gt;59),AND(C346="净世破魔击·日",F345&gt;59)))</f>
        <v>0</v>
      </c>
      <c r="CM346" s="115" t="b">
        <f ca="1">OR(CL346,AND(C346="净世破魔击·日",CL345,RAND()&lt;模拟模式!$U$23))</f>
        <v>0</v>
      </c>
      <c r="CN346" s="115" t="b">
        <f ca="1">IF(模拟模式!$M$7="辉耀红尘",AND(C346="净世破魔击·月",CL346,CV346=0,E345&lt;80),AND(C346="净世破魔击·月",CL346,E345&lt;100))</f>
        <v>0</v>
      </c>
      <c r="CO346" s="115" t="b">
        <f t="shared" ca="1" si="260"/>
        <v>0</v>
      </c>
      <c r="CP346" s="115" t="b">
        <f ca="1">AND(模拟模式!$O$7="用晦而明",OR(C346="净世破魔击·日",C346="净世破魔击·月",C346="驱夜断愁"),AB346)</f>
        <v>0</v>
      </c>
      <c r="CQ346" s="115" t="b">
        <f ca="1">OR(CP346,AND(CP345,RAND()&lt;模拟模式!$U$23))</f>
        <v>0</v>
      </c>
      <c r="CR346" s="115" t="b">
        <f ca="1">AND(模拟模式!$S$7="日月齐光",OR(C346="幽月轮1",C346="幽月轮2",C346="幽月轮3",CR345),NOT(OR(C346="赤日轮1",C346="赤日轮2",C346="赤日轮3")))</f>
        <v>0</v>
      </c>
      <c r="CS346" s="115" t="b">
        <f ca="1">AND(模拟模式!$S$7="日月齐光",OR(C346="赤日轮1",C346="赤日轮2",C346="赤日轮3",CS345),NOT(OR(C346="幽月轮1",C346="幽月轮2",C346="幽月轮3")))</f>
        <v>0</v>
      </c>
      <c r="CT346" s="115">
        <f t="shared" ca="1" si="288"/>
        <v>0</v>
      </c>
      <c r="CU346" s="115" t="b">
        <f ca="1">AND(模拟模式!$K$10="阴阳往极",CT345=0,RAND()&lt;IF(C346="净世破魔击·月",0.0275*7/3,IF(C346="净世破魔击·日",0.0275*3/3,0.0275*2/3)))</f>
        <v>0</v>
      </c>
      <c r="CV346" s="115">
        <f t="shared" ca="1" si="289"/>
        <v>0</v>
      </c>
      <c r="CW346" s="115">
        <f t="shared" ca="1" si="261"/>
        <v>5.0774999999999997</v>
      </c>
      <c r="CX346" s="115">
        <f t="shared" ca="1" si="262"/>
        <v>3.2324999999999995</v>
      </c>
      <c r="CY346" s="115">
        <f ca="1">MAX(IF($C346="驱夜断愁",IF(模拟模式!$R$7="万念俱寂",6,45),CY345-$F$4),0)</f>
        <v>4.1549999999999994</v>
      </c>
      <c r="CZ346" s="115">
        <f t="shared" ca="1" si="263"/>
        <v>0</v>
      </c>
      <c r="DA346" s="115">
        <f ca="1">IF(模拟模式!$N$7="日月同辉",IF(DB345=2,0,MIN(6,IF(AND(OR(C346="赤日轮1",C346="赤日轮2",C346="赤日轮3",C346="幽月轮1",C346="幽月轮2",C346="幽月轮3"),AB346=1),DA345+1,DA345))),0)</f>
        <v>5</v>
      </c>
      <c r="DB346" s="115">
        <f t="shared" ca="1" si="264"/>
        <v>0</v>
      </c>
      <c r="DC346" s="115"/>
      <c r="DD346" s="115"/>
      <c r="DE346" s="115"/>
      <c r="DF346" s="115"/>
      <c r="DG346" s="115"/>
      <c r="DH346" s="115"/>
      <c r="DI346" s="115"/>
      <c r="DJ346" s="115"/>
      <c r="DK346" s="115"/>
      <c r="DL346" s="115"/>
      <c r="DM346" s="115"/>
    </row>
    <row r="347" spans="2:117" x14ac:dyDescent="0.2">
      <c r="B347" s="117">
        <f t="shared" si="265"/>
        <v>295.20000000000238</v>
      </c>
      <c r="C347" s="167" t="str">
        <f t="shared" ca="1" si="258"/>
        <v>净世破魔击·月</v>
      </c>
      <c r="D347" s="115">
        <f ca="1">IF(C347="赤日轮1",1,IF(C347="赤日轮2",2,IF(C347="赤日轮3",3,IF(C347="幽月轮1",4,IF(C347="幽月轮2",5,IF(C347="幽月轮3",6,IF(C347="烈日斩",7,IF(C347="银月斩",8,IF(C347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347="净世破魔击·月",17,IF(C347="驱夜断愁",18,0)))))))))))</f>
        <v>17</v>
      </c>
      <c r="E347" s="115">
        <f ca="1">IF(AND(CU347,OR(C347="幽月轮1",C347="幽月轮2",C347="幽月轮3",C347="银月斩",C347="驱夜断愁",C347="净世破魔击·月")),100,MIN(IF(OR(CN347,BE347),0,IF(OR($C347="赤日轮1",$C347="赤日轮2",$C347="赤日轮3"),E346+20+IF(模拟模式!$I$7="日月凌天",4,0)+IF(CR346,20,0),IF($C347="烈日斩",E346+40,IF($C347="驱夜断愁",IF(模拟模式!$R$7="万念俱寂",E346+20,E346+60),IF($C347="净世破魔击·月",IF(OR(DB346&gt;0,CV346&gt;0),100,IF(模拟模式!$M$7="辉耀红尘",E346+20,E346)),IF($C347="净世破魔击·日",E346-100,E346)))))),100))</f>
        <v>100</v>
      </c>
      <c r="F347" s="115">
        <f ca="1">IF(AND(CU347,OR(C347="赤日轮1",C347="赤日轮2",C347="赤日轮3",C347="烈日斩",C347="净世破魔击·日")),100,MIN(IF(CO347,0,IF(OR($C347="幽月轮1",$C347="幽月轮2",$C347="幽月轮3"),F346+20+IF(模拟模式!$I$7="日月凌天",4,0)+IF(CS346,20,0),IF($C347="银月斩",F346+40+IF(模拟模式!$X$12=1,5,0),IF($C347="驱夜断愁",IF(模拟模式!$R$7="万念俱寂",F346+20,F346+60),IF($C347="净世破魔击·月",IF(模拟模式!$M$7="辉耀红尘",F346-80,F346-100),IF(AND(C347="净世破魔击·日",OR(DB346&gt;0,CV346&gt;0)),100,F346)))))),100))</f>
        <v>20</v>
      </c>
      <c r="G347" s="117">
        <f ca="1">('模拟-全程加成'!$E$3+'模拟-全程加成'!$E$4+'模拟-全程加成'!$E$5+('模拟-全程加成'!$C$6-'模拟-全程加成'!$C$3)*系数!$B$9+BS347*23)*(1+'模拟-全程加成'!$F$4+'模拟-全程加成'!$F$5+BJ347*10%+BM347*20%+BP347*4%+CG347*30%)+$F$7*系数!$B$12</f>
        <v>21493.829400000002</v>
      </c>
      <c r="H347" s="45">
        <f ca="1">'模拟-全程加成'!$H$3+'模拟-全程加成'!$H$4+'模拟-全程加成'!$H$5+('模拟-全程加成'!$G$4+'模拟-全程加成'!$G$5+('模拟-全程加成'!$C$6-'模拟-全程加成'!$C$3)*系数!$B$13)/系数!$B$3+LOOKUP(D347,'模拟-单技能数据'!$A$2:$A$19,'模拟-单技能数据'!$K$2:$K$19)+BG347*10%+IF(BV347&gt;0,378,0)</f>
        <v>0.54185145527300216</v>
      </c>
      <c r="I347" s="45">
        <f ca="1">'模拟-全程加成'!$J$3+'模拟-全程加成'!$J$4+'模拟-全程加成'!$J$5+('模拟-全程加成'!$I$4+'模拟-全程加成'!$I$5)/系数!$B$4+LOOKUP(D347,'模拟-单技能数据'!$A$2:$A$19,'模拟-单技能数据'!$L$2:$L$19)+BG347*10%</f>
        <v>2.162482885499879</v>
      </c>
      <c r="J347" s="45">
        <f ca="1">(('模拟-全程加成'!$K$3+'模拟-全程加成'!$K$4+'模拟-全程加成'!$K$5+('模拟-全程加成'!$C$6-'模拟-全程加成'!$C$3)*系数!$B$10+IF(BV347&gt;0,882,0)+IF(BY347&gt;0,1831,0))*(1+'模拟-全程加成'!$L$4+'模拟-全程加成'!$L$5+CC347*20%))/系数!$B$5</f>
        <v>0.69723220422048726</v>
      </c>
      <c r="K347" s="119">
        <f ca="1">LOOKUP(D347,'模拟-单技能数据'!$A$2:$A$19,'模拟-单技能数据'!$J$2:$J$19)+IF(CM347,60%,0)+IF(DB346-DB347&gt;0,30%,0)+IF(OR(AND(OR(C347="赤日轮1",C347="赤日轮2",C347="赤日轮3"),CR347),AND(OR(C347="幽月轮1",C347="幽月轮2",C347="幽月轮3"),CS347)),35%,0)+CJ347</f>
        <v>0.8</v>
      </c>
      <c r="L347" s="119">
        <f ca="1">IF(AND(C347="烈日斩",模拟模式!$X$11=1),10%,0)+IF(AND(C347="驱夜断愁",AB347=1),30%,0)</f>
        <v>0</v>
      </c>
      <c r="M347" s="45">
        <f t="shared" ca="1" si="297"/>
        <v>0.54185145527300216</v>
      </c>
      <c r="N347" s="45">
        <f t="shared" ca="1" si="298"/>
        <v>0.40424854472699789</v>
      </c>
      <c r="O347" s="46">
        <f t="shared" ca="1" si="266"/>
        <v>0.85796376629032844</v>
      </c>
      <c r="P347" s="46" t="str">
        <f t="shared" ca="1" si="267"/>
        <v>命</v>
      </c>
      <c r="Q347" s="45">
        <f t="shared" ca="1" si="268"/>
        <v>1</v>
      </c>
      <c r="R347" s="117">
        <f ca="1">模拟模式!$E$20*(1-IF(模拟模式!$J$19="有",0.15,0))*(1-IF(模拟模式!$K$19="有",0.3,0)-IF(CQ347,0.5,0))</f>
        <v>843.02999999999975</v>
      </c>
      <c r="S347" s="45">
        <f ca="1">R347/(R347+(185*模拟模式!$E$22-16800)*4.08224)</f>
        <v>8.389626085980037E-2</v>
      </c>
      <c r="T347" s="45" t="str">
        <f ca="1">LOOKUP(D347,'模拟-单技能数据'!$A$2:$A$19,'模拟-单技能数据'!$H$2:$H$19)</f>
        <v>阴</v>
      </c>
      <c r="U347" s="119">
        <f t="shared" ca="1" si="299"/>
        <v>0.08</v>
      </c>
      <c r="V347" s="47">
        <f ca="1">(1+L347)*(LOOKUP(D347,'模拟-单技能数据'!$A$2:$A$19,'模拟-单技能数据'!$D$2:$D$19)+G347*LOOKUP(D347,'模拟-单技能数据'!$A$2:$A$19,'模拟-单技能数据'!$F$2:$F$19))*(1+J347)*(1+K347)*(1-S347)*(1+U347)*Q347*LOOKUP(D347,'模拟-单技能数据'!$A$2:$A$19,'模拟-单技能数据'!$I$2:$I$20)</f>
        <v>84412.793434348554</v>
      </c>
      <c r="W347" s="47">
        <f ca="1">LOOKUP(D347,'模拟-单技能数据'!$A$2:$A$19,'模拟-单技能数据'!$G$2:$G$19)*$I$10</f>
        <v>361.51064354704795</v>
      </c>
      <c r="X347" s="47">
        <f t="shared" ca="1" si="269"/>
        <v>29180.759724404415</v>
      </c>
      <c r="Y347" s="47">
        <f t="shared" ca="1" si="300"/>
        <v>113955.06380230002</v>
      </c>
      <c r="Z347" s="49">
        <f t="shared" ca="1" si="301"/>
        <v>33458381.995955803</v>
      </c>
      <c r="AA347" s="97">
        <f t="shared" ca="1" si="302"/>
        <v>113341.40242532363</v>
      </c>
      <c r="AB347" s="115">
        <f ca="1">IF(OR(C347="赤日轮1",C347="赤日轮2",C347="赤日轮3"),IF(RAND()&lt;模拟模式!$Y$17,1,0),IF(OR(C347="幽月轮1",C347="幽月轮2",C347="幽月轮3"),IF(RAND()&lt;模拟模式!$Y$18,1,0),IF(C347="烈日斩",IF(RAND()&lt;模拟模式!$Y$19,1,0),IF(C347="银月斩",IF(RAND()&lt;模拟模式!$Y$20,1,0),IF(C347="驱夜断愁",IF(RAND()&lt;模拟模式!$Y$21,1,0),IF(C347="净世破魔击·日",IF(RAND()&lt;模拟模式!$Y$22,1,0),IF(C347="净世破魔击·月",IF(RAND()&lt;模拟模式!$Y$23,1,0),0)))))))</f>
        <v>1</v>
      </c>
      <c r="AC347" s="115" t="b">
        <f t="shared" ca="1" si="290"/>
        <v>0</v>
      </c>
      <c r="AD347" s="115" t="b">
        <f t="shared" ca="1" si="310"/>
        <v>1</v>
      </c>
      <c r="AE347" s="115">
        <f t="shared" ca="1" si="311"/>
        <v>3</v>
      </c>
      <c r="AF347" s="47">
        <f ca="1">IF(AC347,('模拟-单技能数据'!$D$20+G347*'模拟-单技能数据'!$F$20)*(1+J347)*(1+'模拟-单技能数据'!$J$20)*(1+U347),0)</f>
        <v>0</v>
      </c>
      <c r="AG347" s="61">
        <f t="shared" ca="1" si="303"/>
        <v>0.64185145527300214</v>
      </c>
      <c r="AH347" s="61">
        <f t="shared" ca="1" si="304"/>
        <v>2.2624828854998791</v>
      </c>
      <c r="AI347" s="62">
        <f t="shared" ca="1" si="270"/>
        <v>0.2796290542978046</v>
      </c>
      <c r="AJ347" s="47">
        <f ca="1">IF(AD347,IF(AI347&lt;$F$10,0,IF(AI347&lt;$F$10+$F$11,0.25,IF(AI347&lt;$F$10+$F$11+AG347,AH347,1)))*IF(AF347&gt;0,AF347,IF(AF346&gt;0,AF346,IF(AF345&gt;0,AF345,IF(AF344&gt;0,AF344,IF(AF343&gt;0,AF343,IF(AF342&gt;0,AF342,IF(AF341&gt;0,AF341,IF(AF340&gt;0,AF340,IF(AF339&gt;0,AF339,IF(AF337&gt;0,AF337,IF(AF336&gt;0,AF336,IF(AF335&gt;0,AF335,0)))))))))))),0)*(1-$S347)*'模拟-单技能数据'!$I$20</f>
        <v>9616.6571145767884</v>
      </c>
      <c r="AK347" s="115" t="b">
        <f t="shared" ca="1" si="291"/>
        <v>0</v>
      </c>
      <c r="AL347" s="115" t="b">
        <f t="shared" ca="1" si="312"/>
        <v>1</v>
      </c>
      <c r="AM347" s="115">
        <f t="shared" ca="1" si="313"/>
        <v>2</v>
      </c>
      <c r="AN347" s="47">
        <f ca="1">IF(AK347,('模拟-单技能数据'!$D$21+G347*'模拟-单技能数据'!$F$21)*(1+J347)*(1+'模拟-单技能数据'!$J$21)*(1+U347),0)</f>
        <v>0</v>
      </c>
      <c r="AO347" s="61">
        <f ca="1">IF(AN347&gt;0,M347-'模拟-单技能数据'!$K$10,AO346)</f>
        <v>0.42185145527300216</v>
      </c>
      <c r="AP347" s="61">
        <f ca="1">IF(AN347&gt;0,I347-'模拟-单技能数据'!$L$10,AP346)</f>
        <v>2.162482885499879</v>
      </c>
      <c r="AQ347" s="63">
        <f t="shared" ca="1" si="271"/>
        <v>0.52143597930394181</v>
      </c>
      <c r="AR347" s="64">
        <f ca="1">IF(AL347,IF(AQ347&lt;$F$10,0,IF(AQ347&lt;$F$10+$F$11,0.25,IF(AQ347&lt;$F$10+$F$11+AO347,AP347,1)))*IF(AN347&gt;0,AN347,IF(AN346&gt;0,AN346,IF(AN345&gt;0,AN345,IF(AN344&gt;0,AN344,IF(AN343&gt;0,AN343,IF(AN342&gt;0,AN342,IF(AN341&gt;0,AN341,IF(AN340&gt;0,AN340,IF(AN339&gt;0,AN339,IF(AN337&gt;0,AN337,IF(AN336&gt;0,AN336,IF(AN335&gt;0,AN335,0)))))))))))),0)*(1-$S347)*'模拟-单技能数据'!$I$21</f>
        <v>11607.89185245618</v>
      </c>
      <c r="AS347" s="61">
        <f ca="1">IF(OR(C347="净世破魔击·日",C347="净世破魔击·月"),M347-'模拟-单技能数据'!$K$10,0)</f>
        <v>0.42185145527300216</v>
      </c>
      <c r="AT347" s="61">
        <f ca="1">IF(OR(C347="净世破魔击·日",C347="净世破魔击·月"),I347-'模拟-单技能数据'!$L$10,0)</f>
        <v>2.162482885499879</v>
      </c>
      <c r="AU347" s="62">
        <f t="shared" ca="1" si="272"/>
        <v>0.54462266334827447</v>
      </c>
      <c r="AV347" s="64">
        <f ca="1">IF(AS347&gt;0,('模拟-单技能数据'!$D$22+G347*'模拟-单技能数据'!$F$22)*(1+J347)*(1-S347)*IF(AU347&lt;$F$10,0,IF(AU347&lt;$F$10+$F$11,0.25,IF(AU347&lt;$F$10+$F$11+AS347,AT347,1)))*(1+U347),0)*'模拟-单技能数据'!$I$22</f>
        <v>7956.2107573714466</v>
      </c>
      <c r="AW347" s="108">
        <f t="shared" ca="1" si="273"/>
        <v>12.620000000000005</v>
      </c>
      <c r="AX347" s="108" t="b">
        <f ca="1">AND(模拟模式!$P$10="有",AW346=0,RAND()&lt;IF(C347="净世破魔击·月",0.1*8/3,IF(C347="净世破魔击·日",0.1*4/3,0.1*2/3)))</f>
        <v>0</v>
      </c>
      <c r="AY347" s="47">
        <f ca="1">IF(AX347,(18+G347*0.722)*(1+J347)*(1-S347)*(1+$I$4)*IF(P347="会",'模拟-全程加成'!$J$3+'模拟-全程加成'!$J$4+'模拟-全程加成'!$J$5+('模拟-全程加成'!$I$4+'模拟-全程加成'!$I$5)/系数!$B$4+BG347*10%,IF(P347="命",1,IF(P347="识",0.25,0))),0)</f>
        <v>0</v>
      </c>
      <c r="AZ347" s="108">
        <f t="shared" si="274"/>
        <v>8.9300000000000068</v>
      </c>
      <c r="BA347" s="108" t="b">
        <f>AND(模拟模式!$Q$10="有",AZ346=0)</f>
        <v>0</v>
      </c>
      <c r="BB347" s="140">
        <f>IF(BA347,(0+G347*0.287)*(1+J347)*(1-S347)*(1+$I$4)*IF(P347="会",'模拟-全程加成'!$J$3+'模拟-全程加成'!$J$4+'模拟-全程加成'!$J$5+('模拟-全程加成'!$I$4+'模拟-全程加成'!$I$5)/系数!$B$4+BG347*10%,IF(P347="命",1,IF(P347="识",0.25,0))),0)</f>
        <v>0</v>
      </c>
      <c r="BC347" s="115" t="b">
        <f ca="1">AND(模拟模式!$R$7="伏明众生",E347=60,F347=20,DA347&lt;5,CZ346&lt;$F$4)</f>
        <v>0</v>
      </c>
      <c r="BD347" s="115">
        <f t="shared" ca="1" si="292"/>
        <v>0</v>
      </c>
      <c r="BE347" s="115" t="b">
        <f t="shared" ca="1" si="293"/>
        <v>0</v>
      </c>
      <c r="BF347" s="47">
        <f ca="1">IF(BC347,4*('模拟-单技能数据'!$D$24+G347*'模拟-单技能数据'!$F$24)*(1+J347)*(1+'模拟-单技能数据'!$J$24)*(1-S347)*(1+$I$3)*(('模拟-全程加成'!$J$3+'模拟-全程加成'!$J$4+'模拟-全程加成'!$J$5+('模拟-全程加成'!$I$4+'模拟-全程加成'!$I$5)/系数!$B$4+BG347*10%)*('模拟-全程加成'!$J$3+'模拟-全程加成'!$J$4+'模拟-全程加成'!$J$5+('模拟-全程加成'!$I$4+'模拟-全程加成'!$I$5)/系数!$B$4+BG347*10%)+(1-('模拟-全程加成'!$J$3+'模拟-全程加成'!$J$4+'模拟-全程加成'!$J$5+('模拟-全程加成'!$I$4+'模拟-全程加成'!$I$5)/系数!$B$4+BG347*10%)-$F$10-$F$11)+F333*0.25),0)*'模拟-单技能数据'!$I$24</f>
        <v>0</v>
      </c>
      <c r="BG347" s="115" t="b">
        <f ca="1">OR(AND(OR(C347="烈日斩",C347="银月斩"),模拟模式!$I$7="净身明礼"),AND(C347="净世破魔击·日",模拟模式!$J$7="洞若观火"),AND(C348="净世破魔击·月",模拟模式!$J$7="洞若观火"),AB347=1)</f>
        <v>1</v>
      </c>
      <c r="BH347" s="115" t="b">
        <f t="shared" ca="1" si="275"/>
        <v>0</v>
      </c>
      <c r="BI347" s="115">
        <f t="shared" ca="1" si="294"/>
        <v>1.3874999999999997</v>
      </c>
      <c r="BJ347" s="115" t="b">
        <f t="shared" ca="1" si="305"/>
        <v>1</v>
      </c>
      <c r="BK347" s="115" t="b">
        <f ca="1">AND(C347="驱夜断愁",模拟模式!$P$7="天地诛戮")</f>
        <v>0</v>
      </c>
      <c r="BL347" s="57">
        <f t="shared" ca="1" si="295"/>
        <v>17.232500000000002</v>
      </c>
      <c r="BM347" s="115" t="b">
        <f t="shared" ca="1" si="306"/>
        <v>1</v>
      </c>
      <c r="BN347" s="115" t="b">
        <f ca="1">AND(OR(C347="赤日轮1",C347="赤日轮2",C347="赤日轮3",C347="幽月轮1",C347="幽月轮2",C347="幽月轮3"),AB347=1,模拟模式!$L$7="明光恒照")</f>
        <v>0</v>
      </c>
      <c r="BO347" s="117">
        <f t="shared" ca="1" si="296"/>
        <v>29.077500000000001</v>
      </c>
      <c r="BP347" s="115">
        <f t="shared" ca="1" si="276"/>
        <v>6</v>
      </c>
      <c r="BQ347" s="115" t="b">
        <f>模拟模式!$K$10="2600·水"</f>
        <v>0</v>
      </c>
      <c r="BR347" s="117">
        <f t="shared" si="277"/>
        <v>0</v>
      </c>
      <c r="BS347" s="115">
        <f t="shared" si="278"/>
        <v>0</v>
      </c>
      <c r="BT347" s="115">
        <f t="shared" ca="1" si="279"/>
        <v>0</v>
      </c>
      <c r="BU347" s="115" t="b">
        <f ca="1">AND(模拟模式!$K$10="2300·雷",BT346=0,RAND()&lt;IF(C347="净世破魔击·月",5*0.05*2/3,IF(C347="净世破魔击·日",3*0.05*2/3,0.05*2*2/3)))</f>
        <v>0</v>
      </c>
      <c r="BV347" s="115">
        <f t="shared" ca="1" si="280"/>
        <v>0</v>
      </c>
      <c r="BW347" s="115">
        <f t="shared" ca="1" si="281"/>
        <v>76.679999999999268</v>
      </c>
      <c r="BX347" s="164" t="b">
        <f t="shared" ca="1" si="282"/>
        <v>0</v>
      </c>
      <c r="BY347" s="115">
        <f t="shared" ca="1" si="283"/>
        <v>0</v>
      </c>
      <c r="BZ347" s="115">
        <f>IF(OR(模拟模式!$P$16="10人团",模拟模式!$P$16="25人团"),IF(B347/30&gt;CA346,1,0),0)</f>
        <v>0</v>
      </c>
      <c r="CA347" s="115">
        <f t="shared" si="259"/>
        <v>0</v>
      </c>
      <c r="CB347" s="115">
        <f ca="1">IF(BZ347=1,IF(模拟模式!$P$16="10人团",15,0)+IF(模拟模式!$P$16="25人团",IF(RAND()&lt;0.6,15,0)),MAX(0,CB346-$F$4))</f>
        <v>0</v>
      </c>
      <c r="CC347" s="115" t="b">
        <f t="shared" ca="1" si="307"/>
        <v>0</v>
      </c>
      <c r="CD347" s="115">
        <f>IF(模拟模式!$Q$16="1个",IF(B347/40&gt;CE346,1,0),0)</f>
        <v>0</v>
      </c>
      <c r="CE347" s="115">
        <f t="shared" si="308"/>
        <v>0</v>
      </c>
      <c r="CF347" s="115">
        <f>IF(OR(CD347=1,模拟模式!$Q$16="2个"),20,MAX(0,CF346-$F$4))</f>
        <v>0</v>
      </c>
      <c r="CG347" s="115" t="b">
        <f t="shared" si="309"/>
        <v>0</v>
      </c>
      <c r="CH347" s="115">
        <f t="shared" ca="1" si="284"/>
        <v>8.7825000000000131</v>
      </c>
      <c r="CI347" s="115" t="b">
        <f t="shared" ca="1" si="285"/>
        <v>0</v>
      </c>
      <c r="CJ347" s="119">
        <f t="shared" ca="1" si="286"/>
        <v>0</v>
      </c>
      <c r="CK347" s="115">
        <f t="shared" ca="1" si="287"/>
        <v>0</v>
      </c>
      <c r="CL347" s="115" t="b">
        <f ca="1">AND(模拟模式!$S$7="驱夷逐法",OR(AND(C347="净世破魔击·月",E346&gt;59),AND(C347="净世破魔击·日",F346&gt;59)))</f>
        <v>1</v>
      </c>
      <c r="CM347" s="115" t="b">
        <f ca="1">OR(CL347,AND(C347="净世破魔击·日",CL346,RAND()&lt;模拟模式!$U$23))</f>
        <v>1</v>
      </c>
      <c r="CN347" s="115" t="b">
        <f ca="1">IF(模拟模式!$M$7="辉耀红尘",AND(C347="净世破魔击·月",CL347,CV347=0,E346&lt;80),AND(C347="净世破魔击·月",CL347,E346&lt;100))</f>
        <v>0</v>
      </c>
      <c r="CO347" s="115" t="b">
        <f t="shared" ca="1" si="260"/>
        <v>0</v>
      </c>
      <c r="CP347" s="115" t="b">
        <f ca="1">AND(模拟模式!$O$7="用晦而明",OR(C347="净世破魔击·日",C347="净世破魔击·月",C347="驱夜断愁"),AB347)</f>
        <v>1</v>
      </c>
      <c r="CQ347" s="115" t="b">
        <f ca="1">OR(CP347,AND(CP346,RAND()&lt;模拟模式!$U$23))</f>
        <v>1</v>
      </c>
      <c r="CR347" s="115" t="b">
        <f ca="1">AND(模拟模式!$S$7="日月齐光",OR(C347="幽月轮1",C347="幽月轮2",C347="幽月轮3",CR346),NOT(OR(C347="赤日轮1",C347="赤日轮2",C347="赤日轮3")))</f>
        <v>0</v>
      </c>
      <c r="CS347" s="115" t="b">
        <f ca="1">AND(模拟模式!$S$7="日月齐光",OR(C347="赤日轮1",C347="赤日轮2",C347="赤日轮3",CS346),NOT(OR(C347="幽月轮1",C347="幽月轮2",C347="幽月轮3")))</f>
        <v>0</v>
      </c>
      <c r="CT347" s="115">
        <f t="shared" ca="1" si="288"/>
        <v>0</v>
      </c>
      <c r="CU347" s="115" t="b">
        <f ca="1">AND(模拟模式!$K$10="阴阳往极",CT346=0,RAND()&lt;IF(C347="净世破魔击·月",0.0275*7/3,IF(C347="净世破魔击·日",0.0275*3/3,0.0275*2/3)))</f>
        <v>0</v>
      </c>
      <c r="CV347" s="115">
        <f t="shared" ca="1" si="289"/>
        <v>0</v>
      </c>
      <c r="CW347" s="115">
        <f t="shared" ca="1" si="261"/>
        <v>4.1549999999999994</v>
      </c>
      <c r="CX347" s="115">
        <f t="shared" ca="1" si="262"/>
        <v>2.3099999999999996</v>
      </c>
      <c r="CY347" s="115">
        <f ca="1">MAX(IF($C347="驱夜断愁",IF(模拟模式!$R$7="万念俱寂",6,45),CY346-$F$4),0)</f>
        <v>3.2324999999999995</v>
      </c>
      <c r="CZ347" s="115">
        <f t="shared" ca="1" si="263"/>
        <v>0</v>
      </c>
      <c r="DA347" s="115">
        <f ca="1">IF(模拟模式!$N$7="日月同辉",IF(DB346=2,0,MIN(6,IF(AND(OR(C347="赤日轮1",C347="赤日轮2",C347="赤日轮3",C347="幽月轮1",C347="幽月轮2",C347="幽月轮3"),AB347=1),DA346+1,DA346))),0)</f>
        <v>5</v>
      </c>
      <c r="DB347" s="115">
        <f t="shared" ca="1" si="264"/>
        <v>0</v>
      </c>
      <c r="DC347" s="115"/>
      <c r="DD347" s="115"/>
      <c r="DE347" s="115"/>
      <c r="DF347" s="115"/>
      <c r="DG347" s="115"/>
      <c r="DH347" s="115"/>
      <c r="DI347" s="115"/>
      <c r="DJ347" s="115"/>
      <c r="DK347" s="115"/>
      <c r="DL347" s="115"/>
      <c r="DM347" s="115"/>
    </row>
    <row r="348" spans="2:117" x14ac:dyDescent="0.2">
      <c r="B348" s="117">
        <f t="shared" si="265"/>
        <v>296.12250000000239</v>
      </c>
      <c r="C348" s="167" t="str">
        <f t="shared" ref="C348:C411" ca="1" si="314">IF(F347=100,"净世破魔击·月",IF(E347=100,"净世破魔击·日",IF(E347&lt;20,IF(C347="赤日轮1","赤日轮2",IF(C347="赤日轮2","赤日轮3","赤日轮1")),IF(AND(E347&gt;19,F347&lt;44,CX347&lt;$F$4),"银月斩",IF(AND(E347&lt;40,CY347&lt;$F$4),"驱夜断愁",IF(AND(E347&lt;60,CW347&lt;$F$4),"烈日斩",IF(C347="幽月轮1","幽月轮2",IF(C347="幽月轮2","幽月轮3","幽月轮1"))))))))</f>
        <v>净世破魔击·日</v>
      </c>
      <c r="D348" s="115">
        <f ca="1">IF(C348="赤日轮1",1,IF(C348="赤日轮2",2,IF(C348="赤日轮3",3,IF(C348="幽月轮1",4,IF(C348="幽月轮2",5,IF(C348="幽月轮3",6,IF(C348="烈日斩",7,IF(C348="银月斩",8,IF(C348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348="净世破魔击·月",17,IF(C348="驱夜断愁",18,0)))))))))))</f>
        <v>9</v>
      </c>
      <c r="E348" s="115">
        <f ca="1">IF(AND(CU348,OR(C348="幽月轮1",C348="幽月轮2",C348="幽月轮3",C348="银月斩",C348="驱夜断愁",C348="净世破魔击·月")),100,MIN(IF(OR(CN348,BE348),0,IF(OR($C348="赤日轮1",$C348="赤日轮2",$C348="赤日轮3"),E347+20+IF(模拟模式!$I$7="日月凌天",4,0)+IF(CR347,20,0),IF($C348="烈日斩",E347+40,IF($C348="驱夜断愁",IF(模拟模式!$R$7="万念俱寂",E347+20,E347+60),IF($C348="净世破魔击·月",IF(OR(DB347&gt;0,CV347&gt;0),100,IF(模拟模式!$M$7="辉耀红尘",E347+20,E347)),IF($C348="净世破魔击·日",E347-100,E347)))))),100))</f>
        <v>0</v>
      </c>
      <c r="F348" s="115">
        <f ca="1">IF(AND(CU348,OR(C348="赤日轮1",C348="赤日轮2",C348="赤日轮3",C348="烈日斩",C348="净世破魔击·日")),100,MIN(IF(CO348,0,IF(OR($C348="幽月轮1",$C348="幽月轮2",$C348="幽月轮3"),F347+20+IF(模拟模式!$I$7="日月凌天",4,0)+IF(CS347,20,0),IF($C348="银月斩",F347+40+IF(模拟模式!$X$12=1,5,0),IF($C348="驱夜断愁",IF(模拟模式!$R$7="万念俱寂",F347+20,F347+60),IF($C348="净世破魔击·月",IF(模拟模式!$M$7="辉耀红尘",F347-80,F347-100),IF(AND(C348="净世破魔击·日",OR(DB347&gt;0,CV347&gt;0)),100,F347)))))),100))</f>
        <v>20</v>
      </c>
      <c r="G348" s="117">
        <f ca="1">('模拟-全程加成'!$E$3+'模拟-全程加成'!$E$4+'模拟-全程加成'!$E$5+('模拟-全程加成'!$C$6-'模拟-全程加成'!$C$3)*系数!$B$9+BS348*23)*(1+'模拟-全程加成'!$F$4+'模拟-全程加成'!$F$5+BJ348*10%+BM348*20%+BP348*4%+CG348*30%)+$F$7*系数!$B$12</f>
        <v>21493.829400000002</v>
      </c>
      <c r="H348" s="45">
        <f ca="1">'模拟-全程加成'!$H$3+'模拟-全程加成'!$H$4+'模拟-全程加成'!$H$5+('模拟-全程加成'!$G$4+'模拟-全程加成'!$G$5+('模拟-全程加成'!$C$6-'模拟-全程加成'!$C$3)*系数!$B$13)/系数!$B$3+LOOKUP(D348,'模拟-单技能数据'!$A$2:$A$19,'模拟-单技能数据'!$K$2:$K$19)+BG348*10%+IF(BV348&gt;0,378,0)</f>
        <v>0.54185145527300216</v>
      </c>
      <c r="I348" s="45">
        <f ca="1">'模拟-全程加成'!$J$3+'模拟-全程加成'!$J$4+'模拟-全程加成'!$J$5+('模拟-全程加成'!$I$4+'模拟-全程加成'!$I$5)/系数!$B$4+LOOKUP(D348,'模拟-单技能数据'!$A$2:$A$19,'模拟-单技能数据'!$L$2:$L$19)+BG348*10%</f>
        <v>2.162482885499879</v>
      </c>
      <c r="J348" s="45">
        <f ca="1">(('模拟-全程加成'!$K$3+'模拟-全程加成'!$K$4+'模拟-全程加成'!$K$5+('模拟-全程加成'!$C$6-'模拟-全程加成'!$C$3)*系数!$B$10+IF(BV348&gt;0,882,0)+IF(BY348&gt;0,1831,0))*(1+'模拟-全程加成'!$L$4+'模拟-全程加成'!$L$5+CC348*20%))/系数!$B$5</f>
        <v>0.69723220422048726</v>
      </c>
      <c r="K348" s="119">
        <f ca="1">LOOKUP(D348,'模拟-单技能数据'!$A$2:$A$19,'模拟-单技能数据'!$J$2:$J$19)+IF(CM348,60%,0)+IF(DB347-DB348&gt;0,30%,0)+IF(OR(AND(OR(C348="赤日轮1",C348="赤日轮2",C348="赤日轮3"),CR348),AND(OR(C348="幽月轮1",C348="幽月轮2",C348="幽月轮3"),CS348)),35%,0)+CJ348</f>
        <v>0.8</v>
      </c>
      <c r="L348" s="119">
        <f ca="1">IF(AND(C348="烈日斩",模拟模式!$X$11=1),10%,0)+IF(AND(C348="驱夜断愁",AB348=1),30%,0)</f>
        <v>0</v>
      </c>
      <c r="M348" s="45">
        <f t="shared" ca="1" si="297"/>
        <v>0.54185145527300216</v>
      </c>
      <c r="N348" s="45">
        <f t="shared" ca="1" si="298"/>
        <v>0.40424854472699789</v>
      </c>
      <c r="O348" s="46">
        <f t="shared" ca="1" si="266"/>
        <v>0.17689053937516097</v>
      </c>
      <c r="P348" s="46" t="str">
        <f t="shared" ca="1" si="267"/>
        <v>会</v>
      </c>
      <c r="Q348" s="45">
        <f t="shared" ca="1" si="268"/>
        <v>2.162482885499879</v>
      </c>
      <c r="R348" s="117">
        <f ca="1">模拟模式!$E$20*(1-IF(模拟模式!$J$19="有",0.15,0))*(1-IF(模拟模式!$K$19="有",0.3,0)-IF(CQ348,0.5,0))</f>
        <v>843.02999999999975</v>
      </c>
      <c r="S348" s="45">
        <f ca="1">R348/(R348+(185*模拟模式!$E$22-16800)*4.08224)</f>
        <v>8.389626085980037E-2</v>
      </c>
      <c r="T348" s="45" t="str">
        <f ca="1">LOOKUP(D348,'模拟-单技能数据'!$A$2:$A$19,'模拟-单技能数据'!$H$2:$H$19)</f>
        <v>阳</v>
      </c>
      <c r="U348" s="119">
        <f t="shared" ca="1" si="299"/>
        <v>0.2</v>
      </c>
      <c r="V348" s="47">
        <f ca="1">(1+L348)*(LOOKUP(D348,'模拟-单技能数据'!$A$2:$A$19,'模拟-单技能数据'!$D$2:$D$19)+G348*LOOKUP(D348,'模拟-单技能数据'!$A$2:$A$19,'模拟-单技能数据'!$F$2:$F$19))*(1+J348)*(1+K348)*(1-S348)*(1+U348)*Q348*LOOKUP(D348,'模拟-单技能数据'!$A$2:$A$19,'模拟-单技能数据'!$I$2:$I$20)</f>
        <v>204517.60843249681</v>
      </c>
      <c r="W348" s="47">
        <f ca="1">LOOKUP(D348,'模拟-单技能数据'!$A$2:$A$19,'模拟-单技能数据'!$G$2:$G$19)*$I$10</f>
        <v>723.0212870940959</v>
      </c>
      <c r="X348" s="47">
        <f t="shared" ca="1" si="269"/>
        <v>19116.855106939758</v>
      </c>
      <c r="Y348" s="47">
        <f t="shared" ca="1" si="300"/>
        <v>224357.48482653068</v>
      </c>
      <c r="Z348" s="49">
        <f t="shared" ca="1" si="301"/>
        <v>33682739.48078233</v>
      </c>
      <c r="AA348" s="97">
        <f t="shared" ca="1" si="302"/>
        <v>113745.96486515566</v>
      </c>
      <c r="AB348" s="115">
        <f ca="1">IF(OR(C348="赤日轮1",C348="赤日轮2",C348="赤日轮3"),IF(RAND()&lt;模拟模式!$Y$17,1,0),IF(OR(C348="幽月轮1",C348="幽月轮2",C348="幽月轮3"),IF(RAND()&lt;模拟模式!$Y$18,1,0),IF(C348="烈日斩",IF(RAND()&lt;模拟模式!$Y$19,1,0),IF(C348="银月斩",IF(RAND()&lt;模拟模式!$Y$20,1,0),IF(C348="驱夜断愁",IF(RAND()&lt;模拟模式!$Y$21,1,0),IF(C348="净世破魔击·日",IF(RAND()&lt;模拟模式!$Y$22,1,0),IF(C348="净世破魔击·月",IF(RAND()&lt;模拟模式!$Y$23,1,0),0)))))))</f>
        <v>1</v>
      </c>
      <c r="AC348" s="115" t="b">
        <f t="shared" ca="1" si="290"/>
        <v>0</v>
      </c>
      <c r="AD348" s="115" t="b">
        <f t="shared" ca="1" si="310"/>
        <v>0</v>
      </c>
      <c r="AE348" s="115">
        <f t="shared" ca="1" si="311"/>
        <v>3</v>
      </c>
      <c r="AF348" s="47">
        <f ca="1">IF(AC348,('模拟-单技能数据'!$D$20+G348*'模拟-单技能数据'!$F$20)*(1+J348)*(1+'模拟-单技能数据'!$J$20)*(1+U348),0)</f>
        <v>0</v>
      </c>
      <c r="AG348" s="61">
        <f t="shared" ca="1" si="303"/>
        <v>0.64185145527300214</v>
      </c>
      <c r="AH348" s="61">
        <f t="shared" ca="1" si="304"/>
        <v>2.2624828854998791</v>
      </c>
      <c r="AI348" s="62">
        <f t="shared" ca="1" si="270"/>
        <v>0.22116488581930838</v>
      </c>
      <c r="AJ348" s="47">
        <f ca="1">IF(AD348,IF(AI348&lt;$F$10,0,IF(AI348&lt;$F$10+$F$11,0.25,IF(AI348&lt;$F$10+$F$11+AG348,AH348,1)))*IF(AF348&gt;0,AF348,IF(AF347&gt;0,AF347,IF(AF346&gt;0,AF346,IF(AF345&gt;0,AF345,IF(AF344&gt;0,AF344,IF(AF343&gt;0,AF343,IF(AF342&gt;0,AF342,IF(AF341&gt;0,AF341,IF(AF340&gt;0,AF340,IF(AF338&gt;0,AF338,IF(AF337&gt;0,AF337,IF(AF336&gt;0,AF336,0)))))))))))),0)*(1-$S348)*'模拟-单技能数据'!$I$20</f>
        <v>0</v>
      </c>
      <c r="AK348" s="115" t="b">
        <f t="shared" ca="1" si="291"/>
        <v>1</v>
      </c>
      <c r="AL348" s="115" t="b">
        <f t="shared" ca="1" si="312"/>
        <v>0</v>
      </c>
      <c r="AM348" s="115">
        <f t="shared" ca="1" si="313"/>
        <v>6</v>
      </c>
      <c r="AN348" s="47">
        <f ca="1">IF(AK348,('模拟-单技能数据'!$D$21+G348*'模拟-单技能数据'!$F$21)*(1+J348)*(1+'模拟-单技能数据'!$J$21)*(1+U348),0)</f>
        <v>12670.936004857545</v>
      </c>
      <c r="AO348" s="61">
        <f ca="1">IF(AN348&gt;0,M348-'模拟-单技能数据'!$K$10,AO347)</f>
        <v>0.42185145527300216</v>
      </c>
      <c r="AP348" s="61">
        <f ca="1">IF(AN348&gt;0,I348-'模拟-单技能数据'!$L$10,AP347)</f>
        <v>2.162482885499879</v>
      </c>
      <c r="AQ348" s="63">
        <f t="shared" ca="1" si="271"/>
        <v>0.47423199207885536</v>
      </c>
      <c r="AR348" s="64">
        <f ca="1">IF(AL348,IF(AQ348&lt;$F$10,0,IF(AQ348&lt;$F$10+$F$11,0.25,IF(AQ348&lt;$F$10+$F$11+AO348,AP348,1)))*IF(AN348&gt;0,AN348,IF(AN347&gt;0,AN347,IF(AN346&gt;0,AN346,IF(AN345&gt;0,AN345,IF(AN344&gt;0,AN344,IF(AN343&gt;0,AN343,IF(AN342&gt;0,AN342,IF(AN341&gt;0,AN341,IF(AN340&gt;0,AN340,IF(AN338&gt;0,AN338,IF(AN337&gt;0,AN337,IF(AN336&gt;0,AN336,0)))))))))))),0)*(1-$S348)*'模拟-单技能数据'!$I$21</f>
        <v>0</v>
      </c>
      <c r="AS348" s="61">
        <f ca="1">IF(OR(C348="净世破魔击·日",C348="净世破魔击·月"),M348-'模拟-单技能数据'!$K$10,0)</f>
        <v>0.42185145527300216</v>
      </c>
      <c r="AT348" s="61">
        <f ca="1">IF(OR(C348="净世破魔击·日",C348="净世破魔击·月"),I348-'模拟-单技能数据'!$L$10,0)</f>
        <v>2.162482885499879</v>
      </c>
      <c r="AU348" s="62">
        <f t="shared" ca="1" si="272"/>
        <v>0.16635314898656139</v>
      </c>
      <c r="AV348" s="64">
        <f ca="1">IF(AS348&gt;0,('模拟-单技能数据'!$D$22+G348*'模拟-单技能数据'!$F$22)*(1+J348)*(1-S348)*IF(AU348&lt;$F$10,0,IF(AU348&lt;$F$10+$F$11,0.25,IF(AU348&lt;$F$10+$F$11+AS348,AT348,1)))*(1+U348),0)*'模拟-单技能数据'!$I$22</f>
        <v>19116.855106939758</v>
      </c>
      <c r="AW348" s="108">
        <f t="shared" ca="1" si="273"/>
        <v>11.697500000000005</v>
      </c>
      <c r="AX348" s="108" t="b">
        <f ca="1">AND(模拟模式!$P$10="有",AW347=0,RAND()&lt;IF(C348="净世破魔击·月",0.1*8/3,IF(C348="净世破魔击·日",0.1*4/3,0.1*2/3)))</f>
        <v>0</v>
      </c>
      <c r="AY348" s="47">
        <f ca="1">IF(AX348,(18+G348*0.722)*(1+J348)*(1-S348)*(1+$I$4)*IF(P348="会",'模拟-全程加成'!$J$3+'模拟-全程加成'!$J$4+'模拟-全程加成'!$J$5+('模拟-全程加成'!$I$4+'模拟-全程加成'!$I$5)/系数!$B$4+BG348*10%,IF(P348="命",1,IF(P348="识",0.25,0))),0)</f>
        <v>0</v>
      </c>
      <c r="AZ348" s="108">
        <f t="shared" si="274"/>
        <v>8.0075000000000074</v>
      </c>
      <c r="BA348" s="108" t="b">
        <f>AND(模拟模式!$Q$10="有",AZ347=0)</f>
        <v>0</v>
      </c>
      <c r="BB348" s="140">
        <f>IF(BA348,(0+G348*0.287)*(1+J348)*(1-S348)*(1+$I$4)*IF(P348="会",'模拟-全程加成'!$J$3+'模拟-全程加成'!$J$4+'模拟-全程加成'!$J$5+('模拟-全程加成'!$I$4+'模拟-全程加成'!$I$5)/系数!$B$4+BG348*10%,IF(P348="命",1,IF(P348="识",0.25,0))),0)</f>
        <v>0</v>
      </c>
      <c r="BC348" s="115" t="b">
        <f ca="1">AND(模拟模式!$R$7="伏明众生",E348=60,F348=20,DA348&lt;5,CZ347&lt;$F$4)</f>
        <v>0</v>
      </c>
      <c r="BD348" s="115">
        <f t="shared" ca="1" si="292"/>
        <v>0</v>
      </c>
      <c r="BE348" s="115" t="b">
        <f t="shared" ca="1" si="293"/>
        <v>0</v>
      </c>
      <c r="BF348" s="47">
        <f ca="1">IF(BC348,4*('模拟-单技能数据'!$D$24+G348*'模拟-单技能数据'!$F$24)*(1+J348)*(1+'模拟-单技能数据'!$J$24)*(1-S348)*(1+$I$3)*(('模拟-全程加成'!$J$3+'模拟-全程加成'!$J$4+'模拟-全程加成'!$J$5+('模拟-全程加成'!$I$4+'模拟-全程加成'!$I$5)/系数!$B$4+BG348*10%)*('模拟-全程加成'!$J$3+'模拟-全程加成'!$J$4+'模拟-全程加成'!$J$5+('模拟-全程加成'!$I$4+'模拟-全程加成'!$I$5)/系数!$B$4+BG348*10%)+(1-('模拟-全程加成'!$J$3+'模拟-全程加成'!$J$4+'模拟-全程加成'!$J$5+('模拟-全程加成'!$I$4+'模拟-全程加成'!$I$5)/系数!$B$4+BG348*10%)-$F$10-$F$11)+F334*0.25),0)*'模拟-单技能数据'!$I$24</f>
        <v>0</v>
      </c>
      <c r="BG348" s="115" t="b">
        <f ca="1">OR(AND(OR(C348="烈日斩",C348="银月斩"),模拟模式!$I$7="净身明礼"),AND(C348="净世破魔击·日",模拟模式!$J$7="洞若观火"),AND(C349="净世破魔击·月",模拟模式!$J$7="洞若观火"),AB348=1)</f>
        <v>1</v>
      </c>
      <c r="BH348" s="115" t="b">
        <f t="shared" ca="1" si="275"/>
        <v>0</v>
      </c>
      <c r="BI348" s="115">
        <f t="shared" ca="1" si="294"/>
        <v>0.46499999999999975</v>
      </c>
      <c r="BJ348" s="115" t="b">
        <f t="shared" ca="1" si="305"/>
        <v>1</v>
      </c>
      <c r="BK348" s="115" t="b">
        <f ca="1">AND(C348="驱夜断愁",模拟模式!$P$7="天地诛戮")</f>
        <v>0</v>
      </c>
      <c r="BL348" s="57">
        <f t="shared" ca="1" si="295"/>
        <v>16.310000000000002</v>
      </c>
      <c r="BM348" s="115" t="b">
        <f t="shared" ca="1" si="306"/>
        <v>1</v>
      </c>
      <c r="BN348" s="115" t="b">
        <f ca="1">AND(OR(C348="赤日轮1",C348="赤日轮2",C348="赤日轮3",C348="幽月轮1",C348="幽月轮2",C348="幽月轮3"),AB348=1,模拟模式!$L$7="明光恒照")</f>
        <v>0</v>
      </c>
      <c r="BO348" s="117">
        <f t="shared" ca="1" si="296"/>
        <v>28.155000000000001</v>
      </c>
      <c r="BP348" s="115">
        <f t="shared" ca="1" si="276"/>
        <v>6</v>
      </c>
      <c r="BQ348" s="115" t="b">
        <f>模拟模式!$K$10="2600·水"</f>
        <v>0</v>
      </c>
      <c r="BR348" s="117">
        <f t="shared" si="277"/>
        <v>0</v>
      </c>
      <c r="BS348" s="115">
        <f t="shared" si="278"/>
        <v>0</v>
      </c>
      <c r="BT348" s="115">
        <f t="shared" ca="1" si="279"/>
        <v>0</v>
      </c>
      <c r="BU348" s="115" t="b">
        <f ca="1">AND(模拟模式!$K$10="2300·雷",BT347=0,RAND()&lt;IF(C348="净世破魔击·月",5*0.05*2/3,IF(C348="净世破魔击·日",3*0.05*2/3,0.05*2*2/3)))</f>
        <v>0</v>
      </c>
      <c r="BV348" s="115">
        <f t="shared" ca="1" si="280"/>
        <v>0</v>
      </c>
      <c r="BW348" s="115">
        <f t="shared" ca="1" si="281"/>
        <v>75.757499999999268</v>
      </c>
      <c r="BX348" s="164" t="b">
        <f t="shared" ca="1" si="282"/>
        <v>0</v>
      </c>
      <c r="BY348" s="115">
        <f t="shared" ca="1" si="283"/>
        <v>0</v>
      </c>
      <c r="BZ348" s="115">
        <f>IF(OR(模拟模式!$P$16="10人团",模拟模式!$P$16="25人团"),IF(B348/30&gt;CA347,1,0),0)</f>
        <v>0</v>
      </c>
      <c r="CA348" s="115">
        <f t="shared" ref="CA348:CA411" si="315">CA347+BZ348</f>
        <v>0</v>
      </c>
      <c r="CB348" s="115">
        <f ca="1">IF(BZ348=1,IF(模拟模式!$P$16="10人团",15,0)+IF(模拟模式!$P$16="25人团",IF(RAND()&lt;0.6,15,0)),MAX(0,CB347-$F$4))</f>
        <v>0</v>
      </c>
      <c r="CC348" s="115" t="b">
        <f t="shared" ca="1" si="307"/>
        <v>0</v>
      </c>
      <c r="CD348" s="115">
        <f>IF(模拟模式!$Q$16="1个",IF(B348/40&gt;CE347,1,0),0)</f>
        <v>0</v>
      </c>
      <c r="CE348" s="115">
        <f t="shared" si="308"/>
        <v>0</v>
      </c>
      <c r="CF348" s="115">
        <f>IF(OR(CD348=1,模拟模式!$Q$16="2个"),20,MAX(0,CF347-$F$4))</f>
        <v>0</v>
      </c>
      <c r="CG348" s="115" t="b">
        <f t="shared" si="309"/>
        <v>0</v>
      </c>
      <c r="CH348" s="115">
        <f t="shared" ca="1" si="284"/>
        <v>7.8600000000000128</v>
      </c>
      <c r="CI348" s="115" t="b">
        <f t="shared" ca="1" si="285"/>
        <v>0</v>
      </c>
      <c r="CJ348" s="119">
        <f t="shared" ca="1" si="286"/>
        <v>0</v>
      </c>
      <c r="CK348" s="115">
        <f t="shared" ca="1" si="287"/>
        <v>0</v>
      </c>
      <c r="CL348" s="115" t="b">
        <f ca="1">AND(模拟模式!$S$7="驱夷逐法",OR(AND(C348="净世破魔击·月",E347&gt;59),AND(C348="净世破魔击·日",F347&gt;59)))</f>
        <v>0</v>
      </c>
      <c r="CM348" s="115" t="b">
        <f ca="1">OR(CL348,AND(C348="净世破魔击·日",CL347,RAND()&lt;模拟模式!$U$23))</f>
        <v>1</v>
      </c>
      <c r="CN348" s="115" t="b">
        <f ca="1">IF(模拟模式!$M$7="辉耀红尘",AND(C348="净世破魔击·月",CL348,CV348=0,E347&lt;80),AND(C348="净世破魔击·月",CL348,E347&lt;100))</f>
        <v>0</v>
      </c>
      <c r="CO348" s="115" t="b">
        <f t="shared" ref="CO348:CO411" ca="1" si="316">AND(C348="净世破魔击·日",CL348,CV348=0)</f>
        <v>0</v>
      </c>
      <c r="CP348" s="115" t="b">
        <f ca="1">AND(模拟模式!$O$7="用晦而明",OR(C348="净世破魔击·日",C348="净世破魔击·月",C348="驱夜断愁"),AB348)</f>
        <v>1</v>
      </c>
      <c r="CQ348" s="115" t="b">
        <f ca="1">OR(CP348,AND(CP347,RAND()&lt;模拟模式!$U$23))</f>
        <v>1</v>
      </c>
      <c r="CR348" s="115" t="b">
        <f ca="1">AND(模拟模式!$S$7="日月齐光",OR(C348="幽月轮1",C348="幽月轮2",C348="幽月轮3",CR347),NOT(OR(C348="赤日轮1",C348="赤日轮2",C348="赤日轮3")))</f>
        <v>0</v>
      </c>
      <c r="CS348" s="115" t="b">
        <f ca="1">AND(模拟模式!$S$7="日月齐光",OR(C348="赤日轮1",C348="赤日轮2",C348="赤日轮3",CS347),NOT(OR(C348="幽月轮1",C348="幽月轮2",C348="幽月轮3")))</f>
        <v>0</v>
      </c>
      <c r="CT348" s="115">
        <f t="shared" ca="1" si="288"/>
        <v>0</v>
      </c>
      <c r="CU348" s="115" t="b">
        <f ca="1">AND(模拟模式!$K$10="阴阳往极",CT347=0,RAND()&lt;IF(C348="净世破魔击·月",0.0275*7/3,IF(C348="净世破魔击·日",0.0275*3/3,0.0275*2/3)))</f>
        <v>0</v>
      </c>
      <c r="CV348" s="115">
        <f t="shared" ca="1" si="289"/>
        <v>0</v>
      </c>
      <c r="CW348" s="115">
        <f t="shared" ref="CW348:CW411" ca="1" si="317">MAX(IF($C348="烈日斩",6,CW347-$F$4),0)</f>
        <v>3.2324999999999995</v>
      </c>
      <c r="CX348" s="115">
        <f t="shared" ref="CX348:CX411" ca="1" si="318">MAX(IF($C348="银月斩",6,CX347-$F$4),0)</f>
        <v>1.3874999999999997</v>
      </c>
      <c r="CY348" s="115">
        <f ca="1">MAX(IF($C348="驱夜断愁",IF(模拟模式!$R$7="万念俱寂",6,45),CY347-$F$4),0)</f>
        <v>2.3099999999999996</v>
      </c>
      <c r="CZ348" s="115">
        <f t="shared" ref="CZ348:CZ411" ca="1" si="319">IF(BC348,25,MAX(0,CZ347-$F$4))</f>
        <v>0</v>
      </c>
      <c r="DA348" s="115">
        <f ca="1">IF(模拟模式!$N$7="日月同辉",IF(DB347=2,0,MIN(6,IF(AND(OR(C348="赤日轮1",C348="赤日轮2",C348="赤日轮3",C348="幽月轮1",C348="幽月轮2",C348="幽月轮3"),AB348=1),DA347+1,DA347))),0)</f>
        <v>5</v>
      </c>
      <c r="DB348" s="115">
        <f t="shared" ref="DB348:DB411" ca="1" si="320">MAX(0,IF(DA348=6,2,IF(OR(C348="净世破魔击·月",C348="净世破魔击·日"),DB347-1,DB347)))</f>
        <v>0</v>
      </c>
      <c r="DC348" s="115"/>
      <c r="DD348" s="115"/>
      <c r="DE348" s="115"/>
      <c r="DF348" s="115"/>
      <c r="DG348" s="115"/>
      <c r="DH348" s="115"/>
      <c r="DI348" s="115"/>
      <c r="DJ348" s="115"/>
      <c r="DK348" s="115"/>
      <c r="DL348" s="115"/>
      <c r="DM348" s="115"/>
    </row>
    <row r="349" spans="2:117" x14ac:dyDescent="0.2">
      <c r="B349" s="117">
        <f t="shared" ref="B349:B412" si="321">B348+$F$4</f>
        <v>297.0450000000024</v>
      </c>
      <c r="C349" s="167" t="str">
        <f t="shared" ca="1" si="314"/>
        <v>赤日轮1</v>
      </c>
      <c r="D349" s="115">
        <f ca="1">IF(C349="赤日轮1",1,IF(C349="赤日轮2",2,IF(C349="赤日轮3",3,IF(C349="幽月轮1",4,IF(C349="幽月轮2",5,IF(C349="幽月轮3",6,IF(C349="烈日斩",7,IF(C349="银月斩",8,IF(C349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349="净世破魔击·月",17,IF(C349="驱夜断愁",18,0)))))))))))</f>
        <v>1</v>
      </c>
      <c r="E349" s="115">
        <f ca="1">IF(AND(CU349,OR(C349="幽月轮1",C349="幽月轮2",C349="幽月轮3",C349="银月斩",C349="驱夜断愁",C349="净世破魔击·月")),100,MIN(IF(OR(CN349,BE349),0,IF(OR($C349="赤日轮1",$C349="赤日轮2",$C349="赤日轮3"),E348+20+IF(模拟模式!$I$7="日月凌天",4,0)+IF(CR348,20,0),IF($C349="烈日斩",E348+40,IF($C349="驱夜断愁",IF(模拟模式!$R$7="万念俱寂",E348+20,E348+60),IF($C349="净世破魔击·月",IF(OR(DB348&gt;0,CV348&gt;0),100,IF(模拟模式!$M$7="辉耀红尘",E348+20,E348)),IF($C349="净世破魔击·日",E348-100,E348)))))),100))</f>
        <v>20</v>
      </c>
      <c r="F349" s="115">
        <f ca="1">IF(AND(CU349,OR(C349="赤日轮1",C349="赤日轮2",C349="赤日轮3",C349="烈日斩",C349="净世破魔击·日")),100,MIN(IF(CO349,0,IF(OR($C349="幽月轮1",$C349="幽月轮2",$C349="幽月轮3"),F348+20+IF(模拟模式!$I$7="日月凌天",4,0)+IF(CS348,20,0),IF($C349="银月斩",F348+40+IF(模拟模式!$X$12=1,5,0),IF($C349="驱夜断愁",IF(模拟模式!$R$7="万念俱寂",F348+20,F348+60),IF($C349="净世破魔击·月",IF(模拟模式!$M$7="辉耀红尘",F348-80,F348-100),IF(AND(C349="净世破魔击·日",OR(DB348&gt;0,CV348&gt;0)),100,F348)))))),100))</f>
        <v>20</v>
      </c>
      <c r="G349" s="117">
        <f ca="1">('模拟-全程加成'!$E$3+'模拟-全程加成'!$E$4+'模拟-全程加成'!$E$5+('模拟-全程加成'!$C$6-'模拟-全程加成'!$C$3)*系数!$B$9+BS349*23)*(1+'模拟-全程加成'!$F$4+'模拟-全程加成'!$F$5+BJ349*10%+BM349*20%+BP349*4%+CG349*30%)+$F$7*系数!$B$12</f>
        <v>20583.127400000001</v>
      </c>
      <c r="H349" s="45">
        <f ca="1">'模拟-全程加成'!$H$3+'模拟-全程加成'!$H$4+'模拟-全程加成'!$H$5+('模拟-全程加成'!$G$4+'模拟-全程加成'!$G$5+('模拟-全程加成'!$C$6-'模拟-全程加成'!$C$3)*系数!$B$13)/系数!$B$3+LOOKUP(D349,'模拟-单技能数据'!$A$2:$A$19,'模拟-单技能数据'!$K$2:$K$19)+BG349*10%+IF(BV349&gt;0,378,0)</f>
        <v>0.4618514552730022</v>
      </c>
      <c r="I349" s="45">
        <f ca="1">'模拟-全程加成'!$J$3+'模拟-全程加成'!$J$4+'模拟-全程加成'!$J$5+('模拟-全程加成'!$I$4+'模拟-全程加成'!$I$5)/系数!$B$4+LOOKUP(D349,'模拟-单技能数据'!$A$2:$A$19,'模拟-单技能数据'!$L$2:$L$19)+BG349*10%</f>
        <v>2.162482885499879</v>
      </c>
      <c r="J349" s="45">
        <f ca="1">(('模拟-全程加成'!$K$3+'模拟-全程加成'!$K$4+'模拟-全程加成'!$K$5+('模拟-全程加成'!$C$6-'模拟-全程加成'!$C$3)*系数!$B$10+IF(BV349&gt;0,882,0)+IF(BY349&gt;0,1831,0))*(1+'模拟-全程加成'!$L$4+'模拟-全程加成'!$L$5+CC349*20%))/系数!$B$5</f>
        <v>0.69723220422048726</v>
      </c>
      <c r="K349" s="119">
        <f ca="1">LOOKUP(D349,'模拟-单技能数据'!$A$2:$A$19,'模拟-单技能数据'!$J$2:$J$19)+IF(CM349,60%,0)+IF(DB348-DB349&gt;0,30%,0)+IF(OR(AND(OR(C349="赤日轮1",C349="赤日轮2",C349="赤日轮3"),CR349),AND(OR(C349="幽月轮1",C349="幽月轮2",C349="幽月轮3"),CS349)),35%,0)+CJ349</f>
        <v>0.12</v>
      </c>
      <c r="L349" s="119">
        <f ca="1">IF(AND(C349="烈日斩",模拟模式!$X$11=1),10%,0)+IF(AND(C349="驱夜断愁",AB349=1),30%,0)</f>
        <v>0</v>
      </c>
      <c r="M349" s="45">
        <f t="shared" ca="1" si="297"/>
        <v>0.4618514552730022</v>
      </c>
      <c r="N349" s="45">
        <f t="shared" ca="1" si="298"/>
        <v>0.48424854472699785</v>
      </c>
      <c r="O349" s="46">
        <f t="shared" ref="O349:O412" ca="1" si="322">RAND()</f>
        <v>0.38849791010205958</v>
      </c>
      <c r="P349" s="46" t="str">
        <f t="shared" ref="P349:P412" ca="1" si="323">IF(O349&lt;$F$10,"偏",IF(O349&lt;$F$10+$F$11,"识",IF(O349&lt;$F$10+$F$11+H349,"会","命")))</f>
        <v>会</v>
      </c>
      <c r="Q349" s="45">
        <f t="shared" ref="Q349:Q412" ca="1" si="324">IF(P349="会",I349,IF(P349="命",1,IF(P349="识",0.25,0)))</f>
        <v>2.162482885499879</v>
      </c>
      <c r="R349" s="117">
        <f ca="1">模拟模式!$E$20*(1-IF(模拟模式!$J$19="有",0.15,0))*(1-IF(模拟模式!$K$19="有",0.3,0)-IF(CQ349,0.5,0))</f>
        <v>843.02999999999975</v>
      </c>
      <c r="S349" s="45">
        <f ca="1">R349/(R349+(185*模拟模式!$E$22-16800)*4.08224)</f>
        <v>8.389626085980037E-2</v>
      </c>
      <c r="T349" s="45" t="str">
        <f ca="1">LOOKUP(D349,'模拟-单技能数据'!$A$2:$A$19,'模拟-单技能数据'!$H$2:$H$19)</f>
        <v>阳</v>
      </c>
      <c r="U349" s="119">
        <f t="shared" ca="1" si="299"/>
        <v>0.2</v>
      </c>
      <c r="V349" s="47">
        <f ca="1">(1+L349)*(LOOKUP(D349,'模拟-单技能数据'!$A$2:$A$19,'模拟-单技能数据'!$D$2:$D$19)+G349*LOOKUP(D349,'模拟-单技能数据'!$A$2:$A$19,'模拟-单技能数据'!$F$2:$F$19))*(1+J349)*(1+K349)*(1-S349)*(1+U349)*Q349*LOOKUP(D349,'模拟-单技能数据'!$A$2:$A$19,'模拟-单技能数据'!$I$2:$I$20)</f>
        <v>54482.562593809358</v>
      </c>
      <c r="W349" s="47">
        <f ca="1">LOOKUP(D349,'模拟-单技能数据'!$A$2:$A$19,'模拟-单技能数据'!$G$2:$G$19)*$I$10</f>
        <v>361.51064354704795</v>
      </c>
      <c r="X349" s="47">
        <f t="shared" ref="X349:X412" ca="1" si="325">AJ349+AR349+AV349+BF349+AY349+BB349</f>
        <v>34718.524582246762</v>
      </c>
      <c r="Y349" s="47">
        <f t="shared" ca="1" si="300"/>
        <v>89562.597819603165</v>
      </c>
      <c r="Z349" s="49">
        <f t="shared" ca="1" si="301"/>
        <v>33772302.078601934</v>
      </c>
      <c r="AA349" s="97">
        <f t="shared" ca="1" si="302"/>
        <v>113694.22841186238</v>
      </c>
      <c r="AB349" s="115">
        <f ca="1">IF(OR(C349="赤日轮1",C349="赤日轮2",C349="赤日轮3"),IF(RAND()&lt;模拟模式!$Y$17,1,0),IF(OR(C349="幽月轮1",C349="幽月轮2",C349="幽月轮3"),IF(RAND()&lt;模拟模式!$Y$18,1,0),IF(C349="烈日斩",IF(RAND()&lt;模拟模式!$Y$19,1,0),IF(C349="银月斩",IF(RAND()&lt;模拟模式!$Y$20,1,0),IF(C349="驱夜断愁",IF(RAND()&lt;模拟模式!$Y$21,1,0),IF(C349="净世破魔击·日",IF(RAND()&lt;模拟模式!$Y$22,1,0),IF(C349="净世破魔击·月",IF(RAND()&lt;模拟模式!$Y$23,1,0),0)))))))</f>
        <v>1</v>
      </c>
      <c r="AC349" s="115" t="b">
        <f t="shared" ca="1" si="290"/>
        <v>0</v>
      </c>
      <c r="AD349" s="115" t="b">
        <f t="shared" ca="1" si="310"/>
        <v>1</v>
      </c>
      <c r="AE349" s="115">
        <f t="shared" ca="1" si="311"/>
        <v>2</v>
      </c>
      <c r="AF349" s="47">
        <f ca="1">IF(AC349,('模拟-单技能数据'!$D$20+G349*'模拟-单技能数据'!$F$20)*(1+J349)*(1+'模拟-单技能数据'!$J$20)*(1+U349),0)</f>
        <v>0</v>
      </c>
      <c r="AG349" s="61">
        <f t="shared" ca="1" si="303"/>
        <v>0.64185145527300214</v>
      </c>
      <c r="AH349" s="61">
        <f t="shared" ca="1" si="304"/>
        <v>2.2624828854998791</v>
      </c>
      <c r="AI349" s="62">
        <f t="shared" ref="AI349:AI412" ca="1" si="326">RAND()</f>
        <v>6.9517543538609505E-2</v>
      </c>
      <c r="AJ349" s="47">
        <f ca="1">IF(AD349,IF(AI349&lt;$F$10,0,IF(AI349&lt;$F$10+$F$11,0.25,IF(AI349&lt;$F$10+$F$11+AG349,AH349,1)))*IF(AF349&gt;0,AF349,IF(AF348&gt;0,AF348,IF(AF347&gt;0,AF347,IF(AF346&gt;0,AF346,IF(AF345&gt;0,AF345,IF(AF344&gt;0,AF344,IF(AF343&gt;0,AF343,IF(AF342&gt;0,AF342,IF(AF341&gt;0,AF341,IF(AF339&gt;0,AF339,IF(AF338&gt;0,AF338,IF(AF337&gt;0,AF337,0)))))))))))),0)*(1-$S349)*'模拟-单技能数据'!$I$20</f>
        <v>9616.6571145767884</v>
      </c>
      <c r="AK349" s="115" t="b">
        <f t="shared" ca="1" si="291"/>
        <v>0</v>
      </c>
      <c r="AL349" s="115" t="b">
        <f t="shared" ca="1" si="312"/>
        <v>1</v>
      </c>
      <c r="AM349" s="115">
        <f t="shared" ca="1" si="313"/>
        <v>5</v>
      </c>
      <c r="AN349" s="47">
        <f ca="1">IF(AK349,('模拟-单技能数据'!$D$21+G349*'模拟-单技能数据'!$F$21)*(1+J349)*(1+'模拟-单技能数据'!$J$21)*(1+U349),0)</f>
        <v>0</v>
      </c>
      <c r="AO349" s="61">
        <f ca="1">IF(AN349&gt;0,M349-'模拟-单技能数据'!$K$10,AO348)</f>
        <v>0.42185145527300216</v>
      </c>
      <c r="AP349" s="61">
        <f ca="1">IF(AN349&gt;0,I349-'模拟-单技能数据'!$L$10,AP348)</f>
        <v>2.162482885499879</v>
      </c>
      <c r="AQ349" s="63">
        <f t="shared" ref="AQ349:AQ412" ca="1" si="327">RAND()</f>
        <v>0.46115706517257093</v>
      </c>
      <c r="AR349" s="64">
        <f ca="1">IF(AL349,IF(AQ349&lt;$F$10,0,IF(AQ349&lt;$F$10+$F$11,0.25,IF(AQ349&lt;$F$10+$F$11+AO349,AP349,1)))*IF(AN349&gt;0,AN349,IF(AN348&gt;0,AN348,IF(AN347&gt;0,AN347,IF(AN346&gt;0,AN346,IF(AN345&gt;0,AN345,IF(AN344&gt;0,AN344,IF(AN343&gt;0,AN343,IF(AN342&gt;0,AN342,IF(AN341&gt;0,AN341,IF(AN339&gt;0,AN339,IF(AN338&gt;0,AN338,IF(AN337&gt;0,AN337,0)))))))))))),0)*(1-$S349)*'模拟-单技能数据'!$I$21</f>
        <v>25101.867467669974</v>
      </c>
      <c r="AS349" s="61">
        <f ca="1">IF(OR(C349="净世破魔击·日",C349="净世破魔击·月"),M349-'模拟-单技能数据'!$K$10,0)</f>
        <v>0</v>
      </c>
      <c r="AT349" s="61">
        <f ca="1">IF(OR(C349="净世破魔击·日",C349="净世破魔击·月"),I349-'模拟-单技能数据'!$L$10,0)</f>
        <v>0</v>
      </c>
      <c r="AU349" s="62">
        <f t="shared" ref="AU349:AU412" ca="1" si="328">RAND()</f>
        <v>0.2348647290927709</v>
      </c>
      <c r="AV349" s="64">
        <f ca="1">IF(AS349&gt;0,('模拟-单技能数据'!$D$22+G349*'模拟-单技能数据'!$F$22)*(1+J349)*(1-S349)*IF(AU349&lt;$F$10,0,IF(AU349&lt;$F$10+$F$11,0.25,IF(AU349&lt;$F$10+$F$11+AS349,AT349,1)))*(1+U349),0)*'模拟-单技能数据'!$I$22</f>
        <v>0</v>
      </c>
      <c r="AW349" s="108">
        <f t="shared" ref="AW349:AW412" ca="1" si="329">IF(AX349,20-$F$4,MAX(AW348-$F$4,0))</f>
        <v>10.775000000000006</v>
      </c>
      <c r="AX349" s="108" t="b">
        <f ca="1">AND(模拟模式!$P$10="有",AW348=0,RAND()&lt;IF(C349="净世破魔击·月",0.1*8/3,IF(C349="净世破魔击·日",0.1*4/3,0.1*2/3)))</f>
        <v>0</v>
      </c>
      <c r="AY349" s="47">
        <f ca="1">IF(AX349,(18+G349*0.722)*(1+J349)*(1-S349)*(1+$I$4)*IF(P349="会",'模拟-全程加成'!$J$3+'模拟-全程加成'!$J$4+'模拟-全程加成'!$J$5+('模拟-全程加成'!$I$4+'模拟-全程加成'!$I$5)/系数!$B$4+BG349*10%,IF(P349="命",1,IF(P349="识",0.25,0))),0)</f>
        <v>0</v>
      </c>
      <c r="AZ349" s="108">
        <f t="shared" ref="AZ349:AZ412" si="330">IF(BA349,20-$F$4,MAX(AZ348-$F$4,0))</f>
        <v>7.0850000000000071</v>
      </c>
      <c r="BA349" s="108" t="b">
        <f>AND(模拟模式!$Q$10="有",AZ348=0)</f>
        <v>0</v>
      </c>
      <c r="BB349" s="140">
        <f>IF(BA349,(0+G349*0.287)*(1+J349)*(1-S349)*(1+$I$4)*IF(P349="会",'模拟-全程加成'!$J$3+'模拟-全程加成'!$J$4+'模拟-全程加成'!$J$5+('模拟-全程加成'!$I$4+'模拟-全程加成'!$I$5)/系数!$B$4+BG349*10%,IF(P349="命",1,IF(P349="识",0.25,0))),0)</f>
        <v>0</v>
      </c>
      <c r="BC349" s="115" t="b">
        <f ca="1">AND(模拟模式!$R$7="伏明众生",E349=60,F349=20,DA349&lt;5,CZ348&lt;$F$4)</f>
        <v>0</v>
      </c>
      <c r="BD349" s="115">
        <f t="shared" ca="1" si="292"/>
        <v>0</v>
      </c>
      <c r="BE349" s="115" t="b">
        <f t="shared" ca="1" si="293"/>
        <v>0</v>
      </c>
      <c r="BF349" s="47">
        <f ca="1">IF(BC349,4*('模拟-单技能数据'!$D$24+G349*'模拟-单技能数据'!$F$24)*(1+J349)*(1+'模拟-单技能数据'!$J$24)*(1-S349)*(1+$I$3)*(('模拟-全程加成'!$J$3+'模拟-全程加成'!$J$4+'模拟-全程加成'!$J$5+('模拟-全程加成'!$I$4+'模拟-全程加成'!$I$5)/系数!$B$4+BG349*10%)*('模拟-全程加成'!$J$3+'模拟-全程加成'!$J$4+'模拟-全程加成'!$J$5+('模拟-全程加成'!$I$4+'模拟-全程加成'!$I$5)/系数!$B$4+BG349*10%)+(1-('模拟-全程加成'!$J$3+'模拟-全程加成'!$J$4+'模拟-全程加成'!$J$5+('模拟-全程加成'!$I$4+'模拟-全程加成'!$I$5)/系数!$B$4+BG349*10%)-$F$10-$F$11)+F335*0.25),0)*'模拟-单技能数据'!$I$24</f>
        <v>0</v>
      </c>
      <c r="BG349" s="115" t="b">
        <f ca="1">OR(AND(OR(C349="烈日斩",C349="银月斩"),模拟模式!$I$7="净身明礼"),AND(C349="净世破魔击·日",模拟模式!$J$7="洞若观火"),AND(C350="净世破魔击·月",模拟模式!$J$7="洞若观火"),AB349=1)</f>
        <v>1</v>
      </c>
      <c r="BH349" s="115" t="b">
        <f t="shared" ref="BH349:BH412" ca="1" si="331">RAND()&lt;IF(C349="净世破魔击·月",4*$I$7,IF(C349="净世破魔击·日",2*$I$7,$I$7))</f>
        <v>0</v>
      </c>
      <c r="BI349" s="115">
        <f t="shared" ca="1" si="294"/>
        <v>0</v>
      </c>
      <c r="BJ349" s="115" t="b">
        <f t="shared" ca="1" si="305"/>
        <v>0</v>
      </c>
      <c r="BK349" s="115" t="b">
        <f ca="1">AND(C349="驱夜断愁",模拟模式!$P$7="天地诛戮")</f>
        <v>0</v>
      </c>
      <c r="BL349" s="57">
        <f t="shared" ca="1" si="295"/>
        <v>15.387500000000003</v>
      </c>
      <c r="BM349" s="115" t="b">
        <f t="shared" ca="1" si="306"/>
        <v>1</v>
      </c>
      <c r="BN349" s="115" t="b">
        <f ca="1">AND(OR(C349="赤日轮1",C349="赤日轮2",C349="赤日轮3",C349="幽月轮1",C349="幽月轮2",C349="幽月轮3"),AB349=1,模拟模式!$L$7="明光恒照")</f>
        <v>1</v>
      </c>
      <c r="BO349" s="117">
        <f t="shared" ca="1" si="296"/>
        <v>30</v>
      </c>
      <c r="BP349" s="115">
        <f t="shared" ref="BP349:BP412" ca="1" si="332">IF(BO349&gt;0,MIN(6,IF(BN349,BP348+1,BP348)),0)</f>
        <v>6</v>
      </c>
      <c r="BQ349" s="115" t="b">
        <f>模拟模式!$K$10="2600·水"</f>
        <v>0</v>
      </c>
      <c r="BR349" s="117">
        <f t="shared" ref="BR349:BR412" si="333">IF(BQ349,6,MAX(0,BR348-$F$4))</f>
        <v>0</v>
      </c>
      <c r="BS349" s="115">
        <f t="shared" ref="BS349:BS412" si="334">IF(BR349&gt;0,MIN(10,IF(BQ349,BS348+IF(C349="净世破魔击·月",4,IF(C349="净世破魔击·日",2,1)),BS348)),0)</f>
        <v>0</v>
      </c>
      <c r="BT349" s="115">
        <f t="shared" ref="BT349:BT412" ca="1" si="335">IF(BU349,60-$F$4,MAX(0,BT348-$F$4))</f>
        <v>0</v>
      </c>
      <c r="BU349" s="115" t="b">
        <f ca="1">AND(模拟模式!$K$10="2300·雷",BT348=0,RAND()&lt;IF(C349="净世破魔击·月",5*0.05*2/3,IF(C349="净世破魔击·日",3*0.05*2/3,0.05*2*2/3)))</f>
        <v>0</v>
      </c>
      <c r="BV349" s="115">
        <f t="shared" ref="BV349:BV412" ca="1" si="336">IF(BU349,15-$F$4,MAX(0,BV348-$F$4))</f>
        <v>0</v>
      </c>
      <c r="BW349" s="115">
        <f t="shared" ref="BW349:BW412" ca="1" si="337">IF(BX349,180-$F$4,MAX(0,BW348-$F$4))</f>
        <v>74.834999999999269</v>
      </c>
      <c r="BX349" s="164" t="b">
        <f t="shared" ref="BX349:BX412" ca="1" si="338">AND(BW348=0,OR(AND(E348=80,F348=100),CU349))</f>
        <v>0</v>
      </c>
      <c r="BY349" s="115">
        <f t="shared" ref="BY349:BY412" ca="1" si="339">IF(BX349,15-$F$4,MAX(0,BY348-$F$4))</f>
        <v>0</v>
      </c>
      <c r="BZ349" s="115">
        <f>IF(OR(模拟模式!$P$16="10人团",模拟模式!$P$16="25人团"),IF(B349/30&gt;CA348,1,0),0)</f>
        <v>0</v>
      </c>
      <c r="CA349" s="115">
        <f t="shared" si="315"/>
        <v>0</v>
      </c>
      <c r="CB349" s="115">
        <f ca="1">IF(BZ349=1,IF(模拟模式!$P$16="10人团",15,0)+IF(模拟模式!$P$16="25人团",IF(RAND()&lt;0.6,15,0)),MAX(0,CB348-$F$4))</f>
        <v>0</v>
      </c>
      <c r="CC349" s="115" t="b">
        <f t="shared" ca="1" si="307"/>
        <v>0</v>
      </c>
      <c r="CD349" s="115">
        <f>IF(模拟模式!$Q$16="1个",IF(B349/40&gt;CE348,1,0),0)</f>
        <v>0</v>
      </c>
      <c r="CE349" s="115">
        <f t="shared" si="308"/>
        <v>0</v>
      </c>
      <c r="CF349" s="115">
        <f>IF(OR(CD349=1,模拟模式!$Q$16="2个"),20,MAX(0,CF348-$F$4))</f>
        <v>0</v>
      </c>
      <c r="CG349" s="115" t="b">
        <f t="shared" si="309"/>
        <v>0</v>
      </c>
      <c r="CH349" s="115">
        <f t="shared" ref="CH349:CH412" ca="1" si="340">IF(CI349,30-$F$4,MAX(0,CH348-$F$4))</f>
        <v>6.9375000000000124</v>
      </c>
      <c r="CI349" s="115" t="b">
        <f t="shared" ref="CI349:CI412" ca="1" si="341">AND(CH348=0,RAND()&lt;IF(C349="净世破魔击·月",4*0.2*2/3,IF(C349="净世破魔击·日",2*0.2*2/3,0.2*2/3)))</f>
        <v>0</v>
      </c>
      <c r="CJ349" s="119">
        <f t="shared" ref="CJ349:CJ412" ca="1" si="342">IF(CI349,IF(RAND()&lt;0.7,0.05,0.01),IF(CK349&gt;0,CJ348,0))</f>
        <v>0</v>
      </c>
      <c r="CK349" s="115">
        <f t="shared" ref="CK349:CK412" ca="1" si="343">IF(CI349,8-$F$4,MAX(0,CK348-$F$4))</f>
        <v>0</v>
      </c>
      <c r="CL349" s="115" t="b">
        <f ca="1">AND(模拟模式!$S$7="驱夷逐法",OR(AND(C349="净世破魔击·月",E348&gt;59),AND(C349="净世破魔击·日",F348&gt;59)))</f>
        <v>0</v>
      </c>
      <c r="CM349" s="115" t="b">
        <f ca="1">OR(CL349,AND(C349="净世破魔击·日",CL348,RAND()&lt;模拟模式!$U$23))</f>
        <v>0</v>
      </c>
      <c r="CN349" s="115" t="b">
        <f ca="1">IF(模拟模式!$M$7="辉耀红尘",AND(C349="净世破魔击·月",CL349,CV349=0,E348&lt;80),AND(C349="净世破魔击·月",CL349,E348&lt;100))</f>
        <v>0</v>
      </c>
      <c r="CO349" s="115" t="b">
        <f t="shared" ca="1" si="316"/>
        <v>0</v>
      </c>
      <c r="CP349" s="115" t="b">
        <f ca="1">AND(模拟模式!$O$7="用晦而明",OR(C349="净世破魔击·日",C349="净世破魔击·月",C349="驱夜断愁"),AB349)</f>
        <v>0</v>
      </c>
      <c r="CQ349" s="115" t="b">
        <f ca="1">OR(CP349,AND(CP348,RAND()&lt;模拟模式!$U$23))</f>
        <v>1</v>
      </c>
      <c r="CR349" s="115" t="b">
        <f ca="1">AND(模拟模式!$S$7="日月齐光",OR(C349="幽月轮1",C349="幽月轮2",C349="幽月轮3",CR348),NOT(OR(C349="赤日轮1",C349="赤日轮2",C349="赤日轮3")))</f>
        <v>0</v>
      </c>
      <c r="CS349" s="115" t="b">
        <f ca="1">AND(模拟模式!$S$7="日月齐光",OR(C349="赤日轮1",C349="赤日轮2",C349="赤日轮3",CS348),NOT(OR(C349="幽月轮1",C349="幽月轮2",C349="幽月轮3")))</f>
        <v>0</v>
      </c>
      <c r="CT349" s="115">
        <f t="shared" ref="CT349:CT412" ca="1" si="344">IF(CU349,30,MAX(CT348-$F$4,0))</f>
        <v>0</v>
      </c>
      <c r="CU349" s="115" t="b">
        <f ca="1">AND(模拟模式!$K$10="阴阳往极",CT348=0,RAND()&lt;IF(C349="净世破魔击·月",0.0275*7/3,IF(C349="净世破魔击·日",0.0275*3/3,0.0275*2/3)))</f>
        <v>0</v>
      </c>
      <c r="CV349" s="115">
        <f t="shared" ref="CV349:CV412" ca="1" si="345">IF(CU349,5-$F$4,MAX(CV348-$F$4,0))</f>
        <v>0</v>
      </c>
      <c r="CW349" s="115">
        <f t="shared" ca="1" si="317"/>
        <v>2.3099999999999996</v>
      </c>
      <c r="CX349" s="115">
        <f t="shared" ca="1" si="318"/>
        <v>0.46499999999999975</v>
      </c>
      <c r="CY349" s="115">
        <f ca="1">MAX(IF($C349="驱夜断愁",IF(模拟模式!$R$7="万念俱寂",6,45),CY348-$F$4),0)</f>
        <v>1.3874999999999997</v>
      </c>
      <c r="CZ349" s="115">
        <f t="shared" ca="1" si="319"/>
        <v>0</v>
      </c>
      <c r="DA349" s="115">
        <f ca="1">IF(模拟模式!$N$7="日月同辉",IF(DB348=2,0,MIN(6,IF(AND(OR(C349="赤日轮1",C349="赤日轮2",C349="赤日轮3",C349="幽月轮1",C349="幽月轮2",C349="幽月轮3"),AB349=1),DA348+1,DA348))),0)</f>
        <v>6</v>
      </c>
      <c r="DB349" s="115">
        <f t="shared" ca="1" si="320"/>
        <v>2</v>
      </c>
      <c r="DC349" s="115"/>
      <c r="DD349" s="115"/>
      <c r="DE349" s="115"/>
      <c r="DF349" s="115"/>
      <c r="DG349" s="115"/>
      <c r="DH349" s="115"/>
      <c r="DI349" s="115"/>
      <c r="DJ349" s="115"/>
      <c r="DK349" s="115"/>
      <c r="DL349" s="115"/>
      <c r="DM349" s="115"/>
    </row>
    <row r="350" spans="2:117" x14ac:dyDescent="0.2">
      <c r="B350" s="117">
        <f t="shared" si="321"/>
        <v>297.96750000000242</v>
      </c>
      <c r="C350" s="167" t="str">
        <f t="shared" ca="1" si="314"/>
        <v>银月斩</v>
      </c>
      <c r="D350" s="115">
        <f ca="1">IF(C350="赤日轮1",1,IF(C350="赤日轮2",2,IF(C350="赤日轮3",3,IF(C350="幽月轮1",4,IF(C350="幽月轮2",5,IF(C350="幽月轮3",6,IF(C350="烈日斩",7,IF(C350="银月斩",8,IF(C350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350="净世破魔击·月",17,IF(C350="驱夜断愁",18,0)))))))))))</f>
        <v>8</v>
      </c>
      <c r="E350" s="115">
        <f ca="1">IF(AND(CU350,OR(C350="幽月轮1",C350="幽月轮2",C350="幽月轮3",C350="银月斩",C350="驱夜断愁",C350="净世破魔击·月")),100,MIN(IF(OR(CN350,BE350),0,IF(OR($C350="赤日轮1",$C350="赤日轮2",$C350="赤日轮3"),E349+20+IF(模拟模式!$I$7="日月凌天",4,0)+IF(CR349,20,0),IF($C350="烈日斩",E349+40,IF($C350="驱夜断愁",IF(模拟模式!$R$7="万念俱寂",E349+20,E349+60),IF($C350="净世破魔击·月",IF(OR(DB349&gt;0,CV349&gt;0),100,IF(模拟模式!$M$7="辉耀红尘",E349+20,E349)),IF($C350="净世破魔击·日",E349-100,E349)))))),100))</f>
        <v>20</v>
      </c>
      <c r="F350" s="115">
        <f ca="1">IF(AND(CU350,OR(C350="赤日轮1",C350="赤日轮2",C350="赤日轮3",C350="烈日斩",C350="净世破魔击·日")),100,MIN(IF(CO350,0,IF(OR($C350="幽月轮1",$C350="幽月轮2",$C350="幽月轮3"),F349+20+IF(模拟模式!$I$7="日月凌天",4,0)+IF(CS349,20,0),IF($C350="银月斩",F349+40+IF(模拟模式!$X$12=1,5,0),IF($C350="驱夜断愁",IF(模拟模式!$R$7="万念俱寂",F349+20,F349+60),IF($C350="净世破魔击·月",IF(模拟模式!$M$7="辉耀红尘",F349-80,F349-100),IF(AND(C350="净世破魔击·日",OR(DB349&gt;0,CV349&gt;0)),100,F349)))))),100))</f>
        <v>65</v>
      </c>
      <c r="G350" s="117">
        <f ca="1">('模拟-全程加成'!$E$3+'模拟-全程加成'!$E$4+'模拟-全程加成'!$E$5+('模拟-全程加成'!$C$6-'模拟-全程加成'!$C$3)*系数!$B$9+BS350*23)*(1+'模拟-全程加成'!$F$4+'模拟-全程加成'!$F$5+BJ350*10%+BM350*20%+BP350*4%+CG350*30%)+$F$7*系数!$B$12</f>
        <v>21493.829400000002</v>
      </c>
      <c r="H350" s="45">
        <f ca="1">'模拟-全程加成'!$H$3+'模拟-全程加成'!$H$4+'模拟-全程加成'!$H$5+('模拟-全程加成'!$G$4+'模拟-全程加成'!$G$5+('模拟-全程加成'!$C$6-'模拟-全程加成'!$C$3)*系数!$B$13)/系数!$B$3+LOOKUP(D350,'模拟-单技能数据'!$A$2:$A$19,'模拟-单技能数据'!$K$2:$K$19)+BG350*10%+IF(BV350&gt;0,378,0)</f>
        <v>0.64185145527300214</v>
      </c>
      <c r="I350" s="45">
        <f ca="1">'模拟-全程加成'!$J$3+'模拟-全程加成'!$J$4+'模拟-全程加成'!$J$5+('模拟-全程加成'!$I$4+'模拟-全程加成'!$I$5)/系数!$B$4+LOOKUP(D350,'模拟-单技能数据'!$A$2:$A$19,'模拟-单技能数据'!$L$2:$L$19)+BG350*10%</f>
        <v>2.2624828854998791</v>
      </c>
      <c r="J350" s="45">
        <f ca="1">(('模拟-全程加成'!$K$3+'模拟-全程加成'!$K$4+'模拟-全程加成'!$K$5+('模拟-全程加成'!$C$6-'模拟-全程加成'!$C$3)*系数!$B$10+IF(BV350&gt;0,882,0)+IF(BY350&gt;0,1831,0))*(1+'模拟-全程加成'!$L$4+'模拟-全程加成'!$L$5+CC350*20%))/系数!$B$5</f>
        <v>0.69723220422048726</v>
      </c>
      <c r="K350" s="119">
        <f ca="1">LOOKUP(D350,'模拟-单技能数据'!$A$2:$A$19,'模拟-单技能数据'!$J$2:$J$19)+IF(CM350,60%,0)+IF(DB349-DB350&gt;0,30%,0)+IF(OR(AND(OR(C350="赤日轮1",C350="赤日轮2",C350="赤日轮3"),CR350),AND(OR(C350="幽月轮1",C350="幽月轮2",C350="幽月轮3"),CS350)),35%,0)+CJ350</f>
        <v>0.15</v>
      </c>
      <c r="L350" s="119">
        <f ca="1">IF(AND(C350="烈日斩",模拟模式!$X$11=1),10%,0)+IF(AND(C350="驱夜断愁",AB350=1),30%,0)</f>
        <v>0</v>
      </c>
      <c r="M350" s="45">
        <f t="shared" ca="1" si="297"/>
        <v>0.64185145527300214</v>
      </c>
      <c r="N350" s="45">
        <f t="shared" ca="1" si="298"/>
        <v>0.30424854472699792</v>
      </c>
      <c r="O350" s="46">
        <f t="shared" ca="1" si="322"/>
        <v>0.87585015372185826</v>
      </c>
      <c r="P350" s="46" t="str">
        <f t="shared" ca="1" si="323"/>
        <v>命</v>
      </c>
      <c r="Q350" s="45">
        <f t="shared" ca="1" si="324"/>
        <v>1</v>
      </c>
      <c r="R350" s="117">
        <f ca="1">模拟模式!$E$20*(1-IF(模拟模式!$J$19="有",0.15,0))*(1-IF(模拟模式!$K$19="有",0.3,0)-IF(CQ350,0.5,0))</f>
        <v>2950.6049999999996</v>
      </c>
      <c r="S350" s="45">
        <f ca="1">R350/(R350+(185*模拟模式!$E$22-16800)*4.08224)</f>
        <v>0.24272716014590323</v>
      </c>
      <c r="T350" s="45" t="str">
        <f ca="1">LOOKUP(D350,'模拟-单技能数据'!$A$2:$A$19,'模拟-单技能数据'!$H$2:$H$19)</f>
        <v>阴</v>
      </c>
      <c r="U350" s="119">
        <f t="shared" ca="1" si="299"/>
        <v>0.08</v>
      </c>
      <c r="V350" s="47">
        <f ca="1">(1+L350)*(LOOKUP(D350,'模拟-单技能数据'!$A$2:$A$19,'模拟-单技能数据'!$D$2:$D$19)+G350*LOOKUP(D350,'模拟-单技能数据'!$A$2:$A$19,'模拟-单技能数据'!$F$2:$F$19))*(1+J350)*(1+K350)*(1-S350)*(1+U350)*Q350*LOOKUP(D350,'模拟-单技能数据'!$A$2:$A$19,'模拟-单技能数据'!$I$2:$I$20)</f>
        <v>18215.255972688272</v>
      </c>
      <c r="W350" s="47">
        <f ca="1">LOOKUP(D350,'模拟-单技能数据'!$A$2:$A$19,'模拟-单技能数据'!$G$2:$G$19)*$I$10</f>
        <v>361.51064354704795</v>
      </c>
      <c r="X350" s="47">
        <f t="shared" ca="1" si="325"/>
        <v>0</v>
      </c>
      <c r="Y350" s="47">
        <f t="shared" ca="1" si="300"/>
        <v>18576.76661623532</v>
      </c>
      <c r="Z350" s="49">
        <f t="shared" ca="1" si="301"/>
        <v>33790878.845218167</v>
      </c>
      <c r="AA350" s="97">
        <f t="shared" ca="1" si="302"/>
        <v>113404.57883902738</v>
      </c>
      <c r="AB350" s="115">
        <f ca="1">IF(OR(C350="赤日轮1",C350="赤日轮2",C350="赤日轮3"),IF(RAND()&lt;模拟模式!$Y$17,1,0),IF(OR(C350="幽月轮1",C350="幽月轮2",C350="幽月轮3"),IF(RAND()&lt;模拟模式!$Y$18,1,0),IF(C350="烈日斩",IF(RAND()&lt;模拟模式!$Y$19,1,0),IF(C350="银月斩",IF(RAND()&lt;模拟模式!$Y$20,1,0),IF(C350="驱夜断愁",IF(RAND()&lt;模拟模式!$Y$21,1,0),IF(C350="净世破魔击·日",IF(RAND()&lt;模拟模式!$Y$22,1,0),IF(C350="净世破魔击·月",IF(RAND()&lt;模拟模式!$Y$23,1,0),0)))))))</f>
        <v>1</v>
      </c>
      <c r="AC350" s="115" t="b">
        <f t="shared" ca="1" si="290"/>
        <v>1</v>
      </c>
      <c r="AD350" s="115" t="b">
        <f t="shared" ca="1" si="310"/>
        <v>0</v>
      </c>
      <c r="AE350" s="115">
        <f t="shared" ca="1" si="311"/>
        <v>6</v>
      </c>
      <c r="AF350" s="47">
        <f ca="1">IF(AC350,('模拟-单技能数据'!$D$20+G350*'模拟-单技能数据'!$F$20)*(1+J350)*(1+'模拟-单技能数据'!$J$20)*(1+U350),0)</f>
        <v>4639.7456468263617</v>
      </c>
      <c r="AG350" s="61">
        <f t="shared" ca="1" si="303"/>
        <v>0.64185145527300214</v>
      </c>
      <c r="AH350" s="61">
        <f t="shared" ca="1" si="304"/>
        <v>2.2624828854998791</v>
      </c>
      <c r="AI350" s="62">
        <f t="shared" ca="1" si="326"/>
        <v>0.29259313147120003</v>
      </c>
      <c r="AJ350" s="47">
        <f ca="1">IF(AD350,IF(AI350&lt;$F$10,0,IF(AI350&lt;$F$10+$F$11,0.25,IF(AI350&lt;$F$10+$F$11+AG350,AH350,1)))*IF(AF350&gt;0,AF350,IF(AF349&gt;0,AF349,IF(AF348&gt;0,AF348,IF(AF347&gt;0,AF347,IF(AF346&gt;0,AF346,IF(AF345&gt;0,AF345,IF(AF344&gt;0,AF344,IF(AF343&gt;0,AF343,IF(AF342&gt;0,AF342,IF(AF340&gt;0,AF340,IF(AF339&gt;0,AF339,IF(AF338&gt;0,AF338,0)))))))))))),0)*(1-$S350)*'模拟-单技能数据'!$I$20</f>
        <v>0</v>
      </c>
      <c r="AK350" s="115" t="b">
        <f t="shared" ca="1" si="291"/>
        <v>0</v>
      </c>
      <c r="AL350" s="115" t="b">
        <f t="shared" ca="1" si="312"/>
        <v>0</v>
      </c>
      <c r="AM350" s="115">
        <f t="shared" ca="1" si="313"/>
        <v>5</v>
      </c>
      <c r="AN350" s="47">
        <f ca="1">IF(AK350,('模拟-单技能数据'!$D$21+G350*'模拟-单技能数据'!$F$21)*(1+J350)*(1+'模拟-单技能数据'!$J$21)*(1+U350),0)</f>
        <v>0</v>
      </c>
      <c r="AO350" s="61">
        <f ca="1">IF(AN350&gt;0,M350-'模拟-单技能数据'!$K$10,AO349)</f>
        <v>0.42185145527300216</v>
      </c>
      <c r="AP350" s="61">
        <f ca="1">IF(AN350&gt;0,I350-'模拟-单技能数据'!$L$10,AP349)</f>
        <v>2.162482885499879</v>
      </c>
      <c r="AQ350" s="63">
        <f t="shared" ca="1" si="327"/>
        <v>0.75049705764336017</v>
      </c>
      <c r="AR350" s="64">
        <f ca="1">IF(AL350,IF(AQ350&lt;$F$10,0,IF(AQ350&lt;$F$10+$F$11,0.25,IF(AQ350&lt;$F$10+$F$11+AO350,AP350,1)))*IF(AN350&gt;0,AN350,IF(AN349&gt;0,AN349,IF(AN348&gt;0,AN348,IF(AN347&gt;0,AN347,IF(AN346&gt;0,AN346,IF(AN345&gt;0,AN345,IF(AN344&gt;0,AN344,IF(AN343&gt;0,AN343,IF(AN342&gt;0,AN342,IF(AN340&gt;0,AN340,IF(AN339&gt;0,AN339,IF(AN338&gt;0,AN338,0)))))))))))),0)*(1-$S350)*'模拟-单技能数据'!$I$21</f>
        <v>0</v>
      </c>
      <c r="AS350" s="61">
        <f ca="1">IF(OR(C350="净世破魔击·日",C350="净世破魔击·月"),M350-'模拟-单技能数据'!$K$10,0)</f>
        <v>0</v>
      </c>
      <c r="AT350" s="61">
        <f ca="1">IF(OR(C350="净世破魔击·日",C350="净世破魔击·月"),I350-'模拟-单技能数据'!$L$10,0)</f>
        <v>0</v>
      </c>
      <c r="AU350" s="62">
        <f t="shared" ca="1" si="328"/>
        <v>0.36026567794971176</v>
      </c>
      <c r="AV350" s="64">
        <f ca="1">IF(AS350&gt;0,('模拟-单技能数据'!$D$22+G350*'模拟-单技能数据'!$F$22)*(1+J350)*(1-S350)*IF(AU350&lt;$F$10,0,IF(AU350&lt;$F$10+$F$11,0.25,IF(AU350&lt;$F$10+$F$11+AS350,AT350,1)))*(1+U350),0)*'模拟-单技能数据'!$I$22</f>
        <v>0</v>
      </c>
      <c r="AW350" s="108">
        <f t="shared" ca="1" si="329"/>
        <v>9.8525000000000063</v>
      </c>
      <c r="AX350" s="108" t="b">
        <f ca="1">AND(模拟模式!$P$10="有",AW349=0,RAND()&lt;IF(C350="净世破魔击·月",0.1*8/3,IF(C350="净世破魔击·日",0.1*4/3,0.1*2/3)))</f>
        <v>0</v>
      </c>
      <c r="AY350" s="47">
        <f ca="1">IF(AX350,(18+G350*0.722)*(1+J350)*(1-S350)*(1+$I$4)*IF(P350="会",'模拟-全程加成'!$J$3+'模拟-全程加成'!$J$4+'模拟-全程加成'!$J$5+('模拟-全程加成'!$I$4+'模拟-全程加成'!$I$5)/系数!$B$4+BG350*10%,IF(P350="命",1,IF(P350="识",0.25,0))),0)</f>
        <v>0</v>
      </c>
      <c r="AZ350" s="108">
        <f t="shared" si="330"/>
        <v>6.1625000000000068</v>
      </c>
      <c r="BA350" s="108" t="b">
        <f>AND(模拟模式!$Q$10="有",AZ349=0)</f>
        <v>0</v>
      </c>
      <c r="BB350" s="140">
        <f>IF(BA350,(0+G350*0.287)*(1+J350)*(1-S350)*(1+$I$4)*IF(P350="会",'模拟-全程加成'!$J$3+'模拟-全程加成'!$J$4+'模拟-全程加成'!$J$5+('模拟-全程加成'!$I$4+'模拟-全程加成'!$I$5)/系数!$B$4+BG350*10%,IF(P350="命",1,IF(P350="识",0.25,0))),0)</f>
        <v>0</v>
      </c>
      <c r="BC350" s="115" t="b">
        <f ca="1">AND(模拟模式!$R$7="伏明众生",E350=60,F350=20,DA350&lt;5,CZ349&lt;$F$4)</f>
        <v>0</v>
      </c>
      <c r="BD350" s="115">
        <f t="shared" ca="1" si="292"/>
        <v>0</v>
      </c>
      <c r="BE350" s="115" t="b">
        <f t="shared" ca="1" si="293"/>
        <v>0</v>
      </c>
      <c r="BF350" s="47">
        <f ca="1">IF(BC350,4*('模拟-单技能数据'!$D$24+G350*'模拟-单技能数据'!$F$24)*(1+J350)*(1+'模拟-单技能数据'!$J$24)*(1-S350)*(1+$I$3)*(('模拟-全程加成'!$J$3+'模拟-全程加成'!$J$4+'模拟-全程加成'!$J$5+('模拟-全程加成'!$I$4+'模拟-全程加成'!$I$5)/系数!$B$4+BG350*10%)*('模拟-全程加成'!$J$3+'模拟-全程加成'!$J$4+'模拟-全程加成'!$J$5+('模拟-全程加成'!$I$4+'模拟-全程加成'!$I$5)/系数!$B$4+BG350*10%)+(1-('模拟-全程加成'!$J$3+'模拟-全程加成'!$J$4+'模拟-全程加成'!$J$5+('模拟-全程加成'!$I$4+'模拟-全程加成'!$I$5)/系数!$B$4+BG350*10%)-$F$10-$F$11)+F336*0.25),0)*'模拟-单技能数据'!$I$24</f>
        <v>0</v>
      </c>
      <c r="BG350" s="115" t="b">
        <f ca="1">OR(AND(OR(C350="烈日斩",C350="银月斩"),模拟模式!$I$7="净身明礼"),AND(C350="净世破魔击·日",模拟模式!$J$7="洞若观火"),AND(C351="净世破魔击·月",模拟模式!$J$7="洞若观火"),AB350=1)</f>
        <v>1</v>
      </c>
      <c r="BH350" s="115" t="b">
        <f t="shared" ca="1" si="331"/>
        <v>1</v>
      </c>
      <c r="BI350" s="115">
        <f t="shared" ca="1" si="294"/>
        <v>6</v>
      </c>
      <c r="BJ350" s="115" t="b">
        <f t="shared" ca="1" si="305"/>
        <v>1</v>
      </c>
      <c r="BK350" s="115" t="b">
        <f ca="1">AND(C350="驱夜断愁",模拟模式!$P$7="天地诛戮")</f>
        <v>0</v>
      </c>
      <c r="BL350" s="57">
        <f t="shared" ca="1" si="295"/>
        <v>14.465000000000003</v>
      </c>
      <c r="BM350" s="115" t="b">
        <f t="shared" ca="1" si="306"/>
        <v>1</v>
      </c>
      <c r="BN350" s="115" t="b">
        <f ca="1">AND(OR(C350="赤日轮1",C350="赤日轮2",C350="赤日轮3",C350="幽月轮1",C350="幽月轮2",C350="幽月轮3"),AB350=1,模拟模式!$L$7="明光恒照")</f>
        <v>0</v>
      </c>
      <c r="BO350" s="117">
        <f t="shared" ca="1" si="296"/>
        <v>29.077500000000001</v>
      </c>
      <c r="BP350" s="115">
        <f t="shared" ca="1" si="332"/>
        <v>6</v>
      </c>
      <c r="BQ350" s="115" t="b">
        <f>模拟模式!$K$10="2600·水"</f>
        <v>0</v>
      </c>
      <c r="BR350" s="117">
        <f t="shared" si="333"/>
        <v>0</v>
      </c>
      <c r="BS350" s="115">
        <f t="shared" si="334"/>
        <v>0</v>
      </c>
      <c r="BT350" s="115">
        <f t="shared" ca="1" si="335"/>
        <v>0</v>
      </c>
      <c r="BU350" s="115" t="b">
        <f ca="1">AND(模拟模式!$K$10="2300·雷",BT349=0,RAND()&lt;IF(C350="净世破魔击·月",5*0.05*2/3,IF(C350="净世破魔击·日",3*0.05*2/3,0.05*2*2/3)))</f>
        <v>0</v>
      </c>
      <c r="BV350" s="115">
        <f t="shared" ca="1" si="336"/>
        <v>0</v>
      </c>
      <c r="BW350" s="115">
        <f t="shared" ca="1" si="337"/>
        <v>73.91249999999927</v>
      </c>
      <c r="BX350" s="164" t="b">
        <f t="shared" ca="1" si="338"/>
        <v>0</v>
      </c>
      <c r="BY350" s="115">
        <f t="shared" ca="1" si="339"/>
        <v>0</v>
      </c>
      <c r="BZ350" s="115">
        <f>IF(OR(模拟模式!$P$16="10人团",模拟模式!$P$16="25人团"),IF(B350/30&gt;CA349,1,0),0)</f>
        <v>0</v>
      </c>
      <c r="CA350" s="115">
        <f t="shared" si="315"/>
        <v>0</v>
      </c>
      <c r="CB350" s="115">
        <f ca="1">IF(BZ350=1,IF(模拟模式!$P$16="10人团",15,0)+IF(模拟模式!$P$16="25人团",IF(RAND()&lt;0.6,15,0)),MAX(0,CB349-$F$4))</f>
        <v>0</v>
      </c>
      <c r="CC350" s="115" t="b">
        <f t="shared" ca="1" si="307"/>
        <v>0</v>
      </c>
      <c r="CD350" s="115">
        <f>IF(模拟模式!$Q$16="1个",IF(B350/40&gt;CE349,1,0),0)</f>
        <v>0</v>
      </c>
      <c r="CE350" s="115">
        <f t="shared" si="308"/>
        <v>0</v>
      </c>
      <c r="CF350" s="115">
        <f>IF(OR(CD350=1,模拟模式!$Q$16="2个"),20,MAX(0,CF349-$F$4))</f>
        <v>0</v>
      </c>
      <c r="CG350" s="115" t="b">
        <f t="shared" si="309"/>
        <v>0</v>
      </c>
      <c r="CH350" s="115">
        <f t="shared" ca="1" si="340"/>
        <v>6.0150000000000121</v>
      </c>
      <c r="CI350" s="115" t="b">
        <f t="shared" ca="1" si="341"/>
        <v>0</v>
      </c>
      <c r="CJ350" s="119">
        <f t="shared" ca="1" si="342"/>
        <v>0</v>
      </c>
      <c r="CK350" s="115">
        <f t="shared" ca="1" si="343"/>
        <v>0</v>
      </c>
      <c r="CL350" s="115" t="b">
        <f ca="1">AND(模拟模式!$S$7="驱夷逐法",OR(AND(C350="净世破魔击·月",E349&gt;59),AND(C350="净世破魔击·日",F349&gt;59)))</f>
        <v>0</v>
      </c>
      <c r="CM350" s="115" t="b">
        <f ca="1">OR(CL350,AND(C350="净世破魔击·日",CL349,RAND()&lt;模拟模式!$U$23))</f>
        <v>0</v>
      </c>
      <c r="CN350" s="115" t="b">
        <f ca="1">IF(模拟模式!$M$7="辉耀红尘",AND(C350="净世破魔击·月",CL350,CV350=0,E349&lt;80),AND(C350="净世破魔击·月",CL350,E349&lt;100))</f>
        <v>0</v>
      </c>
      <c r="CO350" s="115" t="b">
        <f t="shared" ca="1" si="316"/>
        <v>0</v>
      </c>
      <c r="CP350" s="115" t="b">
        <f ca="1">AND(模拟模式!$O$7="用晦而明",OR(C350="净世破魔击·日",C350="净世破魔击·月",C350="驱夜断愁"),AB350)</f>
        <v>0</v>
      </c>
      <c r="CQ350" s="115" t="b">
        <f ca="1">OR(CP350,AND(CP349,RAND()&lt;模拟模式!$U$23))</f>
        <v>0</v>
      </c>
      <c r="CR350" s="115" t="b">
        <f ca="1">AND(模拟模式!$S$7="日月齐光",OR(C350="幽月轮1",C350="幽月轮2",C350="幽月轮3",CR349),NOT(OR(C350="赤日轮1",C350="赤日轮2",C350="赤日轮3")))</f>
        <v>0</v>
      </c>
      <c r="CS350" s="115" t="b">
        <f ca="1">AND(模拟模式!$S$7="日月齐光",OR(C350="赤日轮1",C350="赤日轮2",C350="赤日轮3",CS349),NOT(OR(C350="幽月轮1",C350="幽月轮2",C350="幽月轮3")))</f>
        <v>0</v>
      </c>
      <c r="CT350" s="115">
        <f t="shared" ca="1" si="344"/>
        <v>0</v>
      </c>
      <c r="CU350" s="115" t="b">
        <f ca="1">AND(模拟模式!$K$10="阴阳往极",CT349=0,RAND()&lt;IF(C350="净世破魔击·月",0.0275*7/3,IF(C350="净世破魔击·日",0.0275*3/3,0.0275*2/3)))</f>
        <v>0</v>
      </c>
      <c r="CV350" s="115">
        <f t="shared" ca="1" si="345"/>
        <v>0</v>
      </c>
      <c r="CW350" s="115">
        <f t="shared" ca="1" si="317"/>
        <v>1.3874999999999997</v>
      </c>
      <c r="CX350" s="115">
        <f t="shared" ca="1" si="318"/>
        <v>6</v>
      </c>
      <c r="CY350" s="115">
        <f ca="1">MAX(IF($C350="驱夜断愁",IF(模拟模式!$R$7="万念俱寂",6,45),CY349-$F$4),0)</f>
        <v>0.46499999999999975</v>
      </c>
      <c r="CZ350" s="115">
        <f t="shared" ca="1" si="319"/>
        <v>0</v>
      </c>
      <c r="DA350" s="115">
        <f ca="1">IF(模拟模式!$N$7="日月同辉",IF(DB349=2,0,MIN(6,IF(AND(OR(C350="赤日轮1",C350="赤日轮2",C350="赤日轮3",C350="幽月轮1",C350="幽月轮2",C350="幽月轮3"),AB350=1),DA349+1,DA349))),0)</f>
        <v>0</v>
      </c>
      <c r="DB350" s="115">
        <f t="shared" ca="1" si="320"/>
        <v>2</v>
      </c>
      <c r="DC350" s="115"/>
      <c r="DD350" s="115"/>
      <c r="DE350" s="115"/>
      <c r="DF350" s="115"/>
      <c r="DG350" s="115"/>
      <c r="DH350" s="115"/>
      <c r="DI350" s="115"/>
      <c r="DJ350" s="115"/>
      <c r="DK350" s="115"/>
      <c r="DL350" s="115"/>
      <c r="DM350" s="115"/>
    </row>
    <row r="351" spans="2:117" x14ac:dyDescent="0.2">
      <c r="B351" s="117">
        <f t="shared" si="321"/>
        <v>298.89000000000243</v>
      </c>
      <c r="C351" s="167" t="str">
        <f t="shared" ca="1" si="314"/>
        <v>驱夜断愁</v>
      </c>
      <c r="D351" s="115">
        <f ca="1">IF(C351="赤日轮1",1,IF(C351="赤日轮2",2,IF(C351="赤日轮3",3,IF(C351="幽月轮1",4,IF(C351="幽月轮2",5,IF(C351="幽月轮3",6,IF(C351="烈日斩",7,IF(C351="银月斩",8,IF(C351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351="净世破魔击·月",17,IF(C351="驱夜断愁",18,0)))))))))))</f>
        <v>18</v>
      </c>
      <c r="E351" s="115">
        <f ca="1">IF(AND(CU351,OR(C351="幽月轮1",C351="幽月轮2",C351="幽月轮3",C351="银月斩",C351="驱夜断愁",C351="净世破魔击·月")),100,MIN(IF(OR(CN351,BE351),0,IF(OR($C351="赤日轮1",$C351="赤日轮2",$C351="赤日轮3"),E350+20+IF(模拟模式!$I$7="日月凌天",4,0)+IF(CR350,20,0),IF($C351="烈日斩",E350+40,IF($C351="驱夜断愁",IF(模拟模式!$R$7="万念俱寂",E350+20,E350+60),IF($C351="净世破魔击·月",IF(OR(DB350&gt;0,CV350&gt;0),100,IF(模拟模式!$M$7="辉耀红尘",E350+20,E350)),IF($C351="净世破魔击·日",E350-100,E350)))))),100))</f>
        <v>40</v>
      </c>
      <c r="F351" s="115">
        <f ca="1">IF(AND(CU351,OR(C351="赤日轮1",C351="赤日轮2",C351="赤日轮3",C351="烈日斩",C351="净世破魔击·日")),100,MIN(IF(CO351,0,IF(OR($C351="幽月轮1",$C351="幽月轮2",$C351="幽月轮3"),F350+20+IF(模拟模式!$I$7="日月凌天",4,0)+IF(CS350,20,0),IF($C351="银月斩",F350+40+IF(模拟模式!$X$12=1,5,0),IF($C351="驱夜断愁",IF(模拟模式!$R$7="万念俱寂",F350+20,F350+60),IF($C351="净世破魔击·月",IF(模拟模式!$M$7="辉耀红尘",F350-80,F350-100),IF(AND(C351="净世破魔击·日",OR(DB350&gt;0,CV350&gt;0)),100,F350)))))),100))</f>
        <v>85</v>
      </c>
      <c r="G351" s="117">
        <f ca="1">('模拟-全程加成'!$E$3+'模拟-全程加成'!$E$4+'模拟-全程加成'!$E$5+('模拟-全程加成'!$C$6-'模拟-全程加成'!$C$3)*系数!$B$9+BS351*23)*(1+'模拟-全程加成'!$F$4+'模拟-全程加成'!$F$5+BJ351*10%+BM351*20%+BP351*4%+CG351*30%)+$F$7*系数!$B$12</f>
        <v>21493.829400000002</v>
      </c>
      <c r="H351" s="45">
        <f ca="1">'模拟-全程加成'!$H$3+'模拟-全程加成'!$H$4+'模拟-全程加成'!$H$5+('模拟-全程加成'!$G$4+'模拟-全程加成'!$G$5+('模拟-全程加成'!$C$6-'模拟-全程加成'!$C$3)*系数!$B$13)/系数!$B$3+LOOKUP(D351,'模拟-单技能数据'!$A$2:$A$19,'模拟-单技能数据'!$K$2:$K$19)+BG351*10%+IF(BV351&gt;0,378,0)</f>
        <v>0.51185145527300213</v>
      </c>
      <c r="I351" s="45">
        <f ca="1">'模拟-全程加成'!$J$3+'模拟-全程加成'!$J$4+'模拟-全程加成'!$J$5+('模拟-全程加成'!$I$4+'模拟-全程加成'!$I$5)/系数!$B$4+LOOKUP(D351,'模拟-单技能数据'!$A$2:$A$19,'模拟-单技能数据'!$L$2:$L$19)+BG351*10%</f>
        <v>2.162482885499879</v>
      </c>
      <c r="J351" s="45">
        <f ca="1">(('模拟-全程加成'!$K$3+'模拟-全程加成'!$K$4+'模拟-全程加成'!$K$5+('模拟-全程加成'!$C$6-'模拟-全程加成'!$C$3)*系数!$B$10+IF(BV351&gt;0,882,0)+IF(BY351&gt;0,1831,0))*(1+'模拟-全程加成'!$L$4+'模拟-全程加成'!$L$5+CC351*20%))/系数!$B$5</f>
        <v>0.69723220422048726</v>
      </c>
      <c r="K351" s="119">
        <f ca="1">LOOKUP(D351,'模拟-单技能数据'!$A$2:$A$19,'模拟-单技能数据'!$J$2:$J$19)+IF(CM351,60%,0)+IF(DB350-DB351&gt;0,30%,0)+IF(OR(AND(OR(C351="赤日轮1",C351="赤日轮2",C351="赤日轮3"),CR351),AND(OR(C351="幽月轮1",C351="幽月轮2",C351="幽月轮3"),CS351)),35%,0)+CJ351</f>
        <v>0.14000000000000001</v>
      </c>
      <c r="L351" s="119">
        <f ca="1">IF(AND(C351="烈日斩",模拟模式!$X$11=1),10%,0)+IF(AND(C351="驱夜断愁",AB351=1),30%,0)</f>
        <v>0.3</v>
      </c>
      <c r="M351" s="45">
        <f t="shared" ca="1" si="297"/>
        <v>0.51185145527300213</v>
      </c>
      <c r="N351" s="45">
        <f t="shared" ca="1" si="298"/>
        <v>0.43424854472699792</v>
      </c>
      <c r="O351" s="46">
        <f t="shared" ca="1" si="322"/>
        <v>0.7784707408774959</v>
      </c>
      <c r="P351" s="46" t="str">
        <f t="shared" ca="1" si="323"/>
        <v>命</v>
      </c>
      <c r="Q351" s="45">
        <f t="shared" ca="1" si="324"/>
        <v>1</v>
      </c>
      <c r="R351" s="117">
        <f ca="1">模拟模式!$E$20*(1-IF(模拟模式!$J$19="有",0.15,0))*(1-IF(模拟模式!$K$19="有",0.3,0)-IF(CQ351,0.5,0))</f>
        <v>843.02999999999975</v>
      </c>
      <c r="S351" s="45">
        <f ca="1">R351/(R351+(185*模拟模式!$E$22-16800)*4.08224)</f>
        <v>8.389626085980037E-2</v>
      </c>
      <c r="T351" s="45" t="str">
        <f ca="1">LOOKUP(D351,'模拟-单技能数据'!$A$2:$A$19,'模拟-单技能数据'!$H$2:$H$19)</f>
        <v>阴</v>
      </c>
      <c r="U351" s="119">
        <f t="shared" ca="1" si="299"/>
        <v>0.08</v>
      </c>
      <c r="V351" s="47">
        <f ca="1">(1+L351)*(LOOKUP(D351,'模拟-单技能数据'!$A$2:$A$19,'模拟-单技能数据'!$D$2:$D$19)+G351*LOOKUP(D351,'模拟-单技能数据'!$A$2:$A$19,'模拟-单技能数据'!$F$2:$F$19))*(1+J351)*(1+K351)*(1-S351)*(1+U351)*Q351*LOOKUP(D351,'模拟-单技能数据'!$A$2:$A$19,'模拟-单技能数据'!$I$2:$I$20)</f>
        <v>61540.073489592025</v>
      </c>
      <c r="W351" s="47">
        <f ca="1">LOOKUP(D351,'模拟-单技能数据'!$A$2:$A$19,'模拟-单技能数据'!$G$2:$G$19)*$I$10</f>
        <v>723.0212870940959</v>
      </c>
      <c r="X351" s="47">
        <f t="shared" ca="1" si="325"/>
        <v>29352.355803387069</v>
      </c>
      <c r="Y351" s="47">
        <f t="shared" ca="1" si="300"/>
        <v>91615.450580073186</v>
      </c>
      <c r="Z351" s="49">
        <f t="shared" ca="1" si="301"/>
        <v>33882494.295798242</v>
      </c>
      <c r="AA351" s="97">
        <f t="shared" ca="1" si="302"/>
        <v>113361.08366221006</v>
      </c>
      <c r="AB351" s="115">
        <f ca="1">IF(OR(C351="赤日轮1",C351="赤日轮2",C351="赤日轮3"),IF(RAND()&lt;模拟模式!$Y$17,1,0),IF(OR(C351="幽月轮1",C351="幽月轮2",C351="幽月轮3"),IF(RAND()&lt;模拟模式!$Y$18,1,0),IF(C351="烈日斩",IF(RAND()&lt;模拟模式!$Y$19,1,0),IF(C351="银月斩",IF(RAND()&lt;模拟模式!$Y$20,1,0),IF(C351="驱夜断愁",IF(RAND()&lt;模拟模式!$Y$21,1,0),IF(C351="净世破魔击·日",IF(RAND()&lt;模拟模式!$Y$22,1,0),IF(C351="净世破魔击·月",IF(RAND()&lt;模拟模式!$Y$23,1,0),0)))))))</f>
        <v>1</v>
      </c>
      <c r="AC351" s="115" t="b">
        <f t="shared" ca="1" si="290"/>
        <v>0</v>
      </c>
      <c r="AD351" s="115" t="b">
        <f t="shared" ca="1" si="310"/>
        <v>1</v>
      </c>
      <c r="AE351" s="115">
        <f t="shared" ca="1" si="311"/>
        <v>5</v>
      </c>
      <c r="AF351" s="47">
        <f ca="1">IF(AC351,('模拟-单技能数据'!$D$20+G351*'模拟-单技能数据'!$F$20)*(1+J351)*(1+'模拟-单技能数据'!$J$20)*(1+U351),0)</f>
        <v>0</v>
      </c>
      <c r="AG351" s="61">
        <f t="shared" ca="1" si="303"/>
        <v>0.64185145527300214</v>
      </c>
      <c r="AH351" s="61">
        <f t="shared" ca="1" si="304"/>
        <v>2.2624828854998791</v>
      </c>
      <c r="AI351" s="62">
        <f t="shared" ca="1" si="326"/>
        <v>0.91987228326617876</v>
      </c>
      <c r="AJ351" s="47">
        <f ca="1">IF(AD351,IF(AI351&lt;$F$10,0,IF(AI351&lt;$F$10+$F$11,0.25,IF(AI351&lt;$F$10+$F$11+AG351,AH351,1)))*IF(AF351&gt;0,AF351,IF(AF350&gt;0,AF350,IF(AF349&gt;0,AF349,IF(AF348&gt;0,AF348,IF(AF347&gt;0,AF347,IF(AF346&gt;0,AF346,IF(AF345&gt;0,AF345,IF(AF344&gt;0,AF344,IF(AF343&gt;0,AF343,IF(AF341&gt;0,AF341,IF(AF340&gt;0,AF340,IF(AF339&gt;0,AF339,0)))))))))))),0)*(1-$S351)*'模拟-单技能数据'!$I$20</f>
        <v>4250.4883357170938</v>
      </c>
      <c r="AK351" s="115" t="b">
        <f t="shared" ca="1" si="291"/>
        <v>0</v>
      </c>
      <c r="AL351" s="115" t="b">
        <f t="shared" ca="1" si="312"/>
        <v>1</v>
      </c>
      <c r="AM351" s="115">
        <f t="shared" ca="1" si="313"/>
        <v>4</v>
      </c>
      <c r="AN351" s="47">
        <f ca="1">IF(AK351,('模拟-单技能数据'!$D$21+G351*'模拟-单技能数据'!$F$21)*(1+J351)*(1+'模拟-单技能数据'!$J$21)*(1+U351),0)</f>
        <v>0</v>
      </c>
      <c r="AO351" s="61">
        <f ca="1">IF(AN351&gt;0,M351-'模拟-单技能数据'!$K$10,AO350)</f>
        <v>0.42185145527300216</v>
      </c>
      <c r="AP351" s="61">
        <f ca="1">IF(AN351&gt;0,I351-'模拟-单技能数据'!$L$10,AP350)</f>
        <v>2.162482885499879</v>
      </c>
      <c r="AQ351" s="63">
        <f t="shared" ca="1" si="327"/>
        <v>0.39186722500811011</v>
      </c>
      <c r="AR351" s="64">
        <f ca="1">IF(AL351,IF(AQ351&lt;$F$10,0,IF(AQ351&lt;$F$10+$F$11,0.25,IF(AQ351&lt;$F$10+$F$11+AO351,AP351,1)))*IF(AN351&gt;0,AN351,IF(AN350&gt;0,AN350,IF(AN349&gt;0,AN349,IF(AN348&gt;0,AN348,IF(AN347&gt;0,AN347,IF(AN346&gt;0,AN346,IF(AN345&gt;0,AN345,IF(AN344&gt;0,AN344,IF(AN343&gt;0,AN343,IF(AN341&gt;0,AN341,IF(AN340&gt;0,AN340,IF(AN339&gt;0,AN339,0)))))))))))),0)*(1-$S351)*'模拟-单技能数据'!$I$21</f>
        <v>25101.867467669974</v>
      </c>
      <c r="AS351" s="61">
        <f ca="1">IF(OR(C351="净世破魔击·日",C351="净世破魔击·月"),M351-'模拟-单技能数据'!$K$10,0)</f>
        <v>0</v>
      </c>
      <c r="AT351" s="61">
        <f ca="1">IF(OR(C351="净世破魔击·日",C351="净世破魔击·月"),I351-'模拟-单技能数据'!$L$10,0)</f>
        <v>0</v>
      </c>
      <c r="AU351" s="62">
        <f t="shared" ca="1" si="328"/>
        <v>0.23199373659695255</v>
      </c>
      <c r="AV351" s="64">
        <f ca="1">IF(AS351&gt;0,('模拟-单技能数据'!$D$22+G351*'模拟-单技能数据'!$F$22)*(1+J351)*(1-S351)*IF(AU351&lt;$F$10,0,IF(AU351&lt;$F$10+$F$11,0.25,IF(AU351&lt;$F$10+$F$11+AS351,AT351,1)))*(1+U351),0)*'模拟-单技能数据'!$I$22</f>
        <v>0</v>
      </c>
      <c r="AW351" s="108">
        <f t="shared" ca="1" si="329"/>
        <v>8.9300000000000068</v>
      </c>
      <c r="AX351" s="108" t="b">
        <f ca="1">AND(模拟模式!$P$10="有",AW350=0,RAND()&lt;IF(C351="净世破魔击·月",0.1*8/3,IF(C351="净世破魔击·日",0.1*4/3,0.1*2/3)))</f>
        <v>0</v>
      </c>
      <c r="AY351" s="47">
        <f ca="1">IF(AX351,(18+G351*0.722)*(1+J351)*(1-S351)*(1+$I$4)*IF(P351="会",'模拟-全程加成'!$J$3+'模拟-全程加成'!$J$4+'模拟-全程加成'!$J$5+('模拟-全程加成'!$I$4+'模拟-全程加成'!$I$5)/系数!$B$4+BG351*10%,IF(P351="命",1,IF(P351="识",0.25,0))),0)</f>
        <v>0</v>
      </c>
      <c r="AZ351" s="108">
        <f t="shared" si="330"/>
        <v>5.2400000000000064</v>
      </c>
      <c r="BA351" s="108" t="b">
        <f>AND(模拟模式!$Q$10="有",AZ350=0)</f>
        <v>0</v>
      </c>
      <c r="BB351" s="140">
        <f>IF(BA351,(0+G351*0.287)*(1+J351)*(1-S351)*(1+$I$4)*IF(P351="会",'模拟-全程加成'!$J$3+'模拟-全程加成'!$J$4+'模拟-全程加成'!$J$5+('模拟-全程加成'!$I$4+'模拟-全程加成'!$I$5)/系数!$B$4+BG351*10%,IF(P351="命",1,IF(P351="识",0.25,0))),0)</f>
        <v>0</v>
      </c>
      <c r="BC351" s="115" t="b">
        <f ca="1">AND(模拟模式!$R$7="伏明众生",E351=60,F351=20,DA351&lt;5,CZ350&lt;$F$4)</f>
        <v>0</v>
      </c>
      <c r="BD351" s="115">
        <f t="shared" ca="1" si="292"/>
        <v>0</v>
      </c>
      <c r="BE351" s="115" t="b">
        <f t="shared" ca="1" si="293"/>
        <v>0</v>
      </c>
      <c r="BF351" s="47">
        <f ca="1">IF(BC351,4*('模拟-单技能数据'!$D$24+G351*'模拟-单技能数据'!$F$24)*(1+J351)*(1+'模拟-单技能数据'!$J$24)*(1-S351)*(1+$I$3)*(('模拟-全程加成'!$J$3+'模拟-全程加成'!$J$4+'模拟-全程加成'!$J$5+('模拟-全程加成'!$I$4+'模拟-全程加成'!$I$5)/系数!$B$4+BG351*10%)*('模拟-全程加成'!$J$3+'模拟-全程加成'!$J$4+'模拟-全程加成'!$J$5+('模拟-全程加成'!$I$4+'模拟-全程加成'!$I$5)/系数!$B$4+BG351*10%)+(1-('模拟-全程加成'!$J$3+'模拟-全程加成'!$J$4+'模拟-全程加成'!$J$5+('模拟-全程加成'!$I$4+'模拟-全程加成'!$I$5)/系数!$B$4+BG351*10%)-$F$10-$F$11)+F337*0.25),0)*'模拟-单技能数据'!$I$24</f>
        <v>0</v>
      </c>
      <c r="BG351" s="115" t="b">
        <f ca="1">OR(AND(OR(C351="烈日斩",C351="银月斩"),模拟模式!$I$7="净身明礼"),AND(C351="净世破魔击·日",模拟模式!$J$7="洞若观火"),AND(C352="净世破魔击·月",模拟模式!$J$7="洞若观火"),AB351=1)</f>
        <v>1</v>
      </c>
      <c r="BH351" s="115" t="b">
        <f t="shared" ca="1" si="331"/>
        <v>0</v>
      </c>
      <c r="BI351" s="115">
        <f t="shared" ca="1" si="294"/>
        <v>5.0774999999999997</v>
      </c>
      <c r="BJ351" s="115" t="b">
        <f t="shared" ca="1" si="305"/>
        <v>1</v>
      </c>
      <c r="BK351" s="115" t="b">
        <f ca="1">AND(C351="驱夜断愁",模拟模式!$P$7="天地诛戮")</f>
        <v>1</v>
      </c>
      <c r="BL351" s="57">
        <f t="shared" ca="1" si="295"/>
        <v>20</v>
      </c>
      <c r="BM351" s="115" t="b">
        <f t="shared" ca="1" si="306"/>
        <v>1</v>
      </c>
      <c r="BN351" s="115" t="b">
        <f ca="1">AND(OR(C351="赤日轮1",C351="赤日轮2",C351="赤日轮3",C351="幽月轮1",C351="幽月轮2",C351="幽月轮3"),AB351=1,模拟模式!$L$7="明光恒照")</f>
        <v>0</v>
      </c>
      <c r="BO351" s="117">
        <f t="shared" ca="1" si="296"/>
        <v>28.155000000000001</v>
      </c>
      <c r="BP351" s="115">
        <f t="shared" ca="1" si="332"/>
        <v>6</v>
      </c>
      <c r="BQ351" s="115" t="b">
        <f>模拟模式!$K$10="2600·水"</f>
        <v>0</v>
      </c>
      <c r="BR351" s="117">
        <f t="shared" si="333"/>
        <v>0</v>
      </c>
      <c r="BS351" s="115">
        <f t="shared" si="334"/>
        <v>0</v>
      </c>
      <c r="BT351" s="115">
        <f t="shared" ca="1" si="335"/>
        <v>0</v>
      </c>
      <c r="BU351" s="115" t="b">
        <f ca="1">AND(模拟模式!$K$10="2300·雷",BT350=0,RAND()&lt;IF(C351="净世破魔击·月",5*0.05*2/3,IF(C351="净世破魔击·日",3*0.05*2/3,0.05*2*2/3)))</f>
        <v>0</v>
      </c>
      <c r="BV351" s="115">
        <f t="shared" ca="1" si="336"/>
        <v>0</v>
      </c>
      <c r="BW351" s="115">
        <f t="shared" ca="1" si="337"/>
        <v>72.98999999999927</v>
      </c>
      <c r="BX351" s="164" t="b">
        <f t="shared" ca="1" si="338"/>
        <v>0</v>
      </c>
      <c r="BY351" s="115">
        <f t="shared" ca="1" si="339"/>
        <v>0</v>
      </c>
      <c r="BZ351" s="115">
        <f>IF(OR(模拟模式!$P$16="10人团",模拟模式!$P$16="25人团"),IF(B351/30&gt;CA350,1,0),0)</f>
        <v>0</v>
      </c>
      <c r="CA351" s="115">
        <f t="shared" si="315"/>
        <v>0</v>
      </c>
      <c r="CB351" s="115">
        <f ca="1">IF(BZ351=1,IF(模拟模式!$P$16="10人团",15,0)+IF(模拟模式!$P$16="25人团",IF(RAND()&lt;0.6,15,0)),MAX(0,CB350-$F$4))</f>
        <v>0</v>
      </c>
      <c r="CC351" s="115" t="b">
        <f t="shared" ca="1" si="307"/>
        <v>0</v>
      </c>
      <c r="CD351" s="115">
        <f>IF(模拟模式!$Q$16="1个",IF(B351/40&gt;CE350,1,0),0)</f>
        <v>0</v>
      </c>
      <c r="CE351" s="115">
        <f t="shared" si="308"/>
        <v>0</v>
      </c>
      <c r="CF351" s="115">
        <f>IF(OR(CD351=1,模拟模式!$Q$16="2个"),20,MAX(0,CF350-$F$4))</f>
        <v>0</v>
      </c>
      <c r="CG351" s="115" t="b">
        <f t="shared" si="309"/>
        <v>0</v>
      </c>
      <c r="CH351" s="115">
        <f t="shared" ca="1" si="340"/>
        <v>5.0925000000000118</v>
      </c>
      <c r="CI351" s="115" t="b">
        <f t="shared" ca="1" si="341"/>
        <v>0</v>
      </c>
      <c r="CJ351" s="119">
        <f t="shared" ca="1" si="342"/>
        <v>0</v>
      </c>
      <c r="CK351" s="115">
        <f t="shared" ca="1" si="343"/>
        <v>0</v>
      </c>
      <c r="CL351" s="115" t="b">
        <f ca="1">AND(模拟模式!$S$7="驱夷逐法",OR(AND(C351="净世破魔击·月",E350&gt;59),AND(C351="净世破魔击·日",F350&gt;59)))</f>
        <v>0</v>
      </c>
      <c r="CM351" s="115" t="b">
        <f ca="1">OR(CL351,AND(C351="净世破魔击·日",CL350,RAND()&lt;模拟模式!$U$23))</f>
        <v>0</v>
      </c>
      <c r="CN351" s="115" t="b">
        <f ca="1">IF(模拟模式!$M$7="辉耀红尘",AND(C351="净世破魔击·月",CL351,CV351=0,E350&lt;80),AND(C351="净世破魔击·月",CL351,E350&lt;100))</f>
        <v>0</v>
      </c>
      <c r="CO351" s="115" t="b">
        <f t="shared" ca="1" si="316"/>
        <v>0</v>
      </c>
      <c r="CP351" s="115" t="b">
        <f ca="1">AND(模拟模式!$O$7="用晦而明",OR(C351="净世破魔击·日",C351="净世破魔击·月",C351="驱夜断愁"),AB351)</f>
        <v>1</v>
      </c>
      <c r="CQ351" s="115" t="b">
        <f ca="1">OR(CP351,AND(CP350,RAND()&lt;模拟模式!$U$23))</f>
        <v>1</v>
      </c>
      <c r="CR351" s="115" t="b">
        <f ca="1">AND(模拟模式!$S$7="日月齐光",OR(C351="幽月轮1",C351="幽月轮2",C351="幽月轮3",CR350),NOT(OR(C351="赤日轮1",C351="赤日轮2",C351="赤日轮3")))</f>
        <v>0</v>
      </c>
      <c r="CS351" s="115" t="b">
        <f ca="1">AND(模拟模式!$S$7="日月齐光",OR(C351="赤日轮1",C351="赤日轮2",C351="赤日轮3",CS350),NOT(OR(C351="幽月轮1",C351="幽月轮2",C351="幽月轮3")))</f>
        <v>0</v>
      </c>
      <c r="CT351" s="115">
        <f t="shared" ca="1" si="344"/>
        <v>0</v>
      </c>
      <c r="CU351" s="115" t="b">
        <f ca="1">AND(模拟模式!$K$10="阴阳往极",CT350=0,RAND()&lt;IF(C351="净世破魔击·月",0.0275*7/3,IF(C351="净世破魔击·日",0.0275*3/3,0.0275*2/3)))</f>
        <v>0</v>
      </c>
      <c r="CV351" s="115">
        <f t="shared" ca="1" si="345"/>
        <v>0</v>
      </c>
      <c r="CW351" s="115">
        <f t="shared" ca="1" si="317"/>
        <v>0.46499999999999975</v>
      </c>
      <c r="CX351" s="115">
        <f t="shared" ca="1" si="318"/>
        <v>5.0774999999999997</v>
      </c>
      <c r="CY351" s="115">
        <f ca="1">MAX(IF($C351="驱夜断愁",IF(模拟模式!$R$7="万念俱寂",6,45),CY350-$F$4),0)</f>
        <v>6</v>
      </c>
      <c r="CZ351" s="115">
        <f t="shared" ca="1" si="319"/>
        <v>0</v>
      </c>
      <c r="DA351" s="115">
        <f ca="1">IF(模拟模式!$N$7="日月同辉",IF(DB350=2,0,MIN(6,IF(AND(OR(C351="赤日轮1",C351="赤日轮2",C351="赤日轮3",C351="幽月轮1",C351="幽月轮2",C351="幽月轮3"),AB351=1),DA350+1,DA350))),0)</f>
        <v>0</v>
      </c>
      <c r="DB351" s="115">
        <f t="shared" ca="1" si="320"/>
        <v>2</v>
      </c>
      <c r="DC351" s="115"/>
      <c r="DD351" s="115"/>
      <c r="DE351" s="115"/>
      <c r="DF351" s="115"/>
      <c r="DG351" s="115"/>
      <c r="DH351" s="115"/>
      <c r="DI351" s="115"/>
      <c r="DJ351" s="115"/>
      <c r="DK351" s="115"/>
      <c r="DL351" s="115"/>
      <c r="DM351" s="115"/>
    </row>
    <row r="352" spans="2:117" x14ac:dyDescent="0.2">
      <c r="B352" s="117">
        <f t="shared" si="321"/>
        <v>299.81250000000244</v>
      </c>
      <c r="C352" s="167" t="str">
        <f t="shared" ca="1" si="314"/>
        <v>烈日斩</v>
      </c>
      <c r="D352" s="115">
        <f ca="1">IF(C352="赤日轮1",1,IF(C352="赤日轮2",2,IF(C352="赤日轮3",3,IF(C352="幽月轮1",4,IF(C352="幽月轮2",5,IF(C352="幽月轮3",6,IF(C352="烈日斩",7,IF(C352="银月斩",8,IF(C352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352="净世破魔击·月",17,IF(C352="驱夜断愁",18,0)))))))))))</f>
        <v>7</v>
      </c>
      <c r="E352" s="115">
        <f ca="1">IF(AND(CU352,OR(C352="幽月轮1",C352="幽月轮2",C352="幽月轮3",C352="银月斩",C352="驱夜断愁",C352="净世破魔击·月")),100,MIN(IF(OR(CN352,BE352),0,IF(OR($C352="赤日轮1",$C352="赤日轮2",$C352="赤日轮3"),E351+20+IF(模拟模式!$I$7="日月凌天",4,0)+IF(CR351,20,0),IF($C352="烈日斩",E351+40,IF($C352="驱夜断愁",IF(模拟模式!$R$7="万念俱寂",E351+20,E351+60),IF($C352="净世破魔击·月",IF(OR(DB351&gt;0,CV351&gt;0),100,IF(模拟模式!$M$7="辉耀红尘",E351+20,E351)),IF($C352="净世破魔击·日",E351-100,E351)))))),100))</f>
        <v>80</v>
      </c>
      <c r="F352" s="115">
        <f ca="1">IF(AND(CU352,OR(C352="赤日轮1",C352="赤日轮2",C352="赤日轮3",C352="烈日斩",C352="净世破魔击·日")),100,MIN(IF(CO352,0,IF(OR($C352="幽月轮1",$C352="幽月轮2",$C352="幽月轮3"),F351+20+IF(模拟模式!$I$7="日月凌天",4,0)+IF(CS351,20,0),IF($C352="银月斩",F351+40+IF(模拟模式!$X$12=1,5,0),IF($C352="驱夜断愁",IF(模拟模式!$R$7="万念俱寂",F351+20,F351+60),IF($C352="净世破魔击·月",IF(模拟模式!$M$7="辉耀红尘",F351-80,F351-100),IF(AND(C352="净世破魔击·日",OR(DB351&gt;0,CV351&gt;0)),100,F351)))))),100))</f>
        <v>85</v>
      </c>
      <c r="G352" s="117">
        <f ca="1">('模拟-全程加成'!$E$3+'模拟-全程加成'!$E$4+'模拟-全程加成'!$E$5+('模拟-全程加成'!$C$6-'模拟-全程加成'!$C$3)*系数!$B$9+BS352*23)*(1+'模拟-全程加成'!$F$4+'模拟-全程加成'!$F$5+BJ352*10%+BM352*20%+BP352*4%+CG352*30%)+$F$7*系数!$B$12</f>
        <v>21493.829400000002</v>
      </c>
      <c r="H352" s="45">
        <f ca="1">'模拟-全程加成'!$H$3+'模拟-全程加成'!$H$4+'模拟-全程加成'!$H$5+('模拟-全程加成'!$G$4+'模拟-全程加成'!$G$5+('模拟-全程加成'!$C$6-'模拟-全程加成'!$C$3)*系数!$B$13)/系数!$B$3+LOOKUP(D352,'模拟-单技能数据'!$A$2:$A$19,'模拟-单技能数据'!$K$2:$K$19)+BG352*10%+IF(BV352&gt;0,378,0)</f>
        <v>0.56185145527300218</v>
      </c>
      <c r="I352" s="45">
        <f ca="1">'模拟-全程加成'!$J$3+'模拟-全程加成'!$J$4+'模拟-全程加成'!$J$5+('模拟-全程加成'!$I$4+'模拟-全程加成'!$I$5)/系数!$B$4+LOOKUP(D352,'模拟-单技能数据'!$A$2:$A$19,'模拟-单技能数据'!$L$2:$L$19)+BG352*10%</f>
        <v>2.2624828854998791</v>
      </c>
      <c r="J352" s="45">
        <f ca="1">(('模拟-全程加成'!$K$3+'模拟-全程加成'!$K$4+'模拟-全程加成'!$K$5+('模拟-全程加成'!$C$6-'模拟-全程加成'!$C$3)*系数!$B$10+IF(BV352&gt;0,882,0)+IF(BY352&gt;0,1831,0))*(1+'模拟-全程加成'!$L$4+'模拟-全程加成'!$L$5+CC352*20%))/系数!$B$5</f>
        <v>0.69723220422048726</v>
      </c>
      <c r="K352" s="119">
        <f ca="1">LOOKUP(D352,'模拟-单技能数据'!$A$2:$A$19,'模拟-单技能数据'!$J$2:$J$19)+IF(CM352,60%,0)+IF(DB351-DB352&gt;0,30%,0)+IF(OR(AND(OR(C352="赤日轮1",C352="赤日轮2",C352="赤日轮3"),CR352),AND(OR(C352="幽月轮1",C352="幽月轮2",C352="幽月轮3"),CS352)),35%,0)+CJ352</f>
        <v>0.24</v>
      </c>
      <c r="L352" s="119">
        <f ca="1">IF(AND(C352="烈日斩",模拟模式!$X$11=1),10%,0)+IF(AND(C352="驱夜断愁",AB352=1),30%,0)</f>
        <v>0.1</v>
      </c>
      <c r="M352" s="45">
        <f t="shared" ca="1" si="297"/>
        <v>0.56185145527300218</v>
      </c>
      <c r="N352" s="45">
        <f t="shared" ca="1" si="298"/>
        <v>0.38424854472699788</v>
      </c>
      <c r="O352" s="46">
        <f t="shared" ca="1" si="322"/>
        <v>0.12331690201587586</v>
      </c>
      <c r="P352" s="46" t="str">
        <f t="shared" ca="1" si="323"/>
        <v>会</v>
      </c>
      <c r="Q352" s="45">
        <f t="shared" ca="1" si="324"/>
        <v>2.2624828854998791</v>
      </c>
      <c r="R352" s="117">
        <f ca="1">模拟模式!$E$20*(1-IF(模拟模式!$J$19="有",0.15,0))*(1-IF(模拟模式!$K$19="有",0.3,0)-IF(CQ352,0.5,0))</f>
        <v>843.02999999999975</v>
      </c>
      <c r="S352" s="45">
        <f ca="1">R352/(R352+(185*模拟模式!$E$22-16800)*4.08224)</f>
        <v>8.389626085980037E-2</v>
      </c>
      <c r="T352" s="45" t="str">
        <f ca="1">LOOKUP(D352,'模拟-单技能数据'!$A$2:$A$19,'模拟-单技能数据'!$H$2:$H$19)</f>
        <v>阳</v>
      </c>
      <c r="U352" s="119">
        <f t="shared" ca="1" si="299"/>
        <v>0.2</v>
      </c>
      <c r="V352" s="47">
        <f ca="1">(1+L352)*(LOOKUP(D352,'模拟-单技能数据'!$A$2:$A$19,'模拟-单技能数据'!$D$2:$D$19)+G352*LOOKUP(D352,'模拟-单技能数据'!$A$2:$A$19,'模拟-单技能数据'!$F$2:$F$19))*(1+J352)*(1+K352)*(1-S352)*(1+U352)*Q352*LOOKUP(D352,'模拟-单技能数据'!$A$2:$A$19,'模拟-单技能数据'!$I$2:$I$20)</f>
        <v>110503.35617153208</v>
      </c>
      <c r="W352" s="47">
        <f ca="1">LOOKUP(D352,'模拟-单技能数据'!$A$2:$A$19,'模拟-单技能数据'!$G$2:$G$19)*$I$10</f>
        <v>361.51064354704795</v>
      </c>
      <c r="X352" s="47">
        <f t="shared" ca="1" si="325"/>
        <v>0</v>
      </c>
      <c r="Y352" s="47">
        <f t="shared" ca="1" si="300"/>
        <v>110864.86681507913</v>
      </c>
      <c r="Z352" s="49">
        <f t="shared" ca="1" si="301"/>
        <v>33993359.162613325</v>
      </c>
      <c r="AA352" s="97">
        <f t="shared" ca="1" si="302"/>
        <v>113382.06099683318</v>
      </c>
      <c r="AB352" s="115">
        <f ca="1">IF(OR(C352="赤日轮1",C352="赤日轮2",C352="赤日轮3"),IF(RAND()&lt;模拟模式!$Y$17,1,0),IF(OR(C352="幽月轮1",C352="幽月轮2",C352="幽月轮3"),IF(RAND()&lt;模拟模式!$Y$18,1,0),IF(C352="烈日斩",IF(RAND()&lt;模拟模式!$Y$19,1,0),IF(C352="银月斩",IF(RAND()&lt;模拟模式!$Y$20,1,0),IF(C352="驱夜断愁",IF(RAND()&lt;模拟模式!$Y$21,1,0),IF(C352="净世破魔击·日",IF(RAND()&lt;模拟模式!$Y$22,1,0),IF(C352="净世破魔击·月",IF(RAND()&lt;模拟模式!$Y$23,1,0),0)))))))</f>
        <v>1</v>
      </c>
      <c r="AC352" s="115" t="b">
        <f t="shared" ca="1" si="290"/>
        <v>0</v>
      </c>
      <c r="AD352" s="115" t="b">
        <f t="shared" ca="1" si="310"/>
        <v>0</v>
      </c>
      <c r="AE352" s="115">
        <f t="shared" ca="1" si="311"/>
        <v>5</v>
      </c>
      <c r="AF352" s="47">
        <f ca="1">IF(AC352,('模拟-单技能数据'!$D$20+G352*'模拟-单技能数据'!$F$20)*(1+J352)*(1+'模拟-单技能数据'!$J$20)*(1+U352),0)</f>
        <v>0</v>
      </c>
      <c r="AG352" s="61">
        <f t="shared" ca="1" si="303"/>
        <v>0.64185145527300214</v>
      </c>
      <c r="AH352" s="61">
        <f t="shared" ca="1" si="304"/>
        <v>2.2624828854998791</v>
      </c>
      <c r="AI352" s="62">
        <f t="shared" ca="1" si="326"/>
        <v>0.66513903327858426</v>
      </c>
      <c r="AJ352" s="47">
        <f ca="1">IF(AD352,IF(AI352&lt;$F$10,0,IF(AI352&lt;$F$10+$F$11,0.25,IF(AI352&lt;$F$10+$F$11+AG352,AH352,1)))*IF(AF352&gt;0,AF352,IF(AF351&gt;0,AF351,IF(AF350&gt;0,AF350,IF(AF349&gt;0,AF349,IF(AF348&gt;0,AF348,IF(AF347&gt;0,AF347,IF(AF346&gt;0,AF346,IF(AF345&gt;0,AF345,IF(AF344&gt;0,AF344,IF(AF342&gt;0,AF342,IF(AF341&gt;0,AF341,IF(AF340&gt;0,AF340,0)))))))))))),0)*(1-$S352)*'模拟-单技能数据'!$I$20</f>
        <v>0</v>
      </c>
      <c r="AK352" s="115" t="b">
        <f t="shared" ca="1" si="291"/>
        <v>0</v>
      </c>
      <c r="AL352" s="115" t="b">
        <f t="shared" ca="1" si="312"/>
        <v>0</v>
      </c>
      <c r="AM352" s="115">
        <f t="shared" ca="1" si="313"/>
        <v>4</v>
      </c>
      <c r="AN352" s="47">
        <f ca="1">IF(AK352,('模拟-单技能数据'!$D$21+G352*'模拟-单技能数据'!$F$21)*(1+J352)*(1+'模拟-单技能数据'!$J$21)*(1+U352),0)</f>
        <v>0</v>
      </c>
      <c r="AO352" s="61">
        <f ca="1">IF(AN352&gt;0,M352-'模拟-单技能数据'!$K$10,AO351)</f>
        <v>0.42185145527300216</v>
      </c>
      <c r="AP352" s="61">
        <f ca="1">IF(AN352&gt;0,I352-'模拟-单技能数据'!$L$10,AP351)</f>
        <v>2.162482885499879</v>
      </c>
      <c r="AQ352" s="63">
        <f t="shared" ca="1" si="327"/>
        <v>0.36764822478841197</v>
      </c>
      <c r="AR352" s="64">
        <f ca="1">IF(AL352,IF(AQ352&lt;$F$10,0,IF(AQ352&lt;$F$10+$F$11,0.25,IF(AQ352&lt;$F$10+$F$11+AO352,AP352,1)))*IF(AN352&gt;0,AN352,IF(AN351&gt;0,AN351,IF(AN350&gt;0,AN350,IF(AN349&gt;0,AN349,IF(AN348&gt;0,AN348,IF(AN347&gt;0,AN347,IF(AN346&gt;0,AN346,IF(AN345&gt;0,AN345,IF(AN344&gt;0,AN344,IF(AN342&gt;0,AN342,IF(AN341&gt;0,AN341,IF(AN340&gt;0,AN340,0)))))))))))),0)*(1-$S352)*'模拟-单技能数据'!$I$21</f>
        <v>0</v>
      </c>
      <c r="AS352" s="61">
        <f ca="1">IF(OR(C352="净世破魔击·日",C352="净世破魔击·月"),M352-'模拟-单技能数据'!$K$10,0)</f>
        <v>0</v>
      </c>
      <c r="AT352" s="61">
        <f ca="1">IF(OR(C352="净世破魔击·日",C352="净世破魔击·月"),I352-'模拟-单技能数据'!$L$10,0)</f>
        <v>0</v>
      </c>
      <c r="AU352" s="62">
        <f t="shared" ca="1" si="328"/>
        <v>0.35071873302636536</v>
      </c>
      <c r="AV352" s="64">
        <f ca="1">IF(AS352&gt;0,('模拟-单技能数据'!$D$22+G352*'模拟-单技能数据'!$F$22)*(1+J352)*(1-S352)*IF(AU352&lt;$F$10,0,IF(AU352&lt;$F$10+$F$11,0.25,IF(AU352&lt;$F$10+$F$11+AS352,AT352,1)))*(1+U352),0)*'模拟-单技能数据'!$I$22</f>
        <v>0</v>
      </c>
      <c r="AW352" s="108">
        <f t="shared" ca="1" si="329"/>
        <v>8.0075000000000074</v>
      </c>
      <c r="AX352" s="108" t="b">
        <f ca="1">AND(模拟模式!$P$10="有",AW351=0,RAND()&lt;IF(C352="净世破魔击·月",0.1*8/3,IF(C352="净世破魔击·日",0.1*4/3,0.1*2/3)))</f>
        <v>0</v>
      </c>
      <c r="AY352" s="47">
        <f ca="1">IF(AX352,(18+G352*0.722)*(1+J352)*(1-S352)*(1+$I$4)*IF(P352="会",'模拟-全程加成'!$J$3+'模拟-全程加成'!$J$4+'模拟-全程加成'!$J$5+('模拟-全程加成'!$I$4+'模拟-全程加成'!$I$5)/系数!$B$4+BG352*10%,IF(P352="命",1,IF(P352="识",0.25,0))),0)</f>
        <v>0</v>
      </c>
      <c r="AZ352" s="108">
        <f t="shared" si="330"/>
        <v>4.3175000000000061</v>
      </c>
      <c r="BA352" s="108" t="b">
        <f>AND(模拟模式!$Q$10="有",AZ351=0)</f>
        <v>0</v>
      </c>
      <c r="BB352" s="140">
        <f>IF(BA352,(0+G352*0.287)*(1+J352)*(1-S352)*(1+$I$4)*IF(P352="会",'模拟-全程加成'!$J$3+'模拟-全程加成'!$J$4+'模拟-全程加成'!$J$5+('模拟-全程加成'!$I$4+'模拟-全程加成'!$I$5)/系数!$B$4+BG352*10%,IF(P352="命",1,IF(P352="识",0.25,0))),0)</f>
        <v>0</v>
      </c>
      <c r="BC352" s="115" t="b">
        <f ca="1">AND(模拟模式!$R$7="伏明众生",E352=60,F352=20,DA352&lt;5,CZ351&lt;$F$4)</f>
        <v>0</v>
      </c>
      <c r="BD352" s="115">
        <f t="shared" ca="1" si="292"/>
        <v>0</v>
      </c>
      <c r="BE352" s="115" t="b">
        <f t="shared" ca="1" si="293"/>
        <v>0</v>
      </c>
      <c r="BF352" s="47">
        <f ca="1">IF(BC352,4*('模拟-单技能数据'!$D$24+G352*'模拟-单技能数据'!$F$24)*(1+J352)*(1+'模拟-单技能数据'!$J$24)*(1-S352)*(1+$I$3)*(('模拟-全程加成'!$J$3+'模拟-全程加成'!$J$4+'模拟-全程加成'!$J$5+('模拟-全程加成'!$I$4+'模拟-全程加成'!$I$5)/系数!$B$4+BG352*10%)*('模拟-全程加成'!$J$3+'模拟-全程加成'!$J$4+'模拟-全程加成'!$J$5+('模拟-全程加成'!$I$4+'模拟-全程加成'!$I$5)/系数!$B$4+BG352*10%)+(1-('模拟-全程加成'!$J$3+'模拟-全程加成'!$J$4+'模拟-全程加成'!$J$5+('模拟-全程加成'!$I$4+'模拟-全程加成'!$I$5)/系数!$B$4+BG352*10%)-$F$10-$F$11)+F338*0.25),0)*'模拟-单技能数据'!$I$24</f>
        <v>0</v>
      </c>
      <c r="BG352" s="115" t="b">
        <f ca="1">OR(AND(OR(C352="烈日斩",C352="银月斩"),模拟模式!$I$7="净身明礼"),AND(C352="净世破魔击·日",模拟模式!$J$7="洞若观火"),AND(C353="净世破魔击·月",模拟模式!$J$7="洞若观火"),AB352=1)</f>
        <v>1</v>
      </c>
      <c r="BH352" s="115" t="b">
        <f t="shared" ca="1" si="331"/>
        <v>0</v>
      </c>
      <c r="BI352" s="115">
        <f t="shared" ca="1" si="294"/>
        <v>4.1549999999999994</v>
      </c>
      <c r="BJ352" s="115" t="b">
        <f t="shared" ca="1" si="305"/>
        <v>1</v>
      </c>
      <c r="BK352" s="115" t="b">
        <f ca="1">AND(C352="驱夜断愁",模拟模式!$P$7="天地诛戮")</f>
        <v>0</v>
      </c>
      <c r="BL352" s="57">
        <f t="shared" ca="1" si="295"/>
        <v>19.077500000000001</v>
      </c>
      <c r="BM352" s="115" t="b">
        <f t="shared" ca="1" si="306"/>
        <v>1</v>
      </c>
      <c r="BN352" s="115" t="b">
        <f ca="1">AND(OR(C352="赤日轮1",C352="赤日轮2",C352="赤日轮3",C352="幽月轮1",C352="幽月轮2",C352="幽月轮3"),AB352=1,模拟模式!$L$7="明光恒照")</f>
        <v>0</v>
      </c>
      <c r="BO352" s="117">
        <f t="shared" ca="1" si="296"/>
        <v>27.232500000000002</v>
      </c>
      <c r="BP352" s="115">
        <f t="shared" ca="1" si="332"/>
        <v>6</v>
      </c>
      <c r="BQ352" s="115" t="b">
        <f>模拟模式!$K$10="2600·水"</f>
        <v>0</v>
      </c>
      <c r="BR352" s="117">
        <f t="shared" si="333"/>
        <v>0</v>
      </c>
      <c r="BS352" s="115">
        <f t="shared" si="334"/>
        <v>0</v>
      </c>
      <c r="BT352" s="115">
        <f t="shared" ca="1" si="335"/>
        <v>0</v>
      </c>
      <c r="BU352" s="115" t="b">
        <f ca="1">AND(模拟模式!$K$10="2300·雷",BT351=0,RAND()&lt;IF(C352="净世破魔击·月",5*0.05*2/3,IF(C352="净世破魔击·日",3*0.05*2/3,0.05*2*2/3)))</f>
        <v>0</v>
      </c>
      <c r="BV352" s="115">
        <f t="shared" ca="1" si="336"/>
        <v>0</v>
      </c>
      <c r="BW352" s="115">
        <f t="shared" ca="1" si="337"/>
        <v>72.067499999999271</v>
      </c>
      <c r="BX352" s="164" t="b">
        <f t="shared" ca="1" si="338"/>
        <v>0</v>
      </c>
      <c r="BY352" s="115">
        <f t="shared" ca="1" si="339"/>
        <v>0</v>
      </c>
      <c r="BZ352" s="115">
        <f>IF(OR(模拟模式!$P$16="10人团",模拟模式!$P$16="25人团"),IF(B352/30&gt;CA351,1,0),0)</f>
        <v>0</v>
      </c>
      <c r="CA352" s="115">
        <f t="shared" si="315"/>
        <v>0</v>
      </c>
      <c r="CB352" s="115">
        <f ca="1">IF(BZ352=1,IF(模拟模式!$P$16="10人团",15,0)+IF(模拟模式!$P$16="25人团",IF(RAND()&lt;0.6,15,0)),MAX(0,CB351-$F$4))</f>
        <v>0</v>
      </c>
      <c r="CC352" s="115" t="b">
        <f t="shared" ca="1" si="307"/>
        <v>0</v>
      </c>
      <c r="CD352" s="115">
        <f>IF(模拟模式!$Q$16="1个",IF(B352/40&gt;CE351,1,0),0)</f>
        <v>0</v>
      </c>
      <c r="CE352" s="115">
        <f t="shared" si="308"/>
        <v>0</v>
      </c>
      <c r="CF352" s="115">
        <f>IF(OR(CD352=1,模拟模式!$Q$16="2个"),20,MAX(0,CF351-$F$4))</f>
        <v>0</v>
      </c>
      <c r="CG352" s="115" t="b">
        <f t="shared" si="309"/>
        <v>0</v>
      </c>
      <c r="CH352" s="115">
        <f t="shared" ca="1" si="340"/>
        <v>4.1700000000000115</v>
      </c>
      <c r="CI352" s="115" t="b">
        <f t="shared" ca="1" si="341"/>
        <v>0</v>
      </c>
      <c r="CJ352" s="119">
        <f t="shared" ca="1" si="342"/>
        <v>0</v>
      </c>
      <c r="CK352" s="115">
        <f t="shared" ca="1" si="343"/>
        <v>0</v>
      </c>
      <c r="CL352" s="115" t="b">
        <f ca="1">AND(模拟模式!$S$7="驱夷逐法",OR(AND(C352="净世破魔击·月",E351&gt;59),AND(C352="净世破魔击·日",F351&gt;59)))</f>
        <v>0</v>
      </c>
      <c r="CM352" s="115" t="b">
        <f ca="1">OR(CL352,AND(C352="净世破魔击·日",CL351,RAND()&lt;模拟模式!$U$23))</f>
        <v>0</v>
      </c>
      <c r="CN352" s="115" t="b">
        <f ca="1">IF(模拟模式!$M$7="辉耀红尘",AND(C352="净世破魔击·月",CL352,CV352=0,E351&lt;80),AND(C352="净世破魔击·月",CL352,E351&lt;100))</f>
        <v>0</v>
      </c>
      <c r="CO352" s="115" t="b">
        <f t="shared" ca="1" si="316"/>
        <v>0</v>
      </c>
      <c r="CP352" s="115" t="b">
        <f ca="1">AND(模拟模式!$O$7="用晦而明",OR(C352="净世破魔击·日",C352="净世破魔击·月",C352="驱夜断愁"),AB352)</f>
        <v>0</v>
      </c>
      <c r="CQ352" s="115" t="b">
        <f ca="1">OR(CP352,AND(CP351,RAND()&lt;模拟模式!$U$23))</f>
        <v>1</v>
      </c>
      <c r="CR352" s="115" t="b">
        <f ca="1">AND(模拟模式!$S$7="日月齐光",OR(C352="幽月轮1",C352="幽月轮2",C352="幽月轮3",CR351),NOT(OR(C352="赤日轮1",C352="赤日轮2",C352="赤日轮3")))</f>
        <v>0</v>
      </c>
      <c r="CS352" s="115" t="b">
        <f ca="1">AND(模拟模式!$S$7="日月齐光",OR(C352="赤日轮1",C352="赤日轮2",C352="赤日轮3",CS351),NOT(OR(C352="幽月轮1",C352="幽月轮2",C352="幽月轮3")))</f>
        <v>0</v>
      </c>
      <c r="CT352" s="115">
        <f t="shared" ca="1" si="344"/>
        <v>0</v>
      </c>
      <c r="CU352" s="115" t="b">
        <f ca="1">AND(模拟模式!$K$10="阴阳往极",CT351=0,RAND()&lt;IF(C352="净世破魔击·月",0.0275*7/3,IF(C352="净世破魔击·日",0.0275*3/3,0.0275*2/3)))</f>
        <v>0</v>
      </c>
      <c r="CV352" s="115">
        <f t="shared" ca="1" si="345"/>
        <v>0</v>
      </c>
      <c r="CW352" s="115">
        <f t="shared" ca="1" si="317"/>
        <v>6</v>
      </c>
      <c r="CX352" s="115">
        <f t="shared" ca="1" si="318"/>
        <v>4.1549999999999994</v>
      </c>
      <c r="CY352" s="115">
        <f ca="1">MAX(IF($C352="驱夜断愁",IF(模拟模式!$R$7="万念俱寂",6,45),CY351-$F$4),0)</f>
        <v>5.0774999999999997</v>
      </c>
      <c r="CZ352" s="115">
        <f t="shared" ca="1" si="319"/>
        <v>0</v>
      </c>
      <c r="DA352" s="115">
        <f ca="1">IF(模拟模式!$N$7="日月同辉",IF(DB351=2,0,MIN(6,IF(AND(OR(C352="赤日轮1",C352="赤日轮2",C352="赤日轮3",C352="幽月轮1",C352="幽月轮2",C352="幽月轮3"),AB352=1),DA351+1,DA351))),0)</f>
        <v>0</v>
      </c>
      <c r="DB352" s="115">
        <f t="shared" ca="1" si="320"/>
        <v>2</v>
      </c>
      <c r="DC352" s="115"/>
      <c r="DD352" s="115"/>
      <c r="DE352" s="115"/>
      <c r="DF352" s="115"/>
      <c r="DG352" s="115"/>
      <c r="DH352" s="115"/>
      <c r="DI352" s="115"/>
      <c r="DJ352" s="115"/>
      <c r="DK352" s="115"/>
      <c r="DL352" s="115"/>
      <c r="DM352" s="115"/>
    </row>
    <row r="353" spans="2:117" x14ac:dyDescent="0.2">
      <c r="B353" s="117">
        <f t="shared" si="321"/>
        <v>300.73500000000246</v>
      </c>
      <c r="C353" s="167" t="str">
        <f t="shared" ca="1" si="314"/>
        <v>幽月轮1</v>
      </c>
      <c r="D353" s="115">
        <f ca="1">IF(C353="赤日轮1",1,IF(C353="赤日轮2",2,IF(C353="赤日轮3",3,IF(C353="幽月轮1",4,IF(C353="幽月轮2",5,IF(C353="幽月轮3",6,IF(C353="烈日斩",7,IF(C353="银月斩",8,IF(C353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353="净世破魔击·月",17,IF(C353="驱夜断愁",18,0)))))))))))</f>
        <v>4</v>
      </c>
      <c r="E353" s="115">
        <f ca="1">IF(AND(CU353,OR(C353="幽月轮1",C353="幽月轮2",C353="幽月轮3",C353="银月斩",C353="驱夜断愁",C353="净世破魔击·月")),100,MIN(IF(OR(CN353,BE353),0,IF(OR($C353="赤日轮1",$C353="赤日轮2",$C353="赤日轮3"),E352+20+IF(模拟模式!$I$7="日月凌天",4,0)+IF(CR352,20,0),IF($C353="烈日斩",E352+40,IF($C353="驱夜断愁",IF(模拟模式!$R$7="万念俱寂",E352+20,E352+60),IF($C353="净世破魔击·月",IF(OR(DB352&gt;0,CV352&gt;0),100,IF(模拟模式!$M$7="辉耀红尘",E352+20,E352)),IF($C353="净世破魔击·日",E352-100,E352)))))),100))</f>
        <v>80</v>
      </c>
      <c r="F353" s="115">
        <f ca="1">IF(AND(CU353,OR(C353="赤日轮1",C353="赤日轮2",C353="赤日轮3",C353="烈日斩",C353="净世破魔击·日")),100,MIN(IF(CO353,0,IF(OR($C353="幽月轮1",$C353="幽月轮2",$C353="幽月轮3"),F352+20+IF(模拟模式!$I$7="日月凌天",4,0)+IF(CS352,20,0),IF($C353="银月斩",F352+40+IF(模拟模式!$X$12=1,5,0),IF($C353="驱夜断愁",IF(模拟模式!$R$7="万念俱寂",F352+20,F352+60),IF($C353="净世破魔击·月",IF(模拟模式!$M$7="辉耀红尘",F352-80,F352-100),IF(AND(C353="净世破魔击·日",OR(DB352&gt;0,CV352&gt;0)),100,F352)))))),100))</f>
        <v>100</v>
      </c>
      <c r="G353" s="117">
        <f ca="1">('模拟-全程加成'!$E$3+'模拟-全程加成'!$E$4+'模拟-全程加成'!$E$5+('模拟-全程加成'!$C$6-'模拟-全程加成'!$C$3)*系数!$B$9+BS353*23)*(1+'模拟-全程加成'!$F$4+'模拟-全程加成'!$F$5+BJ353*10%+BM353*20%+BP353*4%+CG353*30%)+$F$7*系数!$B$12</f>
        <v>21493.829400000002</v>
      </c>
      <c r="H353" s="45">
        <f ca="1">'模拟-全程加成'!$H$3+'模拟-全程加成'!$H$4+'模拟-全程加成'!$H$5+('模拟-全程加成'!$G$4+'模拟-全程加成'!$G$5+('模拟-全程加成'!$C$6-'模拟-全程加成'!$C$3)*系数!$B$13)/系数!$B$3+LOOKUP(D353,'模拟-单技能数据'!$A$2:$A$19,'模拟-单技能数据'!$K$2:$K$19)+BG353*10%+IF(BV353&gt;0,378,0)</f>
        <v>0.51185145527300213</v>
      </c>
      <c r="I353" s="45">
        <f ca="1">'模拟-全程加成'!$J$3+'模拟-全程加成'!$J$4+'模拟-全程加成'!$J$5+('模拟-全程加成'!$I$4+'模拟-全程加成'!$I$5)/系数!$B$4+LOOKUP(D353,'模拟-单技能数据'!$A$2:$A$19,'模拟-单技能数据'!$L$2:$L$19)+BG353*10%</f>
        <v>2.162482885499879</v>
      </c>
      <c r="J353" s="45">
        <f ca="1">(('模拟-全程加成'!$K$3+'模拟-全程加成'!$K$4+'模拟-全程加成'!$K$5+('模拟-全程加成'!$C$6-'模拟-全程加成'!$C$3)*系数!$B$10+IF(BV353&gt;0,882,0)+IF(BY353&gt;0,1831,0))*(1+'模拟-全程加成'!$L$4+'模拟-全程加成'!$L$5+CC353*20%))/系数!$B$5</f>
        <v>0.69723220422048726</v>
      </c>
      <c r="K353" s="119">
        <f ca="1">LOOKUP(D353,'模拟-单技能数据'!$A$2:$A$19,'模拟-单技能数据'!$J$2:$J$19)+IF(CM353,60%,0)+IF(DB352-DB353&gt;0,30%,0)+IF(OR(AND(OR(C353="赤日轮1",C353="赤日轮2",C353="赤日轮3"),CR353),AND(OR(C353="幽月轮1",C353="幽月轮2",C353="幽月轮3"),CS353)),35%,0)+CJ353</f>
        <v>7.0000000000000007E-2</v>
      </c>
      <c r="L353" s="119">
        <f ca="1">IF(AND(C353="烈日斩",模拟模式!$X$11=1),10%,0)+IF(AND(C353="驱夜断愁",AB353=1),30%,0)</f>
        <v>0</v>
      </c>
      <c r="M353" s="45">
        <f t="shared" ca="1" si="297"/>
        <v>0.51185145527300213</v>
      </c>
      <c r="N353" s="45">
        <f t="shared" ca="1" si="298"/>
        <v>0.43424854472699792</v>
      </c>
      <c r="O353" s="46">
        <f t="shared" ca="1" si="322"/>
        <v>0.28147200207619949</v>
      </c>
      <c r="P353" s="46" t="str">
        <f t="shared" ca="1" si="323"/>
        <v>会</v>
      </c>
      <c r="Q353" s="45">
        <f t="shared" ca="1" si="324"/>
        <v>2.162482885499879</v>
      </c>
      <c r="R353" s="117">
        <f ca="1">模拟模式!$E$20*(1-IF(模拟模式!$J$19="有",0.15,0))*(1-IF(模拟模式!$K$19="有",0.3,0)-IF(CQ353,0.5,0))</f>
        <v>2950.6049999999996</v>
      </c>
      <c r="S353" s="45">
        <f ca="1">R353/(R353+(185*模拟模式!$E$22-16800)*4.08224)</f>
        <v>0.24272716014590323</v>
      </c>
      <c r="T353" s="45" t="str">
        <f ca="1">LOOKUP(D353,'模拟-单技能数据'!$A$2:$A$19,'模拟-单技能数据'!$H$2:$H$19)</f>
        <v>阴</v>
      </c>
      <c r="U353" s="119">
        <f t="shared" ca="1" si="299"/>
        <v>0.08</v>
      </c>
      <c r="V353" s="47">
        <f ca="1">(1+L353)*(LOOKUP(D353,'模拟-单技能数据'!$A$2:$A$19,'模拟-单技能数据'!$D$2:$D$19)+G353*LOOKUP(D353,'模拟-单技能数据'!$A$2:$A$19,'模拟-单技能数据'!$F$2:$F$19))*(1+J353)*(1+K353)*(1-S353)*(1+U353)*Q353*LOOKUP(D353,'模拟-单技能数据'!$A$2:$A$19,'模拟-单技能数据'!$I$2:$I$20)</f>
        <v>36630.702053185581</v>
      </c>
      <c r="W353" s="47">
        <f ca="1">LOOKUP(D353,'模拟-单技能数据'!$A$2:$A$19,'模拟-单技能数据'!$G$2:$G$19)*$I$10</f>
        <v>361.51064354704795</v>
      </c>
      <c r="X353" s="47">
        <f t="shared" ca="1" si="325"/>
        <v>17544.710041214701</v>
      </c>
      <c r="Y353" s="47">
        <f t="shared" ca="1" si="300"/>
        <v>54536.92273794733</v>
      </c>
      <c r="Z353" s="49">
        <f t="shared" ca="1" si="301"/>
        <v>34047896.085351273</v>
      </c>
      <c r="AA353" s="97">
        <f t="shared" ca="1" si="302"/>
        <v>113215.60870983089</v>
      </c>
      <c r="AB353" s="115">
        <f ca="1">IF(OR(C353="赤日轮1",C353="赤日轮2",C353="赤日轮3"),IF(RAND()&lt;模拟模式!$Y$17,1,0),IF(OR(C353="幽月轮1",C353="幽月轮2",C353="幽月轮3"),IF(RAND()&lt;模拟模式!$Y$18,1,0),IF(C353="烈日斩",IF(RAND()&lt;模拟模式!$Y$19,1,0),IF(C353="银月斩",IF(RAND()&lt;模拟模式!$Y$20,1,0),IF(C353="驱夜断愁",IF(RAND()&lt;模拟模式!$Y$21,1,0),IF(C353="净世破魔击·日",IF(RAND()&lt;模拟模式!$Y$22,1,0),IF(C353="净世破魔击·月",IF(RAND()&lt;模拟模式!$Y$23,1,0),0)))))))</f>
        <v>1</v>
      </c>
      <c r="AC353" s="115" t="b">
        <f t="shared" ca="1" si="290"/>
        <v>0</v>
      </c>
      <c r="AD353" s="115" t="b">
        <f t="shared" ca="1" si="310"/>
        <v>1</v>
      </c>
      <c r="AE353" s="115">
        <f t="shared" ca="1" si="311"/>
        <v>4</v>
      </c>
      <c r="AF353" s="47">
        <f ca="1">IF(AC353,('模拟-单技能数据'!$D$20+G353*'模拟-单技能数据'!$F$20)*(1+J353)*(1+'模拟-单技能数据'!$J$20)*(1+U353),0)</f>
        <v>0</v>
      </c>
      <c r="AG353" s="61">
        <f t="shared" ca="1" si="303"/>
        <v>0.64185145527300214</v>
      </c>
      <c r="AH353" s="61">
        <f t="shared" ca="1" si="304"/>
        <v>2.2624828854998791</v>
      </c>
      <c r="AI353" s="62">
        <f t="shared" ca="1" si="326"/>
        <v>0.35411700237790966</v>
      </c>
      <c r="AJ353" s="47">
        <f ca="1">IF(AD353,IF(AI353&lt;$F$10,0,IF(AI353&lt;$F$10+$F$11,0.25,IF(AI353&lt;$F$10+$F$11+AG353,AH353,1)))*IF(AF353&gt;0,AF353,IF(AF352&gt;0,AF352,IF(AF351&gt;0,AF351,IF(AF350&gt;0,AF350,IF(AF349&gt;0,AF349,IF(AF348&gt;0,AF348,IF(AF347&gt;0,AF347,IF(AF346&gt;0,AF346,IF(AF345&gt;0,AF345,IF(AF343&gt;0,AF343,IF(AF342&gt;0,AF342,IF(AF341&gt;0,AF341,0)))))))))))),0)*(1-$S353)*'模拟-单技能数据'!$I$20</f>
        <v>7949.3543492067038</v>
      </c>
      <c r="AK353" s="115" t="b">
        <f t="shared" ca="1" si="291"/>
        <v>0</v>
      </c>
      <c r="AL353" s="115" t="b">
        <f t="shared" ca="1" si="312"/>
        <v>1</v>
      </c>
      <c r="AM353" s="115">
        <f t="shared" ca="1" si="313"/>
        <v>3</v>
      </c>
      <c r="AN353" s="47">
        <f ca="1">IF(AK353,('模拟-单技能数据'!$D$21+G353*'模拟-单技能数据'!$F$21)*(1+J353)*(1+'模拟-单技能数据'!$J$21)*(1+U353),0)</f>
        <v>0</v>
      </c>
      <c r="AO353" s="61">
        <f ca="1">IF(AN353&gt;0,M353-'模拟-单技能数据'!$K$10,AO352)</f>
        <v>0.42185145527300216</v>
      </c>
      <c r="AP353" s="61">
        <f ca="1">IF(AN353&gt;0,I353-'模拟-单技能数据'!$L$10,AP352)</f>
        <v>2.162482885499879</v>
      </c>
      <c r="AQ353" s="63">
        <f t="shared" ca="1" si="327"/>
        <v>0.6928762771363588</v>
      </c>
      <c r="AR353" s="64">
        <f ca="1">IF(AL353,IF(AQ353&lt;$F$10,0,IF(AQ353&lt;$F$10+$F$11,0.25,IF(AQ353&lt;$F$10+$F$11+AO353,AP353,1)))*IF(AN353&gt;0,AN353,IF(AN352&gt;0,AN352,IF(AN351&gt;0,AN351,IF(AN350&gt;0,AN350,IF(AN349&gt;0,AN349,IF(AN348&gt;0,AN348,IF(AN347&gt;0,AN347,IF(AN346&gt;0,AN346,IF(AN345&gt;0,AN345,IF(AN343&gt;0,AN343,IF(AN342&gt;0,AN342,IF(AN341&gt;0,AN341,0)))))))))))),0)*(1-$S353)*'模拟-单技能数据'!$I$21</f>
        <v>9595.3556920079973</v>
      </c>
      <c r="AS353" s="61">
        <f ca="1">IF(OR(C353="净世破魔击·日",C353="净世破魔击·月"),M353-'模拟-单技能数据'!$K$10,0)</f>
        <v>0</v>
      </c>
      <c r="AT353" s="61">
        <f ca="1">IF(OR(C353="净世破魔击·日",C353="净世破魔击·月"),I353-'模拟-单技能数据'!$L$10,0)</f>
        <v>0</v>
      </c>
      <c r="AU353" s="62">
        <f t="shared" ca="1" si="328"/>
        <v>0.81069095882359699</v>
      </c>
      <c r="AV353" s="64">
        <f ca="1">IF(AS353&gt;0,('模拟-单技能数据'!$D$22+G353*'模拟-单技能数据'!$F$22)*(1+J353)*(1-S353)*IF(AU353&lt;$F$10,0,IF(AU353&lt;$F$10+$F$11,0.25,IF(AU353&lt;$F$10+$F$11+AS353,AT353,1)))*(1+U353),0)*'模拟-单技能数据'!$I$22</f>
        <v>0</v>
      </c>
      <c r="AW353" s="108">
        <f t="shared" ca="1" si="329"/>
        <v>7.0850000000000071</v>
      </c>
      <c r="AX353" s="108" t="b">
        <f ca="1">AND(模拟模式!$P$10="有",AW352=0,RAND()&lt;IF(C353="净世破魔击·月",0.1*8/3,IF(C353="净世破魔击·日",0.1*4/3,0.1*2/3)))</f>
        <v>0</v>
      </c>
      <c r="AY353" s="47">
        <f ca="1">IF(AX353,(18+G353*0.722)*(1+J353)*(1-S353)*(1+$I$4)*IF(P353="会",'模拟-全程加成'!$J$3+'模拟-全程加成'!$J$4+'模拟-全程加成'!$J$5+('模拟-全程加成'!$I$4+'模拟-全程加成'!$I$5)/系数!$B$4+BG353*10%,IF(P353="命",1,IF(P353="识",0.25,0))),0)</f>
        <v>0</v>
      </c>
      <c r="AZ353" s="108">
        <f t="shared" si="330"/>
        <v>3.3950000000000062</v>
      </c>
      <c r="BA353" s="108" t="b">
        <f>AND(模拟模式!$Q$10="有",AZ352=0)</f>
        <v>0</v>
      </c>
      <c r="BB353" s="140">
        <f>IF(BA353,(0+G353*0.287)*(1+J353)*(1-S353)*(1+$I$4)*IF(P353="会",'模拟-全程加成'!$J$3+'模拟-全程加成'!$J$4+'模拟-全程加成'!$J$5+('模拟-全程加成'!$I$4+'模拟-全程加成'!$I$5)/系数!$B$4+BG353*10%,IF(P353="命",1,IF(P353="识",0.25,0))),0)</f>
        <v>0</v>
      </c>
      <c r="BC353" s="115" t="b">
        <f ca="1">AND(模拟模式!$R$7="伏明众生",E353=60,F353=20,DA353&lt;5,CZ352&lt;$F$4)</f>
        <v>0</v>
      </c>
      <c r="BD353" s="115">
        <f t="shared" ca="1" si="292"/>
        <v>0</v>
      </c>
      <c r="BE353" s="115" t="b">
        <f t="shared" ca="1" si="293"/>
        <v>0</v>
      </c>
      <c r="BF353" s="47">
        <f ca="1">IF(BC353,4*('模拟-单技能数据'!$D$24+G353*'模拟-单技能数据'!$F$24)*(1+J353)*(1+'模拟-单技能数据'!$J$24)*(1-S353)*(1+$I$3)*(('模拟-全程加成'!$J$3+'模拟-全程加成'!$J$4+'模拟-全程加成'!$J$5+('模拟-全程加成'!$I$4+'模拟-全程加成'!$I$5)/系数!$B$4+BG353*10%)*('模拟-全程加成'!$J$3+'模拟-全程加成'!$J$4+'模拟-全程加成'!$J$5+('模拟-全程加成'!$I$4+'模拟-全程加成'!$I$5)/系数!$B$4+BG353*10%)+(1-('模拟-全程加成'!$J$3+'模拟-全程加成'!$J$4+'模拟-全程加成'!$J$5+('模拟-全程加成'!$I$4+'模拟-全程加成'!$I$5)/系数!$B$4+BG353*10%)-$F$10-$F$11)+F339*0.25),0)*'模拟-单技能数据'!$I$24</f>
        <v>0</v>
      </c>
      <c r="BG353" s="115" t="b">
        <f ca="1">OR(AND(OR(C353="烈日斩",C353="银月斩"),模拟模式!$I$7="净身明礼"),AND(C353="净世破魔击·日",模拟模式!$J$7="洞若观火"),AND(C354="净世破魔击·月",模拟模式!$J$7="洞若观火"),AB353=1)</f>
        <v>1</v>
      </c>
      <c r="BH353" s="115" t="b">
        <f t="shared" ca="1" si="331"/>
        <v>0</v>
      </c>
      <c r="BI353" s="115">
        <f t="shared" ca="1" si="294"/>
        <v>3.2324999999999995</v>
      </c>
      <c r="BJ353" s="115" t="b">
        <f t="shared" ca="1" si="305"/>
        <v>1</v>
      </c>
      <c r="BK353" s="115" t="b">
        <f ca="1">AND(C353="驱夜断愁",模拟模式!$P$7="天地诛戮")</f>
        <v>0</v>
      </c>
      <c r="BL353" s="57">
        <f t="shared" ca="1" si="295"/>
        <v>18.155000000000001</v>
      </c>
      <c r="BM353" s="115" t="b">
        <f t="shared" ca="1" si="306"/>
        <v>1</v>
      </c>
      <c r="BN353" s="115" t="b">
        <f ca="1">AND(OR(C353="赤日轮1",C353="赤日轮2",C353="赤日轮3",C353="幽月轮1",C353="幽月轮2",C353="幽月轮3"),AB353=1,模拟模式!$L$7="明光恒照")</f>
        <v>1</v>
      </c>
      <c r="BO353" s="117">
        <f t="shared" ca="1" si="296"/>
        <v>30</v>
      </c>
      <c r="BP353" s="115">
        <f t="shared" ca="1" si="332"/>
        <v>6</v>
      </c>
      <c r="BQ353" s="115" t="b">
        <f>模拟模式!$K$10="2600·水"</f>
        <v>0</v>
      </c>
      <c r="BR353" s="117">
        <f t="shared" si="333"/>
        <v>0</v>
      </c>
      <c r="BS353" s="115">
        <f t="shared" si="334"/>
        <v>0</v>
      </c>
      <c r="BT353" s="115">
        <f t="shared" ca="1" si="335"/>
        <v>0</v>
      </c>
      <c r="BU353" s="115" t="b">
        <f ca="1">AND(模拟模式!$K$10="2300·雷",BT352=0,RAND()&lt;IF(C353="净世破魔击·月",5*0.05*2/3,IF(C353="净世破魔击·日",3*0.05*2/3,0.05*2*2/3)))</f>
        <v>0</v>
      </c>
      <c r="BV353" s="115">
        <f t="shared" ca="1" si="336"/>
        <v>0</v>
      </c>
      <c r="BW353" s="115">
        <f t="shared" ca="1" si="337"/>
        <v>71.144999999999271</v>
      </c>
      <c r="BX353" s="164" t="b">
        <f t="shared" ca="1" si="338"/>
        <v>0</v>
      </c>
      <c r="BY353" s="115">
        <f t="shared" ca="1" si="339"/>
        <v>0</v>
      </c>
      <c r="BZ353" s="115">
        <f>IF(OR(模拟模式!$P$16="10人团",模拟模式!$P$16="25人团"),IF(B353/30&gt;CA352,1,0),0)</f>
        <v>0</v>
      </c>
      <c r="CA353" s="115">
        <f t="shared" si="315"/>
        <v>0</v>
      </c>
      <c r="CB353" s="115">
        <f ca="1">IF(BZ353=1,IF(模拟模式!$P$16="10人团",15,0)+IF(模拟模式!$P$16="25人团",IF(RAND()&lt;0.6,15,0)),MAX(0,CB352-$F$4))</f>
        <v>0</v>
      </c>
      <c r="CC353" s="115" t="b">
        <f t="shared" ca="1" si="307"/>
        <v>0</v>
      </c>
      <c r="CD353" s="115">
        <f>IF(模拟模式!$Q$16="1个",IF(B353/40&gt;CE352,1,0),0)</f>
        <v>0</v>
      </c>
      <c r="CE353" s="115">
        <f t="shared" si="308"/>
        <v>0</v>
      </c>
      <c r="CF353" s="115">
        <f>IF(OR(CD353=1,模拟模式!$Q$16="2个"),20,MAX(0,CF352-$F$4))</f>
        <v>0</v>
      </c>
      <c r="CG353" s="115" t="b">
        <f t="shared" si="309"/>
        <v>0</v>
      </c>
      <c r="CH353" s="115">
        <f t="shared" ca="1" si="340"/>
        <v>3.2475000000000116</v>
      </c>
      <c r="CI353" s="115" t="b">
        <f t="shared" ca="1" si="341"/>
        <v>0</v>
      </c>
      <c r="CJ353" s="119">
        <f t="shared" ca="1" si="342"/>
        <v>0</v>
      </c>
      <c r="CK353" s="115">
        <f t="shared" ca="1" si="343"/>
        <v>0</v>
      </c>
      <c r="CL353" s="115" t="b">
        <f ca="1">AND(模拟模式!$S$7="驱夷逐法",OR(AND(C353="净世破魔击·月",E352&gt;59),AND(C353="净世破魔击·日",F352&gt;59)))</f>
        <v>0</v>
      </c>
      <c r="CM353" s="115" t="b">
        <f ca="1">OR(CL353,AND(C353="净世破魔击·日",CL352,RAND()&lt;模拟模式!$U$23))</f>
        <v>0</v>
      </c>
      <c r="CN353" s="115" t="b">
        <f ca="1">IF(模拟模式!$M$7="辉耀红尘",AND(C353="净世破魔击·月",CL353,CV353=0,E352&lt;80),AND(C353="净世破魔击·月",CL353,E352&lt;100))</f>
        <v>0</v>
      </c>
      <c r="CO353" s="115" t="b">
        <f t="shared" ca="1" si="316"/>
        <v>0</v>
      </c>
      <c r="CP353" s="115" t="b">
        <f ca="1">AND(模拟模式!$O$7="用晦而明",OR(C353="净世破魔击·日",C353="净世破魔击·月",C353="驱夜断愁"),AB353)</f>
        <v>0</v>
      </c>
      <c r="CQ353" s="115" t="b">
        <f ca="1">OR(CP353,AND(CP352,RAND()&lt;模拟模式!$U$23))</f>
        <v>0</v>
      </c>
      <c r="CR353" s="115" t="b">
        <f ca="1">AND(模拟模式!$S$7="日月齐光",OR(C353="幽月轮1",C353="幽月轮2",C353="幽月轮3",CR352),NOT(OR(C353="赤日轮1",C353="赤日轮2",C353="赤日轮3")))</f>
        <v>0</v>
      </c>
      <c r="CS353" s="115" t="b">
        <f ca="1">AND(模拟模式!$S$7="日月齐光",OR(C353="赤日轮1",C353="赤日轮2",C353="赤日轮3",CS352),NOT(OR(C353="幽月轮1",C353="幽月轮2",C353="幽月轮3")))</f>
        <v>0</v>
      </c>
      <c r="CT353" s="115">
        <f t="shared" ca="1" si="344"/>
        <v>0</v>
      </c>
      <c r="CU353" s="115" t="b">
        <f ca="1">AND(模拟模式!$K$10="阴阳往极",CT352=0,RAND()&lt;IF(C353="净世破魔击·月",0.0275*7/3,IF(C353="净世破魔击·日",0.0275*3/3,0.0275*2/3)))</f>
        <v>0</v>
      </c>
      <c r="CV353" s="115">
        <f t="shared" ca="1" si="345"/>
        <v>0</v>
      </c>
      <c r="CW353" s="115">
        <f t="shared" ca="1" si="317"/>
        <v>5.0774999999999997</v>
      </c>
      <c r="CX353" s="115">
        <f t="shared" ca="1" si="318"/>
        <v>3.2324999999999995</v>
      </c>
      <c r="CY353" s="115">
        <f ca="1">MAX(IF($C353="驱夜断愁",IF(模拟模式!$R$7="万念俱寂",6,45),CY352-$F$4),0)</f>
        <v>4.1549999999999994</v>
      </c>
      <c r="CZ353" s="115">
        <f t="shared" ca="1" si="319"/>
        <v>0</v>
      </c>
      <c r="DA353" s="115">
        <f ca="1">IF(模拟模式!$N$7="日月同辉",IF(DB352=2,0,MIN(6,IF(AND(OR(C353="赤日轮1",C353="赤日轮2",C353="赤日轮3",C353="幽月轮1",C353="幽月轮2",C353="幽月轮3"),AB353=1),DA352+1,DA352))),0)</f>
        <v>0</v>
      </c>
      <c r="DB353" s="115">
        <f t="shared" ca="1" si="320"/>
        <v>2</v>
      </c>
      <c r="DC353" s="115"/>
      <c r="DD353" s="115"/>
      <c r="DE353" s="115"/>
      <c r="DF353" s="115"/>
      <c r="DG353" s="115"/>
      <c r="DH353" s="115"/>
      <c r="DI353" s="115"/>
      <c r="DJ353" s="115"/>
      <c r="DK353" s="115"/>
      <c r="DL353" s="115"/>
      <c r="DM353" s="115"/>
    </row>
    <row r="354" spans="2:117" x14ac:dyDescent="0.2">
      <c r="B354" s="117">
        <f t="shared" si="321"/>
        <v>301.65750000000247</v>
      </c>
      <c r="C354" s="167" t="str">
        <f t="shared" ca="1" si="314"/>
        <v>净世破魔击·月</v>
      </c>
      <c r="D354" s="115">
        <f ca="1">IF(C354="赤日轮1",1,IF(C354="赤日轮2",2,IF(C354="赤日轮3",3,IF(C354="幽月轮1",4,IF(C354="幽月轮2",5,IF(C354="幽月轮3",6,IF(C354="烈日斩",7,IF(C354="银月斩",8,IF(C354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354="净世破魔击·月",17,IF(C354="驱夜断愁",18,0)))))))))))</f>
        <v>17</v>
      </c>
      <c r="E354" s="115">
        <f ca="1">IF(AND(CU354,OR(C354="幽月轮1",C354="幽月轮2",C354="幽月轮3",C354="银月斩",C354="驱夜断愁",C354="净世破魔击·月")),100,MIN(IF(OR(CN354,BE354),0,IF(OR($C354="赤日轮1",$C354="赤日轮2",$C354="赤日轮3"),E353+20+IF(模拟模式!$I$7="日月凌天",4,0)+IF(CR353,20,0),IF($C354="烈日斩",E353+40,IF($C354="驱夜断愁",IF(模拟模式!$R$7="万念俱寂",E353+20,E353+60),IF($C354="净世破魔击·月",IF(OR(DB353&gt;0,CV353&gt;0),100,IF(模拟模式!$M$7="辉耀红尘",E353+20,E353)),IF($C354="净世破魔击·日",E353-100,E353)))))),100))</f>
        <v>100</v>
      </c>
      <c r="F354" s="115">
        <f ca="1">IF(AND(CU354,OR(C354="赤日轮1",C354="赤日轮2",C354="赤日轮3",C354="烈日斩",C354="净世破魔击·日")),100,MIN(IF(CO354,0,IF(OR($C354="幽月轮1",$C354="幽月轮2",$C354="幽月轮3"),F353+20+IF(模拟模式!$I$7="日月凌天",4,0)+IF(CS353,20,0),IF($C354="银月斩",F353+40+IF(模拟模式!$X$12=1,5,0),IF($C354="驱夜断愁",IF(模拟模式!$R$7="万念俱寂",F353+20,F353+60),IF($C354="净世破魔击·月",IF(模拟模式!$M$7="辉耀红尘",F353-80,F353-100),IF(AND(C354="净世破魔击·日",OR(DB353&gt;0,CV353&gt;0)),100,F353)))))),100))</f>
        <v>20</v>
      </c>
      <c r="G354" s="117">
        <f ca="1">('模拟-全程加成'!$E$3+'模拟-全程加成'!$E$4+'模拟-全程加成'!$E$5+('模拟-全程加成'!$C$6-'模拟-全程加成'!$C$3)*系数!$B$9+BS354*23)*(1+'模拟-全程加成'!$F$4+'模拟-全程加成'!$F$5+BJ354*10%+BM354*20%+BP354*4%+CG354*30%)+$F$7*系数!$B$12</f>
        <v>21493.829400000002</v>
      </c>
      <c r="H354" s="45">
        <f ca="1">'模拟-全程加成'!$H$3+'模拟-全程加成'!$H$4+'模拟-全程加成'!$H$5+('模拟-全程加成'!$G$4+'模拟-全程加成'!$G$5+('模拟-全程加成'!$C$6-'模拟-全程加成'!$C$3)*系数!$B$13)/系数!$B$3+LOOKUP(D354,'模拟-单技能数据'!$A$2:$A$19,'模拟-单技能数据'!$K$2:$K$19)+BG354*10%+IF(BV354&gt;0,378,0)</f>
        <v>0.54185145527300216</v>
      </c>
      <c r="I354" s="45">
        <f ca="1">'模拟-全程加成'!$J$3+'模拟-全程加成'!$J$4+'模拟-全程加成'!$J$5+('模拟-全程加成'!$I$4+'模拟-全程加成'!$I$5)/系数!$B$4+LOOKUP(D354,'模拟-单技能数据'!$A$2:$A$19,'模拟-单技能数据'!$L$2:$L$19)+BG354*10%</f>
        <v>2.162482885499879</v>
      </c>
      <c r="J354" s="45">
        <f ca="1">(('模拟-全程加成'!$K$3+'模拟-全程加成'!$K$4+'模拟-全程加成'!$K$5+('模拟-全程加成'!$C$6-'模拟-全程加成'!$C$3)*系数!$B$10+IF(BV354&gt;0,882,0)+IF(BY354&gt;0,1831,0))*(1+'模拟-全程加成'!$L$4+'模拟-全程加成'!$L$5+CC354*20%))/系数!$B$5</f>
        <v>0.69723220422048726</v>
      </c>
      <c r="K354" s="119">
        <f ca="1">LOOKUP(D354,'模拟-单技能数据'!$A$2:$A$19,'模拟-单技能数据'!$J$2:$J$19)+IF(CM354,60%,0)+IF(DB353-DB354&gt;0,30%,0)+IF(OR(AND(OR(C354="赤日轮1",C354="赤日轮2",C354="赤日轮3"),CR354),AND(OR(C354="幽月轮1",C354="幽月轮2",C354="幽月轮3"),CS354)),35%,0)+CJ354</f>
        <v>1.1000000000000001</v>
      </c>
      <c r="L354" s="119">
        <f ca="1">IF(AND(C354="烈日斩",模拟模式!$X$11=1),10%,0)+IF(AND(C354="驱夜断愁",AB354=1),30%,0)</f>
        <v>0</v>
      </c>
      <c r="M354" s="45">
        <f t="shared" ca="1" si="297"/>
        <v>0.54185145527300216</v>
      </c>
      <c r="N354" s="45">
        <f t="shared" ca="1" si="298"/>
        <v>0.40424854472699789</v>
      </c>
      <c r="O354" s="46">
        <f t="shared" ca="1" si="322"/>
        <v>0.75587984445343814</v>
      </c>
      <c r="P354" s="46" t="str">
        <f t="shared" ca="1" si="323"/>
        <v>命</v>
      </c>
      <c r="Q354" s="45">
        <f t="shared" ca="1" si="324"/>
        <v>1</v>
      </c>
      <c r="R354" s="117">
        <f ca="1">模拟模式!$E$20*(1-IF(模拟模式!$J$19="有",0.15,0))*(1-IF(模拟模式!$K$19="有",0.3,0)-IF(CQ354,0.5,0))</f>
        <v>843.02999999999975</v>
      </c>
      <c r="S354" s="45">
        <f ca="1">R354/(R354+(185*模拟模式!$E$22-16800)*4.08224)</f>
        <v>8.389626085980037E-2</v>
      </c>
      <c r="T354" s="45" t="str">
        <f ca="1">LOOKUP(D354,'模拟-单技能数据'!$A$2:$A$19,'模拟-单技能数据'!$H$2:$H$19)</f>
        <v>阴</v>
      </c>
      <c r="U354" s="119">
        <f t="shared" ca="1" si="299"/>
        <v>0.08</v>
      </c>
      <c r="V354" s="47">
        <f ca="1">(1+L354)*(LOOKUP(D354,'模拟-单技能数据'!$A$2:$A$19,'模拟-单技能数据'!$D$2:$D$19)+G354*LOOKUP(D354,'模拟-单技能数据'!$A$2:$A$19,'模拟-单技能数据'!$F$2:$F$19))*(1+J354)*(1+K354)*(1-S354)*(1+U354)*Q354*LOOKUP(D354,'模拟-单技能数据'!$A$2:$A$19,'模拟-单技能数据'!$I$2:$I$20)</f>
        <v>98481.592340073315</v>
      </c>
      <c r="W354" s="47">
        <f ca="1">LOOKUP(D354,'模拟-单技能数据'!$A$2:$A$19,'模拟-单技能数据'!$G$2:$G$19)*$I$10</f>
        <v>361.51064354704795</v>
      </c>
      <c r="X354" s="47">
        <f t="shared" ca="1" si="325"/>
        <v>7956.2107573714466</v>
      </c>
      <c r="Y354" s="47">
        <f t="shared" ca="1" si="300"/>
        <v>106799.31374099181</v>
      </c>
      <c r="Z354" s="49">
        <f t="shared" ca="1" si="301"/>
        <v>34154695.399092264</v>
      </c>
      <c r="AA354" s="97">
        <f t="shared" ca="1" si="302"/>
        <v>113223.4252391934</v>
      </c>
      <c r="AB354" s="115">
        <f ca="1">IF(OR(C354="赤日轮1",C354="赤日轮2",C354="赤日轮3"),IF(RAND()&lt;模拟模式!$Y$17,1,0),IF(OR(C354="幽月轮1",C354="幽月轮2",C354="幽月轮3"),IF(RAND()&lt;模拟模式!$Y$18,1,0),IF(C354="烈日斩",IF(RAND()&lt;模拟模式!$Y$19,1,0),IF(C354="银月斩",IF(RAND()&lt;模拟模式!$Y$20,1,0),IF(C354="驱夜断愁",IF(RAND()&lt;模拟模式!$Y$21,1,0),IF(C354="净世破魔击·日",IF(RAND()&lt;模拟模式!$Y$22,1,0),IF(C354="净世破魔击·月",IF(RAND()&lt;模拟模式!$Y$23,1,0),0)))))))</f>
        <v>1</v>
      </c>
      <c r="AC354" s="115" t="b">
        <f t="shared" ca="1" si="290"/>
        <v>0</v>
      </c>
      <c r="AD354" s="115" t="b">
        <f t="shared" ca="1" si="310"/>
        <v>0</v>
      </c>
      <c r="AE354" s="115">
        <f t="shared" ca="1" si="311"/>
        <v>4</v>
      </c>
      <c r="AF354" s="47">
        <f ca="1">IF(AC354,('模拟-单技能数据'!$D$20+G354*'模拟-单技能数据'!$F$20)*(1+J354)*(1+'模拟-单技能数据'!$J$20)*(1+U354),0)</f>
        <v>0</v>
      </c>
      <c r="AG354" s="61">
        <f t="shared" ca="1" si="303"/>
        <v>0.64185145527300214</v>
      </c>
      <c r="AH354" s="61">
        <f t="shared" ca="1" si="304"/>
        <v>2.2624828854998791</v>
      </c>
      <c r="AI354" s="62">
        <f t="shared" ca="1" si="326"/>
        <v>0.94076254918378244</v>
      </c>
      <c r="AJ354" s="47">
        <f ca="1">IF(AD354,IF(AI354&lt;$F$10,0,IF(AI354&lt;$F$10+$F$11,0.25,IF(AI354&lt;$F$10+$F$11+AG354,AH354,1)))*IF(AF354&gt;0,AF354,IF(AF353&gt;0,AF353,IF(AF352&gt;0,AF352,IF(AF351&gt;0,AF351,IF(AF350&gt;0,AF350,IF(AF349&gt;0,AF349,IF(AF348&gt;0,AF348,IF(AF347&gt;0,AF347,IF(AF346&gt;0,AF346,IF(AF344&gt;0,AF344,IF(AF343&gt;0,AF343,IF(AF342&gt;0,AF342,0)))))))))))),0)*(1-$S354)*'模拟-单技能数据'!$I$20</f>
        <v>0</v>
      </c>
      <c r="AK354" s="115" t="b">
        <f t="shared" ca="1" si="291"/>
        <v>0</v>
      </c>
      <c r="AL354" s="115" t="b">
        <f t="shared" ca="1" si="312"/>
        <v>0</v>
      </c>
      <c r="AM354" s="115">
        <f t="shared" ca="1" si="313"/>
        <v>3</v>
      </c>
      <c r="AN354" s="47">
        <f ca="1">IF(AK354,('模拟-单技能数据'!$D$21+G354*'模拟-单技能数据'!$F$21)*(1+J354)*(1+'模拟-单技能数据'!$J$21)*(1+U354),0)</f>
        <v>0</v>
      </c>
      <c r="AO354" s="61">
        <f ca="1">IF(AN354&gt;0,M354-'模拟-单技能数据'!$K$10,AO353)</f>
        <v>0.42185145527300216</v>
      </c>
      <c r="AP354" s="61">
        <f ca="1">IF(AN354&gt;0,I354-'模拟-单技能数据'!$L$10,AP353)</f>
        <v>2.162482885499879</v>
      </c>
      <c r="AQ354" s="63">
        <f t="shared" ca="1" si="327"/>
        <v>0.91560736614073868</v>
      </c>
      <c r="AR354" s="64">
        <f ca="1">IF(AL354,IF(AQ354&lt;$F$10,0,IF(AQ354&lt;$F$10+$F$11,0.25,IF(AQ354&lt;$F$10+$F$11+AO354,AP354,1)))*IF(AN354&gt;0,AN354,IF(AN353&gt;0,AN353,IF(AN352&gt;0,AN352,IF(AN351&gt;0,AN351,IF(AN350&gt;0,AN350,IF(AN349&gt;0,AN349,IF(AN348&gt;0,AN348,IF(AN347&gt;0,AN347,IF(AN346&gt;0,AN346,IF(AN344&gt;0,AN344,IF(AN343&gt;0,AN343,IF(AN342&gt;0,AN342,0)))))))))))),0)*(1-$S354)*'模拟-单技能数据'!$I$21</f>
        <v>0</v>
      </c>
      <c r="AS354" s="61">
        <f ca="1">IF(OR(C354="净世破魔击·日",C354="净世破魔击·月"),M354-'模拟-单技能数据'!$K$10,0)</f>
        <v>0.42185145527300216</v>
      </c>
      <c r="AT354" s="61">
        <f ca="1">IF(OR(C354="净世破魔击·日",C354="净世破魔击·月"),I354-'模拟-单技能数据'!$L$10,0)</f>
        <v>2.162482885499879</v>
      </c>
      <c r="AU354" s="62">
        <f t="shared" ca="1" si="328"/>
        <v>0.97126574200945659</v>
      </c>
      <c r="AV354" s="64">
        <f ca="1">IF(AS354&gt;0,('模拟-单技能数据'!$D$22+G354*'模拟-单技能数据'!$F$22)*(1+J354)*(1-S354)*IF(AU354&lt;$F$10,0,IF(AU354&lt;$F$10+$F$11,0.25,IF(AU354&lt;$F$10+$F$11+AS354,AT354,1)))*(1+U354),0)*'模拟-单技能数据'!$I$22</f>
        <v>7956.2107573714466</v>
      </c>
      <c r="AW354" s="108">
        <f t="shared" ca="1" si="329"/>
        <v>6.1625000000000068</v>
      </c>
      <c r="AX354" s="108" t="b">
        <f ca="1">AND(模拟模式!$P$10="有",AW353=0,RAND()&lt;IF(C354="净世破魔击·月",0.1*8/3,IF(C354="净世破魔击·日",0.1*4/3,0.1*2/3)))</f>
        <v>0</v>
      </c>
      <c r="AY354" s="47">
        <f ca="1">IF(AX354,(18+G354*0.722)*(1+J354)*(1-S354)*(1+$I$4)*IF(P354="会",'模拟-全程加成'!$J$3+'模拟-全程加成'!$J$4+'模拟-全程加成'!$J$5+('模拟-全程加成'!$I$4+'模拟-全程加成'!$I$5)/系数!$B$4+BG354*10%,IF(P354="命",1,IF(P354="识",0.25,0))),0)</f>
        <v>0</v>
      </c>
      <c r="AZ354" s="108">
        <f t="shared" si="330"/>
        <v>2.4725000000000064</v>
      </c>
      <c r="BA354" s="108" t="b">
        <f>AND(模拟模式!$Q$10="有",AZ353=0)</f>
        <v>0</v>
      </c>
      <c r="BB354" s="140">
        <f>IF(BA354,(0+G354*0.287)*(1+J354)*(1-S354)*(1+$I$4)*IF(P354="会",'模拟-全程加成'!$J$3+'模拟-全程加成'!$J$4+'模拟-全程加成'!$J$5+('模拟-全程加成'!$I$4+'模拟-全程加成'!$I$5)/系数!$B$4+BG354*10%,IF(P354="命",1,IF(P354="识",0.25,0))),0)</f>
        <v>0</v>
      </c>
      <c r="BC354" s="115" t="b">
        <f ca="1">AND(模拟模式!$R$7="伏明众生",E354=60,F354=20,DA354&lt;5,CZ353&lt;$F$4)</f>
        <v>0</v>
      </c>
      <c r="BD354" s="115">
        <f t="shared" ca="1" si="292"/>
        <v>0</v>
      </c>
      <c r="BE354" s="115" t="b">
        <f t="shared" ca="1" si="293"/>
        <v>0</v>
      </c>
      <c r="BF354" s="47">
        <f ca="1">IF(BC354,4*('模拟-单技能数据'!$D$24+G354*'模拟-单技能数据'!$F$24)*(1+J354)*(1+'模拟-单技能数据'!$J$24)*(1-S354)*(1+$I$3)*(('模拟-全程加成'!$J$3+'模拟-全程加成'!$J$4+'模拟-全程加成'!$J$5+('模拟-全程加成'!$I$4+'模拟-全程加成'!$I$5)/系数!$B$4+BG354*10%)*('模拟-全程加成'!$J$3+'模拟-全程加成'!$J$4+'模拟-全程加成'!$J$5+('模拟-全程加成'!$I$4+'模拟-全程加成'!$I$5)/系数!$B$4+BG354*10%)+(1-('模拟-全程加成'!$J$3+'模拟-全程加成'!$J$4+'模拟-全程加成'!$J$5+('模拟-全程加成'!$I$4+'模拟-全程加成'!$I$5)/系数!$B$4+BG354*10%)-$F$10-$F$11)+F340*0.25),0)*'模拟-单技能数据'!$I$24</f>
        <v>0</v>
      </c>
      <c r="BG354" s="115" t="b">
        <f ca="1">OR(AND(OR(C354="烈日斩",C354="银月斩"),模拟模式!$I$7="净身明礼"),AND(C354="净世破魔击·日",模拟模式!$J$7="洞若观火"),AND(C355="净世破魔击·月",模拟模式!$J$7="洞若观火"),AB354=1)</f>
        <v>1</v>
      </c>
      <c r="BH354" s="115" t="b">
        <f t="shared" ca="1" si="331"/>
        <v>0</v>
      </c>
      <c r="BI354" s="115">
        <f t="shared" ca="1" si="294"/>
        <v>2.3099999999999996</v>
      </c>
      <c r="BJ354" s="115" t="b">
        <f t="shared" ca="1" si="305"/>
        <v>1</v>
      </c>
      <c r="BK354" s="115" t="b">
        <f ca="1">AND(C354="驱夜断愁",模拟模式!$P$7="天地诛戮")</f>
        <v>0</v>
      </c>
      <c r="BL354" s="57">
        <f t="shared" ca="1" si="295"/>
        <v>17.232500000000002</v>
      </c>
      <c r="BM354" s="115" t="b">
        <f t="shared" ca="1" si="306"/>
        <v>1</v>
      </c>
      <c r="BN354" s="115" t="b">
        <f ca="1">AND(OR(C354="赤日轮1",C354="赤日轮2",C354="赤日轮3",C354="幽月轮1",C354="幽月轮2",C354="幽月轮3"),AB354=1,模拟模式!$L$7="明光恒照")</f>
        <v>0</v>
      </c>
      <c r="BO354" s="117">
        <f t="shared" ca="1" si="296"/>
        <v>29.077500000000001</v>
      </c>
      <c r="BP354" s="115">
        <f t="shared" ca="1" si="332"/>
        <v>6</v>
      </c>
      <c r="BQ354" s="115" t="b">
        <f>模拟模式!$K$10="2600·水"</f>
        <v>0</v>
      </c>
      <c r="BR354" s="117">
        <f t="shared" si="333"/>
        <v>0</v>
      </c>
      <c r="BS354" s="115">
        <f t="shared" si="334"/>
        <v>0</v>
      </c>
      <c r="BT354" s="115">
        <f t="shared" ca="1" si="335"/>
        <v>0</v>
      </c>
      <c r="BU354" s="115" t="b">
        <f ca="1">AND(模拟模式!$K$10="2300·雷",BT353=0,RAND()&lt;IF(C354="净世破魔击·月",5*0.05*2/3,IF(C354="净世破魔击·日",3*0.05*2/3,0.05*2*2/3)))</f>
        <v>0</v>
      </c>
      <c r="BV354" s="115">
        <f t="shared" ca="1" si="336"/>
        <v>0</v>
      </c>
      <c r="BW354" s="115">
        <f t="shared" ca="1" si="337"/>
        <v>70.222499999999272</v>
      </c>
      <c r="BX354" s="164" t="b">
        <f t="shared" ca="1" si="338"/>
        <v>0</v>
      </c>
      <c r="BY354" s="115">
        <f t="shared" ca="1" si="339"/>
        <v>0</v>
      </c>
      <c r="BZ354" s="115">
        <f>IF(OR(模拟模式!$P$16="10人团",模拟模式!$P$16="25人团"),IF(B354/30&gt;CA353,1,0),0)</f>
        <v>0</v>
      </c>
      <c r="CA354" s="115">
        <f t="shared" si="315"/>
        <v>0</v>
      </c>
      <c r="CB354" s="115">
        <f ca="1">IF(BZ354=1,IF(模拟模式!$P$16="10人团",15,0)+IF(模拟模式!$P$16="25人团",IF(RAND()&lt;0.6,15,0)),MAX(0,CB353-$F$4))</f>
        <v>0</v>
      </c>
      <c r="CC354" s="115" t="b">
        <f t="shared" ca="1" si="307"/>
        <v>0</v>
      </c>
      <c r="CD354" s="115">
        <f>IF(模拟模式!$Q$16="1个",IF(B354/40&gt;CE353,1,0),0)</f>
        <v>0</v>
      </c>
      <c r="CE354" s="115">
        <f t="shared" si="308"/>
        <v>0</v>
      </c>
      <c r="CF354" s="115">
        <f>IF(OR(CD354=1,模拟模式!$Q$16="2个"),20,MAX(0,CF353-$F$4))</f>
        <v>0</v>
      </c>
      <c r="CG354" s="115" t="b">
        <f t="shared" si="309"/>
        <v>0</v>
      </c>
      <c r="CH354" s="115">
        <f t="shared" ca="1" si="340"/>
        <v>2.3250000000000117</v>
      </c>
      <c r="CI354" s="115" t="b">
        <f t="shared" ca="1" si="341"/>
        <v>0</v>
      </c>
      <c r="CJ354" s="119">
        <f t="shared" ca="1" si="342"/>
        <v>0</v>
      </c>
      <c r="CK354" s="115">
        <f t="shared" ca="1" si="343"/>
        <v>0</v>
      </c>
      <c r="CL354" s="115" t="b">
        <f ca="1">AND(模拟模式!$S$7="驱夷逐法",OR(AND(C354="净世破魔击·月",E353&gt;59),AND(C354="净世破魔击·日",F353&gt;59)))</f>
        <v>1</v>
      </c>
      <c r="CM354" s="115" t="b">
        <f ca="1">OR(CL354,AND(C354="净世破魔击·日",CL353,RAND()&lt;模拟模式!$U$23))</f>
        <v>1</v>
      </c>
      <c r="CN354" s="115" t="b">
        <f ca="1">IF(模拟模式!$M$7="辉耀红尘",AND(C354="净世破魔击·月",CL354,CV354=0,E353&lt;80),AND(C354="净世破魔击·月",CL354,E353&lt;100))</f>
        <v>0</v>
      </c>
      <c r="CO354" s="115" t="b">
        <f t="shared" ca="1" si="316"/>
        <v>0</v>
      </c>
      <c r="CP354" s="115" t="b">
        <f ca="1">AND(模拟模式!$O$7="用晦而明",OR(C354="净世破魔击·日",C354="净世破魔击·月",C354="驱夜断愁"),AB354)</f>
        <v>1</v>
      </c>
      <c r="CQ354" s="115" t="b">
        <f ca="1">OR(CP354,AND(CP353,RAND()&lt;模拟模式!$U$23))</f>
        <v>1</v>
      </c>
      <c r="CR354" s="115" t="b">
        <f ca="1">AND(模拟模式!$S$7="日月齐光",OR(C354="幽月轮1",C354="幽月轮2",C354="幽月轮3",CR353),NOT(OR(C354="赤日轮1",C354="赤日轮2",C354="赤日轮3")))</f>
        <v>0</v>
      </c>
      <c r="CS354" s="115" t="b">
        <f ca="1">AND(模拟模式!$S$7="日月齐光",OR(C354="赤日轮1",C354="赤日轮2",C354="赤日轮3",CS353),NOT(OR(C354="幽月轮1",C354="幽月轮2",C354="幽月轮3")))</f>
        <v>0</v>
      </c>
      <c r="CT354" s="115">
        <f t="shared" ca="1" si="344"/>
        <v>30</v>
      </c>
      <c r="CU354" s="115" t="b">
        <f ca="1">AND(模拟模式!$K$10="阴阳往极",CT353=0,RAND()&lt;IF(C354="净世破魔击·月",0.0275*7/3,IF(C354="净世破魔击·日",0.0275*3/3,0.0275*2/3)))</f>
        <v>1</v>
      </c>
      <c r="CV354" s="115">
        <f t="shared" ca="1" si="345"/>
        <v>4.0774999999999997</v>
      </c>
      <c r="CW354" s="115">
        <f t="shared" ca="1" si="317"/>
        <v>4.1549999999999994</v>
      </c>
      <c r="CX354" s="115">
        <f t="shared" ca="1" si="318"/>
        <v>2.3099999999999996</v>
      </c>
      <c r="CY354" s="115">
        <f ca="1">MAX(IF($C354="驱夜断愁",IF(模拟模式!$R$7="万念俱寂",6,45),CY353-$F$4),0)</f>
        <v>3.2324999999999995</v>
      </c>
      <c r="CZ354" s="115">
        <f t="shared" ca="1" si="319"/>
        <v>0</v>
      </c>
      <c r="DA354" s="115">
        <f ca="1">IF(模拟模式!$N$7="日月同辉",IF(DB353=2,0,MIN(6,IF(AND(OR(C354="赤日轮1",C354="赤日轮2",C354="赤日轮3",C354="幽月轮1",C354="幽月轮2",C354="幽月轮3"),AB354=1),DA353+1,DA353))),0)</f>
        <v>0</v>
      </c>
      <c r="DB354" s="115">
        <f t="shared" ca="1" si="320"/>
        <v>1</v>
      </c>
      <c r="DC354" s="115"/>
      <c r="DD354" s="115"/>
      <c r="DE354" s="115"/>
      <c r="DF354" s="115"/>
      <c r="DG354" s="115"/>
      <c r="DH354" s="115"/>
      <c r="DI354" s="115"/>
      <c r="DJ354" s="115"/>
      <c r="DK354" s="115"/>
      <c r="DL354" s="115"/>
      <c r="DM354" s="115"/>
    </row>
    <row r="355" spans="2:117" x14ac:dyDescent="0.2">
      <c r="B355" s="117">
        <f t="shared" si="321"/>
        <v>302.58000000000249</v>
      </c>
      <c r="C355" s="167" t="str">
        <f t="shared" ca="1" si="314"/>
        <v>净世破魔击·日</v>
      </c>
      <c r="D355" s="115">
        <f ca="1">IF(C355="赤日轮1",1,IF(C355="赤日轮2",2,IF(C355="赤日轮3",3,IF(C355="幽月轮1",4,IF(C355="幽月轮2",5,IF(C355="幽月轮3",6,IF(C355="烈日斩",7,IF(C355="银月斩",8,IF(C355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355="净世破魔击·月",17,IF(C355="驱夜断愁",18,0)))))))))))</f>
        <v>9</v>
      </c>
      <c r="E355" s="115">
        <f ca="1">IF(AND(CU355,OR(C355="幽月轮1",C355="幽月轮2",C355="幽月轮3",C355="银月斩",C355="驱夜断愁",C355="净世破魔击·月")),100,MIN(IF(OR(CN355,BE355),0,IF(OR($C355="赤日轮1",$C355="赤日轮2",$C355="赤日轮3"),E354+20+IF(模拟模式!$I$7="日月凌天",4,0)+IF(CR354,20,0),IF($C355="烈日斩",E354+40,IF($C355="驱夜断愁",IF(模拟模式!$R$7="万念俱寂",E354+20,E354+60),IF($C355="净世破魔击·月",IF(OR(DB354&gt;0,CV354&gt;0),100,IF(模拟模式!$M$7="辉耀红尘",E354+20,E354)),IF($C355="净世破魔击·日",E354-100,E354)))))),100))</f>
        <v>0</v>
      </c>
      <c r="F355" s="115">
        <f ca="1">IF(AND(CU355,OR(C355="赤日轮1",C355="赤日轮2",C355="赤日轮3",C355="烈日斩",C355="净世破魔击·日")),100,MIN(IF(CO355,0,IF(OR($C355="幽月轮1",$C355="幽月轮2",$C355="幽月轮3"),F354+20+IF(模拟模式!$I$7="日月凌天",4,0)+IF(CS354,20,0),IF($C355="银月斩",F354+40+IF(模拟模式!$X$12=1,5,0),IF($C355="驱夜断愁",IF(模拟模式!$R$7="万念俱寂",F354+20,F354+60),IF($C355="净世破魔击·月",IF(模拟模式!$M$7="辉耀红尘",F354-80,F354-100),IF(AND(C355="净世破魔击·日",OR(DB354&gt;0,CV354&gt;0)),100,F354)))))),100))</f>
        <v>100</v>
      </c>
      <c r="G355" s="117">
        <f ca="1">('模拟-全程加成'!$E$3+'模拟-全程加成'!$E$4+'模拟-全程加成'!$E$5+('模拟-全程加成'!$C$6-'模拟-全程加成'!$C$3)*系数!$B$9+BS355*23)*(1+'模拟-全程加成'!$F$4+'模拟-全程加成'!$F$5+BJ355*10%+BM355*20%+BP355*4%+CG355*30%)+$F$7*系数!$B$12</f>
        <v>21493.829400000002</v>
      </c>
      <c r="H355" s="45">
        <f ca="1">'模拟-全程加成'!$H$3+'模拟-全程加成'!$H$4+'模拟-全程加成'!$H$5+('模拟-全程加成'!$G$4+'模拟-全程加成'!$G$5+('模拟-全程加成'!$C$6-'模拟-全程加成'!$C$3)*系数!$B$13)/系数!$B$3+LOOKUP(D355,'模拟-单技能数据'!$A$2:$A$19,'模拟-单技能数据'!$K$2:$K$19)+BG355*10%+IF(BV355&gt;0,378,0)</f>
        <v>0.54185145527300216</v>
      </c>
      <c r="I355" s="45">
        <f ca="1">'模拟-全程加成'!$J$3+'模拟-全程加成'!$J$4+'模拟-全程加成'!$J$5+('模拟-全程加成'!$I$4+'模拟-全程加成'!$I$5)/系数!$B$4+LOOKUP(D355,'模拟-单技能数据'!$A$2:$A$19,'模拟-单技能数据'!$L$2:$L$19)+BG355*10%</f>
        <v>2.162482885499879</v>
      </c>
      <c r="J355" s="45">
        <f ca="1">(('模拟-全程加成'!$K$3+'模拟-全程加成'!$K$4+'模拟-全程加成'!$K$5+('模拟-全程加成'!$C$6-'模拟-全程加成'!$C$3)*系数!$B$10+IF(BV355&gt;0,882,0)+IF(BY355&gt;0,1831,0))*(1+'模拟-全程加成'!$L$4+'模拟-全程加成'!$L$5+CC355*20%))/系数!$B$5</f>
        <v>0.69723220422048726</v>
      </c>
      <c r="K355" s="119">
        <f ca="1">LOOKUP(D355,'模拟-单技能数据'!$A$2:$A$19,'模拟-单技能数据'!$J$2:$J$19)+IF(CM355,60%,0)+IF(DB354-DB355&gt;0,30%,0)+IF(OR(AND(OR(C355="赤日轮1",C355="赤日轮2",C355="赤日轮3"),CR355),AND(OR(C355="幽月轮1",C355="幽月轮2",C355="幽月轮3"),CS355)),35%,0)+CJ355</f>
        <v>1.1000000000000001</v>
      </c>
      <c r="L355" s="119">
        <f ca="1">IF(AND(C355="烈日斩",模拟模式!$X$11=1),10%,0)+IF(AND(C355="驱夜断愁",AB355=1),30%,0)</f>
        <v>0</v>
      </c>
      <c r="M355" s="45">
        <f t="shared" ca="1" si="297"/>
        <v>0.54185145527300216</v>
      </c>
      <c r="N355" s="45">
        <f t="shared" ca="1" si="298"/>
        <v>0.40424854472699789</v>
      </c>
      <c r="O355" s="46">
        <f t="shared" ca="1" si="322"/>
        <v>0.70554238954222792</v>
      </c>
      <c r="P355" s="46" t="str">
        <f t="shared" ca="1" si="323"/>
        <v>命</v>
      </c>
      <c r="Q355" s="45">
        <f t="shared" ca="1" si="324"/>
        <v>1</v>
      </c>
      <c r="R355" s="117">
        <f ca="1">模拟模式!$E$20*(1-IF(模拟模式!$J$19="有",0.15,0))*(1-IF(模拟模式!$K$19="有",0.3,0)-IF(CQ355,0.5,0))</f>
        <v>843.02999999999975</v>
      </c>
      <c r="S355" s="45">
        <f ca="1">R355/(R355+(185*模拟模式!$E$22-16800)*4.08224)</f>
        <v>8.389626085980037E-2</v>
      </c>
      <c r="T355" s="45" t="str">
        <f ca="1">LOOKUP(D355,'模拟-单技能数据'!$A$2:$A$19,'模拟-单技能数据'!$H$2:$H$19)</f>
        <v>阳</v>
      </c>
      <c r="U355" s="119">
        <f t="shared" ca="1" si="299"/>
        <v>0.2</v>
      </c>
      <c r="V355" s="47">
        <f ca="1">(1+L355)*(LOOKUP(D355,'模拟-单技能数据'!$A$2:$A$19,'模拟-单技能数据'!$D$2:$D$19)+G355*LOOKUP(D355,'模拟-单技能数据'!$A$2:$A$19,'模拟-单技能数据'!$F$2:$F$19))*(1+J355)*(1+K355)*(1-S355)*(1+U355)*Q355*LOOKUP(D355,'模拟-单技能数据'!$A$2:$A$19,'模拟-单技能数据'!$I$2:$I$20)</f>
        <v>110337.92595746904</v>
      </c>
      <c r="W355" s="47">
        <f ca="1">LOOKUP(D355,'模拟-单技能数据'!$A$2:$A$19,'模拟-单技能数据'!$G$2:$G$19)*$I$10</f>
        <v>723.0212870940959</v>
      </c>
      <c r="X355" s="47">
        <f t="shared" ca="1" si="325"/>
        <v>43558.758757103926</v>
      </c>
      <c r="Y355" s="47">
        <f t="shared" ca="1" si="300"/>
        <v>154619.70600166707</v>
      </c>
      <c r="Z355" s="49">
        <f t="shared" ca="1" si="301"/>
        <v>34309315.105093934</v>
      </c>
      <c r="AA355" s="97">
        <f t="shared" ca="1" si="302"/>
        <v>113389.23625187934</v>
      </c>
      <c r="AB355" s="115">
        <f ca="1">IF(OR(C355="赤日轮1",C355="赤日轮2",C355="赤日轮3"),IF(RAND()&lt;模拟模式!$Y$17,1,0),IF(OR(C355="幽月轮1",C355="幽月轮2",C355="幽月轮3"),IF(RAND()&lt;模拟模式!$Y$18,1,0),IF(C355="烈日斩",IF(RAND()&lt;模拟模式!$Y$19,1,0),IF(C355="银月斩",IF(RAND()&lt;模拟模式!$Y$20,1,0),IF(C355="驱夜断愁",IF(RAND()&lt;模拟模式!$Y$21,1,0),IF(C355="净世破魔击·日",IF(RAND()&lt;模拟模式!$Y$22,1,0),IF(C355="净世破魔击·月",IF(RAND()&lt;模拟模式!$Y$23,1,0),0)))))))</f>
        <v>1</v>
      </c>
      <c r="AC355" s="115" t="b">
        <f t="shared" ca="1" si="290"/>
        <v>0</v>
      </c>
      <c r="AD355" s="115" t="b">
        <f t="shared" ca="1" si="310"/>
        <v>1</v>
      </c>
      <c r="AE355" s="115">
        <f t="shared" ca="1" si="311"/>
        <v>3</v>
      </c>
      <c r="AF355" s="47">
        <f ca="1">IF(AC355,('模拟-单技能数据'!$D$20+G355*'模拟-单技能数据'!$F$20)*(1+J355)*(1+'模拟-单技能数据'!$J$20)*(1+U355),0)</f>
        <v>0</v>
      </c>
      <c r="AG355" s="61">
        <f t="shared" ca="1" si="303"/>
        <v>0.64185145527300214</v>
      </c>
      <c r="AH355" s="61">
        <f t="shared" ca="1" si="304"/>
        <v>2.2624828854998791</v>
      </c>
      <c r="AI355" s="62">
        <f t="shared" ca="1" si="326"/>
        <v>0.20068695950899018</v>
      </c>
      <c r="AJ355" s="47">
        <f ca="1">IF(AD355,IF(AI355&lt;$F$10,0,IF(AI355&lt;$F$10+$F$11,0.25,IF(AI355&lt;$F$10+$F$11+AG355,AH355,1)))*IF(AF355&gt;0,AF355,IF(AF354&gt;0,AF354,IF(AF353&gt;0,AF353,IF(AF352&gt;0,AF352,IF(AF351&gt;0,AF351,IF(AF350&gt;0,AF350,IF(AF349&gt;0,AF349,IF(AF348&gt;0,AF348,IF(AF347&gt;0,AF347,IF(AF345&gt;0,AF345,IF(AF344&gt;0,AF344,IF(AF343&gt;0,AF343,0)))))))))))),0)*(1-$S355)*'模拟-单技能数据'!$I$20</f>
        <v>9616.6571145767884</v>
      </c>
      <c r="AK355" s="115" t="b">
        <f t="shared" ca="1" si="291"/>
        <v>1</v>
      </c>
      <c r="AL355" s="115" t="b">
        <f t="shared" ca="1" si="312"/>
        <v>1</v>
      </c>
      <c r="AM355" s="115">
        <f t="shared" ca="1" si="313"/>
        <v>5</v>
      </c>
      <c r="AN355" s="47">
        <f ca="1">IF(AK355,('模拟-单技能数据'!$D$21+G355*'模拟-单技能数据'!$F$21)*(1+J355)*(1+'模拟-单技能数据'!$J$21)*(1+U355),0)</f>
        <v>12670.936004857545</v>
      </c>
      <c r="AO355" s="61">
        <f ca="1">IF(AN355&gt;0,M355-'模拟-单技能数据'!$K$10,AO354)</f>
        <v>0.42185145527300216</v>
      </c>
      <c r="AP355" s="61">
        <f ca="1">IF(AN355&gt;0,I355-'模拟-单技能数据'!$L$10,AP354)</f>
        <v>2.162482885499879</v>
      </c>
      <c r="AQ355" s="63">
        <f t="shared" ca="1" si="327"/>
        <v>0.26086391347343429</v>
      </c>
      <c r="AR355" s="64">
        <f ca="1">IF(AL355,IF(AQ355&lt;$F$10,0,IF(AQ355&lt;$F$10+$F$11,0.25,IF(AQ355&lt;$F$10+$F$11+AO355,AP355,1)))*IF(AN355&gt;0,AN355,IF(AN354&gt;0,AN354,IF(AN353&gt;0,AN353,IF(AN352&gt;0,AN352,IF(AN351&gt;0,AN351,IF(AN350&gt;0,AN350,IF(AN349&gt;0,AN349,IF(AN348&gt;0,AN348,IF(AN347&gt;0,AN347,IF(AN345&gt;0,AN345,IF(AN344&gt;0,AN344,IF(AN343&gt;0,AN343,0)))))))))))),0)*(1-$S355)*'模拟-单技能数据'!$I$21</f>
        <v>25101.867467669974</v>
      </c>
      <c r="AS355" s="61">
        <f ca="1">IF(OR(C355="净世破魔击·日",C355="净世破魔击·月"),M355-'模拟-单技能数据'!$K$10,0)</f>
        <v>0.42185145527300216</v>
      </c>
      <c r="AT355" s="61">
        <f ca="1">IF(OR(C355="净世破魔击·日",C355="净世破魔击·月"),I355-'模拟-单技能数据'!$L$10,0)</f>
        <v>2.162482885499879</v>
      </c>
      <c r="AU355" s="62">
        <f t="shared" ca="1" si="328"/>
        <v>0.97765944061516763</v>
      </c>
      <c r="AV355" s="64">
        <f ca="1">IF(AS355&gt;0,('模拟-单技能数据'!$D$22+G355*'模拟-单技能数据'!$F$22)*(1+J355)*(1-S355)*IF(AU355&lt;$F$10,0,IF(AU355&lt;$F$10+$F$11,0.25,IF(AU355&lt;$F$10+$F$11+AS355,AT355,1)))*(1+U355),0)*'模拟-单技能数据'!$I$22</f>
        <v>8840.2341748571616</v>
      </c>
      <c r="AW355" s="108">
        <f t="shared" ca="1" si="329"/>
        <v>5.2400000000000064</v>
      </c>
      <c r="AX355" s="108" t="b">
        <f ca="1">AND(模拟模式!$P$10="有",AW354=0,RAND()&lt;IF(C355="净世破魔击·月",0.1*8/3,IF(C355="净世破魔击·日",0.1*4/3,0.1*2/3)))</f>
        <v>0</v>
      </c>
      <c r="AY355" s="47">
        <f ca="1">IF(AX355,(18+G355*0.722)*(1+J355)*(1-S355)*(1+$I$4)*IF(P355="会",'模拟-全程加成'!$J$3+'模拟-全程加成'!$J$4+'模拟-全程加成'!$J$5+('模拟-全程加成'!$I$4+'模拟-全程加成'!$I$5)/系数!$B$4+BG355*10%,IF(P355="命",1,IF(P355="识",0.25,0))),0)</f>
        <v>0</v>
      </c>
      <c r="AZ355" s="108">
        <f t="shared" si="330"/>
        <v>1.5500000000000065</v>
      </c>
      <c r="BA355" s="108" t="b">
        <f>AND(模拟模式!$Q$10="有",AZ354=0)</f>
        <v>0</v>
      </c>
      <c r="BB355" s="140">
        <f>IF(BA355,(0+G355*0.287)*(1+J355)*(1-S355)*(1+$I$4)*IF(P355="会",'模拟-全程加成'!$J$3+'模拟-全程加成'!$J$4+'模拟-全程加成'!$J$5+('模拟-全程加成'!$I$4+'模拟-全程加成'!$I$5)/系数!$B$4+BG355*10%,IF(P355="命",1,IF(P355="识",0.25,0))),0)</f>
        <v>0</v>
      </c>
      <c r="BC355" s="115" t="b">
        <f ca="1">AND(模拟模式!$R$7="伏明众生",E355=60,F355=20,DA355&lt;5,CZ354&lt;$F$4)</f>
        <v>0</v>
      </c>
      <c r="BD355" s="115">
        <f t="shared" ca="1" si="292"/>
        <v>0</v>
      </c>
      <c r="BE355" s="115" t="b">
        <f t="shared" ca="1" si="293"/>
        <v>0</v>
      </c>
      <c r="BF355" s="47">
        <f ca="1">IF(BC355,4*('模拟-单技能数据'!$D$24+G355*'模拟-单技能数据'!$F$24)*(1+J355)*(1+'模拟-单技能数据'!$J$24)*(1-S355)*(1+$I$3)*(('模拟-全程加成'!$J$3+'模拟-全程加成'!$J$4+'模拟-全程加成'!$J$5+('模拟-全程加成'!$I$4+'模拟-全程加成'!$I$5)/系数!$B$4+BG355*10%)*('模拟-全程加成'!$J$3+'模拟-全程加成'!$J$4+'模拟-全程加成'!$J$5+('模拟-全程加成'!$I$4+'模拟-全程加成'!$I$5)/系数!$B$4+BG355*10%)+(1-('模拟-全程加成'!$J$3+'模拟-全程加成'!$J$4+'模拟-全程加成'!$J$5+('模拟-全程加成'!$I$4+'模拟-全程加成'!$I$5)/系数!$B$4+BG355*10%)-$F$10-$F$11)+F341*0.25),0)*'模拟-单技能数据'!$I$24</f>
        <v>0</v>
      </c>
      <c r="BG355" s="115" t="b">
        <f ca="1">OR(AND(OR(C355="烈日斩",C355="银月斩"),模拟模式!$I$7="净身明礼"),AND(C355="净世破魔击·日",模拟模式!$J$7="洞若观火"),AND(C356="净世破魔击·月",模拟模式!$J$7="洞若观火"),AB355=1)</f>
        <v>1</v>
      </c>
      <c r="BH355" s="115" t="b">
        <f t="shared" ca="1" si="331"/>
        <v>0</v>
      </c>
      <c r="BI355" s="115">
        <f t="shared" ca="1" si="294"/>
        <v>1.3874999999999997</v>
      </c>
      <c r="BJ355" s="115" t="b">
        <f t="shared" ca="1" si="305"/>
        <v>1</v>
      </c>
      <c r="BK355" s="115" t="b">
        <f ca="1">AND(C355="驱夜断愁",模拟模式!$P$7="天地诛戮")</f>
        <v>0</v>
      </c>
      <c r="BL355" s="57">
        <f t="shared" ca="1" si="295"/>
        <v>16.310000000000002</v>
      </c>
      <c r="BM355" s="115" t="b">
        <f t="shared" ca="1" si="306"/>
        <v>1</v>
      </c>
      <c r="BN355" s="115" t="b">
        <f ca="1">AND(OR(C355="赤日轮1",C355="赤日轮2",C355="赤日轮3",C355="幽月轮1",C355="幽月轮2",C355="幽月轮3"),AB355=1,模拟模式!$L$7="明光恒照")</f>
        <v>0</v>
      </c>
      <c r="BO355" s="117">
        <f t="shared" ca="1" si="296"/>
        <v>28.155000000000001</v>
      </c>
      <c r="BP355" s="115">
        <f t="shared" ca="1" si="332"/>
        <v>6</v>
      </c>
      <c r="BQ355" s="115" t="b">
        <f>模拟模式!$K$10="2600·水"</f>
        <v>0</v>
      </c>
      <c r="BR355" s="117">
        <f t="shared" si="333"/>
        <v>0</v>
      </c>
      <c r="BS355" s="115">
        <f t="shared" si="334"/>
        <v>0</v>
      </c>
      <c r="BT355" s="115">
        <f t="shared" ca="1" si="335"/>
        <v>0</v>
      </c>
      <c r="BU355" s="115" t="b">
        <f ca="1">AND(模拟模式!$K$10="2300·雷",BT354=0,RAND()&lt;IF(C355="净世破魔击·月",5*0.05*2/3,IF(C355="净世破魔击·日",3*0.05*2/3,0.05*2*2/3)))</f>
        <v>0</v>
      </c>
      <c r="BV355" s="115">
        <f t="shared" ca="1" si="336"/>
        <v>0</v>
      </c>
      <c r="BW355" s="115">
        <f t="shared" ca="1" si="337"/>
        <v>69.299999999999272</v>
      </c>
      <c r="BX355" s="164" t="b">
        <f t="shared" ca="1" si="338"/>
        <v>0</v>
      </c>
      <c r="BY355" s="115">
        <f t="shared" ca="1" si="339"/>
        <v>0</v>
      </c>
      <c r="BZ355" s="115">
        <f>IF(OR(模拟模式!$P$16="10人团",模拟模式!$P$16="25人团"),IF(B355/30&gt;CA354,1,0),0)</f>
        <v>0</v>
      </c>
      <c r="CA355" s="115">
        <f t="shared" si="315"/>
        <v>0</v>
      </c>
      <c r="CB355" s="115">
        <f ca="1">IF(BZ355=1,IF(模拟模式!$P$16="10人团",15,0)+IF(模拟模式!$P$16="25人团",IF(RAND()&lt;0.6,15,0)),MAX(0,CB354-$F$4))</f>
        <v>0</v>
      </c>
      <c r="CC355" s="115" t="b">
        <f t="shared" ca="1" si="307"/>
        <v>0</v>
      </c>
      <c r="CD355" s="115">
        <f>IF(模拟模式!$Q$16="1个",IF(B355/40&gt;CE354,1,0),0)</f>
        <v>0</v>
      </c>
      <c r="CE355" s="115">
        <f t="shared" si="308"/>
        <v>0</v>
      </c>
      <c r="CF355" s="115">
        <f>IF(OR(CD355=1,模拟模式!$Q$16="2个"),20,MAX(0,CF354-$F$4))</f>
        <v>0</v>
      </c>
      <c r="CG355" s="115" t="b">
        <f t="shared" si="309"/>
        <v>0</v>
      </c>
      <c r="CH355" s="115">
        <f t="shared" ca="1" si="340"/>
        <v>1.4025000000000118</v>
      </c>
      <c r="CI355" s="115" t="b">
        <f t="shared" ca="1" si="341"/>
        <v>0</v>
      </c>
      <c r="CJ355" s="119">
        <f t="shared" ca="1" si="342"/>
        <v>0</v>
      </c>
      <c r="CK355" s="115">
        <f t="shared" ca="1" si="343"/>
        <v>0</v>
      </c>
      <c r="CL355" s="115" t="b">
        <f ca="1">AND(模拟模式!$S$7="驱夷逐法",OR(AND(C355="净世破魔击·月",E354&gt;59),AND(C355="净世破魔击·日",F354&gt;59)))</f>
        <v>0</v>
      </c>
      <c r="CM355" s="115" t="b">
        <f ca="1">OR(CL355,AND(C355="净世破魔击·日",CL354,RAND()&lt;模拟模式!$U$23))</f>
        <v>1</v>
      </c>
      <c r="CN355" s="115" t="b">
        <f ca="1">IF(模拟模式!$M$7="辉耀红尘",AND(C355="净世破魔击·月",CL355,CV355=0,E354&lt;80),AND(C355="净世破魔击·月",CL355,E354&lt;100))</f>
        <v>0</v>
      </c>
      <c r="CO355" s="115" t="b">
        <f t="shared" ca="1" si="316"/>
        <v>0</v>
      </c>
      <c r="CP355" s="115" t="b">
        <f ca="1">AND(模拟模式!$O$7="用晦而明",OR(C355="净世破魔击·日",C355="净世破魔击·月",C355="驱夜断愁"),AB355)</f>
        <v>1</v>
      </c>
      <c r="CQ355" s="115" t="b">
        <f ca="1">OR(CP355,AND(CP354,RAND()&lt;模拟模式!$U$23))</f>
        <v>1</v>
      </c>
      <c r="CR355" s="115" t="b">
        <f ca="1">AND(模拟模式!$S$7="日月齐光",OR(C355="幽月轮1",C355="幽月轮2",C355="幽月轮3",CR354),NOT(OR(C355="赤日轮1",C355="赤日轮2",C355="赤日轮3")))</f>
        <v>0</v>
      </c>
      <c r="CS355" s="115" t="b">
        <f ca="1">AND(模拟模式!$S$7="日月齐光",OR(C355="赤日轮1",C355="赤日轮2",C355="赤日轮3",CS354),NOT(OR(C355="幽月轮1",C355="幽月轮2",C355="幽月轮3")))</f>
        <v>0</v>
      </c>
      <c r="CT355" s="115">
        <f t="shared" ca="1" si="344"/>
        <v>29.077500000000001</v>
      </c>
      <c r="CU355" s="115" t="b">
        <f ca="1">AND(模拟模式!$K$10="阴阳往极",CT354=0,RAND()&lt;IF(C355="净世破魔击·月",0.0275*7/3,IF(C355="净世破魔击·日",0.0275*3/3,0.0275*2/3)))</f>
        <v>0</v>
      </c>
      <c r="CV355" s="115">
        <f t="shared" ca="1" si="345"/>
        <v>3.1549999999999998</v>
      </c>
      <c r="CW355" s="115">
        <f t="shared" ca="1" si="317"/>
        <v>3.2324999999999995</v>
      </c>
      <c r="CX355" s="115">
        <f t="shared" ca="1" si="318"/>
        <v>1.3874999999999997</v>
      </c>
      <c r="CY355" s="115">
        <f ca="1">MAX(IF($C355="驱夜断愁",IF(模拟模式!$R$7="万念俱寂",6,45),CY354-$F$4),0)</f>
        <v>2.3099999999999996</v>
      </c>
      <c r="CZ355" s="115">
        <f t="shared" ca="1" si="319"/>
        <v>0</v>
      </c>
      <c r="DA355" s="115">
        <f ca="1">IF(模拟模式!$N$7="日月同辉",IF(DB354=2,0,MIN(6,IF(AND(OR(C355="赤日轮1",C355="赤日轮2",C355="赤日轮3",C355="幽月轮1",C355="幽月轮2",C355="幽月轮3"),AB355=1),DA354+1,DA354))),0)</f>
        <v>0</v>
      </c>
      <c r="DB355" s="115">
        <f t="shared" ca="1" si="320"/>
        <v>0</v>
      </c>
      <c r="DC355" s="115"/>
      <c r="DD355" s="115"/>
      <c r="DE355" s="115"/>
      <c r="DF355" s="115"/>
      <c r="DG355" s="115"/>
      <c r="DH355" s="115"/>
      <c r="DI355" s="115"/>
      <c r="DJ355" s="115"/>
      <c r="DK355" s="115"/>
      <c r="DL355" s="115"/>
      <c r="DM355" s="115"/>
    </row>
    <row r="356" spans="2:117" x14ac:dyDescent="0.2">
      <c r="B356" s="117">
        <f t="shared" si="321"/>
        <v>303.5025000000025</v>
      </c>
      <c r="C356" s="167" t="str">
        <f t="shared" ca="1" si="314"/>
        <v>净世破魔击·月</v>
      </c>
      <c r="D356" s="115">
        <f ca="1">IF(C356="赤日轮1",1,IF(C356="赤日轮2",2,IF(C356="赤日轮3",3,IF(C356="幽月轮1",4,IF(C356="幽月轮2",5,IF(C356="幽月轮3",6,IF(C356="烈日斩",7,IF(C356="银月斩",8,IF(C356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356="净世破魔击·月",17,IF(C356="驱夜断愁",18,0)))))))))))</f>
        <v>17</v>
      </c>
      <c r="E356" s="115">
        <f ca="1">IF(AND(CU356,OR(C356="幽月轮1",C356="幽月轮2",C356="幽月轮3",C356="银月斩",C356="驱夜断愁",C356="净世破魔击·月")),100,MIN(IF(OR(CN356,BE356),0,IF(OR($C356="赤日轮1",$C356="赤日轮2",$C356="赤日轮3"),E355+20+IF(模拟模式!$I$7="日月凌天",4,0)+IF(CR355,20,0),IF($C356="烈日斩",E355+40,IF($C356="驱夜断愁",IF(模拟模式!$R$7="万念俱寂",E355+20,E355+60),IF($C356="净世破魔击·月",IF(OR(DB355&gt;0,CV355&gt;0),100,IF(模拟模式!$M$7="辉耀红尘",E355+20,E355)),IF($C356="净世破魔击·日",E355-100,E355)))))),100))</f>
        <v>100</v>
      </c>
      <c r="F356" s="115">
        <f ca="1">IF(AND(CU356,OR(C356="赤日轮1",C356="赤日轮2",C356="赤日轮3",C356="烈日斩",C356="净世破魔击·日")),100,MIN(IF(CO356,0,IF(OR($C356="幽月轮1",$C356="幽月轮2",$C356="幽月轮3"),F355+20+IF(模拟模式!$I$7="日月凌天",4,0)+IF(CS355,20,0),IF($C356="银月斩",F355+40+IF(模拟模式!$X$12=1,5,0),IF($C356="驱夜断愁",IF(模拟模式!$R$7="万念俱寂",F355+20,F355+60),IF($C356="净世破魔击·月",IF(模拟模式!$M$7="辉耀红尘",F355-80,F355-100),IF(AND(C356="净世破魔击·日",OR(DB355&gt;0,CV355&gt;0)),100,F355)))))),100))</f>
        <v>20</v>
      </c>
      <c r="G356" s="117">
        <f ca="1">('模拟-全程加成'!$E$3+'模拟-全程加成'!$E$4+'模拟-全程加成'!$E$5+('模拟-全程加成'!$C$6-'模拟-全程加成'!$C$3)*系数!$B$9+BS356*23)*(1+'模拟-全程加成'!$F$4+'模拟-全程加成'!$F$5+BJ356*10%+BM356*20%+BP356*4%+CG356*30%)+$F$7*系数!$B$12</f>
        <v>21493.829400000002</v>
      </c>
      <c r="H356" s="45">
        <f ca="1">'模拟-全程加成'!$H$3+'模拟-全程加成'!$H$4+'模拟-全程加成'!$H$5+('模拟-全程加成'!$G$4+'模拟-全程加成'!$G$5+('模拟-全程加成'!$C$6-'模拟-全程加成'!$C$3)*系数!$B$13)/系数!$B$3+LOOKUP(D356,'模拟-单技能数据'!$A$2:$A$19,'模拟-单技能数据'!$K$2:$K$19)+BG356*10%+IF(BV356&gt;0,378,0)</f>
        <v>0.54185145527300216</v>
      </c>
      <c r="I356" s="45">
        <f ca="1">'模拟-全程加成'!$J$3+'模拟-全程加成'!$J$4+'模拟-全程加成'!$J$5+('模拟-全程加成'!$I$4+'模拟-全程加成'!$I$5)/系数!$B$4+LOOKUP(D356,'模拟-单技能数据'!$A$2:$A$19,'模拟-单技能数据'!$L$2:$L$19)+BG356*10%</f>
        <v>2.162482885499879</v>
      </c>
      <c r="J356" s="45">
        <f ca="1">(('模拟-全程加成'!$K$3+'模拟-全程加成'!$K$4+'模拟-全程加成'!$K$5+('模拟-全程加成'!$C$6-'模拟-全程加成'!$C$3)*系数!$B$10+IF(BV356&gt;0,882,0)+IF(BY356&gt;0,1831,0))*(1+'模拟-全程加成'!$L$4+'模拟-全程加成'!$L$5+CC356*20%))/系数!$B$5</f>
        <v>0.69723220422048726</v>
      </c>
      <c r="K356" s="119">
        <f ca="1">LOOKUP(D356,'模拟-单技能数据'!$A$2:$A$19,'模拟-单技能数据'!$J$2:$J$19)+IF(CM356,60%,0)+IF(DB355-DB356&gt;0,30%,0)+IF(OR(AND(OR(C356="赤日轮1",C356="赤日轮2",C356="赤日轮3"),CR356),AND(OR(C356="幽月轮1",C356="幽月轮2",C356="幽月轮3"),CS356)),35%,0)+CJ356</f>
        <v>0.2</v>
      </c>
      <c r="L356" s="119">
        <f ca="1">IF(AND(C356="烈日斩",模拟模式!$X$11=1),10%,0)+IF(AND(C356="驱夜断愁",AB356=1),30%,0)</f>
        <v>0</v>
      </c>
      <c r="M356" s="45">
        <f t="shared" ca="1" si="297"/>
        <v>0.54185145527300216</v>
      </c>
      <c r="N356" s="45">
        <f t="shared" ca="1" si="298"/>
        <v>0.40424854472699789</v>
      </c>
      <c r="O356" s="46">
        <f t="shared" ca="1" si="322"/>
        <v>0.49815333206120671</v>
      </c>
      <c r="P356" s="46" t="str">
        <f t="shared" ca="1" si="323"/>
        <v>会</v>
      </c>
      <c r="Q356" s="45">
        <f t="shared" ca="1" si="324"/>
        <v>2.162482885499879</v>
      </c>
      <c r="R356" s="117">
        <f ca="1">模拟模式!$E$20*(1-IF(模拟模式!$J$19="有",0.15,0))*(1-IF(模拟模式!$K$19="有",0.3,0)-IF(CQ356,0.5,0))</f>
        <v>843.02999999999975</v>
      </c>
      <c r="S356" s="45">
        <f ca="1">R356/(R356+(185*模拟模式!$E$22-16800)*4.08224)</f>
        <v>8.389626085980037E-2</v>
      </c>
      <c r="T356" s="45" t="str">
        <f ca="1">LOOKUP(D356,'模拟-单技能数据'!$A$2:$A$19,'模拟-单技能数据'!$H$2:$H$19)</f>
        <v>阴</v>
      </c>
      <c r="U356" s="119">
        <f t="shared" ca="1" si="299"/>
        <v>0.08</v>
      </c>
      <c r="V356" s="47">
        <f ca="1">(1+L356)*(LOOKUP(D356,'模拟-单技能数据'!$A$2:$A$19,'模拟-单技能数据'!$D$2:$D$19)+G356*LOOKUP(D356,'模拟-单技能数据'!$A$2:$A$19,'模拟-单技能数据'!$F$2:$F$19))*(1+J356)*(1+K356)*(1-S356)*(1+U356)*Q356*LOOKUP(D356,'模拟-单技能数据'!$A$2:$A$19,'模拟-单技能数据'!$I$2:$I$20)</f>
        <v>121694.14741267689</v>
      </c>
      <c r="W356" s="47">
        <f ca="1">LOOKUP(D356,'模拟-单技能数据'!$A$2:$A$19,'模拟-单技能数据'!$G$2:$G$19)*$I$10</f>
        <v>361.51064354704795</v>
      </c>
      <c r="X356" s="47">
        <f t="shared" ca="1" si="325"/>
        <v>7956.2107573714466</v>
      </c>
      <c r="Y356" s="47">
        <f t="shared" ca="1" si="300"/>
        <v>130011.86881359539</v>
      </c>
      <c r="Z356" s="49">
        <f t="shared" ca="1" si="301"/>
        <v>34439326.97390753</v>
      </c>
      <c r="AA356" s="97">
        <f t="shared" ca="1" si="302"/>
        <v>113472.95977432557</v>
      </c>
      <c r="AB356" s="115">
        <f ca="1">IF(OR(C356="赤日轮1",C356="赤日轮2",C356="赤日轮3"),IF(RAND()&lt;模拟模式!$Y$17,1,0),IF(OR(C356="幽月轮1",C356="幽月轮2",C356="幽月轮3"),IF(RAND()&lt;模拟模式!$Y$18,1,0),IF(C356="烈日斩",IF(RAND()&lt;模拟模式!$Y$19,1,0),IF(C356="银月斩",IF(RAND()&lt;模拟模式!$Y$20,1,0),IF(C356="驱夜断愁",IF(RAND()&lt;模拟模式!$Y$21,1,0),IF(C356="净世破魔击·日",IF(RAND()&lt;模拟模式!$Y$22,1,0),IF(C356="净世破魔击·月",IF(RAND()&lt;模拟模式!$Y$23,1,0),0)))))))</f>
        <v>1</v>
      </c>
      <c r="AC356" s="115" t="b">
        <f t="shared" ca="1" si="290"/>
        <v>0</v>
      </c>
      <c r="AD356" s="115" t="b">
        <f t="shared" ca="1" si="310"/>
        <v>0</v>
      </c>
      <c r="AE356" s="115">
        <f t="shared" ca="1" si="311"/>
        <v>3</v>
      </c>
      <c r="AF356" s="47">
        <f ca="1">IF(AC356,('模拟-单技能数据'!$D$20+G356*'模拟-单技能数据'!$F$20)*(1+J356)*(1+'模拟-单技能数据'!$J$20)*(1+U356),0)</f>
        <v>0</v>
      </c>
      <c r="AG356" s="61">
        <f t="shared" ca="1" si="303"/>
        <v>0.64185145527300214</v>
      </c>
      <c r="AH356" s="61">
        <f t="shared" ca="1" si="304"/>
        <v>2.2624828854998791</v>
      </c>
      <c r="AI356" s="62">
        <f t="shared" ca="1" si="326"/>
        <v>0.18476119427829052</v>
      </c>
      <c r="AJ356" s="47">
        <f ca="1">IF(AD356,IF(AI356&lt;$F$10,0,IF(AI356&lt;$F$10+$F$11,0.25,IF(AI356&lt;$F$10+$F$11+AG356,AH356,1)))*IF(AF356&gt;0,AF356,IF(AF355&gt;0,AF355,IF(AF354&gt;0,AF354,IF(AF353&gt;0,AF353,IF(AF352&gt;0,AF352,IF(AF351&gt;0,AF351,IF(AF350&gt;0,AF350,IF(AF349&gt;0,AF349,IF(AF348&gt;0,AF348,IF(AF346&gt;0,AF346,IF(AF345&gt;0,AF345,IF(AF344&gt;0,AF344,0)))))))))))),0)*(1-$S356)*'模拟-单技能数据'!$I$20</f>
        <v>0</v>
      </c>
      <c r="AK356" s="115" t="b">
        <f t="shared" ca="1" si="291"/>
        <v>0</v>
      </c>
      <c r="AL356" s="115" t="b">
        <f t="shared" ca="1" si="312"/>
        <v>0</v>
      </c>
      <c r="AM356" s="115">
        <f t="shared" ca="1" si="313"/>
        <v>5</v>
      </c>
      <c r="AN356" s="47">
        <f ca="1">IF(AK356,('模拟-单技能数据'!$D$21+G356*'模拟-单技能数据'!$F$21)*(1+J356)*(1+'模拟-单技能数据'!$J$21)*(1+U356),0)</f>
        <v>0</v>
      </c>
      <c r="AO356" s="61">
        <f ca="1">IF(AN356&gt;0,M356-'模拟-单技能数据'!$K$10,AO355)</f>
        <v>0.42185145527300216</v>
      </c>
      <c r="AP356" s="61">
        <f ca="1">IF(AN356&gt;0,I356-'模拟-单技能数据'!$L$10,AP355)</f>
        <v>2.162482885499879</v>
      </c>
      <c r="AQ356" s="63">
        <f t="shared" ca="1" si="327"/>
        <v>0.37597365968654839</v>
      </c>
      <c r="AR356" s="64">
        <f ca="1">IF(AL356,IF(AQ356&lt;$F$10,0,IF(AQ356&lt;$F$10+$F$11,0.25,IF(AQ356&lt;$F$10+$F$11+AO356,AP356,1)))*IF(AN356&gt;0,AN356,IF(AN355&gt;0,AN355,IF(AN354&gt;0,AN354,IF(AN353&gt;0,AN353,IF(AN352&gt;0,AN352,IF(AN351&gt;0,AN351,IF(AN350&gt;0,AN350,IF(AN349&gt;0,AN349,IF(AN348&gt;0,AN348,IF(AN346&gt;0,AN346,IF(AN345&gt;0,AN345,IF(AN344&gt;0,AN344,0)))))))))))),0)*(1-$S356)*'模拟-单技能数据'!$I$21</f>
        <v>0</v>
      </c>
      <c r="AS356" s="61">
        <f ca="1">IF(OR(C356="净世破魔击·日",C356="净世破魔击·月"),M356-'模拟-单技能数据'!$K$10,0)</f>
        <v>0.42185145527300216</v>
      </c>
      <c r="AT356" s="61">
        <f ca="1">IF(OR(C356="净世破魔击·日",C356="净世破魔击·月"),I356-'模拟-单技能数据'!$L$10,0)</f>
        <v>2.162482885499879</v>
      </c>
      <c r="AU356" s="62">
        <f t="shared" ca="1" si="328"/>
        <v>0.63202022107171774</v>
      </c>
      <c r="AV356" s="64">
        <f ca="1">IF(AS356&gt;0,('模拟-单技能数据'!$D$22+G356*'模拟-单技能数据'!$F$22)*(1+J356)*(1-S356)*IF(AU356&lt;$F$10,0,IF(AU356&lt;$F$10+$F$11,0.25,IF(AU356&lt;$F$10+$F$11+AS356,AT356,1)))*(1+U356),0)*'模拟-单技能数据'!$I$22</f>
        <v>7956.2107573714466</v>
      </c>
      <c r="AW356" s="108">
        <f t="shared" ca="1" si="329"/>
        <v>4.3175000000000061</v>
      </c>
      <c r="AX356" s="108" t="b">
        <f ca="1">AND(模拟模式!$P$10="有",AW355=0,RAND()&lt;IF(C356="净世破魔击·月",0.1*8/3,IF(C356="净世破魔击·日",0.1*4/3,0.1*2/3)))</f>
        <v>0</v>
      </c>
      <c r="AY356" s="47">
        <f ca="1">IF(AX356,(18+G356*0.722)*(1+J356)*(1-S356)*(1+$I$4)*IF(P356="会",'模拟-全程加成'!$J$3+'模拟-全程加成'!$J$4+'模拟-全程加成'!$J$5+('模拟-全程加成'!$I$4+'模拟-全程加成'!$I$5)/系数!$B$4+BG356*10%,IF(P356="命",1,IF(P356="识",0.25,0))),0)</f>
        <v>0</v>
      </c>
      <c r="AZ356" s="108">
        <f t="shared" si="330"/>
        <v>0.6275000000000065</v>
      </c>
      <c r="BA356" s="108" t="b">
        <f>AND(模拟模式!$Q$10="有",AZ355=0)</f>
        <v>0</v>
      </c>
      <c r="BB356" s="140">
        <f>IF(BA356,(0+G356*0.287)*(1+J356)*(1-S356)*(1+$I$4)*IF(P356="会",'模拟-全程加成'!$J$3+'模拟-全程加成'!$J$4+'模拟-全程加成'!$J$5+('模拟-全程加成'!$I$4+'模拟-全程加成'!$I$5)/系数!$B$4+BG356*10%,IF(P356="命",1,IF(P356="识",0.25,0))),0)</f>
        <v>0</v>
      </c>
      <c r="BC356" s="115" t="b">
        <f ca="1">AND(模拟模式!$R$7="伏明众生",E356=60,F356=20,DA356&lt;5,CZ355&lt;$F$4)</f>
        <v>0</v>
      </c>
      <c r="BD356" s="115">
        <f t="shared" ca="1" si="292"/>
        <v>0</v>
      </c>
      <c r="BE356" s="115" t="b">
        <f t="shared" ca="1" si="293"/>
        <v>0</v>
      </c>
      <c r="BF356" s="47">
        <f ca="1">IF(BC356,4*('模拟-单技能数据'!$D$24+G356*'模拟-单技能数据'!$F$24)*(1+J356)*(1+'模拟-单技能数据'!$J$24)*(1-S356)*(1+$I$3)*(('模拟-全程加成'!$J$3+'模拟-全程加成'!$J$4+'模拟-全程加成'!$J$5+('模拟-全程加成'!$I$4+'模拟-全程加成'!$I$5)/系数!$B$4+BG356*10%)*('模拟-全程加成'!$J$3+'模拟-全程加成'!$J$4+'模拟-全程加成'!$J$5+('模拟-全程加成'!$I$4+'模拟-全程加成'!$I$5)/系数!$B$4+BG356*10%)+(1-('模拟-全程加成'!$J$3+'模拟-全程加成'!$J$4+'模拟-全程加成'!$J$5+('模拟-全程加成'!$I$4+'模拟-全程加成'!$I$5)/系数!$B$4+BG356*10%)-$F$10-$F$11)+F342*0.25),0)*'模拟-单技能数据'!$I$24</f>
        <v>0</v>
      </c>
      <c r="BG356" s="115" t="b">
        <f ca="1">OR(AND(OR(C356="烈日斩",C356="银月斩"),模拟模式!$I$7="净身明礼"),AND(C356="净世破魔击·日",模拟模式!$J$7="洞若观火"),AND(C357="净世破魔击·月",模拟模式!$J$7="洞若观火"),AB356=1)</f>
        <v>1</v>
      </c>
      <c r="BH356" s="115" t="b">
        <f t="shared" ca="1" si="331"/>
        <v>0</v>
      </c>
      <c r="BI356" s="115">
        <f t="shared" ca="1" si="294"/>
        <v>0.46499999999999975</v>
      </c>
      <c r="BJ356" s="115" t="b">
        <f t="shared" ca="1" si="305"/>
        <v>1</v>
      </c>
      <c r="BK356" s="115" t="b">
        <f ca="1">AND(C356="驱夜断愁",模拟模式!$P$7="天地诛戮")</f>
        <v>0</v>
      </c>
      <c r="BL356" s="57">
        <f t="shared" ca="1" si="295"/>
        <v>15.387500000000003</v>
      </c>
      <c r="BM356" s="115" t="b">
        <f t="shared" ca="1" si="306"/>
        <v>1</v>
      </c>
      <c r="BN356" s="115" t="b">
        <f ca="1">AND(OR(C356="赤日轮1",C356="赤日轮2",C356="赤日轮3",C356="幽月轮1",C356="幽月轮2",C356="幽月轮3"),AB356=1,模拟模式!$L$7="明光恒照")</f>
        <v>0</v>
      </c>
      <c r="BO356" s="117">
        <f t="shared" ca="1" si="296"/>
        <v>27.232500000000002</v>
      </c>
      <c r="BP356" s="115">
        <f t="shared" ca="1" si="332"/>
        <v>6</v>
      </c>
      <c r="BQ356" s="115" t="b">
        <f>模拟模式!$K$10="2600·水"</f>
        <v>0</v>
      </c>
      <c r="BR356" s="117">
        <f t="shared" si="333"/>
        <v>0</v>
      </c>
      <c r="BS356" s="115">
        <f t="shared" si="334"/>
        <v>0</v>
      </c>
      <c r="BT356" s="115">
        <f t="shared" ca="1" si="335"/>
        <v>0</v>
      </c>
      <c r="BU356" s="115" t="b">
        <f ca="1">AND(模拟模式!$K$10="2300·雷",BT355=0,RAND()&lt;IF(C356="净世破魔击·月",5*0.05*2/3,IF(C356="净世破魔击·日",3*0.05*2/3,0.05*2*2/3)))</f>
        <v>0</v>
      </c>
      <c r="BV356" s="115">
        <f t="shared" ca="1" si="336"/>
        <v>0</v>
      </c>
      <c r="BW356" s="115">
        <f t="shared" ca="1" si="337"/>
        <v>68.377499999999273</v>
      </c>
      <c r="BX356" s="164" t="b">
        <f t="shared" ca="1" si="338"/>
        <v>0</v>
      </c>
      <c r="BY356" s="115">
        <f t="shared" ca="1" si="339"/>
        <v>0</v>
      </c>
      <c r="BZ356" s="115">
        <f>IF(OR(模拟模式!$P$16="10人团",模拟模式!$P$16="25人团"),IF(B356/30&gt;CA355,1,0),0)</f>
        <v>0</v>
      </c>
      <c r="CA356" s="115">
        <f t="shared" si="315"/>
        <v>0</v>
      </c>
      <c r="CB356" s="115">
        <f ca="1">IF(BZ356=1,IF(模拟模式!$P$16="10人团",15,0)+IF(模拟模式!$P$16="25人团",IF(RAND()&lt;0.6,15,0)),MAX(0,CB355-$F$4))</f>
        <v>0</v>
      </c>
      <c r="CC356" s="115" t="b">
        <f t="shared" ca="1" si="307"/>
        <v>0</v>
      </c>
      <c r="CD356" s="115">
        <f>IF(模拟模式!$Q$16="1个",IF(B356/40&gt;CE355,1,0),0)</f>
        <v>0</v>
      </c>
      <c r="CE356" s="115">
        <f t="shared" si="308"/>
        <v>0</v>
      </c>
      <c r="CF356" s="115">
        <f>IF(OR(CD356=1,模拟模式!$Q$16="2个"),20,MAX(0,CF355-$F$4))</f>
        <v>0</v>
      </c>
      <c r="CG356" s="115" t="b">
        <f t="shared" si="309"/>
        <v>0</v>
      </c>
      <c r="CH356" s="115">
        <f t="shared" ca="1" si="340"/>
        <v>0.48000000000001186</v>
      </c>
      <c r="CI356" s="115" t="b">
        <f t="shared" ca="1" si="341"/>
        <v>0</v>
      </c>
      <c r="CJ356" s="119">
        <f t="shared" ca="1" si="342"/>
        <v>0</v>
      </c>
      <c r="CK356" s="115">
        <f t="shared" ca="1" si="343"/>
        <v>0</v>
      </c>
      <c r="CL356" s="115" t="b">
        <f ca="1">AND(模拟模式!$S$7="驱夷逐法",OR(AND(C356="净世破魔击·月",E355&gt;59),AND(C356="净世破魔击·日",F355&gt;59)))</f>
        <v>0</v>
      </c>
      <c r="CM356" s="115" t="b">
        <f ca="1">OR(CL356,AND(C356="净世破魔击·日",CL355,RAND()&lt;模拟模式!$U$23))</f>
        <v>0</v>
      </c>
      <c r="CN356" s="115" t="b">
        <f ca="1">IF(模拟模式!$M$7="辉耀红尘",AND(C356="净世破魔击·月",CL356,CV356=0,E355&lt;80),AND(C356="净世破魔击·月",CL356,E355&lt;100))</f>
        <v>0</v>
      </c>
      <c r="CO356" s="115" t="b">
        <f t="shared" ca="1" si="316"/>
        <v>0</v>
      </c>
      <c r="CP356" s="115" t="b">
        <f ca="1">AND(模拟模式!$O$7="用晦而明",OR(C356="净世破魔击·日",C356="净世破魔击·月",C356="驱夜断愁"),AB356)</f>
        <v>1</v>
      </c>
      <c r="CQ356" s="115" t="b">
        <f ca="1">OR(CP356,AND(CP355,RAND()&lt;模拟模式!$U$23))</f>
        <v>1</v>
      </c>
      <c r="CR356" s="115" t="b">
        <f ca="1">AND(模拟模式!$S$7="日月齐光",OR(C356="幽月轮1",C356="幽月轮2",C356="幽月轮3",CR355),NOT(OR(C356="赤日轮1",C356="赤日轮2",C356="赤日轮3")))</f>
        <v>0</v>
      </c>
      <c r="CS356" s="115" t="b">
        <f ca="1">AND(模拟模式!$S$7="日月齐光",OR(C356="赤日轮1",C356="赤日轮2",C356="赤日轮3",CS355),NOT(OR(C356="幽月轮1",C356="幽月轮2",C356="幽月轮3")))</f>
        <v>0</v>
      </c>
      <c r="CT356" s="115">
        <f t="shared" ca="1" si="344"/>
        <v>28.155000000000001</v>
      </c>
      <c r="CU356" s="115" t="b">
        <f ca="1">AND(模拟模式!$K$10="阴阳往极",CT355=0,RAND()&lt;IF(C356="净世破魔击·月",0.0275*7/3,IF(C356="净世破魔击·日",0.0275*3/3,0.0275*2/3)))</f>
        <v>0</v>
      </c>
      <c r="CV356" s="115">
        <f t="shared" ca="1" si="345"/>
        <v>2.2324999999999999</v>
      </c>
      <c r="CW356" s="115">
        <f t="shared" ca="1" si="317"/>
        <v>2.3099999999999996</v>
      </c>
      <c r="CX356" s="115">
        <f t="shared" ca="1" si="318"/>
        <v>0.46499999999999975</v>
      </c>
      <c r="CY356" s="115">
        <f ca="1">MAX(IF($C356="驱夜断愁",IF(模拟模式!$R$7="万念俱寂",6,45),CY355-$F$4),0)</f>
        <v>1.3874999999999997</v>
      </c>
      <c r="CZ356" s="115">
        <f t="shared" ca="1" si="319"/>
        <v>0</v>
      </c>
      <c r="DA356" s="115">
        <f ca="1">IF(模拟模式!$N$7="日月同辉",IF(DB355=2,0,MIN(6,IF(AND(OR(C356="赤日轮1",C356="赤日轮2",C356="赤日轮3",C356="幽月轮1",C356="幽月轮2",C356="幽月轮3"),AB356=1),DA355+1,DA355))),0)</f>
        <v>0</v>
      </c>
      <c r="DB356" s="115">
        <f t="shared" ca="1" si="320"/>
        <v>0</v>
      </c>
      <c r="DC356" s="115"/>
      <c r="DD356" s="115"/>
      <c r="DE356" s="115"/>
      <c r="DF356" s="115"/>
      <c r="DG356" s="115"/>
      <c r="DH356" s="115"/>
      <c r="DI356" s="115"/>
      <c r="DJ356" s="115"/>
      <c r="DK356" s="115"/>
      <c r="DL356" s="115"/>
      <c r="DM356" s="115"/>
    </row>
    <row r="357" spans="2:117" x14ac:dyDescent="0.2">
      <c r="B357" s="117">
        <f t="shared" si="321"/>
        <v>304.42500000000251</v>
      </c>
      <c r="C357" s="167" t="str">
        <f t="shared" ca="1" si="314"/>
        <v>净世破魔击·日</v>
      </c>
      <c r="D357" s="115">
        <f ca="1">IF(C357="赤日轮1",1,IF(C357="赤日轮2",2,IF(C357="赤日轮3",3,IF(C357="幽月轮1",4,IF(C357="幽月轮2",5,IF(C357="幽月轮3",6,IF(C357="烈日斩",7,IF(C357="银月斩",8,IF(C357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357="净世破魔击·月",17,IF(C357="驱夜断愁",18,0)))))))))))</f>
        <v>9</v>
      </c>
      <c r="E357" s="115">
        <f ca="1">IF(AND(CU357,OR(C357="幽月轮1",C357="幽月轮2",C357="幽月轮3",C357="银月斩",C357="驱夜断愁",C357="净世破魔击·月")),100,MIN(IF(OR(CN357,BE357),0,IF(OR($C357="赤日轮1",$C357="赤日轮2",$C357="赤日轮3"),E356+20+IF(模拟模式!$I$7="日月凌天",4,0)+IF(CR356,20,0),IF($C357="烈日斩",E356+40,IF($C357="驱夜断愁",IF(模拟模式!$R$7="万念俱寂",E356+20,E356+60),IF($C357="净世破魔击·月",IF(OR(DB356&gt;0,CV356&gt;0),100,IF(模拟模式!$M$7="辉耀红尘",E356+20,E356)),IF($C357="净世破魔击·日",E356-100,E356)))))),100))</f>
        <v>0</v>
      </c>
      <c r="F357" s="115">
        <f ca="1">IF(AND(CU357,OR(C357="赤日轮1",C357="赤日轮2",C357="赤日轮3",C357="烈日斩",C357="净世破魔击·日")),100,MIN(IF(CO357,0,IF(OR($C357="幽月轮1",$C357="幽月轮2",$C357="幽月轮3"),F356+20+IF(模拟模式!$I$7="日月凌天",4,0)+IF(CS356,20,0),IF($C357="银月斩",F356+40+IF(模拟模式!$X$12=1,5,0),IF($C357="驱夜断愁",IF(模拟模式!$R$7="万念俱寂",F356+20,F356+60),IF($C357="净世破魔击·月",IF(模拟模式!$M$7="辉耀红尘",F356-80,F356-100),IF(AND(C357="净世破魔击·日",OR(DB356&gt;0,CV356&gt;0)),100,F356)))))),100))</f>
        <v>100</v>
      </c>
      <c r="G357" s="117">
        <f ca="1">('模拟-全程加成'!$E$3+'模拟-全程加成'!$E$4+'模拟-全程加成'!$E$5+('模拟-全程加成'!$C$6-'模拟-全程加成'!$C$3)*系数!$B$9+BS357*23)*(1+'模拟-全程加成'!$F$4+'模拟-全程加成'!$F$5+BJ357*10%+BM357*20%+BP357*4%+CG357*30%)+$F$7*系数!$B$12</f>
        <v>20583.127400000001</v>
      </c>
      <c r="H357" s="45">
        <f ca="1">'模拟-全程加成'!$H$3+'模拟-全程加成'!$H$4+'模拟-全程加成'!$H$5+('模拟-全程加成'!$G$4+'模拟-全程加成'!$G$5+('模拟-全程加成'!$C$6-'模拟-全程加成'!$C$3)*系数!$B$13)/系数!$B$3+LOOKUP(D357,'模拟-单技能数据'!$A$2:$A$19,'模拟-单技能数据'!$K$2:$K$19)+BG357*10%+IF(BV357&gt;0,378,0)</f>
        <v>0.54185145527300216</v>
      </c>
      <c r="I357" s="45">
        <f ca="1">'模拟-全程加成'!$J$3+'模拟-全程加成'!$J$4+'模拟-全程加成'!$J$5+('模拟-全程加成'!$I$4+'模拟-全程加成'!$I$5)/系数!$B$4+LOOKUP(D357,'模拟-单技能数据'!$A$2:$A$19,'模拟-单技能数据'!$L$2:$L$19)+BG357*10%</f>
        <v>2.162482885499879</v>
      </c>
      <c r="J357" s="45">
        <f ca="1">(('模拟-全程加成'!$K$3+'模拟-全程加成'!$K$4+'模拟-全程加成'!$K$5+('模拟-全程加成'!$C$6-'模拟-全程加成'!$C$3)*系数!$B$10+IF(BV357&gt;0,882,0)+IF(BY357&gt;0,1831,0))*(1+'模拟-全程加成'!$L$4+'模拟-全程加成'!$L$5+CC357*20%))/系数!$B$5</f>
        <v>0.69723220422048726</v>
      </c>
      <c r="K357" s="119">
        <f ca="1">LOOKUP(D357,'模拟-单技能数据'!$A$2:$A$19,'模拟-单技能数据'!$J$2:$J$19)+IF(CM357,60%,0)+IF(DB356-DB357&gt;0,30%,0)+IF(OR(AND(OR(C357="赤日轮1",C357="赤日轮2",C357="赤日轮3"),CR357),AND(OR(C357="幽月轮1",C357="幽月轮2",C357="幽月轮3"),CS357)),35%,0)+CJ357</f>
        <v>0.2</v>
      </c>
      <c r="L357" s="119">
        <f ca="1">IF(AND(C357="烈日斩",模拟模式!$X$11=1),10%,0)+IF(AND(C357="驱夜断愁",AB357=1),30%,0)</f>
        <v>0</v>
      </c>
      <c r="M357" s="45">
        <f t="shared" ca="1" si="297"/>
        <v>0.54185145527300216</v>
      </c>
      <c r="N357" s="45">
        <f t="shared" ca="1" si="298"/>
        <v>0.40424854472699789</v>
      </c>
      <c r="O357" s="46">
        <f t="shared" ca="1" si="322"/>
        <v>0.68188867259620112</v>
      </c>
      <c r="P357" s="46" t="str">
        <f t="shared" ca="1" si="323"/>
        <v>命</v>
      </c>
      <c r="Q357" s="45">
        <f t="shared" ca="1" si="324"/>
        <v>1</v>
      </c>
      <c r="R357" s="117">
        <f ca="1">模拟模式!$E$20*(1-IF(模拟模式!$J$19="有",0.15,0))*(1-IF(模拟模式!$K$19="有",0.3,0)-IF(CQ357,0.5,0))</f>
        <v>843.02999999999975</v>
      </c>
      <c r="S357" s="45">
        <f ca="1">R357/(R357+(185*模拟模式!$E$22-16800)*4.08224)</f>
        <v>8.389626085980037E-2</v>
      </c>
      <c r="T357" s="45" t="str">
        <f ca="1">LOOKUP(D357,'模拟-单技能数据'!$A$2:$A$19,'模拟-单技能数据'!$H$2:$H$19)</f>
        <v>阳</v>
      </c>
      <c r="U357" s="119">
        <f t="shared" ca="1" si="299"/>
        <v>0.2</v>
      </c>
      <c r="V357" s="47">
        <f ca="1">(1+L357)*(LOOKUP(D357,'模拟-单技能数据'!$A$2:$A$19,'模拟-单技能数据'!$D$2:$D$19)+G357*LOOKUP(D357,'模拟-单技能数据'!$A$2:$A$19,'模拟-单技能数据'!$F$2:$F$19))*(1+J357)*(1+K357)*(1-S357)*(1+U357)*Q357*LOOKUP(D357,'模拟-单技能数据'!$A$2:$A$19,'模拟-单技能数据'!$I$2:$I$20)</f>
        <v>60398.417085084453</v>
      </c>
      <c r="W357" s="47">
        <f ca="1">LOOKUP(D357,'模拟-单技能数据'!$A$2:$A$19,'模拟-单技能数据'!$G$2:$G$19)*$I$10</f>
        <v>723.0212870940959</v>
      </c>
      <c r="X357" s="47">
        <f t="shared" ca="1" si="325"/>
        <v>29223.290347895068</v>
      </c>
      <c r="Y357" s="47">
        <f t="shared" ca="1" si="300"/>
        <v>90344.728720073617</v>
      </c>
      <c r="Z357" s="49">
        <f t="shared" ca="1" si="301"/>
        <v>34529671.702627607</v>
      </c>
      <c r="AA357" s="97">
        <f t="shared" ca="1" si="302"/>
        <v>113425.87403343129</v>
      </c>
      <c r="AB357" s="115">
        <f ca="1">IF(OR(C357="赤日轮1",C357="赤日轮2",C357="赤日轮3"),IF(RAND()&lt;模拟模式!$Y$17,1,0),IF(OR(C357="幽月轮1",C357="幽月轮2",C357="幽月轮3"),IF(RAND()&lt;模拟模式!$Y$18,1,0),IF(C357="烈日斩",IF(RAND()&lt;模拟模式!$Y$19,1,0),IF(C357="银月斩",IF(RAND()&lt;模拟模式!$Y$20,1,0),IF(C357="驱夜断愁",IF(RAND()&lt;模拟模式!$Y$21,1,0),IF(C357="净世破魔击·日",IF(RAND()&lt;模拟模式!$Y$22,1,0),IF(C357="净世破魔击·月",IF(RAND()&lt;模拟模式!$Y$23,1,0),0)))))))</f>
        <v>1</v>
      </c>
      <c r="AC357" s="115" t="b">
        <f t="shared" ca="1" si="290"/>
        <v>0</v>
      </c>
      <c r="AD357" s="115" t="b">
        <f t="shared" ca="1" si="310"/>
        <v>1</v>
      </c>
      <c r="AE357" s="115">
        <f t="shared" ca="1" si="311"/>
        <v>2</v>
      </c>
      <c r="AF357" s="47">
        <f ca="1">IF(AC357,('模拟-单技能数据'!$D$20+G357*'模拟-单技能数据'!$F$20)*(1+J357)*(1+'模拟-单技能数据'!$J$20)*(1+U357),0)</f>
        <v>0</v>
      </c>
      <c r="AG357" s="61">
        <f t="shared" ca="1" si="303"/>
        <v>0.64185145527300214</v>
      </c>
      <c r="AH357" s="61">
        <f t="shared" ca="1" si="304"/>
        <v>2.2624828854998791</v>
      </c>
      <c r="AI357" s="62">
        <f t="shared" ca="1" si="326"/>
        <v>0.69417205233291746</v>
      </c>
      <c r="AJ357" s="47">
        <f ca="1">IF(AD357,IF(AI357&lt;$F$10,0,IF(AI357&lt;$F$10+$F$11,0.25,IF(AI357&lt;$F$10+$F$11+AG357,AH357,1)))*IF(AF357&gt;0,AF357,IF(AF356&gt;0,AF356,IF(AF355&gt;0,AF355,IF(AF354&gt;0,AF354,IF(AF353&gt;0,AF353,IF(AF352&gt;0,AF352,IF(AF351&gt;0,AF351,IF(AF350&gt;0,AF350,IF(AF349&gt;0,AF349,IF(AF347&gt;0,AF347,IF(AF346&gt;0,AF346,IF(AF345&gt;0,AF345,0)))))))))))),0)*(1-$S357)*'模拟-单技能数据'!$I$20</f>
        <v>9616.6571145767884</v>
      </c>
      <c r="AK357" s="115" t="b">
        <f t="shared" ca="1" si="291"/>
        <v>1</v>
      </c>
      <c r="AL357" s="115" t="b">
        <f t="shared" ca="1" si="312"/>
        <v>1</v>
      </c>
      <c r="AM357" s="115">
        <f t="shared" ca="1" si="313"/>
        <v>5</v>
      </c>
      <c r="AN357" s="47">
        <f ca="1">IF(AK357,('模拟-单技能数据'!$D$21+G357*'模拟-单技能数据'!$F$21)*(1+J357)*(1+'模拟-单技能数据'!$J$21)*(1+U357),0)</f>
        <v>12136.56601728573</v>
      </c>
      <c r="AO357" s="61">
        <f ca="1">IF(AN357&gt;0,M357-'模拟-单技能数据'!$K$10,AO356)</f>
        <v>0.42185145527300216</v>
      </c>
      <c r="AP357" s="61">
        <f ca="1">IF(AN357&gt;0,I357-'模拟-单技能数据'!$L$10,AP356)</f>
        <v>2.162482885499879</v>
      </c>
      <c r="AQ357" s="63">
        <f t="shared" ca="1" si="327"/>
        <v>0.68252165382346552</v>
      </c>
      <c r="AR357" s="64">
        <f ca="1">IF(AL357,IF(AQ357&lt;$F$10,0,IF(AQ357&lt;$F$10+$F$11,0.25,IF(AQ357&lt;$F$10+$F$11+AO357,AP357,1)))*IF(AN357&gt;0,AN357,IF(AN356&gt;0,AN356,IF(AN355&gt;0,AN355,IF(AN354&gt;0,AN354,IF(AN353&gt;0,AN353,IF(AN352&gt;0,AN352,IF(AN351&gt;0,AN351,IF(AN350&gt;0,AN350,IF(AN349&gt;0,AN349,IF(AN347&gt;0,AN347,IF(AN346&gt;0,AN346,IF(AN345&gt;0,AN345,0)))))))))))),0)*(1-$S357)*'模拟-单技能数据'!$I$21</f>
        <v>11118.353508757338</v>
      </c>
      <c r="AS357" s="61">
        <f ca="1">IF(OR(C357="净世破魔击·日",C357="净世破魔击·月"),M357-'模拟-单技能数据'!$K$10,0)</f>
        <v>0.42185145527300216</v>
      </c>
      <c r="AT357" s="61">
        <f ca="1">IF(OR(C357="净世破魔击·日",C357="净世破魔击·月"),I357-'模拟-单技能数据'!$L$10,0)</f>
        <v>2.162482885499879</v>
      </c>
      <c r="AU357" s="62">
        <f t="shared" ca="1" si="328"/>
        <v>0.52165543884959675</v>
      </c>
      <c r="AV357" s="64">
        <f ca="1">IF(AS357&gt;0,('模拟-单技能数据'!$D$22+G357*'模拟-单技能数据'!$F$22)*(1+J357)*(1-S357)*IF(AU357&lt;$F$10,0,IF(AU357&lt;$F$10+$F$11,0.25,IF(AU357&lt;$F$10+$F$11+AS357,AT357,1)))*(1+U357),0)*'模拟-单技能数据'!$I$22</f>
        <v>8488.2797245609418</v>
      </c>
      <c r="AW357" s="108">
        <f t="shared" ca="1" si="329"/>
        <v>3.3950000000000062</v>
      </c>
      <c r="AX357" s="108" t="b">
        <f ca="1">AND(模拟模式!$P$10="有",AW356=0,RAND()&lt;IF(C357="净世破魔击·月",0.1*8/3,IF(C357="净世破魔击·日",0.1*4/3,0.1*2/3)))</f>
        <v>0</v>
      </c>
      <c r="AY357" s="47">
        <f ca="1">IF(AX357,(18+G357*0.722)*(1+J357)*(1-S357)*(1+$I$4)*IF(P357="会",'模拟-全程加成'!$J$3+'模拟-全程加成'!$J$4+'模拟-全程加成'!$J$5+('模拟-全程加成'!$I$4+'模拟-全程加成'!$I$5)/系数!$B$4+BG357*10%,IF(P357="命",1,IF(P357="识",0.25,0))),0)</f>
        <v>0</v>
      </c>
      <c r="AZ357" s="108">
        <f t="shared" si="330"/>
        <v>0</v>
      </c>
      <c r="BA357" s="108" t="b">
        <f>AND(模拟模式!$Q$10="有",AZ356=0)</f>
        <v>0</v>
      </c>
      <c r="BB357" s="140">
        <f>IF(BA357,(0+G357*0.287)*(1+J357)*(1-S357)*(1+$I$4)*IF(P357="会",'模拟-全程加成'!$J$3+'模拟-全程加成'!$J$4+'模拟-全程加成'!$J$5+('模拟-全程加成'!$I$4+'模拟-全程加成'!$I$5)/系数!$B$4+BG357*10%,IF(P357="命",1,IF(P357="识",0.25,0))),0)</f>
        <v>0</v>
      </c>
      <c r="BC357" s="115" t="b">
        <f ca="1">AND(模拟模式!$R$7="伏明众生",E357=60,F357=20,DA357&lt;5,CZ356&lt;$F$4)</f>
        <v>0</v>
      </c>
      <c r="BD357" s="115">
        <f t="shared" ca="1" si="292"/>
        <v>0</v>
      </c>
      <c r="BE357" s="115" t="b">
        <f t="shared" ca="1" si="293"/>
        <v>0</v>
      </c>
      <c r="BF357" s="47">
        <f ca="1">IF(BC357,4*('模拟-单技能数据'!$D$24+G357*'模拟-单技能数据'!$F$24)*(1+J357)*(1+'模拟-单技能数据'!$J$24)*(1-S357)*(1+$I$3)*(('模拟-全程加成'!$J$3+'模拟-全程加成'!$J$4+'模拟-全程加成'!$J$5+('模拟-全程加成'!$I$4+'模拟-全程加成'!$I$5)/系数!$B$4+BG357*10%)*('模拟-全程加成'!$J$3+'模拟-全程加成'!$J$4+'模拟-全程加成'!$J$5+('模拟-全程加成'!$I$4+'模拟-全程加成'!$I$5)/系数!$B$4+BG357*10%)+(1-('模拟-全程加成'!$J$3+'模拟-全程加成'!$J$4+'模拟-全程加成'!$J$5+('模拟-全程加成'!$I$4+'模拟-全程加成'!$I$5)/系数!$B$4+BG357*10%)-$F$10-$F$11)+F343*0.25),0)*'模拟-单技能数据'!$I$24</f>
        <v>0</v>
      </c>
      <c r="BG357" s="115" t="b">
        <f ca="1">OR(AND(OR(C357="烈日斩",C357="银月斩"),模拟模式!$I$7="净身明礼"),AND(C357="净世破魔击·日",模拟模式!$J$7="洞若观火"),AND(C358="净世破魔击·月",模拟模式!$J$7="洞若观火"),AB357=1)</f>
        <v>1</v>
      </c>
      <c r="BH357" s="115" t="b">
        <f t="shared" ca="1" si="331"/>
        <v>0</v>
      </c>
      <c r="BI357" s="115">
        <f t="shared" ca="1" si="294"/>
        <v>0</v>
      </c>
      <c r="BJ357" s="115" t="b">
        <f t="shared" ca="1" si="305"/>
        <v>0</v>
      </c>
      <c r="BK357" s="115" t="b">
        <f ca="1">AND(C357="驱夜断愁",模拟模式!$P$7="天地诛戮")</f>
        <v>0</v>
      </c>
      <c r="BL357" s="57">
        <f t="shared" ca="1" si="295"/>
        <v>14.465000000000003</v>
      </c>
      <c r="BM357" s="115" t="b">
        <f t="shared" ca="1" si="306"/>
        <v>1</v>
      </c>
      <c r="BN357" s="115" t="b">
        <f ca="1">AND(OR(C357="赤日轮1",C357="赤日轮2",C357="赤日轮3",C357="幽月轮1",C357="幽月轮2",C357="幽月轮3"),AB357=1,模拟模式!$L$7="明光恒照")</f>
        <v>0</v>
      </c>
      <c r="BO357" s="117">
        <f t="shared" ca="1" si="296"/>
        <v>26.310000000000002</v>
      </c>
      <c r="BP357" s="115">
        <f t="shared" ca="1" si="332"/>
        <v>6</v>
      </c>
      <c r="BQ357" s="115" t="b">
        <f>模拟模式!$K$10="2600·水"</f>
        <v>0</v>
      </c>
      <c r="BR357" s="117">
        <f t="shared" si="333"/>
        <v>0</v>
      </c>
      <c r="BS357" s="115">
        <f t="shared" si="334"/>
        <v>0</v>
      </c>
      <c r="BT357" s="115">
        <f t="shared" ca="1" si="335"/>
        <v>0</v>
      </c>
      <c r="BU357" s="115" t="b">
        <f ca="1">AND(模拟模式!$K$10="2300·雷",BT356=0,RAND()&lt;IF(C357="净世破魔击·月",5*0.05*2/3,IF(C357="净世破魔击·日",3*0.05*2/3,0.05*2*2/3)))</f>
        <v>0</v>
      </c>
      <c r="BV357" s="115">
        <f t="shared" ca="1" si="336"/>
        <v>0</v>
      </c>
      <c r="BW357" s="115">
        <f t="shared" ca="1" si="337"/>
        <v>67.454999999999274</v>
      </c>
      <c r="BX357" s="164" t="b">
        <f t="shared" ca="1" si="338"/>
        <v>0</v>
      </c>
      <c r="BY357" s="115">
        <f t="shared" ca="1" si="339"/>
        <v>0</v>
      </c>
      <c r="BZ357" s="115">
        <f>IF(OR(模拟模式!$P$16="10人团",模拟模式!$P$16="25人团"),IF(B357/30&gt;CA356,1,0),0)</f>
        <v>0</v>
      </c>
      <c r="CA357" s="115">
        <f t="shared" si="315"/>
        <v>0</v>
      </c>
      <c r="CB357" s="115">
        <f ca="1">IF(BZ357=1,IF(模拟模式!$P$16="10人团",15,0)+IF(模拟模式!$P$16="25人团",IF(RAND()&lt;0.6,15,0)),MAX(0,CB356-$F$4))</f>
        <v>0</v>
      </c>
      <c r="CC357" s="115" t="b">
        <f t="shared" ca="1" si="307"/>
        <v>0</v>
      </c>
      <c r="CD357" s="115">
        <f>IF(模拟模式!$Q$16="1个",IF(B357/40&gt;CE356,1,0),0)</f>
        <v>0</v>
      </c>
      <c r="CE357" s="115">
        <f t="shared" si="308"/>
        <v>0</v>
      </c>
      <c r="CF357" s="115">
        <f>IF(OR(CD357=1,模拟模式!$Q$16="2个"),20,MAX(0,CF356-$F$4))</f>
        <v>0</v>
      </c>
      <c r="CG357" s="115" t="b">
        <f t="shared" si="309"/>
        <v>0</v>
      </c>
      <c r="CH357" s="115">
        <f t="shared" ca="1" si="340"/>
        <v>0</v>
      </c>
      <c r="CI357" s="115" t="b">
        <f t="shared" ca="1" si="341"/>
        <v>0</v>
      </c>
      <c r="CJ357" s="119">
        <f t="shared" ca="1" si="342"/>
        <v>0</v>
      </c>
      <c r="CK357" s="115">
        <f t="shared" ca="1" si="343"/>
        <v>0</v>
      </c>
      <c r="CL357" s="115" t="b">
        <f ca="1">AND(模拟模式!$S$7="驱夷逐法",OR(AND(C357="净世破魔击·月",E356&gt;59),AND(C357="净世破魔击·日",F356&gt;59)))</f>
        <v>0</v>
      </c>
      <c r="CM357" s="115" t="b">
        <f ca="1">OR(CL357,AND(C357="净世破魔击·日",CL356,RAND()&lt;模拟模式!$U$23))</f>
        <v>0</v>
      </c>
      <c r="CN357" s="115" t="b">
        <f ca="1">IF(模拟模式!$M$7="辉耀红尘",AND(C357="净世破魔击·月",CL357,CV357=0,E356&lt;80),AND(C357="净世破魔击·月",CL357,E356&lt;100))</f>
        <v>0</v>
      </c>
      <c r="CO357" s="115" t="b">
        <f t="shared" ca="1" si="316"/>
        <v>0</v>
      </c>
      <c r="CP357" s="115" t="b">
        <f ca="1">AND(模拟模式!$O$7="用晦而明",OR(C357="净世破魔击·日",C357="净世破魔击·月",C357="驱夜断愁"),AB357)</f>
        <v>1</v>
      </c>
      <c r="CQ357" s="115" t="b">
        <f ca="1">OR(CP357,AND(CP356,RAND()&lt;模拟模式!$U$23))</f>
        <v>1</v>
      </c>
      <c r="CR357" s="115" t="b">
        <f ca="1">AND(模拟模式!$S$7="日月齐光",OR(C357="幽月轮1",C357="幽月轮2",C357="幽月轮3",CR356),NOT(OR(C357="赤日轮1",C357="赤日轮2",C357="赤日轮3")))</f>
        <v>0</v>
      </c>
      <c r="CS357" s="115" t="b">
        <f ca="1">AND(模拟模式!$S$7="日月齐光",OR(C357="赤日轮1",C357="赤日轮2",C357="赤日轮3",CS356),NOT(OR(C357="幽月轮1",C357="幽月轮2",C357="幽月轮3")))</f>
        <v>0</v>
      </c>
      <c r="CT357" s="115">
        <f t="shared" ca="1" si="344"/>
        <v>27.232500000000002</v>
      </c>
      <c r="CU357" s="115" t="b">
        <f ca="1">AND(模拟模式!$K$10="阴阳往极",CT356=0,RAND()&lt;IF(C357="净世破魔击·月",0.0275*7/3,IF(C357="净世破魔击·日",0.0275*3/3,0.0275*2/3)))</f>
        <v>0</v>
      </c>
      <c r="CV357" s="115">
        <f t="shared" ca="1" si="345"/>
        <v>1.31</v>
      </c>
      <c r="CW357" s="115">
        <f t="shared" ca="1" si="317"/>
        <v>1.3874999999999997</v>
      </c>
      <c r="CX357" s="115">
        <f t="shared" ca="1" si="318"/>
        <v>0</v>
      </c>
      <c r="CY357" s="115">
        <f ca="1">MAX(IF($C357="驱夜断愁",IF(模拟模式!$R$7="万念俱寂",6,45),CY356-$F$4),0)</f>
        <v>0.46499999999999975</v>
      </c>
      <c r="CZ357" s="115">
        <f t="shared" ca="1" si="319"/>
        <v>0</v>
      </c>
      <c r="DA357" s="115">
        <f ca="1">IF(模拟模式!$N$7="日月同辉",IF(DB356=2,0,MIN(6,IF(AND(OR(C357="赤日轮1",C357="赤日轮2",C357="赤日轮3",C357="幽月轮1",C357="幽月轮2",C357="幽月轮3"),AB357=1),DA356+1,DA356))),0)</f>
        <v>0</v>
      </c>
      <c r="DB357" s="115">
        <f t="shared" ca="1" si="320"/>
        <v>0</v>
      </c>
      <c r="DC357" s="115"/>
      <c r="DD357" s="115"/>
      <c r="DE357" s="115"/>
      <c r="DF357" s="115"/>
      <c r="DG357" s="115"/>
      <c r="DH357" s="115"/>
      <c r="DI357" s="115"/>
      <c r="DJ357" s="115"/>
      <c r="DK357" s="115"/>
      <c r="DL357" s="115"/>
      <c r="DM357" s="115"/>
    </row>
    <row r="358" spans="2:117" x14ac:dyDescent="0.2">
      <c r="B358" s="117">
        <f t="shared" si="321"/>
        <v>305.34750000000253</v>
      </c>
      <c r="C358" s="167" t="str">
        <f t="shared" ca="1" si="314"/>
        <v>净世破魔击·月</v>
      </c>
      <c r="D358" s="115">
        <f ca="1">IF(C358="赤日轮1",1,IF(C358="赤日轮2",2,IF(C358="赤日轮3",3,IF(C358="幽月轮1",4,IF(C358="幽月轮2",5,IF(C358="幽月轮3",6,IF(C358="烈日斩",7,IF(C358="银月斩",8,IF(C358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358="净世破魔击·月",17,IF(C358="驱夜断愁",18,0)))))))))))</f>
        <v>17</v>
      </c>
      <c r="E358" s="115">
        <f ca="1">IF(AND(CU358,OR(C358="幽月轮1",C358="幽月轮2",C358="幽月轮3",C358="银月斩",C358="驱夜断愁",C358="净世破魔击·月")),100,MIN(IF(OR(CN358,BE358),0,IF(OR($C358="赤日轮1",$C358="赤日轮2",$C358="赤日轮3"),E357+20+IF(模拟模式!$I$7="日月凌天",4,0)+IF(CR357,20,0),IF($C358="烈日斩",E357+40,IF($C358="驱夜断愁",IF(模拟模式!$R$7="万念俱寂",E357+20,E357+60),IF($C358="净世破魔击·月",IF(OR(DB357&gt;0,CV357&gt;0),100,IF(模拟模式!$M$7="辉耀红尘",E357+20,E357)),IF($C358="净世破魔击·日",E357-100,E357)))))),100))</f>
        <v>100</v>
      </c>
      <c r="F358" s="115">
        <f ca="1">IF(AND(CU358,OR(C358="赤日轮1",C358="赤日轮2",C358="赤日轮3",C358="烈日斩",C358="净世破魔击·日")),100,MIN(IF(CO358,0,IF(OR($C358="幽月轮1",$C358="幽月轮2",$C358="幽月轮3"),F357+20+IF(模拟模式!$I$7="日月凌天",4,0)+IF(CS357,20,0),IF($C358="银月斩",F357+40+IF(模拟模式!$X$12=1,5,0),IF($C358="驱夜断愁",IF(模拟模式!$R$7="万念俱寂",F357+20,F357+60),IF($C358="净世破魔击·月",IF(模拟模式!$M$7="辉耀红尘",F357-80,F357-100),IF(AND(C358="净世破魔击·日",OR(DB357&gt;0,CV357&gt;0)),100,F357)))))),100))</f>
        <v>20</v>
      </c>
      <c r="G358" s="117">
        <f ca="1">('模拟-全程加成'!$E$3+'模拟-全程加成'!$E$4+'模拟-全程加成'!$E$5+('模拟-全程加成'!$C$6-'模拟-全程加成'!$C$3)*系数!$B$9+BS358*23)*(1+'模拟-全程加成'!$F$4+'模拟-全程加成'!$F$5+BJ358*10%+BM358*20%+BP358*4%+CG358*30%)+$F$7*系数!$B$12</f>
        <v>20583.127400000001</v>
      </c>
      <c r="H358" s="45">
        <f ca="1">'模拟-全程加成'!$H$3+'模拟-全程加成'!$H$4+'模拟-全程加成'!$H$5+('模拟-全程加成'!$G$4+'模拟-全程加成'!$G$5+('模拟-全程加成'!$C$6-'模拟-全程加成'!$C$3)*系数!$B$13)/系数!$B$3+LOOKUP(D358,'模拟-单技能数据'!$A$2:$A$19,'模拟-单技能数据'!$K$2:$K$19)+BG358*10%+IF(BV358&gt;0,378,0)</f>
        <v>0.54185145527300216</v>
      </c>
      <c r="I358" s="45">
        <f ca="1">'模拟-全程加成'!$J$3+'模拟-全程加成'!$J$4+'模拟-全程加成'!$J$5+('模拟-全程加成'!$I$4+'模拟-全程加成'!$I$5)/系数!$B$4+LOOKUP(D358,'模拟-单技能数据'!$A$2:$A$19,'模拟-单技能数据'!$L$2:$L$19)+BG358*10%</f>
        <v>2.162482885499879</v>
      </c>
      <c r="J358" s="45">
        <f ca="1">(('模拟-全程加成'!$K$3+'模拟-全程加成'!$K$4+'模拟-全程加成'!$K$5+('模拟-全程加成'!$C$6-'模拟-全程加成'!$C$3)*系数!$B$10+IF(BV358&gt;0,882,0)+IF(BY358&gt;0,1831,0))*(1+'模拟-全程加成'!$L$4+'模拟-全程加成'!$L$5+CC358*20%))/系数!$B$5</f>
        <v>0.69723220422048726</v>
      </c>
      <c r="K358" s="119">
        <f ca="1">LOOKUP(D358,'模拟-单技能数据'!$A$2:$A$19,'模拟-单技能数据'!$J$2:$J$19)+IF(CM358,60%,0)+IF(DB357-DB358&gt;0,30%,0)+IF(OR(AND(OR(C358="赤日轮1",C358="赤日轮2",C358="赤日轮3"),CR358),AND(OR(C358="幽月轮1",C358="幽月轮2",C358="幽月轮3"),CS358)),35%,0)+CJ358</f>
        <v>0.21000000000000002</v>
      </c>
      <c r="L358" s="119">
        <f ca="1">IF(AND(C358="烈日斩",模拟模式!$X$11=1),10%,0)+IF(AND(C358="驱夜断愁",AB358=1),30%,0)</f>
        <v>0</v>
      </c>
      <c r="M358" s="45">
        <f t="shared" ca="1" si="297"/>
        <v>0.54185145527300216</v>
      </c>
      <c r="N358" s="45">
        <f t="shared" ca="1" si="298"/>
        <v>0.40424854472699789</v>
      </c>
      <c r="O358" s="46">
        <f t="shared" ca="1" si="322"/>
        <v>0.8369880058730319</v>
      </c>
      <c r="P358" s="46" t="str">
        <f t="shared" ca="1" si="323"/>
        <v>命</v>
      </c>
      <c r="Q358" s="45">
        <f t="shared" ca="1" si="324"/>
        <v>1</v>
      </c>
      <c r="R358" s="117">
        <f ca="1">模拟模式!$E$20*(1-IF(模拟模式!$J$19="有",0.15,0))*(1-IF(模拟模式!$K$19="有",0.3,0)-IF(CQ358,0.5,0))</f>
        <v>843.02999999999975</v>
      </c>
      <c r="S358" s="45">
        <f ca="1">R358/(R358+(185*模拟模式!$E$22-16800)*4.08224)</f>
        <v>8.389626085980037E-2</v>
      </c>
      <c r="T358" s="45" t="str">
        <f ca="1">LOOKUP(D358,'模拟-单技能数据'!$A$2:$A$19,'模拟-单技能数据'!$H$2:$H$19)</f>
        <v>阴</v>
      </c>
      <c r="U358" s="119">
        <f t="shared" ca="1" si="299"/>
        <v>0.08</v>
      </c>
      <c r="V358" s="47">
        <f ca="1">(1+L358)*(LOOKUP(D358,'模拟-单技能数据'!$A$2:$A$19,'模拟-单技能数据'!$D$2:$D$19)+G358*LOOKUP(D358,'模拟-单技能数据'!$A$2:$A$19,'模拟-单技能数据'!$F$2:$F$19))*(1+J358)*(1+K358)*(1-S358)*(1+U358)*Q358*LOOKUP(D358,'模拟-单技能数据'!$A$2:$A$19,'模拟-单技能数据'!$I$2:$I$20)</f>
        <v>54358.995603048825</v>
      </c>
      <c r="W358" s="47">
        <f ca="1">LOOKUP(D358,'模拟-单技能数据'!$A$2:$A$19,'模拟-单技能数据'!$G$2:$G$19)*$I$10</f>
        <v>361.51064354704795</v>
      </c>
      <c r="X358" s="47">
        <f t="shared" ca="1" si="325"/>
        <v>17559.252156196195</v>
      </c>
      <c r="Y358" s="47">
        <f t="shared" ca="1" si="300"/>
        <v>72279.758402792067</v>
      </c>
      <c r="Z358" s="49">
        <f t="shared" ca="1" si="301"/>
        <v>34601951.461030401</v>
      </c>
      <c r="AA358" s="97">
        <f t="shared" ca="1" si="302"/>
        <v>113319.91079353889</v>
      </c>
      <c r="AB358" s="115">
        <f ca="1">IF(OR(C358="赤日轮1",C358="赤日轮2",C358="赤日轮3"),IF(RAND()&lt;模拟模式!$Y$17,1,0),IF(OR(C358="幽月轮1",C358="幽月轮2",C358="幽月轮3"),IF(RAND()&lt;模拟模式!$Y$18,1,0),IF(C358="烈日斩",IF(RAND()&lt;模拟模式!$Y$19,1,0),IF(C358="银月斩",IF(RAND()&lt;模拟模式!$Y$20,1,0),IF(C358="驱夜断愁",IF(RAND()&lt;模拟模式!$Y$21,1,0),IF(C358="净世破魔击·日",IF(RAND()&lt;模拟模式!$Y$22,1,0),IF(C358="净世破魔击·月",IF(RAND()&lt;模拟模式!$Y$23,1,0),0)))))))</f>
        <v>1</v>
      </c>
      <c r="AC358" s="115" t="b">
        <f t="shared" ca="1" si="290"/>
        <v>0</v>
      </c>
      <c r="AD358" s="115" t="b">
        <f t="shared" ca="1" si="310"/>
        <v>0</v>
      </c>
      <c r="AE358" s="115">
        <f t="shared" ca="1" si="311"/>
        <v>2</v>
      </c>
      <c r="AF358" s="47">
        <f ca="1">IF(AC358,('模拟-单技能数据'!$D$20+G358*'模拟-单技能数据'!$F$20)*(1+J358)*(1+'模拟-单技能数据'!$J$20)*(1+U358),0)</f>
        <v>0</v>
      </c>
      <c r="AG358" s="61">
        <f t="shared" ca="1" si="303"/>
        <v>0.64185145527300214</v>
      </c>
      <c r="AH358" s="61">
        <f t="shared" ca="1" si="304"/>
        <v>2.2624828854998791</v>
      </c>
      <c r="AI358" s="62">
        <f t="shared" ca="1" si="326"/>
        <v>0.82239979255425155</v>
      </c>
      <c r="AJ358" s="47">
        <f ca="1">IF(AD358,IF(AI358&lt;$F$10,0,IF(AI358&lt;$F$10+$F$11,0.25,IF(AI358&lt;$F$10+$F$11+AG358,AH358,1)))*IF(AF358&gt;0,AF358,IF(AF357&gt;0,AF357,IF(AF356&gt;0,AF356,IF(AF355&gt;0,AF355,IF(AF354&gt;0,AF354,IF(AF353&gt;0,AF353,IF(AF352&gt;0,AF352,IF(AF351&gt;0,AF351,IF(AF350&gt;0,AF350,IF(AF348&gt;0,AF348,IF(AF347&gt;0,AF347,IF(AF346&gt;0,AF346,0)))))))))))),0)*(1-$S358)*'模拟-单技能数据'!$I$20</f>
        <v>0</v>
      </c>
      <c r="AK358" s="115" t="b">
        <f t="shared" ca="1" si="291"/>
        <v>0</v>
      </c>
      <c r="AL358" s="115" t="b">
        <f t="shared" ca="1" si="312"/>
        <v>0</v>
      </c>
      <c r="AM358" s="115">
        <f t="shared" ca="1" si="313"/>
        <v>5</v>
      </c>
      <c r="AN358" s="47">
        <f ca="1">IF(AK358,('模拟-单技能数据'!$D$21+G358*'模拟-单技能数据'!$F$21)*(1+J358)*(1+'模拟-单技能数据'!$J$21)*(1+U358),0)</f>
        <v>0</v>
      </c>
      <c r="AO358" s="61">
        <f ca="1">IF(AN358&gt;0,M358-'模拟-单技能数据'!$K$10,AO357)</f>
        <v>0.42185145527300216</v>
      </c>
      <c r="AP358" s="61">
        <f ca="1">IF(AN358&gt;0,I358-'模拟-单技能数据'!$L$10,AP357)</f>
        <v>2.162482885499879</v>
      </c>
      <c r="AQ358" s="63">
        <f t="shared" ca="1" si="327"/>
        <v>0.98855082108194914</v>
      </c>
      <c r="AR358" s="64">
        <f ca="1">IF(AL358,IF(AQ358&lt;$F$10,0,IF(AQ358&lt;$F$10+$F$11,0.25,IF(AQ358&lt;$F$10+$F$11+AO358,AP358,1)))*IF(AN358&gt;0,AN358,IF(AN357&gt;0,AN357,IF(AN356&gt;0,AN356,IF(AN355&gt;0,AN355,IF(AN354&gt;0,AN354,IF(AN353&gt;0,AN353,IF(AN352&gt;0,AN352,IF(AN351&gt;0,AN351,IF(AN350&gt;0,AN350,IF(AN348&gt;0,AN348,IF(AN347&gt;0,AN347,IF(AN346&gt;0,AN346,0)))))))))))),0)*(1-$S358)*'模拟-单技能数据'!$I$21</f>
        <v>0</v>
      </c>
      <c r="AS358" s="61">
        <f ca="1">IF(OR(C358="净世破魔击·日",C358="净世破魔击·月"),M358-'模拟-单技能数据'!$K$10,0)</f>
        <v>0.42185145527300216</v>
      </c>
      <c r="AT358" s="61">
        <f ca="1">IF(OR(C358="净世破魔击·日",C358="净世破魔击·月"),I358-'模拟-单技能数据'!$L$10,0)</f>
        <v>2.162482885499879</v>
      </c>
      <c r="AU358" s="62">
        <f t="shared" ca="1" si="328"/>
        <v>0.7891391926976915</v>
      </c>
      <c r="AV358" s="64">
        <f ca="1">IF(AS358&gt;0,('模拟-单技能数据'!$D$22+G358*'模拟-单技能数据'!$F$22)*(1+J358)*(1-S358)*IF(AU358&lt;$F$10,0,IF(AU358&lt;$F$10+$F$11,0.25,IF(AU358&lt;$F$10+$F$11+AS358,AT358,1)))*(1+U358),0)*'模拟-单技能数据'!$I$22</f>
        <v>7639.4517521048492</v>
      </c>
      <c r="AW358" s="108">
        <f t="shared" ca="1" si="329"/>
        <v>2.4725000000000064</v>
      </c>
      <c r="AX358" s="108" t="b">
        <f ca="1">AND(模拟模式!$P$10="有",AW357=0,RAND()&lt;IF(C358="净世破魔击·月",0.1*8/3,IF(C358="净世破魔击·日",0.1*4/3,0.1*2/3)))</f>
        <v>0</v>
      </c>
      <c r="AY358" s="47">
        <f ca="1">IF(AX358,(18+G358*0.722)*(1+J358)*(1-S358)*(1+$I$4)*IF(P358="会",'模拟-全程加成'!$J$3+'模拟-全程加成'!$J$4+'模拟-全程加成'!$J$5+('模拟-全程加成'!$I$4+'模拟-全程加成'!$I$5)/系数!$B$4+BG358*10%,IF(P358="命",1,IF(P358="识",0.25,0))),0)</f>
        <v>0</v>
      </c>
      <c r="AZ358" s="108">
        <f t="shared" si="330"/>
        <v>19.077500000000001</v>
      </c>
      <c r="BA358" s="108" t="b">
        <f>AND(模拟模式!$Q$10="有",AZ357=0)</f>
        <v>1</v>
      </c>
      <c r="BB358" s="140">
        <f ca="1">IF(BA358,(0+G358*0.287)*(1+J358)*(1-S358)*(1+$I$4)*IF(P358="会",'模拟-全程加成'!$J$3+'模拟-全程加成'!$J$4+'模拟-全程加成'!$J$5+('模拟-全程加成'!$I$4+'模拟-全程加成'!$I$5)/系数!$B$4+BG358*10%,IF(P358="命",1,IF(P358="识",0.25,0))),0)</f>
        <v>9919.8004040913456</v>
      </c>
      <c r="BC358" s="115" t="b">
        <f ca="1">AND(模拟模式!$R$7="伏明众生",E358=60,F358=20,DA358&lt;5,CZ357&lt;$F$4)</f>
        <v>0</v>
      </c>
      <c r="BD358" s="115">
        <f t="shared" ca="1" si="292"/>
        <v>0</v>
      </c>
      <c r="BE358" s="115" t="b">
        <f t="shared" ca="1" si="293"/>
        <v>0</v>
      </c>
      <c r="BF358" s="47">
        <f ca="1">IF(BC358,4*('模拟-单技能数据'!$D$24+G358*'模拟-单技能数据'!$F$24)*(1+J358)*(1+'模拟-单技能数据'!$J$24)*(1-S358)*(1+$I$3)*(('模拟-全程加成'!$J$3+'模拟-全程加成'!$J$4+'模拟-全程加成'!$J$5+('模拟-全程加成'!$I$4+'模拟-全程加成'!$I$5)/系数!$B$4+BG358*10%)*('模拟-全程加成'!$J$3+'模拟-全程加成'!$J$4+'模拟-全程加成'!$J$5+('模拟-全程加成'!$I$4+'模拟-全程加成'!$I$5)/系数!$B$4+BG358*10%)+(1-('模拟-全程加成'!$J$3+'模拟-全程加成'!$J$4+'模拟-全程加成'!$J$5+('模拟-全程加成'!$I$4+'模拟-全程加成'!$I$5)/系数!$B$4+BG358*10%)-$F$10-$F$11)+F344*0.25),0)*'模拟-单技能数据'!$I$24</f>
        <v>0</v>
      </c>
      <c r="BG358" s="115" t="b">
        <f ca="1">OR(AND(OR(C358="烈日斩",C358="银月斩"),模拟模式!$I$7="净身明礼"),AND(C358="净世破魔击·日",模拟模式!$J$7="洞若观火"),AND(C359="净世破魔击·月",模拟模式!$J$7="洞若观火"),AB358=1)</f>
        <v>1</v>
      </c>
      <c r="BH358" s="115" t="b">
        <f t="shared" ca="1" si="331"/>
        <v>0</v>
      </c>
      <c r="BI358" s="115">
        <f t="shared" ca="1" si="294"/>
        <v>0</v>
      </c>
      <c r="BJ358" s="115" t="b">
        <f t="shared" ca="1" si="305"/>
        <v>0</v>
      </c>
      <c r="BK358" s="115" t="b">
        <f ca="1">AND(C358="驱夜断愁",模拟模式!$P$7="天地诛戮")</f>
        <v>0</v>
      </c>
      <c r="BL358" s="57">
        <f t="shared" ca="1" si="295"/>
        <v>13.542500000000004</v>
      </c>
      <c r="BM358" s="115" t="b">
        <f t="shared" ca="1" si="306"/>
        <v>1</v>
      </c>
      <c r="BN358" s="115" t="b">
        <f ca="1">AND(OR(C358="赤日轮1",C358="赤日轮2",C358="赤日轮3",C358="幽月轮1",C358="幽月轮2",C358="幽月轮3"),AB358=1,模拟模式!$L$7="明光恒照")</f>
        <v>0</v>
      </c>
      <c r="BO358" s="117">
        <f t="shared" ca="1" si="296"/>
        <v>25.387500000000003</v>
      </c>
      <c r="BP358" s="115">
        <f t="shared" ca="1" si="332"/>
        <v>6</v>
      </c>
      <c r="BQ358" s="115" t="b">
        <f>模拟模式!$K$10="2600·水"</f>
        <v>0</v>
      </c>
      <c r="BR358" s="117">
        <f t="shared" si="333"/>
        <v>0</v>
      </c>
      <c r="BS358" s="115">
        <f t="shared" si="334"/>
        <v>0</v>
      </c>
      <c r="BT358" s="115">
        <f t="shared" ca="1" si="335"/>
        <v>0</v>
      </c>
      <c r="BU358" s="115" t="b">
        <f ca="1">AND(模拟模式!$K$10="2300·雷",BT357=0,RAND()&lt;IF(C358="净世破魔击·月",5*0.05*2/3,IF(C358="净世破魔击·日",3*0.05*2/3,0.05*2*2/3)))</f>
        <v>0</v>
      </c>
      <c r="BV358" s="115">
        <f t="shared" ca="1" si="336"/>
        <v>0</v>
      </c>
      <c r="BW358" s="115">
        <f t="shared" ca="1" si="337"/>
        <v>66.532499999999274</v>
      </c>
      <c r="BX358" s="164" t="b">
        <f t="shared" ca="1" si="338"/>
        <v>0</v>
      </c>
      <c r="BY358" s="115">
        <f t="shared" ca="1" si="339"/>
        <v>0</v>
      </c>
      <c r="BZ358" s="115">
        <f>IF(OR(模拟模式!$P$16="10人团",模拟模式!$P$16="25人团"),IF(B358/30&gt;CA357,1,0),0)</f>
        <v>0</v>
      </c>
      <c r="CA358" s="115">
        <f t="shared" si="315"/>
        <v>0</v>
      </c>
      <c r="CB358" s="115">
        <f ca="1">IF(BZ358=1,IF(模拟模式!$P$16="10人团",15,0)+IF(模拟模式!$P$16="25人团",IF(RAND()&lt;0.6,15,0)),MAX(0,CB357-$F$4))</f>
        <v>0</v>
      </c>
      <c r="CC358" s="115" t="b">
        <f t="shared" ca="1" si="307"/>
        <v>0</v>
      </c>
      <c r="CD358" s="115">
        <f>IF(模拟模式!$Q$16="1个",IF(B358/40&gt;CE357,1,0),0)</f>
        <v>0</v>
      </c>
      <c r="CE358" s="115">
        <f t="shared" si="308"/>
        <v>0</v>
      </c>
      <c r="CF358" s="115">
        <f>IF(OR(CD358=1,模拟模式!$Q$16="2个"),20,MAX(0,CF357-$F$4))</f>
        <v>0</v>
      </c>
      <c r="CG358" s="115" t="b">
        <f t="shared" si="309"/>
        <v>0</v>
      </c>
      <c r="CH358" s="115">
        <f t="shared" ca="1" si="340"/>
        <v>29.077500000000001</v>
      </c>
      <c r="CI358" s="115" t="b">
        <f t="shared" ca="1" si="341"/>
        <v>1</v>
      </c>
      <c r="CJ358" s="119">
        <f t="shared" ca="1" si="342"/>
        <v>0.01</v>
      </c>
      <c r="CK358" s="115">
        <f t="shared" ca="1" si="343"/>
        <v>7.0774999999999997</v>
      </c>
      <c r="CL358" s="115" t="b">
        <f ca="1">AND(模拟模式!$S$7="驱夷逐法",OR(AND(C358="净世破魔击·月",E357&gt;59),AND(C358="净世破魔击·日",F357&gt;59)))</f>
        <v>0</v>
      </c>
      <c r="CM358" s="115" t="b">
        <f ca="1">OR(CL358,AND(C358="净世破魔击·日",CL357,RAND()&lt;模拟模式!$U$23))</f>
        <v>0</v>
      </c>
      <c r="CN358" s="115" t="b">
        <f ca="1">IF(模拟模式!$M$7="辉耀红尘",AND(C358="净世破魔击·月",CL358,CV358=0,E357&lt;80),AND(C358="净世破魔击·月",CL358,E357&lt;100))</f>
        <v>0</v>
      </c>
      <c r="CO358" s="115" t="b">
        <f t="shared" ca="1" si="316"/>
        <v>0</v>
      </c>
      <c r="CP358" s="115" t="b">
        <f ca="1">AND(模拟模式!$O$7="用晦而明",OR(C358="净世破魔击·日",C358="净世破魔击·月",C358="驱夜断愁"),AB358)</f>
        <v>1</v>
      </c>
      <c r="CQ358" s="115" t="b">
        <f ca="1">OR(CP358,AND(CP357,RAND()&lt;模拟模式!$U$23))</f>
        <v>1</v>
      </c>
      <c r="CR358" s="115" t="b">
        <f ca="1">AND(模拟模式!$S$7="日月齐光",OR(C358="幽月轮1",C358="幽月轮2",C358="幽月轮3",CR357),NOT(OR(C358="赤日轮1",C358="赤日轮2",C358="赤日轮3")))</f>
        <v>0</v>
      </c>
      <c r="CS358" s="115" t="b">
        <f ca="1">AND(模拟模式!$S$7="日月齐光",OR(C358="赤日轮1",C358="赤日轮2",C358="赤日轮3",CS357),NOT(OR(C358="幽月轮1",C358="幽月轮2",C358="幽月轮3")))</f>
        <v>0</v>
      </c>
      <c r="CT358" s="115">
        <f t="shared" ca="1" si="344"/>
        <v>26.310000000000002</v>
      </c>
      <c r="CU358" s="115" t="b">
        <f ca="1">AND(模拟模式!$K$10="阴阳往极",CT357=0,RAND()&lt;IF(C358="净世破魔击·月",0.0275*7/3,IF(C358="净世破魔击·日",0.0275*3/3,0.0275*2/3)))</f>
        <v>0</v>
      </c>
      <c r="CV358" s="115">
        <f t="shared" ca="1" si="345"/>
        <v>0.38750000000000007</v>
      </c>
      <c r="CW358" s="115">
        <f t="shared" ca="1" si="317"/>
        <v>0.46499999999999975</v>
      </c>
      <c r="CX358" s="115">
        <f t="shared" ca="1" si="318"/>
        <v>0</v>
      </c>
      <c r="CY358" s="115">
        <f ca="1">MAX(IF($C358="驱夜断愁",IF(模拟模式!$R$7="万念俱寂",6,45),CY357-$F$4),0)</f>
        <v>0</v>
      </c>
      <c r="CZ358" s="115">
        <f t="shared" ca="1" si="319"/>
        <v>0</v>
      </c>
      <c r="DA358" s="115">
        <f ca="1">IF(模拟模式!$N$7="日月同辉",IF(DB357=2,0,MIN(6,IF(AND(OR(C358="赤日轮1",C358="赤日轮2",C358="赤日轮3",C358="幽月轮1",C358="幽月轮2",C358="幽月轮3"),AB358=1),DA357+1,DA357))),0)</f>
        <v>0</v>
      </c>
      <c r="DB358" s="115">
        <f t="shared" ca="1" si="320"/>
        <v>0</v>
      </c>
      <c r="DC358" s="115"/>
      <c r="DD358" s="115"/>
      <c r="DE358" s="115"/>
      <c r="DF358" s="115"/>
      <c r="DG358" s="115"/>
      <c r="DH358" s="115"/>
      <c r="DI358" s="115"/>
      <c r="DJ358" s="115"/>
      <c r="DK358" s="115"/>
      <c r="DL358" s="115"/>
      <c r="DM358" s="115"/>
    </row>
    <row r="359" spans="2:117" x14ac:dyDescent="0.2">
      <c r="B359" s="117">
        <f t="shared" si="321"/>
        <v>306.27000000000254</v>
      </c>
      <c r="C359" s="167" t="str">
        <f t="shared" ca="1" si="314"/>
        <v>净世破魔击·日</v>
      </c>
      <c r="D359" s="115">
        <f ca="1">IF(C359="赤日轮1",1,IF(C359="赤日轮2",2,IF(C359="赤日轮3",3,IF(C359="幽月轮1",4,IF(C359="幽月轮2",5,IF(C359="幽月轮3",6,IF(C359="烈日斩",7,IF(C359="银月斩",8,IF(C359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359="净世破魔击·月",17,IF(C359="驱夜断愁",18,0)))))))))))</f>
        <v>9</v>
      </c>
      <c r="E359" s="115">
        <f ca="1">IF(AND(CU359,OR(C359="幽月轮1",C359="幽月轮2",C359="幽月轮3",C359="银月斩",C359="驱夜断愁",C359="净世破魔击·月")),100,MIN(IF(OR(CN359,BE359),0,IF(OR($C359="赤日轮1",$C359="赤日轮2",$C359="赤日轮3"),E358+20+IF(模拟模式!$I$7="日月凌天",4,0)+IF(CR358,20,0),IF($C359="烈日斩",E358+40,IF($C359="驱夜断愁",IF(模拟模式!$R$7="万念俱寂",E358+20,E358+60),IF($C359="净世破魔击·月",IF(OR(DB358&gt;0,CV358&gt;0),100,IF(模拟模式!$M$7="辉耀红尘",E358+20,E358)),IF($C359="净世破魔击·日",E358-100,E358)))))),100))</f>
        <v>0</v>
      </c>
      <c r="F359" s="115">
        <f ca="1">IF(AND(CU359,OR(C359="赤日轮1",C359="赤日轮2",C359="赤日轮3",C359="烈日斩",C359="净世破魔击·日")),100,MIN(IF(CO359,0,IF(OR($C359="幽月轮1",$C359="幽月轮2",$C359="幽月轮3"),F358+20+IF(模拟模式!$I$7="日月凌天",4,0)+IF(CS358,20,0),IF($C359="银月斩",F358+40+IF(模拟模式!$X$12=1,5,0),IF($C359="驱夜断愁",IF(模拟模式!$R$7="万念俱寂",F358+20,F358+60),IF($C359="净世破魔击·月",IF(模拟模式!$M$7="辉耀红尘",F358-80,F358-100),IF(AND(C359="净世破魔击·日",OR(DB358&gt;0,CV358&gt;0)),100,F358)))))),100))</f>
        <v>100</v>
      </c>
      <c r="G359" s="117">
        <f ca="1">('模拟-全程加成'!$E$3+'模拟-全程加成'!$E$4+'模拟-全程加成'!$E$5+('模拟-全程加成'!$C$6-'模拟-全程加成'!$C$3)*系数!$B$9+BS359*23)*(1+'模拟-全程加成'!$F$4+'模拟-全程加成'!$F$5+BJ359*10%+BM359*20%+BP359*4%+CG359*30%)+$F$7*系数!$B$12</f>
        <v>20583.127400000001</v>
      </c>
      <c r="H359" s="45">
        <f ca="1">'模拟-全程加成'!$H$3+'模拟-全程加成'!$H$4+'模拟-全程加成'!$H$5+('模拟-全程加成'!$G$4+'模拟-全程加成'!$G$5+('模拟-全程加成'!$C$6-'模拟-全程加成'!$C$3)*系数!$B$13)/系数!$B$3+LOOKUP(D359,'模拟-单技能数据'!$A$2:$A$19,'模拟-单技能数据'!$K$2:$K$19)+BG359*10%+IF(BV359&gt;0,378,0)</f>
        <v>0.54185145527300216</v>
      </c>
      <c r="I359" s="45">
        <f ca="1">'模拟-全程加成'!$J$3+'模拟-全程加成'!$J$4+'模拟-全程加成'!$J$5+('模拟-全程加成'!$I$4+'模拟-全程加成'!$I$5)/系数!$B$4+LOOKUP(D359,'模拟-单技能数据'!$A$2:$A$19,'模拟-单技能数据'!$L$2:$L$19)+BG359*10%</f>
        <v>2.162482885499879</v>
      </c>
      <c r="J359" s="45">
        <f ca="1">(('模拟-全程加成'!$K$3+'模拟-全程加成'!$K$4+'模拟-全程加成'!$K$5+('模拟-全程加成'!$C$6-'模拟-全程加成'!$C$3)*系数!$B$10+IF(BV359&gt;0,882,0)+IF(BY359&gt;0,1831,0))*(1+'模拟-全程加成'!$L$4+'模拟-全程加成'!$L$5+CC359*20%))/系数!$B$5</f>
        <v>0.69723220422048726</v>
      </c>
      <c r="K359" s="119">
        <f ca="1">LOOKUP(D359,'模拟-单技能数据'!$A$2:$A$19,'模拟-单技能数据'!$J$2:$J$19)+IF(CM359,60%,0)+IF(DB358-DB359&gt;0,30%,0)+IF(OR(AND(OR(C359="赤日轮1",C359="赤日轮2",C359="赤日轮3"),CR359),AND(OR(C359="幽月轮1",C359="幽月轮2",C359="幽月轮3"),CS359)),35%,0)+CJ359</f>
        <v>0.21000000000000002</v>
      </c>
      <c r="L359" s="119">
        <f ca="1">IF(AND(C359="烈日斩",模拟模式!$X$11=1),10%,0)+IF(AND(C359="驱夜断愁",AB359=1),30%,0)</f>
        <v>0</v>
      </c>
      <c r="M359" s="45">
        <f t="shared" ca="1" si="297"/>
        <v>0.54185145527300216</v>
      </c>
      <c r="N359" s="45">
        <f t="shared" ca="1" si="298"/>
        <v>0.40424854472699789</v>
      </c>
      <c r="O359" s="46">
        <f t="shared" ca="1" si="322"/>
        <v>5.9322978362818413E-2</v>
      </c>
      <c r="P359" s="46" t="str">
        <f t="shared" ca="1" si="323"/>
        <v>会</v>
      </c>
      <c r="Q359" s="45">
        <f t="shared" ca="1" si="324"/>
        <v>2.162482885499879</v>
      </c>
      <c r="R359" s="117">
        <f ca="1">模拟模式!$E$20*(1-IF(模拟模式!$J$19="有",0.15,0))*(1-IF(模拟模式!$K$19="有",0.3,0)-IF(CQ359,0.5,0))</f>
        <v>843.02999999999975</v>
      </c>
      <c r="S359" s="45">
        <f ca="1">R359/(R359+(185*模拟模式!$E$22-16800)*4.08224)</f>
        <v>8.389626085980037E-2</v>
      </c>
      <c r="T359" s="45" t="str">
        <f ca="1">LOOKUP(D359,'模拟-单技能数据'!$A$2:$A$19,'模拟-单技能数据'!$H$2:$H$19)</f>
        <v>阳</v>
      </c>
      <c r="U359" s="119">
        <f t="shared" ca="1" si="299"/>
        <v>0.2</v>
      </c>
      <c r="V359" s="47">
        <f ca="1">(1+L359)*(LOOKUP(D359,'模拟-单技能数据'!$A$2:$A$19,'模拟-单技能数据'!$D$2:$D$19)+G359*LOOKUP(D359,'模拟-单技能数据'!$A$2:$A$19,'模拟-单技能数据'!$F$2:$F$19))*(1+J359)*(1+K359)*(1-S359)*(1+U359)*Q359*LOOKUP(D359,'模拟-单技能数据'!$A$2:$A$19,'模拟-单技能数据'!$I$2:$I$20)</f>
        <v>131698.96445159343</v>
      </c>
      <c r="W359" s="47">
        <f ca="1">LOOKUP(D359,'模拟-单技能数据'!$A$2:$A$19,'模拟-单技能数据'!$G$2:$G$19)*$I$10</f>
        <v>723.0212870940959</v>
      </c>
      <c r="X359" s="47">
        <f t="shared" ca="1" si="325"/>
        <v>19606.63323331828</v>
      </c>
      <c r="Y359" s="47">
        <f t="shared" ca="1" si="300"/>
        <v>152028.61897200582</v>
      </c>
      <c r="Z359" s="49">
        <f t="shared" ca="1" si="301"/>
        <v>34753980.080002405</v>
      </c>
      <c r="AA359" s="97">
        <f t="shared" ca="1" si="302"/>
        <v>113474.97332419798</v>
      </c>
      <c r="AB359" s="115">
        <f ca="1">IF(OR(C359="赤日轮1",C359="赤日轮2",C359="赤日轮3"),IF(RAND()&lt;模拟模式!$Y$17,1,0),IF(OR(C359="幽月轮1",C359="幽月轮2",C359="幽月轮3"),IF(RAND()&lt;模拟模式!$Y$18,1,0),IF(C359="烈日斩",IF(RAND()&lt;模拟模式!$Y$19,1,0),IF(C359="银月斩",IF(RAND()&lt;模拟模式!$Y$20,1,0),IF(C359="驱夜断愁",IF(RAND()&lt;模拟模式!$Y$21,1,0),IF(C359="净世破魔击·日",IF(RAND()&lt;模拟模式!$Y$22,1,0),IF(C359="净世破魔击·月",IF(RAND()&lt;模拟模式!$Y$23,1,0),0)))))))</f>
        <v>1</v>
      </c>
      <c r="AC359" s="115" t="b">
        <f t="shared" ca="1" si="290"/>
        <v>0</v>
      </c>
      <c r="AD359" s="115" t="b">
        <f t="shared" ca="1" si="310"/>
        <v>1</v>
      </c>
      <c r="AE359" s="115">
        <f t="shared" ca="1" si="311"/>
        <v>1</v>
      </c>
      <c r="AF359" s="47">
        <f ca="1">IF(AC359,('模拟-单技能数据'!$D$20+G359*'模拟-单技能数据'!$F$20)*(1+J359)*(1+'模拟-单技能数据'!$J$20)*(1+U359),0)</f>
        <v>0</v>
      </c>
      <c r="AG359" s="61">
        <f t="shared" ca="1" si="303"/>
        <v>0.64185145527300214</v>
      </c>
      <c r="AH359" s="61">
        <f t="shared" ca="1" si="304"/>
        <v>2.2624828854998791</v>
      </c>
      <c r="AI359" s="62">
        <f t="shared" ca="1" si="326"/>
        <v>6.0141067285984784E-2</v>
      </c>
      <c r="AJ359" s="47">
        <f ca="1">IF(AD359,IF(AI359&lt;$F$10,0,IF(AI359&lt;$F$10+$F$11,0.25,IF(AI359&lt;$F$10+$F$11+AG359,AH359,1)))*IF(AF359&gt;0,AF359,IF(AF358&gt;0,AF358,IF(AF357&gt;0,AF357,IF(AF356&gt;0,AF356,IF(AF355&gt;0,AF355,IF(AF354&gt;0,AF354,IF(AF353&gt;0,AF353,IF(AF352&gt;0,AF352,IF(AF351&gt;0,AF351,IF(AF349&gt;0,AF349,IF(AF348&gt;0,AF348,IF(AF347&gt;0,AF347,0)))))))))))),0)*(1-$S359)*'模拟-单技能数据'!$I$20</f>
        <v>0</v>
      </c>
      <c r="AK359" s="115" t="b">
        <f t="shared" ca="1" si="291"/>
        <v>1</v>
      </c>
      <c r="AL359" s="115" t="b">
        <f t="shared" ca="1" si="312"/>
        <v>1</v>
      </c>
      <c r="AM359" s="115">
        <f t="shared" ca="1" si="313"/>
        <v>5</v>
      </c>
      <c r="AN359" s="47">
        <f ca="1">IF(AK359,('模拟-单技能数据'!$D$21+G359*'模拟-单技能数据'!$F$21)*(1+J359)*(1+'模拟-单技能数据'!$J$21)*(1+U359),0)</f>
        <v>12136.56601728573</v>
      </c>
      <c r="AO359" s="61">
        <f ca="1">IF(AN359&gt;0,M359-'模拟-单技能数据'!$K$10,AO358)</f>
        <v>0.42185145527300216</v>
      </c>
      <c r="AP359" s="61">
        <f ca="1">IF(AN359&gt;0,I359-'模拟-单技能数据'!$L$10,AP358)</f>
        <v>2.162482885499879</v>
      </c>
      <c r="AQ359" s="63">
        <f t="shared" ca="1" si="327"/>
        <v>0.80140904827729131</v>
      </c>
      <c r="AR359" s="64">
        <f ca="1">IF(AL359,IF(AQ359&lt;$F$10,0,IF(AQ359&lt;$F$10+$F$11,0.25,IF(AQ359&lt;$F$10+$F$11+AO359,AP359,1)))*IF(AN359&gt;0,AN359,IF(AN358&gt;0,AN358,IF(AN357&gt;0,AN357,IF(AN356&gt;0,AN356,IF(AN355&gt;0,AN355,IF(AN354&gt;0,AN354,IF(AN353&gt;0,AN353,IF(AN352&gt;0,AN352,IF(AN351&gt;0,AN351,IF(AN349&gt;0,AN349,IF(AN348&gt;0,AN348,IF(AN347&gt;0,AN347,0)))))))))))),0)*(1-$S359)*'模拟-单技能数据'!$I$21</f>
        <v>11118.353508757338</v>
      </c>
      <c r="AS359" s="61">
        <f ca="1">IF(OR(C359="净世破魔击·日",C359="净世破魔击·月"),M359-'模拟-单技能数据'!$K$10,0)</f>
        <v>0.42185145527300216</v>
      </c>
      <c r="AT359" s="61">
        <f ca="1">IF(OR(C359="净世破魔击·日",C359="净世破魔击·月"),I359-'模拟-单技能数据'!$L$10,0)</f>
        <v>2.162482885499879</v>
      </c>
      <c r="AU359" s="62">
        <f t="shared" ca="1" si="328"/>
        <v>0.91797597042472545</v>
      </c>
      <c r="AV359" s="64">
        <f ca="1">IF(AS359&gt;0,('模拟-单技能数据'!$D$22+G359*'模拟-单技能数据'!$F$22)*(1+J359)*(1-S359)*IF(AU359&lt;$F$10,0,IF(AU359&lt;$F$10+$F$11,0.25,IF(AU359&lt;$F$10+$F$11+AS359,AT359,1)))*(1+U359),0)*'模拟-单技能数据'!$I$22</f>
        <v>8488.2797245609418</v>
      </c>
      <c r="AW359" s="108">
        <f t="shared" ca="1" si="329"/>
        <v>1.5500000000000065</v>
      </c>
      <c r="AX359" s="108" t="b">
        <f ca="1">AND(模拟模式!$P$10="有",AW358=0,RAND()&lt;IF(C359="净世破魔击·月",0.1*8/3,IF(C359="净世破魔击·日",0.1*4/3,0.1*2/3)))</f>
        <v>0</v>
      </c>
      <c r="AY359" s="47">
        <f ca="1">IF(AX359,(18+G359*0.722)*(1+J359)*(1-S359)*(1+$I$4)*IF(P359="会",'模拟-全程加成'!$J$3+'模拟-全程加成'!$J$4+'模拟-全程加成'!$J$5+('模拟-全程加成'!$I$4+'模拟-全程加成'!$I$5)/系数!$B$4+BG359*10%,IF(P359="命",1,IF(P359="识",0.25,0))),0)</f>
        <v>0</v>
      </c>
      <c r="AZ359" s="108">
        <f t="shared" si="330"/>
        <v>18.155000000000001</v>
      </c>
      <c r="BA359" s="108" t="b">
        <f>AND(模拟模式!$Q$10="有",AZ358=0)</f>
        <v>0</v>
      </c>
      <c r="BB359" s="140">
        <f>IF(BA359,(0+G359*0.287)*(1+J359)*(1-S359)*(1+$I$4)*IF(P359="会",'模拟-全程加成'!$J$3+'模拟-全程加成'!$J$4+'模拟-全程加成'!$J$5+('模拟-全程加成'!$I$4+'模拟-全程加成'!$I$5)/系数!$B$4+BG359*10%,IF(P359="命",1,IF(P359="识",0.25,0))),0)</f>
        <v>0</v>
      </c>
      <c r="BC359" s="115" t="b">
        <f ca="1">AND(模拟模式!$R$7="伏明众生",E359=60,F359=20,DA359&lt;5,CZ358&lt;$F$4)</f>
        <v>0</v>
      </c>
      <c r="BD359" s="115">
        <f t="shared" ca="1" si="292"/>
        <v>0</v>
      </c>
      <c r="BE359" s="115" t="b">
        <f t="shared" ca="1" si="293"/>
        <v>0</v>
      </c>
      <c r="BF359" s="47">
        <f ca="1">IF(BC359,4*('模拟-单技能数据'!$D$24+G359*'模拟-单技能数据'!$F$24)*(1+J359)*(1+'模拟-单技能数据'!$J$24)*(1-S359)*(1+$I$3)*(('模拟-全程加成'!$J$3+'模拟-全程加成'!$J$4+'模拟-全程加成'!$J$5+('模拟-全程加成'!$I$4+'模拟-全程加成'!$I$5)/系数!$B$4+BG359*10%)*('模拟-全程加成'!$J$3+'模拟-全程加成'!$J$4+'模拟-全程加成'!$J$5+('模拟-全程加成'!$I$4+'模拟-全程加成'!$I$5)/系数!$B$4+BG359*10%)+(1-('模拟-全程加成'!$J$3+'模拟-全程加成'!$J$4+'模拟-全程加成'!$J$5+('模拟-全程加成'!$I$4+'模拟-全程加成'!$I$5)/系数!$B$4+BG359*10%)-$F$10-$F$11)+F345*0.25),0)*'模拟-单技能数据'!$I$24</f>
        <v>0</v>
      </c>
      <c r="BG359" s="115" t="b">
        <f ca="1">OR(AND(OR(C359="烈日斩",C359="银月斩"),模拟模式!$I$7="净身明礼"),AND(C359="净世破魔击·日",模拟模式!$J$7="洞若观火"),AND(C360="净世破魔击·月",模拟模式!$J$7="洞若观火"),AB359=1)</f>
        <v>1</v>
      </c>
      <c r="BH359" s="115" t="b">
        <f t="shared" ca="1" si="331"/>
        <v>0</v>
      </c>
      <c r="BI359" s="115">
        <f t="shared" ca="1" si="294"/>
        <v>0</v>
      </c>
      <c r="BJ359" s="115" t="b">
        <f t="shared" ca="1" si="305"/>
        <v>0</v>
      </c>
      <c r="BK359" s="115" t="b">
        <f ca="1">AND(C359="驱夜断愁",模拟模式!$P$7="天地诛戮")</f>
        <v>0</v>
      </c>
      <c r="BL359" s="57">
        <f t="shared" ca="1" si="295"/>
        <v>12.620000000000005</v>
      </c>
      <c r="BM359" s="115" t="b">
        <f t="shared" ca="1" si="306"/>
        <v>1</v>
      </c>
      <c r="BN359" s="115" t="b">
        <f ca="1">AND(OR(C359="赤日轮1",C359="赤日轮2",C359="赤日轮3",C359="幽月轮1",C359="幽月轮2",C359="幽月轮3"),AB359=1,模拟模式!$L$7="明光恒照")</f>
        <v>0</v>
      </c>
      <c r="BO359" s="117">
        <f t="shared" ca="1" si="296"/>
        <v>24.465000000000003</v>
      </c>
      <c r="BP359" s="115">
        <f t="shared" ca="1" si="332"/>
        <v>6</v>
      </c>
      <c r="BQ359" s="115" t="b">
        <f>模拟模式!$K$10="2600·水"</f>
        <v>0</v>
      </c>
      <c r="BR359" s="117">
        <f t="shared" si="333"/>
        <v>0</v>
      </c>
      <c r="BS359" s="115">
        <f t="shared" si="334"/>
        <v>0</v>
      </c>
      <c r="BT359" s="115">
        <f t="shared" ca="1" si="335"/>
        <v>0</v>
      </c>
      <c r="BU359" s="115" t="b">
        <f ca="1">AND(模拟模式!$K$10="2300·雷",BT358=0,RAND()&lt;IF(C359="净世破魔击·月",5*0.05*2/3,IF(C359="净世破魔击·日",3*0.05*2/3,0.05*2*2/3)))</f>
        <v>0</v>
      </c>
      <c r="BV359" s="115">
        <f t="shared" ca="1" si="336"/>
        <v>0</v>
      </c>
      <c r="BW359" s="115">
        <f t="shared" ca="1" si="337"/>
        <v>65.609999999999275</v>
      </c>
      <c r="BX359" s="164" t="b">
        <f t="shared" ca="1" si="338"/>
        <v>0</v>
      </c>
      <c r="BY359" s="115">
        <f t="shared" ca="1" si="339"/>
        <v>0</v>
      </c>
      <c r="BZ359" s="115">
        <f>IF(OR(模拟模式!$P$16="10人团",模拟模式!$P$16="25人团"),IF(B359/30&gt;CA358,1,0),0)</f>
        <v>0</v>
      </c>
      <c r="CA359" s="115">
        <f t="shared" si="315"/>
        <v>0</v>
      </c>
      <c r="CB359" s="115">
        <f ca="1">IF(BZ359=1,IF(模拟模式!$P$16="10人团",15,0)+IF(模拟模式!$P$16="25人团",IF(RAND()&lt;0.6,15,0)),MAX(0,CB358-$F$4))</f>
        <v>0</v>
      </c>
      <c r="CC359" s="115" t="b">
        <f t="shared" ca="1" si="307"/>
        <v>0</v>
      </c>
      <c r="CD359" s="115">
        <f>IF(模拟模式!$Q$16="1个",IF(B359/40&gt;CE358,1,0),0)</f>
        <v>0</v>
      </c>
      <c r="CE359" s="115">
        <f t="shared" si="308"/>
        <v>0</v>
      </c>
      <c r="CF359" s="115">
        <f>IF(OR(CD359=1,模拟模式!$Q$16="2个"),20,MAX(0,CF358-$F$4))</f>
        <v>0</v>
      </c>
      <c r="CG359" s="115" t="b">
        <f t="shared" si="309"/>
        <v>0</v>
      </c>
      <c r="CH359" s="115">
        <f t="shared" ca="1" si="340"/>
        <v>28.155000000000001</v>
      </c>
      <c r="CI359" s="115" t="b">
        <f t="shared" ca="1" si="341"/>
        <v>0</v>
      </c>
      <c r="CJ359" s="119">
        <f t="shared" ca="1" si="342"/>
        <v>0.01</v>
      </c>
      <c r="CK359" s="115">
        <f t="shared" ca="1" si="343"/>
        <v>6.1549999999999994</v>
      </c>
      <c r="CL359" s="115" t="b">
        <f ca="1">AND(模拟模式!$S$7="驱夷逐法",OR(AND(C359="净世破魔击·月",E358&gt;59),AND(C359="净世破魔击·日",F358&gt;59)))</f>
        <v>0</v>
      </c>
      <c r="CM359" s="115" t="b">
        <f ca="1">OR(CL359,AND(C359="净世破魔击·日",CL358,RAND()&lt;模拟模式!$U$23))</f>
        <v>0</v>
      </c>
      <c r="CN359" s="115" t="b">
        <f ca="1">IF(模拟模式!$M$7="辉耀红尘",AND(C359="净世破魔击·月",CL359,CV359=0,E358&lt;80),AND(C359="净世破魔击·月",CL359,E358&lt;100))</f>
        <v>0</v>
      </c>
      <c r="CO359" s="115" t="b">
        <f t="shared" ca="1" si="316"/>
        <v>0</v>
      </c>
      <c r="CP359" s="115" t="b">
        <f ca="1">AND(模拟模式!$O$7="用晦而明",OR(C359="净世破魔击·日",C359="净世破魔击·月",C359="驱夜断愁"),AB359)</f>
        <v>1</v>
      </c>
      <c r="CQ359" s="115" t="b">
        <f ca="1">OR(CP359,AND(CP358,RAND()&lt;模拟模式!$U$23))</f>
        <v>1</v>
      </c>
      <c r="CR359" s="115" t="b">
        <f ca="1">AND(模拟模式!$S$7="日月齐光",OR(C359="幽月轮1",C359="幽月轮2",C359="幽月轮3",CR358),NOT(OR(C359="赤日轮1",C359="赤日轮2",C359="赤日轮3")))</f>
        <v>0</v>
      </c>
      <c r="CS359" s="115" t="b">
        <f ca="1">AND(模拟模式!$S$7="日月齐光",OR(C359="赤日轮1",C359="赤日轮2",C359="赤日轮3",CS358),NOT(OR(C359="幽月轮1",C359="幽月轮2",C359="幽月轮3")))</f>
        <v>0</v>
      </c>
      <c r="CT359" s="115">
        <f t="shared" ca="1" si="344"/>
        <v>25.387500000000003</v>
      </c>
      <c r="CU359" s="115" t="b">
        <f ca="1">AND(模拟模式!$K$10="阴阳往极",CT358=0,RAND()&lt;IF(C359="净世破魔击·月",0.0275*7/3,IF(C359="净世破魔击·日",0.0275*3/3,0.0275*2/3)))</f>
        <v>0</v>
      </c>
      <c r="CV359" s="115">
        <f t="shared" ca="1" si="345"/>
        <v>0</v>
      </c>
      <c r="CW359" s="115">
        <f t="shared" ca="1" si="317"/>
        <v>0</v>
      </c>
      <c r="CX359" s="115">
        <f t="shared" ca="1" si="318"/>
        <v>0</v>
      </c>
      <c r="CY359" s="115">
        <f ca="1">MAX(IF($C359="驱夜断愁",IF(模拟模式!$R$7="万念俱寂",6,45),CY358-$F$4),0)</f>
        <v>0</v>
      </c>
      <c r="CZ359" s="115">
        <f t="shared" ca="1" si="319"/>
        <v>0</v>
      </c>
      <c r="DA359" s="115">
        <f ca="1">IF(模拟模式!$N$7="日月同辉",IF(DB358=2,0,MIN(6,IF(AND(OR(C359="赤日轮1",C359="赤日轮2",C359="赤日轮3",C359="幽月轮1",C359="幽月轮2",C359="幽月轮3"),AB359=1),DA358+1,DA358))),0)</f>
        <v>0</v>
      </c>
      <c r="DB359" s="115">
        <f t="shared" ca="1" si="320"/>
        <v>0</v>
      </c>
      <c r="DC359" s="115"/>
      <c r="DD359" s="115"/>
      <c r="DE359" s="115"/>
      <c r="DF359" s="115"/>
      <c r="DG359" s="115"/>
      <c r="DH359" s="115"/>
      <c r="DI359" s="115"/>
      <c r="DJ359" s="115"/>
      <c r="DK359" s="115"/>
      <c r="DL359" s="115"/>
      <c r="DM359" s="115"/>
    </row>
    <row r="360" spans="2:117" x14ac:dyDescent="0.2">
      <c r="B360" s="117">
        <f t="shared" si="321"/>
        <v>307.19250000000255</v>
      </c>
      <c r="C360" s="167" t="str">
        <f t="shared" ca="1" si="314"/>
        <v>净世破魔击·月</v>
      </c>
      <c r="D360" s="115">
        <f ca="1">IF(C360="赤日轮1",1,IF(C360="赤日轮2",2,IF(C360="赤日轮3",3,IF(C360="幽月轮1",4,IF(C360="幽月轮2",5,IF(C360="幽月轮3",6,IF(C360="烈日斩",7,IF(C360="银月斩",8,IF(C360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360="净世破魔击·月",17,IF(C360="驱夜断愁",18,0)))))))))))</f>
        <v>17</v>
      </c>
      <c r="E360" s="115">
        <f ca="1">IF(AND(CU360,OR(C360="幽月轮1",C360="幽月轮2",C360="幽月轮3",C360="银月斩",C360="驱夜断愁",C360="净世破魔击·月")),100,MIN(IF(OR(CN360,BE360),0,IF(OR($C360="赤日轮1",$C360="赤日轮2",$C360="赤日轮3"),E359+20+IF(模拟模式!$I$7="日月凌天",4,0)+IF(CR359,20,0),IF($C360="烈日斩",E359+40,IF($C360="驱夜断愁",IF(模拟模式!$R$7="万念俱寂",E359+20,E359+60),IF($C360="净世破魔击·月",IF(OR(DB359&gt;0,CV359&gt;0),100,IF(模拟模式!$M$7="辉耀红尘",E359+20,E359)),IF($C360="净世破魔击·日",E359-100,E359)))))),100))</f>
        <v>20</v>
      </c>
      <c r="F360" s="115">
        <f ca="1">IF(AND(CU360,OR(C360="赤日轮1",C360="赤日轮2",C360="赤日轮3",C360="烈日斩",C360="净世破魔击·日")),100,MIN(IF(CO360,0,IF(OR($C360="幽月轮1",$C360="幽月轮2",$C360="幽月轮3"),F359+20+IF(模拟模式!$I$7="日月凌天",4,0)+IF(CS359,20,0),IF($C360="银月斩",F359+40+IF(模拟模式!$X$12=1,5,0),IF($C360="驱夜断愁",IF(模拟模式!$R$7="万念俱寂",F359+20,F359+60),IF($C360="净世破魔击·月",IF(模拟模式!$M$7="辉耀红尘",F359-80,F359-100),IF(AND(C360="净世破魔击·日",OR(DB359&gt;0,CV359&gt;0)),100,F359)))))),100))</f>
        <v>20</v>
      </c>
      <c r="G360" s="117">
        <f ca="1">('模拟-全程加成'!$E$3+'模拟-全程加成'!$E$4+'模拟-全程加成'!$E$5+('模拟-全程加成'!$C$6-'模拟-全程加成'!$C$3)*系数!$B$9+BS360*23)*(1+'模拟-全程加成'!$F$4+'模拟-全程加成'!$F$5+BJ360*10%+BM360*20%+BP360*4%+CG360*30%)+$F$7*系数!$B$12</f>
        <v>20583.127400000001</v>
      </c>
      <c r="H360" s="45">
        <f ca="1">'模拟-全程加成'!$H$3+'模拟-全程加成'!$H$4+'模拟-全程加成'!$H$5+('模拟-全程加成'!$G$4+'模拟-全程加成'!$G$5+('模拟-全程加成'!$C$6-'模拟-全程加成'!$C$3)*系数!$B$13)/系数!$B$3+LOOKUP(D360,'模拟-单技能数据'!$A$2:$A$19,'模拟-单技能数据'!$K$2:$K$19)+BG360*10%+IF(BV360&gt;0,378,0)</f>
        <v>0.54185145527300216</v>
      </c>
      <c r="I360" s="45">
        <f ca="1">'模拟-全程加成'!$J$3+'模拟-全程加成'!$J$4+'模拟-全程加成'!$J$5+('模拟-全程加成'!$I$4+'模拟-全程加成'!$I$5)/系数!$B$4+LOOKUP(D360,'模拟-单技能数据'!$A$2:$A$19,'模拟-单技能数据'!$L$2:$L$19)+BG360*10%</f>
        <v>2.162482885499879</v>
      </c>
      <c r="J360" s="45">
        <f ca="1">(('模拟-全程加成'!$K$3+'模拟-全程加成'!$K$4+'模拟-全程加成'!$K$5+('模拟-全程加成'!$C$6-'模拟-全程加成'!$C$3)*系数!$B$10+IF(BV360&gt;0,882,0)+IF(BY360&gt;0,1831,0))*(1+'模拟-全程加成'!$L$4+'模拟-全程加成'!$L$5+CC360*20%))/系数!$B$5</f>
        <v>0.69723220422048726</v>
      </c>
      <c r="K360" s="119">
        <f ca="1">LOOKUP(D360,'模拟-单技能数据'!$A$2:$A$19,'模拟-单技能数据'!$J$2:$J$19)+IF(CM360,60%,0)+IF(DB359-DB360&gt;0,30%,0)+IF(OR(AND(OR(C360="赤日轮1",C360="赤日轮2",C360="赤日轮3"),CR360),AND(OR(C360="幽月轮1",C360="幽月轮2",C360="幽月轮3"),CS360)),35%,0)+CJ360</f>
        <v>0.21000000000000002</v>
      </c>
      <c r="L360" s="119">
        <f ca="1">IF(AND(C360="烈日斩",模拟模式!$X$11=1),10%,0)+IF(AND(C360="驱夜断愁",AB360=1),30%,0)</f>
        <v>0</v>
      </c>
      <c r="M360" s="45">
        <f t="shared" ca="1" si="297"/>
        <v>0.54185145527300216</v>
      </c>
      <c r="N360" s="45">
        <f t="shared" ca="1" si="298"/>
        <v>0.40424854472699789</v>
      </c>
      <c r="O360" s="46">
        <f t="shared" ca="1" si="322"/>
        <v>0.44344444347516365</v>
      </c>
      <c r="P360" s="46" t="str">
        <f t="shared" ca="1" si="323"/>
        <v>会</v>
      </c>
      <c r="Q360" s="45">
        <f t="shared" ca="1" si="324"/>
        <v>2.162482885499879</v>
      </c>
      <c r="R360" s="117">
        <f ca="1">模拟模式!$E$20*(1-IF(模拟模式!$J$19="有",0.15,0))*(1-IF(模拟模式!$K$19="有",0.3,0)-IF(CQ360,0.5,0))</f>
        <v>843.02999999999975</v>
      </c>
      <c r="S360" s="45">
        <f ca="1">R360/(R360+(185*模拟模式!$E$22-16800)*4.08224)</f>
        <v>8.389626085980037E-2</v>
      </c>
      <c r="T360" s="45" t="str">
        <f ca="1">LOOKUP(D360,'模拟-单技能数据'!$A$2:$A$19,'模拟-单技能数据'!$H$2:$H$19)</f>
        <v>阴</v>
      </c>
      <c r="U360" s="119">
        <f t="shared" ca="1" si="299"/>
        <v>0.08</v>
      </c>
      <c r="V360" s="47">
        <f ca="1">(1+L360)*(LOOKUP(D360,'模拟-单技能数据'!$A$2:$A$19,'模拟-单技能数据'!$D$2:$D$19)+G360*LOOKUP(D360,'模拟-单技能数据'!$A$2:$A$19,'模拟-单技能数据'!$F$2:$F$19))*(1+J360)*(1+K360)*(1-S360)*(1+U360)*Q360*LOOKUP(D360,'模拟-单技能数据'!$A$2:$A$19,'模拟-单技能数据'!$I$2:$I$20)</f>
        <v>117550.39766455625</v>
      </c>
      <c r="W360" s="47">
        <f ca="1">LOOKUP(D360,'模拟-单技能数据'!$A$2:$A$19,'模拟-单技能数据'!$G$2:$G$19)*$I$10</f>
        <v>361.51064354704795</v>
      </c>
      <c r="X360" s="47">
        <f t="shared" ca="1" si="325"/>
        <v>16520.1836685288</v>
      </c>
      <c r="Y360" s="47">
        <f t="shared" ca="1" si="300"/>
        <v>134432.0919766321</v>
      </c>
      <c r="Z360" s="49">
        <f t="shared" ca="1" si="301"/>
        <v>34888412.17197904</v>
      </c>
      <c r="AA360" s="97">
        <f t="shared" ca="1" si="302"/>
        <v>113571.82278857313</v>
      </c>
      <c r="AB360" s="115">
        <f ca="1">IF(OR(C360="赤日轮1",C360="赤日轮2",C360="赤日轮3"),IF(RAND()&lt;模拟模式!$Y$17,1,0),IF(OR(C360="幽月轮1",C360="幽月轮2",C360="幽月轮3"),IF(RAND()&lt;模拟模式!$Y$18,1,0),IF(C360="烈日斩",IF(RAND()&lt;模拟模式!$Y$19,1,0),IF(C360="银月斩",IF(RAND()&lt;模拟模式!$Y$20,1,0),IF(C360="驱夜断愁",IF(RAND()&lt;模拟模式!$Y$21,1,0),IF(C360="净世破魔击·日",IF(RAND()&lt;模拟模式!$Y$22,1,0),IF(C360="净世破魔击·月",IF(RAND()&lt;模拟模式!$Y$23,1,0),0)))))))</f>
        <v>1</v>
      </c>
      <c r="AC360" s="115" t="b">
        <f t="shared" ca="1" si="290"/>
        <v>0</v>
      </c>
      <c r="AD360" s="115" t="b">
        <f t="shared" ca="1" si="310"/>
        <v>0</v>
      </c>
      <c r="AE360" s="115">
        <f t="shared" ca="1" si="311"/>
        <v>1</v>
      </c>
      <c r="AF360" s="47">
        <f ca="1">IF(AC360,('模拟-单技能数据'!$D$20+G360*'模拟-单技能数据'!$F$20)*(1+J360)*(1+'模拟-单技能数据'!$J$20)*(1+U360),0)</f>
        <v>0</v>
      </c>
      <c r="AG360" s="61">
        <f t="shared" ca="1" si="303"/>
        <v>0.64185145527300214</v>
      </c>
      <c r="AH360" s="61">
        <f t="shared" ca="1" si="304"/>
        <v>2.2624828854998791</v>
      </c>
      <c r="AI360" s="62">
        <f t="shared" ca="1" si="326"/>
        <v>0.31630289858011273</v>
      </c>
      <c r="AJ360" s="47">
        <f ca="1">IF(AD360,IF(AI360&lt;$F$10,0,IF(AI360&lt;$F$10+$F$11,0.25,IF(AI360&lt;$F$10+$F$11+AG360,AH360,1)))*IF(AF360&gt;0,AF360,IF(AF359&gt;0,AF359,IF(AF358&gt;0,AF358,IF(AF357&gt;0,AF357,IF(AF356&gt;0,AF356,IF(AF355&gt;0,AF355,IF(AF354&gt;0,AF354,IF(AF353&gt;0,AF353,IF(AF352&gt;0,AF352,IF(AF350&gt;0,AF350,IF(AF349&gt;0,AF349,IF(AF348&gt;0,AF348,0)))))))))))),0)*(1-$S360)*'模拟-单技能数据'!$I$20</f>
        <v>0</v>
      </c>
      <c r="AK360" s="115" t="b">
        <f t="shared" ca="1" si="291"/>
        <v>0</v>
      </c>
      <c r="AL360" s="115" t="b">
        <f t="shared" ca="1" si="312"/>
        <v>0</v>
      </c>
      <c r="AM360" s="115">
        <f t="shared" ca="1" si="313"/>
        <v>5</v>
      </c>
      <c r="AN360" s="47">
        <f ca="1">IF(AK360,('模拟-单技能数据'!$D$21+G360*'模拟-单技能数据'!$F$21)*(1+J360)*(1+'模拟-单技能数据'!$J$21)*(1+U360),0)</f>
        <v>0</v>
      </c>
      <c r="AO360" s="61">
        <f ca="1">IF(AN360&gt;0,M360-'模拟-单技能数据'!$K$10,AO359)</f>
        <v>0.42185145527300216</v>
      </c>
      <c r="AP360" s="61">
        <f ca="1">IF(AN360&gt;0,I360-'模拟-单技能数据'!$L$10,AP359)</f>
        <v>2.162482885499879</v>
      </c>
      <c r="AQ360" s="63">
        <f t="shared" ca="1" si="327"/>
        <v>0.48399444325063878</v>
      </c>
      <c r="AR360" s="64">
        <f ca="1">IF(AL360,IF(AQ360&lt;$F$10,0,IF(AQ360&lt;$F$10+$F$11,0.25,IF(AQ360&lt;$F$10+$F$11+AO360,AP360,1)))*IF(AN360&gt;0,AN360,IF(AN359&gt;0,AN359,IF(AN358&gt;0,AN358,IF(AN357&gt;0,AN357,IF(AN356&gt;0,AN356,IF(AN355&gt;0,AN355,IF(AN354&gt;0,AN354,IF(AN353&gt;0,AN353,IF(AN352&gt;0,AN352,IF(AN350&gt;0,AN350,IF(AN349&gt;0,AN349,IF(AN348&gt;0,AN348,0)))))))))))),0)*(1-$S360)*'模拟-单技能数据'!$I$21</f>
        <v>0</v>
      </c>
      <c r="AS360" s="61">
        <f ca="1">IF(OR(C360="净世破魔击·日",C360="净世破魔击·月"),M360-'模拟-单技能数据'!$K$10,0)</f>
        <v>0.42185145527300216</v>
      </c>
      <c r="AT360" s="61">
        <f ca="1">IF(OR(C360="净世破魔击·日",C360="净世破魔击·月"),I360-'模拟-单技能数据'!$L$10,0)</f>
        <v>2.162482885499879</v>
      </c>
      <c r="AU360" s="62">
        <f t="shared" ca="1" si="328"/>
        <v>0.23930552496143065</v>
      </c>
      <c r="AV360" s="64">
        <f ca="1">IF(AS360&gt;0,('模拟-单技能数据'!$D$22+G360*'模拟-单技能数据'!$F$22)*(1+J360)*(1-S360)*IF(AU360&lt;$F$10,0,IF(AU360&lt;$F$10+$F$11,0.25,IF(AU360&lt;$F$10+$F$11+AS360,AT360,1)))*(1+U360),0)*'模拟-单技能数据'!$I$22</f>
        <v>16520.1836685288</v>
      </c>
      <c r="AW360" s="108">
        <f t="shared" ca="1" si="329"/>
        <v>0.6275000000000065</v>
      </c>
      <c r="AX360" s="108" t="b">
        <f ca="1">AND(模拟模式!$P$10="有",AW359=0,RAND()&lt;IF(C360="净世破魔击·月",0.1*8/3,IF(C360="净世破魔击·日",0.1*4/3,0.1*2/3)))</f>
        <v>0</v>
      </c>
      <c r="AY360" s="47">
        <f ca="1">IF(AX360,(18+G360*0.722)*(1+J360)*(1-S360)*(1+$I$4)*IF(P360="会",'模拟-全程加成'!$J$3+'模拟-全程加成'!$J$4+'模拟-全程加成'!$J$5+('模拟-全程加成'!$I$4+'模拟-全程加成'!$I$5)/系数!$B$4+BG360*10%,IF(P360="命",1,IF(P360="识",0.25,0))),0)</f>
        <v>0</v>
      </c>
      <c r="AZ360" s="108">
        <f t="shared" si="330"/>
        <v>17.232500000000002</v>
      </c>
      <c r="BA360" s="108" t="b">
        <f>AND(模拟模式!$Q$10="有",AZ359=0)</f>
        <v>0</v>
      </c>
      <c r="BB360" s="140">
        <f>IF(BA360,(0+G360*0.287)*(1+J360)*(1-S360)*(1+$I$4)*IF(P360="会",'模拟-全程加成'!$J$3+'模拟-全程加成'!$J$4+'模拟-全程加成'!$J$5+('模拟-全程加成'!$I$4+'模拟-全程加成'!$I$5)/系数!$B$4+BG360*10%,IF(P360="命",1,IF(P360="识",0.25,0))),0)</f>
        <v>0</v>
      </c>
      <c r="BC360" s="115" t="b">
        <f ca="1">AND(模拟模式!$R$7="伏明众生",E360=60,F360=20,DA360&lt;5,CZ359&lt;$F$4)</f>
        <v>0</v>
      </c>
      <c r="BD360" s="115">
        <f t="shared" ca="1" si="292"/>
        <v>0</v>
      </c>
      <c r="BE360" s="115" t="b">
        <f t="shared" ca="1" si="293"/>
        <v>0</v>
      </c>
      <c r="BF360" s="47">
        <f ca="1">IF(BC360,4*('模拟-单技能数据'!$D$24+G360*'模拟-单技能数据'!$F$24)*(1+J360)*(1+'模拟-单技能数据'!$J$24)*(1-S360)*(1+$I$3)*(('模拟-全程加成'!$J$3+'模拟-全程加成'!$J$4+'模拟-全程加成'!$J$5+('模拟-全程加成'!$I$4+'模拟-全程加成'!$I$5)/系数!$B$4+BG360*10%)*('模拟-全程加成'!$J$3+'模拟-全程加成'!$J$4+'模拟-全程加成'!$J$5+('模拟-全程加成'!$I$4+'模拟-全程加成'!$I$5)/系数!$B$4+BG360*10%)+(1-('模拟-全程加成'!$J$3+'模拟-全程加成'!$J$4+'模拟-全程加成'!$J$5+('模拟-全程加成'!$I$4+'模拟-全程加成'!$I$5)/系数!$B$4+BG360*10%)-$F$10-$F$11)+F346*0.25),0)*'模拟-单技能数据'!$I$24</f>
        <v>0</v>
      </c>
      <c r="BG360" s="115" t="b">
        <f ca="1">OR(AND(OR(C360="烈日斩",C360="银月斩"),模拟模式!$I$7="净身明礼"),AND(C360="净世破魔击·日",模拟模式!$J$7="洞若观火"),AND(C361="净世破魔击·月",模拟模式!$J$7="洞若观火"),AB360=1)</f>
        <v>1</v>
      </c>
      <c r="BH360" s="115" t="b">
        <f t="shared" ca="1" si="331"/>
        <v>0</v>
      </c>
      <c r="BI360" s="115">
        <f t="shared" ca="1" si="294"/>
        <v>0</v>
      </c>
      <c r="BJ360" s="115" t="b">
        <f t="shared" ca="1" si="305"/>
        <v>0</v>
      </c>
      <c r="BK360" s="115" t="b">
        <f ca="1">AND(C360="驱夜断愁",模拟模式!$P$7="天地诛戮")</f>
        <v>0</v>
      </c>
      <c r="BL360" s="57">
        <f t="shared" ca="1" si="295"/>
        <v>11.697500000000005</v>
      </c>
      <c r="BM360" s="115" t="b">
        <f t="shared" ca="1" si="306"/>
        <v>1</v>
      </c>
      <c r="BN360" s="115" t="b">
        <f ca="1">AND(OR(C360="赤日轮1",C360="赤日轮2",C360="赤日轮3",C360="幽月轮1",C360="幽月轮2",C360="幽月轮3"),AB360=1,模拟模式!$L$7="明光恒照")</f>
        <v>0</v>
      </c>
      <c r="BO360" s="117">
        <f t="shared" ca="1" si="296"/>
        <v>23.542500000000004</v>
      </c>
      <c r="BP360" s="115">
        <f t="shared" ca="1" si="332"/>
        <v>6</v>
      </c>
      <c r="BQ360" s="115" t="b">
        <f>模拟模式!$K$10="2600·水"</f>
        <v>0</v>
      </c>
      <c r="BR360" s="117">
        <f t="shared" si="333"/>
        <v>0</v>
      </c>
      <c r="BS360" s="115">
        <f t="shared" si="334"/>
        <v>0</v>
      </c>
      <c r="BT360" s="115">
        <f t="shared" ca="1" si="335"/>
        <v>0</v>
      </c>
      <c r="BU360" s="115" t="b">
        <f ca="1">AND(模拟模式!$K$10="2300·雷",BT359=0,RAND()&lt;IF(C360="净世破魔击·月",5*0.05*2/3,IF(C360="净世破魔击·日",3*0.05*2/3,0.05*2*2/3)))</f>
        <v>0</v>
      </c>
      <c r="BV360" s="115">
        <f t="shared" ca="1" si="336"/>
        <v>0</v>
      </c>
      <c r="BW360" s="115">
        <f t="shared" ca="1" si="337"/>
        <v>64.687499999999275</v>
      </c>
      <c r="BX360" s="164" t="b">
        <f t="shared" ca="1" si="338"/>
        <v>0</v>
      </c>
      <c r="BY360" s="115">
        <f t="shared" ca="1" si="339"/>
        <v>0</v>
      </c>
      <c r="BZ360" s="115">
        <f>IF(OR(模拟模式!$P$16="10人团",模拟模式!$P$16="25人团"),IF(B360/30&gt;CA359,1,0),0)</f>
        <v>0</v>
      </c>
      <c r="CA360" s="115">
        <f t="shared" si="315"/>
        <v>0</v>
      </c>
      <c r="CB360" s="115">
        <f ca="1">IF(BZ360=1,IF(模拟模式!$P$16="10人团",15,0)+IF(模拟模式!$P$16="25人团",IF(RAND()&lt;0.6,15,0)),MAX(0,CB359-$F$4))</f>
        <v>0</v>
      </c>
      <c r="CC360" s="115" t="b">
        <f t="shared" ca="1" si="307"/>
        <v>0</v>
      </c>
      <c r="CD360" s="115">
        <f>IF(模拟模式!$Q$16="1个",IF(B360/40&gt;CE359,1,0),0)</f>
        <v>0</v>
      </c>
      <c r="CE360" s="115">
        <f t="shared" si="308"/>
        <v>0</v>
      </c>
      <c r="CF360" s="115">
        <f>IF(OR(CD360=1,模拟模式!$Q$16="2个"),20,MAX(0,CF359-$F$4))</f>
        <v>0</v>
      </c>
      <c r="CG360" s="115" t="b">
        <f t="shared" si="309"/>
        <v>0</v>
      </c>
      <c r="CH360" s="115">
        <f t="shared" ca="1" si="340"/>
        <v>27.232500000000002</v>
      </c>
      <c r="CI360" s="115" t="b">
        <f t="shared" ca="1" si="341"/>
        <v>0</v>
      </c>
      <c r="CJ360" s="119">
        <f t="shared" ca="1" si="342"/>
        <v>0.01</v>
      </c>
      <c r="CK360" s="115">
        <f t="shared" ca="1" si="343"/>
        <v>5.232499999999999</v>
      </c>
      <c r="CL360" s="115" t="b">
        <f ca="1">AND(模拟模式!$S$7="驱夷逐法",OR(AND(C360="净世破魔击·月",E359&gt;59),AND(C360="净世破魔击·日",F359&gt;59)))</f>
        <v>0</v>
      </c>
      <c r="CM360" s="115" t="b">
        <f ca="1">OR(CL360,AND(C360="净世破魔击·日",CL359,RAND()&lt;模拟模式!$U$23))</f>
        <v>0</v>
      </c>
      <c r="CN360" s="115" t="b">
        <f ca="1">IF(模拟模式!$M$7="辉耀红尘",AND(C360="净世破魔击·月",CL360,CV360=0,E359&lt;80),AND(C360="净世破魔击·月",CL360,E359&lt;100))</f>
        <v>0</v>
      </c>
      <c r="CO360" s="115" t="b">
        <f t="shared" ca="1" si="316"/>
        <v>0</v>
      </c>
      <c r="CP360" s="115" t="b">
        <f ca="1">AND(模拟模式!$O$7="用晦而明",OR(C360="净世破魔击·日",C360="净世破魔击·月",C360="驱夜断愁"),AB360)</f>
        <v>1</v>
      </c>
      <c r="CQ360" s="115" t="b">
        <f ca="1">OR(CP360,AND(CP359,RAND()&lt;模拟模式!$U$23))</f>
        <v>1</v>
      </c>
      <c r="CR360" s="115" t="b">
        <f ca="1">AND(模拟模式!$S$7="日月齐光",OR(C360="幽月轮1",C360="幽月轮2",C360="幽月轮3",CR359),NOT(OR(C360="赤日轮1",C360="赤日轮2",C360="赤日轮3")))</f>
        <v>0</v>
      </c>
      <c r="CS360" s="115" t="b">
        <f ca="1">AND(模拟模式!$S$7="日月齐光",OR(C360="赤日轮1",C360="赤日轮2",C360="赤日轮3",CS359),NOT(OR(C360="幽月轮1",C360="幽月轮2",C360="幽月轮3")))</f>
        <v>0</v>
      </c>
      <c r="CT360" s="115">
        <f t="shared" ca="1" si="344"/>
        <v>24.465000000000003</v>
      </c>
      <c r="CU360" s="115" t="b">
        <f ca="1">AND(模拟模式!$K$10="阴阳往极",CT359=0,RAND()&lt;IF(C360="净世破魔击·月",0.0275*7/3,IF(C360="净世破魔击·日",0.0275*3/3,0.0275*2/3)))</f>
        <v>0</v>
      </c>
      <c r="CV360" s="115">
        <f t="shared" ca="1" si="345"/>
        <v>0</v>
      </c>
      <c r="CW360" s="115">
        <f t="shared" ca="1" si="317"/>
        <v>0</v>
      </c>
      <c r="CX360" s="115">
        <f t="shared" ca="1" si="318"/>
        <v>0</v>
      </c>
      <c r="CY360" s="115">
        <f ca="1">MAX(IF($C360="驱夜断愁",IF(模拟模式!$R$7="万念俱寂",6,45),CY359-$F$4),0)</f>
        <v>0</v>
      </c>
      <c r="CZ360" s="115">
        <f t="shared" ca="1" si="319"/>
        <v>0</v>
      </c>
      <c r="DA360" s="115">
        <f ca="1">IF(模拟模式!$N$7="日月同辉",IF(DB359=2,0,MIN(6,IF(AND(OR(C360="赤日轮1",C360="赤日轮2",C360="赤日轮3",C360="幽月轮1",C360="幽月轮2",C360="幽月轮3"),AB360=1),DA359+1,DA359))),0)</f>
        <v>0</v>
      </c>
      <c r="DB360" s="115">
        <f t="shared" ca="1" si="320"/>
        <v>0</v>
      </c>
      <c r="DC360" s="115"/>
      <c r="DD360" s="115"/>
      <c r="DE360" s="115"/>
      <c r="DF360" s="115"/>
      <c r="DG360" s="115"/>
      <c r="DH360" s="115"/>
      <c r="DI360" s="115"/>
      <c r="DJ360" s="115"/>
      <c r="DK360" s="115"/>
      <c r="DL360" s="115"/>
      <c r="DM360" s="115"/>
    </row>
    <row r="361" spans="2:117" x14ac:dyDescent="0.2">
      <c r="B361" s="117">
        <f t="shared" si="321"/>
        <v>308.11500000000257</v>
      </c>
      <c r="C361" s="167" t="str">
        <f t="shared" ca="1" si="314"/>
        <v>银月斩</v>
      </c>
      <c r="D361" s="115">
        <f ca="1">IF(C361="赤日轮1",1,IF(C361="赤日轮2",2,IF(C361="赤日轮3",3,IF(C361="幽月轮1",4,IF(C361="幽月轮2",5,IF(C361="幽月轮3",6,IF(C361="烈日斩",7,IF(C361="银月斩",8,IF(C361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361="净世破魔击·月",17,IF(C361="驱夜断愁",18,0)))))))))))</f>
        <v>8</v>
      </c>
      <c r="E361" s="115">
        <f ca="1">IF(AND(CU361,OR(C361="幽月轮1",C361="幽月轮2",C361="幽月轮3",C361="银月斩",C361="驱夜断愁",C361="净世破魔击·月")),100,MIN(IF(OR(CN361,BE361),0,IF(OR($C361="赤日轮1",$C361="赤日轮2",$C361="赤日轮3"),E360+20+IF(模拟模式!$I$7="日月凌天",4,0)+IF(CR360,20,0),IF($C361="烈日斩",E360+40,IF($C361="驱夜断愁",IF(模拟模式!$R$7="万念俱寂",E360+20,E360+60),IF($C361="净世破魔击·月",IF(OR(DB360&gt;0,CV360&gt;0),100,IF(模拟模式!$M$7="辉耀红尘",E360+20,E360)),IF($C361="净世破魔击·日",E360-100,E360)))))),100))</f>
        <v>20</v>
      </c>
      <c r="F361" s="115">
        <f ca="1">IF(AND(CU361,OR(C361="赤日轮1",C361="赤日轮2",C361="赤日轮3",C361="烈日斩",C361="净世破魔击·日")),100,MIN(IF(CO361,0,IF(OR($C361="幽月轮1",$C361="幽月轮2",$C361="幽月轮3"),F360+20+IF(模拟模式!$I$7="日月凌天",4,0)+IF(CS360,20,0),IF($C361="银月斩",F360+40+IF(模拟模式!$X$12=1,5,0),IF($C361="驱夜断愁",IF(模拟模式!$R$7="万念俱寂",F360+20,F360+60),IF($C361="净世破魔击·月",IF(模拟模式!$M$7="辉耀红尘",F360-80,F360-100),IF(AND(C361="净世破魔击·日",OR(DB360&gt;0,CV360&gt;0)),100,F360)))))),100))</f>
        <v>65</v>
      </c>
      <c r="G361" s="117">
        <f ca="1">('模拟-全程加成'!$E$3+'模拟-全程加成'!$E$4+'模拟-全程加成'!$E$5+('模拟-全程加成'!$C$6-'模拟-全程加成'!$C$3)*系数!$B$9+BS361*23)*(1+'模拟-全程加成'!$F$4+'模拟-全程加成'!$F$5+BJ361*10%+BM361*20%+BP361*4%+CG361*30%)+$F$7*系数!$B$12</f>
        <v>21493.829400000002</v>
      </c>
      <c r="H361" s="45">
        <f ca="1">'模拟-全程加成'!$H$3+'模拟-全程加成'!$H$4+'模拟-全程加成'!$H$5+('模拟-全程加成'!$G$4+'模拟-全程加成'!$G$5+('模拟-全程加成'!$C$6-'模拟-全程加成'!$C$3)*系数!$B$13)/系数!$B$3+LOOKUP(D361,'模拟-单技能数据'!$A$2:$A$19,'模拟-单技能数据'!$K$2:$K$19)+BG361*10%+IF(BV361&gt;0,378,0)</f>
        <v>0.64185145527300214</v>
      </c>
      <c r="I361" s="45">
        <f ca="1">'模拟-全程加成'!$J$3+'模拟-全程加成'!$J$4+'模拟-全程加成'!$J$5+('模拟-全程加成'!$I$4+'模拟-全程加成'!$I$5)/系数!$B$4+LOOKUP(D361,'模拟-单技能数据'!$A$2:$A$19,'模拟-单技能数据'!$L$2:$L$19)+BG361*10%</f>
        <v>2.2624828854998791</v>
      </c>
      <c r="J361" s="45">
        <f ca="1">(('模拟-全程加成'!$K$3+'模拟-全程加成'!$K$4+'模拟-全程加成'!$K$5+('模拟-全程加成'!$C$6-'模拟-全程加成'!$C$3)*系数!$B$10+IF(BV361&gt;0,882,0)+IF(BY361&gt;0,1831,0))*(1+'模拟-全程加成'!$L$4+'模拟-全程加成'!$L$5+CC361*20%))/系数!$B$5</f>
        <v>0.69723220422048726</v>
      </c>
      <c r="K361" s="119">
        <f ca="1">LOOKUP(D361,'模拟-单技能数据'!$A$2:$A$19,'模拟-单技能数据'!$J$2:$J$19)+IF(CM361,60%,0)+IF(DB360-DB361&gt;0,30%,0)+IF(OR(AND(OR(C361="赤日轮1",C361="赤日轮2",C361="赤日轮3"),CR361),AND(OR(C361="幽月轮1",C361="幽月轮2",C361="幽月轮3"),CS361)),35%,0)+CJ361</f>
        <v>0.16</v>
      </c>
      <c r="L361" s="119">
        <f ca="1">IF(AND(C361="烈日斩",模拟模式!$X$11=1),10%,0)+IF(AND(C361="驱夜断愁",AB361=1),30%,0)</f>
        <v>0</v>
      </c>
      <c r="M361" s="45">
        <f t="shared" ca="1" si="297"/>
        <v>0.64185145527300214</v>
      </c>
      <c r="N361" s="45">
        <f t="shared" ca="1" si="298"/>
        <v>0.30424854472699792</v>
      </c>
      <c r="O361" s="46">
        <f t="shared" ca="1" si="322"/>
        <v>5.6373883616379405E-2</v>
      </c>
      <c r="P361" s="46" t="str">
        <f t="shared" ca="1" si="323"/>
        <v>会</v>
      </c>
      <c r="Q361" s="45">
        <f t="shared" ca="1" si="324"/>
        <v>2.2624828854998791</v>
      </c>
      <c r="R361" s="117">
        <f ca="1">模拟模式!$E$20*(1-IF(模拟模式!$J$19="有",0.15,0))*(1-IF(模拟模式!$K$19="有",0.3,0)-IF(CQ361,0.5,0))</f>
        <v>843.02999999999975</v>
      </c>
      <c r="S361" s="45">
        <f ca="1">R361/(R361+(185*模拟模式!$E$22-16800)*4.08224)</f>
        <v>8.389626085980037E-2</v>
      </c>
      <c r="T361" s="45" t="str">
        <f ca="1">LOOKUP(D361,'模拟-单技能数据'!$A$2:$A$19,'模拟-单技能数据'!$H$2:$H$19)</f>
        <v>阴</v>
      </c>
      <c r="U361" s="119">
        <f t="shared" ca="1" si="299"/>
        <v>0.08</v>
      </c>
      <c r="V361" s="47">
        <f ca="1">(1+L361)*(LOOKUP(D361,'模拟-单技能数据'!$A$2:$A$19,'模拟-单技能数据'!$D$2:$D$19)+G361*LOOKUP(D361,'模拟-单技能数据'!$A$2:$A$19,'模拟-单技能数据'!$F$2:$F$19))*(1+J361)*(1+K361)*(1-S361)*(1+U361)*Q361*LOOKUP(D361,'模拟-单技能数据'!$A$2:$A$19,'模拟-单技能数据'!$I$2:$I$20)</f>
        <v>50289.000621124105</v>
      </c>
      <c r="W361" s="47">
        <f ca="1">LOOKUP(D361,'模拟-单技能数据'!$A$2:$A$19,'模拟-单技能数据'!$G$2:$G$19)*$I$10</f>
        <v>361.51064354704795</v>
      </c>
      <c r="X361" s="47">
        <f t="shared" ca="1" si="325"/>
        <v>33659.90629220206</v>
      </c>
      <c r="Y361" s="47">
        <f t="shared" ca="1" si="300"/>
        <v>84310.417556873203</v>
      </c>
      <c r="Z361" s="49">
        <f t="shared" ca="1" si="301"/>
        <v>34972722.589535914</v>
      </c>
      <c r="AA361" s="97">
        <f t="shared" ca="1" si="302"/>
        <v>113505.42034479212</v>
      </c>
      <c r="AB361" s="115">
        <f ca="1">IF(OR(C361="赤日轮1",C361="赤日轮2",C361="赤日轮3"),IF(RAND()&lt;模拟模式!$Y$17,1,0),IF(OR(C361="幽月轮1",C361="幽月轮2",C361="幽月轮3"),IF(RAND()&lt;模拟模式!$Y$18,1,0),IF(C361="烈日斩",IF(RAND()&lt;模拟模式!$Y$19,1,0),IF(C361="银月斩",IF(RAND()&lt;模拟模式!$Y$20,1,0),IF(C361="驱夜断愁",IF(RAND()&lt;模拟模式!$Y$21,1,0),IF(C361="净世破魔击·日",IF(RAND()&lt;模拟模式!$Y$22,1,0),IF(C361="净世破魔击·月",IF(RAND()&lt;模拟模式!$Y$23,1,0),0)))))))</f>
        <v>1</v>
      </c>
      <c r="AC361" s="115" t="b">
        <f t="shared" ca="1" si="290"/>
        <v>1</v>
      </c>
      <c r="AD361" s="115" t="b">
        <f t="shared" ca="1" si="310"/>
        <v>1</v>
      </c>
      <c r="AE361" s="115">
        <f t="shared" ca="1" si="311"/>
        <v>5</v>
      </c>
      <c r="AF361" s="47">
        <f ca="1">IF(AC361,('模拟-单技能数据'!$D$20+G361*'模拟-单技能数据'!$F$20)*(1+J361)*(1+'模拟-单技能数据'!$J$20)*(1+U361),0)</f>
        <v>4639.7456468263617</v>
      </c>
      <c r="AG361" s="61">
        <f t="shared" ca="1" si="303"/>
        <v>0.64185145527300214</v>
      </c>
      <c r="AH361" s="61">
        <f t="shared" ca="1" si="304"/>
        <v>2.2624828854998791</v>
      </c>
      <c r="AI361" s="62">
        <f t="shared" ca="1" si="326"/>
        <v>0.65537558624733205</v>
      </c>
      <c r="AJ361" s="47">
        <f ca="1">IF(AD361,IF(AI361&lt;$F$10,0,IF(AI361&lt;$F$10+$F$11,0.25,IF(AI361&lt;$F$10+$F$11+AG361,AH361,1)))*IF(AF361&gt;0,AF361,IF(AF360&gt;0,AF360,IF(AF359&gt;0,AF359,IF(AF358&gt;0,AF358,IF(AF357&gt;0,AF357,IF(AF356&gt;0,AF356,IF(AF355&gt;0,AF355,IF(AF354&gt;0,AF354,IF(AF353&gt;0,AF353,IF(AF351&gt;0,AF351,IF(AF350&gt;0,AF350,IF(AF349&gt;0,AF349,0)))))))))))),0)*(1-$S361)*'模拟-单技能数据'!$I$20</f>
        <v>9616.6571145767884</v>
      </c>
      <c r="AK361" s="115" t="b">
        <f t="shared" ca="1" si="291"/>
        <v>0</v>
      </c>
      <c r="AL361" s="115" t="b">
        <f t="shared" ca="1" si="312"/>
        <v>1</v>
      </c>
      <c r="AM361" s="115">
        <f t="shared" ca="1" si="313"/>
        <v>4</v>
      </c>
      <c r="AN361" s="47">
        <f ca="1">IF(AK361,('模拟-单技能数据'!$D$21+G361*'模拟-单技能数据'!$F$21)*(1+J361)*(1+'模拟-单技能数据'!$J$21)*(1+U361),0)</f>
        <v>0</v>
      </c>
      <c r="AO361" s="61">
        <f ca="1">IF(AN361&gt;0,M361-'模拟-单技能数据'!$K$10,AO360)</f>
        <v>0.42185145527300216</v>
      </c>
      <c r="AP361" s="61">
        <f ca="1">IF(AN361&gt;0,I361-'模拟-单技能数据'!$L$10,AP360)</f>
        <v>2.162482885499879</v>
      </c>
      <c r="AQ361" s="63">
        <f t="shared" ca="1" si="327"/>
        <v>0.17614078247796405</v>
      </c>
      <c r="AR361" s="64">
        <f ca="1">IF(AL361,IF(AQ361&lt;$F$10,0,IF(AQ361&lt;$F$10+$F$11,0.25,IF(AQ361&lt;$F$10+$F$11+AO361,AP361,1)))*IF(AN361&gt;0,AN361,IF(AN360&gt;0,AN360,IF(AN359&gt;0,AN359,IF(AN358&gt;0,AN358,IF(AN357&gt;0,AN357,IF(AN356&gt;0,AN356,IF(AN355&gt;0,AN355,IF(AN354&gt;0,AN354,IF(AN353&gt;0,AN353,IF(AN351&gt;0,AN351,IF(AN350&gt;0,AN350,IF(AN349&gt;0,AN349,0)))))))))))),0)*(1-$S361)*'模拟-单技能数据'!$I$21</f>
        <v>24043.249177625272</v>
      </c>
      <c r="AS361" s="61">
        <f ca="1">IF(OR(C361="净世破魔击·日",C361="净世破魔击·月"),M361-'模拟-单技能数据'!$K$10,0)</f>
        <v>0</v>
      </c>
      <c r="AT361" s="61">
        <f ca="1">IF(OR(C361="净世破魔击·日",C361="净世破魔击·月"),I361-'模拟-单技能数据'!$L$10,0)</f>
        <v>0</v>
      </c>
      <c r="AU361" s="62">
        <f t="shared" ca="1" si="328"/>
        <v>1.5564512617762816E-3</v>
      </c>
      <c r="AV361" s="64">
        <f ca="1">IF(AS361&gt;0,('模拟-单技能数据'!$D$22+G361*'模拟-单技能数据'!$F$22)*(1+J361)*(1-S361)*IF(AU361&lt;$F$10,0,IF(AU361&lt;$F$10+$F$11,0.25,IF(AU361&lt;$F$10+$F$11+AS361,AT361,1)))*(1+U361),0)*'模拟-单技能数据'!$I$22</f>
        <v>0</v>
      </c>
      <c r="AW361" s="108">
        <f t="shared" ca="1" si="329"/>
        <v>0</v>
      </c>
      <c r="AX361" s="108" t="b">
        <f ca="1">AND(模拟模式!$P$10="有",AW360=0,RAND()&lt;IF(C361="净世破魔击·月",0.1*8/3,IF(C361="净世破魔击·日",0.1*4/3,0.1*2/3)))</f>
        <v>0</v>
      </c>
      <c r="AY361" s="47">
        <f ca="1">IF(AX361,(18+G361*0.722)*(1+J361)*(1-S361)*(1+$I$4)*IF(P361="会",'模拟-全程加成'!$J$3+'模拟-全程加成'!$J$4+'模拟-全程加成'!$J$5+('模拟-全程加成'!$I$4+'模拟-全程加成'!$I$5)/系数!$B$4+BG361*10%,IF(P361="命",1,IF(P361="识",0.25,0))),0)</f>
        <v>0</v>
      </c>
      <c r="AZ361" s="108">
        <f t="shared" si="330"/>
        <v>16.310000000000002</v>
      </c>
      <c r="BA361" s="108" t="b">
        <f>AND(模拟模式!$Q$10="有",AZ360=0)</f>
        <v>0</v>
      </c>
      <c r="BB361" s="140">
        <f>IF(BA361,(0+G361*0.287)*(1+J361)*(1-S361)*(1+$I$4)*IF(P361="会",'模拟-全程加成'!$J$3+'模拟-全程加成'!$J$4+'模拟-全程加成'!$J$5+('模拟-全程加成'!$I$4+'模拟-全程加成'!$I$5)/系数!$B$4+BG361*10%,IF(P361="命",1,IF(P361="识",0.25,0))),0)</f>
        <v>0</v>
      </c>
      <c r="BC361" s="115" t="b">
        <f ca="1">AND(模拟模式!$R$7="伏明众生",E361=60,F361=20,DA361&lt;5,CZ360&lt;$F$4)</f>
        <v>0</v>
      </c>
      <c r="BD361" s="115">
        <f t="shared" ca="1" si="292"/>
        <v>0</v>
      </c>
      <c r="BE361" s="115" t="b">
        <f t="shared" ca="1" si="293"/>
        <v>0</v>
      </c>
      <c r="BF361" s="47">
        <f ca="1">IF(BC361,4*('模拟-单技能数据'!$D$24+G361*'模拟-单技能数据'!$F$24)*(1+J361)*(1+'模拟-单技能数据'!$J$24)*(1-S361)*(1+$I$3)*(('模拟-全程加成'!$J$3+'模拟-全程加成'!$J$4+'模拟-全程加成'!$J$5+('模拟-全程加成'!$I$4+'模拟-全程加成'!$I$5)/系数!$B$4+BG361*10%)*('模拟-全程加成'!$J$3+'模拟-全程加成'!$J$4+'模拟-全程加成'!$J$5+('模拟-全程加成'!$I$4+'模拟-全程加成'!$I$5)/系数!$B$4+BG361*10%)+(1-('模拟-全程加成'!$J$3+'模拟-全程加成'!$J$4+'模拟-全程加成'!$J$5+('模拟-全程加成'!$I$4+'模拟-全程加成'!$I$5)/系数!$B$4+BG361*10%)-$F$10-$F$11)+F347*0.25),0)*'模拟-单技能数据'!$I$24</f>
        <v>0</v>
      </c>
      <c r="BG361" s="115" t="b">
        <f ca="1">OR(AND(OR(C361="烈日斩",C361="银月斩"),模拟模式!$I$7="净身明礼"),AND(C361="净世破魔击·日",模拟模式!$J$7="洞若观火"),AND(C362="净世破魔击·月",模拟模式!$J$7="洞若观火"),AB361=1)</f>
        <v>1</v>
      </c>
      <c r="BH361" s="115" t="b">
        <f t="shared" ca="1" si="331"/>
        <v>1</v>
      </c>
      <c r="BI361" s="115">
        <f t="shared" ca="1" si="294"/>
        <v>6</v>
      </c>
      <c r="BJ361" s="115" t="b">
        <f t="shared" ca="1" si="305"/>
        <v>1</v>
      </c>
      <c r="BK361" s="115" t="b">
        <f ca="1">AND(C361="驱夜断愁",模拟模式!$P$7="天地诛戮")</f>
        <v>0</v>
      </c>
      <c r="BL361" s="57">
        <f t="shared" ca="1" si="295"/>
        <v>10.775000000000006</v>
      </c>
      <c r="BM361" s="115" t="b">
        <f t="shared" ca="1" si="306"/>
        <v>1</v>
      </c>
      <c r="BN361" s="115" t="b">
        <f ca="1">AND(OR(C361="赤日轮1",C361="赤日轮2",C361="赤日轮3",C361="幽月轮1",C361="幽月轮2",C361="幽月轮3"),AB361=1,模拟模式!$L$7="明光恒照")</f>
        <v>0</v>
      </c>
      <c r="BO361" s="117">
        <f t="shared" ca="1" si="296"/>
        <v>22.620000000000005</v>
      </c>
      <c r="BP361" s="115">
        <f t="shared" ca="1" si="332"/>
        <v>6</v>
      </c>
      <c r="BQ361" s="115" t="b">
        <f>模拟模式!$K$10="2600·水"</f>
        <v>0</v>
      </c>
      <c r="BR361" s="117">
        <f t="shared" si="333"/>
        <v>0</v>
      </c>
      <c r="BS361" s="115">
        <f t="shared" si="334"/>
        <v>0</v>
      </c>
      <c r="BT361" s="115">
        <f t="shared" ca="1" si="335"/>
        <v>0</v>
      </c>
      <c r="BU361" s="115" t="b">
        <f ca="1">AND(模拟模式!$K$10="2300·雷",BT360=0,RAND()&lt;IF(C361="净世破魔击·月",5*0.05*2/3,IF(C361="净世破魔击·日",3*0.05*2/3,0.05*2*2/3)))</f>
        <v>0</v>
      </c>
      <c r="BV361" s="115">
        <f t="shared" ca="1" si="336"/>
        <v>0</v>
      </c>
      <c r="BW361" s="115">
        <f t="shared" ca="1" si="337"/>
        <v>63.764999999999276</v>
      </c>
      <c r="BX361" s="164" t="b">
        <f t="shared" ca="1" si="338"/>
        <v>0</v>
      </c>
      <c r="BY361" s="115">
        <f t="shared" ca="1" si="339"/>
        <v>0</v>
      </c>
      <c r="BZ361" s="115">
        <f>IF(OR(模拟模式!$P$16="10人团",模拟模式!$P$16="25人团"),IF(B361/30&gt;CA360,1,0),0)</f>
        <v>0</v>
      </c>
      <c r="CA361" s="115">
        <f t="shared" si="315"/>
        <v>0</v>
      </c>
      <c r="CB361" s="115">
        <f ca="1">IF(BZ361=1,IF(模拟模式!$P$16="10人团",15,0)+IF(模拟模式!$P$16="25人团",IF(RAND()&lt;0.6,15,0)),MAX(0,CB360-$F$4))</f>
        <v>0</v>
      </c>
      <c r="CC361" s="115" t="b">
        <f t="shared" ca="1" si="307"/>
        <v>0</v>
      </c>
      <c r="CD361" s="115">
        <f>IF(模拟模式!$Q$16="1个",IF(B361/40&gt;CE360,1,0),0)</f>
        <v>0</v>
      </c>
      <c r="CE361" s="115">
        <f t="shared" si="308"/>
        <v>0</v>
      </c>
      <c r="CF361" s="115">
        <f>IF(OR(CD361=1,模拟模式!$Q$16="2个"),20,MAX(0,CF360-$F$4))</f>
        <v>0</v>
      </c>
      <c r="CG361" s="115" t="b">
        <f t="shared" si="309"/>
        <v>0</v>
      </c>
      <c r="CH361" s="115">
        <f t="shared" ca="1" si="340"/>
        <v>26.310000000000002</v>
      </c>
      <c r="CI361" s="115" t="b">
        <f t="shared" ca="1" si="341"/>
        <v>0</v>
      </c>
      <c r="CJ361" s="119">
        <f t="shared" ca="1" si="342"/>
        <v>0.01</v>
      </c>
      <c r="CK361" s="115">
        <f t="shared" ca="1" si="343"/>
        <v>4.3099999999999987</v>
      </c>
      <c r="CL361" s="115" t="b">
        <f ca="1">AND(模拟模式!$S$7="驱夷逐法",OR(AND(C361="净世破魔击·月",E360&gt;59),AND(C361="净世破魔击·日",F360&gt;59)))</f>
        <v>0</v>
      </c>
      <c r="CM361" s="115" t="b">
        <f ca="1">OR(CL361,AND(C361="净世破魔击·日",CL360,RAND()&lt;模拟模式!$U$23))</f>
        <v>0</v>
      </c>
      <c r="CN361" s="115" t="b">
        <f ca="1">IF(模拟模式!$M$7="辉耀红尘",AND(C361="净世破魔击·月",CL361,CV361=0,E360&lt;80),AND(C361="净世破魔击·月",CL361,E360&lt;100))</f>
        <v>0</v>
      </c>
      <c r="CO361" s="115" t="b">
        <f t="shared" ca="1" si="316"/>
        <v>0</v>
      </c>
      <c r="CP361" s="115" t="b">
        <f ca="1">AND(模拟模式!$O$7="用晦而明",OR(C361="净世破魔击·日",C361="净世破魔击·月",C361="驱夜断愁"),AB361)</f>
        <v>0</v>
      </c>
      <c r="CQ361" s="115" t="b">
        <f ca="1">OR(CP361,AND(CP360,RAND()&lt;模拟模式!$U$23))</f>
        <v>1</v>
      </c>
      <c r="CR361" s="115" t="b">
        <f ca="1">AND(模拟模式!$S$7="日月齐光",OR(C361="幽月轮1",C361="幽月轮2",C361="幽月轮3",CR360),NOT(OR(C361="赤日轮1",C361="赤日轮2",C361="赤日轮3")))</f>
        <v>0</v>
      </c>
      <c r="CS361" s="115" t="b">
        <f ca="1">AND(模拟模式!$S$7="日月齐光",OR(C361="赤日轮1",C361="赤日轮2",C361="赤日轮3",CS360),NOT(OR(C361="幽月轮1",C361="幽月轮2",C361="幽月轮3")))</f>
        <v>0</v>
      </c>
      <c r="CT361" s="115">
        <f t="shared" ca="1" si="344"/>
        <v>23.542500000000004</v>
      </c>
      <c r="CU361" s="115" t="b">
        <f ca="1">AND(模拟模式!$K$10="阴阳往极",CT360=0,RAND()&lt;IF(C361="净世破魔击·月",0.0275*7/3,IF(C361="净世破魔击·日",0.0275*3/3,0.0275*2/3)))</f>
        <v>0</v>
      </c>
      <c r="CV361" s="115">
        <f t="shared" ca="1" si="345"/>
        <v>0</v>
      </c>
      <c r="CW361" s="115">
        <f t="shared" ca="1" si="317"/>
        <v>0</v>
      </c>
      <c r="CX361" s="115">
        <f t="shared" ca="1" si="318"/>
        <v>6</v>
      </c>
      <c r="CY361" s="115">
        <f ca="1">MAX(IF($C361="驱夜断愁",IF(模拟模式!$R$7="万念俱寂",6,45),CY360-$F$4),0)</f>
        <v>0</v>
      </c>
      <c r="CZ361" s="115">
        <f t="shared" ca="1" si="319"/>
        <v>0</v>
      </c>
      <c r="DA361" s="115">
        <f ca="1">IF(模拟模式!$N$7="日月同辉",IF(DB360=2,0,MIN(6,IF(AND(OR(C361="赤日轮1",C361="赤日轮2",C361="赤日轮3",C361="幽月轮1",C361="幽月轮2",C361="幽月轮3"),AB361=1),DA360+1,DA360))),0)</f>
        <v>0</v>
      </c>
      <c r="DB361" s="115">
        <f t="shared" ca="1" si="320"/>
        <v>0</v>
      </c>
      <c r="DC361" s="115"/>
      <c r="DD361" s="115"/>
      <c r="DE361" s="115"/>
      <c r="DF361" s="115"/>
      <c r="DG361" s="115"/>
      <c r="DH361" s="115"/>
      <c r="DI361" s="115"/>
      <c r="DJ361" s="115"/>
      <c r="DK361" s="115"/>
      <c r="DL361" s="115"/>
      <c r="DM361" s="115"/>
    </row>
    <row r="362" spans="2:117" x14ac:dyDescent="0.2">
      <c r="B362" s="117">
        <f t="shared" si="321"/>
        <v>309.03750000000258</v>
      </c>
      <c r="C362" s="167" t="str">
        <f t="shared" ca="1" si="314"/>
        <v>驱夜断愁</v>
      </c>
      <c r="D362" s="115">
        <f ca="1">IF(C362="赤日轮1",1,IF(C362="赤日轮2",2,IF(C362="赤日轮3",3,IF(C362="幽月轮1",4,IF(C362="幽月轮2",5,IF(C362="幽月轮3",6,IF(C362="烈日斩",7,IF(C362="银月斩",8,IF(C362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362="净世破魔击·月",17,IF(C362="驱夜断愁",18,0)))))))))))</f>
        <v>18</v>
      </c>
      <c r="E362" s="115">
        <f ca="1">IF(AND(CU362,OR(C362="幽月轮1",C362="幽月轮2",C362="幽月轮3",C362="银月斩",C362="驱夜断愁",C362="净世破魔击·月")),100,MIN(IF(OR(CN362,BE362),0,IF(OR($C362="赤日轮1",$C362="赤日轮2",$C362="赤日轮3"),E361+20+IF(模拟模式!$I$7="日月凌天",4,0)+IF(CR361,20,0),IF($C362="烈日斩",E361+40,IF($C362="驱夜断愁",IF(模拟模式!$R$7="万念俱寂",E361+20,E361+60),IF($C362="净世破魔击·月",IF(OR(DB361&gt;0,CV361&gt;0),100,IF(模拟模式!$M$7="辉耀红尘",E361+20,E361)),IF($C362="净世破魔击·日",E361-100,E361)))))),100))</f>
        <v>40</v>
      </c>
      <c r="F362" s="115">
        <f ca="1">IF(AND(CU362,OR(C362="赤日轮1",C362="赤日轮2",C362="赤日轮3",C362="烈日斩",C362="净世破魔击·日")),100,MIN(IF(CO362,0,IF(OR($C362="幽月轮1",$C362="幽月轮2",$C362="幽月轮3"),F361+20+IF(模拟模式!$I$7="日月凌天",4,0)+IF(CS361,20,0),IF($C362="银月斩",F361+40+IF(模拟模式!$X$12=1,5,0),IF($C362="驱夜断愁",IF(模拟模式!$R$7="万念俱寂",F361+20,F361+60),IF($C362="净世破魔击·月",IF(模拟模式!$M$7="辉耀红尘",F361-80,F361-100),IF(AND(C362="净世破魔击·日",OR(DB361&gt;0,CV361&gt;0)),100,F361)))))),100))</f>
        <v>85</v>
      </c>
      <c r="G362" s="117">
        <f ca="1">('模拟-全程加成'!$E$3+'模拟-全程加成'!$E$4+'模拟-全程加成'!$E$5+('模拟-全程加成'!$C$6-'模拟-全程加成'!$C$3)*系数!$B$9+BS362*23)*(1+'模拟-全程加成'!$F$4+'模拟-全程加成'!$F$5+BJ362*10%+BM362*20%+BP362*4%+CG362*30%)+$F$7*系数!$B$12</f>
        <v>21493.829400000002</v>
      </c>
      <c r="H362" s="45">
        <f ca="1">'模拟-全程加成'!$H$3+'模拟-全程加成'!$H$4+'模拟-全程加成'!$H$5+('模拟-全程加成'!$G$4+'模拟-全程加成'!$G$5+('模拟-全程加成'!$C$6-'模拟-全程加成'!$C$3)*系数!$B$13)/系数!$B$3+LOOKUP(D362,'模拟-单技能数据'!$A$2:$A$19,'模拟-单技能数据'!$K$2:$K$19)+BG362*10%+IF(BV362&gt;0,378,0)</f>
        <v>0.51185145527300213</v>
      </c>
      <c r="I362" s="45">
        <f ca="1">'模拟-全程加成'!$J$3+'模拟-全程加成'!$J$4+'模拟-全程加成'!$J$5+('模拟-全程加成'!$I$4+'模拟-全程加成'!$I$5)/系数!$B$4+LOOKUP(D362,'模拟-单技能数据'!$A$2:$A$19,'模拟-单技能数据'!$L$2:$L$19)+BG362*10%</f>
        <v>2.162482885499879</v>
      </c>
      <c r="J362" s="45">
        <f ca="1">(('模拟-全程加成'!$K$3+'模拟-全程加成'!$K$4+'模拟-全程加成'!$K$5+('模拟-全程加成'!$C$6-'模拟-全程加成'!$C$3)*系数!$B$10+IF(BV362&gt;0,882,0)+IF(BY362&gt;0,1831,0))*(1+'模拟-全程加成'!$L$4+'模拟-全程加成'!$L$5+CC362*20%))/系数!$B$5</f>
        <v>0.69723220422048726</v>
      </c>
      <c r="K362" s="119">
        <f ca="1">LOOKUP(D362,'模拟-单技能数据'!$A$2:$A$19,'模拟-单技能数据'!$J$2:$J$19)+IF(CM362,60%,0)+IF(DB361-DB362&gt;0,30%,0)+IF(OR(AND(OR(C362="赤日轮1",C362="赤日轮2",C362="赤日轮3"),CR362),AND(OR(C362="幽月轮1",C362="幽月轮2",C362="幽月轮3"),CS362)),35%,0)+CJ362</f>
        <v>0.15000000000000002</v>
      </c>
      <c r="L362" s="119">
        <f ca="1">IF(AND(C362="烈日斩",模拟模式!$X$11=1),10%,0)+IF(AND(C362="驱夜断愁",AB362=1),30%,0)</f>
        <v>0.3</v>
      </c>
      <c r="M362" s="45">
        <f t="shared" ca="1" si="297"/>
        <v>0.51185145527300213</v>
      </c>
      <c r="N362" s="45">
        <f t="shared" ca="1" si="298"/>
        <v>0.43424854472699792</v>
      </c>
      <c r="O362" s="46">
        <f t="shared" ca="1" si="322"/>
        <v>0.25574998154630935</v>
      </c>
      <c r="P362" s="46" t="str">
        <f t="shared" ca="1" si="323"/>
        <v>会</v>
      </c>
      <c r="Q362" s="45">
        <f t="shared" ca="1" si="324"/>
        <v>2.162482885499879</v>
      </c>
      <c r="R362" s="117">
        <f ca="1">模拟模式!$E$20*(1-IF(模拟模式!$J$19="有",0.15,0))*(1-IF(模拟模式!$K$19="有",0.3,0)-IF(CQ362,0.5,0))</f>
        <v>843.02999999999975</v>
      </c>
      <c r="S362" s="45">
        <f ca="1">R362/(R362+(185*模拟模式!$E$22-16800)*4.08224)</f>
        <v>8.389626085980037E-2</v>
      </c>
      <c r="T362" s="45" t="str">
        <f ca="1">LOOKUP(D362,'模拟-单技能数据'!$A$2:$A$19,'模拟-单技能数据'!$H$2:$H$19)</f>
        <v>阴</v>
      </c>
      <c r="U362" s="119">
        <f t="shared" ca="1" si="299"/>
        <v>0.08</v>
      </c>
      <c r="V362" s="47">
        <f ca="1">(1+L362)*(LOOKUP(D362,'模拟-单技能数据'!$A$2:$A$19,'模拟-单技能数据'!$D$2:$D$19)+G362*LOOKUP(D362,'模拟-单技能数据'!$A$2:$A$19,'模拟-单技能数据'!$F$2:$F$19))*(1+J362)*(1+K362)*(1-S362)*(1+U362)*Q362*LOOKUP(D362,'模拟-单技能数据'!$A$2:$A$19,'模拟-单技能数据'!$I$2:$I$20)</f>
        <v>134246.71846289007</v>
      </c>
      <c r="W362" s="47">
        <f ca="1">LOOKUP(D362,'模拟-单技能数据'!$A$2:$A$19,'模拟-单技能数据'!$G$2:$G$19)*$I$10</f>
        <v>723.0212870940959</v>
      </c>
      <c r="X362" s="47">
        <f t="shared" ca="1" si="325"/>
        <v>0</v>
      </c>
      <c r="Y362" s="47">
        <f t="shared" ca="1" si="300"/>
        <v>134969.73974998418</v>
      </c>
      <c r="Z362" s="49">
        <f t="shared" ca="1" si="301"/>
        <v>35107692.329285897</v>
      </c>
      <c r="AA362" s="97">
        <f t="shared" ca="1" si="302"/>
        <v>113603.34046607808</v>
      </c>
      <c r="AB362" s="115">
        <f ca="1">IF(OR(C362="赤日轮1",C362="赤日轮2",C362="赤日轮3"),IF(RAND()&lt;模拟模式!$Y$17,1,0),IF(OR(C362="幽月轮1",C362="幽月轮2",C362="幽月轮3"),IF(RAND()&lt;模拟模式!$Y$18,1,0),IF(C362="烈日斩",IF(RAND()&lt;模拟模式!$Y$19,1,0),IF(C362="银月斩",IF(RAND()&lt;模拟模式!$Y$20,1,0),IF(C362="驱夜断愁",IF(RAND()&lt;模拟模式!$Y$21,1,0),IF(C362="净世破魔击·日",IF(RAND()&lt;模拟模式!$Y$22,1,0),IF(C362="净世破魔击·月",IF(RAND()&lt;模拟模式!$Y$23,1,0),0)))))))</f>
        <v>1</v>
      </c>
      <c r="AC362" s="115" t="b">
        <f t="shared" ca="1" si="290"/>
        <v>0</v>
      </c>
      <c r="AD362" s="115" t="b">
        <f t="shared" ca="1" si="310"/>
        <v>0</v>
      </c>
      <c r="AE362" s="115">
        <f t="shared" ca="1" si="311"/>
        <v>5</v>
      </c>
      <c r="AF362" s="47">
        <f ca="1">IF(AC362,('模拟-单技能数据'!$D$20+G362*'模拟-单技能数据'!$F$20)*(1+J362)*(1+'模拟-单技能数据'!$J$20)*(1+U362),0)</f>
        <v>0</v>
      </c>
      <c r="AG362" s="61">
        <f t="shared" ca="1" si="303"/>
        <v>0.64185145527300214</v>
      </c>
      <c r="AH362" s="61">
        <f t="shared" ca="1" si="304"/>
        <v>2.2624828854998791</v>
      </c>
      <c r="AI362" s="62">
        <f t="shared" ca="1" si="326"/>
        <v>0.41138513947321242</v>
      </c>
      <c r="AJ362" s="47">
        <f ca="1">IF(AD362,IF(AI362&lt;$F$10,0,IF(AI362&lt;$F$10+$F$11,0.25,IF(AI362&lt;$F$10+$F$11+AG362,AH362,1)))*IF(AF362&gt;0,AF362,IF(AF361&gt;0,AF361,IF(AF360&gt;0,AF360,IF(AF359&gt;0,AF359,IF(AF358&gt;0,AF358,IF(AF357&gt;0,AF357,IF(AF356&gt;0,AF356,IF(AF355&gt;0,AF355,IF(AF354&gt;0,AF354,IF(AF352&gt;0,AF352,IF(AF351&gt;0,AF351,IF(AF350&gt;0,AF350,0)))))))))))),0)*(1-$S362)*'模拟-单技能数据'!$I$20</f>
        <v>0</v>
      </c>
      <c r="AK362" s="115" t="b">
        <f t="shared" ca="1" si="291"/>
        <v>0</v>
      </c>
      <c r="AL362" s="115" t="b">
        <f t="shared" ca="1" si="312"/>
        <v>0</v>
      </c>
      <c r="AM362" s="115">
        <f t="shared" ca="1" si="313"/>
        <v>4</v>
      </c>
      <c r="AN362" s="47">
        <f ca="1">IF(AK362,('模拟-单技能数据'!$D$21+G362*'模拟-单技能数据'!$F$21)*(1+J362)*(1+'模拟-单技能数据'!$J$21)*(1+U362),0)</f>
        <v>0</v>
      </c>
      <c r="AO362" s="61">
        <f ca="1">IF(AN362&gt;0,M362-'模拟-单技能数据'!$K$10,AO361)</f>
        <v>0.42185145527300216</v>
      </c>
      <c r="AP362" s="61">
        <f ca="1">IF(AN362&gt;0,I362-'模拟-单技能数据'!$L$10,AP361)</f>
        <v>2.162482885499879</v>
      </c>
      <c r="AQ362" s="63">
        <f t="shared" ca="1" si="327"/>
        <v>0.79224243081149326</v>
      </c>
      <c r="AR362" s="64">
        <f ca="1">IF(AL362,IF(AQ362&lt;$F$10,0,IF(AQ362&lt;$F$10+$F$11,0.25,IF(AQ362&lt;$F$10+$F$11+AO362,AP362,1)))*IF(AN362&gt;0,AN362,IF(AN361&gt;0,AN361,IF(AN360&gt;0,AN360,IF(AN359&gt;0,AN359,IF(AN358&gt;0,AN358,IF(AN357&gt;0,AN357,IF(AN356&gt;0,AN356,IF(AN355&gt;0,AN355,IF(AN354&gt;0,AN354,IF(AN352&gt;0,AN352,IF(AN351&gt;0,AN351,IF(AN350&gt;0,AN350,0)))))))))))),0)*(1-$S362)*'模拟-单技能数据'!$I$21</f>
        <v>0</v>
      </c>
      <c r="AS362" s="61">
        <f ca="1">IF(OR(C362="净世破魔击·日",C362="净世破魔击·月"),M362-'模拟-单技能数据'!$K$10,0)</f>
        <v>0</v>
      </c>
      <c r="AT362" s="61">
        <f ca="1">IF(OR(C362="净世破魔击·日",C362="净世破魔击·月"),I362-'模拟-单技能数据'!$L$10,0)</f>
        <v>0</v>
      </c>
      <c r="AU362" s="62">
        <f t="shared" ca="1" si="328"/>
        <v>0.28287584001514499</v>
      </c>
      <c r="AV362" s="64">
        <f ca="1">IF(AS362&gt;0,('模拟-单技能数据'!$D$22+G362*'模拟-单技能数据'!$F$22)*(1+J362)*(1-S362)*IF(AU362&lt;$F$10,0,IF(AU362&lt;$F$10+$F$11,0.25,IF(AU362&lt;$F$10+$F$11+AS362,AT362,1)))*(1+U362),0)*'模拟-单技能数据'!$I$22</f>
        <v>0</v>
      </c>
      <c r="AW362" s="108">
        <f t="shared" ca="1" si="329"/>
        <v>0</v>
      </c>
      <c r="AX362" s="108" t="b">
        <f ca="1">AND(模拟模式!$P$10="有",AW361=0,RAND()&lt;IF(C362="净世破魔击·月",0.1*8/3,IF(C362="净世破魔击·日",0.1*4/3,0.1*2/3)))</f>
        <v>0</v>
      </c>
      <c r="AY362" s="47">
        <f ca="1">IF(AX362,(18+G362*0.722)*(1+J362)*(1-S362)*(1+$I$4)*IF(P362="会",'模拟-全程加成'!$J$3+'模拟-全程加成'!$J$4+'模拟-全程加成'!$J$5+('模拟-全程加成'!$I$4+'模拟-全程加成'!$I$5)/系数!$B$4+BG362*10%,IF(P362="命",1,IF(P362="识",0.25,0))),0)</f>
        <v>0</v>
      </c>
      <c r="AZ362" s="108">
        <f t="shared" si="330"/>
        <v>15.387500000000003</v>
      </c>
      <c r="BA362" s="108" t="b">
        <f>AND(模拟模式!$Q$10="有",AZ361=0)</f>
        <v>0</v>
      </c>
      <c r="BB362" s="140">
        <f>IF(BA362,(0+G362*0.287)*(1+J362)*(1-S362)*(1+$I$4)*IF(P362="会",'模拟-全程加成'!$J$3+'模拟-全程加成'!$J$4+'模拟-全程加成'!$J$5+('模拟-全程加成'!$I$4+'模拟-全程加成'!$I$5)/系数!$B$4+BG362*10%,IF(P362="命",1,IF(P362="识",0.25,0))),0)</f>
        <v>0</v>
      </c>
      <c r="BC362" s="115" t="b">
        <f ca="1">AND(模拟模式!$R$7="伏明众生",E362=60,F362=20,DA362&lt;5,CZ361&lt;$F$4)</f>
        <v>0</v>
      </c>
      <c r="BD362" s="115">
        <f t="shared" ca="1" si="292"/>
        <v>0</v>
      </c>
      <c r="BE362" s="115" t="b">
        <f t="shared" ca="1" si="293"/>
        <v>0</v>
      </c>
      <c r="BF362" s="47">
        <f ca="1">IF(BC362,4*('模拟-单技能数据'!$D$24+G362*'模拟-单技能数据'!$F$24)*(1+J362)*(1+'模拟-单技能数据'!$J$24)*(1-S362)*(1+$I$3)*(('模拟-全程加成'!$J$3+'模拟-全程加成'!$J$4+'模拟-全程加成'!$J$5+('模拟-全程加成'!$I$4+'模拟-全程加成'!$I$5)/系数!$B$4+BG362*10%)*('模拟-全程加成'!$J$3+'模拟-全程加成'!$J$4+'模拟-全程加成'!$J$5+('模拟-全程加成'!$I$4+'模拟-全程加成'!$I$5)/系数!$B$4+BG362*10%)+(1-('模拟-全程加成'!$J$3+'模拟-全程加成'!$J$4+'模拟-全程加成'!$J$5+('模拟-全程加成'!$I$4+'模拟-全程加成'!$I$5)/系数!$B$4+BG362*10%)-$F$10-$F$11)+F348*0.25),0)*'模拟-单技能数据'!$I$24</f>
        <v>0</v>
      </c>
      <c r="BG362" s="115" t="b">
        <f ca="1">OR(AND(OR(C362="烈日斩",C362="银月斩"),模拟模式!$I$7="净身明礼"),AND(C362="净世破魔击·日",模拟模式!$J$7="洞若观火"),AND(C363="净世破魔击·月",模拟模式!$J$7="洞若观火"),AB362=1)</f>
        <v>1</v>
      </c>
      <c r="BH362" s="115" t="b">
        <f t="shared" ca="1" si="331"/>
        <v>0</v>
      </c>
      <c r="BI362" s="115">
        <f t="shared" ca="1" si="294"/>
        <v>5.0774999999999997</v>
      </c>
      <c r="BJ362" s="115" t="b">
        <f t="shared" ca="1" si="305"/>
        <v>1</v>
      </c>
      <c r="BK362" s="115" t="b">
        <f ca="1">AND(C362="驱夜断愁",模拟模式!$P$7="天地诛戮")</f>
        <v>1</v>
      </c>
      <c r="BL362" s="57">
        <f t="shared" ca="1" si="295"/>
        <v>20</v>
      </c>
      <c r="BM362" s="115" t="b">
        <f t="shared" ca="1" si="306"/>
        <v>1</v>
      </c>
      <c r="BN362" s="115" t="b">
        <f ca="1">AND(OR(C362="赤日轮1",C362="赤日轮2",C362="赤日轮3",C362="幽月轮1",C362="幽月轮2",C362="幽月轮3"),AB362=1,模拟模式!$L$7="明光恒照")</f>
        <v>0</v>
      </c>
      <c r="BO362" s="117">
        <f t="shared" ca="1" si="296"/>
        <v>21.697500000000005</v>
      </c>
      <c r="BP362" s="115">
        <f t="shared" ca="1" si="332"/>
        <v>6</v>
      </c>
      <c r="BQ362" s="115" t="b">
        <f>模拟模式!$K$10="2600·水"</f>
        <v>0</v>
      </c>
      <c r="BR362" s="117">
        <f t="shared" si="333"/>
        <v>0</v>
      </c>
      <c r="BS362" s="115">
        <f t="shared" si="334"/>
        <v>0</v>
      </c>
      <c r="BT362" s="115">
        <f t="shared" ca="1" si="335"/>
        <v>0</v>
      </c>
      <c r="BU362" s="115" t="b">
        <f ca="1">AND(模拟模式!$K$10="2300·雷",BT361=0,RAND()&lt;IF(C362="净世破魔击·月",5*0.05*2/3,IF(C362="净世破魔击·日",3*0.05*2/3,0.05*2*2/3)))</f>
        <v>0</v>
      </c>
      <c r="BV362" s="115">
        <f t="shared" ca="1" si="336"/>
        <v>0</v>
      </c>
      <c r="BW362" s="115">
        <f t="shared" ca="1" si="337"/>
        <v>62.842499999999276</v>
      </c>
      <c r="BX362" s="164" t="b">
        <f t="shared" ca="1" si="338"/>
        <v>0</v>
      </c>
      <c r="BY362" s="115">
        <f t="shared" ca="1" si="339"/>
        <v>0</v>
      </c>
      <c r="BZ362" s="115">
        <f>IF(OR(模拟模式!$P$16="10人团",模拟模式!$P$16="25人团"),IF(B362/30&gt;CA361,1,0),0)</f>
        <v>0</v>
      </c>
      <c r="CA362" s="115">
        <f t="shared" si="315"/>
        <v>0</v>
      </c>
      <c r="CB362" s="115">
        <f ca="1">IF(BZ362=1,IF(模拟模式!$P$16="10人团",15,0)+IF(模拟模式!$P$16="25人团",IF(RAND()&lt;0.6,15,0)),MAX(0,CB361-$F$4))</f>
        <v>0</v>
      </c>
      <c r="CC362" s="115" t="b">
        <f t="shared" ca="1" si="307"/>
        <v>0</v>
      </c>
      <c r="CD362" s="115">
        <f>IF(模拟模式!$Q$16="1个",IF(B362/40&gt;CE361,1,0),0)</f>
        <v>0</v>
      </c>
      <c r="CE362" s="115">
        <f t="shared" si="308"/>
        <v>0</v>
      </c>
      <c r="CF362" s="115">
        <f>IF(OR(CD362=1,模拟模式!$Q$16="2个"),20,MAX(0,CF361-$F$4))</f>
        <v>0</v>
      </c>
      <c r="CG362" s="115" t="b">
        <f t="shared" si="309"/>
        <v>0</v>
      </c>
      <c r="CH362" s="115">
        <f t="shared" ca="1" si="340"/>
        <v>25.387500000000003</v>
      </c>
      <c r="CI362" s="115" t="b">
        <f t="shared" ca="1" si="341"/>
        <v>0</v>
      </c>
      <c r="CJ362" s="119">
        <f t="shared" ca="1" si="342"/>
        <v>0.01</v>
      </c>
      <c r="CK362" s="115">
        <f t="shared" ca="1" si="343"/>
        <v>3.3874999999999988</v>
      </c>
      <c r="CL362" s="115" t="b">
        <f ca="1">AND(模拟模式!$S$7="驱夷逐法",OR(AND(C362="净世破魔击·月",E361&gt;59),AND(C362="净世破魔击·日",F361&gt;59)))</f>
        <v>0</v>
      </c>
      <c r="CM362" s="115" t="b">
        <f ca="1">OR(CL362,AND(C362="净世破魔击·日",CL361,RAND()&lt;模拟模式!$U$23))</f>
        <v>0</v>
      </c>
      <c r="CN362" s="115" t="b">
        <f ca="1">IF(模拟模式!$M$7="辉耀红尘",AND(C362="净世破魔击·月",CL362,CV362=0,E361&lt;80),AND(C362="净世破魔击·月",CL362,E361&lt;100))</f>
        <v>0</v>
      </c>
      <c r="CO362" s="115" t="b">
        <f t="shared" ca="1" si="316"/>
        <v>0</v>
      </c>
      <c r="CP362" s="115" t="b">
        <f ca="1">AND(模拟模式!$O$7="用晦而明",OR(C362="净世破魔击·日",C362="净世破魔击·月",C362="驱夜断愁"),AB362)</f>
        <v>1</v>
      </c>
      <c r="CQ362" s="115" t="b">
        <f ca="1">OR(CP362,AND(CP361,RAND()&lt;模拟模式!$U$23))</f>
        <v>1</v>
      </c>
      <c r="CR362" s="115" t="b">
        <f ca="1">AND(模拟模式!$S$7="日月齐光",OR(C362="幽月轮1",C362="幽月轮2",C362="幽月轮3",CR361),NOT(OR(C362="赤日轮1",C362="赤日轮2",C362="赤日轮3")))</f>
        <v>0</v>
      </c>
      <c r="CS362" s="115" t="b">
        <f ca="1">AND(模拟模式!$S$7="日月齐光",OR(C362="赤日轮1",C362="赤日轮2",C362="赤日轮3",CS361),NOT(OR(C362="幽月轮1",C362="幽月轮2",C362="幽月轮3")))</f>
        <v>0</v>
      </c>
      <c r="CT362" s="115">
        <f t="shared" ca="1" si="344"/>
        <v>22.620000000000005</v>
      </c>
      <c r="CU362" s="115" t="b">
        <f ca="1">AND(模拟模式!$K$10="阴阳往极",CT361=0,RAND()&lt;IF(C362="净世破魔击·月",0.0275*7/3,IF(C362="净世破魔击·日",0.0275*3/3,0.0275*2/3)))</f>
        <v>0</v>
      </c>
      <c r="CV362" s="115">
        <f t="shared" ca="1" si="345"/>
        <v>0</v>
      </c>
      <c r="CW362" s="115">
        <f t="shared" ca="1" si="317"/>
        <v>0</v>
      </c>
      <c r="CX362" s="115">
        <f t="shared" ca="1" si="318"/>
        <v>5.0774999999999997</v>
      </c>
      <c r="CY362" s="115">
        <f ca="1">MAX(IF($C362="驱夜断愁",IF(模拟模式!$R$7="万念俱寂",6,45),CY361-$F$4),0)</f>
        <v>6</v>
      </c>
      <c r="CZ362" s="115">
        <f t="shared" ca="1" si="319"/>
        <v>0</v>
      </c>
      <c r="DA362" s="115">
        <f ca="1">IF(模拟模式!$N$7="日月同辉",IF(DB361=2,0,MIN(6,IF(AND(OR(C362="赤日轮1",C362="赤日轮2",C362="赤日轮3",C362="幽月轮1",C362="幽月轮2",C362="幽月轮3"),AB362=1),DA361+1,DA361))),0)</f>
        <v>0</v>
      </c>
      <c r="DB362" s="115">
        <f t="shared" ca="1" si="320"/>
        <v>0</v>
      </c>
      <c r="DC362" s="115"/>
      <c r="DD362" s="115"/>
      <c r="DE362" s="115"/>
      <c r="DF362" s="115"/>
      <c r="DG362" s="115"/>
      <c r="DH362" s="115"/>
      <c r="DI362" s="115"/>
      <c r="DJ362" s="115"/>
      <c r="DK362" s="115"/>
      <c r="DL362" s="115"/>
      <c r="DM362" s="115"/>
    </row>
    <row r="363" spans="2:117" x14ac:dyDescent="0.2">
      <c r="B363" s="117">
        <f t="shared" si="321"/>
        <v>309.96000000000259</v>
      </c>
      <c r="C363" s="167" t="str">
        <f t="shared" ca="1" si="314"/>
        <v>烈日斩</v>
      </c>
      <c r="D363" s="115">
        <f ca="1">IF(C363="赤日轮1",1,IF(C363="赤日轮2",2,IF(C363="赤日轮3",3,IF(C363="幽月轮1",4,IF(C363="幽月轮2",5,IF(C363="幽月轮3",6,IF(C363="烈日斩",7,IF(C363="银月斩",8,IF(C363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363="净世破魔击·月",17,IF(C363="驱夜断愁",18,0)))))))))))</f>
        <v>7</v>
      </c>
      <c r="E363" s="115">
        <f ca="1">IF(AND(CU363,OR(C363="幽月轮1",C363="幽月轮2",C363="幽月轮3",C363="银月斩",C363="驱夜断愁",C363="净世破魔击·月")),100,MIN(IF(OR(CN363,BE363),0,IF(OR($C363="赤日轮1",$C363="赤日轮2",$C363="赤日轮3"),E362+20+IF(模拟模式!$I$7="日月凌天",4,0)+IF(CR362,20,0),IF($C363="烈日斩",E362+40,IF($C363="驱夜断愁",IF(模拟模式!$R$7="万念俱寂",E362+20,E362+60),IF($C363="净世破魔击·月",IF(OR(DB362&gt;0,CV362&gt;0),100,IF(模拟模式!$M$7="辉耀红尘",E362+20,E362)),IF($C363="净世破魔击·日",E362-100,E362)))))),100))</f>
        <v>80</v>
      </c>
      <c r="F363" s="115">
        <f ca="1">IF(AND(CU363,OR(C363="赤日轮1",C363="赤日轮2",C363="赤日轮3",C363="烈日斩",C363="净世破魔击·日")),100,MIN(IF(CO363,0,IF(OR($C363="幽月轮1",$C363="幽月轮2",$C363="幽月轮3"),F362+20+IF(模拟模式!$I$7="日月凌天",4,0)+IF(CS362,20,0),IF($C363="银月斩",F362+40+IF(模拟模式!$X$12=1,5,0),IF($C363="驱夜断愁",IF(模拟模式!$R$7="万念俱寂",F362+20,F362+60),IF($C363="净世破魔击·月",IF(模拟模式!$M$7="辉耀红尘",F362-80,F362-100),IF(AND(C363="净世破魔击·日",OR(DB362&gt;0,CV362&gt;0)),100,F362)))))),100))</f>
        <v>85</v>
      </c>
      <c r="G363" s="117">
        <f ca="1">('模拟-全程加成'!$E$3+'模拟-全程加成'!$E$4+'模拟-全程加成'!$E$5+('模拟-全程加成'!$C$6-'模拟-全程加成'!$C$3)*系数!$B$9+BS363*23)*(1+'模拟-全程加成'!$F$4+'模拟-全程加成'!$F$5+BJ363*10%+BM363*20%+BP363*4%+CG363*30%)+$F$7*系数!$B$12</f>
        <v>21493.829400000002</v>
      </c>
      <c r="H363" s="45">
        <f ca="1">'模拟-全程加成'!$H$3+'模拟-全程加成'!$H$4+'模拟-全程加成'!$H$5+('模拟-全程加成'!$G$4+'模拟-全程加成'!$G$5+('模拟-全程加成'!$C$6-'模拟-全程加成'!$C$3)*系数!$B$13)/系数!$B$3+LOOKUP(D363,'模拟-单技能数据'!$A$2:$A$19,'模拟-单技能数据'!$K$2:$K$19)+BG363*10%+IF(BV363&gt;0,378,0)</f>
        <v>0.56185145527300218</v>
      </c>
      <c r="I363" s="45">
        <f ca="1">'模拟-全程加成'!$J$3+'模拟-全程加成'!$J$4+'模拟-全程加成'!$J$5+('模拟-全程加成'!$I$4+'模拟-全程加成'!$I$5)/系数!$B$4+LOOKUP(D363,'模拟-单技能数据'!$A$2:$A$19,'模拟-单技能数据'!$L$2:$L$19)+BG363*10%</f>
        <v>2.2624828854998791</v>
      </c>
      <c r="J363" s="45">
        <f ca="1">(('模拟-全程加成'!$K$3+'模拟-全程加成'!$K$4+'模拟-全程加成'!$K$5+('模拟-全程加成'!$C$6-'模拟-全程加成'!$C$3)*系数!$B$10+IF(BV363&gt;0,882,0)+IF(BY363&gt;0,1831,0))*(1+'模拟-全程加成'!$L$4+'模拟-全程加成'!$L$5+CC363*20%))/系数!$B$5</f>
        <v>0.69723220422048726</v>
      </c>
      <c r="K363" s="119">
        <f ca="1">LOOKUP(D363,'模拟-单技能数据'!$A$2:$A$19,'模拟-单技能数据'!$J$2:$J$19)+IF(CM363,60%,0)+IF(DB362-DB363&gt;0,30%,0)+IF(OR(AND(OR(C363="赤日轮1",C363="赤日轮2",C363="赤日轮3"),CR363),AND(OR(C363="幽月轮1",C363="幽月轮2",C363="幽月轮3"),CS363)),35%,0)+CJ363</f>
        <v>0.25</v>
      </c>
      <c r="L363" s="119">
        <f ca="1">IF(AND(C363="烈日斩",模拟模式!$X$11=1),10%,0)+IF(AND(C363="驱夜断愁",AB363=1),30%,0)</f>
        <v>0.1</v>
      </c>
      <c r="M363" s="45">
        <f t="shared" ca="1" si="297"/>
        <v>0.56185145527300218</v>
      </c>
      <c r="N363" s="45">
        <f t="shared" ca="1" si="298"/>
        <v>0.38424854472699788</v>
      </c>
      <c r="O363" s="46">
        <f t="shared" ca="1" si="322"/>
        <v>0.26970036527073704</v>
      </c>
      <c r="P363" s="46" t="str">
        <f t="shared" ca="1" si="323"/>
        <v>会</v>
      </c>
      <c r="Q363" s="45">
        <f t="shared" ca="1" si="324"/>
        <v>2.2624828854998791</v>
      </c>
      <c r="R363" s="117">
        <f ca="1">模拟模式!$E$20*(1-IF(模拟模式!$J$19="有",0.15,0))*(1-IF(模拟模式!$K$19="有",0.3,0)-IF(CQ363,0.5,0))</f>
        <v>843.02999999999975</v>
      </c>
      <c r="S363" s="45">
        <f ca="1">R363/(R363+(185*模拟模式!$E$22-16800)*4.08224)</f>
        <v>8.389626085980037E-2</v>
      </c>
      <c r="T363" s="45" t="str">
        <f ca="1">LOOKUP(D363,'模拟-单技能数据'!$A$2:$A$19,'模拟-单技能数据'!$H$2:$H$19)</f>
        <v>阳</v>
      </c>
      <c r="U363" s="119">
        <f t="shared" ca="1" si="299"/>
        <v>0.2</v>
      </c>
      <c r="V363" s="47">
        <f ca="1">(1+L363)*(LOOKUP(D363,'模拟-单技能数据'!$A$2:$A$19,'模拟-单技能数据'!$D$2:$D$19)+G363*LOOKUP(D363,'模拟-单技能数据'!$A$2:$A$19,'模拟-单技能数据'!$F$2:$F$19))*(1+J363)*(1+K363)*(1-S363)*(1+U363)*Q363*LOOKUP(D363,'模拟-单技能数据'!$A$2:$A$19,'模拟-单技能数据'!$I$2:$I$20)</f>
        <v>111394.5122696896</v>
      </c>
      <c r="W363" s="47">
        <f ca="1">LOOKUP(D363,'模拟-单技能数据'!$A$2:$A$19,'模拟-单技能数据'!$G$2:$G$19)*$I$10</f>
        <v>361.51064354704795</v>
      </c>
      <c r="X363" s="47">
        <f t="shared" ca="1" si="325"/>
        <v>71786.726214785798</v>
      </c>
      <c r="Y363" s="47">
        <f t="shared" ca="1" si="300"/>
        <v>183542.74912802246</v>
      </c>
      <c r="Z363" s="49">
        <f t="shared" ca="1" si="301"/>
        <v>35291235.078413919</v>
      </c>
      <c r="AA363" s="97">
        <f t="shared" ca="1" si="302"/>
        <v>113857.38507682805</v>
      </c>
      <c r="AB363" s="115">
        <f ca="1">IF(OR(C363="赤日轮1",C363="赤日轮2",C363="赤日轮3"),IF(RAND()&lt;模拟模式!$Y$17,1,0),IF(OR(C363="幽月轮1",C363="幽月轮2",C363="幽月轮3"),IF(RAND()&lt;模拟模式!$Y$18,1,0),IF(C363="烈日斩",IF(RAND()&lt;模拟模式!$Y$19,1,0),IF(C363="银月斩",IF(RAND()&lt;模拟模式!$Y$20,1,0),IF(C363="驱夜断愁",IF(RAND()&lt;模拟模式!$Y$21,1,0),IF(C363="净世破魔击·日",IF(RAND()&lt;模拟模式!$Y$22,1,0),IF(C363="净世破魔击·月",IF(RAND()&lt;模拟模式!$Y$23,1,0),0)))))))</f>
        <v>1</v>
      </c>
      <c r="AC363" s="115" t="b">
        <f t="shared" ca="1" si="290"/>
        <v>0</v>
      </c>
      <c r="AD363" s="115" t="b">
        <f t="shared" ca="1" si="310"/>
        <v>1</v>
      </c>
      <c r="AE363" s="115">
        <f t="shared" ca="1" si="311"/>
        <v>4</v>
      </c>
      <c r="AF363" s="47">
        <f ca="1">IF(AC363,('模拟-单技能数据'!$D$20+G363*'模拟-单技能数据'!$F$20)*(1+J363)*(1+'模拟-单技能数据'!$J$20)*(1+U363),0)</f>
        <v>0</v>
      </c>
      <c r="AG363" s="61">
        <f t="shared" ca="1" si="303"/>
        <v>0.64185145527300214</v>
      </c>
      <c r="AH363" s="61">
        <f t="shared" ca="1" si="304"/>
        <v>2.2624828854998791</v>
      </c>
      <c r="AI363" s="62">
        <f t="shared" ca="1" si="326"/>
        <v>0.87007951013965346</v>
      </c>
      <c r="AJ363" s="47">
        <f ca="1">IF(AD363,IF(AI363&lt;$F$10,0,IF(AI363&lt;$F$10+$F$11,0.25,IF(AI363&lt;$F$10+$F$11+AG363,AH363,1)))*IF(AF363&gt;0,AF363,IF(AF362&gt;0,AF362,IF(AF361&gt;0,AF361,IF(AF360&gt;0,AF360,IF(AF359&gt;0,AF359,IF(AF358&gt;0,AF358,IF(AF357&gt;0,AF357,IF(AF356&gt;0,AF356,IF(AF355&gt;0,AF355,IF(AF353&gt;0,AF353,IF(AF352&gt;0,AF352,IF(AF351&gt;0,AF351,0)))))))))))),0)*(1-$S363)*'模拟-单技能数据'!$I$20</f>
        <v>4250.4883357170938</v>
      </c>
      <c r="AK363" s="115" t="b">
        <f t="shared" ca="1" si="291"/>
        <v>0</v>
      </c>
      <c r="AL363" s="115" t="b">
        <f t="shared" ca="1" si="312"/>
        <v>1</v>
      </c>
      <c r="AM363" s="115">
        <f t="shared" ca="1" si="313"/>
        <v>3</v>
      </c>
      <c r="AN363" s="47">
        <f ca="1">IF(AK363,('模拟-单技能数据'!$D$21+G363*'模拟-单技能数据'!$F$21)*(1+J363)*(1+'模拟-单技能数据'!$J$21)*(1+U363),0)</f>
        <v>0</v>
      </c>
      <c r="AO363" s="61">
        <f ca="1">IF(AN363&gt;0,M363-'模拟-单技能数据'!$K$10,AO362)</f>
        <v>0.42185145527300216</v>
      </c>
      <c r="AP363" s="61">
        <f ca="1">IF(AN363&gt;0,I363-'模拟-单技能数据'!$L$10,AP362)</f>
        <v>2.162482885499879</v>
      </c>
      <c r="AQ363" s="63">
        <f t="shared" ca="1" si="327"/>
        <v>0.78447787042241057</v>
      </c>
      <c r="AR363" s="64">
        <f ca="1">IF(AL363,IF(AQ363&lt;$F$10,0,IF(AQ363&lt;$F$10+$F$11,0.25,IF(AQ363&lt;$F$10+$F$11+AO363,AP363,1)))*IF(AN363&gt;0,AN363,IF(AN362&gt;0,AN362,IF(AN361&gt;0,AN361,IF(AN360&gt;0,AN360,IF(AN359&gt;0,AN359,IF(AN358&gt;0,AN358,IF(AN357&gt;0,AN357,IF(AN356&gt;0,AN356,IF(AN355&gt;0,AN355,IF(AN353&gt;0,AN353,IF(AN352&gt;0,AN352,IF(AN351&gt;0,AN351,0)))))))))))),0)*(1-$S363)*'模拟-单技能数据'!$I$21</f>
        <v>11118.353508757338</v>
      </c>
      <c r="AS363" s="61">
        <f ca="1">IF(OR(C363="净世破魔击·日",C363="净世破魔击·月"),M363-'模拟-单技能数据'!$K$10,0)</f>
        <v>0</v>
      </c>
      <c r="AT363" s="61">
        <f ca="1">IF(OR(C363="净世破魔击·日",C363="净世破魔击·月"),I363-'模拟-单技能数据'!$L$10,0)</f>
        <v>0</v>
      </c>
      <c r="AU363" s="62">
        <f t="shared" ca="1" si="328"/>
        <v>0.16815280783778219</v>
      </c>
      <c r="AV363" s="64">
        <f ca="1">IF(AS363&gt;0,('模拟-单技能数据'!$D$22+G363*'模拟-单技能数据'!$F$22)*(1+J363)*(1-S363)*IF(AU363&lt;$F$10,0,IF(AU363&lt;$F$10+$F$11,0.25,IF(AU363&lt;$F$10+$F$11+AS363,AT363,1)))*(1+U363),0)*'模拟-单技能数据'!$I$22</f>
        <v>0</v>
      </c>
      <c r="AW363" s="108">
        <f t="shared" ca="1" si="329"/>
        <v>19.077500000000001</v>
      </c>
      <c r="AX363" s="108" t="b">
        <f ca="1">AND(模拟模式!$P$10="有",AW362=0,RAND()&lt;IF(C363="净世破魔击·月",0.1*8/3,IF(C363="净世破魔击·日",0.1*4/3,0.1*2/3)))</f>
        <v>1</v>
      </c>
      <c r="AY363" s="47">
        <f ca="1">IF(AX363,(18+G363*0.722)*(1+J363)*(1-S363)*(1+$I$4)*IF(P363="会",'模拟-全程加成'!$J$3+'模拟-全程加成'!$J$4+'模拟-全程加成'!$J$5+('模拟-全程加成'!$I$4+'模拟-全程加成'!$I$5)/系数!$B$4+BG363*10%,IF(P363="命",1,IF(P363="识",0.25,0))),0)</f>
        <v>56417.884370311374</v>
      </c>
      <c r="AZ363" s="108">
        <f t="shared" si="330"/>
        <v>14.465000000000003</v>
      </c>
      <c r="BA363" s="108" t="b">
        <f>AND(模拟模式!$Q$10="有",AZ362=0)</f>
        <v>0</v>
      </c>
      <c r="BB363" s="140">
        <f>IF(BA363,(0+G363*0.287)*(1+J363)*(1-S363)*(1+$I$4)*IF(P363="会",'模拟-全程加成'!$J$3+'模拟-全程加成'!$J$4+'模拟-全程加成'!$J$5+('模拟-全程加成'!$I$4+'模拟-全程加成'!$I$5)/系数!$B$4+BG363*10%,IF(P363="命",1,IF(P363="识",0.25,0))),0)</f>
        <v>0</v>
      </c>
      <c r="BC363" s="115" t="b">
        <f ca="1">AND(模拟模式!$R$7="伏明众生",E363=60,F363=20,DA363&lt;5,CZ362&lt;$F$4)</f>
        <v>0</v>
      </c>
      <c r="BD363" s="115">
        <f t="shared" ca="1" si="292"/>
        <v>0</v>
      </c>
      <c r="BE363" s="115" t="b">
        <f t="shared" ca="1" si="293"/>
        <v>0</v>
      </c>
      <c r="BF363" s="47">
        <f ca="1">IF(BC363,4*('模拟-单技能数据'!$D$24+G363*'模拟-单技能数据'!$F$24)*(1+J363)*(1+'模拟-单技能数据'!$J$24)*(1-S363)*(1+$I$3)*(('模拟-全程加成'!$J$3+'模拟-全程加成'!$J$4+'模拟-全程加成'!$J$5+('模拟-全程加成'!$I$4+'模拟-全程加成'!$I$5)/系数!$B$4+BG363*10%)*('模拟-全程加成'!$J$3+'模拟-全程加成'!$J$4+'模拟-全程加成'!$J$5+('模拟-全程加成'!$I$4+'模拟-全程加成'!$I$5)/系数!$B$4+BG363*10%)+(1-('模拟-全程加成'!$J$3+'模拟-全程加成'!$J$4+'模拟-全程加成'!$J$5+('模拟-全程加成'!$I$4+'模拟-全程加成'!$I$5)/系数!$B$4+BG363*10%)-$F$10-$F$11)+F349*0.25),0)*'模拟-单技能数据'!$I$24</f>
        <v>0</v>
      </c>
      <c r="BG363" s="115" t="b">
        <f ca="1">OR(AND(OR(C363="烈日斩",C363="银月斩"),模拟模式!$I$7="净身明礼"),AND(C363="净世破魔击·日",模拟模式!$J$7="洞若观火"),AND(C364="净世破魔击·月",模拟模式!$J$7="洞若观火"),AB363=1)</f>
        <v>1</v>
      </c>
      <c r="BH363" s="115" t="b">
        <f t="shared" ca="1" si="331"/>
        <v>0</v>
      </c>
      <c r="BI363" s="115">
        <f t="shared" ca="1" si="294"/>
        <v>4.1549999999999994</v>
      </c>
      <c r="BJ363" s="115" t="b">
        <f t="shared" ca="1" si="305"/>
        <v>1</v>
      </c>
      <c r="BK363" s="115" t="b">
        <f ca="1">AND(C363="驱夜断愁",模拟模式!$P$7="天地诛戮")</f>
        <v>0</v>
      </c>
      <c r="BL363" s="57">
        <f t="shared" ca="1" si="295"/>
        <v>19.077500000000001</v>
      </c>
      <c r="BM363" s="115" t="b">
        <f t="shared" ca="1" si="306"/>
        <v>1</v>
      </c>
      <c r="BN363" s="115" t="b">
        <f ca="1">AND(OR(C363="赤日轮1",C363="赤日轮2",C363="赤日轮3",C363="幽月轮1",C363="幽月轮2",C363="幽月轮3"),AB363=1,模拟模式!$L$7="明光恒照")</f>
        <v>0</v>
      </c>
      <c r="BO363" s="117">
        <f t="shared" ca="1" si="296"/>
        <v>20.775000000000006</v>
      </c>
      <c r="BP363" s="115">
        <f t="shared" ca="1" si="332"/>
        <v>6</v>
      </c>
      <c r="BQ363" s="115" t="b">
        <f>模拟模式!$K$10="2600·水"</f>
        <v>0</v>
      </c>
      <c r="BR363" s="117">
        <f t="shared" si="333"/>
        <v>0</v>
      </c>
      <c r="BS363" s="115">
        <f t="shared" si="334"/>
        <v>0</v>
      </c>
      <c r="BT363" s="115">
        <f t="shared" ca="1" si="335"/>
        <v>0</v>
      </c>
      <c r="BU363" s="115" t="b">
        <f ca="1">AND(模拟模式!$K$10="2300·雷",BT362=0,RAND()&lt;IF(C363="净世破魔击·月",5*0.05*2/3,IF(C363="净世破魔击·日",3*0.05*2/3,0.05*2*2/3)))</f>
        <v>0</v>
      </c>
      <c r="BV363" s="115">
        <f t="shared" ca="1" si="336"/>
        <v>0</v>
      </c>
      <c r="BW363" s="115">
        <f t="shared" ca="1" si="337"/>
        <v>61.919999999999277</v>
      </c>
      <c r="BX363" s="164" t="b">
        <f t="shared" ca="1" si="338"/>
        <v>0</v>
      </c>
      <c r="BY363" s="115">
        <f t="shared" ca="1" si="339"/>
        <v>0</v>
      </c>
      <c r="BZ363" s="115">
        <f>IF(OR(模拟模式!$P$16="10人团",模拟模式!$P$16="25人团"),IF(B363/30&gt;CA362,1,0),0)</f>
        <v>0</v>
      </c>
      <c r="CA363" s="115">
        <f t="shared" si="315"/>
        <v>0</v>
      </c>
      <c r="CB363" s="115">
        <f ca="1">IF(BZ363=1,IF(模拟模式!$P$16="10人团",15,0)+IF(模拟模式!$P$16="25人团",IF(RAND()&lt;0.6,15,0)),MAX(0,CB362-$F$4))</f>
        <v>0</v>
      </c>
      <c r="CC363" s="115" t="b">
        <f t="shared" ca="1" si="307"/>
        <v>0</v>
      </c>
      <c r="CD363" s="115">
        <f>IF(模拟模式!$Q$16="1个",IF(B363/40&gt;CE362,1,0),0)</f>
        <v>0</v>
      </c>
      <c r="CE363" s="115">
        <f t="shared" si="308"/>
        <v>0</v>
      </c>
      <c r="CF363" s="115">
        <f>IF(OR(CD363=1,模拟模式!$Q$16="2个"),20,MAX(0,CF362-$F$4))</f>
        <v>0</v>
      </c>
      <c r="CG363" s="115" t="b">
        <f t="shared" si="309"/>
        <v>0</v>
      </c>
      <c r="CH363" s="115">
        <f t="shared" ca="1" si="340"/>
        <v>24.465000000000003</v>
      </c>
      <c r="CI363" s="115" t="b">
        <f t="shared" ca="1" si="341"/>
        <v>0</v>
      </c>
      <c r="CJ363" s="119">
        <f t="shared" ca="1" si="342"/>
        <v>0.01</v>
      </c>
      <c r="CK363" s="115">
        <f t="shared" ca="1" si="343"/>
        <v>2.464999999999999</v>
      </c>
      <c r="CL363" s="115" t="b">
        <f ca="1">AND(模拟模式!$S$7="驱夷逐法",OR(AND(C363="净世破魔击·月",E362&gt;59),AND(C363="净世破魔击·日",F362&gt;59)))</f>
        <v>0</v>
      </c>
      <c r="CM363" s="115" t="b">
        <f ca="1">OR(CL363,AND(C363="净世破魔击·日",CL362,RAND()&lt;模拟模式!$U$23))</f>
        <v>0</v>
      </c>
      <c r="CN363" s="115" t="b">
        <f ca="1">IF(模拟模式!$M$7="辉耀红尘",AND(C363="净世破魔击·月",CL363,CV363=0,E362&lt;80),AND(C363="净世破魔击·月",CL363,E362&lt;100))</f>
        <v>0</v>
      </c>
      <c r="CO363" s="115" t="b">
        <f t="shared" ca="1" si="316"/>
        <v>0</v>
      </c>
      <c r="CP363" s="115" t="b">
        <f ca="1">AND(模拟模式!$O$7="用晦而明",OR(C363="净世破魔击·日",C363="净世破魔击·月",C363="驱夜断愁"),AB363)</f>
        <v>0</v>
      </c>
      <c r="CQ363" s="115" t="b">
        <f ca="1">OR(CP363,AND(CP362,RAND()&lt;模拟模式!$U$23))</f>
        <v>1</v>
      </c>
      <c r="CR363" s="115" t="b">
        <f ca="1">AND(模拟模式!$S$7="日月齐光",OR(C363="幽月轮1",C363="幽月轮2",C363="幽月轮3",CR362),NOT(OR(C363="赤日轮1",C363="赤日轮2",C363="赤日轮3")))</f>
        <v>0</v>
      </c>
      <c r="CS363" s="115" t="b">
        <f ca="1">AND(模拟模式!$S$7="日月齐光",OR(C363="赤日轮1",C363="赤日轮2",C363="赤日轮3",CS362),NOT(OR(C363="幽月轮1",C363="幽月轮2",C363="幽月轮3")))</f>
        <v>0</v>
      </c>
      <c r="CT363" s="115">
        <f t="shared" ca="1" si="344"/>
        <v>21.697500000000005</v>
      </c>
      <c r="CU363" s="115" t="b">
        <f ca="1">AND(模拟模式!$K$10="阴阳往极",CT362=0,RAND()&lt;IF(C363="净世破魔击·月",0.0275*7/3,IF(C363="净世破魔击·日",0.0275*3/3,0.0275*2/3)))</f>
        <v>0</v>
      </c>
      <c r="CV363" s="115">
        <f t="shared" ca="1" si="345"/>
        <v>0</v>
      </c>
      <c r="CW363" s="115">
        <f t="shared" ca="1" si="317"/>
        <v>6</v>
      </c>
      <c r="CX363" s="115">
        <f t="shared" ca="1" si="318"/>
        <v>4.1549999999999994</v>
      </c>
      <c r="CY363" s="115">
        <f ca="1">MAX(IF($C363="驱夜断愁",IF(模拟模式!$R$7="万念俱寂",6,45),CY362-$F$4),0)</f>
        <v>5.0774999999999997</v>
      </c>
      <c r="CZ363" s="115">
        <f t="shared" ca="1" si="319"/>
        <v>0</v>
      </c>
      <c r="DA363" s="115">
        <f ca="1">IF(模拟模式!$N$7="日月同辉",IF(DB362=2,0,MIN(6,IF(AND(OR(C363="赤日轮1",C363="赤日轮2",C363="赤日轮3",C363="幽月轮1",C363="幽月轮2",C363="幽月轮3"),AB363=1),DA362+1,DA362))),0)</f>
        <v>0</v>
      </c>
      <c r="DB363" s="115">
        <f t="shared" ca="1" si="320"/>
        <v>0</v>
      </c>
      <c r="DC363" s="115"/>
      <c r="DD363" s="115"/>
      <c r="DE363" s="115"/>
      <c r="DF363" s="115"/>
      <c r="DG363" s="115"/>
      <c r="DH363" s="115"/>
      <c r="DI363" s="115"/>
      <c r="DJ363" s="115"/>
      <c r="DK363" s="115"/>
      <c r="DL363" s="115"/>
      <c r="DM363" s="115"/>
    </row>
    <row r="364" spans="2:117" x14ac:dyDescent="0.2">
      <c r="B364" s="117">
        <f t="shared" si="321"/>
        <v>310.88250000000261</v>
      </c>
      <c r="C364" s="167" t="str">
        <f t="shared" ca="1" si="314"/>
        <v>幽月轮1</v>
      </c>
      <c r="D364" s="115">
        <f ca="1">IF(C364="赤日轮1",1,IF(C364="赤日轮2",2,IF(C364="赤日轮3",3,IF(C364="幽月轮1",4,IF(C364="幽月轮2",5,IF(C364="幽月轮3",6,IF(C364="烈日斩",7,IF(C364="银月斩",8,IF(C364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364="净世破魔击·月",17,IF(C364="驱夜断愁",18,0)))))))))))</f>
        <v>4</v>
      </c>
      <c r="E364" s="115">
        <f ca="1">IF(AND(CU364,OR(C364="幽月轮1",C364="幽月轮2",C364="幽月轮3",C364="银月斩",C364="驱夜断愁",C364="净世破魔击·月")),100,MIN(IF(OR(CN364,BE364),0,IF(OR($C364="赤日轮1",$C364="赤日轮2",$C364="赤日轮3"),E363+20+IF(模拟模式!$I$7="日月凌天",4,0)+IF(CR363,20,0),IF($C364="烈日斩",E363+40,IF($C364="驱夜断愁",IF(模拟模式!$R$7="万念俱寂",E363+20,E363+60),IF($C364="净世破魔击·月",IF(OR(DB363&gt;0,CV363&gt;0),100,IF(模拟模式!$M$7="辉耀红尘",E363+20,E363)),IF($C364="净世破魔击·日",E363-100,E363)))))),100))</f>
        <v>80</v>
      </c>
      <c r="F364" s="115">
        <f ca="1">IF(AND(CU364,OR(C364="赤日轮1",C364="赤日轮2",C364="赤日轮3",C364="烈日斩",C364="净世破魔击·日")),100,MIN(IF(CO364,0,IF(OR($C364="幽月轮1",$C364="幽月轮2",$C364="幽月轮3"),F363+20+IF(模拟模式!$I$7="日月凌天",4,0)+IF(CS363,20,0),IF($C364="银月斩",F363+40+IF(模拟模式!$X$12=1,5,0),IF($C364="驱夜断愁",IF(模拟模式!$R$7="万念俱寂",F363+20,F363+60),IF($C364="净世破魔击·月",IF(模拟模式!$M$7="辉耀红尘",F363-80,F363-100),IF(AND(C364="净世破魔击·日",OR(DB363&gt;0,CV363&gt;0)),100,F363)))))),100))</f>
        <v>100</v>
      </c>
      <c r="G364" s="117">
        <f ca="1">('模拟-全程加成'!$E$3+'模拟-全程加成'!$E$4+'模拟-全程加成'!$E$5+('模拟-全程加成'!$C$6-'模拟-全程加成'!$C$3)*系数!$B$9+BS364*23)*(1+'模拟-全程加成'!$F$4+'模拟-全程加成'!$F$5+BJ364*10%+BM364*20%+BP364*4%+CG364*30%)+$F$7*系数!$B$12</f>
        <v>21493.829400000002</v>
      </c>
      <c r="H364" s="45">
        <f ca="1">'模拟-全程加成'!$H$3+'模拟-全程加成'!$H$4+'模拟-全程加成'!$H$5+('模拟-全程加成'!$G$4+'模拟-全程加成'!$G$5+('模拟-全程加成'!$C$6-'模拟-全程加成'!$C$3)*系数!$B$13)/系数!$B$3+LOOKUP(D364,'模拟-单技能数据'!$A$2:$A$19,'模拟-单技能数据'!$K$2:$K$19)+BG364*10%+IF(BV364&gt;0,378,0)</f>
        <v>0.51185145527300213</v>
      </c>
      <c r="I364" s="45">
        <f ca="1">'模拟-全程加成'!$J$3+'模拟-全程加成'!$J$4+'模拟-全程加成'!$J$5+('模拟-全程加成'!$I$4+'模拟-全程加成'!$I$5)/系数!$B$4+LOOKUP(D364,'模拟-单技能数据'!$A$2:$A$19,'模拟-单技能数据'!$L$2:$L$19)+BG364*10%</f>
        <v>2.162482885499879</v>
      </c>
      <c r="J364" s="45">
        <f ca="1">(('模拟-全程加成'!$K$3+'模拟-全程加成'!$K$4+'模拟-全程加成'!$K$5+('模拟-全程加成'!$C$6-'模拟-全程加成'!$C$3)*系数!$B$10+IF(BV364&gt;0,882,0)+IF(BY364&gt;0,1831,0))*(1+'模拟-全程加成'!$L$4+'模拟-全程加成'!$L$5+CC364*20%))/系数!$B$5</f>
        <v>0.69723220422048726</v>
      </c>
      <c r="K364" s="119">
        <f ca="1">LOOKUP(D364,'模拟-单技能数据'!$A$2:$A$19,'模拟-单技能数据'!$J$2:$J$19)+IF(CM364,60%,0)+IF(DB363-DB364&gt;0,30%,0)+IF(OR(AND(OR(C364="赤日轮1",C364="赤日轮2",C364="赤日轮3"),CR364),AND(OR(C364="幽月轮1",C364="幽月轮2",C364="幽月轮3"),CS364)),35%,0)+CJ364</f>
        <v>0.08</v>
      </c>
      <c r="L364" s="119">
        <f ca="1">IF(AND(C364="烈日斩",模拟模式!$X$11=1),10%,0)+IF(AND(C364="驱夜断愁",AB364=1),30%,0)</f>
        <v>0</v>
      </c>
      <c r="M364" s="45">
        <f t="shared" ca="1" si="297"/>
        <v>0.51185145527300213</v>
      </c>
      <c r="N364" s="45">
        <f t="shared" ca="1" si="298"/>
        <v>0.43424854472699792</v>
      </c>
      <c r="O364" s="46">
        <f t="shared" ca="1" si="322"/>
        <v>0.11458128611888219</v>
      </c>
      <c r="P364" s="46" t="str">
        <f t="shared" ca="1" si="323"/>
        <v>会</v>
      </c>
      <c r="Q364" s="45">
        <f t="shared" ca="1" si="324"/>
        <v>2.162482885499879</v>
      </c>
      <c r="R364" s="117">
        <f ca="1">模拟模式!$E$20*(1-IF(模拟模式!$J$19="有",0.15,0))*(1-IF(模拟模式!$K$19="有",0.3,0)-IF(CQ364,0.5,0))</f>
        <v>2950.6049999999996</v>
      </c>
      <c r="S364" s="45">
        <f ca="1">R364/(R364+(185*模拟模式!$E$22-16800)*4.08224)</f>
        <v>0.24272716014590323</v>
      </c>
      <c r="T364" s="45" t="str">
        <f ca="1">LOOKUP(D364,'模拟-单技能数据'!$A$2:$A$19,'模拟-单技能数据'!$H$2:$H$19)</f>
        <v>阴</v>
      </c>
      <c r="U364" s="119">
        <f t="shared" ca="1" si="299"/>
        <v>0.08</v>
      </c>
      <c r="V364" s="47">
        <f ca="1">(1+L364)*(LOOKUP(D364,'模拟-单技能数据'!$A$2:$A$19,'模拟-单技能数据'!$D$2:$D$19)+G364*LOOKUP(D364,'模拟-单技能数据'!$A$2:$A$19,'模拟-单技能数据'!$F$2:$F$19))*(1+J364)*(1+K364)*(1-S364)*(1+U364)*Q364*LOOKUP(D364,'模拟-单技能数据'!$A$2:$A$19,'模拟-单技能数据'!$I$2:$I$20)</f>
        <v>36973.045063028439</v>
      </c>
      <c r="W364" s="47">
        <f ca="1">LOOKUP(D364,'模拟-单技能数据'!$A$2:$A$19,'模拟-单技能数据'!$G$2:$G$19)*$I$10</f>
        <v>361.51064354704795</v>
      </c>
      <c r="X364" s="47">
        <f t="shared" ca="1" si="325"/>
        <v>0</v>
      </c>
      <c r="Y364" s="47">
        <f t="shared" ca="1" si="300"/>
        <v>37334.555706575484</v>
      </c>
      <c r="Z364" s="49">
        <f t="shared" ca="1" si="301"/>
        <v>35328569.634120494</v>
      </c>
      <c r="AA364" s="97">
        <f t="shared" ca="1" si="302"/>
        <v>113639.62151012103</v>
      </c>
      <c r="AB364" s="115">
        <f ca="1">IF(OR(C364="赤日轮1",C364="赤日轮2",C364="赤日轮3"),IF(RAND()&lt;模拟模式!$Y$17,1,0),IF(OR(C364="幽月轮1",C364="幽月轮2",C364="幽月轮3"),IF(RAND()&lt;模拟模式!$Y$18,1,0),IF(C364="烈日斩",IF(RAND()&lt;模拟模式!$Y$19,1,0),IF(C364="银月斩",IF(RAND()&lt;模拟模式!$Y$20,1,0),IF(C364="驱夜断愁",IF(RAND()&lt;模拟模式!$Y$21,1,0),IF(C364="净世破魔击·日",IF(RAND()&lt;模拟模式!$Y$22,1,0),IF(C364="净世破魔击·月",IF(RAND()&lt;模拟模式!$Y$23,1,0),0)))))))</f>
        <v>1</v>
      </c>
      <c r="AC364" s="115" t="b">
        <f t="shared" ca="1" si="290"/>
        <v>0</v>
      </c>
      <c r="AD364" s="115" t="b">
        <f t="shared" ca="1" si="310"/>
        <v>0</v>
      </c>
      <c r="AE364" s="115">
        <f t="shared" ca="1" si="311"/>
        <v>4</v>
      </c>
      <c r="AF364" s="47">
        <f ca="1">IF(AC364,('模拟-单技能数据'!$D$20+G364*'模拟-单技能数据'!$F$20)*(1+J364)*(1+'模拟-单技能数据'!$J$20)*(1+U364),0)</f>
        <v>0</v>
      </c>
      <c r="AG364" s="61">
        <f t="shared" ca="1" si="303"/>
        <v>0.64185145527300214</v>
      </c>
      <c r="AH364" s="61">
        <f t="shared" ca="1" si="304"/>
        <v>2.2624828854998791</v>
      </c>
      <c r="AI364" s="62">
        <f t="shared" ca="1" si="326"/>
        <v>0.23004537341081088</v>
      </c>
      <c r="AJ364" s="47">
        <f ca="1">IF(AD364,IF(AI364&lt;$F$10,0,IF(AI364&lt;$F$10+$F$11,0.25,IF(AI364&lt;$F$10+$F$11+AG364,AH364,1)))*IF(AF364&gt;0,AF364,IF(AF363&gt;0,AF363,IF(AF362&gt;0,AF362,IF(AF361&gt;0,AF361,IF(AF360&gt;0,AF360,IF(AF359&gt;0,AF359,IF(AF358&gt;0,AF358,IF(AF357&gt;0,AF357,IF(AF356&gt;0,AF356,IF(AF354&gt;0,AF354,IF(AF353&gt;0,AF353,IF(AF352&gt;0,AF352,0)))))))))))),0)*(1-$S364)*'模拟-单技能数据'!$I$20</f>
        <v>0</v>
      </c>
      <c r="AK364" s="115" t="b">
        <f t="shared" ca="1" si="291"/>
        <v>0</v>
      </c>
      <c r="AL364" s="115" t="b">
        <f t="shared" ca="1" si="312"/>
        <v>0</v>
      </c>
      <c r="AM364" s="115">
        <f t="shared" ca="1" si="313"/>
        <v>3</v>
      </c>
      <c r="AN364" s="47">
        <f ca="1">IF(AK364,('模拟-单技能数据'!$D$21+G364*'模拟-单技能数据'!$F$21)*(1+J364)*(1+'模拟-单技能数据'!$J$21)*(1+U364),0)</f>
        <v>0</v>
      </c>
      <c r="AO364" s="61">
        <f ca="1">IF(AN364&gt;0,M364-'模拟-单技能数据'!$K$10,AO363)</f>
        <v>0.42185145527300216</v>
      </c>
      <c r="AP364" s="61">
        <f ca="1">IF(AN364&gt;0,I364-'模拟-单技能数据'!$L$10,AP363)</f>
        <v>2.162482885499879</v>
      </c>
      <c r="AQ364" s="63">
        <f t="shared" ca="1" si="327"/>
        <v>0.41285029951419117</v>
      </c>
      <c r="AR364" s="64">
        <f ca="1">IF(AL364,IF(AQ364&lt;$F$10,0,IF(AQ364&lt;$F$10+$F$11,0.25,IF(AQ364&lt;$F$10+$F$11+AO364,AP364,1)))*IF(AN364&gt;0,AN364,IF(AN363&gt;0,AN363,IF(AN362&gt;0,AN362,IF(AN361&gt;0,AN361,IF(AN360&gt;0,AN360,IF(AN359&gt;0,AN359,IF(AN358&gt;0,AN358,IF(AN357&gt;0,AN357,IF(AN356&gt;0,AN356,IF(AN354&gt;0,AN354,IF(AN353&gt;0,AN353,IF(AN352&gt;0,AN352,0)))))))))))),0)*(1-$S364)*'模拟-单技能数据'!$I$21</f>
        <v>0</v>
      </c>
      <c r="AS364" s="61">
        <f ca="1">IF(OR(C364="净世破魔击·日",C364="净世破魔击·月"),M364-'模拟-单技能数据'!$K$10,0)</f>
        <v>0</v>
      </c>
      <c r="AT364" s="61">
        <f ca="1">IF(OR(C364="净世破魔击·日",C364="净世破魔击·月"),I364-'模拟-单技能数据'!$L$10,0)</f>
        <v>0</v>
      </c>
      <c r="AU364" s="62">
        <f t="shared" ca="1" si="328"/>
        <v>0.28453989016162851</v>
      </c>
      <c r="AV364" s="64">
        <f ca="1">IF(AS364&gt;0,('模拟-单技能数据'!$D$22+G364*'模拟-单技能数据'!$F$22)*(1+J364)*(1-S364)*IF(AU364&lt;$F$10,0,IF(AU364&lt;$F$10+$F$11,0.25,IF(AU364&lt;$F$10+$F$11+AS364,AT364,1)))*(1+U364),0)*'模拟-单技能数据'!$I$22</f>
        <v>0</v>
      </c>
      <c r="AW364" s="108">
        <f t="shared" ca="1" si="329"/>
        <v>18.155000000000001</v>
      </c>
      <c r="AX364" s="108" t="b">
        <f ca="1">AND(模拟模式!$P$10="有",AW363=0,RAND()&lt;IF(C364="净世破魔击·月",0.1*8/3,IF(C364="净世破魔击·日",0.1*4/3,0.1*2/3)))</f>
        <v>0</v>
      </c>
      <c r="AY364" s="47">
        <f ca="1">IF(AX364,(18+G364*0.722)*(1+J364)*(1-S364)*(1+$I$4)*IF(P364="会",'模拟-全程加成'!$J$3+'模拟-全程加成'!$J$4+'模拟-全程加成'!$J$5+('模拟-全程加成'!$I$4+'模拟-全程加成'!$I$5)/系数!$B$4+BG364*10%,IF(P364="命",1,IF(P364="识",0.25,0))),0)</f>
        <v>0</v>
      </c>
      <c r="AZ364" s="108">
        <f t="shared" si="330"/>
        <v>13.542500000000004</v>
      </c>
      <c r="BA364" s="108" t="b">
        <f>AND(模拟模式!$Q$10="有",AZ363=0)</f>
        <v>0</v>
      </c>
      <c r="BB364" s="140">
        <f>IF(BA364,(0+G364*0.287)*(1+J364)*(1-S364)*(1+$I$4)*IF(P364="会",'模拟-全程加成'!$J$3+'模拟-全程加成'!$J$4+'模拟-全程加成'!$J$5+('模拟-全程加成'!$I$4+'模拟-全程加成'!$I$5)/系数!$B$4+BG364*10%,IF(P364="命",1,IF(P364="识",0.25,0))),0)</f>
        <v>0</v>
      </c>
      <c r="BC364" s="115" t="b">
        <f ca="1">AND(模拟模式!$R$7="伏明众生",E364=60,F364=20,DA364&lt;5,CZ363&lt;$F$4)</f>
        <v>0</v>
      </c>
      <c r="BD364" s="115">
        <f t="shared" ca="1" si="292"/>
        <v>0</v>
      </c>
      <c r="BE364" s="115" t="b">
        <f t="shared" ca="1" si="293"/>
        <v>0</v>
      </c>
      <c r="BF364" s="47">
        <f ca="1">IF(BC364,4*('模拟-单技能数据'!$D$24+G364*'模拟-单技能数据'!$F$24)*(1+J364)*(1+'模拟-单技能数据'!$J$24)*(1-S364)*(1+$I$3)*(('模拟-全程加成'!$J$3+'模拟-全程加成'!$J$4+'模拟-全程加成'!$J$5+('模拟-全程加成'!$I$4+'模拟-全程加成'!$I$5)/系数!$B$4+BG364*10%)*('模拟-全程加成'!$J$3+'模拟-全程加成'!$J$4+'模拟-全程加成'!$J$5+('模拟-全程加成'!$I$4+'模拟-全程加成'!$I$5)/系数!$B$4+BG364*10%)+(1-('模拟-全程加成'!$J$3+'模拟-全程加成'!$J$4+'模拟-全程加成'!$J$5+('模拟-全程加成'!$I$4+'模拟-全程加成'!$I$5)/系数!$B$4+BG364*10%)-$F$10-$F$11)+F350*0.25),0)*'模拟-单技能数据'!$I$24</f>
        <v>0</v>
      </c>
      <c r="BG364" s="115" t="b">
        <f ca="1">OR(AND(OR(C364="烈日斩",C364="银月斩"),模拟模式!$I$7="净身明礼"),AND(C364="净世破魔击·日",模拟模式!$J$7="洞若观火"),AND(C365="净世破魔击·月",模拟模式!$J$7="洞若观火"),AB364=1)</f>
        <v>1</v>
      </c>
      <c r="BH364" s="115" t="b">
        <f t="shared" ca="1" si="331"/>
        <v>1</v>
      </c>
      <c r="BI364" s="115">
        <f t="shared" ca="1" si="294"/>
        <v>6</v>
      </c>
      <c r="BJ364" s="115" t="b">
        <f t="shared" ca="1" si="305"/>
        <v>1</v>
      </c>
      <c r="BK364" s="115" t="b">
        <f ca="1">AND(C364="驱夜断愁",模拟模式!$P$7="天地诛戮")</f>
        <v>0</v>
      </c>
      <c r="BL364" s="57">
        <f t="shared" ca="1" si="295"/>
        <v>18.155000000000001</v>
      </c>
      <c r="BM364" s="115" t="b">
        <f t="shared" ca="1" si="306"/>
        <v>1</v>
      </c>
      <c r="BN364" s="115" t="b">
        <f ca="1">AND(OR(C364="赤日轮1",C364="赤日轮2",C364="赤日轮3",C364="幽月轮1",C364="幽月轮2",C364="幽月轮3"),AB364=1,模拟模式!$L$7="明光恒照")</f>
        <v>1</v>
      </c>
      <c r="BO364" s="117">
        <f t="shared" ca="1" si="296"/>
        <v>30</v>
      </c>
      <c r="BP364" s="115">
        <f t="shared" ca="1" si="332"/>
        <v>6</v>
      </c>
      <c r="BQ364" s="115" t="b">
        <f>模拟模式!$K$10="2600·水"</f>
        <v>0</v>
      </c>
      <c r="BR364" s="117">
        <f t="shared" si="333"/>
        <v>0</v>
      </c>
      <c r="BS364" s="115">
        <f t="shared" si="334"/>
        <v>0</v>
      </c>
      <c r="BT364" s="115">
        <f t="shared" ca="1" si="335"/>
        <v>0</v>
      </c>
      <c r="BU364" s="115" t="b">
        <f ca="1">AND(模拟模式!$K$10="2300·雷",BT363=0,RAND()&lt;IF(C364="净世破魔击·月",5*0.05*2/3,IF(C364="净世破魔击·日",3*0.05*2/3,0.05*2*2/3)))</f>
        <v>0</v>
      </c>
      <c r="BV364" s="115">
        <f t="shared" ca="1" si="336"/>
        <v>0</v>
      </c>
      <c r="BW364" s="115">
        <f t="shared" ca="1" si="337"/>
        <v>60.997499999999278</v>
      </c>
      <c r="BX364" s="164" t="b">
        <f t="shared" ca="1" si="338"/>
        <v>0</v>
      </c>
      <c r="BY364" s="115">
        <f t="shared" ca="1" si="339"/>
        <v>0</v>
      </c>
      <c r="BZ364" s="115">
        <f>IF(OR(模拟模式!$P$16="10人团",模拟模式!$P$16="25人团"),IF(B364/30&gt;CA363,1,0),0)</f>
        <v>0</v>
      </c>
      <c r="CA364" s="115">
        <f t="shared" si="315"/>
        <v>0</v>
      </c>
      <c r="CB364" s="115">
        <f ca="1">IF(BZ364=1,IF(模拟模式!$P$16="10人团",15,0)+IF(模拟模式!$P$16="25人团",IF(RAND()&lt;0.6,15,0)),MAX(0,CB363-$F$4))</f>
        <v>0</v>
      </c>
      <c r="CC364" s="115" t="b">
        <f t="shared" ca="1" si="307"/>
        <v>0</v>
      </c>
      <c r="CD364" s="115">
        <f>IF(模拟模式!$Q$16="1个",IF(B364/40&gt;CE363,1,0),0)</f>
        <v>0</v>
      </c>
      <c r="CE364" s="115">
        <f t="shared" si="308"/>
        <v>0</v>
      </c>
      <c r="CF364" s="115">
        <f>IF(OR(CD364=1,模拟模式!$Q$16="2个"),20,MAX(0,CF363-$F$4))</f>
        <v>0</v>
      </c>
      <c r="CG364" s="115" t="b">
        <f t="shared" si="309"/>
        <v>0</v>
      </c>
      <c r="CH364" s="115">
        <f t="shared" ca="1" si="340"/>
        <v>23.542500000000004</v>
      </c>
      <c r="CI364" s="115" t="b">
        <f t="shared" ca="1" si="341"/>
        <v>0</v>
      </c>
      <c r="CJ364" s="119">
        <f t="shared" ca="1" si="342"/>
        <v>0.01</v>
      </c>
      <c r="CK364" s="115">
        <f t="shared" ca="1" si="343"/>
        <v>1.5424999999999991</v>
      </c>
      <c r="CL364" s="115" t="b">
        <f ca="1">AND(模拟模式!$S$7="驱夷逐法",OR(AND(C364="净世破魔击·月",E363&gt;59),AND(C364="净世破魔击·日",F363&gt;59)))</f>
        <v>0</v>
      </c>
      <c r="CM364" s="115" t="b">
        <f ca="1">OR(CL364,AND(C364="净世破魔击·日",CL363,RAND()&lt;模拟模式!$U$23))</f>
        <v>0</v>
      </c>
      <c r="CN364" s="115" t="b">
        <f ca="1">IF(模拟模式!$M$7="辉耀红尘",AND(C364="净世破魔击·月",CL364,CV364=0,E363&lt;80),AND(C364="净世破魔击·月",CL364,E363&lt;100))</f>
        <v>0</v>
      </c>
      <c r="CO364" s="115" t="b">
        <f t="shared" ca="1" si="316"/>
        <v>0</v>
      </c>
      <c r="CP364" s="115" t="b">
        <f ca="1">AND(模拟模式!$O$7="用晦而明",OR(C364="净世破魔击·日",C364="净世破魔击·月",C364="驱夜断愁"),AB364)</f>
        <v>0</v>
      </c>
      <c r="CQ364" s="115" t="b">
        <f ca="1">OR(CP364,AND(CP363,RAND()&lt;模拟模式!$U$23))</f>
        <v>0</v>
      </c>
      <c r="CR364" s="115" t="b">
        <f ca="1">AND(模拟模式!$S$7="日月齐光",OR(C364="幽月轮1",C364="幽月轮2",C364="幽月轮3",CR363),NOT(OR(C364="赤日轮1",C364="赤日轮2",C364="赤日轮3")))</f>
        <v>0</v>
      </c>
      <c r="CS364" s="115" t="b">
        <f ca="1">AND(模拟模式!$S$7="日月齐光",OR(C364="赤日轮1",C364="赤日轮2",C364="赤日轮3",CS363),NOT(OR(C364="幽月轮1",C364="幽月轮2",C364="幽月轮3")))</f>
        <v>0</v>
      </c>
      <c r="CT364" s="115">
        <f t="shared" ca="1" si="344"/>
        <v>20.775000000000006</v>
      </c>
      <c r="CU364" s="115" t="b">
        <f ca="1">AND(模拟模式!$K$10="阴阳往极",CT363=0,RAND()&lt;IF(C364="净世破魔击·月",0.0275*7/3,IF(C364="净世破魔击·日",0.0275*3/3,0.0275*2/3)))</f>
        <v>0</v>
      </c>
      <c r="CV364" s="115">
        <f t="shared" ca="1" si="345"/>
        <v>0</v>
      </c>
      <c r="CW364" s="115">
        <f t="shared" ca="1" si="317"/>
        <v>5.0774999999999997</v>
      </c>
      <c r="CX364" s="115">
        <f t="shared" ca="1" si="318"/>
        <v>3.2324999999999995</v>
      </c>
      <c r="CY364" s="115">
        <f ca="1">MAX(IF($C364="驱夜断愁",IF(模拟模式!$R$7="万念俱寂",6,45),CY363-$F$4),0)</f>
        <v>4.1549999999999994</v>
      </c>
      <c r="CZ364" s="115">
        <f t="shared" ca="1" si="319"/>
        <v>0</v>
      </c>
      <c r="DA364" s="115">
        <f ca="1">IF(模拟模式!$N$7="日月同辉",IF(DB363=2,0,MIN(6,IF(AND(OR(C364="赤日轮1",C364="赤日轮2",C364="赤日轮3",C364="幽月轮1",C364="幽月轮2",C364="幽月轮3"),AB364=1),DA363+1,DA363))),0)</f>
        <v>1</v>
      </c>
      <c r="DB364" s="115">
        <f t="shared" ca="1" si="320"/>
        <v>0</v>
      </c>
      <c r="DC364" s="115"/>
      <c r="DD364" s="115"/>
      <c r="DE364" s="115"/>
      <c r="DF364" s="115"/>
      <c r="DG364" s="115"/>
      <c r="DH364" s="115"/>
      <c r="DI364" s="115"/>
      <c r="DJ364" s="115"/>
      <c r="DK364" s="115"/>
      <c r="DL364" s="115"/>
      <c r="DM364" s="115"/>
    </row>
    <row r="365" spans="2:117" x14ac:dyDescent="0.2">
      <c r="B365" s="117">
        <f t="shared" si="321"/>
        <v>311.80500000000262</v>
      </c>
      <c r="C365" s="167" t="str">
        <f t="shared" ca="1" si="314"/>
        <v>净世破魔击·月</v>
      </c>
      <c r="D365" s="115">
        <f ca="1">IF(C365="赤日轮1",1,IF(C365="赤日轮2",2,IF(C365="赤日轮3",3,IF(C365="幽月轮1",4,IF(C365="幽月轮2",5,IF(C365="幽月轮3",6,IF(C365="烈日斩",7,IF(C365="银月斩",8,IF(C365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365="净世破魔击·月",17,IF(C365="驱夜断愁",18,0)))))))))))</f>
        <v>17</v>
      </c>
      <c r="E365" s="115">
        <f ca="1">IF(AND(CU365,OR(C365="幽月轮1",C365="幽月轮2",C365="幽月轮3",C365="银月斩",C365="驱夜断愁",C365="净世破魔击·月")),100,MIN(IF(OR(CN365,BE365),0,IF(OR($C365="赤日轮1",$C365="赤日轮2",$C365="赤日轮3"),E364+20+IF(模拟模式!$I$7="日月凌天",4,0)+IF(CR364,20,0),IF($C365="烈日斩",E364+40,IF($C365="驱夜断愁",IF(模拟模式!$R$7="万念俱寂",E364+20,E364+60),IF($C365="净世破魔击·月",IF(OR(DB364&gt;0,CV364&gt;0),100,IF(模拟模式!$M$7="辉耀红尘",E364+20,E364)),IF($C365="净世破魔击·日",E364-100,E364)))))),100))</f>
        <v>100</v>
      </c>
      <c r="F365" s="115">
        <f ca="1">IF(AND(CU365,OR(C365="赤日轮1",C365="赤日轮2",C365="赤日轮3",C365="烈日斩",C365="净世破魔击·日")),100,MIN(IF(CO365,0,IF(OR($C365="幽月轮1",$C365="幽月轮2",$C365="幽月轮3"),F364+20+IF(模拟模式!$I$7="日月凌天",4,0)+IF(CS364,20,0),IF($C365="银月斩",F364+40+IF(模拟模式!$X$12=1,5,0),IF($C365="驱夜断愁",IF(模拟模式!$R$7="万念俱寂",F364+20,F364+60),IF($C365="净世破魔击·月",IF(模拟模式!$M$7="辉耀红尘",F364-80,F364-100),IF(AND(C365="净世破魔击·日",OR(DB364&gt;0,CV364&gt;0)),100,F364)))))),100))</f>
        <v>20</v>
      </c>
      <c r="G365" s="117">
        <f ca="1">('模拟-全程加成'!$E$3+'模拟-全程加成'!$E$4+'模拟-全程加成'!$E$5+('模拟-全程加成'!$C$6-'模拟-全程加成'!$C$3)*系数!$B$9+BS365*23)*(1+'模拟-全程加成'!$F$4+'模拟-全程加成'!$F$5+BJ365*10%+BM365*20%+BP365*4%+CG365*30%)+$F$7*系数!$B$12</f>
        <v>21493.829400000002</v>
      </c>
      <c r="H365" s="45">
        <f ca="1">'模拟-全程加成'!$H$3+'模拟-全程加成'!$H$4+'模拟-全程加成'!$H$5+('模拟-全程加成'!$G$4+'模拟-全程加成'!$G$5+('模拟-全程加成'!$C$6-'模拟-全程加成'!$C$3)*系数!$B$13)/系数!$B$3+LOOKUP(D365,'模拟-单技能数据'!$A$2:$A$19,'模拟-单技能数据'!$K$2:$K$19)+BG365*10%+IF(BV365&gt;0,378,0)</f>
        <v>0.54185145527300216</v>
      </c>
      <c r="I365" s="45">
        <f ca="1">'模拟-全程加成'!$J$3+'模拟-全程加成'!$J$4+'模拟-全程加成'!$J$5+('模拟-全程加成'!$I$4+'模拟-全程加成'!$I$5)/系数!$B$4+LOOKUP(D365,'模拟-单技能数据'!$A$2:$A$19,'模拟-单技能数据'!$L$2:$L$19)+BG365*10%</f>
        <v>2.162482885499879</v>
      </c>
      <c r="J365" s="45">
        <f ca="1">(('模拟-全程加成'!$K$3+'模拟-全程加成'!$K$4+'模拟-全程加成'!$K$5+('模拟-全程加成'!$C$6-'模拟-全程加成'!$C$3)*系数!$B$10+IF(BV365&gt;0,882,0)+IF(BY365&gt;0,1831,0))*(1+'模拟-全程加成'!$L$4+'模拟-全程加成'!$L$5+CC365*20%))/系数!$B$5</f>
        <v>0.69723220422048726</v>
      </c>
      <c r="K365" s="119">
        <f ca="1">LOOKUP(D365,'模拟-单技能数据'!$A$2:$A$19,'模拟-单技能数据'!$J$2:$J$19)+IF(CM365,60%,0)+IF(DB364-DB365&gt;0,30%,0)+IF(OR(AND(OR(C365="赤日轮1",C365="赤日轮2",C365="赤日轮3"),CR365),AND(OR(C365="幽月轮1",C365="幽月轮2",C365="幽月轮3"),CS365)),35%,0)+CJ365</f>
        <v>0.81</v>
      </c>
      <c r="L365" s="119">
        <f ca="1">IF(AND(C365="烈日斩",模拟模式!$X$11=1),10%,0)+IF(AND(C365="驱夜断愁",AB365=1),30%,0)</f>
        <v>0</v>
      </c>
      <c r="M365" s="45">
        <f t="shared" ca="1" si="297"/>
        <v>0.54185145527300216</v>
      </c>
      <c r="N365" s="45">
        <f t="shared" ca="1" si="298"/>
        <v>0.40424854472699789</v>
      </c>
      <c r="O365" s="46">
        <f t="shared" ca="1" si="322"/>
        <v>0.78432113480416421</v>
      </c>
      <c r="P365" s="46" t="str">
        <f t="shared" ca="1" si="323"/>
        <v>命</v>
      </c>
      <c r="Q365" s="45">
        <f t="shared" ca="1" si="324"/>
        <v>1</v>
      </c>
      <c r="R365" s="117">
        <f ca="1">模拟模式!$E$20*(1-IF(模拟模式!$J$19="有",0.15,0))*(1-IF(模拟模式!$K$19="有",0.3,0)-IF(CQ365,0.5,0))</f>
        <v>843.02999999999975</v>
      </c>
      <c r="S365" s="45">
        <f ca="1">R365/(R365+(185*模拟模式!$E$22-16800)*4.08224)</f>
        <v>8.389626085980037E-2</v>
      </c>
      <c r="T365" s="45" t="str">
        <f ca="1">LOOKUP(D365,'模拟-单技能数据'!$A$2:$A$19,'模拟-单技能数据'!$H$2:$H$19)</f>
        <v>阴</v>
      </c>
      <c r="U365" s="119">
        <f t="shared" ca="1" si="299"/>
        <v>0.08</v>
      </c>
      <c r="V365" s="47">
        <f ca="1">(1+L365)*(LOOKUP(D365,'模拟-单技能数据'!$A$2:$A$19,'模拟-单技能数据'!$D$2:$D$19)+G365*LOOKUP(D365,'模拟-单技能数据'!$A$2:$A$19,'模拟-单技能数据'!$F$2:$F$19))*(1+J365)*(1+K365)*(1-S365)*(1+U365)*Q365*LOOKUP(D365,'模拟-单技能数据'!$A$2:$A$19,'模拟-单技能数据'!$I$2:$I$20)</f>
        <v>84881.753397872701</v>
      </c>
      <c r="W365" s="47">
        <f ca="1">LOOKUP(D365,'模拟-单技能数据'!$A$2:$A$19,'模拟-单技能数据'!$G$2:$G$19)*$I$10</f>
        <v>361.51064354704795</v>
      </c>
      <c r="X365" s="47">
        <f t="shared" ca="1" si="325"/>
        <v>41616.117049573506</v>
      </c>
      <c r="Y365" s="47">
        <f t="shared" ca="1" si="300"/>
        <v>126859.38109099327</v>
      </c>
      <c r="Z365" s="49">
        <f t="shared" ca="1" si="301"/>
        <v>35455429.015211485</v>
      </c>
      <c r="AA365" s="97">
        <f t="shared" ca="1" si="302"/>
        <v>113710.26447687237</v>
      </c>
      <c r="AB365" s="115">
        <f ca="1">IF(OR(C365="赤日轮1",C365="赤日轮2",C365="赤日轮3"),IF(RAND()&lt;模拟模式!$Y$17,1,0),IF(OR(C365="幽月轮1",C365="幽月轮2",C365="幽月轮3"),IF(RAND()&lt;模拟模式!$Y$18,1,0),IF(C365="烈日斩",IF(RAND()&lt;模拟模式!$Y$19,1,0),IF(C365="银月斩",IF(RAND()&lt;模拟模式!$Y$20,1,0),IF(C365="驱夜断愁",IF(RAND()&lt;模拟模式!$Y$21,1,0),IF(C365="净世破魔击·日",IF(RAND()&lt;模拟模式!$Y$22,1,0),IF(C365="净世破魔击·月",IF(RAND()&lt;模拟模式!$Y$23,1,0),0)))))))</f>
        <v>1</v>
      </c>
      <c r="AC365" s="115" t="b">
        <f t="shared" ca="1" si="290"/>
        <v>0</v>
      </c>
      <c r="AD365" s="115" t="b">
        <f t="shared" ca="1" si="310"/>
        <v>1</v>
      </c>
      <c r="AE365" s="115">
        <f t="shared" ca="1" si="311"/>
        <v>3</v>
      </c>
      <c r="AF365" s="47">
        <f ca="1">IF(AC365,('模拟-单技能数据'!$D$20+G365*'模拟-单技能数据'!$F$20)*(1+J365)*(1+'模拟-单技能数据'!$J$20)*(1+U365),0)</f>
        <v>0</v>
      </c>
      <c r="AG365" s="61">
        <f t="shared" ca="1" si="303"/>
        <v>0.64185145527300214</v>
      </c>
      <c r="AH365" s="61">
        <f t="shared" ca="1" si="304"/>
        <v>2.2624828854998791</v>
      </c>
      <c r="AI365" s="62">
        <f t="shared" ca="1" si="326"/>
        <v>0.66579908013999678</v>
      </c>
      <c r="AJ365" s="47">
        <f ca="1">IF(AD365,IF(AI365&lt;$F$10,0,IF(AI365&lt;$F$10+$F$11,0.25,IF(AI365&lt;$F$10+$F$11+AG365,AH365,1)))*IF(AF365&gt;0,AF365,IF(AF364&gt;0,AF364,IF(AF363&gt;0,AF363,IF(AF362&gt;0,AF362,IF(AF361&gt;0,AF361,IF(AF360&gt;0,AF360,IF(AF359&gt;0,AF359,IF(AF358&gt;0,AF358,IF(AF357&gt;0,AF357,IF(AF355&gt;0,AF355,IF(AF354&gt;0,AF354,IF(AF353&gt;0,AF353,0)))))))))))),0)*(1-$S365)*'模拟-单技能数据'!$I$20</f>
        <v>9616.6571145767884</v>
      </c>
      <c r="AK365" s="115" t="b">
        <f t="shared" ca="1" si="291"/>
        <v>0</v>
      </c>
      <c r="AL365" s="115" t="b">
        <f t="shared" ca="1" si="312"/>
        <v>1</v>
      </c>
      <c r="AM365" s="115">
        <f t="shared" ca="1" si="313"/>
        <v>2</v>
      </c>
      <c r="AN365" s="47">
        <f ca="1">IF(AK365,('模拟-单技能数据'!$D$21+G365*'模拟-单技能数据'!$F$21)*(1+J365)*(1+'模拟-单技能数据'!$J$21)*(1+U365),0)</f>
        <v>0</v>
      </c>
      <c r="AO365" s="61">
        <f ca="1">IF(AN365&gt;0,M365-'模拟-单技能数据'!$K$10,AO364)</f>
        <v>0.42185145527300216</v>
      </c>
      <c r="AP365" s="61">
        <f ca="1">IF(AN365&gt;0,I365-'模拟-单技能数据'!$L$10,AP364)</f>
        <v>2.162482885499879</v>
      </c>
      <c r="AQ365" s="63">
        <f t="shared" ca="1" si="327"/>
        <v>0.24623115813340357</v>
      </c>
      <c r="AR365" s="64">
        <f ca="1">IF(AL365,IF(AQ365&lt;$F$10,0,IF(AQ365&lt;$F$10+$F$11,0.25,IF(AQ365&lt;$F$10+$F$11+AO365,AP365,1)))*IF(AN365&gt;0,AN365,IF(AN364&gt;0,AN364,IF(AN363&gt;0,AN363,IF(AN362&gt;0,AN362,IF(AN361&gt;0,AN361,IF(AN360&gt;0,AN360,IF(AN359&gt;0,AN359,IF(AN358&gt;0,AN358,IF(AN357&gt;0,AN357,IF(AN355&gt;0,AN355,IF(AN354&gt;0,AN354,IF(AN353&gt;0,AN353,0)))))))))))),0)*(1-$S365)*'模拟-单技能数据'!$I$21</f>
        <v>24043.249177625272</v>
      </c>
      <c r="AS365" s="61">
        <f ca="1">IF(OR(C365="净世破魔击·日",C365="净世破魔击·月"),M365-'模拟-单技能数据'!$K$10,0)</f>
        <v>0.42185145527300216</v>
      </c>
      <c r="AT365" s="61">
        <f ca="1">IF(OR(C365="净世破魔击·日",C365="净世破魔击·月"),I365-'模拟-单技能数据'!$L$10,0)</f>
        <v>2.162482885499879</v>
      </c>
      <c r="AU365" s="62">
        <f t="shared" ca="1" si="328"/>
        <v>0.74623322135421366</v>
      </c>
      <c r="AV365" s="64">
        <f ca="1">IF(AS365&gt;0,('模拟-单技能数据'!$D$22+G365*'模拟-单技能数据'!$F$22)*(1+J365)*(1-S365)*IF(AU365&lt;$F$10,0,IF(AU365&lt;$F$10+$F$11,0.25,IF(AU365&lt;$F$10+$F$11+AS365,AT365,1)))*(1+U365),0)*'模拟-单技能数据'!$I$22</f>
        <v>7956.2107573714466</v>
      </c>
      <c r="AW365" s="108">
        <f t="shared" ca="1" si="329"/>
        <v>17.232500000000002</v>
      </c>
      <c r="AX365" s="108" t="b">
        <f ca="1">AND(模拟模式!$P$10="有",AW364=0,RAND()&lt;IF(C365="净世破魔击·月",0.1*8/3,IF(C365="净世破魔击·日",0.1*4/3,0.1*2/3)))</f>
        <v>0</v>
      </c>
      <c r="AY365" s="47">
        <f ca="1">IF(AX365,(18+G365*0.722)*(1+J365)*(1-S365)*(1+$I$4)*IF(P365="会",'模拟-全程加成'!$J$3+'模拟-全程加成'!$J$4+'模拟-全程加成'!$J$5+('模拟-全程加成'!$I$4+'模拟-全程加成'!$I$5)/系数!$B$4+BG365*10%,IF(P365="命",1,IF(P365="识",0.25,0))),0)</f>
        <v>0</v>
      </c>
      <c r="AZ365" s="108">
        <f t="shared" si="330"/>
        <v>12.620000000000005</v>
      </c>
      <c r="BA365" s="108" t="b">
        <f>AND(模拟模式!$Q$10="有",AZ364=0)</f>
        <v>0</v>
      </c>
      <c r="BB365" s="140">
        <f>IF(BA365,(0+G365*0.287)*(1+J365)*(1-S365)*(1+$I$4)*IF(P365="会",'模拟-全程加成'!$J$3+'模拟-全程加成'!$J$4+'模拟-全程加成'!$J$5+('模拟-全程加成'!$I$4+'模拟-全程加成'!$I$5)/系数!$B$4+BG365*10%,IF(P365="命",1,IF(P365="识",0.25,0))),0)</f>
        <v>0</v>
      </c>
      <c r="BC365" s="115" t="b">
        <f ca="1">AND(模拟模式!$R$7="伏明众生",E365=60,F365=20,DA365&lt;5,CZ364&lt;$F$4)</f>
        <v>0</v>
      </c>
      <c r="BD365" s="115">
        <f t="shared" ca="1" si="292"/>
        <v>0</v>
      </c>
      <c r="BE365" s="115" t="b">
        <f t="shared" ca="1" si="293"/>
        <v>0</v>
      </c>
      <c r="BF365" s="47">
        <f ca="1">IF(BC365,4*('模拟-单技能数据'!$D$24+G365*'模拟-单技能数据'!$F$24)*(1+J365)*(1+'模拟-单技能数据'!$J$24)*(1-S365)*(1+$I$3)*(('模拟-全程加成'!$J$3+'模拟-全程加成'!$J$4+'模拟-全程加成'!$J$5+('模拟-全程加成'!$I$4+'模拟-全程加成'!$I$5)/系数!$B$4+BG365*10%)*('模拟-全程加成'!$J$3+'模拟-全程加成'!$J$4+'模拟-全程加成'!$J$5+('模拟-全程加成'!$I$4+'模拟-全程加成'!$I$5)/系数!$B$4+BG365*10%)+(1-('模拟-全程加成'!$J$3+'模拟-全程加成'!$J$4+'模拟-全程加成'!$J$5+('模拟-全程加成'!$I$4+'模拟-全程加成'!$I$5)/系数!$B$4+BG365*10%)-$F$10-$F$11)+F351*0.25),0)*'模拟-单技能数据'!$I$24</f>
        <v>0</v>
      </c>
      <c r="BG365" s="115" t="b">
        <f ca="1">OR(AND(OR(C365="烈日斩",C365="银月斩"),模拟模式!$I$7="净身明礼"),AND(C365="净世破魔击·日",模拟模式!$J$7="洞若观火"),AND(C366="净世破魔击·月",模拟模式!$J$7="洞若观火"),AB365=1)</f>
        <v>1</v>
      </c>
      <c r="BH365" s="115" t="b">
        <f t="shared" ca="1" si="331"/>
        <v>0</v>
      </c>
      <c r="BI365" s="115">
        <f t="shared" ca="1" si="294"/>
        <v>5.0774999999999997</v>
      </c>
      <c r="BJ365" s="115" t="b">
        <f t="shared" ca="1" si="305"/>
        <v>1</v>
      </c>
      <c r="BK365" s="115" t="b">
        <f ca="1">AND(C365="驱夜断愁",模拟模式!$P$7="天地诛戮")</f>
        <v>0</v>
      </c>
      <c r="BL365" s="57">
        <f t="shared" ca="1" si="295"/>
        <v>17.232500000000002</v>
      </c>
      <c r="BM365" s="115" t="b">
        <f t="shared" ca="1" si="306"/>
        <v>1</v>
      </c>
      <c r="BN365" s="115" t="b">
        <f ca="1">AND(OR(C365="赤日轮1",C365="赤日轮2",C365="赤日轮3",C365="幽月轮1",C365="幽月轮2",C365="幽月轮3"),AB365=1,模拟模式!$L$7="明光恒照")</f>
        <v>0</v>
      </c>
      <c r="BO365" s="117">
        <f t="shared" ca="1" si="296"/>
        <v>29.077500000000001</v>
      </c>
      <c r="BP365" s="115">
        <f t="shared" ca="1" si="332"/>
        <v>6</v>
      </c>
      <c r="BQ365" s="115" t="b">
        <f>模拟模式!$K$10="2600·水"</f>
        <v>0</v>
      </c>
      <c r="BR365" s="117">
        <f t="shared" si="333"/>
        <v>0</v>
      </c>
      <c r="BS365" s="115">
        <f t="shared" si="334"/>
        <v>0</v>
      </c>
      <c r="BT365" s="115">
        <f t="shared" ca="1" si="335"/>
        <v>0</v>
      </c>
      <c r="BU365" s="115" t="b">
        <f ca="1">AND(模拟模式!$K$10="2300·雷",BT364=0,RAND()&lt;IF(C365="净世破魔击·月",5*0.05*2/3,IF(C365="净世破魔击·日",3*0.05*2/3,0.05*2*2/3)))</f>
        <v>0</v>
      </c>
      <c r="BV365" s="115">
        <f t="shared" ca="1" si="336"/>
        <v>0</v>
      </c>
      <c r="BW365" s="115">
        <f t="shared" ca="1" si="337"/>
        <v>60.074999999999278</v>
      </c>
      <c r="BX365" s="164" t="b">
        <f t="shared" ca="1" si="338"/>
        <v>0</v>
      </c>
      <c r="BY365" s="115">
        <f t="shared" ca="1" si="339"/>
        <v>0</v>
      </c>
      <c r="BZ365" s="115">
        <f>IF(OR(模拟模式!$P$16="10人团",模拟模式!$P$16="25人团"),IF(B365/30&gt;CA364,1,0),0)</f>
        <v>0</v>
      </c>
      <c r="CA365" s="115">
        <f t="shared" si="315"/>
        <v>0</v>
      </c>
      <c r="CB365" s="115">
        <f ca="1">IF(BZ365=1,IF(模拟模式!$P$16="10人团",15,0)+IF(模拟模式!$P$16="25人团",IF(RAND()&lt;0.6,15,0)),MAX(0,CB364-$F$4))</f>
        <v>0</v>
      </c>
      <c r="CC365" s="115" t="b">
        <f t="shared" ca="1" si="307"/>
        <v>0</v>
      </c>
      <c r="CD365" s="115">
        <f>IF(模拟模式!$Q$16="1个",IF(B365/40&gt;CE364,1,0),0)</f>
        <v>0</v>
      </c>
      <c r="CE365" s="115">
        <f t="shared" si="308"/>
        <v>0</v>
      </c>
      <c r="CF365" s="115">
        <f>IF(OR(CD365=1,模拟模式!$Q$16="2个"),20,MAX(0,CF364-$F$4))</f>
        <v>0</v>
      </c>
      <c r="CG365" s="115" t="b">
        <f t="shared" si="309"/>
        <v>0</v>
      </c>
      <c r="CH365" s="115">
        <f t="shared" ca="1" si="340"/>
        <v>22.620000000000005</v>
      </c>
      <c r="CI365" s="115" t="b">
        <f t="shared" ca="1" si="341"/>
        <v>0</v>
      </c>
      <c r="CJ365" s="119">
        <f t="shared" ca="1" si="342"/>
        <v>0.01</v>
      </c>
      <c r="CK365" s="115">
        <f t="shared" ca="1" si="343"/>
        <v>0.61999999999999911</v>
      </c>
      <c r="CL365" s="115" t="b">
        <f ca="1">AND(模拟模式!$S$7="驱夷逐法",OR(AND(C365="净世破魔击·月",E364&gt;59),AND(C365="净世破魔击·日",F364&gt;59)))</f>
        <v>1</v>
      </c>
      <c r="CM365" s="115" t="b">
        <f ca="1">OR(CL365,AND(C365="净世破魔击·日",CL364,RAND()&lt;模拟模式!$U$23))</f>
        <v>1</v>
      </c>
      <c r="CN365" s="115" t="b">
        <f ca="1">IF(模拟模式!$M$7="辉耀红尘",AND(C365="净世破魔击·月",CL365,CV365=0,E364&lt;80),AND(C365="净世破魔击·月",CL365,E364&lt;100))</f>
        <v>0</v>
      </c>
      <c r="CO365" s="115" t="b">
        <f t="shared" ca="1" si="316"/>
        <v>0</v>
      </c>
      <c r="CP365" s="115" t="b">
        <f ca="1">AND(模拟模式!$O$7="用晦而明",OR(C365="净世破魔击·日",C365="净世破魔击·月",C365="驱夜断愁"),AB365)</f>
        <v>1</v>
      </c>
      <c r="CQ365" s="115" t="b">
        <f ca="1">OR(CP365,AND(CP364,RAND()&lt;模拟模式!$U$23))</f>
        <v>1</v>
      </c>
      <c r="CR365" s="115" t="b">
        <f ca="1">AND(模拟模式!$S$7="日月齐光",OR(C365="幽月轮1",C365="幽月轮2",C365="幽月轮3",CR364),NOT(OR(C365="赤日轮1",C365="赤日轮2",C365="赤日轮3")))</f>
        <v>0</v>
      </c>
      <c r="CS365" s="115" t="b">
        <f ca="1">AND(模拟模式!$S$7="日月齐光",OR(C365="赤日轮1",C365="赤日轮2",C365="赤日轮3",CS364),NOT(OR(C365="幽月轮1",C365="幽月轮2",C365="幽月轮3")))</f>
        <v>0</v>
      </c>
      <c r="CT365" s="115">
        <f t="shared" ca="1" si="344"/>
        <v>19.852500000000006</v>
      </c>
      <c r="CU365" s="115" t="b">
        <f ca="1">AND(模拟模式!$K$10="阴阳往极",CT364=0,RAND()&lt;IF(C365="净世破魔击·月",0.0275*7/3,IF(C365="净世破魔击·日",0.0275*3/3,0.0275*2/3)))</f>
        <v>0</v>
      </c>
      <c r="CV365" s="115">
        <f t="shared" ca="1" si="345"/>
        <v>0</v>
      </c>
      <c r="CW365" s="115">
        <f t="shared" ca="1" si="317"/>
        <v>4.1549999999999994</v>
      </c>
      <c r="CX365" s="115">
        <f t="shared" ca="1" si="318"/>
        <v>2.3099999999999996</v>
      </c>
      <c r="CY365" s="115">
        <f ca="1">MAX(IF($C365="驱夜断愁",IF(模拟模式!$R$7="万念俱寂",6,45),CY364-$F$4),0)</f>
        <v>3.2324999999999995</v>
      </c>
      <c r="CZ365" s="115">
        <f t="shared" ca="1" si="319"/>
        <v>0</v>
      </c>
      <c r="DA365" s="115">
        <f ca="1">IF(模拟模式!$N$7="日月同辉",IF(DB364=2,0,MIN(6,IF(AND(OR(C365="赤日轮1",C365="赤日轮2",C365="赤日轮3",C365="幽月轮1",C365="幽月轮2",C365="幽月轮3"),AB365=1),DA364+1,DA364))),0)</f>
        <v>1</v>
      </c>
      <c r="DB365" s="115">
        <f t="shared" ca="1" si="320"/>
        <v>0</v>
      </c>
      <c r="DC365" s="115"/>
      <c r="DD365" s="115"/>
      <c r="DE365" s="115"/>
      <c r="DF365" s="115"/>
      <c r="DG365" s="115"/>
      <c r="DH365" s="115"/>
      <c r="DI365" s="115"/>
      <c r="DJ365" s="115"/>
      <c r="DK365" s="115"/>
      <c r="DL365" s="115"/>
      <c r="DM365" s="115"/>
    </row>
    <row r="366" spans="2:117" x14ac:dyDescent="0.2">
      <c r="B366" s="117">
        <f t="shared" si="321"/>
        <v>312.72750000000264</v>
      </c>
      <c r="C366" s="167" t="str">
        <f t="shared" ca="1" si="314"/>
        <v>净世破魔击·日</v>
      </c>
      <c r="D366" s="115">
        <f ca="1">IF(C366="赤日轮1",1,IF(C366="赤日轮2",2,IF(C366="赤日轮3",3,IF(C366="幽月轮1",4,IF(C366="幽月轮2",5,IF(C366="幽月轮3",6,IF(C366="烈日斩",7,IF(C366="银月斩",8,IF(C366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366="净世破魔击·月",17,IF(C366="驱夜断愁",18,0)))))))))))</f>
        <v>9</v>
      </c>
      <c r="E366" s="115">
        <f ca="1">IF(AND(CU366,OR(C366="幽月轮1",C366="幽月轮2",C366="幽月轮3",C366="银月斩",C366="驱夜断愁",C366="净世破魔击·月")),100,MIN(IF(OR(CN366,BE366),0,IF(OR($C366="赤日轮1",$C366="赤日轮2",$C366="赤日轮3"),E365+20+IF(模拟模式!$I$7="日月凌天",4,0)+IF(CR365,20,0),IF($C366="烈日斩",E365+40,IF($C366="驱夜断愁",IF(模拟模式!$R$7="万念俱寂",E365+20,E365+60),IF($C366="净世破魔击·月",IF(OR(DB365&gt;0,CV365&gt;0),100,IF(模拟模式!$M$7="辉耀红尘",E365+20,E365)),IF($C366="净世破魔击·日",E365-100,E365)))))),100))</f>
        <v>0</v>
      </c>
      <c r="F366" s="115">
        <f ca="1">IF(AND(CU366,OR(C366="赤日轮1",C366="赤日轮2",C366="赤日轮3",C366="烈日斩",C366="净世破魔击·日")),100,MIN(IF(CO366,0,IF(OR($C366="幽月轮1",$C366="幽月轮2",$C366="幽月轮3"),F365+20+IF(模拟模式!$I$7="日月凌天",4,0)+IF(CS365,20,0),IF($C366="银月斩",F365+40+IF(模拟模式!$X$12=1,5,0),IF($C366="驱夜断愁",IF(模拟模式!$R$7="万念俱寂",F365+20,F365+60),IF($C366="净世破魔击·月",IF(模拟模式!$M$7="辉耀红尘",F365-80,F365-100),IF(AND(C366="净世破魔击·日",OR(DB365&gt;0,CV365&gt;0)),100,F365)))))),100))</f>
        <v>20</v>
      </c>
      <c r="G366" s="117">
        <f ca="1">('模拟-全程加成'!$E$3+'模拟-全程加成'!$E$4+'模拟-全程加成'!$E$5+('模拟-全程加成'!$C$6-'模拟-全程加成'!$C$3)*系数!$B$9+BS366*23)*(1+'模拟-全程加成'!$F$4+'模拟-全程加成'!$F$5+BJ366*10%+BM366*20%+BP366*4%+CG366*30%)+$F$7*系数!$B$12</f>
        <v>21493.829400000002</v>
      </c>
      <c r="H366" s="45">
        <f ca="1">'模拟-全程加成'!$H$3+'模拟-全程加成'!$H$4+'模拟-全程加成'!$H$5+('模拟-全程加成'!$G$4+'模拟-全程加成'!$G$5+('模拟-全程加成'!$C$6-'模拟-全程加成'!$C$3)*系数!$B$13)/系数!$B$3+LOOKUP(D366,'模拟-单技能数据'!$A$2:$A$19,'模拟-单技能数据'!$K$2:$K$19)+BG366*10%+IF(BV366&gt;0,378,0)</f>
        <v>0.54185145527300216</v>
      </c>
      <c r="I366" s="45">
        <f ca="1">'模拟-全程加成'!$J$3+'模拟-全程加成'!$J$4+'模拟-全程加成'!$J$5+('模拟-全程加成'!$I$4+'模拟-全程加成'!$I$5)/系数!$B$4+LOOKUP(D366,'模拟-单技能数据'!$A$2:$A$19,'模拟-单技能数据'!$L$2:$L$19)+BG366*10%</f>
        <v>2.162482885499879</v>
      </c>
      <c r="J366" s="45">
        <f ca="1">(('模拟-全程加成'!$K$3+'模拟-全程加成'!$K$4+'模拟-全程加成'!$K$5+('模拟-全程加成'!$C$6-'模拟-全程加成'!$C$3)*系数!$B$10+IF(BV366&gt;0,882,0)+IF(BY366&gt;0,1831,0))*(1+'模拟-全程加成'!$L$4+'模拟-全程加成'!$L$5+CC366*20%))/系数!$B$5</f>
        <v>0.69723220422048726</v>
      </c>
      <c r="K366" s="119">
        <f ca="1">LOOKUP(D366,'模拟-单技能数据'!$A$2:$A$19,'模拟-单技能数据'!$J$2:$J$19)+IF(CM366,60%,0)+IF(DB365-DB366&gt;0,30%,0)+IF(OR(AND(OR(C366="赤日轮1",C366="赤日轮2",C366="赤日轮3"),CR366),AND(OR(C366="幽月轮1",C366="幽月轮2",C366="幽月轮3"),CS366)),35%,0)+CJ366</f>
        <v>0.8</v>
      </c>
      <c r="L366" s="119">
        <f ca="1">IF(AND(C366="烈日斩",模拟模式!$X$11=1),10%,0)+IF(AND(C366="驱夜断愁",AB366=1),30%,0)</f>
        <v>0</v>
      </c>
      <c r="M366" s="45">
        <f t="shared" ca="1" si="297"/>
        <v>0.54185145527300216</v>
      </c>
      <c r="N366" s="45">
        <f t="shared" ca="1" si="298"/>
        <v>0.40424854472699789</v>
      </c>
      <c r="O366" s="46">
        <f t="shared" ca="1" si="322"/>
        <v>0.2371838887709653</v>
      </c>
      <c r="P366" s="46" t="str">
        <f t="shared" ca="1" si="323"/>
        <v>会</v>
      </c>
      <c r="Q366" s="45">
        <f t="shared" ca="1" si="324"/>
        <v>2.162482885499879</v>
      </c>
      <c r="R366" s="117">
        <f ca="1">模拟模式!$E$20*(1-IF(模拟模式!$J$19="有",0.15,0))*(1-IF(模拟模式!$K$19="有",0.3,0)-IF(CQ366,0.5,0))</f>
        <v>843.02999999999975</v>
      </c>
      <c r="S366" s="45">
        <f ca="1">R366/(R366+(185*模拟模式!$E$22-16800)*4.08224)</f>
        <v>8.389626085980037E-2</v>
      </c>
      <c r="T366" s="45" t="str">
        <f ca="1">LOOKUP(D366,'模拟-单技能数据'!$A$2:$A$19,'模拟-单技能数据'!$H$2:$H$19)</f>
        <v>阳</v>
      </c>
      <c r="U366" s="119">
        <f t="shared" ca="1" si="299"/>
        <v>0.2</v>
      </c>
      <c r="V366" s="47">
        <f ca="1">(1+L366)*(LOOKUP(D366,'模拟-单技能数据'!$A$2:$A$19,'模拟-单技能数据'!$D$2:$D$19)+G366*LOOKUP(D366,'模拟-单技能数据'!$A$2:$A$19,'模拟-单技能数据'!$F$2:$F$19))*(1+J366)*(1+K366)*(1-S366)*(1+U366)*Q366*LOOKUP(D366,'模拟-单技能数据'!$A$2:$A$19,'模拟-单技能数据'!$I$2:$I$20)</f>
        <v>204517.60843249681</v>
      </c>
      <c r="W366" s="47">
        <f ca="1">LOOKUP(D366,'模拟-单技能数据'!$A$2:$A$19,'模拟-单技能数据'!$G$2:$G$19)*$I$10</f>
        <v>723.0212870940959</v>
      </c>
      <c r="X366" s="47">
        <f t="shared" ca="1" si="325"/>
        <v>8840.2341748571616</v>
      </c>
      <c r="Y366" s="47">
        <f t="shared" ca="1" si="300"/>
        <v>214080.86389444806</v>
      </c>
      <c r="Z366" s="49">
        <f t="shared" ca="1" si="301"/>
        <v>35669509.879105933</v>
      </c>
      <c r="AA366" s="97">
        <f t="shared" ca="1" si="302"/>
        <v>114059.39637257879</v>
      </c>
      <c r="AB366" s="115">
        <f ca="1">IF(OR(C366="赤日轮1",C366="赤日轮2",C366="赤日轮3"),IF(RAND()&lt;模拟模式!$Y$17,1,0),IF(OR(C366="幽月轮1",C366="幽月轮2",C366="幽月轮3"),IF(RAND()&lt;模拟模式!$Y$18,1,0),IF(C366="烈日斩",IF(RAND()&lt;模拟模式!$Y$19,1,0),IF(C366="银月斩",IF(RAND()&lt;模拟模式!$Y$20,1,0),IF(C366="驱夜断愁",IF(RAND()&lt;模拟模式!$Y$21,1,0),IF(C366="净世破魔击·日",IF(RAND()&lt;模拟模式!$Y$22,1,0),IF(C366="净世破魔击·月",IF(RAND()&lt;模拟模式!$Y$23,1,0),0)))))))</f>
        <v>1</v>
      </c>
      <c r="AC366" s="115" t="b">
        <f t="shared" ca="1" si="290"/>
        <v>0</v>
      </c>
      <c r="AD366" s="115" t="b">
        <f t="shared" ca="1" si="310"/>
        <v>0</v>
      </c>
      <c r="AE366" s="115">
        <f t="shared" ca="1" si="311"/>
        <v>3</v>
      </c>
      <c r="AF366" s="47">
        <f ca="1">IF(AC366,('模拟-单技能数据'!$D$20+G366*'模拟-单技能数据'!$F$20)*(1+J366)*(1+'模拟-单技能数据'!$J$20)*(1+U366),0)</f>
        <v>0</v>
      </c>
      <c r="AG366" s="61">
        <f t="shared" ca="1" si="303"/>
        <v>0.64185145527300214</v>
      </c>
      <c r="AH366" s="61">
        <f t="shared" ca="1" si="304"/>
        <v>2.2624828854998791</v>
      </c>
      <c r="AI366" s="62">
        <f t="shared" ca="1" si="326"/>
        <v>0.13860190868646849</v>
      </c>
      <c r="AJ366" s="47">
        <f ca="1">IF(AD366,IF(AI366&lt;$F$10,0,IF(AI366&lt;$F$10+$F$11,0.25,IF(AI366&lt;$F$10+$F$11+AG366,AH366,1)))*IF(AF366&gt;0,AF366,IF(AF365&gt;0,AF365,IF(AF364&gt;0,AF364,IF(AF363&gt;0,AF363,IF(AF362&gt;0,AF362,IF(AF361&gt;0,AF361,IF(AF360&gt;0,AF360,IF(AF359&gt;0,AF359,IF(AF358&gt;0,AF358,IF(AF356&gt;0,AF356,IF(AF355&gt;0,AF355,IF(AF354&gt;0,AF354,0)))))))))))),0)*(1-$S366)*'模拟-单技能数据'!$I$20</f>
        <v>0</v>
      </c>
      <c r="AK366" s="115" t="b">
        <f t="shared" ca="1" si="291"/>
        <v>1</v>
      </c>
      <c r="AL366" s="115" t="b">
        <f t="shared" ca="1" si="312"/>
        <v>0</v>
      </c>
      <c r="AM366" s="115">
        <f t="shared" ca="1" si="313"/>
        <v>6</v>
      </c>
      <c r="AN366" s="47">
        <f ca="1">IF(AK366,('模拟-单技能数据'!$D$21+G366*'模拟-单技能数据'!$F$21)*(1+J366)*(1+'模拟-单技能数据'!$J$21)*(1+U366),0)</f>
        <v>12670.936004857545</v>
      </c>
      <c r="AO366" s="61">
        <f ca="1">IF(AN366&gt;0,M366-'模拟-单技能数据'!$K$10,AO365)</f>
        <v>0.42185145527300216</v>
      </c>
      <c r="AP366" s="61">
        <f ca="1">IF(AN366&gt;0,I366-'模拟-单技能数据'!$L$10,AP365)</f>
        <v>2.162482885499879</v>
      </c>
      <c r="AQ366" s="63">
        <f t="shared" ca="1" si="327"/>
        <v>0.33354143170477646</v>
      </c>
      <c r="AR366" s="64">
        <f ca="1">IF(AL366,IF(AQ366&lt;$F$10,0,IF(AQ366&lt;$F$10+$F$11,0.25,IF(AQ366&lt;$F$10+$F$11+AO366,AP366,1)))*IF(AN366&gt;0,AN366,IF(AN365&gt;0,AN365,IF(AN364&gt;0,AN364,IF(AN363&gt;0,AN363,IF(AN362&gt;0,AN362,IF(AN361&gt;0,AN361,IF(AN360&gt;0,AN360,IF(AN359&gt;0,AN359,IF(AN358&gt;0,AN358,IF(AN356&gt;0,AN356,IF(AN355&gt;0,AN355,IF(AN354&gt;0,AN354,0)))))))))))),0)*(1-$S366)*'模拟-单技能数据'!$I$21</f>
        <v>0</v>
      </c>
      <c r="AS366" s="61">
        <f ca="1">IF(OR(C366="净世破魔击·日",C366="净世破魔击·月"),M366-'模拟-单技能数据'!$K$10,0)</f>
        <v>0.42185145527300216</v>
      </c>
      <c r="AT366" s="61">
        <f ca="1">IF(OR(C366="净世破魔击·日",C366="净世破魔击·月"),I366-'模拟-单技能数据'!$L$10,0)</f>
        <v>2.162482885499879</v>
      </c>
      <c r="AU366" s="62">
        <f t="shared" ca="1" si="328"/>
        <v>0.77422479988275106</v>
      </c>
      <c r="AV366" s="64">
        <f ca="1">IF(AS366&gt;0,('模拟-单技能数据'!$D$22+G366*'模拟-单技能数据'!$F$22)*(1+J366)*(1-S366)*IF(AU366&lt;$F$10,0,IF(AU366&lt;$F$10+$F$11,0.25,IF(AU366&lt;$F$10+$F$11+AS366,AT366,1)))*(1+U366),0)*'模拟-单技能数据'!$I$22</f>
        <v>8840.2341748571616</v>
      </c>
      <c r="AW366" s="108">
        <f t="shared" ca="1" si="329"/>
        <v>16.310000000000002</v>
      </c>
      <c r="AX366" s="108" t="b">
        <f ca="1">AND(模拟模式!$P$10="有",AW365=0,RAND()&lt;IF(C366="净世破魔击·月",0.1*8/3,IF(C366="净世破魔击·日",0.1*4/3,0.1*2/3)))</f>
        <v>0</v>
      </c>
      <c r="AY366" s="47">
        <f ca="1">IF(AX366,(18+G366*0.722)*(1+J366)*(1-S366)*(1+$I$4)*IF(P366="会",'模拟-全程加成'!$J$3+'模拟-全程加成'!$J$4+'模拟-全程加成'!$J$5+('模拟-全程加成'!$I$4+'模拟-全程加成'!$I$5)/系数!$B$4+BG366*10%,IF(P366="命",1,IF(P366="识",0.25,0))),0)</f>
        <v>0</v>
      </c>
      <c r="AZ366" s="108">
        <f t="shared" si="330"/>
        <v>11.697500000000005</v>
      </c>
      <c r="BA366" s="108" t="b">
        <f>AND(模拟模式!$Q$10="有",AZ365=0)</f>
        <v>0</v>
      </c>
      <c r="BB366" s="140">
        <f>IF(BA366,(0+G366*0.287)*(1+J366)*(1-S366)*(1+$I$4)*IF(P366="会",'模拟-全程加成'!$J$3+'模拟-全程加成'!$J$4+'模拟-全程加成'!$J$5+('模拟-全程加成'!$I$4+'模拟-全程加成'!$I$5)/系数!$B$4+BG366*10%,IF(P366="命",1,IF(P366="识",0.25,0))),0)</f>
        <v>0</v>
      </c>
      <c r="BC366" s="115" t="b">
        <f ca="1">AND(模拟模式!$R$7="伏明众生",E366=60,F366=20,DA366&lt;5,CZ365&lt;$F$4)</f>
        <v>0</v>
      </c>
      <c r="BD366" s="115">
        <f t="shared" ca="1" si="292"/>
        <v>0</v>
      </c>
      <c r="BE366" s="115" t="b">
        <f t="shared" ca="1" si="293"/>
        <v>0</v>
      </c>
      <c r="BF366" s="47">
        <f ca="1">IF(BC366,4*('模拟-单技能数据'!$D$24+G366*'模拟-单技能数据'!$F$24)*(1+J366)*(1+'模拟-单技能数据'!$J$24)*(1-S366)*(1+$I$3)*(('模拟-全程加成'!$J$3+'模拟-全程加成'!$J$4+'模拟-全程加成'!$J$5+('模拟-全程加成'!$I$4+'模拟-全程加成'!$I$5)/系数!$B$4+BG366*10%)*('模拟-全程加成'!$J$3+'模拟-全程加成'!$J$4+'模拟-全程加成'!$J$5+('模拟-全程加成'!$I$4+'模拟-全程加成'!$I$5)/系数!$B$4+BG366*10%)+(1-('模拟-全程加成'!$J$3+'模拟-全程加成'!$J$4+'模拟-全程加成'!$J$5+('模拟-全程加成'!$I$4+'模拟-全程加成'!$I$5)/系数!$B$4+BG366*10%)-$F$10-$F$11)+F352*0.25),0)*'模拟-单技能数据'!$I$24</f>
        <v>0</v>
      </c>
      <c r="BG366" s="115" t="b">
        <f ca="1">OR(AND(OR(C366="烈日斩",C366="银月斩"),模拟模式!$I$7="净身明礼"),AND(C366="净世破魔击·日",模拟模式!$J$7="洞若观火"),AND(C367="净世破魔击·月",模拟模式!$J$7="洞若观火"),AB366=1)</f>
        <v>1</v>
      </c>
      <c r="BH366" s="115" t="b">
        <f t="shared" ca="1" si="331"/>
        <v>0</v>
      </c>
      <c r="BI366" s="115">
        <f t="shared" ca="1" si="294"/>
        <v>4.1549999999999994</v>
      </c>
      <c r="BJ366" s="115" t="b">
        <f t="shared" ca="1" si="305"/>
        <v>1</v>
      </c>
      <c r="BK366" s="115" t="b">
        <f ca="1">AND(C366="驱夜断愁",模拟模式!$P$7="天地诛戮")</f>
        <v>0</v>
      </c>
      <c r="BL366" s="57">
        <f t="shared" ca="1" si="295"/>
        <v>16.310000000000002</v>
      </c>
      <c r="BM366" s="115" t="b">
        <f t="shared" ca="1" si="306"/>
        <v>1</v>
      </c>
      <c r="BN366" s="115" t="b">
        <f ca="1">AND(OR(C366="赤日轮1",C366="赤日轮2",C366="赤日轮3",C366="幽月轮1",C366="幽月轮2",C366="幽月轮3"),AB366=1,模拟模式!$L$7="明光恒照")</f>
        <v>0</v>
      </c>
      <c r="BO366" s="117">
        <f t="shared" ca="1" si="296"/>
        <v>28.155000000000001</v>
      </c>
      <c r="BP366" s="115">
        <f t="shared" ca="1" si="332"/>
        <v>6</v>
      </c>
      <c r="BQ366" s="115" t="b">
        <f>模拟模式!$K$10="2600·水"</f>
        <v>0</v>
      </c>
      <c r="BR366" s="117">
        <f t="shared" si="333"/>
        <v>0</v>
      </c>
      <c r="BS366" s="115">
        <f t="shared" si="334"/>
        <v>0</v>
      </c>
      <c r="BT366" s="115">
        <f t="shared" ca="1" si="335"/>
        <v>0</v>
      </c>
      <c r="BU366" s="115" t="b">
        <f ca="1">AND(模拟模式!$K$10="2300·雷",BT365=0,RAND()&lt;IF(C366="净世破魔击·月",5*0.05*2/3,IF(C366="净世破魔击·日",3*0.05*2/3,0.05*2*2/3)))</f>
        <v>0</v>
      </c>
      <c r="BV366" s="115">
        <f t="shared" ca="1" si="336"/>
        <v>0</v>
      </c>
      <c r="BW366" s="115">
        <f t="shared" ca="1" si="337"/>
        <v>59.152499999999279</v>
      </c>
      <c r="BX366" s="164" t="b">
        <f t="shared" ca="1" si="338"/>
        <v>0</v>
      </c>
      <c r="BY366" s="115">
        <f t="shared" ca="1" si="339"/>
        <v>0</v>
      </c>
      <c r="BZ366" s="115">
        <f>IF(OR(模拟模式!$P$16="10人团",模拟模式!$P$16="25人团"),IF(B366/30&gt;CA365,1,0),0)</f>
        <v>0</v>
      </c>
      <c r="CA366" s="115">
        <f t="shared" si="315"/>
        <v>0</v>
      </c>
      <c r="CB366" s="115">
        <f ca="1">IF(BZ366=1,IF(模拟模式!$P$16="10人团",15,0)+IF(模拟模式!$P$16="25人团",IF(RAND()&lt;0.6,15,0)),MAX(0,CB365-$F$4))</f>
        <v>0</v>
      </c>
      <c r="CC366" s="115" t="b">
        <f t="shared" ca="1" si="307"/>
        <v>0</v>
      </c>
      <c r="CD366" s="115">
        <f>IF(模拟模式!$Q$16="1个",IF(B366/40&gt;CE365,1,0),0)</f>
        <v>0</v>
      </c>
      <c r="CE366" s="115">
        <f t="shared" si="308"/>
        <v>0</v>
      </c>
      <c r="CF366" s="115">
        <f>IF(OR(CD366=1,模拟模式!$Q$16="2个"),20,MAX(0,CF365-$F$4))</f>
        <v>0</v>
      </c>
      <c r="CG366" s="115" t="b">
        <f t="shared" si="309"/>
        <v>0</v>
      </c>
      <c r="CH366" s="115">
        <f t="shared" ca="1" si="340"/>
        <v>21.697500000000005</v>
      </c>
      <c r="CI366" s="115" t="b">
        <f t="shared" ca="1" si="341"/>
        <v>0</v>
      </c>
      <c r="CJ366" s="119">
        <f t="shared" ca="1" si="342"/>
        <v>0</v>
      </c>
      <c r="CK366" s="115">
        <f t="shared" ca="1" si="343"/>
        <v>0</v>
      </c>
      <c r="CL366" s="115" t="b">
        <f ca="1">AND(模拟模式!$S$7="驱夷逐法",OR(AND(C366="净世破魔击·月",E365&gt;59),AND(C366="净世破魔击·日",F365&gt;59)))</f>
        <v>0</v>
      </c>
      <c r="CM366" s="115" t="b">
        <f ca="1">OR(CL366,AND(C366="净世破魔击·日",CL365,RAND()&lt;模拟模式!$U$23))</f>
        <v>1</v>
      </c>
      <c r="CN366" s="115" t="b">
        <f ca="1">IF(模拟模式!$M$7="辉耀红尘",AND(C366="净世破魔击·月",CL366,CV366=0,E365&lt;80),AND(C366="净世破魔击·月",CL366,E365&lt;100))</f>
        <v>0</v>
      </c>
      <c r="CO366" s="115" t="b">
        <f t="shared" ca="1" si="316"/>
        <v>0</v>
      </c>
      <c r="CP366" s="115" t="b">
        <f ca="1">AND(模拟模式!$O$7="用晦而明",OR(C366="净世破魔击·日",C366="净世破魔击·月",C366="驱夜断愁"),AB366)</f>
        <v>1</v>
      </c>
      <c r="CQ366" s="115" t="b">
        <f ca="1">OR(CP366,AND(CP365,RAND()&lt;模拟模式!$U$23))</f>
        <v>1</v>
      </c>
      <c r="CR366" s="115" t="b">
        <f ca="1">AND(模拟模式!$S$7="日月齐光",OR(C366="幽月轮1",C366="幽月轮2",C366="幽月轮3",CR365),NOT(OR(C366="赤日轮1",C366="赤日轮2",C366="赤日轮3")))</f>
        <v>0</v>
      </c>
      <c r="CS366" s="115" t="b">
        <f ca="1">AND(模拟模式!$S$7="日月齐光",OR(C366="赤日轮1",C366="赤日轮2",C366="赤日轮3",CS365),NOT(OR(C366="幽月轮1",C366="幽月轮2",C366="幽月轮3")))</f>
        <v>0</v>
      </c>
      <c r="CT366" s="115">
        <f t="shared" ca="1" si="344"/>
        <v>18.930000000000007</v>
      </c>
      <c r="CU366" s="115" t="b">
        <f ca="1">AND(模拟模式!$K$10="阴阳往极",CT365=0,RAND()&lt;IF(C366="净世破魔击·月",0.0275*7/3,IF(C366="净世破魔击·日",0.0275*3/3,0.0275*2/3)))</f>
        <v>0</v>
      </c>
      <c r="CV366" s="115">
        <f t="shared" ca="1" si="345"/>
        <v>0</v>
      </c>
      <c r="CW366" s="115">
        <f t="shared" ca="1" si="317"/>
        <v>3.2324999999999995</v>
      </c>
      <c r="CX366" s="115">
        <f t="shared" ca="1" si="318"/>
        <v>1.3874999999999997</v>
      </c>
      <c r="CY366" s="115">
        <f ca="1">MAX(IF($C366="驱夜断愁",IF(模拟模式!$R$7="万念俱寂",6,45),CY365-$F$4),0)</f>
        <v>2.3099999999999996</v>
      </c>
      <c r="CZ366" s="115">
        <f t="shared" ca="1" si="319"/>
        <v>0</v>
      </c>
      <c r="DA366" s="115">
        <f ca="1">IF(模拟模式!$N$7="日月同辉",IF(DB365=2,0,MIN(6,IF(AND(OR(C366="赤日轮1",C366="赤日轮2",C366="赤日轮3",C366="幽月轮1",C366="幽月轮2",C366="幽月轮3"),AB366=1),DA365+1,DA365))),0)</f>
        <v>1</v>
      </c>
      <c r="DB366" s="115">
        <f t="shared" ca="1" si="320"/>
        <v>0</v>
      </c>
      <c r="DC366" s="115"/>
      <c r="DD366" s="115"/>
      <c r="DE366" s="115"/>
      <c r="DF366" s="115"/>
      <c r="DG366" s="115"/>
      <c r="DH366" s="115"/>
      <c r="DI366" s="115"/>
      <c r="DJ366" s="115"/>
      <c r="DK366" s="115"/>
      <c r="DL366" s="115"/>
      <c r="DM366" s="115"/>
    </row>
    <row r="367" spans="2:117" x14ac:dyDescent="0.2">
      <c r="B367" s="117">
        <f t="shared" si="321"/>
        <v>313.65000000000265</v>
      </c>
      <c r="C367" s="167" t="str">
        <f t="shared" ca="1" si="314"/>
        <v>赤日轮1</v>
      </c>
      <c r="D367" s="115">
        <f ca="1">IF(C367="赤日轮1",1,IF(C367="赤日轮2",2,IF(C367="赤日轮3",3,IF(C367="幽月轮1",4,IF(C367="幽月轮2",5,IF(C367="幽月轮3",6,IF(C367="烈日斩",7,IF(C367="银月斩",8,IF(C367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367="净世破魔击·月",17,IF(C367="驱夜断愁",18,0)))))))))))</f>
        <v>1</v>
      </c>
      <c r="E367" s="115">
        <f ca="1">IF(AND(CU367,OR(C367="幽月轮1",C367="幽月轮2",C367="幽月轮3",C367="银月斩",C367="驱夜断愁",C367="净世破魔击·月")),100,MIN(IF(OR(CN367,BE367),0,IF(OR($C367="赤日轮1",$C367="赤日轮2",$C367="赤日轮3"),E366+20+IF(模拟模式!$I$7="日月凌天",4,0)+IF(CR366,20,0),IF($C367="烈日斩",E366+40,IF($C367="驱夜断愁",IF(模拟模式!$R$7="万念俱寂",E366+20,E366+60),IF($C367="净世破魔击·月",IF(OR(DB366&gt;0,CV366&gt;0),100,IF(模拟模式!$M$7="辉耀红尘",E366+20,E366)),IF($C367="净世破魔击·日",E366-100,E366)))))),100))</f>
        <v>20</v>
      </c>
      <c r="F367" s="115">
        <f ca="1">IF(AND(CU367,OR(C367="赤日轮1",C367="赤日轮2",C367="赤日轮3",C367="烈日斩",C367="净世破魔击·日")),100,MIN(IF(CO367,0,IF(OR($C367="幽月轮1",$C367="幽月轮2",$C367="幽月轮3"),F366+20+IF(模拟模式!$I$7="日月凌天",4,0)+IF(CS366,20,0),IF($C367="银月斩",F366+40+IF(模拟模式!$X$12=1,5,0),IF($C367="驱夜断愁",IF(模拟模式!$R$7="万念俱寂",F366+20,F366+60),IF($C367="净世破魔击·月",IF(模拟模式!$M$7="辉耀红尘",F366-80,F366-100),IF(AND(C367="净世破魔击·日",OR(DB366&gt;0,CV366&gt;0)),100,F366)))))),100))</f>
        <v>20</v>
      </c>
      <c r="G367" s="117">
        <f ca="1">('模拟-全程加成'!$E$3+'模拟-全程加成'!$E$4+'模拟-全程加成'!$E$5+('模拟-全程加成'!$C$6-'模拟-全程加成'!$C$3)*系数!$B$9+BS367*23)*(1+'模拟-全程加成'!$F$4+'模拟-全程加成'!$F$5+BJ367*10%+BM367*20%+BP367*4%+CG367*30%)+$F$7*系数!$B$12</f>
        <v>21493.829400000002</v>
      </c>
      <c r="H367" s="45">
        <f ca="1">'模拟-全程加成'!$H$3+'模拟-全程加成'!$H$4+'模拟-全程加成'!$H$5+('模拟-全程加成'!$G$4+'模拟-全程加成'!$G$5+('模拟-全程加成'!$C$6-'模拟-全程加成'!$C$3)*系数!$B$13)/系数!$B$3+LOOKUP(D367,'模拟-单技能数据'!$A$2:$A$19,'模拟-单技能数据'!$K$2:$K$19)+BG367*10%+IF(BV367&gt;0,378,0)</f>
        <v>0.4618514552730022</v>
      </c>
      <c r="I367" s="45">
        <f ca="1">'模拟-全程加成'!$J$3+'模拟-全程加成'!$J$4+'模拟-全程加成'!$J$5+('模拟-全程加成'!$I$4+'模拟-全程加成'!$I$5)/系数!$B$4+LOOKUP(D367,'模拟-单技能数据'!$A$2:$A$19,'模拟-单技能数据'!$L$2:$L$19)+BG367*10%</f>
        <v>2.162482885499879</v>
      </c>
      <c r="J367" s="45">
        <f ca="1">(('模拟-全程加成'!$K$3+'模拟-全程加成'!$K$4+'模拟-全程加成'!$K$5+('模拟-全程加成'!$C$6-'模拟-全程加成'!$C$3)*系数!$B$10+IF(BV367&gt;0,882,0)+IF(BY367&gt;0,1831,0))*(1+'模拟-全程加成'!$L$4+'模拟-全程加成'!$L$5+CC367*20%))/系数!$B$5</f>
        <v>0.69723220422048726</v>
      </c>
      <c r="K367" s="119">
        <f ca="1">LOOKUP(D367,'模拟-单技能数据'!$A$2:$A$19,'模拟-单技能数据'!$J$2:$J$19)+IF(CM367,60%,0)+IF(DB366-DB367&gt;0,30%,0)+IF(OR(AND(OR(C367="赤日轮1",C367="赤日轮2",C367="赤日轮3"),CR367),AND(OR(C367="幽月轮1",C367="幽月轮2",C367="幽月轮3"),CS367)),35%,0)+CJ367</f>
        <v>0.12</v>
      </c>
      <c r="L367" s="119">
        <f ca="1">IF(AND(C367="烈日斩",模拟模式!$X$11=1),10%,0)+IF(AND(C367="驱夜断愁",AB367=1),30%,0)</f>
        <v>0</v>
      </c>
      <c r="M367" s="45">
        <f t="shared" ca="1" si="297"/>
        <v>0.4618514552730022</v>
      </c>
      <c r="N367" s="45">
        <f t="shared" ca="1" si="298"/>
        <v>0.48424854472699785</v>
      </c>
      <c r="O367" s="46">
        <f t="shared" ca="1" si="322"/>
        <v>0.38965760835194296</v>
      </c>
      <c r="P367" s="46" t="str">
        <f t="shared" ca="1" si="323"/>
        <v>会</v>
      </c>
      <c r="Q367" s="45">
        <f t="shared" ca="1" si="324"/>
        <v>2.162482885499879</v>
      </c>
      <c r="R367" s="117">
        <f ca="1">模拟模式!$E$20*(1-IF(模拟模式!$J$19="有",0.15,0))*(1-IF(模拟模式!$K$19="有",0.3,0)-IF(CQ367,0.5,0))</f>
        <v>843.02999999999975</v>
      </c>
      <c r="S367" s="45">
        <f ca="1">R367/(R367+(185*模拟模式!$E$22-16800)*4.08224)</f>
        <v>8.389626085980037E-2</v>
      </c>
      <c r="T367" s="45" t="str">
        <f ca="1">LOOKUP(D367,'模拟-单技能数据'!$A$2:$A$19,'模拟-单技能数据'!$H$2:$H$19)</f>
        <v>阳</v>
      </c>
      <c r="U367" s="119">
        <f t="shared" ca="1" si="299"/>
        <v>0.2</v>
      </c>
      <c r="V367" s="47">
        <f ca="1">(1+L367)*(LOOKUP(D367,'模拟-单技能数据'!$A$2:$A$19,'模拟-单技能数据'!$D$2:$D$19)+G367*LOOKUP(D367,'模拟-单技能数据'!$A$2:$A$19,'模拟-单技能数据'!$F$2:$F$19))*(1+J367)*(1+K367)*(1-S367)*(1+U367)*Q367*LOOKUP(D367,'模拟-单技能数据'!$A$2:$A$19,'模拟-单技能数据'!$I$2:$I$20)</f>
        <v>56864.156113360666</v>
      </c>
      <c r="W367" s="47">
        <f ca="1">LOOKUP(D367,'模拟-单技能数据'!$A$2:$A$19,'模拟-单技能数据'!$G$2:$G$19)*$I$10</f>
        <v>361.51064354704795</v>
      </c>
      <c r="X367" s="47">
        <f t="shared" ca="1" si="325"/>
        <v>34718.524582246762</v>
      </c>
      <c r="Y367" s="47">
        <f t="shared" ca="1" si="300"/>
        <v>91944.191339154466</v>
      </c>
      <c r="Z367" s="49">
        <f t="shared" ca="1" si="301"/>
        <v>35761454.070445091</v>
      </c>
      <c r="AA367" s="97">
        <f t="shared" ca="1" si="302"/>
        <v>114017.07020706133</v>
      </c>
      <c r="AB367" s="115">
        <f ca="1">IF(OR(C367="赤日轮1",C367="赤日轮2",C367="赤日轮3"),IF(RAND()&lt;模拟模式!$Y$17,1,0),IF(OR(C367="幽月轮1",C367="幽月轮2",C367="幽月轮3"),IF(RAND()&lt;模拟模式!$Y$18,1,0),IF(C367="烈日斩",IF(RAND()&lt;模拟模式!$Y$19,1,0),IF(C367="银月斩",IF(RAND()&lt;模拟模式!$Y$20,1,0),IF(C367="驱夜断愁",IF(RAND()&lt;模拟模式!$Y$21,1,0),IF(C367="净世破魔击·日",IF(RAND()&lt;模拟模式!$Y$22,1,0),IF(C367="净世破魔击·月",IF(RAND()&lt;模拟模式!$Y$23,1,0),0)))))))</f>
        <v>1</v>
      </c>
      <c r="AC367" s="115" t="b">
        <f t="shared" ca="1" si="290"/>
        <v>0</v>
      </c>
      <c r="AD367" s="115" t="b">
        <f t="shared" ca="1" si="310"/>
        <v>1</v>
      </c>
      <c r="AE367" s="115">
        <f t="shared" ca="1" si="311"/>
        <v>2</v>
      </c>
      <c r="AF367" s="47">
        <f ca="1">IF(AC367,('模拟-单技能数据'!$D$20+G367*'模拟-单技能数据'!$F$20)*(1+J367)*(1+'模拟-单技能数据'!$J$20)*(1+U367),0)</f>
        <v>0</v>
      </c>
      <c r="AG367" s="61">
        <f t="shared" ca="1" si="303"/>
        <v>0.64185145527300214</v>
      </c>
      <c r="AH367" s="61">
        <f t="shared" ca="1" si="304"/>
        <v>2.2624828854998791</v>
      </c>
      <c r="AI367" s="62">
        <f t="shared" ca="1" si="326"/>
        <v>0.59216718306592431</v>
      </c>
      <c r="AJ367" s="47">
        <f ca="1">IF(AD367,IF(AI367&lt;$F$10,0,IF(AI367&lt;$F$10+$F$11,0.25,IF(AI367&lt;$F$10+$F$11+AG367,AH367,1)))*IF(AF367&gt;0,AF367,IF(AF366&gt;0,AF366,IF(AF365&gt;0,AF365,IF(AF364&gt;0,AF364,IF(AF363&gt;0,AF363,IF(AF362&gt;0,AF362,IF(AF361&gt;0,AF361,IF(AF360&gt;0,AF360,IF(AF359&gt;0,AF359,IF(AF357&gt;0,AF357,IF(AF356&gt;0,AF356,IF(AF355&gt;0,AF355,0)))))))))))),0)*(1-$S367)*'模拟-单技能数据'!$I$20</f>
        <v>9616.6571145767884</v>
      </c>
      <c r="AK367" s="115" t="b">
        <f t="shared" ca="1" si="291"/>
        <v>0</v>
      </c>
      <c r="AL367" s="115" t="b">
        <f t="shared" ca="1" si="312"/>
        <v>1</v>
      </c>
      <c r="AM367" s="115">
        <f t="shared" ca="1" si="313"/>
        <v>5</v>
      </c>
      <c r="AN367" s="47">
        <f ca="1">IF(AK367,('模拟-单技能数据'!$D$21+G367*'模拟-单技能数据'!$F$21)*(1+J367)*(1+'模拟-单技能数据'!$J$21)*(1+U367),0)</f>
        <v>0</v>
      </c>
      <c r="AO367" s="61">
        <f ca="1">IF(AN367&gt;0,M367-'模拟-单技能数据'!$K$10,AO366)</f>
        <v>0.42185145527300216</v>
      </c>
      <c r="AP367" s="61">
        <f ca="1">IF(AN367&gt;0,I367-'模拟-单技能数据'!$L$10,AP366)</f>
        <v>2.162482885499879</v>
      </c>
      <c r="AQ367" s="63">
        <f t="shared" ca="1" si="327"/>
        <v>0.24607230475102593</v>
      </c>
      <c r="AR367" s="64">
        <f ca="1">IF(AL367,IF(AQ367&lt;$F$10,0,IF(AQ367&lt;$F$10+$F$11,0.25,IF(AQ367&lt;$F$10+$F$11+AO367,AP367,1)))*IF(AN367&gt;0,AN367,IF(AN366&gt;0,AN366,IF(AN365&gt;0,AN365,IF(AN364&gt;0,AN364,IF(AN363&gt;0,AN363,IF(AN362&gt;0,AN362,IF(AN361&gt;0,AN361,IF(AN360&gt;0,AN360,IF(AN359&gt;0,AN359,IF(AN357&gt;0,AN357,IF(AN356&gt;0,AN356,IF(AN355&gt;0,AN355,0)))))))))))),0)*(1-$S367)*'模拟-单技能数据'!$I$21</f>
        <v>25101.867467669974</v>
      </c>
      <c r="AS367" s="61">
        <f ca="1">IF(OR(C367="净世破魔击·日",C367="净世破魔击·月"),M367-'模拟-单技能数据'!$K$10,0)</f>
        <v>0</v>
      </c>
      <c r="AT367" s="61">
        <f ca="1">IF(OR(C367="净世破魔击·日",C367="净世破魔击·月"),I367-'模拟-单技能数据'!$L$10,0)</f>
        <v>0</v>
      </c>
      <c r="AU367" s="62">
        <f t="shared" ca="1" si="328"/>
        <v>0.39252750642573919</v>
      </c>
      <c r="AV367" s="64">
        <f ca="1">IF(AS367&gt;0,('模拟-单技能数据'!$D$22+G367*'模拟-单技能数据'!$F$22)*(1+J367)*(1-S367)*IF(AU367&lt;$F$10,0,IF(AU367&lt;$F$10+$F$11,0.25,IF(AU367&lt;$F$10+$F$11+AS367,AT367,1)))*(1+U367),0)*'模拟-单技能数据'!$I$22</f>
        <v>0</v>
      </c>
      <c r="AW367" s="108">
        <f t="shared" ca="1" si="329"/>
        <v>15.387500000000003</v>
      </c>
      <c r="AX367" s="108" t="b">
        <f ca="1">AND(模拟模式!$P$10="有",AW366=0,RAND()&lt;IF(C367="净世破魔击·月",0.1*8/3,IF(C367="净世破魔击·日",0.1*4/3,0.1*2/3)))</f>
        <v>0</v>
      </c>
      <c r="AY367" s="47">
        <f ca="1">IF(AX367,(18+G367*0.722)*(1+J367)*(1-S367)*(1+$I$4)*IF(P367="会",'模拟-全程加成'!$J$3+'模拟-全程加成'!$J$4+'模拟-全程加成'!$J$5+('模拟-全程加成'!$I$4+'模拟-全程加成'!$I$5)/系数!$B$4+BG367*10%,IF(P367="命",1,IF(P367="识",0.25,0))),0)</f>
        <v>0</v>
      </c>
      <c r="AZ367" s="108">
        <f t="shared" si="330"/>
        <v>10.775000000000006</v>
      </c>
      <c r="BA367" s="108" t="b">
        <f>AND(模拟模式!$Q$10="有",AZ366=0)</f>
        <v>0</v>
      </c>
      <c r="BB367" s="140">
        <f>IF(BA367,(0+G367*0.287)*(1+J367)*(1-S367)*(1+$I$4)*IF(P367="会",'模拟-全程加成'!$J$3+'模拟-全程加成'!$J$4+'模拟-全程加成'!$J$5+('模拟-全程加成'!$I$4+'模拟-全程加成'!$I$5)/系数!$B$4+BG367*10%,IF(P367="命",1,IF(P367="识",0.25,0))),0)</f>
        <v>0</v>
      </c>
      <c r="BC367" s="115" t="b">
        <f ca="1">AND(模拟模式!$R$7="伏明众生",E367=60,F367=20,DA367&lt;5,CZ366&lt;$F$4)</f>
        <v>0</v>
      </c>
      <c r="BD367" s="115">
        <f t="shared" ca="1" si="292"/>
        <v>0</v>
      </c>
      <c r="BE367" s="115" t="b">
        <f t="shared" ca="1" si="293"/>
        <v>0</v>
      </c>
      <c r="BF367" s="47">
        <f ca="1">IF(BC367,4*('模拟-单技能数据'!$D$24+G367*'模拟-单技能数据'!$F$24)*(1+J367)*(1+'模拟-单技能数据'!$J$24)*(1-S367)*(1+$I$3)*(('模拟-全程加成'!$J$3+'模拟-全程加成'!$J$4+'模拟-全程加成'!$J$5+('模拟-全程加成'!$I$4+'模拟-全程加成'!$I$5)/系数!$B$4+BG367*10%)*('模拟-全程加成'!$J$3+'模拟-全程加成'!$J$4+'模拟-全程加成'!$J$5+('模拟-全程加成'!$I$4+'模拟-全程加成'!$I$5)/系数!$B$4+BG367*10%)+(1-('模拟-全程加成'!$J$3+'模拟-全程加成'!$J$4+'模拟-全程加成'!$J$5+('模拟-全程加成'!$I$4+'模拟-全程加成'!$I$5)/系数!$B$4+BG367*10%)-$F$10-$F$11)+F353*0.25),0)*'模拟-单技能数据'!$I$24</f>
        <v>0</v>
      </c>
      <c r="BG367" s="115" t="b">
        <f ca="1">OR(AND(OR(C367="烈日斩",C367="银月斩"),模拟模式!$I$7="净身明礼"),AND(C367="净世破魔击·日",模拟模式!$J$7="洞若观火"),AND(C368="净世破魔击·月",模拟模式!$J$7="洞若观火"),AB367=1)</f>
        <v>1</v>
      </c>
      <c r="BH367" s="115" t="b">
        <f t="shared" ca="1" si="331"/>
        <v>1</v>
      </c>
      <c r="BI367" s="115">
        <f t="shared" ca="1" si="294"/>
        <v>6</v>
      </c>
      <c r="BJ367" s="115" t="b">
        <f t="shared" ca="1" si="305"/>
        <v>1</v>
      </c>
      <c r="BK367" s="115" t="b">
        <f ca="1">AND(C367="驱夜断愁",模拟模式!$P$7="天地诛戮")</f>
        <v>0</v>
      </c>
      <c r="BL367" s="57">
        <f t="shared" ca="1" si="295"/>
        <v>15.387500000000003</v>
      </c>
      <c r="BM367" s="115" t="b">
        <f t="shared" ca="1" si="306"/>
        <v>1</v>
      </c>
      <c r="BN367" s="115" t="b">
        <f ca="1">AND(OR(C367="赤日轮1",C367="赤日轮2",C367="赤日轮3",C367="幽月轮1",C367="幽月轮2",C367="幽月轮3"),AB367=1,模拟模式!$L$7="明光恒照")</f>
        <v>1</v>
      </c>
      <c r="BO367" s="117">
        <f t="shared" ca="1" si="296"/>
        <v>30</v>
      </c>
      <c r="BP367" s="115">
        <f t="shared" ca="1" si="332"/>
        <v>6</v>
      </c>
      <c r="BQ367" s="115" t="b">
        <f>模拟模式!$K$10="2600·水"</f>
        <v>0</v>
      </c>
      <c r="BR367" s="117">
        <f t="shared" si="333"/>
        <v>0</v>
      </c>
      <c r="BS367" s="115">
        <f t="shared" si="334"/>
        <v>0</v>
      </c>
      <c r="BT367" s="115">
        <f t="shared" ca="1" si="335"/>
        <v>0</v>
      </c>
      <c r="BU367" s="115" t="b">
        <f ca="1">AND(模拟模式!$K$10="2300·雷",BT366=0,RAND()&lt;IF(C367="净世破魔击·月",5*0.05*2/3,IF(C367="净世破魔击·日",3*0.05*2/3,0.05*2*2/3)))</f>
        <v>0</v>
      </c>
      <c r="BV367" s="115">
        <f t="shared" ca="1" si="336"/>
        <v>0</v>
      </c>
      <c r="BW367" s="115">
        <f t="shared" ca="1" si="337"/>
        <v>58.229999999999279</v>
      </c>
      <c r="BX367" s="164" t="b">
        <f t="shared" ca="1" si="338"/>
        <v>0</v>
      </c>
      <c r="BY367" s="115">
        <f t="shared" ca="1" si="339"/>
        <v>0</v>
      </c>
      <c r="BZ367" s="115">
        <f>IF(OR(模拟模式!$P$16="10人团",模拟模式!$P$16="25人团"),IF(B367/30&gt;CA366,1,0),0)</f>
        <v>0</v>
      </c>
      <c r="CA367" s="115">
        <f t="shared" si="315"/>
        <v>0</v>
      </c>
      <c r="CB367" s="115">
        <f ca="1">IF(BZ367=1,IF(模拟模式!$P$16="10人团",15,0)+IF(模拟模式!$P$16="25人团",IF(RAND()&lt;0.6,15,0)),MAX(0,CB366-$F$4))</f>
        <v>0</v>
      </c>
      <c r="CC367" s="115" t="b">
        <f t="shared" ca="1" si="307"/>
        <v>0</v>
      </c>
      <c r="CD367" s="115">
        <f>IF(模拟模式!$Q$16="1个",IF(B367/40&gt;CE366,1,0),0)</f>
        <v>0</v>
      </c>
      <c r="CE367" s="115">
        <f t="shared" si="308"/>
        <v>0</v>
      </c>
      <c r="CF367" s="115">
        <f>IF(OR(CD367=1,模拟模式!$Q$16="2个"),20,MAX(0,CF366-$F$4))</f>
        <v>0</v>
      </c>
      <c r="CG367" s="115" t="b">
        <f t="shared" si="309"/>
        <v>0</v>
      </c>
      <c r="CH367" s="115">
        <f t="shared" ca="1" si="340"/>
        <v>20.775000000000006</v>
      </c>
      <c r="CI367" s="115" t="b">
        <f t="shared" ca="1" si="341"/>
        <v>0</v>
      </c>
      <c r="CJ367" s="119">
        <f t="shared" ca="1" si="342"/>
        <v>0</v>
      </c>
      <c r="CK367" s="115">
        <f t="shared" ca="1" si="343"/>
        <v>0</v>
      </c>
      <c r="CL367" s="115" t="b">
        <f ca="1">AND(模拟模式!$S$7="驱夷逐法",OR(AND(C367="净世破魔击·月",E366&gt;59),AND(C367="净世破魔击·日",F366&gt;59)))</f>
        <v>0</v>
      </c>
      <c r="CM367" s="115" t="b">
        <f ca="1">OR(CL367,AND(C367="净世破魔击·日",CL366,RAND()&lt;模拟模式!$U$23))</f>
        <v>0</v>
      </c>
      <c r="CN367" s="115" t="b">
        <f ca="1">IF(模拟模式!$M$7="辉耀红尘",AND(C367="净世破魔击·月",CL367,CV367=0,E366&lt;80),AND(C367="净世破魔击·月",CL367,E366&lt;100))</f>
        <v>0</v>
      </c>
      <c r="CO367" s="115" t="b">
        <f t="shared" ca="1" si="316"/>
        <v>0</v>
      </c>
      <c r="CP367" s="115" t="b">
        <f ca="1">AND(模拟模式!$O$7="用晦而明",OR(C367="净世破魔击·日",C367="净世破魔击·月",C367="驱夜断愁"),AB367)</f>
        <v>0</v>
      </c>
      <c r="CQ367" s="115" t="b">
        <f ca="1">OR(CP367,AND(CP366,RAND()&lt;模拟模式!$U$23))</f>
        <v>1</v>
      </c>
      <c r="CR367" s="115" t="b">
        <f ca="1">AND(模拟模式!$S$7="日月齐光",OR(C367="幽月轮1",C367="幽月轮2",C367="幽月轮3",CR366),NOT(OR(C367="赤日轮1",C367="赤日轮2",C367="赤日轮3")))</f>
        <v>0</v>
      </c>
      <c r="CS367" s="115" t="b">
        <f ca="1">AND(模拟模式!$S$7="日月齐光",OR(C367="赤日轮1",C367="赤日轮2",C367="赤日轮3",CS366),NOT(OR(C367="幽月轮1",C367="幽月轮2",C367="幽月轮3")))</f>
        <v>0</v>
      </c>
      <c r="CT367" s="115">
        <f t="shared" ca="1" si="344"/>
        <v>18.007500000000007</v>
      </c>
      <c r="CU367" s="115" t="b">
        <f ca="1">AND(模拟模式!$K$10="阴阳往极",CT366=0,RAND()&lt;IF(C367="净世破魔击·月",0.0275*7/3,IF(C367="净世破魔击·日",0.0275*3/3,0.0275*2/3)))</f>
        <v>0</v>
      </c>
      <c r="CV367" s="115">
        <f t="shared" ca="1" si="345"/>
        <v>0</v>
      </c>
      <c r="CW367" s="115">
        <f t="shared" ca="1" si="317"/>
        <v>2.3099999999999996</v>
      </c>
      <c r="CX367" s="115">
        <f t="shared" ca="1" si="318"/>
        <v>0.46499999999999975</v>
      </c>
      <c r="CY367" s="115">
        <f ca="1">MAX(IF($C367="驱夜断愁",IF(模拟模式!$R$7="万念俱寂",6,45),CY366-$F$4),0)</f>
        <v>1.3874999999999997</v>
      </c>
      <c r="CZ367" s="115">
        <f t="shared" ca="1" si="319"/>
        <v>0</v>
      </c>
      <c r="DA367" s="115">
        <f ca="1">IF(模拟模式!$N$7="日月同辉",IF(DB366=2,0,MIN(6,IF(AND(OR(C367="赤日轮1",C367="赤日轮2",C367="赤日轮3",C367="幽月轮1",C367="幽月轮2",C367="幽月轮3"),AB367=1),DA366+1,DA366))),0)</f>
        <v>2</v>
      </c>
      <c r="DB367" s="115">
        <f t="shared" ca="1" si="320"/>
        <v>0</v>
      </c>
      <c r="DC367" s="115"/>
      <c r="DD367" s="115"/>
      <c r="DE367" s="115"/>
      <c r="DF367" s="115"/>
      <c r="DG367" s="115"/>
      <c r="DH367" s="115"/>
      <c r="DI367" s="115"/>
      <c r="DJ367" s="115"/>
      <c r="DK367" s="115"/>
      <c r="DL367" s="115"/>
      <c r="DM367" s="115"/>
    </row>
    <row r="368" spans="2:117" x14ac:dyDescent="0.2">
      <c r="B368" s="117">
        <f t="shared" si="321"/>
        <v>314.57250000000266</v>
      </c>
      <c r="C368" s="167" t="str">
        <f t="shared" ca="1" si="314"/>
        <v>银月斩</v>
      </c>
      <c r="D368" s="115">
        <f ca="1">IF(C368="赤日轮1",1,IF(C368="赤日轮2",2,IF(C368="赤日轮3",3,IF(C368="幽月轮1",4,IF(C368="幽月轮2",5,IF(C368="幽月轮3",6,IF(C368="烈日斩",7,IF(C368="银月斩",8,IF(C368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368="净世破魔击·月",17,IF(C368="驱夜断愁",18,0)))))))))))</f>
        <v>8</v>
      </c>
      <c r="E368" s="115">
        <f ca="1">IF(AND(CU368,OR(C368="幽月轮1",C368="幽月轮2",C368="幽月轮3",C368="银月斩",C368="驱夜断愁",C368="净世破魔击·月")),100,MIN(IF(OR(CN368,BE368),0,IF(OR($C368="赤日轮1",$C368="赤日轮2",$C368="赤日轮3"),E367+20+IF(模拟模式!$I$7="日月凌天",4,0)+IF(CR367,20,0),IF($C368="烈日斩",E367+40,IF($C368="驱夜断愁",IF(模拟模式!$R$7="万念俱寂",E367+20,E367+60),IF($C368="净世破魔击·月",IF(OR(DB367&gt;0,CV367&gt;0),100,IF(模拟模式!$M$7="辉耀红尘",E367+20,E367)),IF($C368="净世破魔击·日",E367-100,E367)))))),100))</f>
        <v>20</v>
      </c>
      <c r="F368" s="115">
        <f ca="1">IF(AND(CU368,OR(C368="赤日轮1",C368="赤日轮2",C368="赤日轮3",C368="烈日斩",C368="净世破魔击·日")),100,MIN(IF(CO368,0,IF(OR($C368="幽月轮1",$C368="幽月轮2",$C368="幽月轮3"),F367+20+IF(模拟模式!$I$7="日月凌天",4,0)+IF(CS367,20,0),IF($C368="银月斩",F367+40+IF(模拟模式!$X$12=1,5,0),IF($C368="驱夜断愁",IF(模拟模式!$R$7="万念俱寂",F367+20,F367+60),IF($C368="净世破魔击·月",IF(模拟模式!$M$7="辉耀红尘",F367-80,F367-100),IF(AND(C368="净世破魔击·日",OR(DB367&gt;0,CV367&gt;0)),100,F367)))))),100))</f>
        <v>65</v>
      </c>
      <c r="G368" s="117">
        <f ca="1">('模拟-全程加成'!$E$3+'模拟-全程加成'!$E$4+'模拟-全程加成'!$E$5+('模拟-全程加成'!$C$6-'模拟-全程加成'!$C$3)*系数!$B$9+BS368*23)*(1+'模拟-全程加成'!$F$4+'模拟-全程加成'!$F$5+BJ368*10%+BM368*20%+BP368*4%+CG368*30%)+$F$7*系数!$B$12</f>
        <v>21493.829400000002</v>
      </c>
      <c r="H368" s="45">
        <f ca="1">'模拟-全程加成'!$H$3+'模拟-全程加成'!$H$4+'模拟-全程加成'!$H$5+('模拟-全程加成'!$G$4+'模拟-全程加成'!$G$5+('模拟-全程加成'!$C$6-'模拟-全程加成'!$C$3)*系数!$B$13)/系数!$B$3+LOOKUP(D368,'模拟-单技能数据'!$A$2:$A$19,'模拟-单技能数据'!$K$2:$K$19)+BG368*10%+IF(BV368&gt;0,378,0)</f>
        <v>0.64185145527300214</v>
      </c>
      <c r="I368" s="45">
        <f ca="1">'模拟-全程加成'!$J$3+'模拟-全程加成'!$J$4+'模拟-全程加成'!$J$5+('模拟-全程加成'!$I$4+'模拟-全程加成'!$I$5)/系数!$B$4+LOOKUP(D368,'模拟-单技能数据'!$A$2:$A$19,'模拟-单技能数据'!$L$2:$L$19)+BG368*10%</f>
        <v>2.2624828854998791</v>
      </c>
      <c r="J368" s="45">
        <f ca="1">(('模拟-全程加成'!$K$3+'模拟-全程加成'!$K$4+'模拟-全程加成'!$K$5+('模拟-全程加成'!$C$6-'模拟-全程加成'!$C$3)*系数!$B$10+IF(BV368&gt;0,882,0)+IF(BY368&gt;0,1831,0))*(1+'模拟-全程加成'!$L$4+'模拟-全程加成'!$L$5+CC368*20%))/系数!$B$5</f>
        <v>0.69723220422048726</v>
      </c>
      <c r="K368" s="119">
        <f ca="1">LOOKUP(D368,'模拟-单技能数据'!$A$2:$A$19,'模拟-单技能数据'!$J$2:$J$19)+IF(CM368,60%,0)+IF(DB367-DB368&gt;0,30%,0)+IF(OR(AND(OR(C368="赤日轮1",C368="赤日轮2",C368="赤日轮3"),CR368),AND(OR(C368="幽月轮1",C368="幽月轮2",C368="幽月轮3"),CS368)),35%,0)+CJ368</f>
        <v>0.15</v>
      </c>
      <c r="L368" s="119">
        <f ca="1">IF(AND(C368="烈日斩",模拟模式!$X$11=1),10%,0)+IF(AND(C368="驱夜断愁",AB368=1),30%,0)</f>
        <v>0</v>
      </c>
      <c r="M368" s="45">
        <f t="shared" ca="1" si="297"/>
        <v>0.64185145527300214</v>
      </c>
      <c r="N368" s="45">
        <f t="shared" ca="1" si="298"/>
        <v>0.30424854472699792</v>
      </c>
      <c r="O368" s="46">
        <f t="shared" ca="1" si="322"/>
        <v>0.43844377057385142</v>
      </c>
      <c r="P368" s="46" t="str">
        <f t="shared" ca="1" si="323"/>
        <v>会</v>
      </c>
      <c r="Q368" s="45">
        <f t="shared" ca="1" si="324"/>
        <v>2.2624828854998791</v>
      </c>
      <c r="R368" s="117">
        <f ca="1">模拟模式!$E$20*(1-IF(模拟模式!$J$19="有",0.15,0))*(1-IF(模拟模式!$K$19="有",0.3,0)-IF(CQ368,0.5,0))</f>
        <v>2950.6049999999996</v>
      </c>
      <c r="S368" s="45">
        <f ca="1">R368/(R368+(185*模拟模式!$E$22-16800)*4.08224)</f>
        <v>0.24272716014590323</v>
      </c>
      <c r="T368" s="45" t="str">
        <f ca="1">LOOKUP(D368,'模拟-单技能数据'!$A$2:$A$19,'模拟-单技能数据'!$H$2:$H$19)</f>
        <v>阴</v>
      </c>
      <c r="U368" s="119">
        <f t="shared" ca="1" si="299"/>
        <v>0.08</v>
      </c>
      <c r="V368" s="47">
        <f ca="1">(1+L368)*(LOOKUP(D368,'模拟-单技能数据'!$A$2:$A$19,'模拟-单技能数据'!$D$2:$D$19)+G368*LOOKUP(D368,'模拟-单技能数据'!$A$2:$A$19,'模拟-单技能数据'!$F$2:$F$19))*(1+J368)*(1+K368)*(1-S368)*(1+U368)*Q368*LOOKUP(D368,'模拟-单技能数据'!$A$2:$A$19,'模拟-单技能数据'!$I$2:$I$20)</f>
        <v>41211.704893206668</v>
      </c>
      <c r="W368" s="47">
        <f ca="1">LOOKUP(D368,'模拟-单技能数据'!$A$2:$A$19,'模拟-单技能数据'!$G$2:$G$19)*$I$10</f>
        <v>361.51064354704795</v>
      </c>
      <c r="X368" s="47">
        <f t="shared" ca="1" si="325"/>
        <v>0</v>
      </c>
      <c r="Y368" s="47">
        <f t="shared" ca="1" si="300"/>
        <v>41573.21553675372</v>
      </c>
      <c r="Z368" s="49">
        <f t="shared" ca="1" si="301"/>
        <v>35803027.285981841</v>
      </c>
      <c r="AA368" s="97">
        <f t="shared" ca="1" si="302"/>
        <v>113814.86711642479</v>
      </c>
      <c r="AB368" s="115">
        <f ca="1">IF(OR(C368="赤日轮1",C368="赤日轮2",C368="赤日轮3"),IF(RAND()&lt;模拟模式!$Y$17,1,0),IF(OR(C368="幽月轮1",C368="幽月轮2",C368="幽月轮3"),IF(RAND()&lt;模拟模式!$Y$18,1,0),IF(C368="烈日斩",IF(RAND()&lt;模拟模式!$Y$19,1,0),IF(C368="银月斩",IF(RAND()&lt;模拟模式!$Y$20,1,0),IF(C368="驱夜断愁",IF(RAND()&lt;模拟模式!$Y$21,1,0),IF(C368="净世破魔击·日",IF(RAND()&lt;模拟模式!$Y$22,1,0),IF(C368="净世破魔击·月",IF(RAND()&lt;模拟模式!$Y$23,1,0),0)))))))</f>
        <v>1</v>
      </c>
      <c r="AC368" s="115" t="b">
        <f t="shared" ca="1" si="290"/>
        <v>1</v>
      </c>
      <c r="AD368" s="115" t="b">
        <f t="shared" ca="1" si="310"/>
        <v>0</v>
      </c>
      <c r="AE368" s="115">
        <f t="shared" ca="1" si="311"/>
        <v>6</v>
      </c>
      <c r="AF368" s="47">
        <f ca="1">IF(AC368,('模拟-单技能数据'!$D$20+G368*'模拟-单技能数据'!$F$20)*(1+J368)*(1+'模拟-单技能数据'!$J$20)*(1+U368),0)</f>
        <v>4639.7456468263617</v>
      </c>
      <c r="AG368" s="61">
        <f t="shared" ca="1" si="303"/>
        <v>0.64185145527300214</v>
      </c>
      <c r="AH368" s="61">
        <f t="shared" ca="1" si="304"/>
        <v>2.2624828854998791</v>
      </c>
      <c r="AI368" s="62">
        <f t="shared" ca="1" si="326"/>
        <v>0.2625178878181601</v>
      </c>
      <c r="AJ368" s="47">
        <f ca="1">IF(AD368,IF(AI368&lt;$F$10,0,IF(AI368&lt;$F$10+$F$11,0.25,IF(AI368&lt;$F$10+$F$11+AG368,AH368,1)))*IF(AF368&gt;0,AF368,IF(AF367&gt;0,AF367,IF(AF366&gt;0,AF366,IF(AF365&gt;0,AF365,IF(AF364&gt;0,AF364,IF(AF363&gt;0,AF363,IF(AF362&gt;0,AF362,IF(AF361&gt;0,AF361,IF(AF360&gt;0,AF360,IF(AF358&gt;0,AF358,IF(AF357&gt;0,AF357,IF(AF356&gt;0,AF356,0)))))))))))),0)*(1-$S368)*'模拟-单技能数据'!$I$20</f>
        <v>0</v>
      </c>
      <c r="AK368" s="115" t="b">
        <f t="shared" ca="1" si="291"/>
        <v>0</v>
      </c>
      <c r="AL368" s="115" t="b">
        <f t="shared" ca="1" si="312"/>
        <v>0</v>
      </c>
      <c r="AM368" s="115">
        <f t="shared" ca="1" si="313"/>
        <v>5</v>
      </c>
      <c r="AN368" s="47">
        <f ca="1">IF(AK368,('模拟-单技能数据'!$D$21+G368*'模拟-单技能数据'!$F$21)*(1+J368)*(1+'模拟-单技能数据'!$J$21)*(1+U368),0)</f>
        <v>0</v>
      </c>
      <c r="AO368" s="61">
        <f ca="1">IF(AN368&gt;0,M368-'模拟-单技能数据'!$K$10,AO367)</f>
        <v>0.42185145527300216</v>
      </c>
      <c r="AP368" s="61">
        <f ca="1">IF(AN368&gt;0,I368-'模拟-单技能数据'!$L$10,AP367)</f>
        <v>2.162482885499879</v>
      </c>
      <c r="AQ368" s="63">
        <f t="shared" ca="1" si="327"/>
        <v>0.83443046603092808</v>
      </c>
      <c r="AR368" s="64">
        <f ca="1">IF(AL368,IF(AQ368&lt;$F$10,0,IF(AQ368&lt;$F$10+$F$11,0.25,IF(AQ368&lt;$F$10+$F$11+AO368,AP368,1)))*IF(AN368&gt;0,AN368,IF(AN367&gt;0,AN367,IF(AN366&gt;0,AN366,IF(AN365&gt;0,AN365,IF(AN364&gt;0,AN364,IF(AN363&gt;0,AN363,IF(AN362&gt;0,AN362,IF(AN361&gt;0,AN361,IF(AN360&gt;0,AN360,IF(AN358&gt;0,AN358,IF(AN357&gt;0,AN357,IF(AN356&gt;0,AN356,0)))))))))))),0)*(1-$S368)*'模拟-单技能数据'!$I$21</f>
        <v>0</v>
      </c>
      <c r="AS368" s="61">
        <f ca="1">IF(OR(C368="净世破魔击·日",C368="净世破魔击·月"),M368-'模拟-单技能数据'!$K$10,0)</f>
        <v>0</v>
      </c>
      <c r="AT368" s="61">
        <f ca="1">IF(OR(C368="净世破魔击·日",C368="净世破魔击·月"),I368-'模拟-单技能数据'!$L$10,0)</f>
        <v>0</v>
      </c>
      <c r="AU368" s="62">
        <f t="shared" ca="1" si="328"/>
        <v>0.75338237167269428</v>
      </c>
      <c r="AV368" s="64">
        <f ca="1">IF(AS368&gt;0,('模拟-单技能数据'!$D$22+G368*'模拟-单技能数据'!$F$22)*(1+J368)*(1-S368)*IF(AU368&lt;$F$10,0,IF(AU368&lt;$F$10+$F$11,0.25,IF(AU368&lt;$F$10+$F$11+AS368,AT368,1)))*(1+U368),0)*'模拟-单技能数据'!$I$22</f>
        <v>0</v>
      </c>
      <c r="AW368" s="108">
        <f t="shared" ca="1" si="329"/>
        <v>14.465000000000003</v>
      </c>
      <c r="AX368" s="108" t="b">
        <f ca="1">AND(模拟模式!$P$10="有",AW367=0,RAND()&lt;IF(C368="净世破魔击·月",0.1*8/3,IF(C368="净世破魔击·日",0.1*4/3,0.1*2/3)))</f>
        <v>0</v>
      </c>
      <c r="AY368" s="47">
        <f ca="1">IF(AX368,(18+G368*0.722)*(1+J368)*(1-S368)*(1+$I$4)*IF(P368="会",'模拟-全程加成'!$J$3+'模拟-全程加成'!$J$4+'模拟-全程加成'!$J$5+('模拟-全程加成'!$I$4+'模拟-全程加成'!$I$5)/系数!$B$4+BG368*10%,IF(P368="命",1,IF(P368="识",0.25,0))),0)</f>
        <v>0</v>
      </c>
      <c r="AZ368" s="108">
        <f t="shared" si="330"/>
        <v>9.8525000000000063</v>
      </c>
      <c r="BA368" s="108" t="b">
        <f>AND(模拟模式!$Q$10="有",AZ367=0)</f>
        <v>0</v>
      </c>
      <c r="BB368" s="140">
        <f>IF(BA368,(0+G368*0.287)*(1+J368)*(1-S368)*(1+$I$4)*IF(P368="会",'模拟-全程加成'!$J$3+'模拟-全程加成'!$J$4+'模拟-全程加成'!$J$5+('模拟-全程加成'!$I$4+'模拟-全程加成'!$I$5)/系数!$B$4+BG368*10%,IF(P368="命",1,IF(P368="识",0.25,0))),0)</f>
        <v>0</v>
      </c>
      <c r="BC368" s="115" t="b">
        <f ca="1">AND(模拟模式!$R$7="伏明众生",E368=60,F368=20,DA368&lt;5,CZ367&lt;$F$4)</f>
        <v>0</v>
      </c>
      <c r="BD368" s="115">
        <f t="shared" ca="1" si="292"/>
        <v>0</v>
      </c>
      <c r="BE368" s="115" t="b">
        <f t="shared" ca="1" si="293"/>
        <v>0</v>
      </c>
      <c r="BF368" s="47">
        <f ca="1">IF(BC368,4*('模拟-单技能数据'!$D$24+G368*'模拟-单技能数据'!$F$24)*(1+J368)*(1+'模拟-单技能数据'!$J$24)*(1-S368)*(1+$I$3)*(('模拟-全程加成'!$J$3+'模拟-全程加成'!$J$4+'模拟-全程加成'!$J$5+('模拟-全程加成'!$I$4+'模拟-全程加成'!$I$5)/系数!$B$4+BG368*10%)*('模拟-全程加成'!$J$3+'模拟-全程加成'!$J$4+'模拟-全程加成'!$J$5+('模拟-全程加成'!$I$4+'模拟-全程加成'!$I$5)/系数!$B$4+BG368*10%)+(1-('模拟-全程加成'!$J$3+'模拟-全程加成'!$J$4+'模拟-全程加成'!$J$5+('模拟-全程加成'!$I$4+'模拟-全程加成'!$I$5)/系数!$B$4+BG368*10%)-$F$10-$F$11)+F354*0.25),0)*'模拟-单技能数据'!$I$24</f>
        <v>0</v>
      </c>
      <c r="BG368" s="115" t="b">
        <f ca="1">OR(AND(OR(C368="烈日斩",C368="银月斩"),模拟模式!$I$7="净身明礼"),AND(C368="净世破魔击·日",模拟模式!$J$7="洞若观火"),AND(C369="净世破魔击·月",模拟模式!$J$7="洞若观火"),AB368=1)</f>
        <v>1</v>
      </c>
      <c r="BH368" s="115" t="b">
        <f t="shared" ca="1" si="331"/>
        <v>0</v>
      </c>
      <c r="BI368" s="115">
        <f t="shared" ca="1" si="294"/>
        <v>5.0774999999999997</v>
      </c>
      <c r="BJ368" s="115" t="b">
        <f t="shared" ca="1" si="305"/>
        <v>1</v>
      </c>
      <c r="BK368" s="115" t="b">
        <f ca="1">AND(C368="驱夜断愁",模拟模式!$P$7="天地诛戮")</f>
        <v>0</v>
      </c>
      <c r="BL368" s="57">
        <f t="shared" ca="1" si="295"/>
        <v>14.465000000000003</v>
      </c>
      <c r="BM368" s="115" t="b">
        <f t="shared" ca="1" si="306"/>
        <v>1</v>
      </c>
      <c r="BN368" s="115" t="b">
        <f ca="1">AND(OR(C368="赤日轮1",C368="赤日轮2",C368="赤日轮3",C368="幽月轮1",C368="幽月轮2",C368="幽月轮3"),AB368=1,模拟模式!$L$7="明光恒照")</f>
        <v>0</v>
      </c>
      <c r="BO368" s="117">
        <f t="shared" ca="1" si="296"/>
        <v>29.077500000000001</v>
      </c>
      <c r="BP368" s="115">
        <f t="shared" ca="1" si="332"/>
        <v>6</v>
      </c>
      <c r="BQ368" s="115" t="b">
        <f>模拟模式!$K$10="2600·水"</f>
        <v>0</v>
      </c>
      <c r="BR368" s="117">
        <f t="shared" si="333"/>
        <v>0</v>
      </c>
      <c r="BS368" s="115">
        <f t="shared" si="334"/>
        <v>0</v>
      </c>
      <c r="BT368" s="115">
        <f t="shared" ca="1" si="335"/>
        <v>0</v>
      </c>
      <c r="BU368" s="115" t="b">
        <f ca="1">AND(模拟模式!$K$10="2300·雷",BT367=0,RAND()&lt;IF(C368="净世破魔击·月",5*0.05*2/3,IF(C368="净世破魔击·日",3*0.05*2/3,0.05*2*2/3)))</f>
        <v>0</v>
      </c>
      <c r="BV368" s="115">
        <f t="shared" ca="1" si="336"/>
        <v>0</v>
      </c>
      <c r="BW368" s="115">
        <f t="shared" ca="1" si="337"/>
        <v>57.30749999999928</v>
      </c>
      <c r="BX368" s="164" t="b">
        <f t="shared" ca="1" si="338"/>
        <v>0</v>
      </c>
      <c r="BY368" s="115">
        <f t="shared" ca="1" si="339"/>
        <v>0</v>
      </c>
      <c r="BZ368" s="115">
        <f>IF(OR(模拟模式!$P$16="10人团",模拟模式!$P$16="25人团"),IF(B368/30&gt;CA367,1,0),0)</f>
        <v>0</v>
      </c>
      <c r="CA368" s="115">
        <f t="shared" si="315"/>
        <v>0</v>
      </c>
      <c r="CB368" s="115">
        <f ca="1">IF(BZ368=1,IF(模拟模式!$P$16="10人团",15,0)+IF(模拟模式!$P$16="25人团",IF(RAND()&lt;0.6,15,0)),MAX(0,CB367-$F$4))</f>
        <v>0</v>
      </c>
      <c r="CC368" s="115" t="b">
        <f t="shared" ca="1" si="307"/>
        <v>0</v>
      </c>
      <c r="CD368" s="115">
        <f>IF(模拟模式!$Q$16="1个",IF(B368/40&gt;CE367,1,0),0)</f>
        <v>0</v>
      </c>
      <c r="CE368" s="115">
        <f t="shared" si="308"/>
        <v>0</v>
      </c>
      <c r="CF368" s="115">
        <f>IF(OR(CD368=1,模拟模式!$Q$16="2个"),20,MAX(0,CF367-$F$4))</f>
        <v>0</v>
      </c>
      <c r="CG368" s="115" t="b">
        <f t="shared" si="309"/>
        <v>0</v>
      </c>
      <c r="CH368" s="115">
        <f t="shared" ca="1" si="340"/>
        <v>19.852500000000006</v>
      </c>
      <c r="CI368" s="115" t="b">
        <f t="shared" ca="1" si="341"/>
        <v>0</v>
      </c>
      <c r="CJ368" s="119">
        <f t="shared" ca="1" si="342"/>
        <v>0</v>
      </c>
      <c r="CK368" s="115">
        <f t="shared" ca="1" si="343"/>
        <v>0</v>
      </c>
      <c r="CL368" s="115" t="b">
        <f ca="1">AND(模拟模式!$S$7="驱夷逐法",OR(AND(C368="净世破魔击·月",E367&gt;59),AND(C368="净世破魔击·日",F367&gt;59)))</f>
        <v>0</v>
      </c>
      <c r="CM368" s="115" t="b">
        <f ca="1">OR(CL368,AND(C368="净世破魔击·日",CL367,RAND()&lt;模拟模式!$U$23))</f>
        <v>0</v>
      </c>
      <c r="CN368" s="115" t="b">
        <f ca="1">IF(模拟模式!$M$7="辉耀红尘",AND(C368="净世破魔击·月",CL368,CV368=0,E367&lt;80),AND(C368="净世破魔击·月",CL368,E367&lt;100))</f>
        <v>0</v>
      </c>
      <c r="CO368" s="115" t="b">
        <f t="shared" ca="1" si="316"/>
        <v>0</v>
      </c>
      <c r="CP368" s="115" t="b">
        <f ca="1">AND(模拟模式!$O$7="用晦而明",OR(C368="净世破魔击·日",C368="净世破魔击·月",C368="驱夜断愁"),AB368)</f>
        <v>0</v>
      </c>
      <c r="CQ368" s="115" t="b">
        <f ca="1">OR(CP368,AND(CP367,RAND()&lt;模拟模式!$U$23))</f>
        <v>0</v>
      </c>
      <c r="CR368" s="115" t="b">
        <f ca="1">AND(模拟模式!$S$7="日月齐光",OR(C368="幽月轮1",C368="幽月轮2",C368="幽月轮3",CR367),NOT(OR(C368="赤日轮1",C368="赤日轮2",C368="赤日轮3")))</f>
        <v>0</v>
      </c>
      <c r="CS368" s="115" t="b">
        <f ca="1">AND(模拟模式!$S$7="日月齐光",OR(C368="赤日轮1",C368="赤日轮2",C368="赤日轮3",CS367),NOT(OR(C368="幽月轮1",C368="幽月轮2",C368="幽月轮3")))</f>
        <v>0</v>
      </c>
      <c r="CT368" s="115">
        <f t="shared" ca="1" si="344"/>
        <v>17.085000000000008</v>
      </c>
      <c r="CU368" s="115" t="b">
        <f ca="1">AND(模拟模式!$K$10="阴阳往极",CT367=0,RAND()&lt;IF(C368="净世破魔击·月",0.0275*7/3,IF(C368="净世破魔击·日",0.0275*3/3,0.0275*2/3)))</f>
        <v>0</v>
      </c>
      <c r="CV368" s="115">
        <f t="shared" ca="1" si="345"/>
        <v>0</v>
      </c>
      <c r="CW368" s="115">
        <f t="shared" ca="1" si="317"/>
        <v>1.3874999999999997</v>
      </c>
      <c r="CX368" s="115">
        <f t="shared" ca="1" si="318"/>
        <v>6</v>
      </c>
      <c r="CY368" s="115">
        <f ca="1">MAX(IF($C368="驱夜断愁",IF(模拟模式!$R$7="万念俱寂",6,45),CY367-$F$4),0)</f>
        <v>0.46499999999999975</v>
      </c>
      <c r="CZ368" s="115">
        <f t="shared" ca="1" si="319"/>
        <v>0</v>
      </c>
      <c r="DA368" s="115">
        <f ca="1">IF(模拟模式!$N$7="日月同辉",IF(DB367=2,0,MIN(6,IF(AND(OR(C368="赤日轮1",C368="赤日轮2",C368="赤日轮3",C368="幽月轮1",C368="幽月轮2",C368="幽月轮3"),AB368=1),DA367+1,DA367))),0)</f>
        <v>2</v>
      </c>
      <c r="DB368" s="115">
        <f t="shared" ca="1" si="320"/>
        <v>0</v>
      </c>
      <c r="DC368" s="115"/>
      <c r="DD368" s="115"/>
      <c r="DE368" s="115"/>
      <c r="DF368" s="115"/>
      <c r="DG368" s="115"/>
      <c r="DH368" s="115"/>
      <c r="DI368" s="115"/>
      <c r="DJ368" s="115"/>
      <c r="DK368" s="115"/>
      <c r="DL368" s="115"/>
      <c r="DM368" s="115"/>
    </row>
    <row r="369" spans="2:117" x14ac:dyDescent="0.2">
      <c r="B369" s="117">
        <f t="shared" si="321"/>
        <v>315.49500000000268</v>
      </c>
      <c r="C369" s="167" t="str">
        <f t="shared" ca="1" si="314"/>
        <v>驱夜断愁</v>
      </c>
      <c r="D369" s="115">
        <f ca="1">IF(C369="赤日轮1",1,IF(C369="赤日轮2",2,IF(C369="赤日轮3",3,IF(C369="幽月轮1",4,IF(C369="幽月轮2",5,IF(C369="幽月轮3",6,IF(C369="烈日斩",7,IF(C369="银月斩",8,IF(C369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369="净世破魔击·月",17,IF(C369="驱夜断愁",18,0)))))))))))</f>
        <v>18</v>
      </c>
      <c r="E369" s="115">
        <f ca="1">IF(AND(CU369,OR(C369="幽月轮1",C369="幽月轮2",C369="幽月轮3",C369="银月斩",C369="驱夜断愁",C369="净世破魔击·月")),100,MIN(IF(OR(CN369,BE369),0,IF(OR($C369="赤日轮1",$C369="赤日轮2",$C369="赤日轮3"),E368+20+IF(模拟模式!$I$7="日月凌天",4,0)+IF(CR368,20,0),IF($C369="烈日斩",E368+40,IF($C369="驱夜断愁",IF(模拟模式!$R$7="万念俱寂",E368+20,E368+60),IF($C369="净世破魔击·月",IF(OR(DB368&gt;0,CV368&gt;0),100,IF(模拟模式!$M$7="辉耀红尘",E368+20,E368)),IF($C369="净世破魔击·日",E368-100,E368)))))),100))</f>
        <v>40</v>
      </c>
      <c r="F369" s="115">
        <f ca="1">IF(AND(CU369,OR(C369="赤日轮1",C369="赤日轮2",C369="赤日轮3",C369="烈日斩",C369="净世破魔击·日")),100,MIN(IF(CO369,0,IF(OR($C369="幽月轮1",$C369="幽月轮2",$C369="幽月轮3"),F368+20+IF(模拟模式!$I$7="日月凌天",4,0)+IF(CS368,20,0),IF($C369="银月斩",F368+40+IF(模拟模式!$X$12=1,5,0),IF($C369="驱夜断愁",IF(模拟模式!$R$7="万念俱寂",F368+20,F368+60),IF($C369="净世破魔击·月",IF(模拟模式!$M$7="辉耀红尘",F368-80,F368-100),IF(AND(C369="净世破魔击·日",OR(DB368&gt;0,CV368&gt;0)),100,F368)))))),100))</f>
        <v>85</v>
      </c>
      <c r="G369" s="117">
        <f ca="1">('模拟-全程加成'!$E$3+'模拟-全程加成'!$E$4+'模拟-全程加成'!$E$5+('模拟-全程加成'!$C$6-'模拟-全程加成'!$C$3)*系数!$B$9+BS369*23)*(1+'模拟-全程加成'!$F$4+'模拟-全程加成'!$F$5+BJ369*10%+BM369*20%+BP369*4%+CG369*30%)+$F$7*系数!$B$12</f>
        <v>21493.829400000002</v>
      </c>
      <c r="H369" s="45">
        <f ca="1">'模拟-全程加成'!$H$3+'模拟-全程加成'!$H$4+'模拟-全程加成'!$H$5+('模拟-全程加成'!$G$4+'模拟-全程加成'!$G$5+('模拟-全程加成'!$C$6-'模拟-全程加成'!$C$3)*系数!$B$13)/系数!$B$3+LOOKUP(D369,'模拟-单技能数据'!$A$2:$A$19,'模拟-单技能数据'!$K$2:$K$19)+BG369*10%+IF(BV369&gt;0,378,0)</f>
        <v>0.51185145527300213</v>
      </c>
      <c r="I369" s="45">
        <f ca="1">'模拟-全程加成'!$J$3+'模拟-全程加成'!$J$4+'模拟-全程加成'!$J$5+('模拟-全程加成'!$I$4+'模拟-全程加成'!$I$5)/系数!$B$4+LOOKUP(D369,'模拟-单技能数据'!$A$2:$A$19,'模拟-单技能数据'!$L$2:$L$19)+BG369*10%</f>
        <v>2.162482885499879</v>
      </c>
      <c r="J369" s="45">
        <f ca="1">(('模拟-全程加成'!$K$3+'模拟-全程加成'!$K$4+'模拟-全程加成'!$K$5+('模拟-全程加成'!$C$6-'模拟-全程加成'!$C$3)*系数!$B$10+IF(BV369&gt;0,882,0)+IF(BY369&gt;0,1831,0))*(1+'模拟-全程加成'!$L$4+'模拟-全程加成'!$L$5+CC369*20%))/系数!$B$5</f>
        <v>0.69723220422048726</v>
      </c>
      <c r="K369" s="119">
        <f ca="1">LOOKUP(D369,'模拟-单技能数据'!$A$2:$A$19,'模拟-单技能数据'!$J$2:$J$19)+IF(CM369,60%,0)+IF(DB368-DB369&gt;0,30%,0)+IF(OR(AND(OR(C369="赤日轮1",C369="赤日轮2",C369="赤日轮3"),CR369),AND(OR(C369="幽月轮1",C369="幽月轮2",C369="幽月轮3"),CS369)),35%,0)+CJ369</f>
        <v>0.14000000000000001</v>
      </c>
      <c r="L369" s="119">
        <f ca="1">IF(AND(C369="烈日斩",模拟模式!$X$11=1),10%,0)+IF(AND(C369="驱夜断愁",AB369=1),30%,0)</f>
        <v>0.3</v>
      </c>
      <c r="M369" s="45">
        <f t="shared" ca="1" si="297"/>
        <v>0.51185145527300213</v>
      </c>
      <c r="N369" s="45">
        <f t="shared" ca="1" si="298"/>
        <v>0.43424854472699792</v>
      </c>
      <c r="O369" s="46">
        <f t="shared" ca="1" si="322"/>
        <v>0.41239286662525643</v>
      </c>
      <c r="P369" s="46" t="str">
        <f t="shared" ca="1" si="323"/>
        <v>会</v>
      </c>
      <c r="Q369" s="45">
        <f t="shared" ca="1" si="324"/>
        <v>2.162482885499879</v>
      </c>
      <c r="R369" s="117">
        <f ca="1">模拟模式!$E$20*(1-IF(模拟模式!$J$19="有",0.15,0))*(1-IF(模拟模式!$K$19="有",0.3,0)-IF(CQ369,0.5,0))</f>
        <v>843.02999999999975</v>
      </c>
      <c r="S369" s="45">
        <f ca="1">R369/(R369+(185*模拟模式!$E$22-16800)*4.08224)</f>
        <v>8.389626085980037E-2</v>
      </c>
      <c r="T369" s="45" t="str">
        <f ca="1">LOOKUP(D369,'模拟-单技能数据'!$A$2:$A$19,'模拟-单技能数据'!$H$2:$H$19)</f>
        <v>阴</v>
      </c>
      <c r="U369" s="119">
        <f t="shared" ca="1" si="299"/>
        <v>0.08</v>
      </c>
      <c r="V369" s="47">
        <f ca="1">(1+L369)*(LOOKUP(D369,'模拟-单技能数据'!$A$2:$A$19,'模拟-单技能数据'!$D$2:$D$19)+G369*LOOKUP(D369,'模拟-单技能数据'!$A$2:$A$19,'模拟-单技能数据'!$F$2:$F$19))*(1+J369)*(1+K369)*(1-S369)*(1+U369)*Q369*LOOKUP(D369,'模拟-单技能数据'!$A$2:$A$19,'模拟-单技能数据'!$I$2:$I$20)</f>
        <v>133079.35569364758</v>
      </c>
      <c r="W369" s="47">
        <f ca="1">LOOKUP(D369,'模拟-单技能数据'!$A$2:$A$19,'模拟-单技能数据'!$G$2:$G$19)*$I$10</f>
        <v>723.0212870940959</v>
      </c>
      <c r="X369" s="47">
        <f t="shared" ca="1" si="325"/>
        <v>15858.380188173272</v>
      </c>
      <c r="Y369" s="47">
        <f t="shared" ca="1" si="300"/>
        <v>149660.75716891495</v>
      </c>
      <c r="Z369" s="49">
        <f t="shared" ca="1" si="301"/>
        <v>35952688.043150753</v>
      </c>
      <c r="AA369" s="97">
        <f t="shared" ca="1" si="302"/>
        <v>113956.44318658124</v>
      </c>
      <c r="AB369" s="115">
        <f ca="1">IF(OR(C369="赤日轮1",C369="赤日轮2",C369="赤日轮3"),IF(RAND()&lt;模拟模式!$Y$17,1,0),IF(OR(C369="幽月轮1",C369="幽月轮2",C369="幽月轮3"),IF(RAND()&lt;模拟模式!$Y$18,1,0),IF(C369="烈日斩",IF(RAND()&lt;模拟模式!$Y$19,1,0),IF(C369="银月斩",IF(RAND()&lt;模拟模式!$Y$20,1,0),IF(C369="驱夜断愁",IF(RAND()&lt;模拟模式!$Y$21,1,0),IF(C369="净世破魔击·日",IF(RAND()&lt;模拟模式!$Y$22,1,0),IF(C369="净世破魔击·月",IF(RAND()&lt;模拟模式!$Y$23,1,0),0)))))))</f>
        <v>1</v>
      </c>
      <c r="AC369" s="115" t="b">
        <f t="shared" ca="1" si="290"/>
        <v>0</v>
      </c>
      <c r="AD369" s="115" t="b">
        <f t="shared" ca="1" si="310"/>
        <v>1</v>
      </c>
      <c r="AE369" s="115">
        <f t="shared" ca="1" si="311"/>
        <v>5</v>
      </c>
      <c r="AF369" s="47">
        <f ca="1">IF(AC369,('模拟-单技能数据'!$D$20+G369*'模拟-单技能数据'!$F$20)*(1+J369)*(1+'模拟-单技能数据'!$J$20)*(1+U369),0)</f>
        <v>0</v>
      </c>
      <c r="AG369" s="61">
        <f t="shared" ca="1" si="303"/>
        <v>0.64185145527300214</v>
      </c>
      <c r="AH369" s="61">
        <f t="shared" ca="1" si="304"/>
        <v>2.2624828854998791</v>
      </c>
      <c r="AI369" s="62">
        <f t="shared" ca="1" si="326"/>
        <v>0.91735077666108966</v>
      </c>
      <c r="AJ369" s="47">
        <f ca="1">IF(AD369,IF(AI369&lt;$F$10,0,IF(AI369&lt;$F$10+$F$11,0.25,IF(AI369&lt;$F$10+$F$11+AG369,AH369,1)))*IF(AF369&gt;0,AF369,IF(AF368&gt;0,AF368,IF(AF367&gt;0,AF367,IF(AF366&gt;0,AF366,IF(AF365&gt;0,AF365,IF(AF364&gt;0,AF364,IF(AF363&gt;0,AF363,IF(AF362&gt;0,AF362,IF(AF361&gt;0,AF361,IF(AF359&gt;0,AF359,IF(AF358&gt;0,AF358,IF(AF357&gt;0,AF357,0)))))))))))),0)*(1-$S369)*'模拟-单技能数据'!$I$20</f>
        <v>4250.4883357170938</v>
      </c>
      <c r="AK369" s="115" t="b">
        <f t="shared" ca="1" si="291"/>
        <v>0</v>
      </c>
      <c r="AL369" s="115" t="b">
        <f t="shared" ca="1" si="312"/>
        <v>1</v>
      </c>
      <c r="AM369" s="115">
        <f t="shared" ca="1" si="313"/>
        <v>4</v>
      </c>
      <c r="AN369" s="47">
        <f ca="1">IF(AK369,('模拟-单技能数据'!$D$21+G369*'模拟-单技能数据'!$F$21)*(1+J369)*(1+'模拟-单技能数据'!$J$21)*(1+U369),0)</f>
        <v>0</v>
      </c>
      <c r="AO369" s="61">
        <f ca="1">IF(AN369&gt;0,M369-'模拟-单技能数据'!$K$10,AO368)</f>
        <v>0.42185145527300216</v>
      </c>
      <c r="AP369" s="61">
        <f ca="1">IF(AN369&gt;0,I369-'模拟-单技能数据'!$L$10,AP368)</f>
        <v>2.162482885499879</v>
      </c>
      <c r="AQ369" s="63">
        <f t="shared" ca="1" si="327"/>
        <v>0.96565444965501457</v>
      </c>
      <c r="AR369" s="64">
        <f ca="1">IF(AL369,IF(AQ369&lt;$F$10,0,IF(AQ369&lt;$F$10+$F$11,0.25,IF(AQ369&lt;$F$10+$F$11+AO369,AP369,1)))*IF(AN369&gt;0,AN369,IF(AN368&gt;0,AN368,IF(AN367&gt;0,AN367,IF(AN366&gt;0,AN366,IF(AN365&gt;0,AN365,IF(AN364&gt;0,AN364,IF(AN363&gt;0,AN363,IF(AN362&gt;0,AN362,IF(AN361&gt;0,AN361,IF(AN359&gt;0,AN359,IF(AN358&gt;0,AN358,IF(AN357&gt;0,AN357,0)))))))))))),0)*(1-$S369)*'模拟-单技能数据'!$I$21</f>
        <v>11607.89185245618</v>
      </c>
      <c r="AS369" s="61">
        <f ca="1">IF(OR(C369="净世破魔击·日",C369="净世破魔击·月"),M369-'模拟-单技能数据'!$K$10,0)</f>
        <v>0</v>
      </c>
      <c r="AT369" s="61">
        <f ca="1">IF(OR(C369="净世破魔击·日",C369="净世破魔击·月"),I369-'模拟-单技能数据'!$L$10,0)</f>
        <v>0</v>
      </c>
      <c r="AU369" s="62">
        <f t="shared" ca="1" si="328"/>
        <v>1.1000147962690665E-2</v>
      </c>
      <c r="AV369" s="64">
        <f ca="1">IF(AS369&gt;0,('模拟-单技能数据'!$D$22+G369*'模拟-单技能数据'!$F$22)*(1+J369)*(1-S369)*IF(AU369&lt;$F$10,0,IF(AU369&lt;$F$10+$F$11,0.25,IF(AU369&lt;$F$10+$F$11+AS369,AT369,1)))*(1+U369),0)*'模拟-单技能数据'!$I$22</f>
        <v>0</v>
      </c>
      <c r="AW369" s="108">
        <f t="shared" ca="1" si="329"/>
        <v>13.542500000000004</v>
      </c>
      <c r="AX369" s="108" t="b">
        <f ca="1">AND(模拟模式!$P$10="有",AW368=0,RAND()&lt;IF(C369="净世破魔击·月",0.1*8/3,IF(C369="净世破魔击·日",0.1*4/3,0.1*2/3)))</f>
        <v>0</v>
      </c>
      <c r="AY369" s="47">
        <f ca="1">IF(AX369,(18+G369*0.722)*(1+J369)*(1-S369)*(1+$I$4)*IF(P369="会",'模拟-全程加成'!$J$3+'模拟-全程加成'!$J$4+'模拟-全程加成'!$J$5+('模拟-全程加成'!$I$4+'模拟-全程加成'!$I$5)/系数!$B$4+BG369*10%,IF(P369="命",1,IF(P369="识",0.25,0))),0)</f>
        <v>0</v>
      </c>
      <c r="AZ369" s="108">
        <f t="shared" si="330"/>
        <v>8.9300000000000068</v>
      </c>
      <c r="BA369" s="108" t="b">
        <f>AND(模拟模式!$Q$10="有",AZ368=0)</f>
        <v>0</v>
      </c>
      <c r="BB369" s="140">
        <f>IF(BA369,(0+G369*0.287)*(1+J369)*(1-S369)*(1+$I$4)*IF(P369="会",'模拟-全程加成'!$J$3+'模拟-全程加成'!$J$4+'模拟-全程加成'!$J$5+('模拟-全程加成'!$I$4+'模拟-全程加成'!$I$5)/系数!$B$4+BG369*10%,IF(P369="命",1,IF(P369="识",0.25,0))),0)</f>
        <v>0</v>
      </c>
      <c r="BC369" s="115" t="b">
        <f ca="1">AND(模拟模式!$R$7="伏明众生",E369=60,F369=20,DA369&lt;5,CZ368&lt;$F$4)</f>
        <v>0</v>
      </c>
      <c r="BD369" s="115">
        <f t="shared" ca="1" si="292"/>
        <v>0</v>
      </c>
      <c r="BE369" s="115" t="b">
        <f t="shared" ca="1" si="293"/>
        <v>0</v>
      </c>
      <c r="BF369" s="47">
        <f ca="1">IF(BC369,4*('模拟-单技能数据'!$D$24+G369*'模拟-单技能数据'!$F$24)*(1+J369)*(1+'模拟-单技能数据'!$J$24)*(1-S369)*(1+$I$3)*(('模拟-全程加成'!$J$3+'模拟-全程加成'!$J$4+'模拟-全程加成'!$J$5+('模拟-全程加成'!$I$4+'模拟-全程加成'!$I$5)/系数!$B$4+BG369*10%)*('模拟-全程加成'!$J$3+'模拟-全程加成'!$J$4+'模拟-全程加成'!$J$5+('模拟-全程加成'!$I$4+'模拟-全程加成'!$I$5)/系数!$B$4+BG369*10%)+(1-('模拟-全程加成'!$J$3+'模拟-全程加成'!$J$4+'模拟-全程加成'!$J$5+('模拟-全程加成'!$I$4+'模拟-全程加成'!$I$5)/系数!$B$4+BG369*10%)-$F$10-$F$11)+F355*0.25),0)*'模拟-单技能数据'!$I$24</f>
        <v>0</v>
      </c>
      <c r="BG369" s="115" t="b">
        <f ca="1">OR(AND(OR(C369="烈日斩",C369="银月斩"),模拟模式!$I$7="净身明礼"),AND(C369="净世破魔击·日",模拟模式!$J$7="洞若观火"),AND(C370="净世破魔击·月",模拟模式!$J$7="洞若观火"),AB369=1)</f>
        <v>1</v>
      </c>
      <c r="BH369" s="115" t="b">
        <f t="shared" ca="1" si="331"/>
        <v>0</v>
      </c>
      <c r="BI369" s="115">
        <f t="shared" ca="1" si="294"/>
        <v>4.1549999999999994</v>
      </c>
      <c r="BJ369" s="115" t="b">
        <f t="shared" ca="1" si="305"/>
        <v>1</v>
      </c>
      <c r="BK369" s="115" t="b">
        <f ca="1">AND(C369="驱夜断愁",模拟模式!$P$7="天地诛戮")</f>
        <v>1</v>
      </c>
      <c r="BL369" s="57">
        <f t="shared" ca="1" si="295"/>
        <v>20</v>
      </c>
      <c r="BM369" s="115" t="b">
        <f t="shared" ca="1" si="306"/>
        <v>1</v>
      </c>
      <c r="BN369" s="115" t="b">
        <f ca="1">AND(OR(C369="赤日轮1",C369="赤日轮2",C369="赤日轮3",C369="幽月轮1",C369="幽月轮2",C369="幽月轮3"),AB369=1,模拟模式!$L$7="明光恒照")</f>
        <v>0</v>
      </c>
      <c r="BO369" s="117">
        <f t="shared" ca="1" si="296"/>
        <v>28.155000000000001</v>
      </c>
      <c r="BP369" s="115">
        <f t="shared" ca="1" si="332"/>
        <v>6</v>
      </c>
      <c r="BQ369" s="115" t="b">
        <f>模拟模式!$K$10="2600·水"</f>
        <v>0</v>
      </c>
      <c r="BR369" s="117">
        <f t="shared" si="333"/>
        <v>0</v>
      </c>
      <c r="BS369" s="115">
        <f t="shared" si="334"/>
        <v>0</v>
      </c>
      <c r="BT369" s="115">
        <f t="shared" ca="1" si="335"/>
        <v>0</v>
      </c>
      <c r="BU369" s="115" t="b">
        <f ca="1">AND(模拟模式!$K$10="2300·雷",BT368=0,RAND()&lt;IF(C369="净世破魔击·月",5*0.05*2/3,IF(C369="净世破魔击·日",3*0.05*2/3,0.05*2*2/3)))</f>
        <v>0</v>
      </c>
      <c r="BV369" s="115">
        <f t="shared" ca="1" si="336"/>
        <v>0</v>
      </c>
      <c r="BW369" s="115">
        <f t="shared" ca="1" si="337"/>
        <v>56.38499999999928</v>
      </c>
      <c r="BX369" s="164" t="b">
        <f t="shared" ca="1" si="338"/>
        <v>0</v>
      </c>
      <c r="BY369" s="115">
        <f t="shared" ca="1" si="339"/>
        <v>0</v>
      </c>
      <c r="BZ369" s="115">
        <f>IF(OR(模拟模式!$P$16="10人团",模拟模式!$P$16="25人团"),IF(B369/30&gt;CA368,1,0),0)</f>
        <v>0</v>
      </c>
      <c r="CA369" s="115">
        <f t="shared" si="315"/>
        <v>0</v>
      </c>
      <c r="CB369" s="115">
        <f ca="1">IF(BZ369=1,IF(模拟模式!$P$16="10人团",15,0)+IF(模拟模式!$P$16="25人团",IF(RAND()&lt;0.6,15,0)),MAX(0,CB368-$F$4))</f>
        <v>0</v>
      </c>
      <c r="CC369" s="115" t="b">
        <f t="shared" ca="1" si="307"/>
        <v>0</v>
      </c>
      <c r="CD369" s="115">
        <f>IF(模拟模式!$Q$16="1个",IF(B369/40&gt;CE368,1,0),0)</f>
        <v>0</v>
      </c>
      <c r="CE369" s="115">
        <f t="shared" si="308"/>
        <v>0</v>
      </c>
      <c r="CF369" s="115">
        <f>IF(OR(CD369=1,模拟模式!$Q$16="2个"),20,MAX(0,CF368-$F$4))</f>
        <v>0</v>
      </c>
      <c r="CG369" s="115" t="b">
        <f t="shared" si="309"/>
        <v>0</v>
      </c>
      <c r="CH369" s="115">
        <f t="shared" ca="1" si="340"/>
        <v>18.930000000000007</v>
      </c>
      <c r="CI369" s="115" t="b">
        <f t="shared" ca="1" si="341"/>
        <v>0</v>
      </c>
      <c r="CJ369" s="119">
        <f t="shared" ca="1" si="342"/>
        <v>0</v>
      </c>
      <c r="CK369" s="115">
        <f t="shared" ca="1" si="343"/>
        <v>0</v>
      </c>
      <c r="CL369" s="115" t="b">
        <f ca="1">AND(模拟模式!$S$7="驱夷逐法",OR(AND(C369="净世破魔击·月",E368&gt;59),AND(C369="净世破魔击·日",F368&gt;59)))</f>
        <v>0</v>
      </c>
      <c r="CM369" s="115" t="b">
        <f ca="1">OR(CL369,AND(C369="净世破魔击·日",CL368,RAND()&lt;模拟模式!$U$23))</f>
        <v>0</v>
      </c>
      <c r="CN369" s="115" t="b">
        <f ca="1">IF(模拟模式!$M$7="辉耀红尘",AND(C369="净世破魔击·月",CL369,CV369=0,E368&lt;80),AND(C369="净世破魔击·月",CL369,E368&lt;100))</f>
        <v>0</v>
      </c>
      <c r="CO369" s="115" t="b">
        <f t="shared" ca="1" si="316"/>
        <v>0</v>
      </c>
      <c r="CP369" s="115" t="b">
        <f ca="1">AND(模拟模式!$O$7="用晦而明",OR(C369="净世破魔击·日",C369="净世破魔击·月",C369="驱夜断愁"),AB369)</f>
        <v>1</v>
      </c>
      <c r="CQ369" s="115" t="b">
        <f ca="1">OR(CP369,AND(CP368,RAND()&lt;模拟模式!$U$23))</f>
        <v>1</v>
      </c>
      <c r="CR369" s="115" t="b">
        <f ca="1">AND(模拟模式!$S$7="日月齐光",OR(C369="幽月轮1",C369="幽月轮2",C369="幽月轮3",CR368),NOT(OR(C369="赤日轮1",C369="赤日轮2",C369="赤日轮3")))</f>
        <v>0</v>
      </c>
      <c r="CS369" s="115" t="b">
        <f ca="1">AND(模拟模式!$S$7="日月齐光",OR(C369="赤日轮1",C369="赤日轮2",C369="赤日轮3",CS368),NOT(OR(C369="幽月轮1",C369="幽月轮2",C369="幽月轮3")))</f>
        <v>0</v>
      </c>
      <c r="CT369" s="115">
        <f t="shared" ca="1" si="344"/>
        <v>16.162500000000009</v>
      </c>
      <c r="CU369" s="115" t="b">
        <f ca="1">AND(模拟模式!$K$10="阴阳往极",CT368=0,RAND()&lt;IF(C369="净世破魔击·月",0.0275*7/3,IF(C369="净世破魔击·日",0.0275*3/3,0.0275*2/3)))</f>
        <v>0</v>
      </c>
      <c r="CV369" s="115">
        <f t="shared" ca="1" si="345"/>
        <v>0</v>
      </c>
      <c r="CW369" s="115">
        <f t="shared" ca="1" si="317"/>
        <v>0.46499999999999975</v>
      </c>
      <c r="CX369" s="115">
        <f t="shared" ca="1" si="318"/>
        <v>5.0774999999999997</v>
      </c>
      <c r="CY369" s="115">
        <f ca="1">MAX(IF($C369="驱夜断愁",IF(模拟模式!$R$7="万念俱寂",6,45),CY368-$F$4),0)</f>
        <v>6</v>
      </c>
      <c r="CZ369" s="115">
        <f t="shared" ca="1" si="319"/>
        <v>0</v>
      </c>
      <c r="DA369" s="115">
        <f ca="1">IF(模拟模式!$N$7="日月同辉",IF(DB368=2,0,MIN(6,IF(AND(OR(C369="赤日轮1",C369="赤日轮2",C369="赤日轮3",C369="幽月轮1",C369="幽月轮2",C369="幽月轮3"),AB369=1),DA368+1,DA368))),0)</f>
        <v>2</v>
      </c>
      <c r="DB369" s="115">
        <f t="shared" ca="1" si="320"/>
        <v>0</v>
      </c>
      <c r="DC369" s="115"/>
      <c r="DD369" s="115"/>
      <c r="DE369" s="115"/>
      <c r="DF369" s="115"/>
      <c r="DG369" s="115"/>
      <c r="DH369" s="115"/>
      <c r="DI369" s="115"/>
      <c r="DJ369" s="115"/>
      <c r="DK369" s="115"/>
      <c r="DL369" s="115"/>
      <c r="DM369" s="115"/>
    </row>
    <row r="370" spans="2:117" x14ac:dyDescent="0.2">
      <c r="B370" s="117">
        <f t="shared" si="321"/>
        <v>316.41750000000269</v>
      </c>
      <c r="C370" s="167" t="str">
        <f t="shared" ca="1" si="314"/>
        <v>烈日斩</v>
      </c>
      <c r="D370" s="115">
        <f ca="1">IF(C370="赤日轮1",1,IF(C370="赤日轮2",2,IF(C370="赤日轮3",3,IF(C370="幽月轮1",4,IF(C370="幽月轮2",5,IF(C370="幽月轮3",6,IF(C370="烈日斩",7,IF(C370="银月斩",8,IF(C370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370="净世破魔击·月",17,IF(C370="驱夜断愁",18,0)))))))))))</f>
        <v>7</v>
      </c>
      <c r="E370" s="115">
        <f ca="1">IF(AND(CU370,OR(C370="幽月轮1",C370="幽月轮2",C370="幽月轮3",C370="银月斩",C370="驱夜断愁",C370="净世破魔击·月")),100,MIN(IF(OR(CN370,BE370),0,IF(OR($C370="赤日轮1",$C370="赤日轮2",$C370="赤日轮3"),E369+20+IF(模拟模式!$I$7="日月凌天",4,0)+IF(CR369,20,0),IF($C370="烈日斩",E369+40,IF($C370="驱夜断愁",IF(模拟模式!$R$7="万念俱寂",E369+20,E369+60),IF($C370="净世破魔击·月",IF(OR(DB369&gt;0,CV369&gt;0),100,IF(模拟模式!$M$7="辉耀红尘",E369+20,E369)),IF($C370="净世破魔击·日",E369-100,E369)))))),100))</f>
        <v>80</v>
      </c>
      <c r="F370" s="115">
        <f ca="1">IF(AND(CU370,OR(C370="赤日轮1",C370="赤日轮2",C370="赤日轮3",C370="烈日斩",C370="净世破魔击·日")),100,MIN(IF(CO370,0,IF(OR($C370="幽月轮1",$C370="幽月轮2",$C370="幽月轮3"),F369+20+IF(模拟模式!$I$7="日月凌天",4,0)+IF(CS369,20,0),IF($C370="银月斩",F369+40+IF(模拟模式!$X$12=1,5,0),IF($C370="驱夜断愁",IF(模拟模式!$R$7="万念俱寂",F369+20,F369+60),IF($C370="净世破魔击·月",IF(模拟模式!$M$7="辉耀红尘",F369-80,F369-100),IF(AND(C370="净世破魔击·日",OR(DB369&gt;0,CV369&gt;0)),100,F369)))))),100))</f>
        <v>85</v>
      </c>
      <c r="G370" s="117">
        <f ca="1">('模拟-全程加成'!$E$3+'模拟-全程加成'!$E$4+'模拟-全程加成'!$E$5+('模拟-全程加成'!$C$6-'模拟-全程加成'!$C$3)*系数!$B$9+BS370*23)*(1+'模拟-全程加成'!$F$4+'模拟-全程加成'!$F$5+BJ370*10%+BM370*20%+BP370*4%+CG370*30%)+$F$7*系数!$B$12</f>
        <v>21493.829400000002</v>
      </c>
      <c r="H370" s="45">
        <f ca="1">'模拟-全程加成'!$H$3+'模拟-全程加成'!$H$4+'模拟-全程加成'!$H$5+('模拟-全程加成'!$G$4+'模拟-全程加成'!$G$5+('模拟-全程加成'!$C$6-'模拟-全程加成'!$C$3)*系数!$B$13)/系数!$B$3+LOOKUP(D370,'模拟-单技能数据'!$A$2:$A$19,'模拟-单技能数据'!$K$2:$K$19)+BG370*10%+IF(BV370&gt;0,378,0)</f>
        <v>0.56185145527300218</v>
      </c>
      <c r="I370" s="45">
        <f ca="1">'模拟-全程加成'!$J$3+'模拟-全程加成'!$J$4+'模拟-全程加成'!$J$5+('模拟-全程加成'!$I$4+'模拟-全程加成'!$I$5)/系数!$B$4+LOOKUP(D370,'模拟-单技能数据'!$A$2:$A$19,'模拟-单技能数据'!$L$2:$L$19)+BG370*10%</f>
        <v>2.2624828854998791</v>
      </c>
      <c r="J370" s="45">
        <f ca="1">(('模拟-全程加成'!$K$3+'模拟-全程加成'!$K$4+'模拟-全程加成'!$K$5+('模拟-全程加成'!$C$6-'模拟-全程加成'!$C$3)*系数!$B$10+IF(BV370&gt;0,882,0)+IF(BY370&gt;0,1831,0))*(1+'模拟-全程加成'!$L$4+'模拟-全程加成'!$L$5+CC370*20%))/系数!$B$5</f>
        <v>0.69723220422048726</v>
      </c>
      <c r="K370" s="119">
        <f ca="1">LOOKUP(D370,'模拟-单技能数据'!$A$2:$A$19,'模拟-单技能数据'!$J$2:$J$19)+IF(CM370,60%,0)+IF(DB369-DB370&gt;0,30%,0)+IF(OR(AND(OR(C370="赤日轮1",C370="赤日轮2",C370="赤日轮3"),CR370),AND(OR(C370="幽月轮1",C370="幽月轮2",C370="幽月轮3"),CS370)),35%,0)+CJ370</f>
        <v>0.24</v>
      </c>
      <c r="L370" s="119">
        <f ca="1">IF(AND(C370="烈日斩",模拟模式!$X$11=1),10%,0)+IF(AND(C370="驱夜断愁",AB370=1),30%,0)</f>
        <v>0.1</v>
      </c>
      <c r="M370" s="45">
        <f t="shared" ca="1" si="297"/>
        <v>0.56185145527300218</v>
      </c>
      <c r="N370" s="45">
        <f t="shared" ca="1" si="298"/>
        <v>0.38424854472699788</v>
      </c>
      <c r="O370" s="46">
        <f t="shared" ca="1" si="322"/>
        <v>0.82249184420269883</v>
      </c>
      <c r="P370" s="46" t="str">
        <f t="shared" ca="1" si="323"/>
        <v>命</v>
      </c>
      <c r="Q370" s="45">
        <f t="shared" ca="1" si="324"/>
        <v>1</v>
      </c>
      <c r="R370" s="117">
        <f ca="1">模拟模式!$E$20*(1-IF(模拟模式!$J$19="有",0.15,0))*(1-IF(模拟模式!$K$19="有",0.3,0)-IF(CQ370,0.5,0))</f>
        <v>843.02999999999975</v>
      </c>
      <c r="S370" s="45">
        <f ca="1">R370/(R370+(185*模拟模式!$E$22-16800)*4.08224)</f>
        <v>8.389626085980037E-2</v>
      </c>
      <c r="T370" s="45" t="str">
        <f ca="1">LOOKUP(D370,'模拟-单技能数据'!$A$2:$A$19,'模拟-单技能数据'!$H$2:$H$19)</f>
        <v>阳</v>
      </c>
      <c r="U370" s="119">
        <f t="shared" ca="1" si="299"/>
        <v>0.2</v>
      </c>
      <c r="V370" s="47">
        <f ca="1">(1+L370)*(LOOKUP(D370,'模拟-单技能数据'!$A$2:$A$19,'模拟-单技能数据'!$D$2:$D$19)+G370*LOOKUP(D370,'模拟-单技能数据'!$A$2:$A$19,'模拟-单技能数据'!$F$2:$F$19))*(1+J370)*(1+K370)*(1-S370)*(1+U370)*Q370*LOOKUP(D370,'模拟-单技能数据'!$A$2:$A$19,'模拟-单技能数据'!$I$2:$I$20)</f>
        <v>48841.631854871324</v>
      </c>
      <c r="W370" s="47">
        <f ca="1">LOOKUP(D370,'模拟-单技能数据'!$A$2:$A$19,'模拟-单技能数据'!$G$2:$G$19)*$I$10</f>
        <v>361.51064354704795</v>
      </c>
      <c r="X370" s="47">
        <f t="shared" ca="1" si="325"/>
        <v>0</v>
      </c>
      <c r="Y370" s="47">
        <f t="shared" ca="1" si="300"/>
        <v>49203.142498418369</v>
      </c>
      <c r="Z370" s="49">
        <f t="shared" ca="1" si="301"/>
        <v>36001891.185649171</v>
      </c>
      <c r="AA370" s="97">
        <f t="shared" ca="1" si="302"/>
        <v>113779.70935756987</v>
      </c>
      <c r="AB370" s="115">
        <f ca="1">IF(OR(C370="赤日轮1",C370="赤日轮2",C370="赤日轮3"),IF(RAND()&lt;模拟模式!$Y$17,1,0),IF(OR(C370="幽月轮1",C370="幽月轮2",C370="幽月轮3"),IF(RAND()&lt;模拟模式!$Y$18,1,0),IF(C370="烈日斩",IF(RAND()&lt;模拟模式!$Y$19,1,0),IF(C370="银月斩",IF(RAND()&lt;模拟模式!$Y$20,1,0),IF(C370="驱夜断愁",IF(RAND()&lt;模拟模式!$Y$21,1,0),IF(C370="净世破魔击·日",IF(RAND()&lt;模拟模式!$Y$22,1,0),IF(C370="净世破魔击·月",IF(RAND()&lt;模拟模式!$Y$23,1,0),0)))))))</f>
        <v>1</v>
      </c>
      <c r="AC370" s="115" t="b">
        <f t="shared" ca="1" si="290"/>
        <v>0</v>
      </c>
      <c r="AD370" s="115" t="b">
        <f t="shared" ca="1" si="310"/>
        <v>0</v>
      </c>
      <c r="AE370" s="115">
        <f t="shared" ca="1" si="311"/>
        <v>5</v>
      </c>
      <c r="AF370" s="47">
        <f ca="1">IF(AC370,('模拟-单技能数据'!$D$20+G370*'模拟-单技能数据'!$F$20)*(1+J370)*(1+'模拟-单技能数据'!$J$20)*(1+U370),0)</f>
        <v>0</v>
      </c>
      <c r="AG370" s="61">
        <f t="shared" ca="1" si="303"/>
        <v>0.64185145527300214</v>
      </c>
      <c r="AH370" s="61">
        <f t="shared" ca="1" si="304"/>
        <v>2.2624828854998791</v>
      </c>
      <c r="AI370" s="62">
        <f t="shared" ca="1" si="326"/>
        <v>0.3132065148977291</v>
      </c>
      <c r="AJ370" s="47">
        <f ca="1">IF(AD370,IF(AI370&lt;$F$10,0,IF(AI370&lt;$F$10+$F$11,0.25,IF(AI370&lt;$F$10+$F$11+AG370,AH370,1)))*IF(AF370&gt;0,AF370,IF(AF369&gt;0,AF369,IF(AF368&gt;0,AF368,IF(AF367&gt;0,AF367,IF(AF366&gt;0,AF366,IF(AF365&gt;0,AF365,IF(AF364&gt;0,AF364,IF(AF363&gt;0,AF363,IF(AF362&gt;0,AF362,IF(AF360&gt;0,AF360,IF(AF359&gt;0,AF359,IF(AF358&gt;0,AF358,0)))))))))))),0)*(1-$S370)*'模拟-单技能数据'!$I$20</f>
        <v>0</v>
      </c>
      <c r="AK370" s="115" t="b">
        <f t="shared" ca="1" si="291"/>
        <v>0</v>
      </c>
      <c r="AL370" s="115" t="b">
        <f t="shared" ca="1" si="312"/>
        <v>0</v>
      </c>
      <c r="AM370" s="115">
        <f t="shared" ca="1" si="313"/>
        <v>4</v>
      </c>
      <c r="AN370" s="47">
        <f ca="1">IF(AK370,('模拟-单技能数据'!$D$21+G370*'模拟-单技能数据'!$F$21)*(1+J370)*(1+'模拟-单技能数据'!$J$21)*(1+U370),0)</f>
        <v>0</v>
      </c>
      <c r="AO370" s="61">
        <f ca="1">IF(AN370&gt;0,M370-'模拟-单技能数据'!$K$10,AO369)</f>
        <v>0.42185145527300216</v>
      </c>
      <c r="AP370" s="61">
        <f ca="1">IF(AN370&gt;0,I370-'模拟-单技能数据'!$L$10,AP369)</f>
        <v>2.162482885499879</v>
      </c>
      <c r="AQ370" s="63">
        <f t="shared" ca="1" si="327"/>
        <v>0.83178931159735436</v>
      </c>
      <c r="AR370" s="64">
        <f ca="1">IF(AL370,IF(AQ370&lt;$F$10,0,IF(AQ370&lt;$F$10+$F$11,0.25,IF(AQ370&lt;$F$10+$F$11+AO370,AP370,1)))*IF(AN370&gt;0,AN370,IF(AN369&gt;0,AN369,IF(AN368&gt;0,AN368,IF(AN367&gt;0,AN367,IF(AN366&gt;0,AN366,IF(AN365&gt;0,AN365,IF(AN364&gt;0,AN364,IF(AN363&gt;0,AN363,IF(AN362&gt;0,AN362,IF(AN360&gt;0,AN360,IF(AN359&gt;0,AN359,IF(AN358&gt;0,AN358,0)))))))))))),0)*(1-$S370)*'模拟-单技能数据'!$I$21</f>
        <v>0</v>
      </c>
      <c r="AS370" s="61">
        <f ca="1">IF(OR(C370="净世破魔击·日",C370="净世破魔击·月"),M370-'模拟-单技能数据'!$K$10,0)</f>
        <v>0</v>
      </c>
      <c r="AT370" s="61">
        <f ca="1">IF(OR(C370="净世破魔击·日",C370="净世破魔击·月"),I370-'模拟-单技能数据'!$L$10,0)</f>
        <v>0</v>
      </c>
      <c r="AU370" s="62">
        <f t="shared" ca="1" si="328"/>
        <v>0.49690845032760722</v>
      </c>
      <c r="AV370" s="64">
        <f ca="1">IF(AS370&gt;0,('模拟-单技能数据'!$D$22+G370*'模拟-单技能数据'!$F$22)*(1+J370)*(1-S370)*IF(AU370&lt;$F$10,0,IF(AU370&lt;$F$10+$F$11,0.25,IF(AU370&lt;$F$10+$F$11+AS370,AT370,1)))*(1+U370),0)*'模拟-单技能数据'!$I$22</f>
        <v>0</v>
      </c>
      <c r="AW370" s="108">
        <f t="shared" ca="1" si="329"/>
        <v>12.620000000000005</v>
      </c>
      <c r="AX370" s="108" t="b">
        <f ca="1">AND(模拟模式!$P$10="有",AW369=0,RAND()&lt;IF(C370="净世破魔击·月",0.1*8/3,IF(C370="净世破魔击·日",0.1*4/3,0.1*2/3)))</f>
        <v>0</v>
      </c>
      <c r="AY370" s="47">
        <f ca="1">IF(AX370,(18+G370*0.722)*(1+J370)*(1-S370)*(1+$I$4)*IF(P370="会",'模拟-全程加成'!$J$3+'模拟-全程加成'!$J$4+'模拟-全程加成'!$J$5+('模拟-全程加成'!$I$4+'模拟-全程加成'!$I$5)/系数!$B$4+BG370*10%,IF(P370="命",1,IF(P370="识",0.25,0))),0)</f>
        <v>0</v>
      </c>
      <c r="AZ370" s="108">
        <f t="shared" si="330"/>
        <v>8.0075000000000074</v>
      </c>
      <c r="BA370" s="108" t="b">
        <f>AND(模拟模式!$Q$10="有",AZ369=0)</f>
        <v>0</v>
      </c>
      <c r="BB370" s="140">
        <f>IF(BA370,(0+G370*0.287)*(1+J370)*(1-S370)*(1+$I$4)*IF(P370="会",'模拟-全程加成'!$J$3+'模拟-全程加成'!$J$4+'模拟-全程加成'!$J$5+('模拟-全程加成'!$I$4+'模拟-全程加成'!$I$5)/系数!$B$4+BG370*10%,IF(P370="命",1,IF(P370="识",0.25,0))),0)</f>
        <v>0</v>
      </c>
      <c r="BC370" s="115" t="b">
        <f ca="1">AND(模拟模式!$R$7="伏明众生",E370=60,F370=20,DA370&lt;5,CZ369&lt;$F$4)</f>
        <v>0</v>
      </c>
      <c r="BD370" s="115">
        <f t="shared" ca="1" si="292"/>
        <v>0</v>
      </c>
      <c r="BE370" s="115" t="b">
        <f t="shared" ca="1" si="293"/>
        <v>0</v>
      </c>
      <c r="BF370" s="47">
        <f ca="1">IF(BC370,4*('模拟-单技能数据'!$D$24+G370*'模拟-单技能数据'!$F$24)*(1+J370)*(1+'模拟-单技能数据'!$J$24)*(1-S370)*(1+$I$3)*(('模拟-全程加成'!$J$3+'模拟-全程加成'!$J$4+'模拟-全程加成'!$J$5+('模拟-全程加成'!$I$4+'模拟-全程加成'!$I$5)/系数!$B$4+BG370*10%)*('模拟-全程加成'!$J$3+'模拟-全程加成'!$J$4+'模拟-全程加成'!$J$5+('模拟-全程加成'!$I$4+'模拟-全程加成'!$I$5)/系数!$B$4+BG370*10%)+(1-('模拟-全程加成'!$J$3+'模拟-全程加成'!$J$4+'模拟-全程加成'!$J$5+('模拟-全程加成'!$I$4+'模拟-全程加成'!$I$5)/系数!$B$4+BG370*10%)-$F$10-$F$11)+F356*0.25),0)*'模拟-单技能数据'!$I$24</f>
        <v>0</v>
      </c>
      <c r="BG370" s="115" t="b">
        <f ca="1">OR(AND(OR(C370="烈日斩",C370="银月斩"),模拟模式!$I$7="净身明礼"),AND(C370="净世破魔击·日",模拟模式!$J$7="洞若观火"),AND(C371="净世破魔击·月",模拟模式!$J$7="洞若观火"),AB370=1)</f>
        <v>1</v>
      </c>
      <c r="BH370" s="115" t="b">
        <f t="shared" ca="1" si="331"/>
        <v>0</v>
      </c>
      <c r="BI370" s="115">
        <f t="shared" ca="1" si="294"/>
        <v>3.2324999999999995</v>
      </c>
      <c r="BJ370" s="115" t="b">
        <f t="shared" ca="1" si="305"/>
        <v>1</v>
      </c>
      <c r="BK370" s="115" t="b">
        <f ca="1">AND(C370="驱夜断愁",模拟模式!$P$7="天地诛戮")</f>
        <v>0</v>
      </c>
      <c r="BL370" s="57">
        <f t="shared" ca="1" si="295"/>
        <v>19.077500000000001</v>
      </c>
      <c r="BM370" s="115" t="b">
        <f t="shared" ca="1" si="306"/>
        <v>1</v>
      </c>
      <c r="BN370" s="115" t="b">
        <f ca="1">AND(OR(C370="赤日轮1",C370="赤日轮2",C370="赤日轮3",C370="幽月轮1",C370="幽月轮2",C370="幽月轮3"),AB370=1,模拟模式!$L$7="明光恒照")</f>
        <v>0</v>
      </c>
      <c r="BO370" s="117">
        <f t="shared" ca="1" si="296"/>
        <v>27.232500000000002</v>
      </c>
      <c r="BP370" s="115">
        <f t="shared" ca="1" si="332"/>
        <v>6</v>
      </c>
      <c r="BQ370" s="115" t="b">
        <f>模拟模式!$K$10="2600·水"</f>
        <v>0</v>
      </c>
      <c r="BR370" s="117">
        <f t="shared" si="333"/>
        <v>0</v>
      </c>
      <c r="BS370" s="115">
        <f t="shared" si="334"/>
        <v>0</v>
      </c>
      <c r="BT370" s="115">
        <f t="shared" ca="1" si="335"/>
        <v>0</v>
      </c>
      <c r="BU370" s="115" t="b">
        <f ca="1">AND(模拟模式!$K$10="2300·雷",BT369=0,RAND()&lt;IF(C370="净世破魔击·月",5*0.05*2/3,IF(C370="净世破魔击·日",3*0.05*2/3,0.05*2*2/3)))</f>
        <v>0</v>
      </c>
      <c r="BV370" s="115">
        <f t="shared" ca="1" si="336"/>
        <v>0</v>
      </c>
      <c r="BW370" s="115">
        <f t="shared" ca="1" si="337"/>
        <v>55.462499999999281</v>
      </c>
      <c r="BX370" s="164" t="b">
        <f t="shared" ca="1" si="338"/>
        <v>0</v>
      </c>
      <c r="BY370" s="115">
        <f t="shared" ca="1" si="339"/>
        <v>0</v>
      </c>
      <c r="BZ370" s="115">
        <f>IF(OR(模拟模式!$P$16="10人团",模拟模式!$P$16="25人团"),IF(B370/30&gt;CA369,1,0),0)</f>
        <v>0</v>
      </c>
      <c r="CA370" s="115">
        <f t="shared" si="315"/>
        <v>0</v>
      </c>
      <c r="CB370" s="115">
        <f ca="1">IF(BZ370=1,IF(模拟模式!$P$16="10人团",15,0)+IF(模拟模式!$P$16="25人团",IF(RAND()&lt;0.6,15,0)),MAX(0,CB369-$F$4))</f>
        <v>0</v>
      </c>
      <c r="CC370" s="115" t="b">
        <f t="shared" ca="1" si="307"/>
        <v>0</v>
      </c>
      <c r="CD370" s="115">
        <f>IF(模拟模式!$Q$16="1个",IF(B370/40&gt;CE369,1,0),0)</f>
        <v>0</v>
      </c>
      <c r="CE370" s="115">
        <f t="shared" si="308"/>
        <v>0</v>
      </c>
      <c r="CF370" s="115">
        <f>IF(OR(CD370=1,模拟模式!$Q$16="2个"),20,MAX(0,CF369-$F$4))</f>
        <v>0</v>
      </c>
      <c r="CG370" s="115" t="b">
        <f t="shared" si="309"/>
        <v>0</v>
      </c>
      <c r="CH370" s="115">
        <f t="shared" ca="1" si="340"/>
        <v>18.007500000000007</v>
      </c>
      <c r="CI370" s="115" t="b">
        <f t="shared" ca="1" si="341"/>
        <v>0</v>
      </c>
      <c r="CJ370" s="119">
        <f t="shared" ca="1" si="342"/>
        <v>0</v>
      </c>
      <c r="CK370" s="115">
        <f t="shared" ca="1" si="343"/>
        <v>0</v>
      </c>
      <c r="CL370" s="115" t="b">
        <f ca="1">AND(模拟模式!$S$7="驱夷逐法",OR(AND(C370="净世破魔击·月",E369&gt;59),AND(C370="净世破魔击·日",F369&gt;59)))</f>
        <v>0</v>
      </c>
      <c r="CM370" s="115" t="b">
        <f ca="1">OR(CL370,AND(C370="净世破魔击·日",CL369,RAND()&lt;模拟模式!$U$23))</f>
        <v>0</v>
      </c>
      <c r="CN370" s="115" t="b">
        <f ca="1">IF(模拟模式!$M$7="辉耀红尘",AND(C370="净世破魔击·月",CL370,CV370=0,E369&lt;80),AND(C370="净世破魔击·月",CL370,E369&lt;100))</f>
        <v>0</v>
      </c>
      <c r="CO370" s="115" t="b">
        <f t="shared" ca="1" si="316"/>
        <v>0</v>
      </c>
      <c r="CP370" s="115" t="b">
        <f ca="1">AND(模拟模式!$O$7="用晦而明",OR(C370="净世破魔击·日",C370="净世破魔击·月",C370="驱夜断愁"),AB370)</f>
        <v>0</v>
      </c>
      <c r="CQ370" s="115" t="b">
        <f ca="1">OR(CP370,AND(CP369,RAND()&lt;模拟模式!$U$23))</f>
        <v>1</v>
      </c>
      <c r="CR370" s="115" t="b">
        <f ca="1">AND(模拟模式!$S$7="日月齐光",OR(C370="幽月轮1",C370="幽月轮2",C370="幽月轮3",CR369),NOT(OR(C370="赤日轮1",C370="赤日轮2",C370="赤日轮3")))</f>
        <v>0</v>
      </c>
      <c r="CS370" s="115" t="b">
        <f ca="1">AND(模拟模式!$S$7="日月齐光",OR(C370="赤日轮1",C370="赤日轮2",C370="赤日轮3",CS369),NOT(OR(C370="幽月轮1",C370="幽月轮2",C370="幽月轮3")))</f>
        <v>0</v>
      </c>
      <c r="CT370" s="115">
        <f t="shared" ca="1" si="344"/>
        <v>15.240000000000009</v>
      </c>
      <c r="CU370" s="115" t="b">
        <f ca="1">AND(模拟模式!$K$10="阴阳往极",CT369=0,RAND()&lt;IF(C370="净世破魔击·月",0.0275*7/3,IF(C370="净世破魔击·日",0.0275*3/3,0.0275*2/3)))</f>
        <v>0</v>
      </c>
      <c r="CV370" s="115">
        <f t="shared" ca="1" si="345"/>
        <v>0</v>
      </c>
      <c r="CW370" s="115">
        <f t="shared" ca="1" si="317"/>
        <v>6</v>
      </c>
      <c r="CX370" s="115">
        <f t="shared" ca="1" si="318"/>
        <v>4.1549999999999994</v>
      </c>
      <c r="CY370" s="115">
        <f ca="1">MAX(IF($C370="驱夜断愁",IF(模拟模式!$R$7="万念俱寂",6,45),CY369-$F$4),0)</f>
        <v>5.0774999999999997</v>
      </c>
      <c r="CZ370" s="115">
        <f t="shared" ca="1" si="319"/>
        <v>0</v>
      </c>
      <c r="DA370" s="115">
        <f ca="1">IF(模拟模式!$N$7="日月同辉",IF(DB369=2,0,MIN(6,IF(AND(OR(C370="赤日轮1",C370="赤日轮2",C370="赤日轮3",C370="幽月轮1",C370="幽月轮2",C370="幽月轮3"),AB370=1),DA369+1,DA369))),0)</f>
        <v>2</v>
      </c>
      <c r="DB370" s="115">
        <f t="shared" ca="1" si="320"/>
        <v>0</v>
      </c>
      <c r="DC370" s="115"/>
      <c r="DD370" s="115"/>
      <c r="DE370" s="115"/>
      <c r="DF370" s="115"/>
      <c r="DG370" s="115"/>
      <c r="DH370" s="115"/>
      <c r="DI370" s="115"/>
      <c r="DJ370" s="115"/>
      <c r="DK370" s="115"/>
      <c r="DL370" s="115"/>
      <c r="DM370" s="115"/>
    </row>
    <row r="371" spans="2:117" x14ac:dyDescent="0.2">
      <c r="B371" s="117">
        <f t="shared" si="321"/>
        <v>317.3400000000027</v>
      </c>
      <c r="C371" s="167" t="str">
        <f t="shared" ca="1" si="314"/>
        <v>幽月轮1</v>
      </c>
      <c r="D371" s="115">
        <f ca="1">IF(C371="赤日轮1",1,IF(C371="赤日轮2",2,IF(C371="赤日轮3",3,IF(C371="幽月轮1",4,IF(C371="幽月轮2",5,IF(C371="幽月轮3",6,IF(C371="烈日斩",7,IF(C371="银月斩",8,IF(C371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371="净世破魔击·月",17,IF(C371="驱夜断愁",18,0)))))))))))</f>
        <v>4</v>
      </c>
      <c r="E371" s="115">
        <f ca="1">IF(AND(CU371,OR(C371="幽月轮1",C371="幽月轮2",C371="幽月轮3",C371="银月斩",C371="驱夜断愁",C371="净世破魔击·月")),100,MIN(IF(OR(CN371,BE371),0,IF(OR($C371="赤日轮1",$C371="赤日轮2",$C371="赤日轮3"),E370+20+IF(模拟模式!$I$7="日月凌天",4,0)+IF(CR370,20,0),IF($C371="烈日斩",E370+40,IF($C371="驱夜断愁",IF(模拟模式!$R$7="万念俱寂",E370+20,E370+60),IF($C371="净世破魔击·月",IF(OR(DB370&gt;0,CV370&gt;0),100,IF(模拟模式!$M$7="辉耀红尘",E370+20,E370)),IF($C371="净世破魔击·日",E370-100,E370)))))),100))</f>
        <v>80</v>
      </c>
      <c r="F371" s="115">
        <f ca="1">IF(AND(CU371,OR(C371="赤日轮1",C371="赤日轮2",C371="赤日轮3",C371="烈日斩",C371="净世破魔击·日")),100,MIN(IF(CO371,0,IF(OR($C371="幽月轮1",$C371="幽月轮2",$C371="幽月轮3"),F370+20+IF(模拟模式!$I$7="日月凌天",4,0)+IF(CS370,20,0),IF($C371="银月斩",F370+40+IF(模拟模式!$X$12=1,5,0),IF($C371="驱夜断愁",IF(模拟模式!$R$7="万念俱寂",F370+20,F370+60),IF($C371="净世破魔击·月",IF(模拟模式!$M$7="辉耀红尘",F370-80,F370-100),IF(AND(C371="净世破魔击·日",OR(DB370&gt;0,CV370&gt;0)),100,F370)))))),100))</f>
        <v>100</v>
      </c>
      <c r="G371" s="117">
        <f ca="1">('模拟-全程加成'!$E$3+'模拟-全程加成'!$E$4+'模拟-全程加成'!$E$5+('模拟-全程加成'!$C$6-'模拟-全程加成'!$C$3)*系数!$B$9+BS371*23)*(1+'模拟-全程加成'!$F$4+'模拟-全程加成'!$F$5+BJ371*10%+BM371*20%+BP371*4%+CG371*30%)+$F$7*系数!$B$12</f>
        <v>21493.829400000002</v>
      </c>
      <c r="H371" s="45">
        <f ca="1">'模拟-全程加成'!$H$3+'模拟-全程加成'!$H$4+'模拟-全程加成'!$H$5+('模拟-全程加成'!$G$4+'模拟-全程加成'!$G$5+('模拟-全程加成'!$C$6-'模拟-全程加成'!$C$3)*系数!$B$13)/系数!$B$3+LOOKUP(D371,'模拟-单技能数据'!$A$2:$A$19,'模拟-单技能数据'!$K$2:$K$19)+BG371*10%+IF(BV371&gt;0,378,0)</f>
        <v>0.51185145527300213</v>
      </c>
      <c r="I371" s="45">
        <f ca="1">'模拟-全程加成'!$J$3+'模拟-全程加成'!$J$4+'模拟-全程加成'!$J$5+('模拟-全程加成'!$I$4+'模拟-全程加成'!$I$5)/系数!$B$4+LOOKUP(D371,'模拟-单技能数据'!$A$2:$A$19,'模拟-单技能数据'!$L$2:$L$19)+BG371*10%</f>
        <v>2.162482885499879</v>
      </c>
      <c r="J371" s="45">
        <f ca="1">(('模拟-全程加成'!$K$3+'模拟-全程加成'!$K$4+'模拟-全程加成'!$K$5+('模拟-全程加成'!$C$6-'模拟-全程加成'!$C$3)*系数!$B$10+IF(BV371&gt;0,882,0)+IF(BY371&gt;0,1831,0))*(1+'模拟-全程加成'!$L$4+'模拟-全程加成'!$L$5+CC371*20%))/系数!$B$5</f>
        <v>0.69723220422048726</v>
      </c>
      <c r="K371" s="119">
        <f ca="1">LOOKUP(D371,'模拟-单技能数据'!$A$2:$A$19,'模拟-单技能数据'!$J$2:$J$19)+IF(CM371,60%,0)+IF(DB370-DB371&gt;0,30%,0)+IF(OR(AND(OR(C371="赤日轮1",C371="赤日轮2",C371="赤日轮3"),CR371),AND(OR(C371="幽月轮1",C371="幽月轮2",C371="幽月轮3"),CS371)),35%,0)+CJ371</f>
        <v>7.0000000000000007E-2</v>
      </c>
      <c r="L371" s="119">
        <f ca="1">IF(AND(C371="烈日斩",模拟模式!$X$11=1),10%,0)+IF(AND(C371="驱夜断愁",AB371=1),30%,0)</f>
        <v>0</v>
      </c>
      <c r="M371" s="45">
        <f t="shared" ca="1" si="297"/>
        <v>0.51185145527300213</v>
      </c>
      <c r="N371" s="45">
        <f t="shared" ca="1" si="298"/>
        <v>0.43424854472699792</v>
      </c>
      <c r="O371" s="46">
        <f t="shared" ca="1" si="322"/>
        <v>0.43367405832026673</v>
      </c>
      <c r="P371" s="46" t="str">
        <f t="shared" ca="1" si="323"/>
        <v>会</v>
      </c>
      <c r="Q371" s="45">
        <f t="shared" ca="1" si="324"/>
        <v>2.162482885499879</v>
      </c>
      <c r="R371" s="117">
        <f ca="1">模拟模式!$E$20*(1-IF(模拟模式!$J$19="有",0.15,0))*(1-IF(模拟模式!$K$19="有",0.3,0)-IF(CQ371,0.5,0))</f>
        <v>2950.6049999999996</v>
      </c>
      <c r="S371" s="45">
        <f ca="1">R371/(R371+(185*模拟模式!$E$22-16800)*4.08224)</f>
        <v>0.24272716014590323</v>
      </c>
      <c r="T371" s="45" t="str">
        <f ca="1">LOOKUP(D371,'模拟-单技能数据'!$A$2:$A$19,'模拟-单技能数据'!$H$2:$H$19)</f>
        <v>阴</v>
      </c>
      <c r="U371" s="119">
        <f t="shared" ca="1" si="299"/>
        <v>0.08</v>
      </c>
      <c r="V371" s="47">
        <f ca="1">(1+L371)*(LOOKUP(D371,'模拟-单技能数据'!$A$2:$A$19,'模拟-单技能数据'!$D$2:$D$19)+G371*LOOKUP(D371,'模拟-单技能数据'!$A$2:$A$19,'模拟-单技能数据'!$F$2:$F$19))*(1+J371)*(1+K371)*(1-S371)*(1+U371)*Q371*LOOKUP(D371,'模拟-单技能数据'!$A$2:$A$19,'模拟-单技能数据'!$I$2:$I$20)</f>
        <v>36630.702053185581</v>
      </c>
      <c r="W371" s="47">
        <f ca="1">LOOKUP(D371,'模拟-单技能数据'!$A$2:$A$19,'模拟-单技能数据'!$G$2:$G$19)*$I$10</f>
        <v>361.51064354704795</v>
      </c>
      <c r="X371" s="47">
        <f t="shared" ca="1" si="325"/>
        <v>17544.710041214701</v>
      </c>
      <c r="Y371" s="47">
        <f t="shared" ca="1" si="300"/>
        <v>54536.92273794733</v>
      </c>
      <c r="Z371" s="49">
        <f t="shared" ca="1" si="301"/>
        <v>36056428.10838712</v>
      </c>
      <c r="AA371" s="97">
        <f t="shared" ca="1" si="302"/>
        <v>113620.81082872255</v>
      </c>
      <c r="AB371" s="115">
        <f ca="1">IF(OR(C371="赤日轮1",C371="赤日轮2",C371="赤日轮3"),IF(RAND()&lt;模拟模式!$Y$17,1,0),IF(OR(C371="幽月轮1",C371="幽月轮2",C371="幽月轮3"),IF(RAND()&lt;模拟模式!$Y$18,1,0),IF(C371="烈日斩",IF(RAND()&lt;模拟模式!$Y$19,1,0),IF(C371="银月斩",IF(RAND()&lt;模拟模式!$Y$20,1,0),IF(C371="驱夜断愁",IF(RAND()&lt;模拟模式!$Y$21,1,0),IF(C371="净世破魔击·日",IF(RAND()&lt;模拟模式!$Y$22,1,0),IF(C371="净世破魔击·月",IF(RAND()&lt;模拟模式!$Y$23,1,0),0)))))))</f>
        <v>1</v>
      </c>
      <c r="AC371" s="115" t="b">
        <f t="shared" ca="1" si="290"/>
        <v>0</v>
      </c>
      <c r="AD371" s="115" t="b">
        <f t="shared" ca="1" si="310"/>
        <v>1</v>
      </c>
      <c r="AE371" s="115">
        <f t="shared" ca="1" si="311"/>
        <v>4</v>
      </c>
      <c r="AF371" s="47">
        <f ca="1">IF(AC371,('模拟-单技能数据'!$D$20+G371*'模拟-单技能数据'!$F$20)*(1+J371)*(1+'模拟-单技能数据'!$J$20)*(1+U371),0)</f>
        <v>0</v>
      </c>
      <c r="AG371" s="61">
        <f t="shared" ca="1" si="303"/>
        <v>0.64185145527300214</v>
      </c>
      <c r="AH371" s="61">
        <f t="shared" ca="1" si="304"/>
        <v>2.2624828854998791</v>
      </c>
      <c r="AI371" s="62">
        <f t="shared" ca="1" si="326"/>
        <v>0.66019725482518932</v>
      </c>
      <c r="AJ371" s="47">
        <f ca="1">IF(AD371,IF(AI371&lt;$F$10,0,IF(AI371&lt;$F$10+$F$11,0.25,IF(AI371&lt;$F$10+$F$11+AG371,AH371,1)))*IF(AF371&gt;0,AF371,IF(AF370&gt;0,AF370,IF(AF369&gt;0,AF369,IF(AF368&gt;0,AF368,IF(AF367&gt;0,AF367,IF(AF366&gt;0,AF366,IF(AF365&gt;0,AF365,IF(AF364&gt;0,AF364,IF(AF363&gt;0,AF363,IF(AF361&gt;0,AF361,IF(AF360&gt;0,AF360,IF(AF359&gt;0,AF359,0)))))))))))),0)*(1-$S371)*'模拟-单技能数据'!$I$20</f>
        <v>7949.3543492067038</v>
      </c>
      <c r="AK371" s="115" t="b">
        <f t="shared" ca="1" si="291"/>
        <v>0</v>
      </c>
      <c r="AL371" s="115" t="b">
        <f t="shared" ca="1" si="312"/>
        <v>1</v>
      </c>
      <c r="AM371" s="115">
        <f t="shared" ca="1" si="313"/>
        <v>3</v>
      </c>
      <c r="AN371" s="47">
        <f ca="1">IF(AK371,('模拟-单技能数据'!$D$21+G371*'模拟-单技能数据'!$F$21)*(1+J371)*(1+'模拟-单技能数据'!$J$21)*(1+U371),0)</f>
        <v>0</v>
      </c>
      <c r="AO371" s="61">
        <f ca="1">IF(AN371&gt;0,M371-'模拟-单技能数据'!$K$10,AO370)</f>
        <v>0.42185145527300216</v>
      </c>
      <c r="AP371" s="61">
        <f ca="1">IF(AN371&gt;0,I371-'模拟-单技能数据'!$L$10,AP370)</f>
        <v>2.162482885499879</v>
      </c>
      <c r="AQ371" s="63">
        <f t="shared" ca="1" si="327"/>
        <v>0.82102645828263454</v>
      </c>
      <c r="AR371" s="64">
        <f ca="1">IF(AL371,IF(AQ371&lt;$F$10,0,IF(AQ371&lt;$F$10+$F$11,0.25,IF(AQ371&lt;$F$10+$F$11+AO371,AP371,1)))*IF(AN371&gt;0,AN371,IF(AN370&gt;0,AN370,IF(AN369&gt;0,AN369,IF(AN368&gt;0,AN368,IF(AN367&gt;0,AN367,IF(AN366&gt;0,AN366,IF(AN365&gt;0,AN365,IF(AN364&gt;0,AN364,IF(AN363&gt;0,AN363,IF(AN361&gt;0,AN361,IF(AN360&gt;0,AN360,IF(AN359&gt;0,AN359,0)))))))))))),0)*(1-$S371)*'模拟-单技能数据'!$I$21</f>
        <v>9595.3556920079973</v>
      </c>
      <c r="AS371" s="61">
        <f ca="1">IF(OR(C371="净世破魔击·日",C371="净世破魔击·月"),M371-'模拟-单技能数据'!$K$10,0)</f>
        <v>0</v>
      </c>
      <c r="AT371" s="61">
        <f ca="1">IF(OR(C371="净世破魔击·日",C371="净世破魔击·月"),I371-'模拟-单技能数据'!$L$10,0)</f>
        <v>0</v>
      </c>
      <c r="AU371" s="62">
        <f t="shared" ca="1" si="328"/>
        <v>0.65554695123584161</v>
      </c>
      <c r="AV371" s="64">
        <f ca="1">IF(AS371&gt;0,('模拟-单技能数据'!$D$22+G371*'模拟-单技能数据'!$F$22)*(1+J371)*(1-S371)*IF(AU371&lt;$F$10,0,IF(AU371&lt;$F$10+$F$11,0.25,IF(AU371&lt;$F$10+$F$11+AS371,AT371,1)))*(1+U371),0)*'模拟-单技能数据'!$I$22</f>
        <v>0</v>
      </c>
      <c r="AW371" s="108">
        <f t="shared" ca="1" si="329"/>
        <v>11.697500000000005</v>
      </c>
      <c r="AX371" s="108" t="b">
        <f ca="1">AND(模拟模式!$P$10="有",AW370=0,RAND()&lt;IF(C371="净世破魔击·月",0.1*8/3,IF(C371="净世破魔击·日",0.1*4/3,0.1*2/3)))</f>
        <v>0</v>
      </c>
      <c r="AY371" s="47">
        <f ca="1">IF(AX371,(18+G371*0.722)*(1+J371)*(1-S371)*(1+$I$4)*IF(P371="会",'模拟-全程加成'!$J$3+'模拟-全程加成'!$J$4+'模拟-全程加成'!$J$5+('模拟-全程加成'!$I$4+'模拟-全程加成'!$I$5)/系数!$B$4+BG371*10%,IF(P371="命",1,IF(P371="识",0.25,0))),0)</f>
        <v>0</v>
      </c>
      <c r="AZ371" s="108">
        <f t="shared" si="330"/>
        <v>7.0850000000000071</v>
      </c>
      <c r="BA371" s="108" t="b">
        <f>AND(模拟模式!$Q$10="有",AZ370=0)</f>
        <v>0</v>
      </c>
      <c r="BB371" s="140">
        <f>IF(BA371,(0+G371*0.287)*(1+J371)*(1-S371)*(1+$I$4)*IF(P371="会",'模拟-全程加成'!$J$3+'模拟-全程加成'!$J$4+'模拟-全程加成'!$J$5+('模拟-全程加成'!$I$4+'模拟-全程加成'!$I$5)/系数!$B$4+BG371*10%,IF(P371="命",1,IF(P371="识",0.25,0))),0)</f>
        <v>0</v>
      </c>
      <c r="BC371" s="115" t="b">
        <f ca="1">AND(模拟模式!$R$7="伏明众生",E371=60,F371=20,DA371&lt;5,CZ370&lt;$F$4)</f>
        <v>0</v>
      </c>
      <c r="BD371" s="115">
        <f t="shared" ca="1" si="292"/>
        <v>0</v>
      </c>
      <c r="BE371" s="115" t="b">
        <f t="shared" ca="1" si="293"/>
        <v>0</v>
      </c>
      <c r="BF371" s="47">
        <f ca="1">IF(BC371,4*('模拟-单技能数据'!$D$24+G371*'模拟-单技能数据'!$F$24)*(1+J371)*(1+'模拟-单技能数据'!$J$24)*(1-S371)*(1+$I$3)*(('模拟-全程加成'!$J$3+'模拟-全程加成'!$J$4+'模拟-全程加成'!$J$5+('模拟-全程加成'!$I$4+'模拟-全程加成'!$I$5)/系数!$B$4+BG371*10%)*('模拟-全程加成'!$J$3+'模拟-全程加成'!$J$4+'模拟-全程加成'!$J$5+('模拟-全程加成'!$I$4+'模拟-全程加成'!$I$5)/系数!$B$4+BG371*10%)+(1-('模拟-全程加成'!$J$3+'模拟-全程加成'!$J$4+'模拟-全程加成'!$J$5+('模拟-全程加成'!$I$4+'模拟-全程加成'!$I$5)/系数!$B$4+BG371*10%)-$F$10-$F$11)+F357*0.25),0)*'模拟-单技能数据'!$I$24</f>
        <v>0</v>
      </c>
      <c r="BG371" s="115" t="b">
        <f ca="1">OR(AND(OR(C371="烈日斩",C371="银月斩"),模拟模式!$I$7="净身明礼"),AND(C371="净世破魔击·日",模拟模式!$J$7="洞若观火"),AND(C372="净世破魔击·月",模拟模式!$J$7="洞若观火"),AB371=1)</f>
        <v>1</v>
      </c>
      <c r="BH371" s="115" t="b">
        <f t="shared" ca="1" si="331"/>
        <v>0</v>
      </c>
      <c r="BI371" s="115">
        <f t="shared" ca="1" si="294"/>
        <v>2.3099999999999996</v>
      </c>
      <c r="BJ371" s="115" t="b">
        <f t="shared" ca="1" si="305"/>
        <v>1</v>
      </c>
      <c r="BK371" s="115" t="b">
        <f ca="1">AND(C371="驱夜断愁",模拟模式!$P$7="天地诛戮")</f>
        <v>0</v>
      </c>
      <c r="BL371" s="57">
        <f t="shared" ca="1" si="295"/>
        <v>18.155000000000001</v>
      </c>
      <c r="BM371" s="115" t="b">
        <f t="shared" ca="1" si="306"/>
        <v>1</v>
      </c>
      <c r="BN371" s="115" t="b">
        <f ca="1">AND(OR(C371="赤日轮1",C371="赤日轮2",C371="赤日轮3",C371="幽月轮1",C371="幽月轮2",C371="幽月轮3"),AB371=1,模拟模式!$L$7="明光恒照")</f>
        <v>1</v>
      </c>
      <c r="BO371" s="117">
        <f t="shared" ca="1" si="296"/>
        <v>30</v>
      </c>
      <c r="BP371" s="115">
        <f t="shared" ca="1" si="332"/>
        <v>6</v>
      </c>
      <c r="BQ371" s="115" t="b">
        <f>模拟模式!$K$10="2600·水"</f>
        <v>0</v>
      </c>
      <c r="BR371" s="117">
        <f t="shared" si="333"/>
        <v>0</v>
      </c>
      <c r="BS371" s="115">
        <f t="shared" si="334"/>
        <v>0</v>
      </c>
      <c r="BT371" s="115">
        <f t="shared" ca="1" si="335"/>
        <v>0</v>
      </c>
      <c r="BU371" s="115" t="b">
        <f ca="1">AND(模拟模式!$K$10="2300·雷",BT370=0,RAND()&lt;IF(C371="净世破魔击·月",5*0.05*2/3,IF(C371="净世破魔击·日",3*0.05*2/3,0.05*2*2/3)))</f>
        <v>0</v>
      </c>
      <c r="BV371" s="115">
        <f t="shared" ca="1" si="336"/>
        <v>0</v>
      </c>
      <c r="BW371" s="115">
        <f t="shared" ca="1" si="337"/>
        <v>54.539999999999281</v>
      </c>
      <c r="BX371" s="164" t="b">
        <f t="shared" ca="1" si="338"/>
        <v>0</v>
      </c>
      <c r="BY371" s="115">
        <f t="shared" ca="1" si="339"/>
        <v>0</v>
      </c>
      <c r="BZ371" s="115">
        <f>IF(OR(模拟模式!$P$16="10人团",模拟模式!$P$16="25人团"),IF(B371/30&gt;CA370,1,0),0)</f>
        <v>0</v>
      </c>
      <c r="CA371" s="115">
        <f t="shared" si="315"/>
        <v>0</v>
      </c>
      <c r="CB371" s="115">
        <f ca="1">IF(BZ371=1,IF(模拟模式!$P$16="10人团",15,0)+IF(模拟模式!$P$16="25人团",IF(RAND()&lt;0.6,15,0)),MAX(0,CB370-$F$4))</f>
        <v>0</v>
      </c>
      <c r="CC371" s="115" t="b">
        <f t="shared" ca="1" si="307"/>
        <v>0</v>
      </c>
      <c r="CD371" s="115">
        <f>IF(模拟模式!$Q$16="1个",IF(B371/40&gt;CE370,1,0),0)</f>
        <v>0</v>
      </c>
      <c r="CE371" s="115">
        <f t="shared" si="308"/>
        <v>0</v>
      </c>
      <c r="CF371" s="115">
        <f>IF(OR(CD371=1,模拟模式!$Q$16="2个"),20,MAX(0,CF370-$F$4))</f>
        <v>0</v>
      </c>
      <c r="CG371" s="115" t="b">
        <f t="shared" si="309"/>
        <v>0</v>
      </c>
      <c r="CH371" s="115">
        <f t="shared" ca="1" si="340"/>
        <v>17.085000000000008</v>
      </c>
      <c r="CI371" s="115" t="b">
        <f t="shared" ca="1" si="341"/>
        <v>0</v>
      </c>
      <c r="CJ371" s="119">
        <f t="shared" ca="1" si="342"/>
        <v>0</v>
      </c>
      <c r="CK371" s="115">
        <f t="shared" ca="1" si="343"/>
        <v>0</v>
      </c>
      <c r="CL371" s="115" t="b">
        <f ca="1">AND(模拟模式!$S$7="驱夷逐法",OR(AND(C371="净世破魔击·月",E370&gt;59),AND(C371="净世破魔击·日",F370&gt;59)))</f>
        <v>0</v>
      </c>
      <c r="CM371" s="115" t="b">
        <f ca="1">OR(CL371,AND(C371="净世破魔击·日",CL370,RAND()&lt;模拟模式!$U$23))</f>
        <v>0</v>
      </c>
      <c r="CN371" s="115" t="b">
        <f ca="1">IF(模拟模式!$M$7="辉耀红尘",AND(C371="净世破魔击·月",CL371,CV371=0,E370&lt;80),AND(C371="净世破魔击·月",CL371,E370&lt;100))</f>
        <v>0</v>
      </c>
      <c r="CO371" s="115" t="b">
        <f t="shared" ca="1" si="316"/>
        <v>0</v>
      </c>
      <c r="CP371" s="115" t="b">
        <f ca="1">AND(模拟模式!$O$7="用晦而明",OR(C371="净世破魔击·日",C371="净世破魔击·月",C371="驱夜断愁"),AB371)</f>
        <v>0</v>
      </c>
      <c r="CQ371" s="115" t="b">
        <f ca="1">OR(CP371,AND(CP370,RAND()&lt;模拟模式!$U$23))</f>
        <v>0</v>
      </c>
      <c r="CR371" s="115" t="b">
        <f ca="1">AND(模拟模式!$S$7="日月齐光",OR(C371="幽月轮1",C371="幽月轮2",C371="幽月轮3",CR370),NOT(OR(C371="赤日轮1",C371="赤日轮2",C371="赤日轮3")))</f>
        <v>0</v>
      </c>
      <c r="CS371" s="115" t="b">
        <f ca="1">AND(模拟模式!$S$7="日月齐光",OR(C371="赤日轮1",C371="赤日轮2",C371="赤日轮3",CS370),NOT(OR(C371="幽月轮1",C371="幽月轮2",C371="幽月轮3")))</f>
        <v>0</v>
      </c>
      <c r="CT371" s="115">
        <f t="shared" ca="1" si="344"/>
        <v>14.31750000000001</v>
      </c>
      <c r="CU371" s="115" t="b">
        <f ca="1">AND(模拟模式!$K$10="阴阳往极",CT370=0,RAND()&lt;IF(C371="净世破魔击·月",0.0275*7/3,IF(C371="净世破魔击·日",0.0275*3/3,0.0275*2/3)))</f>
        <v>0</v>
      </c>
      <c r="CV371" s="115">
        <f t="shared" ca="1" si="345"/>
        <v>0</v>
      </c>
      <c r="CW371" s="115">
        <f t="shared" ca="1" si="317"/>
        <v>5.0774999999999997</v>
      </c>
      <c r="CX371" s="115">
        <f t="shared" ca="1" si="318"/>
        <v>3.2324999999999995</v>
      </c>
      <c r="CY371" s="115">
        <f ca="1">MAX(IF($C371="驱夜断愁",IF(模拟模式!$R$7="万念俱寂",6,45),CY370-$F$4),0)</f>
        <v>4.1549999999999994</v>
      </c>
      <c r="CZ371" s="115">
        <f t="shared" ca="1" si="319"/>
        <v>0</v>
      </c>
      <c r="DA371" s="115">
        <f ca="1">IF(模拟模式!$N$7="日月同辉",IF(DB370=2,0,MIN(6,IF(AND(OR(C371="赤日轮1",C371="赤日轮2",C371="赤日轮3",C371="幽月轮1",C371="幽月轮2",C371="幽月轮3"),AB371=1),DA370+1,DA370))),0)</f>
        <v>3</v>
      </c>
      <c r="DB371" s="115">
        <f t="shared" ca="1" si="320"/>
        <v>0</v>
      </c>
      <c r="DC371" s="115"/>
      <c r="DD371" s="115"/>
      <c r="DE371" s="115"/>
      <c r="DF371" s="115"/>
      <c r="DG371" s="115"/>
      <c r="DH371" s="115"/>
      <c r="DI371" s="115"/>
      <c r="DJ371" s="115"/>
      <c r="DK371" s="115"/>
      <c r="DL371" s="115"/>
      <c r="DM371" s="115"/>
    </row>
    <row r="372" spans="2:117" x14ac:dyDescent="0.2">
      <c r="B372" s="117">
        <f t="shared" si="321"/>
        <v>318.26250000000272</v>
      </c>
      <c r="C372" s="167" t="str">
        <f t="shared" ca="1" si="314"/>
        <v>净世破魔击·月</v>
      </c>
      <c r="D372" s="115">
        <f ca="1">IF(C372="赤日轮1",1,IF(C372="赤日轮2",2,IF(C372="赤日轮3",3,IF(C372="幽月轮1",4,IF(C372="幽月轮2",5,IF(C372="幽月轮3",6,IF(C372="烈日斩",7,IF(C372="银月斩",8,IF(C372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372="净世破魔击·月",17,IF(C372="驱夜断愁",18,0)))))))))))</f>
        <v>17</v>
      </c>
      <c r="E372" s="115">
        <f ca="1">IF(AND(CU372,OR(C372="幽月轮1",C372="幽月轮2",C372="幽月轮3",C372="银月斩",C372="驱夜断愁",C372="净世破魔击·月")),100,MIN(IF(OR(CN372,BE372),0,IF(OR($C372="赤日轮1",$C372="赤日轮2",$C372="赤日轮3"),E371+20+IF(模拟模式!$I$7="日月凌天",4,0)+IF(CR371,20,0),IF($C372="烈日斩",E371+40,IF($C372="驱夜断愁",IF(模拟模式!$R$7="万念俱寂",E371+20,E371+60),IF($C372="净世破魔击·月",IF(OR(DB371&gt;0,CV371&gt;0),100,IF(模拟模式!$M$7="辉耀红尘",E371+20,E371)),IF($C372="净世破魔击·日",E371-100,E371)))))),100))</f>
        <v>100</v>
      </c>
      <c r="F372" s="115">
        <f ca="1">IF(AND(CU372,OR(C372="赤日轮1",C372="赤日轮2",C372="赤日轮3",C372="烈日斩",C372="净世破魔击·日")),100,MIN(IF(CO372,0,IF(OR($C372="幽月轮1",$C372="幽月轮2",$C372="幽月轮3"),F371+20+IF(模拟模式!$I$7="日月凌天",4,0)+IF(CS371,20,0),IF($C372="银月斩",F371+40+IF(模拟模式!$X$12=1,5,0),IF($C372="驱夜断愁",IF(模拟模式!$R$7="万念俱寂",F371+20,F371+60),IF($C372="净世破魔击·月",IF(模拟模式!$M$7="辉耀红尘",F371-80,F371-100),IF(AND(C372="净世破魔击·日",OR(DB371&gt;0,CV371&gt;0)),100,F371)))))),100))</f>
        <v>20</v>
      </c>
      <c r="G372" s="117">
        <f ca="1">('模拟-全程加成'!$E$3+'模拟-全程加成'!$E$4+'模拟-全程加成'!$E$5+('模拟-全程加成'!$C$6-'模拟-全程加成'!$C$3)*系数!$B$9+BS372*23)*(1+'模拟-全程加成'!$F$4+'模拟-全程加成'!$F$5+BJ372*10%+BM372*20%+BP372*4%+CG372*30%)+$F$7*系数!$B$12</f>
        <v>21493.829400000002</v>
      </c>
      <c r="H372" s="45">
        <f ca="1">'模拟-全程加成'!$H$3+'模拟-全程加成'!$H$4+'模拟-全程加成'!$H$5+('模拟-全程加成'!$G$4+'模拟-全程加成'!$G$5+('模拟-全程加成'!$C$6-'模拟-全程加成'!$C$3)*系数!$B$13)/系数!$B$3+LOOKUP(D372,'模拟-单技能数据'!$A$2:$A$19,'模拟-单技能数据'!$K$2:$K$19)+BG372*10%+IF(BV372&gt;0,378,0)</f>
        <v>0.54185145527300216</v>
      </c>
      <c r="I372" s="45">
        <f ca="1">'模拟-全程加成'!$J$3+'模拟-全程加成'!$J$4+'模拟-全程加成'!$J$5+('模拟-全程加成'!$I$4+'模拟-全程加成'!$I$5)/系数!$B$4+LOOKUP(D372,'模拟-单技能数据'!$A$2:$A$19,'模拟-单技能数据'!$L$2:$L$19)+BG372*10%</f>
        <v>2.162482885499879</v>
      </c>
      <c r="J372" s="45">
        <f ca="1">(('模拟-全程加成'!$K$3+'模拟-全程加成'!$K$4+'模拟-全程加成'!$K$5+('模拟-全程加成'!$C$6-'模拟-全程加成'!$C$3)*系数!$B$10+IF(BV372&gt;0,882,0)+IF(BY372&gt;0,1831,0))*(1+'模拟-全程加成'!$L$4+'模拟-全程加成'!$L$5+CC372*20%))/系数!$B$5</f>
        <v>0.69723220422048726</v>
      </c>
      <c r="K372" s="119">
        <f ca="1">LOOKUP(D372,'模拟-单技能数据'!$A$2:$A$19,'模拟-单技能数据'!$J$2:$J$19)+IF(CM372,60%,0)+IF(DB371-DB372&gt;0,30%,0)+IF(OR(AND(OR(C372="赤日轮1",C372="赤日轮2",C372="赤日轮3"),CR372),AND(OR(C372="幽月轮1",C372="幽月轮2",C372="幽月轮3"),CS372)),35%,0)+CJ372</f>
        <v>0.8</v>
      </c>
      <c r="L372" s="119">
        <f ca="1">IF(AND(C372="烈日斩",模拟模式!$X$11=1),10%,0)+IF(AND(C372="驱夜断愁",AB372=1),30%,0)</f>
        <v>0</v>
      </c>
      <c r="M372" s="45">
        <f t="shared" ca="1" si="297"/>
        <v>0.54185145527300216</v>
      </c>
      <c r="N372" s="45">
        <f t="shared" ca="1" si="298"/>
        <v>0.40424854472699789</v>
      </c>
      <c r="O372" s="46">
        <f t="shared" ca="1" si="322"/>
        <v>0.77129967158689494</v>
      </c>
      <c r="P372" s="46" t="str">
        <f t="shared" ca="1" si="323"/>
        <v>命</v>
      </c>
      <c r="Q372" s="45">
        <f t="shared" ca="1" si="324"/>
        <v>1</v>
      </c>
      <c r="R372" s="117">
        <f ca="1">模拟模式!$E$20*(1-IF(模拟模式!$J$19="有",0.15,0))*(1-IF(模拟模式!$K$19="有",0.3,0)-IF(CQ372,0.5,0))</f>
        <v>843.02999999999975</v>
      </c>
      <c r="S372" s="45">
        <f ca="1">R372/(R372+(185*模拟模式!$E$22-16800)*4.08224)</f>
        <v>8.389626085980037E-2</v>
      </c>
      <c r="T372" s="45" t="str">
        <f ca="1">LOOKUP(D372,'模拟-单技能数据'!$A$2:$A$19,'模拟-单技能数据'!$H$2:$H$19)</f>
        <v>阴</v>
      </c>
      <c r="U372" s="119">
        <f t="shared" ca="1" si="299"/>
        <v>0.08</v>
      </c>
      <c r="V372" s="47">
        <f ca="1">(1+L372)*(LOOKUP(D372,'模拟-单技能数据'!$A$2:$A$19,'模拟-单技能数据'!$D$2:$D$19)+G372*LOOKUP(D372,'模拟-单技能数据'!$A$2:$A$19,'模拟-单技能数据'!$F$2:$F$19))*(1+J372)*(1+K372)*(1-S372)*(1+U372)*Q372*LOOKUP(D372,'模拟-单技能数据'!$A$2:$A$19,'模拟-单技能数据'!$I$2:$I$20)</f>
        <v>84412.793434348554</v>
      </c>
      <c r="W372" s="47">
        <f ca="1">LOOKUP(D372,'模拟-单技能数据'!$A$2:$A$19,'模拟-单技能数据'!$G$2:$G$19)*$I$10</f>
        <v>361.51064354704795</v>
      </c>
      <c r="X372" s="47">
        <f t="shared" ca="1" si="325"/>
        <v>7956.2107573714466</v>
      </c>
      <c r="Y372" s="47">
        <f t="shared" ca="1" si="300"/>
        <v>92730.514835267051</v>
      </c>
      <c r="Z372" s="49">
        <f t="shared" ca="1" si="301"/>
        <v>36149158.623222388</v>
      </c>
      <c r="AA372" s="97">
        <f t="shared" ca="1" si="302"/>
        <v>113582.84002426323</v>
      </c>
      <c r="AB372" s="115">
        <f ca="1">IF(OR(C372="赤日轮1",C372="赤日轮2",C372="赤日轮3"),IF(RAND()&lt;模拟模式!$Y$17,1,0),IF(OR(C372="幽月轮1",C372="幽月轮2",C372="幽月轮3"),IF(RAND()&lt;模拟模式!$Y$18,1,0),IF(C372="烈日斩",IF(RAND()&lt;模拟模式!$Y$19,1,0),IF(C372="银月斩",IF(RAND()&lt;模拟模式!$Y$20,1,0),IF(C372="驱夜断愁",IF(RAND()&lt;模拟模式!$Y$21,1,0),IF(C372="净世破魔击·日",IF(RAND()&lt;模拟模式!$Y$22,1,0),IF(C372="净世破魔击·月",IF(RAND()&lt;模拟模式!$Y$23,1,0),0)))))))</f>
        <v>1</v>
      </c>
      <c r="AC372" s="115" t="b">
        <f t="shared" ca="1" si="290"/>
        <v>0</v>
      </c>
      <c r="AD372" s="115" t="b">
        <f t="shared" ca="1" si="310"/>
        <v>0</v>
      </c>
      <c r="AE372" s="115">
        <f t="shared" ca="1" si="311"/>
        <v>4</v>
      </c>
      <c r="AF372" s="47">
        <f ca="1">IF(AC372,('模拟-单技能数据'!$D$20+G372*'模拟-单技能数据'!$F$20)*(1+J372)*(1+'模拟-单技能数据'!$J$20)*(1+U372),0)</f>
        <v>0</v>
      </c>
      <c r="AG372" s="61">
        <f t="shared" ca="1" si="303"/>
        <v>0.64185145527300214</v>
      </c>
      <c r="AH372" s="61">
        <f t="shared" ca="1" si="304"/>
        <v>2.2624828854998791</v>
      </c>
      <c r="AI372" s="62">
        <f t="shared" ca="1" si="326"/>
        <v>0.16078696883933075</v>
      </c>
      <c r="AJ372" s="47">
        <f ca="1">IF(AD372,IF(AI372&lt;$F$10,0,IF(AI372&lt;$F$10+$F$11,0.25,IF(AI372&lt;$F$10+$F$11+AG372,AH372,1)))*IF(AF372&gt;0,AF372,IF(AF371&gt;0,AF371,IF(AF370&gt;0,AF370,IF(AF369&gt;0,AF369,IF(AF368&gt;0,AF368,IF(AF367&gt;0,AF367,IF(AF366&gt;0,AF366,IF(AF365&gt;0,AF365,IF(AF364&gt;0,AF364,IF(AF362&gt;0,AF362,IF(AF361&gt;0,AF361,IF(AF360&gt;0,AF360,0)))))))))))),0)*(1-$S372)*'模拟-单技能数据'!$I$20</f>
        <v>0</v>
      </c>
      <c r="AK372" s="115" t="b">
        <f t="shared" ca="1" si="291"/>
        <v>0</v>
      </c>
      <c r="AL372" s="115" t="b">
        <f t="shared" ca="1" si="312"/>
        <v>0</v>
      </c>
      <c r="AM372" s="115">
        <f t="shared" ca="1" si="313"/>
        <v>3</v>
      </c>
      <c r="AN372" s="47">
        <f ca="1">IF(AK372,('模拟-单技能数据'!$D$21+G372*'模拟-单技能数据'!$F$21)*(1+J372)*(1+'模拟-单技能数据'!$J$21)*(1+U372),0)</f>
        <v>0</v>
      </c>
      <c r="AO372" s="61">
        <f ca="1">IF(AN372&gt;0,M372-'模拟-单技能数据'!$K$10,AO371)</f>
        <v>0.42185145527300216</v>
      </c>
      <c r="AP372" s="61">
        <f ca="1">IF(AN372&gt;0,I372-'模拟-单技能数据'!$L$10,AP371)</f>
        <v>2.162482885499879</v>
      </c>
      <c r="AQ372" s="63">
        <f t="shared" ca="1" si="327"/>
        <v>0.41927162495815551</v>
      </c>
      <c r="AR372" s="64">
        <f ca="1">IF(AL372,IF(AQ372&lt;$F$10,0,IF(AQ372&lt;$F$10+$F$11,0.25,IF(AQ372&lt;$F$10+$F$11+AO372,AP372,1)))*IF(AN372&gt;0,AN372,IF(AN371&gt;0,AN371,IF(AN370&gt;0,AN370,IF(AN369&gt;0,AN369,IF(AN368&gt;0,AN368,IF(AN367&gt;0,AN367,IF(AN366&gt;0,AN366,IF(AN365&gt;0,AN365,IF(AN364&gt;0,AN364,IF(AN362&gt;0,AN362,IF(AN361&gt;0,AN361,IF(AN360&gt;0,AN360,0)))))))))))),0)*(1-$S372)*'模拟-单技能数据'!$I$21</f>
        <v>0</v>
      </c>
      <c r="AS372" s="61">
        <f ca="1">IF(OR(C372="净世破魔击·日",C372="净世破魔击·月"),M372-'模拟-单技能数据'!$K$10,0)</f>
        <v>0.42185145527300216</v>
      </c>
      <c r="AT372" s="61">
        <f ca="1">IF(OR(C372="净世破魔击·日",C372="净世破魔击·月"),I372-'模拟-单技能数据'!$L$10,0)</f>
        <v>2.162482885499879</v>
      </c>
      <c r="AU372" s="62">
        <f t="shared" ca="1" si="328"/>
        <v>0.87948022919555957</v>
      </c>
      <c r="AV372" s="64">
        <f ca="1">IF(AS372&gt;0,('模拟-单技能数据'!$D$22+G372*'模拟-单技能数据'!$F$22)*(1+J372)*(1-S372)*IF(AU372&lt;$F$10,0,IF(AU372&lt;$F$10+$F$11,0.25,IF(AU372&lt;$F$10+$F$11+AS372,AT372,1)))*(1+U372),0)*'模拟-单技能数据'!$I$22</f>
        <v>7956.2107573714466</v>
      </c>
      <c r="AW372" s="108">
        <f t="shared" ca="1" si="329"/>
        <v>10.775000000000006</v>
      </c>
      <c r="AX372" s="108" t="b">
        <f ca="1">AND(模拟模式!$P$10="有",AW371=0,RAND()&lt;IF(C372="净世破魔击·月",0.1*8/3,IF(C372="净世破魔击·日",0.1*4/3,0.1*2/3)))</f>
        <v>0</v>
      </c>
      <c r="AY372" s="47">
        <f ca="1">IF(AX372,(18+G372*0.722)*(1+J372)*(1-S372)*(1+$I$4)*IF(P372="会",'模拟-全程加成'!$J$3+'模拟-全程加成'!$J$4+'模拟-全程加成'!$J$5+('模拟-全程加成'!$I$4+'模拟-全程加成'!$I$5)/系数!$B$4+BG372*10%,IF(P372="命",1,IF(P372="识",0.25,0))),0)</f>
        <v>0</v>
      </c>
      <c r="AZ372" s="108">
        <f t="shared" si="330"/>
        <v>6.1625000000000068</v>
      </c>
      <c r="BA372" s="108" t="b">
        <f>AND(模拟模式!$Q$10="有",AZ371=0)</f>
        <v>0</v>
      </c>
      <c r="BB372" s="140">
        <f>IF(BA372,(0+G372*0.287)*(1+J372)*(1-S372)*(1+$I$4)*IF(P372="会",'模拟-全程加成'!$J$3+'模拟-全程加成'!$J$4+'模拟-全程加成'!$J$5+('模拟-全程加成'!$I$4+'模拟-全程加成'!$I$5)/系数!$B$4+BG372*10%,IF(P372="命",1,IF(P372="识",0.25,0))),0)</f>
        <v>0</v>
      </c>
      <c r="BC372" s="115" t="b">
        <f ca="1">AND(模拟模式!$R$7="伏明众生",E372=60,F372=20,DA372&lt;5,CZ371&lt;$F$4)</f>
        <v>0</v>
      </c>
      <c r="BD372" s="115">
        <f t="shared" ca="1" si="292"/>
        <v>0</v>
      </c>
      <c r="BE372" s="115" t="b">
        <f t="shared" ca="1" si="293"/>
        <v>0</v>
      </c>
      <c r="BF372" s="47">
        <f ca="1">IF(BC372,4*('模拟-单技能数据'!$D$24+G372*'模拟-单技能数据'!$F$24)*(1+J372)*(1+'模拟-单技能数据'!$J$24)*(1-S372)*(1+$I$3)*(('模拟-全程加成'!$J$3+'模拟-全程加成'!$J$4+'模拟-全程加成'!$J$5+('模拟-全程加成'!$I$4+'模拟-全程加成'!$I$5)/系数!$B$4+BG372*10%)*('模拟-全程加成'!$J$3+'模拟-全程加成'!$J$4+'模拟-全程加成'!$J$5+('模拟-全程加成'!$I$4+'模拟-全程加成'!$I$5)/系数!$B$4+BG372*10%)+(1-('模拟-全程加成'!$J$3+'模拟-全程加成'!$J$4+'模拟-全程加成'!$J$5+('模拟-全程加成'!$I$4+'模拟-全程加成'!$I$5)/系数!$B$4+BG372*10%)-$F$10-$F$11)+F358*0.25),0)*'模拟-单技能数据'!$I$24</f>
        <v>0</v>
      </c>
      <c r="BG372" s="115" t="b">
        <f ca="1">OR(AND(OR(C372="烈日斩",C372="银月斩"),模拟模式!$I$7="净身明礼"),AND(C372="净世破魔击·日",模拟模式!$J$7="洞若观火"),AND(C373="净世破魔击·月",模拟模式!$J$7="洞若观火"),AB372=1)</f>
        <v>1</v>
      </c>
      <c r="BH372" s="115" t="b">
        <f t="shared" ca="1" si="331"/>
        <v>0</v>
      </c>
      <c r="BI372" s="115">
        <f t="shared" ca="1" si="294"/>
        <v>1.3874999999999997</v>
      </c>
      <c r="BJ372" s="115" t="b">
        <f t="shared" ca="1" si="305"/>
        <v>1</v>
      </c>
      <c r="BK372" s="115" t="b">
        <f ca="1">AND(C372="驱夜断愁",模拟模式!$P$7="天地诛戮")</f>
        <v>0</v>
      </c>
      <c r="BL372" s="57">
        <f t="shared" ca="1" si="295"/>
        <v>17.232500000000002</v>
      </c>
      <c r="BM372" s="115" t="b">
        <f t="shared" ca="1" si="306"/>
        <v>1</v>
      </c>
      <c r="BN372" s="115" t="b">
        <f ca="1">AND(OR(C372="赤日轮1",C372="赤日轮2",C372="赤日轮3",C372="幽月轮1",C372="幽月轮2",C372="幽月轮3"),AB372=1,模拟模式!$L$7="明光恒照")</f>
        <v>0</v>
      </c>
      <c r="BO372" s="117">
        <f t="shared" ca="1" si="296"/>
        <v>29.077500000000001</v>
      </c>
      <c r="BP372" s="115">
        <f t="shared" ca="1" si="332"/>
        <v>6</v>
      </c>
      <c r="BQ372" s="115" t="b">
        <f>模拟模式!$K$10="2600·水"</f>
        <v>0</v>
      </c>
      <c r="BR372" s="117">
        <f t="shared" si="333"/>
        <v>0</v>
      </c>
      <c r="BS372" s="115">
        <f t="shared" si="334"/>
        <v>0</v>
      </c>
      <c r="BT372" s="115">
        <f t="shared" ca="1" si="335"/>
        <v>0</v>
      </c>
      <c r="BU372" s="115" t="b">
        <f ca="1">AND(模拟模式!$K$10="2300·雷",BT371=0,RAND()&lt;IF(C372="净世破魔击·月",5*0.05*2/3,IF(C372="净世破魔击·日",3*0.05*2/3,0.05*2*2/3)))</f>
        <v>0</v>
      </c>
      <c r="BV372" s="115">
        <f t="shared" ca="1" si="336"/>
        <v>0</v>
      </c>
      <c r="BW372" s="115">
        <f t="shared" ca="1" si="337"/>
        <v>53.617499999999282</v>
      </c>
      <c r="BX372" s="164" t="b">
        <f t="shared" ca="1" si="338"/>
        <v>0</v>
      </c>
      <c r="BY372" s="115">
        <f t="shared" ca="1" si="339"/>
        <v>0</v>
      </c>
      <c r="BZ372" s="115">
        <f>IF(OR(模拟模式!$P$16="10人团",模拟模式!$P$16="25人团"),IF(B372/30&gt;CA371,1,0),0)</f>
        <v>0</v>
      </c>
      <c r="CA372" s="115">
        <f t="shared" si="315"/>
        <v>0</v>
      </c>
      <c r="CB372" s="115">
        <f ca="1">IF(BZ372=1,IF(模拟模式!$P$16="10人团",15,0)+IF(模拟模式!$P$16="25人团",IF(RAND()&lt;0.6,15,0)),MAX(0,CB371-$F$4))</f>
        <v>0</v>
      </c>
      <c r="CC372" s="115" t="b">
        <f t="shared" ca="1" si="307"/>
        <v>0</v>
      </c>
      <c r="CD372" s="115">
        <f>IF(模拟模式!$Q$16="1个",IF(B372/40&gt;CE371,1,0),0)</f>
        <v>0</v>
      </c>
      <c r="CE372" s="115">
        <f t="shared" si="308"/>
        <v>0</v>
      </c>
      <c r="CF372" s="115">
        <f>IF(OR(CD372=1,模拟模式!$Q$16="2个"),20,MAX(0,CF371-$F$4))</f>
        <v>0</v>
      </c>
      <c r="CG372" s="115" t="b">
        <f t="shared" si="309"/>
        <v>0</v>
      </c>
      <c r="CH372" s="115">
        <f t="shared" ca="1" si="340"/>
        <v>16.162500000000009</v>
      </c>
      <c r="CI372" s="115" t="b">
        <f t="shared" ca="1" si="341"/>
        <v>0</v>
      </c>
      <c r="CJ372" s="119">
        <f t="shared" ca="1" si="342"/>
        <v>0</v>
      </c>
      <c r="CK372" s="115">
        <f t="shared" ca="1" si="343"/>
        <v>0</v>
      </c>
      <c r="CL372" s="115" t="b">
        <f ca="1">AND(模拟模式!$S$7="驱夷逐法",OR(AND(C372="净世破魔击·月",E371&gt;59),AND(C372="净世破魔击·日",F371&gt;59)))</f>
        <v>1</v>
      </c>
      <c r="CM372" s="115" t="b">
        <f ca="1">OR(CL372,AND(C372="净世破魔击·日",CL371,RAND()&lt;模拟模式!$U$23))</f>
        <v>1</v>
      </c>
      <c r="CN372" s="115" t="b">
        <f ca="1">IF(模拟模式!$M$7="辉耀红尘",AND(C372="净世破魔击·月",CL372,CV372=0,E371&lt;80),AND(C372="净世破魔击·月",CL372,E371&lt;100))</f>
        <v>0</v>
      </c>
      <c r="CO372" s="115" t="b">
        <f t="shared" ca="1" si="316"/>
        <v>0</v>
      </c>
      <c r="CP372" s="115" t="b">
        <f ca="1">AND(模拟模式!$O$7="用晦而明",OR(C372="净世破魔击·日",C372="净世破魔击·月",C372="驱夜断愁"),AB372)</f>
        <v>1</v>
      </c>
      <c r="CQ372" s="115" t="b">
        <f ca="1">OR(CP372,AND(CP371,RAND()&lt;模拟模式!$U$23))</f>
        <v>1</v>
      </c>
      <c r="CR372" s="115" t="b">
        <f ca="1">AND(模拟模式!$S$7="日月齐光",OR(C372="幽月轮1",C372="幽月轮2",C372="幽月轮3",CR371),NOT(OR(C372="赤日轮1",C372="赤日轮2",C372="赤日轮3")))</f>
        <v>0</v>
      </c>
      <c r="CS372" s="115" t="b">
        <f ca="1">AND(模拟模式!$S$7="日月齐光",OR(C372="赤日轮1",C372="赤日轮2",C372="赤日轮3",CS371),NOT(OR(C372="幽月轮1",C372="幽月轮2",C372="幽月轮3")))</f>
        <v>0</v>
      </c>
      <c r="CT372" s="115">
        <f t="shared" ca="1" si="344"/>
        <v>13.39500000000001</v>
      </c>
      <c r="CU372" s="115" t="b">
        <f ca="1">AND(模拟模式!$K$10="阴阳往极",CT371=0,RAND()&lt;IF(C372="净世破魔击·月",0.0275*7/3,IF(C372="净世破魔击·日",0.0275*3/3,0.0275*2/3)))</f>
        <v>0</v>
      </c>
      <c r="CV372" s="115">
        <f t="shared" ca="1" si="345"/>
        <v>0</v>
      </c>
      <c r="CW372" s="115">
        <f t="shared" ca="1" si="317"/>
        <v>4.1549999999999994</v>
      </c>
      <c r="CX372" s="115">
        <f t="shared" ca="1" si="318"/>
        <v>2.3099999999999996</v>
      </c>
      <c r="CY372" s="115">
        <f ca="1">MAX(IF($C372="驱夜断愁",IF(模拟模式!$R$7="万念俱寂",6,45),CY371-$F$4),0)</f>
        <v>3.2324999999999995</v>
      </c>
      <c r="CZ372" s="115">
        <f t="shared" ca="1" si="319"/>
        <v>0</v>
      </c>
      <c r="DA372" s="115">
        <f ca="1">IF(模拟模式!$N$7="日月同辉",IF(DB371=2,0,MIN(6,IF(AND(OR(C372="赤日轮1",C372="赤日轮2",C372="赤日轮3",C372="幽月轮1",C372="幽月轮2",C372="幽月轮3"),AB372=1),DA371+1,DA371))),0)</f>
        <v>3</v>
      </c>
      <c r="DB372" s="115">
        <f t="shared" ca="1" si="320"/>
        <v>0</v>
      </c>
      <c r="DC372" s="115"/>
      <c r="DD372" s="115"/>
      <c r="DE372" s="115"/>
      <c r="DF372" s="115"/>
      <c r="DG372" s="115"/>
      <c r="DH372" s="115"/>
      <c r="DI372" s="115"/>
      <c r="DJ372" s="115"/>
      <c r="DK372" s="115"/>
      <c r="DL372" s="115"/>
      <c r="DM372" s="115"/>
    </row>
    <row r="373" spans="2:117" x14ac:dyDescent="0.2">
      <c r="B373" s="117">
        <f t="shared" si="321"/>
        <v>319.18500000000273</v>
      </c>
      <c r="C373" s="167" t="str">
        <f t="shared" ca="1" si="314"/>
        <v>净世破魔击·日</v>
      </c>
      <c r="D373" s="115">
        <f ca="1">IF(C373="赤日轮1",1,IF(C373="赤日轮2",2,IF(C373="赤日轮3",3,IF(C373="幽月轮1",4,IF(C373="幽月轮2",5,IF(C373="幽月轮3",6,IF(C373="烈日斩",7,IF(C373="银月斩",8,IF(C373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373="净世破魔击·月",17,IF(C373="驱夜断愁",18,0)))))))))))</f>
        <v>9</v>
      </c>
      <c r="E373" s="115">
        <f ca="1">IF(AND(CU373,OR(C373="幽月轮1",C373="幽月轮2",C373="幽月轮3",C373="银月斩",C373="驱夜断愁",C373="净世破魔击·月")),100,MIN(IF(OR(CN373,BE373),0,IF(OR($C373="赤日轮1",$C373="赤日轮2",$C373="赤日轮3"),E372+20+IF(模拟模式!$I$7="日月凌天",4,0)+IF(CR372,20,0),IF($C373="烈日斩",E372+40,IF($C373="驱夜断愁",IF(模拟模式!$R$7="万念俱寂",E372+20,E372+60),IF($C373="净世破魔击·月",IF(OR(DB372&gt;0,CV372&gt;0),100,IF(模拟模式!$M$7="辉耀红尘",E372+20,E372)),IF($C373="净世破魔击·日",E372-100,E372)))))),100))</f>
        <v>0</v>
      </c>
      <c r="F373" s="115">
        <f ca="1">IF(AND(CU373,OR(C373="赤日轮1",C373="赤日轮2",C373="赤日轮3",C373="烈日斩",C373="净世破魔击·日")),100,MIN(IF(CO373,0,IF(OR($C373="幽月轮1",$C373="幽月轮2",$C373="幽月轮3"),F372+20+IF(模拟模式!$I$7="日月凌天",4,0)+IF(CS372,20,0),IF($C373="银月斩",F372+40+IF(模拟模式!$X$12=1,5,0),IF($C373="驱夜断愁",IF(模拟模式!$R$7="万念俱寂",F372+20,F372+60),IF($C373="净世破魔击·月",IF(模拟模式!$M$7="辉耀红尘",F372-80,F372-100),IF(AND(C373="净世破魔击·日",OR(DB372&gt;0,CV372&gt;0)),100,F372)))))),100))</f>
        <v>20</v>
      </c>
      <c r="G373" s="117">
        <f ca="1">('模拟-全程加成'!$E$3+'模拟-全程加成'!$E$4+'模拟-全程加成'!$E$5+('模拟-全程加成'!$C$6-'模拟-全程加成'!$C$3)*系数!$B$9+BS373*23)*(1+'模拟-全程加成'!$F$4+'模拟-全程加成'!$F$5+BJ373*10%+BM373*20%+BP373*4%+CG373*30%)+$F$7*系数!$B$12</f>
        <v>21493.829400000002</v>
      </c>
      <c r="H373" s="45">
        <f ca="1">'模拟-全程加成'!$H$3+'模拟-全程加成'!$H$4+'模拟-全程加成'!$H$5+('模拟-全程加成'!$G$4+'模拟-全程加成'!$G$5+('模拟-全程加成'!$C$6-'模拟-全程加成'!$C$3)*系数!$B$13)/系数!$B$3+LOOKUP(D373,'模拟-单技能数据'!$A$2:$A$19,'模拟-单技能数据'!$K$2:$K$19)+BG373*10%+IF(BV373&gt;0,378,0)</f>
        <v>0.54185145527300216</v>
      </c>
      <c r="I373" s="45">
        <f ca="1">'模拟-全程加成'!$J$3+'模拟-全程加成'!$J$4+'模拟-全程加成'!$J$5+('模拟-全程加成'!$I$4+'模拟-全程加成'!$I$5)/系数!$B$4+LOOKUP(D373,'模拟-单技能数据'!$A$2:$A$19,'模拟-单技能数据'!$L$2:$L$19)+BG373*10%</f>
        <v>2.162482885499879</v>
      </c>
      <c r="J373" s="45">
        <f ca="1">(('模拟-全程加成'!$K$3+'模拟-全程加成'!$K$4+'模拟-全程加成'!$K$5+('模拟-全程加成'!$C$6-'模拟-全程加成'!$C$3)*系数!$B$10+IF(BV373&gt;0,882,0)+IF(BY373&gt;0,1831,0))*(1+'模拟-全程加成'!$L$4+'模拟-全程加成'!$L$5+CC373*20%))/系数!$B$5</f>
        <v>0.69723220422048726</v>
      </c>
      <c r="K373" s="119">
        <f ca="1">LOOKUP(D373,'模拟-单技能数据'!$A$2:$A$19,'模拟-单技能数据'!$J$2:$J$19)+IF(CM373,60%,0)+IF(DB372-DB373&gt;0,30%,0)+IF(OR(AND(OR(C373="赤日轮1",C373="赤日轮2",C373="赤日轮3"),CR373),AND(OR(C373="幽月轮1",C373="幽月轮2",C373="幽月轮3"),CS373)),35%,0)+CJ373</f>
        <v>0.8</v>
      </c>
      <c r="L373" s="119">
        <f ca="1">IF(AND(C373="烈日斩",模拟模式!$X$11=1),10%,0)+IF(AND(C373="驱夜断愁",AB373=1),30%,0)</f>
        <v>0</v>
      </c>
      <c r="M373" s="45">
        <f t="shared" ca="1" si="297"/>
        <v>0.54185145527300216</v>
      </c>
      <c r="N373" s="45">
        <f t="shared" ca="1" si="298"/>
        <v>0.40424854472699789</v>
      </c>
      <c r="O373" s="46">
        <f t="shared" ca="1" si="322"/>
        <v>0.59686116338384598</v>
      </c>
      <c r="P373" s="46" t="str">
        <f t="shared" ca="1" si="323"/>
        <v>命</v>
      </c>
      <c r="Q373" s="45">
        <f t="shared" ca="1" si="324"/>
        <v>1</v>
      </c>
      <c r="R373" s="117">
        <f ca="1">模拟模式!$E$20*(1-IF(模拟模式!$J$19="有",0.15,0))*(1-IF(模拟模式!$K$19="有",0.3,0)-IF(CQ373,0.5,0))</f>
        <v>843.02999999999975</v>
      </c>
      <c r="S373" s="45">
        <f ca="1">R373/(R373+(185*模拟模式!$E$22-16800)*4.08224)</f>
        <v>8.389626085980037E-2</v>
      </c>
      <c r="T373" s="45" t="str">
        <f ca="1">LOOKUP(D373,'模拟-单技能数据'!$A$2:$A$19,'模拟-单技能数据'!$H$2:$H$19)</f>
        <v>阳</v>
      </c>
      <c r="U373" s="119">
        <f t="shared" ca="1" si="299"/>
        <v>0.2</v>
      </c>
      <c r="V373" s="47">
        <f ca="1">(1+L373)*(LOOKUP(D373,'模拟-单技能数据'!$A$2:$A$19,'模拟-单技能数据'!$D$2:$D$19)+G373*LOOKUP(D373,'模拟-单技能数据'!$A$2:$A$19,'模拟-单技能数据'!$F$2:$F$19))*(1+J373)*(1+K373)*(1-S373)*(1+U373)*Q373*LOOKUP(D373,'模拟-单技能数据'!$A$2:$A$19,'模拟-单技能数据'!$I$2:$I$20)</f>
        <v>94575.365106402023</v>
      </c>
      <c r="W373" s="47">
        <f ca="1">LOOKUP(D373,'模拟-单技能数据'!$A$2:$A$19,'模拟-单技能数据'!$G$2:$G$19)*$I$10</f>
        <v>723.0212870940959</v>
      </c>
      <c r="X373" s="47">
        <f t="shared" ca="1" si="325"/>
        <v>30064.783141890133</v>
      </c>
      <c r="Y373" s="47">
        <f t="shared" ca="1" si="300"/>
        <v>125363.16953538626</v>
      </c>
      <c r="Z373" s="49">
        <f t="shared" ca="1" si="301"/>
        <v>36274521.792757772</v>
      </c>
      <c r="AA373" s="97">
        <f t="shared" ca="1" si="302"/>
        <v>113647.32613612</v>
      </c>
      <c r="AB373" s="115">
        <f ca="1">IF(OR(C373="赤日轮1",C373="赤日轮2",C373="赤日轮3"),IF(RAND()&lt;模拟模式!$Y$17,1,0),IF(OR(C373="幽月轮1",C373="幽月轮2",C373="幽月轮3"),IF(RAND()&lt;模拟模式!$Y$18,1,0),IF(C373="烈日斩",IF(RAND()&lt;模拟模式!$Y$19,1,0),IF(C373="银月斩",IF(RAND()&lt;模拟模式!$Y$20,1,0),IF(C373="驱夜断愁",IF(RAND()&lt;模拟模式!$Y$21,1,0),IF(C373="净世破魔击·日",IF(RAND()&lt;模拟模式!$Y$22,1,0),IF(C373="净世破魔击·月",IF(RAND()&lt;模拟模式!$Y$23,1,0),0)))))))</f>
        <v>1</v>
      </c>
      <c r="AC373" s="115" t="b">
        <f t="shared" ca="1" si="290"/>
        <v>0</v>
      </c>
      <c r="AD373" s="115" t="b">
        <f t="shared" ca="1" si="310"/>
        <v>1</v>
      </c>
      <c r="AE373" s="115">
        <f t="shared" ca="1" si="311"/>
        <v>3</v>
      </c>
      <c r="AF373" s="47">
        <f ca="1">IF(AC373,('模拟-单技能数据'!$D$20+G373*'模拟-单技能数据'!$F$20)*(1+J373)*(1+'模拟-单技能数据'!$J$20)*(1+U373),0)</f>
        <v>0</v>
      </c>
      <c r="AG373" s="61">
        <f t="shared" ca="1" si="303"/>
        <v>0.64185145527300214</v>
      </c>
      <c r="AH373" s="61">
        <f t="shared" ca="1" si="304"/>
        <v>2.2624828854998791</v>
      </c>
      <c r="AI373" s="62">
        <f t="shared" ca="1" si="326"/>
        <v>0.22208249757029896</v>
      </c>
      <c r="AJ373" s="47">
        <f ca="1">IF(AD373,IF(AI373&lt;$F$10,0,IF(AI373&lt;$F$10+$F$11,0.25,IF(AI373&lt;$F$10+$F$11+AG373,AH373,1)))*IF(AF373&gt;0,AF373,IF(AF372&gt;0,AF372,IF(AF371&gt;0,AF371,IF(AF370&gt;0,AF370,IF(AF369&gt;0,AF369,IF(AF368&gt;0,AF368,IF(AF367&gt;0,AF367,IF(AF366&gt;0,AF366,IF(AF365&gt;0,AF365,IF(AF363&gt;0,AF363,IF(AF362&gt;0,AF362,IF(AF361&gt;0,AF361,0)))))))))))),0)*(1-$S373)*'模拟-单技能数据'!$I$20</f>
        <v>9616.6571145767884</v>
      </c>
      <c r="AK373" s="115" t="b">
        <f t="shared" ca="1" si="291"/>
        <v>1</v>
      </c>
      <c r="AL373" s="115" t="b">
        <f t="shared" ca="1" si="312"/>
        <v>1</v>
      </c>
      <c r="AM373" s="115">
        <f t="shared" ca="1" si="313"/>
        <v>5</v>
      </c>
      <c r="AN373" s="47">
        <f ca="1">IF(AK373,('模拟-单技能数据'!$D$21+G373*'模拟-单技能数据'!$F$21)*(1+J373)*(1+'模拟-单技能数据'!$J$21)*(1+U373),0)</f>
        <v>12670.936004857545</v>
      </c>
      <c r="AO373" s="61">
        <f ca="1">IF(AN373&gt;0,M373-'模拟-单技能数据'!$K$10,AO372)</f>
        <v>0.42185145527300216</v>
      </c>
      <c r="AP373" s="61">
        <f ca="1">IF(AN373&gt;0,I373-'模拟-单技能数据'!$L$10,AP372)</f>
        <v>2.162482885499879</v>
      </c>
      <c r="AQ373" s="63">
        <f t="shared" ca="1" si="327"/>
        <v>0.50876896148568573</v>
      </c>
      <c r="AR373" s="64">
        <f ca="1">IF(AL373,IF(AQ373&lt;$F$10,0,IF(AQ373&lt;$F$10+$F$11,0.25,IF(AQ373&lt;$F$10+$F$11+AO373,AP373,1)))*IF(AN373&gt;0,AN373,IF(AN372&gt;0,AN372,IF(AN371&gt;0,AN371,IF(AN370&gt;0,AN370,IF(AN369&gt;0,AN369,IF(AN368&gt;0,AN368,IF(AN367&gt;0,AN367,IF(AN366&gt;0,AN366,IF(AN365&gt;0,AN365,IF(AN363&gt;0,AN363,IF(AN362&gt;0,AN362,IF(AN361&gt;0,AN361,0)))))))))))),0)*(1-$S373)*'模拟-单技能数据'!$I$21</f>
        <v>11607.89185245618</v>
      </c>
      <c r="AS373" s="61">
        <f ca="1">IF(OR(C373="净世破魔击·日",C373="净世破魔击·月"),M373-'模拟-单技能数据'!$K$10,0)</f>
        <v>0.42185145527300216</v>
      </c>
      <c r="AT373" s="61">
        <f ca="1">IF(OR(C373="净世破魔击·日",C373="净世破魔击·月"),I373-'模拟-单技能数据'!$L$10,0)</f>
        <v>2.162482885499879</v>
      </c>
      <c r="AU373" s="62">
        <f t="shared" ca="1" si="328"/>
        <v>0.72973869446926154</v>
      </c>
      <c r="AV373" s="64">
        <f ca="1">IF(AS373&gt;0,('模拟-单技能数据'!$D$22+G373*'模拟-单技能数据'!$F$22)*(1+J373)*(1-S373)*IF(AU373&lt;$F$10,0,IF(AU373&lt;$F$10+$F$11,0.25,IF(AU373&lt;$F$10+$F$11+AS373,AT373,1)))*(1+U373),0)*'模拟-单技能数据'!$I$22</f>
        <v>8840.2341748571616</v>
      </c>
      <c r="AW373" s="108">
        <f t="shared" ca="1" si="329"/>
        <v>9.8525000000000063</v>
      </c>
      <c r="AX373" s="108" t="b">
        <f ca="1">AND(模拟模式!$P$10="有",AW372=0,RAND()&lt;IF(C373="净世破魔击·月",0.1*8/3,IF(C373="净世破魔击·日",0.1*4/3,0.1*2/3)))</f>
        <v>0</v>
      </c>
      <c r="AY373" s="47">
        <f ca="1">IF(AX373,(18+G373*0.722)*(1+J373)*(1-S373)*(1+$I$4)*IF(P373="会",'模拟-全程加成'!$J$3+'模拟-全程加成'!$J$4+'模拟-全程加成'!$J$5+('模拟-全程加成'!$I$4+'模拟-全程加成'!$I$5)/系数!$B$4+BG373*10%,IF(P373="命",1,IF(P373="识",0.25,0))),0)</f>
        <v>0</v>
      </c>
      <c r="AZ373" s="108">
        <f t="shared" si="330"/>
        <v>5.2400000000000064</v>
      </c>
      <c r="BA373" s="108" t="b">
        <f>AND(模拟模式!$Q$10="有",AZ372=0)</f>
        <v>0</v>
      </c>
      <c r="BB373" s="140">
        <f>IF(BA373,(0+G373*0.287)*(1+J373)*(1-S373)*(1+$I$4)*IF(P373="会",'模拟-全程加成'!$J$3+'模拟-全程加成'!$J$4+'模拟-全程加成'!$J$5+('模拟-全程加成'!$I$4+'模拟-全程加成'!$I$5)/系数!$B$4+BG373*10%,IF(P373="命",1,IF(P373="识",0.25,0))),0)</f>
        <v>0</v>
      </c>
      <c r="BC373" s="115" t="b">
        <f ca="1">AND(模拟模式!$R$7="伏明众生",E373=60,F373=20,DA373&lt;5,CZ372&lt;$F$4)</f>
        <v>0</v>
      </c>
      <c r="BD373" s="115">
        <f t="shared" ca="1" si="292"/>
        <v>0</v>
      </c>
      <c r="BE373" s="115" t="b">
        <f t="shared" ca="1" si="293"/>
        <v>0</v>
      </c>
      <c r="BF373" s="47">
        <f ca="1">IF(BC373,4*('模拟-单技能数据'!$D$24+G373*'模拟-单技能数据'!$F$24)*(1+J373)*(1+'模拟-单技能数据'!$J$24)*(1-S373)*(1+$I$3)*(('模拟-全程加成'!$J$3+'模拟-全程加成'!$J$4+'模拟-全程加成'!$J$5+('模拟-全程加成'!$I$4+'模拟-全程加成'!$I$5)/系数!$B$4+BG373*10%)*('模拟-全程加成'!$J$3+'模拟-全程加成'!$J$4+'模拟-全程加成'!$J$5+('模拟-全程加成'!$I$4+'模拟-全程加成'!$I$5)/系数!$B$4+BG373*10%)+(1-('模拟-全程加成'!$J$3+'模拟-全程加成'!$J$4+'模拟-全程加成'!$J$5+('模拟-全程加成'!$I$4+'模拟-全程加成'!$I$5)/系数!$B$4+BG373*10%)-$F$10-$F$11)+F359*0.25),0)*'模拟-单技能数据'!$I$24</f>
        <v>0</v>
      </c>
      <c r="BG373" s="115" t="b">
        <f ca="1">OR(AND(OR(C373="烈日斩",C373="银月斩"),模拟模式!$I$7="净身明礼"),AND(C373="净世破魔击·日",模拟模式!$J$7="洞若观火"),AND(C374="净世破魔击·月",模拟模式!$J$7="洞若观火"),AB373=1)</f>
        <v>1</v>
      </c>
      <c r="BH373" s="115" t="b">
        <f t="shared" ca="1" si="331"/>
        <v>0</v>
      </c>
      <c r="BI373" s="115">
        <f t="shared" ca="1" si="294"/>
        <v>0.46499999999999975</v>
      </c>
      <c r="BJ373" s="115" t="b">
        <f t="shared" ca="1" si="305"/>
        <v>1</v>
      </c>
      <c r="BK373" s="115" t="b">
        <f ca="1">AND(C373="驱夜断愁",模拟模式!$P$7="天地诛戮")</f>
        <v>0</v>
      </c>
      <c r="BL373" s="57">
        <f t="shared" ca="1" si="295"/>
        <v>16.310000000000002</v>
      </c>
      <c r="BM373" s="115" t="b">
        <f t="shared" ca="1" si="306"/>
        <v>1</v>
      </c>
      <c r="BN373" s="115" t="b">
        <f ca="1">AND(OR(C373="赤日轮1",C373="赤日轮2",C373="赤日轮3",C373="幽月轮1",C373="幽月轮2",C373="幽月轮3"),AB373=1,模拟模式!$L$7="明光恒照")</f>
        <v>0</v>
      </c>
      <c r="BO373" s="117">
        <f t="shared" ca="1" si="296"/>
        <v>28.155000000000001</v>
      </c>
      <c r="BP373" s="115">
        <f t="shared" ca="1" si="332"/>
        <v>6</v>
      </c>
      <c r="BQ373" s="115" t="b">
        <f>模拟模式!$K$10="2600·水"</f>
        <v>0</v>
      </c>
      <c r="BR373" s="117">
        <f t="shared" si="333"/>
        <v>0</v>
      </c>
      <c r="BS373" s="115">
        <f t="shared" si="334"/>
        <v>0</v>
      </c>
      <c r="BT373" s="115">
        <f t="shared" ca="1" si="335"/>
        <v>0</v>
      </c>
      <c r="BU373" s="115" t="b">
        <f ca="1">AND(模拟模式!$K$10="2300·雷",BT372=0,RAND()&lt;IF(C373="净世破魔击·月",5*0.05*2/3,IF(C373="净世破魔击·日",3*0.05*2/3,0.05*2*2/3)))</f>
        <v>0</v>
      </c>
      <c r="BV373" s="115">
        <f t="shared" ca="1" si="336"/>
        <v>0</v>
      </c>
      <c r="BW373" s="115">
        <f t="shared" ca="1" si="337"/>
        <v>52.694999999999283</v>
      </c>
      <c r="BX373" s="164" t="b">
        <f t="shared" ca="1" si="338"/>
        <v>0</v>
      </c>
      <c r="BY373" s="115">
        <f t="shared" ca="1" si="339"/>
        <v>0</v>
      </c>
      <c r="BZ373" s="115">
        <f>IF(OR(模拟模式!$P$16="10人团",模拟模式!$P$16="25人团"),IF(B373/30&gt;CA372,1,0),0)</f>
        <v>0</v>
      </c>
      <c r="CA373" s="115">
        <f t="shared" si="315"/>
        <v>0</v>
      </c>
      <c r="CB373" s="115">
        <f ca="1">IF(BZ373=1,IF(模拟模式!$P$16="10人团",15,0)+IF(模拟模式!$P$16="25人团",IF(RAND()&lt;0.6,15,0)),MAX(0,CB372-$F$4))</f>
        <v>0</v>
      </c>
      <c r="CC373" s="115" t="b">
        <f t="shared" ca="1" si="307"/>
        <v>0</v>
      </c>
      <c r="CD373" s="115">
        <f>IF(模拟模式!$Q$16="1个",IF(B373/40&gt;CE372,1,0),0)</f>
        <v>0</v>
      </c>
      <c r="CE373" s="115">
        <f t="shared" si="308"/>
        <v>0</v>
      </c>
      <c r="CF373" s="115">
        <f>IF(OR(CD373=1,模拟模式!$Q$16="2个"),20,MAX(0,CF372-$F$4))</f>
        <v>0</v>
      </c>
      <c r="CG373" s="115" t="b">
        <f t="shared" si="309"/>
        <v>0</v>
      </c>
      <c r="CH373" s="115">
        <f t="shared" ca="1" si="340"/>
        <v>15.240000000000009</v>
      </c>
      <c r="CI373" s="115" t="b">
        <f t="shared" ca="1" si="341"/>
        <v>0</v>
      </c>
      <c r="CJ373" s="119">
        <f t="shared" ca="1" si="342"/>
        <v>0</v>
      </c>
      <c r="CK373" s="115">
        <f t="shared" ca="1" si="343"/>
        <v>0</v>
      </c>
      <c r="CL373" s="115" t="b">
        <f ca="1">AND(模拟模式!$S$7="驱夷逐法",OR(AND(C373="净世破魔击·月",E372&gt;59),AND(C373="净世破魔击·日",F372&gt;59)))</f>
        <v>0</v>
      </c>
      <c r="CM373" s="115" t="b">
        <f ca="1">OR(CL373,AND(C373="净世破魔击·日",CL372,RAND()&lt;模拟模式!$U$23))</f>
        <v>1</v>
      </c>
      <c r="CN373" s="115" t="b">
        <f ca="1">IF(模拟模式!$M$7="辉耀红尘",AND(C373="净世破魔击·月",CL373,CV373=0,E372&lt;80),AND(C373="净世破魔击·月",CL373,E372&lt;100))</f>
        <v>0</v>
      </c>
      <c r="CO373" s="115" t="b">
        <f t="shared" ca="1" si="316"/>
        <v>0</v>
      </c>
      <c r="CP373" s="115" t="b">
        <f ca="1">AND(模拟模式!$O$7="用晦而明",OR(C373="净世破魔击·日",C373="净世破魔击·月",C373="驱夜断愁"),AB373)</f>
        <v>1</v>
      </c>
      <c r="CQ373" s="115" t="b">
        <f ca="1">OR(CP373,AND(CP372,RAND()&lt;模拟模式!$U$23))</f>
        <v>1</v>
      </c>
      <c r="CR373" s="115" t="b">
        <f ca="1">AND(模拟模式!$S$7="日月齐光",OR(C373="幽月轮1",C373="幽月轮2",C373="幽月轮3",CR372),NOT(OR(C373="赤日轮1",C373="赤日轮2",C373="赤日轮3")))</f>
        <v>0</v>
      </c>
      <c r="CS373" s="115" t="b">
        <f ca="1">AND(模拟模式!$S$7="日月齐光",OR(C373="赤日轮1",C373="赤日轮2",C373="赤日轮3",CS372),NOT(OR(C373="幽月轮1",C373="幽月轮2",C373="幽月轮3")))</f>
        <v>0</v>
      </c>
      <c r="CT373" s="115">
        <f t="shared" ca="1" si="344"/>
        <v>12.472500000000011</v>
      </c>
      <c r="CU373" s="115" t="b">
        <f ca="1">AND(模拟模式!$K$10="阴阳往极",CT372=0,RAND()&lt;IF(C373="净世破魔击·月",0.0275*7/3,IF(C373="净世破魔击·日",0.0275*3/3,0.0275*2/3)))</f>
        <v>0</v>
      </c>
      <c r="CV373" s="115">
        <f t="shared" ca="1" si="345"/>
        <v>0</v>
      </c>
      <c r="CW373" s="115">
        <f t="shared" ca="1" si="317"/>
        <v>3.2324999999999995</v>
      </c>
      <c r="CX373" s="115">
        <f t="shared" ca="1" si="318"/>
        <v>1.3874999999999997</v>
      </c>
      <c r="CY373" s="115">
        <f ca="1">MAX(IF($C373="驱夜断愁",IF(模拟模式!$R$7="万念俱寂",6,45),CY372-$F$4),0)</f>
        <v>2.3099999999999996</v>
      </c>
      <c r="CZ373" s="115">
        <f t="shared" ca="1" si="319"/>
        <v>0</v>
      </c>
      <c r="DA373" s="115">
        <f ca="1">IF(模拟模式!$N$7="日月同辉",IF(DB372=2,0,MIN(6,IF(AND(OR(C373="赤日轮1",C373="赤日轮2",C373="赤日轮3",C373="幽月轮1",C373="幽月轮2",C373="幽月轮3"),AB373=1),DA372+1,DA372))),0)</f>
        <v>3</v>
      </c>
      <c r="DB373" s="115">
        <f t="shared" ca="1" si="320"/>
        <v>0</v>
      </c>
      <c r="DC373" s="115"/>
      <c r="DD373" s="115"/>
      <c r="DE373" s="115"/>
      <c r="DF373" s="115"/>
      <c r="DG373" s="115"/>
      <c r="DH373" s="115"/>
      <c r="DI373" s="115"/>
      <c r="DJ373" s="115"/>
      <c r="DK373" s="115"/>
      <c r="DL373" s="115"/>
      <c r="DM373" s="115"/>
    </row>
    <row r="374" spans="2:117" x14ac:dyDescent="0.2">
      <c r="B374" s="117">
        <f t="shared" si="321"/>
        <v>320.10750000000274</v>
      </c>
      <c r="C374" s="167" t="str">
        <f t="shared" ca="1" si="314"/>
        <v>赤日轮1</v>
      </c>
      <c r="D374" s="115">
        <f ca="1">IF(C374="赤日轮1",1,IF(C374="赤日轮2",2,IF(C374="赤日轮3",3,IF(C374="幽月轮1",4,IF(C374="幽月轮2",5,IF(C374="幽月轮3",6,IF(C374="烈日斩",7,IF(C374="银月斩",8,IF(C374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374="净世破魔击·月",17,IF(C374="驱夜断愁",18,0)))))))))))</f>
        <v>1</v>
      </c>
      <c r="E374" s="115">
        <f ca="1">IF(AND(CU374,OR(C374="幽月轮1",C374="幽月轮2",C374="幽月轮3",C374="银月斩",C374="驱夜断愁",C374="净世破魔击·月")),100,MIN(IF(OR(CN374,BE374),0,IF(OR($C374="赤日轮1",$C374="赤日轮2",$C374="赤日轮3"),E373+20+IF(模拟模式!$I$7="日月凌天",4,0)+IF(CR373,20,0),IF($C374="烈日斩",E373+40,IF($C374="驱夜断愁",IF(模拟模式!$R$7="万念俱寂",E373+20,E373+60),IF($C374="净世破魔击·月",IF(OR(DB373&gt;0,CV373&gt;0),100,IF(模拟模式!$M$7="辉耀红尘",E373+20,E373)),IF($C374="净世破魔击·日",E373-100,E373)))))),100))</f>
        <v>20</v>
      </c>
      <c r="F374" s="115">
        <f ca="1">IF(AND(CU374,OR(C374="赤日轮1",C374="赤日轮2",C374="赤日轮3",C374="烈日斩",C374="净世破魔击·日")),100,MIN(IF(CO374,0,IF(OR($C374="幽月轮1",$C374="幽月轮2",$C374="幽月轮3"),F373+20+IF(模拟模式!$I$7="日月凌天",4,0)+IF(CS373,20,0),IF($C374="银月斩",F373+40+IF(模拟模式!$X$12=1,5,0),IF($C374="驱夜断愁",IF(模拟模式!$R$7="万念俱寂",F373+20,F373+60),IF($C374="净世破魔击·月",IF(模拟模式!$M$7="辉耀红尘",F373-80,F373-100),IF(AND(C374="净世破魔击·日",OR(DB373&gt;0,CV373&gt;0)),100,F373)))))),100))</f>
        <v>20</v>
      </c>
      <c r="G374" s="117">
        <f ca="1">('模拟-全程加成'!$E$3+'模拟-全程加成'!$E$4+'模拟-全程加成'!$E$5+('模拟-全程加成'!$C$6-'模拟-全程加成'!$C$3)*系数!$B$9+BS374*23)*(1+'模拟-全程加成'!$F$4+'模拟-全程加成'!$F$5+BJ374*10%+BM374*20%+BP374*4%+CG374*30%)+$F$7*系数!$B$12</f>
        <v>20583.127400000001</v>
      </c>
      <c r="H374" s="45">
        <f ca="1">'模拟-全程加成'!$H$3+'模拟-全程加成'!$H$4+'模拟-全程加成'!$H$5+('模拟-全程加成'!$G$4+'模拟-全程加成'!$G$5+('模拟-全程加成'!$C$6-'模拟-全程加成'!$C$3)*系数!$B$13)/系数!$B$3+LOOKUP(D374,'模拟-单技能数据'!$A$2:$A$19,'模拟-单技能数据'!$K$2:$K$19)+BG374*10%+IF(BV374&gt;0,378,0)</f>
        <v>0.4618514552730022</v>
      </c>
      <c r="I374" s="45">
        <f ca="1">'模拟-全程加成'!$J$3+'模拟-全程加成'!$J$4+'模拟-全程加成'!$J$5+('模拟-全程加成'!$I$4+'模拟-全程加成'!$I$5)/系数!$B$4+LOOKUP(D374,'模拟-单技能数据'!$A$2:$A$19,'模拟-单技能数据'!$L$2:$L$19)+BG374*10%</f>
        <v>2.162482885499879</v>
      </c>
      <c r="J374" s="45">
        <f ca="1">(('模拟-全程加成'!$K$3+'模拟-全程加成'!$K$4+'模拟-全程加成'!$K$5+('模拟-全程加成'!$C$6-'模拟-全程加成'!$C$3)*系数!$B$10+IF(BV374&gt;0,882,0)+IF(BY374&gt;0,1831,0))*(1+'模拟-全程加成'!$L$4+'模拟-全程加成'!$L$5+CC374*20%))/系数!$B$5</f>
        <v>0.69723220422048726</v>
      </c>
      <c r="K374" s="119">
        <f ca="1">LOOKUP(D374,'模拟-单技能数据'!$A$2:$A$19,'模拟-单技能数据'!$J$2:$J$19)+IF(CM374,60%,0)+IF(DB373-DB374&gt;0,30%,0)+IF(OR(AND(OR(C374="赤日轮1",C374="赤日轮2",C374="赤日轮3"),CR374),AND(OR(C374="幽月轮1",C374="幽月轮2",C374="幽月轮3"),CS374)),35%,0)+CJ374</f>
        <v>0.12</v>
      </c>
      <c r="L374" s="119">
        <f ca="1">IF(AND(C374="烈日斩",模拟模式!$X$11=1),10%,0)+IF(AND(C374="驱夜断愁",AB374=1),30%,0)</f>
        <v>0</v>
      </c>
      <c r="M374" s="45">
        <f t="shared" ca="1" si="297"/>
        <v>0.4618514552730022</v>
      </c>
      <c r="N374" s="45">
        <f t="shared" ca="1" si="298"/>
        <v>0.48424854472699785</v>
      </c>
      <c r="O374" s="46">
        <f t="shared" ca="1" si="322"/>
        <v>0.22166655881086494</v>
      </c>
      <c r="P374" s="46" t="str">
        <f t="shared" ca="1" si="323"/>
        <v>会</v>
      </c>
      <c r="Q374" s="45">
        <f t="shared" ca="1" si="324"/>
        <v>2.162482885499879</v>
      </c>
      <c r="R374" s="117">
        <f ca="1">模拟模式!$E$20*(1-IF(模拟模式!$J$19="有",0.15,0))*(1-IF(模拟模式!$K$19="有",0.3,0)-IF(CQ374,0.5,0))</f>
        <v>843.02999999999975</v>
      </c>
      <c r="S374" s="45">
        <f ca="1">R374/(R374+(185*模拟模式!$E$22-16800)*4.08224)</f>
        <v>8.389626085980037E-2</v>
      </c>
      <c r="T374" s="45" t="str">
        <f ca="1">LOOKUP(D374,'模拟-单技能数据'!$A$2:$A$19,'模拟-单技能数据'!$H$2:$H$19)</f>
        <v>阳</v>
      </c>
      <c r="U374" s="119">
        <f t="shared" ca="1" si="299"/>
        <v>0.2</v>
      </c>
      <c r="V374" s="47">
        <f ca="1">(1+L374)*(LOOKUP(D374,'模拟-单技能数据'!$A$2:$A$19,'模拟-单技能数据'!$D$2:$D$19)+G374*LOOKUP(D374,'模拟-单技能数据'!$A$2:$A$19,'模拟-单技能数据'!$F$2:$F$19))*(1+J374)*(1+K374)*(1-S374)*(1+U374)*Q374*LOOKUP(D374,'模拟-单技能数据'!$A$2:$A$19,'模拟-单技能数据'!$I$2:$I$20)</f>
        <v>54482.562593809358</v>
      </c>
      <c r="W374" s="47">
        <f ca="1">LOOKUP(D374,'模拟-单技能数据'!$A$2:$A$19,'模拟-单技能数据'!$G$2:$G$19)*$I$10</f>
        <v>361.51064354704795</v>
      </c>
      <c r="X374" s="47">
        <f t="shared" ca="1" si="325"/>
        <v>0</v>
      </c>
      <c r="Y374" s="47">
        <f t="shared" ca="1" si="300"/>
        <v>54844.07323735641</v>
      </c>
      <c r="Z374" s="49">
        <f t="shared" ca="1" si="301"/>
        <v>36329365.865995131</v>
      </c>
      <c r="AA374" s="97">
        <f t="shared" ca="1" si="302"/>
        <v>113491.14240058362</v>
      </c>
      <c r="AB374" s="115">
        <f ca="1">IF(OR(C374="赤日轮1",C374="赤日轮2",C374="赤日轮3"),IF(RAND()&lt;模拟模式!$Y$17,1,0),IF(OR(C374="幽月轮1",C374="幽月轮2",C374="幽月轮3"),IF(RAND()&lt;模拟模式!$Y$18,1,0),IF(C374="烈日斩",IF(RAND()&lt;模拟模式!$Y$19,1,0),IF(C374="银月斩",IF(RAND()&lt;模拟模式!$Y$20,1,0),IF(C374="驱夜断愁",IF(RAND()&lt;模拟模式!$Y$21,1,0),IF(C374="净世破魔击·日",IF(RAND()&lt;模拟模式!$Y$22,1,0),IF(C374="净世破魔击·月",IF(RAND()&lt;模拟模式!$Y$23,1,0),0)))))))</f>
        <v>1</v>
      </c>
      <c r="AC374" s="115" t="b">
        <f t="shared" ca="1" si="290"/>
        <v>0</v>
      </c>
      <c r="AD374" s="115" t="b">
        <f t="shared" ca="1" si="310"/>
        <v>0</v>
      </c>
      <c r="AE374" s="115">
        <f t="shared" ca="1" si="311"/>
        <v>3</v>
      </c>
      <c r="AF374" s="47">
        <f ca="1">IF(AC374,('模拟-单技能数据'!$D$20+G374*'模拟-单技能数据'!$F$20)*(1+J374)*(1+'模拟-单技能数据'!$J$20)*(1+U374),0)</f>
        <v>0</v>
      </c>
      <c r="AG374" s="61">
        <f t="shared" ca="1" si="303"/>
        <v>0.64185145527300214</v>
      </c>
      <c r="AH374" s="61">
        <f t="shared" ca="1" si="304"/>
        <v>2.2624828854998791</v>
      </c>
      <c r="AI374" s="62">
        <f t="shared" ca="1" si="326"/>
        <v>0.56937346844075054</v>
      </c>
      <c r="AJ374" s="47">
        <f ca="1">IF(AD374,IF(AI374&lt;$F$10,0,IF(AI374&lt;$F$10+$F$11,0.25,IF(AI374&lt;$F$10+$F$11+AG374,AH374,1)))*IF(AF374&gt;0,AF374,IF(AF373&gt;0,AF373,IF(AF372&gt;0,AF372,IF(AF371&gt;0,AF371,IF(AF370&gt;0,AF370,IF(AF369&gt;0,AF369,IF(AF368&gt;0,AF368,IF(AF367&gt;0,AF367,IF(AF366&gt;0,AF366,IF(AF364&gt;0,AF364,IF(AF363&gt;0,AF363,IF(AF362&gt;0,AF362,0)))))))))))),0)*(1-$S374)*'模拟-单技能数据'!$I$20</f>
        <v>0</v>
      </c>
      <c r="AK374" s="115" t="b">
        <f t="shared" ca="1" si="291"/>
        <v>0</v>
      </c>
      <c r="AL374" s="115" t="b">
        <f t="shared" ca="1" si="312"/>
        <v>0</v>
      </c>
      <c r="AM374" s="115">
        <f t="shared" ca="1" si="313"/>
        <v>5</v>
      </c>
      <c r="AN374" s="47">
        <f ca="1">IF(AK374,('模拟-单技能数据'!$D$21+G374*'模拟-单技能数据'!$F$21)*(1+J374)*(1+'模拟-单技能数据'!$J$21)*(1+U374),0)</f>
        <v>0</v>
      </c>
      <c r="AO374" s="61">
        <f ca="1">IF(AN374&gt;0,M374-'模拟-单技能数据'!$K$10,AO373)</f>
        <v>0.42185145527300216</v>
      </c>
      <c r="AP374" s="61">
        <f ca="1">IF(AN374&gt;0,I374-'模拟-单技能数据'!$L$10,AP373)</f>
        <v>2.162482885499879</v>
      </c>
      <c r="AQ374" s="63">
        <f t="shared" ca="1" si="327"/>
        <v>0.45339147523836376</v>
      </c>
      <c r="AR374" s="64">
        <f ca="1">IF(AL374,IF(AQ374&lt;$F$10,0,IF(AQ374&lt;$F$10+$F$11,0.25,IF(AQ374&lt;$F$10+$F$11+AO374,AP374,1)))*IF(AN374&gt;0,AN374,IF(AN373&gt;0,AN373,IF(AN372&gt;0,AN372,IF(AN371&gt;0,AN371,IF(AN370&gt;0,AN370,IF(AN369&gt;0,AN369,IF(AN368&gt;0,AN368,IF(AN367&gt;0,AN367,IF(AN366&gt;0,AN366,IF(AN364&gt;0,AN364,IF(AN363&gt;0,AN363,IF(AN362&gt;0,AN362,0)))))))))))),0)*(1-$S374)*'模拟-单技能数据'!$I$21</f>
        <v>0</v>
      </c>
      <c r="AS374" s="61">
        <f ca="1">IF(OR(C374="净世破魔击·日",C374="净世破魔击·月"),M374-'模拟-单技能数据'!$K$10,0)</f>
        <v>0</v>
      </c>
      <c r="AT374" s="61">
        <f ca="1">IF(OR(C374="净世破魔击·日",C374="净世破魔击·月"),I374-'模拟-单技能数据'!$L$10,0)</f>
        <v>0</v>
      </c>
      <c r="AU374" s="62">
        <f t="shared" ca="1" si="328"/>
        <v>0.74923796907838236</v>
      </c>
      <c r="AV374" s="64">
        <f ca="1">IF(AS374&gt;0,('模拟-单技能数据'!$D$22+G374*'模拟-单技能数据'!$F$22)*(1+J374)*(1-S374)*IF(AU374&lt;$F$10,0,IF(AU374&lt;$F$10+$F$11,0.25,IF(AU374&lt;$F$10+$F$11+AS374,AT374,1)))*(1+U374),0)*'模拟-单技能数据'!$I$22</f>
        <v>0</v>
      </c>
      <c r="AW374" s="108">
        <f t="shared" ca="1" si="329"/>
        <v>8.9300000000000068</v>
      </c>
      <c r="AX374" s="108" t="b">
        <f ca="1">AND(模拟模式!$P$10="有",AW373=0,RAND()&lt;IF(C374="净世破魔击·月",0.1*8/3,IF(C374="净世破魔击·日",0.1*4/3,0.1*2/3)))</f>
        <v>0</v>
      </c>
      <c r="AY374" s="47">
        <f ca="1">IF(AX374,(18+G374*0.722)*(1+J374)*(1-S374)*(1+$I$4)*IF(P374="会",'模拟-全程加成'!$J$3+'模拟-全程加成'!$J$4+'模拟-全程加成'!$J$5+('模拟-全程加成'!$I$4+'模拟-全程加成'!$I$5)/系数!$B$4+BG374*10%,IF(P374="命",1,IF(P374="识",0.25,0))),0)</f>
        <v>0</v>
      </c>
      <c r="AZ374" s="108">
        <f t="shared" si="330"/>
        <v>4.3175000000000061</v>
      </c>
      <c r="BA374" s="108" t="b">
        <f>AND(模拟模式!$Q$10="有",AZ373=0)</f>
        <v>0</v>
      </c>
      <c r="BB374" s="140">
        <f>IF(BA374,(0+G374*0.287)*(1+J374)*(1-S374)*(1+$I$4)*IF(P374="会",'模拟-全程加成'!$J$3+'模拟-全程加成'!$J$4+'模拟-全程加成'!$J$5+('模拟-全程加成'!$I$4+'模拟-全程加成'!$I$5)/系数!$B$4+BG374*10%,IF(P374="命",1,IF(P374="识",0.25,0))),0)</f>
        <v>0</v>
      </c>
      <c r="BC374" s="115" t="b">
        <f ca="1">AND(模拟模式!$R$7="伏明众生",E374=60,F374=20,DA374&lt;5,CZ373&lt;$F$4)</f>
        <v>0</v>
      </c>
      <c r="BD374" s="115">
        <f t="shared" ca="1" si="292"/>
        <v>0</v>
      </c>
      <c r="BE374" s="115" t="b">
        <f t="shared" ca="1" si="293"/>
        <v>0</v>
      </c>
      <c r="BF374" s="47">
        <f ca="1">IF(BC374,4*('模拟-单技能数据'!$D$24+G374*'模拟-单技能数据'!$F$24)*(1+J374)*(1+'模拟-单技能数据'!$J$24)*(1-S374)*(1+$I$3)*(('模拟-全程加成'!$J$3+'模拟-全程加成'!$J$4+'模拟-全程加成'!$J$5+('模拟-全程加成'!$I$4+'模拟-全程加成'!$I$5)/系数!$B$4+BG374*10%)*('模拟-全程加成'!$J$3+'模拟-全程加成'!$J$4+'模拟-全程加成'!$J$5+('模拟-全程加成'!$I$4+'模拟-全程加成'!$I$5)/系数!$B$4+BG374*10%)+(1-('模拟-全程加成'!$J$3+'模拟-全程加成'!$J$4+'模拟-全程加成'!$J$5+('模拟-全程加成'!$I$4+'模拟-全程加成'!$I$5)/系数!$B$4+BG374*10%)-$F$10-$F$11)+F360*0.25),0)*'模拟-单技能数据'!$I$24</f>
        <v>0</v>
      </c>
      <c r="BG374" s="115" t="b">
        <f ca="1">OR(AND(OR(C374="烈日斩",C374="银月斩"),模拟模式!$I$7="净身明礼"),AND(C374="净世破魔击·日",模拟模式!$J$7="洞若观火"),AND(C375="净世破魔击·月",模拟模式!$J$7="洞若观火"),AB374=1)</f>
        <v>1</v>
      </c>
      <c r="BH374" s="115" t="b">
        <f t="shared" ca="1" si="331"/>
        <v>0</v>
      </c>
      <c r="BI374" s="115">
        <f t="shared" ca="1" si="294"/>
        <v>0</v>
      </c>
      <c r="BJ374" s="115" t="b">
        <f t="shared" ca="1" si="305"/>
        <v>0</v>
      </c>
      <c r="BK374" s="115" t="b">
        <f ca="1">AND(C374="驱夜断愁",模拟模式!$P$7="天地诛戮")</f>
        <v>0</v>
      </c>
      <c r="BL374" s="57">
        <f t="shared" ca="1" si="295"/>
        <v>15.387500000000003</v>
      </c>
      <c r="BM374" s="115" t="b">
        <f t="shared" ca="1" si="306"/>
        <v>1</v>
      </c>
      <c r="BN374" s="115" t="b">
        <f ca="1">AND(OR(C374="赤日轮1",C374="赤日轮2",C374="赤日轮3",C374="幽月轮1",C374="幽月轮2",C374="幽月轮3"),AB374=1,模拟模式!$L$7="明光恒照")</f>
        <v>1</v>
      </c>
      <c r="BO374" s="117">
        <f t="shared" ca="1" si="296"/>
        <v>30</v>
      </c>
      <c r="BP374" s="115">
        <f t="shared" ca="1" si="332"/>
        <v>6</v>
      </c>
      <c r="BQ374" s="115" t="b">
        <f>模拟模式!$K$10="2600·水"</f>
        <v>0</v>
      </c>
      <c r="BR374" s="117">
        <f t="shared" si="333"/>
        <v>0</v>
      </c>
      <c r="BS374" s="115">
        <f t="shared" si="334"/>
        <v>0</v>
      </c>
      <c r="BT374" s="115">
        <f t="shared" ca="1" si="335"/>
        <v>0</v>
      </c>
      <c r="BU374" s="115" t="b">
        <f ca="1">AND(模拟模式!$K$10="2300·雷",BT373=0,RAND()&lt;IF(C374="净世破魔击·月",5*0.05*2/3,IF(C374="净世破魔击·日",3*0.05*2/3,0.05*2*2/3)))</f>
        <v>0</v>
      </c>
      <c r="BV374" s="115">
        <f t="shared" ca="1" si="336"/>
        <v>0</v>
      </c>
      <c r="BW374" s="115">
        <f t="shared" ca="1" si="337"/>
        <v>51.772499999999283</v>
      </c>
      <c r="BX374" s="164" t="b">
        <f t="shared" ca="1" si="338"/>
        <v>0</v>
      </c>
      <c r="BY374" s="115">
        <f t="shared" ca="1" si="339"/>
        <v>0</v>
      </c>
      <c r="BZ374" s="115">
        <f>IF(OR(模拟模式!$P$16="10人团",模拟模式!$P$16="25人团"),IF(B374/30&gt;CA373,1,0),0)</f>
        <v>0</v>
      </c>
      <c r="CA374" s="115">
        <f t="shared" si="315"/>
        <v>0</v>
      </c>
      <c r="CB374" s="115">
        <f ca="1">IF(BZ374=1,IF(模拟模式!$P$16="10人团",15,0)+IF(模拟模式!$P$16="25人团",IF(RAND()&lt;0.6,15,0)),MAX(0,CB373-$F$4))</f>
        <v>0</v>
      </c>
      <c r="CC374" s="115" t="b">
        <f t="shared" ca="1" si="307"/>
        <v>0</v>
      </c>
      <c r="CD374" s="115">
        <f>IF(模拟模式!$Q$16="1个",IF(B374/40&gt;CE373,1,0),0)</f>
        <v>0</v>
      </c>
      <c r="CE374" s="115">
        <f t="shared" si="308"/>
        <v>0</v>
      </c>
      <c r="CF374" s="115">
        <f>IF(OR(CD374=1,模拟模式!$Q$16="2个"),20,MAX(0,CF373-$F$4))</f>
        <v>0</v>
      </c>
      <c r="CG374" s="115" t="b">
        <f t="shared" si="309"/>
        <v>0</v>
      </c>
      <c r="CH374" s="115">
        <f t="shared" ca="1" si="340"/>
        <v>14.31750000000001</v>
      </c>
      <c r="CI374" s="115" t="b">
        <f t="shared" ca="1" si="341"/>
        <v>0</v>
      </c>
      <c r="CJ374" s="119">
        <f t="shared" ca="1" si="342"/>
        <v>0</v>
      </c>
      <c r="CK374" s="115">
        <f t="shared" ca="1" si="343"/>
        <v>0</v>
      </c>
      <c r="CL374" s="115" t="b">
        <f ca="1">AND(模拟模式!$S$7="驱夷逐法",OR(AND(C374="净世破魔击·月",E373&gt;59),AND(C374="净世破魔击·日",F373&gt;59)))</f>
        <v>0</v>
      </c>
      <c r="CM374" s="115" t="b">
        <f ca="1">OR(CL374,AND(C374="净世破魔击·日",CL373,RAND()&lt;模拟模式!$U$23))</f>
        <v>0</v>
      </c>
      <c r="CN374" s="115" t="b">
        <f ca="1">IF(模拟模式!$M$7="辉耀红尘",AND(C374="净世破魔击·月",CL374,CV374=0,E373&lt;80),AND(C374="净世破魔击·月",CL374,E373&lt;100))</f>
        <v>0</v>
      </c>
      <c r="CO374" s="115" t="b">
        <f t="shared" ca="1" si="316"/>
        <v>0</v>
      </c>
      <c r="CP374" s="115" t="b">
        <f ca="1">AND(模拟模式!$O$7="用晦而明",OR(C374="净世破魔击·日",C374="净世破魔击·月",C374="驱夜断愁"),AB374)</f>
        <v>0</v>
      </c>
      <c r="CQ374" s="115" t="b">
        <f ca="1">OR(CP374,AND(CP373,RAND()&lt;模拟模式!$U$23))</f>
        <v>1</v>
      </c>
      <c r="CR374" s="115" t="b">
        <f ca="1">AND(模拟模式!$S$7="日月齐光",OR(C374="幽月轮1",C374="幽月轮2",C374="幽月轮3",CR373),NOT(OR(C374="赤日轮1",C374="赤日轮2",C374="赤日轮3")))</f>
        <v>0</v>
      </c>
      <c r="CS374" s="115" t="b">
        <f ca="1">AND(模拟模式!$S$7="日月齐光",OR(C374="赤日轮1",C374="赤日轮2",C374="赤日轮3",CS373),NOT(OR(C374="幽月轮1",C374="幽月轮2",C374="幽月轮3")))</f>
        <v>0</v>
      </c>
      <c r="CT374" s="115">
        <f t="shared" ca="1" si="344"/>
        <v>11.550000000000011</v>
      </c>
      <c r="CU374" s="115" t="b">
        <f ca="1">AND(模拟模式!$K$10="阴阳往极",CT373=0,RAND()&lt;IF(C374="净世破魔击·月",0.0275*7/3,IF(C374="净世破魔击·日",0.0275*3/3,0.0275*2/3)))</f>
        <v>0</v>
      </c>
      <c r="CV374" s="115">
        <f t="shared" ca="1" si="345"/>
        <v>0</v>
      </c>
      <c r="CW374" s="115">
        <f t="shared" ca="1" si="317"/>
        <v>2.3099999999999996</v>
      </c>
      <c r="CX374" s="115">
        <f t="shared" ca="1" si="318"/>
        <v>0.46499999999999975</v>
      </c>
      <c r="CY374" s="115">
        <f ca="1">MAX(IF($C374="驱夜断愁",IF(模拟模式!$R$7="万念俱寂",6,45),CY373-$F$4),0)</f>
        <v>1.3874999999999997</v>
      </c>
      <c r="CZ374" s="115">
        <f t="shared" ca="1" si="319"/>
        <v>0</v>
      </c>
      <c r="DA374" s="115">
        <f ca="1">IF(模拟模式!$N$7="日月同辉",IF(DB373=2,0,MIN(6,IF(AND(OR(C374="赤日轮1",C374="赤日轮2",C374="赤日轮3",C374="幽月轮1",C374="幽月轮2",C374="幽月轮3"),AB374=1),DA373+1,DA373))),0)</f>
        <v>4</v>
      </c>
      <c r="DB374" s="115">
        <f t="shared" ca="1" si="320"/>
        <v>0</v>
      </c>
      <c r="DC374" s="115"/>
      <c r="DD374" s="115"/>
      <c r="DE374" s="115"/>
      <c r="DF374" s="115"/>
      <c r="DG374" s="115"/>
      <c r="DH374" s="115"/>
      <c r="DI374" s="115"/>
      <c r="DJ374" s="115"/>
      <c r="DK374" s="115"/>
      <c r="DL374" s="115"/>
      <c r="DM374" s="115"/>
    </row>
    <row r="375" spans="2:117" x14ac:dyDescent="0.2">
      <c r="B375" s="117">
        <f t="shared" si="321"/>
        <v>321.03000000000276</v>
      </c>
      <c r="C375" s="167" t="str">
        <f t="shared" ca="1" si="314"/>
        <v>银月斩</v>
      </c>
      <c r="D375" s="115">
        <f ca="1">IF(C375="赤日轮1",1,IF(C375="赤日轮2",2,IF(C375="赤日轮3",3,IF(C375="幽月轮1",4,IF(C375="幽月轮2",5,IF(C375="幽月轮3",6,IF(C375="烈日斩",7,IF(C375="银月斩",8,IF(C375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375="净世破魔击·月",17,IF(C375="驱夜断愁",18,0)))))))))))</f>
        <v>8</v>
      </c>
      <c r="E375" s="115">
        <f ca="1">IF(AND(CU375,OR(C375="幽月轮1",C375="幽月轮2",C375="幽月轮3",C375="银月斩",C375="驱夜断愁",C375="净世破魔击·月")),100,MIN(IF(OR(CN375,BE375),0,IF(OR($C375="赤日轮1",$C375="赤日轮2",$C375="赤日轮3"),E374+20+IF(模拟模式!$I$7="日月凌天",4,0)+IF(CR374,20,0),IF($C375="烈日斩",E374+40,IF($C375="驱夜断愁",IF(模拟模式!$R$7="万念俱寂",E374+20,E374+60),IF($C375="净世破魔击·月",IF(OR(DB374&gt;0,CV374&gt;0),100,IF(模拟模式!$M$7="辉耀红尘",E374+20,E374)),IF($C375="净世破魔击·日",E374-100,E374)))))),100))</f>
        <v>20</v>
      </c>
      <c r="F375" s="115">
        <f ca="1">IF(AND(CU375,OR(C375="赤日轮1",C375="赤日轮2",C375="赤日轮3",C375="烈日斩",C375="净世破魔击·日")),100,MIN(IF(CO375,0,IF(OR($C375="幽月轮1",$C375="幽月轮2",$C375="幽月轮3"),F374+20+IF(模拟模式!$I$7="日月凌天",4,0)+IF(CS374,20,0),IF($C375="银月斩",F374+40+IF(模拟模式!$X$12=1,5,0),IF($C375="驱夜断愁",IF(模拟模式!$R$7="万念俱寂",F374+20,F374+60),IF($C375="净世破魔击·月",IF(模拟模式!$M$7="辉耀红尘",F374-80,F374-100),IF(AND(C375="净世破魔击·日",OR(DB374&gt;0,CV374&gt;0)),100,F374)))))),100))</f>
        <v>65</v>
      </c>
      <c r="G375" s="117">
        <f ca="1">('模拟-全程加成'!$E$3+'模拟-全程加成'!$E$4+'模拟-全程加成'!$E$5+('模拟-全程加成'!$C$6-'模拟-全程加成'!$C$3)*系数!$B$9+BS375*23)*(1+'模拟-全程加成'!$F$4+'模拟-全程加成'!$F$5+BJ375*10%+BM375*20%+BP375*4%+CG375*30%)+$F$7*系数!$B$12</f>
        <v>20583.127400000001</v>
      </c>
      <c r="H375" s="45">
        <f ca="1">'模拟-全程加成'!$H$3+'模拟-全程加成'!$H$4+'模拟-全程加成'!$H$5+('模拟-全程加成'!$G$4+'模拟-全程加成'!$G$5+('模拟-全程加成'!$C$6-'模拟-全程加成'!$C$3)*系数!$B$13)/系数!$B$3+LOOKUP(D375,'模拟-单技能数据'!$A$2:$A$19,'模拟-单技能数据'!$K$2:$K$19)+BG375*10%+IF(BV375&gt;0,378,0)</f>
        <v>0.64185145527300214</v>
      </c>
      <c r="I375" s="45">
        <f ca="1">'模拟-全程加成'!$J$3+'模拟-全程加成'!$J$4+'模拟-全程加成'!$J$5+('模拟-全程加成'!$I$4+'模拟-全程加成'!$I$5)/系数!$B$4+LOOKUP(D375,'模拟-单技能数据'!$A$2:$A$19,'模拟-单技能数据'!$L$2:$L$19)+BG375*10%</f>
        <v>2.2624828854998791</v>
      </c>
      <c r="J375" s="45">
        <f ca="1">(('模拟-全程加成'!$K$3+'模拟-全程加成'!$K$4+'模拟-全程加成'!$K$5+('模拟-全程加成'!$C$6-'模拟-全程加成'!$C$3)*系数!$B$10+IF(BV375&gt;0,882,0)+IF(BY375&gt;0,1831,0))*(1+'模拟-全程加成'!$L$4+'模拟-全程加成'!$L$5+CC375*20%))/系数!$B$5</f>
        <v>0.69723220422048726</v>
      </c>
      <c r="K375" s="119">
        <f ca="1">LOOKUP(D375,'模拟-单技能数据'!$A$2:$A$19,'模拟-单技能数据'!$J$2:$J$19)+IF(CM375,60%,0)+IF(DB374-DB375&gt;0,30%,0)+IF(OR(AND(OR(C375="赤日轮1",C375="赤日轮2",C375="赤日轮3"),CR375),AND(OR(C375="幽月轮1",C375="幽月轮2",C375="幽月轮3"),CS375)),35%,0)+CJ375</f>
        <v>0.15</v>
      </c>
      <c r="L375" s="119">
        <f ca="1">IF(AND(C375="烈日斩",模拟模式!$X$11=1),10%,0)+IF(AND(C375="驱夜断愁",AB375=1),30%,0)</f>
        <v>0</v>
      </c>
      <c r="M375" s="45">
        <f t="shared" ca="1" si="297"/>
        <v>0.64185145527300214</v>
      </c>
      <c r="N375" s="45">
        <f t="shared" ca="1" si="298"/>
        <v>0.30424854472699792</v>
      </c>
      <c r="O375" s="46">
        <f t="shared" ca="1" si="322"/>
        <v>0.79400826190159934</v>
      </c>
      <c r="P375" s="46" t="str">
        <f t="shared" ca="1" si="323"/>
        <v>命</v>
      </c>
      <c r="Q375" s="45">
        <f t="shared" ca="1" si="324"/>
        <v>1</v>
      </c>
      <c r="R375" s="117">
        <f ca="1">模拟模式!$E$20*(1-IF(模拟模式!$J$19="有",0.15,0))*(1-IF(模拟模式!$K$19="有",0.3,0)-IF(CQ375,0.5,0))</f>
        <v>2950.6049999999996</v>
      </c>
      <c r="S375" s="45">
        <f ca="1">R375/(R375+(185*模拟模式!$E$22-16800)*4.08224)</f>
        <v>0.24272716014590323</v>
      </c>
      <c r="T375" s="45" t="str">
        <f ca="1">LOOKUP(D375,'模拟-单技能数据'!$A$2:$A$19,'模拟-单技能数据'!$H$2:$H$19)</f>
        <v>阴</v>
      </c>
      <c r="U375" s="119">
        <f t="shared" ca="1" si="299"/>
        <v>0.08</v>
      </c>
      <c r="V375" s="47">
        <f ca="1">(1+L375)*(LOOKUP(D375,'模拟-单技能数据'!$A$2:$A$19,'模拟-单技能数据'!$D$2:$D$19)+G375*LOOKUP(D375,'模拟-单技能数据'!$A$2:$A$19,'模拟-单技能数据'!$F$2:$F$19))*(1+J375)*(1+K375)*(1-S375)*(1+U375)*Q375*LOOKUP(D375,'模拟-单技能数据'!$A$2:$A$19,'模拟-单技能数据'!$I$2:$I$20)</f>
        <v>17450.434922549593</v>
      </c>
      <c r="W375" s="47">
        <f ca="1">LOOKUP(D375,'模拟-单技能数据'!$A$2:$A$19,'模拟-单技能数据'!$G$2:$G$19)*$I$10</f>
        <v>361.51064354704795</v>
      </c>
      <c r="X375" s="47">
        <f t="shared" ca="1" si="325"/>
        <v>24118.033429684368</v>
      </c>
      <c r="Y375" s="47">
        <f t="shared" ca="1" si="300"/>
        <v>41929.978995781014</v>
      </c>
      <c r="Z375" s="49">
        <f t="shared" ca="1" si="301"/>
        <v>36371295.844990909</v>
      </c>
      <c r="AA375" s="97">
        <f t="shared" ca="1" si="302"/>
        <v>113295.62920907889</v>
      </c>
      <c r="AB375" s="115">
        <f ca="1">IF(OR(C375="赤日轮1",C375="赤日轮2",C375="赤日轮3"),IF(RAND()&lt;模拟模式!$Y$17,1,0),IF(OR(C375="幽月轮1",C375="幽月轮2",C375="幽月轮3"),IF(RAND()&lt;模拟模式!$Y$18,1,0),IF(C375="烈日斩",IF(RAND()&lt;模拟模式!$Y$19,1,0),IF(C375="银月斩",IF(RAND()&lt;模拟模式!$Y$20,1,0),IF(C375="驱夜断愁",IF(RAND()&lt;模拟模式!$Y$21,1,0),IF(C375="净世破魔击·日",IF(RAND()&lt;模拟模式!$Y$22,1,0),IF(C375="净世破魔击·月",IF(RAND()&lt;模拟模式!$Y$23,1,0),0)))))))</f>
        <v>1</v>
      </c>
      <c r="AC375" s="115" t="b">
        <f t="shared" ca="1" si="290"/>
        <v>1</v>
      </c>
      <c r="AD375" s="115" t="b">
        <f t="shared" ca="1" si="310"/>
        <v>1</v>
      </c>
      <c r="AE375" s="115">
        <f t="shared" ca="1" si="311"/>
        <v>5</v>
      </c>
      <c r="AF375" s="47">
        <f ca="1">IF(AC375,('模拟-单技能数据'!$D$20+G375*'模拟-单技能数据'!$F$20)*(1+J375)*(1+'模拟-单技能数据'!$J$20)*(1+U375),0)</f>
        <v>4447.8565560098323</v>
      </c>
      <c r="AG375" s="61">
        <f t="shared" ca="1" si="303"/>
        <v>0.64185145527300214</v>
      </c>
      <c r="AH375" s="61">
        <f t="shared" ca="1" si="304"/>
        <v>2.2624828854998791</v>
      </c>
      <c r="AI375" s="62">
        <f t="shared" ca="1" si="326"/>
        <v>0.7732568943472713</v>
      </c>
      <c r="AJ375" s="47">
        <f ca="1">IF(AD375,IF(AI375&lt;$F$10,0,IF(AI375&lt;$F$10+$F$11,0.25,IF(AI375&lt;$F$10+$F$11+AG375,AH375,1)))*IF(AF375&gt;0,AF375,IF(AF374&gt;0,AF374,IF(AF373&gt;0,AF373,IF(AF372&gt;0,AF372,IF(AF371&gt;0,AF371,IF(AF370&gt;0,AF370,IF(AF369&gt;0,AF369,IF(AF368&gt;0,AF368,IF(AF367&gt;0,AF367,IF(AF365&gt;0,AF365,IF(AF364&gt;0,AF364,IF(AF363&gt;0,AF363,0)))))))))))),0)*(1-$S375)*'模拟-单技能数据'!$I$20</f>
        <v>3368.2409654332282</v>
      </c>
      <c r="AK375" s="115" t="b">
        <f t="shared" ca="1" si="291"/>
        <v>0</v>
      </c>
      <c r="AL375" s="115" t="b">
        <f t="shared" ca="1" si="312"/>
        <v>1</v>
      </c>
      <c r="AM375" s="115">
        <f t="shared" ca="1" si="313"/>
        <v>4</v>
      </c>
      <c r="AN375" s="47">
        <f ca="1">IF(AK375,('模拟-单技能数据'!$D$21+G375*'模拟-单技能数据'!$F$21)*(1+J375)*(1+'模拟-单技能数据'!$J$21)*(1+U375),0)</f>
        <v>0</v>
      </c>
      <c r="AO375" s="61">
        <f ca="1">IF(AN375&gt;0,M375-'模拟-单技能数据'!$K$10,AO374)</f>
        <v>0.42185145527300216</v>
      </c>
      <c r="AP375" s="61">
        <f ca="1">IF(AN375&gt;0,I375-'模拟-单技能数据'!$L$10,AP374)</f>
        <v>2.162482885499879</v>
      </c>
      <c r="AQ375" s="63">
        <f t="shared" ca="1" si="327"/>
        <v>0.26961335499676364</v>
      </c>
      <c r="AR375" s="64">
        <f ca="1">IF(AL375,IF(AQ375&lt;$F$10,0,IF(AQ375&lt;$F$10+$F$11,0.25,IF(AQ375&lt;$F$10+$F$11+AO375,AP375,1)))*IF(AN375&gt;0,AN375,IF(AN374&gt;0,AN374,IF(AN373&gt;0,AN373,IF(AN372&gt;0,AN372,IF(AN371&gt;0,AN371,IF(AN370&gt;0,AN370,IF(AN369&gt;0,AN369,IF(AN368&gt;0,AN368,IF(AN367&gt;0,AN367,IF(AN365&gt;0,AN365,IF(AN364&gt;0,AN364,IF(AN363&gt;0,AN363,0)))))))))))),0)*(1-$S375)*'模拟-单技能数据'!$I$21</f>
        <v>20749.792464251139</v>
      </c>
      <c r="AS375" s="61">
        <f ca="1">IF(OR(C375="净世破魔击·日",C375="净世破魔击·月"),M375-'模拟-单技能数据'!$K$10,0)</f>
        <v>0</v>
      </c>
      <c r="AT375" s="61">
        <f ca="1">IF(OR(C375="净世破魔击·日",C375="净世破魔击·月"),I375-'模拟-单技能数据'!$L$10,0)</f>
        <v>0</v>
      </c>
      <c r="AU375" s="62">
        <f t="shared" ca="1" si="328"/>
        <v>0.90536329045328945</v>
      </c>
      <c r="AV375" s="64">
        <f ca="1">IF(AS375&gt;0,('模拟-单技能数据'!$D$22+G375*'模拟-单技能数据'!$F$22)*(1+J375)*(1-S375)*IF(AU375&lt;$F$10,0,IF(AU375&lt;$F$10+$F$11,0.25,IF(AU375&lt;$F$10+$F$11+AS375,AT375,1)))*(1+U375),0)*'模拟-单技能数据'!$I$22</f>
        <v>0</v>
      </c>
      <c r="AW375" s="108">
        <f t="shared" ca="1" si="329"/>
        <v>8.0075000000000074</v>
      </c>
      <c r="AX375" s="108" t="b">
        <f ca="1">AND(模拟模式!$P$10="有",AW374=0,RAND()&lt;IF(C375="净世破魔击·月",0.1*8/3,IF(C375="净世破魔击·日",0.1*4/3,0.1*2/3)))</f>
        <v>0</v>
      </c>
      <c r="AY375" s="47">
        <f ca="1">IF(AX375,(18+G375*0.722)*(1+J375)*(1-S375)*(1+$I$4)*IF(P375="会",'模拟-全程加成'!$J$3+'模拟-全程加成'!$J$4+'模拟-全程加成'!$J$5+('模拟-全程加成'!$I$4+'模拟-全程加成'!$I$5)/系数!$B$4+BG375*10%,IF(P375="命",1,IF(P375="识",0.25,0))),0)</f>
        <v>0</v>
      </c>
      <c r="AZ375" s="108">
        <f t="shared" si="330"/>
        <v>3.3950000000000062</v>
      </c>
      <c r="BA375" s="108" t="b">
        <f>AND(模拟模式!$Q$10="有",AZ374=0)</f>
        <v>0</v>
      </c>
      <c r="BB375" s="140">
        <f>IF(BA375,(0+G375*0.287)*(1+J375)*(1-S375)*(1+$I$4)*IF(P375="会",'模拟-全程加成'!$J$3+'模拟-全程加成'!$J$4+'模拟-全程加成'!$J$5+('模拟-全程加成'!$I$4+'模拟-全程加成'!$I$5)/系数!$B$4+BG375*10%,IF(P375="命",1,IF(P375="识",0.25,0))),0)</f>
        <v>0</v>
      </c>
      <c r="BC375" s="115" t="b">
        <f ca="1">AND(模拟模式!$R$7="伏明众生",E375=60,F375=20,DA375&lt;5,CZ374&lt;$F$4)</f>
        <v>0</v>
      </c>
      <c r="BD375" s="115">
        <f t="shared" ca="1" si="292"/>
        <v>0</v>
      </c>
      <c r="BE375" s="115" t="b">
        <f t="shared" ca="1" si="293"/>
        <v>0</v>
      </c>
      <c r="BF375" s="47">
        <f ca="1">IF(BC375,4*('模拟-单技能数据'!$D$24+G375*'模拟-单技能数据'!$F$24)*(1+J375)*(1+'模拟-单技能数据'!$J$24)*(1-S375)*(1+$I$3)*(('模拟-全程加成'!$J$3+'模拟-全程加成'!$J$4+'模拟-全程加成'!$J$5+('模拟-全程加成'!$I$4+'模拟-全程加成'!$I$5)/系数!$B$4+BG375*10%)*('模拟-全程加成'!$J$3+'模拟-全程加成'!$J$4+'模拟-全程加成'!$J$5+('模拟-全程加成'!$I$4+'模拟-全程加成'!$I$5)/系数!$B$4+BG375*10%)+(1-('模拟-全程加成'!$J$3+'模拟-全程加成'!$J$4+'模拟-全程加成'!$J$5+('模拟-全程加成'!$I$4+'模拟-全程加成'!$I$5)/系数!$B$4+BG375*10%)-$F$10-$F$11)+F361*0.25),0)*'模拟-单技能数据'!$I$24</f>
        <v>0</v>
      </c>
      <c r="BG375" s="115" t="b">
        <f ca="1">OR(AND(OR(C375="烈日斩",C375="银月斩"),模拟模式!$I$7="净身明礼"),AND(C375="净世破魔击·日",模拟模式!$J$7="洞若观火"),AND(C376="净世破魔击·月",模拟模式!$J$7="洞若观火"),AB375=1)</f>
        <v>1</v>
      </c>
      <c r="BH375" s="115" t="b">
        <f t="shared" ca="1" si="331"/>
        <v>0</v>
      </c>
      <c r="BI375" s="115">
        <f t="shared" ca="1" si="294"/>
        <v>0</v>
      </c>
      <c r="BJ375" s="115" t="b">
        <f t="shared" ca="1" si="305"/>
        <v>0</v>
      </c>
      <c r="BK375" s="115" t="b">
        <f ca="1">AND(C375="驱夜断愁",模拟模式!$P$7="天地诛戮")</f>
        <v>0</v>
      </c>
      <c r="BL375" s="57">
        <f t="shared" ca="1" si="295"/>
        <v>14.465000000000003</v>
      </c>
      <c r="BM375" s="115" t="b">
        <f t="shared" ca="1" si="306"/>
        <v>1</v>
      </c>
      <c r="BN375" s="115" t="b">
        <f ca="1">AND(OR(C375="赤日轮1",C375="赤日轮2",C375="赤日轮3",C375="幽月轮1",C375="幽月轮2",C375="幽月轮3"),AB375=1,模拟模式!$L$7="明光恒照")</f>
        <v>0</v>
      </c>
      <c r="BO375" s="117">
        <f t="shared" ca="1" si="296"/>
        <v>29.077500000000001</v>
      </c>
      <c r="BP375" s="115">
        <f t="shared" ca="1" si="332"/>
        <v>6</v>
      </c>
      <c r="BQ375" s="115" t="b">
        <f>模拟模式!$K$10="2600·水"</f>
        <v>0</v>
      </c>
      <c r="BR375" s="117">
        <f t="shared" si="333"/>
        <v>0</v>
      </c>
      <c r="BS375" s="115">
        <f t="shared" si="334"/>
        <v>0</v>
      </c>
      <c r="BT375" s="115">
        <f t="shared" ca="1" si="335"/>
        <v>0</v>
      </c>
      <c r="BU375" s="115" t="b">
        <f ca="1">AND(模拟模式!$K$10="2300·雷",BT374=0,RAND()&lt;IF(C375="净世破魔击·月",5*0.05*2/3,IF(C375="净世破魔击·日",3*0.05*2/3,0.05*2*2/3)))</f>
        <v>0</v>
      </c>
      <c r="BV375" s="115">
        <f t="shared" ca="1" si="336"/>
        <v>0</v>
      </c>
      <c r="BW375" s="115">
        <f t="shared" ca="1" si="337"/>
        <v>50.849999999999284</v>
      </c>
      <c r="BX375" s="164" t="b">
        <f t="shared" ca="1" si="338"/>
        <v>0</v>
      </c>
      <c r="BY375" s="115">
        <f t="shared" ca="1" si="339"/>
        <v>0</v>
      </c>
      <c r="BZ375" s="115">
        <f>IF(OR(模拟模式!$P$16="10人团",模拟模式!$P$16="25人团"),IF(B375/30&gt;CA374,1,0),0)</f>
        <v>0</v>
      </c>
      <c r="CA375" s="115">
        <f t="shared" si="315"/>
        <v>0</v>
      </c>
      <c r="CB375" s="115">
        <f ca="1">IF(BZ375=1,IF(模拟模式!$P$16="10人团",15,0)+IF(模拟模式!$P$16="25人团",IF(RAND()&lt;0.6,15,0)),MAX(0,CB374-$F$4))</f>
        <v>0</v>
      </c>
      <c r="CC375" s="115" t="b">
        <f t="shared" ca="1" si="307"/>
        <v>0</v>
      </c>
      <c r="CD375" s="115">
        <f>IF(模拟模式!$Q$16="1个",IF(B375/40&gt;CE374,1,0),0)</f>
        <v>0</v>
      </c>
      <c r="CE375" s="115">
        <f t="shared" si="308"/>
        <v>0</v>
      </c>
      <c r="CF375" s="115">
        <f>IF(OR(CD375=1,模拟模式!$Q$16="2个"),20,MAX(0,CF374-$F$4))</f>
        <v>0</v>
      </c>
      <c r="CG375" s="115" t="b">
        <f t="shared" si="309"/>
        <v>0</v>
      </c>
      <c r="CH375" s="115">
        <f t="shared" ca="1" si="340"/>
        <v>13.39500000000001</v>
      </c>
      <c r="CI375" s="115" t="b">
        <f t="shared" ca="1" si="341"/>
        <v>0</v>
      </c>
      <c r="CJ375" s="119">
        <f t="shared" ca="1" si="342"/>
        <v>0</v>
      </c>
      <c r="CK375" s="115">
        <f t="shared" ca="1" si="343"/>
        <v>0</v>
      </c>
      <c r="CL375" s="115" t="b">
        <f ca="1">AND(模拟模式!$S$7="驱夷逐法",OR(AND(C375="净世破魔击·月",E374&gt;59),AND(C375="净世破魔击·日",F374&gt;59)))</f>
        <v>0</v>
      </c>
      <c r="CM375" s="115" t="b">
        <f ca="1">OR(CL375,AND(C375="净世破魔击·日",CL374,RAND()&lt;模拟模式!$U$23))</f>
        <v>0</v>
      </c>
      <c r="CN375" s="115" t="b">
        <f ca="1">IF(模拟模式!$M$7="辉耀红尘",AND(C375="净世破魔击·月",CL375,CV375=0,E374&lt;80),AND(C375="净世破魔击·月",CL375,E374&lt;100))</f>
        <v>0</v>
      </c>
      <c r="CO375" s="115" t="b">
        <f t="shared" ca="1" si="316"/>
        <v>0</v>
      </c>
      <c r="CP375" s="115" t="b">
        <f ca="1">AND(模拟模式!$O$7="用晦而明",OR(C375="净世破魔击·日",C375="净世破魔击·月",C375="驱夜断愁"),AB375)</f>
        <v>0</v>
      </c>
      <c r="CQ375" s="115" t="b">
        <f ca="1">OR(CP375,AND(CP374,RAND()&lt;模拟模式!$U$23))</f>
        <v>0</v>
      </c>
      <c r="CR375" s="115" t="b">
        <f ca="1">AND(模拟模式!$S$7="日月齐光",OR(C375="幽月轮1",C375="幽月轮2",C375="幽月轮3",CR374),NOT(OR(C375="赤日轮1",C375="赤日轮2",C375="赤日轮3")))</f>
        <v>0</v>
      </c>
      <c r="CS375" s="115" t="b">
        <f ca="1">AND(模拟模式!$S$7="日月齐光",OR(C375="赤日轮1",C375="赤日轮2",C375="赤日轮3",CS374),NOT(OR(C375="幽月轮1",C375="幽月轮2",C375="幽月轮3")))</f>
        <v>0</v>
      </c>
      <c r="CT375" s="115">
        <f t="shared" ca="1" si="344"/>
        <v>10.627500000000012</v>
      </c>
      <c r="CU375" s="115" t="b">
        <f ca="1">AND(模拟模式!$K$10="阴阳往极",CT374=0,RAND()&lt;IF(C375="净世破魔击·月",0.0275*7/3,IF(C375="净世破魔击·日",0.0275*3/3,0.0275*2/3)))</f>
        <v>0</v>
      </c>
      <c r="CV375" s="115">
        <f t="shared" ca="1" si="345"/>
        <v>0</v>
      </c>
      <c r="CW375" s="115">
        <f t="shared" ca="1" si="317"/>
        <v>1.3874999999999997</v>
      </c>
      <c r="CX375" s="115">
        <f t="shared" ca="1" si="318"/>
        <v>6</v>
      </c>
      <c r="CY375" s="115">
        <f ca="1">MAX(IF($C375="驱夜断愁",IF(模拟模式!$R$7="万念俱寂",6,45),CY374-$F$4),0)</f>
        <v>0.46499999999999975</v>
      </c>
      <c r="CZ375" s="115">
        <f t="shared" ca="1" si="319"/>
        <v>0</v>
      </c>
      <c r="DA375" s="115">
        <f ca="1">IF(模拟模式!$N$7="日月同辉",IF(DB374=2,0,MIN(6,IF(AND(OR(C375="赤日轮1",C375="赤日轮2",C375="赤日轮3",C375="幽月轮1",C375="幽月轮2",C375="幽月轮3"),AB375=1),DA374+1,DA374))),0)</f>
        <v>4</v>
      </c>
      <c r="DB375" s="115">
        <f t="shared" ca="1" si="320"/>
        <v>0</v>
      </c>
      <c r="DC375" s="115"/>
      <c r="DD375" s="115"/>
      <c r="DE375" s="115"/>
      <c r="DF375" s="115"/>
      <c r="DG375" s="115"/>
      <c r="DH375" s="115"/>
      <c r="DI375" s="115"/>
      <c r="DJ375" s="115"/>
      <c r="DK375" s="115"/>
      <c r="DL375" s="115"/>
      <c r="DM375" s="115"/>
    </row>
    <row r="376" spans="2:117" x14ac:dyDescent="0.2">
      <c r="B376" s="117">
        <f t="shared" si="321"/>
        <v>321.95250000000277</v>
      </c>
      <c r="C376" s="167" t="str">
        <f t="shared" ca="1" si="314"/>
        <v>驱夜断愁</v>
      </c>
      <c r="D376" s="115">
        <f ca="1">IF(C376="赤日轮1",1,IF(C376="赤日轮2",2,IF(C376="赤日轮3",3,IF(C376="幽月轮1",4,IF(C376="幽月轮2",5,IF(C376="幽月轮3",6,IF(C376="烈日斩",7,IF(C376="银月斩",8,IF(C376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376="净世破魔击·月",17,IF(C376="驱夜断愁",18,0)))))))))))</f>
        <v>18</v>
      </c>
      <c r="E376" s="115">
        <f ca="1">IF(AND(CU376,OR(C376="幽月轮1",C376="幽月轮2",C376="幽月轮3",C376="银月斩",C376="驱夜断愁",C376="净世破魔击·月")),100,MIN(IF(OR(CN376,BE376),0,IF(OR($C376="赤日轮1",$C376="赤日轮2",$C376="赤日轮3"),E375+20+IF(模拟模式!$I$7="日月凌天",4,0)+IF(CR375,20,0),IF($C376="烈日斩",E375+40,IF($C376="驱夜断愁",IF(模拟模式!$R$7="万念俱寂",E375+20,E375+60),IF($C376="净世破魔击·月",IF(OR(DB375&gt;0,CV375&gt;0),100,IF(模拟模式!$M$7="辉耀红尘",E375+20,E375)),IF($C376="净世破魔击·日",E375-100,E375)))))),100))</f>
        <v>40</v>
      </c>
      <c r="F376" s="115">
        <f ca="1">IF(AND(CU376,OR(C376="赤日轮1",C376="赤日轮2",C376="赤日轮3",C376="烈日斩",C376="净世破魔击·日")),100,MIN(IF(CO376,0,IF(OR($C376="幽月轮1",$C376="幽月轮2",$C376="幽月轮3"),F375+20+IF(模拟模式!$I$7="日月凌天",4,0)+IF(CS375,20,0),IF($C376="银月斩",F375+40+IF(模拟模式!$X$12=1,5,0),IF($C376="驱夜断愁",IF(模拟模式!$R$7="万念俱寂",F375+20,F375+60),IF($C376="净世破魔击·月",IF(模拟模式!$M$7="辉耀红尘",F375-80,F375-100),IF(AND(C376="净世破魔击·日",OR(DB375&gt;0,CV375&gt;0)),100,F375)))))),100))</f>
        <v>85</v>
      </c>
      <c r="G376" s="117">
        <f ca="1">('模拟-全程加成'!$E$3+'模拟-全程加成'!$E$4+'模拟-全程加成'!$E$5+('模拟-全程加成'!$C$6-'模拟-全程加成'!$C$3)*系数!$B$9+BS376*23)*(1+'模拟-全程加成'!$F$4+'模拟-全程加成'!$F$5+BJ376*10%+BM376*20%+BP376*4%+CG376*30%)+$F$7*系数!$B$12</f>
        <v>20583.127400000001</v>
      </c>
      <c r="H376" s="45">
        <f ca="1">'模拟-全程加成'!$H$3+'模拟-全程加成'!$H$4+'模拟-全程加成'!$H$5+('模拟-全程加成'!$G$4+'模拟-全程加成'!$G$5+('模拟-全程加成'!$C$6-'模拟-全程加成'!$C$3)*系数!$B$13)/系数!$B$3+LOOKUP(D376,'模拟-单技能数据'!$A$2:$A$19,'模拟-单技能数据'!$K$2:$K$19)+BG376*10%+IF(BV376&gt;0,378,0)</f>
        <v>0.51185145527300213</v>
      </c>
      <c r="I376" s="45">
        <f ca="1">'模拟-全程加成'!$J$3+'模拟-全程加成'!$J$4+'模拟-全程加成'!$J$5+('模拟-全程加成'!$I$4+'模拟-全程加成'!$I$5)/系数!$B$4+LOOKUP(D376,'模拟-单技能数据'!$A$2:$A$19,'模拟-单技能数据'!$L$2:$L$19)+BG376*10%</f>
        <v>2.162482885499879</v>
      </c>
      <c r="J376" s="45">
        <f ca="1">(('模拟-全程加成'!$K$3+'模拟-全程加成'!$K$4+'模拟-全程加成'!$K$5+('模拟-全程加成'!$C$6-'模拟-全程加成'!$C$3)*系数!$B$10+IF(BV376&gt;0,882,0)+IF(BY376&gt;0,1831,0))*(1+'模拟-全程加成'!$L$4+'模拟-全程加成'!$L$5+CC376*20%))/系数!$B$5</f>
        <v>0.69723220422048726</v>
      </c>
      <c r="K376" s="119">
        <f ca="1">LOOKUP(D376,'模拟-单技能数据'!$A$2:$A$19,'模拟-单技能数据'!$J$2:$J$19)+IF(CM376,60%,0)+IF(DB375-DB376&gt;0,30%,0)+IF(OR(AND(OR(C376="赤日轮1",C376="赤日轮2",C376="赤日轮3"),CR376),AND(OR(C376="幽月轮1",C376="幽月轮2",C376="幽月轮3"),CS376)),35%,0)+CJ376</f>
        <v>0.14000000000000001</v>
      </c>
      <c r="L376" s="119">
        <f ca="1">IF(AND(C376="烈日斩",模拟模式!$X$11=1),10%,0)+IF(AND(C376="驱夜断愁",AB376=1),30%,0)</f>
        <v>0.3</v>
      </c>
      <c r="M376" s="45">
        <f t="shared" ca="1" si="297"/>
        <v>0.51185145527300213</v>
      </c>
      <c r="N376" s="45">
        <f t="shared" ca="1" si="298"/>
        <v>0.43424854472699792</v>
      </c>
      <c r="O376" s="46">
        <f t="shared" ca="1" si="322"/>
        <v>0.71609974003510402</v>
      </c>
      <c r="P376" s="46" t="str">
        <f t="shared" ca="1" si="323"/>
        <v>命</v>
      </c>
      <c r="Q376" s="45">
        <f t="shared" ca="1" si="324"/>
        <v>1</v>
      </c>
      <c r="R376" s="117">
        <f ca="1">模拟模式!$E$20*(1-IF(模拟模式!$J$19="有",0.15,0))*(1-IF(模拟模式!$K$19="有",0.3,0)-IF(CQ376,0.5,0))</f>
        <v>843.02999999999975</v>
      </c>
      <c r="S376" s="45">
        <f ca="1">R376/(R376+(185*模拟模式!$E$22-16800)*4.08224)</f>
        <v>8.389626085980037E-2</v>
      </c>
      <c r="T376" s="45" t="str">
        <f ca="1">LOOKUP(D376,'模拟-单技能数据'!$A$2:$A$19,'模拟-单技能数据'!$H$2:$H$19)</f>
        <v>阴</v>
      </c>
      <c r="U376" s="119">
        <f t="shared" ca="1" si="299"/>
        <v>0.08</v>
      </c>
      <c r="V376" s="47">
        <f ca="1">(1+L376)*(LOOKUP(D376,'模拟-单技能数据'!$A$2:$A$19,'模拟-单技能数据'!$D$2:$D$19)+G376*LOOKUP(D376,'模拟-单技能数据'!$A$2:$A$19,'模拟-单技能数据'!$F$2:$F$19))*(1+J376)*(1+K376)*(1-S376)*(1+U376)*Q376*LOOKUP(D376,'模拟-单技能数据'!$A$2:$A$19,'模拟-单技能数据'!$I$2:$I$20)</f>
        <v>58943.088028757353</v>
      </c>
      <c r="W376" s="47">
        <f ca="1">LOOKUP(D376,'模拟-单技能数据'!$A$2:$A$19,'模拟-单技能数据'!$G$2:$G$19)*$I$10</f>
        <v>723.0212870940959</v>
      </c>
      <c r="X376" s="47">
        <f t="shared" ca="1" si="325"/>
        <v>0</v>
      </c>
      <c r="Y376" s="47">
        <f t="shared" ca="1" si="300"/>
        <v>59666.109315851449</v>
      </c>
      <c r="Z376" s="49">
        <f t="shared" ca="1" si="301"/>
        <v>36430961.954306759</v>
      </c>
      <c r="AA376" s="97">
        <f t="shared" ca="1" si="302"/>
        <v>113156.32571359578</v>
      </c>
      <c r="AB376" s="115">
        <f ca="1">IF(OR(C376="赤日轮1",C376="赤日轮2",C376="赤日轮3"),IF(RAND()&lt;模拟模式!$Y$17,1,0),IF(OR(C376="幽月轮1",C376="幽月轮2",C376="幽月轮3"),IF(RAND()&lt;模拟模式!$Y$18,1,0),IF(C376="烈日斩",IF(RAND()&lt;模拟模式!$Y$19,1,0),IF(C376="银月斩",IF(RAND()&lt;模拟模式!$Y$20,1,0),IF(C376="驱夜断愁",IF(RAND()&lt;模拟模式!$Y$21,1,0),IF(C376="净世破魔击·日",IF(RAND()&lt;模拟模式!$Y$22,1,0),IF(C376="净世破魔击·月",IF(RAND()&lt;模拟模式!$Y$23,1,0),0)))))))</f>
        <v>1</v>
      </c>
      <c r="AC376" s="115" t="b">
        <f t="shared" ca="1" si="290"/>
        <v>0</v>
      </c>
      <c r="AD376" s="115" t="b">
        <f t="shared" ca="1" si="310"/>
        <v>0</v>
      </c>
      <c r="AE376" s="115">
        <f t="shared" ca="1" si="311"/>
        <v>5</v>
      </c>
      <c r="AF376" s="47">
        <f ca="1">IF(AC376,('模拟-单技能数据'!$D$20+G376*'模拟-单技能数据'!$F$20)*(1+J376)*(1+'模拟-单技能数据'!$J$20)*(1+U376),0)</f>
        <v>0</v>
      </c>
      <c r="AG376" s="61">
        <f t="shared" ca="1" si="303"/>
        <v>0.64185145527300214</v>
      </c>
      <c r="AH376" s="61">
        <f t="shared" ca="1" si="304"/>
        <v>2.2624828854998791</v>
      </c>
      <c r="AI376" s="62">
        <f t="shared" ca="1" si="326"/>
        <v>2.9469666889438639E-2</v>
      </c>
      <c r="AJ376" s="47">
        <f ca="1">IF(AD376,IF(AI376&lt;$F$10,0,IF(AI376&lt;$F$10+$F$11,0.25,IF(AI376&lt;$F$10+$F$11+AG376,AH376,1)))*IF(AF376&gt;0,AF376,IF(AF375&gt;0,AF375,IF(AF374&gt;0,AF374,IF(AF373&gt;0,AF373,IF(AF372&gt;0,AF372,IF(AF371&gt;0,AF371,IF(AF370&gt;0,AF370,IF(AF369&gt;0,AF369,IF(AF368&gt;0,AF368,IF(AF366&gt;0,AF366,IF(AF365&gt;0,AF365,IF(AF364&gt;0,AF364,0)))))))))))),0)*(1-$S376)*'模拟-单技能数据'!$I$20</f>
        <v>0</v>
      </c>
      <c r="AK376" s="115" t="b">
        <f t="shared" ca="1" si="291"/>
        <v>0</v>
      </c>
      <c r="AL376" s="115" t="b">
        <f t="shared" ca="1" si="312"/>
        <v>0</v>
      </c>
      <c r="AM376" s="115">
        <f t="shared" ca="1" si="313"/>
        <v>4</v>
      </c>
      <c r="AN376" s="47">
        <f ca="1">IF(AK376,('模拟-单技能数据'!$D$21+G376*'模拟-单技能数据'!$F$21)*(1+J376)*(1+'模拟-单技能数据'!$J$21)*(1+U376),0)</f>
        <v>0</v>
      </c>
      <c r="AO376" s="61">
        <f ca="1">IF(AN376&gt;0,M376-'模拟-单技能数据'!$K$10,AO375)</f>
        <v>0.42185145527300216</v>
      </c>
      <c r="AP376" s="61">
        <f ca="1">IF(AN376&gt;0,I376-'模拟-单技能数据'!$L$10,AP375)</f>
        <v>2.162482885499879</v>
      </c>
      <c r="AQ376" s="63">
        <f t="shared" ca="1" si="327"/>
        <v>0.15569119301242906</v>
      </c>
      <c r="AR376" s="64">
        <f ca="1">IF(AL376,IF(AQ376&lt;$F$10,0,IF(AQ376&lt;$F$10+$F$11,0.25,IF(AQ376&lt;$F$10+$F$11+AO376,AP376,1)))*IF(AN376&gt;0,AN376,IF(AN375&gt;0,AN375,IF(AN374&gt;0,AN374,IF(AN373&gt;0,AN373,IF(AN372&gt;0,AN372,IF(AN371&gt;0,AN371,IF(AN370&gt;0,AN370,IF(AN369&gt;0,AN369,IF(AN368&gt;0,AN368,IF(AN366&gt;0,AN366,IF(AN365&gt;0,AN365,IF(AN364&gt;0,AN364,0)))))))))))),0)*(1-$S376)*'模拟-单技能数据'!$I$21</f>
        <v>0</v>
      </c>
      <c r="AS376" s="61">
        <f ca="1">IF(OR(C376="净世破魔击·日",C376="净世破魔击·月"),M376-'模拟-单技能数据'!$K$10,0)</f>
        <v>0</v>
      </c>
      <c r="AT376" s="61">
        <f ca="1">IF(OR(C376="净世破魔击·日",C376="净世破魔击·月"),I376-'模拟-单技能数据'!$L$10,0)</f>
        <v>0</v>
      </c>
      <c r="AU376" s="62">
        <f t="shared" ca="1" si="328"/>
        <v>0.93931426377886185</v>
      </c>
      <c r="AV376" s="64">
        <f ca="1">IF(AS376&gt;0,('模拟-单技能数据'!$D$22+G376*'模拟-单技能数据'!$F$22)*(1+J376)*(1-S376)*IF(AU376&lt;$F$10,0,IF(AU376&lt;$F$10+$F$11,0.25,IF(AU376&lt;$F$10+$F$11+AS376,AT376,1)))*(1+U376),0)*'模拟-单技能数据'!$I$22</f>
        <v>0</v>
      </c>
      <c r="AW376" s="108">
        <f t="shared" ca="1" si="329"/>
        <v>7.0850000000000071</v>
      </c>
      <c r="AX376" s="108" t="b">
        <f ca="1">AND(模拟模式!$P$10="有",AW375=0,RAND()&lt;IF(C376="净世破魔击·月",0.1*8/3,IF(C376="净世破魔击·日",0.1*4/3,0.1*2/3)))</f>
        <v>0</v>
      </c>
      <c r="AY376" s="47">
        <f ca="1">IF(AX376,(18+G376*0.722)*(1+J376)*(1-S376)*(1+$I$4)*IF(P376="会",'模拟-全程加成'!$J$3+'模拟-全程加成'!$J$4+'模拟-全程加成'!$J$5+('模拟-全程加成'!$I$4+'模拟-全程加成'!$I$5)/系数!$B$4+BG376*10%,IF(P376="命",1,IF(P376="识",0.25,0))),0)</f>
        <v>0</v>
      </c>
      <c r="AZ376" s="108">
        <f t="shared" si="330"/>
        <v>2.4725000000000064</v>
      </c>
      <c r="BA376" s="108" t="b">
        <f>AND(模拟模式!$Q$10="有",AZ375=0)</f>
        <v>0</v>
      </c>
      <c r="BB376" s="140">
        <f>IF(BA376,(0+G376*0.287)*(1+J376)*(1-S376)*(1+$I$4)*IF(P376="会",'模拟-全程加成'!$J$3+'模拟-全程加成'!$J$4+'模拟-全程加成'!$J$5+('模拟-全程加成'!$I$4+'模拟-全程加成'!$I$5)/系数!$B$4+BG376*10%,IF(P376="命",1,IF(P376="识",0.25,0))),0)</f>
        <v>0</v>
      </c>
      <c r="BC376" s="115" t="b">
        <f ca="1">AND(模拟模式!$R$7="伏明众生",E376=60,F376=20,DA376&lt;5,CZ375&lt;$F$4)</f>
        <v>0</v>
      </c>
      <c r="BD376" s="115">
        <f t="shared" ca="1" si="292"/>
        <v>0</v>
      </c>
      <c r="BE376" s="115" t="b">
        <f t="shared" ca="1" si="293"/>
        <v>0</v>
      </c>
      <c r="BF376" s="47">
        <f ca="1">IF(BC376,4*('模拟-单技能数据'!$D$24+G376*'模拟-单技能数据'!$F$24)*(1+J376)*(1+'模拟-单技能数据'!$J$24)*(1-S376)*(1+$I$3)*(('模拟-全程加成'!$J$3+'模拟-全程加成'!$J$4+'模拟-全程加成'!$J$5+('模拟-全程加成'!$I$4+'模拟-全程加成'!$I$5)/系数!$B$4+BG376*10%)*('模拟-全程加成'!$J$3+'模拟-全程加成'!$J$4+'模拟-全程加成'!$J$5+('模拟-全程加成'!$I$4+'模拟-全程加成'!$I$5)/系数!$B$4+BG376*10%)+(1-('模拟-全程加成'!$J$3+'模拟-全程加成'!$J$4+'模拟-全程加成'!$J$5+('模拟-全程加成'!$I$4+'模拟-全程加成'!$I$5)/系数!$B$4+BG376*10%)-$F$10-$F$11)+F362*0.25),0)*'模拟-单技能数据'!$I$24</f>
        <v>0</v>
      </c>
      <c r="BG376" s="115" t="b">
        <f ca="1">OR(AND(OR(C376="烈日斩",C376="银月斩"),模拟模式!$I$7="净身明礼"),AND(C376="净世破魔击·日",模拟模式!$J$7="洞若观火"),AND(C377="净世破魔击·月",模拟模式!$J$7="洞若观火"),AB376=1)</f>
        <v>1</v>
      </c>
      <c r="BH376" s="115" t="b">
        <f t="shared" ca="1" si="331"/>
        <v>0</v>
      </c>
      <c r="BI376" s="115">
        <f t="shared" ca="1" si="294"/>
        <v>0</v>
      </c>
      <c r="BJ376" s="115" t="b">
        <f t="shared" ca="1" si="305"/>
        <v>0</v>
      </c>
      <c r="BK376" s="115" t="b">
        <f ca="1">AND(C376="驱夜断愁",模拟模式!$P$7="天地诛戮")</f>
        <v>1</v>
      </c>
      <c r="BL376" s="57">
        <f t="shared" ca="1" si="295"/>
        <v>20</v>
      </c>
      <c r="BM376" s="115" t="b">
        <f t="shared" ca="1" si="306"/>
        <v>1</v>
      </c>
      <c r="BN376" s="115" t="b">
        <f ca="1">AND(OR(C376="赤日轮1",C376="赤日轮2",C376="赤日轮3",C376="幽月轮1",C376="幽月轮2",C376="幽月轮3"),AB376=1,模拟模式!$L$7="明光恒照")</f>
        <v>0</v>
      </c>
      <c r="BO376" s="117">
        <f t="shared" ca="1" si="296"/>
        <v>28.155000000000001</v>
      </c>
      <c r="BP376" s="115">
        <f t="shared" ca="1" si="332"/>
        <v>6</v>
      </c>
      <c r="BQ376" s="115" t="b">
        <f>模拟模式!$K$10="2600·水"</f>
        <v>0</v>
      </c>
      <c r="BR376" s="117">
        <f t="shared" si="333"/>
        <v>0</v>
      </c>
      <c r="BS376" s="115">
        <f t="shared" si="334"/>
        <v>0</v>
      </c>
      <c r="BT376" s="115">
        <f t="shared" ca="1" si="335"/>
        <v>0</v>
      </c>
      <c r="BU376" s="115" t="b">
        <f ca="1">AND(模拟模式!$K$10="2300·雷",BT375=0,RAND()&lt;IF(C376="净世破魔击·月",5*0.05*2/3,IF(C376="净世破魔击·日",3*0.05*2/3,0.05*2*2/3)))</f>
        <v>0</v>
      </c>
      <c r="BV376" s="115">
        <f t="shared" ca="1" si="336"/>
        <v>0</v>
      </c>
      <c r="BW376" s="115">
        <f t="shared" ca="1" si="337"/>
        <v>49.927499999999284</v>
      </c>
      <c r="BX376" s="164" t="b">
        <f t="shared" ca="1" si="338"/>
        <v>0</v>
      </c>
      <c r="BY376" s="115">
        <f t="shared" ca="1" si="339"/>
        <v>0</v>
      </c>
      <c r="BZ376" s="115">
        <f>IF(OR(模拟模式!$P$16="10人团",模拟模式!$P$16="25人团"),IF(B376/30&gt;CA375,1,0),0)</f>
        <v>0</v>
      </c>
      <c r="CA376" s="115">
        <f t="shared" si="315"/>
        <v>0</v>
      </c>
      <c r="CB376" s="115">
        <f ca="1">IF(BZ376=1,IF(模拟模式!$P$16="10人团",15,0)+IF(模拟模式!$P$16="25人团",IF(RAND()&lt;0.6,15,0)),MAX(0,CB375-$F$4))</f>
        <v>0</v>
      </c>
      <c r="CC376" s="115" t="b">
        <f t="shared" ca="1" si="307"/>
        <v>0</v>
      </c>
      <c r="CD376" s="115">
        <f>IF(模拟模式!$Q$16="1个",IF(B376/40&gt;CE375,1,0),0)</f>
        <v>0</v>
      </c>
      <c r="CE376" s="115">
        <f t="shared" si="308"/>
        <v>0</v>
      </c>
      <c r="CF376" s="115">
        <f>IF(OR(CD376=1,模拟模式!$Q$16="2个"),20,MAX(0,CF375-$F$4))</f>
        <v>0</v>
      </c>
      <c r="CG376" s="115" t="b">
        <f t="shared" si="309"/>
        <v>0</v>
      </c>
      <c r="CH376" s="115">
        <f t="shared" ca="1" si="340"/>
        <v>12.472500000000011</v>
      </c>
      <c r="CI376" s="115" t="b">
        <f t="shared" ca="1" si="341"/>
        <v>0</v>
      </c>
      <c r="CJ376" s="119">
        <f t="shared" ca="1" si="342"/>
        <v>0</v>
      </c>
      <c r="CK376" s="115">
        <f t="shared" ca="1" si="343"/>
        <v>0</v>
      </c>
      <c r="CL376" s="115" t="b">
        <f ca="1">AND(模拟模式!$S$7="驱夷逐法",OR(AND(C376="净世破魔击·月",E375&gt;59),AND(C376="净世破魔击·日",F375&gt;59)))</f>
        <v>0</v>
      </c>
      <c r="CM376" s="115" t="b">
        <f ca="1">OR(CL376,AND(C376="净世破魔击·日",CL375,RAND()&lt;模拟模式!$U$23))</f>
        <v>0</v>
      </c>
      <c r="CN376" s="115" t="b">
        <f ca="1">IF(模拟模式!$M$7="辉耀红尘",AND(C376="净世破魔击·月",CL376,CV376=0,E375&lt;80),AND(C376="净世破魔击·月",CL376,E375&lt;100))</f>
        <v>0</v>
      </c>
      <c r="CO376" s="115" t="b">
        <f t="shared" ca="1" si="316"/>
        <v>0</v>
      </c>
      <c r="CP376" s="115" t="b">
        <f ca="1">AND(模拟模式!$O$7="用晦而明",OR(C376="净世破魔击·日",C376="净世破魔击·月",C376="驱夜断愁"),AB376)</f>
        <v>1</v>
      </c>
      <c r="CQ376" s="115" t="b">
        <f ca="1">OR(CP376,AND(CP375,RAND()&lt;模拟模式!$U$23))</f>
        <v>1</v>
      </c>
      <c r="CR376" s="115" t="b">
        <f ca="1">AND(模拟模式!$S$7="日月齐光",OR(C376="幽月轮1",C376="幽月轮2",C376="幽月轮3",CR375),NOT(OR(C376="赤日轮1",C376="赤日轮2",C376="赤日轮3")))</f>
        <v>0</v>
      </c>
      <c r="CS376" s="115" t="b">
        <f ca="1">AND(模拟模式!$S$7="日月齐光",OR(C376="赤日轮1",C376="赤日轮2",C376="赤日轮3",CS375),NOT(OR(C376="幽月轮1",C376="幽月轮2",C376="幽月轮3")))</f>
        <v>0</v>
      </c>
      <c r="CT376" s="115">
        <f t="shared" ca="1" si="344"/>
        <v>9.7050000000000125</v>
      </c>
      <c r="CU376" s="115" t="b">
        <f ca="1">AND(模拟模式!$K$10="阴阳往极",CT375=0,RAND()&lt;IF(C376="净世破魔击·月",0.0275*7/3,IF(C376="净世破魔击·日",0.0275*3/3,0.0275*2/3)))</f>
        <v>0</v>
      </c>
      <c r="CV376" s="115">
        <f t="shared" ca="1" si="345"/>
        <v>0</v>
      </c>
      <c r="CW376" s="115">
        <f t="shared" ca="1" si="317"/>
        <v>0.46499999999999975</v>
      </c>
      <c r="CX376" s="115">
        <f t="shared" ca="1" si="318"/>
        <v>5.0774999999999997</v>
      </c>
      <c r="CY376" s="115">
        <f ca="1">MAX(IF($C376="驱夜断愁",IF(模拟模式!$R$7="万念俱寂",6,45),CY375-$F$4),0)</f>
        <v>6</v>
      </c>
      <c r="CZ376" s="115">
        <f t="shared" ca="1" si="319"/>
        <v>0</v>
      </c>
      <c r="DA376" s="115">
        <f ca="1">IF(模拟模式!$N$7="日月同辉",IF(DB375=2,0,MIN(6,IF(AND(OR(C376="赤日轮1",C376="赤日轮2",C376="赤日轮3",C376="幽月轮1",C376="幽月轮2",C376="幽月轮3"),AB376=1),DA375+1,DA375))),0)</f>
        <v>4</v>
      </c>
      <c r="DB376" s="115">
        <f t="shared" ca="1" si="320"/>
        <v>0</v>
      </c>
      <c r="DC376" s="115"/>
      <c r="DD376" s="115"/>
      <c r="DE376" s="115"/>
      <c r="DF376" s="115"/>
      <c r="DG376" s="115"/>
      <c r="DH376" s="115"/>
      <c r="DI376" s="115"/>
      <c r="DJ376" s="115"/>
      <c r="DK376" s="115"/>
      <c r="DL376" s="115"/>
      <c r="DM376" s="115"/>
    </row>
    <row r="377" spans="2:117" x14ac:dyDescent="0.2">
      <c r="B377" s="117">
        <f t="shared" si="321"/>
        <v>322.87500000000279</v>
      </c>
      <c r="C377" s="167" t="str">
        <f t="shared" ca="1" si="314"/>
        <v>烈日斩</v>
      </c>
      <c r="D377" s="115">
        <f ca="1">IF(C377="赤日轮1",1,IF(C377="赤日轮2",2,IF(C377="赤日轮3",3,IF(C377="幽月轮1",4,IF(C377="幽月轮2",5,IF(C377="幽月轮3",6,IF(C377="烈日斩",7,IF(C377="银月斩",8,IF(C377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377="净世破魔击·月",17,IF(C377="驱夜断愁",18,0)))))))))))</f>
        <v>7</v>
      </c>
      <c r="E377" s="115">
        <f ca="1">IF(AND(CU377,OR(C377="幽月轮1",C377="幽月轮2",C377="幽月轮3",C377="银月斩",C377="驱夜断愁",C377="净世破魔击·月")),100,MIN(IF(OR(CN377,BE377),0,IF(OR($C377="赤日轮1",$C377="赤日轮2",$C377="赤日轮3"),E376+20+IF(模拟模式!$I$7="日月凌天",4,0)+IF(CR376,20,0),IF($C377="烈日斩",E376+40,IF($C377="驱夜断愁",IF(模拟模式!$R$7="万念俱寂",E376+20,E376+60),IF($C377="净世破魔击·月",IF(OR(DB376&gt;0,CV376&gt;0),100,IF(模拟模式!$M$7="辉耀红尘",E376+20,E376)),IF($C377="净世破魔击·日",E376-100,E376)))))),100))</f>
        <v>80</v>
      </c>
      <c r="F377" s="115">
        <f ca="1">IF(AND(CU377,OR(C377="赤日轮1",C377="赤日轮2",C377="赤日轮3",C377="烈日斩",C377="净世破魔击·日")),100,MIN(IF(CO377,0,IF(OR($C377="幽月轮1",$C377="幽月轮2",$C377="幽月轮3"),F376+20+IF(模拟模式!$I$7="日月凌天",4,0)+IF(CS376,20,0),IF($C377="银月斩",F376+40+IF(模拟模式!$X$12=1,5,0),IF($C377="驱夜断愁",IF(模拟模式!$R$7="万念俱寂",F376+20,F376+60),IF($C377="净世破魔击·月",IF(模拟模式!$M$7="辉耀红尘",F376-80,F376-100),IF(AND(C377="净世破魔击·日",OR(DB376&gt;0,CV376&gt;0)),100,F376)))))),100))</f>
        <v>85</v>
      </c>
      <c r="G377" s="117">
        <f ca="1">('模拟-全程加成'!$E$3+'模拟-全程加成'!$E$4+'模拟-全程加成'!$E$5+('模拟-全程加成'!$C$6-'模拟-全程加成'!$C$3)*系数!$B$9+BS377*23)*(1+'模拟-全程加成'!$F$4+'模拟-全程加成'!$F$5+BJ377*10%+BM377*20%+BP377*4%+CG377*30%)+$F$7*系数!$B$12</f>
        <v>20583.127400000001</v>
      </c>
      <c r="H377" s="45">
        <f ca="1">'模拟-全程加成'!$H$3+'模拟-全程加成'!$H$4+'模拟-全程加成'!$H$5+('模拟-全程加成'!$G$4+'模拟-全程加成'!$G$5+('模拟-全程加成'!$C$6-'模拟-全程加成'!$C$3)*系数!$B$13)/系数!$B$3+LOOKUP(D377,'模拟-单技能数据'!$A$2:$A$19,'模拟-单技能数据'!$K$2:$K$19)+BG377*10%+IF(BV377&gt;0,378,0)</f>
        <v>0.56185145527300218</v>
      </c>
      <c r="I377" s="45">
        <f ca="1">'模拟-全程加成'!$J$3+'模拟-全程加成'!$J$4+'模拟-全程加成'!$J$5+('模拟-全程加成'!$I$4+'模拟-全程加成'!$I$5)/系数!$B$4+LOOKUP(D377,'模拟-单技能数据'!$A$2:$A$19,'模拟-单技能数据'!$L$2:$L$19)+BG377*10%</f>
        <v>2.2624828854998791</v>
      </c>
      <c r="J377" s="45">
        <f ca="1">(('模拟-全程加成'!$K$3+'模拟-全程加成'!$K$4+'模拟-全程加成'!$K$5+('模拟-全程加成'!$C$6-'模拟-全程加成'!$C$3)*系数!$B$10+IF(BV377&gt;0,882,0)+IF(BY377&gt;0,1831,0))*(1+'模拟-全程加成'!$L$4+'模拟-全程加成'!$L$5+CC377*20%))/系数!$B$5</f>
        <v>0.69723220422048726</v>
      </c>
      <c r="K377" s="119">
        <f ca="1">LOOKUP(D377,'模拟-单技能数据'!$A$2:$A$19,'模拟-单技能数据'!$J$2:$J$19)+IF(CM377,60%,0)+IF(DB376-DB377&gt;0,30%,0)+IF(OR(AND(OR(C377="赤日轮1",C377="赤日轮2",C377="赤日轮3"),CR377),AND(OR(C377="幽月轮1",C377="幽月轮2",C377="幽月轮3"),CS377)),35%,0)+CJ377</f>
        <v>0.24</v>
      </c>
      <c r="L377" s="119">
        <f ca="1">IF(AND(C377="烈日斩",模拟模式!$X$11=1),10%,0)+IF(AND(C377="驱夜断愁",AB377=1),30%,0)</f>
        <v>0.1</v>
      </c>
      <c r="M377" s="45">
        <f t="shared" ca="1" si="297"/>
        <v>0.56185145527300218</v>
      </c>
      <c r="N377" s="45">
        <f t="shared" ca="1" si="298"/>
        <v>0.38424854472699788</v>
      </c>
      <c r="O377" s="46">
        <f t="shared" ca="1" si="322"/>
        <v>0.72674295029181424</v>
      </c>
      <c r="P377" s="46" t="str">
        <f t="shared" ca="1" si="323"/>
        <v>命</v>
      </c>
      <c r="Q377" s="45">
        <f t="shared" ca="1" si="324"/>
        <v>1</v>
      </c>
      <c r="R377" s="117">
        <f ca="1">模拟模式!$E$20*(1-IF(模拟模式!$J$19="有",0.15,0))*(1-IF(模拟模式!$K$19="有",0.3,0)-IF(CQ377,0.5,0))</f>
        <v>843.02999999999975</v>
      </c>
      <c r="S377" s="45">
        <f ca="1">R377/(R377+(185*模拟模式!$E$22-16800)*4.08224)</f>
        <v>8.389626085980037E-2</v>
      </c>
      <c r="T377" s="45" t="str">
        <f ca="1">LOOKUP(D377,'模拟-单技能数据'!$A$2:$A$19,'模拟-单技能数据'!$H$2:$H$19)</f>
        <v>阳</v>
      </c>
      <c r="U377" s="119">
        <f t="shared" ca="1" si="299"/>
        <v>0.2</v>
      </c>
      <c r="V377" s="47">
        <f ca="1">(1+L377)*(LOOKUP(D377,'模拟-单技能数据'!$A$2:$A$19,'模拟-单技能数据'!$D$2:$D$19)+G377*LOOKUP(D377,'模拟-单技能数据'!$A$2:$A$19,'模拟-单技能数据'!$F$2:$F$19))*(1+J377)*(1+K377)*(1-S377)*(1+U377)*Q377*LOOKUP(D377,'模拟-单技能数据'!$A$2:$A$19,'模拟-单技能数据'!$I$2:$I$20)</f>
        <v>46789.769184608012</v>
      </c>
      <c r="W377" s="47">
        <f ca="1">LOOKUP(D377,'模拟-单技能数据'!$A$2:$A$19,'模拟-单技能数据'!$G$2:$G$19)*$I$10</f>
        <v>361.51064354704795</v>
      </c>
      <c r="X377" s="47">
        <f t="shared" ca="1" si="325"/>
        <v>20826.826391082563</v>
      </c>
      <c r="Y377" s="47">
        <f t="shared" ca="1" si="300"/>
        <v>67978.106219237627</v>
      </c>
      <c r="Z377" s="49">
        <f t="shared" ca="1" si="301"/>
        <v>36498940.060525998</v>
      </c>
      <c r="AA377" s="97">
        <f t="shared" ca="1" si="302"/>
        <v>113043.56193736178</v>
      </c>
      <c r="AB377" s="115">
        <f ca="1">IF(OR(C377="赤日轮1",C377="赤日轮2",C377="赤日轮3"),IF(RAND()&lt;模拟模式!$Y$17,1,0),IF(OR(C377="幽月轮1",C377="幽月轮2",C377="幽月轮3"),IF(RAND()&lt;模拟模式!$Y$18,1,0),IF(C377="烈日斩",IF(RAND()&lt;模拟模式!$Y$19,1,0),IF(C377="银月斩",IF(RAND()&lt;模拟模式!$Y$20,1,0),IF(C377="驱夜断愁",IF(RAND()&lt;模拟模式!$Y$21,1,0),IF(C377="净世破魔击·日",IF(RAND()&lt;模拟模式!$Y$22,1,0),IF(C377="净世破魔击·月",IF(RAND()&lt;模拟模式!$Y$23,1,0),0)))))))</f>
        <v>1</v>
      </c>
      <c r="AC377" s="115" t="b">
        <f t="shared" ca="1" si="290"/>
        <v>0</v>
      </c>
      <c r="AD377" s="115" t="b">
        <f t="shared" ca="1" si="310"/>
        <v>1</v>
      </c>
      <c r="AE377" s="115">
        <f t="shared" ca="1" si="311"/>
        <v>4</v>
      </c>
      <c r="AF377" s="47">
        <f ca="1">IF(AC377,('模拟-单技能数据'!$D$20+G377*'模拟-单技能数据'!$F$20)*(1+J377)*(1+'模拟-单技能数据'!$J$20)*(1+U377),0)</f>
        <v>0</v>
      </c>
      <c r="AG377" s="61">
        <f t="shared" ca="1" si="303"/>
        <v>0.64185145527300214</v>
      </c>
      <c r="AH377" s="61">
        <f t="shared" ca="1" si="304"/>
        <v>2.2624828854998791</v>
      </c>
      <c r="AI377" s="62">
        <f t="shared" ca="1" si="326"/>
        <v>0.60202095477490347</v>
      </c>
      <c r="AJ377" s="47">
        <f ca="1">IF(AD377,IF(AI377&lt;$F$10,0,IF(AI377&lt;$F$10+$F$11,0.25,IF(AI377&lt;$F$10+$F$11+AG377,AH377,1)))*IF(AF377&gt;0,AF377,IF(AF376&gt;0,AF376,IF(AF375&gt;0,AF375,IF(AF374&gt;0,AF374,IF(AF373&gt;0,AF373,IF(AF372&gt;0,AF372,IF(AF371&gt;0,AF371,IF(AF370&gt;0,AF370,IF(AF369&gt;0,AF369,IF(AF367&gt;0,AF367,IF(AF366&gt;0,AF366,IF(AF365&gt;0,AF365,0)))))))))))),0)*(1-$S377)*'模拟-单技能数据'!$I$20</f>
        <v>9218.9345386263849</v>
      </c>
      <c r="AK377" s="115" t="b">
        <f t="shared" ca="1" si="291"/>
        <v>0</v>
      </c>
      <c r="AL377" s="115" t="b">
        <f t="shared" ca="1" si="312"/>
        <v>1</v>
      </c>
      <c r="AM377" s="115">
        <f t="shared" ca="1" si="313"/>
        <v>3</v>
      </c>
      <c r="AN377" s="47">
        <f ca="1">IF(AK377,('模拟-单技能数据'!$D$21+G377*'模拟-单技能数据'!$F$21)*(1+J377)*(1+'模拟-单技能数据'!$J$21)*(1+U377),0)</f>
        <v>0</v>
      </c>
      <c r="AO377" s="61">
        <f ca="1">IF(AN377&gt;0,M377-'模拟-单技能数据'!$K$10,AO376)</f>
        <v>0.42185145527300216</v>
      </c>
      <c r="AP377" s="61">
        <f ca="1">IF(AN377&gt;0,I377-'模拟-单技能数据'!$L$10,AP376)</f>
        <v>2.162482885499879</v>
      </c>
      <c r="AQ377" s="63">
        <f t="shared" ca="1" si="327"/>
        <v>0.65644121611009276</v>
      </c>
      <c r="AR377" s="64">
        <f ca="1">IF(AL377,IF(AQ377&lt;$F$10,0,IF(AQ377&lt;$F$10+$F$11,0.25,IF(AQ377&lt;$F$10+$F$11+AO377,AP377,1)))*IF(AN377&gt;0,AN377,IF(AN376&gt;0,AN376,IF(AN375&gt;0,AN375,IF(AN374&gt;0,AN374,IF(AN373&gt;0,AN373,IF(AN372&gt;0,AN372,IF(AN371&gt;0,AN371,IF(AN370&gt;0,AN370,IF(AN369&gt;0,AN369,IF(AN367&gt;0,AN367,IF(AN366&gt;0,AN366,IF(AN365&gt;0,AN365,0)))))))))))),0)*(1-$S377)*'模拟-单技能数据'!$I$21</f>
        <v>11607.89185245618</v>
      </c>
      <c r="AS377" s="61">
        <f ca="1">IF(OR(C377="净世破魔击·日",C377="净世破魔击·月"),M377-'模拟-单技能数据'!$K$10,0)</f>
        <v>0</v>
      </c>
      <c r="AT377" s="61">
        <f ca="1">IF(OR(C377="净世破魔击·日",C377="净世破魔击·月"),I377-'模拟-单技能数据'!$L$10,0)</f>
        <v>0</v>
      </c>
      <c r="AU377" s="62">
        <f t="shared" ca="1" si="328"/>
        <v>0.36773517325498328</v>
      </c>
      <c r="AV377" s="64">
        <f ca="1">IF(AS377&gt;0,('模拟-单技能数据'!$D$22+G377*'模拟-单技能数据'!$F$22)*(1+J377)*(1-S377)*IF(AU377&lt;$F$10,0,IF(AU377&lt;$F$10+$F$11,0.25,IF(AU377&lt;$F$10+$F$11+AS377,AT377,1)))*(1+U377),0)*'模拟-单技能数据'!$I$22</f>
        <v>0</v>
      </c>
      <c r="AW377" s="108">
        <f t="shared" ca="1" si="329"/>
        <v>6.1625000000000068</v>
      </c>
      <c r="AX377" s="108" t="b">
        <f ca="1">AND(模拟模式!$P$10="有",AW376=0,RAND()&lt;IF(C377="净世破魔击·月",0.1*8/3,IF(C377="净世破魔击·日",0.1*4/3,0.1*2/3)))</f>
        <v>0</v>
      </c>
      <c r="AY377" s="47">
        <f ca="1">IF(AX377,(18+G377*0.722)*(1+J377)*(1-S377)*(1+$I$4)*IF(P377="会",'模拟-全程加成'!$J$3+'模拟-全程加成'!$J$4+'模拟-全程加成'!$J$5+('模拟-全程加成'!$I$4+'模拟-全程加成'!$I$5)/系数!$B$4+BG377*10%,IF(P377="命",1,IF(P377="识",0.25,0))),0)</f>
        <v>0</v>
      </c>
      <c r="AZ377" s="108">
        <f t="shared" si="330"/>
        <v>1.5500000000000065</v>
      </c>
      <c r="BA377" s="108" t="b">
        <f>AND(模拟模式!$Q$10="有",AZ376=0)</f>
        <v>0</v>
      </c>
      <c r="BB377" s="140">
        <f>IF(BA377,(0+G377*0.287)*(1+J377)*(1-S377)*(1+$I$4)*IF(P377="会",'模拟-全程加成'!$J$3+'模拟-全程加成'!$J$4+'模拟-全程加成'!$J$5+('模拟-全程加成'!$I$4+'模拟-全程加成'!$I$5)/系数!$B$4+BG377*10%,IF(P377="命",1,IF(P377="识",0.25,0))),0)</f>
        <v>0</v>
      </c>
      <c r="BC377" s="115" t="b">
        <f ca="1">AND(模拟模式!$R$7="伏明众生",E377=60,F377=20,DA377&lt;5,CZ376&lt;$F$4)</f>
        <v>0</v>
      </c>
      <c r="BD377" s="115">
        <f t="shared" ca="1" si="292"/>
        <v>0</v>
      </c>
      <c r="BE377" s="115" t="b">
        <f t="shared" ca="1" si="293"/>
        <v>0</v>
      </c>
      <c r="BF377" s="47">
        <f ca="1">IF(BC377,4*('模拟-单技能数据'!$D$24+G377*'模拟-单技能数据'!$F$24)*(1+J377)*(1+'模拟-单技能数据'!$J$24)*(1-S377)*(1+$I$3)*(('模拟-全程加成'!$J$3+'模拟-全程加成'!$J$4+'模拟-全程加成'!$J$5+('模拟-全程加成'!$I$4+'模拟-全程加成'!$I$5)/系数!$B$4+BG377*10%)*('模拟-全程加成'!$J$3+'模拟-全程加成'!$J$4+'模拟-全程加成'!$J$5+('模拟-全程加成'!$I$4+'模拟-全程加成'!$I$5)/系数!$B$4+BG377*10%)+(1-('模拟-全程加成'!$J$3+'模拟-全程加成'!$J$4+'模拟-全程加成'!$J$5+('模拟-全程加成'!$I$4+'模拟-全程加成'!$I$5)/系数!$B$4+BG377*10%)-$F$10-$F$11)+F363*0.25),0)*'模拟-单技能数据'!$I$24</f>
        <v>0</v>
      </c>
      <c r="BG377" s="115" t="b">
        <f ca="1">OR(AND(OR(C377="烈日斩",C377="银月斩"),模拟模式!$I$7="净身明礼"),AND(C377="净世破魔击·日",模拟模式!$J$7="洞若观火"),AND(C378="净世破魔击·月",模拟模式!$J$7="洞若观火"),AB377=1)</f>
        <v>1</v>
      </c>
      <c r="BH377" s="115" t="b">
        <f t="shared" ca="1" si="331"/>
        <v>0</v>
      </c>
      <c r="BI377" s="115">
        <f t="shared" ca="1" si="294"/>
        <v>0</v>
      </c>
      <c r="BJ377" s="115" t="b">
        <f t="shared" ca="1" si="305"/>
        <v>0</v>
      </c>
      <c r="BK377" s="115" t="b">
        <f ca="1">AND(C377="驱夜断愁",模拟模式!$P$7="天地诛戮")</f>
        <v>0</v>
      </c>
      <c r="BL377" s="57">
        <f t="shared" ca="1" si="295"/>
        <v>19.077500000000001</v>
      </c>
      <c r="BM377" s="115" t="b">
        <f t="shared" ca="1" si="306"/>
        <v>1</v>
      </c>
      <c r="BN377" s="115" t="b">
        <f ca="1">AND(OR(C377="赤日轮1",C377="赤日轮2",C377="赤日轮3",C377="幽月轮1",C377="幽月轮2",C377="幽月轮3"),AB377=1,模拟模式!$L$7="明光恒照")</f>
        <v>0</v>
      </c>
      <c r="BO377" s="117">
        <f t="shared" ca="1" si="296"/>
        <v>27.232500000000002</v>
      </c>
      <c r="BP377" s="115">
        <f t="shared" ca="1" si="332"/>
        <v>6</v>
      </c>
      <c r="BQ377" s="115" t="b">
        <f>模拟模式!$K$10="2600·水"</f>
        <v>0</v>
      </c>
      <c r="BR377" s="117">
        <f t="shared" si="333"/>
        <v>0</v>
      </c>
      <c r="BS377" s="115">
        <f t="shared" si="334"/>
        <v>0</v>
      </c>
      <c r="BT377" s="115">
        <f t="shared" ca="1" si="335"/>
        <v>0</v>
      </c>
      <c r="BU377" s="115" t="b">
        <f ca="1">AND(模拟模式!$K$10="2300·雷",BT376=0,RAND()&lt;IF(C377="净世破魔击·月",5*0.05*2/3,IF(C377="净世破魔击·日",3*0.05*2/3,0.05*2*2/3)))</f>
        <v>0</v>
      </c>
      <c r="BV377" s="115">
        <f t="shared" ca="1" si="336"/>
        <v>0</v>
      </c>
      <c r="BW377" s="115">
        <f t="shared" ca="1" si="337"/>
        <v>49.004999999999285</v>
      </c>
      <c r="BX377" s="164" t="b">
        <f t="shared" ca="1" si="338"/>
        <v>0</v>
      </c>
      <c r="BY377" s="115">
        <f t="shared" ca="1" si="339"/>
        <v>0</v>
      </c>
      <c r="BZ377" s="115">
        <f>IF(OR(模拟模式!$P$16="10人团",模拟模式!$P$16="25人团"),IF(B377/30&gt;CA376,1,0),0)</f>
        <v>0</v>
      </c>
      <c r="CA377" s="115">
        <f t="shared" si="315"/>
        <v>0</v>
      </c>
      <c r="CB377" s="115">
        <f ca="1">IF(BZ377=1,IF(模拟模式!$P$16="10人团",15,0)+IF(模拟模式!$P$16="25人团",IF(RAND()&lt;0.6,15,0)),MAX(0,CB376-$F$4))</f>
        <v>0</v>
      </c>
      <c r="CC377" s="115" t="b">
        <f t="shared" ca="1" si="307"/>
        <v>0</v>
      </c>
      <c r="CD377" s="115">
        <f>IF(模拟模式!$Q$16="1个",IF(B377/40&gt;CE376,1,0),0)</f>
        <v>0</v>
      </c>
      <c r="CE377" s="115">
        <f t="shared" si="308"/>
        <v>0</v>
      </c>
      <c r="CF377" s="115">
        <f>IF(OR(CD377=1,模拟模式!$Q$16="2个"),20,MAX(0,CF376-$F$4))</f>
        <v>0</v>
      </c>
      <c r="CG377" s="115" t="b">
        <f t="shared" si="309"/>
        <v>0</v>
      </c>
      <c r="CH377" s="115">
        <f t="shared" ca="1" si="340"/>
        <v>11.550000000000011</v>
      </c>
      <c r="CI377" s="115" t="b">
        <f t="shared" ca="1" si="341"/>
        <v>0</v>
      </c>
      <c r="CJ377" s="119">
        <f t="shared" ca="1" si="342"/>
        <v>0</v>
      </c>
      <c r="CK377" s="115">
        <f t="shared" ca="1" si="343"/>
        <v>0</v>
      </c>
      <c r="CL377" s="115" t="b">
        <f ca="1">AND(模拟模式!$S$7="驱夷逐法",OR(AND(C377="净世破魔击·月",E376&gt;59),AND(C377="净世破魔击·日",F376&gt;59)))</f>
        <v>0</v>
      </c>
      <c r="CM377" s="115" t="b">
        <f ca="1">OR(CL377,AND(C377="净世破魔击·日",CL376,RAND()&lt;模拟模式!$U$23))</f>
        <v>0</v>
      </c>
      <c r="CN377" s="115" t="b">
        <f ca="1">IF(模拟模式!$M$7="辉耀红尘",AND(C377="净世破魔击·月",CL377,CV377=0,E376&lt;80),AND(C377="净世破魔击·月",CL377,E376&lt;100))</f>
        <v>0</v>
      </c>
      <c r="CO377" s="115" t="b">
        <f t="shared" ca="1" si="316"/>
        <v>0</v>
      </c>
      <c r="CP377" s="115" t="b">
        <f ca="1">AND(模拟模式!$O$7="用晦而明",OR(C377="净世破魔击·日",C377="净世破魔击·月",C377="驱夜断愁"),AB377)</f>
        <v>0</v>
      </c>
      <c r="CQ377" s="115" t="b">
        <f ca="1">OR(CP377,AND(CP376,RAND()&lt;模拟模式!$U$23))</f>
        <v>1</v>
      </c>
      <c r="CR377" s="115" t="b">
        <f ca="1">AND(模拟模式!$S$7="日月齐光",OR(C377="幽月轮1",C377="幽月轮2",C377="幽月轮3",CR376),NOT(OR(C377="赤日轮1",C377="赤日轮2",C377="赤日轮3")))</f>
        <v>0</v>
      </c>
      <c r="CS377" s="115" t="b">
        <f ca="1">AND(模拟模式!$S$7="日月齐光",OR(C377="赤日轮1",C377="赤日轮2",C377="赤日轮3",CS376),NOT(OR(C377="幽月轮1",C377="幽月轮2",C377="幽月轮3")))</f>
        <v>0</v>
      </c>
      <c r="CT377" s="115">
        <f t="shared" ca="1" si="344"/>
        <v>8.7825000000000131</v>
      </c>
      <c r="CU377" s="115" t="b">
        <f ca="1">AND(模拟模式!$K$10="阴阳往极",CT376=0,RAND()&lt;IF(C377="净世破魔击·月",0.0275*7/3,IF(C377="净世破魔击·日",0.0275*3/3,0.0275*2/3)))</f>
        <v>0</v>
      </c>
      <c r="CV377" s="115">
        <f t="shared" ca="1" si="345"/>
        <v>0</v>
      </c>
      <c r="CW377" s="115">
        <f t="shared" ca="1" si="317"/>
        <v>6</v>
      </c>
      <c r="CX377" s="115">
        <f t="shared" ca="1" si="318"/>
        <v>4.1549999999999994</v>
      </c>
      <c r="CY377" s="115">
        <f ca="1">MAX(IF($C377="驱夜断愁",IF(模拟模式!$R$7="万念俱寂",6,45),CY376-$F$4),0)</f>
        <v>5.0774999999999997</v>
      </c>
      <c r="CZ377" s="115">
        <f t="shared" ca="1" si="319"/>
        <v>0</v>
      </c>
      <c r="DA377" s="115">
        <f ca="1">IF(模拟模式!$N$7="日月同辉",IF(DB376=2,0,MIN(6,IF(AND(OR(C377="赤日轮1",C377="赤日轮2",C377="赤日轮3",C377="幽月轮1",C377="幽月轮2",C377="幽月轮3"),AB377=1),DA376+1,DA376))),0)</f>
        <v>4</v>
      </c>
      <c r="DB377" s="115">
        <f t="shared" ca="1" si="320"/>
        <v>0</v>
      </c>
      <c r="DC377" s="115"/>
      <c r="DD377" s="115"/>
      <c r="DE377" s="115"/>
      <c r="DF377" s="115"/>
      <c r="DG377" s="115"/>
      <c r="DH377" s="115"/>
      <c r="DI377" s="115"/>
      <c r="DJ377" s="115"/>
      <c r="DK377" s="115"/>
      <c r="DL377" s="115"/>
      <c r="DM377" s="115"/>
    </row>
    <row r="378" spans="2:117" x14ac:dyDescent="0.2">
      <c r="B378" s="117">
        <f t="shared" si="321"/>
        <v>323.7975000000028</v>
      </c>
      <c r="C378" s="167" t="str">
        <f t="shared" ca="1" si="314"/>
        <v>幽月轮1</v>
      </c>
      <c r="D378" s="115">
        <f ca="1">IF(C378="赤日轮1",1,IF(C378="赤日轮2",2,IF(C378="赤日轮3",3,IF(C378="幽月轮1",4,IF(C378="幽月轮2",5,IF(C378="幽月轮3",6,IF(C378="烈日斩",7,IF(C378="银月斩",8,IF(C378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378="净世破魔击·月",17,IF(C378="驱夜断愁",18,0)))))))))))</f>
        <v>4</v>
      </c>
      <c r="E378" s="115">
        <f ca="1">IF(AND(CU378,OR(C378="幽月轮1",C378="幽月轮2",C378="幽月轮3",C378="银月斩",C378="驱夜断愁",C378="净世破魔击·月")),100,MIN(IF(OR(CN378,BE378),0,IF(OR($C378="赤日轮1",$C378="赤日轮2",$C378="赤日轮3"),E377+20+IF(模拟模式!$I$7="日月凌天",4,0)+IF(CR377,20,0),IF($C378="烈日斩",E377+40,IF($C378="驱夜断愁",IF(模拟模式!$R$7="万念俱寂",E377+20,E377+60),IF($C378="净世破魔击·月",IF(OR(DB377&gt;0,CV377&gt;0),100,IF(模拟模式!$M$7="辉耀红尘",E377+20,E377)),IF($C378="净世破魔击·日",E377-100,E377)))))),100))</f>
        <v>80</v>
      </c>
      <c r="F378" s="115">
        <f ca="1">IF(AND(CU378,OR(C378="赤日轮1",C378="赤日轮2",C378="赤日轮3",C378="烈日斩",C378="净世破魔击·日")),100,MIN(IF(CO378,0,IF(OR($C378="幽月轮1",$C378="幽月轮2",$C378="幽月轮3"),F377+20+IF(模拟模式!$I$7="日月凌天",4,0)+IF(CS377,20,0),IF($C378="银月斩",F377+40+IF(模拟模式!$X$12=1,5,0),IF($C378="驱夜断愁",IF(模拟模式!$R$7="万念俱寂",F377+20,F377+60),IF($C378="净世破魔击·月",IF(模拟模式!$M$7="辉耀红尘",F377-80,F377-100),IF(AND(C378="净世破魔击·日",OR(DB377&gt;0,CV377&gt;0)),100,F377)))))),100))</f>
        <v>100</v>
      </c>
      <c r="G378" s="117">
        <f ca="1">('模拟-全程加成'!$E$3+'模拟-全程加成'!$E$4+'模拟-全程加成'!$E$5+('模拟-全程加成'!$C$6-'模拟-全程加成'!$C$3)*系数!$B$9+BS378*23)*(1+'模拟-全程加成'!$F$4+'模拟-全程加成'!$F$5+BJ378*10%+BM378*20%+BP378*4%+CG378*30%)+$F$7*系数!$B$12</f>
        <v>20583.127400000001</v>
      </c>
      <c r="H378" s="45">
        <f ca="1">'模拟-全程加成'!$H$3+'模拟-全程加成'!$H$4+'模拟-全程加成'!$H$5+('模拟-全程加成'!$G$4+'模拟-全程加成'!$G$5+('模拟-全程加成'!$C$6-'模拟-全程加成'!$C$3)*系数!$B$13)/系数!$B$3+LOOKUP(D378,'模拟-单技能数据'!$A$2:$A$19,'模拟-单技能数据'!$K$2:$K$19)+BG378*10%+IF(BV378&gt;0,378,0)</f>
        <v>0.51185145527300213</v>
      </c>
      <c r="I378" s="45">
        <f ca="1">'模拟-全程加成'!$J$3+'模拟-全程加成'!$J$4+'模拟-全程加成'!$J$5+('模拟-全程加成'!$I$4+'模拟-全程加成'!$I$5)/系数!$B$4+LOOKUP(D378,'模拟-单技能数据'!$A$2:$A$19,'模拟-单技能数据'!$L$2:$L$19)+BG378*10%</f>
        <v>2.162482885499879</v>
      </c>
      <c r="J378" s="45">
        <f ca="1">(('模拟-全程加成'!$K$3+'模拟-全程加成'!$K$4+'模拟-全程加成'!$K$5+('模拟-全程加成'!$C$6-'模拟-全程加成'!$C$3)*系数!$B$10+IF(BV378&gt;0,882,0)+IF(BY378&gt;0,1831,0))*(1+'模拟-全程加成'!$L$4+'模拟-全程加成'!$L$5+CC378*20%))/系数!$B$5</f>
        <v>0.69723220422048726</v>
      </c>
      <c r="K378" s="119">
        <f ca="1">LOOKUP(D378,'模拟-单技能数据'!$A$2:$A$19,'模拟-单技能数据'!$J$2:$J$19)+IF(CM378,60%,0)+IF(DB377-DB378&gt;0,30%,0)+IF(OR(AND(OR(C378="赤日轮1",C378="赤日轮2",C378="赤日轮3"),CR378),AND(OR(C378="幽月轮1",C378="幽月轮2",C378="幽月轮3"),CS378)),35%,0)+CJ378</f>
        <v>7.0000000000000007E-2</v>
      </c>
      <c r="L378" s="119">
        <f ca="1">IF(AND(C378="烈日斩",模拟模式!$X$11=1),10%,0)+IF(AND(C378="驱夜断愁",AB378=1),30%,0)</f>
        <v>0</v>
      </c>
      <c r="M378" s="45">
        <f t="shared" ca="1" si="297"/>
        <v>0.51185145527300213</v>
      </c>
      <c r="N378" s="45">
        <f t="shared" ca="1" si="298"/>
        <v>0.43424854472699792</v>
      </c>
      <c r="O378" s="46">
        <f t="shared" ca="1" si="322"/>
        <v>0.95925890624284871</v>
      </c>
      <c r="P378" s="46" t="str">
        <f t="shared" ca="1" si="323"/>
        <v>命</v>
      </c>
      <c r="Q378" s="45">
        <f t="shared" ca="1" si="324"/>
        <v>1</v>
      </c>
      <c r="R378" s="117">
        <f ca="1">模拟模式!$E$20*(1-IF(模拟模式!$J$19="有",0.15,0))*(1-IF(模拟模式!$K$19="有",0.3,0)-IF(CQ378,0.5,0))</f>
        <v>2950.6049999999996</v>
      </c>
      <c r="S378" s="45">
        <f ca="1">R378/(R378+(185*模拟模式!$E$22-16800)*4.08224)</f>
        <v>0.24272716014590323</v>
      </c>
      <c r="T378" s="45" t="str">
        <f ca="1">LOOKUP(D378,'模拟-单技能数据'!$A$2:$A$19,'模拟-单技能数据'!$H$2:$H$19)</f>
        <v>阴</v>
      </c>
      <c r="U378" s="119">
        <f t="shared" ca="1" si="299"/>
        <v>0.08</v>
      </c>
      <c r="V378" s="47">
        <f ca="1">(1+L378)*(LOOKUP(D378,'模拟-单技能数据'!$A$2:$A$19,'模拟-单技能数据'!$D$2:$D$19)+G378*LOOKUP(D378,'模拟-单技能数据'!$A$2:$A$19,'模拟-单技能数据'!$F$2:$F$19))*(1+J378)*(1+K378)*(1-S378)*(1+U378)*Q378*LOOKUP(D378,'模拟-单技能数据'!$A$2:$A$19,'模拟-单技能数据'!$I$2:$I$20)</f>
        <v>16226.218300318291</v>
      </c>
      <c r="W378" s="47">
        <f ca="1">LOOKUP(D378,'模拟-单技能数据'!$A$2:$A$19,'模拟-单技能数据'!$G$2:$G$19)*$I$10</f>
        <v>361.51064354704795</v>
      </c>
      <c r="X378" s="47">
        <f t="shared" ca="1" si="325"/>
        <v>0</v>
      </c>
      <c r="Y378" s="47">
        <f t="shared" ca="1" si="300"/>
        <v>16587.728943865339</v>
      </c>
      <c r="Z378" s="49">
        <f t="shared" ca="1" si="301"/>
        <v>36515527.78946986</v>
      </c>
      <c r="AA378" s="97">
        <f t="shared" ca="1" si="302"/>
        <v>112772.72921955712</v>
      </c>
      <c r="AB378" s="115">
        <f ca="1">IF(OR(C378="赤日轮1",C378="赤日轮2",C378="赤日轮3"),IF(RAND()&lt;模拟模式!$Y$17,1,0),IF(OR(C378="幽月轮1",C378="幽月轮2",C378="幽月轮3"),IF(RAND()&lt;模拟模式!$Y$18,1,0),IF(C378="烈日斩",IF(RAND()&lt;模拟模式!$Y$19,1,0),IF(C378="银月斩",IF(RAND()&lt;模拟模式!$Y$20,1,0),IF(C378="驱夜断愁",IF(RAND()&lt;模拟模式!$Y$21,1,0),IF(C378="净世破魔击·日",IF(RAND()&lt;模拟模式!$Y$22,1,0),IF(C378="净世破魔击·月",IF(RAND()&lt;模拟模式!$Y$23,1,0),0)))))))</f>
        <v>1</v>
      </c>
      <c r="AC378" s="115" t="b">
        <f t="shared" ca="1" si="290"/>
        <v>0</v>
      </c>
      <c r="AD378" s="115" t="b">
        <f t="shared" ca="1" si="310"/>
        <v>0</v>
      </c>
      <c r="AE378" s="115">
        <f t="shared" ca="1" si="311"/>
        <v>4</v>
      </c>
      <c r="AF378" s="47">
        <f ca="1">IF(AC378,('模拟-单技能数据'!$D$20+G378*'模拟-单技能数据'!$F$20)*(1+J378)*(1+'模拟-单技能数据'!$J$20)*(1+U378),0)</f>
        <v>0</v>
      </c>
      <c r="AG378" s="61">
        <f t="shared" ca="1" si="303"/>
        <v>0.64185145527300214</v>
      </c>
      <c r="AH378" s="61">
        <f t="shared" ca="1" si="304"/>
        <v>2.2624828854998791</v>
      </c>
      <c r="AI378" s="62">
        <f t="shared" ca="1" si="326"/>
        <v>0.49126927573704893</v>
      </c>
      <c r="AJ378" s="47">
        <f ca="1">IF(AD378,IF(AI378&lt;$F$10,0,IF(AI378&lt;$F$10+$F$11,0.25,IF(AI378&lt;$F$10+$F$11+AG378,AH378,1)))*IF(AF378&gt;0,AF378,IF(AF377&gt;0,AF377,IF(AF376&gt;0,AF376,IF(AF375&gt;0,AF375,IF(AF374&gt;0,AF374,IF(AF373&gt;0,AF373,IF(AF372&gt;0,AF372,IF(AF371&gt;0,AF371,IF(AF370&gt;0,AF370,IF(AF368&gt;0,AF368,IF(AF367&gt;0,AF367,IF(AF366&gt;0,AF366,0)))))))))))),0)*(1-$S378)*'模拟-单技能数据'!$I$20</f>
        <v>0</v>
      </c>
      <c r="AK378" s="115" t="b">
        <f t="shared" ca="1" si="291"/>
        <v>0</v>
      </c>
      <c r="AL378" s="115" t="b">
        <f t="shared" ca="1" si="312"/>
        <v>0</v>
      </c>
      <c r="AM378" s="115">
        <f t="shared" ca="1" si="313"/>
        <v>3</v>
      </c>
      <c r="AN378" s="47">
        <f ca="1">IF(AK378,('模拟-单技能数据'!$D$21+G378*'模拟-单技能数据'!$F$21)*(1+J378)*(1+'模拟-单技能数据'!$J$21)*(1+U378),0)</f>
        <v>0</v>
      </c>
      <c r="AO378" s="61">
        <f ca="1">IF(AN378&gt;0,M378-'模拟-单技能数据'!$K$10,AO377)</f>
        <v>0.42185145527300216</v>
      </c>
      <c r="AP378" s="61">
        <f ca="1">IF(AN378&gt;0,I378-'模拟-单技能数据'!$L$10,AP377)</f>
        <v>2.162482885499879</v>
      </c>
      <c r="AQ378" s="63">
        <f t="shared" ca="1" si="327"/>
        <v>0.1791915575951154</v>
      </c>
      <c r="AR378" s="64">
        <f ca="1">IF(AL378,IF(AQ378&lt;$F$10,0,IF(AQ378&lt;$F$10+$F$11,0.25,IF(AQ378&lt;$F$10+$F$11+AO378,AP378,1)))*IF(AN378&gt;0,AN378,IF(AN377&gt;0,AN377,IF(AN376&gt;0,AN376,IF(AN375&gt;0,AN375,IF(AN374&gt;0,AN374,IF(AN373&gt;0,AN373,IF(AN372&gt;0,AN372,IF(AN371&gt;0,AN371,IF(AN370&gt;0,AN370,IF(AN368&gt;0,AN368,IF(AN367&gt;0,AN367,IF(AN366&gt;0,AN366,0)))))))))))),0)*(1-$S378)*'模拟-单技能数据'!$I$21</f>
        <v>0</v>
      </c>
      <c r="AS378" s="61">
        <f ca="1">IF(OR(C378="净世破魔击·日",C378="净世破魔击·月"),M378-'模拟-单技能数据'!$K$10,0)</f>
        <v>0</v>
      </c>
      <c r="AT378" s="61">
        <f ca="1">IF(OR(C378="净世破魔击·日",C378="净世破魔击·月"),I378-'模拟-单技能数据'!$L$10,0)</f>
        <v>0</v>
      </c>
      <c r="AU378" s="62">
        <f t="shared" ca="1" si="328"/>
        <v>0.9798380607380891</v>
      </c>
      <c r="AV378" s="64">
        <f ca="1">IF(AS378&gt;0,('模拟-单技能数据'!$D$22+G378*'模拟-单技能数据'!$F$22)*(1+J378)*(1-S378)*IF(AU378&lt;$F$10,0,IF(AU378&lt;$F$10+$F$11,0.25,IF(AU378&lt;$F$10+$F$11+AS378,AT378,1)))*(1+U378),0)*'模拟-单技能数据'!$I$22</f>
        <v>0</v>
      </c>
      <c r="AW378" s="108">
        <f t="shared" ca="1" si="329"/>
        <v>5.2400000000000064</v>
      </c>
      <c r="AX378" s="108" t="b">
        <f ca="1">AND(模拟模式!$P$10="有",AW377=0,RAND()&lt;IF(C378="净世破魔击·月",0.1*8/3,IF(C378="净世破魔击·日",0.1*4/3,0.1*2/3)))</f>
        <v>0</v>
      </c>
      <c r="AY378" s="47">
        <f ca="1">IF(AX378,(18+G378*0.722)*(1+J378)*(1-S378)*(1+$I$4)*IF(P378="会",'模拟-全程加成'!$J$3+'模拟-全程加成'!$J$4+'模拟-全程加成'!$J$5+('模拟-全程加成'!$I$4+'模拟-全程加成'!$I$5)/系数!$B$4+BG378*10%,IF(P378="命",1,IF(P378="识",0.25,0))),0)</f>
        <v>0</v>
      </c>
      <c r="AZ378" s="108">
        <f t="shared" si="330"/>
        <v>0.6275000000000065</v>
      </c>
      <c r="BA378" s="108" t="b">
        <f>AND(模拟模式!$Q$10="有",AZ377=0)</f>
        <v>0</v>
      </c>
      <c r="BB378" s="140">
        <f>IF(BA378,(0+G378*0.287)*(1+J378)*(1-S378)*(1+$I$4)*IF(P378="会",'模拟-全程加成'!$J$3+'模拟-全程加成'!$J$4+'模拟-全程加成'!$J$5+('模拟-全程加成'!$I$4+'模拟-全程加成'!$I$5)/系数!$B$4+BG378*10%,IF(P378="命",1,IF(P378="识",0.25,0))),0)</f>
        <v>0</v>
      </c>
      <c r="BC378" s="115" t="b">
        <f ca="1">AND(模拟模式!$R$7="伏明众生",E378=60,F378=20,DA378&lt;5,CZ377&lt;$F$4)</f>
        <v>0</v>
      </c>
      <c r="BD378" s="115">
        <f t="shared" ca="1" si="292"/>
        <v>0</v>
      </c>
      <c r="BE378" s="115" t="b">
        <f t="shared" ca="1" si="293"/>
        <v>0</v>
      </c>
      <c r="BF378" s="47">
        <f ca="1">IF(BC378,4*('模拟-单技能数据'!$D$24+G378*'模拟-单技能数据'!$F$24)*(1+J378)*(1+'模拟-单技能数据'!$J$24)*(1-S378)*(1+$I$3)*(('模拟-全程加成'!$J$3+'模拟-全程加成'!$J$4+'模拟-全程加成'!$J$5+('模拟-全程加成'!$I$4+'模拟-全程加成'!$I$5)/系数!$B$4+BG378*10%)*('模拟-全程加成'!$J$3+'模拟-全程加成'!$J$4+'模拟-全程加成'!$J$5+('模拟-全程加成'!$I$4+'模拟-全程加成'!$I$5)/系数!$B$4+BG378*10%)+(1-('模拟-全程加成'!$J$3+'模拟-全程加成'!$J$4+'模拟-全程加成'!$J$5+('模拟-全程加成'!$I$4+'模拟-全程加成'!$I$5)/系数!$B$4+BG378*10%)-$F$10-$F$11)+F364*0.25),0)*'模拟-单技能数据'!$I$24</f>
        <v>0</v>
      </c>
      <c r="BG378" s="115" t="b">
        <f ca="1">OR(AND(OR(C378="烈日斩",C378="银月斩"),模拟模式!$I$7="净身明礼"),AND(C378="净世破魔击·日",模拟模式!$J$7="洞若观火"),AND(C379="净世破魔击·月",模拟模式!$J$7="洞若观火"),AB378=1)</f>
        <v>1</v>
      </c>
      <c r="BH378" s="115" t="b">
        <f t="shared" ca="1" si="331"/>
        <v>0</v>
      </c>
      <c r="BI378" s="115">
        <f t="shared" ca="1" si="294"/>
        <v>0</v>
      </c>
      <c r="BJ378" s="115" t="b">
        <f t="shared" ca="1" si="305"/>
        <v>0</v>
      </c>
      <c r="BK378" s="115" t="b">
        <f ca="1">AND(C378="驱夜断愁",模拟模式!$P$7="天地诛戮")</f>
        <v>0</v>
      </c>
      <c r="BL378" s="57">
        <f t="shared" ca="1" si="295"/>
        <v>18.155000000000001</v>
      </c>
      <c r="BM378" s="115" t="b">
        <f t="shared" ca="1" si="306"/>
        <v>1</v>
      </c>
      <c r="BN378" s="115" t="b">
        <f ca="1">AND(OR(C378="赤日轮1",C378="赤日轮2",C378="赤日轮3",C378="幽月轮1",C378="幽月轮2",C378="幽月轮3"),AB378=1,模拟模式!$L$7="明光恒照")</f>
        <v>1</v>
      </c>
      <c r="BO378" s="117">
        <f t="shared" ca="1" si="296"/>
        <v>30</v>
      </c>
      <c r="BP378" s="115">
        <f t="shared" ca="1" si="332"/>
        <v>6</v>
      </c>
      <c r="BQ378" s="115" t="b">
        <f>模拟模式!$K$10="2600·水"</f>
        <v>0</v>
      </c>
      <c r="BR378" s="117">
        <f t="shared" si="333"/>
        <v>0</v>
      </c>
      <c r="BS378" s="115">
        <f t="shared" si="334"/>
        <v>0</v>
      </c>
      <c r="BT378" s="115">
        <f t="shared" ca="1" si="335"/>
        <v>0</v>
      </c>
      <c r="BU378" s="115" t="b">
        <f ca="1">AND(模拟模式!$K$10="2300·雷",BT377=0,RAND()&lt;IF(C378="净世破魔击·月",5*0.05*2/3,IF(C378="净世破魔击·日",3*0.05*2/3,0.05*2*2/3)))</f>
        <v>0</v>
      </c>
      <c r="BV378" s="115">
        <f t="shared" ca="1" si="336"/>
        <v>0</v>
      </c>
      <c r="BW378" s="115">
        <f t="shared" ca="1" si="337"/>
        <v>48.082499999999285</v>
      </c>
      <c r="BX378" s="164" t="b">
        <f t="shared" ca="1" si="338"/>
        <v>0</v>
      </c>
      <c r="BY378" s="115">
        <f t="shared" ca="1" si="339"/>
        <v>0</v>
      </c>
      <c r="BZ378" s="115">
        <f>IF(OR(模拟模式!$P$16="10人团",模拟模式!$P$16="25人团"),IF(B378/30&gt;CA377,1,0),0)</f>
        <v>0</v>
      </c>
      <c r="CA378" s="115">
        <f t="shared" si="315"/>
        <v>0</v>
      </c>
      <c r="CB378" s="115">
        <f ca="1">IF(BZ378=1,IF(模拟模式!$P$16="10人团",15,0)+IF(模拟模式!$P$16="25人团",IF(RAND()&lt;0.6,15,0)),MAX(0,CB377-$F$4))</f>
        <v>0</v>
      </c>
      <c r="CC378" s="115" t="b">
        <f t="shared" ca="1" si="307"/>
        <v>0</v>
      </c>
      <c r="CD378" s="115">
        <f>IF(模拟模式!$Q$16="1个",IF(B378/40&gt;CE377,1,0),0)</f>
        <v>0</v>
      </c>
      <c r="CE378" s="115">
        <f t="shared" si="308"/>
        <v>0</v>
      </c>
      <c r="CF378" s="115">
        <f>IF(OR(CD378=1,模拟模式!$Q$16="2个"),20,MAX(0,CF377-$F$4))</f>
        <v>0</v>
      </c>
      <c r="CG378" s="115" t="b">
        <f t="shared" si="309"/>
        <v>0</v>
      </c>
      <c r="CH378" s="115">
        <f t="shared" ca="1" si="340"/>
        <v>10.627500000000012</v>
      </c>
      <c r="CI378" s="115" t="b">
        <f t="shared" ca="1" si="341"/>
        <v>0</v>
      </c>
      <c r="CJ378" s="119">
        <f t="shared" ca="1" si="342"/>
        <v>0</v>
      </c>
      <c r="CK378" s="115">
        <f t="shared" ca="1" si="343"/>
        <v>0</v>
      </c>
      <c r="CL378" s="115" t="b">
        <f ca="1">AND(模拟模式!$S$7="驱夷逐法",OR(AND(C378="净世破魔击·月",E377&gt;59),AND(C378="净世破魔击·日",F377&gt;59)))</f>
        <v>0</v>
      </c>
      <c r="CM378" s="115" t="b">
        <f ca="1">OR(CL378,AND(C378="净世破魔击·日",CL377,RAND()&lt;模拟模式!$U$23))</f>
        <v>0</v>
      </c>
      <c r="CN378" s="115" t="b">
        <f ca="1">IF(模拟模式!$M$7="辉耀红尘",AND(C378="净世破魔击·月",CL378,CV378=0,E377&lt;80),AND(C378="净世破魔击·月",CL378,E377&lt;100))</f>
        <v>0</v>
      </c>
      <c r="CO378" s="115" t="b">
        <f t="shared" ca="1" si="316"/>
        <v>0</v>
      </c>
      <c r="CP378" s="115" t="b">
        <f ca="1">AND(模拟模式!$O$7="用晦而明",OR(C378="净世破魔击·日",C378="净世破魔击·月",C378="驱夜断愁"),AB378)</f>
        <v>0</v>
      </c>
      <c r="CQ378" s="115" t="b">
        <f ca="1">OR(CP378,AND(CP377,RAND()&lt;模拟模式!$U$23))</f>
        <v>0</v>
      </c>
      <c r="CR378" s="115" t="b">
        <f ca="1">AND(模拟模式!$S$7="日月齐光",OR(C378="幽月轮1",C378="幽月轮2",C378="幽月轮3",CR377),NOT(OR(C378="赤日轮1",C378="赤日轮2",C378="赤日轮3")))</f>
        <v>0</v>
      </c>
      <c r="CS378" s="115" t="b">
        <f ca="1">AND(模拟模式!$S$7="日月齐光",OR(C378="赤日轮1",C378="赤日轮2",C378="赤日轮3",CS377),NOT(OR(C378="幽月轮1",C378="幽月轮2",C378="幽月轮3")))</f>
        <v>0</v>
      </c>
      <c r="CT378" s="115">
        <f t="shared" ca="1" si="344"/>
        <v>7.8600000000000128</v>
      </c>
      <c r="CU378" s="115" t="b">
        <f ca="1">AND(模拟模式!$K$10="阴阳往极",CT377=0,RAND()&lt;IF(C378="净世破魔击·月",0.0275*7/3,IF(C378="净世破魔击·日",0.0275*3/3,0.0275*2/3)))</f>
        <v>0</v>
      </c>
      <c r="CV378" s="115">
        <f t="shared" ca="1" si="345"/>
        <v>0</v>
      </c>
      <c r="CW378" s="115">
        <f t="shared" ca="1" si="317"/>
        <v>5.0774999999999997</v>
      </c>
      <c r="CX378" s="115">
        <f t="shared" ca="1" si="318"/>
        <v>3.2324999999999995</v>
      </c>
      <c r="CY378" s="115">
        <f ca="1">MAX(IF($C378="驱夜断愁",IF(模拟模式!$R$7="万念俱寂",6,45),CY377-$F$4),0)</f>
        <v>4.1549999999999994</v>
      </c>
      <c r="CZ378" s="115">
        <f t="shared" ca="1" si="319"/>
        <v>0</v>
      </c>
      <c r="DA378" s="115">
        <f ca="1">IF(模拟模式!$N$7="日月同辉",IF(DB377=2,0,MIN(6,IF(AND(OR(C378="赤日轮1",C378="赤日轮2",C378="赤日轮3",C378="幽月轮1",C378="幽月轮2",C378="幽月轮3"),AB378=1),DA377+1,DA377))),0)</f>
        <v>5</v>
      </c>
      <c r="DB378" s="115">
        <f t="shared" ca="1" si="320"/>
        <v>0</v>
      </c>
      <c r="DC378" s="115"/>
      <c r="DD378" s="115"/>
      <c r="DE378" s="115"/>
      <c r="DF378" s="115"/>
      <c r="DG378" s="115"/>
      <c r="DH378" s="115"/>
      <c r="DI378" s="115"/>
      <c r="DJ378" s="115"/>
      <c r="DK378" s="115"/>
      <c r="DL378" s="115"/>
      <c r="DM378" s="115"/>
    </row>
    <row r="379" spans="2:117" x14ac:dyDescent="0.2">
      <c r="B379" s="117">
        <f t="shared" si="321"/>
        <v>324.72000000000281</v>
      </c>
      <c r="C379" s="167" t="str">
        <f t="shared" ca="1" si="314"/>
        <v>净世破魔击·月</v>
      </c>
      <c r="D379" s="115">
        <f ca="1">IF(C379="赤日轮1",1,IF(C379="赤日轮2",2,IF(C379="赤日轮3",3,IF(C379="幽月轮1",4,IF(C379="幽月轮2",5,IF(C379="幽月轮3",6,IF(C379="烈日斩",7,IF(C379="银月斩",8,IF(C379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379="净世破魔击·月",17,IF(C379="驱夜断愁",18,0)))))))))))</f>
        <v>17</v>
      </c>
      <c r="E379" s="115">
        <f ca="1">IF(AND(CU379,OR(C379="幽月轮1",C379="幽月轮2",C379="幽月轮3",C379="银月斩",C379="驱夜断愁",C379="净世破魔击·月")),100,MIN(IF(OR(CN379,BE379),0,IF(OR($C379="赤日轮1",$C379="赤日轮2",$C379="赤日轮3"),E378+20+IF(模拟模式!$I$7="日月凌天",4,0)+IF(CR378,20,0),IF($C379="烈日斩",E378+40,IF($C379="驱夜断愁",IF(模拟模式!$R$7="万念俱寂",E378+20,E378+60),IF($C379="净世破魔击·月",IF(OR(DB378&gt;0,CV378&gt;0),100,IF(模拟模式!$M$7="辉耀红尘",E378+20,E378)),IF($C379="净世破魔击·日",E378-100,E378)))))),100))</f>
        <v>100</v>
      </c>
      <c r="F379" s="115">
        <f ca="1">IF(AND(CU379,OR(C379="赤日轮1",C379="赤日轮2",C379="赤日轮3",C379="烈日斩",C379="净世破魔击·日")),100,MIN(IF(CO379,0,IF(OR($C379="幽月轮1",$C379="幽月轮2",$C379="幽月轮3"),F378+20+IF(模拟模式!$I$7="日月凌天",4,0)+IF(CS378,20,0),IF($C379="银月斩",F378+40+IF(模拟模式!$X$12=1,5,0),IF($C379="驱夜断愁",IF(模拟模式!$R$7="万念俱寂",F378+20,F378+60),IF($C379="净世破魔击·月",IF(模拟模式!$M$7="辉耀红尘",F378-80,F378-100),IF(AND(C379="净世破魔击·日",OR(DB378&gt;0,CV378&gt;0)),100,F378)))))),100))</f>
        <v>20</v>
      </c>
      <c r="G379" s="117">
        <f ca="1">('模拟-全程加成'!$E$3+'模拟-全程加成'!$E$4+'模拟-全程加成'!$E$5+('模拟-全程加成'!$C$6-'模拟-全程加成'!$C$3)*系数!$B$9+BS379*23)*(1+'模拟-全程加成'!$F$4+'模拟-全程加成'!$F$5+BJ379*10%+BM379*20%+BP379*4%+CG379*30%)+$F$7*系数!$B$12</f>
        <v>20583.127400000001</v>
      </c>
      <c r="H379" s="45">
        <f ca="1">'模拟-全程加成'!$H$3+'模拟-全程加成'!$H$4+'模拟-全程加成'!$H$5+('模拟-全程加成'!$G$4+'模拟-全程加成'!$G$5+('模拟-全程加成'!$C$6-'模拟-全程加成'!$C$3)*系数!$B$13)/系数!$B$3+LOOKUP(D379,'模拟-单技能数据'!$A$2:$A$19,'模拟-单技能数据'!$K$2:$K$19)+BG379*10%+IF(BV379&gt;0,378,0)</f>
        <v>0.54185145527300216</v>
      </c>
      <c r="I379" s="45">
        <f ca="1">'模拟-全程加成'!$J$3+'模拟-全程加成'!$J$4+'模拟-全程加成'!$J$5+('模拟-全程加成'!$I$4+'模拟-全程加成'!$I$5)/系数!$B$4+LOOKUP(D379,'模拟-单技能数据'!$A$2:$A$19,'模拟-单技能数据'!$L$2:$L$19)+BG379*10%</f>
        <v>2.162482885499879</v>
      </c>
      <c r="J379" s="45">
        <f ca="1">(('模拟-全程加成'!$K$3+'模拟-全程加成'!$K$4+'模拟-全程加成'!$K$5+('模拟-全程加成'!$C$6-'模拟-全程加成'!$C$3)*系数!$B$10+IF(BV379&gt;0,882,0)+IF(BY379&gt;0,1831,0))*(1+'模拟-全程加成'!$L$4+'模拟-全程加成'!$L$5+CC379*20%))/系数!$B$5</f>
        <v>0.69723220422048726</v>
      </c>
      <c r="K379" s="119">
        <f ca="1">LOOKUP(D379,'模拟-单技能数据'!$A$2:$A$19,'模拟-单技能数据'!$J$2:$J$19)+IF(CM379,60%,0)+IF(DB378-DB379&gt;0,30%,0)+IF(OR(AND(OR(C379="赤日轮1",C379="赤日轮2",C379="赤日轮3"),CR379),AND(OR(C379="幽月轮1",C379="幽月轮2",C379="幽月轮3"),CS379)),35%,0)+CJ379</f>
        <v>0.8</v>
      </c>
      <c r="L379" s="119">
        <f ca="1">IF(AND(C379="烈日斩",模拟模式!$X$11=1),10%,0)+IF(AND(C379="驱夜断愁",AB379=1),30%,0)</f>
        <v>0</v>
      </c>
      <c r="M379" s="45">
        <f t="shared" ca="1" si="297"/>
        <v>0.54185145527300216</v>
      </c>
      <c r="N379" s="45">
        <f t="shared" ca="1" si="298"/>
        <v>0.40424854472699789</v>
      </c>
      <c r="O379" s="46">
        <f t="shared" ca="1" si="322"/>
        <v>0.77757720723389223</v>
      </c>
      <c r="P379" s="46" t="str">
        <f t="shared" ca="1" si="323"/>
        <v>命</v>
      </c>
      <c r="Q379" s="45">
        <f t="shared" ca="1" si="324"/>
        <v>1</v>
      </c>
      <c r="R379" s="117">
        <f ca="1">模拟模式!$E$20*(1-IF(模拟模式!$J$19="有",0.15,0))*(1-IF(模拟模式!$K$19="有",0.3,0)-IF(CQ379,0.5,0))</f>
        <v>843.02999999999975</v>
      </c>
      <c r="S379" s="45">
        <f ca="1">R379/(R379+(185*模拟模式!$E$22-16800)*4.08224)</f>
        <v>8.389626085980037E-2</v>
      </c>
      <c r="T379" s="45" t="str">
        <f ca="1">LOOKUP(D379,'模拟-单技能数据'!$A$2:$A$19,'模拟-单技能数据'!$H$2:$H$19)</f>
        <v>阴</v>
      </c>
      <c r="U379" s="119">
        <f t="shared" ca="1" si="299"/>
        <v>0.08</v>
      </c>
      <c r="V379" s="47">
        <f ca="1">(1+L379)*(LOOKUP(D379,'模拟-单技能数据'!$A$2:$A$19,'模拟-单技能数据'!$D$2:$D$19)+G379*LOOKUP(D379,'模拟-单技能数据'!$A$2:$A$19,'模拟-单技能数据'!$F$2:$F$19))*(1+J379)*(1+K379)*(1-S379)*(1+U379)*Q379*LOOKUP(D379,'模拟-单技能数据'!$A$2:$A$19,'模拟-单技能数据'!$I$2:$I$20)</f>
        <v>80864.621558254468</v>
      </c>
      <c r="W379" s="47">
        <f ca="1">LOOKUP(D379,'模拟-单技能数据'!$A$2:$A$19,'模拟-单技能数据'!$G$2:$G$19)*$I$10</f>
        <v>361.51064354704795</v>
      </c>
      <c r="X379" s="47">
        <f t="shared" ca="1" si="325"/>
        <v>32202.773543104835</v>
      </c>
      <c r="Y379" s="47">
        <f t="shared" ca="1" si="300"/>
        <v>113428.90574490635</v>
      </c>
      <c r="Z379" s="49">
        <f t="shared" ca="1" si="301"/>
        <v>36628956.695214763</v>
      </c>
      <c r="AA379" s="97">
        <f t="shared" ca="1" si="302"/>
        <v>112801.66511214107</v>
      </c>
      <c r="AB379" s="115">
        <f ca="1">IF(OR(C379="赤日轮1",C379="赤日轮2",C379="赤日轮3"),IF(RAND()&lt;模拟模式!$Y$17,1,0),IF(OR(C379="幽月轮1",C379="幽月轮2",C379="幽月轮3"),IF(RAND()&lt;模拟模式!$Y$18,1,0),IF(C379="烈日斩",IF(RAND()&lt;模拟模式!$Y$19,1,0),IF(C379="银月斩",IF(RAND()&lt;模拟模式!$Y$20,1,0),IF(C379="驱夜断愁",IF(RAND()&lt;模拟模式!$Y$21,1,0),IF(C379="净世破魔击·日",IF(RAND()&lt;模拟模式!$Y$22,1,0),IF(C379="净世破魔击·月",IF(RAND()&lt;模拟模式!$Y$23,1,0),0)))))))</f>
        <v>1</v>
      </c>
      <c r="AC379" s="115" t="b">
        <f t="shared" ca="1" si="290"/>
        <v>0</v>
      </c>
      <c r="AD379" s="115" t="b">
        <f t="shared" ca="1" si="310"/>
        <v>1</v>
      </c>
      <c r="AE379" s="115">
        <f t="shared" ca="1" si="311"/>
        <v>3</v>
      </c>
      <c r="AF379" s="47">
        <f ca="1">IF(AC379,('模拟-单技能数据'!$D$20+G379*'模拟-单技能数据'!$F$20)*(1+J379)*(1+'模拟-单技能数据'!$J$20)*(1+U379),0)</f>
        <v>0</v>
      </c>
      <c r="AG379" s="61">
        <f t="shared" ca="1" si="303"/>
        <v>0.64185145527300214</v>
      </c>
      <c r="AH379" s="61">
        <f t="shared" ca="1" si="304"/>
        <v>2.2624828854998791</v>
      </c>
      <c r="AI379" s="62">
        <f t="shared" ca="1" si="326"/>
        <v>0.84953271622340165</v>
      </c>
      <c r="AJ379" s="47">
        <f ca="1">IF(AD379,IF(AI379&lt;$F$10,0,IF(AI379&lt;$F$10+$F$11,0.25,IF(AI379&lt;$F$10+$F$11+AG379,AH379,1)))*IF(AF379&gt;0,AF379,IF(AF378&gt;0,AF378,IF(AF377&gt;0,AF377,IF(AF376&gt;0,AF376,IF(AF375&gt;0,AF375,IF(AF374&gt;0,AF374,IF(AF373&gt;0,AF373,IF(AF372&gt;0,AF372,IF(AF371&gt;0,AF371,IF(AF369&gt;0,AF369,IF(AF368&gt;0,AF368,IF(AF367&gt;0,AF367,0)))))))))))),0)*(1-$S379)*'模拟-单技能数据'!$I$20</f>
        <v>4074.6980221198578</v>
      </c>
      <c r="AK379" s="115" t="b">
        <f t="shared" ca="1" si="291"/>
        <v>0</v>
      </c>
      <c r="AL379" s="115" t="b">
        <f t="shared" ca="1" si="312"/>
        <v>1</v>
      </c>
      <c r="AM379" s="115">
        <f t="shared" ca="1" si="313"/>
        <v>2</v>
      </c>
      <c r="AN379" s="47">
        <f ca="1">IF(AK379,('模拟-单技能数据'!$D$21+G379*'模拟-单技能数据'!$F$21)*(1+J379)*(1+'模拟-单技能数据'!$J$21)*(1+U379),0)</f>
        <v>0</v>
      </c>
      <c r="AO379" s="61">
        <f ca="1">IF(AN379&gt;0,M379-'模拟-单技能数据'!$K$10,AO378)</f>
        <v>0.42185145527300216</v>
      </c>
      <c r="AP379" s="61">
        <f ca="1">IF(AN379&gt;0,I379-'模拟-单技能数据'!$L$10,AP378)</f>
        <v>2.162482885499879</v>
      </c>
      <c r="AQ379" s="63">
        <f t="shared" ca="1" si="327"/>
        <v>0.99974371151595143</v>
      </c>
      <c r="AR379" s="64">
        <f ca="1">IF(AL379,IF(AQ379&lt;$F$10,0,IF(AQ379&lt;$F$10+$F$11,0.25,IF(AQ379&lt;$F$10+$F$11+AO379,AP379,1)))*IF(AN379&gt;0,AN379,IF(AN378&gt;0,AN378,IF(AN377&gt;0,AN377,IF(AN376&gt;0,AN376,IF(AN375&gt;0,AN375,IF(AN374&gt;0,AN374,IF(AN373&gt;0,AN373,IF(AN372&gt;0,AN372,IF(AN371&gt;0,AN371,IF(AN369&gt;0,AN369,IF(AN368&gt;0,AN368,IF(AN367&gt;0,AN367,0)))))))))))),0)*(1-$S379)*'模拟-单技能数据'!$I$21</f>
        <v>11607.89185245618</v>
      </c>
      <c r="AS379" s="61">
        <f ca="1">IF(OR(C379="净世破魔击·日",C379="净世破魔击·月"),M379-'模拟-单技能数据'!$K$10,0)</f>
        <v>0.42185145527300216</v>
      </c>
      <c r="AT379" s="61">
        <f ca="1">IF(OR(C379="净世破魔击·日",C379="净世破魔击·月"),I379-'模拟-单技能数据'!$L$10,0)</f>
        <v>2.162482885499879</v>
      </c>
      <c r="AU379" s="62">
        <f t="shared" ca="1" si="328"/>
        <v>0.13298491708566373</v>
      </c>
      <c r="AV379" s="64">
        <f ca="1">IF(AS379&gt;0,('模拟-单技能数据'!$D$22+G379*'模拟-单技能数据'!$F$22)*(1+J379)*(1-S379)*IF(AU379&lt;$F$10,0,IF(AU379&lt;$F$10+$F$11,0.25,IF(AU379&lt;$F$10+$F$11+AS379,AT379,1)))*(1+U379),0)*'模拟-单技能数据'!$I$22</f>
        <v>16520.1836685288</v>
      </c>
      <c r="AW379" s="108">
        <f t="shared" ca="1" si="329"/>
        <v>4.3175000000000061</v>
      </c>
      <c r="AX379" s="108" t="b">
        <f ca="1">AND(模拟模式!$P$10="有",AW378=0,RAND()&lt;IF(C379="净世破魔击·月",0.1*8/3,IF(C379="净世破魔击·日",0.1*4/3,0.1*2/3)))</f>
        <v>0</v>
      </c>
      <c r="AY379" s="47">
        <f ca="1">IF(AX379,(18+G379*0.722)*(1+J379)*(1-S379)*(1+$I$4)*IF(P379="会",'模拟-全程加成'!$J$3+'模拟-全程加成'!$J$4+'模拟-全程加成'!$J$5+('模拟-全程加成'!$I$4+'模拟-全程加成'!$I$5)/系数!$B$4+BG379*10%,IF(P379="命",1,IF(P379="识",0.25,0))),0)</f>
        <v>0</v>
      </c>
      <c r="AZ379" s="108">
        <f t="shared" si="330"/>
        <v>0</v>
      </c>
      <c r="BA379" s="108" t="b">
        <f>AND(模拟模式!$Q$10="有",AZ378=0)</f>
        <v>0</v>
      </c>
      <c r="BB379" s="140">
        <f>IF(BA379,(0+G379*0.287)*(1+J379)*(1-S379)*(1+$I$4)*IF(P379="会",'模拟-全程加成'!$J$3+'模拟-全程加成'!$J$4+'模拟-全程加成'!$J$5+('模拟-全程加成'!$I$4+'模拟-全程加成'!$I$5)/系数!$B$4+BG379*10%,IF(P379="命",1,IF(P379="识",0.25,0))),0)</f>
        <v>0</v>
      </c>
      <c r="BC379" s="115" t="b">
        <f ca="1">AND(模拟模式!$R$7="伏明众生",E379=60,F379=20,DA379&lt;5,CZ378&lt;$F$4)</f>
        <v>0</v>
      </c>
      <c r="BD379" s="115">
        <f t="shared" ca="1" si="292"/>
        <v>0</v>
      </c>
      <c r="BE379" s="115" t="b">
        <f t="shared" ca="1" si="293"/>
        <v>0</v>
      </c>
      <c r="BF379" s="47">
        <f ca="1">IF(BC379,4*('模拟-单技能数据'!$D$24+G379*'模拟-单技能数据'!$F$24)*(1+J379)*(1+'模拟-单技能数据'!$J$24)*(1-S379)*(1+$I$3)*(('模拟-全程加成'!$J$3+'模拟-全程加成'!$J$4+'模拟-全程加成'!$J$5+('模拟-全程加成'!$I$4+'模拟-全程加成'!$I$5)/系数!$B$4+BG379*10%)*('模拟-全程加成'!$J$3+'模拟-全程加成'!$J$4+'模拟-全程加成'!$J$5+('模拟-全程加成'!$I$4+'模拟-全程加成'!$I$5)/系数!$B$4+BG379*10%)+(1-('模拟-全程加成'!$J$3+'模拟-全程加成'!$J$4+'模拟-全程加成'!$J$5+('模拟-全程加成'!$I$4+'模拟-全程加成'!$I$5)/系数!$B$4+BG379*10%)-$F$10-$F$11)+F365*0.25),0)*'模拟-单技能数据'!$I$24</f>
        <v>0</v>
      </c>
      <c r="BG379" s="115" t="b">
        <f ca="1">OR(AND(OR(C379="烈日斩",C379="银月斩"),模拟模式!$I$7="净身明礼"),AND(C379="净世破魔击·日",模拟模式!$J$7="洞若观火"),AND(C380="净世破魔击·月",模拟模式!$J$7="洞若观火"),AB379=1)</f>
        <v>1</v>
      </c>
      <c r="BH379" s="115" t="b">
        <f t="shared" ca="1" si="331"/>
        <v>0</v>
      </c>
      <c r="BI379" s="115">
        <f t="shared" ca="1" si="294"/>
        <v>0</v>
      </c>
      <c r="BJ379" s="115" t="b">
        <f t="shared" ca="1" si="305"/>
        <v>0</v>
      </c>
      <c r="BK379" s="115" t="b">
        <f ca="1">AND(C379="驱夜断愁",模拟模式!$P$7="天地诛戮")</f>
        <v>0</v>
      </c>
      <c r="BL379" s="57">
        <f t="shared" ca="1" si="295"/>
        <v>17.232500000000002</v>
      </c>
      <c r="BM379" s="115" t="b">
        <f t="shared" ca="1" si="306"/>
        <v>1</v>
      </c>
      <c r="BN379" s="115" t="b">
        <f ca="1">AND(OR(C379="赤日轮1",C379="赤日轮2",C379="赤日轮3",C379="幽月轮1",C379="幽月轮2",C379="幽月轮3"),AB379=1,模拟模式!$L$7="明光恒照")</f>
        <v>0</v>
      </c>
      <c r="BO379" s="117">
        <f t="shared" ca="1" si="296"/>
        <v>29.077500000000001</v>
      </c>
      <c r="BP379" s="115">
        <f t="shared" ca="1" si="332"/>
        <v>6</v>
      </c>
      <c r="BQ379" s="115" t="b">
        <f>模拟模式!$K$10="2600·水"</f>
        <v>0</v>
      </c>
      <c r="BR379" s="117">
        <f t="shared" si="333"/>
        <v>0</v>
      </c>
      <c r="BS379" s="115">
        <f t="shared" si="334"/>
        <v>0</v>
      </c>
      <c r="BT379" s="115">
        <f t="shared" ca="1" si="335"/>
        <v>0</v>
      </c>
      <c r="BU379" s="115" t="b">
        <f ca="1">AND(模拟模式!$K$10="2300·雷",BT378=0,RAND()&lt;IF(C379="净世破魔击·月",5*0.05*2/3,IF(C379="净世破魔击·日",3*0.05*2/3,0.05*2*2/3)))</f>
        <v>0</v>
      </c>
      <c r="BV379" s="115">
        <f t="shared" ca="1" si="336"/>
        <v>0</v>
      </c>
      <c r="BW379" s="115">
        <f t="shared" ca="1" si="337"/>
        <v>47.159999999999286</v>
      </c>
      <c r="BX379" s="164" t="b">
        <f t="shared" ca="1" si="338"/>
        <v>0</v>
      </c>
      <c r="BY379" s="115">
        <f t="shared" ca="1" si="339"/>
        <v>0</v>
      </c>
      <c r="BZ379" s="115">
        <f>IF(OR(模拟模式!$P$16="10人团",模拟模式!$P$16="25人团"),IF(B379/30&gt;CA378,1,0),0)</f>
        <v>0</v>
      </c>
      <c r="CA379" s="115">
        <f t="shared" si="315"/>
        <v>0</v>
      </c>
      <c r="CB379" s="115">
        <f ca="1">IF(BZ379=1,IF(模拟模式!$P$16="10人团",15,0)+IF(模拟模式!$P$16="25人团",IF(RAND()&lt;0.6,15,0)),MAX(0,CB378-$F$4))</f>
        <v>0</v>
      </c>
      <c r="CC379" s="115" t="b">
        <f t="shared" ca="1" si="307"/>
        <v>0</v>
      </c>
      <c r="CD379" s="115">
        <f>IF(模拟模式!$Q$16="1个",IF(B379/40&gt;CE378,1,0),0)</f>
        <v>0</v>
      </c>
      <c r="CE379" s="115">
        <f t="shared" si="308"/>
        <v>0</v>
      </c>
      <c r="CF379" s="115">
        <f>IF(OR(CD379=1,模拟模式!$Q$16="2个"),20,MAX(0,CF378-$F$4))</f>
        <v>0</v>
      </c>
      <c r="CG379" s="115" t="b">
        <f t="shared" si="309"/>
        <v>0</v>
      </c>
      <c r="CH379" s="115">
        <f t="shared" ca="1" si="340"/>
        <v>9.7050000000000125</v>
      </c>
      <c r="CI379" s="115" t="b">
        <f t="shared" ca="1" si="341"/>
        <v>0</v>
      </c>
      <c r="CJ379" s="119">
        <f t="shared" ca="1" si="342"/>
        <v>0</v>
      </c>
      <c r="CK379" s="115">
        <f t="shared" ca="1" si="343"/>
        <v>0</v>
      </c>
      <c r="CL379" s="115" t="b">
        <f ca="1">AND(模拟模式!$S$7="驱夷逐法",OR(AND(C379="净世破魔击·月",E378&gt;59),AND(C379="净世破魔击·日",F378&gt;59)))</f>
        <v>1</v>
      </c>
      <c r="CM379" s="115" t="b">
        <f ca="1">OR(CL379,AND(C379="净世破魔击·日",CL378,RAND()&lt;模拟模式!$U$23))</f>
        <v>1</v>
      </c>
      <c r="CN379" s="115" t="b">
        <f ca="1">IF(模拟模式!$M$7="辉耀红尘",AND(C379="净世破魔击·月",CL379,CV379=0,E378&lt;80),AND(C379="净世破魔击·月",CL379,E378&lt;100))</f>
        <v>0</v>
      </c>
      <c r="CO379" s="115" t="b">
        <f t="shared" ca="1" si="316"/>
        <v>0</v>
      </c>
      <c r="CP379" s="115" t="b">
        <f ca="1">AND(模拟模式!$O$7="用晦而明",OR(C379="净世破魔击·日",C379="净世破魔击·月",C379="驱夜断愁"),AB379)</f>
        <v>1</v>
      </c>
      <c r="CQ379" s="115" t="b">
        <f ca="1">OR(CP379,AND(CP378,RAND()&lt;模拟模式!$U$23))</f>
        <v>1</v>
      </c>
      <c r="CR379" s="115" t="b">
        <f ca="1">AND(模拟模式!$S$7="日月齐光",OR(C379="幽月轮1",C379="幽月轮2",C379="幽月轮3",CR378),NOT(OR(C379="赤日轮1",C379="赤日轮2",C379="赤日轮3")))</f>
        <v>0</v>
      </c>
      <c r="CS379" s="115" t="b">
        <f ca="1">AND(模拟模式!$S$7="日月齐光",OR(C379="赤日轮1",C379="赤日轮2",C379="赤日轮3",CS378),NOT(OR(C379="幽月轮1",C379="幽月轮2",C379="幽月轮3")))</f>
        <v>0</v>
      </c>
      <c r="CT379" s="115">
        <f t="shared" ca="1" si="344"/>
        <v>6.9375000000000124</v>
      </c>
      <c r="CU379" s="115" t="b">
        <f ca="1">AND(模拟模式!$K$10="阴阳往极",CT378=0,RAND()&lt;IF(C379="净世破魔击·月",0.0275*7/3,IF(C379="净世破魔击·日",0.0275*3/3,0.0275*2/3)))</f>
        <v>0</v>
      </c>
      <c r="CV379" s="115">
        <f t="shared" ca="1" si="345"/>
        <v>0</v>
      </c>
      <c r="CW379" s="115">
        <f t="shared" ca="1" si="317"/>
        <v>4.1549999999999994</v>
      </c>
      <c r="CX379" s="115">
        <f t="shared" ca="1" si="318"/>
        <v>2.3099999999999996</v>
      </c>
      <c r="CY379" s="115">
        <f ca="1">MAX(IF($C379="驱夜断愁",IF(模拟模式!$R$7="万念俱寂",6,45),CY378-$F$4),0)</f>
        <v>3.2324999999999995</v>
      </c>
      <c r="CZ379" s="115">
        <f t="shared" ca="1" si="319"/>
        <v>0</v>
      </c>
      <c r="DA379" s="115">
        <f ca="1">IF(模拟模式!$N$7="日月同辉",IF(DB378=2,0,MIN(6,IF(AND(OR(C379="赤日轮1",C379="赤日轮2",C379="赤日轮3",C379="幽月轮1",C379="幽月轮2",C379="幽月轮3"),AB379=1),DA378+1,DA378))),0)</f>
        <v>5</v>
      </c>
      <c r="DB379" s="115">
        <f t="shared" ca="1" si="320"/>
        <v>0</v>
      </c>
      <c r="DC379" s="115"/>
      <c r="DD379" s="115"/>
      <c r="DE379" s="115"/>
      <c r="DF379" s="115"/>
      <c r="DG379" s="115"/>
      <c r="DH379" s="115"/>
      <c r="DI379" s="115"/>
      <c r="DJ379" s="115"/>
      <c r="DK379" s="115"/>
      <c r="DL379" s="115"/>
      <c r="DM379" s="115"/>
    </row>
    <row r="380" spans="2:117" x14ac:dyDescent="0.2">
      <c r="B380" s="117">
        <f t="shared" si="321"/>
        <v>325.64250000000283</v>
      </c>
      <c r="C380" s="167" t="str">
        <f t="shared" ca="1" si="314"/>
        <v>净世破魔击·日</v>
      </c>
      <c r="D380" s="115">
        <f ca="1">IF(C380="赤日轮1",1,IF(C380="赤日轮2",2,IF(C380="赤日轮3",3,IF(C380="幽月轮1",4,IF(C380="幽月轮2",5,IF(C380="幽月轮3",6,IF(C380="烈日斩",7,IF(C380="银月斩",8,IF(C380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380="净世破魔击·月",17,IF(C380="驱夜断愁",18,0)))))))))))</f>
        <v>9</v>
      </c>
      <c r="E380" s="115">
        <f ca="1">IF(AND(CU380,OR(C380="幽月轮1",C380="幽月轮2",C380="幽月轮3",C380="银月斩",C380="驱夜断愁",C380="净世破魔击·月")),100,MIN(IF(OR(CN380,BE380),0,IF(OR($C380="赤日轮1",$C380="赤日轮2",$C380="赤日轮3"),E379+20+IF(模拟模式!$I$7="日月凌天",4,0)+IF(CR379,20,0),IF($C380="烈日斩",E379+40,IF($C380="驱夜断愁",IF(模拟模式!$R$7="万念俱寂",E379+20,E379+60),IF($C380="净世破魔击·月",IF(OR(DB379&gt;0,CV379&gt;0),100,IF(模拟模式!$M$7="辉耀红尘",E379+20,E379)),IF($C380="净世破魔击·日",E379-100,E379)))))),100))</f>
        <v>0</v>
      </c>
      <c r="F380" s="115">
        <f ca="1">IF(AND(CU380,OR(C380="赤日轮1",C380="赤日轮2",C380="赤日轮3",C380="烈日斩",C380="净世破魔击·日")),100,MIN(IF(CO380,0,IF(OR($C380="幽月轮1",$C380="幽月轮2",$C380="幽月轮3"),F379+20+IF(模拟模式!$I$7="日月凌天",4,0)+IF(CS379,20,0),IF($C380="银月斩",F379+40+IF(模拟模式!$X$12=1,5,0),IF($C380="驱夜断愁",IF(模拟模式!$R$7="万念俱寂",F379+20,F379+60),IF($C380="净世破魔击·月",IF(模拟模式!$M$7="辉耀红尘",F379-80,F379-100),IF(AND(C380="净世破魔击·日",OR(DB379&gt;0,CV379&gt;0)),100,F379)))))),100))</f>
        <v>20</v>
      </c>
      <c r="G380" s="117">
        <f ca="1">('模拟-全程加成'!$E$3+'模拟-全程加成'!$E$4+'模拟-全程加成'!$E$5+('模拟-全程加成'!$C$6-'模拟-全程加成'!$C$3)*系数!$B$9+BS380*23)*(1+'模拟-全程加成'!$F$4+'模拟-全程加成'!$F$5+BJ380*10%+BM380*20%+BP380*4%+CG380*30%)+$F$7*系数!$B$12</f>
        <v>20583.127400000001</v>
      </c>
      <c r="H380" s="45">
        <f ca="1">'模拟-全程加成'!$H$3+'模拟-全程加成'!$H$4+'模拟-全程加成'!$H$5+('模拟-全程加成'!$G$4+'模拟-全程加成'!$G$5+('模拟-全程加成'!$C$6-'模拟-全程加成'!$C$3)*系数!$B$13)/系数!$B$3+LOOKUP(D380,'模拟-单技能数据'!$A$2:$A$19,'模拟-单技能数据'!$K$2:$K$19)+BG380*10%+IF(BV380&gt;0,378,0)</f>
        <v>0.54185145527300216</v>
      </c>
      <c r="I380" s="45">
        <f ca="1">'模拟-全程加成'!$J$3+'模拟-全程加成'!$J$4+'模拟-全程加成'!$J$5+('模拟-全程加成'!$I$4+'模拟-全程加成'!$I$5)/系数!$B$4+LOOKUP(D380,'模拟-单技能数据'!$A$2:$A$19,'模拟-单技能数据'!$L$2:$L$19)+BG380*10%</f>
        <v>2.162482885499879</v>
      </c>
      <c r="J380" s="45">
        <f ca="1">(('模拟-全程加成'!$K$3+'模拟-全程加成'!$K$4+'模拟-全程加成'!$K$5+('模拟-全程加成'!$C$6-'模拟-全程加成'!$C$3)*系数!$B$10+IF(BV380&gt;0,882,0)+IF(BY380&gt;0,1831,0))*(1+'模拟-全程加成'!$L$4+'模拟-全程加成'!$L$5+CC380*20%))/系数!$B$5</f>
        <v>0.69723220422048726</v>
      </c>
      <c r="K380" s="119">
        <f ca="1">LOOKUP(D380,'模拟-单技能数据'!$A$2:$A$19,'模拟-单技能数据'!$J$2:$J$19)+IF(CM380,60%,0)+IF(DB379-DB380&gt;0,30%,0)+IF(OR(AND(OR(C380="赤日轮1",C380="赤日轮2",C380="赤日轮3"),CR380),AND(OR(C380="幽月轮1",C380="幽月轮2",C380="幽月轮3"),CS380)),35%,0)+CJ380</f>
        <v>0.8</v>
      </c>
      <c r="L380" s="119">
        <f ca="1">IF(AND(C380="烈日斩",模拟模式!$X$11=1),10%,0)+IF(AND(C380="驱夜断愁",AB380=1),30%,0)</f>
        <v>0</v>
      </c>
      <c r="M380" s="45">
        <f t="shared" ca="1" si="297"/>
        <v>0.54185145527300216</v>
      </c>
      <c r="N380" s="45">
        <f t="shared" ca="1" si="298"/>
        <v>0.40424854472699789</v>
      </c>
      <c r="O380" s="46">
        <f t="shared" ca="1" si="322"/>
        <v>0.5532954846925624</v>
      </c>
      <c r="P380" s="46" t="str">
        <f t="shared" ca="1" si="323"/>
        <v>会</v>
      </c>
      <c r="Q380" s="45">
        <f t="shared" ca="1" si="324"/>
        <v>2.162482885499879</v>
      </c>
      <c r="R380" s="117">
        <f ca="1">模拟模式!$E$20*(1-IF(模拟模式!$J$19="有",0.15,0))*(1-IF(模拟模式!$K$19="有",0.3,0)-IF(CQ380,0.5,0))</f>
        <v>843.02999999999975</v>
      </c>
      <c r="S380" s="45">
        <f ca="1">R380/(R380+(185*模拟模式!$E$22-16800)*4.08224)</f>
        <v>8.389626085980037E-2</v>
      </c>
      <c r="T380" s="45" t="str">
        <f ca="1">LOOKUP(D380,'模拟-单技能数据'!$A$2:$A$19,'模拟-单技能数据'!$H$2:$H$19)</f>
        <v>阳</v>
      </c>
      <c r="U380" s="119">
        <f t="shared" ca="1" si="299"/>
        <v>0.2</v>
      </c>
      <c r="V380" s="47">
        <f ca="1">(1+L380)*(LOOKUP(D380,'模拟-单技能数据'!$A$2:$A$19,'模拟-单技能数据'!$D$2:$D$19)+G380*LOOKUP(D380,'模拟-单技能数据'!$A$2:$A$19,'模拟-单技能数据'!$F$2:$F$19))*(1+J380)*(1+K380)*(1-S380)*(1+U380)*Q380*LOOKUP(D380,'模拟-单技能数据'!$A$2:$A$19,'模拟-单技能数据'!$I$2:$I$20)</f>
        <v>195915.814886668</v>
      </c>
      <c r="W380" s="47">
        <f ca="1">LOOKUP(D380,'模拟-单技能数据'!$A$2:$A$19,'模拟-单技能数据'!$G$2:$G$19)*$I$10</f>
        <v>723.0212870940959</v>
      </c>
      <c r="X380" s="47">
        <f t="shared" ca="1" si="325"/>
        <v>29939.678325983259</v>
      </c>
      <c r="Y380" s="47">
        <f t="shared" ca="1" si="300"/>
        <v>226578.51449974536</v>
      </c>
      <c r="Z380" s="49">
        <f t="shared" ca="1" si="301"/>
        <v>36855535.20971451</v>
      </c>
      <c r="AA380" s="97">
        <f t="shared" ca="1" si="302"/>
        <v>113177.90279129472</v>
      </c>
      <c r="AB380" s="115">
        <f ca="1">IF(OR(C380="赤日轮1",C380="赤日轮2",C380="赤日轮3"),IF(RAND()&lt;模拟模式!$Y$17,1,0),IF(OR(C380="幽月轮1",C380="幽月轮2",C380="幽月轮3"),IF(RAND()&lt;模拟模式!$Y$18,1,0),IF(C380="烈日斩",IF(RAND()&lt;模拟模式!$Y$19,1,0),IF(C380="银月斩",IF(RAND()&lt;模拟模式!$Y$20,1,0),IF(C380="驱夜断愁",IF(RAND()&lt;模拟模式!$Y$21,1,0),IF(C380="净世破魔击·日",IF(RAND()&lt;模拟模式!$Y$22,1,0),IF(C380="净世破魔击·月",IF(RAND()&lt;模拟模式!$Y$23,1,0),0)))))))</f>
        <v>1</v>
      </c>
      <c r="AC380" s="115" t="b">
        <f t="shared" ca="1" si="290"/>
        <v>0</v>
      </c>
      <c r="AD380" s="115" t="b">
        <f t="shared" ca="1" si="310"/>
        <v>0</v>
      </c>
      <c r="AE380" s="115">
        <f t="shared" ca="1" si="311"/>
        <v>3</v>
      </c>
      <c r="AF380" s="47">
        <f ca="1">IF(AC380,('模拟-单技能数据'!$D$20+G380*'模拟-单技能数据'!$F$20)*(1+J380)*(1+'模拟-单技能数据'!$J$20)*(1+U380),0)</f>
        <v>0</v>
      </c>
      <c r="AG380" s="61">
        <f t="shared" ca="1" si="303"/>
        <v>0.64185145527300214</v>
      </c>
      <c r="AH380" s="61">
        <f t="shared" ca="1" si="304"/>
        <v>2.2624828854998791</v>
      </c>
      <c r="AI380" s="62">
        <f t="shared" ca="1" si="326"/>
        <v>0.93063264482078423</v>
      </c>
      <c r="AJ380" s="47">
        <f ca="1">IF(AD380,IF(AI380&lt;$F$10,0,IF(AI380&lt;$F$10+$F$11,0.25,IF(AI380&lt;$F$10+$F$11+AG380,AH380,1)))*IF(AF380&gt;0,AF380,IF(AF379&gt;0,AF379,IF(AF378&gt;0,AF378,IF(AF377&gt;0,AF377,IF(AF376&gt;0,AF376,IF(AF375&gt;0,AF375,IF(AF374&gt;0,AF374,IF(AF373&gt;0,AF373,IF(AF372&gt;0,AF372,IF(AF370&gt;0,AF370,IF(AF369&gt;0,AF369,IF(AF368&gt;0,AF368,0)))))))))))),0)*(1-$S380)*'模拟-单技能数据'!$I$20</f>
        <v>0</v>
      </c>
      <c r="AK380" s="115" t="b">
        <f t="shared" ca="1" si="291"/>
        <v>1</v>
      </c>
      <c r="AL380" s="115" t="b">
        <f t="shared" ca="1" si="312"/>
        <v>0</v>
      </c>
      <c r="AM380" s="115">
        <f t="shared" ca="1" si="313"/>
        <v>6</v>
      </c>
      <c r="AN380" s="47">
        <f ca="1">IF(AK380,('模拟-单技能数据'!$D$21+G380*'模拟-单技能数据'!$F$21)*(1+J380)*(1+'模拟-单技能数据'!$J$21)*(1+U380),0)</f>
        <v>12136.56601728573</v>
      </c>
      <c r="AO380" s="61">
        <f ca="1">IF(AN380&gt;0,M380-'模拟-单技能数据'!$K$10,AO379)</f>
        <v>0.42185145527300216</v>
      </c>
      <c r="AP380" s="61">
        <f ca="1">IF(AN380&gt;0,I380-'模拟-单技能数据'!$L$10,AP379)</f>
        <v>2.162482885499879</v>
      </c>
      <c r="AQ380" s="63">
        <f t="shared" ca="1" si="327"/>
        <v>0.61936784301354619</v>
      </c>
      <c r="AR380" s="64">
        <f ca="1">IF(AL380,IF(AQ380&lt;$F$10,0,IF(AQ380&lt;$F$10+$F$11,0.25,IF(AQ380&lt;$F$10+$F$11+AO380,AP380,1)))*IF(AN380&gt;0,AN380,IF(AN379&gt;0,AN379,IF(AN378&gt;0,AN378,IF(AN377&gt;0,AN377,IF(AN376&gt;0,AN376,IF(AN375&gt;0,AN375,IF(AN374&gt;0,AN374,IF(AN373&gt;0,AN373,IF(AN372&gt;0,AN372,IF(AN370&gt;0,AN370,IF(AN369&gt;0,AN369,IF(AN368&gt;0,AN368,0)))))))))))),0)*(1-$S380)*'模拟-单技能数据'!$I$21</f>
        <v>0</v>
      </c>
      <c r="AS380" s="61">
        <f ca="1">IF(OR(C380="净世破魔击·日",C380="净世破魔击·月"),M380-'模拟-单技能数据'!$K$10,0)</f>
        <v>0.42185145527300216</v>
      </c>
      <c r="AT380" s="61">
        <f ca="1">IF(OR(C380="净世破魔击·日",C380="净世破魔击·月"),I380-'模拟-单技能数据'!$L$10,0)</f>
        <v>2.162482885499879</v>
      </c>
      <c r="AU380" s="62">
        <f t="shared" ca="1" si="328"/>
        <v>0.95581194593291952</v>
      </c>
      <c r="AV380" s="64">
        <f ca="1">IF(AS380&gt;0,('模拟-单技能数据'!$D$22+G380*'模拟-单技能数据'!$F$22)*(1+J380)*(1-S380)*IF(AU380&lt;$F$10,0,IF(AU380&lt;$F$10+$F$11,0.25,IF(AU380&lt;$F$10+$F$11+AS380,AT380,1)))*(1+U380),0)*'模拟-单技能数据'!$I$22</f>
        <v>8488.2797245609418</v>
      </c>
      <c r="AW380" s="108">
        <f t="shared" ca="1" si="329"/>
        <v>3.3950000000000062</v>
      </c>
      <c r="AX380" s="108" t="b">
        <f ca="1">AND(模拟模式!$P$10="有",AW379=0,RAND()&lt;IF(C380="净世破魔击·月",0.1*8/3,IF(C380="净世破魔击·日",0.1*4/3,0.1*2/3)))</f>
        <v>0</v>
      </c>
      <c r="AY380" s="47">
        <f ca="1">IF(AX380,(18+G380*0.722)*(1+J380)*(1-S380)*(1+$I$4)*IF(P380="会",'模拟-全程加成'!$J$3+'模拟-全程加成'!$J$4+'模拟-全程加成'!$J$5+('模拟-全程加成'!$I$4+'模拟-全程加成'!$I$5)/系数!$B$4+BG380*10%,IF(P380="命",1,IF(P380="识",0.25,0))),0)</f>
        <v>0</v>
      </c>
      <c r="AZ380" s="108">
        <f t="shared" si="330"/>
        <v>19.077500000000001</v>
      </c>
      <c r="BA380" s="108" t="b">
        <f>AND(模拟模式!$Q$10="有",AZ379=0)</f>
        <v>1</v>
      </c>
      <c r="BB380" s="140">
        <f ca="1">IF(BA380,(0+G380*0.287)*(1+J380)*(1-S380)*(1+$I$4)*IF(P380="会",'模拟-全程加成'!$J$3+'模拟-全程加成'!$J$4+'模拟-全程加成'!$J$5+('模拟-全程加成'!$I$4+'模拟-全程加成'!$I$5)/系数!$B$4+BG380*10%,IF(P380="命",1,IF(P380="识",0.25,0))),0)</f>
        <v>21451.398601422319</v>
      </c>
      <c r="BC380" s="115" t="b">
        <f ca="1">AND(模拟模式!$R$7="伏明众生",E380=60,F380=20,DA380&lt;5,CZ379&lt;$F$4)</f>
        <v>0</v>
      </c>
      <c r="BD380" s="115">
        <f t="shared" ca="1" si="292"/>
        <v>0</v>
      </c>
      <c r="BE380" s="115" t="b">
        <f t="shared" ca="1" si="293"/>
        <v>0</v>
      </c>
      <c r="BF380" s="47">
        <f ca="1">IF(BC380,4*('模拟-单技能数据'!$D$24+G380*'模拟-单技能数据'!$F$24)*(1+J380)*(1+'模拟-单技能数据'!$J$24)*(1-S380)*(1+$I$3)*(('模拟-全程加成'!$J$3+'模拟-全程加成'!$J$4+'模拟-全程加成'!$J$5+('模拟-全程加成'!$I$4+'模拟-全程加成'!$I$5)/系数!$B$4+BG380*10%)*('模拟-全程加成'!$J$3+'模拟-全程加成'!$J$4+'模拟-全程加成'!$J$5+('模拟-全程加成'!$I$4+'模拟-全程加成'!$I$5)/系数!$B$4+BG380*10%)+(1-('模拟-全程加成'!$J$3+'模拟-全程加成'!$J$4+'模拟-全程加成'!$J$5+('模拟-全程加成'!$I$4+'模拟-全程加成'!$I$5)/系数!$B$4+BG380*10%)-$F$10-$F$11)+F366*0.25),0)*'模拟-单技能数据'!$I$24</f>
        <v>0</v>
      </c>
      <c r="BG380" s="115" t="b">
        <f ca="1">OR(AND(OR(C380="烈日斩",C380="银月斩"),模拟模式!$I$7="净身明礼"),AND(C380="净世破魔击·日",模拟模式!$J$7="洞若观火"),AND(C381="净世破魔击·月",模拟模式!$J$7="洞若观火"),AB380=1)</f>
        <v>1</v>
      </c>
      <c r="BH380" s="115" t="b">
        <f t="shared" ca="1" si="331"/>
        <v>0</v>
      </c>
      <c r="BI380" s="115">
        <f t="shared" ca="1" si="294"/>
        <v>0</v>
      </c>
      <c r="BJ380" s="115" t="b">
        <f t="shared" ca="1" si="305"/>
        <v>0</v>
      </c>
      <c r="BK380" s="115" t="b">
        <f ca="1">AND(C380="驱夜断愁",模拟模式!$P$7="天地诛戮")</f>
        <v>0</v>
      </c>
      <c r="BL380" s="57">
        <f t="shared" ca="1" si="295"/>
        <v>16.310000000000002</v>
      </c>
      <c r="BM380" s="115" t="b">
        <f t="shared" ca="1" si="306"/>
        <v>1</v>
      </c>
      <c r="BN380" s="115" t="b">
        <f ca="1">AND(OR(C380="赤日轮1",C380="赤日轮2",C380="赤日轮3",C380="幽月轮1",C380="幽月轮2",C380="幽月轮3"),AB380=1,模拟模式!$L$7="明光恒照")</f>
        <v>0</v>
      </c>
      <c r="BO380" s="117">
        <f t="shared" ca="1" si="296"/>
        <v>28.155000000000001</v>
      </c>
      <c r="BP380" s="115">
        <f t="shared" ca="1" si="332"/>
        <v>6</v>
      </c>
      <c r="BQ380" s="115" t="b">
        <f>模拟模式!$K$10="2600·水"</f>
        <v>0</v>
      </c>
      <c r="BR380" s="117">
        <f t="shared" si="333"/>
        <v>0</v>
      </c>
      <c r="BS380" s="115">
        <f t="shared" si="334"/>
        <v>0</v>
      </c>
      <c r="BT380" s="115">
        <f t="shared" ca="1" si="335"/>
        <v>0</v>
      </c>
      <c r="BU380" s="115" t="b">
        <f ca="1">AND(模拟模式!$K$10="2300·雷",BT379=0,RAND()&lt;IF(C380="净世破魔击·月",5*0.05*2/3,IF(C380="净世破魔击·日",3*0.05*2/3,0.05*2*2/3)))</f>
        <v>0</v>
      </c>
      <c r="BV380" s="115">
        <f t="shared" ca="1" si="336"/>
        <v>0</v>
      </c>
      <c r="BW380" s="115">
        <f t="shared" ca="1" si="337"/>
        <v>46.237499999999287</v>
      </c>
      <c r="BX380" s="164" t="b">
        <f t="shared" ca="1" si="338"/>
        <v>0</v>
      </c>
      <c r="BY380" s="115">
        <f t="shared" ca="1" si="339"/>
        <v>0</v>
      </c>
      <c r="BZ380" s="115">
        <f>IF(OR(模拟模式!$P$16="10人团",模拟模式!$P$16="25人团"),IF(B380/30&gt;CA379,1,0),0)</f>
        <v>0</v>
      </c>
      <c r="CA380" s="115">
        <f t="shared" si="315"/>
        <v>0</v>
      </c>
      <c r="CB380" s="115">
        <f ca="1">IF(BZ380=1,IF(模拟模式!$P$16="10人团",15,0)+IF(模拟模式!$P$16="25人团",IF(RAND()&lt;0.6,15,0)),MAX(0,CB379-$F$4))</f>
        <v>0</v>
      </c>
      <c r="CC380" s="115" t="b">
        <f t="shared" ca="1" si="307"/>
        <v>0</v>
      </c>
      <c r="CD380" s="115">
        <f>IF(模拟模式!$Q$16="1个",IF(B380/40&gt;CE379,1,0),0)</f>
        <v>0</v>
      </c>
      <c r="CE380" s="115">
        <f t="shared" si="308"/>
        <v>0</v>
      </c>
      <c r="CF380" s="115">
        <f>IF(OR(CD380=1,模拟模式!$Q$16="2个"),20,MAX(0,CF379-$F$4))</f>
        <v>0</v>
      </c>
      <c r="CG380" s="115" t="b">
        <f t="shared" si="309"/>
        <v>0</v>
      </c>
      <c r="CH380" s="115">
        <f t="shared" ca="1" si="340"/>
        <v>8.7825000000000131</v>
      </c>
      <c r="CI380" s="115" t="b">
        <f t="shared" ca="1" si="341"/>
        <v>0</v>
      </c>
      <c r="CJ380" s="119">
        <f t="shared" ca="1" si="342"/>
        <v>0</v>
      </c>
      <c r="CK380" s="115">
        <f t="shared" ca="1" si="343"/>
        <v>0</v>
      </c>
      <c r="CL380" s="115" t="b">
        <f ca="1">AND(模拟模式!$S$7="驱夷逐法",OR(AND(C380="净世破魔击·月",E379&gt;59),AND(C380="净世破魔击·日",F379&gt;59)))</f>
        <v>0</v>
      </c>
      <c r="CM380" s="115" t="b">
        <f ca="1">OR(CL380,AND(C380="净世破魔击·日",CL379,RAND()&lt;模拟模式!$U$23))</f>
        <v>1</v>
      </c>
      <c r="CN380" s="115" t="b">
        <f ca="1">IF(模拟模式!$M$7="辉耀红尘",AND(C380="净世破魔击·月",CL380,CV380=0,E379&lt;80),AND(C380="净世破魔击·月",CL380,E379&lt;100))</f>
        <v>0</v>
      </c>
      <c r="CO380" s="115" t="b">
        <f t="shared" ca="1" si="316"/>
        <v>0</v>
      </c>
      <c r="CP380" s="115" t="b">
        <f ca="1">AND(模拟模式!$O$7="用晦而明",OR(C380="净世破魔击·日",C380="净世破魔击·月",C380="驱夜断愁"),AB380)</f>
        <v>1</v>
      </c>
      <c r="CQ380" s="115" t="b">
        <f ca="1">OR(CP380,AND(CP379,RAND()&lt;模拟模式!$U$23))</f>
        <v>1</v>
      </c>
      <c r="CR380" s="115" t="b">
        <f ca="1">AND(模拟模式!$S$7="日月齐光",OR(C380="幽月轮1",C380="幽月轮2",C380="幽月轮3",CR379),NOT(OR(C380="赤日轮1",C380="赤日轮2",C380="赤日轮3")))</f>
        <v>0</v>
      </c>
      <c r="CS380" s="115" t="b">
        <f ca="1">AND(模拟模式!$S$7="日月齐光",OR(C380="赤日轮1",C380="赤日轮2",C380="赤日轮3",CS379),NOT(OR(C380="幽月轮1",C380="幽月轮2",C380="幽月轮3")))</f>
        <v>0</v>
      </c>
      <c r="CT380" s="115">
        <f t="shared" ca="1" si="344"/>
        <v>6.0150000000000121</v>
      </c>
      <c r="CU380" s="115" t="b">
        <f ca="1">AND(模拟模式!$K$10="阴阳往极",CT379=0,RAND()&lt;IF(C380="净世破魔击·月",0.0275*7/3,IF(C380="净世破魔击·日",0.0275*3/3,0.0275*2/3)))</f>
        <v>0</v>
      </c>
      <c r="CV380" s="115">
        <f t="shared" ca="1" si="345"/>
        <v>0</v>
      </c>
      <c r="CW380" s="115">
        <f t="shared" ca="1" si="317"/>
        <v>3.2324999999999995</v>
      </c>
      <c r="CX380" s="115">
        <f t="shared" ca="1" si="318"/>
        <v>1.3874999999999997</v>
      </c>
      <c r="CY380" s="115">
        <f ca="1">MAX(IF($C380="驱夜断愁",IF(模拟模式!$R$7="万念俱寂",6,45),CY379-$F$4),0)</f>
        <v>2.3099999999999996</v>
      </c>
      <c r="CZ380" s="115">
        <f t="shared" ca="1" si="319"/>
        <v>0</v>
      </c>
      <c r="DA380" s="115">
        <f ca="1">IF(模拟模式!$N$7="日月同辉",IF(DB379=2,0,MIN(6,IF(AND(OR(C380="赤日轮1",C380="赤日轮2",C380="赤日轮3",C380="幽月轮1",C380="幽月轮2",C380="幽月轮3"),AB380=1),DA379+1,DA379))),0)</f>
        <v>5</v>
      </c>
      <c r="DB380" s="115">
        <f t="shared" ca="1" si="320"/>
        <v>0</v>
      </c>
      <c r="DC380" s="115"/>
      <c r="DD380" s="115"/>
      <c r="DE380" s="115"/>
      <c r="DF380" s="115"/>
      <c r="DG380" s="115"/>
      <c r="DH380" s="115"/>
      <c r="DI380" s="115"/>
      <c r="DJ380" s="115"/>
      <c r="DK380" s="115"/>
      <c r="DL380" s="115"/>
      <c r="DM380" s="115"/>
    </row>
    <row r="381" spans="2:117" x14ac:dyDescent="0.2">
      <c r="B381" s="117">
        <f t="shared" si="321"/>
        <v>326.56500000000284</v>
      </c>
      <c r="C381" s="167" t="str">
        <f t="shared" ca="1" si="314"/>
        <v>赤日轮1</v>
      </c>
      <c r="D381" s="115">
        <f ca="1">IF(C381="赤日轮1",1,IF(C381="赤日轮2",2,IF(C381="赤日轮3",3,IF(C381="幽月轮1",4,IF(C381="幽月轮2",5,IF(C381="幽月轮3",6,IF(C381="烈日斩",7,IF(C381="银月斩",8,IF(C381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381="净世破魔击·月",17,IF(C381="驱夜断愁",18,0)))))))))))</f>
        <v>1</v>
      </c>
      <c r="E381" s="115">
        <f ca="1">IF(AND(CU381,OR(C381="幽月轮1",C381="幽月轮2",C381="幽月轮3",C381="银月斩",C381="驱夜断愁",C381="净世破魔击·月")),100,MIN(IF(OR(CN381,BE381),0,IF(OR($C381="赤日轮1",$C381="赤日轮2",$C381="赤日轮3"),E380+20+IF(模拟模式!$I$7="日月凌天",4,0)+IF(CR380,20,0),IF($C381="烈日斩",E380+40,IF($C381="驱夜断愁",IF(模拟模式!$R$7="万念俱寂",E380+20,E380+60),IF($C381="净世破魔击·月",IF(OR(DB380&gt;0,CV380&gt;0),100,IF(模拟模式!$M$7="辉耀红尘",E380+20,E380)),IF($C381="净世破魔击·日",E380-100,E380)))))),100))</f>
        <v>20</v>
      </c>
      <c r="F381" s="115">
        <f ca="1">IF(AND(CU381,OR(C381="赤日轮1",C381="赤日轮2",C381="赤日轮3",C381="烈日斩",C381="净世破魔击·日")),100,MIN(IF(CO381,0,IF(OR($C381="幽月轮1",$C381="幽月轮2",$C381="幽月轮3"),F380+20+IF(模拟模式!$I$7="日月凌天",4,0)+IF(CS380,20,0),IF($C381="银月斩",F380+40+IF(模拟模式!$X$12=1,5,0),IF($C381="驱夜断愁",IF(模拟模式!$R$7="万念俱寂",F380+20,F380+60),IF($C381="净世破魔击·月",IF(模拟模式!$M$7="辉耀红尘",F380-80,F380-100),IF(AND(C381="净世破魔击·日",OR(DB380&gt;0,CV380&gt;0)),100,F380)))))),100))</f>
        <v>20</v>
      </c>
      <c r="G381" s="117">
        <f ca="1">('模拟-全程加成'!$E$3+'模拟-全程加成'!$E$4+'模拟-全程加成'!$E$5+('模拟-全程加成'!$C$6-'模拟-全程加成'!$C$3)*系数!$B$9+BS381*23)*(1+'模拟-全程加成'!$F$4+'模拟-全程加成'!$F$5+BJ381*10%+BM381*20%+BP381*4%+CG381*30%)+$F$7*系数!$B$12</f>
        <v>21493.829400000002</v>
      </c>
      <c r="H381" s="45">
        <f ca="1">'模拟-全程加成'!$H$3+'模拟-全程加成'!$H$4+'模拟-全程加成'!$H$5+('模拟-全程加成'!$G$4+'模拟-全程加成'!$G$5+('模拟-全程加成'!$C$6-'模拟-全程加成'!$C$3)*系数!$B$13)/系数!$B$3+LOOKUP(D381,'模拟-单技能数据'!$A$2:$A$19,'模拟-单技能数据'!$K$2:$K$19)+BG381*10%+IF(BV381&gt;0,378,0)</f>
        <v>0.4618514552730022</v>
      </c>
      <c r="I381" s="45">
        <f ca="1">'模拟-全程加成'!$J$3+'模拟-全程加成'!$J$4+'模拟-全程加成'!$J$5+('模拟-全程加成'!$I$4+'模拟-全程加成'!$I$5)/系数!$B$4+LOOKUP(D381,'模拟-单技能数据'!$A$2:$A$19,'模拟-单技能数据'!$L$2:$L$19)+BG381*10%</f>
        <v>2.162482885499879</v>
      </c>
      <c r="J381" s="45">
        <f ca="1">(('模拟-全程加成'!$K$3+'模拟-全程加成'!$K$4+'模拟-全程加成'!$K$5+('模拟-全程加成'!$C$6-'模拟-全程加成'!$C$3)*系数!$B$10+IF(BV381&gt;0,882,0)+IF(BY381&gt;0,1831,0))*(1+'模拟-全程加成'!$L$4+'模拟-全程加成'!$L$5+CC381*20%))/系数!$B$5</f>
        <v>0.69723220422048726</v>
      </c>
      <c r="K381" s="119">
        <f ca="1">LOOKUP(D381,'模拟-单技能数据'!$A$2:$A$19,'模拟-单技能数据'!$J$2:$J$19)+IF(CM381,60%,0)+IF(DB380-DB381&gt;0,30%,0)+IF(OR(AND(OR(C381="赤日轮1",C381="赤日轮2",C381="赤日轮3"),CR381),AND(OR(C381="幽月轮1",C381="幽月轮2",C381="幽月轮3"),CS381)),35%,0)+CJ381</f>
        <v>0.12</v>
      </c>
      <c r="L381" s="119">
        <f ca="1">IF(AND(C381="烈日斩",模拟模式!$X$11=1),10%,0)+IF(AND(C381="驱夜断愁",AB381=1),30%,0)</f>
        <v>0</v>
      </c>
      <c r="M381" s="45">
        <f t="shared" ca="1" si="297"/>
        <v>0.4618514552730022</v>
      </c>
      <c r="N381" s="45">
        <f t="shared" ca="1" si="298"/>
        <v>0.48424854472699785</v>
      </c>
      <c r="O381" s="46">
        <f t="shared" ca="1" si="322"/>
        <v>0.38427513842328853</v>
      </c>
      <c r="P381" s="46" t="str">
        <f t="shared" ca="1" si="323"/>
        <v>会</v>
      </c>
      <c r="Q381" s="45">
        <f t="shared" ca="1" si="324"/>
        <v>2.162482885499879</v>
      </c>
      <c r="R381" s="117">
        <f ca="1">模拟模式!$E$20*(1-IF(模拟模式!$J$19="有",0.15,0))*(1-IF(模拟模式!$K$19="有",0.3,0)-IF(CQ381,0.5,0))</f>
        <v>843.02999999999975</v>
      </c>
      <c r="S381" s="45">
        <f ca="1">R381/(R381+(185*模拟模式!$E$22-16800)*4.08224)</f>
        <v>8.389626085980037E-2</v>
      </c>
      <c r="T381" s="45" t="str">
        <f ca="1">LOOKUP(D381,'模拟-单技能数据'!$A$2:$A$19,'模拟-单技能数据'!$H$2:$H$19)</f>
        <v>阳</v>
      </c>
      <c r="U381" s="119">
        <f t="shared" ca="1" si="299"/>
        <v>0.2</v>
      </c>
      <c r="V381" s="47">
        <f ca="1">(1+L381)*(LOOKUP(D381,'模拟-单技能数据'!$A$2:$A$19,'模拟-单技能数据'!$D$2:$D$19)+G381*LOOKUP(D381,'模拟-单技能数据'!$A$2:$A$19,'模拟-单技能数据'!$F$2:$F$19))*(1+J381)*(1+K381)*(1-S381)*(1+U381)*Q381*LOOKUP(D381,'模拟-单技能数据'!$A$2:$A$19,'模拟-单技能数据'!$I$2:$I$20)</f>
        <v>56864.156113360666</v>
      </c>
      <c r="W381" s="47">
        <f ca="1">LOOKUP(D381,'模拟-单技能数据'!$A$2:$A$19,'模拟-单技能数据'!$G$2:$G$19)*$I$10</f>
        <v>361.51064354704795</v>
      </c>
      <c r="X381" s="47">
        <f t="shared" ca="1" si="325"/>
        <v>33262.18371625166</v>
      </c>
      <c r="Y381" s="47">
        <f t="shared" ca="1" si="300"/>
        <v>90487.850473159371</v>
      </c>
      <c r="Z381" s="49">
        <f t="shared" ca="1" si="301"/>
        <v>36946023.060187668</v>
      </c>
      <c r="AA381" s="97">
        <f t="shared" ca="1" si="302"/>
        <v>113135.28106253684</v>
      </c>
      <c r="AB381" s="115">
        <f ca="1">IF(OR(C381="赤日轮1",C381="赤日轮2",C381="赤日轮3"),IF(RAND()&lt;模拟模式!$Y$17,1,0),IF(OR(C381="幽月轮1",C381="幽月轮2",C381="幽月轮3"),IF(RAND()&lt;模拟模式!$Y$18,1,0),IF(C381="烈日斩",IF(RAND()&lt;模拟模式!$Y$19,1,0),IF(C381="银月斩",IF(RAND()&lt;模拟模式!$Y$20,1,0),IF(C381="驱夜断愁",IF(RAND()&lt;模拟模式!$Y$21,1,0),IF(C381="净世破魔击·日",IF(RAND()&lt;模拟模式!$Y$22,1,0),IF(C381="净世破魔击·月",IF(RAND()&lt;模拟模式!$Y$23,1,0),0)))))))</f>
        <v>1</v>
      </c>
      <c r="AC381" s="115" t="b">
        <f t="shared" ca="1" si="290"/>
        <v>0</v>
      </c>
      <c r="AD381" s="115" t="b">
        <f t="shared" ca="1" si="310"/>
        <v>1</v>
      </c>
      <c r="AE381" s="115">
        <f t="shared" ca="1" si="311"/>
        <v>2</v>
      </c>
      <c r="AF381" s="47">
        <f ca="1">IF(AC381,('模拟-单技能数据'!$D$20+G381*'模拟-单技能数据'!$F$20)*(1+J381)*(1+'模拟-单技能数据'!$J$20)*(1+U381),0)</f>
        <v>0</v>
      </c>
      <c r="AG381" s="61">
        <f t="shared" ca="1" si="303"/>
        <v>0.64185145527300214</v>
      </c>
      <c r="AH381" s="61">
        <f t="shared" ca="1" si="304"/>
        <v>2.2624828854998791</v>
      </c>
      <c r="AI381" s="62">
        <f t="shared" ca="1" si="326"/>
        <v>0.525982263999902</v>
      </c>
      <c r="AJ381" s="47">
        <f ca="1">IF(AD381,IF(AI381&lt;$F$10,0,IF(AI381&lt;$F$10+$F$11,0.25,IF(AI381&lt;$F$10+$F$11+AG381,AH381,1)))*IF(AF381&gt;0,AF381,IF(AF380&gt;0,AF380,IF(AF379&gt;0,AF379,IF(AF378&gt;0,AF378,IF(AF377&gt;0,AF377,IF(AF376&gt;0,AF376,IF(AF375&gt;0,AF375,IF(AF374&gt;0,AF374,IF(AF373&gt;0,AF373,IF(AF371&gt;0,AF371,IF(AF370&gt;0,AF370,IF(AF369&gt;0,AF369,0)))))))))))),0)*(1-$S381)*'模拟-单技能数据'!$I$20</f>
        <v>9218.9345386263849</v>
      </c>
      <c r="AK381" s="115" t="b">
        <f t="shared" ca="1" si="291"/>
        <v>0</v>
      </c>
      <c r="AL381" s="115" t="b">
        <f t="shared" ca="1" si="312"/>
        <v>1</v>
      </c>
      <c r="AM381" s="115">
        <f t="shared" ca="1" si="313"/>
        <v>5</v>
      </c>
      <c r="AN381" s="47">
        <f ca="1">IF(AK381,('模拟-单技能数据'!$D$21+G381*'模拟-单技能数据'!$F$21)*(1+J381)*(1+'模拟-单技能数据'!$J$21)*(1+U381),0)</f>
        <v>0</v>
      </c>
      <c r="AO381" s="61">
        <f ca="1">IF(AN381&gt;0,M381-'模拟-单技能数据'!$K$10,AO380)</f>
        <v>0.42185145527300216</v>
      </c>
      <c r="AP381" s="61">
        <f ca="1">IF(AN381&gt;0,I381-'模拟-单技能数据'!$L$10,AP380)</f>
        <v>2.162482885499879</v>
      </c>
      <c r="AQ381" s="63">
        <f t="shared" ca="1" si="327"/>
        <v>0.30862127094458247</v>
      </c>
      <c r="AR381" s="64">
        <f ca="1">IF(AL381,IF(AQ381&lt;$F$10,0,IF(AQ381&lt;$F$10+$F$11,0.25,IF(AQ381&lt;$F$10+$F$11+AO381,AP381,1)))*IF(AN381&gt;0,AN381,IF(AN380&gt;0,AN380,IF(AN379&gt;0,AN379,IF(AN378&gt;0,AN378,IF(AN377&gt;0,AN377,IF(AN376&gt;0,AN376,IF(AN375&gt;0,AN375,IF(AN374&gt;0,AN374,IF(AN373&gt;0,AN373,IF(AN371&gt;0,AN371,IF(AN370&gt;0,AN370,IF(AN369&gt;0,AN369,0)))))))))))),0)*(1-$S381)*'模拟-单技能数据'!$I$21</f>
        <v>24043.249177625272</v>
      </c>
      <c r="AS381" s="61">
        <f ca="1">IF(OR(C381="净世破魔击·日",C381="净世破魔击·月"),M381-'模拟-单技能数据'!$K$10,0)</f>
        <v>0</v>
      </c>
      <c r="AT381" s="61">
        <f ca="1">IF(OR(C381="净世破魔击·日",C381="净世破魔击·月"),I381-'模拟-单技能数据'!$L$10,0)</f>
        <v>0</v>
      </c>
      <c r="AU381" s="62">
        <f t="shared" ca="1" si="328"/>
        <v>0.63544639142754311</v>
      </c>
      <c r="AV381" s="64">
        <f ca="1">IF(AS381&gt;0,('模拟-单技能数据'!$D$22+G381*'模拟-单技能数据'!$F$22)*(1+J381)*(1-S381)*IF(AU381&lt;$F$10,0,IF(AU381&lt;$F$10+$F$11,0.25,IF(AU381&lt;$F$10+$F$11+AS381,AT381,1)))*(1+U381),0)*'模拟-单技能数据'!$I$22</f>
        <v>0</v>
      </c>
      <c r="AW381" s="108">
        <f t="shared" ca="1" si="329"/>
        <v>2.4725000000000064</v>
      </c>
      <c r="AX381" s="108" t="b">
        <f ca="1">AND(模拟模式!$P$10="有",AW380=0,RAND()&lt;IF(C381="净世破魔击·月",0.1*8/3,IF(C381="净世破魔击·日",0.1*4/3,0.1*2/3)))</f>
        <v>0</v>
      </c>
      <c r="AY381" s="47">
        <f ca="1">IF(AX381,(18+G381*0.722)*(1+J381)*(1-S381)*(1+$I$4)*IF(P381="会",'模拟-全程加成'!$J$3+'模拟-全程加成'!$J$4+'模拟-全程加成'!$J$5+('模拟-全程加成'!$I$4+'模拟-全程加成'!$I$5)/系数!$B$4+BG381*10%,IF(P381="命",1,IF(P381="识",0.25,0))),0)</f>
        <v>0</v>
      </c>
      <c r="AZ381" s="108">
        <f t="shared" si="330"/>
        <v>18.155000000000001</v>
      </c>
      <c r="BA381" s="108" t="b">
        <f>AND(模拟模式!$Q$10="有",AZ380=0)</f>
        <v>0</v>
      </c>
      <c r="BB381" s="140">
        <f>IF(BA381,(0+G381*0.287)*(1+J381)*(1-S381)*(1+$I$4)*IF(P381="会",'模拟-全程加成'!$J$3+'模拟-全程加成'!$J$4+'模拟-全程加成'!$J$5+('模拟-全程加成'!$I$4+'模拟-全程加成'!$I$5)/系数!$B$4+BG381*10%,IF(P381="命",1,IF(P381="识",0.25,0))),0)</f>
        <v>0</v>
      </c>
      <c r="BC381" s="115" t="b">
        <f ca="1">AND(模拟模式!$R$7="伏明众生",E381=60,F381=20,DA381&lt;5,CZ380&lt;$F$4)</f>
        <v>0</v>
      </c>
      <c r="BD381" s="115">
        <f t="shared" ca="1" si="292"/>
        <v>0</v>
      </c>
      <c r="BE381" s="115" t="b">
        <f t="shared" ca="1" si="293"/>
        <v>0</v>
      </c>
      <c r="BF381" s="47">
        <f ca="1">IF(BC381,4*('模拟-单技能数据'!$D$24+G381*'模拟-单技能数据'!$F$24)*(1+J381)*(1+'模拟-单技能数据'!$J$24)*(1-S381)*(1+$I$3)*(('模拟-全程加成'!$J$3+'模拟-全程加成'!$J$4+'模拟-全程加成'!$J$5+('模拟-全程加成'!$I$4+'模拟-全程加成'!$I$5)/系数!$B$4+BG381*10%)*('模拟-全程加成'!$J$3+'模拟-全程加成'!$J$4+'模拟-全程加成'!$J$5+('模拟-全程加成'!$I$4+'模拟-全程加成'!$I$5)/系数!$B$4+BG381*10%)+(1-('模拟-全程加成'!$J$3+'模拟-全程加成'!$J$4+'模拟-全程加成'!$J$5+('模拟-全程加成'!$I$4+'模拟-全程加成'!$I$5)/系数!$B$4+BG381*10%)-$F$10-$F$11)+F367*0.25),0)*'模拟-单技能数据'!$I$24</f>
        <v>0</v>
      </c>
      <c r="BG381" s="115" t="b">
        <f ca="1">OR(AND(OR(C381="烈日斩",C381="银月斩"),模拟模式!$I$7="净身明礼"),AND(C381="净世破魔击·日",模拟模式!$J$7="洞若观火"),AND(C382="净世破魔击·月",模拟模式!$J$7="洞若观火"),AB381=1)</f>
        <v>1</v>
      </c>
      <c r="BH381" s="115" t="b">
        <f t="shared" ca="1" si="331"/>
        <v>1</v>
      </c>
      <c r="BI381" s="115">
        <f t="shared" ca="1" si="294"/>
        <v>6</v>
      </c>
      <c r="BJ381" s="115" t="b">
        <f t="shared" ca="1" si="305"/>
        <v>1</v>
      </c>
      <c r="BK381" s="115" t="b">
        <f ca="1">AND(C381="驱夜断愁",模拟模式!$P$7="天地诛戮")</f>
        <v>0</v>
      </c>
      <c r="BL381" s="57">
        <f t="shared" ca="1" si="295"/>
        <v>15.387500000000003</v>
      </c>
      <c r="BM381" s="115" t="b">
        <f t="shared" ca="1" si="306"/>
        <v>1</v>
      </c>
      <c r="BN381" s="115" t="b">
        <f ca="1">AND(OR(C381="赤日轮1",C381="赤日轮2",C381="赤日轮3",C381="幽月轮1",C381="幽月轮2",C381="幽月轮3"),AB381=1,模拟模式!$L$7="明光恒照")</f>
        <v>1</v>
      </c>
      <c r="BO381" s="117">
        <f t="shared" ca="1" si="296"/>
        <v>30</v>
      </c>
      <c r="BP381" s="115">
        <f t="shared" ca="1" si="332"/>
        <v>6</v>
      </c>
      <c r="BQ381" s="115" t="b">
        <f>模拟模式!$K$10="2600·水"</f>
        <v>0</v>
      </c>
      <c r="BR381" s="117">
        <f t="shared" si="333"/>
        <v>0</v>
      </c>
      <c r="BS381" s="115">
        <f t="shared" si="334"/>
        <v>0</v>
      </c>
      <c r="BT381" s="115">
        <f t="shared" ca="1" si="335"/>
        <v>0</v>
      </c>
      <c r="BU381" s="115" t="b">
        <f ca="1">AND(模拟模式!$K$10="2300·雷",BT380=0,RAND()&lt;IF(C381="净世破魔击·月",5*0.05*2/3,IF(C381="净世破魔击·日",3*0.05*2/3,0.05*2*2/3)))</f>
        <v>0</v>
      </c>
      <c r="BV381" s="115">
        <f t="shared" ca="1" si="336"/>
        <v>0</v>
      </c>
      <c r="BW381" s="115">
        <f t="shared" ca="1" si="337"/>
        <v>45.314999999999287</v>
      </c>
      <c r="BX381" s="164" t="b">
        <f t="shared" ca="1" si="338"/>
        <v>0</v>
      </c>
      <c r="BY381" s="115">
        <f t="shared" ca="1" si="339"/>
        <v>0</v>
      </c>
      <c r="BZ381" s="115">
        <f>IF(OR(模拟模式!$P$16="10人团",模拟模式!$P$16="25人团"),IF(B381/30&gt;CA380,1,0),0)</f>
        <v>0</v>
      </c>
      <c r="CA381" s="115">
        <f t="shared" si="315"/>
        <v>0</v>
      </c>
      <c r="CB381" s="115">
        <f ca="1">IF(BZ381=1,IF(模拟模式!$P$16="10人团",15,0)+IF(模拟模式!$P$16="25人团",IF(RAND()&lt;0.6,15,0)),MAX(0,CB380-$F$4))</f>
        <v>0</v>
      </c>
      <c r="CC381" s="115" t="b">
        <f t="shared" ca="1" si="307"/>
        <v>0</v>
      </c>
      <c r="CD381" s="115">
        <f>IF(模拟模式!$Q$16="1个",IF(B381/40&gt;CE380,1,0),0)</f>
        <v>0</v>
      </c>
      <c r="CE381" s="115">
        <f t="shared" si="308"/>
        <v>0</v>
      </c>
      <c r="CF381" s="115">
        <f>IF(OR(CD381=1,模拟模式!$Q$16="2个"),20,MAX(0,CF380-$F$4))</f>
        <v>0</v>
      </c>
      <c r="CG381" s="115" t="b">
        <f t="shared" si="309"/>
        <v>0</v>
      </c>
      <c r="CH381" s="115">
        <f t="shared" ca="1" si="340"/>
        <v>7.8600000000000128</v>
      </c>
      <c r="CI381" s="115" t="b">
        <f t="shared" ca="1" si="341"/>
        <v>0</v>
      </c>
      <c r="CJ381" s="119">
        <f t="shared" ca="1" si="342"/>
        <v>0</v>
      </c>
      <c r="CK381" s="115">
        <f t="shared" ca="1" si="343"/>
        <v>0</v>
      </c>
      <c r="CL381" s="115" t="b">
        <f ca="1">AND(模拟模式!$S$7="驱夷逐法",OR(AND(C381="净世破魔击·月",E380&gt;59),AND(C381="净世破魔击·日",F380&gt;59)))</f>
        <v>0</v>
      </c>
      <c r="CM381" s="115" t="b">
        <f ca="1">OR(CL381,AND(C381="净世破魔击·日",CL380,RAND()&lt;模拟模式!$U$23))</f>
        <v>0</v>
      </c>
      <c r="CN381" s="115" t="b">
        <f ca="1">IF(模拟模式!$M$7="辉耀红尘",AND(C381="净世破魔击·月",CL381,CV381=0,E380&lt;80),AND(C381="净世破魔击·月",CL381,E380&lt;100))</f>
        <v>0</v>
      </c>
      <c r="CO381" s="115" t="b">
        <f t="shared" ca="1" si="316"/>
        <v>0</v>
      </c>
      <c r="CP381" s="115" t="b">
        <f ca="1">AND(模拟模式!$O$7="用晦而明",OR(C381="净世破魔击·日",C381="净世破魔击·月",C381="驱夜断愁"),AB381)</f>
        <v>0</v>
      </c>
      <c r="CQ381" s="115" t="b">
        <f ca="1">OR(CP381,AND(CP380,RAND()&lt;模拟模式!$U$23))</f>
        <v>1</v>
      </c>
      <c r="CR381" s="115" t="b">
        <f ca="1">AND(模拟模式!$S$7="日月齐光",OR(C381="幽月轮1",C381="幽月轮2",C381="幽月轮3",CR380),NOT(OR(C381="赤日轮1",C381="赤日轮2",C381="赤日轮3")))</f>
        <v>0</v>
      </c>
      <c r="CS381" s="115" t="b">
        <f ca="1">AND(模拟模式!$S$7="日月齐光",OR(C381="赤日轮1",C381="赤日轮2",C381="赤日轮3",CS380),NOT(OR(C381="幽月轮1",C381="幽月轮2",C381="幽月轮3")))</f>
        <v>0</v>
      </c>
      <c r="CT381" s="115">
        <f t="shared" ca="1" si="344"/>
        <v>5.0925000000000118</v>
      </c>
      <c r="CU381" s="115" t="b">
        <f ca="1">AND(模拟模式!$K$10="阴阳往极",CT380=0,RAND()&lt;IF(C381="净世破魔击·月",0.0275*7/3,IF(C381="净世破魔击·日",0.0275*3/3,0.0275*2/3)))</f>
        <v>0</v>
      </c>
      <c r="CV381" s="115">
        <f t="shared" ca="1" si="345"/>
        <v>0</v>
      </c>
      <c r="CW381" s="115">
        <f t="shared" ca="1" si="317"/>
        <v>2.3099999999999996</v>
      </c>
      <c r="CX381" s="115">
        <f t="shared" ca="1" si="318"/>
        <v>0.46499999999999975</v>
      </c>
      <c r="CY381" s="115">
        <f ca="1">MAX(IF($C381="驱夜断愁",IF(模拟模式!$R$7="万念俱寂",6,45),CY380-$F$4),0)</f>
        <v>1.3874999999999997</v>
      </c>
      <c r="CZ381" s="115">
        <f t="shared" ca="1" si="319"/>
        <v>0</v>
      </c>
      <c r="DA381" s="115">
        <f ca="1">IF(模拟模式!$N$7="日月同辉",IF(DB380=2,0,MIN(6,IF(AND(OR(C381="赤日轮1",C381="赤日轮2",C381="赤日轮3",C381="幽月轮1",C381="幽月轮2",C381="幽月轮3"),AB381=1),DA380+1,DA380))),0)</f>
        <v>6</v>
      </c>
      <c r="DB381" s="115">
        <f t="shared" ca="1" si="320"/>
        <v>2</v>
      </c>
      <c r="DC381" s="115"/>
      <c r="DD381" s="115"/>
      <c r="DE381" s="115"/>
      <c r="DF381" s="115"/>
      <c r="DG381" s="115"/>
      <c r="DH381" s="115"/>
      <c r="DI381" s="115"/>
      <c r="DJ381" s="115"/>
      <c r="DK381" s="115"/>
      <c r="DL381" s="115"/>
      <c r="DM381" s="115"/>
    </row>
    <row r="382" spans="2:117" x14ac:dyDescent="0.2">
      <c r="B382" s="117">
        <f t="shared" si="321"/>
        <v>327.48750000000285</v>
      </c>
      <c r="C382" s="167" t="str">
        <f t="shared" ca="1" si="314"/>
        <v>银月斩</v>
      </c>
      <c r="D382" s="115">
        <f ca="1">IF(C382="赤日轮1",1,IF(C382="赤日轮2",2,IF(C382="赤日轮3",3,IF(C382="幽月轮1",4,IF(C382="幽月轮2",5,IF(C382="幽月轮3",6,IF(C382="烈日斩",7,IF(C382="银月斩",8,IF(C382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382="净世破魔击·月",17,IF(C382="驱夜断愁",18,0)))))))))))</f>
        <v>8</v>
      </c>
      <c r="E382" s="115">
        <f ca="1">IF(AND(CU382,OR(C382="幽月轮1",C382="幽月轮2",C382="幽月轮3",C382="银月斩",C382="驱夜断愁",C382="净世破魔击·月")),100,MIN(IF(OR(CN382,BE382),0,IF(OR($C382="赤日轮1",$C382="赤日轮2",$C382="赤日轮3"),E381+20+IF(模拟模式!$I$7="日月凌天",4,0)+IF(CR381,20,0),IF($C382="烈日斩",E381+40,IF($C382="驱夜断愁",IF(模拟模式!$R$7="万念俱寂",E381+20,E381+60),IF($C382="净世破魔击·月",IF(OR(DB381&gt;0,CV381&gt;0),100,IF(模拟模式!$M$7="辉耀红尘",E381+20,E381)),IF($C382="净世破魔击·日",E381-100,E381)))))),100))</f>
        <v>20</v>
      </c>
      <c r="F382" s="115">
        <f ca="1">IF(AND(CU382,OR(C382="赤日轮1",C382="赤日轮2",C382="赤日轮3",C382="烈日斩",C382="净世破魔击·日")),100,MIN(IF(CO382,0,IF(OR($C382="幽月轮1",$C382="幽月轮2",$C382="幽月轮3"),F381+20+IF(模拟模式!$I$7="日月凌天",4,0)+IF(CS381,20,0),IF($C382="银月斩",F381+40+IF(模拟模式!$X$12=1,5,0),IF($C382="驱夜断愁",IF(模拟模式!$R$7="万念俱寂",F381+20,F381+60),IF($C382="净世破魔击·月",IF(模拟模式!$M$7="辉耀红尘",F381-80,F381-100),IF(AND(C382="净世破魔击·日",OR(DB381&gt;0,CV381&gt;0)),100,F381)))))),100))</f>
        <v>65</v>
      </c>
      <c r="G382" s="117">
        <f ca="1">('模拟-全程加成'!$E$3+'模拟-全程加成'!$E$4+'模拟-全程加成'!$E$5+('模拟-全程加成'!$C$6-'模拟-全程加成'!$C$3)*系数!$B$9+BS382*23)*(1+'模拟-全程加成'!$F$4+'模拟-全程加成'!$F$5+BJ382*10%+BM382*20%+BP382*4%+CG382*30%)+$F$7*系数!$B$12</f>
        <v>21493.829400000002</v>
      </c>
      <c r="H382" s="45">
        <f ca="1">'模拟-全程加成'!$H$3+'模拟-全程加成'!$H$4+'模拟-全程加成'!$H$5+('模拟-全程加成'!$G$4+'模拟-全程加成'!$G$5+('模拟-全程加成'!$C$6-'模拟-全程加成'!$C$3)*系数!$B$13)/系数!$B$3+LOOKUP(D382,'模拟-单技能数据'!$A$2:$A$19,'模拟-单技能数据'!$K$2:$K$19)+BG382*10%+IF(BV382&gt;0,378,0)</f>
        <v>0.64185145527300214</v>
      </c>
      <c r="I382" s="45">
        <f ca="1">'模拟-全程加成'!$J$3+'模拟-全程加成'!$J$4+'模拟-全程加成'!$J$5+('模拟-全程加成'!$I$4+'模拟-全程加成'!$I$5)/系数!$B$4+LOOKUP(D382,'模拟-单技能数据'!$A$2:$A$19,'模拟-单技能数据'!$L$2:$L$19)+BG382*10%</f>
        <v>2.2624828854998791</v>
      </c>
      <c r="J382" s="45">
        <f ca="1">(('模拟-全程加成'!$K$3+'模拟-全程加成'!$K$4+'模拟-全程加成'!$K$5+('模拟-全程加成'!$C$6-'模拟-全程加成'!$C$3)*系数!$B$10+IF(BV382&gt;0,882,0)+IF(BY382&gt;0,1831,0))*(1+'模拟-全程加成'!$L$4+'模拟-全程加成'!$L$5+CC382*20%))/系数!$B$5</f>
        <v>0.69723220422048726</v>
      </c>
      <c r="K382" s="119">
        <f ca="1">LOOKUP(D382,'模拟-单技能数据'!$A$2:$A$19,'模拟-单技能数据'!$J$2:$J$19)+IF(CM382,60%,0)+IF(DB381-DB382&gt;0,30%,0)+IF(OR(AND(OR(C382="赤日轮1",C382="赤日轮2",C382="赤日轮3"),CR382),AND(OR(C382="幽月轮1",C382="幽月轮2",C382="幽月轮3"),CS382)),35%,0)+CJ382</f>
        <v>0.15</v>
      </c>
      <c r="L382" s="119">
        <f ca="1">IF(AND(C382="烈日斩",模拟模式!$X$11=1),10%,0)+IF(AND(C382="驱夜断愁",AB382=1),30%,0)</f>
        <v>0</v>
      </c>
      <c r="M382" s="45">
        <f t="shared" ca="1" si="297"/>
        <v>0.64185145527300214</v>
      </c>
      <c r="N382" s="45">
        <f t="shared" ca="1" si="298"/>
        <v>0.30424854472699792</v>
      </c>
      <c r="O382" s="46">
        <f t="shared" ca="1" si="322"/>
        <v>8.9111968539532405E-2</v>
      </c>
      <c r="P382" s="46" t="str">
        <f t="shared" ca="1" si="323"/>
        <v>会</v>
      </c>
      <c r="Q382" s="45">
        <f t="shared" ca="1" si="324"/>
        <v>2.2624828854998791</v>
      </c>
      <c r="R382" s="117">
        <f ca="1">模拟模式!$E$20*(1-IF(模拟模式!$J$19="有",0.15,0))*(1-IF(模拟模式!$K$19="有",0.3,0)-IF(CQ382,0.5,0))</f>
        <v>2950.6049999999996</v>
      </c>
      <c r="S382" s="45">
        <f ca="1">R382/(R382+(185*模拟模式!$E$22-16800)*4.08224)</f>
        <v>0.24272716014590323</v>
      </c>
      <c r="T382" s="45" t="str">
        <f ca="1">LOOKUP(D382,'模拟-单技能数据'!$A$2:$A$19,'模拟-单技能数据'!$H$2:$H$19)</f>
        <v>阴</v>
      </c>
      <c r="U382" s="119">
        <f t="shared" ca="1" si="299"/>
        <v>0.08</v>
      </c>
      <c r="V382" s="47">
        <f ca="1">(1+L382)*(LOOKUP(D382,'模拟-单技能数据'!$A$2:$A$19,'模拟-单技能数据'!$D$2:$D$19)+G382*LOOKUP(D382,'模拟-单技能数据'!$A$2:$A$19,'模拟-单技能数据'!$F$2:$F$19))*(1+J382)*(1+K382)*(1-S382)*(1+U382)*Q382*LOOKUP(D382,'模拟-单技能数据'!$A$2:$A$19,'模拟-单技能数据'!$I$2:$I$20)</f>
        <v>41211.704893206668</v>
      </c>
      <c r="W382" s="47">
        <f ca="1">LOOKUP(D382,'模拟-单技能数据'!$A$2:$A$19,'模拟-单技能数据'!$G$2:$G$19)*$I$10</f>
        <v>361.51064354704795</v>
      </c>
      <c r="X382" s="47">
        <f t="shared" ca="1" si="325"/>
        <v>0</v>
      </c>
      <c r="Y382" s="47">
        <f t="shared" ca="1" si="300"/>
        <v>41573.21553675372</v>
      </c>
      <c r="Z382" s="49">
        <f t="shared" ca="1" si="301"/>
        <v>36987596.275724418</v>
      </c>
      <c r="AA382" s="97">
        <f t="shared" ca="1" si="302"/>
        <v>112943.53609137477</v>
      </c>
      <c r="AB382" s="115">
        <f ca="1">IF(OR(C382="赤日轮1",C382="赤日轮2",C382="赤日轮3"),IF(RAND()&lt;模拟模式!$Y$17,1,0),IF(OR(C382="幽月轮1",C382="幽月轮2",C382="幽月轮3"),IF(RAND()&lt;模拟模式!$Y$18,1,0),IF(C382="烈日斩",IF(RAND()&lt;模拟模式!$Y$19,1,0),IF(C382="银月斩",IF(RAND()&lt;模拟模式!$Y$20,1,0),IF(C382="驱夜断愁",IF(RAND()&lt;模拟模式!$Y$21,1,0),IF(C382="净世破魔击·日",IF(RAND()&lt;模拟模式!$Y$22,1,0),IF(C382="净世破魔击·月",IF(RAND()&lt;模拟模式!$Y$23,1,0),0)))))))</f>
        <v>1</v>
      </c>
      <c r="AC382" s="115" t="b">
        <f t="shared" ca="1" si="290"/>
        <v>1</v>
      </c>
      <c r="AD382" s="115" t="b">
        <f t="shared" ca="1" si="310"/>
        <v>0</v>
      </c>
      <c r="AE382" s="115">
        <f t="shared" ca="1" si="311"/>
        <v>6</v>
      </c>
      <c r="AF382" s="47">
        <f ca="1">IF(AC382,('模拟-单技能数据'!$D$20+G382*'模拟-单技能数据'!$F$20)*(1+J382)*(1+'模拟-单技能数据'!$J$20)*(1+U382),0)</f>
        <v>4639.7456468263617</v>
      </c>
      <c r="AG382" s="61">
        <f t="shared" ca="1" si="303"/>
        <v>0.64185145527300214</v>
      </c>
      <c r="AH382" s="61">
        <f t="shared" ca="1" si="304"/>
        <v>2.2624828854998791</v>
      </c>
      <c r="AI382" s="62">
        <f t="shared" ca="1" si="326"/>
        <v>0.75754994753026839</v>
      </c>
      <c r="AJ382" s="47">
        <f ca="1">IF(AD382,IF(AI382&lt;$F$10,0,IF(AI382&lt;$F$10+$F$11,0.25,IF(AI382&lt;$F$10+$F$11+AG382,AH382,1)))*IF(AF382&gt;0,AF382,IF(AF381&gt;0,AF381,IF(AF380&gt;0,AF380,IF(AF379&gt;0,AF379,IF(AF378&gt;0,AF378,IF(AF377&gt;0,AF377,IF(AF376&gt;0,AF376,IF(AF375&gt;0,AF375,IF(AF374&gt;0,AF374,IF(AF372&gt;0,AF372,IF(AF371&gt;0,AF371,IF(AF370&gt;0,AF370,0)))))))))))),0)*(1-$S382)*'模拟-单技能数据'!$I$20</f>
        <v>0</v>
      </c>
      <c r="AK382" s="115" t="b">
        <f t="shared" ca="1" si="291"/>
        <v>0</v>
      </c>
      <c r="AL382" s="115" t="b">
        <f t="shared" ca="1" si="312"/>
        <v>0</v>
      </c>
      <c r="AM382" s="115">
        <f t="shared" ca="1" si="313"/>
        <v>5</v>
      </c>
      <c r="AN382" s="47">
        <f ca="1">IF(AK382,('模拟-单技能数据'!$D$21+G382*'模拟-单技能数据'!$F$21)*(1+J382)*(1+'模拟-单技能数据'!$J$21)*(1+U382),0)</f>
        <v>0</v>
      </c>
      <c r="AO382" s="61">
        <f ca="1">IF(AN382&gt;0,M382-'模拟-单技能数据'!$K$10,AO381)</f>
        <v>0.42185145527300216</v>
      </c>
      <c r="AP382" s="61">
        <f ca="1">IF(AN382&gt;0,I382-'模拟-单技能数据'!$L$10,AP381)</f>
        <v>2.162482885499879</v>
      </c>
      <c r="AQ382" s="63">
        <f t="shared" ca="1" si="327"/>
        <v>0.52741961321630915</v>
      </c>
      <c r="AR382" s="64">
        <f ca="1">IF(AL382,IF(AQ382&lt;$F$10,0,IF(AQ382&lt;$F$10+$F$11,0.25,IF(AQ382&lt;$F$10+$F$11+AO382,AP382,1)))*IF(AN382&gt;0,AN382,IF(AN381&gt;0,AN381,IF(AN380&gt;0,AN380,IF(AN379&gt;0,AN379,IF(AN378&gt;0,AN378,IF(AN377&gt;0,AN377,IF(AN376&gt;0,AN376,IF(AN375&gt;0,AN375,IF(AN374&gt;0,AN374,IF(AN372&gt;0,AN372,IF(AN371&gt;0,AN371,IF(AN370&gt;0,AN370,0)))))))))))),0)*(1-$S382)*'模拟-单技能数据'!$I$21</f>
        <v>0</v>
      </c>
      <c r="AS382" s="61">
        <f ca="1">IF(OR(C382="净世破魔击·日",C382="净世破魔击·月"),M382-'模拟-单技能数据'!$K$10,0)</f>
        <v>0</v>
      </c>
      <c r="AT382" s="61">
        <f ca="1">IF(OR(C382="净世破魔击·日",C382="净世破魔击·月"),I382-'模拟-单技能数据'!$L$10,0)</f>
        <v>0</v>
      </c>
      <c r="AU382" s="62">
        <f t="shared" ca="1" si="328"/>
        <v>0.2216990571828068</v>
      </c>
      <c r="AV382" s="64">
        <f ca="1">IF(AS382&gt;0,('模拟-单技能数据'!$D$22+G382*'模拟-单技能数据'!$F$22)*(1+J382)*(1-S382)*IF(AU382&lt;$F$10,0,IF(AU382&lt;$F$10+$F$11,0.25,IF(AU382&lt;$F$10+$F$11+AS382,AT382,1)))*(1+U382),0)*'模拟-单技能数据'!$I$22</f>
        <v>0</v>
      </c>
      <c r="AW382" s="108">
        <f t="shared" ca="1" si="329"/>
        <v>1.5500000000000065</v>
      </c>
      <c r="AX382" s="108" t="b">
        <f ca="1">AND(模拟模式!$P$10="有",AW381=0,RAND()&lt;IF(C382="净世破魔击·月",0.1*8/3,IF(C382="净世破魔击·日",0.1*4/3,0.1*2/3)))</f>
        <v>0</v>
      </c>
      <c r="AY382" s="47">
        <f ca="1">IF(AX382,(18+G382*0.722)*(1+J382)*(1-S382)*(1+$I$4)*IF(P382="会",'模拟-全程加成'!$J$3+'模拟-全程加成'!$J$4+'模拟-全程加成'!$J$5+('模拟-全程加成'!$I$4+'模拟-全程加成'!$I$5)/系数!$B$4+BG382*10%,IF(P382="命",1,IF(P382="识",0.25,0))),0)</f>
        <v>0</v>
      </c>
      <c r="AZ382" s="108">
        <f t="shared" si="330"/>
        <v>17.232500000000002</v>
      </c>
      <c r="BA382" s="108" t="b">
        <f>AND(模拟模式!$Q$10="有",AZ381=0)</f>
        <v>0</v>
      </c>
      <c r="BB382" s="140">
        <f>IF(BA382,(0+G382*0.287)*(1+J382)*(1-S382)*(1+$I$4)*IF(P382="会",'模拟-全程加成'!$J$3+'模拟-全程加成'!$J$4+'模拟-全程加成'!$J$5+('模拟-全程加成'!$I$4+'模拟-全程加成'!$I$5)/系数!$B$4+BG382*10%,IF(P382="命",1,IF(P382="识",0.25,0))),0)</f>
        <v>0</v>
      </c>
      <c r="BC382" s="115" t="b">
        <f ca="1">AND(模拟模式!$R$7="伏明众生",E382=60,F382=20,DA382&lt;5,CZ381&lt;$F$4)</f>
        <v>0</v>
      </c>
      <c r="BD382" s="115">
        <f t="shared" ca="1" si="292"/>
        <v>0</v>
      </c>
      <c r="BE382" s="115" t="b">
        <f t="shared" ca="1" si="293"/>
        <v>0</v>
      </c>
      <c r="BF382" s="47">
        <f ca="1">IF(BC382,4*('模拟-单技能数据'!$D$24+G382*'模拟-单技能数据'!$F$24)*(1+J382)*(1+'模拟-单技能数据'!$J$24)*(1-S382)*(1+$I$3)*(('模拟-全程加成'!$J$3+'模拟-全程加成'!$J$4+'模拟-全程加成'!$J$5+('模拟-全程加成'!$I$4+'模拟-全程加成'!$I$5)/系数!$B$4+BG382*10%)*('模拟-全程加成'!$J$3+'模拟-全程加成'!$J$4+'模拟-全程加成'!$J$5+('模拟-全程加成'!$I$4+'模拟-全程加成'!$I$5)/系数!$B$4+BG382*10%)+(1-('模拟-全程加成'!$J$3+'模拟-全程加成'!$J$4+'模拟-全程加成'!$J$5+('模拟-全程加成'!$I$4+'模拟-全程加成'!$I$5)/系数!$B$4+BG382*10%)-$F$10-$F$11)+F368*0.25),0)*'模拟-单技能数据'!$I$24</f>
        <v>0</v>
      </c>
      <c r="BG382" s="115" t="b">
        <f ca="1">OR(AND(OR(C382="烈日斩",C382="银月斩"),模拟模式!$I$7="净身明礼"),AND(C382="净世破魔击·日",模拟模式!$J$7="洞若观火"),AND(C383="净世破魔击·月",模拟模式!$J$7="洞若观火"),AB382=1)</f>
        <v>1</v>
      </c>
      <c r="BH382" s="115" t="b">
        <f t="shared" ca="1" si="331"/>
        <v>0</v>
      </c>
      <c r="BI382" s="115">
        <f t="shared" ca="1" si="294"/>
        <v>5.0774999999999997</v>
      </c>
      <c r="BJ382" s="115" t="b">
        <f t="shared" ca="1" si="305"/>
        <v>1</v>
      </c>
      <c r="BK382" s="115" t="b">
        <f ca="1">AND(C382="驱夜断愁",模拟模式!$P$7="天地诛戮")</f>
        <v>0</v>
      </c>
      <c r="BL382" s="57">
        <f t="shared" ca="1" si="295"/>
        <v>14.465000000000003</v>
      </c>
      <c r="BM382" s="115" t="b">
        <f t="shared" ca="1" si="306"/>
        <v>1</v>
      </c>
      <c r="BN382" s="115" t="b">
        <f ca="1">AND(OR(C382="赤日轮1",C382="赤日轮2",C382="赤日轮3",C382="幽月轮1",C382="幽月轮2",C382="幽月轮3"),AB382=1,模拟模式!$L$7="明光恒照")</f>
        <v>0</v>
      </c>
      <c r="BO382" s="117">
        <f t="shared" ca="1" si="296"/>
        <v>29.077500000000001</v>
      </c>
      <c r="BP382" s="115">
        <f t="shared" ca="1" si="332"/>
        <v>6</v>
      </c>
      <c r="BQ382" s="115" t="b">
        <f>模拟模式!$K$10="2600·水"</f>
        <v>0</v>
      </c>
      <c r="BR382" s="117">
        <f t="shared" si="333"/>
        <v>0</v>
      </c>
      <c r="BS382" s="115">
        <f t="shared" si="334"/>
        <v>0</v>
      </c>
      <c r="BT382" s="115">
        <f t="shared" ca="1" si="335"/>
        <v>0</v>
      </c>
      <c r="BU382" s="115" t="b">
        <f ca="1">AND(模拟模式!$K$10="2300·雷",BT381=0,RAND()&lt;IF(C382="净世破魔击·月",5*0.05*2/3,IF(C382="净世破魔击·日",3*0.05*2/3,0.05*2*2/3)))</f>
        <v>0</v>
      </c>
      <c r="BV382" s="115">
        <f t="shared" ca="1" si="336"/>
        <v>0</v>
      </c>
      <c r="BW382" s="115">
        <f t="shared" ca="1" si="337"/>
        <v>44.392499999999288</v>
      </c>
      <c r="BX382" s="164" t="b">
        <f t="shared" ca="1" si="338"/>
        <v>0</v>
      </c>
      <c r="BY382" s="115">
        <f t="shared" ca="1" si="339"/>
        <v>0</v>
      </c>
      <c r="BZ382" s="115">
        <f>IF(OR(模拟模式!$P$16="10人团",模拟模式!$P$16="25人团"),IF(B382/30&gt;CA381,1,0),0)</f>
        <v>0</v>
      </c>
      <c r="CA382" s="115">
        <f t="shared" si="315"/>
        <v>0</v>
      </c>
      <c r="CB382" s="115">
        <f ca="1">IF(BZ382=1,IF(模拟模式!$P$16="10人团",15,0)+IF(模拟模式!$P$16="25人团",IF(RAND()&lt;0.6,15,0)),MAX(0,CB381-$F$4))</f>
        <v>0</v>
      </c>
      <c r="CC382" s="115" t="b">
        <f t="shared" ca="1" si="307"/>
        <v>0</v>
      </c>
      <c r="CD382" s="115">
        <f>IF(模拟模式!$Q$16="1个",IF(B382/40&gt;CE381,1,0),0)</f>
        <v>0</v>
      </c>
      <c r="CE382" s="115">
        <f t="shared" si="308"/>
        <v>0</v>
      </c>
      <c r="CF382" s="115">
        <f>IF(OR(CD382=1,模拟模式!$Q$16="2个"),20,MAX(0,CF381-$F$4))</f>
        <v>0</v>
      </c>
      <c r="CG382" s="115" t="b">
        <f t="shared" si="309"/>
        <v>0</v>
      </c>
      <c r="CH382" s="115">
        <f t="shared" ca="1" si="340"/>
        <v>6.9375000000000124</v>
      </c>
      <c r="CI382" s="115" t="b">
        <f t="shared" ca="1" si="341"/>
        <v>0</v>
      </c>
      <c r="CJ382" s="119">
        <f t="shared" ca="1" si="342"/>
        <v>0</v>
      </c>
      <c r="CK382" s="115">
        <f t="shared" ca="1" si="343"/>
        <v>0</v>
      </c>
      <c r="CL382" s="115" t="b">
        <f ca="1">AND(模拟模式!$S$7="驱夷逐法",OR(AND(C382="净世破魔击·月",E381&gt;59),AND(C382="净世破魔击·日",F381&gt;59)))</f>
        <v>0</v>
      </c>
      <c r="CM382" s="115" t="b">
        <f ca="1">OR(CL382,AND(C382="净世破魔击·日",CL381,RAND()&lt;模拟模式!$U$23))</f>
        <v>0</v>
      </c>
      <c r="CN382" s="115" t="b">
        <f ca="1">IF(模拟模式!$M$7="辉耀红尘",AND(C382="净世破魔击·月",CL382,CV382=0,E381&lt;80),AND(C382="净世破魔击·月",CL382,E381&lt;100))</f>
        <v>0</v>
      </c>
      <c r="CO382" s="115" t="b">
        <f t="shared" ca="1" si="316"/>
        <v>0</v>
      </c>
      <c r="CP382" s="115" t="b">
        <f ca="1">AND(模拟模式!$O$7="用晦而明",OR(C382="净世破魔击·日",C382="净世破魔击·月",C382="驱夜断愁"),AB382)</f>
        <v>0</v>
      </c>
      <c r="CQ382" s="115" t="b">
        <f ca="1">OR(CP382,AND(CP381,RAND()&lt;模拟模式!$U$23))</f>
        <v>0</v>
      </c>
      <c r="CR382" s="115" t="b">
        <f ca="1">AND(模拟模式!$S$7="日月齐光",OR(C382="幽月轮1",C382="幽月轮2",C382="幽月轮3",CR381),NOT(OR(C382="赤日轮1",C382="赤日轮2",C382="赤日轮3")))</f>
        <v>0</v>
      </c>
      <c r="CS382" s="115" t="b">
        <f ca="1">AND(模拟模式!$S$7="日月齐光",OR(C382="赤日轮1",C382="赤日轮2",C382="赤日轮3",CS381),NOT(OR(C382="幽月轮1",C382="幽月轮2",C382="幽月轮3")))</f>
        <v>0</v>
      </c>
      <c r="CT382" s="115">
        <f t="shared" ca="1" si="344"/>
        <v>4.1700000000000115</v>
      </c>
      <c r="CU382" s="115" t="b">
        <f ca="1">AND(模拟模式!$K$10="阴阳往极",CT381=0,RAND()&lt;IF(C382="净世破魔击·月",0.0275*7/3,IF(C382="净世破魔击·日",0.0275*3/3,0.0275*2/3)))</f>
        <v>0</v>
      </c>
      <c r="CV382" s="115">
        <f t="shared" ca="1" si="345"/>
        <v>0</v>
      </c>
      <c r="CW382" s="115">
        <f t="shared" ca="1" si="317"/>
        <v>1.3874999999999997</v>
      </c>
      <c r="CX382" s="115">
        <f t="shared" ca="1" si="318"/>
        <v>6</v>
      </c>
      <c r="CY382" s="115">
        <f ca="1">MAX(IF($C382="驱夜断愁",IF(模拟模式!$R$7="万念俱寂",6,45),CY381-$F$4),0)</f>
        <v>0.46499999999999975</v>
      </c>
      <c r="CZ382" s="115">
        <f t="shared" ca="1" si="319"/>
        <v>0</v>
      </c>
      <c r="DA382" s="115">
        <f ca="1">IF(模拟模式!$N$7="日月同辉",IF(DB381=2,0,MIN(6,IF(AND(OR(C382="赤日轮1",C382="赤日轮2",C382="赤日轮3",C382="幽月轮1",C382="幽月轮2",C382="幽月轮3"),AB382=1),DA381+1,DA381))),0)</f>
        <v>0</v>
      </c>
      <c r="DB382" s="115">
        <f t="shared" ca="1" si="320"/>
        <v>2</v>
      </c>
      <c r="DC382" s="115"/>
      <c r="DD382" s="115"/>
      <c r="DE382" s="115"/>
      <c r="DF382" s="115"/>
      <c r="DG382" s="115"/>
      <c r="DH382" s="115"/>
      <c r="DI382" s="115"/>
      <c r="DJ382" s="115"/>
      <c r="DK382" s="115"/>
      <c r="DL382" s="115"/>
      <c r="DM382" s="115"/>
    </row>
    <row r="383" spans="2:117" x14ac:dyDescent="0.2">
      <c r="B383" s="117">
        <f t="shared" si="321"/>
        <v>328.41000000000287</v>
      </c>
      <c r="C383" s="167" t="str">
        <f t="shared" ca="1" si="314"/>
        <v>驱夜断愁</v>
      </c>
      <c r="D383" s="115">
        <f ca="1">IF(C383="赤日轮1",1,IF(C383="赤日轮2",2,IF(C383="赤日轮3",3,IF(C383="幽月轮1",4,IF(C383="幽月轮2",5,IF(C383="幽月轮3",6,IF(C383="烈日斩",7,IF(C383="银月斩",8,IF(C383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383="净世破魔击·月",17,IF(C383="驱夜断愁",18,0)))))))))))</f>
        <v>18</v>
      </c>
      <c r="E383" s="115">
        <f ca="1">IF(AND(CU383,OR(C383="幽月轮1",C383="幽月轮2",C383="幽月轮3",C383="银月斩",C383="驱夜断愁",C383="净世破魔击·月")),100,MIN(IF(OR(CN383,BE383),0,IF(OR($C383="赤日轮1",$C383="赤日轮2",$C383="赤日轮3"),E382+20+IF(模拟模式!$I$7="日月凌天",4,0)+IF(CR382,20,0),IF($C383="烈日斩",E382+40,IF($C383="驱夜断愁",IF(模拟模式!$R$7="万念俱寂",E382+20,E382+60),IF($C383="净世破魔击·月",IF(OR(DB382&gt;0,CV382&gt;0),100,IF(模拟模式!$M$7="辉耀红尘",E382+20,E382)),IF($C383="净世破魔击·日",E382-100,E382)))))),100))</f>
        <v>40</v>
      </c>
      <c r="F383" s="115">
        <f ca="1">IF(AND(CU383,OR(C383="赤日轮1",C383="赤日轮2",C383="赤日轮3",C383="烈日斩",C383="净世破魔击·日")),100,MIN(IF(CO383,0,IF(OR($C383="幽月轮1",$C383="幽月轮2",$C383="幽月轮3"),F382+20+IF(模拟模式!$I$7="日月凌天",4,0)+IF(CS382,20,0),IF($C383="银月斩",F382+40+IF(模拟模式!$X$12=1,5,0),IF($C383="驱夜断愁",IF(模拟模式!$R$7="万念俱寂",F382+20,F382+60),IF($C383="净世破魔击·月",IF(模拟模式!$M$7="辉耀红尘",F382-80,F382-100),IF(AND(C383="净世破魔击·日",OR(DB382&gt;0,CV382&gt;0)),100,F382)))))),100))</f>
        <v>85</v>
      </c>
      <c r="G383" s="117">
        <f ca="1">('模拟-全程加成'!$E$3+'模拟-全程加成'!$E$4+'模拟-全程加成'!$E$5+('模拟-全程加成'!$C$6-'模拟-全程加成'!$C$3)*系数!$B$9+BS383*23)*(1+'模拟-全程加成'!$F$4+'模拟-全程加成'!$F$5+BJ383*10%+BM383*20%+BP383*4%+CG383*30%)+$F$7*系数!$B$12</f>
        <v>21493.829400000002</v>
      </c>
      <c r="H383" s="45">
        <f ca="1">'模拟-全程加成'!$H$3+'模拟-全程加成'!$H$4+'模拟-全程加成'!$H$5+('模拟-全程加成'!$G$4+'模拟-全程加成'!$G$5+('模拟-全程加成'!$C$6-'模拟-全程加成'!$C$3)*系数!$B$13)/系数!$B$3+LOOKUP(D383,'模拟-单技能数据'!$A$2:$A$19,'模拟-单技能数据'!$K$2:$K$19)+BG383*10%+IF(BV383&gt;0,378,0)</f>
        <v>0.51185145527300213</v>
      </c>
      <c r="I383" s="45">
        <f ca="1">'模拟-全程加成'!$J$3+'模拟-全程加成'!$J$4+'模拟-全程加成'!$J$5+('模拟-全程加成'!$I$4+'模拟-全程加成'!$I$5)/系数!$B$4+LOOKUP(D383,'模拟-单技能数据'!$A$2:$A$19,'模拟-单技能数据'!$L$2:$L$19)+BG383*10%</f>
        <v>2.162482885499879</v>
      </c>
      <c r="J383" s="45">
        <f ca="1">(('模拟-全程加成'!$K$3+'模拟-全程加成'!$K$4+'模拟-全程加成'!$K$5+('模拟-全程加成'!$C$6-'模拟-全程加成'!$C$3)*系数!$B$10+IF(BV383&gt;0,882,0)+IF(BY383&gt;0,1831,0))*(1+'模拟-全程加成'!$L$4+'模拟-全程加成'!$L$5+CC383*20%))/系数!$B$5</f>
        <v>0.69723220422048726</v>
      </c>
      <c r="K383" s="119">
        <f ca="1">LOOKUP(D383,'模拟-单技能数据'!$A$2:$A$19,'模拟-单技能数据'!$J$2:$J$19)+IF(CM383,60%,0)+IF(DB382-DB383&gt;0,30%,0)+IF(OR(AND(OR(C383="赤日轮1",C383="赤日轮2",C383="赤日轮3"),CR383),AND(OR(C383="幽月轮1",C383="幽月轮2",C383="幽月轮3"),CS383)),35%,0)+CJ383</f>
        <v>0.14000000000000001</v>
      </c>
      <c r="L383" s="119">
        <f ca="1">IF(AND(C383="烈日斩",模拟模式!$X$11=1),10%,0)+IF(AND(C383="驱夜断愁",AB383=1),30%,0)</f>
        <v>0.3</v>
      </c>
      <c r="M383" s="45">
        <f t="shared" ca="1" si="297"/>
        <v>0.51185145527300213</v>
      </c>
      <c r="N383" s="45">
        <f t="shared" ca="1" si="298"/>
        <v>0.43424854472699792</v>
      </c>
      <c r="O383" s="46">
        <f t="shared" ca="1" si="322"/>
        <v>0.16679154408685359</v>
      </c>
      <c r="P383" s="46" t="str">
        <f t="shared" ca="1" si="323"/>
        <v>会</v>
      </c>
      <c r="Q383" s="45">
        <f t="shared" ca="1" si="324"/>
        <v>2.162482885499879</v>
      </c>
      <c r="R383" s="117">
        <f ca="1">模拟模式!$E$20*(1-IF(模拟模式!$J$19="有",0.15,0))*(1-IF(模拟模式!$K$19="有",0.3,0)-IF(CQ383,0.5,0))</f>
        <v>843.02999999999975</v>
      </c>
      <c r="S383" s="45">
        <f ca="1">R383/(R383+(185*模拟模式!$E$22-16800)*4.08224)</f>
        <v>8.389626085980037E-2</v>
      </c>
      <c r="T383" s="45" t="str">
        <f ca="1">LOOKUP(D383,'模拟-单技能数据'!$A$2:$A$19,'模拟-单技能数据'!$H$2:$H$19)</f>
        <v>阴</v>
      </c>
      <c r="U383" s="119">
        <f t="shared" ca="1" si="299"/>
        <v>0.08</v>
      </c>
      <c r="V383" s="47">
        <f ca="1">(1+L383)*(LOOKUP(D383,'模拟-单技能数据'!$A$2:$A$19,'模拟-单技能数据'!$D$2:$D$19)+G383*LOOKUP(D383,'模拟-单技能数据'!$A$2:$A$19,'模拟-单技能数据'!$F$2:$F$19))*(1+J383)*(1+K383)*(1-S383)*(1+U383)*Q383*LOOKUP(D383,'模拟-单技能数据'!$A$2:$A$19,'模拟-单技能数据'!$I$2:$I$20)</f>
        <v>133079.35569364758</v>
      </c>
      <c r="W383" s="47">
        <f ca="1">LOOKUP(D383,'模拟-单技能数据'!$A$2:$A$19,'模拟-单技能数据'!$G$2:$G$19)*$I$10</f>
        <v>723.0212870940959</v>
      </c>
      <c r="X383" s="47">
        <f t="shared" ca="1" si="325"/>
        <v>15368.841844474431</v>
      </c>
      <c r="Y383" s="47">
        <f t="shared" ca="1" si="300"/>
        <v>149171.21882521611</v>
      </c>
      <c r="Z383" s="49">
        <f t="shared" ca="1" si="301"/>
        <v>37136767.494549632</v>
      </c>
      <c r="AA383" s="97">
        <f t="shared" ca="1" si="302"/>
        <v>113080.50149066505</v>
      </c>
      <c r="AB383" s="115">
        <f ca="1">IF(OR(C383="赤日轮1",C383="赤日轮2",C383="赤日轮3"),IF(RAND()&lt;模拟模式!$Y$17,1,0),IF(OR(C383="幽月轮1",C383="幽月轮2",C383="幽月轮3"),IF(RAND()&lt;模拟模式!$Y$18,1,0),IF(C383="烈日斩",IF(RAND()&lt;模拟模式!$Y$19,1,0),IF(C383="银月斩",IF(RAND()&lt;模拟模式!$Y$20,1,0),IF(C383="驱夜断愁",IF(RAND()&lt;模拟模式!$Y$21,1,0),IF(C383="净世破魔击·日",IF(RAND()&lt;模拟模式!$Y$22,1,0),IF(C383="净世破魔击·月",IF(RAND()&lt;模拟模式!$Y$23,1,0),0)))))))</f>
        <v>1</v>
      </c>
      <c r="AC383" s="115" t="b">
        <f t="shared" ca="1" si="290"/>
        <v>0</v>
      </c>
      <c r="AD383" s="115" t="b">
        <f t="shared" ca="1" si="310"/>
        <v>1</v>
      </c>
      <c r="AE383" s="115">
        <f t="shared" ca="1" si="311"/>
        <v>5</v>
      </c>
      <c r="AF383" s="47">
        <f ca="1">IF(AC383,('模拟-单技能数据'!$D$20+G383*'模拟-单技能数据'!$F$20)*(1+J383)*(1+'模拟-单技能数据'!$J$20)*(1+U383),0)</f>
        <v>0</v>
      </c>
      <c r="AG383" s="61">
        <f t="shared" ca="1" si="303"/>
        <v>0.64185145527300214</v>
      </c>
      <c r="AH383" s="61">
        <f t="shared" ca="1" si="304"/>
        <v>2.2624828854998791</v>
      </c>
      <c r="AI383" s="62">
        <f t="shared" ca="1" si="326"/>
        <v>0.81589581481110174</v>
      </c>
      <c r="AJ383" s="47">
        <f ca="1">IF(AD383,IF(AI383&lt;$F$10,0,IF(AI383&lt;$F$10+$F$11,0.25,IF(AI383&lt;$F$10+$F$11+AG383,AH383,1)))*IF(AF383&gt;0,AF383,IF(AF382&gt;0,AF382,IF(AF381&gt;0,AF381,IF(AF380&gt;0,AF380,IF(AF379&gt;0,AF379,IF(AF378&gt;0,AF378,IF(AF377&gt;0,AF377,IF(AF376&gt;0,AF376,IF(AF375&gt;0,AF375,IF(AF373&gt;0,AF373,IF(AF372&gt;0,AF372,IF(AF371&gt;0,AF371,0)))))))))))),0)*(1-$S383)*'模拟-单技能数据'!$I$20</f>
        <v>4250.4883357170938</v>
      </c>
      <c r="AK383" s="115" t="b">
        <f t="shared" ca="1" si="291"/>
        <v>0</v>
      </c>
      <c r="AL383" s="115" t="b">
        <f t="shared" ca="1" si="312"/>
        <v>1</v>
      </c>
      <c r="AM383" s="115">
        <f t="shared" ca="1" si="313"/>
        <v>4</v>
      </c>
      <c r="AN383" s="47">
        <f ca="1">IF(AK383,('模拟-单技能数据'!$D$21+G383*'模拟-单技能数据'!$F$21)*(1+J383)*(1+'模拟-单技能数据'!$J$21)*(1+U383),0)</f>
        <v>0</v>
      </c>
      <c r="AO383" s="61">
        <f ca="1">IF(AN383&gt;0,M383-'模拟-单技能数据'!$K$10,AO382)</f>
        <v>0.42185145527300216</v>
      </c>
      <c r="AP383" s="61">
        <f ca="1">IF(AN383&gt;0,I383-'模拟-单技能数据'!$L$10,AP382)</f>
        <v>2.162482885499879</v>
      </c>
      <c r="AQ383" s="63">
        <f t="shared" ca="1" si="327"/>
        <v>0.98027546140447275</v>
      </c>
      <c r="AR383" s="64">
        <f ca="1">IF(AL383,IF(AQ383&lt;$F$10,0,IF(AQ383&lt;$F$10+$F$11,0.25,IF(AQ383&lt;$F$10+$F$11+AO383,AP383,1)))*IF(AN383&gt;0,AN383,IF(AN382&gt;0,AN382,IF(AN381&gt;0,AN381,IF(AN380&gt;0,AN380,IF(AN379&gt;0,AN379,IF(AN378&gt;0,AN378,IF(AN377&gt;0,AN377,IF(AN376&gt;0,AN376,IF(AN375&gt;0,AN375,IF(AN373&gt;0,AN373,IF(AN372&gt;0,AN372,IF(AN371&gt;0,AN371,0)))))))))))),0)*(1-$S383)*'模拟-单技能数据'!$I$21</f>
        <v>11118.353508757338</v>
      </c>
      <c r="AS383" s="61">
        <f ca="1">IF(OR(C383="净世破魔击·日",C383="净世破魔击·月"),M383-'模拟-单技能数据'!$K$10,0)</f>
        <v>0</v>
      </c>
      <c r="AT383" s="61">
        <f ca="1">IF(OR(C383="净世破魔击·日",C383="净世破魔击·月"),I383-'模拟-单技能数据'!$L$10,0)</f>
        <v>0</v>
      </c>
      <c r="AU383" s="62">
        <f t="shared" ca="1" si="328"/>
        <v>0.65218150672953801</v>
      </c>
      <c r="AV383" s="64">
        <f ca="1">IF(AS383&gt;0,('模拟-单技能数据'!$D$22+G383*'模拟-单技能数据'!$F$22)*(1+J383)*(1-S383)*IF(AU383&lt;$F$10,0,IF(AU383&lt;$F$10+$F$11,0.25,IF(AU383&lt;$F$10+$F$11+AS383,AT383,1)))*(1+U383),0)*'模拟-单技能数据'!$I$22</f>
        <v>0</v>
      </c>
      <c r="AW383" s="108">
        <f t="shared" ca="1" si="329"/>
        <v>0.6275000000000065</v>
      </c>
      <c r="AX383" s="108" t="b">
        <f ca="1">AND(模拟模式!$P$10="有",AW382=0,RAND()&lt;IF(C383="净世破魔击·月",0.1*8/3,IF(C383="净世破魔击·日",0.1*4/3,0.1*2/3)))</f>
        <v>0</v>
      </c>
      <c r="AY383" s="47">
        <f ca="1">IF(AX383,(18+G383*0.722)*(1+J383)*(1-S383)*(1+$I$4)*IF(P383="会",'模拟-全程加成'!$J$3+'模拟-全程加成'!$J$4+'模拟-全程加成'!$J$5+('模拟-全程加成'!$I$4+'模拟-全程加成'!$I$5)/系数!$B$4+BG383*10%,IF(P383="命",1,IF(P383="识",0.25,0))),0)</f>
        <v>0</v>
      </c>
      <c r="AZ383" s="108">
        <f t="shared" si="330"/>
        <v>16.310000000000002</v>
      </c>
      <c r="BA383" s="108" t="b">
        <f>AND(模拟模式!$Q$10="有",AZ382=0)</f>
        <v>0</v>
      </c>
      <c r="BB383" s="140">
        <f>IF(BA383,(0+G383*0.287)*(1+J383)*(1-S383)*(1+$I$4)*IF(P383="会",'模拟-全程加成'!$J$3+'模拟-全程加成'!$J$4+'模拟-全程加成'!$J$5+('模拟-全程加成'!$I$4+'模拟-全程加成'!$I$5)/系数!$B$4+BG383*10%,IF(P383="命",1,IF(P383="识",0.25,0))),0)</f>
        <v>0</v>
      </c>
      <c r="BC383" s="115" t="b">
        <f ca="1">AND(模拟模式!$R$7="伏明众生",E383=60,F383=20,DA383&lt;5,CZ382&lt;$F$4)</f>
        <v>0</v>
      </c>
      <c r="BD383" s="115">
        <f t="shared" ca="1" si="292"/>
        <v>0</v>
      </c>
      <c r="BE383" s="115" t="b">
        <f t="shared" ca="1" si="293"/>
        <v>0</v>
      </c>
      <c r="BF383" s="47">
        <f ca="1">IF(BC383,4*('模拟-单技能数据'!$D$24+G383*'模拟-单技能数据'!$F$24)*(1+J383)*(1+'模拟-单技能数据'!$J$24)*(1-S383)*(1+$I$3)*(('模拟-全程加成'!$J$3+'模拟-全程加成'!$J$4+'模拟-全程加成'!$J$5+('模拟-全程加成'!$I$4+'模拟-全程加成'!$I$5)/系数!$B$4+BG383*10%)*('模拟-全程加成'!$J$3+'模拟-全程加成'!$J$4+'模拟-全程加成'!$J$5+('模拟-全程加成'!$I$4+'模拟-全程加成'!$I$5)/系数!$B$4+BG383*10%)+(1-('模拟-全程加成'!$J$3+'模拟-全程加成'!$J$4+'模拟-全程加成'!$J$5+('模拟-全程加成'!$I$4+'模拟-全程加成'!$I$5)/系数!$B$4+BG383*10%)-$F$10-$F$11)+F369*0.25),0)*'模拟-单技能数据'!$I$24</f>
        <v>0</v>
      </c>
      <c r="BG383" s="115" t="b">
        <f ca="1">OR(AND(OR(C383="烈日斩",C383="银月斩"),模拟模式!$I$7="净身明礼"),AND(C383="净世破魔击·日",模拟模式!$J$7="洞若观火"),AND(C384="净世破魔击·月",模拟模式!$J$7="洞若观火"),AB383=1)</f>
        <v>1</v>
      </c>
      <c r="BH383" s="115" t="b">
        <f t="shared" ca="1" si="331"/>
        <v>0</v>
      </c>
      <c r="BI383" s="115">
        <f t="shared" ca="1" si="294"/>
        <v>4.1549999999999994</v>
      </c>
      <c r="BJ383" s="115" t="b">
        <f t="shared" ca="1" si="305"/>
        <v>1</v>
      </c>
      <c r="BK383" s="115" t="b">
        <f ca="1">AND(C383="驱夜断愁",模拟模式!$P$7="天地诛戮")</f>
        <v>1</v>
      </c>
      <c r="BL383" s="57">
        <f t="shared" ca="1" si="295"/>
        <v>20</v>
      </c>
      <c r="BM383" s="115" t="b">
        <f t="shared" ca="1" si="306"/>
        <v>1</v>
      </c>
      <c r="BN383" s="115" t="b">
        <f ca="1">AND(OR(C383="赤日轮1",C383="赤日轮2",C383="赤日轮3",C383="幽月轮1",C383="幽月轮2",C383="幽月轮3"),AB383=1,模拟模式!$L$7="明光恒照")</f>
        <v>0</v>
      </c>
      <c r="BO383" s="117">
        <f t="shared" ca="1" si="296"/>
        <v>28.155000000000001</v>
      </c>
      <c r="BP383" s="115">
        <f t="shared" ca="1" si="332"/>
        <v>6</v>
      </c>
      <c r="BQ383" s="115" t="b">
        <f>模拟模式!$K$10="2600·水"</f>
        <v>0</v>
      </c>
      <c r="BR383" s="117">
        <f t="shared" si="333"/>
        <v>0</v>
      </c>
      <c r="BS383" s="115">
        <f t="shared" si="334"/>
        <v>0</v>
      </c>
      <c r="BT383" s="115">
        <f t="shared" ca="1" si="335"/>
        <v>0</v>
      </c>
      <c r="BU383" s="115" t="b">
        <f ca="1">AND(模拟模式!$K$10="2300·雷",BT382=0,RAND()&lt;IF(C383="净世破魔击·月",5*0.05*2/3,IF(C383="净世破魔击·日",3*0.05*2/3,0.05*2*2/3)))</f>
        <v>0</v>
      </c>
      <c r="BV383" s="115">
        <f t="shared" ca="1" si="336"/>
        <v>0</v>
      </c>
      <c r="BW383" s="115">
        <f t="shared" ca="1" si="337"/>
        <v>43.469999999999288</v>
      </c>
      <c r="BX383" s="164" t="b">
        <f t="shared" ca="1" si="338"/>
        <v>0</v>
      </c>
      <c r="BY383" s="115">
        <f t="shared" ca="1" si="339"/>
        <v>0</v>
      </c>
      <c r="BZ383" s="115">
        <f>IF(OR(模拟模式!$P$16="10人团",模拟模式!$P$16="25人团"),IF(B383/30&gt;CA382,1,0),0)</f>
        <v>0</v>
      </c>
      <c r="CA383" s="115">
        <f t="shared" si="315"/>
        <v>0</v>
      </c>
      <c r="CB383" s="115">
        <f ca="1">IF(BZ383=1,IF(模拟模式!$P$16="10人团",15,0)+IF(模拟模式!$P$16="25人团",IF(RAND()&lt;0.6,15,0)),MAX(0,CB382-$F$4))</f>
        <v>0</v>
      </c>
      <c r="CC383" s="115" t="b">
        <f t="shared" ca="1" si="307"/>
        <v>0</v>
      </c>
      <c r="CD383" s="115">
        <f>IF(模拟模式!$Q$16="1个",IF(B383/40&gt;CE382,1,0),0)</f>
        <v>0</v>
      </c>
      <c r="CE383" s="115">
        <f t="shared" si="308"/>
        <v>0</v>
      </c>
      <c r="CF383" s="115">
        <f>IF(OR(CD383=1,模拟模式!$Q$16="2个"),20,MAX(0,CF382-$F$4))</f>
        <v>0</v>
      </c>
      <c r="CG383" s="115" t="b">
        <f t="shared" si="309"/>
        <v>0</v>
      </c>
      <c r="CH383" s="115">
        <f t="shared" ca="1" si="340"/>
        <v>6.0150000000000121</v>
      </c>
      <c r="CI383" s="115" t="b">
        <f t="shared" ca="1" si="341"/>
        <v>0</v>
      </c>
      <c r="CJ383" s="119">
        <f t="shared" ca="1" si="342"/>
        <v>0</v>
      </c>
      <c r="CK383" s="115">
        <f t="shared" ca="1" si="343"/>
        <v>0</v>
      </c>
      <c r="CL383" s="115" t="b">
        <f ca="1">AND(模拟模式!$S$7="驱夷逐法",OR(AND(C383="净世破魔击·月",E382&gt;59),AND(C383="净世破魔击·日",F382&gt;59)))</f>
        <v>0</v>
      </c>
      <c r="CM383" s="115" t="b">
        <f ca="1">OR(CL383,AND(C383="净世破魔击·日",CL382,RAND()&lt;模拟模式!$U$23))</f>
        <v>0</v>
      </c>
      <c r="CN383" s="115" t="b">
        <f ca="1">IF(模拟模式!$M$7="辉耀红尘",AND(C383="净世破魔击·月",CL383,CV383=0,E382&lt;80),AND(C383="净世破魔击·月",CL383,E382&lt;100))</f>
        <v>0</v>
      </c>
      <c r="CO383" s="115" t="b">
        <f t="shared" ca="1" si="316"/>
        <v>0</v>
      </c>
      <c r="CP383" s="115" t="b">
        <f ca="1">AND(模拟模式!$O$7="用晦而明",OR(C383="净世破魔击·日",C383="净世破魔击·月",C383="驱夜断愁"),AB383)</f>
        <v>1</v>
      </c>
      <c r="CQ383" s="115" t="b">
        <f ca="1">OR(CP383,AND(CP382,RAND()&lt;模拟模式!$U$23))</f>
        <v>1</v>
      </c>
      <c r="CR383" s="115" t="b">
        <f ca="1">AND(模拟模式!$S$7="日月齐光",OR(C383="幽月轮1",C383="幽月轮2",C383="幽月轮3",CR382),NOT(OR(C383="赤日轮1",C383="赤日轮2",C383="赤日轮3")))</f>
        <v>0</v>
      </c>
      <c r="CS383" s="115" t="b">
        <f ca="1">AND(模拟模式!$S$7="日月齐光",OR(C383="赤日轮1",C383="赤日轮2",C383="赤日轮3",CS382),NOT(OR(C383="幽月轮1",C383="幽月轮2",C383="幽月轮3")))</f>
        <v>0</v>
      </c>
      <c r="CT383" s="115">
        <f t="shared" ca="1" si="344"/>
        <v>3.2475000000000116</v>
      </c>
      <c r="CU383" s="115" t="b">
        <f ca="1">AND(模拟模式!$K$10="阴阳往极",CT382=0,RAND()&lt;IF(C383="净世破魔击·月",0.0275*7/3,IF(C383="净世破魔击·日",0.0275*3/3,0.0275*2/3)))</f>
        <v>0</v>
      </c>
      <c r="CV383" s="115">
        <f t="shared" ca="1" si="345"/>
        <v>0</v>
      </c>
      <c r="CW383" s="115">
        <f t="shared" ca="1" si="317"/>
        <v>0.46499999999999975</v>
      </c>
      <c r="CX383" s="115">
        <f t="shared" ca="1" si="318"/>
        <v>5.0774999999999997</v>
      </c>
      <c r="CY383" s="115">
        <f ca="1">MAX(IF($C383="驱夜断愁",IF(模拟模式!$R$7="万念俱寂",6,45),CY382-$F$4),0)</f>
        <v>6</v>
      </c>
      <c r="CZ383" s="115">
        <f t="shared" ca="1" si="319"/>
        <v>0</v>
      </c>
      <c r="DA383" s="115">
        <f ca="1">IF(模拟模式!$N$7="日月同辉",IF(DB382=2,0,MIN(6,IF(AND(OR(C383="赤日轮1",C383="赤日轮2",C383="赤日轮3",C383="幽月轮1",C383="幽月轮2",C383="幽月轮3"),AB383=1),DA382+1,DA382))),0)</f>
        <v>0</v>
      </c>
      <c r="DB383" s="115">
        <f t="shared" ca="1" si="320"/>
        <v>2</v>
      </c>
      <c r="DC383" s="115"/>
      <c r="DD383" s="115"/>
      <c r="DE383" s="115"/>
      <c r="DF383" s="115"/>
      <c r="DG383" s="115"/>
      <c r="DH383" s="115"/>
      <c r="DI383" s="115"/>
      <c r="DJ383" s="115"/>
      <c r="DK383" s="115"/>
      <c r="DL383" s="115"/>
      <c r="DM383" s="115"/>
    </row>
    <row r="384" spans="2:117" x14ac:dyDescent="0.2">
      <c r="B384" s="117">
        <f t="shared" si="321"/>
        <v>329.33250000000288</v>
      </c>
      <c r="C384" s="167" t="str">
        <f t="shared" ca="1" si="314"/>
        <v>烈日斩</v>
      </c>
      <c r="D384" s="115">
        <f ca="1">IF(C384="赤日轮1",1,IF(C384="赤日轮2",2,IF(C384="赤日轮3",3,IF(C384="幽月轮1",4,IF(C384="幽月轮2",5,IF(C384="幽月轮3",6,IF(C384="烈日斩",7,IF(C384="银月斩",8,IF(C384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384="净世破魔击·月",17,IF(C384="驱夜断愁",18,0)))))))))))</f>
        <v>7</v>
      </c>
      <c r="E384" s="115">
        <f ca="1">IF(AND(CU384,OR(C384="幽月轮1",C384="幽月轮2",C384="幽月轮3",C384="银月斩",C384="驱夜断愁",C384="净世破魔击·月")),100,MIN(IF(OR(CN384,BE384),0,IF(OR($C384="赤日轮1",$C384="赤日轮2",$C384="赤日轮3"),E383+20+IF(模拟模式!$I$7="日月凌天",4,0)+IF(CR383,20,0),IF($C384="烈日斩",E383+40,IF($C384="驱夜断愁",IF(模拟模式!$R$7="万念俱寂",E383+20,E383+60),IF($C384="净世破魔击·月",IF(OR(DB383&gt;0,CV383&gt;0),100,IF(模拟模式!$M$7="辉耀红尘",E383+20,E383)),IF($C384="净世破魔击·日",E383-100,E383)))))),100))</f>
        <v>80</v>
      </c>
      <c r="F384" s="115">
        <f ca="1">IF(AND(CU384,OR(C384="赤日轮1",C384="赤日轮2",C384="赤日轮3",C384="烈日斩",C384="净世破魔击·日")),100,MIN(IF(CO384,0,IF(OR($C384="幽月轮1",$C384="幽月轮2",$C384="幽月轮3"),F383+20+IF(模拟模式!$I$7="日月凌天",4,0)+IF(CS383,20,0),IF($C384="银月斩",F383+40+IF(模拟模式!$X$12=1,5,0),IF($C384="驱夜断愁",IF(模拟模式!$R$7="万念俱寂",F383+20,F383+60),IF($C384="净世破魔击·月",IF(模拟模式!$M$7="辉耀红尘",F383-80,F383-100),IF(AND(C384="净世破魔击·日",OR(DB383&gt;0,CV383&gt;0)),100,F383)))))),100))</f>
        <v>85</v>
      </c>
      <c r="G384" s="117">
        <f ca="1">('模拟-全程加成'!$E$3+'模拟-全程加成'!$E$4+'模拟-全程加成'!$E$5+('模拟-全程加成'!$C$6-'模拟-全程加成'!$C$3)*系数!$B$9+BS384*23)*(1+'模拟-全程加成'!$F$4+'模拟-全程加成'!$F$5+BJ384*10%+BM384*20%+BP384*4%+CG384*30%)+$F$7*系数!$B$12</f>
        <v>21493.829400000002</v>
      </c>
      <c r="H384" s="45">
        <f ca="1">'模拟-全程加成'!$H$3+'模拟-全程加成'!$H$4+'模拟-全程加成'!$H$5+('模拟-全程加成'!$G$4+'模拟-全程加成'!$G$5+('模拟-全程加成'!$C$6-'模拟-全程加成'!$C$3)*系数!$B$13)/系数!$B$3+LOOKUP(D384,'模拟-单技能数据'!$A$2:$A$19,'模拟-单技能数据'!$K$2:$K$19)+BG384*10%+IF(BV384&gt;0,378,0)</f>
        <v>0.56185145527300218</v>
      </c>
      <c r="I384" s="45">
        <f ca="1">'模拟-全程加成'!$J$3+'模拟-全程加成'!$J$4+'模拟-全程加成'!$J$5+('模拟-全程加成'!$I$4+'模拟-全程加成'!$I$5)/系数!$B$4+LOOKUP(D384,'模拟-单技能数据'!$A$2:$A$19,'模拟-单技能数据'!$L$2:$L$19)+BG384*10%</f>
        <v>2.2624828854998791</v>
      </c>
      <c r="J384" s="45">
        <f ca="1">(('模拟-全程加成'!$K$3+'模拟-全程加成'!$K$4+'模拟-全程加成'!$K$5+('模拟-全程加成'!$C$6-'模拟-全程加成'!$C$3)*系数!$B$10+IF(BV384&gt;0,882,0)+IF(BY384&gt;0,1831,0))*(1+'模拟-全程加成'!$L$4+'模拟-全程加成'!$L$5+CC384*20%))/系数!$B$5</f>
        <v>0.69723220422048726</v>
      </c>
      <c r="K384" s="119">
        <f ca="1">LOOKUP(D384,'模拟-单技能数据'!$A$2:$A$19,'模拟-单技能数据'!$J$2:$J$19)+IF(CM384,60%,0)+IF(DB383-DB384&gt;0,30%,0)+IF(OR(AND(OR(C384="赤日轮1",C384="赤日轮2",C384="赤日轮3"),CR384),AND(OR(C384="幽月轮1",C384="幽月轮2",C384="幽月轮3"),CS384)),35%,0)+CJ384</f>
        <v>0.24</v>
      </c>
      <c r="L384" s="119">
        <f ca="1">IF(AND(C384="烈日斩",模拟模式!$X$11=1),10%,0)+IF(AND(C384="驱夜断愁",AB384=1),30%,0)</f>
        <v>0.1</v>
      </c>
      <c r="M384" s="45">
        <f t="shared" ca="1" si="297"/>
        <v>0.56185145527300218</v>
      </c>
      <c r="N384" s="45">
        <f t="shared" ca="1" si="298"/>
        <v>0.38424854472699788</v>
      </c>
      <c r="O384" s="46">
        <f t="shared" ca="1" si="322"/>
        <v>0.94675866513162477</v>
      </c>
      <c r="P384" s="46" t="str">
        <f t="shared" ca="1" si="323"/>
        <v>命</v>
      </c>
      <c r="Q384" s="45">
        <f t="shared" ca="1" si="324"/>
        <v>1</v>
      </c>
      <c r="R384" s="117">
        <f ca="1">模拟模式!$E$20*(1-IF(模拟模式!$J$19="有",0.15,0))*(1-IF(模拟模式!$K$19="有",0.3,0)-IF(CQ384,0.5,0))</f>
        <v>843.02999999999975</v>
      </c>
      <c r="S384" s="45">
        <f ca="1">R384/(R384+(185*模拟模式!$E$22-16800)*4.08224)</f>
        <v>8.389626085980037E-2</v>
      </c>
      <c r="T384" s="45" t="str">
        <f ca="1">LOOKUP(D384,'模拟-单技能数据'!$A$2:$A$19,'模拟-单技能数据'!$H$2:$H$19)</f>
        <v>阳</v>
      </c>
      <c r="U384" s="119">
        <f t="shared" ca="1" si="299"/>
        <v>0.2</v>
      </c>
      <c r="V384" s="47">
        <f ca="1">(1+L384)*(LOOKUP(D384,'模拟-单技能数据'!$A$2:$A$19,'模拟-单技能数据'!$D$2:$D$19)+G384*LOOKUP(D384,'模拟-单技能数据'!$A$2:$A$19,'模拟-单技能数据'!$F$2:$F$19))*(1+J384)*(1+K384)*(1-S384)*(1+U384)*Q384*LOOKUP(D384,'模拟-单技能数据'!$A$2:$A$19,'模拟-单技能数据'!$I$2:$I$20)</f>
        <v>48841.631854871324</v>
      </c>
      <c r="W384" s="47">
        <f ca="1">LOOKUP(D384,'模拟-单技能数据'!$A$2:$A$19,'模拟-单技能数据'!$G$2:$G$19)*$I$10</f>
        <v>361.51064354704795</v>
      </c>
      <c r="X384" s="47">
        <f t="shared" ca="1" si="325"/>
        <v>0</v>
      </c>
      <c r="Y384" s="47">
        <f t="shared" ca="1" si="300"/>
        <v>49203.142498418369</v>
      </c>
      <c r="Z384" s="49">
        <f t="shared" ca="1" si="301"/>
        <v>37185970.637048051</v>
      </c>
      <c r="AA384" s="97">
        <f t="shared" ca="1" si="302"/>
        <v>112913.15201824212</v>
      </c>
      <c r="AB384" s="115">
        <f ca="1">IF(OR(C384="赤日轮1",C384="赤日轮2",C384="赤日轮3"),IF(RAND()&lt;模拟模式!$Y$17,1,0),IF(OR(C384="幽月轮1",C384="幽月轮2",C384="幽月轮3"),IF(RAND()&lt;模拟模式!$Y$18,1,0),IF(C384="烈日斩",IF(RAND()&lt;模拟模式!$Y$19,1,0),IF(C384="银月斩",IF(RAND()&lt;模拟模式!$Y$20,1,0),IF(C384="驱夜断愁",IF(RAND()&lt;模拟模式!$Y$21,1,0),IF(C384="净世破魔击·日",IF(RAND()&lt;模拟模式!$Y$22,1,0),IF(C384="净世破魔击·月",IF(RAND()&lt;模拟模式!$Y$23,1,0),0)))))))</f>
        <v>1</v>
      </c>
      <c r="AC384" s="115" t="b">
        <f t="shared" ca="1" si="290"/>
        <v>0</v>
      </c>
      <c r="AD384" s="115" t="b">
        <f t="shared" ca="1" si="310"/>
        <v>0</v>
      </c>
      <c r="AE384" s="115">
        <f t="shared" ca="1" si="311"/>
        <v>5</v>
      </c>
      <c r="AF384" s="47">
        <f ca="1">IF(AC384,('模拟-单技能数据'!$D$20+G384*'模拟-单技能数据'!$F$20)*(1+J384)*(1+'模拟-单技能数据'!$J$20)*(1+U384),0)</f>
        <v>0</v>
      </c>
      <c r="AG384" s="61">
        <f t="shared" ca="1" si="303"/>
        <v>0.64185145527300214</v>
      </c>
      <c r="AH384" s="61">
        <f t="shared" ca="1" si="304"/>
        <v>2.2624828854998791</v>
      </c>
      <c r="AI384" s="62">
        <f t="shared" ca="1" si="326"/>
        <v>7.8272109303237025E-2</v>
      </c>
      <c r="AJ384" s="47">
        <f ca="1">IF(AD384,IF(AI384&lt;$F$10,0,IF(AI384&lt;$F$10+$F$11,0.25,IF(AI384&lt;$F$10+$F$11+AG384,AH384,1)))*IF(AF384&gt;0,AF384,IF(AF383&gt;0,AF383,IF(AF382&gt;0,AF382,IF(AF381&gt;0,AF381,IF(AF380&gt;0,AF380,IF(AF379&gt;0,AF379,IF(AF378&gt;0,AF378,IF(AF377&gt;0,AF377,IF(AF376&gt;0,AF376,IF(AF374&gt;0,AF374,IF(AF373&gt;0,AF373,IF(AF372&gt;0,AF372,0)))))))))))),0)*(1-$S384)*'模拟-单技能数据'!$I$20</f>
        <v>0</v>
      </c>
      <c r="AK384" s="115" t="b">
        <f t="shared" ca="1" si="291"/>
        <v>0</v>
      </c>
      <c r="AL384" s="115" t="b">
        <f t="shared" ca="1" si="312"/>
        <v>0</v>
      </c>
      <c r="AM384" s="115">
        <f t="shared" ca="1" si="313"/>
        <v>4</v>
      </c>
      <c r="AN384" s="47">
        <f ca="1">IF(AK384,('模拟-单技能数据'!$D$21+G384*'模拟-单技能数据'!$F$21)*(1+J384)*(1+'模拟-单技能数据'!$J$21)*(1+U384),0)</f>
        <v>0</v>
      </c>
      <c r="AO384" s="61">
        <f ca="1">IF(AN384&gt;0,M384-'模拟-单技能数据'!$K$10,AO383)</f>
        <v>0.42185145527300216</v>
      </c>
      <c r="AP384" s="61">
        <f ca="1">IF(AN384&gt;0,I384-'模拟-单技能数据'!$L$10,AP383)</f>
        <v>2.162482885499879</v>
      </c>
      <c r="AQ384" s="63">
        <f t="shared" ca="1" si="327"/>
        <v>0.62635368742129516</v>
      </c>
      <c r="AR384" s="64">
        <f ca="1">IF(AL384,IF(AQ384&lt;$F$10,0,IF(AQ384&lt;$F$10+$F$11,0.25,IF(AQ384&lt;$F$10+$F$11+AO384,AP384,1)))*IF(AN384&gt;0,AN384,IF(AN383&gt;0,AN383,IF(AN382&gt;0,AN382,IF(AN381&gt;0,AN381,IF(AN380&gt;0,AN380,IF(AN379&gt;0,AN379,IF(AN378&gt;0,AN378,IF(AN377&gt;0,AN377,IF(AN376&gt;0,AN376,IF(AN374&gt;0,AN374,IF(AN373&gt;0,AN373,IF(AN372&gt;0,AN372,0)))))))))))),0)*(1-$S384)*'模拟-单技能数据'!$I$21</f>
        <v>0</v>
      </c>
      <c r="AS384" s="61">
        <f ca="1">IF(OR(C384="净世破魔击·日",C384="净世破魔击·月"),M384-'模拟-单技能数据'!$K$10,0)</f>
        <v>0</v>
      </c>
      <c r="AT384" s="61">
        <f ca="1">IF(OR(C384="净世破魔击·日",C384="净世破魔击·月"),I384-'模拟-单技能数据'!$L$10,0)</f>
        <v>0</v>
      </c>
      <c r="AU384" s="62">
        <f t="shared" ca="1" si="328"/>
        <v>4.418512452409451E-2</v>
      </c>
      <c r="AV384" s="64">
        <f ca="1">IF(AS384&gt;0,('模拟-单技能数据'!$D$22+G384*'模拟-单技能数据'!$F$22)*(1+J384)*(1-S384)*IF(AU384&lt;$F$10,0,IF(AU384&lt;$F$10+$F$11,0.25,IF(AU384&lt;$F$10+$F$11+AS384,AT384,1)))*(1+U384),0)*'模拟-单技能数据'!$I$22</f>
        <v>0</v>
      </c>
      <c r="AW384" s="108">
        <f t="shared" ca="1" si="329"/>
        <v>0</v>
      </c>
      <c r="AX384" s="108" t="b">
        <f ca="1">AND(模拟模式!$P$10="有",AW383=0,RAND()&lt;IF(C384="净世破魔击·月",0.1*8/3,IF(C384="净世破魔击·日",0.1*4/3,0.1*2/3)))</f>
        <v>0</v>
      </c>
      <c r="AY384" s="47">
        <f ca="1">IF(AX384,(18+G384*0.722)*(1+J384)*(1-S384)*(1+$I$4)*IF(P384="会",'模拟-全程加成'!$J$3+'模拟-全程加成'!$J$4+'模拟-全程加成'!$J$5+('模拟-全程加成'!$I$4+'模拟-全程加成'!$I$5)/系数!$B$4+BG384*10%,IF(P384="命",1,IF(P384="识",0.25,0))),0)</f>
        <v>0</v>
      </c>
      <c r="AZ384" s="108">
        <f t="shared" si="330"/>
        <v>15.387500000000003</v>
      </c>
      <c r="BA384" s="108" t="b">
        <f>AND(模拟模式!$Q$10="有",AZ383=0)</f>
        <v>0</v>
      </c>
      <c r="BB384" s="140">
        <f>IF(BA384,(0+G384*0.287)*(1+J384)*(1-S384)*(1+$I$4)*IF(P384="会",'模拟-全程加成'!$J$3+'模拟-全程加成'!$J$4+'模拟-全程加成'!$J$5+('模拟-全程加成'!$I$4+'模拟-全程加成'!$I$5)/系数!$B$4+BG384*10%,IF(P384="命",1,IF(P384="识",0.25,0))),0)</f>
        <v>0</v>
      </c>
      <c r="BC384" s="115" t="b">
        <f ca="1">AND(模拟模式!$R$7="伏明众生",E384=60,F384=20,DA384&lt;5,CZ383&lt;$F$4)</f>
        <v>0</v>
      </c>
      <c r="BD384" s="115">
        <f t="shared" ca="1" si="292"/>
        <v>0</v>
      </c>
      <c r="BE384" s="115" t="b">
        <f t="shared" ca="1" si="293"/>
        <v>0</v>
      </c>
      <c r="BF384" s="47">
        <f ca="1">IF(BC384,4*('模拟-单技能数据'!$D$24+G384*'模拟-单技能数据'!$F$24)*(1+J384)*(1+'模拟-单技能数据'!$J$24)*(1-S384)*(1+$I$3)*(('模拟-全程加成'!$J$3+'模拟-全程加成'!$J$4+'模拟-全程加成'!$J$5+('模拟-全程加成'!$I$4+'模拟-全程加成'!$I$5)/系数!$B$4+BG384*10%)*('模拟-全程加成'!$J$3+'模拟-全程加成'!$J$4+'模拟-全程加成'!$J$5+('模拟-全程加成'!$I$4+'模拟-全程加成'!$I$5)/系数!$B$4+BG384*10%)+(1-('模拟-全程加成'!$J$3+'模拟-全程加成'!$J$4+'模拟-全程加成'!$J$5+('模拟-全程加成'!$I$4+'模拟-全程加成'!$I$5)/系数!$B$4+BG384*10%)-$F$10-$F$11)+F370*0.25),0)*'模拟-单技能数据'!$I$24</f>
        <v>0</v>
      </c>
      <c r="BG384" s="115" t="b">
        <f ca="1">OR(AND(OR(C384="烈日斩",C384="银月斩"),模拟模式!$I$7="净身明礼"),AND(C384="净世破魔击·日",模拟模式!$J$7="洞若观火"),AND(C385="净世破魔击·月",模拟模式!$J$7="洞若观火"),AB384=1)</f>
        <v>1</v>
      </c>
      <c r="BH384" s="115" t="b">
        <f t="shared" ca="1" si="331"/>
        <v>0</v>
      </c>
      <c r="BI384" s="115">
        <f t="shared" ca="1" si="294"/>
        <v>3.2324999999999995</v>
      </c>
      <c r="BJ384" s="115" t="b">
        <f t="shared" ca="1" si="305"/>
        <v>1</v>
      </c>
      <c r="BK384" s="115" t="b">
        <f ca="1">AND(C384="驱夜断愁",模拟模式!$P$7="天地诛戮")</f>
        <v>0</v>
      </c>
      <c r="BL384" s="57">
        <f t="shared" ca="1" si="295"/>
        <v>19.077500000000001</v>
      </c>
      <c r="BM384" s="115" t="b">
        <f t="shared" ca="1" si="306"/>
        <v>1</v>
      </c>
      <c r="BN384" s="115" t="b">
        <f ca="1">AND(OR(C384="赤日轮1",C384="赤日轮2",C384="赤日轮3",C384="幽月轮1",C384="幽月轮2",C384="幽月轮3"),AB384=1,模拟模式!$L$7="明光恒照")</f>
        <v>0</v>
      </c>
      <c r="BO384" s="117">
        <f t="shared" ca="1" si="296"/>
        <v>27.232500000000002</v>
      </c>
      <c r="BP384" s="115">
        <f t="shared" ca="1" si="332"/>
        <v>6</v>
      </c>
      <c r="BQ384" s="115" t="b">
        <f>模拟模式!$K$10="2600·水"</f>
        <v>0</v>
      </c>
      <c r="BR384" s="117">
        <f t="shared" si="333"/>
        <v>0</v>
      </c>
      <c r="BS384" s="115">
        <f t="shared" si="334"/>
        <v>0</v>
      </c>
      <c r="BT384" s="115">
        <f t="shared" ca="1" si="335"/>
        <v>0</v>
      </c>
      <c r="BU384" s="115" t="b">
        <f ca="1">AND(模拟模式!$K$10="2300·雷",BT383=0,RAND()&lt;IF(C384="净世破魔击·月",5*0.05*2/3,IF(C384="净世破魔击·日",3*0.05*2/3,0.05*2*2/3)))</f>
        <v>0</v>
      </c>
      <c r="BV384" s="115">
        <f t="shared" ca="1" si="336"/>
        <v>0</v>
      </c>
      <c r="BW384" s="115">
        <f t="shared" ca="1" si="337"/>
        <v>42.547499999999289</v>
      </c>
      <c r="BX384" s="164" t="b">
        <f t="shared" ca="1" si="338"/>
        <v>0</v>
      </c>
      <c r="BY384" s="115">
        <f t="shared" ca="1" si="339"/>
        <v>0</v>
      </c>
      <c r="BZ384" s="115">
        <f>IF(OR(模拟模式!$P$16="10人团",模拟模式!$P$16="25人团"),IF(B384/30&gt;CA383,1,0),0)</f>
        <v>0</v>
      </c>
      <c r="CA384" s="115">
        <f t="shared" si="315"/>
        <v>0</v>
      </c>
      <c r="CB384" s="115">
        <f ca="1">IF(BZ384=1,IF(模拟模式!$P$16="10人团",15,0)+IF(模拟模式!$P$16="25人团",IF(RAND()&lt;0.6,15,0)),MAX(0,CB383-$F$4))</f>
        <v>0</v>
      </c>
      <c r="CC384" s="115" t="b">
        <f t="shared" ca="1" si="307"/>
        <v>0</v>
      </c>
      <c r="CD384" s="115">
        <f>IF(模拟模式!$Q$16="1个",IF(B384/40&gt;CE383,1,0),0)</f>
        <v>0</v>
      </c>
      <c r="CE384" s="115">
        <f t="shared" si="308"/>
        <v>0</v>
      </c>
      <c r="CF384" s="115">
        <f>IF(OR(CD384=1,模拟模式!$Q$16="2个"),20,MAX(0,CF383-$F$4))</f>
        <v>0</v>
      </c>
      <c r="CG384" s="115" t="b">
        <f t="shared" si="309"/>
        <v>0</v>
      </c>
      <c r="CH384" s="115">
        <f t="shared" ca="1" si="340"/>
        <v>5.0925000000000118</v>
      </c>
      <c r="CI384" s="115" t="b">
        <f t="shared" ca="1" si="341"/>
        <v>0</v>
      </c>
      <c r="CJ384" s="119">
        <f t="shared" ca="1" si="342"/>
        <v>0</v>
      </c>
      <c r="CK384" s="115">
        <f t="shared" ca="1" si="343"/>
        <v>0</v>
      </c>
      <c r="CL384" s="115" t="b">
        <f ca="1">AND(模拟模式!$S$7="驱夷逐法",OR(AND(C384="净世破魔击·月",E383&gt;59),AND(C384="净世破魔击·日",F383&gt;59)))</f>
        <v>0</v>
      </c>
      <c r="CM384" s="115" t="b">
        <f ca="1">OR(CL384,AND(C384="净世破魔击·日",CL383,RAND()&lt;模拟模式!$U$23))</f>
        <v>0</v>
      </c>
      <c r="CN384" s="115" t="b">
        <f ca="1">IF(模拟模式!$M$7="辉耀红尘",AND(C384="净世破魔击·月",CL384,CV384=0,E383&lt;80),AND(C384="净世破魔击·月",CL384,E383&lt;100))</f>
        <v>0</v>
      </c>
      <c r="CO384" s="115" t="b">
        <f t="shared" ca="1" si="316"/>
        <v>0</v>
      </c>
      <c r="CP384" s="115" t="b">
        <f ca="1">AND(模拟模式!$O$7="用晦而明",OR(C384="净世破魔击·日",C384="净世破魔击·月",C384="驱夜断愁"),AB384)</f>
        <v>0</v>
      </c>
      <c r="CQ384" s="115" t="b">
        <f ca="1">OR(CP384,AND(CP383,RAND()&lt;模拟模式!$U$23))</f>
        <v>1</v>
      </c>
      <c r="CR384" s="115" t="b">
        <f ca="1">AND(模拟模式!$S$7="日月齐光",OR(C384="幽月轮1",C384="幽月轮2",C384="幽月轮3",CR383),NOT(OR(C384="赤日轮1",C384="赤日轮2",C384="赤日轮3")))</f>
        <v>0</v>
      </c>
      <c r="CS384" s="115" t="b">
        <f ca="1">AND(模拟模式!$S$7="日月齐光",OR(C384="赤日轮1",C384="赤日轮2",C384="赤日轮3",CS383),NOT(OR(C384="幽月轮1",C384="幽月轮2",C384="幽月轮3")))</f>
        <v>0</v>
      </c>
      <c r="CT384" s="115">
        <f t="shared" ca="1" si="344"/>
        <v>2.3250000000000117</v>
      </c>
      <c r="CU384" s="115" t="b">
        <f ca="1">AND(模拟模式!$K$10="阴阳往极",CT383=0,RAND()&lt;IF(C384="净世破魔击·月",0.0275*7/3,IF(C384="净世破魔击·日",0.0275*3/3,0.0275*2/3)))</f>
        <v>0</v>
      </c>
      <c r="CV384" s="115">
        <f t="shared" ca="1" si="345"/>
        <v>0</v>
      </c>
      <c r="CW384" s="115">
        <f t="shared" ca="1" si="317"/>
        <v>6</v>
      </c>
      <c r="CX384" s="115">
        <f t="shared" ca="1" si="318"/>
        <v>4.1549999999999994</v>
      </c>
      <c r="CY384" s="115">
        <f ca="1">MAX(IF($C384="驱夜断愁",IF(模拟模式!$R$7="万念俱寂",6,45),CY383-$F$4),0)</f>
        <v>5.0774999999999997</v>
      </c>
      <c r="CZ384" s="115">
        <f t="shared" ca="1" si="319"/>
        <v>0</v>
      </c>
      <c r="DA384" s="115">
        <f ca="1">IF(模拟模式!$N$7="日月同辉",IF(DB383=2,0,MIN(6,IF(AND(OR(C384="赤日轮1",C384="赤日轮2",C384="赤日轮3",C384="幽月轮1",C384="幽月轮2",C384="幽月轮3"),AB384=1),DA383+1,DA383))),0)</f>
        <v>0</v>
      </c>
      <c r="DB384" s="115">
        <f t="shared" ca="1" si="320"/>
        <v>2</v>
      </c>
      <c r="DC384" s="115"/>
      <c r="DD384" s="115"/>
      <c r="DE384" s="115"/>
      <c r="DF384" s="115"/>
      <c r="DG384" s="115"/>
      <c r="DH384" s="115"/>
      <c r="DI384" s="115"/>
      <c r="DJ384" s="115"/>
      <c r="DK384" s="115"/>
      <c r="DL384" s="115"/>
      <c r="DM384" s="115"/>
    </row>
    <row r="385" spans="2:117" x14ac:dyDescent="0.2">
      <c r="B385" s="117">
        <f t="shared" si="321"/>
        <v>330.25500000000289</v>
      </c>
      <c r="C385" s="167" t="str">
        <f t="shared" ca="1" si="314"/>
        <v>幽月轮1</v>
      </c>
      <c r="D385" s="115">
        <f ca="1">IF(C385="赤日轮1",1,IF(C385="赤日轮2",2,IF(C385="赤日轮3",3,IF(C385="幽月轮1",4,IF(C385="幽月轮2",5,IF(C385="幽月轮3",6,IF(C385="烈日斩",7,IF(C385="银月斩",8,IF(C385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385="净世破魔击·月",17,IF(C385="驱夜断愁",18,0)))))))))))</f>
        <v>4</v>
      </c>
      <c r="E385" s="115">
        <f ca="1">IF(AND(CU385,OR(C385="幽月轮1",C385="幽月轮2",C385="幽月轮3",C385="银月斩",C385="驱夜断愁",C385="净世破魔击·月")),100,MIN(IF(OR(CN385,BE385),0,IF(OR($C385="赤日轮1",$C385="赤日轮2",$C385="赤日轮3"),E384+20+IF(模拟模式!$I$7="日月凌天",4,0)+IF(CR384,20,0),IF($C385="烈日斩",E384+40,IF($C385="驱夜断愁",IF(模拟模式!$R$7="万念俱寂",E384+20,E384+60),IF($C385="净世破魔击·月",IF(OR(DB384&gt;0,CV384&gt;0),100,IF(模拟模式!$M$7="辉耀红尘",E384+20,E384)),IF($C385="净世破魔击·日",E384-100,E384)))))),100))</f>
        <v>80</v>
      </c>
      <c r="F385" s="115">
        <f ca="1">IF(AND(CU385,OR(C385="赤日轮1",C385="赤日轮2",C385="赤日轮3",C385="烈日斩",C385="净世破魔击·日")),100,MIN(IF(CO385,0,IF(OR($C385="幽月轮1",$C385="幽月轮2",$C385="幽月轮3"),F384+20+IF(模拟模式!$I$7="日月凌天",4,0)+IF(CS384,20,0),IF($C385="银月斩",F384+40+IF(模拟模式!$X$12=1,5,0),IF($C385="驱夜断愁",IF(模拟模式!$R$7="万念俱寂",F384+20,F384+60),IF($C385="净世破魔击·月",IF(模拟模式!$M$7="辉耀红尘",F384-80,F384-100),IF(AND(C385="净世破魔击·日",OR(DB384&gt;0,CV384&gt;0)),100,F384)))))),100))</f>
        <v>100</v>
      </c>
      <c r="G385" s="117">
        <f ca="1">('模拟-全程加成'!$E$3+'模拟-全程加成'!$E$4+'模拟-全程加成'!$E$5+('模拟-全程加成'!$C$6-'模拟-全程加成'!$C$3)*系数!$B$9+BS385*23)*(1+'模拟-全程加成'!$F$4+'模拟-全程加成'!$F$5+BJ385*10%+BM385*20%+BP385*4%+CG385*30%)+$F$7*系数!$B$12</f>
        <v>21493.829400000002</v>
      </c>
      <c r="H385" s="45">
        <f ca="1">'模拟-全程加成'!$H$3+'模拟-全程加成'!$H$4+'模拟-全程加成'!$H$5+('模拟-全程加成'!$G$4+'模拟-全程加成'!$G$5+('模拟-全程加成'!$C$6-'模拟-全程加成'!$C$3)*系数!$B$13)/系数!$B$3+LOOKUP(D385,'模拟-单技能数据'!$A$2:$A$19,'模拟-单技能数据'!$K$2:$K$19)+BG385*10%+IF(BV385&gt;0,378,0)</f>
        <v>0.51185145527300213</v>
      </c>
      <c r="I385" s="45">
        <f ca="1">'模拟-全程加成'!$J$3+'模拟-全程加成'!$J$4+'模拟-全程加成'!$J$5+('模拟-全程加成'!$I$4+'模拟-全程加成'!$I$5)/系数!$B$4+LOOKUP(D385,'模拟-单技能数据'!$A$2:$A$19,'模拟-单技能数据'!$L$2:$L$19)+BG385*10%</f>
        <v>2.162482885499879</v>
      </c>
      <c r="J385" s="45">
        <f ca="1">(('模拟-全程加成'!$K$3+'模拟-全程加成'!$K$4+'模拟-全程加成'!$K$5+('模拟-全程加成'!$C$6-'模拟-全程加成'!$C$3)*系数!$B$10+IF(BV385&gt;0,882,0)+IF(BY385&gt;0,1831,0))*(1+'模拟-全程加成'!$L$4+'模拟-全程加成'!$L$5+CC385*20%))/系数!$B$5</f>
        <v>0.69723220422048726</v>
      </c>
      <c r="K385" s="119">
        <f ca="1">LOOKUP(D385,'模拟-单技能数据'!$A$2:$A$19,'模拟-单技能数据'!$J$2:$J$19)+IF(CM385,60%,0)+IF(DB384-DB385&gt;0,30%,0)+IF(OR(AND(OR(C385="赤日轮1",C385="赤日轮2",C385="赤日轮3"),CR385),AND(OR(C385="幽月轮1",C385="幽月轮2",C385="幽月轮3"),CS385)),35%,0)+CJ385</f>
        <v>7.0000000000000007E-2</v>
      </c>
      <c r="L385" s="119">
        <f ca="1">IF(AND(C385="烈日斩",模拟模式!$X$11=1),10%,0)+IF(AND(C385="驱夜断愁",AB385=1),30%,0)</f>
        <v>0</v>
      </c>
      <c r="M385" s="45">
        <f t="shared" ca="1" si="297"/>
        <v>0.51185145527300213</v>
      </c>
      <c r="N385" s="45">
        <f t="shared" ca="1" si="298"/>
        <v>0.43424854472699792</v>
      </c>
      <c r="O385" s="46">
        <f t="shared" ca="1" si="322"/>
        <v>0.34993524421923294</v>
      </c>
      <c r="P385" s="46" t="str">
        <f t="shared" ca="1" si="323"/>
        <v>会</v>
      </c>
      <c r="Q385" s="45">
        <f t="shared" ca="1" si="324"/>
        <v>2.162482885499879</v>
      </c>
      <c r="R385" s="117">
        <f ca="1">模拟模式!$E$20*(1-IF(模拟模式!$J$19="有",0.15,0))*(1-IF(模拟模式!$K$19="有",0.3,0)-IF(CQ385,0.5,0))</f>
        <v>2950.6049999999996</v>
      </c>
      <c r="S385" s="45">
        <f ca="1">R385/(R385+(185*模拟模式!$E$22-16800)*4.08224)</f>
        <v>0.24272716014590323</v>
      </c>
      <c r="T385" s="45" t="str">
        <f ca="1">LOOKUP(D385,'模拟-单技能数据'!$A$2:$A$19,'模拟-单技能数据'!$H$2:$H$19)</f>
        <v>阴</v>
      </c>
      <c r="U385" s="119">
        <f t="shared" ca="1" si="299"/>
        <v>0.08</v>
      </c>
      <c r="V385" s="47">
        <f ca="1">(1+L385)*(LOOKUP(D385,'模拟-单技能数据'!$A$2:$A$19,'模拟-单技能数据'!$D$2:$D$19)+G385*LOOKUP(D385,'模拟-单技能数据'!$A$2:$A$19,'模拟-单技能数据'!$F$2:$F$19))*(1+J385)*(1+K385)*(1-S385)*(1+U385)*Q385*LOOKUP(D385,'模拟-单技能数据'!$A$2:$A$19,'模拟-单技能数据'!$I$2:$I$20)</f>
        <v>36630.702053185581</v>
      </c>
      <c r="W385" s="47">
        <f ca="1">LOOKUP(D385,'模拟-单技能数据'!$A$2:$A$19,'模拟-单技能数据'!$G$2:$G$19)*$I$10</f>
        <v>361.51064354704795</v>
      </c>
      <c r="X385" s="47">
        <f t="shared" ca="1" si="325"/>
        <v>17140.046163193394</v>
      </c>
      <c r="Y385" s="47">
        <f t="shared" ca="1" si="300"/>
        <v>54132.258859926027</v>
      </c>
      <c r="Z385" s="49">
        <f t="shared" ca="1" si="301"/>
        <v>37240102.895907976</v>
      </c>
      <c r="AA385" s="97">
        <f t="shared" ca="1" si="302"/>
        <v>112761.66264222389</v>
      </c>
      <c r="AB385" s="115">
        <f ca="1">IF(OR(C385="赤日轮1",C385="赤日轮2",C385="赤日轮3"),IF(RAND()&lt;模拟模式!$Y$17,1,0),IF(OR(C385="幽月轮1",C385="幽月轮2",C385="幽月轮3"),IF(RAND()&lt;模拟模式!$Y$18,1,0),IF(C385="烈日斩",IF(RAND()&lt;模拟模式!$Y$19,1,0),IF(C385="银月斩",IF(RAND()&lt;模拟模式!$Y$20,1,0),IF(C385="驱夜断愁",IF(RAND()&lt;模拟模式!$Y$21,1,0),IF(C385="净世破魔击·日",IF(RAND()&lt;模拟模式!$Y$22,1,0),IF(C385="净世破魔击·月",IF(RAND()&lt;模拟模式!$Y$23,1,0),0)))))))</f>
        <v>1</v>
      </c>
      <c r="AC385" s="115" t="b">
        <f t="shared" ca="1" si="290"/>
        <v>0</v>
      </c>
      <c r="AD385" s="115" t="b">
        <f t="shared" ca="1" si="310"/>
        <v>1</v>
      </c>
      <c r="AE385" s="115">
        <f t="shared" ca="1" si="311"/>
        <v>4</v>
      </c>
      <c r="AF385" s="47">
        <f ca="1">IF(AC385,('模拟-单技能数据'!$D$20+G385*'模拟-单技能数据'!$F$20)*(1+J385)*(1+'模拟-单技能数据'!$J$20)*(1+U385),0)</f>
        <v>0</v>
      </c>
      <c r="AG385" s="61">
        <f t="shared" ca="1" si="303"/>
        <v>0.64185145527300214</v>
      </c>
      <c r="AH385" s="61">
        <f t="shared" ca="1" si="304"/>
        <v>2.2624828854998791</v>
      </c>
      <c r="AI385" s="62">
        <f t="shared" ca="1" si="326"/>
        <v>0.5402917674222798</v>
      </c>
      <c r="AJ385" s="47">
        <f ca="1">IF(AD385,IF(AI385&lt;$F$10,0,IF(AI385&lt;$F$10+$F$11,0.25,IF(AI385&lt;$F$10+$F$11+AG385,AH385,1)))*IF(AF385&gt;0,AF385,IF(AF384&gt;0,AF384,IF(AF383&gt;0,AF383,IF(AF382&gt;0,AF382,IF(AF381&gt;0,AF381,IF(AF380&gt;0,AF380,IF(AF379&gt;0,AF379,IF(AF378&gt;0,AF378,IF(AF377&gt;0,AF377,IF(AF375&gt;0,AF375,IF(AF374&gt;0,AF374,IF(AF373&gt;0,AF373,0)))))))))))),0)*(1-$S385)*'模拟-单技能数据'!$I$20</f>
        <v>7949.3543492067038</v>
      </c>
      <c r="AK385" s="115" t="b">
        <f t="shared" ca="1" si="291"/>
        <v>0</v>
      </c>
      <c r="AL385" s="115" t="b">
        <f t="shared" ca="1" si="312"/>
        <v>1</v>
      </c>
      <c r="AM385" s="115">
        <f t="shared" ca="1" si="313"/>
        <v>3</v>
      </c>
      <c r="AN385" s="47">
        <f ca="1">IF(AK385,('模拟-单技能数据'!$D$21+G385*'模拟-单技能数据'!$F$21)*(1+J385)*(1+'模拟-单技能数据'!$J$21)*(1+U385),0)</f>
        <v>0</v>
      </c>
      <c r="AO385" s="61">
        <f ca="1">IF(AN385&gt;0,M385-'模拟-单技能数据'!$K$10,AO384)</f>
        <v>0.42185145527300216</v>
      </c>
      <c r="AP385" s="61">
        <f ca="1">IF(AN385&gt;0,I385-'模拟-单技能数据'!$L$10,AP384)</f>
        <v>2.162482885499879</v>
      </c>
      <c r="AQ385" s="63">
        <f t="shared" ca="1" si="327"/>
        <v>0.84351679025249537</v>
      </c>
      <c r="AR385" s="64">
        <f ca="1">IF(AL385,IF(AQ385&lt;$F$10,0,IF(AQ385&lt;$F$10+$F$11,0.25,IF(AQ385&lt;$F$10+$F$11+AO385,AP385,1)))*IF(AN385&gt;0,AN385,IF(AN384&gt;0,AN384,IF(AN383&gt;0,AN383,IF(AN382&gt;0,AN382,IF(AN381&gt;0,AN381,IF(AN380&gt;0,AN380,IF(AN379&gt;0,AN379,IF(AN378&gt;0,AN378,IF(AN377&gt;0,AN377,IF(AN375&gt;0,AN375,IF(AN374&gt;0,AN374,IF(AN373&gt;0,AN373,0)))))))))))),0)*(1-$S385)*'模拟-单技能数据'!$I$21</f>
        <v>9190.6918139866902</v>
      </c>
      <c r="AS385" s="61">
        <f ca="1">IF(OR(C385="净世破魔击·日",C385="净世破魔击·月"),M385-'模拟-单技能数据'!$K$10,0)</f>
        <v>0</v>
      </c>
      <c r="AT385" s="61">
        <f ca="1">IF(OR(C385="净世破魔击·日",C385="净世破魔击·月"),I385-'模拟-单技能数据'!$L$10,0)</f>
        <v>0</v>
      </c>
      <c r="AU385" s="62">
        <f t="shared" ca="1" si="328"/>
        <v>0.65373117360507271</v>
      </c>
      <c r="AV385" s="64">
        <f ca="1">IF(AS385&gt;0,('模拟-单技能数据'!$D$22+G385*'模拟-单技能数据'!$F$22)*(1+J385)*(1-S385)*IF(AU385&lt;$F$10,0,IF(AU385&lt;$F$10+$F$11,0.25,IF(AU385&lt;$F$10+$F$11+AS385,AT385,1)))*(1+U385),0)*'模拟-单技能数据'!$I$22</f>
        <v>0</v>
      </c>
      <c r="AW385" s="108">
        <f t="shared" ca="1" si="329"/>
        <v>0</v>
      </c>
      <c r="AX385" s="108" t="b">
        <f ca="1">AND(模拟模式!$P$10="有",AW384=0,RAND()&lt;IF(C385="净世破魔击·月",0.1*8/3,IF(C385="净世破魔击·日",0.1*4/3,0.1*2/3)))</f>
        <v>0</v>
      </c>
      <c r="AY385" s="47">
        <f ca="1">IF(AX385,(18+G385*0.722)*(1+J385)*(1-S385)*(1+$I$4)*IF(P385="会",'模拟-全程加成'!$J$3+'模拟-全程加成'!$J$4+'模拟-全程加成'!$J$5+('模拟-全程加成'!$I$4+'模拟-全程加成'!$I$5)/系数!$B$4+BG385*10%,IF(P385="命",1,IF(P385="识",0.25,0))),0)</f>
        <v>0</v>
      </c>
      <c r="AZ385" s="108">
        <f t="shared" si="330"/>
        <v>14.465000000000003</v>
      </c>
      <c r="BA385" s="108" t="b">
        <f>AND(模拟模式!$Q$10="有",AZ384=0)</f>
        <v>0</v>
      </c>
      <c r="BB385" s="140">
        <f>IF(BA385,(0+G385*0.287)*(1+J385)*(1-S385)*(1+$I$4)*IF(P385="会",'模拟-全程加成'!$J$3+'模拟-全程加成'!$J$4+'模拟-全程加成'!$J$5+('模拟-全程加成'!$I$4+'模拟-全程加成'!$I$5)/系数!$B$4+BG385*10%,IF(P385="命",1,IF(P385="识",0.25,0))),0)</f>
        <v>0</v>
      </c>
      <c r="BC385" s="115" t="b">
        <f ca="1">AND(模拟模式!$R$7="伏明众生",E385=60,F385=20,DA385&lt;5,CZ384&lt;$F$4)</f>
        <v>0</v>
      </c>
      <c r="BD385" s="115">
        <f t="shared" ca="1" si="292"/>
        <v>0</v>
      </c>
      <c r="BE385" s="115" t="b">
        <f t="shared" ca="1" si="293"/>
        <v>0</v>
      </c>
      <c r="BF385" s="47">
        <f ca="1">IF(BC385,4*('模拟-单技能数据'!$D$24+G385*'模拟-单技能数据'!$F$24)*(1+J385)*(1+'模拟-单技能数据'!$J$24)*(1-S385)*(1+$I$3)*(('模拟-全程加成'!$J$3+'模拟-全程加成'!$J$4+'模拟-全程加成'!$J$5+('模拟-全程加成'!$I$4+'模拟-全程加成'!$I$5)/系数!$B$4+BG385*10%)*('模拟-全程加成'!$J$3+'模拟-全程加成'!$J$4+'模拟-全程加成'!$J$5+('模拟-全程加成'!$I$4+'模拟-全程加成'!$I$5)/系数!$B$4+BG385*10%)+(1-('模拟-全程加成'!$J$3+'模拟-全程加成'!$J$4+'模拟-全程加成'!$J$5+('模拟-全程加成'!$I$4+'模拟-全程加成'!$I$5)/系数!$B$4+BG385*10%)-$F$10-$F$11)+F371*0.25),0)*'模拟-单技能数据'!$I$24</f>
        <v>0</v>
      </c>
      <c r="BG385" s="115" t="b">
        <f ca="1">OR(AND(OR(C385="烈日斩",C385="银月斩"),模拟模式!$I$7="净身明礼"),AND(C385="净世破魔击·日",模拟模式!$J$7="洞若观火"),AND(C386="净世破魔击·月",模拟模式!$J$7="洞若观火"),AB385=1)</f>
        <v>1</v>
      </c>
      <c r="BH385" s="115" t="b">
        <f t="shared" ca="1" si="331"/>
        <v>0</v>
      </c>
      <c r="BI385" s="115">
        <f t="shared" ca="1" si="294"/>
        <v>2.3099999999999996</v>
      </c>
      <c r="BJ385" s="115" t="b">
        <f t="shared" ca="1" si="305"/>
        <v>1</v>
      </c>
      <c r="BK385" s="115" t="b">
        <f ca="1">AND(C385="驱夜断愁",模拟模式!$P$7="天地诛戮")</f>
        <v>0</v>
      </c>
      <c r="BL385" s="57">
        <f t="shared" ca="1" si="295"/>
        <v>18.155000000000001</v>
      </c>
      <c r="BM385" s="115" t="b">
        <f t="shared" ca="1" si="306"/>
        <v>1</v>
      </c>
      <c r="BN385" s="115" t="b">
        <f ca="1">AND(OR(C385="赤日轮1",C385="赤日轮2",C385="赤日轮3",C385="幽月轮1",C385="幽月轮2",C385="幽月轮3"),AB385=1,模拟模式!$L$7="明光恒照")</f>
        <v>1</v>
      </c>
      <c r="BO385" s="117">
        <f t="shared" ca="1" si="296"/>
        <v>30</v>
      </c>
      <c r="BP385" s="115">
        <f t="shared" ca="1" si="332"/>
        <v>6</v>
      </c>
      <c r="BQ385" s="115" t="b">
        <f>模拟模式!$K$10="2600·水"</f>
        <v>0</v>
      </c>
      <c r="BR385" s="117">
        <f t="shared" si="333"/>
        <v>0</v>
      </c>
      <c r="BS385" s="115">
        <f t="shared" si="334"/>
        <v>0</v>
      </c>
      <c r="BT385" s="115">
        <f t="shared" ca="1" si="335"/>
        <v>0</v>
      </c>
      <c r="BU385" s="115" t="b">
        <f ca="1">AND(模拟模式!$K$10="2300·雷",BT384=0,RAND()&lt;IF(C385="净世破魔击·月",5*0.05*2/3,IF(C385="净世破魔击·日",3*0.05*2/3,0.05*2*2/3)))</f>
        <v>0</v>
      </c>
      <c r="BV385" s="115">
        <f t="shared" ca="1" si="336"/>
        <v>0</v>
      </c>
      <c r="BW385" s="115">
        <f t="shared" ca="1" si="337"/>
        <v>41.624999999999289</v>
      </c>
      <c r="BX385" s="164" t="b">
        <f t="shared" ca="1" si="338"/>
        <v>0</v>
      </c>
      <c r="BY385" s="115">
        <f t="shared" ca="1" si="339"/>
        <v>0</v>
      </c>
      <c r="BZ385" s="115">
        <f>IF(OR(模拟模式!$P$16="10人团",模拟模式!$P$16="25人团"),IF(B385/30&gt;CA384,1,0),0)</f>
        <v>0</v>
      </c>
      <c r="CA385" s="115">
        <f t="shared" si="315"/>
        <v>0</v>
      </c>
      <c r="CB385" s="115">
        <f ca="1">IF(BZ385=1,IF(模拟模式!$P$16="10人团",15,0)+IF(模拟模式!$P$16="25人团",IF(RAND()&lt;0.6,15,0)),MAX(0,CB384-$F$4))</f>
        <v>0</v>
      </c>
      <c r="CC385" s="115" t="b">
        <f t="shared" ca="1" si="307"/>
        <v>0</v>
      </c>
      <c r="CD385" s="115">
        <f>IF(模拟模式!$Q$16="1个",IF(B385/40&gt;CE384,1,0),0)</f>
        <v>0</v>
      </c>
      <c r="CE385" s="115">
        <f t="shared" si="308"/>
        <v>0</v>
      </c>
      <c r="CF385" s="115">
        <f>IF(OR(CD385=1,模拟模式!$Q$16="2个"),20,MAX(0,CF384-$F$4))</f>
        <v>0</v>
      </c>
      <c r="CG385" s="115" t="b">
        <f t="shared" si="309"/>
        <v>0</v>
      </c>
      <c r="CH385" s="115">
        <f t="shared" ca="1" si="340"/>
        <v>4.1700000000000115</v>
      </c>
      <c r="CI385" s="115" t="b">
        <f t="shared" ca="1" si="341"/>
        <v>0</v>
      </c>
      <c r="CJ385" s="119">
        <f t="shared" ca="1" si="342"/>
        <v>0</v>
      </c>
      <c r="CK385" s="115">
        <f t="shared" ca="1" si="343"/>
        <v>0</v>
      </c>
      <c r="CL385" s="115" t="b">
        <f ca="1">AND(模拟模式!$S$7="驱夷逐法",OR(AND(C385="净世破魔击·月",E384&gt;59),AND(C385="净世破魔击·日",F384&gt;59)))</f>
        <v>0</v>
      </c>
      <c r="CM385" s="115" t="b">
        <f ca="1">OR(CL385,AND(C385="净世破魔击·日",CL384,RAND()&lt;模拟模式!$U$23))</f>
        <v>0</v>
      </c>
      <c r="CN385" s="115" t="b">
        <f ca="1">IF(模拟模式!$M$7="辉耀红尘",AND(C385="净世破魔击·月",CL385,CV385=0,E384&lt;80),AND(C385="净世破魔击·月",CL385,E384&lt;100))</f>
        <v>0</v>
      </c>
      <c r="CO385" s="115" t="b">
        <f t="shared" ca="1" si="316"/>
        <v>0</v>
      </c>
      <c r="CP385" s="115" t="b">
        <f ca="1">AND(模拟模式!$O$7="用晦而明",OR(C385="净世破魔击·日",C385="净世破魔击·月",C385="驱夜断愁"),AB385)</f>
        <v>0</v>
      </c>
      <c r="CQ385" s="115" t="b">
        <f ca="1">OR(CP385,AND(CP384,RAND()&lt;模拟模式!$U$23))</f>
        <v>0</v>
      </c>
      <c r="CR385" s="115" t="b">
        <f ca="1">AND(模拟模式!$S$7="日月齐光",OR(C385="幽月轮1",C385="幽月轮2",C385="幽月轮3",CR384),NOT(OR(C385="赤日轮1",C385="赤日轮2",C385="赤日轮3")))</f>
        <v>0</v>
      </c>
      <c r="CS385" s="115" t="b">
        <f ca="1">AND(模拟模式!$S$7="日月齐光",OR(C385="赤日轮1",C385="赤日轮2",C385="赤日轮3",CS384),NOT(OR(C385="幽月轮1",C385="幽月轮2",C385="幽月轮3")))</f>
        <v>0</v>
      </c>
      <c r="CT385" s="115">
        <f t="shared" ca="1" si="344"/>
        <v>1.4025000000000118</v>
      </c>
      <c r="CU385" s="115" t="b">
        <f ca="1">AND(模拟模式!$K$10="阴阳往极",CT384=0,RAND()&lt;IF(C385="净世破魔击·月",0.0275*7/3,IF(C385="净世破魔击·日",0.0275*3/3,0.0275*2/3)))</f>
        <v>0</v>
      </c>
      <c r="CV385" s="115">
        <f t="shared" ca="1" si="345"/>
        <v>0</v>
      </c>
      <c r="CW385" s="115">
        <f t="shared" ca="1" si="317"/>
        <v>5.0774999999999997</v>
      </c>
      <c r="CX385" s="115">
        <f t="shared" ca="1" si="318"/>
        <v>3.2324999999999995</v>
      </c>
      <c r="CY385" s="115">
        <f ca="1">MAX(IF($C385="驱夜断愁",IF(模拟模式!$R$7="万念俱寂",6,45),CY384-$F$4),0)</f>
        <v>4.1549999999999994</v>
      </c>
      <c r="CZ385" s="115">
        <f t="shared" ca="1" si="319"/>
        <v>0</v>
      </c>
      <c r="DA385" s="115">
        <f ca="1">IF(模拟模式!$N$7="日月同辉",IF(DB384=2,0,MIN(6,IF(AND(OR(C385="赤日轮1",C385="赤日轮2",C385="赤日轮3",C385="幽月轮1",C385="幽月轮2",C385="幽月轮3"),AB385=1),DA384+1,DA384))),0)</f>
        <v>0</v>
      </c>
      <c r="DB385" s="115">
        <f t="shared" ca="1" si="320"/>
        <v>2</v>
      </c>
      <c r="DC385" s="115"/>
      <c r="DD385" s="115"/>
      <c r="DE385" s="115"/>
      <c r="DF385" s="115"/>
      <c r="DG385" s="115"/>
      <c r="DH385" s="115"/>
      <c r="DI385" s="115"/>
      <c r="DJ385" s="115"/>
      <c r="DK385" s="115"/>
      <c r="DL385" s="115"/>
      <c r="DM385" s="115"/>
    </row>
    <row r="386" spans="2:117" x14ac:dyDescent="0.2">
      <c r="B386" s="117">
        <f t="shared" si="321"/>
        <v>331.17750000000291</v>
      </c>
      <c r="C386" s="167" t="str">
        <f t="shared" ca="1" si="314"/>
        <v>净世破魔击·月</v>
      </c>
      <c r="D386" s="115">
        <f ca="1">IF(C386="赤日轮1",1,IF(C386="赤日轮2",2,IF(C386="赤日轮3",3,IF(C386="幽月轮1",4,IF(C386="幽月轮2",5,IF(C386="幽月轮3",6,IF(C386="烈日斩",7,IF(C386="银月斩",8,IF(C386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386="净世破魔击·月",17,IF(C386="驱夜断愁",18,0)))))))))))</f>
        <v>17</v>
      </c>
      <c r="E386" s="115">
        <f ca="1">IF(AND(CU386,OR(C386="幽月轮1",C386="幽月轮2",C386="幽月轮3",C386="银月斩",C386="驱夜断愁",C386="净世破魔击·月")),100,MIN(IF(OR(CN386,BE386),0,IF(OR($C386="赤日轮1",$C386="赤日轮2",$C386="赤日轮3"),E385+20+IF(模拟模式!$I$7="日月凌天",4,0)+IF(CR385,20,0),IF($C386="烈日斩",E385+40,IF($C386="驱夜断愁",IF(模拟模式!$R$7="万念俱寂",E385+20,E385+60),IF($C386="净世破魔击·月",IF(OR(DB385&gt;0,CV385&gt;0),100,IF(模拟模式!$M$7="辉耀红尘",E385+20,E385)),IF($C386="净世破魔击·日",E385-100,E385)))))),100))</f>
        <v>100</v>
      </c>
      <c r="F386" s="115">
        <f ca="1">IF(AND(CU386,OR(C386="赤日轮1",C386="赤日轮2",C386="赤日轮3",C386="烈日斩",C386="净世破魔击·日")),100,MIN(IF(CO386,0,IF(OR($C386="幽月轮1",$C386="幽月轮2",$C386="幽月轮3"),F385+20+IF(模拟模式!$I$7="日月凌天",4,0)+IF(CS385,20,0),IF($C386="银月斩",F385+40+IF(模拟模式!$X$12=1,5,0),IF($C386="驱夜断愁",IF(模拟模式!$R$7="万念俱寂",F385+20,F385+60),IF($C386="净世破魔击·月",IF(模拟模式!$M$7="辉耀红尘",F385-80,F385-100),IF(AND(C386="净世破魔击·日",OR(DB385&gt;0,CV385&gt;0)),100,F385)))))),100))</f>
        <v>20</v>
      </c>
      <c r="G386" s="117">
        <f ca="1">('模拟-全程加成'!$E$3+'模拟-全程加成'!$E$4+'模拟-全程加成'!$E$5+('模拟-全程加成'!$C$6-'模拟-全程加成'!$C$3)*系数!$B$9+BS386*23)*(1+'模拟-全程加成'!$F$4+'模拟-全程加成'!$F$5+BJ386*10%+BM386*20%+BP386*4%+CG386*30%)+$F$7*系数!$B$12</f>
        <v>21493.829400000002</v>
      </c>
      <c r="H386" s="45">
        <f ca="1">'模拟-全程加成'!$H$3+'模拟-全程加成'!$H$4+'模拟-全程加成'!$H$5+('模拟-全程加成'!$G$4+'模拟-全程加成'!$G$5+('模拟-全程加成'!$C$6-'模拟-全程加成'!$C$3)*系数!$B$13)/系数!$B$3+LOOKUP(D386,'模拟-单技能数据'!$A$2:$A$19,'模拟-单技能数据'!$K$2:$K$19)+BG386*10%+IF(BV386&gt;0,378,0)</f>
        <v>0.54185145527300216</v>
      </c>
      <c r="I386" s="45">
        <f ca="1">'模拟-全程加成'!$J$3+'模拟-全程加成'!$J$4+'模拟-全程加成'!$J$5+('模拟-全程加成'!$I$4+'模拟-全程加成'!$I$5)/系数!$B$4+LOOKUP(D386,'模拟-单技能数据'!$A$2:$A$19,'模拟-单技能数据'!$L$2:$L$19)+BG386*10%</f>
        <v>2.162482885499879</v>
      </c>
      <c r="J386" s="45">
        <f ca="1">(('模拟-全程加成'!$K$3+'模拟-全程加成'!$K$4+'模拟-全程加成'!$K$5+('模拟-全程加成'!$C$6-'模拟-全程加成'!$C$3)*系数!$B$10+IF(BV386&gt;0,882,0)+IF(BY386&gt;0,1831,0))*(1+'模拟-全程加成'!$L$4+'模拟-全程加成'!$L$5+CC386*20%))/系数!$B$5</f>
        <v>0.69723220422048726</v>
      </c>
      <c r="K386" s="119">
        <f ca="1">LOOKUP(D386,'模拟-单技能数据'!$A$2:$A$19,'模拟-单技能数据'!$J$2:$J$19)+IF(CM386,60%,0)+IF(DB385-DB386&gt;0,30%,0)+IF(OR(AND(OR(C386="赤日轮1",C386="赤日轮2",C386="赤日轮3"),CR386),AND(OR(C386="幽月轮1",C386="幽月轮2",C386="幽月轮3"),CS386)),35%,0)+CJ386</f>
        <v>1.1000000000000001</v>
      </c>
      <c r="L386" s="119">
        <f ca="1">IF(AND(C386="烈日斩",模拟模式!$X$11=1),10%,0)+IF(AND(C386="驱夜断愁",AB386=1),30%,0)</f>
        <v>0</v>
      </c>
      <c r="M386" s="45">
        <f t="shared" ca="1" si="297"/>
        <v>0.54185145527300216</v>
      </c>
      <c r="N386" s="45">
        <f t="shared" ca="1" si="298"/>
        <v>0.40424854472699789</v>
      </c>
      <c r="O386" s="46">
        <f t="shared" ca="1" si="322"/>
        <v>0.36022166711981718</v>
      </c>
      <c r="P386" s="46" t="str">
        <f t="shared" ca="1" si="323"/>
        <v>会</v>
      </c>
      <c r="Q386" s="45">
        <f t="shared" ca="1" si="324"/>
        <v>2.162482885499879</v>
      </c>
      <c r="R386" s="117">
        <f ca="1">模拟模式!$E$20*(1-IF(模拟模式!$J$19="有",0.15,0))*(1-IF(模拟模式!$K$19="有",0.3,0)-IF(CQ386,0.5,0))</f>
        <v>843.02999999999975</v>
      </c>
      <c r="S386" s="45">
        <f ca="1">R386/(R386+(185*模拟模式!$E$22-16800)*4.08224)</f>
        <v>8.389626085980037E-2</v>
      </c>
      <c r="T386" s="45" t="str">
        <f ca="1">LOOKUP(D386,'模拟-单技能数据'!$A$2:$A$19,'模拟-单技能数据'!$H$2:$H$19)</f>
        <v>阴</v>
      </c>
      <c r="U386" s="119">
        <f t="shared" ca="1" si="299"/>
        <v>0.08</v>
      </c>
      <c r="V386" s="47">
        <f ca="1">(1+L386)*(LOOKUP(D386,'模拟-单技能数据'!$A$2:$A$19,'模拟-单技能数据'!$D$2:$D$19)+G386*LOOKUP(D386,'模拟-单技能数据'!$A$2:$A$19,'模拟-单技能数据'!$F$2:$F$19))*(1+J386)*(1+K386)*(1-S386)*(1+U386)*Q386*LOOKUP(D386,'模拟-单技能数据'!$A$2:$A$19,'模拟-单技能数据'!$I$2:$I$20)</f>
        <v>212964.75797218451</v>
      </c>
      <c r="W386" s="47">
        <f ca="1">LOOKUP(D386,'模拟-单技能数据'!$A$2:$A$19,'模拟-单技能数据'!$G$2:$G$19)*$I$10</f>
        <v>361.51064354704795</v>
      </c>
      <c r="X386" s="47">
        <f t="shared" ca="1" si="325"/>
        <v>64374.09512768282</v>
      </c>
      <c r="Y386" s="47">
        <f t="shared" ca="1" si="300"/>
        <v>277700.3637434144</v>
      </c>
      <c r="Z386" s="49">
        <f t="shared" ca="1" si="301"/>
        <v>37517803.259651393</v>
      </c>
      <c r="AA386" s="97">
        <f t="shared" ca="1" si="302"/>
        <v>113286.08755018401</v>
      </c>
      <c r="AB386" s="115">
        <f ca="1">IF(OR(C386="赤日轮1",C386="赤日轮2",C386="赤日轮3"),IF(RAND()&lt;模拟模式!$Y$17,1,0),IF(OR(C386="幽月轮1",C386="幽月轮2",C386="幽月轮3"),IF(RAND()&lt;模拟模式!$Y$18,1,0),IF(C386="烈日斩",IF(RAND()&lt;模拟模式!$Y$19,1,0),IF(C386="银月斩",IF(RAND()&lt;模拟模式!$Y$20,1,0),IF(C386="驱夜断愁",IF(RAND()&lt;模拟模式!$Y$21,1,0),IF(C386="净世破魔击·日",IF(RAND()&lt;模拟模式!$Y$22,1,0),IF(C386="净世破魔击·月",IF(RAND()&lt;模拟模式!$Y$23,1,0),0)))))))</f>
        <v>1</v>
      </c>
      <c r="AC386" s="115" t="b">
        <f t="shared" ref="AC386:AC449" ca="1" si="346">C386="银月斩"</f>
        <v>0</v>
      </c>
      <c r="AD386" s="115" t="b">
        <f t="shared" ca="1" si="310"/>
        <v>0</v>
      </c>
      <c r="AE386" s="115">
        <f t="shared" ca="1" si="311"/>
        <v>4</v>
      </c>
      <c r="AF386" s="47">
        <f ca="1">IF(AC386,('模拟-单技能数据'!$D$20+G386*'模拟-单技能数据'!$F$20)*(1+J386)*(1+'模拟-单技能数据'!$J$20)*(1+U386),0)</f>
        <v>0</v>
      </c>
      <c r="AG386" s="61">
        <f t="shared" ca="1" si="303"/>
        <v>0.64185145527300214</v>
      </c>
      <c r="AH386" s="61">
        <f t="shared" ca="1" si="304"/>
        <v>2.2624828854998791</v>
      </c>
      <c r="AI386" s="62">
        <f t="shared" ca="1" si="326"/>
        <v>0.25508992544046238</v>
      </c>
      <c r="AJ386" s="47">
        <f ca="1">IF(AD386,IF(AI386&lt;$F$10,0,IF(AI386&lt;$F$10+$F$11,0.25,IF(AI386&lt;$F$10+$F$11+AG386,AH386,1)))*IF(AF386&gt;0,AF386,IF(AF385&gt;0,AF385,IF(AF384&gt;0,AF384,IF(AF383&gt;0,AF383,IF(AF382&gt;0,AF382,IF(AF381&gt;0,AF381,IF(AF380&gt;0,AF380,IF(AF379&gt;0,AF379,IF(AF378&gt;0,AF378,IF(AF376&gt;0,AF376,IF(AF375&gt;0,AF375,IF(AF374&gt;0,AF374,0)))))))))))),0)*(1-$S386)*'模拟-单技能数据'!$I$20</f>
        <v>0</v>
      </c>
      <c r="AK386" s="115" t="b">
        <f t="shared" ref="AK386:AK449" ca="1" si="347">C386="净世破魔击·日"</f>
        <v>0</v>
      </c>
      <c r="AL386" s="115" t="b">
        <f t="shared" ca="1" si="312"/>
        <v>0</v>
      </c>
      <c r="AM386" s="115">
        <f t="shared" ca="1" si="313"/>
        <v>3</v>
      </c>
      <c r="AN386" s="47">
        <f ca="1">IF(AK386,('模拟-单技能数据'!$D$21+G386*'模拟-单技能数据'!$F$21)*(1+J386)*(1+'模拟-单技能数据'!$J$21)*(1+U386),0)</f>
        <v>0</v>
      </c>
      <c r="AO386" s="61">
        <f ca="1">IF(AN386&gt;0,M386-'模拟-单技能数据'!$K$10,AO385)</f>
        <v>0.42185145527300216</v>
      </c>
      <c r="AP386" s="61">
        <f ca="1">IF(AN386&gt;0,I386-'模拟-单技能数据'!$L$10,AP385)</f>
        <v>2.162482885499879</v>
      </c>
      <c r="AQ386" s="63">
        <f t="shared" ca="1" si="327"/>
        <v>0.53507127198058368</v>
      </c>
      <c r="AR386" s="64">
        <f ca="1">IF(AL386,IF(AQ386&lt;$F$10,0,IF(AQ386&lt;$F$10+$F$11,0.25,IF(AQ386&lt;$F$10+$F$11+AO386,AP386,1)))*IF(AN386&gt;0,AN386,IF(AN385&gt;0,AN385,IF(AN384&gt;0,AN384,IF(AN383&gt;0,AN383,IF(AN382&gt;0,AN382,IF(AN381&gt;0,AN381,IF(AN380&gt;0,AN380,IF(AN379&gt;0,AN379,IF(AN378&gt;0,AN378,IF(AN376&gt;0,AN376,IF(AN375&gt;0,AN375,IF(AN374&gt;0,AN374,0)))))))))))),0)*(1-$S386)*'模拟-单技能数据'!$I$21</f>
        <v>0</v>
      </c>
      <c r="AS386" s="61">
        <f ca="1">IF(OR(C386="净世破魔击·日",C386="净世破魔击·月"),M386-'模拟-单技能数据'!$K$10,0)</f>
        <v>0.42185145527300216</v>
      </c>
      <c r="AT386" s="61">
        <f ca="1">IF(OR(C386="净世破魔击·日",C386="净世破魔击·月"),I386-'模拟-单技能数据'!$L$10,0)</f>
        <v>2.162482885499879</v>
      </c>
      <c r="AU386" s="62">
        <f t="shared" ca="1" si="328"/>
        <v>0.76017601711536986</v>
      </c>
      <c r="AV386" s="64">
        <f ca="1">IF(AS386&gt;0,('模拟-单技能数据'!$D$22+G386*'模拟-单技能数据'!$F$22)*(1+J386)*(1-S386)*IF(AU386&lt;$F$10,0,IF(AU386&lt;$F$10+$F$11,0.25,IF(AU386&lt;$F$10+$F$11+AS386,AT386,1)))*(1+U386),0)*'模拟-单技能数据'!$I$22</f>
        <v>7956.2107573714466</v>
      </c>
      <c r="AW386" s="108">
        <f t="shared" ca="1" si="329"/>
        <v>19.077500000000001</v>
      </c>
      <c r="AX386" s="108" t="b">
        <f ca="1">AND(模拟模式!$P$10="有",AW385=0,RAND()&lt;IF(C386="净世破魔击·月",0.1*8/3,IF(C386="净世破魔击·日",0.1*4/3,0.1*2/3)))</f>
        <v>1</v>
      </c>
      <c r="AY386" s="47">
        <f ca="1">IF(AX386,(18+G386*0.722)*(1+J386)*(1-S386)*(1+$I$4)*IF(P386="会",'模拟-全程加成'!$J$3+'模拟-全程加成'!$J$4+'模拟-全程加成'!$J$5+('模拟-全程加成'!$I$4+'模拟-全程加成'!$I$5)/系数!$B$4+BG386*10%,IF(P386="命",1,IF(P386="识",0.25,0))),0)</f>
        <v>56417.884370311374</v>
      </c>
      <c r="AZ386" s="108">
        <f t="shared" si="330"/>
        <v>13.542500000000004</v>
      </c>
      <c r="BA386" s="108" t="b">
        <f>AND(模拟模式!$Q$10="有",AZ385=0)</f>
        <v>0</v>
      </c>
      <c r="BB386" s="140">
        <f>IF(BA386,(0+G386*0.287)*(1+J386)*(1-S386)*(1+$I$4)*IF(P386="会",'模拟-全程加成'!$J$3+'模拟-全程加成'!$J$4+'模拟-全程加成'!$J$5+('模拟-全程加成'!$I$4+'模拟-全程加成'!$I$5)/系数!$B$4+BG386*10%,IF(P386="命",1,IF(P386="识",0.25,0))),0)</f>
        <v>0</v>
      </c>
      <c r="BC386" s="115" t="b">
        <f ca="1">AND(模拟模式!$R$7="伏明众生",E386=60,F386=20,DA386&lt;5,CZ385&lt;$F$4)</f>
        <v>0</v>
      </c>
      <c r="BD386" s="115">
        <f t="shared" ref="BD386:BD449" ca="1" si="348">IF(BC386,6-$F$4,MAX(0,BD385-$F$4))</f>
        <v>0</v>
      </c>
      <c r="BE386" s="115" t="b">
        <f t="shared" ref="BE386:BE449" ca="1" si="349">AND(BD385&gt;0,BD385-$F$4&lt;0)</f>
        <v>0</v>
      </c>
      <c r="BF386" s="47">
        <f ca="1">IF(BC386,4*('模拟-单技能数据'!$D$24+G386*'模拟-单技能数据'!$F$24)*(1+J386)*(1+'模拟-单技能数据'!$J$24)*(1-S386)*(1+$I$3)*(('模拟-全程加成'!$J$3+'模拟-全程加成'!$J$4+'模拟-全程加成'!$J$5+('模拟-全程加成'!$I$4+'模拟-全程加成'!$I$5)/系数!$B$4+BG386*10%)*('模拟-全程加成'!$J$3+'模拟-全程加成'!$J$4+'模拟-全程加成'!$J$5+('模拟-全程加成'!$I$4+'模拟-全程加成'!$I$5)/系数!$B$4+BG386*10%)+(1-('模拟-全程加成'!$J$3+'模拟-全程加成'!$J$4+'模拟-全程加成'!$J$5+('模拟-全程加成'!$I$4+'模拟-全程加成'!$I$5)/系数!$B$4+BG386*10%)-$F$10-$F$11)+F372*0.25),0)*'模拟-单技能数据'!$I$24</f>
        <v>0</v>
      </c>
      <c r="BG386" s="115" t="b">
        <f ca="1">OR(AND(OR(C386="烈日斩",C386="银月斩"),模拟模式!$I$7="净身明礼"),AND(C386="净世破魔击·日",模拟模式!$J$7="洞若观火"),AND(C387="净世破魔击·月",模拟模式!$J$7="洞若观火"),AB386=1)</f>
        <v>1</v>
      </c>
      <c r="BH386" s="115" t="b">
        <f t="shared" ca="1" si="331"/>
        <v>1</v>
      </c>
      <c r="BI386" s="115">
        <f t="shared" ref="BI386:BI449" ca="1" si="350">IF(BH386,6,MAX(0,BI385-$F$4))</f>
        <v>6</v>
      </c>
      <c r="BJ386" s="115" t="b">
        <f t="shared" ca="1" si="305"/>
        <v>1</v>
      </c>
      <c r="BK386" s="115" t="b">
        <f ca="1">AND(C386="驱夜断愁",模拟模式!$P$7="天地诛戮")</f>
        <v>0</v>
      </c>
      <c r="BL386" s="57">
        <f t="shared" ref="BL386:BL449" ca="1" si="351">IF(BK386,20,MAX(0,BL385-$F$4))</f>
        <v>17.232500000000002</v>
      </c>
      <c r="BM386" s="115" t="b">
        <f t="shared" ca="1" si="306"/>
        <v>1</v>
      </c>
      <c r="BN386" s="115" t="b">
        <f ca="1">AND(OR(C386="赤日轮1",C386="赤日轮2",C386="赤日轮3",C386="幽月轮1",C386="幽月轮2",C386="幽月轮3"),AB386=1,模拟模式!$L$7="明光恒照")</f>
        <v>0</v>
      </c>
      <c r="BO386" s="117">
        <f t="shared" ref="BO386:BO449" ca="1" si="352">IF(BN386,30,MAX(0,BO385-$F$4))</f>
        <v>29.077500000000001</v>
      </c>
      <c r="BP386" s="115">
        <f t="shared" ca="1" si="332"/>
        <v>6</v>
      </c>
      <c r="BQ386" s="115" t="b">
        <f>模拟模式!$K$10="2600·水"</f>
        <v>0</v>
      </c>
      <c r="BR386" s="117">
        <f t="shared" si="333"/>
        <v>0</v>
      </c>
      <c r="BS386" s="115">
        <f t="shared" si="334"/>
        <v>0</v>
      </c>
      <c r="BT386" s="115">
        <f t="shared" ca="1" si="335"/>
        <v>0</v>
      </c>
      <c r="BU386" s="115" t="b">
        <f ca="1">AND(模拟模式!$K$10="2300·雷",BT385=0,RAND()&lt;IF(C386="净世破魔击·月",5*0.05*2/3,IF(C386="净世破魔击·日",3*0.05*2/3,0.05*2*2/3)))</f>
        <v>0</v>
      </c>
      <c r="BV386" s="115">
        <f t="shared" ca="1" si="336"/>
        <v>0</v>
      </c>
      <c r="BW386" s="115">
        <f t="shared" ca="1" si="337"/>
        <v>40.70249999999929</v>
      </c>
      <c r="BX386" s="164" t="b">
        <f t="shared" ca="1" si="338"/>
        <v>0</v>
      </c>
      <c r="BY386" s="115">
        <f t="shared" ca="1" si="339"/>
        <v>0</v>
      </c>
      <c r="BZ386" s="115">
        <f>IF(OR(模拟模式!$P$16="10人团",模拟模式!$P$16="25人团"),IF(B386/30&gt;CA385,1,0),0)</f>
        <v>0</v>
      </c>
      <c r="CA386" s="115">
        <f t="shared" si="315"/>
        <v>0</v>
      </c>
      <c r="CB386" s="115">
        <f ca="1">IF(BZ386=1,IF(模拟模式!$P$16="10人团",15,0)+IF(模拟模式!$P$16="25人团",IF(RAND()&lt;0.6,15,0)),MAX(0,CB385-$F$4))</f>
        <v>0</v>
      </c>
      <c r="CC386" s="115" t="b">
        <f t="shared" ca="1" si="307"/>
        <v>0</v>
      </c>
      <c r="CD386" s="115">
        <f>IF(模拟模式!$Q$16="1个",IF(B386/40&gt;CE385,1,0),0)</f>
        <v>0</v>
      </c>
      <c r="CE386" s="115">
        <f t="shared" si="308"/>
        <v>0</v>
      </c>
      <c r="CF386" s="115">
        <f>IF(OR(CD386=1,模拟模式!$Q$16="2个"),20,MAX(0,CF385-$F$4))</f>
        <v>0</v>
      </c>
      <c r="CG386" s="115" t="b">
        <f t="shared" si="309"/>
        <v>0</v>
      </c>
      <c r="CH386" s="115">
        <f t="shared" ca="1" si="340"/>
        <v>3.2475000000000116</v>
      </c>
      <c r="CI386" s="115" t="b">
        <f t="shared" ca="1" si="341"/>
        <v>0</v>
      </c>
      <c r="CJ386" s="119">
        <f t="shared" ca="1" si="342"/>
        <v>0</v>
      </c>
      <c r="CK386" s="115">
        <f t="shared" ca="1" si="343"/>
        <v>0</v>
      </c>
      <c r="CL386" s="115" t="b">
        <f ca="1">AND(模拟模式!$S$7="驱夷逐法",OR(AND(C386="净世破魔击·月",E385&gt;59),AND(C386="净世破魔击·日",F385&gt;59)))</f>
        <v>1</v>
      </c>
      <c r="CM386" s="115" t="b">
        <f ca="1">OR(CL386,AND(C386="净世破魔击·日",CL385,RAND()&lt;模拟模式!$U$23))</f>
        <v>1</v>
      </c>
      <c r="CN386" s="115" t="b">
        <f ca="1">IF(模拟模式!$M$7="辉耀红尘",AND(C386="净世破魔击·月",CL386,CV386=0,E385&lt;80),AND(C386="净世破魔击·月",CL386,E385&lt;100))</f>
        <v>0</v>
      </c>
      <c r="CO386" s="115" t="b">
        <f t="shared" ca="1" si="316"/>
        <v>0</v>
      </c>
      <c r="CP386" s="115" t="b">
        <f ca="1">AND(模拟模式!$O$7="用晦而明",OR(C386="净世破魔击·日",C386="净世破魔击·月",C386="驱夜断愁"),AB386)</f>
        <v>1</v>
      </c>
      <c r="CQ386" s="115" t="b">
        <f ca="1">OR(CP386,AND(CP385,RAND()&lt;模拟模式!$U$23))</f>
        <v>1</v>
      </c>
      <c r="CR386" s="115" t="b">
        <f ca="1">AND(模拟模式!$S$7="日月齐光",OR(C386="幽月轮1",C386="幽月轮2",C386="幽月轮3",CR385),NOT(OR(C386="赤日轮1",C386="赤日轮2",C386="赤日轮3")))</f>
        <v>0</v>
      </c>
      <c r="CS386" s="115" t="b">
        <f ca="1">AND(模拟模式!$S$7="日月齐光",OR(C386="赤日轮1",C386="赤日轮2",C386="赤日轮3",CS385),NOT(OR(C386="幽月轮1",C386="幽月轮2",C386="幽月轮3")))</f>
        <v>0</v>
      </c>
      <c r="CT386" s="115">
        <f t="shared" ca="1" si="344"/>
        <v>0.48000000000001186</v>
      </c>
      <c r="CU386" s="115" t="b">
        <f ca="1">AND(模拟模式!$K$10="阴阳往极",CT385=0,RAND()&lt;IF(C386="净世破魔击·月",0.0275*7/3,IF(C386="净世破魔击·日",0.0275*3/3,0.0275*2/3)))</f>
        <v>0</v>
      </c>
      <c r="CV386" s="115">
        <f t="shared" ca="1" si="345"/>
        <v>0</v>
      </c>
      <c r="CW386" s="115">
        <f t="shared" ca="1" si="317"/>
        <v>4.1549999999999994</v>
      </c>
      <c r="CX386" s="115">
        <f t="shared" ca="1" si="318"/>
        <v>2.3099999999999996</v>
      </c>
      <c r="CY386" s="115">
        <f ca="1">MAX(IF($C386="驱夜断愁",IF(模拟模式!$R$7="万念俱寂",6,45),CY385-$F$4),0)</f>
        <v>3.2324999999999995</v>
      </c>
      <c r="CZ386" s="115">
        <f t="shared" ca="1" si="319"/>
        <v>0</v>
      </c>
      <c r="DA386" s="115">
        <f ca="1">IF(模拟模式!$N$7="日月同辉",IF(DB385=2,0,MIN(6,IF(AND(OR(C386="赤日轮1",C386="赤日轮2",C386="赤日轮3",C386="幽月轮1",C386="幽月轮2",C386="幽月轮3"),AB386=1),DA385+1,DA385))),0)</f>
        <v>0</v>
      </c>
      <c r="DB386" s="115">
        <f t="shared" ca="1" si="320"/>
        <v>1</v>
      </c>
      <c r="DC386" s="115"/>
      <c r="DD386" s="115"/>
      <c r="DE386" s="115"/>
      <c r="DF386" s="115"/>
      <c r="DG386" s="115"/>
      <c r="DH386" s="115"/>
      <c r="DI386" s="115"/>
      <c r="DJ386" s="115"/>
      <c r="DK386" s="115"/>
      <c r="DL386" s="115"/>
      <c r="DM386" s="115"/>
    </row>
    <row r="387" spans="2:117" x14ac:dyDescent="0.2">
      <c r="B387" s="117">
        <f t="shared" si="321"/>
        <v>332.10000000000292</v>
      </c>
      <c r="C387" s="167" t="str">
        <f t="shared" ca="1" si="314"/>
        <v>净世破魔击·日</v>
      </c>
      <c r="D387" s="115">
        <f ca="1">IF(C387="赤日轮1",1,IF(C387="赤日轮2",2,IF(C387="赤日轮3",3,IF(C387="幽月轮1",4,IF(C387="幽月轮2",5,IF(C387="幽月轮3",6,IF(C387="烈日斩",7,IF(C387="银月斩",8,IF(C387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387="净世破魔击·月",17,IF(C387="驱夜断愁",18,0)))))))))))</f>
        <v>9</v>
      </c>
      <c r="E387" s="115">
        <f ca="1">IF(AND(CU387,OR(C387="幽月轮1",C387="幽月轮2",C387="幽月轮3",C387="银月斩",C387="驱夜断愁",C387="净世破魔击·月")),100,MIN(IF(OR(CN387,BE387),0,IF(OR($C387="赤日轮1",$C387="赤日轮2",$C387="赤日轮3"),E386+20+IF(模拟模式!$I$7="日月凌天",4,0)+IF(CR386,20,0),IF($C387="烈日斩",E386+40,IF($C387="驱夜断愁",IF(模拟模式!$R$7="万念俱寂",E386+20,E386+60),IF($C387="净世破魔击·月",IF(OR(DB386&gt;0,CV386&gt;0),100,IF(模拟模式!$M$7="辉耀红尘",E386+20,E386)),IF($C387="净世破魔击·日",E386-100,E386)))))),100))</f>
        <v>0</v>
      </c>
      <c r="F387" s="115">
        <f ca="1">IF(AND(CU387,OR(C387="赤日轮1",C387="赤日轮2",C387="赤日轮3",C387="烈日斩",C387="净世破魔击·日")),100,MIN(IF(CO387,0,IF(OR($C387="幽月轮1",$C387="幽月轮2",$C387="幽月轮3"),F386+20+IF(模拟模式!$I$7="日月凌天",4,0)+IF(CS386,20,0),IF($C387="银月斩",F386+40+IF(模拟模式!$X$12=1,5,0),IF($C387="驱夜断愁",IF(模拟模式!$R$7="万念俱寂",F386+20,F386+60),IF($C387="净世破魔击·月",IF(模拟模式!$M$7="辉耀红尘",F386-80,F386-100),IF(AND(C387="净世破魔击·日",OR(DB386&gt;0,CV386&gt;0)),100,F386)))))),100))</f>
        <v>100</v>
      </c>
      <c r="G387" s="117">
        <f ca="1">('模拟-全程加成'!$E$3+'模拟-全程加成'!$E$4+'模拟-全程加成'!$E$5+('模拟-全程加成'!$C$6-'模拟-全程加成'!$C$3)*系数!$B$9+BS387*23)*(1+'模拟-全程加成'!$F$4+'模拟-全程加成'!$F$5+BJ387*10%+BM387*20%+BP387*4%+CG387*30%)+$F$7*系数!$B$12</f>
        <v>21493.829400000002</v>
      </c>
      <c r="H387" s="45">
        <f ca="1">'模拟-全程加成'!$H$3+'模拟-全程加成'!$H$4+'模拟-全程加成'!$H$5+('模拟-全程加成'!$G$4+'模拟-全程加成'!$G$5+('模拟-全程加成'!$C$6-'模拟-全程加成'!$C$3)*系数!$B$13)/系数!$B$3+LOOKUP(D387,'模拟-单技能数据'!$A$2:$A$19,'模拟-单技能数据'!$K$2:$K$19)+BG387*10%+IF(BV387&gt;0,378,0)</f>
        <v>0.54185145527300216</v>
      </c>
      <c r="I387" s="45">
        <f ca="1">'模拟-全程加成'!$J$3+'模拟-全程加成'!$J$4+'模拟-全程加成'!$J$5+('模拟-全程加成'!$I$4+'模拟-全程加成'!$I$5)/系数!$B$4+LOOKUP(D387,'模拟-单技能数据'!$A$2:$A$19,'模拟-单技能数据'!$L$2:$L$19)+BG387*10%</f>
        <v>2.162482885499879</v>
      </c>
      <c r="J387" s="45">
        <f ca="1">(('模拟-全程加成'!$K$3+'模拟-全程加成'!$K$4+'模拟-全程加成'!$K$5+('模拟-全程加成'!$C$6-'模拟-全程加成'!$C$3)*系数!$B$10+IF(BV387&gt;0,882,0)+IF(BY387&gt;0,1831,0))*(1+'模拟-全程加成'!$L$4+'模拟-全程加成'!$L$5+CC387*20%))/系数!$B$5</f>
        <v>0.69723220422048726</v>
      </c>
      <c r="K387" s="119">
        <f ca="1">LOOKUP(D387,'模拟-单技能数据'!$A$2:$A$19,'模拟-单技能数据'!$J$2:$J$19)+IF(CM387,60%,0)+IF(DB386-DB387&gt;0,30%,0)+IF(OR(AND(OR(C387="赤日轮1",C387="赤日轮2",C387="赤日轮3"),CR387),AND(OR(C387="幽月轮1",C387="幽月轮2",C387="幽月轮3"),CS387)),35%,0)+CJ387</f>
        <v>1.1000000000000001</v>
      </c>
      <c r="L387" s="119">
        <f ca="1">IF(AND(C387="烈日斩",模拟模式!$X$11=1),10%,0)+IF(AND(C387="驱夜断愁",AB387=1),30%,0)</f>
        <v>0</v>
      </c>
      <c r="M387" s="45">
        <f t="shared" ref="M387:M450" ca="1" si="353">MIN(H387,1-$F$10-$F$11)</f>
        <v>0.54185145527300216</v>
      </c>
      <c r="N387" s="45">
        <f t="shared" ref="N387:N450" ca="1" si="354">1-$F$10-$F$11-M387</f>
        <v>0.40424854472699789</v>
      </c>
      <c r="O387" s="46">
        <f t="shared" ca="1" si="322"/>
        <v>0.68812475022559172</v>
      </c>
      <c r="P387" s="46" t="str">
        <f t="shared" ca="1" si="323"/>
        <v>命</v>
      </c>
      <c r="Q387" s="45">
        <f t="shared" ca="1" si="324"/>
        <v>1</v>
      </c>
      <c r="R387" s="117">
        <f ca="1">模拟模式!$E$20*(1-IF(模拟模式!$J$19="有",0.15,0))*(1-IF(模拟模式!$K$19="有",0.3,0)-IF(CQ387,0.5,0))</f>
        <v>843.02999999999975</v>
      </c>
      <c r="S387" s="45">
        <f ca="1">R387/(R387+(185*模拟模式!$E$22-16800)*4.08224)</f>
        <v>8.389626085980037E-2</v>
      </c>
      <c r="T387" s="45" t="str">
        <f ca="1">LOOKUP(D387,'模拟-单技能数据'!$A$2:$A$19,'模拟-单技能数据'!$H$2:$H$19)</f>
        <v>阳</v>
      </c>
      <c r="U387" s="119">
        <f t="shared" ref="U387:U450" ca="1" si="355">IF(T387="阳",$I$3,IF(T387="阴",$I$4,0))</f>
        <v>0.2</v>
      </c>
      <c r="V387" s="47">
        <f ca="1">(1+L387)*(LOOKUP(D387,'模拟-单技能数据'!$A$2:$A$19,'模拟-单技能数据'!$D$2:$D$19)+G387*LOOKUP(D387,'模拟-单技能数据'!$A$2:$A$19,'模拟-单技能数据'!$F$2:$F$19))*(1+J387)*(1+K387)*(1-S387)*(1+U387)*Q387*LOOKUP(D387,'模拟-单技能数据'!$A$2:$A$19,'模拟-单技能数据'!$I$2:$I$20)</f>
        <v>110337.92595746904</v>
      </c>
      <c r="W387" s="47">
        <f ca="1">LOOKUP(D387,'模拟-单技能数据'!$A$2:$A$19,'模拟-单技能数据'!$G$2:$G$19)*$I$10</f>
        <v>723.0212870940959</v>
      </c>
      <c r="X387" s="47">
        <f t="shared" ca="1" si="325"/>
        <v>31787.369043325212</v>
      </c>
      <c r="Y387" s="47">
        <f t="shared" ref="Y387:Y450" ca="1" si="356">V387+W387+X387</f>
        <v>142848.31628788836</v>
      </c>
      <c r="Z387" s="49">
        <f t="shared" ref="Z387:Z450" ca="1" si="357">Z386+Y387</f>
        <v>37660651.575939283</v>
      </c>
      <c r="AA387" s="97">
        <f t="shared" ref="AA387:AA450" ca="1" si="358">Z387/B387</f>
        <v>113401.54042739823</v>
      </c>
      <c r="AB387" s="115">
        <f ca="1">IF(OR(C387="赤日轮1",C387="赤日轮2",C387="赤日轮3"),IF(RAND()&lt;模拟模式!$Y$17,1,0),IF(OR(C387="幽月轮1",C387="幽月轮2",C387="幽月轮3"),IF(RAND()&lt;模拟模式!$Y$18,1,0),IF(C387="烈日斩",IF(RAND()&lt;模拟模式!$Y$19,1,0),IF(C387="银月斩",IF(RAND()&lt;模拟模式!$Y$20,1,0),IF(C387="驱夜断愁",IF(RAND()&lt;模拟模式!$Y$21,1,0),IF(C387="净世破魔击·日",IF(RAND()&lt;模拟模式!$Y$22,1,0),IF(C387="净世破魔击·月",IF(RAND()&lt;模拟模式!$Y$23,1,0),0)))))))</f>
        <v>1</v>
      </c>
      <c r="AC387" s="115" t="b">
        <f t="shared" ca="1" si="346"/>
        <v>0</v>
      </c>
      <c r="AD387" s="115" t="b">
        <f t="shared" ca="1" si="310"/>
        <v>1</v>
      </c>
      <c r="AE387" s="115">
        <f t="shared" ca="1" si="311"/>
        <v>3</v>
      </c>
      <c r="AF387" s="47">
        <f ca="1">IF(AC387,('模拟-单技能数据'!$D$20+G387*'模拟-单技能数据'!$F$20)*(1+J387)*(1+'模拟-单技能数据'!$J$20)*(1+U387),0)</f>
        <v>0</v>
      </c>
      <c r="AG387" s="61">
        <f t="shared" ref="AG387:AG450" ca="1" si="359">IF(AF387&gt;0,M387,AG386)</f>
        <v>0.64185145527300214</v>
      </c>
      <c r="AH387" s="61">
        <f t="shared" ref="AH387:AH450" ca="1" si="360">IF(AF387&gt;0,I387,AH386)</f>
        <v>2.2624828854998791</v>
      </c>
      <c r="AI387" s="62">
        <f t="shared" ca="1" si="326"/>
        <v>2.0443288294823336E-2</v>
      </c>
      <c r="AJ387" s="47">
        <f ca="1">IF(AD387,IF(AI387&lt;$F$10,0,IF(AI387&lt;$F$10+$F$11,0.25,IF(AI387&lt;$F$10+$F$11+AG387,AH387,1)))*IF(AF387&gt;0,AF387,IF(AF386&gt;0,AF386,IF(AF385&gt;0,AF385,IF(AF384&gt;0,AF384,IF(AF383&gt;0,AF383,IF(AF382&gt;0,AF382,IF(AF381&gt;0,AF381,IF(AF380&gt;0,AF380,IF(AF379&gt;0,AF379,IF(AF377&gt;0,AF377,IF(AF376&gt;0,AF376,IF(AF375&gt;0,AF375,0)))))))))))),0)*(1-$S387)*'模拟-单技能数据'!$I$20</f>
        <v>1062.6220839292735</v>
      </c>
      <c r="AK387" s="115" t="b">
        <f t="shared" ca="1" si="347"/>
        <v>1</v>
      </c>
      <c r="AL387" s="115" t="b">
        <f t="shared" ca="1" si="312"/>
        <v>1</v>
      </c>
      <c r="AM387" s="115">
        <f t="shared" ca="1" si="313"/>
        <v>5</v>
      </c>
      <c r="AN387" s="47">
        <f ca="1">IF(AK387,('模拟-单技能数据'!$D$21+G387*'模拟-单技能数据'!$F$21)*(1+J387)*(1+'模拟-单技能数据'!$J$21)*(1+U387),0)</f>
        <v>12670.936004857545</v>
      </c>
      <c r="AO387" s="61">
        <f ca="1">IF(AN387&gt;0,M387-'模拟-单技能数据'!$K$10,AO386)</f>
        <v>0.42185145527300216</v>
      </c>
      <c r="AP387" s="61">
        <f ca="1">IF(AN387&gt;0,I387-'模拟-单技能数据'!$L$10,AP386)</f>
        <v>2.162482885499879</v>
      </c>
      <c r="AQ387" s="63">
        <f t="shared" ca="1" si="327"/>
        <v>0.96252194310326722</v>
      </c>
      <c r="AR387" s="64">
        <f ca="1">IF(AL387,IF(AQ387&lt;$F$10,0,IF(AQ387&lt;$F$10+$F$11,0.25,IF(AQ387&lt;$F$10+$F$11+AO387,AP387,1)))*IF(AN387&gt;0,AN387,IF(AN386&gt;0,AN386,IF(AN385&gt;0,AN385,IF(AN384&gt;0,AN384,IF(AN383&gt;0,AN383,IF(AN382&gt;0,AN382,IF(AN381&gt;0,AN381,IF(AN380&gt;0,AN380,IF(AN379&gt;0,AN379,IF(AN377&gt;0,AN377,IF(AN376&gt;0,AN376,IF(AN375&gt;0,AN375,0)))))))))))),0)*(1-$S387)*'模拟-单技能数据'!$I$21</f>
        <v>11607.89185245618</v>
      </c>
      <c r="AS387" s="61">
        <f ca="1">IF(OR(C387="净世破魔击·日",C387="净世破魔击·月"),M387-'模拟-单技能数据'!$K$10,0)</f>
        <v>0.42185145527300216</v>
      </c>
      <c r="AT387" s="61">
        <f ca="1">IF(OR(C387="净世破魔击·日",C387="净世破魔击·月"),I387-'模拟-单技能数据'!$L$10,0)</f>
        <v>2.162482885499879</v>
      </c>
      <c r="AU387" s="62">
        <f t="shared" ca="1" si="328"/>
        <v>0.33288766750113286</v>
      </c>
      <c r="AV387" s="64">
        <f ca="1">IF(AS387&gt;0,('模拟-单技能数据'!$D$22+G387*'模拟-单技能数据'!$F$22)*(1+J387)*(1-S387)*IF(AU387&lt;$F$10,0,IF(AU387&lt;$F$10+$F$11,0.25,IF(AU387&lt;$F$10+$F$11+AS387,AT387,1)))*(1+U387),0)*'模拟-单技能数据'!$I$22</f>
        <v>19116.855106939758</v>
      </c>
      <c r="AW387" s="108">
        <f t="shared" ca="1" si="329"/>
        <v>18.155000000000001</v>
      </c>
      <c r="AX387" s="108" t="b">
        <f ca="1">AND(模拟模式!$P$10="有",AW386=0,RAND()&lt;IF(C387="净世破魔击·月",0.1*8/3,IF(C387="净世破魔击·日",0.1*4/3,0.1*2/3)))</f>
        <v>0</v>
      </c>
      <c r="AY387" s="47">
        <f ca="1">IF(AX387,(18+G387*0.722)*(1+J387)*(1-S387)*(1+$I$4)*IF(P387="会",'模拟-全程加成'!$J$3+'模拟-全程加成'!$J$4+'模拟-全程加成'!$J$5+('模拟-全程加成'!$I$4+'模拟-全程加成'!$I$5)/系数!$B$4+BG387*10%,IF(P387="命",1,IF(P387="识",0.25,0))),0)</f>
        <v>0</v>
      </c>
      <c r="AZ387" s="108">
        <f t="shared" si="330"/>
        <v>12.620000000000005</v>
      </c>
      <c r="BA387" s="108" t="b">
        <f>AND(模拟模式!$Q$10="有",AZ386=0)</f>
        <v>0</v>
      </c>
      <c r="BB387" s="140">
        <f>IF(BA387,(0+G387*0.287)*(1+J387)*(1-S387)*(1+$I$4)*IF(P387="会",'模拟-全程加成'!$J$3+'模拟-全程加成'!$J$4+'模拟-全程加成'!$J$5+('模拟-全程加成'!$I$4+'模拟-全程加成'!$I$5)/系数!$B$4+BG387*10%,IF(P387="命",1,IF(P387="识",0.25,0))),0)</f>
        <v>0</v>
      </c>
      <c r="BC387" s="115" t="b">
        <f ca="1">AND(模拟模式!$R$7="伏明众生",E387=60,F387=20,DA387&lt;5,CZ386&lt;$F$4)</f>
        <v>0</v>
      </c>
      <c r="BD387" s="115">
        <f t="shared" ca="1" si="348"/>
        <v>0</v>
      </c>
      <c r="BE387" s="115" t="b">
        <f t="shared" ca="1" si="349"/>
        <v>0</v>
      </c>
      <c r="BF387" s="47">
        <f ca="1">IF(BC387,4*('模拟-单技能数据'!$D$24+G387*'模拟-单技能数据'!$F$24)*(1+J387)*(1+'模拟-单技能数据'!$J$24)*(1-S387)*(1+$I$3)*(('模拟-全程加成'!$J$3+'模拟-全程加成'!$J$4+'模拟-全程加成'!$J$5+('模拟-全程加成'!$I$4+'模拟-全程加成'!$I$5)/系数!$B$4+BG387*10%)*('模拟-全程加成'!$J$3+'模拟-全程加成'!$J$4+'模拟-全程加成'!$J$5+('模拟-全程加成'!$I$4+'模拟-全程加成'!$I$5)/系数!$B$4+BG387*10%)+(1-('模拟-全程加成'!$J$3+'模拟-全程加成'!$J$4+'模拟-全程加成'!$J$5+('模拟-全程加成'!$I$4+'模拟-全程加成'!$I$5)/系数!$B$4+BG387*10%)-$F$10-$F$11)+F373*0.25),0)*'模拟-单技能数据'!$I$24</f>
        <v>0</v>
      </c>
      <c r="BG387" s="115" t="b">
        <f ca="1">OR(AND(OR(C387="烈日斩",C387="银月斩"),模拟模式!$I$7="净身明礼"),AND(C387="净世破魔击·日",模拟模式!$J$7="洞若观火"),AND(C388="净世破魔击·月",模拟模式!$J$7="洞若观火"),AB387=1)</f>
        <v>1</v>
      </c>
      <c r="BH387" s="115" t="b">
        <f t="shared" ca="1" si="331"/>
        <v>0</v>
      </c>
      <c r="BI387" s="115">
        <f t="shared" ca="1" si="350"/>
        <v>5.0774999999999997</v>
      </c>
      <c r="BJ387" s="115" t="b">
        <f t="shared" ref="BJ387:BJ450" ca="1" si="361">BI387&gt;0</f>
        <v>1</v>
      </c>
      <c r="BK387" s="115" t="b">
        <f ca="1">AND(C387="驱夜断愁",模拟模式!$P$7="天地诛戮")</f>
        <v>0</v>
      </c>
      <c r="BL387" s="57">
        <f t="shared" ca="1" si="351"/>
        <v>16.310000000000002</v>
      </c>
      <c r="BM387" s="115" t="b">
        <f t="shared" ref="BM387:BM450" ca="1" si="362">BL387&gt;0</f>
        <v>1</v>
      </c>
      <c r="BN387" s="115" t="b">
        <f ca="1">AND(OR(C387="赤日轮1",C387="赤日轮2",C387="赤日轮3",C387="幽月轮1",C387="幽月轮2",C387="幽月轮3"),AB387=1,模拟模式!$L$7="明光恒照")</f>
        <v>0</v>
      </c>
      <c r="BO387" s="117">
        <f t="shared" ca="1" si="352"/>
        <v>28.155000000000001</v>
      </c>
      <c r="BP387" s="115">
        <f t="shared" ca="1" si="332"/>
        <v>6</v>
      </c>
      <c r="BQ387" s="115" t="b">
        <f>模拟模式!$K$10="2600·水"</f>
        <v>0</v>
      </c>
      <c r="BR387" s="117">
        <f t="shared" si="333"/>
        <v>0</v>
      </c>
      <c r="BS387" s="115">
        <f t="shared" si="334"/>
        <v>0</v>
      </c>
      <c r="BT387" s="115">
        <f t="shared" ca="1" si="335"/>
        <v>0</v>
      </c>
      <c r="BU387" s="115" t="b">
        <f ca="1">AND(模拟模式!$K$10="2300·雷",BT386=0,RAND()&lt;IF(C387="净世破魔击·月",5*0.05*2/3,IF(C387="净世破魔击·日",3*0.05*2/3,0.05*2*2/3)))</f>
        <v>0</v>
      </c>
      <c r="BV387" s="115">
        <f t="shared" ca="1" si="336"/>
        <v>0</v>
      </c>
      <c r="BW387" s="115">
        <f t="shared" ca="1" si="337"/>
        <v>39.779999999999291</v>
      </c>
      <c r="BX387" s="164" t="b">
        <f t="shared" ca="1" si="338"/>
        <v>0</v>
      </c>
      <c r="BY387" s="115">
        <f t="shared" ca="1" si="339"/>
        <v>0</v>
      </c>
      <c r="BZ387" s="115">
        <f>IF(OR(模拟模式!$P$16="10人团",模拟模式!$P$16="25人团"),IF(B387/30&gt;CA386,1,0),0)</f>
        <v>0</v>
      </c>
      <c r="CA387" s="115">
        <f t="shared" si="315"/>
        <v>0</v>
      </c>
      <c r="CB387" s="115">
        <f ca="1">IF(BZ387=1,IF(模拟模式!$P$16="10人团",15,0)+IF(模拟模式!$P$16="25人团",IF(RAND()&lt;0.6,15,0)),MAX(0,CB386-$F$4))</f>
        <v>0</v>
      </c>
      <c r="CC387" s="115" t="b">
        <f t="shared" ref="CC387:CC450" ca="1" si="363">CB387&gt;0</f>
        <v>0</v>
      </c>
      <c r="CD387" s="115">
        <f>IF(模拟模式!$Q$16="1个",IF(B387/40&gt;CE386,1,0),0)</f>
        <v>0</v>
      </c>
      <c r="CE387" s="115">
        <f t="shared" ref="CE387:CE450" si="364">CE386+CD387</f>
        <v>0</v>
      </c>
      <c r="CF387" s="115">
        <f>IF(OR(CD387=1,模拟模式!$Q$16="2个"),20,MAX(0,CF386-$F$4))</f>
        <v>0</v>
      </c>
      <c r="CG387" s="115" t="b">
        <f t="shared" ref="CG387:CG450" si="365">CF387&gt;0</f>
        <v>0</v>
      </c>
      <c r="CH387" s="115">
        <f t="shared" ca="1" si="340"/>
        <v>2.3250000000000117</v>
      </c>
      <c r="CI387" s="115" t="b">
        <f t="shared" ca="1" si="341"/>
        <v>0</v>
      </c>
      <c r="CJ387" s="119">
        <f t="shared" ca="1" si="342"/>
        <v>0</v>
      </c>
      <c r="CK387" s="115">
        <f t="shared" ca="1" si="343"/>
        <v>0</v>
      </c>
      <c r="CL387" s="115" t="b">
        <f ca="1">AND(模拟模式!$S$7="驱夷逐法",OR(AND(C387="净世破魔击·月",E386&gt;59),AND(C387="净世破魔击·日",F386&gt;59)))</f>
        <v>0</v>
      </c>
      <c r="CM387" s="115" t="b">
        <f ca="1">OR(CL387,AND(C387="净世破魔击·日",CL386,RAND()&lt;模拟模式!$U$23))</f>
        <v>1</v>
      </c>
      <c r="CN387" s="115" t="b">
        <f ca="1">IF(模拟模式!$M$7="辉耀红尘",AND(C387="净世破魔击·月",CL387,CV387=0,E386&lt;80),AND(C387="净世破魔击·月",CL387,E386&lt;100))</f>
        <v>0</v>
      </c>
      <c r="CO387" s="115" t="b">
        <f t="shared" ca="1" si="316"/>
        <v>0</v>
      </c>
      <c r="CP387" s="115" t="b">
        <f ca="1">AND(模拟模式!$O$7="用晦而明",OR(C387="净世破魔击·日",C387="净世破魔击·月",C387="驱夜断愁"),AB387)</f>
        <v>1</v>
      </c>
      <c r="CQ387" s="115" t="b">
        <f ca="1">OR(CP387,AND(CP386,RAND()&lt;模拟模式!$U$23))</f>
        <v>1</v>
      </c>
      <c r="CR387" s="115" t="b">
        <f ca="1">AND(模拟模式!$S$7="日月齐光",OR(C387="幽月轮1",C387="幽月轮2",C387="幽月轮3",CR386),NOT(OR(C387="赤日轮1",C387="赤日轮2",C387="赤日轮3")))</f>
        <v>0</v>
      </c>
      <c r="CS387" s="115" t="b">
        <f ca="1">AND(模拟模式!$S$7="日月齐光",OR(C387="赤日轮1",C387="赤日轮2",C387="赤日轮3",CS386),NOT(OR(C387="幽月轮1",C387="幽月轮2",C387="幽月轮3")))</f>
        <v>0</v>
      </c>
      <c r="CT387" s="115">
        <f t="shared" ca="1" si="344"/>
        <v>0</v>
      </c>
      <c r="CU387" s="115" t="b">
        <f ca="1">AND(模拟模式!$K$10="阴阳往极",CT386=0,RAND()&lt;IF(C387="净世破魔击·月",0.0275*7/3,IF(C387="净世破魔击·日",0.0275*3/3,0.0275*2/3)))</f>
        <v>0</v>
      </c>
      <c r="CV387" s="115">
        <f t="shared" ca="1" si="345"/>
        <v>0</v>
      </c>
      <c r="CW387" s="115">
        <f t="shared" ca="1" si="317"/>
        <v>3.2324999999999995</v>
      </c>
      <c r="CX387" s="115">
        <f t="shared" ca="1" si="318"/>
        <v>1.3874999999999997</v>
      </c>
      <c r="CY387" s="115">
        <f ca="1">MAX(IF($C387="驱夜断愁",IF(模拟模式!$R$7="万念俱寂",6,45),CY386-$F$4),0)</f>
        <v>2.3099999999999996</v>
      </c>
      <c r="CZ387" s="115">
        <f t="shared" ca="1" si="319"/>
        <v>0</v>
      </c>
      <c r="DA387" s="115">
        <f ca="1">IF(模拟模式!$N$7="日月同辉",IF(DB386=2,0,MIN(6,IF(AND(OR(C387="赤日轮1",C387="赤日轮2",C387="赤日轮3",C387="幽月轮1",C387="幽月轮2",C387="幽月轮3"),AB387=1),DA386+1,DA386))),0)</f>
        <v>0</v>
      </c>
      <c r="DB387" s="115">
        <f t="shared" ca="1" si="320"/>
        <v>0</v>
      </c>
      <c r="DC387" s="115"/>
      <c r="DD387" s="115"/>
      <c r="DE387" s="115"/>
      <c r="DF387" s="115"/>
      <c r="DG387" s="115"/>
      <c r="DH387" s="115"/>
      <c r="DI387" s="115"/>
      <c r="DJ387" s="115"/>
      <c r="DK387" s="115"/>
      <c r="DL387" s="115"/>
      <c r="DM387" s="115"/>
    </row>
    <row r="388" spans="2:117" x14ac:dyDescent="0.2">
      <c r="B388" s="117">
        <f t="shared" si="321"/>
        <v>333.02250000000294</v>
      </c>
      <c r="C388" s="167" t="str">
        <f t="shared" ca="1" si="314"/>
        <v>净世破魔击·月</v>
      </c>
      <c r="D388" s="115">
        <f ca="1">IF(C388="赤日轮1",1,IF(C388="赤日轮2",2,IF(C388="赤日轮3",3,IF(C388="幽月轮1",4,IF(C388="幽月轮2",5,IF(C388="幽月轮3",6,IF(C388="烈日斩",7,IF(C388="银月斩",8,IF(C388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388="净世破魔击·月",17,IF(C388="驱夜断愁",18,0)))))))))))</f>
        <v>17</v>
      </c>
      <c r="E388" s="115">
        <f ca="1">IF(AND(CU388,OR(C388="幽月轮1",C388="幽月轮2",C388="幽月轮3",C388="银月斩",C388="驱夜断愁",C388="净世破魔击·月")),100,MIN(IF(OR(CN388,BE388),0,IF(OR($C388="赤日轮1",$C388="赤日轮2",$C388="赤日轮3"),E387+20+IF(模拟模式!$I$7="日月凌天",4,0)+IF(CR387,20,0),IF($C388="烈日斩",E387+40,IF($C388="驱夜断愁",IF(模拟模式!$R$7="万念俱寂",E387+20,E387+60),IF($C388="净世破魔击·月",IF(OR(DB387&gt;0,CV387&gt;0),100,IF(模拟模式!$M$7="辉耀红尘",E387+20,E387)),IF($C388="净世破魔击·日",E387-100,E387)))))),100))</f>
        <v>20</v>
      </c>
      <c r="F388" s="115">
        <f ca="1">IF(AND(CU388,OR(C388="赤日轮1",C388="赤日轮2",C388="赤日轮3",C388="烈日斩",C388="净世破魔击·日")),100,MIN(IF(CO388,0,IF(OR($C388="幽月轮1",$C388="幽月轮2",$C388="幽月轮3"),F387+20+IF(模拟模式!$I$7="日月凌天",4,0)+IF(CS387,20,0),IF($C388="银月斩",F387+40+IF(模拟模式!$X$12=1,5,0),IF($C388="驱夜断愁",IF(模拟模式!$R$7="万念俱寂",F387+20,F387+60),IF($C388="净世破魔击·月",IF(模拟模式!$M$7="辉耀红尘",F387-80,F387-100),IF(AND(C388="净世破魔击·日",OR(DB387&gt;0,CV387&gt;0)),100,F387)))))),100))</f>
        <v>20</v>
      </c>
      <c r="G388" s="117">
        <f ca="1">('模拟-全程加成'!$E$3+'模拟-全程加成'!$E$4+'模拟-全程加成'!$E$5+('模拟-全程加成'!$C$6-'模拟-全程加成'!$C$3)*系数!$B$9+BS388*23)*(1+'模拟-全程加成'!$F$4+'模拟-全程加成'!$F$5+BJ388*10%+BM388*20%+BP388*4%+CG388*30%)+$F$7*系数!$B$12</f>
        <v>21493.829400000002</v>
      </c>
      <c r="H388" s="45">
        <f ca="1">'模拟-全程加成'!$H$3+'模拟-全程加成'!$H$4+'模拟-全程加成'!$H$5+('模拟-全程加成'!$G$4+'模拟-全程加成'!$G$5+('模拟-全程加成'!$C$6-'模拟-全程加成'!$C$3)*系数!$B$13)/系数!$B$3+LOOKUP(D388,'模拟-单技能数据'!$A$2:$A$19,'模拟-单技能数据'!$K$2:$K$19)+BG388*10%+IF(BV388&gt;0,378,0)</f>
        <v>0.54185145527300216</v>
      </c>
      <c r="I388" s="45">
        <f ca="1">'模拟-全程加成'!$J$3+'模拟-全程加成'!$J$4+'模拟-全程加成'!$J$5+('模拟-全程加成'!$I$4+'模拟-全程加成'!$I$5)/系数!$B$4+LOOKUP(D388,'模拟-单技能数据'!$A$2:$A$19,'模拟-单技能数据'!$L$2:$L$19)+BG388*10%</f>
        <v>2.162482885499879</v>
      </c>
      <c r="J388" s="45">
        <f ca="1">(('模拟-全程加成'!$K$3+'模拟-全程加成'!$K$4+'模拟-全程加成'!$K$5+('模拟-全程加成'!$C$6-'模拟-全程加成'!$C$3)*系数!$B$10+IF(BV388&gt;0,882,0)+IF(BY388&gt;0,1831,0))*(1+'模拟-全程加成'!$L$4+'模拟-全程加成'!$L$5+CC388*20%))/系数!$B$5</f>
        <v>0.69723220422048726</v>
      </c>
      <c r="K388" s="119">
        <f ca="1">LOOKUP(D388,'模拟-单技能数据'!$A$2:$A$19,'模拟-单技能数据'!$J$2:$J$19)+IF(CM388,60%,0)+IF(DB387-DB388&gt;0,30%,0)+IF(OR(AND(OR(C388="赤日轮1",C388="赤日轮2",C388="赤日轮3"),CR388),AND(OR(C388="幽月轮1",C388="幽月轮2",C388="幽月轮3"),CS388)),35%,0)+CJ388</f>
        <v>0.2</v>
      </c>
      <c r="L388" s="119">
        <f ca="1">IF(AND(C388="烈日斩",模拟模式!$X$11=1),10%,0)+IF(AND(C388="驱夜断愁",AB388=1),30%,0)</f>
        <v>0</v>
      </c>
      <c r="M388" s="45">
        <f t="shared" ca="1" si="353"/>
        <v>0.54185145527300216</v>
      </c>
      <c r="N388" s="45">
        <f t="shared" ca="1" si="354"/>
        <v>0.40424854472699789</v>
      </c>
      <c r="O388" s="46">
        <f t="shared" ca="1" si="322"/>
        <v>0.29718892216466963</v>
      </c>
      <c r="P388" s="46" t="str">
        <f t="shared" ca="1" si="323"/>
        <v>会</v>
      </c>
      <c r="Q388" s="45">
        <f t="shared" ca="1" si="324"/>
        <v>2.162482885499879</v>
      </c>
      <c r="R388" s="117">
        <f ca="1">模拟模式!$E$20*(1-IF(模拟模式!$J$19="有",0.15,0))*(1-IF(模拟模式!$K$19="有",0.3,0)-IF(CQ388,0.5,0))</f>
        <v>843.02999999999975</v>
      </c>
      <c r="S388" s="45">
        <f ca="1">R388/(R388+(185*模拟模式!$E$22-16800)*4.08224)</f>
        <v>8.389626085980037E-2</v>
      </c>
      <c r="T388" s="45" t="str">
        <f ca="1">LOOKUP(D388,'模拟-单技能数据'!$A$2:$A$19,'模拟-单技能数据'!$H$2:$H$19)</f>
        <v>阴</v>
      </c>
      <c r="U388" s="119">
        <f t="shared" ca="1" si="355"/>
        <v>0.08</v>
      </c>
      <c r="V388" s="47">
        <f ca="1">(1+L388)*(LOOKUP(D388,'模拟-单技能数据'!$A$2:$A$19,'模拟-单技能数据'!$D$2:$D$19)+G388*LOOKUP(D388,'模拟-单技能数据'!$A$2:$A$19,'模拟-单技能数据'!$F$2:$F$19))*(1+J388)*(1+K388)*(1-S388)*(1+U388)*Q388*LOOKUP(D388,'模拟-单技能数据'!$A$2:$A$19,'模拟-单技能数据'!$I$2:$I$20)</f>
        <v>121694.14741267689</v>
      </c>
      <c r="W388" s="47">
        <f ca="1">LOOKUP(D388,'模拟-单技能数据'!$A$2:$A$19,'模拟-单技能数据'!$G$2:$G$19)*$I$10</f>
        <v>361.51064354704795</v>
      </c>
      <c r="X388" s="47">
        <f t="shared" ca="1" si="325"/>
        <v>7956.2107573714466</v>
      </c>
      <c r="Y388" s="47">
        <f t="shared" ca="1" si="356"/>
        <v>130011.86881359539</v>
      </c>
      <c r="Z388" s="49">
        <f t="shared" ca="1" si="357"/>
        <v>37790663.444752879</v>
      </c>
      <c r="AA388" s="97">
        <f t="shared" ca="1" si="358"/>
        <v>113477.80839058185</v>
      </c>
      <c r="AB388" s="115">
        <f ca="1">IF(OR(C388="赤日轮1",C388="赤日轮2",C388="赤日轮3"),IF(RAND()&lt;模拟模式!$Y$17,1,0),IF(OR(C388="幽月轮1",C388="幽月轮2",C388="幽月轮3"),IF(RAND()&lt;模拟模式!$Y$18,1,0),IF(C388="烈日斩",IF(RAND()&lt;模拟模式!$Y$19,1,0),IF(C388="银月斩",IF(RAND()&lt;模拟模式!$Y$20,1,0),IF(C388="驱夜断愁",IF(RAND()&lt;模拟模式!$Y$21,1,0),IF(C388="净世破魔击·日",IF(RAND()&lt;模拟模式!$Y$22,1,0),IF(C388="净世破魔击·月",IF(RAND()&lt;模拟模式!$Y$23,1,0),0)))))))</f>
        <v>1</v>
      </c>
      <c r="AC388" s="115" t="b">
        <f t="shared" ca="1" si="346"/>
        <v>0</v>
      </c>
      <c r="AD388" s="115" t="b">
        <f t="shared" ref="AD388:AD451" ca="1" si="366">IF(AD387+AD386=1,IF(AE387&gt;0,NOT(AD387),FALSE),AC388)</f>
        <v>0</v>
      </c>
      <c r="AE388" s="115">
        <f t="shared" ref="AE388:AE451" ca="1" si="367">IF(AC388,IF(AD386+AD387=0,6,6-AD388),AE387-AD388)</f>
        <v>3</v>
      </c>
      <c r="AF388" s="47">
        <f ca="1">IF(AC388,('模拟-单技能数据'!$D$20+G388*'模拟-单技能数据'!$F$20)*(1+J388)*(1+'模拟-单技能数据'!$J$20)*(1+U388),0)</f>
        <v>0</v>
      </c>
      <c r="AG388" s="61">
        <f t="shared" ca="1" si="359"/>
        <v>0.64185145527300214</v>
      </c>
      <c r="AH388" s="61">
        <f t="shared" ca="1" si="360"/>
        <v>2.2624828854998791</v>
      </c>
      <c r="AI388" s="62">
        <f t="shared" ca="1" si="326"/>
        <v>2.2040027469150902E-2</v>
      </c>
      <c r="AJ388" s="47">
        <f ca="1">IF(AD388,IF(AI388&lt;$F$10,0,IF(AI388&lt;$F$10+$F$11,0.25,IF(AI388&lt;$F$10+$F$11+AG388,AH388,1)))*IF(AF388&gt;0,AF388,IF(AF387&gt;0,AF387,IF(AF386&gt;0,AF386,IF(AF385&gt;0,AF385,IF(AF384&gt;0,AF384,IF(AF383&gt;0,AF383,IF(AF382&gt;0,AF382,IF(AF381&gt;0,AF381,IF(AF380&gt;0,AF380,IF(AF378&gt;0,AF378,IF(AF377&gt;0,AF377,IF(AF376&gt;0,AF376,0)))))))))))),0)*(1-$S388)*'模拟-单技能数据'!$I$20</f>
        <v>0</v>
      </c>
      <c r="AK388" s="115" t="b">
        <f t="shared" ca="1" si="347"/>
        <v>0</v>
      </c>
      <c r="AL388" s="115" t="b">
        <f t="shared" ref="AL388:AL451" ca="1" si="368">IF(AL387+AL386=1,IF(AM387&gt;0,NOT(AL387),FALSE),AK388)</f>
        <v>0</v>
      </c>
      <c r="AM388" s="115">
        <f t="shared" ref="AM388:AM451" ca="1" si="369">IF(AK388,IF(AL386+AL387=0,6,6-AL388),AM387-AL388)</f>
        <v>5</v>
      </c>
      <c r="AN388" s="47">
        <f ca="1">IF(AK388,('模拟-单技能数据'!$D$21+G388*'模拟-单技能数据'!$F$21)*(1+J388)*(1+'模拟-单技能数据'!$J$21)*(1+U388),0)</f>
        <v>0</v>
      </c>
      <c r="AO388" s="61">
        <f ca="1">IF(AN388&gt;0,M388-'模拟-单技能数据'!$K$10,AO387)</f>
        <v>0.42185145527300216</v>
      </c>
      <c r="AP388" s="61">
        <f ca="1">IF(AN388&gt;0,I388-'模拟-单技能数据'!$L$10,AP387)</f>
        <v>2.162482885499879</v>
      </c>
      <c r="AQ388" s="63">
        <f t="shared" ca="1" si="327"/>
        <v>0.31253047283342583</v>
      </c>
      <c r="AR388" s="64">
        <f ca="1">IF(AL388,IF(AQ388&lt;$F$10,0,IF(AQ388&lt;$F$10+$F$11,0.25,IF(AQ388&lt;$F$10+$F$11+AO388,AP388,1)))*IF(AN388&gt;0,AN388,IF(AN387&gt;0,AN387,IF(AN386&gt;0,AN386,IF(AN385&gt;0,AN385,IF(AN384&gt;0,AN384,IF(AN383&gt;0,AN383,IF(AN382&gt;0,AN382,IF(AN381&gt;0,AN381,IF(AN380&gt;0,AN380,IF(AN378&gt;0,AN378,IF(AN377&gt;0,AN377,IF(AN376&gt;0,AN376,0)))))))))))),0)*(1-$S388)*'模拟-单技能数据'!$I$21</f>
        <v>0</v>
      </c>
      <c r="AS388" s="61">
        <f ca="1">IF(OR(C388="净世破魔击·日",C388="净世破魔击·月"),M388-'模拟-单技能数据'!$K$10,0)</f>
        <v>0.42185145527300216</v>
      </c>
      <c r="AT388" s="61">
        <f ca="1">IF(OR(C388="净世破魔击·日",C388="净世破魔击·月"),I388-'模拟-单技能数据'!$L$10,0)</f>
        <v>2.162482885499879</v>
      </c>
      <c r="AU388" s="62">
        <f t="shared" ca="1" si="328"/>
        <v>0.88986624136313452</v>
      </c>
      <c r="AV388" s="64">
        <f ca="1">IF(AS388&gt;0,('模拟-单技能数据'!$D$22+G388*'模拟-单技能数据'!$F$22)*(1+J388)*(1-S388)*IF(AU388&lt;$F$10,0,IF(AU388&lt;$F$10+$F$11,0.25,IF(AU388&lt;$F$10+$F$11+AS388,AT388,1)))*(1+U388),0)*'模拟-单技能数据'!$I$22</f>
        <v>7956.2107573714466</v>
      </c>
      <c r="AW388" s="108">
        <f t="shared" ca="1" si="329"/>
        <v>17.232500000000002</v>
      </c>
      <c r="AX388" s="108" t="b">
        <f ca="1">AND(模拟模式!$P$10="有",AW387=0,RAND()&lt;IF(C388="净世破魔击·月",0.1*8/3,IF(C388="净世破魔击·日",0.1*4/3,0.1*2/3)))</f>
        <v>0</v>
      </c>
      <c r="AY388" s="47">
        <f ca="1">IF(AX388,(18+G388*0.722)*(1+J388)*(1-S388)*(1+$I$4)*IF(P388="会",'模拟-全程加成'!$J$3+'模拟-全程加成'!$J$4+'模拟-全程加成'!$J$5+('模拟-全程加成'!$I$4+'模拟-全程加成'!$I$5)/系数!$B$4+BG388*10%,IF(P388="命",1,IF(P388="识",0.25,0))),0)</f>
        <v>0</v>
      </c>
      <c r="AZ388" s="108">
        <f t="shared" si="330"/>
        <v>11.697500000000005</v>
      </c>
      <c r="BA388" s="108" t="b">
        <f>AND(模拟模式!$Q$10="有",AZ387=0)</f>
        <v>0</v>
      </c>
      <c r="BB388" s="140">
        <f>IF(BA388,(0+G388*0.287)*(1+J388)*(1-S388)*(1+$I$4)*IF(P388="会",'模拟-全程加成'!$J$3+'模拟-全程加成'!$J$4+'模拟-全程加成'!$J$5+('模拟-全程加成'!$I$4+'模拟-全程加成'!$I$5)/系数!$B$4+BG388*10%,IF(P388="命",1,IF(P388="识",0.25,0))),0)</f>
        <v>0</v>
      </c>
      <c r="BC388" s="115" t="b">
        <f ca="1">AND(模拟模式!$R$7="伏明众生",E388=60,F388=20,DA388&lt;5,CZ387&lt;$F$4)</f>
        <v>0</v>
      </c>
      <c r="BD388" s="115">
        <f t="shared" ca="1" si="348"/>
        <v>0</v>
      </c>
      <c r="BE388" s="115" t="b">
        <f t="shared" ca="1" si="349"/>
        <v>0</v>
      </c>
      <c r="BF388" s="47">
        <f ca="1">IF(BC388,4*('模拟-单技能数据'!$D$24+G388*'模拟-单技能数据'!$F$24)*(1+J388)*(1+'模拟-单技能数据'!$J$24)*(1-S388)*(1+$I$3)*(('模拟-全程加成'!$J$3+'模拟-全程加成'!$J$4+'模拟-全程加成'!$J$5+('模拟-全程加成'!$I$4+'模拟-全程加成'!$I$5)/系数!$B$4+BG388*10%)*('模拟-全程加成'!$J$3+'模拟-全程加成'!$J$4+'模拟-全程加成'!$J$5+('模拟-全程加成'!$I$4+'模拟-全程加成'!$I$5)/系数!$B$4+BG388*10%)+(1-('模拟-全程加成'!$J$3+'模拟-全程加成'!$J$4+'模拟-全程加成'!$J$5+('模拟-全程加成'!$I$4+'模拟-全程加成'!$I$5)/系数!$B$4+BG388*10%)-$F$10-$F$11)+F374*0.25),0)*'模拟-单技能数据'!$I$24</f>
        <v>0</v>
      </c>
      <c r="BG388" s="115" t="b">
        <f ca="1">OR(AND(OR(C388="烈日斩",C388="银月斩"),模拟模式!$I$7="净身明礼"),AND(C388="净世破魔击·日",模拟模式!$J$7="洞若观火"),AND(C389="净世破魔击·月",模拟模式!$J$7="洞若观火"),AB388=1)</f>
        <v>1</v>
      </c>
      <c r="BH388" s="115" t="b">
        <f t="shared" ca="1" si="331"/>
        <v>0</v>
      </c>
      <c r="BI388" s="115">
        <f t="shared" ca="1" si="350"/>
        <v>4.1549999999999994</v>
      </c>
      <c r="BJ388" s="115" t="b">
        <f t="shared" ca="1" si="361"/>
        <v>1</v>
      </c>
      <c r="BK388" s="115" t="b">
        <f ca="1">AND(C388="驱夜断愁",模拟模式!$P$7="天地诛戮")</f>
        <v>0</v>
      </c>
      <c r="BL388" s="57">
        <f t="shared" ca="1" si="351"/>
        <v>15.387500000000003</v>
      </c>
      <c r="BM388" s="115" t="b">
        <f t="shared" ca="1" si="362"/>
        <v>1</v>
      </c>
      <c r="BN388" s="115" t="b">
        <f ca="1">AND(OR(C388="赤日轮1",C388="赤日轮2",C388="赤日轮3",C388="幽月轮1",C388="幽月轮2",C388="幽月轮3"),AB388=1,模拟模式!$L$7="明光恒照")</f>
        <v>0</v>
      </c>
      <c r="BO388" s="117">
        <f t="shared" ca="1" si="352"/>
        <v>27.232500000000002</v>
      </c>
      <c r="BP388" s="115">
        <f t="shared" ca="1" si="332"/>
        <v>6</v>
      </c>
      <c r="BQ388" s="115" t="b">
        <f>模拟模式!$K$10="2600·水"</f>
        <v>0</v>
      </c>
      <c r="BR388" s="117">
        <f t="shared" si="333"/>
        <v>0</v>
      </c>
      <c r="BS388" s="115">
        <f t="shared" si="334"/>
        <v>0</v>
      </c>
      <c r="BT388" s="115">
        <f t="shared" ca="1" si="335"/>
        <v>0</v>
      </c>
      <c r="BU388" s="115" t="b">
        <f ca="1">AND(模拟模式!$K$10="2300·雷",BT387=0,RAND()&lt;IF(C388="净世破魔击·月",5*0.05*2/3,IF(C388="净世破魔击·日",3*0.05*2/3,0.05*2*2/3)))</f>
        <v>0</v>
      </c>
      <c r="BV388" s="115">
        <f t="shared" ca="1" si="336"/>
        <v>0</v>
      </c>
      <c r="BW388" s="115">
        <f t="shared" ca="1" si="337"/>
        <v>38.857499999999291</v>
      </c>
      <c r="BX388" s="164" t="b">
        <f t="shared" ca="1" si="338"/>
        <v>0</v>
      </c>
      <c r="BY388" s="115">
        <f t="shared" ca="1" si="339"/>
        <v>0</v>
      </c>
      <c r="BZ388" s="115">
        <f>IF(OR(模拟模式!$P$16="10人团",模拟模式!$P$16="25人团"),IF(B388/30&gt;CA387,1,0),0)</f>
        <v>0</v>
      </c>
      <c r="CA388" s="115">
        <f t="shared" si="315"/>
        <v>0</v>
      </c>
      <c r="CB388" s="115">
        <f ca="1">IF(BZ388=1,IF(模拟模式!$P$16="10人团",15,0)+IF(模拟模式!$P$16="25人团",IF(RAND()&lt;0.6,15,0)),MAX(0,CB387-$F$4))</f>
        <v>0</v>
      </c>
      <c r="CC388" s="115" t="b">
        <f t="shared" ca="1" si="363"/>
        <v>0</v>
      </c>
      <c r="CD388" s="115">
        <f>IF(模拟模式!$Q$16="1个",IF(B388/40&gt;CE387,1,0),0)</f>
        <v>0</v>
      </c>
      <c r="CE388" s="115">
        <f t="shared" si="364"/>
        <v>0</v>
      </c>
      <c r="CF388" s="115">
        <f>IF(OR(CD388=1,模拟模式!$Q$16="2个"),20,MAX(0,CF387-$F$4))</f>
        <v>0</v>
      </c>
      <c r="CG388" s="115" t="b">
        <f t="shared" si="365"/>
        <v>0</v>
      </c>
      <c r="CH388" s="115">
        <f t="shared" ca="1" si="340"/>
        <v>1.4025000000000118</v>
      </c>
      <c r="CI388" s="115" t="b">
        <f t="shared" ca="1" si="341"/>
        <v>0</v>
      </c>
      <c r="CJ388" s="119">
        <f t="shared" ca="1" si="342"/>
        <v>0</v>
      </c>
      <c r="CK388" s="115">
        <f t="shared" ca="1" si="343"/>
        <v>0</v>
      </c>
      <c r="CL388" s="115" t="b">
        <f ca="1">AND(模拟模式!$S$7="驱夷逐法",OR(AND(C388="净世破魔击·月",E387&gt;59),AND(C388="净世破魔击·日",F387&gt;59)))</f>
        <v>0</v>
      </c>
      <c r="CM388" s="115" t="b">
        <f ca="1">OR(CL388,AND(C388="净世破魔击·日",CL387,RAND()&lt;模拟模式!$U$23))</f>
        <v>0</v>
      </c>
      <c r="CN388" s="115" t="b">
        <f ca="1">IF(模拟模式!$M$7="辉耀红尘",AND(C388="净世破魔击·月",CL388,CV388=0,E387&lt;80),AND(C388="净世破魔击·月",CL388,E387&lt;100))</f>
        <v>0</v>
      </c>
      <c r="CO388" s="115" t="b">
        <f t="shared" ca="1" si="316"/>
        <v>0</v>
      </c>
      <c r="CP388" s="115" t="b">
        <f ca="1">AND(模拟模式!$O$7="用晦而明",OR(C388="净世破魔击·日",C388="净世破魔击·月",C388="驱夜断愁"),AB388)</f>
        <v>1</v>
      </c>
      <c r="CQ388" s="115" t="b">
        <f ca="1">OR(CP388,AND(CP387,RAND()&lt;模拟模式!$U$23))</f>
        <v>1</v>
      </c>
      <c r="CR388" s="115" t="b">
        <f ca="1">AND(模拟模式!$S$7="日月齐光",OR(C388="幽月轮1",C388="幽月轮2",C388="幽月轮3",CR387),NOT(OR(C388="赤日轮1",C388="赤日轮2",C388="赤日轮3")))</f>
        <v>0</v>
      </c>
      <c r="CS388" s="115" t="b">
        <f ca="1">AND(模拟模式!$S$7="日月齐光",OR(C388="赤日轮1",C388="赤日轮2",C388="赤日轮3",CS387),NOT(OR(C388="幽月轮1",C388="幽月轮2",C388="幽月轮3")))</f>
        <v>0</v>
      </c>
      <c r="CT388" s="115">
        <f t="shared" ca="1" si="344"/>
        <v>0</v>
      </c>
      <c r="CU388" s="115" t="b">
        <f ca="1">AND(模拟模式!$K$10="阴阳往极",CT387=0,RAND()&lt;IF(C388="净世破魔击·月",0.0275*7/3,IF(C388="净世破魔击·日",0.0275*3/3,0.0275*2/3)))</f>
        <v>0</v>
      </c>
      <c r="CV388" s="115">
        <f t="shared" ca="1" si="345"/>
        <v>0</v>
      </c>
      <c r="CW388" s="115">
        <f t="shared" ca="1" si="317"/>
        <v>2.3099999999999996</v>
      </c>
      <c r="CX388" s="115">
        <f t="shared" ca="1" si="318"/>
        <v>0.46499999999999975</v>
      </c>
      <c r="CY388" s="115">
        <f ca="1">MAX(IF($C388="驱夜断愁",IF(模拟模式!$R$7="万念俱寂",6,45),CY387-$F$4),0)</f>
        <v>1.3874999999999997</v>
      </c>
      <c r="CZ388" s="115">
        <f t="shared" ca="1" si="319"/>
        <v>0</v>
      </c>
      <c r="DA388" s="115">
        <f ca="1">IF(模拟模式!$N$7="日月同辉",IF(DB387=2,0,MIN(6,IF(AND(OR(C388="赤日轮1",C388="赤日轮2",C388="赤日轮3",C388="幽月轮1",C388="幽月轮2",C388="幽月轮3"),AB388=1),DA387+1,DA387))),0)</f>
        <v>0</v>
      </c>
      <c r="DB388" s="115">
        <f t="shared" ca="1" si="320"/>
        <v>0</v>
      </c>
      <c r="DC388" s="115"/>
      <c r="DD388" s="115"/>
      <c r="DE388" s="115"/>
      <c r="DF388" s="115"/>
      <c r="DG388" s="115"/>
      <c r="DH388" s="115"/>
      <c r="DI388" s="115"/>
      <c r="DJ388" s="115"/>
      <c r="DK388" s="115"/>
      <c r="DL388" s="115"/>
      <c r="DM388" s="115"/>
    </row>
    <row r="389" spans="2:117" x14ac:dyDescent="0.2">
      <c r="B389" s="117">
        <f t="shared" si="321"/>
        <v>333.94500000000295</v>
      </c>
      <c r="C389" s="167" t="str">
        <f t="shared" ca="1" si="314"/>
        <v>银月斩</v>
      </c>
      <c r="D389" s="115">
        <f ca="1">IF(C389="赤日轮1",1,IF(C389="赤日轮2",2,IF(C389="赤日轮3",3,IF(C389="幽月轮1",4,IF(C389="幽月轮2",5,IF(C389="幽月轮3",6,IF(C389="烈日斩",7,IF(C389="银月斩",8,IF(C389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389="净世破魔击·月",17,IF(C389="驱夜断愁",18,0)))))))))))</f>
        <v>8</v>
      </c>
      <c r="E389" s="115">
        <f ca="1">IF(AND(CU389,OR(C389="幽月轮1",C389="幽月轮2",C389="幽月轮3",C389="银月斩",C389="驱夜断愁",C389="净世破魔击·月")),100,MIN(IF(OR(CN389,BE389),0,IF(OR($C389="赤日轮1",$C389="赤日轮2",$C389="赤日轮3"),E388+20+IF(模拟模式!$I$7="日月凌天",4,0)+IF(CR388,20,0),IF($C389="烈日斩",E388+40,IF($C389="驱夜断愁",IF(模拟模式!$R$7="万念俱寂",E388+20,E388+60),IF($C389="净世破魔击·月",IF(OR(DB388&gt;0,CV388&gt;0),100,IF(模拟模式!$M$7="辉耀红尘",E388+20,E388)),IF($C389="净世破魔击·日",E388-100,E388)))))),100))</f>
        <v>20</v>
      </c>
      <c r="F389" s="115">
        <f ca="1">IF(AND(CU389,OR(C389="赤日轮1",C389="赤日轮2",C389="赤日轮3",C389="烈日斩",C389="净世破魔击·日")),100,MIN(IF(CO389,0,IF(OR($C389="幽月轮1",$C389="幽月轮2",$C389="幽月轮3"),F388+20+IF(模拟模式!$I$7="日月凌天",4,0)+IF(CS388,20,0),IF($C389="银月斩",F388+40+IF(模拟模式!$X$12=1,5,0),IF($C389="驱夜断愁",IF(模拟模式!$R$7="万念俱寂",F388+20,F388+60),IF($C389="净世破魔击·月",IF(模拟模式!$M$7="辉耀红尘",F388-80,F388-100),IF(AND(C389="净世破魔击·日",OR(DB388&gt;0,CV388&gt;0)),100,F388)))))),100))</f>
        <v>65</v>
      </c>
      <c r="G389" s="117">
        <f ca="1">('模拟-全程加成'!$E$3+'模拟-全程加成'!$E$4+'模拟-全程加成'!$E$5+('模拟-全程加成'!$C$6-'模拟-全程加成'!$C$3)*系数!$B$9+BS389*23)*(1+'模拟-全程加成'!$F$4+'模拟-全程加成'!$F$5+BJ389*10%+BM389*20%+BP389*4%+CG389*30%)+$F$7*系数!$B$12</f>
        <v>21493.829400000002</v>
      </c>
      <c r="H389" s="45">
        <f ca="1">'模拟-全程加成'!$H$3+'模拟-全程加成'!$H$4+'模拟-全程加成'!$H$5+('模拟-全程加成'!$G$4+'模拟-全程加成'!$G$5+('模拟-全程加成'!$C$6-'模拟-全程加成'!$C$3)*系数!$B$13)/系数!$B$3+LOOKUP(D389,'模拟-单技能数据'!$A$2:$A$19,'模拟-单技能数据'!$K$2:$K$19)+BG389*10%+IF(BV389&gt;0,378,0)</f>
        <v>0.64185145527300214</v>
      </c>
      <c r="I389" s="45">
        <f ca="1">'模拟-全程加成'!$J$3+'模拟-全程加成'!$J$4+'模拟-全程加成'!$J$5+('模拟-全程加成'!$I$4+'模拟-全程加成'!$I$5)/系数!$B$4+LOOKUP(D389,'模拟-单技能数据'!$A$2:$A$19,'模拟-单技能数据'!$L$2:$L$19)+BG389*10%</f>
        <v>2.2624828854998791</v>
      </c>
      <c r="J389" s="45">
        <f ca="1">(('模拟-全程加成'!$K$3+'模拟-全程加成'!$K$4+'模拟-全程加成'!$K$5+('模拟-全程加成'!$C$6-'模拟-全程加成'!$C$3)*系数!$B$10+IF(BV389&gt;0,882,0)+IF(BY389&gt;0,1831,0))*(1+'模拟-全程加成'!$L$4+'模拟-全程加成'!$L$5+CC389*20%))/系数!$B$5</f>
        <v>0.69723220422048726</v>
      </c>
      <c r="K389" s="119">
        <f ca="1">LOOKUP(D389,'模拟-单技能数据'!$A$2:$A$19,'模拟-单技能数据'!$J$2:$J$19)+IF(CM389,60%,0)+IF(DB388-DB389&gt;0,30%,0)+IF(OR(AND(OR(C389="赤日轮1",C389="赤日轮2",C389="赤日轮3"),CR389),AND(OR(C389="幽月轮1",C389="幽月轮2",C389="幽月轮3"),CS389)),35%,0)+CJ389</f>
        <v>0.15</v>
      </c>
      <c r="L389" s="119">
        <f ca="1">IF(AND(C389="烈日斩",模拟模式!$X$11=1),10%,0)+IF(AND(C389="驱夜断愁",AB389=1),30%,0)</f>
        <v>0</v>
      </c>
      <c r="M389" s="45">
        <f t="shared" ca="1" si="353"/>
        <v>0.64185145527300214</v>
      </c>
      <c r="N389" s="45">
        <f t="shared" ca="1" si="354"/>
        <v>0.30424854472699792</v>
      </c>
      <c r="O389" s="46">
        <f t="shared" ca="1" si="322"/>
        <v>0.83000315674868907</v>
      </c>
      <c r="P389" s="46" t="str">
        <f t="shared" ca="1" si="323"/>
        <v>命</v>
      </c>
      <c r="Q389" s="45">
        <f t="shared" ca="1" si="324"/>
        <v>1</v>
      </c>
      <c r="R389" s="117">
        <f ca="1">模拟模式!$E$20*(1-IF(模拟模式!$J$19="有",0.15,0))*(1-IF(模拟模式!$K$19="有",0.3,0)-IF(CQ389,0.5,0))</f>
        <v>843.02999999999975</v>
      </c>
      <c r="S389" s="45">
        <f ca="1">R389/(R389+(185*模拟模式!$E$22-16800)*4.08224)</f>
        <v>8.389626085980037E-2</v>
      </c>
      <c r="T389" s="45" t="str">
        <f ca="1">LOOKUP(D389,'模拟-单技能数据'!$A$2:$A$19,'模拟-单技能数据'!$H$2:$H$19)</f>
        <v>阴</v>
      </c>
      <c r="U389" s="119">
        <f t="shared" ca="1" si="355"/>
        <v>0.08</v>
      </c>
      <c r="V389" s="47">
        <f ca="1">(1+L389)*(LOOKUP(D389,'模拟-单技能数据'!$A$2:$A$19,'模拟-单技能数据'!$D$2:$D$19)+G389*LOOKUP(D389,'模拟-单技能数据'!$A$2:$A$19,'模拟-单技能数据'!$F$2:$F$19))*(1+J389)*(1+K389)*(1-S389)*(1+U389)*Q389*LOOKUP(D389,'模拟-单技能数据'!$A$2:$A$19,'模拟-单技能数据'!$I$2:$I$20)</f>
        <v>22035.73563947</v>
      </c>
      <c r="W389" s="47">
        <f ca="1">LOOKUP(D389,'模拟-单技能数据'!$A$2:$A$19,'模拟-单技能数据'!$G$2:$G$19)*$I$10</f>
        <v>361.51064354704795</v>
      </c>
      <c r="X389" s="47">
        <f t="shared" ca="1" si="325"/>
        <v>34718.524582246762</v>
      </c>
      <c r="Y389" s="47">
        <f t="shared" ca="1" si="356"/>
        <v>57115.77086526381</v>
      </c>
      <c r="Z389" s="49">
        <f t="shared" ca="1" si="357"/>
        <v>37847779.215618141</v>
      </c>
      <c r="AA389" s="97">
        <f t="shared" ca="1" si="358"/>
        <v>113335.36724795343</v>
      </c>
      <c r="AB389" s="115">
        <f ca="1">IF(OR(C389="赤日轮1",C389="赤日轮2",C389="赤日轮3"),IF(RAND()&lt;模拟模式!$Y$17,1,0),IF(OR(C389="幽月轮1",C389="幽月轮2",C389="幽月轮3"),IF(RAND()&lt;模拟模式!$Y$18,1,0),IF(C389="烈日斩",IF(RAND()&lt;模拟模式!$Y$19,1,0),IF(C389="银月斩",IF(RAND()&lt;模拟模式!$Y$20,1,0),IF(C389="驱夜断愁",IF(RAND()&lt;模拟模式!$Y$21,1,0),IF(C389="净世破魔击·日",IF(RAND()&lt;模拟模式!$Y$22,1,0),IF(C389="净世破魔击·月",IF(RAND()&lt;模拟模式!$Y$23,1,0),0)))))))</f>
        <v>1</v>
      </c>
      <c r="AC389" s="115" t="b">
        <f t="shared" ca="1" si="346"/>
        <v>1</v>
      </c>
      <c r="AD389" s="115" t="b">
        <f t="shared" ca="1" si="366"/>
        <v>1</v>
      </c>
      <c r="AE389" s="115">
        <f t="shared" ca="1" si="367"/>
        <v>5</v>
      </c>
      <c r="AF389" s="47">
        <f ca="1">IF(AC389,('模拟-单技能数据'!$D$20+G389*'模拟-单技能数据'!$F$20)*(1+J389)*(1+'模拟-单技能数据'!$J$20)*(1+U389),0)</f>
        <v>4639.7456468263617</v>
      </c>
      <c r="AG389" s="61">
        <f t="shared" ca="1" si="359"/>
        <v>0.64185145527300214</v>
      </c>
      <c r="AH389" s="61">
        <f t="shared" ca="1" si="360"/>
        <v>2.2624828854998791</v>
      </c>
      <c r="AI389" s="62">
        <f t="shared" ca="1" si="326"/>
        <v>0.28750655690424298</v>
      </c>
      <c r="AJ389" s="47">
        <f ca="1">IF(AD389,IF(AI389&lt;$F$10,0,IF(AI389&lt;$F$10+$F$11,0.25,IF(AI389&lt;$F$10+$F$11+AG389,AH389,1)))*IF(AF389&gt;0,AF389,IF(AF388&gt;0,AF388,IF(AF387&gt;0,AF387,IF(AF386&gt;0,AF386,IF(AF385&gt;0,AF385,IF(AF384&gt;0,AF384,IF(AF383&gt;0,AF383,IF(AF382&gt;0,AF382,IF(AF381&gt;0,AF381,IF(AF379&gt;0,AF379,IF(AF378&gt;0,AF378,IF(AF377&gt;0,AF377,0)))))))))))),0)*(1-$S389)*'模拟-单技能数据'!$I$20</f>
        <v>9616.6571145767884</v>
      </c>
      <c r="AK389" s="115" t="b">
        <f t="shared" ca="1" si="347"/>
        <v>0</v>
      </c>
      <c r="AL389" s="115" t="b">
        <f t="shared" ca="1" si="368"/>
        <v>1</v>
      </c>
      <c r="AM389" s="115">
        <f t="shared" ca="1" si="369"/>
        <v>4</v>
      </c>
      <c r="AN389" s="47">
        <f ca="1">IF(AK389,('模拟-单技能数据'!$D$21+G389*'模拟-单技能数据'!$F$21)*(1+J389)*(1+'模拟-单技能数据'!$J$21)*(1+U389),0)</f>
        <v>0</v>
      </c>
      <c r="AO389" s="61">
        <f ca="1">IF(AN389&gt;0,M389-'模拟-单技能数据'!$K$10,AO388)</f>
        <v>0.42185145527300216</v>
      </c>
      <c r="AP389" s="61">
        <f ca="1">IF(AN389&gt;0,I389-'模拟-单技能数据'!$L$10,AP388)</f>
        <v>2.162482885499879</v>
      </c>
      <c r="AQ389" s="63">
        <f t="shared" ca="1" si="327"/>
        <v>7.4548750719352297E-2</v>
      </c>
      <c r="AR389" s="64">
        <f ca="1">IF(AL389,IF(AQ389&lt;$F$10,0,IF(AQ389&lt;$F$10+$F$11,0.25,IF(AQ389&lt;$F$10+$F$11+AO389,AP389,1)))*IF(AN389&gt;0,AN389,IF(AN388&gt;0,AN388,IF(AN387&gt;0,AN387,IF(AN386&gt;0,AN386,IF(AN385&gt;0,AN385,IF(AN384&gt;0,AN384,IF(AN383&gt;0,AN383,IF(AN382&gt;0,AN382,IF(AN381&gt;0,AN381,IF(AN379&gt;0,AN379,IF(AN378&gt;0,AN378,IF(AN377&gt;0,AN377,0)))))))))))),0)*(1-$S389)*'模拟-单技能数据'!$I$21</f>
        <v>25101.867467669974</v>
      </c>
      <c r="AS389" s="61">
        <f ca="1">IF(OR(C389="净世破魔击·日",C389="净世破魔击·月"),M389-'模拟-单技能数据'!$K$10,0)</f>
        <v>0</v>
      </c>
      <c r="AT389" s="61">
        <f ca="1">IF(OR(C389="净世破魔击·日",C389="净世破魔击·月"),I389-'模拟-单技能数据'!$L$10,0)</f>
        <v>0</v>
      </c>
      <c r="AU389" s="62">
        <f t="shared" ca="1" si="328"/>
        <v>6.5075079222843946E-2</v>
      </c>
      <c r="AV389" s="64">
        <f ca="1">IF(AS389&gt;0,('模拟-单技能数据'!$D$22+G389*'模拟-单技能数据'!$F$22)*(1+J389)*(1-S389)*IF(AU389&lt;$F$10,0,IF(AU389&lt;$F$10+$F$11,0.25,IF(AU389&lt;$F$10+$F$11+AS389,AT389,1)))*(1+U389),0)*'模拟-单技能数据'!$I$22</f>
        <v>0</v>
      </c>
      <c r="AW389" s="108">
        <f t="shared" ca="1" si="329"/>
        <v>16.310000000000002</v>
      </c>
      <c r="AX389" s="108" t="b">
        <f ca="1">AND(模拟模式!$P$10="有",AW388=0,RAND()&lt;IF(C389="净世破魔击·月",0.1*8/3,IF(C389="净世破魔击·日",0.1*4/3,0.1*2/3)))</f>
        <v>0</v>
      </c>
      <c r="AY389" s="47">
        <f ca="1">IF(AX389,(18+G389*0.722)*(1+J389)*(1-S389)*(1+$I$4)*IF(P389="会",'模拟-全程加成'!$J$3+'模拟-全程加成'!$J$4+'模拟-全程加成'!$J$5+('模拟-全程加成'!$I$4+'模拟-全程加成'!$I$5)/系数!$B$4+BG389*10%,IF(P389="命",1,IF(P389="识",0.25,0))),0)</f>
        <v>0</v>
      </c>
      <c r="AZ389" s="108">
        <f t="shared" si="330"/>
        <v>10.775000000000006</v>
      </c>
      <c r="BA389" s="108" t="b">
        <f>AND(模拟模式!$Q$10="有",AZ388=0)</f>
        <v>0</v>
      </c>
      <c r="BB389" s="140">
        <f>IF(BA389,(0+G389*0.287)*(1+J389)*(1-S389)*(1+$I$4)*IF(P389="会",'模拟-全程加成'!$J$3+'模拟-全程加成'!$J$4+'模拟-全程加成'!$J$5+('模拟-全程加成'!$I$4+'模拟-全程加成'!$I$5)/系数!$B$4+BG389*10%,IF(P389="命",1,IF(P389="识",0.25,0))),0)</f>
        <v>0</v>
      </c>
      <c r="BC389" s="115" t="b">
        <f ca="1">AND(模拟模式!$R$7="伏明众生",E389=60,F389=20,DA389&lt;5,CZ388&lt;$F$4)</f>
        <v>0</v>
      </c>
      <c r="BD389" s="115">
        <f t="shared" ca="1" si="348"/>
        <v>0</v>
      </c>
      <c r="BE389" s="115" t="b">
        <f t="shared" ca="1" si="349"/>
        <v>0</v>
      </c>
      <c r="BF389" s="47">
        <f ca="1">IF(BC389,4*('模拟-单技能数据'!$D$24+G389*'模拟-单技能数据'!$F$24)*(1+J389)*(1+'模拟-单技能数据'!$J$24)*(1-S389)*(1+$I$3)*(('模拟-全程加成'!$J$3+'模拟-全程加成'!$J$4+'模拟-全程加成'!$J$5+('模拟-全程加成'!$I$4+'模拟-全程加成'!$I$5)/系数!$B$4+BG389*10%)*('模拟-全程加成'!$J$3+'模拟-全程加成'!$J$4+'模拟-全程加成'!$J$5+('模拟-全程加成'!$I$4+'模拟-全程加成'!$I$5)/系数!$B$4+BG389*10%)+(1-('模拟-全程加成'!$J$3+'模拟-全程加成'!$J$4+'模拟-全程加成'!$J$5+('模拟-全程加成'!$I$4+'模拟-全程加成'!$I$5)/系数!$B$4+BG389*10%)-$F$10-$F$11)+F375*0.25),0)*'模拟-单技能数据'!$I$24</f>
        <v>0</v>
      </c>
      <c r="BG389" s="115" t="b">
        <f ca="1">OR(AND(OR(C389="烈日斩",C389="银月斩"),模拟模式!$I$7="净身明礼"),AND(C389="净世破魔击·日",模拟模式!$J$7="洞若观火"),AND(C390="净世破魔击·月",模拟模式!$J$7="洞若观火"),AB389=1)</f>
        <v>1</v>
      </c>
      <c r="BH389" s="115" t="b">
        <f t="shared" ca="1" si="331"/>
        <v>0</v>
      </c>
      <c r="BI389" s="115">
        <f t="shared" ca="1" si="350"/>
        <v>3.2324999999999995</v>
      </c>
      <c r="BJ389" s="115" t="b">
        <f t="shared" ca="1" si="361"/>
        <v>1</v>
      </c>
      <c r="BK389" s="115" t="b">
        <f ca="1">AND(C389="驱夜断愁",模拟模式!$P$7="天地诛戮")</f>
        <v>0</v>
      </c>
      <c r="BL389" s="57">
        <f t="shared" ca="1" si="351"/>
        <v>14.465000000000003</v>
      </c>
      <c r="BM389" s="115" t="b">
        <f t="shared" ca="1" si="362"/>
        <v>1</v>
      </c>
      <c r="BN389" s="115" t="b">
        <f ca="1">AND(OR(C389="赤日轮1",C389="赤日轮2",C389="赤日轮3",C389="幽月轮1",C389="幽月轮2",C389="幽月轮3"),AB389=1,模拟模式!$L$7="明光恒照")</f>
        <v>0</v>
      </c>
      <c r="BO389" s="117">
        <f t="shared" ca="1" si="352"/>
        <v>26.310000000000002</v>
      </c>
      <c r="BP389" s="115">
        <f t="shared" ca="1" si="332"/>
        <v>6</v>
      </c>
      <c r="BQ389" s="115" t="b">
        <f>模拟模式!$K$10="2600·水"</f>
        <v>0</v>
      </c>
      <c r="BR389" s="117">
        <f t="shared" si="333"/>
        <v>0</v>
      </c>
      <c r="BS389" s="115">
        <f t="shared" si="334"/>
        <v>0</v>
      </c>
      <c r="BT389" s="115">
        <f t="shared" ca="1" si="335"/>
        <v>0</v>
      </c>
      <c r="BU389" s="115" t="b">
        <f ca="1">AND(模拟模式!$K$10="2300·雷",BT388=0,RAND()&lt;IF(C389="净世破魔击·月",5*0.05*2/3,IF(C389="净世破魔击·日",3*0.05*2/3,0.05*2*2/3)))</f>
        <v>0</v>
      </c>
      <c r="BV389" s="115">
        <f t="shared" ca="1" si="336"/>
        <v>0</v>
      </c>
      <c r="BW389" s="115">
        <f t="shared" ca="1" si="337"/>
        <v>37.934999999999292</v>
      </c>
      <c r="BX389" s="164" t="b">
        <f t="shared" ca="1" si="338"/>
        <v>0</v>
      </c>
      <c r="BY389" s="115">
        <f t="shared" ca="1" si="339"/>
        <v>0</v>
      </c>
      <c r="BZ389" s="115">
        <f>IF(OR(模拟模式!$P$16="10人团",模拟模式!$P$16="25人团"),IF(B389/30&gt;CA388,1,0),0)</f>
        <v>0</v>
      </c>
      <c r="CA389" s="115">
        <f t="shared" si="315"/>
        <v>0</v>
      </c>
      <c r="CB389" s="115">
        <f ca="1">IF(BZ389=1,IF(模拟模式!$P$16="10人团",15,0)+IF(模拟模式!$P$16="25人团",IF(RAND()&lt;0.6,15,0)),MAX(0,CB388-$F$4))</f>
        <v>0</v>
      </c>
      <c r="CC389" s="115" t="b">
        <f t="shared" ca="1" si="363"/>
        <v>0</v>
      </c>
      <c r="CD389" s="115">
        <f>IF(模拟模式!$Q$16="1个",IF(B389/40&gt;CE388,1,0),0)</f>
        <v>0</v>
      </c>
      <c r="CE389" s="115">
        <f t="shared" si="364"/>
        <v>0</v>
      </c>
      <c r="CF389" s="115">
        <f>IF(OR(CD389=1,模拟模式!$Q$16="2个"),20,MAX(0,CF388-$F$4))</f>
        <v>0</v>
      </c>
      <c r="CG389" s="115" t="b">
        <f t="shared" si="365"/>
        <v>0</v>
      </c>
      <c r="CH389" s="115">
        <f t="shared" ca="1" si="340"/>
        <v>0.48000000000001186</v>
      </c>
      <c r="CI389" s="115" t="b">
        <f t="shared" ca="1" si="341"/>
        <v>0</v>
      </c>
      <c r="CJ389" s="119">
        <f t="shared" ca="1" si="342"/>
        <v>0</v>
      </c>
      <c r="CK389" s="115">
        <f t="shared" ca="1" si="343"/>
        <v>0</v>
      </c>
      <c r="CL389" s="115" t="b">
        <f ca="1">AND(模拟模式!$S$7="驱夷逐法",OR(AND(C389="净世破魔击·月",E388&gt;59),AND(C389="净世破魔击·日",F388&gt;59)))</f>
        <v>0</v>
      </c>
      <c r="CM389" s="115" t="b">
        <f ca="1">OR(CL389,AND(C389="净世破魔击·日",CL388,RAND()&lt;模拟模式!$U$23))</f>
        <v>0</v>
      </c>
      <c r="CN389" s="115" t="b">
        <f ca="1">IF(模拟模式!$M$7="辉耀红尘",AND(C389="净世破魔击·月",CL389,CV389=0,E388&lt;80),AND(C389="净世破魔击·月",CL389,E388&lt;100))</f>
        <v>0</v>
      </c>
      <c r="CO389" s="115" t="b">
        <f t="shared" ca="1" si="316"/>
        <v>0</v>
      </c>
      <c r="CP389" s="115" t="b">
        <f ca="1">AND(模拟模式!$O$7="用晦而明",OR(C389="净世破魔击·日",C389="净世破魔击·月",C389="驱夜断愁"),AB389)</f>
        <v>0</v>
      </c>
      <c r="CQ389" s="115" t="b">
        <f ca="1">OR(CP389,AND(CP388,RAND()&lt;模拟模式!$U$23))</f>
        <v>1</v>
      </c>
      <c r="CR389" s="115" t="b">
        <f ca="1">AND(模拟模式!$S$7="日月齐光",OR(C389="幽月轮1",C389="幽月轮2",C389="幽月轮3",CR388),NOT(OR(C389="赤日轮1",C389="赤日轮2",C389="赤日轮3")))</f>
        <v>0</v>
      </c>
      <c r="CS389" s="115" t="b">
        <f ca="1">AND(模拟模式!$S$7="日月齐光",OR(C389="赤日轮1",C389="赤日轮2",C389="赤日轮3",CS388),NOT(OR(C389="幽月轮1",C389="幽月轮2",C389="幽月轮3")))</f>
        <v>0</v>
      </c>
      <c r="CT389" s="115">
        <f t="shared" ca="1" si="344"/>
        <v>0</v>
      </c>
      <c r="CU389" s="115" t="b">
        <f ca="1">AND(模拟模式!$K$10="阴阳往极",CT388=0,RAND()&lt;IF(C389="净世破魔击·月",0.0275*7/3,IF(C389="净世破魔击·日",0.0275*3/3,0.0275*2/3)))</f>
        <v>0</v>
      </c>
      <c r="CV389" s="115">
        <f t="shared" ca="1" si="345"/>
        <v>0</v>
      </c>
      <c r="CW389" s="115">
        <f t="shared" ca="1" si="317"/>
        <v>1.3874999999999997</v>
      </c>
      <c r="CX389" s="115">
        <f t="shared" ca="1" si="318"/>
        <v>6</v>
      </c>
      <c r="CY389" s="115">
        <f ca="1">MAX(IF($C389="驱夜断愁",IF(模拟模式!$R$7="万念俱寂",6,45),CY388-$F$4),0)</f>
        <v>0.46499999999999975</v>
      </c>
      <c r="CZ389" s="115">
        <f t="shared" ca="1" si="319"/>
        <v>0</v>
      </c>
      <c r="DA389" s="115">
        <f ca="1">IF(模拟模式!$N$7="日月同辉",IF(DB388=2,0,MIN(6,IF(AND(OR(C389="赤日轮1",C389="赤日轮2",C389="赤日轮3",C389="幽月轮1",C389="幽月轮2",C389="幽月轮3"),AB389=1),DA388+1,DA388))),0)</f>
        <v>0</v>
      </c>
      <c r="DB389" s="115">
        <f t="shared" ca="1" si="320"/>
        <v>0</v>
      </c>
      <c r="DC389" s="115"/>
      <c r="DD389" s="115"/>
      <c r="DE389" s="115"/>
      <c r="DF389" s="115"/>
      <c r="DG389" s="115"/>
      <c r="DH389" s="115"/>
      <c r="DI389" s="115"/>
      <c r="DJ389" s="115"/>
      <c r="DK389" s="115"/>
      <c r="DL389" s="115"/>
      <c r="DM389" s="115"/>
    </row>
    <row r="390" spans="2:117" x14ac:dyDescent="0.2">
      <c r="B390" s="117">
        <f t="shared" si="321"/>
        <v>334.86750000000296</v>
      </c>
      <c r="C390" s="167" t="str">
        <f t="shared" ca="1" si="314"/>
        <v>驱夜断愁</v>
      </c>
      <c r="D390" s="115">
        <f ca="1">IF(C390="赤日轮1",1,IF(C390="赤日轮2",2,IF(C390="赤日轮3",3,IF(C390="幽月轮1",4,IF(C390="幽月轮2",5,IF(C390="幽月轮3",6,IF(C390="烈日斩",7,IF(C390="银月斩",8,IF(C390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390="净世破魔击·月",17,IF(C390="驱夜断愁",18,0)))))))))))</f>
        <v>18</v>
      </c>
      <c r="E390" s="115">
        <f ca="1">IF(AND(CU390,OR(C390="幽月轮1",C390="幽月轮2",C390="幽月轮3",C390="银月斩",C390="驱夜断愁",C390="净世破魔击·月")),100,MIN(IF(OR(CN390,BE390),0,IF(OR($C390="赤日轮1",$C390="赤日轮2",$C390="赤日轮3"),E389+20+IF(模拟模式!$I$7="日月凌天",4,0)+IF(CR389,20,0),IF($C390="烈日斩",E389+40,IF($C390="驱夜断愁",IF(模拟模式!$R$7="万念俱寂",E389+20,E389+60),IF($C390="净世破魔击·月",IF(OR(DB389&gt;0,CV389&gt;0),100,IF(模拟模式!$M$7="辉耀红尘",E389+20,E389)),IF($C390="净世破魔击·日",E389-100,E389)))))),100))</f>
        <v>40</v>
      </c>
      <c r="F390" s="115">
        <f ca="1">IF(AND(CU390,OR(C390="赤日轮1",C390="赤日轮2",C390="赤日轮3",C390="烈日斩",C390="净世破魔击·日")),100,MIN(IF(CO390,0,IF(OR($C390="幽月轮1",$C390="幽月轮2",$C390="幽月轮3"),F389+20+IF(模拟模式!$I$7="日月凌天",4,0)+IF(CS389,20,0),IF($C390="银月斩",F389+40+IF(模拟模式!$X$12=1,5,0),IF($C390="驱夜断愁",IF(模拟模式!$R$7="万念俱寂",F389+20,F389+60),IF($C390="净世破魔击·月",IF(模拟模式!$M$7="辉耀红尘",F389-80,F389-100),IF(AND(C390="净世破魔击·日",OR(DB389&gt;0,CV389&gt;0)),100,F389)))))),100))</f>
        <v>85</v>
      </c>
      <c r="G390" s="117">
        <f ca="1">('模拟-全程加成'!$E$3+'模拟-全程加成'!$E$4+'模拟-全程加成'!$E$5+('模拟-全程加成'!$C$6-'模拟-全程加成'!$C$3)*系数!$B$9+BS390*23)*(1+'模拟-全程加成'!$F$4+'模拟-全程加成'!$F$5+BJ390*10%+BM390*20%+BP390*4%+CG390*30%)+$F$7*系数!$B$12</f>
        <v>21493.829400000002</v>
      </c>
      <c r="H390" s="45">
        <f ca="1">'模拟-全程加成'!$H$3+'模拟-全程加成'!$H$4+'模拟-全程加成'!$H$5+('模拟-全程加成'!$G$4+'模拟-全程加成'!$G$5+('模拟-全程加成'!$C$6-'模拟-全程加成'!$C$3)*系数!$B$13)/系数!$B$3+LOOKUP(D390,'模拟-单技能数据'!$A$2:$A$19,'模拟-单技能数据'!$K$2:$K$19)+BG390*10%+IF(BV390&gt;0,378,0)</f>
        <v>0.51185145527300213</v>
      </c>
      <c r="I390" s="45">
        <f ca="1">'模拟-全程加成'!$J$3+'模拟-全程加成'!$J$4+'模拟-全程加成'!$J$5+('模拟-全程加成'!$I$4+'模拟-全程加成'!$I$5)/系数!$B$4+LOOKUP(D390,'模拟-单技能数据'!$A$2:$A$19,'模拟-单技能数据'!$L$2:$L$19)+BG390*10%</f>
        <v>2.162482885499879</v>
      </c>
      <c r="J390" s="45">
        <f ca="1">(('模拟-全程加成'!$K$3+'模拟-全程加成'!$K$4+'模拟-全程加成'!$K$5+('模拟-全程加成'!$C$6-'模拟-全程加成'!$C$3)*系数!$B$10+IF(BV390&gt;0,882,0)+IF(BY390&gt;0,1831,0))*(1+'模拟-全程加成'!$L$4+'模拟-全程加成'!$L$5+CC390*20%))/系数!$B$5</f>
        <v>0.69723220422048726</v>
      </c>
      <c r="K390" s="119">
        <f ca="1">LOOKUP(D390,'模拟-单技能数据'!$A$2:$A$19,'模拟-单技能数据'!$J$2:$J$19)+IF(CM390,60%,0)+IF(DB389-DB390&gt;0,30%,0)+IF(OR(AND(OR(C390="赤日轮1",C390="赤日轮2",C390="赤日轮3"),CR390),AND(OR(C390="幽月轮1",C390="幽月轮2",C390="幽月轮3"),CS390)),35%,0)+CJ390</f>
        <v>0.14000000000000001</v>
      </c>
      <c r="L390" s="119">
        <f ca="1">IF(AND(C390="烈日斩",模拟模式!$X$11=1),10%,0)+IF(AND(C390="驱夜断愁",AB390=1),30%,0)</f>
        <v>0.3</v>
      </c>
      <c r="M390" s="45">
        <f t="shared" ca="1" si="353"/>
        <v>0.51185145527300213</v>
      </c>
      <c r="N390" s="45">
        <f t="shared" ca="1" si="354"/>
        <v>0.43424854472699792</v>
      </c>
      <c r="O390" s="46">
        <f t="shared" ca="1" si="322"/>
        <v>0.36500640819821417</v>
      </c>
      <c r="P390" s="46" t="str">
        <f t="shared" ca="1" si="323"/>
        <v>会</v>
      </c>
      <c r="Q390" s="45">
        <f t="shared" ca="1" si="324"/>
        <v>2.162482885499879</v>
      </c>
      <c r="R390" s="117">
        <f ca="1">模拟模式!$E$20*(1-IF(模拟模式!$J$19="有",0.15,0))*(1-IF(模拟模式!$K$19="有",0.3,0)-IF(CQ390,0.5,0))</f>
        <v>843.02999999999975</v>
      </c>
      <c r="S390" s="45">
        <f ca="1">R390/(R390+(185*模拟模式!$E$22-16800)*4.08224)</f>
        <v>8.389626085980037E-2</v>
      </c>
      <c r="T390" s="45" t="str">
        <f ca="1">LOOKUP(D390,'模拟-单技能数据'!$A$2:$A$19,'模拟-单技能数据'!$H$2:$H$19)</f>
        <v>阴</v>
      </c>
      <c r="U390" s="119">
        <f t="shared" ca="1" si="355"/>
        <v>0.08</v>
      </c>
      <c r="V390" s="47">
        <f ca="1">(1+L390)*(LOOKUP(D390,'模拟-单技能数据'!$A$2:$A$19,'模拟-单技能数据'!$D$2:$D$19)+G390*LOOKUP(D390,'模拟-单技能数据'!$A$2:$A$19,'模拟-单技能数据'!$F$2:$F$19))*(1+J390)*(1+K390)*(1-S390)*(1+U390)*Q390*LOOKUP(D390,'模拟-单技能数据'!$A$2:$A$19,'模拟-单技能数据'!$I$2:$I$20)</f>
        <v>133079.35569364758</v>
      </c>
      <c r="W390" s="47">
        <f ca="1">LOOKUP(D390,'模拟-单技能数据'!$A$2:$A$19,'模拟-单技能数据'!$G$2:$G$19)*$I$10</f>
        <v>723.0212870940959</v>
      </c>
      <c r="X390" s="47">
        <f t="shared" ca="1" si="325"/>
        <v>0</v>
      </c>
      <c r="Y390" s="47">
        <f t="shared" ca="1" si="356"/>
        <v>133802.37698074168</v>
      </c>
      <c r="Z390" s="49">
        <f t="shared" ca="1" si="357"/>
        <v>37981581.592598885</v>
      </c>
      <c r="AA390" s="97">
        <f t="shared" ca="1" si="358"/>
        <v>113422.71672407311</v>
      </c>
      <c r="AB390" s="115">
        <f ca="1">IF(OR(C390="赤日轮1",C390="赤日轮2",C390="赤日轮3"),IF(RAND()&lt;模拟模式!$Y$17,1,0),IF(OR(C390="幽月轮1",C390="幽月轮2",C390="幽月轮3"),IF(RAND()&lt;模拟模式!$Y$18,1,0),IF(C390="烈日斩",IF(RAND()&lt;模拟模式!$Y$19,1,0),IF(C390="银月斩",IF(RAND()&lt;模拟模式!$Y$20,1,0),IF(C390="驱夜断愁",IF(RAND()&lt;模拟模式!$Y$21,1,0),IF(C390="净世破魔击·日",IF(RAND()&lt;模拟模式!$Y$22,1,0),IF(C390="净世破魔击·月",IF(RAND()&lt;模拟模式!$Y$23,1,0),0)))))))</f>
        <v>1</v>
      </c>
      <c r="AC390" s="115" t="b">
        <f t="shared" ca="1" si="346"/>
        <v>0</v>
      </c>
      <c r="AD390" s="115" t="b">
        <f t="shared" ca="1" si="366"/>
        <v>0</v>
      </c>
      <c r="AE390" s="115">
        <f t="shared" ca="1" si="367"/>
        <v>5</v>
      </c>
      <c r="AF390" s="47">
        <f ca="1">IF(AC390,('模拟-单技能数据'!$D$20+G390*'模拟-单技能数据'!$F$20)*(1+J390)*(1+'模拟-单技能数据'!$J$20)*(1+U390),0)</f>
        <v>0</v>
      </c>
      <c r="AG390" s="61">
        <f t="shared" ca="1" si="359"/>
        <v>0.64185145527300214</v>
      </c>
      <c r="AH390" s="61">
        <f t="shared" ca="1" si="360"/>
        <v>2.2624828854998791</v>
      </c>
      <c r="AI390" s="62">
        <f t="shared" ca="1" si="326"/>
        <v>0.30474591697439279</v>
      </c>
      <c r="AJ390" s="47">
        <f ca="1">IF(AD390,IF(AI390&lt;$F$10,0,IF(AI390&lt;$F$10+$F$11,0.25,IF(AI390&lt;$F$10+$F$11+AG390,AH390,1)))*IF(AF390&gt;0,AF390,IF(AF389&gt;0,AF389,IF(AF388&gt;0,AF388,IF(AF387&gt;0,AF387,IF(AF386&gt;0,AF386,IF(AF385&gt;0,AF385,IF(AF384&gt;0,AF384,IF(AF383&gt;0,AF383,IF(AF382&gt;0,AF382,IF(AF380&gt;0,AF380,IF(AF379&gt;0,AF379,IF(AF378&gt;0,AF378,0)))))))))))),0)*(1-$S390)*'模拟-单技能数据'!$I$20</f>
        <v>0</v>
      </c>
      <c r="AK390" s="115" t="b">
        <f t="shared" ca="1" si="347"/>
        <v>0</v>
      </c>
      <c r="AL390" s="115" t="b">
        <f t="shared" ca="1" si="368"/>
        <v>0</v>
      </c>
      <c r="AM390" s="115">
        <f t="shared" ca="1" si="369"/>
        <v>4</v>
      </c>
      <c r="AN390" s="47">
        <f ca="1">IF(AK390,('模拟-单技能数据'!$D$21+G390*'模拟-单技能数据'!$F$21)*(1+J390)*(1+'模拟-单技能数据'!$J$21)*(1+U390),0)</f>
        <v>0</v>
      </c>
      <c r="AO390" s="61">
        <f ca="1">IF(AN390&gt;0,M390-'模拟-单技能数据'!$K$10,AO389)</f>
        <v>0.42185145527300216</v>
      </c>
      <c r="AP390" s="61">
        <f ca="1">IF(AN390&gt;0,I390-'模拟-单技能数据'!$L$10,AP389)</f>
        <v>2.162482885499879</v>
      </c>
      <c r="AQ390" s="63">
        <f t="shared" ca="1" si="327"/>
        <v>0.864005697073015</v>
      </c>
      <c r="AR390" s="64">
        <f ca="1">IF(AL390,IF(AQ390&lt;$F$10,0,IF(AQ390&lt;$F$10+$F$11,0.25,IF(AQ390&lt;$F$10+$F$11+AO390,AP390,1)))*IF(AN390&gt;0,AN390,IF(AN389&gt;0,AN389,IF(AN388&gt;0,AN388,IF(AN387&gt;0,AN387,IF(AN386&gt;0,AN386,IF(AN385&gt;0,AN385,IF(AN384&gt;0,AN384,IF(AN383&gt;0,AN383,IF(AN382&gt;0,AN382,IF(AN380&gt;0,AN380,IF(AN379&gt;0,AN379,IF(AN378&gt;0,AN378,0)))))))))))),0)*(1-$S390)*'模拟-单技能数据'!$I$21</f>
        <v>0</v>
      </c>
      <c r="AS390" s="61">
        <f ca="1">IF(OR(C390="净世破魔击·日",C390="净世破魔击·月"),M390-'模拟-单技能数据'!$K$10,0)</f>
        <v>0</v>
      </c>
      <c r="AT390" s="61">
        <f ca="1">IF(OR(C390="净世破魔击·日",C390="净世破魔击·月"),I390-'模拟-单技能数据'!$L$10,0)</f>
        <v>0</v>
      </c>
      <c r="AU390" s="62">
        <f t="shared" ca="1" si="328"/>
        <v>0.53355036241061038</v>
      </c>
      <c r="AV390" s="64">
        <f ca="1">IF(AS390&gt;0,('模拟-单技能数据'!$D$22+G390*'模拟-单技能数据'!$F$22)*(1+J390)*(1-S390)*IF(AU390&lt;$F$10,0,IF(AU390&lt;$F$10+$F$11,0.25,IF(AU390&lt;$F$10+$F$11+AS390,AT390,1)))*(1+U390),0)*'模拟-单技能数据'!$I$22</f>
        <v>0</v>
      </c>
      <c r="AW390" s="108">
        <f t="shared" ca="1" si="329"/>
        <v>15.387500000000003</v>
      </c>
      <c r="AX390" s="108" t="b">
        <f ca="1">AND(模拟模式!$P$10="有",AW389=0,RAND()&lt;IF(C390="净世破魔击·月",0.1*8/3,IF(C390="净世破魔击·日",0.1*4/3,0.1*2/3)))</f>
        <v>0</v>
      </c>
      <c r="AY390" s="47">
        <f ca="1">IF(AX390,(18+G390*0.722)*(1+J390)*(1-S390)*(1+$I$4)*IF(P390="会",'模拟-全程加成'!$J$3+'模拟-全程加成'!$J$4+'模拟-全程加成'!$J$5+('模拟-全程加成'!$I$4+'模拟-全程加成'!$I$5)/系数!$B$4+BG390*10%,IF(P390="命",1,IF(P390="识",0.25,0))),0)</f>
        <v>0</v>
      </c>
      <c r="AZ390" s="108">
        <f t="shared" si="330"/>
        <v>9.8525000000000063</v>
      </c>
      <c r="BA390" s="108" t="b">
        <f>AND(模拟模式!$Q$10="有",AZ389=0)</f>
        <v>0</v>
      </c>
      <c r="BB390" s="140">
        <f>IF(BA390,(0+G390*0.287)*(1+J390)*(1-S390)*(1+$I$4)*IF(P390="会",'模拟-全程加成'!$J$3+'模拟-全程加成'!$J$4+'模拟-全程加成'!$J$5+('模拟-全程加成'!$I$4+'模拟-全程加成'!$I$5)/系数!$B$4+BG390*10%,IF(P390="命",1,IF(P390="识",0.25,0))),0)</f>
        <v>0</v>
      </c>
      <c r="BC390" s="115" t="b">
        <f ca="1">AND(模拟模式!$R$7="伏明众生",E390=60,F390=20,DA390&lt;5,CZ389&lt;$F$4)</f>
        <v>0</v>
      </c>
      <c r="BD390" s="115">
        <f t="shared" ca="1" si="348"/>
        <v>0</v>
      </c>
      <c r="BE390" s="115" t="b">
        <f t="shared" ca="1" si="349"/>
        <v>0</v>
      </c>
      <c r="BF390" s="47">
        <f ca="1">IF(BC390,4*('模拟-单技能数据'!$D$24+G390*'模拟-单技能数据'!$F$24)*(1+J390)*(1+'模拟-单技能数据'!$J$24)*(1-S390)*(1+$I$3)*(('模拟-全程加成'!$J$3+'模拟-全程加成'!$J$4+'模拟-全程加成'!$J$5+('模拟-全程加成'!$I$4+'模拟-全程加成'!$I$5)/系数!$B$4+BG390*10%)*('模拟-全程加成'!$J$3+'模拟-全程加成'!$J$4+'模拟-全程加成'!$J$5+('模拟-全程加成'!$I$4+'模拟-全程加成'!$I$5)/系数!$B$4+BG390*10%)+(1-('模拟-全程加成'!$J$3+'模拟-全程加成'!$J$4+'模拟-全程加成'!$J$5+('模拟-全程加成'!$I$4+'模拟-全程加成'!$I$5)/系数!$B$4+BG390*10%)-$F$10-$F$11)+F376*0.25),0)*'模拟-单技能数据'!$I$24</f>
        <v>0</v>
      </c>
      <c r="BG390" s="115" t="b">
        <f ca="1">OR(AND(OR(C390="烈日斩",C390="银月斩"),模拟模式!$I$7="净身明礼"),AND(C390="净世破魔击·日",模拟模式!$J$7="洞若观火"),AND(C391="净世破魔击·月",模拟模式!$J$7="洞若观火"),AB390=1)</f>
        <v>1</v>
      </c>
      <c r="BH390" s="115" t="b">
        <f t="shared" ca="1" si="331"/>
        <v>0</v>
      </c>
      <c r="BI390" s="115">
        <f t="shared" ca="1" si="350"/>
        <v>2.3099999999999996</v>
      </c>
      <c r="BJ390" s="115" t="b">
        <f t="shared" ca="1" si="361"/>
        <v>1</v>
      </c>
      <c r="BK390" s="115" t="b">
        <f ca="1">AND(C390="驱夜断愁",模拟模式!$P$7="天地诛戮")</f>
        <v>1</v>
      </c>
      <c r="BL390" s="57">
        <f t="shared" ca="1" si="351"/>
        <v>20</v>
      </c>
      <c r="BM390" s="115" t="b">
        <f t="shared" ca="1" si="362"/>
        <v>1</v>
      </c>
      <c r="BN390" s="115" t="b">
        <f ca="1">AND(OR(C390="赤日轮1",C390="赤日轮2",C390="赤日轮3",C390="幽月轮1",C390="幽月轮2",C390="幽月轮3"),AB390=1,模拟模式!$L$7="明光恒照")</f>
        <v>0</v>
      </c>
      <c r="BO390" s="117">
        <f t="shared" ca="1" si="352"/>
        <v>25.387500000000003</v>
      </c>
      <c r="BP390" s="115">
        <f t="shared" ca="1" si="332"/>
        <v>6</v>
      </c>
      <c r="BQ390" s="115" t="b">
        <f>模拟模式!$K$10="2600·水"</f>
        <v>0</v>
      </c>
      <c r="BR390" s="117">
        <f t="shared" si="333"/>
        <v>0</v>
      </c>
      <c r="BS390" s="115">
        <f t="shared" si="334"/>
        <v>0</v>
      </c>
      <c r="BT390" s="115">
        <f t="shared" ca="1" si="335"/>
        <v>0</v>
      </c>
      <c r="BU390" s="115" t="b">
        <f ca="1">AND(模拟模式!$K$10="2300·雷",BT389=0,RAND()&lt;IF(C390="净世破魔击·月",5*0.05*2/3,IF(C390="净世破魔击·日",3*0.05*2/3,0.05*2*2/3)))</f>
        <v>0</v>
      </c>
      <c r="BV390" s="115">
        <f t="shared" ca="1" si="336"/>
        <v>0</v>
      </c>
      <c r="BW390" s="115">
        <f t="shared" ca="1" si="337"/>
        <v>37.012499999999292</v>
      </c>
      <c r="BX390" s="164" t="b">
        <f t="shared" ca="1" si="338"/>
        <v>0</v>
      </c>
      <c r="BY390" s="115">
        <f t="shared" ca="1" si="339"/>
        <v>0</v>
      </c>
      <c r="BZ390" s="115">
        <f>IF(OR(模拟模式!$P$16="10人团",模拟模式!$P$16="25人团"),IF(B390/30&gt;CA389,1,0),0)</f>
        <v>0</v>
      </c>
      <c r="CA390" s="115">
        <f t="shared" si="315"/>
        <v>0</v>
      </c>
      <c r="CB390" s="115">
        <f ca="1">IF(BZ390=1,IF(模拟模式!$P$16="10人团",15,0)+IF(模拟模式!$P$16="25人团",IF(RAND()&lt;0.6,15,0)),MAX(0,CB389-$F$4))</f>
        <v>0</v>
      </c>
      <c r="CC390" s="115" t="b">
        <f t="shared" ca="1" si="363"/>
        <v>0</v>
      </c>
      <c r="CD390" s="115">
        <f>IF(模拟模式!$Q$16="1个",IF(B390/40&gt;CE389,1,0),0)</f>
        <v>0</v>
      </c>
      <c r="CE390" s="115">
        <f t="shared" si="364"/>
        <v>0</v>
      </c>
      <c r="CF390" s="115">
        <f>IF(OR(CD390=1,模拟模式!$Q$16="2个"),20,MAX(0,CF389-$F$4))</f>
        <v>0</v>
      </c>
      <c r="CG390" s="115" t="b">
        <f t="shared" si="365"/>
        <v>0</v>
      </c>
      <c r="CH390" s="115">
        <f t="shared" ca="1" si="340"/>
        <v>0</v>
      </c>
      <c r="CI390" s="115" t="b">
        <f t="shared" ca="1" si="341"/>
        <v>0</v>
      </c>
      <c r="CJ390" s="119">
        <f t="shared" ca="1" si="342"/>
        <v>0</v>
      </c>
      <c r="CK390" s="115">
        <f t="shared" ca="1" si="343"/>
        <v>0</v>
      </c>
      <c r="CL390" s="115" t="b">
        <f ca="1">AND(模拟模式!$S$7="驱夷逐法",OR(AND(C390="净世破魔击·月",E389&gt;59),AND(C390="净世破魔击·日",F389&gt;59)))</f>
        <v>0</v>
      </c>
      <c r="CM390" s="115" t="b">
        <f ca="1">OR(CL390,AND(C390="净世破魔击·日",CL389,RAND()&lt;模拟模式!$U$23))</f>
        <v>0</v>
      </c>
      <c r="CN390" s="115" t="b">
        <f ca="1">IF(模拟模式!$M$7="辉耀红尘",AND(C390="净世破魔击·月",CL390,CV390=0,E389&lt;80),AND(C390="净世破魔击·月",CL390,E389&lt;100))</f>
        <v>0</v>
      </c>
      <c r="CO390" s="115" t="b">
        <f t="shared" ca="1" si="316"/>
        <v>0</v>
      </c>
      <c r="CP390" s="115" t="b">
        <f ca="1">AND(模拟模式!$O$7="用晦而明",OR(C390="净世破魔击·日",C390="净世破魔击·月",C390="驱夜断愁"),AB390)</f>
        <v>1</v>
      </c>
      <c r="CQ390" s="115" t="b">
        <f ca="1">OR(CP390,AND(CP389,RAND()&lt;模拟模式!$U$23))</f>
        <v>1</v>
      </c>
      <c r="CR390" s="115" t="b">
        <f ca="1">AND(模拟模式!$S$7="日月齐光",OR(C390="幽月轮1",C390="幽月轮2",C390="幽月轮3",CR389),NOT(OR(C390="赤日轮1",C390="赤日轮2",C390="赤日轮3")))</f>
        <v>0</v>
      </c>
      <c r="CS390" s="115" t="b">
        <f ca="1">AND(模拟模式!$S$7="日月齐光",OR(C390="赤日轮1",C390="赤日轮2",C390="赤日轮3",CS389),NOT(OR(C390="幽月轮1",C390="幽月轮2",C390="幽月轮3")))</f>
        <v>0</v>
      </c>
      <c r="CT390" s="115">
        <f t="shared" ca="1" si="344"/>
        <v>0</v>
      </c>
      <c r="CU390" s="115" t="b">
        <f ca="1">AND(模拟模式!$K$10="阴阳往极",CT389=0,RAND()&lt;IF(C390="净世破魔击·月",0.0275*7/3,IF(C390="净世破魔击·日",0.0275*3/3,0.0275*2/3)))</f>
        <v>0</v>
      </c>
      <c r="CV390" s="115">
        <f t="shared" ca="1" si="345"/>
        <v>0</v>
      </c>
      <c r="CW390" s="115">
        <f t="shared" ca="1" si="317"/>
        <v>0.46499999999999975</v>
      </c>
      <c r="CX390" s="115">
        <f t="shared" ca="1" si="318"/>
        <v>5.0774999999999997</v>
      </c>
      <c r="CY390" s="115">
        <f ca="1">MAX(IF($C390="驱夜断愁",IF(模拟模式!$R$7="万念俱寂",6,45),CY389-$F$4),0)</f>
        <v>6</v>
      </c>
      <c r="CZ390" s="115">
        <f t="shared" ca="1" si="319"/>
        <v>0</v>
      </c>
      <c r="DA390" s="115">
        <f ca="1">IF(模拟模式!$N$7="日月同辉",IF(DB389=2,0,MIN(6,IF(AND(OR(C390="赤日轮1",C390="赤日轮2",C390="赤日轮3",C390="幽月轮1",C390="幽月轮2",C390="幽月轮3"),AB390=1),DA389+1,DA389))),0)</f>
        <v>0</v>
      </c>
      <c r="DB390" s="115">
        <f t="shared" ca="1" si="320"/>
        <v>0</v>
      </c>
      <c r="DC390" s="115"/>
      <c r="DD390" s="115"/>
      <c r="DE390" s="115"/>
      <c r="DF390" s="115"/>
      <c r="DG390" s="115"/>
      <c r="DH390" s="115"/>
      <c r="DI390" s="115"/>
      <c r="DJ390" s="115"/>
      <c r="DK390" s="115"/>
      <c r="DL390" s="115"/>
      <c r="DM390" s="115"/>
    </row>
    <row r="391" spans="2:117" x14ac:dyDescent="0.2">
      <c r="B391" s="117">
        <f t="shared" si="321"/>
        <v>335.79000000000298</v>
      </c>
      <c r="C391" s="167" t="str">
        <f t="shared" ca="1" si="314"/>
        <v>烈日斩</v>
      </c>
      <c r="D391" s="115">
        <f ca="1">IF(C391="赤日轮1",1,IF(C391="赤日轮2",2,IF(C391="赤日轮3",3,IF(C391="幽月轮1",4,IF(C391="幽月轮2",5,IF(C391="幽月轮3",6,IF(C391="烈日斩",7,IF(C391="银月斩",8,IF(C391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391="净世破魔击·月",17,IF(C391="驱夜断愁",18,0)))))))))))</f>
        <v>7</v>
      </c>
      <c r="E391" s="115">
        <f ca="1">IF(AND(CU391,OR(C391="幽月轮1",C391="幽月轮2",C391="幽月轮3",C391="银月斩",C391="驱夜断愁",C391="净世破魔击·月")),100,MIN(IF(OR(CN391,BE391),0,IF(OR($C391="赤日轮1",$C391="赤日轮2",$C391="赤日轮3"),E390+20+IF(模拟模式!$I$7="日月凌天",4,0)+IF(CR390,20,0),IF($C391="烈日斩",E390+40,IF($C391="驱夜断愁",IF(模拟模式!$R$7="万念俱寂",E390+20,E390+60),IF($C391="净世破魔击·月",IF(OR(DB390&gt;0,CV390&gt;0),100,IF(模拟模式!$M$7="辉耀红尘",E390+20,E390)),IF($C391="净世破魔击·日",E390-100,E390)))))),100))</f>
        <v>80</v>
      </c>
      <c r="F391" s="115">
        <f ca="1">IF(AND(CU391,OR(C391="赤日轮1",C391="赤日轮2",C391="赤日轮3",C391="烈日斩",C391="净世破魔击·日")),100,MIN(IF(CO391,0,IF(OR($C391="幽月轮1",$C391="幽月轮2",$C391="幽月轮3"),F390+20+IF(模拟模式!$I$7="日月凌天",4,0)+IF(CS390,20,0),IF($C391="银月斩",F390+40+IF(模拟模式!$X$12=1,5,0),IF($C391="驱夜断愁",IF(模拟模式!$R$7="万念俱寂",F390+20,F390+60),IF($C391="净世破魔击·月",IF(模拟模式!$M$7="辉耀红尘",F390-80,F390-100),IF(AND(C391="净世破魔击·日",OR(DB390&gt;0,CV390&gt;0)),100,F390)))))),100))</f>
        <v>85</v>
      </c>
      <c r="G391" s="117">
        <f ca="1">('模拟-全程加成'!$E$3+'模拟-全程加成'!$E$4+'模拟-全程加成'!$E$5+('模拟-全程加成'!$C$6-'模拟-全程加成'!$C$3)*系数!$B$9+BS391*23)*(1+'模拟-全程加成'!$F$4+'模拟-全程加成'!$F$5+BJ391*10%+BM391*20%+BP391*4%+CG391*30%)+$F$7*系数!$B$12</f>
        <v>21493.829400000002</v>
      </c>
      <c r="H391" s="45">
        <f ca="1">'模拟-全程加成'!$H$3+'模拟-全程加成'!$H$4+'模拟-全程加成'!$H$5+('模拟-全程加成'!$G$4+'模拟-全程加成'!$G$5+('模拟-全程加成'!$C$6-'模拟-全程加成'!$C$3)*系数!$B$13)/系数!$B$3+LOOKUP(D391,'模拟-单技能数据'!$A$2:$A$19,'模拟-单技能数据'!$K$2:$K$19)+BG391*10%+IF(BV391&gt;0,378,0)</f>
        <v>0.56185145527300218</v>
      </c>
      <c r="I391" s="45">
        <f ca="1">'模拟-全程加成'!$J$3+'模拟-全程加成'!$J$4+'模拟-全程加成'!$J$5+('模拟-全程加成'!$I$4+'模拟-全程加成'!$I$5)/系数!$B$4+LOOKUP(D391,'模拟-单技能数据'!$A$2:$A$19,'模拟-单技能数据'!$L$2:$L$19)+BG391*10%</f>
        <v>2.2624828854998791</v>
      </c>
      <c r="J391" s="45">
        <f ca="1">(('模拟-全程加成'!$K$3+'模拟-全程加成'!$K$4+'模拟-全程加成'!$K$5+('模拟-全程加成'!$C$6-'模拟-全程加成'!$C$3)*系数!$B$10+IF(BV391&gt;0,882,0)+IF(BY391&gt;0,1831,0))*(1+'模拟-全程加成'!$L$4+'模拟-全程加成'!$L$5+CC391*20%))/系数!$B$5</f>
        <v>0.69723220422048726</v>
      </c>
      <c r="K391" s="119">
        <f ca="1">LOOKUP(D391,'模拟-单技能数据'!$A$2:$A$19,'模拟-单技能数据'!$J$2:$J$19)+IF(CM391,60%,0)+IF(DB390-DB391&gt;0,30%,0)+IF(OR(AND(OR(C391="赤日轮1",C391="赤日轮2",C391="赤日轮3"),CR391),AND(OR(C391="幽月轮1",C391="幽月轮2",C391="幽月轮3"),CS391)),35%,0)+CJ391</f>
        <v>0.24</v>
      </c>
      <c r="L391" s="119">
        <f ca="1">IF(AND(C391="烈日斩",模拟模式!$X$11=1),10%,0)+IF(AND(C391="驱夜断愁",AB391=1),30%,0)</f>
        <v>0.1</v>
      </c>
      <c r="M391" s="45">
        <f t="shared" ca="1" si="353"/>
        <v>0.56185145527300218</v>
      </c>
      <c r="N391" s="45">
        <f t="shared" ca="1" si="354"/>
        <v>0.38424854472699788</v>
      </c>
      <c r="O391" s="46">
        <f t="shared" ca="1" si="322"/>
        <v>0.90393520184433396</v>
      </c>
      <c r="P391" s="46" t="str">
        <f t="shared" ca="1" si="323"/>
        <v>命</v>
      </c>
      <c r="Q391" s="45">
        <f t="shared" ca="1" si="324"/>
        <v>1</v>
      </c>
      <c r="R391" s="117">
        <f ca="1">模拟模式!$E$20*(1-IF(模拟模式!$J$19="有",0.15,0))*(1-IF(模拟模式!$K$19="有",0.3,0)-IF(CQ391,0.5,0))</f>
        <v>843.02999999999975</v>
      </c>
      <c r="S391" s="45">
        <f ca="1">R391/(R391+(185*模拟模式!$E$22-16800)*4.08224)</f>
        <v>8.389626085980037E-2</v>
      </c>
      <c r="T391" s="45" t="str">
        <f ca="1">LOOKUP(D391,'模拟-单技能数据'!$A$2:$A$19,'模拟-单技能数据'!$H$2:$H$19)</f>
        <v>阳</v>
      </c>
      <c r="U391" s="119">
        <f t="shared" ca="1" si="355"/>
        <v>0.2</v>
      </c>
      <c r="V391" s="47">
        <f ca="1">(1+L391)*(LOOKUP(D391,'模拟-单技能数据'!$A$2:$A$19,'模拟-单技能数据'!$D$2:$D$19)+G391*LOOKUP(D391,'模拟-单技能数据'!$A$2:$A$19,'模拟-单技能数据'!$F$2:$F$19))*(1+J391)*(1+K391)*(1-S391)*(1+U391)*Q391*LOOKUP(D391,'模拟-单技能数据'!$A$2:$A$19,'模拟-单技能数据'!$I$2:$I$20)</f>
        <v>48841.631854871324</v>
      </c>
      <c r="W391" s="47">
        <f ca="1">LOOKUP(D391,'模拟-单技能数据'!$A$2:$A$19,'模拟-单技能数据'!$G$2:$G$19)*$I$10</f>
        <v>361.51064354704795</v>
      </c>
      <c r="X391" s="47">
        <f t="shared" ca="1" si="325"/>
        <v>21224.54896703297</v>
      </c>
      <c r="Y391" s="47">
        <f t="shared" ca="1" si="356"/>
        <v>70427.691465451338</v>
      </c>
      <c r="Z391" s="49">
        <f t="shared" ca="1" si="357"/>
        <v>38052009.284064338</v>
      </c>
      <c r="AA391" s="97">
        <f t="shared" ca="1" si="358"/>
        <v>113320.85316437059</v>
      </c>
      <c r="AB391" s="115">
        <f ca="1">IF(OR(C391="赤日轮1",C391="赤日轮2",C391="赤日轮3"),IF(RAND()&lt;模拟模式!$Y$17,1,0),IF(OR(C391="幽月轮1",C391="幽月轮2",C391="幽月轮3"),IF(RAND()&lt;模拟模式!$Y$18,1,0),IF(C391="烈日斩",IF(RAND()&lt;模拟模式!$Y$19,1,0),IF(C391="银月斩",IF(RAND()&lt;模拟模式!$Y$20,1,0),IF(C391="驱夜断愁",IF(RAND()&lt;模拟模式!$Y$21,1,0),IF(C391="净世破魔击·日",IF(RAND()&lt;模拟模式!$Y$22,1,0),IF(C391="净世破魔击·月",IF(RAND()&lt;模拟模式!$Y$23,1,0),0)))))))</f>
        <v>1</v>
      </c>
      <c r="AC391" s="115" t="b">
        <f t="shared" ca="1" si="346"/>
        <v>0</v>
      </c>
      <c r="AD391" s="115" t="b">
        <f t="shared" ca="1" si="366"/>
        <v>1</v>
      </c>
      <c r="AE391" s="115">
        <f t="shared" ca="1" si="367"/>
        <v>4</v>
      </c>
      <c r="AF391" s="47">
        <f ca="1">IF(AC391,('模拟-单技能数据'!$D$20+G391*'模拟-单技能数据'!$F$20)*(1+J391)*(1+'模拟-单技能数据'!$J$20)*(1+U391),0)</f>
        <v>0</v>
      </c>
      <c r="AG391" s="61">
        <f t="shared" ca="1" si="359"/>
        <v>0.64185145527300214</v>
      </c>
      <c r="AH391" s="61">
        <f t="shared" ca="1" si="360"/>
        <v>2.2624828854998791</v>
      </c>
      <c r="AI391" s="62">
        <f t="shared" ca="1" si="326"/>
        <v>0.31437972842868056</v>
      </c>
      <c r="AJ391" s="47">
        <f ca="1">IF(AD391,IF(AI391&lt;$F$10,0,IF(AI391&lt;$F$10+$F$11,0.25,IF(AI391&lt;$F$10+$F$11+AG391,AH391,1)))*IF(AF391&gt;0,AF391,IF(AF390&gt;0,AF390,IF(AF389&gt;0,AF389,IF(AF388&gt;0,AF388,IF(AF387&gt;0,AF387,IF(AF386&gt;0,AF386,IF(AF385&gt;0,AF385,IF(AF384&gt;0,AF384,IF(AF383&gt;0,AF383,IF(AF381&gt;0,AF381,IF(AF380&gt;0,AF380,IF(AF379&gt;0,AF379,0)))))))))))),0)*(1-$S391)*'模拟-单技能数据'!$I$20</f>
        <v>9616.6571145767884</v>
      </c>
      <c r="AK391" s="115" t="b">
        <f t="shared" ca="1" si="347"/>
        <v>0</v>
      </c>
      <c r="AL391" s="115" t="b">
        <f t="shared" ca="1" si="368"/>
        <v>1</v>
      </c>
      <c r="AM391" s="115">
        <f t="shared" ca="1" si="369"/>
        <v>3</v>
      </c>
      <c r="AN391" s="47">
        <f ca="1">IF(AK391,('模拟-单技能数据'!$D$21+G391*'模拟-单技能数据'!$F$21)*(1+J391)*(1+'模拟-单技能数据'!$J$21)*(1+U391),0)</f>
        <v>0</v>
      </c>
      <c r="AO391" s="61">
        <f ca="1">IF(AN391&gt;0,M391-'模拟-单技能数据'!$K$10,AO390)</f>
        <v>0.42185145527300216</v>
      </c>
      <c r="AP391" s="61">
        <f ca="1">IF(AN391&gt;0,I391-'模拟-单技能数据'!$L$10,AP390)</f>
        <v>2.162482885499879</v>
      </c>
      <c r="AQ391" s="63">
        <f t="shared" ca="1" si="327"/>
        <v>0.96960292225636624</v>
      </c>
      <c r="AR391" s="64">
        <f ca="1">IF(AL391,IF(AQ391&lt;$F$10,0,IF(AQ391&lt;$F$10+$F$11,0.25,IF(AQ391&lt;$F$10+$F$11+AO391,AP391,1)))*IF(AN391&gt;0,AN391,IF(AN390&gt;0,AN390,IF(AN389&gt;0,AN389,IF(AN388&gt;0,AN388,IF(AN387&gt;0,AN387,IF(AN386&gt;0,AN386,IF(AN385&gt;0,AN385,IF(AN384&gt;0,AN384,IF(AN383&gt;0,AN383,IF(AN381&gt;0,AN381,IF(AN380&gt;0,AN380,IF(AN379&gt;0,AN379,0)))))))))))),0)*(1-$S391)*'模拟-单技能数据'!$I$21</f>
        <v>11607.89185245618</v>
      </c>
      <c r="AS391" s="61">
        <f ca="1">IF(OR(C391="净世破魔击·日",C391="净世破魔击·月"),M391-'模拟-单技能数据'!$K$10,0)</f>
        <v>0</v>
      </c>
      <c r="AT391" s="61">
        <f ca="1">IF(OR(C391="净世破魔击·日",C391="净世破魔击·月"),I391-'模拟-单技能数据'!$L$10,0)</f>
        <v>0</v>
      </c>
      <c r="AU391" s="62">
        <f t="shared" ca="1" si="328"/>
        <v>0.7094505448654691</v>
      </c>
      <c r="AV391" s="64">
        <f ca="1">IF(AS391&gt;0,('模拟-单技能数据'!$D$22+G391*'模拟-单技能数据'!$F$22)*(1+J391)*(1-S391)*IF(AU391&lt;$F$10,0,IF(AU391&lt;$F$10+$F$11,0.25,IF(AU391&lt;$F$10+$F$11+AS391,AT391,1)))*(1+U391),0)*'模拟-单技能数据'!$I$22</f>
        <v>0</v>
      </c>
      <c r="AW391" s="108">
        <f t="shared" ca="1" si="329"/>
        <v>14.465000000000003</v>
      </c>
      <c r="AX391" s="108" t="b">
        <f ca="1">AND(模拟模式!$P$10="有",AW390=0,RAND()&lt;IF(C391="净世破魔击·月",0.1*8/3,IF(C391="净世破魔击·日",0.1*4/3,0.1*2/3)))</f>
        <v>0</v>
      </c>
      <c r="AY391" s="47">
        <f ca="1">IF(AX391,(18+G391*0.722)*(1+J391)*(1-S391)*(1+$I$4)*IF(P391="会",'模拟-全程加成'!$J$3+'模拟-全程加成'!$J$4+'模拟-全程加成'!$J$5+('模拟-全程加成'!$I$4+'模拟-全程加成'!$I$5)/系数!$B$4+BG391*10%,IF(P391="命",1,IF(P391="识",0.25,0))),0)</f>
        <v>0</v>
      </c>
      <c r="AZ391" s="108">
        <f t="shared" si="330"/>
        <v>8.9300000000000068</v>
      </c>
      <c r="BA391" s="108" t="b">
        <f>AND(模拟模式!$Q$10="有",AZ390=0)</f>
        <v>0</v>
      </c>
      <c r="BB391" s="140">
        <f>IF(BA391,(0+G391*0.287)*(1+J391)*(1-S391)*(1+$I$4)*IF(P391="会",'模拟-全程加成'!$J$3+'模拟-全程加成'!$J$4+'模拟-全程加成'!$J$5+('模拟-全程加成'!$I$4+'模拟-全程加成'!$I$5)/系数!$B$4+BG391*10%,IF(P391="命",1,IF(P391="识",0.25,0))),0)</f>
        <v>0</v>
      </c>
      <c r="BC391" s="115" t="b">
        <f ca="1">AND(模拟模式!$R$7="伏明众生",E391=60,F391=20,DA391&lt;5,CZ390&lt;$F$4)</f>
        <v>0</v>
      </c>
      <c r="BD391" s="115">
        <f t="shared" ca="1" si="348"/>
        <v>0</v>
      </c>
      <c r="BE391" s="115" t="b">
        <f t="shared" ca="1" si="349"/>
        <v>0</v>
      </c>
      <c r="BF391" s="47">
        <f ca="1">IF(BC391,4*('模拟-单技能数据'!$D$24+G391*'模拟-单技能数据'!$F$24)*(1+J391)*(1+'模拟-单技能数据'!$J$24)*(1-S391)*(1+$I$3)*(('模拟-全程加成'!$J$3+'模拟-全程加成'!$J$4+'模拟-全程加成'!$J$5+('模拟-全程加成'!$I$4+'模拟-全程加成'!$I$5)/系数!$B$4+BG391*10%)*('模拟-全程加成'!$J$3+'模拟-全程加成'!$J$4+'模拟-全程加成'!$J$5+('模拟-全程加成'!$I$4+'模拟-全程加成'!$I$5)/系数!$B$4+BG391*10%)+(1-('模拟-全程加成'!$J$3+'模拟-全程加成'!$J$4+'模拟-全程加成'!$J$5+('模拟-全程加成'!$I$4+'模拟-全程加成'!$I$5)/系数!$B$4+BG391*10%)-$F$10-$F$11)+F377*0.25),0)*'模拟-单技能数据'!$I$24</f>
        <v>0</v>
      </c>
      <c r="BG391" s="115" t="b">
        <f ca="1">OR(AND(OR(C391="烈日斩",C391="银月斩"),模拟模式!$I$7="净身明礼"),AND(C391="净世破魔击·日",模拟模式!$J$7="洞若观火"),AND(C392="净世破魔击·月",模拟模式!$J$7="洞若观火"),AB391=1)</f>
        <v>1</v>
      </c>
      <c r="BH391" s="115" t="b">
        <f t="shared" ca="1" si="331"/>
        <v>0</v>
      </c>
      <c r="BI391" s="115">
        <f t="shared" ca="1" si="350"/>
        <v>1.3874999999999997</v>
      </c>
      <c r="BJ391" s="115" t="b">
        <f t="shared" ca="1" si="361"/>
        <v>1</v>
      </c>
      <c r="BK391" s="115" t="b">
        <f ca="1">AND(C391="驱夜断愁",模拟模式!$P$7="天地诛戮")</f>
        <v>0</v>
      </c>
      <c r="BL391" s="57">
        <f t="shared" ca="1" si="351"/>
        <v>19.077500000000001</v>
      </c>
      <c r="BM391" s="115" t="b">
        <f t="shared" ca="1" si="362"/>
        <v>1</v>
      </c>
      <c r="BN391" s="115" t="b">
        <f ca="1">AND(OR(C391="赤日轮1",C391="赤日轮2",C391="赤日轮3",C391="幽月轮1",C391="幽月轮2",C391="幽月轮3"),AB391=1,模拟模式!$L$7="明光恒照")</f>
        <v>0</v>
      </c>
      <c r="BO391" s="117">
        <f t="shared" ca="1" si="352"/>
        <v>24.465000000000003</v>
      </c>
      <c r="BP391" s="115">
        <f t="shared" ca="1" si="332"/>
        <v>6</v>
      </c>
      <c r="BQ391" s="115" t="b">
        <f>模拟模式!$K$10="2600·水"</f>
        <v>0</v>
      </c>
      <c r="BR391" s="117">
        <f t="shared" si="333"/>
        <v>0</v>
      </c>
      <c r="BS391" s="115">
        <f t="shared" si="334"/>
        <v>0</v>
      </c>
      <c r="BT391" s="115">
        <f t="shared" ca="1" si="335"/>
        <v>0</v>
      </c>
      <c r="BU391" s="115" t="b">
        <f ca="1">AND(模拟模式!$K$10="2300·雷",BT390=0,RAND()&lt;IF(C391="净世破魔击·月",5*0.05*2/3,IF(C391="净世破魔击·日",3*0.05*2/3,0.05*2*2/3)))</f>
        <v>0</v>
      </c>
      <c r="BV391" s="115">
        <f t="shared" ca="1" si="336"/>
        <v>0</v>
      </c>
      <c r="BW391" s="115">
        <f t="shared" ca="1" si="337"/>
        <v>36.089999999999293</v>
      </c>
      <c r="BX391" s="164" t="b">
        <f t="shared" ca="1" si="338"/>
        <v>0</v>
      </c>
      <c r="BY391" s="115">
        <f t="shared" ca="1" si="339"/>
        <v>0</v>
      </c>
      <c r="BZ391" s="115">
        <f>IF(OR(模拟模式!$P$16="10人团",模拟模式!$P$16="25人团"),IF(B391/30&gt;CA390,1,0),0)</f>
        <v>0</v>
      </c>
      <c r="CA391" s="115">
        <f t="shared" si="315"/>
        <v>0</v>
      </c>
      <c r="CB391" s="115">
        <f ca="1">IF(BZ391=1,IF(模拟模式!$P$16="10人团",15,0)+IF(模拟模式!$P$16="25人团",IF(RAND()&lt;0.6,15,0)),MAX(0,CB390-$F$4))</f>
        <v>0</v>
      </c>
      <c r="CC391" s="115" t="b">
        <f t="shared" ca="1" si="363"/>
        <v>0</v>
      </c>
      <c r="CD391" s="115">
        <f>IF(模拟模式!$Q$16="1个",IF(B391/40&gt;CE390,1,0),0)</f>
        <v>0</v>
      </c>
      <c r="CE391" s="115">
        <f t="shared" si="364"/>
        <v>0</v>
      </c>
      <c r="CF391" s="115">
        <f>IF(OR(CD391=1,模拟模式!$Q$16="2个"),20,MAX(0,CF390-$F$4))</f>
        <v>0</v>
      </c>
      <c r="CG391" s="115" t="b">
        <f t="shared" si="365"/>
        <v>0</v>
      </c>
      <c r="CH391" s="115">
        <f t="shared" ca="1" si="340"/>
        <v>0</v>
      </c>
      <c r="CI391" s="115" t="b">
        <f t="shared" ca="1" si="341"/>
        <v>0</v>
      </c>
      <c r="CJ391" s="119">
        <f t="shared" ca="1" si="342"/>
        <v>0</v>
      </c>
      <c r="CK391" s="115">
        <f t="shared" ca="1" si="343"/>
        <v>0</v>
      </c>
      <c r="CL391" s="115" t="b">
        <f ca="1">AND(模拟模式!$S$7="驱夷逐法",OR(AND(C391="净世破魔击·月",E390&gt;59),AND(C391="净世破魔击·日",F390&gt;59)))</f>
        <v>0</v>
      </c>
      <c r="CM391" s="115" t="b">
        <f ca="1">OR(CL391,AND(C391="净世破魔击·日",CL390,RAND()&lt;模拟模式!$U$23))</f>
        <v>0</v>
      </c>
      <c r="CN391" s="115" t="b">
        <f ca="1">IF(模拟模式!$M$7="辉耀红尘",AND(C391="净世破魔击·月",CL391,CV391=0,E390&lt;80),AND(C391="净世破魔击·月",CL391,E390&lt;100))</f>
        <v>0</v>
      </c>
      <c r="CO391" s="115" t="b">
        <f t="shared" ca="1" si="316"/>
        <v>0</v>
      </c>
      <c r="CP391" s="115" t="b">
        <f ca="1">AND(模拟模式!$O$7="用晦而明",OR(C391="净世破魔击·日",C391="净世破魔击·月",C391="驱夜断愁"),AB391)</f>
        <v>0</v>
      </c>
      <c r="CQ391" s="115" t="b">
        <f ca="1">OR(CP391,AND(CP390,RAND()&lt;模拟模式!$U$23))</f>
        <v>1</v>
      </c>
      <c r="CR391" s="115" t="b">
        <f ca="1">AND(模拟模式!$S$7="日月齐光",OR(C391="幽月轮1",C391="幽月轮2",C391="幽月轮3",CR390),NOT(OR(C391="赤日轮1",C391="赤日轮2",C391="赤日轮3")))</f>
        <v>0</v>
      </c>
      <c r="CS391" s="115" t="b">
        <f ca="1">AND(模拟模式!$S$7="日月齐光",OR(C391="赤日轮1",C391="赤日轮2",C391="赤日轮3",CS390),NOT(OR(C391="幽月轮1",C391="幽月轮2",C391="幽月轮3")))</f>
        <v>0</v>
      </c>
      <c r="CT391" s="115">
        <f t="shared" ca="1" si="344"/>
        <v>0</v>
      </c>
      <c r="CU391" s="115" t="b">
        <f ca="1">AND(模拟模式!$K$10="阴阳往极",CT390=0,RAND()&lt;IF(C391="净世破魔击·月",0.0275*7/3,IF(C391="净世破魔击·日",0.0275*3/3,0.0275*2/3)))</f>
        <v>0</v>
      </c>
      <c r="CV391" s="115">
        <f t="shared" ca="1" si="345"/>
        <v>0</v>
      </c>
      <c r="CW391" s="115">
        <f t="shared" ca="1" si="317"/>
        <v>6</v>
      </c>
      <c r="CX391" s="115">
        <f t="shared" ca="1" si="318"/>
        <v>4.1549999999999994</v>
      </c>
      <c r="CY391" s="115">
        <f ca="1">MAX(IF($C391="驱夜断愁",IF(模拟模式!$R$7="万念俱寂",6,45),CY390-$F$4),0)</f>
        <v>5.0774999999999997</v>
      </c>
      <c r="CZ391" s="115">
        <f t="shared" ca="1" si="319"/>
        <v>0</v>
      </c>
      <c r="DA391" s="115">
        <f ca="1">IF(模拟模式!$N$7="日月同辉",IF(DB390=2,0,MIN(6,IF(AND(OR(C391="赤日轮1",C391="赤日轮2",C391="赤日轮3",C391="幽月轮1",C391="幽月轮2",C391="幽月轮3"),AB391=1),DA390+1,DA390))),0)</f>
        <v>0</v>
      </c>
      <c r="DB391" s="115">
        <f t="shared" ca="1" si="320"/>
        <v>0</v>
      </c>
      <c r="DC391" s="115"/>
      <c r="DD391" s="115"/>
      <c r="DE391" s="115"/>
      <c r="DF391" s="115"/>
      <c r="DG391" s="115"/>
      <c r="DH391" s="115"/>
      <c r="DI391" s="115"/>
      <c r="DJ391" s="115"/>
      <c r="DK391" s="115"/>
      <c r="DL391" s="115"/>
      <c r="DM391" s="115"/>
    </row>
    <row r="392" spans="2:117" x14ac:dyDescent="0.2">
      <c r="B392" s="117">
        <f t="shared" si="321"/>
        <v>336.71250000000299</v>
      </c>
      <c r="C392" s="167" t="str">
        <f t="shared" ca="1" si="314"/>
        <v>幽月轮1</v>
      </c>
      <c r="D392" s="115">
        <f ca="1">IF(C392="赤日轮1",1,IF(C392="赤日轮2",2,IF(C392="赤日轮3",3,IF(C392="幽月轮1",4,IF(C392="幽月轮2",5,IF(C392="幽月轮3",6,IF(C392="烈日斩",7,IF(C392="银月斩",8,IF(C392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392="净世破魔击·月",17,IF(C392="驱夜断愁",18,0)))))))))))</f>
        <v>4</v>
      </c>
      <c r="E392" s="115">
        <f ca="1">IF(AND(CU392,OR(C392="幽月轮1",C392="幽月轮2",C392="幽月轮3",C392="银月斩",C392="驱夜断愁",C392="净世破魔击·月")),100,MIN(IF(OR(CN392,BE392),0,IF(OR($C392="赤日轮1",$C392="赤日轮2",$C392="赤日轮3"),E391+20+IF(模拟模式!$I$7="日月凌天",4,0)+IF(CR391,20,0),IF($C392="烈日斩",E391+40,IF($C392="驱夜断愁",IF(模拟模式!$R$7="万念俱寂",E391+20,E391+60),IF($C392="净世破魔击·月",IF(OR(DB391&gt;0,CV391&gt;0),100,IF(模拟模式!$M$7="辉耀红尘",E391+20,E391)),IF($C392="净世破魔击·日",E391-100,E391)))))),100))</f>
        <v>80</v>
      </c>
      <c r="F392" s="115">
        <f ca="1">IF(AND(CU392,OR(C392="赤日轮1",C392="赤日轮2",C392="赤日轮3",C392="烈日斩",C392="净世破魔击·日")),100,MIN(IF(CO392,0,IF(OR($C392="幽月轮1",$C392="幽月轮2",$C392="幽月轮3"),F391+20+IF(模拟模式!$I$7="日月凌天",4,0)+IF(CS391,20,0),IF($C392="银月斩",F391+40+IF(模拟模式!$X$12=1,5,0),IF($C392="驱夜断愁",IF(模拟模式!$R$7="万念俱寂",F391+20,F391+60),IF($C392="净世破魔击·月",IF(模拟模式!$M$7="辉耀红尘",F391-80,F391-100),IF(AND(C392="净世破魔击·日",OR(DB391&gt;0,CV391&gt;0)),100,F391)))))),100))</f>
        <v>100</v>
      </c>
      <c r="G392" s="117">
        <f ca="1">('模拟-全程加成'!$E$3+'模拟-全程加成'!$E$4+'模拟-全程加成'!$E$5+('模拟-全程加成'!$C$6-'模拟-全程加成'!$C$3)*系数!$B$9+BS392*23)*(1+'模拟-全程加成'!$F$4+'模拟-全程加成'!$F$5+BJ392*10%+BM392*20%+BP392*4%+CG392*30%)+$F$7*系数!$B$12</f>
        <v>21493.829400000002</v>
      </c>
      <c r="H392" s="45">
        <f ca="1">'模拟-全程加成'!$H$3+'模拟-全程加成'!$H$4+'模拟-全程加成'!$H$5+('模拟-全程加成'!$G$4+'模拟-全程加成'!$G$5+('模拟-全程加成'!$C$6-'模拟-全程加成'!$C$3)*系数!$B$13)/系数!$B$3+LOOKUP(D392,'模拟-单技能数据'!$A$2:$A$19,'模拟-单技能数据'!$K$2:$K$19)+BG392*10%+IF(BV392&gt;0,378,0)</f>
        <v>0.51185145527300213</v>
      </c>
      <c r="I392" s="45">
        <f ca="1">'模拟-全程加成'!$J$3+'模拟-全程加成'!$J$4+'模拟-全程加成'!$J$5+('模拟-全程加成'!$I$4+'模拟-全程加成'!$I$5)/系数!$B$4+LOOKUP(D392,'模拟-单技能数据'!$A$2:$A$19,'模拟-单技能数据'!$L$2:$L$19)+BG392*10%</f>
        <v>2.162482885499879</v>
      </c>
      <c r="J392" s="45">
        <f ca="1">(('模拟-全程加成'!$K$3+'模拟-全程加成'!$K$4+'模拟-全程加成'!$K$5+('模拟-全程加成'!$C$6-'模拟-全程加成'!$C$3)*系数!$B$10+IF(BV392&gt;0,882,0)+IF(BY392&gt;0,1831,0))*(1+'模拟-全程加成'!$L$4+'模拟-全程加成'!$L$5+CC392*20%))/系数!$B$5</f>
        <v>0.69723220422048726</v>
      </c>
      <c r="K392" s="119">
        <f ca="1">LOOKUP(D392,'模拟-单技能数据'!$A$2:$A$19,'模拟-单技能数据'!$J$2:$J$19)+IF(CM392,60%,0)+IF(DB391-DB392&gt;0,30%,0)+IF(OR(AND(OR(C392="赤日轮1",C392="赤日轮2",C392="赤日轮3"),CR392),AND(OR(C392="幽月轮1",C392="幽月轮2",C392="幽月轮3"),CS392)),35%,0)+CJ392</f>
        <v>7.0000000000000007E-2</v>
      </c>
      <c r="L392" s="119">
        <f ca="1">IF(AND(C392="烈日斩",模拟模式!$X$11=1),10%,0)+IF(AND(C392="驱夜断愁",AB392=1),30%,0)</f>
        <v>0</v>
      </c>
      <c r="M392" s="45">
        <f t="shared" ca="1" si="353"/>
        <v>0.51185145527300213</v>
      </c>
      <c r="N392" s="45">
        <f t="shared" ca="1" si="354"/>
        <v>0.43424854472699792</v>
      </c>
      <c r="O392" s="46">
        <f t="shared" ca="1" si="322"/>
        <v>0.28386092679682251</v>
      </c>
      <c r="P392" s="46" t="str">
        <f t="shared" ca="1" si="323"/>
        <v>会</v>
      </c>
      <c r="Q392" s="45">
        <f t="shared" ca="1" si="324"/>
        <v>2.162482885499879</v>
      </c>
      <c r="R392" s="117">
        <f ca="1">模拟模式!$E$20*(1-IF(模拟模式!$J$19="有",0.15,0))*(1-IF(模拟模式!$K$19="有",0.3,0)-IF(CQ392,0.5,0))</f>
        <v>2950.6049999999996</v>
      </c>
      <c r="S392" s="45">
        <f ca="1">R392/(R392+(185*模拟模式!$E$22-16800)*4.08224)</f>
        <v>0.24272716014590323</v>
      </c>
      <c r="T392" s="45" t="str">
        <f ca="1">LOOKUP(D392,'模拟-单技能数据'!$A$2:$A$19,'模拟-单技能数据'!$H$2:$H$19)</f>
        <v>阴</v>
      </c>
      <c r="U392" s="119">
        <f t="shared" ca="1" si="355"/>
        <v>0.08</v>
      </c>
      <c r="V392" s="47">
        <f ca="1">(1+L392)*(LOOKUP(D392,'模拟-单技能数据'!$A$2:$A$19,'模拟-单技能数据'!$D$2:$D$19)+G392*LOOKUP(D392,'模拟-单技能数据'!$A$2:$A$19,'模拟-单技能数据'!$F$2:$F$19))*(1+J392)*(1+K392)*(1-S392)*(1+U392)*Q392*LOOKUP(D392,'模拟-单技能数据'!$A$2:$A$19,'模拟-单技能数据'!$I$2:$I$20)</f>
        <v>36630.702053185581</v>
      </c>
      <c r="W392" s="47">
        <f ca="1">LOOKUP(D392,'模拟-单技能数据'!$A$2:$A$19,'模拟-单技能数据'!$G$2:$G$19)*$I$10</f>
        <v>361.51064354704795</v>
      </c>
      <c r="X392" s="47">
        <f t="shared" ca="1" si="325"/>
        <v>0</v>
      </c>
      <c r="Y392" s="47">
        <f t="shared" ca="1" si="356"/>
        <v>36992.212696732633</v>
      </c>
      <c r="Z392" s="49">
        <f t="shared" ca="1" si="357"/>
        <v>38089001.496761069</v>
      </c>
      <c r="AA392" s="97">
        <f t="shared" ca="1" si="358"/>
        <v>113120.24797642122</v>
      </c>
      <c r="AB392" s="115">
        <f ca="1">IF(OR(C392="赤日轮1",C392="赤日轮2",C392="赤日轮3"),IF(RAND()&lt;模拟模式!$Y$17,1,0),IF(OR(C392="幽月轮1",C392="幽月轮2",C392="幽月轮3"),IF(RAND()&lt;模拟模式!$Y$18,1,0),IF(C392="烈日斩",IF(RAND()&lt;模拟模式!$Y$19,1,0),IF(C392="银月斩",IF(RAND()&lt;模拟模式!$Y$20,1,0),IF(C392="驱夜断愁",IF(RAND()&lt;模拟模式!$Y$21,1,0),IF(C392="净世破魔击·日",IF(RAND()&lt;模拟模式!$Y$22,1,0),IF(C392="净世破魔击·月",IF(RAND()&lt;模拟模式!$Y$23,1,0),0)))))))</f>
        <v>1</v>
      </c>
      <c r="AC392" s="115" t="b">
        <f t="shared" ca="1" si="346"/>
        <v>0</v>
      </c>
      <c r="AD392" s="115" t="b">
        <f t="shared" ca="1" si="366"/>
        <v>0</v>
      </c>
      <c r="AE392" s="115">
        <f t="shared" ca="1" si="367"/>
        <v>4</v>
      </c>
      <c r="AF392" s="47">
        <f ca="1">IF(AC392,('模拟-单技能数据'!$D$20+G392*'模拟-单技能数据'!$F$20)*(1+J392)*(1+'模拟-单技能数据'!$J$20)*(1+U392),0)</f>
        <v>0</v>
      </c>
      <c r="AG392" s="61">
        <f t="shared" ca="1" si="359"/>
        <v>0.64185145527300214</v>
      </c>
      <c r="AH392" s="61">
        <f t="shared" ca="1" si="360"/>
        <v>2.2624828854998791</v>
      </c>
      <c r="AI392" s="62">
        <f t="shared" ca="1" si="326"/>
        <v>0.17837909892551351</v>
      </c>
      <c r="AJ392" s="47">
        <f ca="1">IF(AD392,IF(AI392&lt;$F$10,0,IF(AI392&lt;$F$10+$F$11,0.25,IF(AI392&lt;$F$10+$F$11+AG392,AH392,1)))*IF(AF392&gt;0,AF392,IF(AF391&gt;0,AF391,IF(AF390&gt;0,AF390,IF(AF389&gt;0,AF389,IF(AF388&gt;0,AF388,IF(AF387&gt;0,AF387,IF(AF386&gt;0,AF386,IF(AF385&gt;0,AF385,IF(AF384&gt;0,AF384,IF(AF382&gt;0,AF382,IF(AF381&gt;0,AF381,IF(AF380&gt;0,AF380,0)))))))))))),0)*(1-$S392)*'模拟-单技能数据'!$I$20</f>
        <v>0</v>
      </c>
      <c r="AK392" s="115" t="b">
        <f t="shared" ca="1" si="347"/>
        <v>0</v>
      </c>
      <c r="AL392" s="115" t="b">
        <f t="shared" ca="1" si="368"/>
        <v>0</v>
      </c>
      <c r="AM392" s="115">
        <f t="shared" ca="1" si="369"/>
        <v>3</v>
      </c>
      <c r="AN392" s="47">
        <f ca="1">IF(AK392,('模拟-单技能数据'!$D$21+G392*'模拟-单技能数据'!$F$21)*(1+J392)*(1+'模拟-单技能数据'!$J$21)*(1+U392),0)</f>
        <v>0</v>
      </c>
      <c r="AO392" s="61">
        <f ca="1">IF(AN392&gt;0,M392-'模拟-单技能数据'!$K$10,AO391)</f>
        <v>0.42185145527300216</v>
      </c>
      <c r="AP392" s="61">
        <f ca="1">IF(AN392&gt;0,I392-'模拟-单技能数据'!$L$10,AP391)</f>
        <v>2.162482885499879</v>
      </c>
      <c r="AQ392" s="63">
        <f t="shared" ca="1" si="327"/>
        <v>0.46498281498796235</v>
      </c>
      <c r="AR392" s="64">
        <f ca="1">IF(AL392,IF(AQ392&lt;$F$10,0,IF(AQ392&lt;$F$10+$F$11,0.25,IF(AQ392&lt;$F$10+$F$11+AO392,AP392,1)))*IF(AN392&gt;0,AN392,IF(AN391&gt;0,AN391,IF(AN390&gt;0,AN390,IF(AN389&gt;0,AN389,IF(AN388&gt;0,AN388,IF(AN387&gt;0,AN387,IF(AN386&gt;0,AN386,IF(AN385&gt;0,AN385,IF(AN384&gt;0,AN384,IF(AN382&gt;0,AN382,IF(AN381&gt;0,AN381,IF(AN380&gt;0,AN380,0)))))))))))),0)*(1-$S392)*'模拟-单技能数据'!$I$21</f>
        <v>0</v>
      </c>
      <c r="AS392" s="61">
        <f ca="1">IF(OR(C392="净世破魔击·日",C392="净世破魔击·月"),M392-'模拟-单技能数据'!$K$10,0)</f>
        <v>0</v>
      </c>
      <c r="AT392" s="61">
        <f ca="1">IF(OR(C392="净世破魔击·日",C392="净世破魔击·月"),I392-'模拟-单技能数据'!$L$10,0)</f>
        <v>0</v>
      </c>
      <c r="AU392" s="62">
        <f t="shared" ca="1" si="328"/>
        <v>0.113377704842066</v>
      </c>
      <c r="AV392" s="64">
        <f ca="1">IF(AS392&gt;0,('模拟-单技能数据'!$D$22+G392*'模拟-单技能数据'!$F$22)*(1+J392)*(1-S392)*IF(AU392&lt;$F$10,0,IF(AU392&lt;$F$10+$F$11,0.25,IF(AU392&lt;$F$10+$F$11+AS392,AT392,1)))*(1+U392),0)*'模拟-单技能数据'!$I$22</f>
        <v>0</v>
      </c>
      <c r="AW392" s="108">
        <f t="shared" ca="1" si="329"/>
        <v>13.542500000000004</v>
      </c>
      <c r="AX392" s="108" t="b">
        <f ca="1">AND(模拟模式!$P$10="有",AW391=0,RAND()&lt;IF(C392="净世破魔击·月",0.1*8/3,IF(C392="净世破魔击·日",0.1*4/3,0.1*2/3)))</f>
        <v>0</v>
      </c>
      <c r="AY392" s="47">
        <f ca="1">IF(AX392,(18+G392*0.722)*(1+J392)*(1-S392)*(1+$I$4)*IF(P392="会",'模拟-全程加成'!$J$3+'模拟-全程加成'!$J$4+'模拟-全程加成'!$J$5+('模拟-全程加成'!$I$4+'模拟-全程加成'!$I$5)/系数!$B$4+BG392*10%,IF(P392="命",1,IF(P392="识",0.25,0))),0)</f>
        <v>0</v>
      </c>
      <c r="AZ392" s="108">
        <f t="shared" si="330"/>
        <v>8.0075000000000074</v>
      </c>
      <c r="BA392" s="108" t="b">
        <f>AND(模拟模式!$Q$10="有",AZ391=0)</f>
        <v>0</v>
      </c>
      <c r="BB392" s="140">
        <f>IF(BA392,(0+G392*0.287)*(1+J392)*(1-S392)*(1+$I$4)*IF(P392="会",'模拟-全程加成'!$J$3+'模拟-全程加成'!$J$4+'模拟-全程加成'!$J$5+('模拟-全程加成'!$I$4+'模拟-全程加成'!$I$5)/系数!$B$4+BG392*10%,IF(P392="命",1,IF(P392="识",0.25,0))),0)</f>
        <v>0</v>
      </c>
      <c r="BC392" s="115" t="b">
        <f ca="1">AND(模拟模式!$R$7="伏明众生",E392=60,F392=20,DA392&lt;5,CZ391&lt;$F$4)</f>
        <v>0</v>
      </c>
      <c r="BD392" s="115">
        <f t="shared" ca="1" si="348"/>
        <v>0</v>
      </c>
      <c r="BE392" s="115" t="b">
        <f t="shared" ca="1" si="349"/>
        <v>0</v>
      </c>
      <c r="BF392" s="47">
        <f ca="1">IF(BC392,4*('模拟-单技能数据'!$D$24+G392*'模拟-单技能数据'!$F$24)*(1+J392)*(1+'模拟-单技能数据'!$J$24)*(1-S392)*(1+$I$3)*(('模拟-全程加成'!$J$3+'模拟-全程加成'!$J$4+'模拟-全程加成'!$J$5+('模拟-全程加成'!$I$4+'模拟-全程加成'!$I$5)/系数!$B$4+BG392*10%)*('模拟-全程加成'!$J$3+'模拟-全程加成'!$J$4+'模拟-全程加成'!$J$5+('模拟-全程加成'!$I$4+'模拟-全程加成'!$I$5)/系数!$B$4+BG392*10%)+(1-('模拟-全程加成'!$J$3+'模拟-全程加成'!$J$4+'模拟-全程加成'!$J$5+('模拟-全程加成'!$I$4+'模拟-全程加成'!$I$5)/系数!$B$4+BG392*10%)-$F$10-$F$11)+F378*0.25),0)*'模拟-单技能数据'!$I$24</f>
        <v>0</v>
      </c>
      <c r="BG392" s="115" t="b">
        <f ca="1">OR(AND(OR(C392="烈日斩",C392="银月斩"),模拟模式!$I$7="净身明礼"),AND(C392="净世破魔击·日",模拟模式!$J$7="洞若观火"),AND(C393="净世破魔击·月",模拟模式!$J$7="洞若观火"),AB392=1)</f>
        <v>1</v>
      </c>
      <c r="BH392" s="115" t="b">
        <f t="shared" ca="1" si="331"/>
        <v>0</v>
      </c>
      <c r="BI392" s="115">
        <f t="shared" ca="1" si="350"/>
        <v>0.46499999999999975</v>
      </c>
      <c r="BJ392" s="115" t="b">
        <f t="shared" ca="1" si="361"/>
        <v>1</v>
      </c>
      <c r="BK392" s="115" t="b">
        <f ca="1">AND(C392="驱夜断愁",模拟模式!$P$7="天地诛戮")</f>
        <v>0</v>
      </c>
      <c r="BL392" s="57">
        <f t="shared" ca="1" si="351"/>
        <v>18.155000000000001</v>
      </c>
      <c r="BM392" s="115" t="b">
        <f t="shared" ca="1" si="362"/>
        <v>1</v>
      </c>
      <c r="BN392" s="115" t="b">
        <f ca="1">AND(OR(C392="赤日轮1",C392="赤日轮2",C392="赤日轮3",C392="幽月轮1",C392="幽月轮2",C392="幽月轮3"),AB392=1,模拟模式!$L$7="明光恒照")</f>
        <v>1</v>
      </c>
      <c r="BO392" s="117">
        <f t="shared" ca="1" si="352"/>
        <v>30</v>
      </c>
      <c r="BP392" s="115">
        <f t="shared" ca="1" si="332"/>
        <v>6</v>
      </c>
      <c r="BQ392" s="115" t="b">
        <f>模拟模式!$K$10="2600·水"</f>
        <v>0</v>
      </c>
      <c r="BR392" s="117">
        <f t="shared" si="333"/>
        <v>0</v>
      </c>
      <c r="BS392" s="115">
        <f t="shared" si="334"/>
        <v>0</v>
      </c>
      <c r="BT392" s="115">
        <f t="shared" ca="1" si="335"/>
        <v>0</v>
      </c>
      <c r="BU392" s="115" t="b">
        <f ca="1">AND(模拟模式!$K$10="2300·雷",BT391=0,RAND()&lt;IF(C392="净世破魔击·月",5*0.05*2/3,IF(C392="净世破魔击·日",3*0.05*2/3,0.05*2*2/3)))</f>
        <v>0</v>
      </c>
      <c r="BV392" s="115">
        <f t="shared" ca="1" si="336"/>
        <v>0</v>
      </c>
      <c r="BW392" s="115">
        <f t="shared" ca="1" si="337"/>
        <v>35.167499999999293</v>
      </c>
      <c r="BX392" s="164" t="b">
        <f t="shared" ca="1" si="338"/>
        <v>0</v>
      </c>
      <c r="BY392" s="115">
        <f t="shared" ca="1" si="339"/>
        <v>0</v>
      </c>
      <c r="BZ392" s="115">
        <f>IF(OR(模拟模式!$P$16="10人团",模拟模式!$P$16="25人团"),IF(B392/30&gt;CA391,1,0),0)</f>
        <v>0</v>
      </c>
      <c r="CA392" s="115">
        <f t="shared" si="315"/>
        <v>0</v>
      </c>
      <c r="CB392" s="115">
        <f ca="1">IF(BZ392=1,IF(模拟模式!$P$16="10人团",15,0)+IF(模拟模式!$P$16="25人团",IF(RAND()&lt;0.6,15,0)),MAX(0,CB391-$F$4))</f>
        <v>0</v>
      </c>
      <c r="CC392" s="115" t="b">
        <f t="shared" ca="1" si="363"/>
        <v>0</v>
      </c>
      <c r="CD392" s="115">
        <f>IF(模拟模式!$Q$16="1个",IF(B392/40&gt;CE391,1,0),0)</f>
        <v>0</v>
      </c>
      <c r="CE392" s="115">
        <f t="shared" si="364"/>
        <v>0</v>
      </c>
      <c r="CF392" s="115">
        <f>IF(OR(CD392=1,模拟模式!$Q$16="2个"),20,MAX(0,CF391-$F$4))</f>
        <v>0</v>
      </c>
      <c r="CG392" s="115" t="b">
        <f t="shared" si="365"/>
        <v>0</v>
      </c>
      <c r="CH392" s="115">
        <f t="shared" ca="1" si="340"/>
        <v>0</v>
      </c>
      <c r="CI392" s="115" t="b">
        <f t="shared" ca="1" si="341"/>
        <v>0</v>
      </c>
      <c r="CJ392" s="119">
        <f t="shared" ca="1" si="342"/>
        <v>0</v>
      </c>
      <c r="CK392" s="115">
        <f t="shared" ca="1" si="343"/>
        <v>0</v>
      </c>
      <c r="CL392" s="115" t="b">
        <f ca="1">AND(模拟模式!$S$7="驱夷逐法",OR(AND(C392="净世破魔击·月",E391&gt;59),AND(C392="净世破魔击·日",F391&gt;59)))</f>
        <v>0</v>
      </c>
      <c r="CM392" s="115" t="b">
        <f ca="1">OR(CL392,AND(C392="净世破魔击·日",CL391,RAND()&lt;模拟模式!$U$23))</f>
        <v>0</v>
      </c>
      <c r="CN392" s="115" t="b">
        <f ca="1">IF(模拟模式!$M$7="辉耀红尘",AND(C392="净世破魔击·月",CL392,CV392=0,E391&lt;80),AND(C392="净世破魔击·月",CL392,E391&lt;100))</f>
        <v>0</v>
      </c>
      <c r="CO392" s="115" t="b">
        <f t="shared" ca="1" si="316"/>
        <v>0</v>
      </c>
      <c r="CP392" s="115" t="b">
        <f ca="1">AND(模拟模式!$O$7="用晦而明",OR(C392="净世破魔击·日",C392="净世破魔击·月",C392="驱夜断愁"),AB392)</f>
        <v>0</v>
      </c>
      <c r="CQ392" s="115" t="b">
        <f ca="1">OR(CP392,AND(CP391,RAND()&lt;模拟模式!$U$23))</f>
        <v>0</v>
      </c>
      <c r="CR392" s="115" t="b">
        <f ca="1">AND(模拟模式!$S$7="日月齐光",OR(C392="幽月轮1",C392="幽月轮2",C392="幽月轮3",CR391),NOT(OR(C392="赤日轮1",C392="赤日轮2",C392="赤日轮3")))</f>
        <v>0</v>
      </c>
      <c r="CS392" s="115" t="b">
        <f ca="1">AND(模拟模式!$S$7="日月齐光",OR(C392="赤日轮1",C392="赤日轮2",C392="赤日轮3",CS391),NOT(OR(C392="幽月轮1",C392="幽月轮2",C392="幽月轮3")))</f>
        <v>0</v>
      </c>
      <c r="CT392" s="115">
        <f t="shared" ca="1" si="344"/>
        <v>0</v>
      </c>
      <c r="CU392" s="115" t="b">
        <f ca="1">AND(模拟模式!$K$10="阴阳往极",CT391=0,RAND()&lt;IF(C392="净世破魔击·月",0.0275*7/3,IF(C392="净世破魔击·日",0.0275*3/3,0.0275*2/3)))</f>
        <v>0</v>
      </c>
      <c r="CV392" s="115">
        <f t="shared" ca="1" si="345"/>
        <v>0</v>
      </c>
      <c r="CW392" s="115">
        <f t="shared" ca="1" si="317"/>
        <v>5.0774999999999997</v>
      </c>
      <c r="CX392" s="115">
        <f t="shared" ca="1" si="318"/>
        <v>3.2324999999999995</v>
      </c>
      <c r="CY392" s="115">
        <f ca="1">MAX(IF($C392="驱夜断愁",IF(模拟模式!$R$7="万念俱寂",6,45),CY391-$F$4),0)</f>
        <v>4.1549999999999994</v>
      </c>
      <c r="CZ392" s="115">
        <f t="shared" ca="1" si="319"/>
        <v>0</v>
      </c>
      <c r="DA392" s="115">
        <f ca="1">IF(模拟模式!$N$7="日月同辉",IF(DB391=2,0,MIN(6,IF(AND(OR(C392="赤日轮1",C392="赤日轮2",C392="赤日轮3",C392="幽月轮1",C392="幽月轮2",C392="幽月轮3"),AB392=1),DA391+1,DA391))),0)</f>
        <v>1</v>
      </c>
      <c r="DB392" s="115">
        <f t="shared" ca="1" si="320"/>
        <v>0</v>
      </c>
      <c r="DC392" s="115"/>
      <c r="DD392" s="115"/>
      <c r="DE392" s="115"/>
      <c r="DF392" s="115"/>
      <c r="DG392" s="115"/>
      <c r="DH392" s="115"/>
      <c r="DI392" s="115"/>
      <c r="DJ392" s="115"/>
      <c r="DK392" s="115"/>
      <c r="DL392" s="115"/>
      <c r="DM392" s="115"/>
    </row>
    <row r="393" spans="2:117" x14ac:dyDescent="0.2">
      <c r="B393" s="117">
        <f t="shared" si="321"/>
        <v>337.635000000003</v>
      </c>
      <c r="C393" s="167" t="str">
        <f t="shared" ca="1" si="314"/>
        <v>净世破魔击·月</v>
      </c>
      <c r="D393" s="115">
        <f ca="1">IF(C393="赤日轮1",1,IF(C393="赤日轮2",2,IF(C393="赤日轮3",3,IF(C393="幽月轮1",4,IF(C393="幽月轮2",5,IF(C393="幽月轮3",6,IF(C393="烈日斩",7,IF(C393="银月斩",8,IF(C393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393="净世破魔击·月",17,IF(C393="驱夜断愁",18,0)))))))))))</f>
        <v>17</v>
      </c>
      <c r="E393" s="115">
        <f ca="1">IF(AND(CU393,OR(C393="幽月轮1",C393="幽月轮2",C393="幽月轮3",C393="银月斩",C393="驱夜断愁",C393="净世破魔击·月")),100,MIN(IF(OR(CN393,BE393),0,IF(OR($C393="赤日轮1",$C393="赤日轮2",$C393="赤日轮3"),E392+20+IF(模拟模式!$I$7="日月凌天",4,0)+IF(CR392,20,0),IF($C393="烈日斩",E392+40,IF($C393="驱夜断愁",IF(模拟模式!$R$7="万念俱寂",E392+20,E392+60),IF($C393="净世破魔击·月",IF(OR(DB392&gt;0,CV392&gt;0),100,IF(模拟模式!$M$7="辉耀红尘",E392+20,E392)),IF($C393="净世破魔击·日",E392-100,E392)))))),100))</f>
        <v>100</v>
      </c>
      <c r="F393" s="115">
        <f ca="1">IF(AND(CU393,OR(C393="赤日轮1",C393="赤日轮2",C393="赤日轮3",C393="烈日斩",C393="净世破魔击·日")),100,MIN(IF(CO393,0,IF(OR($C393="幽月轮1",$C393="幽月轮2",$C393="幽月轮3"),F392+20+IF(模拟模式!$I$7="日月凌天",4,0)+IF(CS392,20,0),IF($C393="银月斩",F392+40+IF(模拟模式!$X$12=1,5,0),IF($C393="驱夜断愁",IF(模拟模式!$R$7="万念俱寂",F392+20,F392+60),IF($C393="净世破魔击·月",IF(模拟模式!$M$7="辉耀红尘",F392-80,F392-100),IF(AND(C393="净世破魔击·日",OR(DB392&gt;0,CV392&gt;0)),100,F392)))))),100))</f>
        <v>20</v>
      </c>
      <c r="G393" s="117">
        <f ca="1">('模拟-全程加成'!$E$3+'模拟-全程加成'!$E$4+'模拟-全程加成'!$E$5+('模拟-全程加成'!$C$6-'模拟-全程加成'!$C$3)*系数!$B$9+BS393*23)*(1+'模拟-全程加成'!$F$4+'模拟-全程加成'!$F$5+BJ393*10%+BM393*20%+BP393*4%+CG393*30%)+$F$7*系数!$B$12</f>
        <v>20583.127400000001</v>
      </c>
      <c r="H393" s="45">
        <f ca="1">'模拟-全程加成'!$H$3+'模拟-全程加成'!$H$4+'模拟-全程加成'!$H$5+('模拟-全程加成'!$G$4+'模拟-全程加成'!$G$5+('模拟-全程加成'!$C$6-'模拟-全程加成'!$C$3)*系数!$B$13)/系数!$B$3+LOOKUP(D393,'模拟-单技能数据'!$A$2:$A$19,'模拟-单技能数据'!$K$2:$K$19)+BG393*10%+IF(BV393&gt;0,378,0)</f>
        <v>0.54185145527300216</v>
      </c>
      <c r="I393" s="45">
        <f ca="1">'模拟-全程加成'!$J$3+'模拟-全程加成'!$J$4+'模拟-全程加成'!$J$5+('模拟-全程加成'!$I$4+'模拟-全程加成'!$I$5)/系数!$B$4+LOOKUP(D393,'模拟-单技能数据'!$A$2:$A$19,'模拟-单技能数据'!$L$2:$L$19)+BG393*10%</f>
        <v>2.162482885499879</v>
      </c>
      <c r="J393" s="45">
        <f ca="1">(('模拟-全程加成'!$K$3+'模拟-全程加成'!$K$4+'模拟-全程加成'!$K$5+('模拟-全程加成'!$C$6-'模拟-全程加成'!$C$3)*系数!$B$10+IF(BV393&gt;0,882,0)+IF(BY393&gt;0,1831,0))*(1+'模拟-全程加成'!$L$4+'模拟-全程加成'!$L$5+CC393*20%))/系数!$B$5</f>
        <v>0.69723220422048726</v>
      </c>
      <c r="K393" s="119">
        <f ca="1">LOOKUP(D393,'模拟-单技能数据'!$A$2:$A$19,'模拟-单技能数据'!$J$2:$J$19)+IF(CM393,60%,0)+IF(DB392-DB393&gt;0,30%,0)+IF(OR(AND(OR(C393="赤日轮1",C393="赤日轮2",C393="赤日轮3"),CR393),AND(OR(C393="幽月轮1",C393="幽月轮2",C393="幽月轮3"),CS393)),35%,0)+CJ393</f>
        <v>0.8</v>
      </c>
      <c r="L393" s="119">
        <f ca="1">IF(AND(C393="烈日斩",模拟模式!$X$11=1),10%,0)+IF(AND(C393="驱夜断愁",AB393=1),30%,0)</f>
        <v>0</v>
      </c>
      <c r="M393" s="45">
        <f t="shared" ca="1" si="353"/>
        <v>0.54185145527300216</v>
      </c>
      <c r="N393" s="45">
        <f t="shared" ca="1" si="354"/>
        <v>0.40424854472699789</v>
      </c>
      <c r="O393" s="46">
        <f t="shared" ca="1" si="322"/>
        <v>0.15770117850934429</v>
      </c>
      <c r="P393" s="46" t="str">
        <f t="shared" ca="1" si="323"/>
        <v>会</v>
      </c>
      <c r="Q393" s="45">
        <f t="shared" ca="1" si="324"/>
        <v>2.162482885499879</v>
      </c>
      <c r="R393" s="117">
        <f ca="1">模拟模式!$E$20*(1-IF(模拟模式!$J$19="有",0.15,0))*(1-IF(模拟模式!$K$19="有",0.3,0)-IF(CQ393,0.5,0))</f>
        <v>843.02999999999975</v>
      </c>
      <c r="S393" s="45">
        <f ca="1">R393/(R393+(185*模拟模式!$E$22-16800)*4.08224)</f>
        <v>8.389626085980037E-2</v>
      </c>
      <c r="T393" s="45" t="str">
        <f ca="1">LOOKUP(D393,'模拟-单技能数据'!$A$2:$A$19,'模拟-单技能数据'!$H$2:$H$19)</f>
        <v>阴</v>
      </c>
      <c r="U393" s="119">
        <f t="shared" ca="1" si="355"/>
        <v>0.08</v>
      </c>
      <c r="V393" s="47">
        <f ca="1">(1+L393)*(LOOKUP(D393,'模拟-单技能数据'!$A$2:$A$19,'模拟-单技能数据'!$D$2:$D$19)+G393*LOOKUP(D393,'模拟-单技能数据'!$A$2:$A$19,'模拟-单技能数据'!$F$2:$F$19))*(1+J393)*(1+K393)*(1-S393)*(1+U393)*Q393*LOOKUP(D393,'模拟-单技能数据'!$A$2:$A$19,'模拟-单技能数据'!$I$2:$I$20)</f>
        <v>174868.36016214982</v>
      </c>
      <c r="W393" s="47">
        <f ca="1">LOOKUP(D393,'模拟-单技能数据'!$A$2:$A$19,'模拟-单技能数据'!$G$2:$G$19)*$I$10</f>
        <v>361.51064354704795</v>
      </c>
      <c r="X393" s="47">
        <f t="shared" ca="1" si="325"/>
        <v>37744.73263556177</v>
      </c>
      <c r="Y393" s="47">
        <f t="shared" ca="1" si="356"/>
        <v>212974.60344125866</v>
      </c>
      <c r="Z393" s="49">
        <f t="shared" ca="1" si="357"/>
        <v>38301976.100202329</v>
      </c>
      <c r="AA393" s="97">
        <f t="shared" ca="1" si="358"/>
        <v>113441.95980926737</v>
      </c>
      <c r="AB393" s="115">
        <f ca="1">IF(OR(C393="赤日轮1",C393="赤日轮2",C393="赤日轮3"),IF(RAND()&lt;模拟模式!$Y$17,1,0),IF(OR(C393="幽月轮1",C393="幽月轮2",C393="幽月轮3"),IF(RAND()&lt;模拟模式!$Y$18,1,0),IF(C393="烈日斩",IF(RAND()&lt;模拟模式!$Y$19,1,0),IF(C393="银月斩",IF(RAND()&lt;模拟模式!$Y$20,1,0),IF(C393="驱夜断愁",IF(RAND()&lt;模拟模式!$Y$21,1,0),IF(C393="净世破魔击·日",IF(RAND()&lt;模拟模式!$Y$22,1,0),IF(C393="净世破魔击·月",IF(RAND()&lt;模拟模式!$Y$23,1,0),0)))))))</f>
        <v>1</v>
      </c>
      <c r="AC393" s="115" t="b">
        <f t="shared" ca="1" si="346"/>
        <v>0</v>
      </c>
      <c r="AD393" s="115" t="b">
        <f t="shared" ca="1" si="366"/>
        <v>1</v>
      </c>
      <c r="AE393" s="115">
        <f t="shared" ca="1" si="367"/>
        <v>3</v>
      </c>
      <c r="AF393" s="47">
        <f ca="1">IF(AC393,('模拟-单技能数据'!$D$20+G393*'模拟-单技能数据'!$F$20)*(1+J393)*(1+'模拟-单技能数据'!$J$20)*(1+U393),0)</f>
        <v>0</v>
      </c>
      <c r="AG393" s="61">
        <f t="shared" ca="1" si="359"/>
        <v>0.64185145527300214</v>
      </c>
      <c r="AH393" s="61">
        <f t="shared" ca="1" si="360"/>
        <v>2.2624828854998791</v>
      </c>
      <c r="AI393" s="62">
        <f t="shared" ca="1" si="326"/>
        <v>6.1794776337271706E-2</v>
      </c>
      <c r="AJ393" s="47">
        <f ca="1">IF(AD393,IF(AI393&lt;$F$10,0,IF(AI393&lt;$F$10+$F$11,0.25,IF(AI393&lt;$F$10+$F$11+AG393,AH393,1)))*IF(AF393&gt;0,AF393,IF(AF392&gt;0,AF392,IF(AF391&gt;0,AF391,IF(AF390&gt;0,AF390,IF(AF389&gt;0,AF389,IF(AF388&gt;0,AF388,IF(AF387&gt;0,AF387,IF(AF386&gt;0,AF386,IF(AF385&gt;0,AF385,IF(AF383&gt;0,AF383,IF(AF382&gt;0,AF382,IF(AF381&gt;0,AF381,0)))))))))))),0)*(1-$S393)*'模拟-单技能数据'!$I$20</f>
        <v>9616.6571145767884</v>
      </c>
      <c r="AK393" s="115" t="b">
        <f t="shared" ca="1" si="347"/>
        <v>0</v>
      </c>
      <c r="AL393" s="115" t="b">
        <f t="shared" ca="1" si="368"/>
        <v>1</v>
      </c>
      <c r="AM393" s="115">
        <f t="shared" ca="1" si="369"/>
        <v>2</v>
      </c>
      <c r="AN393" s="47">
        <f ca="1">IF(AK393,('模拟-单技能数据'!$D$21+G393*'模拟-单技能数据'!$F$21)*(1+J393)*(1+'模拟-单技能数据'!$J$21)*(1+U393),0)</f>
        <v>0</v>
      </c>
      <c r="AO393" s="61">
        <f ca="1">IF(AN393&gt;0,M393-'模拟-单技能数据'!$K$10,AO392)</f>
        <v>0.42185145527300216</v>
      </c>
      <c r="AP393" s="61">
        <f ca="1">IF(AN393&gt;0,I393-'模拟-单技能数据'!$L$10,AP392)</f>
        <v>2.162482885499879</v>
      </c>
      <c r="AQ393" s="63">
        <f t="shared" ca="1" si="327"/>
        <v>0.75963467544250762</v>
      </c>
      <c r="AR393" s="64">
        <f ca="1">IF(AL393,IF(AQ393&lt;$F$10,0,IF(AQ393&lt;$F$10+$F$11,0.25,IF(AQ393&lt;$F$10+$F$11+AO393,AP393,1)))*IF(AN393&gt;0,AN393,IF(AN392&gt;0,AN392,IF(AN391&gt;0,AN391,IF(AN390&gt;0,AN390,IF(AN389&gt;0,AN389,IF(AN388&gt;0,AN388,IF(AN387&gt;0,AN387,IF(AN386&gt;0,AN386,IF(AN385&gt;0,AN385,IF(AN383&gt;0,AN383,IF(AN382&gt;0,AN382,IF(AN381&gt;0,AN381,0)))))))))))),0)*(1-$S393)*'模拟-单技能数据'!$I$21</f>
        <v>11607.89185245618</v>
      </c>
      <c r="AS393" s="61">
        <f ca="1">IF(OR(C393="净世破魔击·日",C393="净世破魔击·月"),M393-'模拟-单技能数据'!$K$10,0)</f>
        <v>0.42185145527300216</v>
      </c>
      <c r="AT393" s="61">
        <f ca="1">IF(OR(C393="净世破魔击·日",C393="净世破魔击·月"),I393-'模拟-单技能数据'!$L$10,0)</f>
        <v>2.162482885499879</v>
      </c>
      <c r="AU393" s="62">
        <f t="shared" ca="1" si="328"/>
        <v>0.36059951383581834</v>
      </c>
      <c r="AV393" s="64">
        <f ca="1">IF(AS393&gt;0,('模拟-单技能数据'!$D$22+G393*'模拟-单技能数据'!$F$22)*(1+J393)*(1-S393)*IF(AU393&lt;$F$10,0,IF(AU393&lt;$F$10+$F$11,0.25,IF(AU393&lt;$F$10+$F$11+AS393,AT393,1)))*(1+U393),0)*'模拟-单技能数据'!$I$22</f>
        <v>16520.1836685288</v>
      </c>
      <c r="AW393" s="108">
        <f t="shared" ca="1" si="329"/>
        <v>12.620000000000005</v>
      </c>
      <c r="AX393" s="108" t="b">
        <f ca="1">AND(模拟模式!$P$10="有",AW392=0,RAND()&lt;IF(C393="净世破魔击·月",0.1*8/3,IF(C393="净世破魔击·日",0.1*4/3,0.1*2/3)))</f>
        <v>0</v>
      </c>
      <c r="AY393" s="47">
        <f ca="1">IF(AX393,(18+G393*0.722)*(1+J393)*(1-S393)*(1+$I$4)*IF(P393="会",'模拟-全程加成'!$J$3+'模拟-全程加成'!$J$4+'模拟-全程加成'!$J$5+('模拟-全程加成'!$I$4+'模拟-全程加成'!$I$5)/系数!$B$4+BG393*10%,IF(P393="命",1,IF(P393="识",0.25,0))),0)</f>
        <v>0</v>
      </c>
      <c r="AZ393" s="108">
        <f t="shared" si="330"/>
        <v>7.0850000000000071</v>
      </c>
      <c r="BA393" s="108" t="b">
        <f>AND(模拟模式!$Q$10="有",AZ392=0)</f>
        <v>0</v>
      </c>
      <c r="BB393" s="140">
        <f>IF(BA393,(0+G393*0.287)*(1+J393)*(1-S393)*(1+$I$4)*IF(P393="会",'模拟-全程加成'!$J$3+'模拟-全程加成'!$J$4+'模拟-全程加成'!$J$5+('模拟-全程加成'!$I$4+'模拟-全程加成'!$I$5)/系数!$B$4+BG393*10%,IF(P393="命",1,IF(P393="识",0.25,0))),0)</f>
        <v>0</v>
      </c>
      <c r="BC393" s="115" t="b">
        <f ca="1">AND(模拟模式!$R$7="伏明众生",E393=60,F393=20,DA393&lt;5,CZ392&lt;$F$4)</f>
        <v>0</v>
      </c>
      <c r="BD393" s="115">
        <f t="shared" ca="1" si="348"/>
        <v>0</v>
      </c>
      <c r="BE393" s="115" t="b">
        <f t="shared" ca="1" si="349"/>
        <v>0</v>
      </c>
      <c r="BF393" s="47">
        <f ca="1">IF(BC393,4*('模拟-单技能数据'!$D$24+G393*'模拟-单技能数据'!$F$24)*(1+J393)*(1+'模拟-单技能数据'!$J$24)*(1-S393)*(1+$I$3)*(('模拟-全程加成'!$J$3+'模拟-全程加成'!$J$4+'模拟-全程加成'!$J$5+('模拟-全程加成'!$I$4+'模拟-全程加成'!$I$5)/系数!$B$4+BG393*10%)*('模拟-全程加成'!$J$3+'模拟-全程加成'!$J$4+'模拟-全程加成'!$J$5+('模拟-全程加成'!$I$4+'模拟-全程加成'!$I$5)/系数!$B$4+BG393*10%)+(1-('模拟-全程加成'!$J$3+'模拟-全程加成'!$J$4+'模拟-全程加成'!$J$5+('模拟-全程加成'!$I$4+'模拟-全程加成'!$I$5)/系数!$B$4+BG393*10%)-$F$10-$F$11)+F379*0.25),0)*'模拟-单技能数据'!$I$24</f>
        <v>0</v>
      </c>
      <c r="BG393" s="115" t="b">
        <f ca="1">OR(AND(OR(C393="烈日斩",C393="银月斩"),模拟模式!$I$7="净身明礼"),AND(C393="净世破魔击·日",模拟模式!$J$7="洞若观火"),AND(C394="净世破魔击·月",模拟模式!$J$7="洞若观火"),AB393=1)</f>
        <v>1</v>
      </c>
      <c r="BH393" s="115" t="b">
        <f t="shared" ca="1" si="331"/>
        <v>0</v>
      </c>
      <c r="BI393" s="115">
        <f t="shared" ca="1" si="350"/>
        <v>0</v>
      </c>
      <c r="BJ393" s="115" t="b">
        <f t="shared" ca="1" si="361"/>
        <v>0</v>
      </c>
      <c r="BK393" s="115" t="b">
        <f ca="1">AND(C393="驱夜断愁",模拟模式!$P$7="天地诛戮")</f>
        <v>0</v>
      </c>
      <c r="BL393" s="57">
        <f t="shared" ca="1" si="351"/>
        <v>17.232500000000002</v>
      </c>
      <c r="BM393" s="115" t="b">
        <f t="shared" ca="1" si="362"/>
        <v>1</v>
      </c>
      <c r="BN393" s="115" t="b">
        <f ca="1">AND(OR(C393="赤日轮1",C393="赤日轮2",C393="赤日轮3",C393="幽月轮1",C393="幽月轮2",C393="幽月轮3"),AB393=1,模拟模式!$L$7="明光恒照")</f>
        <v>0</v>
      </c>
      <c r="BO393" s="117">
        <f t="shared" ca="1" si="352"/>
        <v>29.077500000000001</v>
      </c>
      <c r="BP393" s="115">
        <f t="shared" ca="1" si="332"/>
        <v>6</v>
      </c>
      <c r="BQ393" s="115" t="b">
        <f>模拟模式!$K$10="2600·水"</f>
        <v>0</v>
      </c>
      <c r="BR393" s="117">
        <f t="shared" si="333"/>
        <v>0</v>
      </c>
      <c r="BS393" s="115">
        <f t="shared" si="334"/>
        <v>0</v>
      </c>
      <c r="BT393" s="115">
        <f t="shared" ca="1" si="335"/>
        <v>0</v>
      </c>
      <c r="BU393" s="115" t="b">
        <f ca="1">AND(模拟模式!$K$10="2300·雷",BT392=0,RAND()&lt;IF(C393="净世破魔击·月",5*0.05*2/3,IF(C393="净世破魔击·日",3*0.05*2/3,0.05*2*2/3)))</f>
        <v>0</v>
      </c>
      <c r="BV393" s="115">
        <f t="shared" ca="1" si="336"/>
        <v>0</v>
      </c>
      <c r="BW393" s="115">
        <f t="shared" ca="1" si="337"/>
        <v>34.244999999999294</v>
      </c>
      <c r="BX393" s="164" t="b">
        <f t="shared" ca="1" si="338"/>
        <v>0</v>
      </c>
      <c r="BY393" s="115">
        <f t="shared" ca="1" si="339"/>
        <v>0</v>
      </c>
      <c r="BZ393" s="115">
        <f>IF(OR(模拟模式!$P$16="10人团",模拟模式!$P$16="25人团"),IF(B393/30&gt;CA392,1,0),0)</f>
        <v>0</v>
      </c>
      <c r="CA393" s="115">
        <f t="shared" si="315"/>
        <v>0</v>
      </c>
      <c r="CB393" s="115">
        <f ca="1">IF(BZ393=1,IF(模拟模式!$P$16="10人团",15,0)+IF(模拟模式!$P$16="25人团",IF(RAND()&lt;0.6,15,0)),MAX(0,CB392-$F$4))</f>
        <v>0</v>
      </c>
      <c r="CC393" s="115" t="b">
        <f t="shared" ca="1" si="363"/>
        <v>0</v>
      </c>
      <c r="CD393" s="115">
        <f>IF(模拟模式!$Q$16="1个",IF(B393/40&gt;CE392,1,0),0)</f>
        <v>0</v>
      </c>
      <c r="CE393" s="115">
        <f t="shared" si="364"/>
        <v>0</v>
      </c>
      <c r="CF393" s="115">
        <f>IF(OR(CD393=1,模拟模式!$Q$16="2个"),20,MAX(0,CF392-$F$4))</f>
        <v>0</v>
      </c>
      <c r="CG393" s="115" t="b">
        <f t="shared" si="365"/>
        <v>0</v>
      </c>
      <c r="CH393" s="115">
        <f t="shared" ca="1" si="340"/>
        <v>0</v>
      </c>
      <c r="CI393" s="115" t="b">
        <f t="shared" ca="1" si="341"/>
        <v>0</v>
      </c>
      <c r="CJ393" s="119">
        <f t="shared" ca="1" si="342"/>
        <v>0</v>
      </c>
      <c r="CK393" s="115">
        <f t="shared" ca="1" si="343"/>
        <v>0</v>
      </c>
      <c r="CL393" s="115" t="b">
        <f ca="1">AND(模拟模式!$S$7="驱夷逐法",OR(AND(C393="净世破魔击·月",E392&gt;59),AND(C393="净世破魔击·日",F392&gt;59)))</f>
        <v>1</v>
      </c>
      <c r="CM393" s="115" t="b">
        <f ca="1">OR(CL393,AND(C393="净世破魔击·日",CL392,RAND()&lt;模拟模式!$U$23))</f>
        <v>1</v>
      </c>
      <c r="CN393" s="115" t="b">
        <f ca="1">IF(模拟模式!$M$7="辉耀红尘",AND(C393="净世破魔击·月",CL393,CV393=0,E392&lt;80),AND(C393="净世破魔击·月",CL393,E392&lt;100))</f>
        <v>0</v>
      </c>
      <c r="CO393" s="115" t="b">
        <f t="shared" ca="1" si="316"/>
        <v>0</v>
      </c>
      <c r="CP393" s="115" t="b">
        <f ca="1">AND(模拟模式!$O$7="用晦而明",OR(C393="净世破魔击·日",C393="净世破魔击·月",C393="驱夜断愁"),AB393)</f>
        <v>1</v>
      </c>
      <c r="CQ393" s="115" t="b">
        <f ca="1">OR(CP393,AND(CP392,RAND()&lt;模拟模式!$U$23))</f>
        <v>1</v>
      </c>
      <c r="CR393" s="115" t="b">
        <f ca="1">AND(模拟模式!$S$7="日月齐光",OR(C393="幽月轮1",C393="幽月轮2",C393="幽月轮3",CR392),NOT(OR(C393="赤日轮1",C393="赤日轮2",C393="赤日轮3")))</f>
        <v>0</v>
      </c>
      <c r="CS393" s="115" t="b">
        <f ca="1">AND(模拟模式!$S$7="日月齐光",OR(C393="赤日轮1",C393="赤日轮2",C393="赤日轮3",CS392),NOT(OR(C393="幽月轮1",C393="幽月轮2",C393="幽月轮3")))</f>
        <v>0</v>
      </c>
      <c r="CT393" s="115">
        <f t="shared" ca="1" si="344"/>
        <v>0</v>
      </c>
      <c r="CU393" s="115" t="b">
        <f ca="1">AND(模拟模式!$K$10="阴阳往极",CT392=0,RAND()&lt;IF(C393="净世破魔击·月",0.0275*7/3,IF(C393="净世破魔击·日",0.0275*3/3,0.0275*2/3)))</f>
        <v>0</v>
      </c>
      <c r="CV393" s="115">
        <f t="shared" ca="1" si="345"/>
        <v>0</v>
      </c>
      <c r="CW393" s="115">
        <f t="shared" ca="1" si="317"/>
        <v>4.1549999999999994</v>
      </c>
      <c r="CX393" s="115">
        <f t="shared" ca="1" si="318"/>
        <v>2.3099999999999996</v>
      </c>
      <c r="CY393" s="115">
        <f ca="1">MAX(IF($C393="驱夜断愁",IF(模拟模式!$R$7="万念俱寂",6,45),CY392-$F$4),0)</f>
        <v>3.2324999999999995</v>
      </c>
      <c r="CZ393" s="115">
        <f t="shared" ca="1" si="319"/>
        <v>0</v>
      </c>
      <c r="DA393" s="115">
        <f ca="1">IF(模拟模式!$N$7="日月同辉",IF(DB392=2,0,MIN(6,IF(AND(OR(C393="赤日轮1",C393="赤日轮2",C393="赤日轮3",C393="幽月轮1",C393="幽月轮2",C393="幽月轮3"),AB393=1),DA392+1,DA392))),0)</f>
        <v>1</v>
      </c>
      <c r="DB393" s="115">
        <f t="shared" ca="1" si="320"/>
        <v>0</v>
      </c>
      <c r="DC393" s="115"/>
      <c r="DD393" s="115"/>
      <c r="DE393" s="115"/>
      <c r="DF393" s="115"/>
      <c r="DG393" s="115"/>
      <c r="DH393" s="115"/>
      <c r="DI393" s="115"/>
      <c r="DJ393" s="115"/>
      <c r="DK393" s="115"/>
      <c r="DL393" s="115"/>
      <c r="DM393" s="115"/>
    </row>
    <row r="394" spans="2:117" x14ac:dyDescent="0.2">
      <c r="B394" s="117">
        <f t="shared" si="321"/>
        <v>338.55750000000302</v>
      </c>
      <c r="C394" s="167" t="str">
        <f t="shared" ca="1" si="314"/>
        <v>净世破魔击·日</v>
      </c>
      <c r="D394" s="115">
        <f ca="1">IF(C394="赤日轮1",1,IF(C394="赤日轮2",2,IF(C394="赤日轮3",3,IF(C394="幽月轮1",4,IF(C394="幽月轮2",5,IF(C394="幽月轮3",6,IF(C394="烈日斩",7,IF(C394="银月斩",8,IF(C394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394="净世破魔击·月",17,IF(C394="驱夜断愁",18,0)))))))))))</f>
        <v>9</v>
      </c>
      <c r="E394" s="115">
        <f ca="1">IF(AND(CU394,OR(C394="幽月轮1",C394="幽月轮2",C394="幽月轮3",C394="银月斩",C394="驱夜断愁",C394="净世破魔击·月")),100,MIN(IF(OR(CN394,BE394),0,IF(OR($C394="赤日轮1",$C394="赤日轮2",$C394="赤日轮3"),E393+20+IF(模拟模式!$I$7="日月凌天",4,0)+IF(CR393,20,0),IF($C394="烈日斩",E393+40,IF($C394="驱夜断愁",IF(模拟模式!$R$7="万念俱寂",E393+20,E393+60),IF($C394="净世破魔击·月",IF(OR(DB393&gt;0,CV393&gt;0),100,IF(模拟模式!$M$7="辉耀红尘",E393+20,E393)),IF($C394="净世破魔击·日",E393-100,E393)))))),100))</f>
        <v>0</v>
      </c>
      <c r="F394" s="115">
        <f ca="1">IF(AND(CU394,OR(C394="赤日轮1",C394="赤日轮2",C394="赤日轮3",C394="烈日斩",C394="净世破魔击·日")),100,MIN(IF(CO394,0,IF(OR($C394="幽月轮1",$C394="幽月轮2",$C394="幽月轮3"),F393+20+IF(模拟模式!$I$7="日月凌天",4,0)+IF(CS393,20,0),IF($C394="银月斩",F393+40+IF(模拟模式!$X$12=1,5,0),IF($C394="驱夜断愁",IF(模拟模式!$R$7="万念俱寂",F393+20,F393+60),IF($C394="净世破魔击·月",IF(模拟模式!$M$7="辉耀红尘",F393-80,F393-100),IF(AND(C394="净世破魔击·日",OR(DB393&gt;0,CV393&gt;0)),100,F393)))))),100))</f>
        <v>20</v>
      </c>
      <c r="G394" s="117">
        <f ca="1">('模拟-全程加成'!$E$3+'模拟-全程加成'!$E$4+'模拟-全程加成'!$E$5+('模拟-全程加成'!$C$6-'模拟-全程加成'!$C$3)*系数!$B$9+BS394*23)*(1+'模拟-全程加成'!$F$4+'模拟-全程加成'!$F$5+BJ394*10%+BM394*20%+BP394*4%+CG394*30%)+$F$7*系数!$B$12</f>
        <v>20583.127400000001</v>
      </c>
      <c r="H394" s="45">
        <f ca="1">'模拟-全程加成'!$H$3+'模拟-全程加成'!$H$4+'模拟-全程加成'!$H$5+('模拟-全程加成'!$G$4+'模拟-全程加成'!$G$5+('模拟-全程加成'!$C$6-'模拟-全程加成'!$C$3)*系数!$B$13)/系数!$B$3+LOOKUP(D394,'模拟-单技能数据'!$A$2:$A$19,'模拟-单技能数据'!$K$2:$K$19)+BG394*10%+IF(BV394&gt;0,378,0)</f>
        <v>0.54185145527300216</v>
      </c>
      <c r="I394" s="45">
        <f ca="1">'模拟-全程加成'!$J$3+'模拟-全程加成'!$J$4+'模拟-全程加成'!$J$5+('模拟-全程加成'!$I$4+'模拟-全程加成'!$I$5)/系数!$B$4+LOOKUP(D394,'模拟-单技能数据'!$A$2:$A$19,'模拟-单技能数据'!$L$2:$L$19)+BG394*10%</f>
        <v>2.162482885499879</v>
      </c>
      <c r="J394" s="45">
        <f ca="1">(('模拟-全程加成'!$K$3+'模拟-全程加成'!$K$4+'模拟-全程加成'!$K$5+('模拟-全程加成'!$C$6-'模拟-全程加成'!$C$3)*系数!$B$10+IF(BV394&gt;0,882,0)+IF(BY394&gt;0,1831,0))*(1+'模拟-全程加成'!$L$4+'模拟-全程加成'!$L$5+CC394*20%))/系数!$B$5</f>
        <v>0.69723220422048726</v>
      </c>
      <c r="K394" s="119">
        <f ca="1">LOOKUP(D394,'模拟-单技能数据'!$A$2:$A$19,'模拟-单技能数据'!$J$2:$J$19)+IF(CM394,60%,0)+IF(DB393-DB394&gt;0,30%,0)+IF(OR(AND(OR(C394="赤日轮1",C394="赤日轮2",C394="赤日轮3"),CR394),AND(OR(C394="幽月轮1",C394="幽月轮2",C394="幽月轮3"),CS394)),35%,0)+CJ394</f>
        <v>0.8</v>
      </c>
      <c r="L394" s="119">
        <f ca="1">IF(AND(C394="烈日斩",模拟模式!$X$11=1),10%,0)+IF(AND(C394="驱夜断愁",AB394=1),30%,0)</f>
        <v>0</v>
      </c>
      <c r="M394" s="45">
        <f t="shared" ca="1" si="353"/>
        <v>0.54185145527300216</v>
      </c>
      <c r="N394" s="45">
        <f t="shared" ca="1" si="354"/>
        <v>0.40424854472699789</v>
      </c>
      <c r="O394" s="46">
        <f t="shared" ca="1" si="322"/>
        <v>0.79556797307573057</v>
      </c>
      <c r="P394" s="46" t="str">
        <f t="shared" ca="1" si="323"/>
        <v>命</v>
      </c>
      <c r="Q394" s="45">
        <f t="shared" ca="1" si="324"/>
        <v>1</v>
      </c>
      <c r="R394" s="117">
        <f ca="1">模拟模式!$E$20*(1-IF(模拟模式!$J$19="有",0.15,0))*(1-IF(模拟模式!$K$19="有",0.3,0)-IF(CQ394,0.5,0))</f>
        <v>843.02999999999975</v>
      </c>
      <c r="S394" s="45">
        <f ca="1">R394/(R394+(185*模拟模式!$E$22-16800)*4.08224)</f>
        <v>8.389626085980037E-2</v>
      </c>
      <c r="T394" s="45" t="str">
        <f ca="1">LOOKUP(D394,'模拟-单技能数据'!$A$2:$A$19,'模拟-单技能数据'!$H$2:$H$19)</f>
        <v>阳</v>
      </c>
      <c r="U394" s="119">
        <f t="shared" ca="1" si="355"/>
        <v>0.2</v>
      </c>
      <c r="V394" s="47">
        <f ca="1">(1+L394)*(LOOKUP(D394,'模拟-单技能数据'!$A$2:$A$19,'模拟-单技能数据'!$D$2:$D$19)+G394*LOOKUP(D394,'模拟-单技能数据'!$A$2:$A$19,'模拟-单技能数据'!$F$2:$F$19))*(1+J394)*(1+K394)*(1-S394)*(1+U394)*Q394*LOOKUP(D394,'模拟-单技能数据'!$A$2:$A$19,'模拟-单技能数据'!$I$2:$I$20)</f>
        <v>90597.625627626709</v>
      </c>
      <c r="W394" s="47">
        <f ca="1">LOOKUP(D394,'模拟-单技能数据'!$A$2:$A$19,'模拟-单技能数据'!$G$2:$G$19)*$I$10</f>
        <v>723.0212870940959</v>
      </c>
      <c r="X394" s="47">
        <f t="shared" ca="1" si="325"/>
        <v>8488.2797245609418</v>
      </c>
      <c r="Y394" s="47">
        <f t="shared" ca="1" si="356"/>
        <v>99808.926639281737</v>
      </c>
      <c r="Z394" s="49">
        <f t="shared" ca="1" si="357"/>
        <v>38401785.026841611</v>
      </c>
      <c r="AA394" s="97">
        <f t="shared" ca="1" si="358"/>
        <v>113427.6600779521</v>
      </c>
      <c r="AB394" s="115">
        <f ca="1">IF(OR(C394="赤日轮1",C394="赤日轮2",C394="赤日轮3"),IF(RAND()&lt;模拟模式!$Y$17,1,0),IF(OR(C394="幽月轮1",C394="幽月轮2",C394="幽月轮3"),IF(RAND()&lt;模拟模式!$Y$18,1,0),IF(C394="烈日斩",IF(RAND()&lt;模拟模式!$Y$19,1,0),IF(C394="银月斩",IF(RAND()&lt;模拟模式!$Y$20,1,0),IF(C394="驱夜断愁",IF(RAND()&lt;模拟模式!$Y$21,1,0),IF(C394="净世破魔击·日",IF(RAND()&lt;模拟模式!$Y$22,1,0),IF(C394="净世破魔击·月",IF(RAND()&lt;模拟模式!$Y$23,1,0),0)))))))</f>
        <v>1</v>
      </c>
      <c r="AC394" s="115" t="b">
        <f t="shared" ca="1" si="346"/>
        <v>0</v>
      </c>
      <c r="AD394" s="115" t="b">
        <f t="shared" ca="1" si="366"/>
        <v>0</v>
      </c>
      <c r="AE394" s="115">
        <f t="shared" ca="1" si="367"/>
        <v>3</v>
      </c>
      <c r="AF394" s="47">
        <f ca="1">IF(AC394,('模拟-单技能数据'!$D$20+G394*'模拟-单技能数据'!$F$20)*(1+J394)*(1+'模拟-单技能数据'!$J$20)*(1+U394),0)</f>
        <v>0</v>
      </c>
      <c r="AG394" s="61">
        <f t="shared" ca="1" si="359"/>
        <v>0.64185145527300214</v>
      </c>
      <c r="AH394" s="61">
        <f t="shared" ca="1" si="360"/>
        <v>2.2624828854998791</v>
      </c>
      <c r="AI394" s="62">
        <f t="shared" ca="1" si="326"/>
        <v>0.36583284657334814</v>
      </c>
      <c r="AJ394" s="47">
        <f ca="1">IF(AD394,IF(AI394&lt;$F$10,0,IF(AI394&lt;$F$10+$F$11,0.25,IF(AI394&lt;$F$10+$F$11+AG394,AH394,1)))*IF(AF394&gt;0,AF394,IF(AF393&gt;0,AF393,IF(AF392&gt;0,AF392,IF(AF391&gt;0,AF391,IF(AF390&gt;0,AF390,IF(AF389&gt;0,AF389,IF(AF388&gt;0,AF388,IF(AF387&gt;0,AF387,IF(AF386&gt;0,AF386,IF(AF384&gt;0,AF384,IF(AF383&gt;0,AF383,IF(AF382&gt;0,AF382,0)))))))))))),0)*(1-$S394)*'模拟-单技能数据'!$I$20</f>
        <v>0</v>
      </c>
      <c r="AK394" s="115" t="b">
        <f t="shared" ca="1" si="347"/>
        <v>1</v>
      </c>
      <c r="AL394" s="115" t="b">
        <f t="shared" ca="1" si="368"/>
        <v>0</v>
      </c>
      <c r="AM394" s="115">
        <f t="shared" ca="1" si="369"/>
        <v>6</v>
      </c>
      <c r="AN394" s="47">
        <f ca="1">IF(AK394,('模拟-单技能数据'!$D$21+G394*'模拟-单技能数据'!$F$21)*(1+J394)*(1+'模拟-单技能数据'!$J$21)*(1+U394),0)</f>
        <v>12136.56601728573</v>
      </c>
      <c r="AO394" s="61">
        <f ca="1">IF(AN394&gt;0,M394-'模拟-单技能数据'!$K$10,AO393)</f>
        <v>0.42185145527300216</v>
      </c>
      <c r="AP394" s="61">
        <f ca="1">IF(AN394&gt;0,I394-'模拟-单技能数据'!$L$10,AP393)</f>
        <v>2.162482885499879</v>
      </c>
      <c r="AQ394" s="63">
        <f t="shared" ca="1" si="327"/>
        <v>0.85486987536200298</v>
      </c>
      <c r="AR394" s="64">
        <f ca="1">IF(AL394,IF(AQ394&lt;$F$10,0,IF(AQ394&lt;$F$10+$F$11,0.25,IF(AQ394&lt;$F$10+$F$11+AO394,AP394,1)))*IF(AN394&gt;0,AN394,IF(AN393&gt;0,AN393,IF(AN392&gt;0,AN392,IF(AN391&gt;0,AN391,IF(AN390&gt;0,AN390,IF(AN389&gt;0,AN389,IF(AN388&gt;0,AN388,IF(AN387&gt;0,AN387,IF(AN386&gt;0,AN386,IF(AN384&gt;0,AN384,IF(AN383&gt;0,AN383,IF(AN382&gt;0,AN382,0)))))))))))),0)*(1-$S394)*'模拟-单技能数据'!$I$21</f>
        <v>0</v>
      </c>
      <c r="AS394" s="61">
        <f ca="1">IF(OR(C394="净世破魔击·日",C394="净世破魔击·月"),M394-'模拟-单技能数据'!$K$10,0)</f>
        <v>0.42185145527300216</v>
      </c>
      <c r="AT394" s="61">
        <f ca="1">IF(OR(C394="净世破魔击·日",C394="净世破魔击·月"),I394-'模拟-单技能数据'!$L$10,0)</f>
        <v>2.162482885499879</v>
      </c>
      <c r="AU394" s="62">
        <f t="shared" ca="1" si="328"/>
        <v>0.7971963130264238</v>
      </c>
      <c r="AV394" s="64">
        <f ca="1">IF(AS394&gt;0,('模拟-单技能数据'!$D$22+G394*'模拟-单技能数据'!$F$22)*(1+J394)*(1-S394)*IF(AU394&lt;$F$10,0,IF(AU394&lt;$F$10+$F$11,0.25,IF(AU394&lt;$F$10+$F$11+AS394,AT394,1)))*(1+U394),0)*'模拟-单技能数据'!$I$22</f>
        <v>8488.2797245609418</v>
      </c>
      <c r="AW394" s="108">
        <f t="shared" ca="1" si="329"/>
        <v>11.697500000000005</v>
      </c>
      <c r="AX394" s="108" t="b">
        <f ca="1">AND(模拟模式!$P$10="有",AW393=0,RAND()&lt;IF(C394="净世破魔击·月",0.1*8/3,IF(C394="净世破魔击·日",0.1*4/3,0.1*2/3)))</f>
        <v>0</v>
      </c>
      <c r="AY394" s="47">
        <f ca="1">IF(AX394,(18+G394*0.722)*(1+J394)*(1-S394)*(1+$I$4)*IF(P394="会",'模拟-全程加成'!$J$3+'模拟-全程加成'!$J$4+'模拟-全程加成'!$J$5+('模拟-全程加成'!$I$4+'模拟-全程加成'!$I$5)/系数!$B$4+BG394*10%,IF(P394="命",1,IF(P394="识",0.25,0))),0)</f>
        <v>0</v>
      </c>
      <c r="AZ394" s="108">
        <f t="shared" si="330"/>
        <v>6.1625000000000068</v>
      </c>
      <c r="BA394" s="108" t="b">
        <f>AND(模拟模式!$Q$10="有",AZ393=0)</f>
        <v>0</v>
      </c>
      <c r="BB394" s="140">
        <f>IF(BA394,(0+G394*0.287)*(1+J394)*(1-S394)*(1+$I$4)*IF(P394="会",'模拟-全程加成'!$J$3+'模拟-全程加成'!$J$4+'模拟-全程加成'!$J$5+('模拟-全程加成'!$I$4+'模拟-全程加成'!$I$5)/系数!$B$4+BG394*10%,IF(P394="命",1,IF(P394="识",0.25,0))),0)</f>
        <v>0</v>
      </c>
      <c r="BC394" s="115" t="b">
        <f ca="1">AND(模拟模式!$R$7="伏明众生",E394=60,F394=20,DA394&lt;5,CZ393&lt;$F$4)</f>
        <v>0</v>
      </c>
      <c r="BD394" s="115">
        <f t="shared" ca="1" si="348"/>
        <v>0</v>
      </c>
      <c r="BE394" s="115" t="b">
        <f t="shared" ca="1" si="349"/>
        <v>0</v>
      </c>
      <c r="BF394" s="47">
        <f ca="1">IF(BC394,4*('模拟-单技能数据'!$D$24+G394*'模拟-单技能数据'!$F$24)*(1+J394)*(1+'模拟-单技能数据'!$J$24)*(1-S394)*(1+$I$3)*(('模拟-全程加成'!$J$3+'模拟-全程加成'!$J$4+'模拟-全程加成'!$J$5+('模拟-全程加成'!$I$4+'模拟-全程加成'!$I$5)/系数!$B$4+BG394*10%)*('模拟-全程加成'!$J$3+'模拟-全程加成'!$J$4+'模拟-全程加成'!$J$5+('模拟-全程加成'!$I$4+'模拟-全程加成'!$I$5)/系数!$B$4+BG394*10%)+(1-('模拟-全程加成'!$J$3+'模拟-全程加成'!$J$4+'模拟-全程加成'!$J$5+('模拟-全程加成'!$I$4+'模拟-全程加成'!$I$5)/系数!$B$4+BG394*10%)-$F$10-$F$11)+F380*0.25),0)*'模拟-单技能数据'!$I$24</f>
        <v>0</v>
      </c>
      <c r="BG394" s="115" t="b">
        <f ca="1">OR(AND(OR(C394="烈日斩",C394="银月斩"),模拟模式!$I$7="净身明礼"),AND(C394="净世破魔击·日",模拟模式!$J$7="洞若观火"),AND(C395="净世破魔击·月",模拟模式!$J$7="洞若观火"),AB394=1)</f>
        <v>1</v>
      </c>
      <c r="BH394" s="115" t="b">
        <f t="shared" ca="1" si="331"/>
        <v>0</v>
      </c>
      <c r="BI394" s="115">
        <f t="shared" ca="1" si="350"/>
        <v>0</v>
      </c>
      <c r="BJ394" s="115" t="b">
        <f t="shared" ca="1" si="361"/>
        <v>0</v>
      </c>
      <c r="BK394" s="115" t="b">
        <f ca="1">AND(C394="驱夜断愁",模拟模式!$P$7="天地诛戮")</f>
        <v>0</v>
      </c>
      <c r="BL394" s="57">
        <f t="shared" ca="1" si="351"/>
        <v>16.310000000000002</v>
      </c>
      <c r="BM394" s="115" t="b">
        <f t="shared" ca="1" si="362"/>
        <v>1</v>
      </c>
      <c r="BN394" s="115" t="b">
        <f ca="1">AND(OR(C394="赤日轮1",C394="赤日轮2",C394="赤日轮3",C394="幽月轮1",C394="幽月轮2",C394="幽月轮3"),AB394=1,模拟模式!$L$7="明光恒照")</f>
        <v>0</v>
      </c>
      <c r="BO394" s="117">
        <f t="shared" ca="1" si="352"/>
        <v>28.155000000000001</v>
      </c>
      <c r="BP394" s="115">
        <f t="shared" ca="1" si="332"/>
        <v>6</v>
      </c>
      <c r="BQ394" s="115" t="b">
        <f>模拟模式!$K$10="2600·水"</f>
        <v>0</v>
      </c>
      <c r="BR394" s="117">
        <f t="shared" si="333"/>
        <v>0</v>
      </c>
      <c r="BS394" s="115">
        <f t="shared" si="334"/>
        <v>0</v>
      </c>
      <c r="BT394" s="115">
        <f t="shared" ca="1" si="335"/>
        <v>0</v>
      </c>
      <c r="BU394" s="115" t="b">
        <f ca="1">AND(模拟模式!$K$10="2300·雷",BT393=0,RAND()&lt;IF(C394="净世破魔击·月",5*0.05*2/3,IF(C394="净世破魔击·日",3*0.05*2/3,0.05*2*2/3)))</f>
        <v>0</v>
      </c>
      <c r="BV394" s="115">
        <f t="shared" ca="1" si="336"/>
        <v>0</v>
      </c>
      <c r="BW394" s="115">
        <f t="shared" ca="1" si="337"/>
        <v>33.322499999999295</v>
      </c>
      <c r="BX394" s="164" t="b">
        <f t="shared" ca="1" si="338"/>
        <v>0</v>
      </c>
      <c r="BY394" s="115">
        <f t="shared" ca="1" si="339"/>
        <v>0</v>
      </c>
      <c r="BZ394" s="115">
        <f>IF(OR(模拟模式!$P$16="10人团",模拟模式!$P$16="25人团"),IF(B394/30&gt;CA393,1,0),0)</f>
        <v>0</v>
      </c>
      <c r="CA394" s="115">
        <f t="shared" si="315"/>
        <v>0</v>
      </c>
      <c r="CB394" s="115">
        <f ca="1">IF(BZ394=1,IF(模拟模式!$P$16="10人团",15,0)+IF(模拟模式!$P$16="25人团",IF(RAND()&lt;0.6,15,0)),MAX(0,CB393-$F$4))</f>
        <v>0</v>
      </c>
      <c r="CC394" s="115" t="b">
        <f t="shared" ca="1" si="363"/>
        <v>0</v>
      </c>
      <c r="CD394" s="115">
        <f>IF(模拟模式!$Q$16="1个",IF(B394/40&gt;CE393,1,0),0)</f>
        <v>0</v>
      </c>
      <c r="CE394" s="115">
        <f t="shared" si="364"/>
        <v>0</v>
      </c>
      <c r="CF394" s="115">
        <f>IF(OR(CD394=1,模拟模式!$Q$16="2个"),20,MAX(0,CF393-$F$4))</f>
        <v>0</v>
      </c>
      <c r="CG394" s="115" t="b">
        <f t="shared" si="365"/>
        <v>0</v>
      </c>
      <c r="CH394" s="115">
        <f t="shared" ca="1" si="340"/>
        <v>0</v>
      </c>
      <c r="CI394" s="115" t="b">
        <f t="shared" ca="1" si="341"/>
        <v>0</v>
      </c>
      <c r="CJ394" s="119">
        <f t="shared" ca="1" si="342"/>
        <v>0</v>
      </c>
      <c r="CK394" s="115">
        <f t="shared" ca="1" si="343"/>
        <v>0</v>
      </c>
      <c r="CL394" s="115" t="b">
        <f ca="1">AND(模拟模式!$S$7="驱夷逐法",OR(AND(C394="净世破魔击·月",E393&gt;59),AND(C394="净世破魔击·日",F393&gt;59)))</f>
        <v>0</v>
      </c>
      <c r="CM394" s="115" t="b">
        <f ca="1">OR(CL394,AND(C394="净世破魔击·日",CL393,RAND()&lt;模拟模式!$U$23))</f>
        <v>1</v>
      </c>
      <c r="CN394" s="115" t="b">
        <f ca="1">IF(模拟模式!$M$7="辉耀红尘",AND(C394="净世破魔击·月",CL394,CV394=0,E393&lt;80),AND(C394="净世破魔击·月",CL394,E393&lt;100))</f>
        <v>0</v>
      </c>
      <c r="CO394" s="115" t="b">
        <f t="shared" ca="1" si="316"/>
        <v>0</v>
      </c>
      <c r="CP394" s="115" t="b">
        <f ca="1">AND(模拟模式!$O$7="用晦而明",OR(C394="净世破魔击·日",C394="净世破魔击·月",C394="驱夜断愁"),AB394)</f>
        <v>1</v>
      </c>
      <c r="CQ394" s="115" t="b">
        <f ca="1">OR(CP394,AND(CP393,RAND()&lt;模拟模式!$U$23))</f>
        <v>1</v>
      </c>
      <c r="CR394" s="115" t="b">
        <f ca="1">AND(模拟模式!$S$7="日月齐光",OR(C394="幽月轮1",C394="幽月轮2",C394="幽月轮3",CR393),NOT(OR(C394="赤日轮1",C394="赤日轮2",C394="赤日轮3")))</f>
        <v>0</v>
      </c>
      <c r="CS394" s="115" t="b">
        <f ca="1">AND(模拟模式!$S$7="日月齐光",OR(C394="赤日轮1",C394="赤日轮2",C394="赤日轮3",CS393),NOT(OR(C394="幽月轮1",C394="幽月轮2",C394="幽月轮3")))</f>
        <v>0</v>
      </c>
      <c r="CT394" s="115">
        <f t="shared" ca="1" si="344"/>
        <v>0</v>
      </c>
      <c r="CU394" s="115" t="b">
        <f ca="1">AND(模拟模式!$K$10="阴阳往极",CT393=0,RAND()&lt;IF(C394="净世破魔击·月",0.0275*7/3,IF(C394="净世破魔击·日",0.0275*3/3,0.0275*2/3)))</f>
        <v>0</v>
      </c>
      <c r="CV394" s="115">
        <f t="shared" ca="1" si="345"/>
        <v>0</v>
      </c>
      <c r="CW394" s="115">
        <f t="shared" ca="1" si="317"/>
        <v>3.2324999999999995</v>
      </c>
      <c r="CX394" s="115">
        <f t="shared" ca="1" si="318"/>
        <v>1.3874999999999997</v>
      </c>
      <c r="CY394" s="115">
        <f ca="1">MAX(IF($C394="驱夜断愁",IF(模拟模式!$R$7="万念俱寂",6,45),CY393-$F$4),0)</f>
        <v>2.3099999999999996</v>
      </c>
      <c r="CZ394" s="115">
        <f t="shared" ca="1" si="319"/>
        <v>0</v>
      </c>
      <c r="DA394" s="115">
        <f ca="1">IF(模拟模式!$N$7="日月同辉",IF(DB393=2,0,MIN(6,IF(AND(OR(C394="赤日轮1",C394="赤日轮2",C394="赤日轮3",C394="幽月轮1",C394="幽月轮2",C394="幽月轮3"),AB394=1),DA393+1,DA393))),0)</f>
        <v>1</v>
      </c>
      <c r="DB394" s="115">
        <f t="shared" ca="1" si="320"/>
        <v>0</v>
      </c>
      <c r="DC394" s="115"/>
      <c r="DD394" s="115"/>
      <c r="DE394" s="115"/>
      <c r="DF394" s="115"/>
      <c r="DG394" s="115"/>
      <c r="DH394" s="115"/>
      <c r="DI394" s="115"/>
      <c r="DJ394" s="115"/>
      <c r="DK394" s="115"/>
      <c r="DL394" s="115"/>
      <c r="DM394" s="115"/>
    </row>
    <row r="395" spans="2:117" x14ac:dyDescent="0.2">
      <c r="B395" s="117">
        <f t="shared" si="321"/>
        <v>339.48000000000303</v>
      </c>
      <c r="C395" s="167" t="str">
        <f t="shared" ca="1" si="314"/>
        <v>赤日轮1</v>
      </c>
      <c r="D395" s="115">
        <f ca="1">IF(C395="赤日轮1",1,IF(C395="赤日轮2",2,IF(C395="赤日轮3",3,IF(C395="幽月轮1",4,IF(C395="幽月轮2",5,IF(C395="幽月轮3",6,IF(C395="烈日斩",7,IF(C395="银月斩",8,IF(C395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395="净世破魔击·月",17,IF(C395="驱夜断愁",18,0)))))))))))</f>
        <v>1</v>
      </c>
      <c r="E395" s="115">
        <f ca="1">IF(AND(CU395,OR(C395="幽月轮1",C395="幽月轮2",C395="幽月轮3",C395="银月斩",C395="驱夜断愁",C395="净世破魔击·月")),100,MIN(IF(OR(CN395,BE395),0,IF(OR($C395="赤日轮1",$C395="赤日轮2",$C395="赤日轮3"),E394+20+IF(模拟模式!$I$7="日月凌天",4,0)+IF(CR394,20,0),IF($C395="烈日斩",E394+40,IF($C395="驱夜断愁",IF(模拟模式!$R$7="万念俱寂",E394+20,E394+60),IF($C395="净世破魔击·月",IF(OR(DB394&gt;0,CV394&gt;0),100,IF(模拟模式!$M$7="辉耀红尘",E394+20,E394)),IF($C395="净世破魔击·日",E394-100,E394)))))),100))</f>
        <v>20</v>
      </c>
      <c r="F395" s="115">
        <f ca="1">IF(AND(CU395,OR(C395="赤日轮1",C395="赤日轮2",C395="赤日轮3",C395="烈日斩",C395="净世破魔击·日")),100,MIN(IF(CO395,0,IF(OR($C395="幽月轮1",$C395="幽月轮2",$C395="幽月轮3"),F394+20+IF(模拟模式!$I$7="日月凌天",4,0)+IF(CS394,20,0),IF($C395="银月斩",F394+40+IF(模拟模式!$X$12=1,5,0),IF($C395="驱夜断愁",IF(模拟模式!$R$7="万念俱寂",F394+20,F394+60),IF($C395="净世破魔击·月",IF(模拟模式!$M$7="辉耀红尘",F394-80,F394-100),IF(AND(C395="净世破魔击·日",OR(DB394&gt;0,CV394&gt;0)),100,F394)))))),100))</f>
        <v>20</v>
      </c>
      <c r="G395" s="117">
        <f ca="1">('模拟-全程加成'!$E$3+'模拟-全程加成'!$E$4+'模拟-全程加成'!$E$5+('模拟-全程加成'!$C$6-'模拟-全程加成'!$C$3)*系数!$B$9+BS395*23)*(1+'模拟-全程加成'!$F$4+'模拟-全程加成'!$F$5+BJ395*10%+BM395*20%+BP395*4%+CG395*30%)+$F$7*系数!$B$12</f>
        <v>20583.127400000001</v>
      </c>
      <c r="H395" s="45">
        <f ca="1">'模拟-全程加成'!$H$3+'模拟-全程加成'!$H$4+'模拟-全程加成'!$H$5+('模拟-全程加成'!$G$4+'模拟-全程加成'!$G$5+('模拟-全程加成'!$C$6-'模拟-全程加成'!$C$3)*系数!$B$13)/系数!$B$3+LOOKUP(D395,'模拟-单技能数据'!$A$2:$A$19,'模拟-单技能数据'!$K$2:$K$19)+BG395*10%+IF(BV395&gt;0,378,0)</f>
        <v>0.4618514552730022</v>
      </c>
      <c r="I395" s="45">
        <f ca="1">'模拟-全程加成'!$J$3+'模拟-全程加成'!$J$4+'模拟-全程加成'!$J$5+('模拟-全程加成'!$I$4+'模拟-全程加成'!$I$5)/系数!$B$4+LOOKUP(D395,'模拟-单技能数据'!$A$2:$A$19,'模拟-单技能数据'!$L$2:$L$19)+BG395*10%</f>
        <v>2.162482885499879</v>
      </c>
      <c r="J395" s="45">
        <f ca="1">(('模拟-全程加成'!$K$3+'模拟-全程加成'!$K$4+'模拟-全程加成'!$K$5+('模拟-全程加成'!$C$6-'模拟-全程加成'!$C$3)*系数!$B$10+IF(BV395&gt;0,882,0)+IF(BY395&gt;0,1831,0))*(1+'模拟-全程加成'!$L$4+'模拟-全程加成'!$L$5+CC395*20%))/系数!$B$5</f>
        <v>0.69723220422048726</v>
      </c>
      <c r="K395" s="119">
        <f ca="1">LOOKUP(D395,'模拟-单技能数据'!$A$2:$A$19,'模拟-单技能数据'!$J$2:$J$19)+IF(CM395,60%,0)+IF(DB394-DB395&gt;0,30%,0)+IF(OR(AND(OR(C395="赤日轮1",C395="赤日轮2",C395="赤日轮3"),CR395),AND(OR(C395="幽月轮1",C395="幽月轮2",C395="幽月轮3"),CS395)),35%,0)+CJ395</f>
        <v>0.12</v>
      </c>
      <c r="L395" s="119">
        <f ca="1">IF(AND(C395="烈日斩",模拟模式!$X$11=1),10%,0)+IF(AND(C395="驱夜断愁",AB395=1),30%,0)</f>
        <v>0</v>
      </c>
      <c r="M395" s="45">
        <f t="shared" ca="1" si="353"/>
        <v>0.4618514552730022</v>
      </c>
      <c r="N395" s="45">
        <f t="shared" ca="1" si="354"/>
        <v>0.48424854472699785</v>
      </c>
      <c r="O395" s="46">
        <f t="shared" ca="1" si="322"/>
        <v>0.50969627387560923</v>
      </c>
      <c r="P395" s="46" t="str">
        <f t="shared" ca="1" si="323"/>
        <v>会</v>
      </c>
      <c r="Q395" s="45">
        <f t="shared" ca="1" si="324"/>
        <v>2.162482885499879</v>
      </c>
      <c r="R395" s="117">
        <f ca="1">模拟模式!$E$20*(1-IF(模拟模式!$J$19="有",0.15,0))*(1-IF(模拟模式!$K$19="有",0.3,0)-IF(CQ395,0.5,0))</f>
        <v>843.02999999999975</v>
      </c>
      <c r="S395" s="45">
        <f ca="1">R395/(R395+(185*模拟模式!$E$22-16800)*4.08224)</f>
        <v>8.389626085980037E-2</v>
      </c>
      <c r="T395" s="45" t="str">
        <f ca="1">LOOKUP(D395,'模拟-单技能数据'!$A$2:$A$19,'模拟-单技能数据'!$H$2:$H$19)</f>
        <v>阳</v>
      </c>
      <c r="U395" s="119">
        <f t="shared" ca="1" si="355"/>
        <v>0.2</v>
      </c>
      <c r="V395" s="47">
        <f ca="1">(1+L395)*(LOOKUP(D395,'模拟-单技能数据'!$A$2:$A$19,'模拟-单技能数据'!$D$2:$D$19)+G395*LOOKUP(D395,'模拟-单技能数据'!$A$2:$A$19,'模拟-单技能数据'!$F$2:$F$19))*(1+J395)*(1+K395)*(1-S395)*(1+U395)*Q395*LOOKUP(D395,'模拟-单技能数据'!$A$2:$A$19,'模拟-单技能数据'!$I$2:$I$20)</f>
        <v>54482.562593809358</v>
      </c>
      <c r="W395" s="47">
        <f ca="1">LOOKUP(D395,'模拟-单技能数据'!$A$2:$A$19,'模拟-单技能数据'!$G$2:$G$19)*$I$10</f>
        <v>361.51064354704795</v>
      </c>
      <c r="X395" s="47">
        <f t="shared" ca="1" si="325"/>
        <v>20735.010623334128</v>
      </c>
      <c r="Y395" s="47">
        <f t="shared" ca="1" si="356"/>
        <v>75579.083860690531</v>
      </c>
      <c r="Z395" s="49">
        <f t="shared" ca="1" si="357"/>
        <v>38477364.110702299</v>
      </c>
      <c r="AA395" s="97">
        <f t="shared" ca="1" si="358"/>
        <v>113342.06465977953</v>
      </c>
      <c r="AB395" s="115">
        <f ca="1">IF(OR(C395="赤日轮1",C395="赤日轮2",C395="赤日轮3"),IF(RAND()&lt;模拟模式!$Y$17,1,0),IF(OR(C395="幽月轮1",C395="幽月轮2",C395="幽月轮3"),IF(RAND()&lt;模拟模式!$Y$18,1,0),IF(C395="烈日斩",IF(RAND()&lt;模拟模式!$Y$19,1,0),IF(C395="银月斩",IF(RAND()&lt;模拟模式!$Y$20,1,0),IF(C395="驱夜断愁",IF(RAND()&lt;模拟模式!$Y$21,1,0),IF(C395="净世破魔击·日",IF(RAND()&lt;模拟模式!$Y$22,1,0),IF(C395="净世破魔击·月",IF(RAND()&lt;模拟模式!$Y$23,1,0),0)))))))</f>
        <v>1</v>
      </c>
      <c r="AC395" s="115" t="b">
        <f t="shared" ca="1" si="346"/>
        <v>0</v>
      </c>
      <c r="AD395" s="115" t="b">
        <f t="shared" ca="1" si="366"/>
        <v>1</v>
      </c>
      <c r="AE395" s="115">
        <f t="shared" ca="1" si="367"/>
        <v>2</v>
      </c>
      <c r="AF395" s="47">
        <f ca="1">IF(AC395,('模拟-单技能数据'!$D$20+G395*'模拟-单技能数据'!$F$20)*(1+J395)*(1+'模拟-单技能数据'!$J$20)*(1+U395),0)</f>
        <v>0</v>
      </c>
      <c r="AG395" s="61">
        <f t="shared" ca="1" si="359"/>
        <v>0.64185145527300214</v>
      </c>
      <c r="AH395" s="61">
        <f t="shared" ca="1" si="360"/>
        <v>2.2624828854998791</v>
      </c>
      <c r="AI395" s="62">
        <f t="shared" ca="1" si="326"/>
        <v>0.40583722382805543</v>
      </c>
      <c r="AJ395" s="47">
        <f ca="1">IF(AD395,IF(AI395&lt;$F$10,0,IF(AI395&lt;$F$10+$F$11,0.25,IF(AI395&lt;$F$10+$F$11+AG395,AH395,1)))*IF(AF395&gt;0,AF395,IF(AF394&gt;0,AF394,IF(AF393&gt;0,AF393,IF(AF392&gt;0,AF392,IF(AF391&gt;0,AF391,IF(AF390&gt;0,AF390,IF(AF389&gt;0,AF389,IF(AF388&gt;0,AF388,IF(AF387&gt;0,AF387,IF(AF385&gt;0,AF385,IF(AF384&gt;0,AF384,IF(AF383&gt;0,AF383,0)))))))))))),0)*(1-$S395)*'模拟-单技能数据'!$I$20</f>
        <v>9616.6571145767884</v>
      </c>
      <c r="AK395" s="115" t="b">
        <f t="shared" ca="1" si="347"/>
        <v>0</v>
      </c>
      <c r="AL395" s="115" t="b">
        <f t="shared" ca="1" si="368"/>
        <v>1</v>
      </c>
      <c r="AM395" s="115">
        <f t="shared" ca="1" si="369"/>
        <v>5</v>
      </c>
      <c r="AN395" s="47">
        <f ca="1">IF(AK395,('模拟-单技能数据'!$D$21+G395*'模拟-单技能数据'!$F$21)*(1+J395)*(1+'模拟-单技能数据'!$J$21)*(1+U395),0)</f>
        <v>0</v>
      </c>
      <c r="AO395" s="61">
        <f ca="1">IF(AN395&gt;0,M395-'模拟-单技能数据'!$K$10,AO394)</f>
        <v>0.42185145527300216</v>
      </c>
      <c r="AP395" s="61">
        <f ca="1">IF(AN395&gt;0,I395-'模拟-单技能数据'!$L$10,AP394)</f>
        <v>2.162482885499879</v>
      </c>
      <c r="AQ395" s="63">
        <f t="shared" ca="1" si="327"/>
        <v>0.88848536311251847</v>
      </c>
      <c r="AR395" s="64">
        <f ca="1">IF(AL395,IF(AQ395&lt;$F$10,0,IF(AQ395&lt;$F$10+$F$11,0.25,IF(AQ395&lt;$F$10+$F$11+AO395,AP395,1)))*IF(AN395&gt;0,AN395,IF(AN394&gt;0,AN394,IF(AN393&gt;0,AN393,IF(AN392&gt;0,AN392,IF(AN391&gt;0,AN391,IF(AN390&gt;0,AN390,IF(AN389&gt;0,AN389,IF(AN388&gt;0,AN388,IF(AN387&gt;0,AN387,IF(AN385&gt;0,AN385,IF(AN384&gt;0,AN384,IF(AN383&gt;0,AN383,0)))))))))))),0)*(1-$S395)*'模拟-单技能数据'!$I$21</f>
        <v>11118.353508757338</v>
      </c>
      <c r="AS395" s="61">
        <f ca="1">IF(OR(C395="净世破魔击·日",C395="净世破魔击·月"),M395-'模拟-单技能数据'!$K$10,0)</f>
        <v>0</v>
      </c>
      <c r="AT395" s="61">
        <f ca="1">IF(OR(C395="净世破魔击·日",C395="净世破魔击·月"),I395-'模拟-单技能数据'!$L$10,0)</f>
        <v>0</v>
      </c>
      <c r="AU395" s="62">
        <f t="shared" ca="1" si="328"/>
        <v>0.98129953662772818</v>
      </c>
      <c r="AV395" s="64">
        <f ca="1">IF(AS395&gt;0,('模拟-单技能数据'!$D$22+G395*'模拟-单技能数据'!$F$22)*(1+J395)*(1-S395)*IF(AU395&lt;$F$10,0,IF(AU395&lt;$F$10+$F$11,0.25,IF(AU395&lt;$F$10+$F$11+AS395,AT395,1)))*(1+U395),0)*'模拟-单技能数据'!$I$22</f>
        <v>0</v>
      </c>
      <c r="AW395" s="108">
        <f t="shared" ca="1" si="329"/>
        <v>10.775000000000006</v>
      </c>
      <c r="AX395" s="108" t="b">
        <f ca="1">AND(模拟模式!$P$10="有",AW394=0,RAND()&lt;IF(C395="净世破魔击·月",0.1*8/3,IF(C395="净世破魔击·日",0.1*4/3,0.1*2/3)))</f>
        <v>0</v>
      </c>
      <c r="AY395" s="47">
        <f ca="1">IF(AX395,(18+G395*0.722)*(1+J395)*(1-S395)*(1+$I$4)*IF(P395="会",'模拟-全程加成'!$J$3+'模拟-全程加成'!$J$4+'模拟-全程加成'!$J$5+('模拟-全程加成'!$I$4+'模拟-全程加成'!$I$5)/系数!$B$4+BG395*10%,IF(P395="命",1,IF(P395="识",0.25,0))),0)</f>
        <v>0</v>
      </c>
      <c r="AZ395" s="108">
        <f t="shared" si="330"/>
        <v>5.2400000000000064</v>
      </c>
      <c r="BA395" s="108" t="b">
        <f>AND(模拟模式!$Q$10="有",AZ394=0)</f>
        <v>0</v>
      </c>
      <c r="BB395" s="140">
        <f>IF(BA395,(0+G395*0.287)*(1+J395)*(1-S395)*(1+$I$4)*IF(P395="会",'模拟-全程加成'!$J$3+'模拟-全程加成'!$J$4+'模拟-全程加成'!$J$5+('模拟-全程加成'!$I$4+'模拟-全程加成'!$I$5)/系数!$B$4+BG395*10%,IF(P395="命",1,IF(P395="识",0.25,0))),0)</f>
        <v>0</v>
      </c>
      <c r="BC395" s="115" t="b">
        <f ca="1">AND(模拟模式!$R$7="伏明众生",E395=60,F395=20,DA395&lt;5,CZ394&lt;$F$4)</f>
        <v>0</v>
      </c>
      <c r="BD395" s="115">
        <f t="shared" ca="1" si="348"/>
        <v>0</v>
      </c>
      <c r="BE395" s="115" t="b">
        <f t="shared" ca="1" si="349"/>
        <v>0</v>
      </c>
      <c r="BF395" s="47">
        <f ca="1">IF(BC395,4*('模拟-单技能数据'!$D$24+G395*'模拟-单技能数据'!$F$24)*(1+J395)*(1+'模拟-单技能数据'!$J$24)*(1-S395)*(1+$I$3)*(('模拟-全程加成'!$J$3+'模拟-全程加成'!$J$4+'模拟-全程加成'!$J$5+('模拟-全程加成'!$I$4+'模拟-全程加成'!$I$5)/系数!$B$4+BG395*10%)*('模拟-全程加成'!$J$3+'模拟-全程加成'!$J$4+'模拟-全程加成'!$J$5+('模拟-全程加成'!$I$4+'模拟-全程加成'!$I$5)/系数!$B$4+BG395*10%)+(1-('模拟-全程加成'!$J$3+'模拟-全程加成'!$J$4+'模拟-全程加成'!$J$5+('模拟-全程加成'!$I$4+'模拟-全程加成'!$I$5)/系数!$B$4+BG395*10%)-$F$10-$F$11)+F381*0.25),0)*'模拟-单技能数据'!$I$24</f>
        <v>0</v>
      </c>
      <c r="BG395" s="115" t="b">
        <f ca="1">OR(AND(OR(C395="烈日斩",C395="银月斩"),模拟模式!$I$7="净身明礼"),AND(C395="净世破魔击·日",模拟模式!$J$7="洞若观火"),AND(C396="净世破魔击·月",模拟模式!$J$7="洞若观火"),AB395=1)</f>
        <v>1</v>
      </c>
      <c r="BH395" s="115" t="b">
        <f t="shared" ca="1" si="331"/>
        <v>0</v>
      </c>
      <c r="BI395" s="115">
        <f t="shared" ca="1" si="350"/>
        <v>0</v>
      </c>
      <c r="BJ395" s="115" t="b">
        <f t="shared" ca="1" si="361"/>
        <v>0</v>
      </c>
      <c r="BK395" s="115" t="b">
        <f ca="1">AND(C395="驱夜断愁",模拟模式!$P$7="天地诛戮")</f>
        <v>0</v>
      </c>
      <c r="BL395" s="57">
        <f t="shared" ca="1" si="351"/>
        <v>15.387500000000003</v>
      </c>
      <c r="BM395" s="115" t="b">
        <f t="shared" ca="1" si="362"/>
        <v>1</v>
      </c>
      <c r="BN395" s="115" t="b">
        <f ca="1">AND(OR(C395="赤日轮1",C395="赤日轮2",C395="赤日轮3",C395="幽月轮1",C395="幽月轮2",C395="幽月轮3"),AB395=1,模拟模式!$L$7="明光恒照")</f>
        <v>1</v>
      </c>
      <c r="BO395" s="117">
        <f t="shared" ca="1" si="352"/>
        <v>30</v>
      </c>
      <c r="BP395" s="115">
        <f t="shared" ca="1" si="332"/>
        <v>6</v>
      </c>
      <c r="BQ395" s="115" t="b">
        <f>模拟模式!$K$10="2600·水"</f>
        <v>0</v>
      </c>
      <c r="BR395" s="117">
        <f t="shared" si="333"/>
        <v>0</v>
      </c>
      <c r="BS395" s="115">
        <f t="shared" si="334"/>
        <v>0</v>
      </c>
      <c r="BT395" s="115">
        <f t="shared" ca="1" si="335"/>
        <v>0</v>
      </c>
      <c r="BU395" s="115" t="b">
        <f ca="1">AND(模拟模式!$K$10="2300·雷",BT394=0,RAND()&lt;IF(C395="净世破魔击·月",5*0.05*2/3,IF(C395="净世破魔击·日",3*0.05*2/3,0.05*2*2/3)))</f>
        <v>0</v>
      </c>
      <c r="BV395" s="115">
        <f t="shared" ca="1" si="336"/>
        <v>0</v>
      </c>
      <c r="BW395" s="115">
        <f t="shared" ca="1" si="337"/>
        <v>32.399999999999295</v>
      </c>
      <c r="BX395" s="164" t="b">
        <f t="shared" ca="1" si="338"/>
        <v>0</v>
      </c>
      <c r="BY395" s="115">
        <f t="shared" ca="1" si="339"/>
        <v>0</v>
      </c>
      <c r="BZ395" s="115">
        <f>IF(OR(模拟模式!$P$16="10人团",模拟模式!$P$16="25人团"),IF(B395/30&gt;CA394,1,0),0)</f>
        <v>0</v>
      </c>
      <c r="CA395" s="115">
        <f t="shared" si="315"/>
        <v>0</v>
      </c>
      <c r="CB395" s="115">
        <f ca="1">IF(BZ395=1,IF(模拟模式!$P$16="10人团",15,0)+IF(模拟模式!$P$16="25人团",IF(RAND()&lt;0.6,15,0)),MAX(0,CB394-$F$4))</f>
        <v>0</v>
      </c>
      <c r="CC395" s="115" t="b">
        <f t="shared" ca="1" si="363"/>
        <v>0</v>
      </c>
      <c r="CD395" s="115">
        <f>IF(模拟模式!$Q$16="1个",IF(B395/40&gt;CE394,1,0),0)</f>
        <v>0</v>
      </c>
      <c r="CE395" s="115">
        <f t="shared" si="364"/>
        <v>0</v>
      </c>
      <c r="CF395" s="115">
        <f>IF(OR(CD395=1,模拟模式!$Q$16="2个"),20,MAX(0,CF394-$F$4))</f>
        <v>0</v>
      </c>
      <c r="CG395" s="115" t="b">
        <f t="shared" si="365"/>
        <v>0</v>
      </c>
      <c r="CH395" s="115">
        <f t="shared" ca="1" si="340"/>
        <v>0</v>
      </c>
      <c r="CI395" s="115" t="b">
        <f t="shared" ca="1" si="341"/>
        <v>0</v>
      </c>
      <c r="CJ395" s="119">
        <f t="shared" ca="1" si="342"/>
        <v>0</v>
      </c>
      <c r="CK395" s="115">
        <f t="shared" ca="1" si="343"/>
        <v>0</v>
      </c>
      <c r="CL395" s="115" t="b">
        <f ca="1">AND(模拟模式!$S$7="驱夷逐法",OR(AND(C395="净世破魔击·月",E394&gt;59),AND(C395="净世破魔击·日",F394&gt;59)))</f>
        <v>0</v>
      </c>
      <c r="CM395" s="115" t="b">
        <f ca="1">OR(CL395,AND(C395="净世破魔击·日",CL394,RAND()&lt;模拟模式!$U$23))</f>
        <v>0</v>
      </c>
      <c r="CN395" s="115" t="b">
        <f ca="1">IF(模拟模式!$M$7="辉耀红尘",AND(C395="净世破魔击·月",CL395,CV395=0,E394&lt;80),AND(C395="净世破魔击·月",CL395,E394&lt;100))</f>
        <v>0</v>
      </c>
      <c r="CO395" s="115" t="b">
        <f t="shared" ca="1" si="316"/>
        <v>0</v>
      </c>
      <c r="CP395" s="115" t="b">
        <f ca="1">AND(模拟模式!$O$7="用晦而明",OR(C395="净世破魔击·日",C395="净世破魔击·月",C395="驱夜断愁"),AB395)</f>
        <v>0</v>
      </c>
      <c r="CQ395" s="115" t="b">
        <f ca="1">OR(CP395,AND(CP394,RAND()&lt;模拟模式!$U$23))</f>
        <v>1</v>
      </c>
      <c r="CR395" s="115" t="b">
        <f ca="1">AND(模拟模式!$S$7="日月齐光",OR(C395="幽月轮1",C395="幽月轮2",C395="幽月轮3",CR394),NOT(OR(C395="赤日轮1",C395="赤日轮2",C395="赤日轮3")))</f>
        <v>0</v>
      </c>
      <c r="CS395" s="115" t="b">
        <f ca="1">AND(模拟模式!$S$7="日月齐光",OR(C395="赤日轮1",C395="赤日轮2",C395="赤日轮3",CS394),NOT(OR(C395="幽月轮1",C395="幽月轮2",C395="幽月轮3")))</f>
        <v>0</v>
      </c>
      <c r="CT395" s="115">
        <f t="shared" ca="1" si="344"/>
        <v>0</v>
      </c>
      <c r="CU395" s="115" t="b">
        <f ca="1">AND(模拟模式!$K$10="阴阳往极",CT394=0,RAND()&lt;IF(C395="净世破魔击·月",0.0275*7/3,IF(C395="净世破魔击·日",0.0275*3/3,0.0275*2/3)))</f>
        <v>0</v>
      </c>
      <c r="CV395" s="115">
        <f t="shared" ca="1" si="345"/>
        <v>0</v>
      </c>
      <c r="CW395" s="115">
        <f t="shared" ca="1" si="317"/>
        <v>2.3099999999999996</v>
      </c>
      <c r="CX395" s="115">
        <f t="shared" ca="1" si="318"/>
        <v>0.46499999999999975</v>
      </c>
      <c r="CY395" s="115">
        <f ca="1">MAX(IF($C395="驱夜断愁",IF(模拟模式!$R$7="万念俱寂",6,45),CY394-$F$4),0)</f>
        <v>1.3874999999999997</v>
      </c>
      <c r="CZ395" s="115">
        <f t="shared" ca="1" si="319"/>
        <v>0</v>
      </c>
      <c r="DA395" s="115">
        <f ca="1">IF(模拟模式!$N$7="日月同辉",IF(DB394=2,0,MIN(6,IF(AND(OR(C395="赤日轮1",C395="赤日轮2",C395="赤日轮3",C395="幽月轮1",C395="幽月轮2",C395="幽月轮3"),AB395=1),DA394+1,DA394))),0)</f>
        <v>2</v>
      </c>
      <c r="DB395" s="115">
        <f t="shared" ca="1" si="320"/>
        <v>0</v>
      </c>
      <c r="DC395" s="115"/>
      <c r="DD395" s="115"/>
      <c r="DE395" s="115"/>
      <c r="DF395" s="115"/>
      <c r="DG395" s="115"/>
      <c r="DH395" s="115"/>
      <c r="DI395" s="115"/>
      <c r="DJ395" s="115"/>
      <c r="DK395" s="115"/>
      <c r="DL395" s="115"/>
      <c r="DM395" s="115"/>
    </row>
    <row r="396" spans="2:117" x14ac:dyDescent="0.2">
      <c r="B396" s="117">
        <f t="shared" si="321"/>
        <v>340.40250000000304</v>
      </c>
      <c r="C396" s="167" t="str">
        <f t="shared" ca="1" si="314"/>
        <v>银月斩</v>
      </c>
      <c r="D396" s="115">
        <f ca="1">IF(C396="赤日轮1",1,IF(C396="赤日轮2",2,IF(C396="赤日轮3",3,IF(C396="幽月轮1",4,IF(C396="幽月轮2",5,IF(C396="幽月轮3",6,IF(C396="烈日斩",7,IF(C396="银月斩",8,IF(C396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396="净世破魔击·月",17,IF(C396="驱夜断愁",18,0)))))))))))</f>
        <v>8</v>
      </c>
      <c r="E396" s="115">
        <f ca="1">IF(AND(CU396,OR(C396="幽月轮1",C396="幽月轮2",C396="幽月轮3",C396="银月斩",C396="驱夜断愁",C396="净世破魔击·月")),100,MIN(IF(OR(CN396,BE396),0,IF(OR($C396="赤日轮1",$C396="赤日轮2",$C396="赤日轮3"),E395+20+IF(模拟模式!$I$7="日月凌天",4,0)+IF(CR395,20,0),IF($C396="烈日斩",E395+40,IF($C396="驱夜断愁",IF(模拟模式!$R$7="万念俱寂",E395+20,E395+60),IF($C396="净世破魔击·月",IF(OR(DB395&gt;0,CV395&gt;0),100,IF(模拟模式!$M$7="辉耀红尘",E395+20,E395)),IF($C396="净世破魔击·日",E395-100,E395)))))),100))</f>
        <v>20</v>
      </c>
      <c r="F396" s="115">
        <f ca="1">IF(AND(CU396,OR(C396="赤日轮1",C396="赤日轮2",C396="赤日轮3",C396="烈日斩",C396="净世破魔击·日")),100,MIN(IF(CO396,0,IF(OR($C396="幽月轮1",$C396="幽月轮2",$C396="幽月轮3"),F395+20+IF(模拟模式!$I$7="日月凌天",4,0)+IF(CS395,20,0),IF($C396="银月斩",F395+40+IF(模拟模式!$X$12=1,5,0),IF($C396="驱夜断愁",IF(模拟模式!$R$7="万念俱寂",F395+20,F395+60),IF($C396="净世破魔击·月",IF(模拟模式!$M$7="辉耀红尘",F395-80,F395-100),IF(AND(C396="净世破魔击·日",OR(DB395&gt;0,CV395&gt;0)),100,F395)))))),100))</f>
        <v>65</v>
      </c>
      <c r="G396" s="117">
        <f ca="1">('模拟-全程加成'!$E$3+'模拟-全程加成'!$E$4+'模拟-全程加成'!$E$5+('模拟-全程加成'!$C$6-'模拟-全程加成'!$C$3)*系数!$B$9+BS396*23)*(1+'模拟-全程加成'!$F$4+'模拟-全程加成'!$F$5+BJ396*10%+BM396*20%+BP396*4%+CG396*30%)+$F$7*系数!$B$12</f>
        <v>20583.127400000001</v>
      </c>
      <c r="H396" s="45">
        <f ca="1">'模拟-全程加成'!$H$3+'模拟-全程加成'!$H$4+'模拟-全程加成'!$H$5+('模拟-全程加成'!$G$4+'模拟-全程加成'!$G$5+('模拟-全程加成'!$C$6-'模拟-全程加成'!$C$3)*系数!$B$13)/系数!$B$3+LOOKUP(D396,'模拟-单技能数据'!$A$2:$A$19,'模拟-单技能数据'!$K$2:$K$19)+BG396*10%+IF(BV396&gt;0,378,0)</f>
        <v>0.64185145527300214</v>
      </c>
      <c r="I396" s="45">
        <f ca="1">'模拟-全程加成'!$J$3+'模拟-全程加成'!$J$4+'模拟-全程加成'!$J$5+('模拟-全程加成'!$I$4+'模拟-全程加成'!$I$5)/系数!$B$4+LOOKUP(D396,'模拟-单技能数据'!$A$2:$A$19,'模拟-单技能数据'!$L$2:$L$19)+BG396*10%</f>
        <v>2.2624828854998791</v>
      </c>
      <c r="J396" s="45">
        <f ca="1">(('模拟-全程加成'!$K$3+'模拟-全程加成'!$K$4+'模拟-全程加成'!$K$5+('模拟-全程加成'!$C$6-'模拟-全程加成'!$C$3)*系数!$B$10+IF(BV396&gt;0,882,0)+IF(BY396&gt;0,1831,0))*(1+'模拟-全程加成'!$L$4+'模拟-全程加成'!$L$5+CC396*20%))/系数!$B$5</f>
        <v>0.69723220422048726</v>
      </c>
      <c r="K396" s="119">
        <f ca="1">LOOKUP(D396,'模拟-单技能数据'!$A$2:$A$19,'模拟-单技能数据'!$J$2:$J$19)+IF(CM396,60%,0)+IF(DB395-DB396&gt;0,30%,0)+IF(OR(AND(OR(C396="赤日轮1",C396="赤日轮2",C396="赤日轮3"),CR396),AND(OR(C396="幽月轮1",C396="幽月轮2",C396="幽月轮3"),CS396)),35%,0)+CJ396</f>
        <v>0.15</v>
      </c>
      <c r="L396" s="119">
        <f ca="1">IF(AND(C396="烈日斩",模拟模式!$X$11=1),10%,0)+IF(AND(C396="驱夜断愁",AB396=1),30%,0)</f>
        <v>0</v>
      </c>
      <c r="M396" s="45">
        <f t="shared" ca="1" si="353"/>
        <v>0.64185145527300214</v>
      </c>
      <c r="N396" s="45">
        <f t="shared" ca="1" si="354"/>
        <v>0.30424854472699792</v>
      </c>
      <c r="O396" s="46">
        <f t="shared" ca="1" si="322"/>
        <v>0.31277597208289676</v>
      </c>
      <c r="P396" s="46" t="str">
        <f t="shared" ca="1" si="323"/>
        <v>会</v>
      </c>
      <c r="Q396" s="45">
        <f t="shared" ca="1" si="324"/>
        <v>2.2624828854998791</v>
      </c>
      <c r="R396" s="117">
        <f ca="1">模拟模式!$E$20*(1-IF(模拟模式!$J$19="有",0.15,0))*(1-IF(模拟模式!$K$19="有",0.3,0)-IF(CQ396,0.5,0))</f>
        <v>2950.6049999999996</v>
      </c>
      <c r="S396" s="45">
        <f ca="1">R396/(R396+(185*模拟模式!$E$22-16800)*4.08224)</f>
        <v>0.24272716014590323</v>
      </c>
      <c r="T396" s="45" t="str">
        <f ca="1">LOOKUP(D396,'模拟-单技能数据'!$A$2:$A$19,'模拟-单技能数据'!$H$2:$H$19)</f>
        <v>阴</v>
      </c>
      <c r="U396" s="119">
        <f t="shared" ca="1" si="355"/>
        <v>0.08</v>
      </c>
      <c r="V396" s="47">
        <f ca="1">(1+L396)*(LOOKUP(D396,'模拟-单技能数据'!$A$2:$A$19,'模拟-单技能数据'!$D$2:$D$19)+G396*LOOKUP(D396,'模拟-单技能数据'!$A$2:$A$19,'模拟-单技能数据'!$F$2:$F$19))*(1+J396)*(1+K396)*(1-S396)*(1+U396)*Q396*LOOKUP(D396,'模拟-单技能数据'!$A$2:$A$19,'模拟-单技能数据'!$I$2:$I$20)</f>
        <v>39481.310356797861</v>
      </c>
      <c r="W396" s="47">
        <f ca="1">LOOKUP(D396,'模拟-单技能数据'!$A$2:$A$19,'模拟-单技能数据'!$G$2:$G$19)*$I$10</f>
        <v>361.51064354704795</v>
      </c>
      <c r="X396" s="47">
        <f t="shared" ca="1" si="325"/>
        <v>0</v>
      </c>
      <c r="Y396" s="47">
        <f t="shared" ca="1" si="356"/>
        <v>39842.821000344906</v>
      </c>
      <c r="Z396" s="49">
        <f t="shared" ca="1" si="357"/>
        <v>38517206.931702644</v>
      </c>
      <c r="AA396" s="97">
        <f t="shared" ca="1" si="358"/>
        <v>113151.95079854672</v>
      </c>
      <c r="AB396" s="115">
        <f ca="1">IF(OR(C396="赤日轮1",C396="赤日轮2",C396="赤日轮3"),IF(RAND()&lt;模拟模式!$Y$17,1,0),IF(OR(C396="幽月轮1",C396="幽月轮2",C396="幽月轮3"),IF(RAND()&lt;模拟模式!$Y$18,1,0),IF(C396="烈日斩",IF(RAND()&lt;模拟模式!$Y$19,1,0),IF(C396="银月斩",IF(RAND()&lt;模拟模式!$Y$20,1,0),IF(C396="驱夜断愁",IF(RAND()&lt;模拟模式!$Y$21,1,0),IF(C396="净世破魔击·日",IF(RAND()&lt;模拟模式!$Y$22,1,0),IF(C396="净世破魔击·月",IF(RAND()&lt;模拟模式!$Y$23,1,0),0)))))))</f>
        <v>1</v>
      </c>
      <c r="AC396" s="115" t="b">
        <f t="shared" ca="1" si="346"/>
        <v>1</v>
      </c>
      <c r="AD396" s="115" t="b">
        <f t="shared" ca="1" si="366"/>
        <v>0</v>
      </c>
      <c r="AE396" s="115">
        <f t="shared" ca="1" si="367"/>
        <v>6</v>
      </c>
      <c r="AF396" s="47">
        <f ca="1">IF(AC396,('模拟-单技能数据'!$D$20+G396*'模拟-单技能数据'!$F$20)*(1+J396)*(1+'模拟-单技能数据'!$J$20)*(1+U396),0)</f>
        <v>4447.8565560098323</v>
      </c>
      <c r="AG396" s="61">
        <f t="shared" ca="1" si="359"/>
        <v>0.64185145527300214</v>
      </c>
      <c r="AH396" s="61">
        <f t="shared" ca="1" si="360"/>
        <v>2.2624828854998791</v>
      </c>
      <c r="AI396" s="62">
        <f t="shared" ca="1" si="326"/>
        <v>0.55076353891274754</v>
      </c>
      <c r="AJ396" s="47">
        <f ca="1">IF(AD396,IF(AI396&lt;$F$10,0,IF(AI396&lt;$F$10+$F$11,0.25,IF(AI396&lt;$F$10+$F$11+AG396,AH396,1)))*IF(AF396&gt;0,AF396,IF(AF395&gt;0,AF395,IF(AF394&gt;0,AF394,IF(AF393&gt;0,AF393,IF(AF392&gt;0,AF392,IF(AF391&gt;0,AF391,IF(AF390&gt;0,AF390,IF(AF389&gt;0,AF389,IF(AF388&gt;0,AF388,IF(AF386&gt;0,AF386,IF(AF385&gt;0,AF385,IF(AF384&gt;0,AF384,0)))))))))))),0)*(1-$S396)*'模拟-单技能数据'!$I$20</f>
        <v>0</v>
      </c>
      <c r="AK396" s="115" t="b">
        <f t="shared" ca="1" si="347"/>
        <v>0</v>
      </c>
      <c r="AL396" s="115" t="b">
        <f t="shared" ca="1" si="368"/>
        <v>0</v>
      </c>
      <c r="AM396" s="115">
        <f t="shared" ca="1" si="369"/>
        <v>5</v>
      </c>
      <c r="AN396" s="47">
        <f ca="1">IF(AK396,('模拟-单技能数据'!$D$21+G396*'模拟-单技能数据'!$F$21)*(1+J396)*(1+'模拟-单技能数据'!$J$21)*(1+U396),0)</f>
        <v>0</v>
      </c>
      <c r="AO396" s="61">
        <f ca="1">IF(AN396&gt;0,M396-'模拟-单技能数据'!$K$10,AO395)</f>
        <v>0.42185145527300216</v>
      </c>
      <c r="AP396" s="61">
        <f ca="1">IF(AN396&gt;0,I396-'模拟-单技能数据'!$L$10,AP395)</f>
        <v>2.162482885499879</v>
      </c>
      <c r="AQ396" s="63">
        <f t="shared" ca="1" si="327"/>
        <v>0.66151786015675584</v>
      </c>
      <c r="AR396" s="64">
        <f ca="1">IF(AL396,IF(AQ396&lt;$F$10,0,IF(AQ396&lt;$F$10+$F$11,0.25,IF(AQ396&lt;$F$10+$F$11+AO396,AP396,1)))*IF(AN396&gt;0,AN396,IF(AN395&gt;0,AN395,IF(AN394&gt;0,AN394,IF(AN393&gt;0,AN393,IF(AN392&gt;0,AN392,IF(AN391&gt;0,AN391,IF(AN390&gt;0,AN390,IF(AN389&gt;0,AN389,IF(AN388&gt;0,AN388,IF(AN386&gt;0,AN386,IF(AN385&gt;0,AN385,IF(AN384&gt;0,AN384,0)))))))))))),0)*(1-$S396)*'模拟-单技能数据'!$I$21</f>
        <v>0</v>
      </c>
      <c r="AS396" s="61">
        <f ca="1">IF(OR(C396="净世破魔击·日",C396="净世破魔击·月"),M396-'模拟-单技能数据'!$K$10,0)</f>
        <v>0</v>
      </c>
      <c r="AT396" s="61">
        <f ca="1">IF(OR(C396="净世破魔击·日",C396="净世破魔击·月"),I396-'模拟-单技能数据'!$L$10,0)</f>
        <v>0</v>
      </c>
      <c r="AU396" s="62">
        <f t="shared" ca="1" si="328"/>
        <v>0.88174216636653979</v>
      </c>
      <c r="AV396" s="64">
        <f ca="1">IF(AS396&gt;0,('模拟-单技能数据'!$D$22+G396*'模拟-单技能数据'!$F$22)*(1+J396)*(1-S396)*IF(AU396&lt;$F$10,0,IF(AU396&lt;$F$10+$F$11,0.25,IF(AU396&lt;$F$10+$F$11+AS396,AT396,1)))*(1+U396),0)*'模拟-单技能数据'!$I$22</f>
        <v>0</v>
      </c>
      <c r="AW396" s="108">
        <f t="shared" ca="1" si="329"/>
        <v>9.8525000000000063</v>
      </c>
      <c r="AX396" s="108" t="b">
        <f ca="1">AND(模拟模式!$P$10="有",AW395=0,RAND()&lt;IF(C396="净世破魔击·月",0.1*8/3,IF(C396="净世破魔击·日",0.1*4/3,0.1*2/3)))</f>
        <v>0</v>
      </c>
      <c r="AY396" s="47">
        <f ca="1">IF(AX396,(18+G396*0.722)*(1+J396)*(1-S396)*(1+$I$4)*IF(P396="会",'模拟-全程加成'!$J$3+'模拟-全程加成'!$J$4+'模拟-全程加成'!$J$5+('模拟-全程加成'!$I$4+'模拟-全程加成'!$I$5)/系数!$B$4+BG396*10%,IF(P396="命",1,IF(P396="识",0.25,0))),0)</f>
        <v>0</v>
      </c>
      <c r="AZ396" s="108">
        <f t="shared" si="330"/>
        <v>4.3175000000000061</v>
      </c>
      <c r="BA396" s="108" t="b">
        <f>AND(模拟模式!$Q$10="有",AZ395=0)</f>
        <v>0</v>
      </c>
      <c r="BB396" s="140">
        <f>IF(BA396,(0+G396*0.287)*(1+J396)*(1-S396)*(1+$I$4)*IF(P396="会",'模拟-全程加成'!$J$3+'模拟-全程加成'!$J$4+'模拟-全程加成'!$J$5+('模拟-全程加成'!$I$4+'模拟-全程加成'!$I$5)/系数!$B$4+BG396*10%,IF(P396="命",1,IF(P396="识",0.25,0))),0)</f>
        <v>0</v>
      </c>
      <c r="BC396" s="115" t="b">
        <f ca="1">AND(模拟模式!$R$7="伏明众生",E396=60,F396=20,DA396&lt;5,CZ395&lt;$F$4)</f>
        <v>0</v>
      </c>
      <c r="BD396" s="115">
        <f t="shared" ca="1" si="348"/>
        <v>0</v>
      </c>
      <c r="BE396" s="115" t="b">
        <f t="shared" ca="1" si="349"/>
        <v>0</v>
      </c>
      <c r="BF396" s="47">
        <f ca="1">IF(BC396,4*('模拟-单技能数据'!$D$24+G396*'模拟-单技能数据'!$F$24)*(1+J396)*(1+'模拟-单技能数据'!$J$24)*(1-S396)*(1+$I$3)*(('模拟-全程加成'!$J$3+'模拟-全程加成'!$J$4+'模拟-全程加成'!$J$5+('模拟-全程加成'!$I$4+'模拟-全程加成'!$I$5)/系数!$B$4+BG396*10%)*('模拟-全程加成'!$J$3+'模拟-全程加成'!$J$4+'模拟-全程加成'!$J$5+('模拟-全程加成'!$I$4+'模拟-全程加成'!$I$5)/系数!$B$4+BG396*10%)+(1-('模拟-全程加成'!$J$3+'模拟-全程加成'!$J$4+'模拟-全程加成'!$J$5+('模拟-全程加成'!$I$4+'模拟-全程加成'!$I$5)/系数!$B$4+BG396*10%)-$F$10-$F$11)+F382*0.25),0)*'模拟-单技能数据'!$I$24</f>
        <v>0</v>
      </c>
      <c r="BG396" s="115" t="b">
        <f ca="1">OR(AND(OR(C396="烈日斩",C396="银月斩"),模拟模式!$I$7="净身明礼"),AND(C396="净世破魔击·日",模拟模式!$J$7="洞若观火"),AND(C397="净世破魔击·月",模拟模式!$J$7="洞若观火"),AB396=1)</f>
        <v>1</v>
      </c>
      <c r="BH396" s="115" t="b">
        <f t="shared" ca="1" si="331"/>
        <v>0</v>
      </c>
      <c r="BI396" s="115">
        <f t="shared" ca="1" si="350"/>
        <v>0</v>
      </c>
      <c r="BJ396" s="115" t="b">
        <f t="shared" ca="1" si="361"/>
        <v>0</v>
      </c>
      <c r="BK396" s="115" t="b">
        <f ca="1">AND(C396="驱夜断愁",模拟模式!$P$7="天地诛戮")</f>
        <v>0</v>
      </c>
      <c r="BL396" s="57">
        <f t="shared" ca="1" si="351"/>
        <v>14.465000000000003</v>
      </c>
      <c r="BM396" s="115" t="b">
        <f t="shared" ca="1" si="362"/>
        <v>1</v>
      </c>
      <c r="BN396" s="115" t="b">
        <f ca="1">AND(OR(C396="赤日轮1",C396="赤日轮2",C396="赤日轮3",C396="幽月轮1",C396="幽月轮2",C396="幽月轮3"),AB396=1,模拟模式!$L$7="明光恒照")</f>
        <v>0</v>
      </c>
      <c r="BO396" s="117">
        <f t="shared" ca="1" si="352"/>
        <v>29.077500000000001</v>
      </c>
      <c r="BP396" s="115">
        <f t="shared" ca="1" si="332"/>
        <v>6</v>
      </c>
      <c r="BQ396" s="115" t="b">
        <f>模拟模式!$K$10="2600·水"</f>
        <v>0</v>
      </c>
      <c r="BR396" s="117">
        <f t="shared" si="333"/>
        <v>0</v>
      </c>
      <c r="BS396" s="115">
        <f t="shared" si="334"/>
        <v>0</v>
      </c>
      <c r="BT396" s="115">
        <f t="shared" ca="1" si="335"/>
        <v>0</v>
      </c>
      <c r="BU396" s="115" t="b">
        <f ca="1">AND(模拟模式!$K$10="2300·雷",BT395=0,RAND()&lt;IF(C396="净世破魔击·月",5*0.05*2/3,IF(C396="净世破魔击·日",3*0.05*2/3,0.05*2*2/3)))</f>
        <v>0</v>
      </c>
      <c r="BV396" s="115">
        <f t="shared" ca="1" si="336"/>
        <v>0</v>
      </c>
      <c r="BW396" s="115">
        <f t="shared" ca="1" si="337"/>
        <v>31.477499999999296</v>
      </c>
      <c r="BX396" s="164" t="b">
        <f t="shared" ca="1" si="338"/>
        <v>0</v>
      </c>
      <c r="BY396" s="115">
        <f t="shared" ca="1" si="339"/>
        <v>0</v>
      </c>
      <c r="BZ396" s="115">
        <f>IF(OR(模拟模式!$P$16="10人团",模拟模式!$P$16="25人团"),IF(B396/30&gt;CA395,1,0),0)</f>
        <v>0</v>
      </c>
      <c r="CA396" s="115">
        <f t="shared" si="315"/>
        <v>0</v>
      </c>
      <c r="CB396" s="115">
        <f ca="1">IF(BZ396=1,IF(模拟模式!$P$16="10人团",15,0)+IF(模拟模式!$P$16="25人团",IF(RAND()&lt;0.6,15,0)),MAX(0,CB395-$F$4))</f>
        <v>0</v>
      </c>
      <c r="CC396" s="115" t="b">
        <f t="shared" ca="1" si="363"/>
        <v>0</v>
      </c>
      <c r="CD396" s="115">
        <f>IF(模拟模式!$Q$16="1个",IF(B396/40&gt;CE395,1,0),0)</f>
        <v>0</v>
      </c>
      <c r="CE396" s="115">
        <f t="shared" si="364"/>
        <v>0</v>
      </c>
      <c r="CF396" s="115">
        <f>IF(OR(CD396=1,模拟模式!$Q$16="2个"),20,MAX(0,CF395-$F$4))</f>
        <v>0</v>
      </c>
      <c r="CG396" s="115" t="b">
        <f t="shared" si="365"/>
        <v>0</v>
      </c>
      <c r="CH396" s="115">
        <f t="shared" ca="1" si="340"/>
        <v>0</v>
      </c>
      <c r="CI396" s="115" t="b">
        <f t="shared" ca="1" si="341"/>
        <v>0</v>
      </c>
      <c r="CJ396" s="119">
        <f t="shared" ca="1" si="342"/>
        <v>0</v>
      </c>
      <c r="CK396" s="115">
        <f t="shared" ca="1" si="343"/>
        <v>0</v>
      </c>
      <c r="CL396" s="115" t="b">
        <f ca="1">AND(模拟模式!$S$7="驱夷逐法",OR(AND(C396="净世破魔击·月",E395&gt;59),AND(C396="净世破魔击·日",F395&gt;59)))</f>
        <v>0</v>
      </c>
      <c r="CM396" s="115" t="b">
        <f ca="1">OR(CL396,AND(C396="净世破魔击·日",CL395,RAND()&lt;模拟模式!$U$23))</f>
        <v>0</v>
      </c>
      <c r="CN396" s="115" t="b">
        <f ca="1">IF(模拟模式!$M$7="辉耀红尘",AND(C396="净世破魔击·月",CL396,CV396=0,E395&lt;80),AND(C396="净世破魔击·月",CL396,E395&lt;100))</f>
        <v>0</v>
      </c>
      <c r="CO396" s="115" t="b">
        <f t="shared" ca="1" si="316"/>
        <v>0</v>
      </c>
      <c r="CP396" s="115" t="b">
        <f ca="1">AND(模拟模式!$O$7="用晦而明",OR(C396="净世破魔击·日",C396="净世破魔击·月",C396="驱夜断愁"),AB396)</f>
        <v>0</v>
      </c>
      <c r="CQ396" s="115" t="b">
        <f ca="1">OR(CP396,AND(CP395,RAND()&lt;模拟模式!$U$23))</f>
        <v>0</v>
      </c>
      <c r="CR396" s="115" t="b">
        <f ca="1">AND(模拟模式!$S$7="日月齐光",OR(C396="幽月轮1",C396="幽月轮2",C396="幽月轮3",CR395),NOT(OR(C396="赤日轮1",C396="赤日轮2",C396="赤日轮3")))</f>
        <v>0</v>
      </c>
      <c r="CS396" s="115" t="b">
        <f ca="1">AND(模拟模式!$S$7="日月齐光",OR(C396="赤日轮1",C396="赤日轮2",C396="赤日轮3",CS395),NOT(OR(C396="幽月轮1",C396="幽月轮2",C396="幽月轮3")))</f>
        <v>0</v>
      </c>
      <c r="CT396" s="115">
        <f t="shared" ca="1" si="344"/>
        <v>0</v>
      </c>
      <c r="CU396" s="115" t="b">
        <f ca="1">AND(模拟模式!$K$10="阴阳往极",CT395=0,RAND()&lt;IF(C396="净世破魔击·月",0.0275*7/3,IF(C396="净世破魔击·日",0.0275*3/3,0.0275*2/3)))</f>
        <v>0</v>
      </c>
      <c r="CV396" s="115">
        <f t="shared" ca="1" si="345"/>
        <v>0</v>
      </c>
      <c r="CW396" s="115">
        <f t="shared" ca="1" si="317"/>
        <v>1.3874999999999997</v>
      </c>
      <c r="CX396" s="115">
        <f t="shared" ca="1" si="318"/>
        <v>6</v>
      </c>
      <c r="CY396" s="115">
        <f ca="1">MAX(IF($C396="驱夜断愁",IF(模拟模式!$R$7="万念俱寂",6,45),CY395-$F$4),0)</f>
        <v>0.46499999999999975</v>
      </c>
      <c r="CZ396" s="115">
        <f t="shared" ca="1" si="319"/>
        <v>0</v>
      </c>
      <c r="DA396" s="115">
        <f ca="1">IF(模拟模式!$N$7="日月同辉",IF(DB395=2,0,MIN(6,IF(AND(OR(C396="赤日轮1",C396="赤日轮2",C396="赤日轮3",C396="幽月轮1",C396="幽月轮2",C396="幽月轮3"),AB396=1),DA395+1,DA395))),0)</f>
        <v>2</v>
      </c>
      <c r="DB396" s="115">
        <f t="shared" ca="1" si="320"/>
        <v>0</v>
      </c>
      <c r="DC396" s="115"/>
      <c r="DD396" s="115"/>
      <c r="DE396" s="115"/>
      <c r="DF396" s="115"/>
      <c r="DG396" s="115"/>
      <c r="DH396" s="115"/>
      <c r="DI396" s="115"/>
      <c r="DJ396" s="115"/>
      <c r="DK396" s="115"/>
      <c r="DL396" s="115"/>
      <c r="DM396" s="115"/>
    </row>
    <row r="397" spans="2:117" x14ac:dyDescent="0.2">
      <c r="B397" s="117">
        <f t="shared" si="321"/>
        <v>341.32500000000306</v>
      </c>
      <c r="C397" s="167" t="str">
        <f t="shared" ca="1" si="314"/>
        <v>驱夜断愁</v>
      </c>
      <c r="D397" s="115">
        <f ca="1">IF(C397="赤日轮1",1,IF(C397="赤日轮2",2,IF(C397="赤日轮3",3,IF(C397="幽月轮1",4,IF(C397="幽月轮2",5,IF(C397="幽月轮3",6,IF(C397="烈日斩",7,IF(C397="银月斩",8,IF(C397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397="净世破魔击·月",17,IF(C397="驱夜断愁",18,0)))))))))))</f>
        <v>18</v>
      </c>
      <c r="E397" s="115">
        <f ca="1">IF(AND(CU397,OR(C397="幽月轮1",C397="幽月轮2",C397="幽月轮3",C397="银月斩",C397="驱夜断愁",C397="净世破魔击·月")),100,MIN(IF(OR(CN397,BE397),0,IF(OR($C397="赤日轮1",$C397="赤日轮2",$C397="赤日轮3"),E396+20+IF(模拟模式!$I$7="日月凌天",4,0)+IF(CR396,20,0),IF($C397="烈日斩",E396+40,IF($C397="驱夜断愁",IF(模拟模式!$R$7="万念俱寂",E396+20,E396+60),IF($C397="净世破魔击·月",IF(OR(DB396&gt;0,CV396&gt;0),100,IF(模拟模式!$M$7="辉耀红尘",E396+20,E396)),IF($C397="净世破魔击·日",E396-100,E396)))))),100))</f>
        <v>40</v>
      </c>
      <c r="F397" s="115">
        <f ca="1">IF(AND(CU397,OR(C397="赤日轮1",C397="赤日轮2",C397="赤日轮3",C397="烈日斩",C397="净世破魔击·日")),100,MIN(IF(CO397,0,IF(OR($C397="幽月轮1",$C397="幽月轮2",$C397="幽月轮3"),F396+20+IF(模拟模式!$I$7="日月凌天",4,0)+IF(CS396,20,0),IF($C397="银月斩",F396+40+IF(模拟模式!$X$12=1,5,0),IF($C397="驱夜断愁",IF(模拟模式!$R$7="万念俱寂",F396+20,F396+60),IF($C397="净世破魔击·月",IF(模拟模式!$M$7="辉耀红尘",F396-80,F396-100),IF(AND(C397="净世破魔击·日",OR(DB396&gt;0,CV396&gt;0)),100,F396)))))),100))</f>
        <v>85</v>
      </c>
      <c r="G397" s="117">
        <f ca="1">('模拟-全程加成'!$E$3+'模拟-全程加成'!$E$4+'模拟-全程加成'!$E$5+('模拟-全程加成'!$C$6-'模拟-全程加成'!$C$3)*系数!$B$9+BS397*23)*(1+'模拟-全程加成'!$F$4+'模拟-全程加成'!$F$5+BJ397*10%+BM397*20%+BP397*4%+CG397*30%)+$F$7*系数!$B$12</f>
        <v>20583.127400000001</v>
      </c>
      <c r="H397" s="45">
        <f ca="1">'模拟-全程加成'!$H$3+'模拟-全程加成'!$H$4+'模拟-全程加成'!$H$5+('模拟-全程加成'!$G$4+'模拟-全程加成'!$G$5+('模拟-全程加成'!$C$6-'模拟-全程加成'!$C$3)*系数!$B$13)/系数!$B$3+LOOKUP(D397,'模拟-单技能数据'!$A$2:$A$19,'模拟-单技能数据'!$K$2:$K$19)+BG397*10%+IF(BV397&gt;0,378,0)</f>
        <v>0.51185145527300213</v>
      </c>
      <c r="I397" s="45">
        <f ca="1">'模拟-全程加成'!$J$3+'模拟-全程加成'!$J$4+'模拟-全程加成'!$J$5+('模拟-全程加成'!$I$4+'模拟-全程加成'!$I$5)/系数!$B$4+LOOKUP(D397,'模拟-单技能数据'!$A$2:$A$19,'模拟-单技能数据'!$L$2:$L$19)+BG397*10%</f>
        <v>2.162482885499879</v>
      </c>
      <c r="J397" s="45">
        <f ca="1">(('模拟-全程加成'!$K$3+'模拟-全程加成'!$K$4+'模拟-全程加成'!$K$5+('模拟-全程加成'!$C$6-'模拟-全程加成'!$C$3)*系数!$B$10+IF(BV397&gt;0,882,0)+IF(BY397&gt;0,1831,0))*(1+'模拟-全程加成'!$L$4+'模拟-全程加成'!$L$5+CC397*20%))/系数!$B$5</f>
        <v>0.69723220422048726</v>
      </c>
      <c r="K397" s="119">
        <f ca="1">LOOKUP(D397,'模拟-单技能数据'!$A$2:$A$19,'模拟-单技能数据'!$J$2:$J$19)+IF(CM397,60%,0)+IF(DB396-DB397&gt;0,30%,0)+IF(OR(AND(OR(C397="赤日轮1",C397="赤日轮2",C397="赤日轮3"),CR397),AND(OR(C397="幽月轮1",C397="幽月轮2",C397="幽月轮3"),CS397)),35%,0)+CJ397</f>
        <v>0.14000000000000001</v>
      </c>
      <c r="L397" s="119">
        <f ca="1">IF(AND(C397="烈日斩",模拟模式!$X$11=1),10%,0)+IF(AND(C397="驱夜断愁",AB397=1),30%,0)</f>
        <v>0.3</v>
      </c>
      <c r="M397" s="45">
        <f t="shared" ca="1" si="353"/>
        <v>0.51185145527300213</v>
      </c>
      <c r="N397" s="45">
        <f t="shared" ca="1" si="354"/>
        <v>0.43424854472699792</v>
      </c>
      <c r="O397" s="46">
        <f t="shared" ca="1" si="322"/>
        <v>0.11308220853010187</v>
      </c>
      <c r="P397" s="46" t="str">
        <f t="shared" ca="1" si="323"/>
        <v>会</v>
      </c>
      <c r="Q397" s="45">
        <f t="shared" ca="1" si="324"/>
        <v>2.162482885499879</v>
      </c>
      <c r="R397" s="117">
        <f ca="1">模拟模式!$E$20*(1-IF(模拟模式!$J$19="有",0.15,0))*(1-IF(模拟模式!$K$19="有",0.3,0)-IF(CQ397,0.5,0))</f>
        <v>843.02999999999975</v>
      </c>
      <c r="S397" s="45">
        <f ca="1">R397/(R397+(185*模拟模式!$E$22-16800)*4.08224)</f>
        <v>8.389626085980037E-2</v>
      </c>
      <c r="T397" s="45" t="str">
        <f ca="1">LOOKUP(D397,'模拟-单技能数据'!$A$2:$A$19,'模拟-单技能数据'!$H$2:$H$19)</f>
        <v>阴</v>
      </c>
      <c r="U397" s="119">
        <f t="shared" ca="1" si="355"/>
        <v>0.08</v>
      </c>
      <c r="V397" s="47">
        <f ca="1">(1+L397)*(LOOKUP(D397,'模拟-单技能数据'!$A$2:$A$19,'模拟-单技能数据'!$D$2:$D$19)+G397*LOOKUP(D397,'模拟-单技能数据'!$A$2:$A$19,'模拟-单技能数据'!$F$2:$F$19))*(1+J397)*(1+K397)*(1-S397)*(1+U397)*Q397*LOOKUP(D397,'模拟-单技能数据'!$A$2:$A$19,'模拟-单技能数据'!$I$2:$I$20)</f>
        <v>127463.41908070058</v>
      </c>
      <c r="W397" s="47">
        <f ca="1">LOOKUP(D397,'模拟-单技能数据'!$A$2:$A$19,'模拟-单技能数据'!$G$2:$G$19)*$I$10</f>
        <v>723.0212870940959</v>
      </c>
      <c r="X397" s="47">
        <f t="shared" ca="1" si="325"/>
        <v>33262.18371625166</v>
      </c>
      <c r="Y397" s="47">
        <f t="shared" ca="1" si="356"/>
        <v>161448.62408404634</v>
      </c>
      <c r="Z397" s="49">
        <f t="shared" ca="1" si="357"/>
        <v>38678655.555786692</v>
      </c>
      <c r="AA397" s="97">
        <f t="shared" ca="1" si="358"/>
        <v>113319.14027916604</v>
      </c>
      <c r="AB397" s="115">
        <f ca="1">IF(OR(C397="赤日轮1",C397="赤日轮2",C397="赤日轮3"),IF(RAND()&lt;模拟模式!$Y$17,1,0),IF(OR(C397="幽月轮1",C397="幽月轮2",C397="幽月轮3"),IF(RAND()&lt;模拟模式!$Y$18,1,0),IF(C397="烈日斩",IF(RAND()&lt;模拟模式!$Y$19,1,0),IF(C397="银月斩",IF(RAND()&lt;模拟模式!$Y$20,1,0),IF(C397="驱夜断愁",IF(RAND()&lt;模拟模式!$Y$21,1,0),IF(C397="净世破魔击·日",IF(RAND()&lt;模拟模式!$Y$22,1,0),IF(C397="净世破魔击·月",IF(RAND()&lt;模拟模式!$Y$23,1,0),0)))))))</f>
        <v>1</v>
      </c>
      <c r="AC397" s="115" t="b">
        <f t="shared" ca="1" si="346"/>
        <v>0</v>
      </c>
      <c r="AD397" s="115" t="b">
        <f t="shared" ca="1" si="366"/>
        <v>1</v>
      </c>
      <c r="AE397" s="115">
        <f t="shared" ca="1" si="367"/>
        <v>5</v>
      </c>
      <c r="AF397" s="47">
        <f ca="1">IF(AC397,('模拟-单技能数据'!$D$20+G397*'模拟-单技能数据'!$F$20)*(1+J397)*(1+'模拟-单技能数据'!$J$20)*(1+U397),0)</f>
        <v>0</v>
      </c>
      <c r="AG397" s="61">
        <f t="shared" ca="1" si="359"/>
        <v>0.64185145527300214</v>
      </c>
      <c r="AH397" s="61">
        <f t="shared" ca="1" si="360"/>
        <v>2.2624828854998791</v>
      </c>
      <c r="AI397" s="62">
        <f t="shared" ca="1" si="326"/>
        <v>6.0945911992852486E-2</v>
      </c>
      <c r="AJ397" s="47">
        <f ca="1">IF(AD397,IF(AI397&lt;$F$10,0,IF(AI397&lt;$F$10+$F$11,0.25,IF(AI397&lt;$F$10+$F$11+AG397,AH397,1)))*IF(AF397&gt;0,AF397,IF(AF396&gt;0,AF396,IF(AF395&gt;0,AF395,IF(AF394&gt;0,AF394,IF(AF393&gt;0,AF393,IF(AF392&gt;0,AF392,IF(AF391&gt;0,AF391,IF(AF390&gt;0,AF390,IF(AF389&gt;0,AF389,IF(AF387&gt;0,AF387,IF(AF386&gt;0,AF386,IF(AF385&gt;0,AF385,0)))))))))))),0)*(1-$S397)*'模拟-单技能数据'!$I$20</f>
        <v>9218.9345386263849</v>
      </c>
      <c r="AK397" s="115" t="b">
        <f t="shared" ca="1" si="347"/>
        <v>0</v>
      </c>
      <c r="AL397" s="115" t="b">
        <f t="shared" ca="1" si="368"/>
        <v>1</v>
      </c>
      <c r="AM397" s="115">
        <f t="shared" ca="1" si="369"/>
        <v>4</v>
      </c>
      <c r="AN397" s="47">
        <f ca="1">IF(AK397,('模拟-单技能数据'!$D$21+G397*'模拟-单技能数据'!$F$21)*(1+J397)*(1+'模拟-单技能数据'!$J$21)*(1+U397),0)</f>
        <v>0</v>
      </c>
      <c r="AO397" s="61">
        <f ca="1">IF(AN397&gt;0,M397-'模拟-单技能数据'!$K$10,AO396)</f>
        <v>0.42185145527300216</v>
      </c>
      <c r="AP397" s="61">
        <f ca="1">IF(AN397&gt;0,I397-'模拟-单技能数据'!$L$10,AP396)</f>
        <v>2.162482885499879</v>
      </c>
      <c r="AQ397" s="63">
        <f t="shared" ca="1" si="327"/>
        <v>5.5768142534659781E-2</v>
      </c>
      <c r="AR397" s="64">
        <f ca="1">IF(AL397,IF(AQ397&lt;$F$10,0,IF(AQ397&lt;$F$10+$F$11,0.25,IF(AQ397&lt;$F$10+$F$11+AO397,AP397,1)))*IF(AN397&gt;0,AN397,IF(AN396&gt;0,AN396,IF(AN395&gt;0,AN395,IF(AN394&gt;0,AN394,IF(AN393&gt;0,AN393,IF(AN392&gt;0,AN392,IF(AN391&gt;0,AN391,IF(AN390&gt;0,AN390,IF(AN389&gt;0,AN389,IF(AN387&gt;0,AN387,IF(AN386&gt;0,AN386,IF(AN385&gt;0,AN385,0)))))))))))),0)*(1-$S397)*'模拟-单技能数据'!$I$21</f>
        <v>24043.249177625272</v>
      </c>
      <c r="AS397" s="61">
        <f ca="1">IF(OR(C397="净世破魔击·日",C397="净世破魔击·月"),M397-'模拟-单技能数据'!$K$10,0)</f>
        <v>0</v>
      </c>
      <c r="AT397" s="61">
        <f ca="1">IF(OR(C397="净世破魔击·日",C397="净世破魔击·月"),I397-'模拟-单技能数据'!$L$10,0)</f>
        <v>0</v>
      </c>
      <c r="AU397" s="62">
        <f t="shared" ca="1" si="328"/>
        <v>0.37450093463830159</v>
      </c>
      <c r="AV397" s="64">
        <f ca="1">IF(AS397&gt;0,('模拟-单技能数据'!$D$22+G397*'模拟-单技能数据'!$F$22)*(1+J397)*(1-S397)*IF(AU397&lt;$F$10,0,IF(AU397&lt;$F$10+$F$11,0.25,IF(AU397&lt;$F$10+$F$11+AS397,AT397,1)))*(1+U397),0)*'模拟-单技能数据'!$I$22</f>
        <v>0</v>
      </c>
      <c r="AW397" s="108">
        <f t="shared" ca="1" si="329"/>
        <v>8.9300000000000068</v>
      </c>
      <c r="AX397" s="108" t="b">
        <f ca="1">AND(模拟模式!$P$10="有",AW396=0,RAND()&lt;IF(C397="净世破魔击·月",0.1*8/3,IF(C397="净世破魔击·日",0.1*4/3,0.1*2/3)))</f>
        <v>0</v>
      </c>
      <c r="AY397" s="47">
        <f ca="1">IF(AX397,(18+G397*0.722)*(1+J397)*(1-S397)*(1+$I$4)*IF(P397="会",'模拟-全程加成'!$J$3+'模拟-全程加成'!$J$4+'模拟-全程加成'!$J$5+('模拟-全程加成'!$I$4+'模拟-全程加成'!$I$5)/系数!$B$4+BG397*10%,IF(P397="命",1,IF(P397="识",0.25,0))),0)</f>
        <v>0</v>
      </c>
      <c r="AZ397" s="108">
        <f t="shared" si="330"/>
        <v>3.3950000000000062</v>
      </c>
      <c r="BA397" s="108" t="b">
        <f>AND(模拟模式!$Q$10="有",AZ396=0)</f>
        <v>0</v>
      </c>
      <c r="BB397" s="140">
        <f>IF(BA397,(0+G397*0.287)*(1+J397)*(1-S397)*(1+$I$4)*IF(P397="会",'模拟-全程加成'!$J$3+'模拟-全程加成'!$J$4+'模拟-全程加成'!$J$5+('模拟-全程加成'!$I$4+'模拟-全程加成'!$I$5)/系数!$B$4+BG397*10%,IF(P397="命",1,IF(P397="识",0.25,0))),0)</f>
        <v>0</v>
      </c>
      <c r="BC397" s="115" t="b">
        <f ca="1">AND(模拟模式!$R$7="伏明众生",E397=60,F397=20,DA397&lt;5,CZ396&lt;$F$4)</f>
        <v>0</v>
      </c>
      <c r="BD397" s="115">
        <f t="shared" ca="1" si="348"/>
        <v>0</v>
      </c>
      <c r="BE397" s="115" t="b">
        <f t="shared" ca="1" si="349"/>
        <v>0</v>
      </c>
      <c r="BF397" s="47">
        <f ca="1">IF(BC397,4*('模拟-单技能数据'!$D$24+G397*'模拟-单技能数据'!$F$24)*(1+J397)*(1+'模拟-单技能数据'!$J$24)*(1-S397)*(1+$I$3)*(('模拟-全程加成'!$J$3+'模拟-全程加成'!$J$4+'模拟-全程加成'!$J$5+('模拟-全程加成'!$I$4+'模拟-全程加成'!$I$5)/系数!$B$4+BG397*10%)*('模拟-全程加成'!$J$3+'模拟-全程加成'!$J$4+'模拟-全程加成'!$J$5+('模拟-全程加成'!$I$4+'模拟-全程加成'!$I$5)/系数!$B$4+BG397*10%)+(1-('模拟-全程加成'!$J$3+'模拟-全程加成'!$J$4+'模拟-全程加成'!$J$5+('模拟-全程加成'!$I$4+'模拟-全程加成'!$I$5)/系数!$B$4+BG397*10%)-$F$10-$F$11)+F383*0.25),0)*'模拟-单技能数据'!$I$24</f>
        <v>0</v>
      </c>
      <c r="BG397" s="115" t="b">
        <f ca="1">OR(AND(OR(C397="烈日斩",C397="银月斩"),模拟模式!$I$7="净身明礼"),AND(C397="净世破魔击·日",模拟模式!$J$7="洞若观火"),AND(C398="净世破魔击·月",模拟模式!$J$7="洞若观火"),AB397=1)</f>
        <v>1</v>
      </c>
      <c r="BH397" s="115" t="b">
        <f t="shared" ca="1" si="331"/>
        <v>0</v>
      </c>
      <c r="BI397" s="115">
        <f t="shared" ca="1" si="350"/>
        <v>0</v>
      </c>
      <c r="BJ397" s="115" t="b">
        <f t="shared" ca="1" si="361"/>
        <v>0</v>
      </c>
      <c r="BK397" s="115" t="b">
        <f ca="1">AND(C397="驱夜断愁",模拟模式!$P$7="天地诛戮")</f>
        <v>1</v>
      </c>
      <c r="BL397" s="57">
        <f t="shared" ca="1" si="351"/>
        <v>20</v>
      </c>
      <c r="BM397" s="115" t="b">
        <f t="shared" ca="1" si="362"/>
        <v>1</v>
      </c>
      <c r="BN397" s="115" t="b">
        <f ca="1">AND(OR(C397="赤日轮1",C397="赤日轮2",C397="赤日轮3",C397="幽月轮1",C397="幽月轮2",C397="幽月轮3"),AB397=1,模拟模式!$L$7="明光恒照")</f>
        <v>0</v>
      </c>
      <c r="BO397" s="117">
        <f t="shared" ca="1" si="352"/>
        <v>28.155000000000001</v>
      </c>
      <c r="BP397" s="115">
        <f t="shared" ca="1" si="332"/>
        <v>6</v>
      </c>
      <c r="BQ397" s="115" t="b">
        <f>模拟模式!$K$10="2600·水"</f>
        <v>0</v>
      </c>
      <c r="BR397" s="117">
        <f t="shared" si="333"/>
        <v>0</v>
      </c>
      <c r="BS397" s="115">
        <f t="shared" si="334"/>
        <v>0</v>
      </c>
      <c r="BT397" s="115">
        <f t="shared" ca="1" si="335"/>
        <v>0</v>
      </c>
      <c r="BU397" s="115" t="b">
        <f ca="1">AND(模拟模式!$K$10="2300·雷",BT396=0,RAND()&lt;IF(C397="净世破魔击·月",5*0.05*2/3,IF(C397="净世破魔击·日",3*0.05*2/3,0.05*2*2/3)))</f>
        <v>0</v>
      </c>
      <c r="BV397" s="115">
        <f t="shared" ca="1" si="336"/>
        <v>0</v>
      </c>
      <c r="BW397" s="115">
        <f t="shared" ca="1" si="337"/>
        <v>30.554999999999296</v>
      </c>
      <c r="BX397" s="164" t="b">
        <f t="shared" ca="1" si="338"/>
        <v>0</v>
      </c>
      <c r="BY397" s="115">
        <f t="shared" ca="1" si="339"/>
        <v>0</v>
      </c>
      <c r="BZ397" s="115">
        <f>IF(OR(模拟模式!$P$16="10人团",模拟模式!$P$16="25人团"),IF(B397/30&gt;CA396,1,0),0)</f>
        <v>0</v>
      </c>
      <c r="CA397" s="115">
        <f t="shared" si="315"/>
        <v>0</v>
      </c>
      <c r="CB397" s="115">
        <f ca="1">IF(BZ397=1,IF(模拟模式!$P$16="10人团",15,0)+IF(模拟模式!$P$16="25人团",IF(RAND()&lt;0.6,15,0)),MAX(0,CB396-$F$4))</f>
        <v>0</v>
      </c>
      <c r="CC397" s="115" t="b">
        <f t="shared" ca="1" si="363"/>
        <v>0</v>
      </c>
      <c r="CD397" s="115">
        <f>IF(模拟模式!$Q$16="1个",IF(B397/40&gt;CE396,1,0),0)</f>
        <v>0</v>
      </c>
      <c r="CE397" s="115">
        <f t="shared" si="364"/>
        <v>0</v>
      </c>
      <c r="CF397" s="115">
        <f>IF(OR(CD397=1,模拟模式!$Q$16="2个"),20,MAX(0,CF396-$F$4))</f>
        <v>0</v>
      </c>
      <c r="CG397" s="115" t="b">
        <f t="shared" si="365"/>
        <v>0</v>
      </c>
      <c r="CH397" s="115">
        <f t="shared" ca="1" si="340"/>
        <v>0</v>
      </c>
      <c r="CI397" s="115" t="b">
        <f t="shared" ca="1" si="341"/>
        <v>0</v>
      </c>
      <c r="CJ397" s="119">
        <f t="shared" ca="1" si="342"/>
        <v>0</v>
      </c>
      <c r="CK397" s="115">
        <f t="shared" ca="1" si="343"/>
        <v>0</v>
      </c>
      <c r="CL397" s="115" t="b">
        <f ca="1">AND(模拟模式!$S$7="驱夷逐法",OR(AND(C397="净世破魔击·月",E396&gt;59),AND(C397="净世破魔击·日",F396&gt;59)))</f>
        <v>0</v>
      </c>
      <c r="CM397" s="115" t="b">
        <f ca="1">OR(CL397,AND(C397="净世破魔击·日",CL396,RAND()&lt;模拟模式!$U$23))</f>
        <v>0</v>
      </c>
      <c r="CN397" s="115" t="b">
        <f ca="1">IF(模拟模式!$M$7="辉耀红尘",AND(C397="净世破魔击·月",CL397,CV397=0,E396&lt;80),AND(C397="净世破魔击·月",CL397,E396&lt;100))</f>
        <v>0</v>
      </c>
      <c r="CO397" s="115" t="b">
        <f t="shared" ca="1" si="316"/>
        <v>0</v>
      </c>
      <c r="CP397" s="115" t="b">
        <f ca="1">AND(模拟模式!$O$7="用晦而明",OR(C397="净世破魔击·日",C397="净世破魔击·月",C397="驱夜断愁"),AB397)</f>
        <v>1</v>
      </c>
      <c r="CQ397" s="115" t="b">
        <f ca="1">OR(CP397,AND(CP396,RAND()&lt;模拟模式!$U$23))</f>
        <v>1</v>
      </c>
      <c r="CR397" s="115" t="b">
        <f ca="1">AND(模拟模式!$S$7="日月齐光",OR(C397="幽月轮1",C397="幽月轮2",C397="幽月轮3",CR396),NOT(OR(C397="赤日轮1",C397="赤日轮2",C397="赤日轮3")))</f>
        <v>0</v>
      </c>
      <c r="CS397" s="115" t="b">
        <f ca="1">AND(模拟模式!$S$7="日月齐光",OR(C397="赤日轮1",C397="赤日轮2",C397="赤日轮3",CS396),NOT(OR(C397="幽月轮1",C397="幽月轮2",C397="幽月轮3")))</f>
        <v>0</v>
      </c>
      <c r="CT397" s="115">
        <f t="shared" ca="1" si="344"/>
        <v>0</v>
      </c>
      <c r="CU397" s="115" t="b">
        <f ca="1">AND(模拟模式!$K$10="阴阳往极",CT396=0,RAND()&lt;IF(C397="净世破魔击·月",0.0275*7/3,IF(C397="净世破魔击·日",0.0275*3/3,0.0275*2/3)))</f>
        <v>0</v>
      </c>
      <c r="CV397" s="115">
        <f t="shared" ca="1" si="345"/>
        <v>0</v>
      </c>
      <c r="CW397" s="115">
        <f t="shared" ca="1" si="317"/>
        <v>0.46499999999999975</v>
      </c>
      <c r="CX397" s="115">
        <f t="shared" ca="1" si="318"/>
        <v>5.0774999999999997</v>
      </c>
      <c r="CY397" s="115">
        <f ca="1">MAX(IF($C397="驱夜断愁",IF(模拟模式!$R$7="万念俱寂",6,45),CY396-$F$4),0)</f>
        <v>6</v>
      </c>
      <c r="CZ397" s="115">
        <f t="shared" ca="1" si="319"/>
        <v>0</v>
      </c>
      <c r="DA397" s="115">
        <f ca="1">IF(模拟模式!$N$7="日月同辉",IF(DB396=2,0,MIN(6,IF(AND(OR(C397="赤日轮1",C397="赤日轮2",C397="赤日轮3",C397="幽月轮1",C397="幽月轮2",C397="幽月轮3"),AB397=1),DA396+1,DA396))),0)</f>
        <v>2</v>
      </c>
      <c r="DB397" s="115">
        <f t="shared" ca="1" si="320"/>
        <v>0</v>
      </c>
      <c r="DC397" s="115"/>
      <c r="DD397" s="115"/>
      <c r="DE397" s="115"/>
      <c r="DF397" s="115"/>
      <c r="DG397" s="115"/>
      <c r="DH397" s="115"/>
      <c r="DI397" s="115"/>
      <c r="DJ397" s="115"/>
      <c r="DK397" s="115"/>
      <c r="DL397" s="115"/>
      <c r="DM397" s="115"/>
    </row>
    <row r="398" spans="2:117" x14ac:dyDescent="0.2">
      <c r="B398" s="117">
        <f t="shared" si="321"/>
        <v>342.24750000000307</v>
      </c>
      <c r="C398" s="167" t="str">
        <f t="shared" ca="1" si="314"/>
        <v>烈日斩</v>
      </c>
      <c r="D398" s="115">
        <f ca="1">IF(C398="赤日轮1",1,IF(C398="赤日轮2",2,IF(C398="赤日轮3",3,IF(C398="幽月轮1",4,IF(C398="幽月轮2",5,IF(C398="幽月轮3",6,IF(C398="烈日斩",7,IF(C398="银月斩",8,IF(C398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398="净世破魔击·月",17,IF(C398="驱夜断愁",18,0)))))))))))</f>
        <v>7</v>
      </c>
      <c r="E398" s="115">
        <f ca="1">IF(AND(CU398,OR(C398="幽月轮1",C398="幽月轮2",C398="幽月轮3",C398="银月斩",C398="驱夜断愁",C398="净世破魔击·月")),100,MIN(IF(OR(CN398,BE398),0,IF(OR($C398="赤日轮1",$C398="赤日轮2",$C398="赤日轮3"),E397+20+IF(模拟模式!$I$7="日月凌天",4,0)+IF(CR397,20,0),IF($C398="烈日斩",E397+40,IF($C398="驱夜断愁",IF(模拟模式!$R$7="万念俱寂",E397+20,E397+60),IF($C398="净世破魔击·月",IF(OR(DB397&gt;0,CV397&gt;0),100,IF(模拟模式!$M$7="辉耀红尘",E397+20,E397)),IF($C398="净世破魔击·日",E397-100,E397)))))),100))</f>
        <v>80</v>
      </c>
      <c r="F398" s="115">
        <f ca="1">IF(AND(CU398,OR(C398="赤日轮1",C398="赤日轮2",C398="赤日轮3",C398="烈日斩",C398="净世破魔击·日")),100,MIN(IF(CO398,0,IF(OR($C398="幽月轮1",$C398="幽月轮2",$C398="幽月轮3"),F397+20+IF(模拟模式!$I$7="日月凌天",4,0)+IF(CS397,20,0),IF($C398="银月斩",F397+40+IF(模拟模式!$X$12=1,5,0),IF($C398="驱夜断愁",IF(模拟模式!$R$7="万念俱寂",F397+20,F397+60),IF($C398="净世破魔击·月",IF(模拟模式!$M$7="辉耀红尘",F397-80,F397-100),IF(AND(C398="净世破魔击·日",OR(DB397&gt;0,CV397&gt;0)),100,F397)))))),100))</f>
        <v>85</v>
      </c>
      <c r="G398" s="117">
        <f ca="1">('模拟-全程加成'!$E$3+'模拟-全程加成'!$E$4+'模拟-全程加成'!$E$5+('模拟-全程加成'!$C$6-'模拟-全程加成'!$C$3)*系数!$B$9+BS398*23)*(1+'模拟-全程加成'!$F$4+'模拟-全程加成'!$F$5+BJ398*10%+BM398*20%+BP398*4%+CG398*30%)+$F$7*系数!$B$12</f>
        <v>21493.829400000002</v>
      </c>
      <c r="H398" s="45">
        <f ca="1">'模拟-全程加成'!$H$3+'模拟-全程加成'!$H$4+'模拟-全程加成'!$H$5+('模拟-全程加成'!$G$4+'模拟-全程加成'!$G$5+('模拟-全程加成'!$C$6-'模拟-全程加成'!$C$3)*系数!$B$13)/系数!$B$3+LOOKUP(D398,'模拟-单技能数据'!$A$2:$A$19,'模拟-单技能数据'!$K$2:$K$19)+BG398*10%+IF(BV398&gt;0,378,0)</f>
        <v>0.56185145527300218</v>
      </c>
      <c r="I398" s="45">
        <f ca="1">'模拟-全程加成'!$J$3+'模拟-全程加成'!$J$4+'模拟-全程加成'!$J$5+('模拟-全程加成'!$I$4+'模拟-全程加成'!$I$5)/系数!$B$4+LOOKUP(D398,'模拟-单技能数据'!$A$2:$A$19,'模拟-单技能数据'!$L$2:$L$19)+BG398*10%</f>
        <v>2.2624828854998791</v>
      </c>
      <c r="J398" s="45">
        <f ca="1">(('模拟-全程加成'!$K$3+'模拟-全程加成'!$K$4+'模拟-全程加成'!$K$5+('模拟-全程加成'!$C$6-'模拟-全程加成'!$C$3)*系数!$B$10+IF(BV398&gt;0,882,0)+IF(BY398&gt;0,1831,0))*(1+'模拟-全程加成'!$L$4+'模拟-全程加成'!$L$5+CC398*20%))/系数!$B$5</f>
        <v>0.69723220422048726</v>
      </c>
      <c r="K398" s="119">
        <f ca="1">LOOKUP(D398,'模拟-单技能数据'!$A$2:$A$19,'模拟-单技能数据'!$J$2:$J$19)+IF(CM398,60%,0)+IF(DB397-DB398&gt;0,30%,0)+IF(OR(AND(OR(C398="赤日轮1",C398="赤日轮2",C398="赤日轮3"),CR398),AND(OR(C398="幽月轮1",C398="幽月轮2",C398="幽月轮3"),CS398)),35%,0)+CJ398</f>
        <v>0.24</v>
      </c>
      <c r="L398" s="119">
        <f ca="1">IF(AND(C398="烈日斩",模拟模式!$X$11=1),10%,0)+IF(AND(C398="驱夜断愁",AB398=1),30%,0)</f>
        <v>0.1</v>
      </c>
      <c r="M398" s="45">
        <f t="shared" ca="1" si="353"/>
        <v>0.56185145527300218</v>
      </c>
      <c r="N398" s="45">
        <f t="shared" ca="1" si="354"/>
        <v>0.38424854472699788</v>
      </c>
      <c r="O398" s="46">
        <f t="shared" ca="1" si="322"/>
        <v>0.11172998229798003</v>
      </c>
      <c r="P398" s="46" t="str">
        <f t="shared" ca="1" si="323"/>
        <v>会</v>
      </c>
      <c r="Q398" s="45">
        <f t="shared" ca="1" si="324"/>
        <v>2.2624828854998791</v>
      </c>
      <c r="R398" s="117">
        <f ca="1">模拟模式!$E$20*(1-IF(模拟模式!$J$19="有",0.15,0))*(1-IF(模拟模式!$K$19="有",0.3,0)-IF(CQ398,0.5,0))</f>
        <v>843.02999999999975</v>
      </c>
      <c r="S398" s="45">
        <f ca="1">R398/(R398+(185*模拟模式!$E$22-16800)*4.08224)</f>
        <v>8.389626085980037E-2</v>
      </c>
      <c r="T398" s="45" t="str">
        <f ca="1">LOOKUP(D398,'模拟-单技能数据'!$A$2:$A$19,'模拟-单技能数据'!$H$2:$H$19)</f>
        <v>阳</v>
      </c>
      <c r="U398" s="119">
        <f t="shared" ca="1" si="355"/>
        <v>0.2</v>
      </c>
      <c r="V398" s="47">
        <f ca="1">(1+L398)*(LOOKUP(D398,'模拟-单技能数据'!$A$2:$A$19,'模拟-单技能数据'!$D$2:$D$19)+G398*LOOKUP(D398,'模拟-单技能数据'!$A$2:$A$19,'模拟-单技能数据'!$F$2:$F$19))*(1+J398)*(1+K398)*(1-S398)*(1+U398)*Q398*LOOKUP(D398,'模拟-单技能数据'!$A$2:$A$19,'模拟-单技能数据'!$I$2:$I$20)</f>
        <v>110503.35617153208</v>
      </c>
      <c r="W398" s="47">
        <f ca="1">LOOKUP(D398,'模拟-单技能数据'!$A$2:$A$19,'模拟-单技能数据'!$G$2:$G$19)*$I$10</f>
        <v>361.51064354704795</v>
      </c>
      <c r="X398" s="47">
        <f t="shared" ca="1" si="325"/>
        <v>0</v>
      </c>
      <c r="Y398" s="47">
        <f t="shared" ca="1" si="356"/>
        <v>110864.86681507913</v>
      </c>
      <c r="Z398" s="49">
        <f t="shared" ca="1" si="357"/>
        <v>38789520.422601774</v>
      </c>
      <c r="AA398" s="97">
        <f t="shared" ca="1" si="358"/>
        <v>113337.62970540742</v>
      </c>
      <c r="AB398" s="115">
        <f ca="1">IF(OR(C398="赤日轮1",C398="赤日轮2",C398="赤日轮3"),IF(RAND()&lt;模拟模式!$Y$17,1,0),IF(OR(C398="幽月轮1",C398="幽月轮2",C398="幽月轮3"),IF(RAND()&lt;模拟模式!$Y$18,1,0),IF(C398="烈日斩",IF(RAND()&lt;模拟模式!$Y$19,1,0),IF(C398="银月斩",IF(RAND()&lt;模拟模式!$Y$20,1,0),IF(C398="驱夜断愁",IF(RAND()&lt;模拟模式!$Y$21,1,0),IF(C398="净世破魔击·日",IF(RAND()&lt;模拟模式!$Y$22,1,0),IF(C398="净世破魔击·月",IF(RAND()&lt;模拟模式!$Y$23,1,0),0)))))))</f>
        <v>1</v>
      </c>
      <c r="AC398" s="115" t="b">
        <f t="shared" ca="1" si="346"/>
        <v>0</v>
      </c>
      <c r="AD398" s="115" t="b">
        <f t="shared" ca="1" si="366"/>
        <v>0</v>
      </c>
      <c r="AE398" s="115">
        <f t="shared" ca="1" si="367"/>
        <v>5</v>
      </c>
      <c r="AF398" s="47">
        <f ca="1">IF(AC398,('模拟-单技能数据'!$D$20+G398*'模拟-单技能数据'!$F$20)*(1+J398)*(1+'模拟-单技能数据'!$J$20)*(1+U398),0)</f>
        <v>0</v>
      </c>
      <c r="AG398" s="61">
        <f t="shared" ca="1" si="359"/>
        <v>0.64185145527300214</v>
      </c>
      <c r="AH398" s="61">
        <f t="shared" ca="1" si="360"/>
        <v>2.2624828854998791</v>
      </c>
      <c r="AI398" s="62">
        <f t="shared" ca="1" si="326"/>
        <v>0.99135229549324511</v>
      </c>
      <c r="AJ398" s="47">
        <f ca="1">IF(AD398,IF(AI398&lt;$F$10,0,IF(AI398&lt;$F$10+$F$11,0.25,IF(AI398&lt;$F$10+$F$11+AG398,AH398,1)))*IF(AF398&gt;0,AF398,IF(AF397&gt;0,AF397,IF(AF396&gt;0,AF396,IF(AF395&gt;0,AF395,IF(AF394&gt;0,AF394,IF(AF393&gt;0,AF393,IF(AF392&gt;0,AF392,IF(AF391&gt;0,AF391,IF(AF390&gt;0,AF390,IF(AF388&gt;0,AF388,IF(AF387&gt;0,AF387,IF(AF386&gt;0,AF386,0)))))))))))),0)*(1-$S398)*'模拟-单技能数据'!$I$20</f>
        <v>0</v>
      </c>
      <c r="AK398" s="115" t="b">
        <f t="shared" ca="1" si="347"/>
        <v>0</v>
      </c>
      <c r="AL398" s="115" t="b">
        <f t="shared" ca="1" si="368"/>
        <v>0</v>
      </c>
      <c r="AM398" s="115">
        <f t="shared" ca="1" si="369"/>
        <v>4</v>
      </c>
      <c r="AN398" s="47">
        <f ca="1">IF(AK398,('模拟-单技能数据'!$D$21+G398*'模拟-单技能数据'!$F$21)*(1+J398)*(1+'模拟-单技能数据'!$J$21)*(1+U398),0)</f>
        <v>0</v>
      </c>
      <c r="AO398" s="61">
        <f ca="1">IF(AN398&gt;0,M398-'模拟-单技能数据'!$K$10,AO397)</f>
        <v>0.42185145527300216</v>
      </c>
      <c r="AP398" s="61">
        <f ca="1">IF(AN398&gt;0,I398-'模拟-单技能数据'!$L$10,AP397)</f>
        <v>2.162482885499879</v>
      </c>
      <c r="AQ398" s="63">
        <f t="shared" ca="1" si="327"/>
        <v>0.8712466677469588</v>
      </c>
      <c r="AR398" s="64">
        <f ca="1">IF(AL398,IF(AQ398&lt;$F$10,0,IF(AQ398&lt;$F$10+$F$11,0.25,IF(AQ398&lt;$F$10+$F$11+AO398,AP398,1)))*IF(AN398&gt;0,AN398,IF(AN397&gt;0,AN397,IF(AN396&gt;0,AN396,IF(AN395&gt;0,AN395,IF(AN394&gt;0,AN394,IF(AN393&gt;0,AN393,IF(AN392&gt;0,AN392,IF(AN391&gt;0,AN391,IF(AN390&gt;0,AN390,IF(AN388&gt;0,AN388,IF(AN387&gt;0,AN387,IF(AN386&gt;0,AN386,0)))))))))))),0)*(1-$S398)*'模拟-单技能数据'!$I$21</f>
        <v>0</v>
      </c>
      <c r="AS398" s="61">
        <f ca="1">IF(OR(C398="净世破魔击·日",C398="净世破魔击·月"),M398-'模拟-单技能数据'!$K$10,0)</f>
        <v>0</v>
      </c>
      <c r="AT398" s="61">
        <f ca="1">IF(OR(C398="净世破魔击·日",C398="净世破魔击·月"),I398-'模拟-单技能数据'!$L$10,0)</f>
        <v>0</v>
      </c>
      <c r="AU398" s="62">
        <f t="shared" ca="1" si="328"/>
        <v>0.72390962519017743</v>
      </c>
      <c r="AV398" s="64">
        <f ca="1">IF(AS398&gt;0,('模拟-单技能数据'!$D$22+G398*'模拟-单技能数据'!$F$22)*(1+J398)*(1-S398)*IF(AU398&lt;$F$10,0,IF(AU398&lt;$F$10+$F$11,0.25,IF(AU398&lt;$F$10+$F$11+AS398,AT398,1)))*(1+U398),0)*'模拟-单技能数据'!$I$22</f>
        <v>0</v>
      </c>
      <c r="AW398" s="108">
        <f t="shared" ca="1" si="329"/>
        <v>8.0075000000000074</v>
      </c>
      <c r="AX398" s="108" t="b">
        <f ca="1">AND(模拟模式!$P$10="有",AW397=0,RAND()&lt;IF(C398="净世破魔击·月",0.1*8/3,IF(C398="净世破魔击·日",0.1*4/3,0.1*2/3)))</f>
        <v>0</v>
      </c>
      <c r="AY398" s="47">
        <f ca="1">IF(AX398,(18+G398*0.722)*(1+J398)*(1-S398)*(1+$I$4)*IF(P398="会",'模拟-全程加成'!$J$3+'模拟-全程加成'!$J$4+'模拟-全程加成'!$J$5+('模拟-全程加成'!$I$4+'模拟-全程加成'!$I$5)/系数!$B$4+BG398*10%,IF(P398="命",1,IF(P398="识",0.25,0))),0)</f>
        <v>0</v>
      </c>
      <c r="AZ398" s="108">
        <f t="shared" si="330"/>
        <v>2.4725000000000064</v>
      </c>
      <c r="BA398" s="108" t="b">
        <f>AND(模拟模式!$Q$10="有",AZ397=0)</f>
        <v>0</v>
      </c>
      <c r="BB398" s="140">
        <f>IF(BA398,(0+G398*0.287)*(1+J398)*(1-S398)*(1+$I$4)*IF(P398="会",'模拟-全程加成'!$J$3+'模拟-全程加成'!$J$4+'模拟-全程加成'!$J$5+('模拟-全程加成'!$I$4+'模拟-全程加成'!$I$5)/系数!$B$4+BG398*10%,IF(P398="命",1,IF(P398="识",0.25,0))),0)</f>
        <v>0</v>
      </c>
      <c r="BC398" s="115" t="b">
        <f ca="1">AND(模拟模式!$R$7="伏明众生",E398=60,F398=20,DA398&lt;5,CZ397&lt;$F$4)</f>
        <v>0</v>
      </c>
      <c r="BD398" s="115">
        <f t="shared" ca="1" si="348"/>
        <v>0</v>
      </c>
      <c r="BE398" s="115" t="b">
        <f t="shared" ca="1" si="349"/>
        <v>0</v>
      </c>
      <c r="BF398" s="47">
        <f ca="1">IF(BC398,4*('模拟-单技能数据'!$D$24+G398*'模拟-单技能数据'!$F$24)*(1+J398)*(1+'模拟-单技能数据'!$J$24)*(1-S398)*(1+$I$3)*(('模拟-全程加成'!$J$3+'模拟-全程加成'!$J$4+'模拟-全程加成'!$J$5+('模拟-全程加成'!$I$4+'模拟-全程加成'!$I$5)/系数!$B$4+BG398*10%)*('模拟-全程加成'!$J$3+'模拟-全程加成'!$J$4+'模拟-全程加成'!$J$5+('模拟-全程加成'!$I$4+'模拟-全程加成'!$I$5)/系数!$B$4+BG398*10%)+(1-('模拟-全程加成'!$J$3+'模拟-全程加成'!$J$4+'模拟-全程加成'!$J$5+('模拟-全程加成'!$I$4+'模拟-全程加成'!$I$5)/系数!$B$4+BG398*10%)-$F$10-$F$11)+F384*0.25),0)*'模拟-单技能数据'!$I$24</f>
        <v>0</v>
      </c>
      <c r="BG398" s="115" t="b">
        <f ca="1">OR(AND(OR(C398="烈日斩",C398="银月斩"),模拟模式!$I$7="净身明礼"),AND(C398="净世破魔击·日",模拟模式!$J$7="洞若观火"),AND(C399="净世破魔击·月",模拟模式!$J$7="洞若观火"),AB398=1)</f>
        <v>1</v>
      </c>
      <c r="BH398" s="115" t="b">
        <f t="shared" ca="1" si="331"/>
        <v>1</v>
      </c>
      <c r="BI398" s="115">
        <f t="shared" ca="1" si="350"/>
        <v>6</v>
      </c>
      <c r="BJ398" s="115" t="b">
        <f t="shared" ca="1" si="361"/>
        <v>1</v>
      </c>
      <c r="BK398" s="115" t="b">
        <f ca="1">AND(C398="驱夜断愁",模拟模式!$P$7="天地诛戮")</f>
        <v>0</v>
      </c>
      <c r="BL398" s="57">
        <f t="shared" ca="1" si="351"/>
        <v>19.077500000000001</v>
      </c>
      <c r="BM398" s="115" t="b">
        <f t="shared" ca="1" si="362"/>
        <v>1</v>
      </c>
      <c r="BN398" s="115" t="b">
        <f ca="1">AND(OR(C398="赤日轮1",C398="赤日轮2",C398="赤日轮3",C398="幽月轮1",C398="幽月轮2",C398="幽月轮3"),AB398=1,模拟模式!$L$7="明光恒照")</f>
        <v>0</v>
      </c>
      <c r="BO398" s="117">
        <f t="shared" ca="1" si="352"/>
        <v>27.232500000000002</v>
      </c>
      <c r="BP398" s="115">
        <f t="shared" ca="1" si="332"/>
        <v>6</v>
      </c>
      <c r="BQ398" s="115" t="b">
        <f>模拟模式!$K$10="2600·水"</f>
        <v>0</v>
      </c>
      <c r="BR398" s="117">
        <f t="shared" si="333"/>
        <v>0</v>
      </c>
      <c r="BS398" s="115">
        <f t="shared" si="334"/>
        <v>0</v>
      </c>
      <c r="BT398" s="115">
        <f t="shared" ca="1" si="335"/>
        <v>0</v>
      </c>
      <c r="BU398" s="115" t="b">
        <f ca="1">AND(模拟模式!$K$10="2300·雷",BT397=0,RAND()&lt;IF(C398="净世破魔击·月",5*0.05*2/3,IF(C398="净世破魔击·日",3*0.05*2/3,0.05*2*2/3)))</f>
        <v>0</v>
      </c>
      <c r="BV398" s="115">
        <f t="shared" ca="1" si="336"/>
        <v>0</v>
      </c>
      <c r="BW398" s="115">
        <f t="shared" ca="1" si="337"/>
        <v>29.632499999999297</v>
      </c>
      <c r="BX398" s="164" t="b">
        <f t="shared" ca="1" si="338"/>
        <v>0</v>
      </c>
      <c r="BY398" s="115">
        <f t="shared" ca="1" si="339"/>
        <v>0</v>
      </c>
      <c r="BZ398" s="115">
        <f>IF(OR(模拟模式!$P$16="10人团",模拟模式!$P$16="25人团"),IF(B398/30&gt;CA397,1,0),0)</f>
        <v>0</v>
      </c>
      <c r="CA398" s="115">
        <f t="shared" si="315"/>
        <v>0</v>
      </c>
      <c r="CB398" s="115">
        <f ca="1">IF(BZ398=1,IF(模拟模式!$P$16="10人团",15,0)+IF(模拟模式!$P$16="25人团",IF(RAND()&lt;0.6,15,0)),MAX(0,CB397-$F$4))</f>
        <v>0</v>
      </c>
      <c r="CC398" s="115" t="b">
        <f t="shared" ca="1" si="363"/>
        <v>0</v>
      </c>
      <c r="CD398" s="115">
        <f>IF(模拟模式!$Q$16="1个",IF(B398/40&gt;CE397,1,0),0)</f>
        <v>0</v>
      </c>
      <c r="CE398" s="115">
        <f t="shared" si="364"/>
        <v>0</v>
      </c>
      <c r="CF398" s="115">
        <f>IF(OR(CD398=1,模拟模式!$Q$16="2个"),20,MAX(0,CF397-$F$4))</f>
        <v>0</v>
      </c>
      <c r="CG398" s="115" t="b">
        <f t="shared" si="365"/>
        <v>0</v>
      </c>
      <c r="CH398" s="115">
        <f t="shared" ca="1" si="340"/>
        <v>0</v>
      </c>
      <c r="CI398" s="115" t="b">
        <f t="shared" ca="1" si="341"/>
        <v>0</v>
      </c>
      <c r="CJ398" s="119">
        <f t="shared" ca="1" si="342"/>
        <v>0</v>
      </c>
      <c r="CK398" s="115">
        <f t="shared" ca="1" si="343"/>
        <v>0</v>
      </c>
      <c r="CL398" s="115" t="b">
        <f ca="1">AND(模拟模式!$S$7="驱夷逐法",OR(AND(C398="净世破魔击·月",E397&gt;59),AND(C398="净世破魔击·日",F397&gt;59)))</f>
        <v>0</v>
      </c>
      <c r="CM398" s="115" t="b">
        <f ca="1">OR(CL398,AND(C398="净世破魔击·日",CL397,RAND()&lt;模拟模式!$U$23))</f>
        <v>0</v>
      </c>
      <c r="CN398" s="115" t="b">
        <f ca="1">IF(模拟模式!$M$7="辉耀红尘",AND(C398="净世破魔击·月",CL398,CV398=0,E397&lt;80),AND(C398="净世破魔击·月",CL398,E397&lt;100))</f>
        <v>0</v>
      </c>
      <c r="CO398" s="115" t="b">
        <f t="shared" ca="1" si="316"/>
        <v>0</v>
      </c>
      <c r="CP398" s="115" t="b">
        <f ca="1">AND(模拟模式!$O$7="用晦而明",OR(C398="净世破魔击·日",C398="净世破魔击·月",C398="驱夜断愁"),AB398)</f>
        <v>0</v>
      </c>
      <c r="CQ398" s="115" t="b">
        <f ca="1">OR(CP398,AND(CP397,RAND()&lt;模拟模式!$U$23))</f>
        <v>1</v>
      </c>
      <c r="CR398" s="115" t="b">
        <f ca="1">AND(模拟模式!$S$7="日月齐光",OR(C398="幽月轮1",C398="幽月轮2",C398="幽月轮3",CR397),NOT(OR(C398="赤日轮1",C398="赤日轮2",C398="赤日轮3")))</f>
        <v>0</v>
      </c>
      <c r="CS398" s="115" t="b">
        <f ca="1">AND(模拟模式!$S$7="日月齐光",OR(C398="赤日轮1",C398="赤日轮2",C398="赤日轮3",CS397),NOT(OR(C398="幽月轮1",C398="幽月轮2",C398="幽月轮3")))</f>
        <v>0</v>
      </c>
      <c r="CT398" s="115">
        <f t="shared" ca="1" si="344"/>
        <v>0</v>
      </c>
      <c r="CU398" s="115" t="b">
        <f ca="1">AND(模拟模式!$K$10="阴阳往极",CT397=0,RAND()&lt;IF(C398="净世破魔击·月",0.0275*7/3,IF(C398="净世破魔击·日",0.0275*3/3,0.0275*2/3)))</f>
        <v>0</v>
      </c>
      <c r="CV398" s="115">
        <f t="shared" ca="1" si="345"/>
        <v>0</v>
      </c>
      <c r="CW398" s="115">
        <f t="shared" ca="1" si="317"/>
        <v>6</v>
      </c>
      <c r="CX398" s="115">
        <f t="shared" ca="1" si="318"/>
        <v>4.1549999999999994</v>
      </c>
      <c r="CY398" s="115">
        <f ca="1">MAX(IF($C398="驱夜断愁",IF(模拟模式!$R$7="万念俱寂",6,45),CY397-$F$4),0)</f>
        <v>5.0774999999999997</v>
      </c>
      <c r="CZ398" s="115">
        <f t="shared" ca="1" si="319"/>
        <v>0</v>
      </c>
      <c r="DA398" s="115">
        <f ca="1">IF(模拟模式!$N$7="日月同辉",IF(DB397=2,0,MIN(6,IF(AND(OR(C398="赤日轮1",C398="赤日轮2",C398="赤日轮3",C398="幽月轮1",C398="幽月轮2",C398="幽月轮3"),AB398=1),DA397+1,DA397))),0)</f>
        <v>2</v>
      </c>
      <c r="DB398" s="115">
        <f t="shared" ca="1" si="320"/>
        <v>0</v>
      </c>
      <c r="DC398" s="115"/>
      <c r="DD398" s="115"/>
      <c r="DE398" s="115"/>
      <c r="DF398" s="115"/>
      <c r="DG398" s="115"/>
      <c r="DH398" s="115"/>
      <c r="DI398" s="115"/>
      <c r="DJ398" s="115"/>
      <c r="DK398" s="115"/>
      <c r="DL398" s="115"/>
      <c r="DM398" s="115"/>
    </row>
    <row r="399" spans="2:117" x14ac:dyDescent="0.2">
      <c r="B399" s="117">
        <f t="shared" si="321"/>
        <v>343.17000000000309</v>
      </c>
      <c r="C399" s="167" t="str">
        <f t="shared" ca="1" si="314"/>
        <v>幽月轮1</v>
      </c>
      <c r="D399" s="115">
        <f ca="1">IF(C399="赤日轮1",1,IF(C399="赤日轮2",2,IF(C399="赤日轮3",3,IF(C399="幽月轮1",4,IF(C399="幽月轮2",5,IF(C399="幽月轮3",6,IF(C399="烈日斩",7,IF(C399="银月斩",8,IF(C399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399="净世破魔击·月",17,IF(C399="驱夜断愁",18,0)))))))))))</f>
        <v>4</v>
      </c>
      <c r="E399" s="115">
        <f ca="1">IF(AND(CU399,OR(C399="幽月轮1",C399="幽月轮2",C399="幽月轮3",C399="银月斩",C399="驱夜断愁",C399="净世破魔击·月")),100,MIN(IF(OR(CN399,BE399),0,IF(OR($C399="赤日轮1",$C399="赤日轮2",$C399="赤日轮3"),E398+20+IF(模拟模式!$I$7="日月凌天",4,0)+IF(CR398,20,0),IF($C399="烈日斩",E398+40,IF($C399="驱夜断愁",IF(模拟模式!$R$7="万念俱寂",E398+20,E398+60),IF($C399="净世破魔击·月",IF(OR(DB398&gt;0,CV398&gt;0),100,IF(模拟模式!$M$7="辉耀红尘",E398+20,E398)),IF($C399="净世破魔击·日",E398-100,E398)))))),100))</f>
        <v>80</v>
      </c>
      <c r="F399" s="115">
        <f ca="1">IF(AND(CU399,OR(C399="赤日轮1",C399="赤日轮2",C399="赤日轮3",C399="烈日斩",C399="净世破魔击·日")),100,MIN(IF(CO399,0,IF(OR($C399="幽月轮1",$C399="幽月轮2",$C399="幽月轮3"),F398+20+IF(模拟模式!$I$7="日月凌天",4,0)+IF(CS398,20,0),IF($C399="银月斩",F398+40+IF(模拟模式!$X$12=1,5,0),IF($C399="驱夜断愁",IF(模拟模式!$R$7="万念俱寂",F398+20,F398+60),IF($C399="净世破魔击·月",IF(模拟模式!$M$7="辉耀红尘",F398-80,F398-100),IF(AND(C399="净世破魔击·日",OR(DB398&gt;0,CV398&gt;0)),100,F398)))))),100))</f>
        <v>100</v>
      </c>
      <c r="G399" s="117">
        <f ca="1">('模拟-全程加成'!$E$3+'模拟-全程加成'!$E$4+'模拟-全程加成'!$E$5+('模拟-全程加成'!$C$6-'模拟-全程加成'!$C$3)*系数!$B$9+BS399*23)*(1+'模拟-全程加成'!$F$4+'模拟-全程加成'!$F$5+BJ399*10%+BM399*20%+BP399*4%+CG399*30%)+$F$7*系数!$B$12</f>
        <v>21493.829400000002</v>
      </c>
      <c r="H399" s="45">
        <f ca="1">'模拟-全程加成'!$H$3+'模拟-全程加成'!$H$4+'模拟-全程加成'!$H$5+('模拟-全程加成'!$G$4+'模拟-全程加成'!$G$5+('模拟-全程加成'!$C$6-'模拟-全程加成'!$C$3)*系数!$B$13)/系数!$B$3+LOOKUP(D399,'模拟-单技能数据'!$A$2:$A$19,'模拟-单技能数据'!$K$2:$K$19)+BG399*10%+IF(BV399&gt;0,378,0)</f>
        <v>0.51185145527300213</v>
      </c>
      <c r="I399" s="45">
        <f ca="1">'模拟-全程加成'!$J$3+'模拟-全程加成'!$J$4+'模拟-全程加成'!$J$5+('模拟-全程加成'!$I$4+'模拟-全程加成'!$I$5)/系数!$B$4+LOOKUP(D399,'模拟-单技能数据'!$A$2:$A$19,'模拟-单技能数据'!$L$2:$L$19)+BG399*10%</f>
        <v>2.162482885499879</v>
      </c>
      <c r="J399" s="45">
        <f ca="1">(('模拟-全程加成'!$K$3+'模拟-全程加成'!$K$4+'模拟-全程加成'!$K$5+('模拟-全程加成'!$C$6-'模拟-全程加成'!$C$3)*系数!$B$10+IF(BV399&gt;0,882,0)+IF(BY399&gt;0,1831,0))*(1+'模拟-全程加成'!$L$4+'模拟-全程加成'!$L$5+CC399*20%))/系数!$B$5</f>
        <v>0.69723220422048726</v>
      </c>
      <c r="K399" s="119">
        <f ca="1">LOOKUP(D399,'模拟-单技能数据'!$A$2:$A$19,'模拟-单技能数据'!$J$2:$J$19)+IF(CM399,60%,0)+IF(DB398-DB399&gt;0,30%,0)+IF(OR(AND(OR(C399="赤日轮1",C399="赤日轮2",C399="赤日轮3"),CR399),AND(OR(C399="幽月轮1",C399="幽月轮2",C399="幽月轮3"),CS399)),35%,0)+CJ399</f>
        <v>0.12000000000000001</v>
      </c>
      <c r="L399" s="119">
        <f ca="1">IF(AND(C399="烈日斩",模拟模式!$X$11=1),10%,0)+IF(AND(C399="驱夜断愁",AB399=1),30%,0)</f>
        <v>0</v>
      </c>
      <c r="M399" s="45">
        <f t="shared" ca="1" si="353"/>
        <v>0.51185145527300213</v>
      </c>
      <c r="N399" s="45">
        <f t="shared" ca="1" si="354"/>
        <v>0.43424854472699792</v>
      </c>
      <c r="O399" s="46">
        <f t="shared" ca="1" si="322"/>
        <v>0.11664981215473302</v>
      </c>
      <c r="P399" s="46" t="str">
        <f t="shared" ca="1" si="323"/>
        <v>会</v>
      </c>
      <c r="Q399" s="45">
        <f t="shared" ca="1" si="324"/>
        <v>2.162482885499879</v>
      </c>
      <c r="R399" s="117">
        <f ca="1">模拟模式!$E$20*(1-IF(模拟模式!$J$19="有",0.15,0))*(1-IF(模拟模式!$K$19="有",0.3,0)-IF(CQ399,0.5,0))</f>
        <v>2950.6049999999996</v>
      </c>
      <c r="S399" s="45">
        <f ca="1">R399/(R399+(185*模拟模式!$E$22-16800)*4.08224)</f>
        <v>0.24272716014590323</v>
      </c>
      <c r="T399" s="45" t="str">
        <f ca="1">LOOKUP(D399,'模拟-单技能数据'!$A$2:$A$19,'模拟-单技能数据'!$H$2:$H$19)</f>
        <v>阴</v>
      </c>
      <c r="U399" s="119">
        <f t="shared" ca="1" si="355"/>
        <v>0.08</v>
      </c>
      <c r="V399" s="47">
        <f ca="1">(1+L399)*(LOOKUP(D399,'模拟-单技能数据'!$A$2:$A$19,'模拟-单技能数据'!$D$2:$D$19)+G399*LOOKUP(D399,'模拟-单技能数据'!$A$2:$A$19,'模拟-单技能数据'!$F$2:$F$19))*(1+J399)*(1+K399)*(1-S399)*(1+U399)*Q399*LOOKUP(D399,'模拟-单技能数据'!$A$2:$A$19,'模拟-单技能数据'!$I$2:$I$20)</f>
        <v>38342.417102399864</v>
      </c>
      <c r="W399" s="47">
        <f ca="1">LOOKUP(D399,'模拟-单技能数据'!$A$2:$A$19,'模拟-单技能数据'!$G$2:$G$19)*$I$10</f>
        <v>361.51064354704795</v>
      </c>
      <c r="X399" s="47">
        <f t="shared" ca="1" si="325"/>
        <v>27495.301292182321</v>
      </c>
      <c r="Y399" s="47">
        <f t="shared" ca="1" si="356"/>
        <v>66199.229038129241</v>
      </c>
      <c r="Z399" s="49">
        <f t="shared" ca="1" si="357"/>
        <v>38855719.651639901</v>
      </c>
      <c r="AA399" s="97">
        <f t="shared" ca="1" si="358"/>
        <v>113225.8637166406</v>
      </c>
      <c r="AB399" s="115">
        <f ca="1">IF(OR(C399="赤日轮1",C399="赤日轮2",C399="赤日轮3"),IF(RAND()&lt;模拟模式!$Y$17,1,0),IF(OR(C399="幽月轮1",C399="幽月轮2",C399="幽月轮3"),IF(RAND()&lt;模拟模式!$Y$18,1,0),IF(C399="烈日斩",IF(RAND()&lt;模拟模式!$Y$19,1,0),IF(C399="银月斩",IF(RAND()&lt;模拟模式!$Y$20,1,0),IF(C399="驱夜断愁",IF(RAND()&lt;模拟模式!$Y$21,1,0),IF(C399="净世破魔击·日",IF(RAND()&lt;模拟模式!$Y$22,1,0),IF(C399="净世破魔击·月",IF(RAND()&lt;模拟模式!$Y$23,1,0),0)))))))</f>
        <v>1</v>
      </c>
      <c r="AC399" s="115" t="b">
        <f t="shared" ca="1" si="346"/>
        <v>0</v>
      </c>
      <c r="AD399" s="115" t="b">
        <f t="shared" ca="1" si="366"/>
        <v>1</v>
      </c>
      <c r="AE399" s="115">
        <f t="shared" ca="1" si="367"/>
        <v>4</v>
      </c>
      <c r="AF399" s="47">
        <f ca="1">IF(AC399,('模拟-单技能数据'!$D$20+G399*'模拟-单技能数据'!$F$20)*(1+J399)*(1+'模拟-单技能数据'!$J$20)*(1+U399),0)</f>
        <v>0</v>
      </c>
      <c r="AG399" s="61">
        <f t="shared" ca="1" si="359"/>
        <v>0.64185145527300214</v>
      </c>
      <c r="AH399" s="61">
        <f t="shared" ca="1" si="360"/>
        <v>2.2624828854998791</v>
      </c>
      <c r="AI399" s="62">
        <f t="shared" ca="1" si="326"/>
        <v>0.3346339775672672</v>
      </c>
      <c r="AJ399" s="47">
        <f ca="1">IF(AD399,IF(AI399&lt;$F$10,0,IF(AI399&lt;$F$10+$F$11,0.25,IF(AI399&lt;$F$10+$F$11+AG399,AH399,1)))*IF(AF399&gt;0,AF399,IF(AF398&gt;0,AF398,IF(AF397&gt;0,AF397,IF(AF396&gt;0,AF396,IF(AF395&gt;0,AF395,IF(AF394&gt;0,AF394,IF(AF393&gt;0,AF393,IF(AF392&gt;0,AF392,IF(AF391&gt;0,AF391,IF(AF389&gt;0,AF389,IF(AF388&gt;0,AF388,IF(AF387&gt;0,AF387,0)))))))))))),0)*(1-$S399)*'模拟-单技能数据'!$I$20</f>
        <v>7620.5875385322679</v>
      </c>
      <c r="AK399" s="115" t="b">
        <f t="shared" ca="1" si="347"/>
        <v>0</v>
      </c>
      <c r="AL399" s="115" t="b">
        <f t="shared" ca="1" si="368"/>
        <v>1</v>
      </c>
      <c r="AM399" s="115">
        <f t="shared" ca="1" si="369"/>
        <v>3</v>
      </c>
      <c r="AN399" s="47">
        <f ca="1">IF(AK399,('模拟-单技能数据'!$D$21+G399*'模拟-单技能数据'!$F$21)*(1+J399)*(1+'模拟-单技能数据'!$J$21)*(1+U399),0)</f>
        <v>0</v>
      </c>
      <c r="AO399" s="61">
        <f ca="1">IF(AN399&gt;0,M399-'模拟-单技能数据'!$K$10,AO398)</f>
        <v>0.42185145527300216</v>
      </c>
      <c r="AP399" s="61">
        <f ca="1">IF(AN399&gt;0,I399-'模拟-单技能数据'!$L$10,AP398)</f>
        <v>2.162482885499879</v>
      </c>
      <c r="AQ399" s="63">
        <f t="shared" ca="1" si="327"/>
        <v>0.43742595264224393</v>
      </c>
      <c r="AR399" s="64">
        <f ca="1">IF(AL399,IF(AQ399&lt;$F$10,0,IF(AQ399&lt;$F$10+$F$11,0.25,IF(AQ399&lt;$F$10+$F$11+AO399,AP399,1)))*IF(AN399&gt;0,AN399,IF(AN398&gt;0,AN398,IF(AN397&gt;0,AN397,IF(AN396&gt;0,AN396,IF(AN395&gt;0,AN395,IF(AN394&gt;0,AN394,IF(AN393&gt;0,AN393,IF(AN392&gt;0,AN392,IF(AN391&gt;0,AN391,IF(AN389&gt;0,AN389,IF(AN388&gt;0,AN388,IF(AN387&gt;0,AN387,0)))))))))))),0)*(1-$S399)*'模拟-单技能数据'!$I$21</f>
        <v>19874.713753650052</v>
      </c>
      <c r="AS399" s="61">
        <f ca="1">IF(OR(C399="净世破魔击·日",C399="净世破魔击·月"),M399-'模拟-单技能数据'!$K$10,0)</f>
        <v>0</v>
      </c>
      <c r="AT399" s="61">
        <f ca="1">IF(OR(C399="净世破魔击·日",C399="净世破魔击·月"),I399-'模拟-单技能数据'!$L$10,0)</f>
        <v>0</v>
      </c>
      <c r="AU399" s="62">
        <f t="shared" ca="1" si="328"/>
        <v>0.73646295607055356</v>
      </c>
      <c r="AV399" s="64">
        <f ca="1">IF(AS399&gt;0,('模拟-单技能数据'!$D$22+G399*'模拟-单技能数据'!$F$22)*(1+J399)*(1-S399)*IF(AU399&lt;$F$10,0,IF(AU399&lt;$F$10+$F$11,0.25,IF(AU399&lt;$F$10+$F$11+AS399,AT399,1)))*(1+U399),0)*'模拟-单技能数据'!$I$22</f>
        <v>0</v>
      </c>
      <c r="AW399" s="108">
        <f t="shared" ca="1" si="329"/>
        <v>7.0850000000000071</v>
      </c>
      <c r="AX399" s="108" t="b">
        <f ca="1">AND(模拟模式!$P$10="有",AW398=0,RAND()&lt;IF(C399="净世破魔击·月",0.1*8/3,IF(C399="净世破魔击·日",0.1*4/3,0.1*2/3)))</f>
        <v>0</v>
      </c>
      <c r="AY399" s="47">
        <f ca="1">IF(AX399,(18+G399*0.722)*(1+J399)*(1-S399)*(1+$I$4)*IF(P399="会",'模拟-全程加成'!$J$3+'模拟-全程加成'!$J$4+'模拟-全程加成'!$J$5+('模拟-全程加成'!$I$4+'模拟-全程加成'!$I$5)/系数!$B$4+BG399*10%,IF(P399="命",1,IF(P399="识",0.25,0))),0)</f>
        <v>0</v>
      </c>
      <c r="AZ399" s="108">
        <f t="shared" si="330"/>
        <v>1.5500000000000065</v>
      </c>
      <c r="BA399" s="108" t="b">
        <f>AND(模拟模式!$Q$10="有",AZ398=0)</f>
        <v>0</v>
      </c>
      <c r="BB399" s="140">
        <f>IF(BA399,(0+G399*0.287)*(1+J399)*(1-S399)*(1+$I$4)*IF(P399="会",'模拟-全程加成'!$J$3+'模拟-全程加成'!$J$4+'模拟-全程加成'!$J$5+('模拟-全程加成'!$I$4+'模拟-全程加成'!$I$5)/系数!$B$4+BG399*10%,IF(P399="命",1,IF(P399="识",0.25,0))),0)</f>
        <v>0</v>
      </c>
      <c r="BC399" s="115" t="b">
        <f ca="1">AND(模拟模式!$R$7="伏明众生",E399=60,F399=20,DA399&lt;5,CZ398&lt;$F$4)</f>
        <v>0</v>
      </c>
      <c r="BD399" s="115">
        <f t="shared" ca="1" si="348"/>
        <v>0</v>
      </c>
      <c r="BE399" s="115" t="b">
        <f t="shared" ca="1" si="349"/>
        <v>0</v>
      </c>
      <c r="BF399" s="47">
        <f ca="1">IF(BC399,4*('模拟-单技能数据'!$D$24+G399*'模拟-单技能数据'!$F$24)*(1+J399)*(1+'模拟-单技能数据'!$J$24)*(1-S399)*(1+$I$3)*(('模拟-全程加成'!$J$3+'模拟-全程加成'!$J$4+'模拟-全程加成'!$J$5+('模拟-全程加成'!$I$4+'模拟-全程加成'!$I$5)/系数!$B$4+BG399*10%)*('模拟-全程加成'!$J$3+'模拟-全程加成'!$J$4+'模拟-全程加成'!$J$5+('模拟-全程加成'!$I$4+'模拟-全程加成'!$I$5)/系数!$B$4+BG399*10%)+(1-('模拟-全程加成'!$J$3+'模拟-全程加成'!$J$4+'模拟-全程加成'!$J$5+('模拟-全程加成'!$I$4+'模拟-全程加成'!$I$5)/系数!$B$4+BG399*10%)-$F$10-$F$11)+F385*0.25),0)*'模拟-单技能数据'!$I$24</f>
        <v>0</v>
      </c>
      <c r="BG399" s="115" t="b">
        <f ca="1">OR(AND(OR(C399="烈日斩",C399="银月斩"),模拟模式!$I$7="净身明礼"),AND(C399="净世破魔击·日",模拟模式!$J$7="洞若观火"),AND(C400="净世破魔击·月",模拟模式!$J$7="洞若观火"),AB399=1)</f>
        <v>1</v>
      </c>
      <c r="BH399" s="115" t="b">
        <f t="shared" ca="1" si="331"/>
        <v>0</v>
      </c>
      <c r="BI399" s="115">
        <f t="shared" ca="1" si="350"/>
        <v>5.0774999999999997</v>
      </c>
      <c r="BJ399" s="115" t="b">
        <f t="shared" ca="1" si="361"/>
        <v>1</v>
      </c>
      <c r="BK399" s="115" t="b">
        <f ca="1">AND(C399="驱夜断愁",模拟模式!$P$7="天地诛戮")</f>
        <v>0</v>
      </c>
      <c r="BL399" s="57">
        <f t="shared" ca="1" si="351"/>
        <v>18.155000000000001</v>
      </c>
      <c r="BM399" s="115" t="b">
        <f t="shared" ca="1" si="362"/>
        <v>1</v>
      </c>
      <c r="BN399" s="115" t="b">
        <f ca="1">AND(OR(C399="赤日轮1",C399="赤日轮2",C399="赤日轮3",C399="幽月轮1",C399="幽月轮2",C399="幽月轮3"),AB399=1,模拟模式!$L$7="明光恒照")</f>
        <v>1</v>
      </c>
      <c r="BO399" s="117">
        <f t="shared" ca="1" si="352"/>
        <v>30</v>
      </c>
      <c r="BP399" s="115">
        <f t="shared" ca="1" si="332"/>
        <v>6</v>
      </c>
      <c r="BQ399" s="115" t="b">
        <f>模拟模式!$K$10="2600·水"</f>
        <v>0</v>
      </c>
      <c r="BR399" s="117">
        <f t="shared" si="333"/>
        <v>0</v>
      </c>
      <c r="BS399" s="115">
        <f t="shared" si="334"/>
        <v>0</v>
      </c>
      <c r="BT399" s="115">
        <f t="shared" ca="1" si="335"/>
        <v>0</v>
      </c>
      <c r="BU399" s="115" t="b">
        <f ca="1">AND(模拟模式!$K$10="2300·雷",BT398=0,RAND()&lt;IF(C399="净世破魔击·月",5*0.05*2/3,IF(C399="净世破魔击·日",3*0.05*2/3,0.05*2*2/3)))</f>
        <v>0</v>
      </c>
      <c r="BV399" s="115">
        <f t="shared" ca="1" si="336"/>
        <v>0</v>
      </c>
      <c r="BW399" s="115">
        <f t="shared" ca="1" si="337"/>
        <v>28.709999999999297</v>
      </c>
      <c r="BX399" s="164" t="b">
        <f t="shared" ca="1" si="338"/>
        <v>0</v>
      </c>
      <c r="BY399" s="115">
        <f t="shared" ca="1" si="339"/>
        <v>0</v>
      </c>
      <c r="BZ399" s="115">
        <f>IF(OR(模拟模式!$P$16="10人团",模拟模式!$P$16="25人团"),IF(B399/30&gt;CA398,1,0),0)</f>
        <v>0</v>
      </c>
      <c r="CA399" s="115">
        <f t="shared" si="315"/>
        <v>0</v>
      </c>
      <c r="CB399" s="115">
        <f ca="1">IF(BZ399=1,IF(模拟模式!$P$16="10人团",15,0)+IF(模拟模式!$P$16="25人团",IF(RAND()&lt;0.6,15,0)),MAX(0,CB398-$F$4))</f>
        <v>0</v>
      </c>
      <c r="CC399" s="115" t="b">
        <f t="shared" ca="1" si="363"/>
        <v>0</v>
      </c>
      <c r="CD399" s="115">
        <f>IF(模拟模式!$Q$16="1个",IF(B399/40&gt;CE398,1,0),0)</f>
        <v>0</v>
      </c>
      <c r="CE399" s="115">
        <f t="shared" si="364"/>
        <v>0</v>
      </c>
      <c r="CF399" s="115">
        <f>IF(OR(CD399=1,模拟模式!$Q$16="2个"),20,MAX(0,CF398-$F$4))</f>
        <v>0</v>
      </c>
      <c r="CG399" s="115" t="b">
        <f t="shared" si="365"/>
        <v>0</v>
      </c>
      <c r="CH399" s="115">
        <f t="shared" ca="1" si="340"/>
        <v>29.077500000000001</v>
      </c>
      <c r="CI399" s="115" t="b">
        <f t="shared" ca="1" si="341"/>
        <v>1</v>
      </c>
      <c r="CJ399" s="119">
        <f t="shared" ca="1" si="342"/>
        <v>0.05</v>
      </c>
      <c r="CK399" s="115">
        <f t="shared" ca="1" si="343"/>
        <v>7.0774999999999997</v>
      </c>
      <c r="CL399" s="115" t="b">
        <f ca="1">AND(模拟模式!$S$7="驱夷逐法",OR(AND(C399="净世破魔击·月",E398&gt;59),AND(C399="净世破魔击·日",F398&gt;59)))</f>
        <v>0</v>
      </c>
      <c r="CM399" s="115" t="b">
        <f ca="1">OR(CL399,AND(C399="净世破魔击·日",CL398,RAND()&lt;模拟模式!$U$23))</f>
        <v>0</v>
      </c>
      <c r="CN399" s="115" t="b">
        <f ca="1">IF(模拟模式!$M$7="辉耀红尘",AND(C399="净世破魔击·月",CL399,CV399=0,E398&lt;80),AND(C399="净世破魔击·月",CL399,E398&lt;100))</f>
        <v>0</v>
      </c>
      <c r="CO399" s="115" t="b">
        <f t="shared" ca="1" si="316"/>
        <v>0</v>
      </c>
      <c r="CP399" s="115" t="b">
        <f ca="1">AND(模拟模式!$O$7="用晦而明",OR(C399="净世破魔击·日",C399="净世破魔击·月",C399="驱夜断愁"),AB399)</f>
        <v>0</v>
      </c>
      <c r="CQ399" s="115" t="b">
        <f ca="1">OR(CP399,AND(CP398,RAND()&lt;模拟模式!$U$23))</f>
        <v>0</v>
      </c>
      <c r="CR399" s="115" t="b">
        <f ca="1">AND(模拟模式!$S$7="日月齐光",OR(C399="幽月轮1",C399="幽月轮2",C399="幽月轮3",CR398),NOT(OR(C399="赤日轮1",C399="赤日轮2",C399="赤日轮3")))</f>
        <v>0</v>
      </c>
      <c r="CS399" s="115" t="b">
        <f ca="1">AND(模拟模式!$S$7="日月齐光",OR(C399="赤日轮1",C399="赤日轮2",C399="赤日轮3",CS398),NOT(OR(C399="幽月轮1",C399="幽月轮2",C399="幽月轮3")))</f>
        <v>0</v>
      </c>
      <c r="CT399" s="115">
        <f t="shared" ca="1" si="344"/>
        <v>0</v>
      </c>
      <c r="CU399" s="115" t="b">
        <f ca="1">AND(模拟模式!$K$10="阴阳往极",CT398=0,RAND()&lt;IF(C399="净世破魔击·月",0.0275*7/3,IF(C399="净世破魔击·日",0.0275*3/3,0.0275*2/3)))</f>
        <v>0</v>
      </c>
      <c r="CV399" s="115">
        <f t="shared" ca="1" si="345"/>
        <v>0</v>
      </c>
      <c r="CW399" s="115">
        <f t="shared" ca="1" si="317"/>
        <v>5.0774999999999997</v>
      </c>
      <c r="CX399" s="115">
        <f t="shared" ca="1" si="318"/>
        <v>3.2324999999999995</v>
      </c>
      <c r="CY399" s="115">
        <f ca="1">MAX(IF($C399="驱夜断愁",IF(模拟模式!$R$7="万念俱寂",6,45),CY398-$F$4),0)</f>
        <v>4.1549999999999994</v>
      </c>
      <c r="CZ399" s="115">
        <f t="shared" ca="1" si="319"/>
        <v>0</v>
      </c>
      <c r="DA399" s="115">
        <f ca="1">IF(模拟模式!$N$7="日月同辉",IF(DB398=2,0,MIN(6,IF(AND(OR(C399="赤日轮1",C399="赤日轮2",C399="赤日轮3",C399="幽月轮1",C399="幽月轮2",C399="幽月轮3"),AB399=1),DA398+1,DA398))),0)</f>
        <v>3</v>
      </c>
      <c r="DB399" s="115">
        <f t="shared" ca="1" si="320"/>
        <v>0</v>
      </c>
      <c r="DC399" s="115"/>
      <c r="DD399" s="115"/>
      <c r="DE399" s="115"/>
      <c r="DF399" s="115"/>
      <c r="DG399" s="115"/>
      <c r="DH399" s="115"/>
      <c r="DI399" s="115"/>
      <c r="DJ399" s="115"/>
      <c r="DK399" s="115"/>
      <c r="DL399" s="115"/>
      <c r="DM399" s="115"/>
    </row>
    <row r="400" spans="2:117" x14ac:dyDescent="0.2">
      <c r="B400" s="117">
        <f t="shared" si="321"/>
        <v>344.0925000000031</v>
      </c>
      <c r="C400" s="167" t="str">
        <f t="shared" ca="1" si="314"/>
        <v>净世破魔击·月</v>
      </c>
      <c r="D400" s="115">
        <f ca="1">IF(C400="赤日轮1",1,IF(C400="赤日轮2",2,IF(C400="赤日轮3",3,IF(C400="幽月轮1",4,IF(C400="幽月轮2",5,IF(C400="幽月轮3",6,IF(C400="烈日斩",7,IF(C400="银月斩",8,IF(C400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400="净世破魔击·月",17,IF(C400="驱夜断愁",18,0)))))))))))</f>
        <v>17</v>
      </c>
      <c r="E400" s="115">
        <f ca="1">IF(AND(CU400,OR(C400="幽月轮1",C400="幽月轮2",C400="幽月轮3",C400="银月斩",C400="驱夜断愁",C400="净世破魔击·月")),100,MIN(IF(OR(CN400,BE400),0,IF(OR($C400="赤日轮1",$C400="赤日轮2",$C400="赤日轮3"),E399+20+IF(模拟模式!$I$7="日月凌天",4,0)+IF(CR399,20,0),IF($C400="烈日斩",E399+40,IF($C400="驱夜断愁",IF(模拟模式!$R$7="万念俱寂",E399+20,E399+60),IF($C400="净世破魔击·月",IF(OR(DB399&gt;0,CV399&gt;0),100,IF(模拟模式!$M$7="辉耀红尘",E399+20,E399)),IF($C400="净世破魔击·日",E399-100,E399)))))),100))</f>
        <v>100</v>
      </c>
      <c r="F400" s="115">
        <f ca="1">IF(AND(CU400,OR(C400="赤日轮1",C400="赤日轮2",C400="赤日轮3",C400="烈日斩",C400="净世破魔击·日")),100,MIN(IF(CO400,0,IF(OR($C400="幽月轮1",$C400="幽月轮2",$C400="幽月轮3"),F399+20+IF(模拟模式!$I$7="日月凌天",4,0)+IF(CS399,20,0),IF($C400="银月斩",F399+40+IF(模拟模式!$X$12=1,5,0),IF($C400="驱夜断愁",IF(模拟模式!$R$7="万念俱寂",F399+20,F399+60),IF($C400="净世破魔击·月",IF(模拟模式!$M$7="辉耀红尘",F399-80,F399-100),IF(AND(C400="净世破魔击·日",OR(DB399&gt;0,CV399&gt;0)),100,F399)))))),100))</f>
        <v>20</v>
      </c>
      <c r="G400" s="117">
        <f ca="1">('模拟-全程加成'!$E$3+'模拟-全程加成'!$E$4+'模拟-全程加成'!$E$5+('模拟-全程加成'!$C$6-'模拟-全程加成'!$C$3)*系数!$B$9+BS400*23)*(1+'模拟-全程加成'!$F$4+'模拟-全程加成'!$F$5+BJ400*10%+BM400*20%+BP400*4%+CG400*30%)+$F$7*系数!$B$12</f>
        <v>21493.829400000002</v>
      </c>
      <c r="H400" s="45">
        <f ca="1">'模拟-全程加成'!$H$3+'模拟-全程加成'!$H$4+'模拟-全程加成'!$H$5+('模拟-全程加成'!$G$4+'模拟-全程加成'!$G$5+('模拟-全程加成'!$C$6-'模拟-全程加成'!$C$3)*系数!$B$13)/系数!$B$3+LOOKUP(D400,'模拟-单技能数据'!$A$2:$A$19,'模拟-单技能数据'!$K$2:$K$19)+BG400*10%+IF(BV400&gt;0,378,0)</f>
        <v>0.54185145527300216</v>
      </c>
      <c r="I400" s="45">
        <f ca="1">'模拟-全程加成'!$J$3+'模拟-全程加成'!$J$4+'模拟-全程加成'!$J$5+('模拟-全程加成'!$I$4+'模拟-全程加成'!$I$5)/系数!$B$4+LOOKUP(D400,'模拟-单技能数据'!$A$2:$A$19,'模拟-单技能数据'!$L$2:$L$19)+BG400*10%</f>
        <v>2.162482885499879</v>
      </c>
      <c r="J400" s="45">
        <f ca="1">(('模拟-全程加成'!$K$3+'模拟-全程加成'!$K$4+'模拟-全程加成'!$K$5+('模拟-全程加成'!$C$6-'模拟-全程加成'!$C$3)*系数!$B$10+IF(BV400&gt;0,882,0)+IF(BY400&gt;0,1831,0))*(1+'模拟-全程加成'!$L$4+'模拟-全程加成'!$L$5+CC400*20%))/系数!$B$5</f>
        <v>0.69723220422048726</v>
      </c>
      <c r="K400" s="119">
        <f ca="1">LOOKUP(D400,'模拟-单技能数据'!$A$2:$A$19,'模拟-单技能数据'!$J$2:$J$19)+IF(CM400,60%,0)+IF(DB399-DB400&gt;0,30%,0)+IF(OR(AND(OR(C400="赤日轮1",C400="赤日轮2",C400="赤日轮3"),CR400),AND(OR(C400="幽月轮1",C400="幽月轮2",C400="幽月轮3"),CS400)),35%,0)+CJ400</f>
        <v>0.85000000000000009</v>
      </c>
      <c r="L400" s="119">
        <f ca="1">IF(AND(C400="烈日斩",模拟模式!$X$11=1),10%,0)+IF(AND(C400="驱夜断愁",AB400=1),30%,0)</f>
        <v>0</v>
      </c>
      <c r="M400" s="45">
        <f t="shared" ca="1" si="353"/>
        <v>0.54185145527300216</v>
      </c>
      <c r="N400" s="45">
        <f t="shared" ca="1" si="354"/>
        <v>0.40424854472699789</v>
      </c>
      <c r="O400" s="46">
        <f t="shared" ca="1" si="322"/>
        <v>0.91212477353127508</v>
      </c>
      <c r="P400" s="46" t="str">
        <f t="shared" ca="1" si="323"/>
        <v>命</v>
      </c>
      <c r="Q400" s="45">
        <f t="shared" ca="1" si="324"/>
        <v>1</v>
      </c>
      <c r="R400" s="117">
        <f ca="1">模拟模式!$E$20*(1-IF(模拟模式!$J$19="有",0.15,0))*(1-IF(模拟模式!$K$19="有",0.3,0)-IF(CQ400,0.5,0))</f>
        <v>843.02999999999975</v>
      </c>
      <c r="S400" s="45">
        <f ca="1">R400/(R400+(185*模拟模式!$E$22-16800)*4.08224)</f>
        <v>8.389626085980037E-2</v>
      </c>
      <c r="T400" s="45" t="str">
        <f ca="1">LOOKUP(D400,'模拟-单技能数据'!$A$2:$A$19,'模拟-单技能数据'!$H$2:$H$19)</f>
        <v>阴</v>
      </c>
      <c r="U400" s="119">
        <f t="shared" ca="1" si="355"/>
        <v>0.08</v>
      </c>
      <c r="V400" s="47">
        <f ca="1">(1+L400)*(LOOKUP(D400,'模拟-单技能数据'!$A$2:$A$19,'模拟-单技能数据'!$D$2:$D$19)+G400*LOOKUP(D400,'模拟-单技能数据'!$A$2:$A$19,'模拟-单技能数据'!$F$2:$F$19))*(1+J400)*(1+K400)*(1-S400)*(1+U400)*Q400*LOOKUP(D400,'模拟-单技能数据'!$A$2:$A$19,'模拟-单技能数据'!$I$2:$I$20)</f>
        <v>86757.593251969345</v>
      </c>
      <c r="W400" s="47">
        <f ca="1">LOOKUP(D400,'模拟-单技能数据'!$A$2:$A$19,'模拟-单技能数据'!$G$2:$G$19)*$I$10</f>
        <v>361.51064354704795</v>
      </c>
      <c r="X400" s="47">
        <f t="shared" ca="1" si="325"/>
        <v>17205.169596245785</v>
      </c>
      <c r="Y400" s="47">
        <f t="shared" ca="1" si="356"/>
        <v>104324.27349176219</v>
      </c>
      <c r="Z400" s="49">
        <f t="shared" ca="1" si="357"/>
        <v>38960043.925131664</v>
      </c>
      <c r="AA400" s="97">
        <f t="shared" ca="1" si="358"/>
        <v>113225.49583362414</v>
      </c>
      <c r="AB400" s="115">
        <f ca="1">IF(OR(C400="赤日轮1",C400="赤日轮2",C400="赤日轮3"),IF(RAND()&lt;模拟模式!$Y$17,1,0),IF(OR(C400="幽月轮1",C400="幽月轮2",C400="幽月轮3"),IF(RAND()&lt;模拟模式!$Y$18,1,0),IF(C400="烈日斩",IF(RAND()&lt;模拟模式!$Y$19,1,0),IF(C400="银月斩",IF(RAND()&lt;模拟模式!$Y$20,1,0),IF(C400="驱夜断愁",IF(RAND()&lt;模拟模式!$Y$21,1,0),IF(C400="净世破魔击·日",IF(RAND()&lt;模拟模式!$Y$22,1,0),IF(C400="净世破魔击·月",IF(RAND()&lt;模拟模式!$Y$23,1,0),0)))))))</f>
        <v>1</v>
      </c>
      <c r="AC400" s="115" t="b">
        <f t="shared" ca="1" si="346"/>
        <v>0</v>
      </c>
      <c r="AD400" s="115" t="b">
        <f t="shared" ca="1" si="366"/>
        <v>0</v>
      </c>
      <c r="AE400" s="115">
        <f t="shared" ca="1" si="367"/>
        <v>4</v>
      </c>
      <c r="AF400" s="47">
        <f ca="1">IF(AC400,('模拟-单技能数据'!$D$20+G400*'模拟-单技能数据'!$F$20)*(1+J400)*(1+'模拟-单技能数据'!$J$20)*(1+U400),0)</f>
        <v>0</v>
      </c>
      <c r="AG400" s="61">
        <f t="shared" ca="1" si="359"/>
        <v>0.64185145527300214</v>
      </c>
      <c r="AH400" s="61">
        <f t="shared" ca="1" si="360"/>
        <v>2.2624828854998791</v>
      </c>
      <c r="AI400" s="62">
        <f t="shared" ca="1" si="326"/>
        <v>0.73695352807534009</v>
      </c>
      <c r="AJ400" s="47">
        <f ca="1">IF(AD400,IF(AI400&lt;$F$10,0,IF(AI400&lt;$F$10+$F$11,0.25,IF(AI400&lt;$F$10+$F$11+AG400,AH400,1)))*IF(AF400&gt;0,AF400,IF(AF399&gt;0,AF399,IF(AF398&gt;0,AF398,IF(AF397&gt;0,AF397,IF(AF396&gt;0,AF396,IF(AF395&gt;0,AF395,IF(AF394&gt;0,AF394,IF(AF393&gt;0,AF393,IF(AF392&gt;0,AF392,IF(AF390&gt;0,AF390,IF(AF389&gt;0,AF389,IF(AF388&gt;0,AF388,0)))))))))))),0)*(1-$S400)*'模拟-单技能数据'!$I$20</f>
        <v>0</v>
      </c>
      <c r="AK400" s="115" t="b">
        <f t="shared" ca="1" si="347"/>
        <v>0</v>
      </c>
      <c r="AL400" s="115" t="b">
        <f t="shared" ca="1" si="368"/>
        <v>0</v>
      </c>
      <c r="AM400" s="115">
        <f t="shared" ca="1" si="369"/>
        <v>3</v>
      </c>
      <c r="AN400" s="47">
        <f ca="1">IF(AK400,('模拟-单技能数据'!$D$21+G400*'模拟-单技能数据'!$F$21)*(1+J400)*(1+'模拟-单技能数据'!$J$21)*(1+U400),0)</f>
        <v>0</v>
      </c>
      <c r="AO400" s="61">
        <f ca="1">IF(AN400&gt;0,M400-'模拟-单技能数据'!$K$10,AO399)</f>
        <v>0.42185145527300216</v>
      </c>
      <c r="AP400" s="61">
        <f ca="1">IF(AN400&gt;0,I400-'模拟-单技能数据'!$L$10,AP399)</f>
        <v>2.162482885499879</v>
      </c>
      <c r="AQ400" s="63">
        <f t="shared" ca="1" si="327"/>
        <v>0.49137193872651586</v>
      </c>
      <c r="AR400" s="64">
        <f ca="1">IF(AL400,IF(AQ400&lt;$F$10,0,IF(AQ400&lt;$F$10+$F$11,0.25,IF(AQ400&lt;$F$10+$F$11+AO400,AP400,1)))*IF(AN400&gt;0,AN400,IF(AN399&gt;0,AN399,IF(AN398&gt;0,AN398,IF(AN397&gt;0,AN397,IF(AN396&gt;0,AN396,IF(AN395&gt;0,AN395,IF(AN394&gt;0,AN394,IF(AN393&gt;0,AN393,IF(AN392&gt;0,AN392,IF(AN390&gt;0,AN390,IF(AN389&gt;0,AN389,IF(AN388&gt;0,AN388,0)))))))))))),0)*(1-$S400)*'模拟-单技能数据'!$I$21</f>
        <v>0</v>
      </c>
      <c r="AS400" s="61">
        <f ca="1">IF(OR(C400="净世破魔击·日",C400="净世破魔击·月"),M400-'模拟-单技能数据'!$K$10,0)</f>
        <v>0.42185145527300216</v>
      </c>
      <c r="AT400" s="61">
        <f ca="1">IF(OR(C400="净世破魔击·日",C400="净世破魔击·月"),I400-'模拟-单技能数据'!$L$10,0)</f>
        <v>2.162482885499879</v>
      </c>
      <c r="AU400" s="62">
        <f t="shared" ca="1" si="328"/>
        <v>0.35452262609567742</v>
      </c>
      <c r="AV400" s="64">
        <f ca="1">IF(AS400&gt;0,('模拟-单技能数据'!$D$22+G400*'模拟-单技能数据'!$F$22)*(1+J400)*(1-S400)*IF(AU400&lt;$F$10,0,IF(AU400&lt;$F$10+$F$11,0.25,IF(AU400&lt;$F$10+$F$11+AS400,AT400,1)))*(1+U400),0)*'模拟-单技能数据'!$I$22</f>
        <v>17205.169596245785</v>
      </c>
      <c r="AW400" s="108">
        <f t="shared" ca="1" si="329"/>
        <v>6.1625000000000068</v>
      </c>
      <c r="AX400" s="108" t="b">
        <f ca="1">AND(模拟模式!$P$10="有",AW399=0,RAND()&lt;IF(C400="净世破魔击·月",0.1*8/3,IF(C400="净世破魔击·日",0.1*4/3,0.1*2/3)))</f>
        <v>0</v>
      </c>
      <c r="AY400" s="47">
        <f ca="1">IF(AX400,(18+G400*0.722)*(1+J400)*(1-S400)*(1+$I$4)*IF(P400="会",'模拟-全程加成'!$J$3+'模拟-全程加成'!$J$4+'模拟-全程加成'!$J$5+('模拟-全程加成'!$I$4+'模拟-全程加成'!$I$5)/系数!$B$4+BG400*10%,IF(P400="命",1,IF(P400="识",0.25,0))),0)</f>
        <v>0</v>
      </c>
      <c r="AZ400" s="108">
        <f t="shared" si="330"/>
        <v>0.6275000000000065</v>
      </c>
      <c r="BA400" s="108" t="b">
        <f>AND(模拟模式!$Q$10="有",AZ399=0)</f>
        <v>0</v>
      </c>
      <c r="BB400" s="140">
        <f>IF(BA400,(0+G400*0.287)*(1+J400)*(1-S400)*(1+$I$4)*IF(P400="会",'模拟-全程加成'!$J$3+'模拟-全程加成'!$J$4+'模拟-全程加成'!$J$5+('模拟-全程加成'!$I$4+'模拟-全程加成'!$I$5)/系数!$B$4+BG400*10%,IF(P400="命",1,IF(P400="识",0.25,0))),0)</f>
        <v>0</v>
      </c>
      <c r="BC400" s="115" t="b">
        <f ca="1">AND(模拟模式!$R$7="伏明众生",E400=60,F400=20,DA400&lt;5,CZ399&lt;$F$4)</f>
        <v>0</v>
      </c>
      <c r="BD400" s="115">
        <f t="shared" ca="1" si="348"/>
        <v>0</v>
      </c>
      <c r="BE400" s="115" t="b">
        <f t="shared" ca="1" si="349"/>
        <v>0</v>
      </c>
      <c r="BF400" s="47">
        <f ca="1">IF(BC400,4*('模拟-单技能数据'!$D$24+G400*'模拟-单技能数据'!$F$24)*(1+J400)*(1+'模拟-单技能数据'!$J$24)*(1-S400)*(1+$I$3)*(('模拟-全程加成'!$J$3+'模拟-全程加成'!$J$4+'模拟-全程加成'!$J$5+('模拟-全程加成'!$I$4+'模拟-全程加成'!$I$5)/系数!$B$4+BG400*10%)*('模拟-全程加成'!$J$3+'模拟-全程加成'!$J$4+'模拟-全程加成'!$J$5+('模拟-全程加成'!$I$4+'模拟-全程加成'!$I$5)/系数!$B$4+BG400*10%)+(1-('模拟-全程加成'!$J$3+'模拟-全程加成'!$J$4+'模拟-全程加成'!$J$5+('模拟-全程加成'!$I$4+'模拟-全程加成'!$I$5)/系数!$B$4+BG400*10%)-$F$10-$F$11)+F386*0.25),0)*'模拟-单技能数据'!$I$24</f>
        <v>0</v>
      </c>
      <c r="BG400" s="115" t="b">
        <f ca="1">OR(AND(OR(C400="烈日斩",C400="银月斩"),模拟模式!$I$7="净身明礼"),AND(C400="净世破魔击·日",模拟模式!$J$7="洞若观火"),AND(C401="净世破魔击·月",模拟模式!$J$7="洞若观火"),AB400=1)</f>
        <v>1</v>
      </c>
      <c r="BH400" s="115" t="b">
        <f t="shared" ca="1" si="331"/>
        <v>0</v>
      </c>
      <c r="BI400" s="115">
        <f t="shared" ca="1" si="350"/>
        <v>4.1549999999999994</v>
      </c>
      <c r="BJ400" s="115" t="b">
        <f t="shared" ca="1" si="361"/>
        <v>1</v>
      </c>
      <c r="BK400" s="115" t="b">
        <f ca="1">AND(C400="驱夜断愁",模拟模式!$P$7="天地诛戮")</f>
        <v>0</v>
      </c>
      <c r="BL400" s="57">
        <f t="shared" ca="1" si="351"/>
        <v>17.232500000000002</v>
      </c>
      <c r="BM400" s="115" t="b">
        <f t="shared" ca="1" si="362"/>
        <v>1</v>
      </c>
      <c r="BN400" s="115" t="b">
        <f ca="1">AND(OR(C400="赤日轮1",C400="赤日轮2",C400="赤日轮3",C400="幽月轮1",C400="幽月轮2",C400="幽月轮3"),AB400=1,模拟模式!$L$7="明光恒照")</f>
        <v>0</v>
      </c>
      <c r="BO400" s="117">
        <f t="shared" ca="1" si="352"/>
        <v>29.077500000000001</v>
      </c>
      <c r="BP400" s="115">
        <f t="shared" ca="1" si="332"/>
        <v>6</v>
      </c>
      <c r="BQ400" s="115" t="b">
        <f>模拟模式!$K$10="2600·水"</f>
        <v>0</v>
      </c>
      <c r="BR400" s="117">
        <f t="shared" si="333"/>
        <v>0</v>
      </c>
      <c r="BS400" s="115">
        <f t="shared" si="334"/>
        <v>0</v>
      </c>
      <c r="BT400" s="115">
        <f t="shared" ca="1" si="335"/>
        <v>0</v>
      </c>
      <c r="BU400" s="115" t="b">
        <f ca="1">AND(模拟模式!$K$10="2300·雷",BT399=0,RAND()&lt;IF(C400="净世破魔击·月",5*0.05*2/3,IF(C400="净世破魔击·日",3*0.05*2/3,0.05*2*2/3)))</f>
        <v>0</v>
      </c>
      <c r="BV400" s="115">
        <f t="shared" ca="1" si="336"/>
        <v>0</v>
      </c>
      <c r="BW400" s="115">
        <f t="shared" ca="1" si="337"/>
        <v>27.787499999999298</v>
      </c>
      <c r="BX400" s="164" t="b">
        <f t="shared" ca="1" si="338"/>
        <v>0</v>
      </c>
      <c r="BY400" s="115">
        <f t="shared" ca="1" si="339"/>
        <v>0</v>
      </c>
      <c r="BZ400" s="115">
        <f>IF(OR(模拟模式!$P$16="10人团",模拟模式!$P$16="25人团"),IF(B400/30&gt;CA399,1,0),0)</f>
        <v>0</v>
      </c>
      <c r="CA400" s="115">
        <f t="shared" si="315"/>
        <v>0</v>
      </c>
      <c r="CB400" s="115">
        <f ca="1">IF(BZ400=1,IF(模拟模式!$P$16="10人团",15,0)+IF(模拟模式!$P$16="25人团",IF(RAND()&lt;0.6,15,0)),MAX(0,CB399-$F$4))</f>
        <v>0</v>
      </c>
      <c r="CC400" s="115" t="b">
        <f t="shared" ca="1" si="363"/>
        <v>0</v>
      </c>
      <c r="CD400" s="115">
        <f>IF(模拟模式!$Q$16="1个",IF(B400/40&gt;CE399,1,0),0)</f>
        <v>0</v>
      </c>
      <c r="CE400" s="115">
        <f t="shared" si="364"/>
        <v>0</v>
      </c>
      <c r="CF400" s="115">
        <f>IF(OR(CD400=1,模拟模式!$Q$16="2个"),20,MAX(0,CF399-$F$4))</f>
        <v>0</v>
      </c>
      <c r="CG400" s="115" t="b">
        <f t="shared" si="365"/>
        <v>0</v>
      </c>
      <c r="CH400" s="115">
        <f t="shared" ca="1" si="340"/>
        <v>28.155000000000001</v>
      </c>
      <c r="CI400" s="115" t="b">
        <f t="shared" ca="1" si="341"/>
        <v>0</v>
      </c>
      <c r="CJ400" s="119">
        <f t="shared" ca="1" si="342"/>
        <v>0.05</v>
      </c>
      <c r="CK400" s="115">
        <f t="shared" ca="1" si="343"/>
        <v>6.1549999999999994</v>
      </c>
      <c r="CL400" s="115" t="b">
        <f ca="1">AND(模拟模式!$S$7="驱夷逐法",OR(AND(C400="净世破魔击·月",E399&gt;59),AND(C400="净世破魔击·日",F399&gt;59)))</f>
        <v>1</v>
      </c>
      <c r="CM400" s="115" t="b">
        <f ca="1">OR(CL400,AND(C400="净世破魔击·日",CL399,RAND()&lt;模拟模式!$U$23))</f>
        <v>1</v>
      </c>
      <c r="CN400" s="115" t="b">
        <f ca="1">IF(模拟模式!$M$7="辉耀红尘",AND(C400="净世破魔击·月",CL400,CV400=0,E399&lt;80),AND(C400="净世破魔击·月",CL400,E399&lt;100))</f>
        <v>0</v>
      </c>
      <c r="CO400" s="115" t="b">
        <f t="shared" ca="1" si="316"/>
        <v>0</v>
      </c>
      <c r="CP400" s="115" t="b">
        <f ca="1">AND(模拟模式!$O$7="用晦而明",OR(C400="净世破魔击·日",C400="净世破魔击·月",C400="驱夜断愁"),AB400)</f>
        <v>1</v>
      </c>
      <c r="CQ400" s="115" t="b">
        <f ca="1">OR(CP400,AND(CP399,RAND()&lt;模拟模式!$U$23))</f>
        <v>1</v>
      </c>
      <c r="CR400" s="115" t="b">
        <f ca="1">AND(模拟模式!$S$7="日月齐光",OR(C400="幽月轮1",C400="幽月轮2",C400="幽月轮3",CR399),NOT(OR(C400="赤日轮1",C400="赤日轮2",C400="赤日轮3")))</f>
        <v>0</v>
      </c>
      <c r="CS400" s="115" t="b">
        <f ca="1">AND(模拟模式!$S$7="日月齐光",OR(C400="赤日轮1",C400="赤日轮2",C400="赤日轮3",CS399),NOT(OR(C400="幽月轮1",C400="幽月轮2",C400="幽月轮3")))</f>
        <v>0</v>
      </c>
      <c r="CT400" s="115">
        <f t="shared" ca="1" si="344"/>
        <v>0</v>
      </c>
      <c r="CU400" s="115" t="b">
        <f ca="1">AND(模拟模式!$K$10="阴阳往极",CT399=0,RAND()&lt;IF(C400="净世破魔击·月",0.0275*7/3,IF(C400="净世破魔击·日",0.0275*3/3,0.0275*2/3)))</f>
        <v>0</v>
      </c>
      <c r="CV400" s="115">
        <f t="shared" ca="1" si="345"/>
        <v>0</v>
      </c>
      <c r="CW400" s="115">
        <f t="shared" ca="1" si="317"/>
        <v>4.1549999999999994</v>
      </c>
      <c r="CX400" s="115">
        <f t="shared" ca="1" si="318"/>
        <v>2.3099999999999996</v>
      </c>
      <c r="CY400" s="115">
        <f ca="1">MAX(IF($C400="驱夜断愁",IF(模拟模式!$R$7="万念俱寂",6,45),CY399-$F$4),0)</f>
        <v>3.2324999999999995</v>
      </c>
      <c r="CZ400" s="115">
        <f t="shared" ca="1" si="319"/>
        <v>0</v>
      </c>
      <c r="DA400" s="115">
        <f ca="1">IF(模拟模式!$N$7="日月同辉",IF(DB399=2,0,MIN(6,IF(AND(OR(C400="赤日轮1",C400="赤日轮2",C400="赤日轮3",C400="幽月轮1",C400="幽月轮2",C400="幽月轮3"),AB400=1),DA399+1,DA399))),0)</f>
        <v>3</v>
      </c>
      <c r="DB400" s="115">
        <f t="shared" ca="1" si="320"/>
        <v>0</v>
      </c>
      <c r="DC400" s="115"/>
      <c r="DD400" s="115"/>
      <c r="DE400" s="115"/>
      <c r="DF400" s="115"/>
      <c r="DG400" s="115"/>
      <c r="DH400" s="115"/>
      <c r="DI400" s="115"/>
      <c r="DJ400" s="115"/>
      <c r="DK400" s="115"/>
      <c r="DL400" s="115"/>
      <c r="DM400" s="115"/>
    </row>
    <row r="401" spans="2:117" x14ac:dyDescent="0.2">
      <c r="B401" s="117">
        <f t="shared" si="321"/>
        <v>345.01500000000311</v>
      </c>
      <c r="C401" s="167" t="str">
        <f t="shared" ca="1" si="314"/>
        <v>净世破魔击·日</v>
      </c>
      <c r="D401" s="115">
        <f ca="1">IF(C401="赤日轮1",1,IF(C401="赤日轮2",2,IF(C401="赤日轮3",3,IF(C401="幽月轮1",4,IF(C401="幽月轮2",5,IF(C401="幽月轮3",6,IF(C401="烈日斩",7,IF(C401="银月斩",8,IF(C401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401="净世破魔击·月",17,IF(C401="驱夜断愁",18,0)))))))))))</f>
        <v>9</v>
      </c>
      <c r="E401" s="115">
        <f ca="1">IF(AND(CU401,OR(C401="幽月轮1",C401="幽月轮2",C401="幽月轮3",C401="银月斩",C401="驱夜断愁",C401="净世破魔击·月")),100,MIN(IF(OR(CN401,BE401),0,IF(OR($C401="赤日轮1",$C401="赤日轮2",$C401="赤日轮3"),E400+20+IF(模拟模式!$I$7="日月凌天",4,0)+IF(CR400,20,0),IF($C401="烈日斩",E400+40,IF($C401="驱夜断愁",IF(模拟模式!$R$7="万念俱寂",E400+20,E400+60),IF($C401="净世破魔击·月",IF(OR(DB400&gt;0,CV400&gt;0),100,IF(模拟模式!$M$7="辉耀红尘",E400+20,E400)),IF($C401="净世破魔击·日",E400-100,E400)))))),100))</f>
        <v>0</v>
      </c>
      <c r="F401" s="115">
        <f ca="1">IF(AND(CU401,OR(C401="赤日轮1",C401="赤日轮2",C401="赤日轮3",C401="烈日斩",C401="净世破魔击·日")),100,MIN(IF(CO401,0,IF(OR($C401="幽月轮1",$C401="幽月轮2",$C401="幽月轮3"),F400+20+IF(模拟模式!$I$7="日月凌天",4,0)+IF(CS400,20,0),IF($C401="银月斩",F400+40+IF(模拟模式!$X$12=1,5,0),IF($C401="驱夜断愁",IF(模拟模式!$R$7="万念俱寂",F400+20,F400+60),IF($C401="净世破魔击·月",IF(模拟模式!$M$7="辉耀红尘",F400-80,F400-100),IF(AND(C401="净世破魔击·日",OR(DB400&gt;0,CV400&gt;0)),100,F400)))))),100))</f>
        <v>20</v>
      </c>
      <c r="G401" s="117">
        <f ca="1">('模拟-全程加成'!$E$3+'模拟-全程加成'!$E$4+'模拟-全程加成'!$E$5+('模拟-全程加成'!$C$6-'模拟-全程加成'!$C$3)*系数!$B$9+BS401*23)*(1+'模拟-全程加成'!$F$4+'模拟-全程加成'!$F$5+BJ401*10%+BM401*20%+BP401*4%+CG401*30%)+$F$7*系数!$B$12</f>
        <v>21493.829400000002</v>
      </c>
      <c r="H401" s="45">
        <f ca="1">'模拟-全程加成'!$H$3+'模拟-全程加成'!$H$4+'模拟-全程加成'!$H$5+('模拟-全程加成'!$G$4+'模拟-全程加成'!$G$5+('模拟-全程加成'!$C$6-'模拟-全程加成'!$C$3)*系数!$B$13)/系数!$B$3+LOOKUP(D401,'模拟-单技能数据'!$A$2:$A$19,'模拟-单技能数据'!$K$2:$K$19)+BG401*10%+IF(BV401&gt;0,378,0)</f>
        <v>0.54185145527300216</v>
      </c>
      <c r="I401" s="45">
        <f ca="1">'模拟-全程加成'!$J$3+'模拟-全程加成'!$J$4+'模拟-全程加成'!$J$5+('模拟-全程加成'!$I$4+'模拟-全程加成'!$I$5)/系数!$B$4+LOOKUP(D401,'模拟-单技能数据'!$A$2:$A$19,'模拟-单技能数据'!$L$2:$L$19)+BG401*10%</f>
        <v>2.162482885499879</v>
      </c>
      <c r="J401" s="45">
        <f ca="1">(('模拟-全程加成'!$K$3+'模拟-全程加成'!$K$4+'模拟-全程加成'!$K$5+('模拟-全程加成'!$C$6-'模拟-全程加成'!$C$3)*系数!$B$10+IF(BV401&gt;0,882,0)+IF(BY401&gt;0,1831,0))*(1+'模拟-全程加成'!$L$4+'模拟-全程加成'!$L$5+CC401*20%))/系数!$B$5</f>
        <v>0.69723220422048726</v>
      </c>
      <c r="K401" s="119">
        <f ca="1">LOOKUP(D401,'模拟-单技能数据'!$A$2:$A$19,'模拟-单技能数据'!$J$2:$J$19)+IF(CM401,60%,0)+IF(DB400-DB401&gt;0,30%,0)+IF(OR(AND(OR(C401="赤日轮1",C401="赤日轮2",C401="赤日轮3"),CR401),AND(OR(C401="幽月轮1",C401="幽月轮2",C401="幽月轮3"),CS401)),35%,0)+CJ401</f>
        <v>0.85000000000000009</v>
      </c>
      <c r="L401" s="119">
        <f ca="1">IF(AND(C401="烈日斩",模拟模式!$X$11=1),10%,0)+IF(AND(C401="驱夜断愁",AB401=1),30%,0)</f>
        <v>0</v>
      </c>
      <c r="M401" s="45">
        <f t="shared" ca="1" si="353"/>
        <v>0.54185145527300216</v>
      </c>
      <c r="N401" s="45">
        <f t="shared" ca="1" si="354"/>
        <v>0.40424854472699789</v>
      </c>
      <c r="O401" s="46">
        <f t="shared" ca="1" si="322"/>
        <v>0.41748771094772585</v>
      </c>
      <c r="P401" s="46" t="str">
        <f t="shared" ca="1" si="323"/>
        <v>会</v>
      </c>
      <c r="Q401" s="45">
        <f t="shared" ca="1" si="324"/>
        <v>2.162482885499879</v>
      </c>
      <c r="R401" s="117">
        <f ca="1">模拟模式!$E$20*(1-IF(模拟模式!$J$19="有",0.15,0))*(1-IF(模拟模式!$K$19="有",0.3,0)-IF(CQ401,0.5,0))</f>
        <v>843.02999999999975</v>
      </c>
      <c r="S401" s="45">
        <f ca="1">R401/(R401+(185*模拟模式!$E$22-16800)*4.08224)</f>
        <v>8.389626085980037E-2</v>
      </c>
      <c r="T401" s="45" t="str">
        <f ca="1">LOOKUP(D401,'模拟-单技能数据'!$A$2:$A$19,'模拟-单技能数据'!$H$2:$H$19)</f>
        <v>阳</v>
      </c>
      <c r="U401" s="119">
        <f t="shared" ca="1" si="355"/>
        <v>0.2</v>
      </c>
      <c r="V401" s="47">
        <f ca="1">(1+L401)*(LOOKUP(D401,'模拟-单技能数据'!$A$2:$A$19,'模拟-单技能数据'!$D$2:$D$19)+G401*LOOKUP(D401,'模拟-单技能数据'!$A$2:$A$19,'模拟-单技能数据'!$F$2:$F$19))*(1+J401)*(1+K401)*(1-S401)*(1+U401)*Q401*LOOKUP(D401,'模拟-单技能数据'!$A$2:$A$19,'模拟-单技能数据'!$I$2:$I$20)</f>
        <v>210198.65311117729</v>
      </c>
      <c r="W401" s="47">
        <f ca="1">LOOKUP(D401,'模拟-单技能数据'!$A$2:$A$19,'模拟-单技能数据'!$G$2:$G$19)*$I$10</f>
        <v>723.0212870940959</v>
      </c>
      <c r="X401" s="47">
        <f t="shared" ca="1" si="325"/>
        <v>24522.824049433199</v>
      </c>
      <c r="Y401" s="47">
        <f t="shared" ca="1" si="356"/>
        <v>235444.49844770459</v>
      </c>
      <c r="Z401" s="49">
        <f t="shared" ca="1" si="357"/>
        <v>39195488.423579365</v>
      </c>
      <c r="AA401" s="97">
        <f t="shared" ca="1" si="358"/>
        <v>113605.17201738768</v>
      </c>
      <c r="AB401" s="115">
        <f ca="1">IF(OR(C401="赤日轮1",C401="赤日轮2",C401="赤日轮3"),IF(RAND()&lt;模拟模式!$Y$17,1,0),IF(OR(C401="幽月轮1",C401="幽月轮2",C401="幽月轮3"),IF(RAND()&lt;模拟模式!$Y$18,1,0),IF(C401="烈日斩",IF(RAND()&lt;模拟模式!$Y$19,1,0),IF(C401="银月斩",IF(RAND()&lt;模拟模式!$Y$20,1,0),IF(C401="驱夜断愁",IF(RAND()&lt;模拟模式!$Y$21,1,0),IF(C401="净世破魔击·日",IF(RAND()&lt;模拟模式!$Y$22,1,0),IF(C401="净世破魔击·月",IF(RAND()&lt;模拟模式!$Y$23,1,0),0)))))))</f>
        <v>1</v>
      </c>
      <c r="AC401" s="115" t="b">
        <f t="shared" ca="1" si="346"/>
        <v>0</v>
      </c>
      <c r="AD401" s="115" t="b">
        <f t="shared" ca="1" si="366"/>
        <v>1</v>
      </c>
      <c r="AE401" s="115">
        <f t="shared" ca="1" si="367"/>
        <v>3</v>
      </c>
      <c r="AF401" s="47">
        <f ca="1">IF(AC401,('模拟-单技能数据'!$D$20+G401*'模拟-单技能数据'!$F$20)*(1+J401)*(1+'模拟-单技能数据'!$J$20)*(1+U401),0)</f>
        <v>0</v>
      </c>
      <c r="AG401" s="61">
        <f t="shared" ca="1" si="359"/>
        <v>0.64185145527300214</v>
      </c>
      <c r="AH401" s="61">
        <f t="shared" ca="1" si="360"/>
        <v>2.2624828854998791</v>
      </c>
      <c r="AI401" s="62">
        <f t="shared" ca="1" si="326"/>
        <v>0.79083750420153676</v>
      </c>
      <c r="AJ401" s="47">
        <f ca="1">IF(AD401,IF(AI401&lt;$F$10,0,IF(AI401&lt;$F$10+$F$11,0.25,IF(AI401&lt;$F$10+$F$11+AG401,AH401,1)))*IF(AF401&gt;0,AF401,IF(AF400&gt;0,AF400,IF(AF399&gt;0,AF399,IF(AF398&gt;0,AF398,IF(AF397&gt;0,AF397,IF(AF396&gt;0,AF396,IF(AF395&gt;0,AF395,IF(AF394&gt;0,AF394,IF(AF393&gt;0,AF393,IF(AF391&gt;0,AF391,IF(AF390&gt;0,AF390,IF(AF389&gt;0,AF389,0)))))))))))),0)*(1-$S401)*'模拟-单技能数据'!$I$20</f>
        <v>4074.6980221198578</v>
      </c>
      <c r="AK401" s="115" t="b">
        <f t="shared" ca="1" si="347"/>
        <v>1</v>
      </c>
      <c r="AL401" s="115" t="b">
        <f t="shared" ca="1" si="368"/>
        <v>1</v>
      </c>
      <c r="AM401" s="115">
        <f t="shared" ca="1" si="369"/>
        <v>5</v>
      </c>
      <c r="AN401" s="47">
        <f ca="1">IF(AK401,('模拟-单技能数据'!$D$21+G401*'模拟-单技能数据'!$F$21)*(1+J401)*(1+'模拟-单技能数据'!$J$21)*(1+U401),0)</f>
        <v>12670.936004857545</v>
      </c>
      <c r="AO401" s="61">
        <f ca="1">IF(AN401&gt;0,M401-'模拟-单技能数据'!$K$10,AO400)</f>
        <v>0.42185145527300216</v>
      </c>
      <c r="AP401" s="61">
        <f ca="1">IF(AN401&gt;0,I401-'模拟-单技能数据'!$L$10,AP400)</f>
        <v>2.162482885499879</v>
      </c>
      <c r="AQ401" s="63">
        <f t="shared" ca="1" si="327"/>
        <v>0.53078557430229012</v>
      </c>
      <c r="AR401" s="64">
        <f ca="1">IF(AL401,IF(AQ401&lt;$F$10,0,IF(AQ401&lt;$F$10+$F$11,0.25,IF(AQ401&lt;$F$10+$F$11+AO401,AP401,1)))*IF(AN401&gt;0,AN401,IF(AN400&gt;0,AN400,IF(AN399&gt;0,AN399,IF(AN398&gt;0,AN398,IF(AN397&gt;0,AN397,IF(AN396&gt;0,AN396,IF(AN395&gt;0,AN395,IF(AN394&gt;0,AN394,IF(AN393&gt;0,AN393,IF(AN391&gt;0,AN391,IF(AN390&gt;0,AN390,IF(AN389&gt;0,AN389,0)))))))))))),0)*(1-$S401)*'模拟-单技能数据'!$I$21</f>
        <v>11607.89185245618</v>
      </c>
      <c r="AS401" s="61">
        <f ca="1">IF(OR(C401="净世破魔击·日",C401="净世破魔击·月"),M401-'模拟-单技能数据'!$K$10,0)</f>
        <v>0.42185145527300216</v>
      </c>
      <c r="AT401" s="61">
        <f ca="1">IF(OR(C401="净世破魔击·日",C401="净世破魔击·月"),I401-'模拟-单技能数据'!$L$10,0)</f>
        <v>2.162482885499879</v>
      </c>
      <c r="AU401" s="62">
        <f t="shared" ca="1" si="328"/>
        <v>0.86963084526006773</v>
      </c>
      <c r="AV401" s="64">
        <f ca="1">IF(AS401&gt;0,('模拟-单技能数据'!$D$22+G401*'模拟-单技能数据'!$F$22)*(1+J401)*(1-S401)*IF(AU401&lt;$F$10,0,IF(AU401&lt;$F$10+$F$11,0.25,IF(AU401&lt;$F$10+$F$11+AS401,AT401,1)))*(1+U401),0)*'模拟-单技能数据'!$I$22</f>
        <v>8840.2341748571616</v>
      </c>
      <c r="AW401" s="108">
        <f t="shared" ca="1" si="329"/>
        <v>5.2400000000000064</v>
      </c>
      <c r="AX401" s="108" t="b">
        <f ca="1">AND(模拟模式!$P$10="有",AW400=0,RAND()&lt;IF(C401="净世破魔击·月",0.1*8/3,IF(C401="净世破魔击·日",0.1*4/3,0.1*2/3)))</f>
        <v>0</v>
      </c>
      <c r="AY401" s="47">
        <f ca="1">IF(AX401,(18+G401*0.722)*(1+J401)*(1-S401)*(1+$I$4)*IF(P401="会",'模拟-全程加成'!$J$3+'模拟-全程加成'!$J$4+'模拟-全程加成'!$J$5+('模拟-全程加成'!$I$4+'模拟-全程加成'!$I$5)/系数!$B$4+BG401*10%,IF(P401="命",1,IF(P401="识",0.25,0))),0)</f>
        <v>0</v>
      </c>
      <c r="AZ401" s="108">
        <f t="shared" si="330"/>
        <v>0</v>
      </c>
      <c r="BA401" s="108" t="b">
        <f>AND(模拟模式!$Q$10="有",AZ400=0)</f>
        <v>0</v>
      </c>
      <c r="BB401" s="140">
        <f>IF(BA401,(0+G401*0.287)*(1+J401)*(1-S401)*(1+$I$4)*IF(P401="会",'模拟-全程加成'!$J$3+'模拟-全程加成'!$J$4+'模拟-全程加成'!$J$5+('模拟-全程加成'!$I$4+'模拟-全程加成'!$I$5)/系数!$B$4+BG401*10%,IF(P401="命",1,IF(P401="识",0.25,0))),0)</f>
        <v>0</v>
      </c>
      <c r="BC401" s="115" t="b">
        <f ca="1">AND(模拟模式!$R$7="伏明众生",E401=60,F401=20,DA401&lt;5,CZ400&lt;$F$4)</f>
        <v>0</v>
      </c>
      <c r="BD401" s="115">
        <f t="shared" ca="1" si="348"/>
        <v>0</v>
      </c>
      <c r="BE401" s="115" t="b">
        <f t="shared" ca="1" si="349"/>
        <v>0</v>
      </c>
      <c r="BF401" s="47">
        <f ca="1">IF(BC401,4*('模拟-单技能数据'!$D$24+G401*'模拟-单技能数据'!$F$24)*(1+J401)*(1+'模拟-单技能数据'!$J$24)*(1-S401)*(1+$I$3)*(('模拟-全程加成'!$J$3+'模拟-全程加成'!$J$4+'模拟-全程加成'!$J$5+('模拟-全程加成'!$I$4+'模拟-全程加成'!$I$5)/系数!$B$4+BG401*10%)*('模拟-全程加成'!$J$3+'模拟-全程加成'!$J$4+'模拟-全程加成'!$J$5+('模拟-全程加成'!$I$4+'模拟-全程加成'!$I$5)/系数!$B$4+BG401*10%)+(1-('模拟-全程加成'!$J$3+'模拟-全程加成'!$J$4+'模拟-全程加成'!$J$5+('模拟-全程加成'!$I$4+'模拟-全程加成'!$I$5)/系数!$B$4+BG401*10%)-$F$10-$F$11)+F387*0.25),0)*'模拟-单技能数据'!$I$24</f>
        <v>0</v>
      </c>
      <c r="BG401" s="115" t="b">
        <f ca="1">OR(AND(OR(C401="烈日斩",C401="银月斩"),模拟模式!$I$7="净身明礼"),AND(C401="净世破魔击·日",模拟模式!$J$7="洞若观火"),AND(C402="净世破魔击·月",模拟模式!$J$7="洞若观火"),AB401=1)</f>
        <v>1</v>
      </c>
      <c r="BH401" s="115" t="b">
        <f t="shared" ca="1" si="331"/>
        <v>0</v>
      </c>
      <c r="BI401" s="115">
        <f t="shared" ca="1" si="350"/>
        <v>3.2324999999999995</v>
      </c>
      <c r="BJ401" s="115" t="b">
        <f t="shared" ca="1" si="361"/>
        <v>1</v>
      </c>
      <c r="BK401" s="115" t="b">
        <f ca="1">AND(C401="驱夜断愁",模拟模式!$P$7="天地诛戮")</f>
        <v>0</v>
      </c>
      <c r="BL401" s="57">
        <f t="shared" ca="1" si="351"/>
        <v>16.310000000000002</v>
      </c>
      <c r="BM401" s="115" t="b">
        <f t="shared" ca="1" si="362"/>
        <v>1</v>
      </c>
      <c r="BN401" s="115" t="b">
        <f ca="1">AND(OR(C401="赤日轮1",C401="赤日轮2",C401="赤日轮3",C401="幽月轮1",C401="幽月轮2",C401="幽月轮3"),AB401=1,模拟模式!$L$7="明光恒照")</f>
        <v>0</v>
      </c>
      <c r="BO401" s="117">
        <f t="shared" ca="1" si="352"/>
        <v>28.155000000000001</v>
      </c>
      <c r="BP401" s="115">
        <f t="shared" ca="1" si="332"/>
        <v>6</v>
      </c>
      <c r="BQ401" s="115" t="b">
        <f>模拟模式!$K$10="2600·水"</f>
        <v>0</v>
      </c>
      <c r="BR401" s="117">
        <f t="shared" si="333"/>
        <v>0</v>
      </c>
      <c r="BS401" s="115">
        <f t="shared" si="334"/>
        <v>0</v>
      </c>
      <c r="BT401" s="115">
        <f t="shared" ca="1" si="335"/>
        <v>0</v>
      </c>
      <c r="BU401" s="115" t="b">
        <f ca="1">AND(模拟模式!$K$10="2300·雷",BT400=0,RAND()&lt;IF(C401="净世破魔击·月",5*0.05*2/3,IF(C401="净世破魔击·日",3*0.05*2/3,0.05*2*2/3)))</f>
        <v>0</v>
      </c>
      <c r="BV401" s="115">
        <f t="shared" ca="1" si="336"/>
        <v>0</v>
      </c>
      <c r="BW401" s="115">
        <f t="shared" ca="1" si="337"/>
        <v>26.864999999999299</v>
      </c>
      <c r="BX401" s="164" t="b">
        <f t="shared" ca="1" si="338"/>
        <v>0</v>
      </c>
      <c r="BY401" s="115">
        <f t="shared" ca="1" si="339"/>
        <v>0</v>
      </c>
      <c r="BZ401" s="115">
        <f>IF(OR(模拟模式!$P$16="10人团",模拟模式!$P$16="25人团"),IF(B401/30&gt;CA400,1,0),0)</f>
        <v>0</v>
      </c>
      <c r="CA401" s="115">
        <f t="shared" si="315"/>
        <v>0</v>
      </c>
      <c r="CB401" s="115">
        <f ca="1">IF(BZ401=1,IF(模拟模式!$P$16="10人团",15,0)+IF(模拟模式!$P$16="25人团",IF(RAND()&lt;0.6,15,0)),MAX(0,CB400-$F$4))</f>
        <v>0</v>
      </c>
      <c r="CC401" s="115" t="b">
        <f t="shared" ca="1" si="363"/>
        <v>0</v>
      </c>
      <c r="CD401" s="115">
        <f>IF(模拟模式!$Q$16="1个",IF(B401/40&gt;CE400,1,0),0)</f>
        <v>0</v>
      </c>
      <c r="CE401" s="115">
        <f t="shared" si="364"/>
        <v>0</v>
      </c>
      <c r="CF401" s="115">
        <f>IF(OR(CD401=1,模拟模式!$Q$16="2个"),20,MAX(0,CF400-$F$4))</f>
        <v>0</v>
      </c>
      <c r="CG401" s="115" t="b">
        <f t="shared" si="365"/>
        <v>0</v>
      </c>
      <c r="CH401" s="115">
        <f t="shared" ca="1" si="340"/>
        <v>27.232500000000002</v>
      </c>
      <c r="CI401" s="115" t="b">
        <f t="shared" ca="1" si="341"/>
        <v>0</v>
      </c>
      <c r="CJ401" s="119">
        <f t="shared" ca="1" si="342"/>
        <v>0.05</v>
      </c>
      <c r="CK401" s="115">
        <f t="shared" ca="1" si="343"/>
        <v>5.232499999999999</v>
      </c>
      <c r="CL401" s="115" t="b">
        <f ca="1">AND(模拟模式!$S$7="驱夷逐法",OR(AND(C401="净世破魔击·月",E400&gt;59),AND(C401="净世破魔击·日",F400&gt;59)))</f>
        <v>0</v>
      </c>
      <c r="CM401" s="115" t="b">
        <f ca="1">OR(CL401,AND(C401="净世破魔击·日",CL400,RAND()&lt;模拟模式!$U$23))</f>
        <v>1</v>
      </c>
      <c r="CN401" s="115" t="b">
        <f ca="1">IF(模拟模式!$M$7="辉耀红尘",AND(C401="净世破魔击·月",CL401,CV401=0,E400&lt;80),AND(C401="净世破魔击·月",CL401,E400&lt;100))</f>
        <v>0</v>
      </c>
      <c r="CO401" s="115" t="b">
        <f t="shared" ca="1" si="316"/>
        <v>0</v>
      </c>
      <c r="CP401" s="115" t="b">
        <f ca="1">AND(模拟模式!$O$7="用晦而明",OR(C401="净世破魔击·日",C401="净世破魔击·月",C401="驱夜断愁"),AB401)</f>
        <v>1</v>
      </c>
      <c r="CQ401" s="115" t="b">
        <f ca="1">OR(CP401,AND(CP400,RAND()&lt;模拟模式!$U$23))</f>
        <v>1</v>
      </c>
      <c r="CR401" s="115" t="b">
        <f ca="1">AND(模拟模式!$S$7="日月齐光",OR(C401="幽月轮1",C401="幽月轮2",C401="幽月轮3",CR400),NOT(OR(C401="赤日轮1",C401="赤日轮2",C401="赤日轮3")))</f>
        <v>0</v>
      </c>
      <c r="CS401" s="115" t="b">
        <f ca="1">AND(模拟模式!$S$7="日月齐光",OR(C401="赤日轮1",C401="赤日轮2",C401="赤日轮3",CS400),NOT(OR(C401="幽月轮1",C401="幽月轮2",C401="幽月轮3")))</f>
        <v>0</v>
      </c>
      <c r="CT401" s="115">
        <f t="shared" ca="1" si="344"/>
        <v>0</v>
      </c>
      <c r="CU401" s="115" t="b">
        <f ca="1">AND(模拟模式!$K$10="阴阳往极",CT400=0,RAND()&lt;IF(C401="净世破魔击·月",0.0275*7/3,IF(C401="净世破魔击·日",0.0275*3/3,0.0275*2/3)))</f>
        <v>0</v>
      </c>
      <c r="CV401" s="115">
        <f t="shared" ca="1" si="345"/>
        <v>0</v>
      </c>
      <c r="CW401" s="115">
        <f t="shared" ca="1" si="317"/>
        <v>3.2324999999999995</v>
      </c>
      <c r="CX401" s="115">
        <f t="shared" ca="1" si="318"/>
        <v>1.3874999999999997</v>
      </c>
      <c r="CY401" s="115">
        <f ca="1">MAX(IF($C401="驱夜断愁",IF(模拟模式!$R$7="万念俱寂",6,45),CY400-$F$4),0)</f>
        <v>2.3099999999999996</v>
      </c>
      <c r="CZ401" s="115">
        <f t="shared" ca="1" si="319"/>
        <v>0</v>
      </c>
      <c r="DA401" s="115">
        <f ca="1">IF(模拟模式!$N$7="日月同辉",IF(DB400=2,0,MIN(6,IF(AND(OR(C401="赤日轮1",C401="赤日轮2",C401="赤日轮3",C401="幽月轮1",C401="幽月轮2",C401="幽月轮3"),AB401=1),DA400+1,DA400))),0)</f>
        <v>3</v>
      </c>
      <c r="DB401" s="115">
        <f t="shared" ca="1" si="320"/>
        <v>0</v>
      </c>
      <c r="DC401" s="115"/>
      <c r="DD401" s="115"/>
      <c r="DE401" s="115"/>
      <c r="DF401" s="115"/>
      <c r="DG401" s="115"/>
      <c r="DH401" s="115"/>
      <c r="DI401" s="115"/>
      <c r="DJ401" s="115"/>
      <c r="DK401" s="115"/>
      <c r="DL401" s="115"/>
      <c r="DM401" s="115"/>
    </row>
    <row r="402" spans="2:117" x14ac:dyDescent="0.2">
      <c r="B402" s="117">
        <f t="shared" si="321"/>
        <v>345.93750000000313</v>
      </c>
      <c r="C402" s="167" t="str">
        <f t="shared" ca="1" si="314"/>
        <v>赤日轮1</v>
      </c>
      <c r="D402" s="115">
        <f ca="1">IF(C402="赤日轮1",1,IF(C402="赤日轮2",2,IF(C402="赤日轮3",3,IF(C402="幽月轮1",4,IF(C402="幽月轮2",5,IF(C402="幽月轮3",6,IF(C402="烈日斩",7,IF(C402="银月斩",8,IF(C402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402="净世破魔击·月",17,IF(C402="驱夜断愁",18,0)))))))))))</f>
        <v>1</v>
      </c>
      <c r="E402" s="115">
        <f ca="1">IF(AND(CU402,OR(C402="幽月轮1",C402="幽月轮2",C402="幽月轮3",C402="银月斩",C402="驱夜断愁",C402="净世破魔击·月")),100,MIN(IF(OR(CN402,BE402),0,IF(OR($C402="赤日轮1",$C402="赤日轮2",$C402="赤日轮3"),E401+20+IF(模拟模式!$I$7="日月凌天",4,0)+IF(CR401,20,0),IF($C402="烈日斩",E401+40,IF($C402="驱夜断愁",IF(模拟模式!$R$7="万念俱寂",E401+20,E401+60),IF($C402="净世破魔击·月",IF(OR(DB401&gt;0,CV401&gt;0),100,IF(模拟模式!$M$7="辉耀红尘",E401+20,E401)),IF($C402="净世破魔击·日",E401-100,E401)))))),100))</f>
        <v>20</v>
      </c>
      <c r="F402" s="115">
        <f ca="1">IF(AND(CU402,OR(C402="赤日轮1",C402="赤日轮2",C402="赤日轮3",C402="烈日斩",C402="净世破魔击·日")),100,MIN(IF(CO402,0,IF(OR($C402="幽月轮1",$C402="幽月轮2",$C402="幽月轮3"),F401+20+IF(模拟模式!$I$7="日月凌天",4,0)+IF(CS401,20,0),IF($C402="银月斩",F401+40+IF(模拟模式!$X$12=1,5,0),IF($C402="驱夜断愁",IF(模拟模式!$R$7="万念俱寂",F401+20,F401+60),IF($C402="净世破魔击·月",IF(模拟模式!$M$7="辉耀红尘",F401-80,F401-100),IF(AND(C402="净世破魔击·日",OR(DB401&gt;0,CV401&gt;0)),100,F401)))))),100))</f>
        <v>100</v>
      </c>
      <c r="G402" s="117">
        <f ca="1">('模拟-全程加成'!$E$3+'模拟-全程加成'!$E$4+'模拟-全程加成'!$E$5+('模拟-全程加成'!$C$6-'模拟-全程加成'!$C$3)*系数!$B$9+BS402*23)*(1+'模拟-全程加成'!$F$4+'模拟-全程加成'!$F$5+BJ402*10%+BM402*20%+BP402*4%+CG402*30%)+$F$7*系数!$B$12</f>
        <v>21493.829400000002</v>
      </c>
      <c r="H402" s="45">
        <f ca="1">'模拟-全程加成'!$H$3+'模拟-全程加成'!$H$4+'模拟-全程加成'!$H$5+('模拟-全程加成'!$G$4+'模拟-全程加成'!$G$5+('模拟-全程加成'!$C$6-'模拟-全程加成'!$C$3)*系数!$B$13)/系数!$B$3+LOOKUP(D402,'模拟-单技能数据'!$A$2:$A$19,'模拟-单技能数据'!$K$2:$K$19)+BG402*10%+IF(BV402&gt;0,378,0)</f>
        <v>0.4618514552730022</v>
      </c>
      <c r="I402" s="45">
        <f ca="1">'模拟-全程加成'!$J$3+'模拟-全程加成'!$J$4+'模拟-全程加成'!$J$5+('模拟-全程加成'!$I$4+'模拟-全程加成'!$I$5)/系数!$B$4+LOOKUP(D402,'模拟-单技能数据'!$A$2:$A$19,'模拟-单技能数据'!$L$2:$L$19)+BG402*10%</f>
        <v>2.162482885499879</v>
      </c>
      <c r="J402" s="45">
        <f ca="1">(('模拟-全程加成'!$K$3+'模拟-全程加成'!$K$4+'模拟-全程加成'!$K$5+('模拟-全程加成'!$C$6-'模拟-全程加成'!$C$3)*系数!$B$10+IF(BV402&gt;0,882,0)+IF(BY402&gt;0,1831,0))*(1+'模拟-全程加成'!$L$4+'模拟-全程加成'!$L$5+CC402*20%))/系数!$B$5</f>
        <v>0.69723220422048726</v>
      </c>
      <c r="K402" s="119">
        <f ca="1">LOOKUP(D402,'模拟-单技能数据'!$A$2:$A$19,'模拟-单技能数据'!$J$2:$J$19)+IF(CM402,60%,0)+IF(DB401-DB402&gt;0,30%,0)+IF(OR(AND(OR(C402="赤日轮1",C402="赤日轮2",C402="赤日轮3"),CR402),AND(OR(C402="幽月轮1",C402="幽月轮2",C402="幽月轮3"),CS402)),35%,0)+CJ402</f>
        <v>0.16999999999999998</v>
      </c>
      <c r="L402" s="119">
        <f ca="1">IF(AND(C402="烈日斩",模拟模式!$X$11=1),10%,0)+IF(AND(C402="驱夜断愁",AB402=1),30%,0)</f>
        <v>0</v>
      </c>
      <c r="M402" s="45">
        <f t="shared" ca="1" si="353"/>
        <v>0.4618514552730022</v>
      </c>
      <c r="N402" s="45">
        <f t="shared" ca="1" si="354"/>
        <v>0.48424854472699785</v>
      </c>
      <c r="O402" s="46">
        <f t="shared" ca="1" si="322"/>
        <v>0.15927703085935407</v>
      </c>
      <c r="P402" s="46" t="str">
        <f t="shared" ca="1" si="323"/>
        <v>会</v>
      </c>
      <c r="Q402" s="45">
        <f t="shared" ca="1" si="324"/>
        <v>2.162482885499879</v>
      </c>
      <c r="R402" s="117">
        <f ca="1">模拟模式!$E$20*(1-IF(模拟模式!$J$19="有",0.15,0))*(1-IF(模拟模式!$K$19="有",0.3,0)-IF(CQ402,0.5,0))</f>
        <v>843.02999999999975</v>
      </c>
      <c r="S402" s="45">
        <f ca="1">R402/(R402+(185*模拟模式!$E$22-16800)*4.08224)</f>
        <v>8.389626085980037E-2</v>
      </c>
      <c r="T402" s="45" t="str">
        <f ca="1">LOOKUP(D402,'模拟-单技能数据'!$A$2:$A$19,'模拟-单技能数据'!$H$2:$H$19)</f>
        <v>阳</v>
      </c>
      <c r="U402" s="119">
        <f t="shared" ca="1" si="355"/>
        <v>0.2</v>
      </c>
      <c r="V402" s="47">
        <f ca="1">(1+L402)*(LOOKUP(D402,'模拟-单技能数据'!$A$2:$A$19,'模拟-单技能数据'!$D$2:$D$19)+G402*LOOKUP(D402,'模拟-单技能数据'!$A$2:$A$19,'模拟-单技能数据'!$F$2:$F$19))*(1+J402)*(1+K402)*(1-S402)*(1+U402)*Q402*LOOKUP(D402,'模拟-单技能数据'!$A$2:$A$19,'模拟-单技能数据'!$I$2:$I$20)</f>
        <v>59402.734511278548</v>
      </c>
      <c r="W402" s="47">
        <f ca="1">LOOKUP(D402,'模拟-单技能数据'!$A$2:$A$19,'模拟-单技能数据'!$G$2:$G$19)*$I$10</f>
        <v>361.51064354704795</v>
      </c>
      <c r="X402" s="47">
        <f t="shared" ca="1" si="325"/>
        <v>22400.517325193734</v>
      </c>
      <c r="Y402" s="47">
        <f t="shared" ca="1" si="356"/>
        <v>82164.76248001933</v>
      </c>
      <c r="Z402" s="49">
        <f t="shared" ca="1" si="357"/>
        <v>39277653.186059386</v>
      </c>
      <c r="AA402" s="97">
        <f t="shared" ca="1" si="358"/>
        <v>113539.73820721671</v>
      </c>
      <c r="AB402" s="115">
        <f ca="1">IF(OR(C402="赤日轮1",C402="赤日轮2",C402="赤日轮3"),IF(RAND()&lt;模拟模式!$Y$17,1,0),IF(OR(C402="幽月轮1",C402="幽月轮2",C402="幽月轮3"),IF(RAND()&lt;模拟模式!$Y$18,1,0),IF(C402="烈日斩",IF(RAND()&lt;模拟模式!$Y$19,1,0),IF(C402="银月斩",IF(RAND()&lt;模拟模式!$Y$20,1,0),IF(C402="驱夜断愁",IF(RAND()&lt;模拟模式!$Y$21,1,0),IF(C402="净世破魔击·日",IF(RAND()&lt;模拟模式!$Y$22,1,0),IF(C402="净世破魔击·月",IF(RAND()&lt;模拟模式!$Y$23,1,0),0)))))))</f>
        <v>1</v>
      </c>
      <c r="AC402" s="115" t="b">
        <f t="shared" ca="1" si="346"/>
        <v>0</v>
      </c>
      <c r="AD402" s="115" t="b">
        <f t="shared" ca="1" si="366"/>
        <v>0</v>
      </c>
      <c r="AE402" s="115">
        <f t="shared" ca="1" si="367"/>
        <v>3</v>
      </c>
      <c r="AF402" s="47">
        <f ca="1">IF(AC402,('模拟-单技能数据'!$D$20+G402*'模拟-单技能数据'!$F$20)*(1+J402)*(1+'模拟-单技能数据'!$J$20)*(1+U402),0)</f>
        <v>0</v>
      </c>
      <c r="AG402" s="61">
        <f t="shared" ca="1" si="359"/>
        <v>0.64185145527300214</v>
      </c>
      <c r="AH402" s="61">
        <f t="shared" ca="1" si="360"/>
        <v>2.2624828854998791</v>
      </c>
      <c r="AI402" s="62">
        <f t="shared" ca="1" si="326"/>
        <v>0.42275244191385697</v>
      </c>
      <c r="AJ402" s="47">
        <f ca="1">IF(AD402,IF(AI402&lt;$F$10,0,IF(AI402&lt;$F$10+$F$11,0.25,IF(AI402&lt;$F$10+$F$11+AG402,AH402,1)))*IF(AF402&gt;0,AF402,IF(AF401&gt;0,AF401,IF(AF400&gt;0,AF400,IF(AF399&gt;0,AF399,IF(AF398&gt;0,AF398,IF(AF397&gt;0,AF397,IF(AF396&gt;0,AF396,IF(AF395&gt;0,AF395,IF(AF394&gt;0,AF394,IF(AF392&gt;0,AF392,IF(AF391&gt;0,AF391,IF(AF390&gt;0,AF390,0)))))))))))),0)*(1-$S402)*'模拟-单技能数据'!$I$20</f>
        <v>0</v>
      </c>
      <c r="AK402" s="115" t="b">
        <f t="shared" ca="1" si="347"/>
        <v>0</v>
      </c>
      <c r="AL402" s="115" t="b">
        <f t="shared" ca="1" si="368"/>
        <v>0</v>
      </c>
      <c r="AM402" s="115">
        <f t="shared" ca="1" si="369"/>
        <v>5</v>
      </c>
      <c r="AN402" s="47">
        <f ca="1">IF(AK402,('模拟-单技能数据'!$D$21+G402*'模拟-单技能数据'!$F$21)*(1+J402)*(1+'模拟-单技能数据'!$J$21)*(1+U402),0)</f>
        <v>0</v>
      </c>
      <c r="AO402" s="61">
        <f ca="1">IF(AN402&gt;0,M402-'模拟-单技能数据'!$K$10,AO401)</f>
        <v>0.42185145527300216</v>
      </c>
      <c r="AP402" s="61">
        <f ca="1">IF(AN402&gt;0,I402-'模拟-单技能数据'!$L$10,AP401)</f>
        <v>2.162482885499879</v>
      </c>
      <c r="AQ402" s="63">
        <f t="shared" ca="1" si="327"/>
        <v>0.73325476934495815</v>
      </c>
      <c r="AR402" s="64">
        <f ca="1">IF(AL402,IF(AQ402&lt;$F$10,0,IF(AQ402&lt;$F$10+$F$11,0.25,IF(AQ402&lt;$F$10+$F$11+AO402,AP402,1)))*IF(AN402&gt;0,AN402,IF(AN401&gt;0,AN401,IF(AN400&gt;0,AN400,IF(AN399&gt;0,AN399,IF(AN398&gt;0,AN398,IF(AN397&gt;0,AN397,IF(AN396&gt;0,AN396,IF(AN395&gt;0,AN395,IF(AN394&gt;0,AN394,IF(AN392&gt;0,AN392,IF(AN391&gt;0,AN391,IF(AN390&gt;0,AN390,0)))))))))))),0)*(1-$S402)*'模拟-单技能数据'!$I$21</f>
        <v>0</v>
      </c>
      <c r="AS402" s="61">
        <f ca="1">IF(OR(C402="净世破魔击·日",C402="净世破魔击·月"),M402-'模拟-单技能数据'!$K$10,0)</f>
        <v>0</v>
      </c>
      <c r="AT402" s="61">
        <f ca="1">IF(OR(C402="净世破魔击·日",C402="净世破魔击·月"),I402-'模拟-单技能数据'!$L$10,0)</f>
        <v>0</v>
      </c>
      <c r="AU402" s="62">
        <f t="shared" ca="1" si="328"/>
        <v>2.1108893402622786E-2</v>
      </c>
      <c r="AV402" s="64">
        <f ca="1">IF(AS402&gt;0,('模拟-单技能数据'!$D$22+G402*'模拟-单技能数据'!$F$22)*(1+J402)*(1-S402)*IF(AU402&lt;$F$10,0,IF(AU402&lt;$F$10+$F$11,0.25,IF(AU402&lt;$F$10+$F$11+AS402,AT402,1)))*(1+U402),0)*'模拟-单技能数据'!$I$22</f>
        <v>0</v>
      </c>
      <c r="AW402" s="108">
        <f t="shared" ca="1" si="329"/>
        <v>4.3175000000000061</v>
      </c>
      <c r="AX402" s="108" t="b">
        <f ca="1">AND(模拟模式!$P$10="有",AW401=0,RAND()&lt;IF(C402="净世破魔击·月",0.1*8/3,IF(C402="净世破魔击·日",0.1*4/3,0.1*2/3)))</f>
        <v>0</v>
      </c>
      <c r="AY402" s="47">
        <f ca="1">IF(AX402,(18+G402*0.722)*(1+J402)*(1-S402)*(1+$I$4)*IF(P402="会",'模拟-全程加成'!$J$3+'模拟-全程加成'!$J$4+'模拟-全程加成'!$J$5+('模拟-全程加成'!$I$4+'模拟-全程加成'!$I$5)/系数!$B$4+BG402*10%,IF(P402="命",1,IF(P402="识",0.25,0))),0)</f>
        <v>0</v>
      </c>
      <c r="AZ402" s="108">
        <f t="shared" si="330"/>
        <v>19.077500000000001</v>
      </c>
      <c r="BA402" s="108" t="b">
        <f>AND(模拟模式!$Q$10="有",AZ401=0)</f>
        <v>1</v>
      </c>
      <c r="BB402" s="140">
        <f ca="1">IF(BA402,(0+G402*0.287)*(1+J402)*(1-S402)*(1+$I$4)*IF(P402="会",'模拟-全程加成'!$J$3+'模拟-全程加成'!$J$4+'模拟-全程加成'!$J$5+('模拟-全程加成'!$I$4+'模拟-全程加成'!$I$5)/系数!$B$4+BG402*10%,IF(P402="命",1,IF(P402="识",0.25,0))),0)</f>
        <v>22400.517325193734</v>
      </c>
      <c r="BC402" s="115" t="b">
        <f ca="1">AND(模拟模式!$R$7="伏明众生",E402=60,F402=20,DA402&lt;5,CZ401&lt;$F$4)</f>
        <v>0</v>
      </c>
      <c r="BD402" s="115">
        <f t="shared" ca="1" si="348"/>
        <v>0</v>
      </c>
      <c r="BE402" s="115" t="b">
        <f t="shared" ca="1" si="349"/>
        <v>0</v>
      </c>
      <c r="BF402" s="47">
        <f ca="1">IF(BC402,4*('模拟-单技能数据'!$D$24+G402*'模拟-单技能数据'!$F$24)*(1+J402)*(1+'模拟-单技能数据'!$J$24)*(1-S402)*(1+$I$3)*(('模拟-全程加成'!$J$3+'模拟-全程加成'!$J$4+'模拟-全程加成'!$J$5+('模拟-全程加成'!$I$4+'模拟-全程加成'!$I$5)/系数!$B$4+BG402*10%)*('模拟-全程加成'!$J$3+'模拟-全程加成'!$J$4+'模拟-全程加成'!$J$5+('模拟-全程加成'!$I$4+'模拟-全程加成'!$I$5)/系数!$B$4+BG402*10%)+(1-('模拟-全程加成'!$J$3+'模拟-全程加成'!$J$4+'模拟-全程加成'!$J$5+('模拟-全程加成'!$I$4+'模拟-全程加成'!$I$5)/系数!$B$4+BG402*10%)-$F$10-$F$11)+F388*0.25),0)*'模拟-单技能数据'!$I$24</f>
        <v>0</v>
      </c>
      <c r="BG402" s="115" t="b">
        <f ca="1">OR(AND(OR(C402="烈日斩",C402="银月斩"),模拟模式!$I$7="净身明礼"),AND(C402="净世破魔击·日",模拟模式!$J$7="洞若观火"),AND(C403="净世破魔击·月",模拟模式!$J$7="洞若观火"),AB402=1)</f>
        <v>1</v>
      </c>
      <c r="BH402" s="115" t="b">
        <f t="shared" ca="1" si="331"/>
        <v>0</v>
      </c>
      <c r="BI402" s="115">
        <f t="shared" ca="1" si="350"/>
        <v>2.3099999999999996</v>
      </c>
      <c r="BJ402" s="115" t="b">
        <f t="shared" ca="1" si="361"/>
        <v>1</v>
      </c>
      <c r="BK402" s="115" t="b">
        <f ca="1">AND(C402="驱夜断愁",模拟模式!$P$7="天地诛戮")</f>
        <v>0</v>
      </c>
      <c r="BL402" s="57">
        <f t="shared" ca="1" si="351"/>
        <v>15.387500000000003</v>
      </c>
      <c r="BM402" s="115" t="b">
        <f t="shared" ca="1" si="362"/>
        <v>1</v>
      </c>
      <c r="BN402" s="115" t="b">
        <f ca="1">AND(OR(C402="赤日轮1",C402="赤日轮2",C402="赤日轮3",C402="幽月轮1",C402="幽月轮2",C402="幽月轮3"),AB402=1,模拟模式!$L$7="明光恒照")</f>
        <v>1</v>
      </c>
      <c r="BO402" s="117">
        <f t="shared" ca="1" si="352"/>
        <v>30</v>
      </c>
      <c r="BP402" s="115">
        <f t="shared" ca="1" si="332"/>
        <v>6</v>
      </c>
      <c r="BQ402" s="115" t="b">
        <f>模拟模式!$K$10="2600·水"</f>
        <v>0</v>
      </c>
      <c r="BR402" s="117">
        <f t="shared" si="333"/>
        <v>0</v>
      </c>
      <c r="BS402" s="115">
        <f t="shared" si="334"/>
        <v>0</v>
      </c>
      <c r="BT402" s="115">
        <f t="shared" ca="1" si="335"/>
        <v>0</v>
      </c>
      <c r="BU402" s="115" t="b">
        <f ca="1">AND(模拟模式!$K$10="2300·雷",BT401=0,RAND()&lt;IF(C402="净世破魔击·月",5*0.05*2/3,IF(C402="净世破魔击·日",3*0.05*2/3,0.05*2*2/3)))</f>
        <v>0</v>
      </c>
      <c r="BV402" s="115">
        <f t="shared" ca="1" si="336"/>
        <v>0</v>
      </c>
      <c r="BW402" s="115">
        <f t="shared" ca="1" si="337"/>
        <v>25.942499999999299</v>
      </c>
      <c r="BX402" s="164" t="b">
        <f t="shared" ca="1" si="338"/>
        <v>0</v>
      </c>
      <c r="BY402" s="115">
        <f t="shared" ca="1" si="339"/>
        <v>0</v>
      </c>
      <c r="BZ402" s="115">
        <f>IF(OR(模拟模式!$P$16="10人团",模拟模式!$P$16="25人团"),IF(B402/30&gt;CA401,1,0),0)</f>
        <v>0</v>
      </c>
      <c r="CA402" s="115">
        <f t="shared" si="315"/>
        <v>0</v>
      </c>
      <c r="CB402" s="115">
        <f ca="1">IF(BZ402=1,IF(模拟模式!$P$16="10人团",15,0)+IF(模拟模式!$P$16="25人团",IF(RAND()&lt;0.6,15,0)),MAX(0,CB401-$F$4))</f>
        <v>0</v>
      </c>
      <c r="CC402" s="115" t="b">
        <f t="shared" ca="1" si="363"/>
        <v>0</v>
      </c>
      <c r="CD402" s="115">
        <f>IF(模拟模式!$Q$16="1个",IF(B402/40&gt;CE401,1,0),0)</f>
        <v>0</v>
      </c>
      <c r="CE402" s="115">
        <f t="shared" si="364"/>
        <v>0</v>
      </c>
      <c r="CF402" s="115">
        <f>IF(OR(CD402=1,模拟模式!$Q$16="2个"),20,MAX(0,CF401-$F$4))</f>
        <v>0</v>
      </c>
      <c r="CG402" s="115" t="b">
        <f t="shared" si="365"/>
        <v>0</v>
      </c>
      <c r="CH402" s="115">
        <f t="shared" ca="1" si="340"/>
        <v>26.310000000000002</v>
      </c>
      <c r="CI402" s="115" t="b">
        <f t="shared" ca="1" si="341"/>
        <v>0</v>
      </c>
      <c r="CJ402" s="119">
        <f t="shared" ca="1" si="342"/>
        <v>0.05</v>
      </c>
      <c r="CK402" s="115">
        <f t="shared" ca="1" si="343"/>
        <v>4.3099999999999987</v>
      </c>
      <c r="CL402" s="115" t="b">
        <f ca="1">AND(模拟模式!$S$7="驱夷逐法",OR(AND(C402="净世破魔击·月",E401&gt;59),AND(C402="净世破魔击·日",F401&gt;59)))</f>
        <v>0</v>
      </c>
      <c r="CM402" s="115" t="b">
        <f ca="1">OR(CL402,AND(C402="净世破魔击·日",CL401,RAND()&lt;模拟模式!$U$23))</f>
        <v>0</v>
      </c>
      <c r="CN402" s="115" t="b">
        <f ca="1">IF(模拟模式!$M$7="辉耀红尘",AND(C402="净世破魔击·月",CL402,CV402=0,E401&lt;80),AND(C402="净世破魔击·月",CL402,E401&lt;100))</f>
        <v>0</v>
      </c>
      <c r="CO402" s="115" t="b">
        <f t="shared" ca="1" si="316"/>
        <v>0</v>
      </c>
      <c r="CP402" s="115" t="b">
        <f ca="1">AND(模拟模式!$O$7="用晦而明",OR(C402="净世破魔击·日",C402="净世破魔击·月",C402="驱夜断愁"),AB402)</f>
        <v>0</v>
      </c>
      <c r="CQ402" s="115" t="b">
        <f ca="1">OR(CP402,AND(CP401,RAND()&lt;模拟模式!$U$23))</f>
        <v>1</v>
      </c>
      <c r="CR402" s="115" t="b">
        <f ca="1">AND(模拟模式!$S$7="日月齐光",OR(C402="幽月轮1",C402="幽月轮2",C402="幽月轮3",CR401),NOT(OR(C402="赤日轮1",C402="赤日轮2",C402="赤日轮3")))</f>
        <v>0</v>
      </c>
      <c r="CS402" s="115" t="b">
        <f ca="1">AND(模拟模式!$S$7="日月齐光",OR(C402="赤日轮1",C402="赤日轮2",C402="赤日轮3",CS401),NOT(OR(C402="幽月轮1",C402="幽月轮2",C402="幽月轮3")))</f>
        <v>0</v>
      </c>
      <c r="CT402" s="115">
        <f t="shared" ca="1" si="344"/>
        <v>30</v>
      </c>
      <c r="CU402" s="115" t="b">
        <f ca="1">AND(模拟模式!$K$10="阴阳往极",CT401=0,RAND()&lt;IF(C402="净世破魔击·月",0.0275*7/3,IF(C402="净世破魔击·日",0.0275*3/3,0.0275*2/3)))</f>
        <v>1</v>
      </c>
      <c r="CV402" s="115">
        <f t="shared" ca="1" si="345"/>
        <v>4.0774999999999997</v>
      </c>
      <c r="CW402" s="115">
        <f t="shared" ca="1" si="317"/>
        <v>2.3099999999999996</v>
      </c>
      <c r="CX402" s="115">
        <f t="shared" ca="1" si="318"/>
        <v>0.46499999999999975</v>
      </c>
      <c r="CY402" s="115">
        <f ca="1">MAX(IF($C402="驱夜断愁",IF(模拟模式!$R$7="万念俱寂",6,45),CY401-$F$4),0)</f>
        <v>1.3874999999999997</v>
      </c>
      <c r="CZ402" s="115">
        <f t="shared" ca="1" si="319"/>
        <v>0</v>
      </c>
      <c r="DA402" s="115">
        <f ca="1">IF(模拟模式!$N$7="日月同辉",IF(DB401=2,0,MIN(6,IF(AND(OR(C402="赤日轮1",C402="赤日轮2",C402="赤日轮3",C402="幽月轮1",C402="幽月轮2",C402="幽月轮3"),AB402=1),DA401+1,DA401))),0)</f>
        <v>4</v>
      </c>
      <c r="DB402" s="115">
        <f t="shared" ca="1" si="320"/>
        <v>0</v>
      </c>
      <c r="DC402" s="115"/>
      <c r="DD402" s="115"/>
      <c r="DE402" s="115"/>
      <c r="DF402" s="115"/>
      <c r="DG402" s="115"/>
      <c r="DH402" s="115"/>
      <c r="DI402" s="115"/>
      <c r="DJ402" s="115"/>
      <c r="DK402" s="115"/>
      <c r="DL402" s="115"/>
      <c r="DM402" s="115"/>
    </row>
    <row r="403" spans="2:117" x14ac:dyDescent="0.2">
      <c r="B403" s="117">
        <f t="shared" si="321"/>
        <v>346.86000000000314</v>
      </c>
      <c r="C403" s="167" t="str">
        <f t="shared" ca="1" si="314"/>
        <v>净世破魔击·月</v>
      </c>
      <c r="D403" s="115">
        <f ca="1">IF(C403="赤日轮1",1,IF(C403="赤日轮2",2,IF(C403="赤日轮3",3,IF(C403="幽月轮1",4,IF(C403="幽月轮2",5,IF(C403="幽月轮3",6,IF(C403="烈日斩",7,IF(C403="银月斩",8,IF(C403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403="净世破魔击·月",17,IF(C403="驱夜断愁",18,0)))))))))))</f>
        <v>17</v>
      </c>
      <c r="E403" s="115">
        <f ca="1">IF(AND(CU403,OR(C403="幽月轮1",C403="幽月轮2",C403="幽月轮3",C403="银月斩",C403="驱夜断愁",C403="净世破魔击·月")),100,MIN(IF(OR(CN403,BE403),0,IF(OR($C403="赤日轮1",$C403="赤日轮2",$C403="赤日轮3"),E402+20+IF(模拟模式!$I$7="日月凌天",4,0)+IF(CR402,20,0),IF($C403="烈日斩",E402+40,IF($C403="驱夜断愁",IF(模拟模式!$R$7="万念俱寂",E402+20,E402+60),IF($C403="净世破魔击·月",IF(OR(DB402&gt;0,CV402&gt;0),100,IF(模拟模式!$M$7="辉耀红尘",E402+20,E402)),IF($C403="净世破魔击·日",E402-100,E402)))))),100))</f>
        <v>100</v>
      </c>
      <c r="F403" s="115">
        <f ca="1">IF(AND(CU403,OR(C403="赤日轮1",C403="赤日轮2",C403="赤日轮3",C403="烈日斩",C403="净世破魔击·日")),100,MIN(IF(CO403,0,IF(OR($C403="幽月轮1",$C403="幽月轮2",$C403="幽月轮3"),F402+20+IF(模拟模式!$I$7="日月凌天",4,0)+IF(CS402,20,0),IF($C403="银月斩",F402+40+IF(模拟模式!$X$12=1,5,0),IF($C403="驱夜断愁",IF(模拟模式!$R$7="万念俱寂",F402+20,F402+60),IF($C403="净世破魔击·月",IF(模拟模式!$M$7="辉耀红尘",F402-80,F402-100),IF(AND(C403="净世破魔击·日",OR(DB402&gt;0,CV402&gt;0)),100,F402)))))),100))</f>
        <v>20</v>
      </c>
      <c r="G403" s="117">
        <f ca="1">('模拟-全程加成'!$E$3+'模拟-全程加成'!$E$4+'模拟-全程加成'!$E$5+('模拟-全程加成'!$C$6-'模拟-全程加成'!$C$3)*系数!$B$9+BS403*23)*(1+'模拟-全程加成'!$F$4+'模拟-全程加成'!$F$5+BJ403*10%+BM403*20%+BP403*4%+CG403*30%)+$F$7*系数!$B$12</f>
        <v>21493.829400000002</v>
      </c>
      <c r="H403" s="45">
        <f ca="1">'模拟-全程加成'!$H$3+'模拟-全程加成'!$H$4+'模拟-全程加成'!$H$5+('模拟-全程加成'!$G$4+'模拟-全程加成'!$G$5+('模拟-全程加成'!$C$6-'模拟-全程加成'!$C$3)*系数!$B$13)/系数!$B$3+LOOKUP(D403,'模拟-单技能数据'!$A$2:$A$19,'模拟-单技能数据'!$K$2:$K$19)+BG403*10%+IF(BV403&gt;0,378,0)</f>
        <v>0.54185145527300216</v>
      </c>
      <c r="I403" s="45">
        <f ca="1">'模拟-全程加成'!$J$3+'模拟-全程加成'!$J$4+'模拟-全程加成'!$J$5+('模拟-全程加成'!$I$4+'模拟-全程加成'!$I$5)/系数!$B$4+LOOKUP(D403,'模拟-单技能数据'!$A$2:$A$19,'模拟-单技能数据'!$L$2:$L$19)+BG403*10%</f>
        <v>2.162482885499879</v>
      </c>
      <c r="J403" s="45">
        <f ca="1">(('模拟-全程加成'!$K$3+'模拟-全程加成'!$K$4+'模拟-全程加成'!$K$5+('模拟-全程加成'!$C$6-'模拟-全程加成'!$C$3)*系数!$B$10+IF(BV403&gt;0,882,0)+IF(BY403&gt;0,1831,0))*(1+'模拟-全程加成'!$L$4+'模拟-全程加成'!$L$5+CC403*20%))/系数!$B$5</f>
        <v>0.69723220422048726</v>
      </c>
      <c r="K403" s="119">
        <f ca="1">LOOKUP(D403,'模拟-单技能数据'!$A$2:$A$19,'模拟-单技能数据'!$J$2:$J$19)+IF(CM403,60%,0)+IF(DB402-DB403&gt;0,30%,0)+IF(OR(AND(OR(C403="赤日轮1",C403="赤日轮2",C403="赤日轮3"),CR403),AND(OR(C403="幽月轮1",C403="幽月轮2",C403="幽月轮3"),CS403)),35%,0)+CJ403</f>
        <v>0.25</v>
      </c>
      <c r="L403" s="119">
        <f ca="1">IF(AND(C403="烈日斩",模拟模式!$X$11=1),10%,0)+IF(AND(C403="驱夜断愁",AB403=1),30%,0)</f>
        <v>0</v>
      </c>
      <c r="M403" s="45">
        <f t="shared" ca="1" si="353"/>
        <v>0.54185145527300216</v>
      </c>
      <c r="N403" s="45">
        <f t="shared" ca="1" si="354"/>
        <v>0.40424854472699789</v>
      </c>
      <c r="O403" s="46">
        <f t="shared" ca="1" si="322"/>
        <v>0.70325655859896108</v>
      </c>
      <c r="P403" s="46" t="str">
        <f t="shared" ca="1" si="323"/>
        <v>命</v>
      </c>
      <c r="Q403" s="45">
        <f t="shared" ca="1" si="324"/>
        <v>1</v>
      </c>
      <c r="R403" s="117">
        <f ca="1">模拟模式!$E$20*(1-IF(模拟模式!$J$19="有",0.15,0))*(1-IF(模拟模式!$K$19="有",0.3,0)-IF(CQ403,0.5,0))</f>
        <v>843.02999999999975</v>
      </c>
      <c r="S403" s="45">
        <f ca="1">R403/(R403+(185*模拟模式!$E$22-16800)*4.08224)</f>
        <v>8.389626085980037E-2</v>
      </c>
      <c r="T403" s="45" t="str">
        <f ca="1">LOOKUP(D403,'模拟-单技能数据'!$A$2:$A$19,'模拟-单技能数据'!$H$2:$H$19)</f>
        <v>阴</v>
      </c>
      <c r="U403" s="119">
        <f t="shared" ca="1" si="355"/>
        <v>0.08</v>
      </c>
      <c r="V403" s="47">
        <f ca="1">(1+L403)*(LOOKUP(D403,'模拟-单技能数据'!$A$2:$A$19,'模拟-单技能数据'!$D$2:$D$19)+G403*LOOKUP(D403,'模拟-单技能数据'!$A$2:$A$19,'模拟-单技能数据'!$F$2:$F$19))*(1+J403)*(1+K403)*(1-S403)*(1+U403)*Q403*LOOKUP(D403,'模拟-单技能数据'!$A$2:$A$19,'模拟-单技能数据'!$I$2:$I$20)</f>
        <v>58619.995440519822</v>
      </c>
      <c r="W403" s="47">
        <f ca="1">LOOKUP(D403,'模拟-单技能数据'!$A$2:$A$19,'模拟-单技能数据'!$G$2:$G$19)*$I$10</f>
        <v>361.51064354704795</v>
      </c>
      <c r="X403" s="47">
        <f t="shared" ca="1" si="325"/>
        <v>32887.759470821824</v>
      </c>
      <c r="Y403" s="47">
        <f t="shared" ca="1" si="356"/>
        <v>91869.265554888698</v>
      </c>
      <c r="Z403" s="49">
        <f t="shared" ca="1" si="357"/>
        <v>39369522.451614276</v>
      </c>
      <c r="AA403" s="97">
        <f t="shared" ca="1" si="358"/>
        <v>113502.63060489511</v>
      </c>
      <c r="AB403" s="115">
        <f ca="1">IF(OR(C403="赤日轮1",C403="赤日轮2",C403="赤日轮3"),IF(RAND()&lt;模拟模式!$Y$17,1,0),IF(OR(C403="幽月轮1",C403="幽月轮2",C403="幽月轮3"),IF(RAND()&lt;模拟模式!$Y$18,1,0),IF(C403="烈日斩",IF(RAND()&lt;模拟模式!$Y$19,1,0),IF(C403="银月斩",IF(RAND()&lt;模拟模式!$Y$20,1,0),IF(C403="驱夜断愁",IF(RAND()&lt;模拟模式!$Y$21,1,0),IF(C403="净世破魔击·日",IF(RAND()&lt;模拟模式!$Y$22,1,0),IF(C403="净世破魔击·月",IF(RAND()&lt;模拟模式!$Y$23,1,0),0)))))))</f>
        <v>1</v>
      </c>
      <c r="AC403" s="115" t="b">
        <f t="shared" ca="1" si="346"/>
        <v>0</v>
      </c>
      <c r="AD403" s="115" t="b">
        <f t="shared" ca="1" si="366"/>
        <v>1</v>
      </c>
      <c r="AE403" s="115">
        <f t="shared" ca="1" si="367"/>
        <v>2</v>
      </c>
      <c r="AF403" s="47">
        <f ca="1">IF(AC403,('模拟-单技能数据'!$D$20+G403*'模拟-单技能数据'!$F$20)*(1+J403)*(1+'模拟-单技能数据'!$J$20)*(1+U403),0)</f>
        <v>0</v>
      </c>
      <c r="AG403" s="61">
        <f t="shared" ca="1" si="359"/>
        <v>0.64185145527300214</v>
      </c>
      <c r="AH403" s="61">
        <f t="shared" ca="1" si="360"/>
        <v>2.2624828854998791</v>
      </c>
      <c r="AI403" s="62">
        <f t="shared" ca="1" si="326"/>
        <v>0.82070105689788742</v>
      </c>
      <c r="AJ403" s="47">
        <f ca="1">IF(AD403,IF(AI403&lt;$F$10,0,IF(AI403&lt;$F$10+$F$11,0.25,IF(AI403&lt;$F$10+$F$11+AG403,AH403,1)))*IF(AF403&gt;0,AF403,IF(AF402&gt;0,AF402,IF(AF401&gt;0,AF401,IF(AF400&gt;0,AF400,IF(AF399&gt;0,AF399,IF(AF398&gt;0,AF398,IF(AF397&gt;0,AF397,IF(AF396&gt;0,AF396,IF(AF395&gt;0,AF395,IF(AF393&gt;0,AF393,IF(AF392&gt;0,AF392,IF(AF391&gt;0,AF391,0)))))))))))),0)*(1-$S403)*'模拟-单技能数据'!$I$20</f>
        <v>4074.6980221198578</v>
      </c>
      <c r="AK403" s="115" t="b">
        <f t="shared" ca="1" si="347"/>
        <v>0</v>
      </c>
      <c r="AL403" s="115" t="b">
        <f t="shared" ca="1" si="368"/>
        <v>1</v>
      </c>
      <c r="AM403" s="115">
        <f t="shared" ca="1" si="369"/>
        <v>4</v>
      </c>
      <c r="AN403" s="47">
        <f ca="1">IF(AK403,('模拟-单技能数据'!$D$21+G403*'模拟-单技能数据'!$F$21)*(1+J403)*(1+'模拟-单技能数据'!$J$21)*(1+U403),0)</f>
        <v>0</v>
      </c>
      <c r="AO403" s="61">
        <f ca="1">IF(AN403&gt;0,M403-'模拟-单技能数据'!$K$10,AO402)</f>
        <v>0.42185145527300216</v>
      </c>
      <c r="AP403" s="61">
        <f ca="1">IF(AN403&gt;0,I403-'模拟-单技能数据'!$L$10,AP402)</f>
        <v>2.162482885499879</v>
      </c>
      <c r="AQ403" s="63">
        <f t="shared" ca="1" si="327"/>
        <v>0.91081513437134942</v>
      </c>
      <c r="AR403" s="64">
        <f ca="1">IF(AL403,IF(AQ403&lt;$F$10,0,IF(AQ403&lt;$F$10+$F$11,0.25,IF(AQ403&lt;$F$10+$F$11+AO403,AP403,1)))*IF(AN403&gt;0,AN403,IF(AN402&gt;0,AN402,IF(AN401&gt;0,AN401,IF(AN400&gt;0,AN400,IF(AN399&gt;0,AN399,IF(AN398&gt;0,AN398,IF(AN397&gt;0,AN397,IF(AN396&gt;0,AN396,IF(AN395&gt;0,AN395,IF(AN393&gt;0,AN393,IF(AN392&gt;0,AN392,IF(AN391&gt;0,AN391,0)))))))))))),0)*(1-$S403)*'模拟-单技能数据'!$I$21</f>
        <v>11607.89185245618</v>
      </c>
      <c r="AS403" s="61">
        <f ca="1">IF(OR(C403="净世破魔击·日",C403="净世破魔击·月"),M403-'模拟-单技能数据'!$K$10,0)</f>
        <v>0.42185145527300216</v>
      </c>
      <c r="AT403" s="61">
        <f ca="1">IF(OR(C403="净世破魔击·日",C403="净世破魔击·月"),I403-'模拟-单技能数据'!$L$10,0)</f>
        <v>2.162482885499879</v>
      </c>
      <c r="AU403" s="62">
        <f t="shared" ca="1" si="328"/>
        <v>0.20720482439682064</v>
      </c>
      <c r="AV403" s="64">
        <f ca="1">IF(AS403&gt;0,('模拟-单技能数据'!$D$22+G403*'模拟-单技能数据'!$F$22)*(1+J403)*(1-S403)*IF(AU403&lt;$F$10,0,IF(AU403&lt;$F$10+$F$11,0.25,IF(AU403&lt;$F$10+$F$11+AS403,AT403,1)))*(1+U403),0)*'模拟-单技能数据'!$I$22</f>
        <v>17205.169596245785</v>
      </c>
      <c r="AW403" s="108">
        <f t="shared" ca="1" si="329"/>
        <v>3.3950000000000062</v>
      </c>
      <c r="AX403" s="108" t="b">
        <f ca="1">AND(模拟模式!$P$10="有",AW402=0,RAND()&lt;IF(C403="净世破魔击·月",0.1*8/3,IF(C403="净世破魔击·日",0.1*4/3,0.1*2/3)))</f>
        <v>0</v>
      </c>
      <c r="AY403" s="47">
        <f ca="1">IF(AX403,(18+G403*0.722)*(1+J403)*(1-S403)*(1+$I$4)*IF(P403="会",'模拟-全程加成'!$J$3+'模拟-全程加成'!$J$4+'模拟-全程加成'!$J$5+('模拟-全程加成'!$I$4+'模拟-全程加成'!$I$5)/系数!$B$4+BG403*10%,IF(P403="命",1,IF(P403="识",0.25,0))),0)</f>
        <v>0</v>
      </c>
      <c r="AZ403" s="108">
        <f t="shared" si="330"/>
        <v>18.155000000000001</v>
      </c>
      <c r="BA403" s="108" t="b">
        <f>AND(模拟模式!$Q$10="有",AZ402=0)</f>
        <v>0</v>
      </c>
      <c r="BB403" s="140">
        <f>IF(BA403,(0+G403*0.287)*(1+J403)*(1-S403)*(1+$I$4)*IF(P403="会",'模拟-全程加成'!$J$3+'模拟-全程加成'!$J$4+'模拟-全程加成'!$J$5+('模拟-全程加成'!$I$4+'模拟-全程加成'!$I$5)/系数!$B$4+BG403*10%,IF(P403="命",1,IF(P403="识",0.25,0))),0)</f>
        <v>0</v>
      </c>
      <c r="BC403" s="115" t="b">
        <f ca="1">AND(模拟模式!$R$7="伏明众生",E403=60,F403=20,DA403&lt;5,CZ402&lt;$F$4)</f>
        <v>0</v>
      </c>
      <c r="BD403" s="115">
        <f t="shared" ca="1" si="348"/>
        <v>0</v>
      </c>
      <c r="BE403" s="115" t="b">
        <f t="shared" ca="1" si="349"/>
        <v>0</v>
      </c>
      <c r="BF403" s="47">
        <f ca="1">IF(BC403,4*('模拟-单技能数据'!$D$24+G403*'模拟-单技能数据'!$F$24)*(1+J403)*(1+'模拟-单技能数据'!$J$24)*(1-S403)*(1+$I$3)*(('模拟-全程加成'!$J$3+'模拟-全程加成'!$J$4+'模拟-全程加成'!$J$5+('模拟-全程加成'!$I$4+'模拟-全程加成'!$I$5)/系数!$B$4+BG403*10%)*('模拟-全程加成'!$J$3+'模拟-全程加成'!$J$4+'模拟-全程加成'!$J$5+('模拟-全程加成'!$I$4+'模拟-全程加成'!$I$5)/系数!$B$4+BG403*10%)+(1-('模拟-全程加成'!$J$3+'模拟-全程加成'!$J$4+'模拟-全程加成'!$J$5+('模拟-全程加成'!$I$4+'模拟-全程加成'!$I$5)/系数!$B$4+BG403*10%)-$F$10-$F$11)+F389*0.25),0)*'模拟-单技能数据'!$I$24</f>
        <v>0</v>
      </c>
      <c r="BG403" s="115" t="b">
        <f ca="1">OR(AND(OR(C403="烈日斩",C403="银月斩"),模拟模式!$I$7="净身明礼"),AND(C403="净世破魔击·日",模拟模式!$J$7="洞若观火"),AND(C404="净世破魔击·月",模拟模式!$J$7="洞若观火"),AB403=1)</f>
        <v>1</v>
      </c>
      <c r="BH403" s="115" t="b">
        <f t="shared" ca="1" si="331"/>
        <v>0</v>
      </c>
      <c r="BI403" s="115">
        <f t="shared" ca="1" si="350"/>
        <v>1.3874999999999997</v>
      </c>
      <c r="BJ403" s="115" t="b">
        <f t="shared" ca="1" si="361"/>
        <v>1</v>
      </c>
      <c r="BK403" s="115" t="b">
        <f ca="1">AND(C403="驱夜断愁",模拟模式!$P$7="天地诛戮")</f>
        <v>0</v>
      </c>
      <c r="BL403" s="57">
        <f t="shared" ca="1" si="351"/>
        <v>14.465000000000003</v>
      </c>
      <c r="BM403" s="115" t="b">
        <f t="shared" ca="1" si="362"/>
        <v>1</v>
      </c>
      <c r="BN403" s="115" t="b">
        <f ca="1">AND(OR(C403="赤日轮1",C403="赤日轮2",C403="赤日轮3",C403="幽月轮1",C403="幽月轮2",C403="幽月轮3"),AB403=1,模拟模式!$L$7="明光恒照")</f>
        <v>0</v>
      </c>
      <c r="BO403" s="117">
        <f t="shared" ca="1" si="352"/>
        <v>29.077500000000001</v>
      </c>
      <c r="BP403" s="115">
        <f t="shared" ca="1" si="332"/>
        <v>6</v>
      </c>
      <c r="BQ403" s="115" t="b">
        <f>模拟模式!$K$10="2600·水"</f>
        <v>0</v>
      </c>
      <c r="BR403" s="117">
        <f t="shared" si="333"/>
        <v>0</v>
      </c>
      <c r="BS403" s="115">
        <f t="shared" si="334"/>
        <v>0</v>
      </c>
      <c r="BT403" s="115">
        <f t="shared" ca="1" si="335"/>
        <v>0</v>
      </c>
      <c r="BU403" s="115" t="b">
        <f ca="1">AND(模拟模式!$K$10="2300·雷",BT402=0,RAND()&lt;IF(C403="净世破魔击·月",5*0.05*2/3,IF(C403="净世破魔击·日",3*0.05*2/3,0.05*2*2/3)))</f>
        <v>0</v>
      </c>
      <c r="BV403" s="115">
        <f t="shared" ca="1" si="336"/>
        <v>0</v>
      </c>
      <c r="BW403" s="115">
        <f t="shared" ca="1" si="337"/>
        <v>25.0199999999993</v>
      </c>
      <c r="BX403" s="164" t="b">
        <f t="shared" ca="1" si="338"/>
        <v>0</v>
      </c>
      <c r="BY403" s="115">
        <f t="shared" ca="1" si="339"/>
        <v>0</v>
      </c>
      <c r="BZ403" s="115">
        <f>IF(OR(模拟模式!$P$16="10人团",模拟模式!$P$16="25人团"),IF(B403/30&gt;CA402,1,0),0)</f>
        <v>0</v>
      </c>
      <c r="CA403" s="115">
        <f t="shared" si="315"/>
        <v>0</v>
      </c>
      <c r="CB403" s="115">
        <f ca="1">IF(BZ403=1,IF(模拟模式!$P$16="10人团",15,0)+IF(模拟模式!$P$16="25人团",IF(RAND()&lt;0.6,15,0)),MAX(0,CB402-$F$4))</f>
        <v>0</v>
      </c>
      <c r="CC403" s="115" t="b">
        <f t="shared" ca="1" si="363"/>
        <v>0</v>
      </c>
      <c r="CD403" s="115">
        <f>IF(模拟模式!$Q$16="1个",IF(B403/40&gt;CE402,1,0),0)</f>
        <v>0</v>
      </c>
      <c r="CE403" s="115">
        <f t="shared" si="364"/>
        <v>0</v>
      </c>
      <c r="CF403" s="115">
        <f>IF(OR(CD403=1,模拟模式!$Q$16="2个"),20,MAX(0,CF402-$F$4))</f>
        <v>0</v>
      </c>
      <c r="CG403" s="115" t="b">
        <f t="shared" si="365"/>
        <v>0</v>
      </c>
      <c r="CH403" s="115">
        <f t="shared" ca="1" si="340"/>
        <v>25.387500000000003</v>
      </c>
      <c r="CI403" s="115" t="b">
        <f t="shared" ca="1" si="341"/>
        <v>0</v>
      </c>
      <c r="CJ403" s="119">
        <f t="shared" ca="1" si="342"/>
        <v>0.05</v>
      </c>
      <c r="CK403" s="115">
        <f t="shared" ca="1" si="343"/>
        <v>3.3874999999999988</v>
      </c>
      <c r="CL403" s="115" t="b">
        <f ca="1">AND(模拟模式!$S$7="驱夷逐法",OR(AND(C403="净世破魔击·月",E402&gt;59),AND(C403="净世破魔击·日",F402&gt;59)))</f>
        <v>0</v>
      </c>
      <c r="CM403" s="115" t="b">
        <f ca="1">OR(CL403,AND(C403="净世破魔击·日",CL402,RAND()&lt;模拟模式!$U$23))</f>
        <v>0</v>
      </c>
      <c r="CN403" s="115" t="b">
        <f ca="1">IF(模拟模式!$M$7="辉耀红尘",AND(C403="净世破魔击·月",CL403,CV403=0,E402&lt;80),AND(C403="净世破魔击·月",CL403,E402&lt;100))</f>
        <v>0</v>
      </c>
      <c r="CO403" s="115" t="b">
        <f t="shared" ca="1" si="316"/>
        <v>0</v>
      </c>
      <c r="CP403" s="115" t="b">
        <f ca="1">AND(模拟模式!$O$7="用晦而明",OR(C403="净世破魔击·日",C403="净世破魔击·月",C403="驱夜断愁"),AB403)</f>
        <v>1</v>
      </c>
      <c r="CQ403" s="115" t="b">
        <f ca="1">OR(CP403,AND(CP402,RAND()&lt;模拟模式!$U$23))</f>
        <v>1</v>
      </c>
      <c r="CR403" s="115" t="b">
        <f ca="1">AND(模拟模式!$S$7="日月齐光",OR(C403="幽月轮1",C403="幽月轮2",C403="幽月轮3",CR402),NOT(OR(C403="赤日轮1",C403="赤日轮2",C403="赤日轮3")))</f>
        <v>0</v>
      </c>
      <c r="CS403" s="115" t="b">
        <f ca="1">AND(模拟模式!$S$7="日月齐光",OR(C403="赤日轮1",C403="赤日轮2",C403="赤日轮3",CS402),NOT(OR(C403="幽月轮1",C403="幽月轮2",C403="幽月轮3")))</f>
        <v>0</v>
      </c>
      <c r="CT403" s="115">
        <f t="shared" ca="1" si="344"/>
        <v>29.077500000000001</v>
      </c>
      <c r="CU403" s="115" t="b">
        <f ca="1">AND(模拟模式!$K$10="阴阳往极",CT402=0,RAND()&lt;IF(C403="净世破魔击·月",0.0275*7/3,IF(C403="净世破魔击·日",0.0275*3/3,0.0275*2/3)))</f>
        <v>0</v>
      </c>
      <c r="CV403" s="115">
        <f t="shared" ca="1" si="345"/>
        <v>3.1549999999999998</v>
      </c>
      <c r="CW403" s="115">
        <f t="shared" ca="1" si="317"/>
        <v>1.3874999999999997</v>
      </c>
      <c r="CX403" s="115">
        <f t="shared" ca="1" si="318"/>
        <v>0</v>
      </c>
      <c r="CY403" s="115">
        <f ca="1">MAX(IF($C403="驱夜断愁",IF(模拟模式!$R$7="万念俱寂",6,45),CY402-$F$4),0)</f>
        <v>0.46499999999999975</v>
      </c>
      <c r="CZ403" s="115">
        <f t="shared" ca="1" si="319"/>
        <v>0</v>
      </c>
      <c r="DA403" s="115">
        <f ca="1">IF(模拟模式!$N$7="日月同辉",IF(DB402=2,0,MIN(6,IF(AND(OR(C403="赤日轮1",C403="赤日轮2",C403="赤日轮3",C403="幽月轮1",C403="幽月轮2",C403="幽月轮3"),AB403=1),DA402+1,DA402))),0)</f>
        <v>4</v>
      </c>
      <c r="DB403" s="115">
        <f t="shared" ca="1" si="320"/>
        <v>0</v>
      </c>
      <c r="DC403" s="115"/>
      <c r="DD403" s="115"/>
      <c r="DE403" s="115"/>
      <c r="DF403" s="115"/>
      <c r="DG403" s="115"/>
      <c r="DH403" s="115"/>
      <c r="DI403" s="115"/>
      <c r="DJ403" s="115"/>
      <c r="DK403" s="115"/>
      <c r="DL403" s="115"/>
      <c r="DM403" s="115"/>
    </row>
    <row r="404" spans="2:117" x14ac:dyDescent="0.2">
      <c r="B404" s="117">
        <f t="shared" si="321"/>
        <v>347.78250000000315</v>
      </c>
      <c r="C404" s="167" t="str">
        <f t="shared" ca="1" si="314"/>
        <v>净世破魔击·日</v>
      </c>
      <c r="D404" s="115">
        <f ca="1">IF(C404="赤日轮1",1,IF(C404="赤日轮2",2,IF(C404="赤日轮3",3,IF(C404="幽月轮1",4,IF(C404="幽月轮2",5,IF(C404="幽月轮3",6,IF(C404="烈日斩",7,IF(C404="银月斩",8,IF(C404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404="净世破魔击·月",17,IF(C404="驱夜断愁",18,0)))))))))))</f>
        <v>9</v>
      </c>
      <c r="E404" s="115">
        <f ca="1">IF(AND(CU404,OR(C404="幽月轮1",C404="幽月轮2",C404="幽月轮3",C404="银月斩",C404="驱夜断愁",C404="净世破魔击·月")),100,MIN(IF(OR(CN404,BE404),0,IF(OR($C404="赤日轮1",$C404="赤日轮2",$C404="赤日轮3"),E403+20+IF(模拟模式!$I$7="日月凌天",4,0)+IF(CR403,20,0),IF($C404="烈日斩",E403+40,IF($C404="驱夜断愁",IF(模拟模式!$R$7="万念俱寂",E403+20,E403+60),IF($C404="净世破魔击·月",IF(OR(DB403&gt;0,CV403&gt;0),100,IF(模拟模式!$M$7="辉耀红尘",E403+20,E403)),IF($C404="净世破魔击·日",E403-100,E403)))))),100))</f>
        <v>0</v>
      </c>
      <c r="F404" s="115">
        <f ca="1">IF(AND(CU404,OR(C404="赤日轮1",C404="赤日轮2",C404="赤日轮3",C404="烈日斩",C404="净世破魔击·日")),100,MIN(IF(CO404,0,IF(OR($C404="幽月轮1",$C404="幽月轮2",$C404="幽月轮3"),F403+20+IF(模拟模式!$I$7="日月凌天",4,0)+IF(CS403,20,0),IF($C404="银月斩",F403+40+IF(模拟模式!$X$12=1,5,0),IF($C404="驱夜断愁",IF(模拟模式!$R$7="万念俱寂",F403+20,F403+60),IF($C404="净世破魔击·月",IF(模拟模式!$M$7="辉耀红尘",F403-80,F403-100),IF(AND(C404="净世破魔击·日",OR(DB403&gt;0,CV403&gt;0)),100,F403)))))),100))</f>
        <v>100</v>
      </c>
      <c r="G404" s="117">
        <f ca="1">('模拟-全程加成'!$E$3+'模拟-全程加成'!$E$4+'模拟-全程加成'!$E$5+('模拟-全程加成'!$C$6-'模拟-全程加成'!$C$3)*系数!$B$9+BS404*23)*(1+'模拟-全程加成'!$F$4+'模拟-全程加成'!$F$5+BJ404*10%+BM404*20%+BP404*4%+CG404*30%)+$F$7*系数!$B$12</f>
        <v>21493.829400000002</v>
      </c>
      <c r="H404" s="45">
        <f ca="1">'模拟-全程加成'!$H$3+'模拟-全程加成'!$H$4+'模拟-全程加成'!$H$5+('模拟-全程加成'!$G$4+'模拟-全程加成'!$G$5+('模拟-全程加成'!$C$6-'模拟-全程加成'!$C$3)*系数!$B$13)/系数!$B$3+LOOKUP(D404,'模拟-单技能数据'!$A$2:$A$19,'模拟-单技能数据'!$K$2:$K$19)+BG404*10%+IF(BV404&gt;0,378,0)</f>
        <v>0.54185145527300216</v>
      </c>
      <c r="I404" s="45">
        <f ca="1">'模拟-全程加成'!$J$3+'模拟-全程加成'!$J$4+'模拟-全程加成'!$J$5+('模拟-全程加成'!$I$4+'模拟-全程加成'!$I$5)/系数!$B$4+LOOKUP(D404,'模拟-单技能数据'!$A$2:$A$19,'模拟-单技能数据'!$L$2:$L$19)+BG404*10%</f>
        <v>2.162482885499879</v>
      </c>
      <c r="J404" s="45">
        <f ca="1">(('模拟-全程加成'!$K$3+'模拟-全程加成'!$K$4+'模拟-全程加成'!$K$5+('模拟-全程加成'!$C$6-'模拟-全程加成'!$C$3)*系数!$B$10+IF(BV404&gt;0,882,0)+IF(BY404&gt;0,1831,0))*(1+'模拟-全程加成'!$L$4+'模拟-全程加成'!$L$5+CC404*20%))/系数!$B$5</f>
        <v>0.69723220422048726</v>
      </c>
      <c r="K404" s="119">
        <f ca="1">LOOKUP(D404,'模拟-单技能数据'!$A$2:$A$19,'模拟-单技能数据'!$J$2:$J$19)+IF(CM404,60%,0)+IF(DB403-DB404&gt;0,30%,0)+IF(OR(AND(OR(C404="赤日轮1",C404="赤日轮2",C404="赤日轮3"),CR404),AND(OR(C404="幽月轮1",C404="幽月轮2",C404="幽月轮3"),CS404)),35%,0)+CJ404</f>
        <v>0.25</v>
      </c>
      <c r="L404" s="119">
        <f ca="1">IF(AND(C404="烈日斩",模拟模式!$X$11=1),10%,0)+IF(AND(C404="驱夜断愁",AB404=1),30%,0)</f>
        <v>0</v>
      </c>
      <c r="M404" s="45">
        <f t="shared" ca="1" si="353"/>
        <v>0.54185145527300216</v>
      </c>
      <c r="N404" s="45">
        <f t="shared" ca="1" si="354"/>
        <v>0.40424854472699789</v>
      </c>
      <c r="O404" s="46">
        <f t="shared" ca="1" si="322"/>
        <v>0.81850922034840867</v>
      </c>
      <c r="P404" s="46" t="str">
        <f t="shared" ca="1" si="323"/>
        <v>命</v>
      </c>
      <c r="Q404" s="45">
        <f t="shared" ca="1" si="324"/>
        <v>1</v>
      </c>
      <c r="R404" s="117">
        <f ca="1">模拟模式!$E$20*(1-IF(模拟模式!$J$19="有",0.15,0))*(1-IF(模拟模式!$K$19="有",0.3,0)-IF(CQ404,0.5,0))</f>
        <v>843.02999999999975</v>
      </c>
      <c r="S404" s="45">
        <f ca="1">R404/(R404+(185*模拟模式!$E$22-16800)*4.08224)</f>
        <v>8.389626085980037E-2</v>
      </c>
      <c r="T404" s="45" t="str">
        <f ca="1">LOOKUP(D404,'模拟-单技能数据'!$A$2:$A$19,'模拟-单技能数据'!$H$2:$H$19)</f>
        <v>阳</v>
      </c>
      <c r="U404" s="119">
        <f t="shared" ca="1" si="355"/>
        <v>0.2</v>
      </c>
      <c r="V404" s="47">
        <f ca="1">(1+L404)*(LOOKUP(D404,'模拟-单技能数据'!$A$2:$A$19,'模拟-单技能数据'!$D$2:$D$19)+G404*LOOKUP(D404,'模拟-单技能数据'!$A$2:$A$19,'模拟-单技能数据'!$F$2:$F$19))*(1+J404)*(1+K404)*(1-S404)*(1+U404)*Q404*LOOKUP(D404,'模拟-单技能数据'!$A$2:$A$19,'模拟-单技能数据'!$I$2:$I$20)</f>
        <v>65677.336879445851</v>
      </c>
      <c r="W404" s="47">
        <f ca="1">LOOKUP(D404,'模拟-单技能数据'!$A$2:$A$19,'模拟-单技能数据'!$G$2:$G$19)*$I$10</f>
        <v>723.0212870940959</v>
      </c>
      <c r="X404" s="47">
        <f t="shared" ca="1" si="325"/>
        <v>8840.2341748571616</v>
      </c>
      <c r="Y404" s="47">
        <f t="shared" ca="1" si="356"/>
        <v>75240.592341397118</v>
      </c>
      <c r="Z404" s="49">
        <f t="shared" ca="1" si="357"/>
        <v>39444763.043955676</v>
      </c>
      <c r="AA404" s="97">
        <f t="shared" ca="1" si="358"/>
        <v>113417.9064327714</v>
      </c>
      <c r="AB404" s="115">
        <f ca="1">IF(OR(C404="赤日轮1",C404="赤日轮2",C404="赤日轮3"),IF(RAND()&lt;模拟模式!$Y$17,1,0),IF(OR(C404="幽月轮1",C404="幽月轮2",C404="幽月轮3"),IF(RAND()&lt;模拟模式!$Y$18,1,0),IF(C404="烈日斩",IF(RAND()&lt;模拟模式!$Y$19,1,0),IF(C404="银月斩",IF(RAND()&lt;模拟模式!$Y$20,1,0),IF(C404="驱夜断愁",IF(RAND()&lt;模拟模式!$Y$21,1,0),IF(C404="净世破魔击·日",IF(RAND()&lt;模拟模式!$Y$22,1,0),IF(C404="净世破魔击·月",IF(RAND()&lt;模拟模式!$Y$23,1,0),0)))))))</f>
        <v>1</v>
      </c>
      <c r="AC404" s="115" t="b">
        <f t="shared" ca="1" si="346"/>
        <v>0</v>
      </c>
      <c r="AD404" s="115" t="b">
        <f t="shared" ca="1" si="366"/>
        <v>0</v>
      </c>
      <c r="AE404" s="115">
        <f t="shared" ca="1" si="367"/>
        <v>2</v>
      </c>
      <c r="AF404" s="47">
        <f ca="1">IF(AC404,('模拟-单技能数据'!$D$20+G404*'模拟-单技能数据'!$F$20)*(1+J404)*(1+'模拟-单技能数据'!$J$20)*(1+U404),0)</f>
        <v>0</v>
      </c>
      <c r="AG404" s="61">
        <f t="shared" ca="1" si="359"/>
        <v>0.64185145527300214</v>
      </c>
      <c r="AH404" s="61">
        <f t="shared" ca="1" si="360"/>
        <v>2.2624828854998791</v>
      </c>
      <c r="AI404" s="62">
        <f t="shared" ca="1" si="326"/>
        <v>0.7562582977300123</v>
      </c>
      <c r="AJ404" s="47">
        <f ca="1">IF(AD404,IF(AI404&lt;$F$10,0,IF(AI404&lt;$F$10+$F$11,0.25,IF(AI404&lt;$F$10+$F$11+AG404,AH404,1)))*IF(AF404&gt;0,AF404,IF(AF403&gt;0,AF403,IF(AF402&gt;0,AF402,IF(AF401&gt;0,AF401,IF(AF400&gt;0,AF400,IF(AF399&gt;0,AF399,IF(AF398&gt;0,AF398,IF(AF397&gt;0,AF397,IF(AF396&gt;0,AF396,IF(AF394&gt;0,AF394,IF(AF393&gt;0,AF393,IF(AF392&gt;0,AF392,0)))))))))))),0)*(1-$S404)*'模拟-单技能数据'!$I$20</f>
        <v>0</v>
      </c>
      <c r="AK404" s="115" t="b">
        <f t="shared" ca="1" si="347"/>
        <v>1</v>
      </c>
      <c r="AL404" s="115" t="b">
        <f t="shared" ca="1" si="368"/>
        <v>0</v>
      </c>
      <c r="AM404" s="115">
        <f t="shared" ca="1" si="369"/>
        <v>6</v>
      </c>
      <c r="AN404" s="47">
        <f ca="1">IF(AK404,('模拟-单技能数据'!$D$21+G404*'模拟-单技能数据'!$F$21)*(1+J404)*(1+'模拟-单技能数据'!$J$21)*(1+U404),0)</f>
        <v>12670.936004857545</v>
      </c>
      <c r="AO404" s="61">
        <f ca="1">IF(AN404&gt;0,M404-'模拟-单技能数据'!$K$10,AO403)</f>
        <v>0.42185145527300216</v>
      </c>
      <c r="AP404" s="61">
        <f ca="1">IF(AN404&gt;0,I404-'模拟-单技能数据'!$L$10,AP403)</f>
        <v>2.162482885499879</v>
      </c>
      <c r="AQ404" s="63">
        <f t="shared" ca="1" si="327"/>
        <v>0.90346025592948209</v>
      </c>
      <c r="AR404" s="64">
        <f ca="1">IF(AL404,IF(AQ404&lt;$F$10,0,IF(AQ404&lt;$F$10+$F$11,0.25,IF(AQ404&lt;$F$10+$F$11+AO404,AP404,1)))*IF(AN404&gt;0,AN404,IF(AN403&gt;0,AN403,IF(AN402&gt;0,AN402,IF(AN401&gt;0,AN401,IF(AN400&gt;0,AN400,IF(AN399&gt;0,AN399,IF(AN398&gt;0,AN398,IF(AN397&gt;0,AN397,IF(AN396&gt;0,AN396,IF(AN394&gt;0,AN394,IF(AN393&gt;0,AN393,IF(AN392&gt;0,AN392,0)))))))))))),0)*(1-$S404)*'模拟-单技能数据'!$I$21</f>
        <v>0</v>
      </c>
      <c r="AS404" s="61">
        <f ca="1">IF(OR(C404="净世破魔击·日",C404="净世破魔击·月"),M404-'模拟-单技能数据'!$K$10,0)</f>
        <v>0.42185145527300216</v>
      </c>
      <c r="AT404" s="61">
        <f ca="1">IF(OR(C404="净世破魔击·日",C404="净世破魔击·月"),I404-'模拟-单技能数据'!$L$10,0)</f>
        <v>2.162482885499879</v>
      </c>
      <c r="AU404" s="62">
        <f t="shared" ca="1" si="328"/>
        <v>0.58377964023654194</v>
      </c>
      <c r="AV404" s="64">
        <f ca="1">IF(AS404&gt;0,('模拟-单技能数据'!$D$22+G404*'模拟-单技能数据'!$F$22)*(1+J404)*(1-S404)*IF(AU404&lt;$F$10,0,IF(AU404&lt;$F$10+$F$11,0.25,IF(AU404&lt;$F$10+$F$11+AS404,AT404,1)))*(1+U404),0)*'模拟-单技能数据'!$I$22</f>
        <v>8840.2341748571616</v>
      </c>
      <c r="AW404" s="108">
        <f t="shared" ca="1" si="329"/>
        <v>2.4725000000000064</v>
      </c>
      <c r="AX404" s="108" t="b">
        <f ca="1">AND(模拟模式!$P$10="有",AW403=0,RAND()&lt;IF(C404="净世破魔击·月",0.1*8/3,IF(C404="净世破魔击·日",0.1*4/3,0.1*2/3)))</f>
        <v>0</v>
      </c>
      <c r="AY404" s="47">
        <f ca="1">IF(AX404,(18+G404*0.722)*(1+J404)*(1-S404)*(1+$I$4)*IF(P404="会",'模拟-全程加成'!$J$3+'模拟-全程加成'!$J$4+'模拟-全程加成'!$J$5+('模拟-全程加成'!$I$4+'模拟-全程加成'!$I$5)/系数!$B$4+BG404*10%,IF(P404="命",1,IF(P404="识",0.25,0))),0)</f>
        <v>0</v>
      </c>
      <c r="AZ404" s="108">
        <f t="shared" si="330"/>
        <v>17.232500000000002</v>
      </c>
      <c r="BA404" s="108" t="b">
        <f>AND(模拟模式!$Q$10="有",AZ403=0)</f>
        <v>0</v>
      </c>
      <c r="BB404" s="140">
        <f>IF(BA404,(0+G404*0.287)*(1+J404)*(1-S404)*(1+$I$4)*IF(P404="会",'模拟-全程加成'!$J$3+'模拟-全程加成'!$J$4+'模拟-全程加成'!$J$5+('模拟-全程加成'!$I$4+'模拟-全程加成'!$I$5)/系数!$B$4+BG404*10%,IF(P404="命",1,IF(P404="识",0.25,0))),0)</f>
        <v>0</v>
      </c>
      <c r="BC404" s="115" t="b">
        <f ca="1">AND(模拟模式!$R$7="伏明众生",E404=60,F404=20,DA404&lt;5,CZ403&lt;$F$4)</f>
        <v>0</v>
      </c>
      <c r="BD404" s="115">
        <f t="shared" ca="1" si="348"/>
        <v>0</v>
      </c>
      <c r="BE404" s="115" t="b">
        <f t="shared" ca="1" si="349"/>
        <v>0</v>
      </c>
      <c r="BF404" s="47">
        <f ca="1">IF(BC404,4*('模拟-单技能数据'!$D$24+G404*'模拟-单技能数据'!$F$24)*(1+J404)*(1+'模拟-单技能数据'!$J$24)*(1-S404)*(1+$I$3)*(('模拟-全程加成'!$J$3+'模拟-全程加成'!$J$4+'模拟-全程加成'!$J$5+('模拟-全程加成'!$I$4+'模拟-全程加成'!$I$5)/系数!$B$4+BG404*10%)*('模拟-全程加成'!$J$3+'模拟-全程加成'!$J$4+'模拟-全程加成'!$J$5+('模拟-全程加成'!$I$4+'模拟-全程加成'!$I$5)/系数!$B$4+BG404*10%)+(1-('模拟-全程加成'!$J$3+'模拟-全程加成'!$J$4+'模拟-全程加成'!$J$5+('模拟-全程加成'!$I$4+'模拟-全程加成'!$I$5)/系数!$B$4+BG404*10%)-$F$10-$F$11)+F390*0.25),0)*'模拟-单技能数据'!$I$24</f>
        <v>0</v>
      </c>
      <c r="BG404" s="115" t="b">
        <f ca="1">OR(AND(OR(C404="烈日斩",C404="银月斩"),模拟模式!$I$7="净身明礼"),AND(C404="净世破魔击·日",模拟模式!$J$7="洞若观火"),AND(C405="净世破魔击·月",模拟模式!$J$7="洞若观火"),AB404=1)</f>
        <v>1</v>
      </c>
      <c r="BH404" s="115" t="b">
        <f t="shared" ca="1" si="331"/>
        <v>0</v>
      </c>
      <c r="BI404" s="115">
        <f t="shared" ca="1" si="350"/>
        <v>0.46499999999999975</v>
      </c>
      <c r="BJ404" s="115" t="b">
        <f t="shared" ca="1" si="361"/>
        <v>1</v>
      </c>
      <c r="BK404" s="115" t="b">
        <f ca="1">AND(C404="驱夜断愁",模拟模式!$P$7="天地诛戮")</f>
        <v>0</v>
      </c>
      <c r="BL404" s="57">
        <f t="shared" ca="1" si="351"/>
        <v>13.542500000000004</v>
      </c>
      <c r="BM404" s="115" t="b">
        <f t="shared" ca="1" si="362"/>
        <v>1</v>
      </c>
      <c r="BN404" s="115" t="b">
        <f ca="1">AND(OR(C404="赤日轮1",C404="赤日轮2",C404="赤日轮3",C404="幽月轮1",C404="幽月轮2",C404="幽月轮3"),AB404=1,模拟模式!$L$7="明光恒照")</f>
        <v>0</v>
      </c>
      <c r="BO404" s="117">
        <f t="shared" ca="1" si="352"/>
        <v>28.155000000000001</v>
      </c>
      <c r="BP404" s="115">
        <f t="shared" ca="1" si="332"/>
        <v>6</v>
      </c>
      <c r="BQ404" s="115" t="b">
        <f>模拟模式!$K$10="2600·水"</f>
        <v>0</v>
      </c>
      <c r="BR404" s="117">
        <f t="shared" si="333"/>
        <v>0</v>
      </c>
      <c r="BS404" s="115">
        <f t="shared" si="334"/>
        <v>0</v>
      </c>
      <c r="BT404" s="115">
        <f t="shared" ca="1" si="335"/>
        <v>0</v>
      </c>
      <c r="BU404" s="115" t="b">
        <f ca="1">AND(模拟模式!$K$10="2300·雷",BT403=0,RAND()&lt;IF(C404="净世破魔击·月",5*0.05*2/3,IF(C404="净世破魔击·日",3*0.05*2/3,0.05*2*2/3)))</f>
        <v>0</v>
      </c>
      <c r="BV404" s="115">
        <f t="shared" ca="1" si="336"/>
        <v>0</v>
      </c>
      <c r="BW404" s="115">
        <f t="shared" ca="1" si="337"/>
        <v>24.0974999999993</v>
      </c>
      <c r="BX404" s="164" t="b">
        <f t="shared" ca="1" si="338"/>
        <v>0</v>
      </c>
      <c r="BY404" s="115">
        <f t="shared" ca="1" si="339"/>
        <v>0</v>
      </c>
      <c r="BZ404" s="115">
        <f>IF(OR(模拟模式!$P$16="10人团",模拟模式!$P$16="25人团"),IF(B404/30&gt;CA403,1,0),0)</f>
        <v>0</v>
      </c>
      <c r="CA404" s="115">
        <f t="shared" si="315"/>
        <v>0</v>
      </c>
      <c r="CB404" s="115">
        <f ca="1">IF(BZ404=1,IF(模拟模式!$P$16="10人团",15,0)+IF(模拟模式!$P$16="25人团",IF(RAND()&lt;0.6,15,0)),MAX(0,CB403-$F$4))</f>
        <v>0</v>
      </c>
      <c r="CC404" s="115" t="b">
        <f t="shared" ca="1" si="363"/>
        <v>0</v>
      </c>
      <c r="CD404" s="115">
        <f>IF(模拟模式!$Q$16="1个",IF(B404/40&gt;CE403,1,0),0)</f>
        <v>0</v>
      </c>
      <c r="CE404" s="115">
        <f t="shared" si="364"/>
        <v>0</v>
      </c>
      <c r="CF404" s="115">
        <f>IF(OR(CD404=1,模拟模式!$Q$16="2个"),20,MAX(0,CF403-$F$4))</f>
        <v>0</v>
      </c>
      <c r="CG404" s="115" t="b">
        <f t="shared" si="365"/>
        <v>0</v>
      </c>
      <c r="CH404" s="115">
        <f t="shared" ca="1" si="340"/>
        <v>24.465000000000003</v>
      </c>
      <c r="CI404" s="115" t="b">
        <f t="shared" ca="1" si="341"/>
        <v>0</v>
      </c>
      <c r="CJ404" s="119">
        <f t="shared" ca="1" si="342"/>
        <v>0.05</v>
      </c>
      <c r="CK404" s="115">
        <f t="shared" ca="1" si="343"/>
        <v>2.464999999999999</v>
      </c>
      <c r="CL404" s="115" t="b">
        <f ca="1">AND(模拟模式!$S$7="驱夷逐法",OR(AND(C404="净世破魔击·月",E403&gt;59),AND(C404="净世破魔击·日",F403&gt;59)))</f>
        <v>0</v>
      </c>
      <c r="CM404" s="115" t="b">
        <f ca="1">OR(CL404,AND(C404="净世破魔击·日",CL403,RAND()&lt;模拟模式!$U$23))</f>
        <v>0</v>
      </c>
      <c r="CN404" s="115" t="b">
        <f ca="1">IF(模拟模式!$M$7="辉耀红尘",AND(C404="净世破魔击·月",CL404,CV404=0,E403&lt;80),AND(C404="净世破魔击·月",CL404,E403&lt;100))</f>
        <v>0</v>
      </c>
      <c r="CO404" s="115" t="b">
        <f t="shared" ca="1" si="316"/>
        <v>0</v>
      </c>
      <c r="CP404" s="115" t="b">
        <f ca="1">AND(模拟模式!$O$7="用晦而明",OR(C404="净世破魔击·日",C404="净世破魔击·月",C404="驱夜断愁"),AB404)</f>
        <v>1</v>
      </c>
      <c r="CQ404" s="115" t="b">
        <f ca="1">OR(CP404,AND(CP403,RAND()&lt;模拟模式!$U$23))</f>
        <v>1</v>
      </c>
      <c r="CR404" s="115" t="b">
        <f ca="1">AND(模拟模式!$S$7="日月齐光",OR(C404="幽月轮1",C404="幽月轮2",C404="幽月轮3",CR403),NOT(OR(C404="赤日轮1",C404="赤日轮2",C404="赤日轮3")))</f>
        <v>0</v>
      </c>
      <c r="CS404" s="115" t="b">
        <f ca="1">AND(模拟模式!$S$7="日月齐光",OR(C404="赤日轮1",C404="赤日轮2",C404="赤日轮3",CS403),NOT(OR(C404="幽月轮1",C404="幽月轮2",C404="幽月轮3")))</f>
        <v>0</v>
      </c>
      <c r="CT404" s="115">
        <f t="shared" ca="1" si="344"/>
        <v>28.155000000000001</v>
      </c>
      <c r="CU404" s="115" t="b">
        <f ca="1">AND(模拟模式!$K$10="阴阳往极",CT403=0,RAND()&lt;IF(C404="净世破魔击·月",0.0275*7/3,IF(C404="净世破魔击·日",0.0275*3/3,0.0275*2/3)))</f>
        <v>0</v>
      </c>
      <c r="CV404" s="115">
        <f t="shared" ca="1" si="345"/>
        <v>2.2324999999999999</v>
      </c>
      <c r="CW404" s="115">
        <f t="shared" ca="1" si="317"/>
        <v>0.46499999999999975</v>
      </c>
      <c r="CX404" s="115">
        <f t="shared" ca="1" si="318"/>
        <v>0</v>
      </c>
      <c r="CY404" s="115">
        <f ca="1">MAX(IF($C404="驱夜断愁",IF(模拟模式!$R$7="万念俱寂",6,45),CY403-$F$4),0)</f>
        <v>0</v>
      </c>
      <c r="CZ404" s="115">
        <f t="shared" ca="1" si="319"/>
        <v>0</v>
      </c>
      <c r="DA404" s="115">
        <f ca="1">IF(模拟模式!$N$7="日月同辉",IF(DB403=2,0,MIN(6,IF(AND(OR(C404="赤日轮1",C404="赤日轮2",C404="赤日轮3",C404="幽月轮1",C404="幽月轮2",C404="幽月轮3"),AB404=1),DA403+1,DA403))),0)</f>
        <v>4</v>
      </c>
      <c r="DB404" s="115">
        <f t="shared" ca="1" si="320"/>
        <v>0</v>
      </c>
      <c r="DC404" s="115"/>
      <c r="DD404" s="115"/>
      <c r="DE404" s="115"/>
      <c r="DF404" s="115"/>
      <c r="DG404" s="115"/>
      <c r="DH404" s="115"/>
      <c r="DI404" s="115"/>
      <c r="DJ404" s="115"/>
      <c r="DK404" s="115"/>
      <c r="DL404" s="115"/>
      <c r="DM404" s="115"/>
    </row>
    <row r="405" spans="2:117" x14ac:dyDescent="0.2">
      <c r="B405" s="117">
        <f t="shared" si="321"/>
        <v>348.70500000000317</v>
      </c>
      <c r="C405" s="167" t="str">
        <f t="shared" ca="1" si="314"/>
        <v>净世破魔击·月</v>
      </c>
      <c r="D405" s="115">
        <f ca="1">IF(C405="赤日轮1",1,IF(C405="赤日轮2",2,IF(C405="赤日轮3",3,IF(C405="幽月轮1",4,IF(C405="幽月轮2",5,IF(C405="幽月轮3",6,IF(C405="烈日斩",7,IF(C405="银月斩",8,IF(C405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405="净世破魔击·月",17,IF(C405="驱夜断愁",18,0)))))))))))</f>
        <v>17</v>
      </c>
      <c r="E405" s="115">
        <f ca="1">IF(AND(CU405,OR(C405="幽月轮1",C405="幽月轮2",C405="幽月轮3",C405="银月斩",C405="驱夜断愁",C405="净世破魔击·月")),100,MIN(IF(OR(CN405,BE405),0,IF(OR($C405="赤日轮1",$C405="赤日轮2",$C405="赤日轮3"),E404+20+IF(模拟模式!$I$7="日月凌天",4,0)+IF(CR404,20,0),IF($C405="烈日斩",E404+40,IF($C405="驱夜断愁",IF(模拟模式!$R$7="万念俱寂",E404+20,E404+60),IF($C405="净世破魔击·月",IF(OR(DB404&gt;0,CV404&gt;0),100,IF(模拟模式!$M$7="辉耀红尘",E404+20,E404)),IF($C405="净世破魔击·日",E404-100,E404)))))),100))</f>
        <v>100</v>
      </c>
      <c r="F405" s="115">
        <f ca="1">IF(AND(CU405,OR(C405="赤日轮1",C405="赤日轮2",C405="赤日轮3",C405="烈日斩",C405="净世破魔击·日")),100,MIN(IF(CO405,0,IF(OR($C405="幽月轮1",$C405="幽月轮2",$C405="幽月轮3"),F404+20+IF(模拟模式!$I$7="日月凌天",4,0)+IF(CS404,20,0),IF($C405="银月斩",F404+40+IF(模拟模式!$X$12=1,5,0),IF($C405="驱夜断愁",IF(模拟模式!$R$7="万念俱寂",F404+20,F404+60),IF($C405="净世破魔击·月",IF(模拟模式!$M$7="辉耀红尘",F404-80,F404-100),IF(AND(C405="净世破魔击·日",OR(DB404&gt;0,CV404&gt;0)),100,F404)))))),100))</f>
        <v>20</v>
      </c>
      <c r="G405" s="117">
        <f ca="1">('模拟-全程加成'!$E$3+'模拟-全程加成'!$E$4+'模拟-全程加成'!$E$5+('模拟-全程加成'!$C$6-'模拟-全程加成'!$C$3)*系数!$B$9+BS405*23)*(1+'模拟-全程加成'!$F$4+'模拟-全程加成'!$F$5+BJ405*10%+BM405*20%+BP405*4%+CG405*30%)+$F$7*系数!$B$12</f>
        <v>21493.829400000002</v>
      </c>
      <c r="H405" s="45">
        <f ca="1">'模拟-全程加成'!$H$3+'模拟-全程加成'!$H$4+'模拟-全程加成'!$H$5+('模拟-全程加成'!$G$4+'模拟-全程加成'!$G$5+('模拟-全程加成'!$C$6-'模拟-全程加成'!$C$3)*系数!$B$13)/系数!$B$3+LOOKUP(D405,'模拟-单技能数据'!$A$2:$A$19,'模拟-单技能数据'!$K$2:$K$19)+BG405*10%+IF(BV405&gt;0,378,0)</f>
        <v>0.54185145527300216</v>
      </c>
      <c r="I405" s="45">
        <f ca="1">'模拟-全程加成'!$J$3+'模拟-全程加成'!$J$4+'模拟-全程加成'!$J$5+('模拟-全程加成'!$I$4+'模拟-全程加成'!$I$5)/系数!$B$4+LOOKUP(D405,'模拟-单技能数据'!$A$2:$A$19,'模拟-单技能数据'!$L$2:$L$19)+BG405*10%</f>
        <v>2.162482885499879</v>
      </c>
      <c r="J405" s="45">
        <f ca="1">(('模拟-全程加成'!$K$3+'模拟-全程加成'!$K$4+'模拟-全程加成'!$K$5+('模拟-全程加成'!$C$6-'模拟-全程加成'!$C$3)*系数!$B$10+IF(BV405&gt;0,882,0)+IF(BY405&gt;0,1831,0))*(1+'模拟-全程加成'!$L$4+'模拟-全程加成'!$L$5+CC405*20%))/系数!$B$5</f>
        <v>0.69723220422048726</v>
      </c>
      <c r="K405" s="119">
        <f ca="1">LOOKUP(D405,'模拟-单技能数据'!$A$2:$A$19,'模拟-单技能数据'!$J$2:$J$19)+IF(CM405,60%,0)+IF(DB404-DB405&gt;0,30%,0)+IF(OR(AND(OR(C405="赤日轮1",C405="赤日轮2",C405="赤日轮3"),CR405),AND(OR(C405="幽月轮1",C405="幽月轮2",C405="幽月轮3"),CS405)),35%,0)+CJ405</f>
        <v>0.25</v>
      </c>
      <c r="L405" s="119">
        <f ca="1">IF(AND(C405="烈日斩",模拟模式!$X$11=1),10%,0)+IF(AND(C405="驱夜断愁",AB405=1),30%,0)</f>
        <v>0</v>
      </c>
      <c r="M405" s="45">
        <f t="shared" ca="1" si="353"/>
        <v>0.54185145527300216</v>
      </c>
      <c r="N405" s="45">
        <f t="shared" ca="1" si="354"/>
        <v>0.40424854472699789</v>
      </c>
      <c r="O405" s="46">
        <f t="shared" ca="1" si="322"/>
        <v>0.73809315456866453</v>
      </c>
      <c r="P405" s="46" t="str">
        <f t="shared" ca="1" si="323"/>
        <v>命</v>
      </c>
      <c r="Q405" s="45">
        <f t="shared" ca="1" si="324"/>
        <v>1</v>
      </c>
      <c r="R405" s="117">
        <f ca="1">模拟模式!$E$20*(1-IF(模拟模式!$J$19="有",0.15,0))*(1-IF(模拟模式!$K$19="有",0.3,0)-IF(CQ405,0.5,0))</f>
        <v>843.02999999999975</v>
      </c>
      <c r="S405" s="45">
        <f ca="1">R405/(R405+(185*模拟模式!$E$22-16800)*4.08224)</f>
        <v>8.389626085980037E-2</v>
      </c>
      <c r="T405" s="45" t="str">
        <f ca="1">LOOKUP(D405,'模拟-单技能数据'!$A$2:$A$19,'模拟-单技能数据'!$H$2:$H$19)</f>
        <v>阴</v>
      </c>
      <c r="U405" s="119">
        <f t="shared" ca="1" si="355"/>
        <v>0.08</v>
      </c>
      <c r="V405" s="47">
        <f ca="1">(1+L405)*(LOOKUP(D405,'模拟-单技能数据'!$A$2:$A$19,'模拟-单技能数据'!$D$2:$D$19)+G405*LOOKUP(D405,'模拟-单技能数据'!$A$2:$A$19,'模拟-单技能数据'!$F$2:$F$19))*(1+J405)*(1+K405)*(1-S405)*(1+U405)*Q405*LOOKUP(D405,'模拟-单技能数据'!$A$2:$A$19,'模拟-单技能数据'!$I$2:$I$20)</f>
        <v>58619.995440519822</v>
      </c>
      <c r="W405" s="47">
        <f ca="1">LOOKUP(D405,'模拟-单技能数据'!$A$2:$A$19,'模拟-单技能数据'!$G$2:$G$19)*$I$10</f>
        <v>361.51064354704795</v>
      </c>
      <c r="X405" s="47">
        <f t="shared" ca="1" si="325"/>
        <v>33058.07822504142</v>
      </c>
      <c r="Y405" s="47">
        <f t="shared" ca="1" si="356"/>
        <v>92039.584309108293</v>
      </c>
      <c r="Z405" s="49">
        <f t="shared" ca="1" si="357"/>
        <v>39536802.628264785</v>
      </c>
      <c r="AA405" s="97">
        <f t="shared" ca="1" si="358"/>
        <v>113381.80590546285</v>
      </c>
      <c r="AB405" s="115">
        <f ca="1">IF(OR(C405="赤日轮1",C405="赤日轮2",C405="赤日轮3"),IF(RAND()&lt;模拟模式!$Y$17,1,0),IF(OR(C405="幽月轮1",C405="幽月轮2",C405="幽月轮3"),IF(RAND()&lt;模拟模式!$Y$18,1,0),IF(C405="烈日斩",IF(RAND()&lt;模拟模式!$Y$19,1,0),IF(C405="银月斩",IF(RAND()&lt;模拟模式!$Y$20,1,0),IF(C405="驱夜断愁",IF(RAND()&lt;模拟模式!$Y$21,1,0),IF(C405="净世破魔击·日",IF(RAND()&lt;模拟模式!$Y$22,1,0),IF(C405="净世破魔击·月",IF(RAND()&lt;模拟模式!$Y$23,1,0),0)))))))</f>
        <v>1</v>
      </c>
      <c r="AC405" s="115" t="b">
        <f t="shared" ca="1" si="346"/>
        <v>0</v>
      </c>
      <c r="AD405" s="115" t="b">
        <f t="shared" ca="1" si="366"/>
        <v>1</v>
      </c>
      <c r="AE405" s="115">
        <f t="shared" ca="1" si="367"/>
        <v>1</v>
      </c>
      <c r="AF405" s="47">
        <f ca="1">IF(AC405,('模拟-单技能数据'!$D$20+G405*'模拟-单技能数据'!$F$20)*(1+J405)*(1+'模拟-单技能数据'!$J$20)*(1+U405),0)</f>
        <v>0</v>
      </c>
      <c r="AG405" s="61">
        <f t="shared" ca="1" si="359"/>
        <v>0.64185145527300214</v>
      </c>
      <c r="AH405" s="61">
        <f t="shared" ca="1" si="360"/>
        <v>2.2624828854998791</v>
      </c>
      <c r="AI405" s="62">
        <f t="shared" ca="1" si="326"/>
        <v>0.13677963652720793</v>
      </c>
      <c r="AJ405" s="47">
        <f ca="1">IF(AD405,IF(AI405&lt;$F$10,0,IF(AI405&lt;$F$10+$F$11,0.25,IF(AI405&lt;$F$10+$F$11+AG405,AH405,1)))*IF(AF405&gt;0,AF405,IF(AF404&gt;0,AF404,IF(AF403&gt;0,AF403,IF(AF402&gt;0,AF402,IF(AF401&gt;0,AF401,IF(AF400&gt;0,AF400,IF(AF399&gt;0,AF399,IF(AF398&gt;0,AF398,IF(AF397&gt;0,AF397,IF(AF395&gt;0,AF395,IF(AF394&gt;0,AF394,IF(AF393&gt;0,AF393,0)))))))))))),0)*(1-$S405)*'模拟-单技能数据'!$I$20</f>
        <v>0</v>
      </c>
      <c r="AK405" s="115" t="b">
        <f t="shared" ca="1" si="347"/>
        <v>0</v>
      </c>
      <c r="AL405" s="115" t="b">
        <f t="shared" ca="1" si="368"/>
        <v>1</v>
      </c>
      <c r="AM405" s="115">
        <f t="shared" ca="1" si="369"/>
        <v>5</v>
      </c>
      <c r="AN405" s="47">
        <f ca="1">IF(AK405,('模拟-单技能数据'!$D$21+G405*'模拟-单技能数据'!$F$21)*(1+J405)*(1+'模拟-单技能数据'!$J$21)*(1+U405),0)</f>
        <v>0</v>
      </c>
      <c r="AO405" s="61">
        <f ca="1">IF(AN405&gt;0,M405-'模拟-单技能数据'!$K$10,AO404)</f>
        <v>0.42185145527300216</v>
      </c>
      <c r="AP405" s="61">
        <f ca="1">IF(AN405&gt;0,I405-'模拟-单技能数据'!$L$10,AP404)</f>
        <v>2.162482885499879</v>
      </c>
      <c r="AQ405" s="63">
        <f t="shared" ca="1" si="327"/>
        <v>0.14676810973112842</v>
      </c>
      <c r="AR405" s="64">
        <f ca="1">IF(AL405,IF(AQ405&lt;$F$10,0,IF(AQ405&lt;$F$10+$F$11,0.25,IF(AQ405&lt;$F$10+$F$11+AO405,AP405,1)))*IF(AN405&gt;0,AN405,IF(AN404&gt;0,AN404,IF(AN403&gt;0,AN403,IF(AN402&gt;0,AN402,IF(AN401&gt;0,AN401,IF(AN400&gt;0,AN400,IF(AN399&gt;0,AN399,IF(AN398&gt;0,AN398,IF(AN397&gt;0,AN397,IF(AN395&gt;0,AN395,IF(AN394&gt;0,AN394,IF(AN393&gt;0,AN393,0)))))))))))),0)*(1-$S405)*'模拟-单技能数据'!$I$21</f>
        <v>25101.867467669974</v>
      </c>
      <c r="AS405" s="61">
        <f ca="1">IF(OR(C405="净世破魔击·日",C405="净世破魔击·月"),M405-'模拟-单技能数据'!$K$10,0)</f>
        <v>0.42185145527300216</v>
      </c>
      <c r="AT405" s="61">
        <f ca="1">IF(OR(C405="净世破魔击·日",C405="净世破魔击·月"),I405-'模拟-单技能数据'!$L$10,0)</f>
        <v>2.162482885499879</v>
      </c>
      <c r="AU405" s="62">
        <f t="shared" ca="1" si="328"/>
        <v>0.75035137837629762</v>
      </c>
      <c r="AV405" s="64">
        <f ca="1">IF(AS405&gt;0,('模拟-单技能数据'!$D$22+G405*'模拟-单技能数据'!$F$22)*(1+J405)*(1-S405)*IF(AU405&lt;$F$10,0,IF(AU405&lt;$F$10+$F$11,0.25,IF(AU405&lt;$F$10+$F$11+AS405,AT405,1)))*(1+U405),0)*'模拟-单技能数据'!$I$22</f>
        <v>7956.2107573714466</v>
      </c>
      <c r="AW405" s="108">
        <f t="shared" ca="1" si="329"/>
        <v>1.5500000000000065</v>
      </c>
      <c r="AX405" s="108" t="b">
        <f ca="1">AND(模拟模式!$P$10="有",AW404=0,RAND()&lt;IF(C405="净世破魔击·月",0.1*8/3,IF(C405="净世破魔击·日",0.1*4/3,0.1*2/3)))</f>
        <v>0</v>
      </c>
      <c r="AY405" s="47">
        <f ca="1">IF(AX405,(18+G405*0.722)*(1+J405)*(1-S405)*(1+$I$4)*IF(P405="会",'模拟-全程加成'!$J$3+'模拟-全程加成'!$J$4+'模拟-全程加成'!$J$5+('模拟-全程加成'!$I$4+'模拟-全程加成'!$I$5)/系数!$B$4+BG405*10%,IF(P405="命",1,IF(P405="识",0.25,0))),0)</f>
        <v>0</v>
      </c>
      <c r="AZ405" s="108">
        <f t="shared" si="330"/>
        <v>16.310000000000002</v>
      </c>
      <c r="BA405" s="108" t="b">
        <f>AND(模拟模式!$Q$10="有",AZ404=0)</f>
        <v>0</v>
      </c>
      <c r="BB405" s="140">
        <f>IF(BA405,(0+G405*0.287)*(1+J405)*(1-S405)*(1+$I$4)*IF(P405="会",'模拟-全程加成'!$J$3+'模拟-全程加成'!$J$4+'模拟-全程加成'!$J$5+('模拟-全程加成'!$I$4+'模拟-全程加成'!$I$5)/系数!$B$4+BG405*10%,IF(P405="命",1,IF(P405="识",0.25,0))),0)</f>
        <v>0</v>
      </c>
      <c r="BC405" s="115" t="b">
        <f ca="1">AND(模拟模式!$R$7="伏明众生",E405=60,F405=20,DA405&lt;5,CZ404&lt;$F$4)</f>
        <v>0</v>
      </c>
      <c r="BD405" s="115">
        <f t="shared" ca="1" si="348"/>
        <v>0</v>
      </c>
      <c r="BE405" s="115" t="b">
        <f t="shared" ca="1" si="349"/>
        <v>0</v>
      </c>
      <c r="BF405" s="47">
        <f ca="1">IF(BC405,4*('模拟-单技能数据'!$D$24+G405*'模拟-单技能数据'!$F$24)*(1+J405)*(1+'模拟-单技能数据'!$J$24)*(1-S405)*(1+$I$3)*(('模拟-全程加成'!$J$3+'模拟-全程加成'!$J$4+'模拟-全程加成'!$J$5+('模拟-全程加成'!$I$4+'模拟-全程加成'!$I$5)/系数!$B$4+BG405*10%)*('模拟-全程加成'!$J$3+'模拟-全程加成'!$J$4+'模拟-全程加成'!$J$5+('模拟-全程加成'!$I$4+'模拟-全程加成'!$I$5)/系数!$B$4+BG405*10%)+(1-('模拟-全程加成'!$J$3+'模拟-全程加成'!$J$4+'模拟-全程加成'!$J$5+('模拟-全程加成'!$I$4+'模拟-全程加成'!$I$5)/系数!$B$4+BG405*10%)-$F$10-$F$11)+F391*0.25),0)*'模拟-单技能数据'!$I$24</f>
        <v>0</v>
      </c>
      <c r="BG405" s="115" t="b">
        <f ca="1">OR(AND(OR(C405="烈日斩",C405="银月斩"),模拟模式!$I$7="净身明礼"),AND(C405="净世破魔击·日",模拟模式!$J$7="洞若观火"),AND(C406="净世破魔击·月",模拟模式!$J$7="洞若观火"),AB405=1)</f>
        <v>1</v>
      </c>
      <c r="BH405" s="115" t="b">
        <f t="shared" ca="1" si="331"/>
        <v>1</v>
      </c>
      <c r="BI405" s="115">
        <f t="shared" ca="1" si="350"/>
        <v>6</v>
      </c>
      <c r="BJ405" s="115" t="b">
        <f t="shared" ca="1" si="361"/>
        <v>1</v>
      </c>
      <c r="BK405" s="115" t="b">
        <f ca="1">AND(C405="驱夜断愁",模拟模式!$P$7="天地诛戮")</f>
        <v>0</v>
      </c>
      <c r="BL405" s="57">
        <f t="shared" ca="1" si="351"/>
        <v>12.620000000000005</v>
      </c>
      <c r="BM405" s="115" t="b">
        <f t="shared" ca="1" si="362"/>
        <v>1</v>
      </c>
      <c r="BN405" s="115" t="b">
        <f ca="1">AND(OR(C405="赤日轮1",C405="赤日轮2",C405="赤日轮3",C405="幽月轮1",C405="幽月轮2",C405="幽月轮3"),AB405=1,模拟模式!$L$7="明光恒照")</f>
        <v>0</v>
      </c>
      <c r="BO405" s="117">
        <f t="shared" ca="1" si="352"/>
        <v>27.232500000000002</v>
      </c>
      <c r="BP405" s="115">
        <f t="shared" ca="1" si="332"/>
        <v>6</v>
      </c>
      <c r="BQ405" s="115" t="b">
        <f>模拟模式!$K$10="2600·水"</f>
        <v>0</v>
      </c>
      <c r="BR405" s="117">
        <f t="shared" si="333"/>
        <v>0</v>
      </c>
      <c r="BS405" s="115">
        <f t="shared" si="334"/>
        <v>0</v>
      </c>
      <c r="BT405" s="115">
        <f t="shared" ca="1" si="335"/>
        <v>0</v>
      </c>
      <c r="BU405" s="115" t="b">
        <f ca="1">AND(模拟模式!$K$10="2300·雷",BT404=0,RAND()&lt;IF(C405="净世破魔击·月",5*0.05*2/3,IF(C405="净世破魔击·日",3*0.05*2/3,0.05*2*2/3)))</f>
        <v>0</v>
      </c>
      <c r="BV405" s="115">
        <f t="shared" ca="1" si="336"/>
        <v>0</v>
      </c>
      <c r="BW405" s="115">
        <f t="shared" ca="1" si="337"/>
        <v>23.174999999999301</v>
      </c>
      <c r="BX405" s="164" t="b">
        <f t="shared" ca="1" si="338"/>
        <v>0</v>
      </c>
      <c r="BY405" s="115">
        <f t="shared" ca="1" si="339"/>
        <v>0</v>
      </c>
      <c r="BZ405" s="115">
        <f>IF(OR(模拟模式!$P$16="10人团",模拟模式!$P$16="25人团"),IF(B405/30&gt;CA404,1,0),0)</f>
        <v>0</v>
      </c>
      <c r="CA405" s="115">
        <f t="shared" si="315"/>
        <v>0</v>
      </c>
      <c r="CB405" s="115">
        <f ca="1">IF(BZ405=1,IF(模拟模式!$P$16="10人团",15,0)+IF(模拟模式!$P$16="25人团",IF(RAND()&lt;0.6,15,0)),MAX(0,CB404-$F$4))</f>
        <v>0</v>
      </c>
      <c r="CC405" s="115" t="b">
        <f t="shared" ca="1" si="363"/>
        <v>0</v>
      </c>
      <c r="CD405" s="115">
        <f>IF(模拟模式!$Q$16="1个",IF(B405/40&gt;CE404,1,0),0)</f>
        <v>0</v>
      </c>
      <c r="CE405" s="115">
        <f t="shared" si="364"/>
        <v>0</v>
      </c>
      <c r="CF405" s="115">
        <f>IF(OR(CD405=1,模拟模式!$Q$16="2个"),20,MAX(0,CF404-$F$4))</f>
        <v>0</v>
      </c>
      <c r="CG405" s="115" t="b">
        <f t="shared" si="365"/>
        <v>0</v>
      </c>
      <c r="CH405" s="115">
        <f t="shared" ca="1" si="340"/>
        <v>23.542500000000004</v>
      </c>
      <c r="CI405" s="115" t="b">
        <f t="shared" ca="1" si="341"/>
        <v>0</v>
      </c>
      <c r="CJ405" s="119">
        <f t="shared" ca="1" si="342"/>
        <v>0.05</v>
      </c>
      <c r="CK405" s="115">
        <f t="shared" ca="1" si="343"/>
        <v>1.5424999999999991</v>
      </c>
      <c r="CL405" s="115" t="b">
        <f ca="1">AND(模拟模式!$S$7="驱夷逐法",OR(AND(C405="净世破魔击·月",E404&gt;59),AND(C405="净世破魔击·日",F404&gt;59)))</f>
        <v>0</v>
      </c>
      <c r="CM405" s="115" t="b">
        <f ca="1">OR(CL405,AND(C405="净世破魔击·日",CL404,RAND()&lt;模拟模式!$U$23))</f>
        <v>0</v>
      </c>
      <c r="CN405" s="115" t="b">
        <f ca="1">IF(模拟模式!$M$7="辉耀红尘",AND(C405="净世破魔击·月",CL405,CV405=0,E404&lt;80),AND(C405="净世破魔击·月",CL405,E404&lt;100))</f>
        <v>0</v>
      </c>
      <c r="CO405" s="115" t="b">
        <f t="shared" ca="1" si="316"/>
        <v>0</v>
      </c>
      <c r="CP405" s="115" t="b">
        <f ca="1">AND(模拟模式!$O$7="用晦而明",OR(C405="净世破魔击·日",C405="净世破魔击·月",C405="驱夜断愁"),AB405)</f>
        <v>1</v>
      </c>
      <c r="CQ405" s="115" t="b">
        <f ca="1">OR(CP405,AND(CP404,RAND()&lt;模拟模式!$U$23))</f>
        <v>1</v>
      </c>
      <c r="CR405" s="115" t="b">
        <f ca="1">AND(模拟模式!$S$7="日月齐光",OR(C405="幽月轮1",C405="幽月轮2",C405="幽月轮3",CR404),NOT(OR(C405="赤日轮1",C405="赤日轮2",C405="赤日轮3")))</f>
        <v>0</v>
      </c>
      <c r="CS405" s="115" t="b">
        <f ca="1">AND(模拟模式!$S$7="日月齐光",OR(C405="赤日轮1",C405="赤日轮2",C405="赤日轮3",CS404),NOT(OR(C405="幽月轮1",C405="幽月轮2",C405="幽月轮3")))</f>
        <v>0</v>
      </c>
      <c r="CT405" s="115">
        <f t="shared" ca="1" si="344"/>
        <v>27.232500000000002</v>
      </c>
      <c r="CU405" s="115" t="b">
        <f ca="1">AND(模拟模式!$K$10="阴阳往极",CT404=0,RAND()&lt;IF(C405="净世破魔击·月",0.0275*7/3,IF(C405="净世破魔击·日",0.0275*3/3,0.0275*2/3)))</f>
        <v>0</v>
      </c>
      <c r="CV405" s="115">
        <f t="shared" ca="1" si="345"/>
        <v>1.31</v>
      </c>
      <c r="CW405" s="115">
        <f t="shared" ca="1" si="317"/>
        <v>0</v>
      </c>
      <c r="CX405" s="115">
        <f t="shared" ca="1" si="318"/>
        <v>0</v>
      </c>
      <c r="CY405" s="115">
        <f ca="1">MAX(IF($C405="驱夜断愁",IF(模拟模式!$R$7="万念俱寂",6,45),CY404-$F$4),0)</f>
        <v>0</v>
      </c>
      <c r="CZ405" s="115">
        <f t="shared" ca="1" si="319"/>
        <v>0</v>
      </c>
      <c r="DA405" s="115">
        <f ca="1">IF(模拟模式!$N$7="日月同辉",IF(DB404=2,0,MIN(6,IF(AND(OR(C405="赤日轮1",C405="赤日轮2",C405="赤日轮3",C405="幽月轮1",C405="幽月轮2",C405="幽月轮3"),AB405=1),DA404+1,DA404))),0)</f>
        <v>4</v>
      </c>
      <c r="DB405" s="115">
        <f t="shared" ca="1" si="320"/>
        <v>0</v>
      </c>
      <c r="DC405" s="115"/>
      <c r="DD405" s="115"/>
      <c r="DE405" s="115"/>
      <c r="DF405" s="115"/>
      <c r="DG405" s="115"/>
      <c r="DH405" s="115"/>
      <c r="DI405" s="115"/>
      <c r="DJ405" s="115"/>
      <c r="DK405" s="115"/>
      <c r="DL405" s="115"/>
      <c r="DM405" s="115"/>
    </row>
    <row r="406" spans="2:117" x14ac:dyDescent="0.2">
      <c r="B406" s="117">
        <f t="shared" si="321"/>
        <v>349.62750000000318</v>
      </c>
      <c r="C406" s="167" t="str">
        <f t="shared" ca="1" si="314"/>
        <v>净世破魔击·日</v>
      </c>
      <c r="D406" s="115">
        <f ca="1">IF(C406="赤日轮1",1,IF(C406="赤日轮2",2,IF(C406="赤日轮3",3,IF(C406="幽月轮1",4,IF(C406="幽月轮2",5,IF(C406="幽月轮3",6,IF(C406="烈日斩",7,IF(C406="银月斩",8,IF(C406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406="净世破魔击·月",17,IF(C406="驱夜断愁",18,0)))))))))))</f>
        <v>9</v>
      </c>
      <c r="E406" s="115">
        <f ca="1">IF(AND(CU406,OR(C406="幽月轮1",C406="幽月轮2",C406="幽月轮3",C406="银月斩",C406="驱夜断愁",C406="净世破魔击·月")),100,MIN(IF(OR(CN406,BE406),0,IF(OR($C406="赤日轮1",$C406="赤日轮2",$C406="赤日轮3"),E405+20+IF(模拟模式!$I$7="日月凌天",4,0)+IF(CR405,20,0),IF($C406="烈日斩",E405+40,IF($C406="驱夜断愁",IF(模拟模式!$R$7="万念俱寂",E405+20,E405+60),IF($C406="净世破魔击·月",IF(OR(DB405&gt;0,CV405&gt;0),100,IF(模拟模式!$M$7="辉耀红尘",E405+20,E405)),IF($C406="净世破魔击·日",E405-100,E405)))))),100))</f>
        <v>0</v>
      </c>
      <c r="F406" s="115">
        <f ca="1">IF(AND(CU406,OR(C406="赤日轮1",C406="赤日轮2",C406="赤日轮3",C406="烈日斩",C406="净世破魔击·日")),100,MIN(IF(CO406,0,IF(OR($C406="幽月轮1",$C406="幽月轮2",$C406="幽月轮3"),F405+20+IF(模拟模式!$I$7="日月凌天",4,0)+IF(CS405,20,0),IF($C406="银月斩",F405+40+IF(模拟模式!$X$12=1,5,0),IF($C406="驱夜断愁",IF(模拟模式!$R$7="万念俱寂",F405+20,F405+60),IF($C406="净世破魔击·月",IF(模拟模式!$M$7="辉耀红尘",F405-80,F405-100),IF(AND(C406="净世破魔击·日",OR(DB405&gt;0,CV405&gt;0)),100,F405)))))),100))</f>
        <v>100</v>
      </c>
      <c r="G406" s="117">
        <f ca="1">('模拟-全程加成'!$E$3+'模拟-全程加成'!$E$4+'模拟-全程加成'!$E$5+('模拟-全程加成'!$C$6-'模拟-全程加成'!$C$3)*系数!$B$9+BS406*23)*(1+'模拟-全程加成'!$F$4+'模拟-全程加成'!$F$5+BJ406*10%+BM406*20%+BP406*4%+CG406*30%)+$F$7*系数!$B$12</f>
        <v>21493.829400000002</v>
      </c>
      <c r="H406" s="45">
        <f ca="1">'模拟-全程加成'!$H$3+'模拟-全程加成'!$H$4+'模拟-全程加成'!$H$5+('模拟-全程加成'!$G$4+'模拟-全程加成'!$G$5+('模拟-全程加成'!$C$6-'模拟-全程加成'!$C$3)*系数!$B$13)/系数!$B$3+LOOKUP(D406,'模拟-单技能数据'!$A$2:$A$19,'模拟-单技能数据'!$K$2:$K$19)+BG406*10%+IF(BV406&gt;0,378,0)</f>
        <v>0.54185145527300216</v>
      </c>
      <c r="I406" s="45">
        <f ca="1">'模拟-全程加成'!$J$3+'模拟-全程加成'!$J$4+'模拟-全程加成'!$J$5+('模拟-全程加成'!$I$4+'模拟-全程加成'!$I$5)/系数!$B$4+LOOKUP(D406,'模拟-单技能数据'!$A$2:$A$19,'模拟-单技能数据'!$L$2:$L$19)+BG406*10%</f>
        <v>2.162482885499879</v>
      </c>
      <c r="J406" s="45">
        <f ca="1">(('模拟-全程加成'!$K$3+'模拟-全程加成'!$K$4+'模拟-全程加成'!$K$5+('模拟-全程加成'!$C$6-'模拟-全程加成'!$C$3)*系数!$B$10+IF(BV406&gt;0,882,0)+IF(BY406&gt;0,1831,0))*(1+'模拟-全程加成'!$L$4+'模拟-全程加成'!$L$5+CC406*20%))/系数!$B$5</f>
        <v>0.69723220422048726</v>
      </c>
      <c r="K406" s="119">
        <f ca="1">LOOKUP(D406,'模拟-单技能数据'!$A$2:$A$19,'模拟-单技能数据'!$J$2:$J$19)+IF(CM406,60%,0)+IF(DB405-DB406&gt;0,30%,0)+IF(OR(AND(OR(C406="赤日轮1",C406="赤日轮2",C406="赤日轮3"),CR406),AND(OR(C406="幽月轮1",C406="幽月轮2",C406="幽月轮3"),CS406)),35%,0)+CJ406</f>
        <v>0.25</v>
      </c>
      <c r="L406" s="119">
        <f ca="1">IF(AND(C406="烈日斩",模拟模式!$X$11=1),10%,0)+IF(AND(C406="驱夜断愁",AB406=1),30%,0)</f>
        <v>0</v>
      </c>
      <c r="M406" s="45">
        <f t="shared" ca="1" si="353"/>
        <v>0.54185145527300216</v>
      </c>
      <c r="N406" s="45">
        <f t="shared" ca="1" si="354"/>
        <v>0.40424854472699789</v>
      </c>
      <c r="O406" s="46">
        <f t="shared" ca="1" si="322"/>
        <v>0.62638241363131686</v>
      </c>
      <c r="P406" s="46" t="str">
        <f t="shared" ca="1" si="323"/>
        <v>命</v>
      </c>
      <c r="Q406" s="45">
        <f t="shared" ca="1" si="324"/>
        <v>1</v>
      </c>
      <c r="R406" s="117">
        <f ca="1">模拟模式!$E$20*(1-IF(模拟模式!$J$19="有",0.15,0))*(1-IF(模拟模式!$K$19="有",0.3,0)-IF(CQ406,0.5,0))</f>
        <v>843.02999999999975</v>
      </c>
      <c r="S406" s="45">
        <f ca="1">R406/(R406+(185*模拟模式!$E$22-16800)*4.08224)</f>
        <v>8.389626085980037E-2</v>
      </c>
      <c r="T406" s="45" t="str">
        <f ca="1">LOOKUP(D406,'模拟-单技能数据'!$A$2:$A$19,'模拟-单技能数据'!$H$2:$H$19)</f>
        <v>阳</v>
      </c>
      <c r="U406" s="119">
        <f t="shared" ca="1" si="355"/>
        <v>0.2</v>
      </c>
      <c r="V406" s="47">
        <f ca="1">(1+L406)*(LOOKUP(D406,'模拟-单技能数据'!$A$2:$A$19,'模拟-单技能数据'!$D$2:$D$19)+G406*LOOKUP(D406,'模拟-单技能数据'!$A$2:$A$19,'模拟-单技能数据'!$F$2:$F$19))*(1+J406)*(1+K406)*(1-S406)*(1+U406)*Q406*LOOKUP(D406,'模拟-单技能数据'!$A$2:$A$19,'模拟-单技能数据'!$I$2:$I$20)</f>
        <v>65677.336879445851</v>
      </c>
      <c r="W406" s="47">
        <f ca="1">LOOKUP(D406,'模拟-单技能数据'!$A$2:$A$19,'模拟-单技能数据'!$G$2:$G$19)*$I$10</f>
        <v>723.0212870940959</v>
      </c>
      <c r="X406" s="47">
        <f t="shared" ca="1" si="325"/>
        <v>19116.855106939758</v>
      </c>
      <c r="Y406" s="47">
        <f t="shared" ca="1" si="356"/>
        <v>85517.21327347972</v>
      </c>
      <c r="Z406" s="49">
        <f t="shared" ca="1" si="357"/>
        <v>39622319.841538265</v>
      </c>
      <c r="AA406" s="97">
        <f t="shared" ca="1" si="358"/>
        <v>113327.24068197698</v>
      </c>
      <c r="AB406" s="115">
        <f ca="1">IF(OR(C406="赤日轮1",C406="赤日轮2",C406="赤日轮3"),IF(RAND()&lt;模拟模式!$Y$17,1,0),IF(OR(C406="幽月轮1",C406="幽月轮2",C406="幽月轮3"),IF(RAND()&lt;模拟模式!$Y$18,1,0),IF(C406="烈日斩",IF(RAND()&lt;模拟模式!$Y$19,1,0),IF(C406="银月斩",IF(RAND()&lt;模拟模式!$Y$20,1,0),IF(C406="驱夜断愁",IF(RAND()&lt;模拟模式!$Y$21,1,0),IF(C406="净世破魔击·日",IF(RAND()&lt;模拟模式!$Y$22,1,0),IF(C406="净世破魔击·月",IF(RAND()&lt;模拟模式!$Y$23,1,0),0)))))))</f>
        <v>1</v>
      </c>
      <c r="AC406" s="115" t="b">
        <f t="shared" ca="1" si="346"/>
        <v>0</v>
      </c>
      <c r="AD406" s="115" t="b">
        <f t="shared" ca="1" si="366"/>
        <v>0</v>
      </c>
      <c r="AE406" s="115">
        <f t="shared" ca="1" si="367"/>
        <v>1</v>
      </c>
      <c r="AF406" s="47">
        <f ca="1">IF(AC406,('模拟-单技能数据'!$D$20+G406*'模拟-单技能数据'!$F$20)*(1+J406)*(1+'模拟-单技能数据'!$J$20)*(1+U406),0)</f>
        <v>0</v>
      </c>
      <c r="AG406" s="61">
        <f t="shared" ca="1" si="359"/>
        <v>0.64185145527300214</v>
      </c>
      <c r="AH406" s="61">
        <f t="shared" ca="1" si="360"/>
        <v>2.2624828854998791</v>
      </c>
      <c r="AI406" s="62">
        <f t="shared" ca="1" si="326"/>
        <v>0.34252894648310428</v>
      </c>
      <c r="AJ406" s="47">
        <f ca="1">IF(AD406,IF(AI406&lt;$F$10,0,IF(AI406&lt;$F$10+$F$11,0.25,IF(AI406&lt;$F$10+$F$11+AG406,AH406,1)))*IF(AF406&gt;0,AF406,IF(AF405&gt;0,AF405,IF(AF404&gt;0,AF404,IF(AF403&gt;0,AF403,IF(AF402&gt;0,AF402,IF(AF401&gt;0,AF401,IF(AF400&gt;0,AF400,IF(AF399&gt;0,AF399,IF(AF398&gt;0,AF398,IF(AF396&gt;0,AF396,IF(AF395&gt;0,AF395,IF(AF394&gt;0,AF394,0)))))))))))),0)*(1-$S406)*'模拟-单技能数据'!$I$20</f>
        <v>0</v>
      </c>
      <c r="AK406" s="115" t="b">
        <f t="shared" ca="1" si="347"/>
        <v>1</v>
      </c>
      <c r="AL406" s="115" t="b">
        <f t="shared" ca="1" si="368"/>
        <v>0</v>
      </c>
      <c r="AM406" s="115">
        <f t="shared" ca="1" si="369"/>
        <v>6</v>
      </c>
      <c r="AN406" s="47">
        <f ca="1">IF(AK406,('模拟-单技能数据'!$D$21+G406*'模拟-单技能数据'!$F$21)*(1+J406)*(1+'模拟-单技能数据'!$J$21)*(1+U406),0)</f>
        <v>12670.936004857545</v>
      </c>
      <c r="AO406" s="61">
        <f ca="1">IF(AN406&gt;0,M406-'模拟-单技能数据'!$K$10,AO405)</f>
        <v>0.42185145527300216</v>
      </c>
      <c r="AP406" s="61">
        <f ca="1">IF(AN406&gt;0,I406-'模拟-单技能数据'!$L$10,AP405)</f>
        <v>2.162482885499879</v>
      </c>
      <c r="AQ406" s="63">
        <f t="shared" ca="1" si="327"/>
        <v>0.89588385705777307</v>
      </c>
      <c r="AR406" s="64">
        <f ca="1">IF(AL406,IF(AQ406&lt;$F$10,0,IF(AQ406&lt;$F$10+$F$11,0.25,IF(AQ406&lt;$F$10+$F$11+AO406,AP406,1)))*IF(AN406&gt;0,AN406,IF(AN405&gt;0,AN405,IF(AN404&gt;0,AN404,IF(AN403&gt;0,AN403,IF(AN402&gt;0,AN402,IF(AN401&gt;0,AN401,IF(AN400&gt;0,AN400,IF(AN399&gt;0,AN399,IF(AN398&gt;0,AN398,IF(AN396&gt;0,AN396,IF(AN395&gt;0,AN395,IF(AN394&gt;0,AN394,0)))))))))))),0)*(1-$S406)*'模拟-单技能数据'!$I$21</f>
        <v>0</v>
      </c>
      <c r="AS406" s="61">
        <f ca="1">IF(OR(C406="净世破魔击·日",C406="净世破魔击·月"),M406-'模拟-单技能数据'!$K$10,0)</f>
        <v>0.42185145527300216</v>
      </c>
      <c r="AT406" s="61">
        <f ca="1">IF(OR(C406="净世破魔击·日",C406="净世破魔击·月"),I406-'模拟-单技能数据'!$L$10,0)</f>
        <v>2.162482885499879</v>
      </c>
      <c r="AU406" s="62">
        <f t="shared" ca="1" si="328"/>
        <v>0.38161647180123848</v>
      </c>
      <c r="AV406" s="64">
        <f ca="1">IF(AS406&gt;0,('模拟-单技能数据'!$D$22+G406*'模拟-单技能数据'!$F$22)*(1+J406)*(1-S406)*IF(AU406&lt;$F$10,0,IF(AU406&lt;$F$10+$F$11,0.25,IF(AU406&lt;$F$10+$F$11+AS406,AT406,1)))*(1+U406),0)*'模拟-单技能数据'!$I$22</f>
        <v>19116.855106939758</v>
      </c>
      <c r="AW406" s="108">
        <f t="shared" ca="1" si="329"/>
        <v>0.6275000000000065</v>
      </c>
      <c r="AX406" s="108" t="b">
        <f ca="1">AND(模拟模式!$P$10="有",AW405=0,RAND()&lt;IF(C406="净世破魔击·月",0.1*8/3,IF(C406="净世破魔击·日",0.1*4/3,0.1*2/3)))</f>
        <v>0</v>
      </c>
      <c r="AY406" s="47">
        <f ca="1">IF(AX406,(18+G406*0.722)*(1+J406)*(1-S406)*(1+$I$4)*IF(P406="会",'模拟-全程加成'!$J$3+'模拟-全程加成'!$J$4+'模拟-全程加成'!$J$5+('模拟-全程加成'!$I$4+'模拟-全程加成'!$I$5)/系数!$B$4+BG406*10%,IF(P406="命",1,IF(P406="识",0.25,0))),0)</f>
        <v>0</v>
      </c>
      <c r="AZ406" s="108">
        <f t="shared" si="330"/>
        <v>15.387500000000003</v>
      </c>
      <c r="BA406" s="108" t="b">
        <f>AND(模拟模式!$Q$10="有",AZ405=0)</f>
        <v>0</v>
      </c>
      <c r="BB406" s="140">
        <f>IF(BA406,(0+G406*0.287)*(1+J406)*(1-S406)*(1+$I$4)*IF(P406="会",'模拟-全程加成'!$J$3+'模拟-全程加成'!$J$4+'模拟-全程加成'!$J$5+('模拟-全程加成'!$I$4+'模拟-全程加成'!$I$5)/系数!$B$4+BG406*10%,IF(P406="命",1,IF(P406="识",0.25,0))),0)</f>
        <v>0</v>
      </c>
      <c r="BC406" s="115" t="b">
        <f ca="1">AND(模拟模式!$R$7="伏明众生",E406=60,F406=20,DA406&lt;5,CZ405&lt;$F$4)</f>
        <v>0</v>
      </c>
      <c r="BD406" s="115">
        <f t="shared" ca="1" si="348"/>
        <v>0</v>
      </c>
      <c r="BE406" s="115" t="b">
        <f t="shared" ca="1" si="349"/>
        <v>0</v>
      </c>
      <c r="BF406" s="47">
        <f ca="1">IF(BC406,4*('模拟-单技能数据'!$D$24+G406*'模拟-单技能数据'!$F$24)*(1+J406)*(1+'模拟-单技能数据'!$J$24)*(1-S406)*(1+$I$3)*(('模拟-全程加成'!$J$3+'模拟-全程加成'!$J$4+'模拟-全程加成'!$J$5+('模拟-全程加成'!$I$4+'模拟-全程加成'!$I$5)/系数!$B$4+BG406*10%)*('模拟-全程加成'!$J$3+'模拟-全程加成'!$J$4+'模拟-全程加成'!$J$5+('模拟-全程加成'!$I$4+'模拟-全程加成'!$I$5)/系数!$B$4+BG406*10%)+(1-('模拟-全程加成'!$J$3+'模拟-全程加成'!$J$4+'模拟-全程加成'!$J$5+('模拟-全程加成'!$I$4+'模拟-全程加成'!$I$5)/系数!$B$4+BG406*10%)-$F$10-$F$11)+F392*0.25),0)*'模拟-单技能数据'!$I$24</f>
        <v>0</v>
      </c>
      <c r="BG406" s="115" t="b">
        <f ca="1">OR(AND(OR(C406="烈日斩",C406="银月斩"),模拟模式!$I$7="净身明礼"),AND(C406="净世破魔击·日",模拟模式!$J$7="洞若观火"),AND(C407="净世破魔击·月",模拟模式!$J$7="洞若观火"),AB406=1)</f>
        <v>1</v>
      </c>
      <c r="BH406" s="115" t="b">
        <f t="shared" ca="1" si="331"/>
        <v>0</v>
      </c>
      <c r="BI406" s="115">
        <f t="shared" ca="1" si="350"/>
        <v>5.0774999999999997</v>
      </c>
      <c r="BJ406" s="115" t="b">
        <f t="shared" ca="1" si="361"/>
        <v>1</v>
      </c>
      <c r="BK406" s="115" t="b">
        <f ca="1">AND(C406="驱夜断愁",模拟模式!$P$7="天地诛戮")</f>
        <v>0</v>
      </c>
      <c r="BL406" s="57">
        <f t="shared" ca="1" si="351"/>
        <v>11.697500000000005</v>
      </c>
      <c r="BM406" s="115" t="b">
        <f t="shared" ca="1" si="362"/>
        <v>1</v>
      </c>
      <c r="BN406" s="115" t="b">
        <f ca="1">AND(OR(C406="赤日轮1",C406="赤日轮2",C406="赤日轮3",C406="幽月轮1",C406="幽月轮2",C406="幽月轮3"),AB406=1,模拟模式!$L$7="明光恒照")</f>
        <v>0</v>
      </c>
      <c r="BO406" s="117">
        <f t="shared" ca="1" si="352"/>
        <v>26.310000000000002</v>
      </c>
      <c r="BP406" s="115">
        <f t="shared" ca="1" si="332"/>
        <v>6</v>
      </c>
      <c r="BQ406" s="115" t="b">
        <f>模拟模式!$K$10="2600·水"</f>
        <v>0</v>
      </c>
      <c r="BR406" s="117">
        <f t="shared" si="333"/>
        <v>0</v>
      </c>
      <c r="BS406" s="115">
        <f t="shared" si="334"/>
        <v>0</v>
      </c>
      <c r="BT406" s="115">
        <f t="shared" ca="1" si="335"/>
        <v>0</v>
      </c>
      <c r="BU406" s="115" t="b">
        <f ca="1">AND(模拟模式!$K$10="2300·雷",BT405=0,RAND()&lt;IF(C406="净世破魔击·月",5*0.05*2/3,IF(C406="净世破魔击·日",3*0.05*2/3,0.05*2*2/3)))</f>
        <v>0</v>
      </c>
      <c r="BV406" s="115">
        <f t="shared" ca="1" si="336"/>
        <v>0</v>
      </c>
      <c r="BW406" s="115">
        <f t="shared" ca="1" si="337"/>
        <v>22.252499999999301</v>
      </c>
      <c r="BX406" s="164" t="b">
        <f t="shared" ca="1" si="338"/>
        <v>0</v>
      </c>
      <c r="BY406" s="115">
        <f t="shared" ca="1" si="339"/>
        <v>0</v>
      </c>
      <c r="BZ406" s="115">
        <f>IF(OR(模拟模式!$P$16="10人团",模拟模式!$P$16="25人团"),IF(B406/30&gt;CA405,1,0),0)</f>
        <v>0</v>
      </c>
      <c r="CA406" s="115">
        <f t="shared" si="315"/>
        <v>0</v>
      </c>
      <c r="CB406" s="115">
        <f ca="1">IF(BZ406=1,IF(模拟模式!$P$16="10人团",15,0)+IF(模拟模式!$P$16="25人团",IF(RAND()&lt;0.6,15,0)),MAX(0,CB405-$F$4))</f>
        <v>0</v>
      </c>
      <c r="CC406" s="115" t="b">
        <f t="shared" ca="1" si="363"/>
        <v>0</v>
      </c>
      <c r="CD406" s="115">
        <f>IF(模拟模式!$Q$16="1个",IF(B406/40&gt;CE405,1,0),0)</f>
        <v>0</v>
      </c>
      <c r="CE406" s="115">
        <f t="shared" si="364"/>
        <v>0</v>
      </c>
      <c r="CF406" s="115">
        <f>IF(OR(CD406=1,模拟模式!$Q$16="2个"),20,MAX(0,CF405-$F$4))</f>
        <v>0</v>
      </c>
      <c r="CG406" s="115" t="b">
        <f t="shared" si="365"/>
        <v>0</v>
      </c>
      <c r="CH406" s="115">
        <f t="shared" ca="1" si="340"/>
        <v>22.620000000000005</v>
      </c>
      <c r="CI406" s="115" t="b">
        <f t="shared" ca="1" si="341"/>
        <v>0</v>
      </c>
      <c r="CJ406" s="119">
        <f t="shared" ca="1" si="342"/>
        <v>0.05</v>
      </c>
      <c r="CK406" s="115">
        <f t="shared" ca="1" si="343"/>
        <v>0.61999999999999911</v>
      </c>
      <c r="CL406" s="115" t="b">
        <f ca="1">AND(模拟模式!$S$7="驱夷逐法",OR(AND(C406="净世破魔击·月",E405&gt;59),AND(C406="净世破魔击·日",F405&gt;59)))</f>
        <v>0</v>
      </c>
      <c r="CM406" s="115" t="b">
        <f ca="1">OR(CL406,AND(C406="净世破魔击·日",CL405,RAND()&lt;模拟模式!$U$23))</f>
        <v>0</v>
      </c>
      <c r="CN406" s="115" t="b">
        <f ca="1">IF(模拟模式!$M$7="辉耀红尘",AND(C406="净世破魔击·月",CL406,CV406=0,E405&lt;80),AND(C406="净世破魔击·月",CL406,E405&lt;100))</f>
        <v>0</v>
      </c>
      <c r="CO406" s="115" t="b">
        <f t="shared" ca="1" si="316"/>
        <v>0</v>
      </c>
      <c r="CP406" s="115" t="b">
        <f ca="1">AND(模拟模式!$O$7="用晦而明",OR(C406="净世破魔击·日",C406="净世破魔击·月",C406="驱夜断愁"),AB406)</f>
        <v>1</v>
      </c>
      <c r="CQ406" s="115" t="b">
        <f ca="1">OR(CP406,AND(CP405,RAND()&lt;模拟模式!$U$23))</f>
        <v>1</v>
      </c>
      <c r="CR406" s="115" t="b">
        <f ca="1">AND(模拟模式!$S$7="日月齐光",OR(C406="幽月轮1",C406="幽月轮2",C406="幽月轮3",CR405),NOT(OR(C406="赤日轮1",C406="赤日轮2",C406="赤日轮3")))</f>
        <v>0</v>
      </c>
      <c r="CS406" s="115" t="b">
        <f ca="1">AND(模拟模式!$S$7="日月齐光",OR(C406="赤日轮1",C406="赤日轮2",C406="赤日轮3",CS405),NOT(OR(C406="幽月轮1",C406="幽月轮2",C406="幽月轮3")))</f>
        <v>0</v>
      </c>
      <c r="CT406" s="115">
        <f t="shared" ca="1" si="344"/>
        <v>26.310000000000002</v>
      </c>
      <c r="CU406" s="115" t="b">
        <f ca="1">AND(模拟模式!$K$10="阴阳往极",CT405=0,RAND()&lt;IF(C406="净世破魔击·月",0.0275*7/3,IF(C406="净世破魔击·日",0.0275*3/3,0.0275*2/3)))</f>
        <v>0</v>
      </c>
      <c r="CV406" s="115">
        <f t="shared" ca="1" si="345"/>
        <v>0.38750000000000007</v>
      </c>
      <c r="CW406" s="115">
        <f t="shared" ca="1" si="317"/>
        <v>0</v>
      </c>
      <c r="CX406" s="115">
        <f t="shared" ca="1" si="318"/>
        <v>0</v>
      </c>
      <c r="CY406" s="115">
        <f ca="1">MAX(IF($C406="驱夜断愁",IF(模拟模式!$R$7="万念俱寂",6,45),CY405-$F$4),0)</f>
        <v>0</v>
      </c>
      <c r="CZ406" s="115">
        <f t="shared" ca="1" si="319"/>
        <v>0</v>
      </c>
      <c r="DA406" s="115">
        <f ca="1">IF(模拟模式!$N$7="日月同辉",IF(DB405=2,0,MIN(6,IF(AND(OR(C406="赤日轮1",C406="赤日轮2",C406="赤日轮3",C406="幽月轮1",C406="幽月轮2",C406="幽月轮3"),AB406=1),DA405+1,DA405))),0)</f>
        <v>4</v>
      </c>
      <c r="DB406" s="115">
        <f t="shared" ca="1" si="320"/>
        <v>0</v>
      </c>
      <c r="DC406" s="115"/>
      <c r="DD406" s="115"/>
      <c r="DE406" s="115"/>
      <c r="DF406" s="115"/>
      <c r="DG406" s="115"/>
      <c r="DH406" s="115"/>
      <c r="DI406" s="115"/>
      <c r="DJ406" s="115"/>
      <c r="DK406" s="115"/>
      <c r="DL406" s="115"/>
      <c r="DM406" s="115"/>
    </row>
    <row r="407" spans="2:117" x14ac:dyDescent="0.2">
      <c r="B407" s="117">
        <f t="shared" si="321"/>
        <v>350.55000000000319</v>
      </c>
      <c r="C407" s="167" t="str">
        <f t="shared" ca="1" si="314"/>
        <v>净世破魔击·月</v>
      </c>
      <c r="D407" s="115">
        <f ca="1">IF(C407="赤日轮1",1,IF(C407="赤日轮2",2,IF(C407="赤日轮3",3,IF(C407="幽月轮1",4,IF(C407="幽月轮2",5,IF(C407="幽月轮3",6,IF(C407="烈日斩",7,IF(C407="银月斩",8,IF(C407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407="净世破魔击·月",17,IF(C407="驱夜断愁",18,0)))))))))))</f>
        <v>17</v>
      </c>
      <c r="E407" s="115">
        <f ca="1">IF(AND(CU407,OR(C407="幽月轮1",C407="幽月轮2",C407="幽月轮3",C407="银月斩",C407="驱夜断愁",C407="净世破魔击·月")),100,MIN(IF(OR(CN407,BE407),0,IF(OR($C407="赤日轮1",$C407="赤日轮2",$C407="赤日轮3"),E406+20+IF(模拟模式!$I$7="日月凌天",4,0)+IF(CR406,20,0),IF($C407="烈日斩",E406+40,IF($C407="驱夜断愁",IF(模拟模式!$R$7="万念俱寂",E406+20,E406+60),IF($C407="净世破魔击·月",IF(OR(DB406&gt;0,CV406&gt;0),100,IF(模拟模式!$M$7="辉耀红尘",E406+20,E406)),IF($C407="净世破魔击·日",E406-100,E406)))))),100))</f>
        <v>100</v>
      </c>
      <c r="F407" s="115">
        <f ca="1">IF(AND(CU407,OR(C407="赤日轮1",C407="赤日轮2",C407="赤日轮3",C407="烈日斩",C407="净世破魔击·日")),100,MIN(IF(CO407,0,IF(OR($C407="幽月轮1",$C407="幽月轮2",$C407="幽月轮3"),F406+20+IF(模拟模式!$I$7="日月凌天",4,0)+IF(CS406,20,0),IF($C407="银月斩",F406+40+IF(模拟模式!$X$12=1,5,0),IF($C407="驱夜断愁",IF(模拟模式!$R$7="万念俱寂",F406+20,F406+60),IF($C407="净世破魔击·月",IF(模拟模式!$M$7="辉耀红尘",F406-80,F406-100),IF(AND(C407="净世破魔击·日",OR(DB406&gt;0,CV406&gt;0)),100,F406)))))),100))</f>
        <v>20</v>
      </c>
      <c r="G407" s="117">
        <f ca="1">('模拟-全程加成'!$E$3+'模拟-全程加成'!$E$4+'模拟-全程加成'!$E$5+('模拟-全程加成'!$C$6-'模拟-全程加成'!$C$3)*系数!$B$9+BS407*23)*(1+'模拟-全程加成'!$F$4+'模拟-全程加成'!$F$5+BJ407*10%+BM407*20%+BP407*4%+CG407*30%)+$F$7*系数!$B$12</f>
        <v>21493.829400000002</v>
      </c>
      <c r="H407" s="45">
        <f ca="1">'模拟-全程加成'!$H$3+'模拟-全程加成'!$H$4+'模拟-全程加成'!$H$5+('模拟-全程加成'!$G$4+'模拟-全程加成'!$G$5+('模拟-全程加成'!$C$6-'模拟-全程加成'!$C$3)*系数!$B$13)/系数!$B$3+LOOKUP(D407,'模拟-单技能数据'!$A$2:$A$19,'模拟-单技能数据'!$K$2:$K$19)+BG407*10%+IF(BV407&gt;0,378,0)</f>
        <v>0.54185145527300216</v>
      </c>
      <c r="I407" s="45">
        <f ca="1">'模拟-全程加成'!$J$3+'模拟-全程加成'!$J$4+'模拟-全程加成'!$J$5+('模拟-全程加成'!$I$4+'模拟-全程加成'!$I$5)/系数!$B$4+LOOKUP(D407,'模拟-单技能数据'!$A$2:$A$19,'模拟-单技能数据'!$L$2:$L$19)+BG407*10%</f>
        <v>2.162482885499879</v>
      </c>
      <c r="J407" s="45">
        <f ca="1">(('模拟-全程加成'!$K$3+'模拟-全程加成'!$K$4+'模拟-全程加成'!$K$5+('模拟-全程加成'!$C$6-'模拟-全程加成'!$C$3)*系数!$B$10+IF(BV407&gt;0,882,0)+IF(BY407&gt;0,1831,0))*(1+'模拟-全程加成'!$L$4+'模拟-全程加成'!$L$5+CC407*20%))/系数!$B$5</f>
        <v>0.69723220422048726</v>
      </c>
      <c r="K407" s="119">
        <f ca="1">LOOKUP(D407,'模拟-单技能数据'!$A$2:$A$19,'模拟-单技能数据'!$J$2:$J$19)+IF(CM407,60%,0)+IF(DB406-DB407&gt;0,30%,0)+IF(OR(AND(OR(C407="赤日轮1",C407="赤日轮2",C407="赤日轮3"),CR407),AND(OR(C407="幽月轮1",C407="幽月轮2",C407="幽月轮3"),CS407)),35%,0)+CJ407</f>
        <v>0.2</v>
      </c>
      <c r="L407" s="119">
        <f ca="1">IF(AND(C407="烈日斩",模拟模式!$X$11=1),10%,0)+IF(AND(C407="驱夜断愁",AB407=1),30%,0)</f>
        <v>0</v>
      </c>
      <c r="M407" s="45">
        <f t="shared" ca="1" si="353"/>
        <v>0.54185145527300216</v>
      </c>
      <c r="N407" s="45">
        <f t="shared" ca="1" si="354"/>
        <v>0.40424854472699789</v>
      </c>
      <c r="O407" s="46">
        <f t="shared" ca="1" si="322"/>
        <v>0.99735920365217856</v>
      </c>
      <c r="P407" s="46" t="str">
        <f t="shared" ca="1" si="323"/>
        <v>命</v>
      </c>
      <c r="Q407" s="45">
        <f t="shared" ca="1" si="324"/>
        <v>1</v>
      </c>
      <c r="R407" s="117">
        <f ca="1">模拟模式!$E$20*(1-IF(模拟模式!$J$19="有",0.15,0))*(1-IF(模拟模式!$K$19="有",0.3,0)-IF(CQ407,0.5,0))</f>
        <v>843.02999999999975</v>
      </c>
      <c r="S407" s="45">
        <f ca="1">R407/(R407+(185*模拟模式!$E$22-16800)*4.08224)</f>
        <v>8.389626085980037E-2</v>
      </c>
      <c r="T407" s="45" t="str">
        <f ca="1">LOOKUP(D407,'模拟-单技能数据'!$A$2:$A$19,'模拟-单技能数据'!$H$2:$H$19)</f>
        <v>阴</v>
      </c>
      <c r="U407" s="119">
        <f t="shared" ca="1" si="355"/>
        <v>0.08</v>
      </c>
      <c r="V407" s="47">
        <f ca="1">(1+L407)*(LOOKUP(D407,'模拟-单技能数据'!$A$2:$A$19,'模拟-单技能数据'!$D$2:$D$19)+G407*LOOKUP(D407,'模拟-单技能数据'!$A$2:$A$19,'模拟-单技能数据'!$F$2:$F$19))*(1+J407)*(1+K407)*(1-S407)*(1+U407)*Q407*LOOKUP(D407,'模拟-单技能数据'!$A$2:$A$19,'模拟-单技能数据'!$I$2:$I$20)</f>
        <v>56275.195622899046</v>
      </c>
      <c r="W407" s="47">
        <f ca="1">LOOKUP(D407,'模拟-单技能数据'!$A$2:$A$19,'模拟-单技能数据'!$G$2:$G$19)*$I$10</f>
        <v>361.51064354704795</v>
      </c>
      <c r="X407" s="47">
        <f t="shared" ca="1" si="325"/>
        <v>42277.012763667808</v>
      </c>
      <c r="Y407" s="47">
        <f t="shared" ca="1" si="356"/>
        <v>98913.719030113905</v>
      </c>
      <c r="Z407" s="49">
        <f t="shared" ca="1" si="357"/>
        <v>39721233.560568377</v>
      </c>
      <c r="AA407" s="97">
        <f t="shared" ca="1" si="358"/>
        <v>113311.17832140355</v>
      </c>
      <c r="AB407" s="115">
        <f ca="1">IF(OR(C407="赤日轮1",C407="赤日轮2",C407="赤日轮3"),IF(RAND()&lt;模拟模式!$Y$17,1,0),IF(OR(C407="幽月轮1",C407="幽月轮2",C407="幽月轮3"),IF(RAND()&lt;模拟模式!$Y$18,1,0),IF(C407="烈日斩",IF(RAND()&lt;模拟模式!$Y$19,1,0),IF(C407="银月斩",IF(RAND()&lt;模拟模式!$Y$20,1,0),IF(C407="驱夜断愁",IF(RAND()&lt;模拟模式!$Y$21,1,0),IF(C407="净世破魔击·日",IF(RAND()&lt;模拟模式!$Y$22,1,0),IF(C407="净世破魔击·月",IF(RAND()&lt;模拟模式!$Y$23,1,0),0)))))))</f>
        <v>1</v>
      </c>
      <c r="AC407" s="115" t="b">
        <f t="shared" ca="1" si="346"/>
        <v>0</v>
      </c>
      <c r="AD407" s="115" t="b">
        <f t="shared" ca="1" si="366"/>
        <v>1</v>
      </c>
      <c r="AE407" s="115">
        <f t="shared" ca="1" si="367"/>
        <v>0</v>
      </c>
      <c r="AF407" s="47">
        <f ca="1">IF(AC407,('模拟-单技能数据'!$D$20+G407*'模拟-单技能数据'!$F$20)*(1+J407)*(1+'模拟-单技能数据'!$J$20)*(1+U407),0)</f>
        <v>0</v>
      </c>
      <c r="AG407" s="61">
        <f t="shared" ca="1" si="359"/>
        <v>0.64185145527300214</v>
      </c>
      <c r="AH407" s="61">
        <f t="shared" ca="1" si="360"/>
        <v>2.2624828854998791</v>
      </c>
      <c r="AI407" s="62">
        <f t="shared" ca="1" si="326"/>
        <v>0.38934654092626397</v>
      </c>
      <c r="AJ407" s="47">
        <f ca="1">IF(AD407,IF(AI407&lt;$F$10,0,IF(AI407&lt;$F$10+$F$11,0.25,IF(AI407&lt;$F$10+$F$11+AG407,AH407,1)))*IF(AF407&gt;0,AF407,IF(AF406&gt;0,AF406,IF(AF405&gt;0,AF405,IF(AF404&gt;0,AF404,IF(AF403&gt;0,AF403,IF(AF402&gt;0,AF402,IF(AF401&gt;0,AF401,IF(AF400&gt;0,AF400,IF(AF399&gt;0,AF399,IF(AF397&gt;0,AF397,IF(AF396&gt;0,AF396,IF(AF395&gt;0,AF395,0)))))))))))),0)*(1-$S407)*'模拟-单技能数据'!$I$20</f>
        <v>9218.9345386263849</v>
      </c>
      <c r="AK407" s="115" t="b">
        <f t="shared" ca="1" si="347"/>
        <v>0</v>
      </c>
      <c r="AL407" s="115" t="b">
        <f t="shared" ca="1" si="368"/>
        <v>1</v>
      </c>
      <c r="AM407" s="115">
        <f t="shared" ca="1" si="369"/>
        <v>5</v>
      </c>
      <c r="AN407" s="47">
        <f ca="1">IF(AK407,('模拟-单技能数据'!$D$21+G407*'模拟-单技能数据'!$F$21)*(1+J407)*(1+'模拟-单技能数据'!$J$21)*(1+U407),0)</f>
        <v>0</v>
      </c>
      <c r="AO407" s="61">
        <f ca="1">IF(AN407&gt;0,M407-'模拟-单技能数据'!$K$10,AO406)</f>
        <v>0.42185145527300216</v>
      </c>
      <c r="AP407" s="61">
        <f ca="1">IF(AN407&gt;0,I407-'模拟-单技能数据'!$L$10,AP406)</f>
        <v>2.162482885499879</v>
      </c>
      <c r="AQ407" s="63">
        <f t="shared" ca="1" si="327"/>
        <v>7.7130166664883815E-2</v>
      </c>
      <c r="AR407" s="64">
        <f ca="1">IF(AL407,IF(AQ407&lt;$F$10,0,IF(AQ407&lt;$F$10+$F$11,0.25,IF(AQ407&lt;$F$10+$F$11+AO407,AP407,1)))*IF(AN407&gt;0,AN407,IF(AN406&gt;0,AN406,IF(AN405&gt;0,AN405,IF(AN404&gt;0,AN404,IF(AN403&gt;0,AN403,IF(AN402&gt;0,AN402,IF(AN401&gt;0,AN401,IF(AN400&gt;0,AN400,IF(AN399&gt;0,AN399,IF(AN397&gt;0,AN397,IF(AN396&gt;0,AN396,IF(AN395&gt;0,AN395,0)))))))))))),0)*(1-$S407)*'模拟-单技能数据'!$I$21</f>
        <v>25101.867467669974</v>
      </c>
      <c r="AS407" s="61">
        <f ca="1">IF(OR(C407="净世破魔击·日",C407="净世破魔击·月"),M407-'模拟-单技能数据'!$K$10,0)</f>
        <v>0.42185145527300216</v>
      </c>
      <c r="AT407" s="61">
        <f ca="1">IF(OR(C407="净世破魔击·日",C407="净世破魔击·月"),I407-'模拟-单技能数据'!$L$10,0)</f>
        <v>2.162482885499879</v>
      </c>
      <c r="AU407" s="62">
        <f t="shared" ca="1" si="328"/>
        <v>0.69389822696022541</v>
      </c>
      <c r="AV407" s="64">
        <f ca="1">IF(AS407&gt;0,('模拟-单技能数据'!$D$22+G407*'模拟-单技能数据'!$F$22)*(1+J407)*(1-S407)*IF(AU407&lt;$F$10,0,IF(AU407&lt;$F$10+$F$11,0.25,IF(AU407&lt;$F$10+$F$11+AS407,AT407,1)))*(1+U407),0)*'模拟-单技能数据'!$I$22</f>
        <v>7956.2107573714466</v>
      </c>
      <c r="AW407" s="108">
        <f t="shared" ca="1" si="329"/>
        <v>0</v>
      </c>
      <c r="AX407" s="108" t="b">
        <f ca="1">AND(模拟模式!$P$10="有",AW406=0,RAND()&lt;IF(C407="净世破魔击·月",0.1*8/3,IF(C407="净世破魔击·日",0.1*4/3,0.1*2/3)))</f>
        <v>0</v>
      </c>
      <c r="AY407" s="47">
        <f ca="1">IF(AX407,(18+G407*0.722)*(1+J407)*(1-S407)*(1+$I$4)*IF(P407="会",'模拟-全程加成'!$J$3+'模拟-全程加成'!$J$4+'模拟-全程加成'!$J$5+('模拟-全程加成'!$I$4+'模拟-全程加成'!$I$5)/系数!$B$4+BG407*10%,IF(P407="命",1,IF(P407="识",0.25,0))),0)</f>
        <v>0</v>
      </c>
      <c r="AZ407" s="108">
        <f t="shared" si="330"/>
        <v>14.465000000000003</v>
      </c>
      <c r="BA407" s="108" t="b">
        <f>AND(模拟模式!$Q$10="有",AZ406=0)</f>
        <v>0</v>
      </c>
      <c r="BB407" s="140">
        <f>IF(BA407,(0+G407*0.287)*(1+J407)*(1-S407)*(1+$I$4)*IF(P407="会",'模拟-全程加成'!$J$3+'模拟-全程加成'!$J$4+'模拟-全程加成'!$J$5+('模拟-全程加成'!$I$4+'模拟-全程加成'!$I$5)/系数!$B$4+BG407*10%,IF(P407="命",1,IF(P407="识",0.25,0))),0)</f>
        <v>0</v>
      </c>
      <c r="BC407" s="115" t="b">
        <f ca="1">AND(模拟模式!$R$7="伏明众生",E407=60,F407=20,DA407&lt;5,CZ406&lt;$F$4)</f>
        <v>0</v>
      </c>
      <c r="BD407" s="115">
        <f t="shared" ca="1" si="348"/>
        <v>0</v>
      </c>
      <c r="BE407" s="115" t="b">
        <f t="shared" ca="1" si="349"/>
        <v>0</v>
      </c>
      <c r="BF407" s="47">
        <f ca="1">IF(BC407,4*('模拟-单技能数据'!$D$24+G407*'模拟-单技能数据'!$F$24)*(1+J407)*(1+'模拟-单技能数据'!$J$24)*(1-S407)*(1+$I$3)*(('模拟-全程加成'!$J$3+'模拟-全程加成'!$J$4+'模拟-全程加成'!$J$5+('模拟-全程加成'!$I$4+'模拟-全程加成'!$I$5)/系数!$B$4+BG407*10%)*('模拟-全程加成'!$J$3+'模拟-全程加成'!$J$4+'模拟-全程加成'!$J$5+('模拟-全程加成'!$I$4+'模拟-全程加成'!$I$5)/系数!$B$4+BG407*10%)+(1-('模拟-全程加成'!$J$3+'模拟-全程加成'!$J$4+'模拟-全程加成'!$J$5+('模拟-全程加成'!$I$4+'模拟-全程加成'!$I$5)/系数!$B$4+BG407*10%)-$F$10-$F$11)+F393*0.25),0)*'模拟-单技能数据'!$I$24</f>
        <v>0</v>
      </c>
      <c r="BG407" s="115" t="b">
        <f ca="1">OR(AND(OR(C407="烈日斩",C407="银月斩"),模拟模式!$I$7="净身明礼"),AND(C407="净世破魔击·日",模拟模式!$J$7="洞若观火"),AND(C408="净世破魔击·月",模拟模式!$J$7="洞若观火"),AB407=1)</f>
        <v>1</v>
      </c>
      <c r="BH407" s="115" t="b">
        <f t="shared" ca="1" si="331"/>
        <v>0</v>
      </c>
      <c r="BI407" s="115">
        <f t="shared" ca="1" si="350"/>
        <v>4.1549999999999994</v>
      </c>
      <c r="BJ407" s="115" t="b">
        <f t="shared" ca="1" si="361"/>
        <v>1</v>
      </c>
      <c r="BK407" s="115" t="b">
        <f ca="1">AND(C407="驱夜断愁",模拟模式!$P$7="天地诛戮")</f>
        <v>0</v>
      </c>
      <c r="BL407" s="57">
        <f t="shared" ca="1" si="351"/>
        <v>10.775000000000006</v>
      </c>
      <c r="BM407" s="115" t="b">
        <f t="shared" ca="1" si="362"/>
        <v>1</v>
      </c>
      <c r="BN407" s="115" t="b">
        <f ca="1">AND(OR(C407="赤日轮1",C407="赤日轮2",C407="赤日轮3",C407="幽月轮1",C407="幽月轮2",C407="幽月轮3"),AB407=1,模拟模式!$L$7="明光恒照")</f>
        <v>0</v>
      </c>
      <c r="BO407" s="117">
        <f t="shared" ca="1" si="352"/>
        <v>25.387500000000003</v>
      </c>
      <c r="BP407" s="115">
        <f t="shared" ca="1" si="332"/>
        <v>6</v>
      </c>
      <c r="BQ407" s="115" t="b">
        <f>模拟模式!$K$10="2600·水"</f>
        <v>0</v>
      </c>
      <c r="BR407" s="117">
        <f t="shared" si="333"/>
        <v>0</v>
      </c>
      <c r="BS407" s="115">
        <f t="shared" si="334"/>
        <v>0</v>
      </c>
      <c r="BT407" s="115">
        <f t="shared" ca="1" si="335"/>
        <v>0</v>
      </c>
      <c r="BU407" s="115" t="b">
        <f ca="1">AND(模拟模式!$K$10="2300·雷",BT406=0,RAND()&lt;IF(C407="净世破魔击·月",5*0.05*2/3,IF(C407="净世破魔击·日",3*0.05*2/3,0.05*2*2/3)))</f>
        <v>0</v>
      </c>
      <c r="BV407" s="115">
        <f t="shared" ca="1" si="336"/>
        <v>0</v>
      </c>
      <c r="BW407" s="115">
        <f t="shared" ca="1" si="337"/>
        <v>21.329999999999302</v>
      </c>
      <c r="BX407" s="164" t="b">
        <f t="shared" ca="1" si="338"/>
        <v>0</v>
      </c>
      <c r="BY407" s="115">
        <f t="shared" ca="1" si="339"/>
        <v>0</v>
      </c>
      <c r="BZ407" s="115">
        <f>IF(OR(模拟模式!$P$16="10人团",模拟模式!$P$16="25人团"),IF(B407/30&gt;CA406,1,0),0)</f>
        <v>0</v>
      </c>
      <c r="CA407" s="115">
        <f t="shared" si="315"/>
        <v>0</v>
      </c>
      <c r="CB407" s="115">
        <f ca="1">IF(BZ407=1,IF(模拟模式!$P$16="10人团",15,0)+IF(模拟模式!$P$16="25人团",IF(RAND()&lt;0.6,15,0)),MAX(0,CB406-$F$4))</f>
        <v>0</v>
      </c>
      <c r="CC407" s="115" t="b">
        <f t="shared" ca="1" si="363"/>
        <v>0</v>
      </c>
      <c r="CD407" s="115">
        <f>IF(模拟模式!$Q$16="1个",IF(B407/40&gt;CE406,1,0),0)</f>
        <v>0</v>
      </c>
      <c r="CE407" s="115">
        <f t="shared" si="364"/>
        <v>0</v>
      </c>
      <c r="CF407" s="115">
        <f>IF(OR(CD407=1,模拟模式!$Q$16="2个"),20,MAX(0,CF406-$F$4))</f>
        <v>0</v>
      </c>
      <c r="CG407" s="115" t="b">
        <f t="shared" si="365"/>
        <v>0</v>
      </c>
      <c r="CH407" s="115">
        <f t="shared" ca="1" si="340"/>
        <v>21.697500000000005</v>
      </c>
      <c r="CI407" s="115" t="b">
        <f t="shared" ca="1" si="341"/>
        <v>0</v>
      </c>
      <c r="CJ407" s="119">
        <f t="shared" ca="1" si="342"/>
        <v>0</v>
      </c>
      <c r="CK407" s="115">
        <f t="shared" ca="1" si="343"/>
        <v>0</v>
      </c>
      <c r="CL407" s="115" t="b">
        <f ca="1">AND(模拟模式!$S$7="驱夷逐法",OR(AND(C407="净世破魔击·月",E406&gt;59),AND(C407="净世破魔击·日",F406&gt;59)))</f>
        <v>0</v>
      </c>
      <c r="CM407" s="115" t="b">
        <f ca="1">OR(CL407,AND(C407="净世破魔击·日",CL406,RAND()&lt;模拟模式!$U$23))</f>
        <v>0</v>
      </c>
      <c r="CN407" s="115" t="b">
        <f ca="1">IF(模拟模式!$M$7="辉耀红尘",AND(C407="净世破魔击·月",CL407,CV407=0,E406&lt;80),AND(C407="净世破魔击·月",CL407,E406&lt;100))</f>
        <v>0</v>
      </c>
      <c r="CO407" s="115" t="b">
        <f t="shared" ca="1" si="316"/>
        <v>0</v>
      </c>
      <c r="CP407" s="115" t="b">
        <f ca="1">AND(模拟模式!$O$7="用晦而明",OR(C407="净世破魔击·日",C407="净世破魔击·月",C407="驱夜断愁"),AB407)</f>
        <v>1</v>
      </c>
      <c r="CQ407" s="115" t="b">
        <f ca="1">OR(CP407,AND(CP406,RAND()&lt;模拟模式!$U$23))</f>
        <v>1</v>
      </c>
      <c r="CR407" s="115" t="b">
        <f ca="1">AND(模拟模式!$S$7="日月齐光",OR(C407="幽月轮1",C407="幽月轮2",C407="幽月轮3",CR406),NOT(OR(C407="赤日轮1",C407="赤日轮2",C407="赤日轮3")))</f>
        <v>0</v>
      </c>
      <c r="CS407" s="115" t="b">
        <f ca="1">AND(模拟模式!$S$7="日月齐光",OR(C407="赤日轮1",C407="赤日轮2",C407="赤日轮3",CS406),NOT(OR(C407="幽月轮1",C407="幽月轮2",C407="幽月轮3")))</f>
        <v>0</v>
      </c>
      <c r="CT407" s="115">
        <f t="shared" ca="1" si="344"/>
        <v>25.387500000000003</v>
      </c>
      <c r="CU407" s="115" t="b">
        <f ca="1">AND(模拟模式!$K$10="阴阳往极",CT406=0,RAND()&lt;IF(C407="净世破魔击·月",0.0275*7/3,IF(C407="净世破魔击·日",0.0275*3/3,0.0275*2/3)))</f>
        <v>0</v>
      </c>
      <c r="CV407" s="115">
        <f t="shared" ca="1" si="345"/>
        <v>0</v>
      </c>
      <c r="CW407" s="115">
        <f t="shared" ca="1" si="317"/>
        <v>0</v>
      </c>
      <c r="CX407" s="115">
        <f t="shared" ca="1" si="318"/>
        <v>0</v>
      </c>
      <c r="CY407" s="115">
        <f ca="1">MAX(IF($C407="驱夜断愁",IF(模拟模式!$R$7="万念俱寂",6,45),CY406-$F$4),0)</f>
        <v>0</v>
      </c>
      <c r="CZ407" s="115">
        <f t="shared" ca="1" si="319"/>
        <v>0</v>
      </c>
      <c r="DA407" s="115">
        <f ca="1">IF(模拟模式!$N$7="日月同辉",IF(DB406=2,0,MIN(6,IF(AND(OR(C407="赤日轮1",C407="赤日轮2",C407="赤日轮3",C407="幽月轮1",C407="幽月轮2",C407="幽月轮3"),AB407=1),DA406+1,DA406))),0)</f>
        <v>4</v>
      </c>
      <c r="DB407" s="115">
        <f t="shared" ca="1" si="320"/>
        <v>0</v>
      </c>
      <c r="DC407" s="115"/>
      <c r="DD407" s="115"/>
      <c r="DE407" s="115"/>
      <c r="DF407" s="115"/>
      <c r="DG407" s="115"/>
      <c r="DH407" s="115"/>
      <c r="DI407" s="115"/>
      <c r="DJ407" s="115"/>
      <c r="DK407" s="115"/>
      <c r="DL407" s="115"/>
      <c r="DM407" s="115"/>
    </row>
    <row r="408" spans="2:117" x14ac:dyDescent="0.2">
      <c r="B408" s="117">
        <f t="shared" si="321"/>
        <v>351.47250000000321</v>
      </c>
      <c r="C408" s="167" t="str">
        <f t="shared" ca="1" si="314"/>
        <v>净世破魔击·日</v>
      </c>
      <c r="D408" s="115">
        <f ca="1">IF(C408="赤日轮1",1,IF(C408="赤日轮2",2,IF(C408="赤日轮3",3,IF(C408="幽月轮1",4,IF(C408="幽月轮2",5,IF(C408="幽月轮3",6,IF(C408="烈日斩",7,IF(C408="银月斩",8,IF(C408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408="净世破魔击·月",17,IF(C408="驱夜断愁",18,0)))))))))))</f>
        <v>9</v>
      </c>
      <c r="E408" s="115">
        <f ca="1">IF(AND(CU408,OR(C408="幽月轮1",C408="幽月轮2",C408="幽月轮3",C408="银月斩",C408="驱夜断愁",C408="净世破魔击·月")),100,MIN(IF(OR(CN408,BE408),0,IF(OR($C408="赤日轮1",$C408="赤日轮2",$C408="赤日轮3"),E407+20+IF(模拟模式!$I$7="日月凌天",4,0)+IF(CR407,20,0),IF($C408="烈日斩",E407+40,IF($C408="驱夜断愁",IF(模拟模式!$R$7="万念俱寂",E407+20,E407+60),IF($C408="净世破魔击·月",IF(OR(DB407&gt;0,CV407&gt;0),100,IF(模拟模式!$M$7="辉耀红尘",E407+20,E407)),IF($C408="净世破魔击·日",E407-100,E407)))))),100))</f>
        <v>0</v>
      </c>
      <c r="F408" s="115">
        <f ca="1">IF(AND(CU408,OR(C408="赤日轮1",C408="赤日轮2",C408="赤日轮3",C408="烈日斩",C408="净世破魔击·日")),100,MIN(IF(CO408,0,IF(OR($C408="幽月轮1",$C408="幽月轮2",$C408="幽月轮3"),F407+20+IF(模拟模式!$I$7="日月凌天",4,0)+IF(CS407,20,0),IF($C408="银月斩",F407+40+IF(模拟模式!$X$12=1,5,0),IF($C408="驱夜断愁",IF(模拟模式!$R$7="万念俱寂",F407+20,F407+60),IF($C408="净世破魔击·月",IF(模拟模式!$M$7="辉耀红尘",F407-80,F407-100),IF(AND(C408="净世破魔击·日",OR(DB407&gt;0,CV407&gt;0)),100,F407)))))),100))</f>
        <v>20</v>
      </c>
      <c r="G408" s="117">
        <f ca="1">('模拟-全程加成'!$E$3+'模拟-全程加成'!$E$4+'模拟-全程加成'!$E$5+('模拟-全程加成'!$C$6-'模拟-全程加成'!$C$3)*系数!$B$9+BS408*23)*(1+'模拟-全程加成'!$F$4+'模拟-全程加成'!$F$5+BJ408*10%+BM408*20%+BP408*4%+CG408*30%)+$F$7*系数!$B$12</f>
        <v>21493.829400000002</v>
      </c>
      <c r="H408" s="45">
        <f ca="1">'模拟-全程加成'!$H$3+'模拟-全程加成'!$H$4+'模拟-全程加成'!$H$5+('模拟-全程加成'!$G$4+'模拟-全程加成'!$G$5+('模拟-全程加成'!$C$6-'模拟-全程加成'!$C$3)*系数!$B$13)/系数!$B$3+LOOKUP(D408,'模拟-单技能数据'!$A$2:$A$19,'模拟-单技能数据'!$K$2:$K$19)+BG408*10%+IF(BV408&gt;0,378,0)</f>
        <v>0.54185145527300216</v>
      </c>
      <c r="I408" s="45">
        <f ca="1">'模拟-全程加成'!$J$3+'模拟-全程加成'!$J$4+'模拟-全程加成'!$J$5+('模拟-全程加成'!$I$4+'模拟-全程加成'!$I$5)/系数!$B$4+LOOKUP(D408,'模拟-单技能数据'!$A$2:$A$19,'模拟-单技能数据'!$L$2:$L$19)+BG408*10%</f>
        <v>2.162482885499879</v>
      </c>
      <c r="J408" s="45">
        <f ca="1">(('模拟-全程加成'!$K$3+'模拟-全程加成'!$K$4+'模拟-全程加成'!$K$5+('模拟-全程加成'!$C$6-'模拟-全程加成'!$C$3)*系数!$B$10+IF(BV408&gt;0,882,0)+IF(BY408&gt;0,1831,0))*(1+'模拟-全程加成'!$L$4+'模拟-全程加成'!$L$5+CC408*20%))/系数!$B$5</f>
        <v>0.69723220422048726</v>
      </c>
      <c r="K408" s="119">
        <f ca="1">LOOKUP(D408,'模拟-单技能数据'!$A$2:$A$19,'模拟-单技能数据'!$J$2:$J$19)+IF(CM408,60%,0)+IF(DB407-DB408&gt;0,30%,0)+IF(OR(AND(OR(C408="赤日轮1",C408="赤日轮2",C408="赤日轮3"),CR408),AND(OR(C408="幽月轮1",C408="幽月轮2",C408="幽月轮3"),CS408)),35%,0)+CJ408</f>
        <v>0.2</v>
      </c>
      <c r="L408" s="119">
        <f ca="1">IF(AND(C408="烈日斩",模拟模式!$X$11=1),10%,0)+IF(AND(C408="驱夜断愁",AB408=1),30%,0)</f>
        <v>0</v>
      </c>
      <c r="M408" s="45">
        <f t="shared" ca="1" si="353"/>
        <v>0.54185145527300216</v>
      </c>
      <c r="N408" s="45">
        <f t="shared" ca="1" si="354"/>
        <v>0.40424854472699789</v>
      </c>
      <c r="O408" s="46">
        <f t="shared" ca="1" si="322"/>
        <v>6.807018187419922E-2</v>
      </c>
      <c r="P408" s="46" t="str">
        <f t="shared" ca="1" si="323"/>
        <v>会</v>
      </c>
      <c r="Q408" s="45">
        <f t="shared" ca="1" si="324"/>
        <v>2.162482885499879</v>
      </c>
      <c r="R408" s="117">
        <f ca="1">模拟模式!$E$20*(1-IF(模拟模式!$J$19="有",0.15,0))*(1-IF(模拟模式!$K$19="有",0.3,0)-IF(CQ408,0.5,0))</f>
        <v>843.02999999999975</v>
      </c>
      <c r="S408" s="45">
        <f ca="1">R408/(R408+(185*模拟模式!$E$22-16800)*4.08224)</f>
        <v>8.389626085980037E-2</v>
      </c>
      <c r="T408" s="45" t="str">
        <f ca="1">LOOKUP(D408,'模拟-单技能数据'!$A$2:$A$19,'模拟-单技能数据'!$H$2:$H$19)</f>
        <v>阳</v>
      </c>
      <c r="U408" s="119">
        <f t="shared" ca="1" si="355"/>
        <v>0.2</v>
      </c>
      <c r="V408" s="47">
        <f ca="1">(1+L408)*(LOOKUP(D408,'模拟-单技能数据'!$A$2:$A$19,'模拟-单技能数据'!$D$2:$D$19)+G408*LOOKUP(D408,'模拟-单技能数据'!$A$2:$A$19,'模拟-单技能数据'!$F$2:$F$19))*(1+J408)*(1+K408)*(1-S408)*(1+U408)*Q408*LOOKUP(D408,'模拟-单技能数据'!$A$2:$A$19,'模拟-单技能数据'!$I$2:$I$20)</f>
        <v>136345.07228833123</v>
      </c>
      <c r="W408" s="47">
        <f ca="1">LOOKUP(D408,'模拟-单技能数据'!$A$2:$A$19,'模拟-单技能数据'!$G$2:$G$19)*$I$10</f>
        <v>723.0212870940959</v>
      </c>
      <c r="X408" s="47">
        <f t="shared" ca="1" si="325"/>
        <v>8840.2341748571616</v>
      </c>
      <c r="Y408" s="47">
        <f t="shared" ca="1" si="356"/>
        <v>145908.32775028248</v>
      </c>
      <c r="Z408" s="49">
        <f t="shared" ca="1" si="357"/>
        <v>39867141.888318658</v>
      </c>
      <c r="AA408" s="97">
        <f t="shared" ca="1" si="358"/>
        <v>113428.90806056888</v>
      </c>
      <c r="AB408" s="115">
        <f ca="1">IF(OR(C408="赤日轮1",C408="赤日轮2",C408="赤日轮3"),IF(RAND()&lt;模拟模式!$Y$17,1,0),IF(OR(C408="幽月轮1",C408="幽月轮2",C408="幽月轮3"),IF(RAND()&lt;模拟模式!$Y$18,1,0),IF(C408="烈日斩",IF(RAND()&lt;模拟模式!$Y$19,1,0),IF(C408="银月斩",IF(RAND()&lt;模拟模式!$Y$20,1,0),IF(C408="驱夜断愁",IF(RAND()&lt;模拟模式!$Y$21,1,0),IF(C408="净世破魔击·日",IF(RAND()&lt;模拟模式!$Y$22,1,0),IF(C408="净世破魔击·月",IF(RAND()&lt;模拟模式!$Y$23,1,0),0)))))))</f>
        <v>1</v>
      </c>
      <c r="AC408" s="115" t="b">
        <f t="shared" ca="1" si="346"/>
        <v>0</v>
      </c>
      <c r="AD408" s="115" t="b">
        <f t="shared" ca="1" si="366"/>
        <v>0</v>
      </c>
      <c r="AE408" s="115">
        <f t="shared" ca="1" si="367"/>
        <v>0</v>
      </c>
      <c r="AF408" s="47">
        <f ca="1">IF(AC408,('模拟-单技能数据'!$D$20+G408*'模拟-单技能数据'!$F$20)*(1+J408)*(1+'模拟-单技能数据'!$J$20)*(1+U408),0)</f>
        <v>0</v>
      </c>
      <c r="AG408" s="61">
        <f t="shared" ca="1" si="359"/>
        <v>0.64185145527300214</v>
      </c>
      <c r="AH408" s="61">
        <f t="shared" ca="1" si="360"/>
        <v>2.2624828854998791</v>
      </c>
      <c r="AI408" s="62">
        <f t="shared" ca="1" si="326"/>
        <v>0.32569718536658987</v>
      </c>
      <c r="AJ408" s="47">
        <f ca="1">IF(AD408,IF(AI408&lt;$F$10,0,IF(AI408&lt;$F$10+$F$11,0.25,IF(AI408&lt;$F$10+$F$11+AG408,AH408,1)))*IF(AF408&gt;0,AF408,IF(AF407&gt;0,AF407,IF(AF406&gt;0,AF406,IF(AF405&gt;0,AF405,IF(AF404&gt;0,AF404,IF(AF403&gt;0,AF403,IF(AF402&gt;0,AF402,IF(AF401&gt;0,AF401,IF(AF400&gt;0,AF400,IF(AF398&gt;0,AF398,IF(AF397&gt;0,AF397,IF(AF396&gt;0,AF396,0)))))))))))),0)*(1-$S408)*'模拟-单技能数据'!$I$20</f>
        <v>0</v>
      </c>
      <c r="AK408" s="115" t="b">
        <f t="shared" ca="1" si="347"/>
        <v>1</v>
      </c>
      <c r="AL408" s="115" t="b">
        <f t="shared" ca="1" si="368"/>
        <v>0</v>
      </c>
      <c r="AM408" s="115">
        <f t="shared" ca="1" si="369"/>
        <v>6</v>
      </c>
      <c r="AN408" s="47">
        <f ca="1">IF(AK408,('模拟-单技能数据'!$D$21+G408*'模拟-单技能数据'!$F$21)*(1+J408)*(1+'模拟-单技能数据'!$J$21)*(1+U408),0)</f>
        <v>12670.936004857545</v>
      </c>
      <c r="AO408" s="61">
        <f ca="1">IF(AN408&gt;0,M408-'模拟-单技能数据'!$K$10,AO407)</f>
        <v>0.42185145527300216</v>
      </c>
      <c r="AP408" s="61">
        <f ca="1">IF(AN408&gt;0,I408-'模拟-单技能数据'!$L$10,AP407)</f>
        <v>2.162482885499879</v>
      </c>
      <c r="AQ408" s="63">
        <f t="shared" ca="1" si="327"/>
        <v>0.11894274023057905</v>
      </c>
      <c r="AR408" s="64">
        <f ca="1">IF(AL408,IF(AQ408&lt;$F$10,0,IF(AQ408&lt;$F$10+$F$11,0.25,IF(AQ408&lt;$F$10+$F$11+AO408,AP408,1)))*IF(AN408&gt;0,AN408,IF(AN407&gt;0,AN407,IF(AN406&gt;0,AN406,IF(AN405&gt;0,AN405,IF(AN404&gt;0,AN404,IF(AN403&gt;0,AN403,IF(AN402&gt;0,AN402,IF(AN401&gt;0,AN401,IF(AN400&gt;0,AN400,IF(AN398&gt;0,AN398,IF(AN397&gt;0,AN397,IF(AN396&gt;0,AN396,0)))))))))))),0)*(1-$S408)*'模拟-单技能数据'!$I$21</f>
        <v>0</v>
      </c>
      <c r="AS408" s="61">
        <f ca="1">IF(OR(C408="净世破魔击·日",C408="净世破魔击·月"),M408-'模拟-单技能数据'!$K$10,0)</f>
        <v>0.42185145527300216</v>
      </c>
      <c r="AT408" s="61">
        <f ca="1">IF(OR(C408="净世破魔击·日",C408="净世破魔击·月"),I408-'模拟-单技能数据'!$L$10,0)</f>
        <v>2.162482885499879</v>
      </c>
      <c r="AU408" s="62">
        <f t="shared" ca="1" si="328"/>
        <v>0.84309671214115423</v>
      </c>
      <c r="AV408" s="64">
        <f ca="1">IF(AS408&gt;0,('模拟-单技能数据'!$D$22+G408*'模拟-单技能数据'!$F$22)*(1+J408)*(1-S408)*IF(AU408&lt;$F$10,0,IF(AU408&lt;$F$10+$F$11,0.25,IF(AU408&lt;$F$10+$F$11+AS408,AT408,1)))*(1+U408),0)*'模拟-单技能数据'!$I$22</f>
        <v>8840.2341748571616</v>
      </c>
      <c r="AW408" s="108">
        <f t="shared" ca="1" si="329"/>
        <v>0</v>
      </c>
      <c r="AX408" s="108" t="b">
        <f ca="1">AND(模拟模式!$P$10="有",AW407=0,RAND()&lt;IF(C408="净世破魔击·月",0.1*8/3,IF(C408="净世破魔击·日",0.1*4/3,0.1*2/3)))</f>
        <v>0</v>
      </c>
      <c r="AY408" s="47">
        <f ca="1">IF(AX408,(18+G408*0.722)*(1+J408)*(1-S408)*(1+$I$4)*IF(P408="会",'模拟-全程加成'!$J$3+'模拟-全程加成'!$J$4+'模拟-全程加成'!$J$5+('模拟-全程加成'!$I$4+'模拟-全程加成'!$I$5)/系数!$B$4+BG408*10%,IF(P408="命",1,IF(P408="识",0.25,0))),0)</f>
        <v>0</v>
      </c>
      <c r="AZ408" s="108">
        <f t="shared" si="330"/>
        <v>13.542500000000004</v>
      </c>
      <c r="BA408" s="108" t="b">
        <f>AND(模拟模式!$Q$10="有",AZ407=0)</f>
        <v>0</v>
      </c>
      <c r="BB408" s="140">
        <f>IF(BA408,(0+G408*0.287)*(1+J408)*(1-S408)*(1+$I$4)*IF(P408="会",'模拟-全程加成'!$J$3+'模拟-全程加成'!$J$4+'模拟-全程加成'!$J$5+('模拟-全程加成'!$I$4+'模拟-全程加成'!$I$5)/系数!$B$4+BG408*10%,IF(P408="命",1,IF(P408="识",0.25,0))),0)</f>
        <v>0</v>
      </c>
      <c r="BC408" s="115" t="b">
        <f ca="1">AND(模拟模式!$R$7="伏明众生",E408=60,F408=20,DA408&lt;5,CZ407&lt;$F$4)</f>
        <v>0</v>
      </c>
      <c r="BD408" s="115">
        <f t="shared" ca="1" si="348"/>
        <v>0</v>
      </c>
      <c r="BE408" s="115" t="b">
        <f t="shared" ca="1" si="349"/>
        <v>0</v>
      </c>
      <c r="BF408" s="47">
        <f ca="1">IF(BC408,4*('模拟-单技能数据'!$D$24+G408*'模拟-单技能数据'!$F$24)*(1+J408)*(1+'模拟-单技能数据'!$J$24)*(1-S408)*(1+$I$3)*(('模拟-全程加成'!$J$3+'模拟-全程加成'!$J$4+'模拟-全程加成'!$J$5+('模拟-全程加成'!$I$4+'模拟-全程加成'!$I$5)/系数!$B$4+BG408*10%)*('模拟-全程加成'!$J$3+'模拟-全程加成'!$J$4+'模拟-全程加成'!$J$5+('模拟-全程加成'!$I$4+'模拟-全程加成'!$I$5)/系数!$B$4+BG408*10%)+(1-('模拟-全程加成'!$J$3+'模拟-全程加成'!$J$4+'模拟-全程加成'!$J$5+('模拟-全程加成'!$I$4+'模拟-全程加成'!$I$5)/系数!$B$4+BG408*10%)-$F$10-$F$11)+F394*0.25),0)*'模拟-单技能数据'!$I$24</f>
        <v>0</v>
      </c>
      <c r="BG408" s="115" t="b">
        <f ca="1">OR(AND(OR(C408="烈日斩",C408="银月斩"),模拟模式!$I$7="净身明礼"),AND(C408="净世破魔击·日",模拟模式!$J$7="洞若观火"),AND(C409="净世破魔击·月",模拟模式!$J$7="洞若观火"),AB408=1)</f>
        <v>1</v>
      </c>
      <c r="BH408" s="115" t="b">
        <f t="shared" ca="1" si="331"/>
        <v>0</v>
      </c>
      <c r="BI408" s="115">
        <f t="shared" ca="1" si="350"/>
        <v>3.2324999999999995</v>
      </c>
      <c r="BJ408" s="115" t="b">
        <f t="shared" ca="1" si="361"/>
        <v>1</v>
      </c>
      <c r="BK408" s="115" t="b">
        <f ca="1">AND(C408="驱夜断愁",模拟模式!$P$7="天地诛戮")</f>
        <v>0</v>
      </c>
      <c r="BL408" s="57">
        <f t="shared" ca="1" si="351"/>
        <v>9.8525000000000063</v>
      </c>
      <c r="BM408" s="115" t="b">
        <f t="shared" ca="1" si="362"/>
        <v>1</v>
      </c>
      <c r="BN408" s="115" t="b">
        <f ca="1">AND(OR(C408="赤日轮1",C408="赤日轮2",C408="赤日轮3",C408="幽月轮1",C408="幽月轮2",C408="幽月轮3"),AB408=1,模拟模式!$L$7="明光恒照")</f>
        <v>0</v>
      </c>
      <c r="BO408" s="117">
        <f t="shared" ca="1" si="352"/>
        <v>24.465000000000003</v>
      </c>
      <c r="BP408" s="115">
        <f t="shared" ca="1" si="332"/>
        <v>6</v>
      </c>
      <c r="BQ408" s="115" t="b">
        <f>模拟模式!$K$10="2600·水"</f>
        <v>0</v>
      </c>
      <c r="BR408" s="117">
        <f t="shared" si="333"/>
        <v>0</v>
      </c>
      <c r="BS408" s="115">
        <f t="shared" si="334"/>
        <v>0</v>
      </c>
      <c r="BT408" s="115">
        <f t="shared" ca="1" si="335"/>
        <v>0</v>
      </c>
      <c r="BU408" s="115" t="b">
        <f ca="1">AND(模拟模式!$K$10="2300·雷",BT407=0,RAND()&lt;IF(C408="净世破魔击·月",5*0.05*2/3,IF(C408="净世破魔击·日",3*0.05*2/3,0.05*2*2/3)))</f>
        <v>0</v>
      </c>
      <c r="BV408" s="115">
        <f t="shared" ca="1" si="336"/>
        <v>0</v>
      </c>
      <c r="BW408" s="115">
        <f t="shared" ca="1" si="337"/>
        <v>20.407499999999303</v>
      </c>
      <c r="BX408" s="164" t="b">
        <f t="shared" ca="1" si="338"/>
        <v>0</v>
      </c>
      <c r="BY408" s="115">
        <f t="shared" ca="1" si="339"/>
        <v>0</v>
      </c>
      <c r="BZ408" s="115">
        <f>IF(OR(模拟模式!$P$16="10人团",模拟模式!$P$16="25人团"),IF(B408/30&gt;CA407,1,0),0)</f>
        <v>0</v>
      </c>
      <c r="CA408" s="115">
        <f t="shared" si="315"/>
        <v>0</v>
      </c>
      <c r="CB408" s="115">
        <f ca="1">IF(BZ408=1,IF(模拟模式!$P$16="10人团",15,0)+IF(模拟模式!$P$16="25人团",IF(RAND()&lt;0.6,15,0)),MAX(0,CB407-$F$4))</f>
        <v>0</v>
      </c>
      <c r="CC408" s="115" t="b">
        <f t="shared" ca="1" si="363"/>
        <v>0</v>
      </c>
      <c r="CD408" s="115">
        <f>IF(模拟模式!$Q$16="1个",IF(B408/40&gt;CE407,1,0),0)</f>
        <v>0</v>
      </c>
      <c r="CE408" s="115">
        <f t="shared" si="364"/>
        <v>0</v>
      </c>
      <c r="CF408" s="115">
        <f>IF(OR(CD408=1,模拟模式!$Q$16="2个"),20,MAX(0,CF407-$F$4))</f>
        <v>0</v>
      </c>
      <c r="CG408" s="115" t="b">
        <f t="shared" si="365"/>
        <v>0</v>
      </c>
      <c r="CH408" s="115">
        <f t="shared" ca="1" si="340"/>
        <v>20.775000000000006</v>
      </c>
      <c r="CI408" s="115" t="b">
        <f t="shared" ca="1" si="341"/>
        <v>0</v>
      </c>
      <c r="CJ408" s="119">
        <f t="shared" ca="1" si="342"/>
        <v>0</v>
      </c>
      <c r="CK408" s="115">
        <f t="shared" ca="1" si="343"/>
        <v>0</v>
      </c>
      <c r="CL408" s="115" t="b">
        <f ca="1">AND(模拟模式!$S$7="驱夷逐法",OR(AND(C408="净世破魔击·月",E407&gt;59),AND(C408="净世破魔击·日",F407&gt;59)))</f>
        <v>0</v>
      </c>
      <c r="CM408" s="115" t="b">
        <f ca="1">OR(CL408,AND(C408="净世破魔击·日",CL407,RAND()&lt;模拟模式!$U$23))</f>
        <v>0</v>
      </c>
      <c r="CN408" s="115" t="b">
        <f ca="1">IF(模拟模式!$M$7="辉耀红尘",AND(C408="净世破魔击·月",CL408,CV408=0,E407&lt;80),AND(C408="净世破魔击·月",CL408,E407&lt;100))</f>
        <v>0</v>
      </c>
      <c r="CO408" s="115" t="b">
        <f t="shared" ca="1" si="316"/>
        <v>0</v>
      </c>
      <c r="CP408" s="115" t="b">
        <f ca="1">AND(模拟模式!$O$7="用晦而明",OR(C408="净世破魔击·日",C408="净世破魔击·月",C408="驱夜断愁"),AB408)</f>
        <v>1</v>
      </c>
      <c r="CQ408" s="115" t="b">
        <f ca="1">OR(CP408,AND(CP407,RAND()&lt;模拟模式!$U$23))</f>
        <v>1</v>
      </c>
      <c r="CR408" s="115" t="b">
        <f ca="1">AND(模拟模式!$S$7="日月齐光",OR(C408="幽月轮1",C408="幽月轮2",C408="幽月轮3",CR407),NOT(OR(C408="赤日轮1",C408="赤日轮2",C408="赤日轮3")))</f>
        <v>0</v>
      </c>
      <c r="CS408" s="115" t="b">
        <f ca="1">AND(模拟模式!$S$7="日月齐光",OR(C408="赤日轮1",C408="赤日轮2",C408="赤日轮3",CS407),NOT(OR(C408="幽月轮1",C408="幽月轮2",C408="幽月轮3")))</f>
        <v>0</v>
      </c>
      <c r="CT408" s="115">
        <f t="shared" ca="1" si="344"/>
        <v>24.465000000000003</v>
      </c>
      <c r="CU408" s="115" t="b">
        <f ca="1">AND(模拟模式!$K$10="阴阳往极",CT407=0,RAND()&lt;IF(C408="净世破魔击·月",0.0275*7/3,IF(C408="净世破魔击·日",0.0275*3/3,0.0275*2/3)))</f>
        <v>0</v>
      </c>
      <c r="CV408" s="115">
        <f t="shared" ca="1" si="345"/>
        <v>0</v>
      </c>
      <c r="CW408" s="115">
        <f t="shared" ca="1" si="317"/>
        <v>0</v>
      </c>
      <c r="CX408" s="115">
        <f t="shared" ca="1" si="318"/>
        <v>0</v>
      </c>
      <c r="CY408" s="115">
        <f ca="1">MAX(IF($C408="驱夜断愁",IF(模拟模式!$R$7="万念俱寂",6,45),CY407-$F$4),0)</f>
        <v>0</v>
      </c>
      <c r="CZ408" s="115">
        <f t="shared" ca="1" si="319"/>
        <v>0</v>
      </c>
      <c r="DA408" s="115">
        <f ca="1">IF(模拟模式!$N$7="日月同辉",IF(DB407=2,0,MIN(6,IF(AND(OR(C408="赤日轮1",C408="赤日轮2",C408="赤日轮3",C408="幽月轮1",C408="幽月轮2",C408="幽月轮3"),AB408=1),DA407+1,DA407))),0)</f>
        <v>4</v>
      </c>
      <c r="DB408" s="115">
        <f t="shared" ca="1" si="320"/>
        <v>0</v>
      </c>
      <c r="DC408" s="115"/>
      <c r="DD408" s="115"/>
      <c r="DE408" s="115"/>
      <c r="DF408" s="115"/>
      <c r="DG408" s="115"/>
      <c r="DH408" s="115"/>
      <c r="DI408" s="115"/>
      <c r="DJ408" s="115"/>
      <c r="DK408" s="115"/>
      <c r="DL408" s="115"/>
      <c r="DM408" s="115"/>
    </row>
    <row r="409" spans="2:117" x14ac:dyDescent="0.2">
      <c r="B409" s="117">
        <f t="shared" si="321"/>
        <v>352.39500000000322</v>
      </c>
      <c r="C409" s="167" t="str">
        <f t="shared" ca="1" si="314"/>
        <v>赤日轮1</v>
      </c>
      <c r="D409" s="115">
        <f ca="1">IF(C409="赤日轮1",1,IF(C409="赤日轮2",2,IF(C409="赤日轮3",3,IF(C409="幽月轮1",4,IF(C409="幽月轮2",5,IF(C409="幽月轮3",6,IF(C409="烈日斩",7,IF(C409="银月斩",8,IF(C409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409="净世破魔击·月",17,IF(C409="驱夜断愁",18,0)))))))))))</f>
        <v>1</v>
      </c>
      <c r="E409" s="115">
        <f ca="1">IF(AND(CU409,OR(C409="幽月轮1",C409="幽月轮2",C409="幽月轮3",C409="银月斩",C409="驱夜断愁",C409="净世破魔击·月")),100,MIN(IF(OR(CN409,BE409),0,IF(OR($C409="赤日轮1",$C409="赤日轮2",$C409="赤日轮3"),E408+20+IF(模拟模式!$I$7="日月凌天",4,0)+IF(CR408,20,0),IF($C409="烈日斩",E408+40,IF($C409="驱夜断愁",IF(模拟模式!$R$7="万念俱寂",E408+20,E408+60),IF($C409="净世破魔击·月",IF(OR(DB408&gt;0,CV408&gt;0),100,IF(模拟模式!$M$7="辉耀红尘",E408+20,E408)),IF($C409="净世破魔击·日",E408-100,E408)))))),100))</f>
        <v>20</v>
      </c>
      <c r="F409" s="115">
        <f ca="1">IF(AND(CU409,OR(C409="赤日轮1",C409="赤日轮2",C409="赤日轮3",C409="烈日斩",C409="净世破魔击·日")),100,MIN(IF(CO409,0,IF(OR($C409="幽月轮1",$C409="幽月轮2",$C409="幽月轮3"),F408+20+IF(模拟模式!$I$7="日月凌天",4,0)+IF(CS408,20,0),IF($C409="银月斩",F408+40+IF(模拟模式!$X$12=1,5,0),IF($C409="驱夜断愁",IF(模拟模式!$R$7="万念俱寂",F408+20,F408+60),IF($C409="净世破魔击·月",IF(模拟模式!$M$7="辉耀红尘",F408-80,F408-100),IF(AND(C409="净世破魔击·日",OR(DB408&gt;0,CV408&gt;0)),100,F408)))))),100))</f>
        <v>20</v>
      </c>
      <c r="G409" s="117">
        <f ca="1">('模拟-全程加成'!$E$3+'模拟-全程加成'!$E$4+'模拟-全程加成'!$E$5+('模拟-全程加成'!$C$6-'模拟-全程加成'!$C$3)*系数!$B$9+BS409*23)*(1+'模拟-全程加成'!$F$4+'模拟-全程加成'!$F$5+BJ409*10%+BM409*20%+BP409*4%+CG409*30%)+$F$7*系数!$B$12</f>
        <v>21493.829400000002</v>
      </c>
      <c r="H409" s="45">
        <f ca="1">'模拟-全程加成'!$H$3+'模拟-全程加成'!$H$4+'模拟-全程加成'!$H$5+('模拟-全程加成'!$G$4+'模拟-全程加成'!$G$5+('模拟-全程加成'!$C$6-'模拟-全程加成'!$C$3)*系数!$B$13)/系数!$B$3+LOOKUP(D409,'模拟-单技能数据'!$A$2:$A$19,'模拟-单技能数据'!$K$2:$K$19)+BG409*10%+IF(BV409&gt;0,378,0)</f>
        <v>0.4618514552730022</v>
      </c>
      <c r="I409" s="45">
        <f ca="1">'模拟-全程加成'!$J$3+'模拟-全程加成'!$J$4+'模拟-全程加成'!$J$5+('模拟-全程加成'!$I$4+'模拟-全程加成'!$I$5)/系数!$B$4+LOOKUP(D409,'模拟-单技能数据'!$A$2:$A$19,'模拟-单技能数据'!$L$2:$L$19)+BG409*10%</f>
        <v>2.162482885499879</v>
      </c>
      <c r="J409" s="45">
        <f ca="1">(('模拟-全程加成'!$K$3+'模拟-全程加成'!$K$4+'模拟-全程加成'!$K$5+('模拟-全程加成'!$C$6-'模拟-全程加成'!$C$3)*系数!$B$10+IF(BV409&gt;0,882,0)+IF(BY409&gt;0,1831,0))*(1+'模拟-全程加成'!$L$4+'模拟-全程加成'!$L$5+CC409*20%))/系数!$B$5</f>
        <v>0.69723220422048726</v>
      </c>
      <c r="K409" s="119">
        <f ca="1">LOOKUP(D409,'模拟-单技能数据'!$A$2:$A$19,'模拟-单技能数据'!$J$2:$J$19)+IF(CM409,60%,0)+IF(DB408-DB409&gt;0,30%,0)+IF(OR(AND(OR(C409="赤日轮1",C409="赤日轮2",C409="赤日轮3"),CR409),AND(OR(C409="幽月轮1",C409="幽月轮2",C409="幽月轮3"),CS409)),35%,0)+CJ409</f>
        <v>0.12</v>
      </c>
      <c r="L409" s="119">
        <f ca="1">IF(AND(C409="烈日斩",模拟模式!$X$11=1),10%,0)+IF(AND(C409="驱夜断愁",AB409=1),30%,0)</f>
        <v>0</v>
      </c>
      <c r="M409" s="45">
        <f t="shared" ca="1" si="353"/>
        <v>0.4618514552730022</v>
      </c>
      <c r="N409" s="45">
        <f t="shared" ca="1" si="354"/>
        <v>0.48424854472699785</v>
      </c>
      <c r="O409" s="46">
        <f t="shared" ca="1" si="322"/>
        <v>5.9920735332210651E-3</v>
      </c>
      <c r="P409" s="46" t="str">
        <f t="shared" ca="1" si="323"/>
        <v>识</v>
      </c>
      <c r="Q409" s="45">
        <f t="shared" ca="1" si="324"/>
        <v>0.25</v>
      </c>
      <c r="R409" s="117">
        <f ca="1">模拟模式!$E$20*(1-IF(模拟模式!$J$19="有",0.15,0))*(1-IF(模拟模式!$K$19="有",0.3,0)-IF(CQ409,0.5,0))</f>
        <v>843.02999999999975</v>
      </c>
      <c r="S409" s="45">
        <f ca="1">R409/(R409+(185*模拟模式!$E$22-16800)*4.08224)</f>
        <v>8.389626085980037E-2</v>
      </c>
      <c r="T409" s="45" t="str">
        <f ca="1">LOOKUP(D409,'模拟-单技能数据'!$A$2:$A$19,'模拟-单技能数据'!$H$2:$H$19)</f>
        <v>阳</v>
      </c>
      <c r="U409" s="119">
        <f t="shared" ca="1" si="355"/>
        <v>0.2</v>
      </c>
      <c r="V409" s="47">
        <f ca="1">(1+L409)*(LOOKUP(D409,'模拟-单技能数据'!$A$2:$A$19,'模拟-单技能数据'!$D$2:$D$19)+G409*LOOKUP(D409,'模拟-单技能数据'!$A$2:$A$19,'模拟-单技能数据'!$F$2:$F$19))*(1+J409)*(1+K409)*(1-S409)*(1+U409)*Q409*LOOKUP(D409,'模拟-单技能数据'!$A$2:$A$19,'模拟-单技能数据'!$I$2:$I$20)</f>
        <v>6573.9429077858304</v>
      </c>
      <c r="W409" s="47">
        <f ca="1">LOOKUP(D409,'模拟-单技能数据'!$A$2:$A$19,'模拟-单技能数据'!$G$2:$G$19)*$I$10</f>
        <v>361.51064354704795</v>
      </c>
      <c r="X409" s="47">
        <f t="shared" ca="1" si="325"/>
        <v>11607.89185245618</v>
      </c>
      <c r="Y409" s="47">
        <f t="shared" ca="1" si="356"/>
        <v>18543.345403789059</v>
      </c>
      <c r="Z409" s="49">
        <f t="shared" ca="1" si="357"/>
        <v>39885685.233722448</v>
      </c>
      <c r="AA409" s="97">
        <f t="shared" ca="1" si="358"/>
        <v>113184.59465577571</v>
      </c>
      <c r="AB409" s="115">
        <f ca="1">IF(OR(C409="赤日轮1",C409="赤日轮2",C409="赤日轮3"),IF(RAND()&lt;模拟模式!$Y$17,1,0),IF(OR(C409="幽月轮1",C409="幽月轮2",C409="幽月轮3"),IF(RAND()&lt;模拟模式!$Y$18,1,0),IF(C409="烈日斩",IF(RAND()&lt;模拟模式!$Y$19,1,0),IF(C409="银月斩",IF(RAND()&lt;模拟模式!$Y$20,1,0),IF(C409="驱夜断愁",IF(RAND()&lt;模拟模式!$Y$21,1,0),IF(C409="净世破魔击·日",IF(RAND()&lt;模拟模式!$Y$22,1,0),IF(C409="净世破魔击·月",IF(RAND()&lt;模拟模式!$Y$23,1,0),0)))))))</f>
        <v>1</v>
      </c>
      <c r="AC409" s="115" t="b">
        <f t="shared" ca="1" si="346"/>
        <v>0</v>
      </c>
      <c r="AD409" s="115" t="b">
        <f t="shared" ca="1" si="366"/>
        <v>0</v>
      </c>
      <c r="AE409" s="115">
        <f t="shared" ca="1" si="367"/>
        <v>0</v>
      </c>
      <c r="AF409" s="47">
        <f ca="1">IF(AC409,('模拟-单技能数据'!$D$20+G409*'模拟-单技能数据'!$F$20)*(1+J409)*(1+'模拟-单技能数据'!$J$20)*(1+U409),0)</f>
        <v>0</v>
      </c>
      <c r="AG409" s="61">
        <f t="shared" ca="1" si="359"/>
        <v>0.64185145527300214</v>
      </c>
      <c r="AH409" s="61">
        <f t="shared" ca="1" si="360"/>
        <v>2.2624828854998791</v>
      </c>
      <c r="AI409" s="62">
        <f t="shared" ca="1" si="326"/>
        <v>0.97111560500441341</v>
      </c>
      <c r="AJ409" s="47">
        <f ca="1">IF(AD409,IF(AI409&lt;$F$10,0,IF(AI409&lt;$F$10+$F$11,0.25,IF(AI409&lt;$F$10+$F$11+AG409,AH409,1)))*IF(AF409&gt;0,AF409,IF(AF408&gt;0,AF408,IF(AF407&gt;0,AF407,IF(AF406&gt;0,AF406,IF(AF405&gt;0,AF405,IF(AF404&gt;0,AF404,IF(AF403&gt;0,AF403,IF(AF402&gt;0,AF402,IF(AF401&gt;0,AF401,IF(AF399&gt;0,AF399,IF(AF398&gt;0,AF398,IF(AF397&gt;0,AF397,0)))))))))))),0)*(1-$S409)*'模拟-单技能数据'!$I$20</f>
        <v>0</v>
      </c>
      <c r="AK409" s="115" t="b">
        <f t="shared" ca="1" si="347"/>
        <v>0</v>
      </c>
      <c r="AL409" s="115" t="b">
        <f t="shared" ca="1" si="368"/>
        <v>1</v>
      </c>
      <c r="AM409" s="115">
        <f t="shared" ca="1" si="369"/>
        <v>5</v>
      </c>
      <c r="AN409" s="47">
        <f ca="1">IF(AK409,('模拟-单技能数据'!$D$21+G409*'模拟-单技能数据'!$F$21)*(1+J409)*(1+'模拟-单技能数据'!$J$21)*(1+U409),0)</f>
        <v>0</v>
      </c>
      <c r="AO409" s="61">
        <f ca="1">IF(AN409&gt;0,M409-'模拟-单技能数据'!$K$10,AO408)</f>
        <v>0.42185145527300216</v>
      </c>
      <c r="AP409" s="61">
        <f ca="1">IF(AN409&gt;0,I409-'模拟-单技能数据'!$L$10,AP408)</f>
        <v>2.162482885499879</v>
      </c>
      <c r="AQ409" s="63">
        <f t="shared" ca="1" si="327"/>
        <v>0.83810352959148504</v>
      </c>
      <c r="AR409" s="64">
        <f ca="1">IF(AL409,IF(AQ409&lt;$F$10,0,IF(AQ409&lt;$F$10+$F$11,0.25,IF(AQ409&lt;$F$10+$F$11+AO409,AP409,1)))*IF(AN409&gt;0,AN409,IF(AN408&gt;0,AN408,IF(AN407&gt;0,AN407,IF(AN406&gt;0,AN406,IF(AN405&gt;0,AN405,IF(AN404&gt;0,AN404,IF(AN403&gt;0,AN403,IF(AN402&gt;0,AN402,IF(AN401&gt;0,AN401,IF(AN399&gt;0,AN399,IF(AN398&gt;0,AN398,IF(AN397&gt;0,AN397,0)))))))))))),0)*(1-$S409)*'模拟-单技能数据'!$I$21</f>
        <v>11607.89185245618</v>
      </c>
      <c r="AS409" s="61">
        <f ca="1">IF(OR(C409="净世破魔击·日",C409="净世破魔击·月"),M409-'模拟-单技能数据'!$K$10,0)</f>
        <v>0</v>
      </c>
      <c r="AT409" s="61">
        <f ca="1">IF(OR(C409="净世破魔击·日",C409="净世破魔击·月"),I409-'模拟-单技能数据'!$L$10,0)</f>
        <v>0</v>
      </c>
      <c r="AU409" s="62">
        <f t="shared" ca="1" si="328"/>
        <v>0.48828507349640071</v>
      </c>
      <c r="AV409" s="64">
        <f ca="1">IF(AS409&gt;0,('模拟-单技能数据'!$D$22+G409*'模拟-单技能数据'!$F$22)*(1+J409)*(1-S409)*IF(AU409&lt;$F$10,0,IF(AU409&lt;$F$10+$F$11,0.25,IF(AU409&lt;$F$10+$F$11+AS409,AT409,1)))*(1+U409),0)*'模拟-单技能数据'!$I$22</f>
        <v>0</v>
      </c>
      <c r="AW409" s="108">
        <f t="shared" ca="1" si="329"/>
        <v>0</v>
      </c>
      <c r="AX409" s="108" t="b">
        <f ca="1">AND(模拟模式!$P$10="有",AW408=0,RAND()&lt;IF(C409="净世破魔击·月",0.1*8/3,IF(C409="净世破魔击·日",0.1*4/3,0.1*2/3)))</f>
        <v>0</v>
      </c>
      <c r="AY409" s="47">
        <f ca="1">IF(AX409,(18+G409*0.722)*(1+J409)*(1-S409)*(1+$I$4)*IF(P409="会",'模拟-全程加成'!$J$3+'模拟-全程加成'!$J$4+'模拟-全程加成'!$J$5+('模拟-全程加成'!$I$4+'模拟-全程加成'!$I$5)/系数!$B$4+BG409*10%,IF(P409="命",1,IF(P409="识",0.25,0))),0)</f>
        <v>0</v>
      </c>
      <c r="AZ409" s="108">
        <f t="shared" si="330"/>
        <v>12.620000000000005</v>
      </c>
      <c r="BA409" s="108" t="b">
        <f>AND(模拟模式!$Q$10="有",AZ408=0)</f>
        <v>0</v>
      </c>
      <c r="BB409" s="140">
        <f>IF(BA409,(0+G409*0.287)*(1+J409)*(1-S409)*(1+$I$4)*IF(P409="会",'模拟-全程加成'!$J$3+'模拟-全程加成'!$J$4+'模拟-全程加成'!$J$5+('模拟-全程加成'!$I$4+'模拟-全程加成'!$I$5)/系数!$B$4+BG409*10%,IF(P409="命",1,IF(P409="识",0.25,0))),0)</f>
        <v>0</v>
      </c>
      <c r="BC409" s="115" t="b">
        <f ca="1">AND(模拟模式!$R$7="伏明众生",E409=60,F409=20,DA409&lt;5,CZ408&lt;$F$4)</f>
        <v>0</v>
      </c>
      <c r="BD409" s="115">
        <f t="shared" ca="1" si="348"/>
        <v>0</v>
      </c>
      <c r="BE409" s="115" t="b">
        <f t="shared" ca="1" si="349"/>
        <v>0</v>
      </c>
      <c r="BF409" s="47">
        <f ca="1">IF(BC409,4*('模拟-单技能数据'!$D$24+G409*'模拟-单技能数据'!$F$24)*(1+J409)*(1+'模拟-单技能数据'!$J$24)*(1-S409)*(1+$I$3)*(('模拟-全程加成'!$J$3+'模拟-全程加成'!$J$4+'模拟-全程加成'!$J$5+('模拟-全程加成'!$I$4+'模拟-全程加成'!$I$5)/系数!$B$4+BG409*10%)*('模拟-全程加成'!$J$3+'模拟-全程加成'!$J$4+'模拟-全程加成'!$J$5+('模拟-全程加成'!$I$4+'模拟-全程加成'!$I$5)/系数!$B$4+BG409*10%)+(1-('模拟-全程加成'!$J$3+'模拟-全程加成'!$J$4+'模拟-全程加成'!$J$5+('模拟-全程加成'!$I$4+'模拟-全程加成'!$I$5)/系数!$B$4+BG409*10%)-$F$10-$F$11)+F395*0.25),0)*'模拟-单技能数据'!$I$24</f>
        <v>0</v>
      </c>
      <c r="BG409" s="115" t="b">
        <f ca="1">OR(AND(OR(C409="烈日斩",C409="银月斩"),模拟模式!$I$7="净身明礼"),AND(C409="净世破魔击·日",模拟模式!$J$7="洞若观火"),AND(C410="净世破魔击·月",模拟模式!$J$7="洞若观火"),AB409=1)</f>
        <v>1</v>
      </c>
      <c r="BH409" s="115" t="b">
        <f t="shared" ca="1" si="331"/>
        <v>0</v>
      </c>
      <c r="BI409" s="115">
        <f t="shared" ca="1" si="350"/>
        <v>2.3099999999999996</v>
      </c>
      <c r="BJ409" s="115" t="b">
        <f t="shared" ca="1" si="361"/>
        <v>1</v>
      </c>
      <c r="BK409" s="115" t="b">
        <f ca="1">AND(C409="驱夜断愁",模拟模式!$P$7="天地诛戮")</f>
        <v>0</v>
      </c>
      <c r="BL409" s="57">
        <f t="shared" ca="1" si="351"/>
        <v>8.9300000000000068</v>
      </c>
      <c r="BM409" s="115" t="b">
        <f t="shared" ca="1" si="362"/>
        <v>1</v>
      </c>
      <c r="BN409" s="115" t="b">
        <f ca="1">AND(OR(C409="赤日轮1",C409="赤日轮2",C409="赤日轮3",C409="幽月轮1",C409="幽月轮2",C409="幽月轮3"),AB409=1,模拟模式!$L$7="明光恒照")</f>
        <v>1</v>
      </c>
      <c r="BO409" s="117">
        <f t="shared" ca="1" si="352"/>
        <v>30</v>
      </c>
      <c r="BP409" s="115">
        <f t="shared" ca="1" si="332"/>
        <v>6</v>
      </c>
      <c r="BQ409" s="115" t="b">
        <f>模拟模式!$K$10="2600·水"</f>
        <v>0</v>
      </c>
      <c r="BR409" s="117">
        <f t="shared" si="333"/>
        <v>0</v>
      </c>
      <c r="BS409" s="115">
        <f t="shared" si="334"/>
        <v>0</v>
      </c>
      <c r="BT409" s="115">
        <f t="shared" ca="1" si="335"/>
        <v>0</v>
      </c>
      <c r="BU409" s="115" t="b">
        <f ca="1">AND(模拟模式!$K$10="2300·雷",BT408=0,RAND()&lt;IF(C409="净世破魔击·月",5*0.05*2/3,IF(C409="净世破魔击·日",3*0.05*2/3,0.05*2*2/3)))</f>
        <v>0</v>
      </c>
      <c r="BV409" s="115">
        <f t="shared" ca="1" si="336"/>
        <v>0</v>
      </c>
      <c r="BW409" s="115">
        <f t="shared" ca="1" si="337"/>
        <v>19.484999999999303</v>
      </c>
      <c r="BX409" s="164" t="b">
        <f t="shared" ca="1" si="338"/>
        <v>0</v>
      </c>
      <c r="BY409" s="115">
        <f t="shared" ca="1" si="339"/>
        <v>0</v>
      </c>
      <c r="BZ409" s="115">
        <f>IF(OR(模拟模式!$P$16="10人团",模拟模式!$P$16="25人团"),IF(B409/30&gt;CA408,1,0),0)</f>
        <v>0</v>
      </c>
      <c r="CA409" s="115">
        <f t="shared" si="315"/>
        <v>0</v>
      </c>
      <c r="CB409" s="115">
        <f ca="1">IF(BZ409=1,IF(模拟模式!$P$16="10人团",15,0)+IF(模拟模式!$P$16="25人团",IF(RAND()&lt;0.6,15,0)),MAX(0,CB408-$F$4))</f>
        <v>0</v>
      </c>
      <c r="CC409" s="115" t="b">
        <f t="shared" ca="1" si="363"/>
        <v>0</v>
      </c>
      <c r="CD409" s="115">
        <f>IF(模拟模式!$Q$16="1个",IF(B409/40&gt;CE408,1,0),0)</f>
        <v>0</v>
      </c>
      <c r="CE409" s="115">
        <f t="shared" si="364"/>
        <v>0</v>
      </c>
      <c r="CF409" s="115">
        <f>IF(OR(CD409=1,模拟模式!$Q$16="2个"),20,MAX(0,CF408-$F$4))</f>
        <v>0</v>
      </c>
      <c r="CG409" s="115" t="b">
        <f t="shared" si="365"/>
        <v>0</v>
      </c>
      <c r="CH409" s="115">
        <f t="shared" ca="1" si="340"/>
        <v>19.852500000000006</v>
      </c>
      <c r="CI409" s="115" t="b">
        <f t="shared" ca="1" si="341"/>
        <v>0</v>
      </c>
      <c r="CJ409" s="119">
        <f t="shared" ca="1" si="342"/>
        <v>0</v>
      </c>
      <c r="CK409" s="115">
        <f t="shared" ca="1" si="343"/>
        <v>0</v>
      </c>
      <c r="CL409" s="115" t="b">
        <f ca="1">AND(模拟模式!$S$7="驱夷逐法",OR(AND(C409="净世破魔击·月",E408&gt;59),AND(C409="净世破魔击·日",F408&gt;59)))</f>
        <v>0</v>
      </c>
      <c r="CM409" s="115" t="b">
        <f ca="1">OR(CL409,AND(C409="净世破魔击·日",CL408,RAND()&lt;模拟模式!$U$23))</f>
        <v>0</v>
      </c>
      <c r="CN409" s="115" t="b">
        <f ca="1">IF(模拟模式!$M$7="辉耀红尘",AND(C409="净世破魔击·月",CL409,CV409=0,E408&lt;80),AND(C409="净世破魔击·月",CL409,E408&lt;100))</f>
        <v>0</v>
      </c>
      <c r="CO409" s="115" t="b">
        <f t="shared" ca="1" si="316"/>
        <v>0</v>
      </c>
      <c r="CP409" s="115" t="b">
        <f ca="1">AND(模拟模式!$O$7="用晦而明",OR(C409="净世破魔击·日",C409="净世破魔击·月",C409="驱夜断愁"),AB409)</f>
        <v>0</v>
      </c>
      <c r="CQ409" s="115" t="b">
        <f ca="1">OR(CP409,AND(CP408,RAND()&lt;模拟模式!$U$23))</f>
        <v>1</v>
      </c>
      <c r="CR409" s="115" t="b">
        <f ca="1">AND(模拟模式!$S$7="日月齐光",OR(C409="幽月轮1",C409="幽月轮2",C409="幽月轮3",CR408),NOT(OR(C409="赤日轮1",C409="赤日轮2",C409="赤日轮3")))</f>
        <v>0</v>
      </c>
      <c r="CS409" s="115" t="b">
        <f ca="1">AND(模拟模式!$S$7="日月齐光",OR(C409="赤日轮1",C409="赤日轮2",C409="赤日轮3",CS408),NOT(OR(C409="幽月轮1",C409="幽月轮2",C409="幽月轮3")))</f>
        <v>0</v>
      </c>
      <c r="CT409" s="115">
        <f t="shared" ca="1" si="344"/>
        <v>23.542500000000004</v>
      </c>
      <c r="CU409" s="115" t="b">
        <f ca="1">AND(模拟模式!$K$10="阴阳往极",CT408=0,RAND()&lt;IF(C409="净世破魔击·月",0.0275*7/3,IF(C409="净世破魔击·日",0.0275*3/3,0.0275*2/3)))</f>
        <v>0</v>
      </c>
      <c r="CV409" s="115">
        <f t="shared" ca="1" si="345"/>
        <v>0</v>
      </c>
      <c r="CW409" s="115">
        <f t="shared" ca="1" si="317"/>
        <v>0</v>
      </c>
      <c r="CX409" s="115">
        <f t="shared" ca="1" si="318"/>
        <v>0</v>
      </c>
      <c r="CY409" s="115">
        <f ca="1">MAX(IF($C409="驱夜断愁",IF(模拟模式!$R$7="万念俱寂",6,45),CY408-$F$4),0)</f>
        <v>0</v>
      </c>
      <c r="CZ409" s="115">
        <f t="shared" ca="1" si="319"/>
        <v>0</v>
      </c>
      <c r="DA409" s="115">
        <f ca="1">IF(模拟模式!$N$7="日月同辉",IF(DB408=2,0,MIN(6,IF(AND(OR(C409="赤日轮1",C409="赤日轮2",C409="赤日轮3",C409="幽月轮1",C409="幽月轮2",C409="幽月轮3"),AB409=1),DA408+1,DA408))),0)</f>
        <v>5</v>
      </c>
      <c r="DB409" s="115">
        <f t="shared" ca="1" si="320"/>
        <v>0</v>
      </c>
      <c r="DC409" s="115"/>
      <c r="DD409" s="115"/>
      <c r="DE409" s="115"/>
      <c r="DF409" s="115"/>
      <c r="DG409" s="115"/>
      <c r="DH409" s="115"/>
      <c r="DI409" s="115"/>
      <c r="DJ409" s="115"/>
      <c r="DK409" s="115"/>
      <c r="DL409" s="115"/>
      <c r="DM409" s="115"/>
    </row>
    <row r="410" spans="2:117" x14ac:dyDescent="0.2">
      <c r="B410" s="117">
        <f t="shared" si="321"/>
        <v>353.31750000000324</v>
      </c>
      <c r="C410" s="167" t="str">
        <f t="shared" ca="1" si="314"/>
        <v>银月斩</v>
      </c>
      <c r="D410" s="115">
        <f ca="1">IF(C410="赤日轮1",1,IF(C410="赤日轮2",2,IF(C410="赤日轮3",3,IF(C410="幽月轮1",4,IF(C410="幽月轮2",5,IF(C410="幽月轮3",6,IF(C410="烈日斩",7,IF(C410="银月斩",8,IF(C410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410="净世破魔击·月",17,IF(C410="驱夜断愁",18,0)))))))))))</f>
        <v>8</v>
      </c>
      <c r="E410" s="115">
        <f ca="1">IF(AND(CU410,OR(C410="幽月轮1",C410="幽月轮2",C410="幽月轮3",C410="银月斩",C410="驱夜断愁",C410="净世破魔击·月")),100,MIN(IF(OR(CN410,BE410),0,IF(OR($C410="赤日轮1",$C410="赤日轮2",$C410="赤日轮3"),E409+20+IF(模拟模式!$I$7="日月凌天",4,0)+IF(CR409,20,0),IF($C410="烈日斩",E409+40,IF($C410="驱夜断愁",IF(模拟模式!$R$7="万念俱寂",E409+20,E409+60),IF($C410="净世破魔击·月",IF(OR(DB409&gt;0,CV409&gt;0),100,IF(模拟模式!$M$7="辉耀红尘",E409+20,E409)),IF($C410="净世破魔击·日",E409-100,E409)))))),100))</f>
        <v>20</v>
      </c>
      <c r="F410" s="115">
        <f ca="1">IF(AND(CU410,OR(C410="赤日轮1",C410="赤日轮2",C410="赤日轮3",C410="烈日斩",C410="净世破魔击·日")),100,MIN(IF(CO410,0,IF(OR($C410="幽月轮1",$C410="幽月轮2",$C410="幽月轮3"),F409+20+IF(模拟模式!$I$7="日月凌天",4,0)+IF(CS409,20,0),IF($C410="银月斩",F409+40+IF(模拟模式!$X$12=1,5,0),IF($C410="驱夜断愁",IF(模拟模式!$R$7="万念俱寂",F409+20,F409+60),IF($C410="净世破魔击·月",IF(模拟模式!$M$7="辉耀红尘",F409-80,F409-100),IF(AND(C410="净世破魔击·日",OR(DB409&gt;0,CV409&gt;0)),100,F409)))))),100))</f>
        <v>65</v>
      </c>
      <c r="G410" s="117">
        <f ca="1">('模拟-全程加成'!$E$3+'模拟-全程加成'!$E$4+'模拟-全程加成'!$E$5+('模拟-全程加成'!$C$6-'模拟-全程加成'!$C$3)*系数!$B$9+BS410*23)*(1+'模拟-全程加成'!$F$4+'模拟-全程加成'!$F$5+BJ410*10%+BM410*20%+BP410*4%+CG410*30%)+$F$7*系数!$B$12</f>
        <v>21493.829400000002</v>
      </c>
      <c r="H410" s="45">
        <f ca="1">'模拟-全程加成'!$H$3+'模拟-全程加成'!$H$4+'模拟-全程加成'!$H$5+('模拟-全程加成'!$G$4+'模拟-全程加成'!$G$5+('模拟-全程加成'!$C$6-'模拟-全程加成'!$C$3)*系数!$B$13)/系数!$B$3+LOOKUP(D410,'模拟-单技能数据'!$A$2:$A$19,'模拟-单技能数据'!$K$2:$K$19)+BG410*10%+IF(BV410&gt;0,378,0)</f>
        <v>0.64185145527300214</v>
      </c>
      <c r="I410" s="45">
        <f ca="1">'模拟-全程加成'!$J$3+'模拟-全程加成'!$J$4+'模拟-全程加成'!$J$5+('模拟-全程加成'!$I$4+'模拟-全程加成'!$I$5)/系数!$B$4+LOOKUP(D410,'模拟-单技能数据'!$A$2:$A$19,'模拟-单技能数据'!$L$2:$L$19)+BG410*10%</f>
        <v>2.2624828854998791</v>
      </c>
      <c r="J410" s="45">
        <f ca="1">(('模拟-全程加成'!$K$3+'模拟-全程加成'!$K$4+'模拟-全程加成'!$K$5+('模拟-全程加成'!$C$6-'模拟-全程加成'!$C$3)*系数!$B$10+IF(BV410&gt;0,882,0)+IF(BY410&gt;0,1831,0))*(1+'模拟-全程加成'!$L$4+'模拟-全程加成'!$L$5+CC410*20%))/系数!$B$5</f>
        <v>0.69723220422048726</v>
      </c>
      <c r="K410" s="119">
        <f ca="1">LOOKUP(D410,'模拟-单技能数据'!$A$2:$A$19,'模拟-单技能数据'!$J$2:$J$19)+IF(CM410,60%,0)+IF(DB409-DB410&gt;0,30%,0)+IF(OR(AND(OR(C410="赤日轮1",C410="赤日轮2",C410="赤日轮3"),CR410),AND(OR(C410="幽月轮1",C410="幽月轮2",C410="幽月轮3"),CS410)),35%,0)+CJ410</f>
        <v>0.15</v>
      </c>
      <c r="L410" s="119">
        <f ca="1">IF(AND(C410="烈日斩",模拟模式!$X$11=1),10%,0)+IF(AND(C410="驱夜断愁",AB410=1),30%,0)</f>
        <v>0</v>
      </c>
      <c r="M410" s="45">
        <f t="shared" ca="1" si="353"/>
        <v>0.64185145527300214</v>
      </c>
      <c r="N410" s="45">
        <f t="shared" ca="1" si="354"/>
        <v>0.30424854472699792</v>
      </c>
      <c r="O410" s="46">
        <f t="shared" ca="1" si="322"/>
        <v>0.85736357726668355</v>
      </c>
      <c r="P410" s="46" t="str">
        <f t="shared" ca="1" si="323"/>
        <v>命</v>
      </c>
      <c r="Q410" s="45">
        <f t="shared" ca="1" si="324"/>
        <v>1</v>
      </c>
      <c r="R410" s="117">
        <f ca="1">模拟模式!$E$20*(1-IF(模拟模式!$J$19="有",0.15,0))*(1-IF(模拟模式!$K$19="有",0.3,0)-IF(CQ410,0.5,0))</f>
        <v>2950.6049999999996</v>
      </c>
      <c r="S410" s="45">
        <f ca="1">R410/(R410+(185*模拟模式!$E$22-16800)*4.08224)</f>
        <v>0.24272716014590323</v>
      </c>
      <c r="T410" s="45" t="str">
        <f ca="1">LOOKUP(D410,'模拟-单技能数据'!$A$2:$A$19,'模拟-单技能数据'!$H$2:$H$19)</f>
        <v>阴</v>
      </c>
      <c r="U410" s="119">
        <f t="shared" ca="1" si="355"/>
        <v>0.08</v>
      </c>
      <c r="V410" s="47">
        <f ca="1">(1+L410)*(LOOKUP(D410,'模拟-单技能数据'!$A$2:$A$19,'模拟-单技能数据'!$D$2:$D$19)+G410*LOOKUP(D410,'模拟-单技能数据'!$A$2:$A$19,'模拟-单技能数据'!$F$2:$F$19))*(1+J410)*(1+K410)*(1-S410)*(1+U410)*Q410*LOOKUP(D410,'模拟-单技能数据'!$A$2:$A$19,'模拟-单技能数据'!$I$2:$I$20)</f>
        <v>18215.255972688272</v>
      </c>
      <c r="W410" s="47">
        <f ca="1">LOOKUP(D410,'模拟-单技能数据'!$A$2:$A$19,'模拟-单技能数据'!$G$2:$G$19)*$I$10</f>
        <v>361.51064354704795</v>
      </c>
      <c r="X410" s="47">
        <f t="shared" ca="1" si="325"/>
        <v>3513.5533621728819</v>
      </c>
      <c r="Y410" s="47">
        <f t="shared" ca="1" si="356"/>
        <v>22090.319978408203</v>
      </c>
      <c r="Z410" s="49">
        <f t="shared" ca="1" si="357"/>
        <v>39907775.553700857</v>
      </c>
      <c r="AA410" s="97">
        <f t="shared" ca="1" si="358"/>
        <v>112951.59609614722</v>
      </c>
      <c r="AB410" s="115">
        <f ca="1">IF(OR(C410="赤日轮1",C410="赤日轮2",C410="赤日轮3"),IF(RAND()&lt;模拟模式!$Y$17,1,0),IF(OR(C410="幽月轮1",C410="幽月轮2",C410="幽月轮3"),IF(RAND()&lt;模拟模式!$Y$18,1,0),IF(C410="烈日斩",IF(RAND()&lt;模拟模式!$Y$19,1,0),IF(C410="银月斩",IF(RAND()&lt;模拟模式!$Y$20,1,0),IF(C410="驱夜断愁",IF(RAND()&lt;模拟模式!$Y$21,1,0),IF(C410="净世破魔击·日",IF(RAND()&lt;模拟模式!$Y$22,1,0),IF(C410="净世破魔击·月",IF(RAND()&lt;模拟模式!$Y$23,1,0),0)))))))</f>
        <v>1</v>
      </c>
      <c r="AC410" s="115" t="b">
        <f t="shared" ca="1" si="346"/>
        <v>1</v>
      </c>
      <c r="AD410" s="115" t="b">
        <f t="shared" ca="1" si="366"/>
        <v>1</v>
      </c>
      <c r="AE410" s="115">
        <f t="shared" ca="1" si="367"/>
        <v>6</v>
      </c>
      <c r="AF410" s="47">
        <f ca="1">IF(AC410,('模拟-单技能数据'!$D$20+G410*'模拟-单技能数据'!$F$20)*(1+J410)*(1+'模拟-单技能数据'!$J$20)*(1+U410),0)</f>
        <v>4639.7456468263617</v>
      </c>
      <c r="AG410" s="61">
        <f t="shared" ca="1" si="359"/>
        <v>0.64185145527300214</v>
      </c>
      <c r="AH410" s="61">
        <f t="shared" ca="1" si="360"/>
        <v>2.2624828854998791</v>
      </c>
      <c r="AI410" s="62">
        <f t="shared" ca="1" si="326"/>
        <v>0.85373037319943534</v>
      </c>
      <c r="AJ410" s="47">
        <f ca="1">IF(AD410,IF(AI410&lt;$F$10,0,IF(AI410&lt;$F$10+$F$11,0.25,IF(AI410&lt;$F$10+$F$11+AG410,AH410,1)))*IF(AF410&gt;0,AF410,IF(AF409&gt;0,AF409,IF(AF408&gt;0,AF408,IF(AF407&gt;0,AF407,IF(AF406&gt;0,AF406,IF(AF405&gt;0,AF405,IF(AF404&gt;0,AF404,IF(AF403&gt;0,AF403,IF(AF402&gt;0,AF402,IF(AF400&gt;0,AF400,IF(AF399&gt;0,AF399,IF(AF398&gt;0,AF398,0)))))))))))),0)*(1-$S410)*'模拟-单技能数据'!$I$20</f>
        <v>3513.5533621728819</v>
      </c>
      <c r="AK410" s="115" t="b">
        <f t="shared" ca="1" si="347"/>
        <v>0</v>
      </c>
      <c r="AL410" s="115" t="b">
        <f t="shared" ca="1" si="368"/>
        <v>0</v>
      </c>
      <c r="AM410" s="115">
        <f t="shared" ca="1" si="369"/>
        <v>5</v>
      </c>
      <c r="AN410" s="47">
        <f ca="1">IF(AK410,('模拟-单技能数据'!$D$21+G410*'模拟-单技能数据'!$F$21)*(1+J410)*(1+'模拟-单技能数据'!$J$21)*(1+U410),0)</f>
        <v>0</v>
      </c>
      <c r="AO410" s="61">
        <f ca="1">IF(AN410&gt;0,M410-'模拟-单技能数据'!$K$10,AO409)</f>
        <v>0.42185145527300216</v>
      </c>
      <c r="AP410" s="61">
        <f ca="1">IF(AN410&gt;0,I410-'模拟-单技能数据'!$L$10,AP409)</f>
        <v>2.162482885499879</v>
      </c>
      <c r="AQ410" s="63">
        <f t="shared" ca="1" si="327"/>
        <v>0.20404898103412661</v>
      </c>
      <c r="AR410" s="64">
        <f ca="1">IF(AL410,IF(AQ410&lt;$F$10,0,IF(AQ410&lt;$F$10+$F$11,0.25,IF(AQ410&lt;$F$10+$F$11+AO410,AP410,1)))*IF(AN410&gt;0,AN410,IF(AN409&gt;0,AN409,IF(AN408&gt;0,AN408,IF(AN407&gt;0,AN407,IF(AN406&gt;0,AN406,IF(AN405&gt;0,AN405,IF(AN404&gt;0,AN404,IF(AN403&gt;0,AN403,IF(AN402&gt;0,AN402,IF(AN400&gt;0,AN400,IF(AN399&gt;0,AN399,IF(AN398&gt;0,AN398,0)))))))))))),0)*(1-$S410)*'模拟-单技能数据'!$I$21</f>
        <v>0</v>
      </c>
      <c r="AS410" s="61">
        <f ca="1">IF(OR(C410="净世破魔击·日",C410="净世破魔击·月"),M410-'模拟-单技能数据'!$K$10,0)</f>
        <v>0</v>
      </c>
      <c r="AT410" s="61">
        <f ca="1">IF(OR(C410="净世破魔击·日",C410="净世破魔击·月"),I410-'模拟-单技能数据'!$L$10,0)</f>
        <v>0</v>
      </c>
      <c r="AU410" s="62">
        <f t="shared" ca="1" si="328"/>
        <v>2.0984700366576403E-3</v>
      </c>
      <c r="AV410" s="64">
        <f ca="1">IF(AS410&gt;0,('模拟-单技能数据'!$D$22+G410*'模拟-单技能数据'!$F$22)*(1+J410)*(1-S410)*IF(AU410&lt;$F$10,0,IF(AU410&lt;$F$10+$F$11,0.25,IF(AU410&lt;$F$10+$F$11+AS410,AT410,1)))*(1+U410),0)*'模拟-单技能数据'!$I$22</f>
        <v>0</v>
      </c>
      <c r="AW410" s="108">
        <f t="shared" ca="1" si="329"/>
        <v>0</v>
      </c>
      <c r="AX410" s="108" t="b">
        <f ca="1">AND(模拟模式!$P$10="有",AW409=0,RAND()&lt;IF(C410="净世破魔击·月",0.1*8/3,IF(C410="净世破魔击·日",0.1*4/3,0.1*2/3)))</f>
        <v>0</v>
      </c>
      <c r="AY410" s="47">
        <f ca="1">IF(AX410,(18+G410*0.722)*(1+J410)*(1-S410)*(1+$I$4)*IF(P410="会",'模拟-全程加成'!$J$3+'模拟-全程加成'!$J$4+'模拟-全程加成'!$J$5+('模拟-全程加成'!$I$4+'模拟-全程加成'!$I$5)/系数!$B$4+BG410*10%,IF(P410="命",1,IF(P410="识",0.25,0))),0)</f>
        <v>0</v>
      </c>
      <c r="AZ410" s="108">
        <f t="shared" si="330"/>
        <v>11.697500000000005</v>
      </c>
      <c r="BA410" s="108" t="b">
        <f>AND(模拟模式!$Q$10="有",AZ409=0)</f>
        <v>0</v>
      </c>
      <c r="BB410" s="140">
        <f>IF(BA410,(0+G410*0.287)*(1+J410)*(1-S410)*(1+$I$4)*IF(P410="会",'模拟-全程加成'!$J$3+'模拟-全程加成'!$J$4+'模拟-全程加成'!$J$5+('模拟-全程加成'!$I$4+'模拟-全程加成'!$I$5)/系数!$B$4+BG410*10%,IF(P410="命",1,IF(P410="识",0.25,0))),0)</f>
        <v>0</v>
      </c>
      <c r="BC410" s="115" t="b">
        <f ca="1">AND(模拟模式!$R$7="伏明众生",E410=60,F410=20,DA410&lt;5,CZ409&lt;$F$4)</f>
        <v>0</v>
      </c>
      <c r="BD410" s="115">
        <f t="shared" ca="1" si="348"/>
        <v>0</v>
      </c>
      <c r="BE410" s="115" t="b">
        <f t="shared" ca="1" si="349"/>
        <v>0</v>
      </c>
      <c r="BF410" s="47">
        <f ca="1">IF(BC410,4*('模拟-单技能数据'!$D$24+G410*'模拟-单技能数据'!$F$24)*(1+J410)*(1+'模拟-单技能数据'!$J$24)*(1-S410)*(1+$I$3)*(('模拟-全程加成'!$J$3+'模拟-全程加成'!$J$4+'模拟-全程加成'!$J$5+('模拟-全程加成'!$I$4+'模拟-全程加成'!$I$5)/系数!$B$4+BG410*10%)*('模拟-全程加成'!$J$3+'模拟-全程加成'!$J$4+'模拟-全程加成'!$J$5+('模拟-全程加成'!$I$4+'模拟-全程加成'!$I$5)/系数!$B$4+BG410*10%)+(1-('模拟-全程加成'!$J$3+'模拟-全程加成'!$J$4+'模拟-全程加成'!$J$5+('模拟-全程加成'!$I$4+'模拟-全程加成'!$I$5)/系数!$B$4+BG410*10%)-$F$10-$F$11)+F396*0.25),0)*'模拟-单技能数据'!$I$24</f>
        <v>0</v>
      </c>
      <c r="BG410" s="115" t="b">
        <f ca="1">OR(AND(OR(C410="烈日斩",C410="银月斩"),模拟模式!$I$7="净身明礼"),AND(C410="净世破魔击·日",模拟模式!$J$7="洞若观火"),AND(C411="净世破魔击·月",模拟模式!$J$7="洞若观火"),AB410=1)</f>
        <v>1</v>
      </c>
      <c r="BH410" s="115" t="b">
        <f t="shared" ca="1" si="331"/>
        <v>0</v>
      </c>
      <c r="BI410" s="115">
        <f t="shared" ca="1" si="350"/>
        <v>1.3874999999999997</v>
      </c>
      <c r="BJ410" s="115" t="b">
        <f t="shared" ca="1" si="361"/>
        <v>1</v>
      </c>
      <c r="BK410" s="115" t="b">
        <f ca="1">AND(C410="驱夜断愁",模拟模式!$P$7="天地诛戮")</f>
        <v>0</v>
      </c>
      <c r="BL410" s="57">
        <f t="shared" ca="1" si="351"/>
        <v>8.0075000000000074</v>
      </c>
      <c r="BM410" s="115" t="b">
        <f t="shared" ca="1" si="362"/>
        <v>1</v>
      </c>
      <c r="BN410" s="115" t="b">
        <f ca="1">AND(OR(C410="赤日轮1",C410="赤日轮2",C410="赤日轮3",C410="幽月轮1",C410="幽月轮2",C410="幽月轮3"),AB410=1,模拟模式!$L$7="明光恒照")</f>
        <v>0</v>
      </c>
      <c r="BO410" s="117">
        <f t="shared" ca="1" si="352"/>
        <v>29.077500000000001</v>
      </c>
      <c r="BP410" s="115">
        <f t="shared" ca="1" si="332"/>
        <v>6</v>
      </c>
      <c r="BQ410" s="115" t="b">
        <f>模拟模式!$K$10="2600·水"</f>
        <v>0</v>
      </c>
      <c r="BR410" s="117">
        <f t="shared" si="333"/>
        <v>0</v>
      </c>
      <c r="BS410" s="115">
        <f t="shared" si="334"/>
        <v>0</v>
      </c>
      <c r="BT410" s="115">
        <f t="shared" ca="1" si="335"/>
        <v>0</v>
      </c>
      <c r="BU410" s="115" t="b">
        <f ca="1">AND(模拟模式!$K$10="2300·雷",BT409=0,RAND()&lt;IF(C410="净世破魔击·月",5*0.05*2/3,IF(C410="净世破魔击·日",3*0.05*2/3,0.05*2*2/3)))</f>
        <v>0</v>
      </c>
      <c r="BV410" s="115">
        <f t="shared" ca="1" si="336"/>
        <v>0</v>
      </c>
      <c r="BW410" s="115">
        <f t="shared" ca="1" si="337"/>
        <v>18.562499999999304</v>
      </c>
      <c r="BX410" s="164" t="b">
        <f t="shared" ca="1" si="338"/>
        <v>0</v>
      </c>
      <c r="BY410" s="115">
        <f t="shared" ca="1" si="339"/>
        <v>0</v>
      </c>
      <c r="BZ410" s="115">
        <f>IF(OR(模拟模式!$P$16="10人团",模拟模式!$P$16="25人团"),IF(B410/30&gt;CA409,1,0),0)</f>
        <v>0</v>
      </c>
      <c r="CA410" s="115">
        <f t="shared" si="315"/>
        <v>0</v>
      </c>
      <c r="CB410" s="115">
        <f ca="1">IF(BZ410=1,IF(模拟模式!$P$16="10人团",15,0)+IF(模拟模式!$P$16="25人团",IF(RAND()&lt;0.6,15,0)),MAX(0,CB409-$F$4))</f>
        <v>0</v>
      </c>
      <c r="CC410" s="115" t="b">
        <f t="shared" ca="1" si="363"/>
        <v>0</v>
      </c>
      <c r="CD410" s="115">
        <f>IF(模拟模式!$Q$16="1个",IF(B410/40&gt;CE409,1,0),0)</f>
        <v>0</v>
      </c>
      <c r="CE410" s="115">
        <f t="shared" si="364"/>
        <v>0</v>
      </c>
      <c r="CF410" s="115">
        <f>IF(OR(CD410=1,模拟模式!$Q$16="2个"),20,MAX(0,CF409-$F$4))</f>
        <v>0</v>
      </c>
      <c r="CG410" s="115" t="b">
        <f t="shared" si="365"/>
        <v>0</v>
      </c>
      <c r="CH410" s="115">
        <f t="shared" ca="1" si="340"/>
        <v>18.930000000000007</v>
      </c>
      <c r="CI410" s="115" t="b">
        <f t="shared" ca="1" si="341"/>
        <v>0</v>
      </c>
      <c r="CJ410" s="119">
        <f t="shared" ca="1" si="342"/>
        <v>0</v>
      </c>
      <c r="CK410" s="115">
        <f t="shared" ca="1" si="343"/>
        <v>0</v>
      </c>
      <c r="CL410" s="115" t="b">
        <f ca="1">AND(模拟模式!$S$7="驱夷逐法",OR(AND(C410="净世破魔击·月",E409&gt;59),AND(C410="净世破魔击·日",F409&gt;59)))</f>
        <v>0</v>
      </c>
      <c r="CM410" s="115" t="b">
        <f ca="1">OR(CL410,AND(C410="净世破魔击·日",CL409,RAND()&lt;模拟模式!$U$23))</f>
        <v>0</v>
      </c>
      <c r="CN410" s="115" t="b">
        <f ca="1">IF(模拟模式!$M$7="辉耀红尘",AND(C410="净世破魔击·月",CL410,CV410=0,E409&lt;80),AND(C410="净世破魔击·月",CL410,E409&lt;100))</f>
        <v>0</v>
      </c>
      <c r="CO410" s="115" t="b">
        <f t="shared" ca="1" si="316"/>
        <v>0</v>
      </c>
      <c r="CP410" s="115" t="b">
        <f ca="1">AND(模拟模式!$O$7="用晦而明",OR(C410="净世破魔击·日",C410="净世破魔击·月",C410="驱夜断愁"),AB410)</f>
        <v>0</v>
      </c>
      <c r="CQ410" s="115" t="b">
        <f ca="1">OR(CP410,AND(CP409,RAND()&lt;模拟模式!$U$23))</f>
        <v>0</v>
      </c>
      <c r="CR410" s="115" t="b">
        <f ca="1">AND(模拟模式!$S$7="日月齐光",OR(C410="幽月轮1",C410="幽月轮2",C410="幽月轮3",CR409),NOT(OR(C410="赤日轮1",C410="赤日轮2",C410="赤日轮3")))</f>
        <v>0</v>
      </c>
      <c r="CS410" s="115" t="b">
        <f ca="1">AND(模拟模式!$S$7="日月齐光",OR(C410="赤日轮1",C410="赤日轮2",C410="赤日轮3",CS409),NOT(OR(C410="幽月轮1",C410="幽月轮2",C410="幽月轮3")))</f>
        <v>0</v>
      </c>
      <c r="CT410" s="115">
        <f t="shared" ca="1" si="344"/>
        <v>22.620000000000005</v>
      </c>
      <c r="CU410" s="115" t="b">
        <f ca="1">AND(模拟模式!$K$10="阴阳往极",CT409=0,RAND()&lt;IF(C410="净世破魔击·月",0.0275*7/3,IF(C410="净世破魔击·日",0.0275*3/3,0.0275*2/3)))</f>
        <v>0</v>
      </c>
      <c r="CV410" s="115">
        <f t="shared" ca="1" si="345"/>
        <v>0</v>
      </c>
      <c r="CW410" s="115">
        <f t="shared" ca="1" si="317"/>
        <v>0</v>
      </c>
      <c r="CX410" s="115">
        <f t="shared" ca="1" si="318"/>
        <v>6</v>
      </c>
      <c r="CY410" s="115">
        <f ca="1">MAX(IF($C410="驱夜断愁",IF(模拟模式!$R$7="万念俱寂",6,45),CY409-$F$4),0)</f>
        <v>0</v>
      </c>
      <c r="CZ410" s="115">
        <f t="shared" ca="1" si="319"/>
        <v>0</v>
      </c>
      <c r="DA410" s="115">
        <f ca="1">IF(模拟模式!$N$7="日月同辉",IF(DB409=2,0,MIN(6,IF(AND(OR(C410="赤日轮1",C410="赤日轮2",C410="赤日轮3",C410="幽月轮1",C410="幽月轮2",C410="幽月轮3"),AB410=1),DA409+1,DA409))),0)</f>
        <v>5</v>
      </c>
      <c r="DB410" s="115">
        <f t="shared" ca="1" si="320"/>
        <v>0</v>
      </c>
      <c r="DC410" s="115"/>
      <c r="DD410" s="115"/>
      <c r="DE410" s="115"/>
      <c r="DF410" s="115"/>
      <c r="DG410" s="115"/>
      <c r="DH410" s="115"/>
      <c r="DI410" s="115"/>
      <c r="DJ410" s="115"/>
      <c r="DK410" s="115"/>
      <c r="DL410" s="115"/>
      <c r="DM410" s="115"/>
    </row>
    <row r="411" spans="2:117" x14ac:dyDescent="0.2">
      <c r="B411" s="117">
        <f t="shared" si="321"/>
        <v>354.24000000000325</v>
      </c>
      <c r="C411" s="167" t="str">
        <f t="shared" ca="1" si="314"/>
        <v>驱夜断愁</v>
      </c>
      <c r="D411" s="115">
        <f ca="1">IF(C411="赤日轮1",1,IF(C411="赤日轮2",2,IF(C411="赤日轮3",3,IF(C411="幽月轮1",4,IF(C411="幽月轮2",5,IF(C411="幽月轮3",6,IF(C411="烈日斩",7,IF(C411="银月斩",8,IF(C411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411="净世破魔击·月",17,IF(C411="驱夜断愁",18,0)))))))))))</f>
        <v>18</v>
      </c>
      <c r="E411" s="115">
        <f ca="1">IF(AND(CU411,OR(C411="幽月轮1",C411="幽月轮2",C411="幽月轮3",C411="银月斩",C411="驱夜断愁",C411="净世破魔击·月")),100,MIN(IF(OR(CN411,BE411),0,IF(OR($C411="赤日轮1",$C411="赤日轮2",$C411="赤日轮3"),E410+20+IF(模拟模式!$I$7="日月凌天",4,0)+IF(CR410,20,0),IF($C411="烈日斩",E410+40,IF($C411="驱夜断愁",IF(模拟模式!$R$7="万念俱寂",E410+20,E410+60),IF($C411="净世破魔击·月",IF(OR(DB410&gt;0,CV410&gt;0),100,IF(模拟模式!$M$7="辉耀红尘",E410+20,E410)),IF($C411="净世破魔击·日",E410-100,E410)))))),100))</f>
        <v>40</v>
      </c>
      <c r="F411" s="115">
        <f ca="1">IF(AND(CU411,OR(C411="赤日轮1",C411="赤日轮2",C411="赤日轮3",C411="烈日斩",C411="净世破魔击·日")),100,MIN(IF(CO411,0,IF(OR($C411="幽月轮1",$C411="幽月轮2",$C411="幽月轮3"),F410+20+IF(模拟模式!$I$7="日月凌天",4,0)+IF(CS410,20,0),IF($C411="银月斩",F410+40+IF(模拟模式!$X$12=1,5,0),IF($C411="驱夜断愁",IF(模拟模式!$R$7="万念俱寂",F410+20,F410+60),IF($C411="净世破魔击·月",IF(模拟模式!$M$7="辉耀红尘",F410-80,F410-100),IF(AND(C411="净世破魔击·日",OR(DB410&gt;0,CV410&gt;0)),100,F410)))))),100))</f>
        <v>85</v>
      </c>
      <c r="G411" s="117">
        <f ca="1">('模拟-全程加成'!$E$3+'模拟-全程加成'!$E$4+'模拟-全程加成'!$E$5+('模拟-全程加成'!$C$6-'模拟-全程加成'!$C$3)*系数!$B$9+BS411*23)*(1+'模拟-全程加成'!$F$4+'模拟-全程加成'!$F$5+BJ411*10%+BM411*20%+BP411*4%+CG411*30%)+$F$7*系数!$B$12</f>
        <v>21493.829400000002</v>
      </c>
      <c r="H411" s="45">
        <f ca="1">'模拟-全程加成'!$H$3+'模拟-全程加成'!$H$4+'模拟-全程加成'!$H$5+('模拟-全程加成'!$G$4+'模拟-全程加成'!$G$5+('模拟-全程加成'!$C$6-'模拟-全程加成'!$C$3)*系数!$B$13)/系数!$B$3+LOOKUP(D411,'模拟-单技能数据'!$A$2:$A$19,'模拟-单技能数据'!$K$2:$K$19)+BG411*10%+IF(BV411&gt;0,378,0)</f>
        <v>0.51185145527300213</v>
      </c>
      <c r="I411" s="45">
        <f ca="1">'模拟-全程加成'!$J$3+'模拟-全程加成'!$J$4+'模拟-全程加成'!$J$5+('模拟-全程加成'!$I$4+'模拟-全程加成'!$I$5)/系数!$B$4+LOOKUP(D411,'模拟-单技能数据'!$A$2:$A$19,'模拟-单技能数据'!$L$2:$L$19)+BG411*10%</f>
        <v>2.162482885499879</v>
      </c>
      <c r="J411" s="45">
        <f ca="1">(('模拟-全程加成'!$K$3+'模拟-全程加成'!$K$4+'模拟-全程加成'!$K$5+('模拟-全程加成'!$C$6-'模拟-全程加成'!$C$3)*系数!$B$10+IF(BV411&gt;0,882,0)+IF(BY411&gt;0,1831,0))*(1+'模拟-全程加成'!$L$4+'模拟-全程加成'!$L$5+CC411*20%))/系数!$B$5</f>
        <v>0.69723220422048726</v>
      </c>
      <c r="K411" s="119">
        <f ca="1">LOOKUP(D411,'模拟-单技能数据'!$A$2:$A$19,'模拟-单技能数据'!$J$2:$J$19)+IF(CM411,60%,0)+IF(DB410-DB411&gt;0,30%,0)+IF(OR(AND(OR(C411="赤日轮1",C411="赤日轮2",C411="赤日轮3"),CR411),AND(OR(C411="幽月轮1",C411="幽月轮2",C411="幽月轮3"),CS411)),35%,0)+CJ411</f>
        <v>0.14000000000000001</v>
      </c>
      <c r="L411" s="119">
        <f ca="1">IF(AND(C411="烈日斩",模拟模式!$X$11=1),10%,0)+IF(AND(C411="驱夜断愁",AB411=1),30%,0)</f>
        <v>0.3</v>
      </c>
      <c r="M411" s="45">
        <f t="shared" ca="1" si="353"/>
        <v>0.51185145527300213</v>
      </c>
      <c r="N411" s="45">
        <f t="shared" ca="1" si="354"/>
        <v>0.43424854472699792</v>
      </c>
      <c r="O411" s="46">
        <f t="shared" ca="1" si="322"/>
        <v>0.44771692236308003</v>
      </c>
      <c r="P411" s="46" t="str">
        <f t="shared" ca="1" si="323"/>
        <v>会</v>
      </c>
      <c r="Q411" s="45">
        <f t="shared" ca="1" si="324"/>
        <v>2.162482885499879</v>
      </c>
      <c r="R411" s="117">
        <f ca="1">模拟模式!$E$20*(1-IF(模拟模式!$J$19="有",0.15,0))*(1-IF(模拟模式!$K$19="有",0.3,0)-IF(CQ411,0.5,0))</f>
        <v>843.02999999999975</v>
      </c>
      <c r="S411" s="45">
        <f ca="1">R411/(R411+(185*模拟模式!$E$22-16800)*4.08224)</f>
        <v>8.389626085980037E-2</v>
      </c>
      <c r="T411" s="45" t="str">
        <f ca="1">LOOKUP(D411,'模拟-单技能数据'!$A$2:$A$19,'模拟-单技能数据'!$H$2:$H$19)</f>
        <v>阴</v>
      </c>
      <c r="U411" s="119">
        <f t="shared" ca="1" si="355"/>
        <v>0.08</v>
      </c>
      <c r="V411" s="47">
        <f ca="1">(1+L411)*(LOOKUP(D411,'模拟-单技能数据'!$A$2:$A$19,'模拟-单技能数据'!$D$2:$D$19)+G411*LOOKUP(D411,'模拟-单技能数据'!$A$2:$A$19,'模拟-单技能数据'!$F$2:$F$19))*(1+J411)*(1+K411)*(1-S411)*(1+U411)*Q411*LOOKUP(D411,'模拟-单技能数据'!$A$2:$A$19,'模拟-单技能数据'!$I$2:$I$20)</f>
        <v>133079.35569364758</v>
      </c>
      <c r="W411" s="47">
        <f ca="1">LOOKUP(D411,'模拟-单技能数据'!$A$2:$A$19,'模拟-单技能数据'!$G$2:$G$19)*$I$10</f>
        <v>723.0212870940959</v>
      </c>
      <c r="X411" s="47">
        <f t="shared" ca="1" si="325"/>
        <v>25101.867467669974</v>
      </c>
      <c r="Y411" s="47">
        <f t="shared" ca="1" si="356"/>
        <v>158904.24444841166</v>
      </c>
      <c r="Z411" s="49">
        <f t="shared" ca="1" si="357"/>
        <v>40066679.798149265</v>
      </c>
      <c r="AA411" s="97">
        <f t="shared" ca="1" si="358"/>
        <v>113106.02924048356</v>
      </c>
      <c r="AB411" s="115">
        <f ca="1">IF(OR(C411="赤日轮1",C411="赤日轮2",C411="赤日轮3"),IF(RAND()&lt;模拟模式!$Y$17,1,0),IF(OR(C411="幽月轮1",C411="幽月轮2",C411="幽月轮3"),IF(RAND()&lt;模拟模式!$Y$18,1,0),IF(C411="烈日斩",IF(RAND()&lt;模拟模式!$Y$19,1,0),IF(C411="银月斩",IF(RAND()&lt;模拟模式!$Y$20,1,0),IF(C411="驱夜断愁",IF(RAND()&lt;模拟模式!$Y$21,1,0),IF(C411="净世破魔击·日",IF(RAND()&lt;模拟模式!$Y$22,1,0),IF(C411="净世破魔击·月",IF(RAND()&lt;模拟模式!$Y$23,1,0),0)))))))</f>
        <v>1</v>
      </c>
      <c r="AC411" s="115" t="b">
        <f t="shared" ca="1" si="346"/>
        <v>0</v>
      </c>
      <c r="AD411" s="115" t="b">
        <f t="shared" ca="1" si="366"/>
        <v>0</v>
      </c>
      <c r="AE411" s="115">
        <f t="shared" ca="1" si="367"/>
        <v>6</v>
      </c>
      <c r="AF411" s="47">
        <f ca="1">IF(AC411,('模拟-单技能数据'!$D$20+G411*'模拟-单技能数据'!$F$20)*(1+J411)*(1+'模拟-单技能数据'!$J$20)*(1+U411),0)</f>
        <v>0</v>
      </c>
      <c r="AG411" s="61">
        <f t="shared" ca="1" si="359"/>
        <v>0.64185145527300214</v>
      </c>
      <c r="AH411" s="61">
        <f t="shared" ca="1" si="360"/>
        <v>2.2624828854998791</v>
      </c>
      <c r="AI411" s="62">
        <f t="shared" ca="1" si="326"/>
        <v>0.13952197006408285</v>
      </c>
      <c r="AJ411" s="47">
        <f ca="1">IF(AD411,IF(AI411&lt;$F$10,0,IF(AI411&lt;$F$10+$F$11,0.25,IF(AI411&lt;$F$10+$F$11+AG411,AH411,1)))*IF(AF411&gt;0,AF411,IF(AF410&gt;0,AF410,IF(AF409&gt;0,AF409,IF(AF408&gt;0,AF408,IF(AF407&gt;0,AF407,IF(AF406&gt;0,AF406,IF(AF405&gt;0,AF405,IF(AF404&gt;0,AF404,IF(AF403&gt;0,AF403,IF(AF401&gt;0,AF401,IF(AF400&gt;0,AF400,IF(AF399&gt;0,AF399,0)))))))))))),0)*(1-$S411)*'模拟-单技能数据'!$I$20</f>
        <v>0</v>
      </c>
      <c r="AK411" s="115" t="b">
        <f t="shared" ca="1" si="347"/>
        <v>0</v>
      </c>
      <c r="AL411" s="115" t="b">
        <f t="shared" ca="1" si="368"/>
        <v>1</v>
      </c>
      <c r="AM411" s="115">
        <f t="shared" ca="1" si="369"/>
        <v>4</v>
      </c>
      <c r="AN411" s="47">
        <f ca="1">IF(AK411,('模拟-单技能数据'!$D$21+G411*'模拟-单技能数据'!$F$21)*(1+J411)*(1+'模拟-单技能数据'!$J$21)*(1+U411),0)</f>
        <v>0</v>
      </c>
      <c r="AO411" s="61">
        <f ca="1">IF(AN411&gt;0,M411-'模拟-单技能数据'!$K$10,AO410)</f>
        <v>0.42185145527300216</v>
      </c>
      <c r="AP411" s="61">
        <f ca="1">IF(AN411&gt;0,I411-'模拟-单技能数据'!$L$10,AP410)</f>
        <v>2.162482885499879</v>
      </c>
      <c r="AQ411" s="63">
        <f t="shared" ca="1" si="327"/>
        <v>0.11176232311254752</v>
      </c>
      <c r="AR411" s="64">
        <f ca="1">IF(AL411,IF(AQ411&lt;$F$10,0,IF(AQ411&lt;$F$10+$F$11,0.25,IF(AQ411&lt;$F$10+$F$11+AO411,AP411,1)))*IF(AN411&gt;0,AN411,IF(AN410&gt;0,AN410,IF(AN409&gt;0,AN409,IF(AN408&gt;0,AN408,IF(AN407&gt;0,AN407,IF(AN406&gt;0,AN406,IF(AN405&gt;0,AN405,IF(AN404&gt;0,AN404,IF(AN403&gt;0,AN403,IF(AN401&gt;0,AN401,IF(AN400&gt;0,AN400,IF(AN399&gt;0,AN399,0)))))))))))),0)*(1-$S411)*'模拟-单技能数据'!$I$21</f>
        <v>25101.867467669974</v>
      </c>
      <c r="AS411" s="61">
        <f ca="1">IF(OR(C411="净世破魔击·日",C411="净世破魔击·月"),M411-'模拟-单技能数据'!$K$10,0)</f>
        <v>0</v>
      </c>
      <c r="AT411" s="61">
        <f ca="1">IF(OR(C411="净世破魔击·日",C411="净世破魔击·月"),I411-'模拟-单技能数据'!$L$10,0)</f>
        <v>0</v>
      </c>
      <c r="AU411" s="62">
        <f t="shared" ca="1" si="328"/>
        <v>0.10550464398208437</v>
      </c>
      <c r="AV411" s="64">
        <f ca="1">IF(AS411&gt;0,('模拟-单技能数据'!$D$22+G411*'模拟-单技能数据'!$F$22)*(1+J411)*(1-S411)*IF(AU411&lt;$F$10,0,IF(AU411&lt;$F$10+$F$11,0.25,IF(AU411&lt;$F$10+$F$11+AS411,AT411,1)))*(1+U411),0)*'模拟-单技能数据'!$I$22</f>
        <v>0</v>
      </c>
      <c r="AW411" s="108">
        <f t="shared" ca="1" si="329"/>
        <v>0</v>
      </c>
      <c r="AX411" s="108" t="b">
        <f ca="1">AND(模拟模式!$P$10="有",AW410=0,RAND()&lt;IF(C411="净世破魔击·月",0.1*8/3,IF(C411="净世破魔击·日",0.1*4/3,0.1*2/3)))</f>
        <v>0</v>
      </c>
      <c r="AY411" s="47">
        <f ca="1">IF(AX411,(18+G411*0.722)*(1+J411)*(1-S411)*(1+$I$4)*IF(P411="会",'模拟-全程加成'!$J$3+'模拟-全程加成'!$J$4+'模拟-全程加成'!$J$5+('模拟-全程加成'!$I$4+'模拟-全程加成'!$I$5)/系数!$B$4+BG411*10%,IF(P411="命",1,IF(P411="识",0.25,0))),0)</f>
        <v>0</v>
      </c>
      <c r="AZ411" s="108">
        <f t="shared" si="330"/>
        <v>10.775000000000006</v>
      </c>
      <c r="BA411" s="108" t="b">
        <f>AND(模拟模式!$Q$10="有",AZ410=0)</f>
        <v>0</v>
      </c>
      <c r="BB411" s="140">
        <f>IF(BA411,(0+G411*0.287)*(1+J411)*(1-S411)*(1+$I$4)*IF(P411="会",'模拟-全程加成'!$J$3+'模拟-全程加成'!$J$4+'模拟-全程加成'!$J$5+('模拟-全程加成'!$I$4+'模拟-全程加成'!$I$5)/系数!$B$4+BG411*10%,IF(P411="命",1,IF(P411="识",0.25,0))),0)</f>
        <v>0</v>
      </c>
      <c r="BC411" s="115" t="b">
        <f ca="1">AND(模拟模式!$R$7="伏明众生",E411=60,F411=20,DA411&lt;5,CZ410&lt;$F$4)</f>
        <v>0</v>
      </c>
      <c r="BD411" s="115">
        <f t="shared" ca="1" si="348"/>
        <v>0</v>
      </c>
      <c r="BE411" s="115" t="b">
        <f t="shared" ca="1" si="349"/>
        <v>0</v>
      </c>
      <c r="BF411" s="47">
        <f ca="1">IF(BC411,4*('模拟-单技能数据'!$D$24+G411*'模拟-单技能数据'!$F$24)*(1+J411)*(1+'模拟-单技能数据'!$J$24)*(1-S411)*(1+$I$3)*(('模拟-全程加成'!$J$3+'模拟-全程加成'!$J$4+'模拟-全程加成'!$J$5+('模拟-全程加成'!$I$4+'模拟-全程加成'!$I$5)/系数!$B$4+BG411*10%)*('模拟-全程加成'!$J$3+'模拟-全程加成'!$J$4+'模拟-全程加成'!$J$5+('模拟-全程加成'!$I$4+'模拟-全程加成'!$I$5)/系数!$B$4+BG411*10%)+(1-('模拟-全程加成'!$J$3+'模拟-全程加成'!$J$4+'模拟-全程加成'!$J$5+('模拟-全程加成'!$I$4+'模拟-全程加成'!$I$5)/系数!$B$4+BG411*10%)-$F$10-$F$11)+F397*0.25),0)*'模拟-单技能数据'!$I$24</f>
        <v>0</v>
      </c>
      <c r="BG411" s="115" t="b">
        <f ca="1">OR(AND(OR(C411="烈日斩",C411="银月斩"),模拟模式!$I$7="净身明礼"),AND(C411="净世破魔击·日",模拟模式!$J$7="洞若观火"),AND(C412="净世破魔击·月",模拟模式!$J$7="洞若观火"),AB411=1)</f>
        <v>1</v>
      </c>
      <c r="BH411" s="115" t="b">
        <f t="shared" ca="1" si="331"/>
        <v>0</v>
      </c>
      <c r="BI411" s="115">
        <f t="shared" ca="1" si="350"/>
        <v>0.46499999999999975</v>
      </c>
      <c r="BJ411" s="115" t="b">
        <f t="shared" ca="1" si="361"/>
        <v>1</v>
      </c>
      <c r="BK411" s="115" t="b">
        <f ca="1">AND(C411="驱夜断愁",模拟模式!$P$7="天地诛戮")</f>
        <v>1</v>
      </c>
      <c r="BL411" s="57">
        <f t="shared" ca="1" si="351"/>
        <v>20</v>
      </c>
      <c r="BM411" s="115" t="b">
        <f t="shared" ca="1" si="362"/>
        <v>1</v>
      </c>
      <c r="BN411" s="115" t="b">
        <f ca="1">AND(OR(C411="赤日轮1",C411="赤日轮2",C411="赤日轮3",C411="幽月轮1",C411="幽月轮2",C411="幽月轮3"),AB411=1,模拟模式!$L$7="明光恒照")</f>
        <v>0</v>
      </c>
      <c r="BO411" s="117">
        <f t="shared" ca="1" si="352"/>
        <v>28.155000000000001</v>
      </c>
      <c r="BP411" s="115">
        <f t="shared" ca="1" si="332"/>
        <v>6</v>
      </c>
      <c r="BQ411" s="115" t="b">
        <f>模拟模式!$K$10="2600·水"</f>
        <v>0</v>
      </c>
      <c r="BR411" s="117">
        <f t="shared" si="333"/>
        <v>0</v>
      </c>
      <c r="BS411" s="115">
        <f t="shared" si="334"/>
        <v>0</v>
      </c>
      <c r="BT411" s="115">
        <f t="shared" ca="1" si="335"/>
        <v>0</v>
      </c>
      <c r="BU411" s="115" t="b">
        <f ca="1">AND(模拟模式!$K$10="2300·雷",BT410=0,RAND()&lt;IF(C411="净世破魔击·月",5*0.05*2/3,IF(C411="净世破魔击·日",3*0.05*2/3,0.05*2*2/3)))</f>
        <v>0</v>
      </c>
      <c r="BV411" s="115">
        <f t="shared" ca="1" si="336"/>
        <v>0</v>
      </c>
      <c r="BW411" s="115">
        <f t="shared" ca="1" si="337"/>
        <v>17.639999999999304</v>
      </c>
      <c r="BX411" s="164" t="b">
        <f t="shared" ca="1" si="338"/>
        <v>0</v>
      </c>
      <c r="BY411" s="115">
        <f t="shared" ca="1" si="339"/>
        <v>0</v>
      </c>
      <c r="BZ411" s="115">
        <f>IF(OR(模拟模式!$P$16="10人团",模拟模式!$P$16="25人团"),IF(B411/30&gt;CA410,1,0),0)</f>
        <v>0</v>
      </c>
      <c r="CA411" s="115">
        <f t="shared" si="315"/>
        <v>0</v>
      </c>
      <c r="CB411" s="115">
        <f ca="1">IF(BZ411=1,IF(模拟模式!$P$16="10人团",15,0)+IF(模拟模式!$P$16="25人团",IF(RAND()&lt;0.6,15,0)),MAX(0,CB410-$F$4))</f>
        <v>0</v>
      </c>
      <c r="CC411" s="115" t="b">
        <f t="shared" ca="1" si="363"/>
        <v>0</v>
      </c>
      <c r="CD411" s="115">
        <f>IF(模拟模式!$Q$16="1个",IF(B411/40&gt;CE410,1,0),0)</f>
        <v>0</v>
      </c>
      <c r="CE411" s="115">
        <f t="shared" si="364"/>
        <v>0</v>
      </c>
      <c r="CF411" s="115">
        <f>IF(OR(CD411=1,模拟模式!$Q$16="2个"),20,MAX(0,CF410-$F$4))</f>
        <v>0</v>
      </c>
      <c r="CG411" s="115" t="b">
        <f t="shared" si="365"/>
        <v>0</v>
      </c>
      <c r="CH411" s="115">
        <f t="shared" ca="1" si="340"/>
        <v>18.007500000000007</v>
      </c>
      <c r="CI411" s="115" t="b">
        <f t="shared" ca="1" si="341"/>
        <v>0</v>
      </c>
      <c r="CJ411" s="119">
        <f t="shared" ca="1" si="342"/>
        <v>0</v>
      </c>
      <c r="CK411" s="115">
        <f t="shared" ca="1" si="343"/>
        <v>0</v>
      </c>
      <c r="CL411" s="115" t="b">
        <f ca="1">AND(模拟模式!$S$7="驱夷逐法",OR(AND(C411="净世破魔击·月",E410&gt;59),AND(C411="净世破魔击·日",F410&gt;59)))</f>
        <v>0</v>
      </c>
      <c r="CM411" s="115" t="b">
        <f ca="1">OR(CL411,AND(C411="净世破魔击·日",CL410,RAND()&lt;模拟模式!$U$23))</f>
        <v>0</v>
      </c>
      <c r="CN411" s="115" t="b">
        <f ca="1">IF(模拟模式!$M$7="辉耀红尘",AND(C411="净世破魔击·月",CL411,CV411=0,E410&lt;80),AND(C411="净世破魔击·月",CL411,E410&lt;100))</f>
        <v>0</v>
      </c>
      <c r="CO411" s="115" t="b">
        <f t="shared" ca="1" si="316"/>
        <v>0</v>
      </c>
      <c r="CP411" s="115" t="b">
        <f ca="1">AND(模拟模式!$O$7="用晦而明",OR(C411="净世破魔击·日",C411="净世破魔击·月",C411="驱夜断愁"),AB411)</f>
        <v>1</v>
      </c>
      <c r="CQ411" s="115" t="b">
        <f ca="1">OR(CP411,AND(CP410,RAND()&lt;模拟模式!$U$23))</f>
        <v>1</v>
      </c>
      <c r="CR411" s="115" t="b">
        <f ca="1">AND(模拟模式!$S$7="日月齐光",OR(C411="幽月轮1",C411="幽月轮2",C411="幽月轮3",CR410),NOT(OR(C411="赤日轮1",C411="赤日轮2",C411="赤日轮3")))</f>
        <v>0</v>
      </c>
      <c r="CS411" s="115" t="b">
        <f ca="1">AND(模拟模式!$S$7="日月齐光",OR(C411="赤日轮1",C411="赤日轮2",C411="赤日轮3",CS410),NOT(OR(C411="幽月轮1",C411="幽月轮2",C411="幽月轮3")))</f>
        <v>0</v>
      </c>
      <c r="CT411" s="115">
        <f t="shared" ca="1" si="344"/>
        <v>21.697500000000005</v>
      </c>
      <c r="CU411" s="115" t="b">
        <f ca="1">AND(模拟模式!$K$10="阴阳往极",CT410=0,RAND()&lt;IF(C411="净世破魔击·月",0.0275*7/3,IF(C411="净世破魔击·日",0.0275*3/3,0.0275*2/3)))</f>
        <v>0</v>
      </c>
      <c r="CV411" s="115">
        <f t="shared" ca="1" si="345"/>
        <v>0</v>
      </c>
      <c r="CW411" s="115">
        <f t="shared" ca="1" si="317"/>
        <v>0</v>
      </c>
      <c r="CX411" s="115">
        <f t="shared" ca="1" si="318"/>
        <v>5.0774999999999997</v>
      </c>
      <c r="CY411" s="115">
        <f ca="1">MAX(IF($C411="驱夜断愁",IF(模拟模式!$R$7="万念俱寂",6,45),CY410-$F$4),0)</f>
        <v>6</v>
      </c>
      <c r="CZ411" s="115">
        <f t="shared" ca="1" si="319"/>
        <v>0</v>
      </c>
      <c r="DA411" s="115">
        <f ca="1">IF(模拟模式!$N$7="日月同辉",IF(DB410=2,0,MIN(6,IF(AND(OR(C411="赤日轮1",C411="赤日轮2",C411="赤日轮3",C411="幽月轮1",C411="幽月轮2",C411="幽月轮3"),AB411=1),DA410+1,DA410))),0)</f>
        <v>5</v>
      </c>
      <c r="DB411" s="115">
        <f t="shared" ca="1" si="320"/>
        <v>0</v>
      </c>
      <c r="DC411" s="115"/>
      <c r="DD411" s="115"/>
      <c r="DE411" s="115"/>
      <c r="DF411" s="115"/>
      <c r="DG411" s="115"/>
      <c r="DH411" s="115"/>
      <c r="DI411" s="115"/>
      <c r="DJ411" s="115"/>
      <c r="DK411" s="115"/>
      <c r="DL411" s="115"/>
      <c r="DM411" s="115"/>
    </row>
    <row r="412" spans="2:117" x14ac:dyDescent="0.2">
      <c r="B412" s="117">
        <f t="shared" si="321"/>
        <v>355.16250000000326</v>
      </c>
      <c r="C412" s="167" t="str">
        <f t="shared" ref="C412:C475" ca="1" si="370">IF(F411=100,"净世破魔击·月",IF(E411=100,"净世破魔击·日",IF(E411&lt;20,IF(C411="赤日轮1","赤日轮2",IF(C411="赤日轮2","赤日轮3","赤日轮1")),IF(AND(E411&gt;19,F411&lt;44,CX411&lt;$F$4),"银月斩",IF(AND(E411&lt;40,CY411&lt;$F$4),"驱夜断愁",IF(AND(E411&lt;60,CW411&lt;$F$4),"烈日斩",IF(C411="幽月轮1","幽月轮2",IF(C411="幽月轮2","幽月轮3","幽月轮1"))))))))</f>
        <v>烈日斩</v>
      </c>
      <c r="D412" s="115">
        <f ca="1">IF(C412="赤日轮1",1,IF(C412="赤日轮2",2,IF(C412="赤日轮3",3,IF(C412="幽月轮1",4,IF(C412="幽月轮2",5,IF(C412="幽月轮3",6,IF(C412="烈日斩",7,IF(C412="银月斩",8,IF(C412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412="净世破魔击·月",17,IF(C412="驱夜断愁",18,0)))))))))))</f>
        <v>7</v>
      </c>
      <c r="E412" s="115">
        <f ca="1">IF(AND(CU412,OR(C412="幽月轮1",C412="幽月轮2",C412="幽月轮3",C412="银月斩",C412="驱夜断愁",C412="净世破魔击·月")),100,MIN(IF(OR(CN412,BE412),0,IF(OR($C412="赤日轮1",$C412="赤日轮2",$C412="赤日轮3"),E411+20+IF(模拟模式!$I$7="日月凌天",4,0)+IF(CR411,20,0),IF($C412="烈日斩",E411+40,IF($C412="驱夜断愁",IF(模拟模式!$R$7="万念俱寂",E411+20,E411+60),IF($C412="净世破魔击·月",IF(OR(DB411&gt;0,CV411&gt;0),100,IF(模拟模式!$M$7="辉耀红尘",E411+20,E411)),IF($C412="净世破魔击·日",E411-100,E411)))))),100))</f>
        <v>80</v>
      </c>
      <c r="F412" s="115">
        <f ca="1">IF(AND(CU412,OR(C412="赤日轮1",C412="赤日轮2",C412="赤日轮3",C412="烈日斩",C412="净世破魔击·日")),100,MIN(IF(CO412,0,IF(OR($C412="幽月轮1",$C412="幽月轮2",$C412="幽月轮3"),F411+20+IF(模拟模式!$I$7="日月凌天",4,0)+IF(CS411,20,0),IF($C412="银月斩",F411+40+IF(模拟模式!$X$12=1,5,0),IF($C412="驱夜断愁",IF(模拟模式!$R$7="万念俱寂",F411+20,F411+60),IF($C412="净世破魔击·月",IF(模拟模式!$M$7="辉耀红尘",F411-80,F411-100),IF(AND(C412="净世破魔击·日",OR(DB411&gt;0,CV411&gt;0)),100,F411)))))),100))</f>
        <v>85</v>
      </c>
      <c r="G412" s="117">
        <f ca="1">('模拟-全程加成'!$E$3+'模拟-全程加成'!$E$4+'模拟-全程加成'!$E$5+('模拟-全程加成'!$C$6-'模拟-全程加成'!$C$3)*系数!$B$9+BS412*23)*(1+'模拟-全程加成'!$F$4+'模拟-全程加成'!$F$5+BJ412*10%+BM412*20%+BP412*4%+CG412*30%)+$F$7*系数!$B$12</f>
        <v>20583.127400000001</v>
      </c>
      <c r="H412" s="45">
        <f ca="1">'模拟-全程加成'!$H$3+'模拟-全程加成'!$H$4+'模拟-全程加成'!$H$5+('模拟-全程加成'!$G$4+'模拟-全程加成'!$G$5+('模拟-全程加成'!$C$6-'模拟-全程加成'!$C$3)*系数!$B$13)/系数!$B$3+LOOKUP(D412,'模拟-单技能数据'!$A$2:$A$19,'模拟-单技能数据'!$K$2:$K$19)+BG412*10%+IF(BV412&gt;0,378,0)</f>
        <v>0.56185145527300218</v>
      </c>
      <c r="I412" s="45">
        <f ca="1">'模拟-全程加成'!$J$3+'模拟-全程加成'!$J$4+'模拟-全程加成'!$J$5+('模拟-全程加成'!$I$4+'模拟-全程加成'!$I$5)/系数!$B$4+LOOKUP(D412,'模拟-单技能数据'!$A$2:$A$19,'模拟-单技能数据'!$L$2:$L$19)+BG412*10%</f>
        <v>2.2624828854998791</v>
      </c>
      <c r="J412" s="45">
        <f ca="1">(('模拟-全程加成'!$K$3+'模拟-全程加成'!$K$4+'模拟-全程加成'!$K$5+('模拟-全程加成'!$C$6-'模拟-全程加成'!$C$3)*系数!$B$10+IF(BV412&gt;0,882,0)+IF(BY412&gt;0,1831,0))*(1+'模拟-全程加成'!$L$4+'模拟-全程加成'!$L$5+CC412*20%))/系数!$B$5</f>
        <v>0.69723220422048726</v>
      </c>
      <c r="K412" s="119">
        <f ca="1">LOOKUP(D412,'模拟-单技能数据'!$A$2:$A$19,'模拟-单技能数据'!$J$2:$J$19)+IF(CM412,60%,0)+IF(DB411-DB412&gt;0,30%,0)+IF(OR(AND(OR(C412="赤日轮1",C412="赤日轮2",C412="赤日轮3"),CR412),AND(OR(C412="幽月轮1",C412="幽月轮2",C412="幽月轮3"),CS412)),35%,0)+CJ412</f>
        <v>0.24</v>
      </c>
      <c r="L412" s="119">
        <f ca="1">IF(AND(C412="烈日斩",模拟模式!$X$11=1),10%,0)+IF(AND(C412="驱夜断愁",AB412=1),30%,0)</f>
        <v>0.1</v>
      </c>
      <c r="M412" s="45">
        <f t="shared" ca="1" si="353"/>
        <v>0.56185145527300218</v>
      </c>
      <c r="N412" s="45">
        <f t="shared" ca="1" si="354"/>
        <v>0.38424854472699788</v>
      </c>
      <c r="O412" s="46">
        <f t="shared" ca="1" si="322"/>
        <v>0.42663752990688408</v>
      </c>
      <c r="P412" s="46" t="str">
        <f t="shared" ca="1" si="323"/>
        <v>会</v>
      </c>
      <c r="Q412" s="45">
        <f t="shared" ca="1" si="324"/>
        <v>2.2624828854998791</v>
      </c>
      <c r="R412" s="117">
        <f ca="1">模拟模式!$E$20*(1-IF(模拟模式!$J$19="有",0.15,0))*(1-IF(模拟模式!$K$19="有",0.3,0)-IF(CQ412,0.5,0))</f>
        <v>843.02999999999975</v>
      </c>
      <c r="S412" s="45">
        <f ca="1">R412/(R412+(185*模拟模式!$E$22-16800)*4.08224)</f>
        <v>8.389626085980037E-2</v>
      </c>
      <c r="T412" s="45" t="str">
        <f ca="1">LOOKUP(D412,'模拟-单技能数据'!$A$2:$A$19,'模拟-单技能数据'!$H$2:$H$19)</f>
        <v>阳</v>
      </c>
      <c r="U412" s="119">
        <f t="shared" ca="1" si="355"/>
        <v>0.2</v>
      </c>
      <c r="V412" s="47">
        <f ca="1">(1+L412)*(LOOKUP(D412,'模拟-单技能数据'!$A$2:$A$19,'模拟-单技能数据'!$D$2:$D$19)+G412*LOOKUP(D412,'模拟-单技能数据'!$A$2:$A$19,'模拟-单技能数据'!$F$2:$F$19))*(1+J412)*(1+K412)*(1-S412)*(1+U412)*Q412*LOOKUP(D412,'模拟-单技能数据'!$A$2:$A$19,'模拟-单技能数据'!$I$2:$I$20)</f>
        <v>105861.05199666526</v>
      </c>
      <c r="W412" s="47">
        <f ca="1">LOOKUP(D412,'模拟-单技能数据'!$A$2:$A$19,'模拟-单技能数据'!$G$2:$G$19)*$I$10</f>
        <v>361.51064354704795</v>
      </c>
      <c r="X412" s="47">
        <f t="shared" ca="1" si="325"/>
        <v>63646.863022996295</v>
      </c>
      <c r="Y412" s="47">
        <f t="shared" ca="1" si="356"/>
        <v>169869.42566320862</v>
      </c>
      <c r="Z412" s="49">
        <f t="shared" ca="1" si="357"/>
        <v>40236549.223812476</v>
      </c>
      <c r="AA412" s="97">
        <f t="shared" ca="1" si="358"/>
        <v>113290.53383679895</v>
      </c>
      <c r="AB412" s="115">
        <f ca="1">IF(OR(C412="赤日轮1",C412="赤日轮2",C412="赤日轮3"),IF(RAND()&lt;模拟模式!$Y$17,1,0),IF(OR(C412="幽月轮1",C412="幽月轮2",C412="幽月轮3"),IF(RAND()&lt;模拟模式!$Y$18,1,0),IF(C412="烈日斩",IF(RAND()&lt;模拟模式!$Y$19,1,0),IF(C412="银月斩",IF(RAND()&lt;模拟模式!$Y$20,1,0),IF(C412="驱夜断愁",IF(RAND()&lt;模拟模式!$Y$21,1,0),IF(C412="净世破魔击·日",IF(RAND()&lt;模拟模式!$Y$22,1,0),IF(C412="净世破魔击·月",IF(RAND()&lt;模拟模式!$Y$23,1,0),0)))))))</f>
        <v>1</v>
      </c>
      <c r="AC412" s="115" t="b">
        <f t="shared" ca="1" si="346"/>
        <v>0</v>
      </c>
      <c r="AD412" s="115" t="b">
        <f t="shared" ca="1" si="366"/>
        <v>1</v>
      </c>
      <c r="AE412" s="115">
        <f t="shared" ca="1" si="367"/>
        <v>5</v>
      </c>
      <c r="AF412" s="47">
        <f ca="1">IF(AC412,('模拟-单技能数据'!$D$20+G412*'模拟-单技能数据'!$F$20)*(1+J412)*(1+'模拟-单技能数据'!$J$20)*(1+U412),0)</f>
        <v>0</v>
      </c>
      <c r="AG412" s="61">
        <f t="shared" ca="1" si="359"/>
        <v>0.64185145527300214</v>
      </c>
      <c r="AH412" s="61">
        <f t="shared" ca="1" si="360"/>
        <v>2.2624828854998791</v>
      </c>
      <c r="AI412" s="62">
        <f t="shared" ca="1" si="326"/>
        <v>0.14179147132817704</v>
      </c>
      <c r="AJ412" s="47">
        <f ca="1">IF(AD412,IF(AI412&lt;$F$10,0,IF(AI412&lt;$F$10+$F$11,0.25,IF(AI412&lt;$F$10+$F$11+AG412,AH412,1)))*IF(AF412&gt;0,AF412,IF(AF411&gt;0,AF411,IF(AF410&gt;0,AF410,IF(AF409&gt;0,AF409,IF(AF408&gt;0,AF408,IF(AF407&gt;0,AF407,IF(AF406&gt;0,AF406,IF(AF405&gt;0,AF405,IF(AF404&gt;0,AF404,IF(AF402&gt;0,AF402,IF(AF401&gt;0,AF401,IF(AF400&gt;0,AF400,0)))))))))))),0)*(1-$S412)*'模拟-单技能数据'!$I$20</f>
        <v>9616.6571145767884</v>
      </c>
      <c r="AK412" s="115" t="b">
        <f t="shared" ca="1" si="347"/>
        <v>0</v>
      </c>
      <c r="AL412" s="115" t="b">
        <f t="shared" ca="1" si="368"/>
        <v>0</v>
      </c>
      <c r="AM412" s="115">
        <f t="shared" ca="1" si="369"/>
        <v>4</v>
      </c>
      <c r="AN412" s="47">
        <f ca="1">IF(AK412,('模拟-单技能数据'!$D$21+G412*'模拟-单技能数据'!$F$21)*(1+J412)*(1+'模拟-单技能数据'!$J$21)*(1+U412),0)</f>
        <v>0</v>
      </c>
      <c r="AO412" s="61">
        <f ca="1">IF(AN412&gt;0,M412-'模拟-单技能数据'!$K$10,AO411)</f>
        <v>0.42185145527300216</v>
      </c>
      <c r="AP412" s="61">
        <f ca="1">IF(AN412&gt;0,I412-'模拟-单技能数据'!$L$10,AP411)</f>
        <v>2.162482885499879</v>
      </c>
      <c r="AQ412" s="63">
        <f t="shared" ca="1" si="327"/>
        <v>0.33841626868470109</v>
      </c>
      <c r="AR412" s="64">
        <f ca="1">IF(AL412,IF(AQ412&lt;$F$10,0,IF(AQ412&lt;$F$10+$F$11,0.25,IF(AQ412&lt;$F$10+$F$11+AO412,AP412,1)))*IF(AN412&gt;0,AN412,IF(AN411&gt;0,AN411,IF(AN410&gt;0,AN410,IF(AN409&gt;0,AN409,IF(AN408&gt;0,AN408,IF(AN407&gt;0,AN407,IF(AN406&gt;0,AN406,IF(AN405&gt;0,AN405,IF(AN404&gt;0,AN404,IF(AN402&gt;0,AN402,IF(AN401&gt;0,AN401,IF(AN400&gt;0,AN400,0)))))))))))),0)*(1-$S412)*'模拟-单技能数据'!$I$21</f>
        <v>0</v>
      </c>
      <c r="AS412" s="61">
        <f ca="1">IF(OR(C412="净世破魔击·日",C412="净世破魔击·月"),M412-'模拟-单技能数据'!$K$10,0)</f>
        <v>0</v>
      </c>
      <c r="AT412" s="61">
        <f ca="1">IF(OR(C412="净世破魔击·日",C412="净世破魔击·月"),I412-'模拟-单技能数据'!$L$10,0)</f>
        <v>0</v>
      </c>
      <c r="AU412" s="62">
        <f t="shared" ca="1" si="328"/>
        <v>0.71626813347170692</v>
      </c>
      <c r="AV412" s="64">
        <f ca="1">IF(AS412&gt;0,('模拟-单技能数据'!$D$22+G412*'模拟-单技能数据'!$F$22)*(1+J412)*(1-S412)*IF(AU412&lt;$F$10,0,IF(AU412&lt;$F$10+$F$11,0.25,IF(AU412&lt;$F$10+$F$11+AS412,AT412,1)))*(1+U412),0)*'模拟-单技能数据'!$I$22</f>
        <v>0</v>
      </c>
      <c r="AW412" s="108">
        <f t="shared" ca="1" si="329"/>
        <v>19.077500000000001</v>
      </c>
      <c r="AX412" s="108" t="b">
        <f ca="1">AND(模拟模式!$P$10="有",AW411=0,RAND()&lt;IF(C412="净世破魔击·月",0.1*8/3,IF(C412="净世破魔击·日",0.1*4/3,0.1*2/3)))</f>
        <v>1</v>
      </c>
      <c r="AY412" s="47">
        <f ca="1">IF(AX412,(18+G412*0.722)*(1+J412)*(1-S412)*(1+$I$4)*IF(P412="会",'模拟-全程加成'!$J$3+'模拟-全程加成'!$J$4+'模拟-全程加成'!$J$5+('模拟-全程加成'!$I$4+'模拟-全程加成'!$I$5)/系数!$B$4+BG412*10%,IF(P412="命",1,IF(P412="识",0.25,0))),0)</f>
        <v>54030.205908419506</v>
      </c>
      <c r="AZ412" s="108">
        <f t="shared" si="330"/>
        <v>9.8525000000000063</v>
      </c>
      <c r="BA412" s="108" t="b">
        <f>AND(模拟模式!$Q$10="有",AZ411=0)</f>
        <v>0</v>
      </c>
      <c r="BB412" s="140">
        <f>IF(BA412,(0+G412*0.287)*(1+J412)*(1-S412)*(1+$I$4)*IF(P412="会",'模拟-全程加成'!$J$3+'模拟-全程加成'!$J$4+'模拟-全程加成'!$J$5+('模拟-全程加成'!$I$4+'模拟-全程加成'!$I$5)/系数!$B$4+BG412*10%,IF(P412="命",1,IF(P412="识",0.25,0))),0)</f>
        <v>0</v>
      </c>
      <c r="BC412" s="115" t="b">
        <f ca="1">AND(模拟模式!$R$7="伏明众生",E412=60,F412=20,DA412&lt;5,CZ411&lt;$F$4)</f>
        <v>0</v>
      </c>
      <c r="BD412" s="115">
        <f t="shared" ca="1" si="348"/>
        <v>0</v>
      </c>
      <c r="BE412" s="115" t="b">
        <f t="shared" ca="1" si="349"/>
        <v>0</v>
      </c>
      <c r="BF412" s="47">
        <f ca="1">IF(BC412,4*('模拟-单技能数据'!$D$24+G412*'模拟-单技能数据'!$F$24)*(1+J412)*(1+'模拟-单技能数据'!$J$24)*(1-S412)*(1+$I$3)*(('模拟-全程加成'!$J$3+'模拟-全程加成'!$J$4+'模拟-全程加成'!$J$5+('模拟-全程加成'!$I$4+'模拟-全程加成'!$I$5)/系数!$B$4+BG412*10%)*('模拟-全程加成'!$J$3+'模拟-全程加成'!$J$4+'模拟-全程加成'!$J$5+('模拟-全程加成'!$I$4+'模拟-全程加成'!$I$5)/系数!$B$4+BG412*10%)+(1-('模拟-全程加成'!$J$3+'模拟-全程加成'!$J$4+'模拟-全程加成'!$J$5+('模拟-全程加成'!$I$4+'模拟-全程加成'!$I$5)/系数!$B$4+BG412*10%)-$F$10-$F$11)+F398*0.25),0)*'模拟-单技能数据'!$I$24</f>
        <v>0</v>
      </c>
      <c r="BG412" s="115" t="b">
        <f ca="1">OR(AND(OR(C412="烈日斩",C412="银月斩"),模拟模式!$I$7="净身明礼"),AND(C412="净世破魔击·日",模拟模式!$J$7="洞若观火"),AND(C413="净世破魔击·月",模拟模式!$J$7="洞若观火"),AB412=1)</f>
        <v>1</v>
      </c>
      <c r="BH412" s="115" t="b">
        <f t="shared" ca="1" si="331"/>
        <v>0</v>
      </c>
      <c r="BI412" s="115">
        <f t="shared" ca="1" si="350"/>
        <v>0</v>
      </c>
      <c r="BJ412" s="115" t="b">
        <f t="shared" ca="1" si="361"/>
        <v>0</v>
      </c>
      <c r="BK412" s="115" t="b">
        <f ca="1">AND(C412="驱夜断愁",模拟模式!$P$7="天地诛戮")</f>
        <v>0</v>
      </c>
      <c r="BL412" s="57">
        <f t="shared" ca="1" si="351"/>
        <v>19.077500000000001</v>
      </c>
      <c r="BM412" s="115" t="b">
        <f t="shared" ca="1" si="362"/>
        <v>1</v>
      </c>
      <c r="BN412" s="115" t="b">
        <f ca="1">AND(OR(C412="赤日轮1",C412="赤日轮2",C412="赤日轮3",C412="幽月轮1",C412="幽月轮2",C412="幽月轮3"),AB412=1,模拟模式!$L$7="明光恒照")</f>
        <v>0</v>
      </c>
      <c r="BO412" s="117">
        <f t="shared" ca="1" si="352"/>
        <v>27.232500000000002</v>
      </c>
      <c r="BP412" s="115">
        <f t="shared" ca="1" si="332"/>
        <v>6</v>
      </c>
      <c r="BQ412" s="115" t="b">
        <f>模拟模式!$K$10="2600·水"</f>
        <v>0</v>
      </c>
      <c r="BR412" s="117">
        <f t="shared" si="333"/>
        <v>0</v>
      </c>
      <c r="BS412" s="115">
        <f t="shared" si="334"/>
        <v>0</v>
      </c>
      <c r="BT412" s="115">
        <f t="shared" ca="1" si="335"/>
        <v>0</v>
      </c>
      <c r="BU412" s="115" t="b">
        <f ca="1">AND(模拟模式!$K$10="2300·雷",BT411=0,RAND()&lt;IF(C412="净世破魔击·月",5*0.05*2/3,IF(C412="净世破魔击·日",3*0.05*2/3,0.05*2*2/3)))</f>
        <v>0</v>
      </c>
      <c r="BV412" s="115">
        <f t="shared" ca="1" si="336"/>
        <v>0</v>
      </c>
      <c r="BW412" s="115">
        <f t="shared" ca="1" si="337"/>
        <v>16.717499999999305</v>
      </c>
      <c r="BX412" s="164" t="b">
        <f t="shared" ca="1" si="338"/>
        <v>0</v>
      </c>
      <c r="BY412" s="115">
        <f t="shared" ca="1" si="339"/>
        <v>0</v>
      </c>
      <c r="BZ412" s="115">
        <f>IF(OR(模拟模式!$P$16="10人团",模拟模式!$P$16="25人团"),IF(B412/30&gt;CA411,1,0),0)</f>
        <v>0</v>
      </c>
      <c r="CA412" s="115">
        <f t="shared" ref="CA412:CA475" si="371">CA411+BZ412</f>
        <v>0</v>
      </c>
      <c r="CB412" s="115">
        <f ca="1">IF(BZ412=1,IF(模拟模式!$P$16="10人团",15,0)+IF(模拟模式!$P$16="25人团",IF(RAND()&lt;0.6,15,0)),MAX(0,CB411-$F$4))</f>
        <v>0</v>
      </c>
      <c r="CC412" s="115" t="b">
        <f t="shared" ca="1" si="363"/>
        <v>0</v>
      </c>
      <c r="CD412" s="115">
        <f>IF(模拟模式!$Q$16="1个",IF(B412/40&gt;CE411,1,0),0)</f>
        <v>0</v>
      </c>
      <c r="CE412" s="115">
        <f t="shared" si="364"/>
        <v>0</v>
      </c>
      <c r="CF412" s="115">
        <f>IF(OR(CD412=1,模拟模式!$Q$16="2个"),20,MAX(0,CF411-$F$4))</f>
        <v>0</v>
      </c>
      <c r="CG412" s="115" t="b">
        <f t="shared" si="365"/>
        <v>0</v>
      </c>
      <c r="CH412" s="115">
        <f t="shared" ca="1" si="340"/>
        <v>17.085000000000008</v>
      </c>
      <c r="CI412" s="115" t="b">
        <f t="shared" ca="1" si="341"/>
        <v>0</v>
      </c>
      <c r="CJ412" s="119">
        <f t="shared" ca="1" si="342"/>
        <v>0</v>
      </c>
      <c r="CK412" s="115">
        <f t="shared" ca="1" si="343"/>
        <v>0</v>
      </c>
      <c r="CL412" s="115" t="b">
        <f ca="1">AND(模拟模式!$S$7="驱夷逐法",OR(AND(C412="净世破魔击·月",E411&gt;59),AND(C412="净世破魔击·日",F411&gt;59)))</f>
        <v>0</v>
      </c>
      <c r="CM412" s="115" t="b">
        <f ca="1">OR(CL412,AND(C412="净世破魔击·日",CL411,RAND()&lt;模拟模式!$U$23))</f>
        <v>0</v>
      </c>
      <c r="CN412" s="115" t="b">
        <f ca="1">IF(模拟模式!$M$7="辉耀红尘",AND(C412="净世破魔击·月",CL412,CV412=0,E411&lt;80),AND(C412="净世破魔击·月",CL412,E411&lt;100))</f>
        <v>0</v>
      </c>
      <c r="CO412" s="115" t="b">
        <f t="shared" ref="CO412:CO475" ca="1" si="372">AND(C412="净世破魔击·日",CL412,CV412=0)</f>
        <v>0</v>
      </c>
      <c r="CP412" s="115" t="b">
        <f ca="1">AND(模拟模式!$O$7="用晦而明",OR(C412="净世破魔击·日",C412="净世破魔击·月",C412="驱夜断愁"),AB412)</f>
        <v>0</v>
      </c>
      <c r="CQ412" s="115" t="b">
        <f ca="1">OR(CP412,AND(CP411,RAND()&lt;模拟模式!$U$23))</f>
        <v>1</v>
      </c>
      <c r="CR412" s="115" t="b">
        <f ca="1">AND(模拟模式!$S$7="日月齐光",OR(C412="幽月轮1",C412="幽月轮2",C412="幽月轮3",CR411),NOT(OR(C412="赤日轮1",C412="赤日轮2",C412="赤日轮3")))</f>
        <v>0</v>
      </c>
      <c r="CS412" s="115" t="b">
        <f ca="1">AND(模拟模式!$S$7="日月齐光",OR(C412="赤日轮1",C412="赤日轮2",C412="赤日轮3",CS411),NOT(OR(C412="幽月轮1",C412="幽月轮2",C412="幽月轮3")))</f>
        <v>0</v>
      </c>
      <c r="CT412" s="115">
        <f t="shared" ca="1" si="344"/>
        <v>20.775000000000006</v>
      </c>
      <c r="CU412" s="115" t="b">
        <f ca="1">AND(模拟模式!$K$10="阴阳往极",CT411=0,RAND()&lt;IF(C412="净世破魔击·月",0.0275*7/3,IF(C412="净世破魔击·日",0.0275*3/3,0.0275*2/3)))</f>
        <v>0</v>
      </c>
      <c r="CV412" s="115">
        <f t="shared" ca="1" si="345"/>
        <v>0</v>
      </c>
      <c r="CW412" s="115">
        <f t="shared" ref="CW412:CW475" ca="1" si="373">MAX(IF($C412="烈日斩",6,CW411-$F$4),0)</f>
        <v>6</v>
      </c>
      <c r="CX412" s="115">
        <f t="shared" ref="CX412:CX475" ca="1" si="374">MAX(IF($C412="银月斩",6,CX411-$F$4),0)</f>
        <v>4.1549999999999994</v>
      </c>
      <c r="CY412" s="115">
        <f ca="1">MAX(IF($C412="驱夜断愁",IF(模拟模式!$R$7="万念俱寂",6,45),CY411-$F$4),0)</f>
        <v>5.0774999999999997</v>
      </c>
      <c r="CZ412" s="115">
        <f t="shared" ref="CZ412:CZ475" ca="1" si="375">IF(BC412,25,MAX(0,CZ411-$F$4))</f>
        <v>0</v>
      </c>
      <c r="DA412" s="115">
        <f ca="1">IF(模拟模式!$N$7="日月同辉",IF(DB411=2,0,MIN(6,IF(AND(OR(C412="赤日轮1",C412="赤日轮2",C412="赤日轮3",C412="幽月轮1",C412="幽月轮2",C412="幽月轮3"),AB412=1),DA411+1,DA411))),0)</f>
        <v>5</v>
      </c>
      <c r="DB412" s="115">
        <f t="shared" ref="DB412:DB475" ca="1" si="376">MAX(0,IF(DA412=6,2,IF(OR(C412="净世破魔击·月",C412="净世破魔击·日"),DB411-1,DB411)))</f>
        <v>0</v>
      </c>
      <c r="DC412" s="115"/>
      <c r="DD412" s="115"/>
      <c r="DE412" s="115"/>
      <c r="DF412" s="115"/>
      <c r="DG412" s="115"/>
      <c r="DH412" s="115"/>
      <c r="DI412" s="115"/>
      <c r="DJ412" s="115"/>
      <c r="DK412" s="115"/>
      <c r="DL412" s="115"/>
      <c r="DM412" s="115"/>
    </row>
    <row r="413" spans="2:117" x14ac:dyDescent="0.2">
      <c r="B413" s="117">
        <f t="shared" ref="B413:B476" si="377">B412+$F$4</f>
        <v>356.08500000000328</v>
      </c>
      <c r="C413" s="167" t="str">
        <f t="shared" ca="1" si="370"/>
        <v>幽月轮1</v>
      </c>
      <c r="D413" s="115">
        <f ca="1">IF(C413="赤日轮1",1,IF(C413="赤日轮2",2,IF(C413="赤日轮3",3,IF(C413="幽月轮1",4,IF(C413="幽月轮2",5,IF(C413="幽月轮3",6,IF(C413="烈日斩",7,IF(C413="银月斩",8,IF(C413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413="净世破魔击·月",17,IF(C413="驱夜断愁",18,0)))))))))))</f>
        <v>4</v>
      </c>
      <c r="E413" s="115">
        <f ca="1">IF(AND(CU413,OR(C413="幽月轮1",C413="幽月轮2",C413="幽月轮3",C413="银月斩",C413="驱夜断愁",C413="净世破魔击·月")),100,MIN(IF(OR(CN413,BE413),0,IF(OR($C413="赤日轮1",$C413="赤日轮2",$C413="赤日轮3"),E412+20+IF(模拟模式!$I$7="日月凌天",4,0)+IF(CR412,20,0),IF($C413="烈日斩",E412+40,IF($C413="驱夜断愁",IF(模拟模式!$R$7="万念俱寂",E412+20,E412+60),IF($C413="净世破魔击·月",IF(OR(DB412&gt;0,CV412&gt;0),100,IF(模拟模式!$M$7="辉耀红尘",E412+20,E412)),IF($C413="净世破魔击·日",E412-100,E412)))))),100))</f>
        <v>80</v>
      </c>
      <c r="F413" s="115">
        <f ca="1">IF(AND(CU413,OR(C413="赤日轮1",C413="赤日轮2",C413="赤日轮3",C413="烈日斩",C413="净世破魔击·日")),100,MIN(IF(CO413,0,IF(OR($C413="幽月轮1",$C413="幽月轮2",$C413="幽月轮3"),F412+20+IF(模拟模式!$I$7="日月凌天",4,0)+IF(CS412,20,0),IF($C413="银月斩",F412+40+IF(模拟模式!$X$12=1,5,0),IF($C413="驱夜断愁",IF(模拟模式!$R$7="万念俱寂",F412+20,F412+60),IF($C413="净世破魔击·月",IF(模拟模式!$M$7="辉耀红尘",F412-80,F412-100),IF(AND(C413="净世破魔击·日",OR(DB412&gt;0,CV412&gt;0)),100,F412)))))),100))</f>
        <v>100</v>
      </c>
      <c r="G413" s="117">
        <f ca="1">('模拟-全程加成'!$E$3+'模拟-全程加成'!$E$4+'模拟-全程加成'!$E$5+('模拟-全程加成'!$C$6-'模拟-全程加成'!$C$3)*系数!$B$9+BS413*23)*(1+'模拟-全程加成'!$F$4+'模拟-全程加成'!$F$5+BJ413*10%+BM413*20%+BP413*4%+CG413*30%)+$F$7*系数!$B$12</f>
        <v>20583.127400000001</v>
      </c>
      <c r="H413" s="45">
        <f ca="1">'模拟-全程加成'!$H$3+'模拟-全程加成'!$H$4+'模拟-全程加成'!$H$5+('模拟-全程加成'!$G$4+'模拟-全程加成'!$G$5+('模拟-全程加成'!$C$6-'模拟-全程加成'!$C$3)*系数!$B$13)/系数!$B$3+LOOKUP(D413,'模拟-单技能数据'!$A$2:$A$19,'模拟-单技能数据'!$K$2:$K$19)+BG413*10%+IF(BV413&gt;0,378,0)</f>
        <v>0.51185145527300213</v>
      </c>
      <c r="I413" s="45">
        <f ca="1">'模拟-全程加成'!$J$3+'模拟-全程加成'!$J$4+'模拟-全程加成'!$J$5+('模拟-全程加成'!$I$4+'模拟-全程加成'!$I$5)/系数!$B$4+LOOKUP(D413,'模拟-单技能数据'!$A$2:$A$19,'模拟-单技能数据'!$L$2:$L$19)+BG413*10%</f>
        <v>2.162482885499879</v>
      </c>
      <c r="J413" s="45">
        <f ca="1">(('模拟-全程加成'!$K$3+'模拟-全程加成'!$K$4+'模拟-全程加成'!$K$5+('模拟-全程加成'!$C$6-'模拟-全程加成'!$C$3)*系数!$B$10+IF(BV413&gt;0,882,0)+IF(BY413&gt;0,1831,0))*(1+'模拟-全程加成'!$L$4+'模拟-全程加成'!$L$5+CC413*20%))/系数!$B$5</f>
        <v>0.69723220422048726</v>
      </c>
      <c r="K413" s="119">
        <f ca="1">LOOKUP(D413,'模拟-单技能数据'!$A$2:$A$19,'模拟-单技能数据'!$J$2:$J$19)+IF(CM413,60%,0)+IF(DB412-DB413&gt;0,30%,0)+IF(OR(AND(OR(C413="赤日轮1",C413="赤日轮2",C413="赤日轮3"),CR413),AND(OR(C413="幽月轮1",C413="幽月轮2",C413="幽月轮3"),CS413)),35%,0)+CJ413</f>
        <v>7.0000000000000007E-2</v>
      </c>
      <c r="L413" s="119">
        <f ca="1">IF(AND(C413="烈日斩",模拟模式!$X$11=1),10%,0)+IF(AND(C413="驱夜断愁",AB413=1),30%,0)</f>
        <v>0</v>
      </c>
      <c r="M413" s="45">
        <f t="shared" ca="1" si="353"/>
        <v>0.51185145527300213</v>
      </c>
      <c r="N413" s="45">
        <f t="shared" ca="1" si="354"/>
        <v>0.43424854472699792</v>
      </c>
      <c r="O413" s="46">
        <f t="shared" ref="O413:O476" ca="1" si="378">RAND()</f>
        <v>8.8308609221729784E-2</v>
      </c>
      <c r="P413" s="46" t="str">
        <f t="shared" ref="P413:P476" ca="1" si="379">IF(O413&lt;$F$10,"偏",IF(O413&lt;$F$10+$F$11,"识",IF(O413&lt;$F$10+$F$11+H413,"会","命")))</f>
        <v>会</v>
      </c>
      <c r="Q413" s="45">
        <f t="shared" ref="Q413:Q476" ca="1" si="380">IF(P413="会",I413,IF(P413="命",1,IF(P413="识",0.25,0)))</f>
        <v>2.162482885499879</v>
      </c>
      <c r="R413" s="117">
        <f ca="1">模拟模式!$E$20*(1-IF(模拟模式!$J$19="有",0.15,0))*(1-IF(模拟模式!$K$19="有",0.3,0)-IF(CQ413,0.5,0))</f>
        <v>2950.6049999999996</v>
      </c>
      <c r="S413" s="45">
        <f ca="1">R413/(R413+(185*模拟模式!$E$22-16800)*4.08224)</f>
        <v>0.24272716014590323</v>
      </c>
      <c r="T413" s="45" t="str">
        <f ca="1">LOOKUP(D413,'模拟-单技能数据'!$A$2:$A$19,'模拟-单技能数据'!$H$2:$H$19)</f>
        <v>阴</v>
      </c>
      <c r="U413" s="119">
        <f t="shared" ca="1" si="355"/>
        <v>0.08</v>
      </c>
      <c r="V413" s="47">
        <f ca="1">(1+L413)*(LOOKUP(D413,'模拟-单技能数据'!$A$2:$A$19,'模拟-单技能数据'!$D$2:$D$19)+G413*LOOKUP(D413,'模拟-单技能数据'!$A$2:$A$19,'模拟-单技能数据'!$F$2:$F$19))*(1+J413)*(1+K413)*(1-S413)*(1+U413)*Q413*LOOKUP(D413,'模拟-单技能数据'!$A$2:$A$19,'模拟-单技能数据'!$I$2:$I$20)</f>
        <v>35088.919370823241</v>
      </c>
      <c r="W413" s="47">
        <f ca="1">LOOKUP(D413,'模拟-单技能数据'!$A$2:$A$19,'模拟-单技能数据'!$G$2:$G$19)*$I$10</f>
        <v>361.51064354704795</v>
      </c>
      <c r="X413" s="47">
        <f t="shared" ref="X413:X476" ca="1" si="381">AJ413+AR413+AV413+BF413+AY413+BB413</f>
        <v>20749.792464251139</v>
      </c>
      <c r="Y413" s="47">
        <f t="shared" ca="1" si="356"/>
        <v>56200.222478621421</v>
      </c>
      <c r="Z413" s="49">
        <f t="shared" ca="1" si="357"/>
        <v>40292749.446291097</v>
      </c>
      <c r="AA413" s="97">
        <f t="shared" ca="1" si="358"/>
        <v>113154.863154277</v>
      </c>
      <c r="AB413" s="115">
        <f ca="1">IF(OR(C413="赤日轮1",C413="赤日轮2",C413="赤日轮3"),IF(RAND()&lt;模拟模式!$Y$17,1,0),IF(OR(C413="幽月轮1",C413="幽月轮2",C413="幽月轮3"),IF(RAND()&lt;模拟模式!$Y$18,1,0),IF(C413="烈日斩",IF(RAND()&lt;模拟模式!$Y$19,1,0),IF(C413="银月斩",IF(RAND()&lt;模拟模式!$Y$20,1,0),IF(C413="驱夜断愁",IF(RAND()&lt;模拟模式!$Y$21,1,0),IF(C413="净世破魔击·日",IF(RAND()&lt;模拟模式!$Y$22,1,0),IF(C413="净世破魔击·月",IF(RAND()&lt;模拟模式!$Y$23,1,0),0)))))))</f>
        <v>1</v>
      </c>
      <c r="AC413" s="115" t="b">
        <f t="shared" ca="1" si="346"/>
        <v>0</v>
      </c>
      <c r="AD413" s="115" t="b">
        <f t="shared" ca="1" si="366"/>
        <v>0</v>
      </c>
      <c r="AE413" s="115">
        <f t="shared" ca="1" si="367"/>
        <v>5</v>
      </c>
      <c r="AF413" s="47">
        <f ca="1">IF(AC413,('模拟-单技能数据'!$D$20+G413*'模拟-单技能数据'!$F$20)*(1+J413)*(1+'模拟-单技能数据'!$J$20)*(1+U413),0)</f>
        <v>0</v>
      </c>
      <c r="AG413" s="61">
        <f t="shared" ca="1" si="359"/>
        <v>0.64185145527300214</v>
      </c>
      <c r="AH413" s="61">
        <f t="shared" ca="1" si="360"/>
        <v>2.2624828854998791</v>
      </c>
      <c r="AI413" s="62">
        <f t="shared" ref="AI413:AI476" ca="1" si="382">RAND()</f>
        <v>0.1482565419993237</v>
      </c>
      <c r="AJ413" s="47">
        <f ca="1">IF(AD413,IF(AI413&lt;$F$10,0,IF(AI413&lt;$F$10+$F$11,0.25,IF(AI413&lt;$F$10+$F$11+AG413,AH413,1)))*IF(AF413&gt;0,AF413,IF(AF412&gt;0,AF412,IF(AF411&gt;0,AF411,IF(AF410&gt;0,AF410,IF(AF409&gt;0,AF409,IF(AF408&gt;0,AF408,IF(AF407&gt;0,AF407,IF(AF406&gt;0,AF406,IF(AF405&gt;0,AF405,IF(AF403&gt;0,AF403,IF(AF402&gt;0,AF402,IF(AF401&gt;0,AF401,0)))))))))))),0)*(1-$S413)*'模拟-单技能数据'!$I$20</f>
        <v>0</v>
      </c>
      <c r="AK413" s="115" t="b">
        <f t="shared" ca="1" si="347"/>
        <v>0</v>
      </c>
      <c r="AL413" s="115" t="b">
        <f t="shared" ca="1" si="368"/>
        <v>1</v>
      </c>
      <c r="AM413" s="115">
        <f t="shared" ca="1" si="369"/>
        <v>3</v>
      </c>
      <c r="AN413" s="47">
        <f ca="1">IF(AK413,('模拟-单技能数据'!$D$21+G413*'模拟-单技能数据'!$F$21)*(1+J413)*(1+'模拟-单技能数据'!$J$21)*(1+U413),0)</f>
        <v>0</v>
      </c>
      <c r="AO413" s="61">
        <f ca="1">IF(AN413&gt;0,M413-'模拟-单技能数据'!$K$10,AO412)</f>
        <v>0.42185145527300216</v>
      </c>
      <c r="AP413" s="61">
        <f ca="1">IF(AN413&gt;0,I413-'模拟-单技能数据'!$L$10,AP412)</f>
        <v>2.162482885499879</v>
      </c>
      <c r="AQ413" s="63">
        <f t="shared" ref="AQ413:AQ476" ca="1" si="383">RAND()</f>
        <v>6.9096739289051246E-2</v>
      </c>
      <c r="AR413" s="64">
        <f ca="1">IF(AL413,IF(AQ413&lt;$F$10,0,IF(AQ413&lt;$F$10+$F$11,0.25,IF(AQ413&lt;$F$10+$F$11+AO413,AP413,1)))*IF(AN413&gt;0,AN413,IF(AN412&gt;0,AN412,IF(AN411&gt;0,AN411,IF(AN410&gt;0,AN410,IF(AN409&gt;0,AN409,IF(AN408&gt;0,AN408,IF(AN407&gt;0,AN407,IF(AN406&gt;0,AN406,IF(AN405&gt;0,AN405,IF(AN403&gt;0,AN403,IF(AN402&gt;0,AN402,IF(AN401&gt;0,AN401,0)))))))))))),0)*(1-$S413)*'模拟-单技能数据'!$I$21</f>
        <v>20749.792464251139</v>
      </c>
      <c r="AS413" s="61">
        <f ca="1">IF(OR(C413="净世破魔击·日",C413="净世破魔击·月"),M413-'模拟-单技能数据'!$K$10,0)</f>
        <v>0</v>
      </c>
      <c r="AT413" s="61">
        <f ca="1">IF(OR(C413="净世破魔击·日",C413="净世破魔击·月"),I413-'模拟-单技能数据'!$L$10,0)</f>
        <v>0</v>
      </c>
      <c r="AU413" s="62">
        <f t="shared" ref="AU413:AU476" ca="1" si="384">RAND()</f>
        <v>6.216371226364692E-2</v>
      </c>
      <c r="AV413" s="64">
        <f ca="1">IF(AS413&gt;0,('模拟-单技能数据'!$D$22+G413*'模拟-单技能数据'!$F$22)*(1+J413)*(1-S413)*IF(AU413&lt;$F$10,0,IF(AU413&lt;$F$10+$F$11,0.25,IF(AU413&lt;$F$10+$F$11+AS413,AT413,1)))*(1+U413),0)*'模拟-单技能数据'!$I$22</f>
        <v>0</v>
      </c>
      <c r="AW413" s="108">
        <f t="shared" ref="AW413:AW476" ca="1" si="385">IF(AX413,20-$F$4,MAX(AW412-$F$4,0))</f>
        <v>18.155000000000001</v>
      </c>
      <c r="AX413" s="108" t="b">
        <f ca="1">AND(模拟模式!$P$10="有",AW412=0,RAND()&lt;IF(C413="净世破魔击·月",0.1*8/3,IF(C413="净世破魔击·日",0.1*4/3,0.1*2/3)))</f>
        <v>0</v>
      </c>
      <c r="AY413" s="47">
        <f ca="1">IF(AX413,(18+G413*0.722)*(1+J413)*(1-S413)*(1+$I$4)*IF(P413="会",'模拟-全程加成'!$J$3+'模拟-全程加成'!$J$4+'模拟-全程加成'!$J$5+('模拟-全程加成'!$I$4+'模拟-全程加成'!$I$5)/系数!$B$4+BG413*10%,IF(P413="命",1,IF(P413="识",0.25,0))),0)</f>
        <v>0</v>
      </c>
      <c r="AZ413" s="108">
        <f t="shared" ref="AZ413:AZ476" si="386">IF(BA413,20-$F$4,MAX(AZ412-$F$4,0))</f>
        <v>8.9300000000000068</v>
      </c>
      <c r="BA413" s="108" t="b">
        <f>AND(模拟模式!$Q$10="有",AZ412=0)</f>
        <v>0</v>
      </c>
      <c r="BB413" s="140">
        <f>IF(BA413,(0+G413*0.287)*(1+J413)*(1-S413)*(1+$I$4)*IF(P413="会",'模拟-全程加成'!$J$3+'模拟-全程加成'!$J$4+'模拟-全程加成'!$J$5+('模拟-全程加成'!$I$4+'模拟-全程加成'!$I$5)/系数!$B$4+BG413*10%,IF(P413="命",1,IF(P413="识",0.25,0))),0)</f>
        <v>0</v>
      </c>
      <c r="BC413" s="115" t="b">
        <f ca="1">AND(模拟模式!$R$7="伏明众生",E413=60,F413=20,DA413&lt;5,CZ412&lt;$F$4)</f>
        <v>0</v>
      </c>
      <c r="BD413" s="115">
        <f t="shared" ca="1" si="348"/>
        <v>0</v>
      </c>
      <c r="BE413" s="115" t="b">
        <f t="shared" ca="1" si="349"/>
        <v>0</v>
      </c>
      <c r="BF413" s="47">
        <f ca="1">IF(BC413,4*('模拟-单技能数据'!$D$24+G413*'模拟-单技能数据'!$F$24)*(1+J413)*(1+'模拟-单技能数据'!$J$24)*(1-S413)*(1+$I$3)*(('模拟-全程加成'!$J$3+'模拟-全程加成'!$J$4+'模拟-全程加成'!$J$5+('模拟-全程加成'!$I$4+'模拟-全程加成'!$I$5)/系数!$B$4+BG413*10%)*('模拟-全程加成'!$J$3+'模拟-全程加成'!$J$4+'模拟-全程加成'!$J$5+('模拟-全程加成'!$I$4+'模拟-全程加成'!$I$5)/系数!$B$4+BG413*10%)+(1-('模拟-全程加成'!$J$3+'模拟-全程加成'!$J$4+'模拟-全程加成'!$J$5+('模拟-全程加成'!$I$4+'模拟-全程加成'!$I$5)/系数!$B$4+BG413*10%)-$F$10-$F$11)+F399*0.25),0)*'模拟-单技能数据'!$I$24</f>
        <v>0</v>
      </c>
      <c r="BG413" s="115" t="b">
        <f ca="1">OR(AND(OR(C413="烈日斩",C413="银月斩"),模拟模式!$I$7="净身明礼"),AND(C413="净世破魔击·日",模拟模式!$J$7="洞若观火"),AND(C414="净世破魔击·月",模拟模式!$J$7="洞若观火"),AB413=1)</f>
        <v>1</v>
      </c>
      <c r="BH413" s="115" t="b">
        <f t="shared" ref="BH413:BH476" ca="1" si="387">RAND()&lt;IF(C413="净世破魔击·月",4*$I$7,IF(C413="净世破魔击·日",2*$I$7,$I$7))</f>
        <v>0</v>
      </c>
      <c r="BI413" s="115">
        <f t="shared" ca="1" si="350"/>
        <v>0</v>
      </c>
      <c r="BJ413" s="115" t="b">
        <f t="shared" ca="1" si="361"/>
        <v>0</v>
      </c>
      <c r="BK413" s="115" t="b">
        <f ca="1">AND(C413="驱夜断愁",模拟模式!$P$7="天地诛戮")</f>
        <v>0</v>
      </c>
      <c r="BL413" s="57">
        <f t="shared" ca="1" si="351"/>
        <v>18.155000000000001</v>
      </c>
      <c r="BM413" s="115" t="b">
        <f t="shared" ca="1" si="362"/>
        <v>1</v>
      </c>
      <c r="BN413" s="115" t="b">
        <f ca="1">AND(OR(C413="赤日轮1",C413="赤日轮2",C413="赤日轮3",C413="幽月轮1",C413="幽月轮2",C413="幽月轮3"),AB413=1,模拟模式!$L$7="明光恒照")</f>
        <v>1</v>
      </c>
      <c r="BO413" s="117">
        <f t="shared" ca="1" si="352"/>
        <v>30</v>
      </c>
      <c r="BP413" s="115">
        <f t="shared" ref="BP413:BP476" ca="1" si="388">IF(BO413&gt;0,MIN(6,IF(BN413,BP412+1,BP412)),0)</f>
        <v>6</v>
      </c>
      <c r="BQ413" s="115" t="b">
        <f>模拟模式!$K$10="2600·水"</f>
        <v>0</v>
      </c>
      <c r="BR413" s="117">
        <f t="shared" ref="BR413:BR476" si="389">IF(BQ413,6,MAX(0,BR412-$F$4))</f>
        <v>0</v>
      </c>
      <c r="BS413" s="115">
        <f t="shared" ref="BS413:BS476" si="390">IF(BR413&gt;0,MIN(10,IF(BQ413,BS412+IF(C413="净世破魔击·月",4,IF(C413="净世破魔击·日",2,1)),BS412)),0)</f>
        <v>0</v>
      </c>
      <c r="BT413" s="115">
        <f t="shared" ref="BT413:BT476" ca="1" si="391">IF(BU413,60-$F$4,MAX(0,BT412-$F$4))</f>
        <v>0</v>
      </c>
      <c r="BU413" s="115" t="b">
        <f ca="1">AND(模拟模式!$K$10="2300·雷",BT412=0,RAND()&lt;IF(C413="净世破魔击·月",5*0.05*2/3,IF(C413="净世破魔击·日",3*0.05*2/3,0.05*2*2/3)))</f>
        <v>0</v>
      </c>
      <c r="BV413" s="115">
        <f t="shared" ref="BV413:BV476" ca="1" si="392">IF(BU413,15-$F$4,MAX(0,BV412-$F$4))</f>
        <v>0</v>
      </c>
      <c r="BW413" s="115">
        <f t="shared" ref="BW413:BW476" ca="1" si="393">IF(BX413,180-$F$4,MAX(0,BW412-$F$4))</f>
        <v>15.794999999999305</v>
      </c>
      <c r="BX413" s="164" t="b">
        <f t="shared" ref="BX413:BX476" ca="1" si="394">AND(BW412=0,OR(AND(E412=80,F412=100),CU413))</f>
        <v>0</v>
      </c>
      <c r="BY413" s="115">
        <f t="shared" ref="BY413:BY476" ca="1" si="395">IF(BX413,15-$F$4,MAX(0,BY412-$F$4))</f>
        <v>0</v>
      </c>
      <c r="BZ413" s="115">
        <f>IF(OR(模拟模式!$P$16="10人团",模拟模式!$P$16="25人团"),IF(B413/30&gt;CA412,1,0),0)</f>
        <v>0</v>
      </c>
      <c r="CA413" s="115">
        <f t="shared" si="371"/>
        <v>0</v>
      </c>
      <c r="CB413" s="115">
        <f ca="1">IF(BZ413=1,IF(模拟模式!$P$16="10人团",15,0)+IF(模拟模式!$P$16="25人团",IF(RAND()&lt;0.6,15,0)),MAX(0,CB412-$F$4))</f>
        <v>0</v>
      </c>
      <c r="CC413" s="115" t="b">
        <f t="shared" ca="1" si="363"/>
        <v>0</v>
      </c>
      <c r="CD413" s="115">
        <f>IF(模拟模式!$Q$16="1个",IF(B413/40&gt;CE412,1,0),0)</f>
        <v>0</v>
      </c>
      <c r="CE413" s="115">
        <f t="shared" si="364"/>
        <v>0</v>
      </c>
      <c r="CF413" s="115">
        <f>IF(OR(CD413=1,模拟模式!$Q$16="2个"),20,MAX(0,CF412-$F$4))</f>
        <v>0</v>
      </c>
      <c r="CG413" s="115" t="b">
        <f t="shared" si="365"/>
        <v>0</v>
      </c>
      <c r="CH413" s="115">
        <f t="shared" ref="CH413:CH476" ca="1" si="396">IF(CI413,30-$F$4,MAX(0,CH412-$F$4))</f>
        <v>16.162500000000009</v>
      </c>
      <c r="CI413" s="115" t="b">
        <f t="shared" ref="CI413:CI476" ca="1" si="397">AND(CH412=0,RAND()&lt;IF(C413="净世破魔击·月",4*0.2*2/3,IF(C413="净世破魔击·日",2*0.2*2/3,0.2*2/3)))</f>
        <v>0</v>
      </c>
      <c r="CJ413" s="119">
        <f t="shared" ref="CJ413:CJ476" ca="1" si="398">IF(CI413,IF(RAND()&lt;0.7,0.05,0.01),IF(CK413&gt;0,CJ412,0))</f>
        <v>0</v>
      </c>
      <c r="CK413" s="115">
        <f t="shared" ref="CK413:CK476" ca="1" si="399">IF(CI413,8-$F$4,MAX(0,CK412-$F$4))</f>
        <v>0</v>
      </c>
      <c r="CL413" s="115" t="b">
        <f ca="1">AND(模拟模式!$S$7="驱夷逐法",OR(AND(C413="净世破魔击·月",E412&gt;59),AND(C413="净世破魔击·日",F412&gt;59)))</f>
        <v>0</v>
      </c>
      <c r="CM413" s="115" t="b">
        <f ca="1">OR(CL413,AND(C413="净世破魔击·日",CL412,RAND()&lt;模拟模式!$U$23))</f>
        <v>0</v>
      </c>
      <c r="CN413" s="115" t="b">
        <f ca="1">IF(模拟模式!$M$7="辉耀红尘",AND(C413="净世破魔击·月",CL413,CV413=0,E412&lt;80),AND(C413="净世破魔击·月",CL413,E412&lt;100))</f>
        <v>0</v>
      </c>
      <c r="CO413" s="115" t="b">
        <f t="shared" ca="1" si="372"/>
        <v>0</v>
      </c>
      <c r="CP413" s="115" t="b">
        <f ca="1">AND(模拟模式!$O$7="用晦而明",OR(C413="净世破魔击·日",C413="净世破魔击·月",C413="驱夜断愁"),AB413)</f>
        <v>0</v>
      </c>
      <c r="CQ413" s="115" t="b">
        <f ca="1">OR(CP413,AND(CP412,RAND()&lt;模拟模式!$U$23))</f>
        <v>0</v>
      </c>
      <c r="CR413" s="115" t="b">
        <f ca="1">AND(模拟模式!$S$7="日月齐光",OR(C413="幽月轮1",C413="幽月轮2",C413="幽月轮3",CR412),NOT(OR(C413="赤日轮1",C413="赤日轮2",C413="赤日轮3")))</f>
        <v>0</v>
      </c>
      <c r="CS413" s="115" t="b">
        <f ca="1">AND(模拟模式!$S$7="日月齐光",OR(C413="赤日轮1",C413="赤日轮2",C413="赤日轮3",CS412),NOT(OR(C413="幽月轮1",C413="幽月轮2",C413="幽月轮3")))</f>
        <v>0</v>
      </c>
      <c r="CT413" s="115">
        <f t="shared" ref="CT413:CT476" ca="1" si="400">IF(CU413,30,MAX(CT412-$F$4,0))</f>
        <v>19.852500000000006</v>
      </c>
      <c r="CU413" s="115" t="b">
        <f ca="1">AND(模拟模式!$K$10="阴阳往极",CT412=0,RAND()&lt;IF(C413="净世破魔击·月",0.0275*7/3,IF(C413="净世破魔击·日",0.0275*3/3,0.0275*2/3)))</f>
        <v>0</v>
      </c>
      <c r="CV413" s="115">
        <f t="shared" ref="CV413:CV476" ca="1" si="401">IF(CU413,5-$F$4,MAX(CV412-$F$4,0))</f>
        <v>0</v>
      </c>
      <c r="CW413" s="115">
        <f t="shared" ca="1" si="373"/>
        <v>5.0774999999999997</v>
      </c>
      <c r="CX413" s="115">
        <f t="shared" ca="1" si="374"/>
        <v>3.2324999999999995</v>
      </c>
      <c r="CY413" s="115">
        <f ca="1">MAX(IF($C413="驱夜断愁",IF(模拟模式!$R$7="万念俱寂",6,45),CY412-$F$4),0)</f>
        <v>4.1549999999999994</v>
      </c>
      <c r="CZ413" s="115">
        <f t="shared" ca="1" si="375"/>
        <v>0</v>
      </c>
      <c r="DA413" s="115">
        <f ca="1">IF(模拟模式!$N$7="日月同辉",IF(DB412=2,0,MIN(6,IF(AND(OR(C413="赤日轮1",C413="赤日轮2",C413="赤日轮3",C413="幽月轮1",C413="幽月轮2",C413="幽月轮3"),AB413=1),DA412+1,DA412))),0)</f>
        <v>6</v>
      </c>
      <c r="DB413" s="115">
        <f t="shared" ca="1" si="376"/>
        <v>2</v>
      </c>
      <c r="DC413" s="115"/>
      <c r="DD413" s="115"/>
      <c r="DE413" s="115"/>
      <c r="DF413" s="115"/>
      <c r="DG413" s="115"/>
      <c r="DH413" s="115"/>
      <c r="DI413" s="115"/>
      <c r="DJ413" s="115"/>
      <c r="DK413" s="115"/>
      <c r="DL413" s="115"/>
      <c r="DM413" s="115"/>
    </row>
    <row r="414" spans="2:117" x14ac:dyDescent="0.2">
      <c r="B414" s="117">
        <f t="shared" si="377"/>
        <v>357.00750000000329</v>
      </c>
      <c r="C414" s="167" t="str">
        <f t="shared" ca="1" si="370"/>
        <v>净世破魔击·月</v>
      </c>
      <c r="D414" s="115">
        <f ca="1">IF(C414="赤日轮1",1,IF(C414="赤日轮2",2,IF(C414="赤日轮3",3,IF(C414="幽月轮1",4,IF(C414="幽月轮2",5,IF(C414="幽月轮3",6,IF(C414="烈日斩",7,IF(C414="银月斩",8,IF(C414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414="净世破魔击·月",17,IF(C414="驱夜断愁",18,0)))))))))))</f>
        <v>17</v>
      </c>
      <c r="E414" s="115">
        <f ca="1">IF(AND(CU414,OR(C414="幽月轮1",C414="幽月轮2",C414="幽月轮3",C414="银月斩",C414="驱夜断愁",C414="净世破魔击·月")),100,MIN(IF(OR(CN414,BE414),0,IF(OR($C414="赤日轮1",$C414="赤日轮2",$C414="赤日轮3"),E413+20+IF(模拟模式!$I$7="日月凌天",4,0)+IF(CR413,20,0),IF($C414="烈日斩",E413+40,IF($C414="驱夜断愁",IF(模拟模式!$R$7="万念俱寂",E413+20,E413+60),IF($C414="净世破魔击·月",IF(OR(DB413&gt;0,CV413&gt;0),100,IF(模拟模式!$M$7="辉耀红尘",E413+20,E413)),IF($C414="净世破魔击·日",E413-100,E413)))))),100))</f>
        <v>100</v>
      </c>
      <c r="F414" s="115">
        <f ca="1">IF(AND(CU414,OR(C414="赤日轮1",C414="赤日轮2",C414="赤日轮3",C414="烈日斩",C414="净世破魔击·日")),100,MIN(IF(CO414,0,IF(OR($C414="幽月轮1",$C414="幽月轮2",$C414="幽月轮3"),F413+20+IF(模拟模式!$I$7="日月凌天",4,0)+IF(CS413,20,0),IF($C414="银月斩",F413+40+IF(模拟模式!$X$12=1,5,0),IF($C414="驱夜断愁",IF(模拟模式!$R$7="万念俱寂",F413+20,F413+60),IF($C414="净世破魔击·月",IF(模拟模式!$M$7="辉耀红尘",F413-80,F413-100),IF(AND(C414="净世破魔击·日",OR(DB413&gt;0,CV413&gt;0)),100,F413)))))),100))</f>
        <v>20</v>
      </c>
      <c r="G414" s="117">
        <f ca="1">('模拟-全程加成'!$E$3+'模拟-全程加成'!$E$4+'模拟-全程加成'!$E$5+('模拟-全程加成'!$C$6-'模拟-全程加成'!$C$3)*系数!$B$9+BS414*23)*(1+'模拟-全程加成'!$F$4+'模拟-全程加成'!$F$5+BJ414*10%+BM414*20%+BP414*4%+CG414*30%)+$F$7*系数!$B$12</f>
        <v>20583.127400000001</v>
      </c>
      <c r="H414" s="45">
        <f ca="1">'模拟-全程加成'!$H$3+'模拟-全程加成'!$H$4+'模拟-全程加成'!$H$5+('模拟-全程加成'!$G$4+'模拟-全程加成'!$G$5+('模拟-全程加成'!$C$6-'模拟-全程加成'!$C$3)*系数!$B$13)/系数!$B$3+LOOKUP(D414,'模拟-单技能数据'!$A$2:$A$19,'模拟-单技能数据'!$K$2:$K$19)+BG414*10%+IF(BV414&gt;0,378,0)</f>
        <v>0.54185145527300216</v>
      </c>
      <c r="I414" s="45">
        <f ca="1">'模拟-全程加成'!$J$3+'模拟-全程加成'!$J$4+'模拟-全程加成'!$J$5+('模拟-全程加成'!$I$4+'模拟-全程加成'!$I$5)/系数!$B$4+LOOKUP(D414,'模拟-单技能数据'!$A$2:$A$19,'模拟-单技能数据'!$L$2:$L$19)+BG414*10%</f>
        <v>2.162482885499879</v>
      </c>
      <c r="J414" s="45">
        <f ca="1">(('模拟-全程加成'!$K$3+'模拟-全程加成'!$K$4+'模拟-全程加成'!$K$5+('模拟-全程加成'!$C$6-'模拟-全程加成'!$C$3)*系数!$B$10+IF(BV414&gt;0,882,0)+IF(BY414&gt;0,1831,0))*(1+'模拟-全程加成'!$L$4+'模拟-全程加成'!$L$5+CC414*20%))/系数!$B$5</f>
        <v>0.69723220422048726</v>
      </c>
      <c r="K414" s="119">
        <f ca="1">LOOKUP(D414,'模拟-单技能数据'!$A$2:$A$19,'模拟-单技能数据'!$J$2:$J$19)+IF(CM414,60%,0)+IF(DB413-DB414&gt;0,30%,0)+IF(OR(AND(OR(C414="赤日轮1",C414="赤日轮2",C414="赤日轮3"),CR414),AND(OR(C414="幽月轮1",C414="幽月轮2",C414="幽月轮3"),CS414)),35%,0)+CJ414</f>
        <v>1.1000000000000001</v>
      </c>
      <c r="L414" s="119">
        <f ca="1">IF(AND(C414="烈日斩",模拟模式!$X$11=1),10%,0)+IF(AND(C414="驱夜断愁",AB414=1),30%,0)</f>
        <v>0</v>
      </c>
      <c r="M414" s="45">
        <f t="shared" ca="1" si="353"/>
        <v>0.54185145527300216</v>
      </c>
      <c r="N414" s="45">
        <f t="shared" ca="1" si="354"/>
        <v>0.40424854472699789</v>
      </c>
      <c r="O414" s="46">
        <f t="shared" ca="1" si="378"/>
        <v>0.73277579786592295</v>
      </c>
      <c r="P414" s="46" t="str">
        <f t="shared" ca="1" si="379"/>
        <v>命</v>
      </c>
      <c r="Q414" s="45">
        <f t="shared" ca="1" si="380"/>
        <v>1</v>
      </c>
      <c r="R414" s="117">
        <f ca="1">模拟模式!$E$20*(1-IF(模拟模式!$J$19="有",0.15,0))*(1-IF(模拟模式!$K$19="有",0.3,0)-IF(CQ414,0.5,0))</f>
        <v>843.02999999999975</v>
      </c>
      <c r="S414" s="45">
        <f ca="1">R414/(R414+(185*模拟模式!$E$22-16800)*4.08224)</f>
        <v>8.389626085980037E-2</v>
      </c>
      <c r="T414" s="45" t="str">
        <f ca="1">LOOKUP(D414,'模拟-单技能数据'!$A$2:$A$19,'模拟-单技能数据'!$H$2:$H$19)</f>
        <v>阴</v>
      </c>
      <c r="U414" s="119">
        <f t="shared" ca="1" si="355"/>
        <v>0.08</v>
      </c>
      <c r="V414" s="47">
        <f ca="1">(1+L414)*(LOOKUP(D414,'模拟-单技能数据'!$A$2:$A$19,'模拟-单技能数据'!$D$2:$D$19)+G414*LOOKUP(D414,'模拟-单技能数据'!$A$2:$A$19,'模拟-单技能数据'!$F$2:$F$19))*(1+J414)*(1+K414)*(1-S414)*(1+U414)*Q414*LOOKUP(D414,'模拟-单技能数据'!$A$2:$A$19,'模拟-单技能数据'!$I$2:$I$20)</f>
        <v>94342.058484630208</v>
      </c>
      <c r="W414" s="47">
        <f ca="1">LOOKUP(D414,'模拟-单技能数据'!$A$2:$A$19,'模拟-单技能数据'!$G$2:$G$19)*$I$10</f>
        <v>361.51064354704795</v>
      </c>
      <c r="X414" s="47">
        <f t="shared" ca="1" si="381"/>
        <v>17582.805752458073</v>
      </c>
      <c r="Y414" s="47">
        <f t="shared" ca="1" si="356"/>
        <v>112286.37488063533</v>
      </c>
      <c r="Z414" s="49">
        <f t="shared" ca="1" si="357"/>
        <v>40405035.821171731</v>
      </c>
      <c r="AA414" s="97">
        <f t="shared" ca="1" si="358"/>
        <v>113176.99438014987</v>
      </c>
      <c r="AB414" s="115">
        <f ca="1">IF(OR(C414="赤日轮1",C414="赤日轮2",C414="赤日轮3"),IF(RAND()&lt;模拟模式!$Y$17,1,0),IF(OR(C414="幽月轮1",C414="幽月轮2",C414="幽月轮3"),IF(RAND()&lt;模拟模式!$Y$18,1,0),IF(C414="烈日斩",IF(RAND()&lt;模拟模式!$Y$19,1,0),IF(C414="银月斩",IF(RAND()&lt;模拟模式!$Y$20,1,0),IF(C414="驱夜断愁",IF(RAND()&lt;模拟模式!$Y$21,1,0),IF(C414="净世破魔击·日",IF(RAND()&lt;模拟模式!$Y$22,1,0),IF(C414="净世破魔击·月",IF(RAND()&lt;模拟模式!$Y$23,1,0),0)))))))</f>
        <v>1</v>
      </c>
      <c r="AC414" s="115" t="b">
        <f t="shared" ca="1" si="346"/>
        <v>0</v>
      </c>
      <c r="AD414" s="115" t="b">
        <f t="shared" ca="1" si="366"/>
        <v>1</v>
      </c>
      <c r="AE414" s="115">
        <f t="shared" ca="1" si="367"/>
        <v>4</v>
      </c>
      <c r="AF414" s="47">
        <f ca="1">IF(AC414,('模拟-单技能数据'!$D$20+G414*'模拟-单技能数据'!$F$20)*(1+J414)*(1+'模拟-单技能数据'!$J$20)*(1+U414),0)</f>
        <v>0</v>
      </c>
      <c r="AG414" s="61">
        <f t="shared" ca="1" si="359"/>
        <v>0.64185145527300214</v>
      </c>
      <c r="AH414" s="61">
        <f t="shared" ca="1" si="360"/>
        <v>2.2624828854998791</v>
      </c>
      <c r="AI414" s="62">
        <f t="shared" ca="1" si="382"/>
        <v>3.6502583621922713E-2</v>
      </c>
      <c r="AJ414" s="47">
        <f ca="1">IF(AD414,IF(AI414&lt;$F$10,0,IF(AI414&lt;$F$10+$F$11,0.25,IF(AI414&lt;$F$10+$F$11+AG414,AH414,1)))*IF(AF414&gt;0,AF414,IF(AF413&gt;0,AF413,IF(AF412&gt;0,AF412,IF(AF411&gt;0,AF411,IF(AF410&gt;0,AF410,IF(AF409&gt;0,AF409,IF(AF408&gt;0,AF408,IF(AF407&gt;0,AF407,IF(AF406&gt;0,AF406,IF(AF404&gt;0,AF404,IF(AF403&gt;0,AF403,IF(AF402&gt;0,AF402,0)))))))))))),0)*(1-$S414)*'模拟-单技能数据'!$I$20</f>
        <v>1062.6220839292735</v>
      </c>
      <c r="AK414" s="115" t="b">
        <f t="shared" ca="1" si="347"/>
        <v>0</v>
      </c>
      <c r="AL414" s="115" t="b">
        <f t="shared" ca="1" si="368"/>
        <v>0</v>
      </c>
      <c r="AM414" s="115">
        <f t="shared" ca="1" si="369"/>
        <v>3</v>
      </c>
      <c r="AN414" s="47">
        <f ca="1">IF(AK414,('模拟-单技能数据'!$D$21+G414*'模拟-单技能数据'!$F$21)*(1+J414)*(1+'模拟-单技能数据'!$J$21)*(1+U414),0)</f>
        <v>0</v>
      </c>
      <c r="AO414" s="61">
        <f ca="1">IF(AN414&gt;0,M414-'模拟-单技能数据'!$K$10,AO413)</f>
        <v>0.42185145527300216</v>
      </c>
      <c r="AP414" s="61">
        <f ca="1">IF(AN414&gt;0,I414-'模拟-单技能数据'!$L$10,AP413)</f>
        <v>2.162482885499879</v>
      </c>
      <c r="AQ414" s="63">
        <f t="shared" ca="1" si="383"/>
        <v>0.73305323993648053</v>
      </c>
      <c r="AR414" s="64">
        <f ca="1">IF(AL414,IF(AQ414&lt;$F$10,0,IF(AQ414&lt;$F$10+$F$11,0.25,IF(AQ414&lt;$F$10+$F$11+AO414,AP414,1)))*IF(AN414&gt;0,AN414,IF(AN413&gt;0,AN413,IF(AN412&gt;0,AN412,IF(AN411&gt;0,AN411,IF(AN410&gt;0,AN410,IF(AN409&gt;0,AN409,IF(AN408&gt;0,AN408,IF(AN407&gt;0,AN407,IF(AN406&gt;0,AN406,IF(AN404&gt;0,AN404,IF(AN403&gt;0,AN403,IF(AN402&gt;0,AN402,0)))))))))))),0)*(1-$S414)*'模拟-单技能数据'!$I$21</f>
        <v>0</v>
      </c>
      <c r="AS414" s="61">
        <f ca="1">IF(OR(C414="净世破魔击·日",C414="净世破魔击·月"),M414-'模拟-单技能数据'!$K$10,0)</f>
        <v>0.42185145527300216</v>
      </c>
      <c r="AT414" s="61">
        <f ca="1">IF(OR(C414="净世破魔击·日",C414="净世破魔击·月"),I414-'模拟-单技能数据'!$L$10,0)</f>
        <v>2.162482885499879</v>
      </c>
      <c r="AU414" s="62">
        <f t="shared" ca="1" si="384"/>
        <v>0.4025424117715527</v>
      </c>
      <c r="AV414" s="64">
        <f ca="1">IF(AS414&gt;0,('模拟-单技能数据'!$D$22+G414*'模拟-单技能数据'!$F$22)*(1+J414)*(1-S414)*IF(AU414&lt;$F$10,0,IF(AU414&lt;$F$10+$F$11,0.25,IF(AU414&lt;$F$10+$F$11+AS414,AT414,1)))*(1+U414),0)*'模拟-单技能数据'!$I$22</f>
        <v>16520.1836685288</v>
      </c>
      <c r="AW414" s="108">
        <f t="shared" ca="1" si="385"/>
        <v>17.232500000000002</v>
      </c>
      <c r="AX414" s="108" t="b">
        <f ca="1">AND(模拟模式!$P$10="有",AW413=0,RAND()&lt;IF(C414="净世破魔击·月",0.1*8/3,IF(C414="净世破魔击·日",0.1*4/3,0.1*2/3)))</f>
        <v>0</v>
      </c>
      <c r="AY414" s="47">
        <f ca="1">IF(AX414,(18+G414*0.722)*(1+J414)*(1-S414)*(1+$I$4)*IF(P414="会",'模拟-全程加成'!$J$3+'模拟-全程加成'!$J$4+'模拟-全程加成'!$J$5+('模拟-全程加成'!$I$4+'模拟-全程加成'!$I$5)/系数!$B$4+BG414*10%,IF(P414="命",1,IF(P414="识",0.25,0))),0)</f>
        <v>0</v>
      </c>
      <c r="AZ414" s="108">
        <f t="shared" si="386"/>
        <v>8.0075000000000074</v>
      </c>
      <c r="BA414" s="108" t="b">
        <f>AND(模拟模式!$Q$10="有",AZ413=0)</f>
        <v>0</v>
      </c>
      <c r="BB414" s="140">
        <f>IF(BA414,(0+G414*0.287)*(1+J414)*(1-S414)*(1+$I$4)*IF(P414="会",'模拟-全程加成'!$J$3+'模拟-全程加成'!$J$4+'模拟-全程加成'!$J$5+('模拟-全程加成'!$I$4+'模拟-全程加成'!$I$5)/系数!$B$4+BG414*10%,IF(P414="命",1,IF(P414="识",0.25,0))),0)</f>
        <v>0</v>
      </c>
      <c r="BC414" s="115" t="b">
        <f ca="1">AND(模拟模式!$R$7="伏明众生",E414=60,F414=20,DA414&lt;5,CZ413&lt;$F$4)</f>
        <v>0</v>
      </c>
      <c r="BD414" s="115">
        <f t="shared" ca="1" si="348"/>
        <v>0</v>
      </c>
      <c r="BE414" s="115" t="b">
        <f t="shared" ca="1" si="349"/>
        <v>0</v>
      </c>
      <c r="BF414" s="47">
        <f ca="1">IF(BC414,4*('模拟-单技能数据'!$D$24+G414*'模拟-单技能数据'!$F$24)*(1+J414)*(1+'模拟-单技能数据'!$J$24)*(1-S414)*(1+$I$3)*(('模拟-全程加成'!$J$3+'模拟-全程加成'!$J$4+'模拟-全程加成'!$J$5+('模拟-全程加成'!$I$4+'模拟-全程加成'!$I$5)/系数!$B$4+BG414*10%)*('模拟-全程加成'!$J$3+'模拟-全程加成'!$J$4+'模拟-全程加成'!$J$5+('模拟-全程加成'!$I$4+'模拟-全程加成'!$I$5)/系数!$B$4+BG414*10%)+(1-('模拟-全程加成'!$J$3+'模拟-全程加成'!$J$4+'模拟-全程加成'!$J$5+('模拟-全程加成'!$I$4+'模拟-全程加成'!$I$5)/系数!$B$4+BG414*10%)-$F$10-$F$11)+F400*0.25),0)*'模拟-单技能数据'!$I$24</f>
        <v>0</v>
      </c>
      <c r="BG414" s="115" t="b">
        <f ca="1">OR(AND(OR(C414="烈日斩",C414="银月斩"),模拟模式!$I$7="净身明礼"),AND(C414="净世破魔击·日",模拟模式!$J$7="洞若观火"),AND(C415="净世破魔击·月",模拟模式!$J$7="洞若观火"),AB414=1)</f>
        <v>1</v>
      </c>
      <c r="BH414" s="115" t="b">
        <f t="shared" ca="1" si="387"/>
        <v>0</v>
      </c>
      <c r="BI414" s="115">
        <f t="shared" ca="1" si="350"/>
        <v>0</v>
      </c>
      <c r="BJ414" s="115" t="b">
        <f t="shared" ca="1" si="361"/>
        <v>0</v>
      </c>
      <c r="BK414" s="115" t="b">
        <f ca="1">AND(C414="驱夜断愁",模拟模式!$P$7="天地诛戮")</f>
        <v>0</v>
      </c>
      <c r="BL414" s="57">
        <f t="shared" ca="1" si="351"/>
        <v>17.232500000000002</v>
      </c>
      <c r="BM414" s="115" t="b">
        <f t="shared" ca="1" si="362"/>
        <v>1</v>
      </c>
      <c r="BN414" s="115" t="b">
        <f ca="1">AND(OR(C414="赤日轮1",C414="赤日轮2",C414="赤日轮3",C414="幽月轮1",C414="幽月轮2",C414="幽月轮3"),AB414=1,模拟模式!$L$7="明光恒照")</f>
        <v>0</v>
      </c>
      <c r="BO414" s="117">
        <f t="shared" ca="1" si="352"/>
        <v>29.077500000000001</v>
      </c>
      <c r="BP414" s="115">
        <f t="shared" ca="1" si="388"/>
        <v>6</v>
      </c>
      <c r="BQ414" s="115" t="b">
        <f>模拟模式!$K$10="2600·水"</f>
        <v>0</v>
      </c>
      <c r="BR414" s="117">
        <f t="shared" si="389"/>
        <v>0</v>
      </c>
      <c r="BS414" s="115">
        <f t="shared" si="390"/>
        <v>0</v>
      </c>
      <c r="BT414" s="115">
        <f t="shared" ca="1" si="391"/>
        <v>0</v>
      </c>
      <c r="BU414" s="115" t="b">
        <f ca="1">AND(模拟模式!$K$10="2300·雷",BT413=0,RAND()&lt;IF(C414="净世破魔击·月",5*0.05*2/3,IF(C414="净世破魔击·日",3*0.05*2/3,0.05*2*2/3)))</f>
        <v>0</v>
      </c>
      <c r="BV414" s="115">
        <f t="shared" ca="1" si="392"/>
        <v>0</v>
      </c>
      <c r="BW414" s="115">
        <f t="shared" ca="1" si="393"/>
        <v>14.872499999999306</v>
      </c>
      <c r="BX414" s="164" t="b">
        <f t="shared" ca="1" si="394"/>
        <v>0</v>
      </c>
      <c r="BY414" s="115">
        <f t="shared" ca="1" si="395"/>
        <v>0</v>
      </c>
      <c r="BZ414" s="115">
        <f>IF(OR(模拟模式!$P$16="10人团",模拟模式!$P$16="25人团"),IF(B414/30&gt;CA413,1,0),0)</f>
        <v>0</v>
      </c>
      <c r="CA414" s="115">
        <f t="shared" si="371"/>
        <v>0</v>
      </c>
      <c r="CB414" s="115">
        <f ca="1">IF(BZ414=1,IF(模拟模式!$P$16="10人团",15,0)+IF(模拟模式!$P$16="25人团",IF(RAND()&lt;0.6,15,0)),MAX(0,CB413-$F$4))</f>
        <v>0</v>
      </c>
      <c r="CC414" s="115" t="b">
        <f t="shared" ca="1" si="363"/>
        <v>0</v>
      </c>
      <c r="CD414" s="115">
        <f>IF(模拟模式!$Q$16="1个",IF(B414/40&gt;CE413,1,0),0)</f>
        <v>0</v>
      </c>
      <c r="CE414" s="115">
        <f t="shared" si="364"/>
        <v>0</v>
      </c>
      <c r="CF414" s="115">
        <f>IF(OR(CD414=1,模拟模式!$Q$16="2个"),20,MAX(0,CF413-$F$4))</f>
        <v>0</v>
      </c>
      <c r="CG414" s="115" t="b">
        <f t="shared" si="365"/>
        <v>0</v>
      </c>
      <c r="CH414" s="115">
        <f t="shared" ca="1" si="396"/>
        <v>15.240000000000009</v>
      </c>
      <c r="CI414" s="115" t="b">
        <f t="shared" ca="1" si="397"/>
        <v>0</v>
      </c>
      <c r="CJ414" s="119">
        <f t="shared" ca="1" si="398"/>
        <v>0</v>
      </c>
      <c r="CK414" s="115">
        <f t="shared" ca="1" si="399"/>
        <v>0</v>
      </c>
      <c r="CL414" s="115" t="b">
        <f ca="1">AND(模拟模式!$S$7="驱夷逐法",OR(AND(C414="净世破魔击·月",E413&gt;59),AND(C414="净世破魔击·日",F413&gt;59)))</f>
        <v>1</v>
      </c>
      <c r="CM414" s="115" t="b">
        <f ca="1">OR(CL414,AND(C414="净世破魔击·日",CL413,RAND()&lt;模拟模式!$U$23))</f>
        <v>1</v>
      </c>
      <c r="CN414" s="115" t="b">
        <f ca="1">IF(模拟模式!$M$7="辉耀红尘",AND(C414="净世破魔击·月",CL414,CV414=0,E413&lt;80),AND(C414="净世破魔击·月",CL414,E413&lt;100))</f>
        <v>0</v>
      </c>
      <c r="CO414" s="115" t="b">
        <f t="shared" ca="1" si="372"/>
        <v>0</v>
      </c>
      <c r="CP414" s="115" t="b">
        <f ca="1">AND(模拟模式!$O$7="用晦而明",OR(C414="净世破魔击·日",C414="净世破魔击·月",C414="驱夜断愁"),AB414)</f>
        <v>1</v>
      </c>
      <c r="CQ414" s="115" t="b">
        <f ca="1">OR(CP414,AND(CP413,RAND()&lt;模拟模式!$U$23))</f>
        <v>1</v>
      </c>
      <c r="CR414" s="115" t="b">
        <f ca="1">AND(模拟模式!$S$7="日月齐光",OR(C414="幽月轮1",C414="幽月轮2",C414="幽月轮3",CR413),NOT(OR(C414="赤日轮1",C414="赤日轮2",C414="赤日轮3")))</f>
        <v>0</v>
      </c>
      <c r="CS414" s="115" t="b">
        <f ca="1">AND(模拟模式!$S$7="日月齐光",OR(C414="赤日轮1",C414="赤日轮2",C414="赤日轮3",CS413),NOT(OR(C414="幽月轮1",C414="幽月轮2",C414="幽月轮3")))</f>
        <v>0</v>
      </c>
      <c r="CT414" s="115">
        <f t="shared" ca="1" si="400"/>
        <v>18.930000000000007</v>
      </c>
      <c r="CU414" s="115" t="b">
        <f ca="1">AND(模拟模式!$K$10="阴阳往极",CT413=0,RAND()&lt;IF(C414="净世破魔击·月",0.0275*7/3,IF(C414="净世破魔击·日",0.0275*3/3,0.0275*2/3)))</f>
        <v>0</v>
      </c>
      <c r="CV414" s="115">
        <f t="shared" ca="1" si="401"/>
        <v>0</v>
      </c>
      <c r="CW414" s="115">
        <f t="shared" ca="1" si="373"/>
        <v>4.1549999999999994</v>
      </c>
      <c r="CX414" s="115">
        <f t="shared" ca="1" si="374"/>
        <v>2.3099999999999996</v>
      </c>
      <c r="CY414" s="115">
        <f ca="1">MAX(IF($C414="驱夜断愁",IF(模拟模式!$R$7="万念俱寂",6,45),CY413-$F$4),0)</f>
        <v>3.2324999999999995</v>
      </c>
      <c r="CZ414" s="115">
        <f t="shared" ca="1" si="375"/>
        <v>0</v>
      </c>
      <c r="DA414" s="115">
        <f ca="1">IF(模拟模式!$N$7="日月同辉",IF(DB413=2,0,MIN(6,IF(AND(OR(C414="赤日轮1",C414="赤日轮2",C414="赤日轮3",C414="幽月轮1",C414="幽月轮2",C414="幽月轮3"),AB414=1),DA413+1,DA413))),0)</f>
        <v>0</v>
      </c>
      <c r="DB414" s="115">
        <f t="shared" ca="1" si="376"/>
        <v>1</v>
      </c>
      <c r="DC414" s="115"/>
      <c r="DD414" s="115"/>
      <c r="DE414" s="115"/>
      <c r="DF414" s="115"/>
      <c r="DG414" s="115"/>
      <c r="DH414" s="115"/>
      <c r="DI414" s="115"/>
      <c r="DJ414" s="115"/>
      <c r="DK414" s="115"/>
      <c r="DL414" s="115"/>
      <c r="DM414" s="115"/>
    </row>
    <row r="415" spans="2:117" x14ac:dyDescent="0.2">
      <c r="B415" s="117">
        <f t="shared" si="377"/>
        <v>357.9300000000033</v>
      </c>
      <c r="C415" s="167" t="str">
        <f t="shared" ca="1" si="370"/>
        <v>净世破魔击·日</v>
      </c>
      <c r="D415" s="115">
        <f ca="1">IF(C415="赤日轮1",1,IF(C415="赤日轮2",2,IF(C415="赤日轮3",3,IF(C415="幽月轮1",4,IF(C415="幽月轮2",5,IF(C415="幽月轮3",6,IF(C415="烈日斩",7,IF(C415="银月斩",8,IF(C415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415="净世破魔击·月",17,IF(C415="驱夜断愁",18,0)))))))))))</f>
        <v>9</v>
      </c>
      <c r="E415" s="115">
        <f ca="1">IF(AND(CU415,OR(C415="幽月轮1",C415="幽月轮2",C415="幽月轮3",C415="银月斩",C415="驱夜断愁",C415="净世破魔击·月")),100,MIN(IF(OR(CN415,BE415),0,IF(OR($C415="赤日轮1",$C415="赤日轮2",$C415="赤日轮3"),E414+20+IF(模拟模式!$I$7="日月凌天",4,0)+IF(CR414,20,0),IF($C415="烈日斩",E414+40,IF($C415="驱夜断愁",IF(模拟模式!$R$7="万念俱寂",E414+20,E414+60),IF($C415="净世破魔击·月",IF(OR(DB414&gt;0,CV414&gt;0),100,IF(模拟模式!$M$7="辉耀红尘",E414+20,E414)),IF($C415="净世破魔击·日",E414-100,E414)))))),100))</f>
        <v>0</v>
      </c>
      <c r="F415" s="115">
        <f ca="1">IF(AND(CU415,OR(C415="赤日轮1",C415="赤日轮2",C415="赤日轮3",C415="烈日斩",C415="净世破魔击·日")),100,MIN(IF(CO415,0,IF(OR($C415="幽月轮1",$C415="幽月轮2",$C415="幽月轮3"),F414+20+IF(模拟模式!$I$7="日月凌天",4,0)+IF(CS414,20,0),IF($C415="银月斩",F414+40+IF(模拟模式!$X$12=1,5,0),IF($C415="驱夜断愁",IF(模拟模式!$R$7="万念俱寂",F414+20,F414+60),IF($C415="净世破魔击·月",IF(模拟模式!$M$7="辉耀红尘",F414-80,F414-100),IF(AND(C415="净世破魔击·日",OR(DB414&gt;0,CV414&gt;0)),100,F414)))))),100))</f>
        <v>100</v>
      </c>
      <c r="G415" s="117">
        <f ca="1">('模拟-全程加成'!$E$3+'模拟-全程加成'!$E$4+'模拟-全程加成'!$E$5+('模拟-全程加成'!$C$6-'模拟-全程加成'!$C$3)*系数!$B$9+BS415*23)*(1+'模拟-全程加成'!$F$4+'模拟-全程加成'!$F$5+BJ415*10%+BM415*20%+BP415*4%+CG415*30%)+$F$7*系数!$B$12</f>
        <v>20583.127400000001</v>
      </c>
      <c r="H415" s="45">
        <f ca="1">'模拟-全程加成'!$H$3+'模拟-全程加成'!$H$4+'模拟-全程加成'!$H$5+('模拟-全程加成'!$G$4+'模拟-全程加成'!$G$5+('模拟-全程加成'!$C$6-'模拟-全程加成'!$C$3)*系数!$B$13)/系数!$B$3+LOOKUP(D415,'模拟-单技能数据'!$A$2:$A$19,'模拟-单技能数据'!$K$2:$K$19)+BG415*10%+IF(BV415&gt;0,378,0)</f>
        <v>0.54185145527300216</v>
      </c>
      <c r="I415" s="45">
        <f ca="1">'模拟-全程加成'!$J$3+'模拟-全程加成'!$J$4+'模拟-全程加成'!$J$5+('模拟-全程加成'!$I$4+'模拟-全程加成'!$I$5)/系数!$B$4+LOOKUP(D415,'模拟-单技能数据'!$A$2:$A$19,'模拟-单技能数据'!$L$2:$L$19)+BG415*10%</f>
        <v>2.162482885499879</v>
      </c>
      <c r="J415" s="45">
        <f ca="1">(('模拟-全程加成'!$K$3+'模拟-全程加成'!$K$4+'模拟-全程加成'!$K$5+('模拟-全程加成'!$C$6-'模拟-全程加成'!$C$3)*系数!$B$10+IF(BV415&gt;0,882,0)+IF(BY415&gt;0,1831,0))*(1+'模拟-全程加成'!$L$4+'模拟-全程加成'!$L$5+CC415*20%))/系数!$B$5</f>
        <v>0.69723220422048726</v>
      </c>
      <c r="K415" s="119">
        <f ca="1">LOOKUP(D415,'模拟-单技能数据'!$A$2:$A$19,'模拟-单技能数据'!$J$2:$J$19)+IF(CM415,60%,0)+IF(DB414-DB415&gt;0,30%,0)+IF(OR(AND(OR(C415="赤日轮1",C415="赤日轮2",C415="赤日轮3"),CR415),AND(OR(C415="幽月轮1",C415="幽月轮2",C415="幽月轮3"),CS415)),35%,0)+CJ415</f>
        <v>1.1000000000000001</v>
      </c>
      <c r="L415" s="119">
        <f ca="1">IF(AND(C415="烈日斩",模拟模式!$X$11=1),10%,0)+IF(AND(C415="驱夜断愁",AB415=1),30%,0)</f>
        <v>0</v>
      </c>
      <c r="M415" s="45">
        <f t="shared" ca="1" si="353"/>
        <v>0.54185145527300216</v>
      </c>
      <c r="N415" s="45">
        <f t="shared" ca="1" si="354"/>
        <v>0.40424854472699789</v>
      </c>
      <c r="O415" s="46">
        <f t="shared" ca="1" si="378"/>
        <v>0.74007139371417741</v>
      </c>
      <c r="P415" s="46" t="str">
        <f t="shared" ca="1" si="379"/>
        <v>命</v>
      </c>
      <c r="Q415" s="45">
        <f t="shared" ca="1" si="380"/>
        <v>1</v>
      </c>
      <c r="R415" s="117">
        <f ca="1">模拟模式!$E$20*(1-IF(模拟模式!$J$19="有",0.15,0))*(1-IF(模拟模式!$K$19="有",0.3,0)-IF(CQ415,0.5,0))</f>
        <v>843.02999999999975</v>
      </c>
      <c r="S415" s="45">
        <f ca="1">R415/(R415+(185*模拟模式!$E$22-16800)*4.08224)</f>
        <v>8.389626085980037E-2</v>
      </c>
      <c r="T415" s="45" t="str">
        <f ca="1">LOOKUP(D415,'模拟-单技能数据'!$A$2:$A$19,'模拟-单技能数据'!$H$2:$H$19)</f>
        <v>阳</v>
      </c>
      <c r="U415" s="119">
        <f t="shared" ca="1" si="355"/>
        <v>0.2</v>
      </c>
      <c r="V415" s="47">
        <f ca="1">(1+L415)*(LOOKUP(D415,'模拟-单技能数据'!$A$2:$A$19,'模拟-单技能数据'!$D$2:$D$19)+G415*LOOKUP(D415,'模拟-单技能数据'!$A$2:$A$19,'模拟-单技能数据'!$F$2:$F$19))*(1+J415)*(1+K415)*(1-S415)*(1+U415)*Q415*LOOKUP(D415,'模拟-单技能数据'!$A$2:$A$19,'模拟-单技能数据'!$I$2:$I$20)</f>
        <v>105697.2298988978</v>
      </c>
      <c r="W415" s="47">
        <f ca="1">LOOKUP(D415,'模拟-单技能数据'!$A$2:$A$19,'模拟-单技能数据'!$G$2:$G$19)*$I$10</f>
        <v>723.0212870940959</v>
      </c>
      <c r="X415" s="47">
        <f t="shared" ca="1" si="381"/>
        <v>32531.528902186212</v>
      </c>
      <c r="Y415" s="47">
        <f t="shared" ca="1" si="356"/>
        <v>138951.78008817811</v>
      </c>
      <c r="Z415" s="49">
        <f t="shared" ca="1" si="357"/>
        <v>40543987.60125991</v>
      </c>
      <c r="AA415" s="97">
        <f t="shared" ca="1" si="358"/>
        <v>113273.51046645863</v>
      </c>
      <c r="AB415" s="115">
        <f ca="1">IF(OR(C415="赤日轮1",C415="赤日轮2",C415="赤日轮3"),IF(RAND()&lt;模拟模式!$Y$17,1,0),IF(OR(C415="幽月轮1",C415="幽月轮2",C415="幽月轮3"),IF(RAND()&lt;模拟模式!$Y$18,1,0),IF(C415="烈日斩",IF(RAND()&lt;模拟模式!$Y$19,1,0),IF(C415="银月斩",IF(RAND()&lt;模拟模式!$Y$20,1,0),IF(C415="驱夜断愁",IF(RAND()&lt;模拟模式!$Y$21,1,0),IF(C415="净世破魔击·日",IF(RAND()&lt;模拟模式!$Y$22,1,0),IF(C415="净世破魔击·月",IF(RAND()&lt;模拟模式!$Y$23,1,0),0)))))))</f>
        <v>1</v>
      </c>
      <c r="AC415" s="115" t="b">
        <f t="shared" ca="1" si="346"/>
        <v>0</v>
      </c>
      <c r="AD415" s="115" t="b">
        <f t="shared" ca="1" si="366"/>
        <v>0</v>
      </c>
      <c r="AE415" s="115">
        <f t="shared" ca="1" si="367"/>
        <v>4</v>
      </c>
      <c r="AF415" s="47">
        <f ca="1">IF(AC415,('模拟-单技能数据'!$D$20+G415*'模拟-单技能数据'!$F$20)*(1+J415)*(1+'模拟-单技能数据'!$J$20)*(1+U415),0)</f>
        <v>0</v>
      </c>
      <c r="AG415" s="61">
        <f t="shared" ca="1" si="359"/>
        <v>0.64185145527300214</v>
      </c>
      <c r="AH415" s="61">
        <f t="shared" ca="1" si="360"/>
        <v>2.2624828854998791</v>
      </c>
      <c r="AI415" s="62">
        <f t="shared" ca="1" si="382"/>
        <v>0.25811788954483428</v>
      </c>
      <c r="AJ415" s="47">
        <f ca="1">IF(AD415,IF(AI415&lt;$F$10,0,IF(AI415&lt;$F$10+$F$11,0.25,IF(AI415&lt;$F$10+$F$11+AG415,AH415,1)))*IF(AF415&gt;0,AF415,IF(AF414&gt;0,AF414,IF(AF413&gt;0,AF413,IF(AF412&gt;0,AF412,IF(AF411&gt;0,AF411,IF(AF410&gt;0,AF410,IF(AF409&gt;0,AF409,IF(AF408&gt;0,AF408,IF(AF407&gt;0,AF407,IF(AF405&gt;0,AF405,IF(AF404&gt;0,AF404,IF(AF403&gt;0,AF403,0)))))))))))),0)*(1-$S415)*'模拟-单技能数据'!$I$20</f>
        <v>0</v>
      </c>
      <c r="AK415" s="115" t="b">
        <f t="shared" ca="1" si="347"/>
        <v>1</v>
      </c>
      <c r="AL415" s="115" t="b">
        <f t="shared" ca="1" si="368"/>
        <v>1</v>
      </c>
      <c r="AM415" s="115">
        <f t="shared" ca="1" si="369"/>
        <v>5</v>
      </c>
      <c r="AN415" s="47">
        <f ca="1">IF(AK415,('模拟-单技能数据'!$D$21+G415*'模拟-单技能数据'!$F$21)*(1+J415)*(1+'模拟-单技能数据'!$J$21)*(1+U415),0)</f>
        <v>12136.56601728573</v>
      </c>
      <c r="AO415" s="61">
        <f ca="1">IF(AN415&gt;0,M415-'模拟-单技能数据'!$K$10,AO414)</f>
        <v>0.42185145527300216</v>
      </c>
      <c r="AP415" s="61">
        <f ca="1">IF(AN415&gt;0,I415-'模拟-单技能数据'!$L$10,AP414)</f>
        <v>2.162482885499879</v>
      </c>
      <c r="AQ415" s="63">
        <f t="shared" ca="1" si="383"/>
        <v>9.438794300160458E-2</v>
      </c>
      <c r="AR415" s="64">
        <f ca="1">IF(AL415,IF(AQ415&lt;$F$10,0,IF(AQ415&lt;$F$10+$F$11,0.25,IF(AQ415&lt;$F$10+$F$11+AO415,AP415,1)))*IF(AN415&gt;0,AN415,IF(AN414&gt;0,AN414,IF(AN413&gt;0,AN413,IF(AN412&gt;0,AN412,IF(AN411&gt;0,AN411,IF(AN410&gt;0,AN410,IF(AN409&gt;0,AN409,IF(AN408&gt;0,AN408,IF(AN407&gt;0,AN407,IF(AN405&gt;0,AN405,IF(AN404&gt;0,AN404,IF(AN403&gt;0,AN403,0)))))))))))),0)*(1-$S415)*'模拟-单技能数据'!$I$21</f>
        <v>24043.249177625272</v>
      </c>
      <c r="AS415" s="61">
        <f ca="1">IF(OR(C415="净世破魔击·日",C415="净世破魔击·月"),M415-'模拟-单技能数据'!$K$10,0)</f>
        <v>0.42185145527300216</v>
      </c>
      <c r="AT415" s="61">
        <f ca="1">IF(OR(C415="净世破魔击·日",C415="净世破魔击·月"),I415-'模拟-单技能数据'!$L$10,0)</f>
        <v>2.162482885499879</v>
      </c>
      <c r="AU415" s="62">
        <f t="shared" ca="1" si="384"/>
        <v>0.64603372618308319</v>
      </c>
      <c r="AV415" s="64">
        <f ca="1">IF(AS415&gt;0,('模拟-单技能数据'!$D$22+G415*'模拟-单技能数据'!$F$22)*(1+J415)*(1-S415)*IF(AU415&lt;$F$10,0,IF(AU415&lt;$F$10+$F$11,0.25,IF(AU415&lt;$F$10+$F$11+AS415,AT415,1)))*(1+U415),0)*'模拟-单技能数据'!$I$22</f>
        <v>8488.2797245609418</v>
      </c>
      <c r="AW415" s="108">
        <f t="shared" ca="1" si="385"/>
        <v>16.310000000000002</v>
      </c>
      <c r="AX415" s="108" t="b">
        <f ca="1">AND(模拟模式!$P$10="有",AW414=0,RAND()&lt;IF(C415="净世破魔击·月",0.1*8/3,IF(C415="净世破魔击·日",0.1*4/3,0.1*2/3)))</f>
        <v>0</v>
      </c>
      <c r="AY415" s="47">
        <f ca="1">IF(AX415,(18+G415*0.722)*(1+J415)*(1-S415)*(1+$I$4)*IF(P415="会",'模拟-全程加成'!$J$3+'模拟-全程加成'!$J$4+'模拟-全程加成'!$J$5+('模拟-全程加成'!$I$4+'模拟-全程加成'!$I$5)/系数!$B$4+BG415*10%,IF(P415="命",1,IF(P415="识",0.25,0))),0)</f>
        <v>0</v>
      </c>
      <c r="AZ415" s="108">
        <f t="shared" si="386"/>
        <v>7.0850000000000071</v>
      </c>
      <c r="BA415" s="108" t="b">
        <f>AND(模拟模式!$Q$10="有",AZ414=0)</f>
        <v>0</v>
      </c>
      <c r="BB415" s="140">
        <f>IF(BA415,(0+G415*0.287)*(1+J415)*(1-S415)*(1+$I$4)*IF(P415="会",'模拟-全程加成'!$J$3+'模拟-全程加成'!$J$4+'模拟-全程加成'!$J$5+('模拟-全程加成'!$I$4+'模拟-全程加成'!$I$5)/系数!$B$4+BG415*10%,IF(P415="命",1,IF(P415="识",0.25,0))),0)</f>
        <v>0</v>
      </c>
      <c r="BC415" s="115" t="b">
        <f ca="1">AND(模拟模式!$R$7="伏明众生",E415=60,F415=20,DA415&lt;5,CZ414&lt;$F$4)</f>
        <v>0</v>
      </c>
      <c r="BD415" s="115">
        <f t="shared" ca="1" si="348"/>
        <v>0</v>
      </c>
      <c r="BE415" s="115" t="b">
        <f t="shared" ca="1" si="349"/>
        <v>0</v>
      </c>
      <c r="BF415" s="47">
        <f ca="1">IF(BC415,4*('模拟-单技能数据'!$D$24+G415*'模拟-单技能数据'!$F$24)*(1+J415)*(1+'模拟-单技能数据'!$J$24)*(1-S415)*(1+$I$3)*(('模拟-全程加成'!$J$3+'模拟-全程加成'!$J$4+'模拟-全程加成'!$J$5+('模拟-全程加成'!$I$4+'模拟-全程加成'!$I$5)/系数!$B$4+BG415*10%)*('模拟-全程加成'!$J$3+'模拟-全程加成'!$J$4+'模拟-全程加成'!$J$5+('模拟-全程加成'!$I$4+'模拟-全程加成'!$I$5)/系数!$B$4+BG415*10%)+(1-('模拟-全程加成'!$J$3+'模拟-全程加成'!$J$4+'模拟-全程加成'!$J$5+('模拟-全程加成'!$I$4+'模拟-全程加成'!$I$5)/系数!$B$4+BG415*10%)-$F$10-$F$11)+F401*0.25),0)*'模拟-单技能数据'!$I$24</f>
        <v>0</v>
      </c>
      <c r="BG415" s="115" t="b">
        <f ca="1">OR(AND(OR(C415="烈日斩",C415="银月斩"),模拟模式!$I$7="净身明礼"),AND(C415="净世破魔击·日",模拟模式!$J$7="洞若观火"),AND(C416="净世破魔击·月",模拟模式!$J$7="洞若观火"),AB415=1)</f>
        <v>1</v>
      </c>
      <c r="BH415" s="115" t="b">
        <f t="shared" ca="1" si="387"/>
        <v>0</v>
      </c>
      <c r="BI415" s="115">
        <f t="shared" ca="1" si="350"/>
        <v>0</v>
      </c>
      <c r="BJ415" s="115" t="b">
        <f t="shared" ca="1" si="361"/>
        <v>0</v>
      </c>
      <c r="BK415" s="115" t="b">
        <f ca="1">AND(C415="驱夜断愁",模拟模式!$P$7="天地诛戮")</f>
        <v>0</v>
      </c>
      <c r="BL415" s="57">
        <f t="shared" ca="1" si="351"/>
        <v>16.310000000000002</v>
      </c>
      <c r="BM415" s="115" t="b">
        <f t="shared" ca="1" si="362"/>
        <v>1</v>
      </c>
      <c r="BN415" s="115" t="b">
        <f ca="1">AND(OR(C415="赤日轮1",C415="赤日轮2",C415="赤日轮3",C415="幽月轮1",C415="幽月轮2",C415="幽月轮3"),AB415=1,模拟模式!$L$7="明光恒照")</f>
        <v>0</v>
      </c>
      <c r="BO415" s="117">
        <f t="shared" ca="1" si="352"/>
        <v>28.155000000000001</v>
      </c>
      <c r="BP415" s="115">
        <f t="shared" ca="1" si="388"/>
        <v>6</v>
      </c>
      <c r="BQ415" s="115" t="b">
        <f>模拟模式!$K$10="2600·水"</f>
        <v>0</v>
      </c>
      <c r="BR415" s="117">
        <f t="shared" si="389"/>
        <v>0</v>
      </c>
      <c r="BS415" s="115">
        <f t="shared" si="390"/>
        <v>0</v>
      </c>
      <c r="BT415" s="115">
        <f t="shared" ca="1" si="391"/>
        <v>0</v>
      </c>
      <c r="BU415" s="115" t="b">
        <f ca="1">AND(模拟模式!$K$10="2300·雷",BT414=0,RAND()&lt;IF(C415="净世破魔击·月",5*0.05*2/3,IF(C415="净世破魔击·日",3*0.05*2/3,0.05*2*2/3)))</f>
        <v>0</v>
      </c>
      <c r="BV415" s="115">
        <f t="shared" ca="1" si="392"/>
        <v>0</v>
      </c>
      <c r="BW415" s="115">
        <f t="shared" ca="1" si="393"/>
        <v>13.949999999999307</v>
      </c>
      <c r="BX415" s="164" t="b">
        <f t="shared" ca="1" si="394"/>
        <v>0</v>
      </c>
      <c r="BY415" s="115">
        <f t="shared" ca="1" si="395"/>
        <v>0</v>
      </c>
      <c r="BZ415" s="115">
        <f>IF(OR(模拟模式!$P$16="10人团",模拟模式!$P$16="25人团"),IF(B415/30&gt;CA414,1,0),0)</f>
        <v>0</v>
      </c>
      <c r="CA415" s="115">
        <f t="shared" si="371"/>
        <v>0</v>
      </c>
      <c r="CB415" s="115">
        <f ca="1">IF(BZ415=1,IF(模拟模式!$P$16="10人团",15,0)+IF(模拟模式!$P$16="25人团",IF(RAND()&lt;0.6,15,0)),MAX(0,CB414-$F$4))</f>
        <v>0</v>
      </c>
      <c r="CC415" s="115" t="b">
        <f t="shared" ca="1" si="363"/>
        <v>0</v>
      </c>
      <c r="CD415" s="115">
        <f>IF(模拟模式!$Q$16="1个",IF(B415/40&gt;CE414,1,0),0)</f>
        <v>0</v>
      </c>
      <c r="CE415" s="115">
        <f t="shared" si="364"/>
        <v>0</v>
      </c>
      <c r="CF415" s="115">
        <f>IF(OR(CD415=1,模拟模式!$Q$16="2个"),20,MAX(0,CF414-$F$4))</f>
        <v>0</v>
      </c>
      <c r="CG415" s="115" t="b">
        <f t="shared" si="365"/>
        <v>0</v>
      </c>
      <c r="CH415" s="115">
        <f t="shared" ca="1" si="396"/>
        <v>14.31750000000001</v>
      </c>
      <c r="CI415" s="115" t="b">
        <f t="shared" ca="1" si="397"/>
        <v>0</v>
      </c>
      <c r="CJ415" s="119">
        <f t="shared" ca="1" si="398"/>
        <v>0</v>
      </c>
      <c r="CK415" s="115">
        <f t="shared" ca="1" si="399"/>
        <v>0</v>
      </c>
      <c r="CL415" s="115" t="b">
        <f ca="1">AND(模拟模式!$S$7="驱夷逐法",OR(AND(C415="净世破魔击·月",E414&gt;59),AND(C415="净世破魔击·日",F414&gt;59)))</f>
        <v>0</v>
      </c>
      <c r="CM415" s="115" t="b">
        <f ca="1">OR(CL415,AND(C415="净世破魔击·日",CL414,RAND()&lt;模拟模式!$U$23))</f>
        <v>1</v>
      </c>
      <c r="CN415" s="115" t="b">
        <f ca="1">IF(模拟模式!$M$7="辉耀红尘",AND(C415="净世破魔击·月",CL415,CV415=0,E414&lt;80),AND(C415="净世破魔击·月",CL415,E414&lt;100))</f>
        <v>0</v>
      </c>
      <c r="CO415" s="115" t="b">
        <f t="shared" ca="1" si="372"/>
        <v>0</v>
      </c>
      <c r="CP415" s="115" t="b">
        <f ca="1">AND(模拟模式!$O$7="用晦而明",OR(C415="净世破魔击·日",C415="净世破魔击·月",C415="驱夜断愁"),AB415)</f>
        <v>1</v>
      </c>
      <c r="CQ415" s="115" t="b">
        <f ca="1">OR(CP415,AND(CP414,RAND()&lt;模拟模式!$U$23))</f>
        <v>1</v>
      </c>
      <c r="CR415" s="115" t="b">
        <f ca="1">AND(模拟模式!$S$7="日月齐光",OR(C415="幽月轮1",C415="幽月轮2",C415="幽月轮3",CR414),NOT(OR(C415="赤日轮1",C415="赤日轮2",C415="赤日轮3")))</f>
        <v>0</v>
      </c>
      <c r="CS415" s="115" t="b">
        <f ca="1">AND(模拟模式!$S$7="日月齐光",OR(C415="赤日轮1",C415="赤日轮2",C415="赤日轮3",CS414),NOT(OR(C415="幽月轮1",C415="幽月轮2",C415="幽月轮3")))</f>
        <v>0</v>
      </c>
      <c r="CT415" s="115">
        <f t="shared" ca="1" si="400"/>
        <v>18.007500000000007</v>
      </c>
      <c r="CU415" s="115" t="b">
        <f ca="1">AND(模拟模式!$K$10="阴阳往极",CT414=0,RAND()&lt;IF(C415="净世破魔击·月",0.0275*7/3,IF(C415="净世破魔击·日",0.0275*3/3,0.0275*2/3)))</f>
        <v>0</v>
      </c>
      <c r="CV415" s="115">
        <f t="shared" ca="1" si="401"/>
        <v>0</v>
      </c>
      <c r="CW415" s="115">
        <f t="shared" ca="1" si="373"/>
        <v>3.2324999999999995</v>
      </c>
      <c r="CX415" s="115">
        <f t="shared" ca="1" si="374"/>
        <v>1.3874999999999997</v>
      </c>
      <c r="CY415" s="115">
        <f ca="1">MAX(IF($C415="驱夜断愁",IF(模拟模式!$R$7="万念俱寂",6,45),CY414-$F$4),0)</f>
        <v>2.3099999999999996</v>
      </c>
      <c r="CZ415" s="115">
        <f t="shared" ca="1" si="375"/>
        <v>0</v>
      </c>
      <c r="DA415" s="115">
        <f ca="1">IF(模拟模式!$N$7="日月同辉",IF(DB414=2,0,MIN(6,IF(AND(OR(C415="赤日轮1",C415="赤日轮2",C415="赤日轮3",C415="幽月轮1",C415="幽月轮2",C415="幽月轮3"),AB415=1),DA414+1,DA414))),0)</f>
        <v>0</v>
      </c>
      <c r="DB415" s="115">
        <f t="shared" ca="1" si="376"/>
        <v>0</v>
      </c>
      <c r="DC415" s="115"/>
      <c r="DD415" s="115"/>
      <c r="DE415" s="115"/>
      <c r="DF415" s="115"/>
      <c r="DG415" s="115"/>
      <c r="DH415" s="115"/>
      <c r="DI415" s="115"/>
      <c r="DJ415" s="115"/>
      <c r="DK415" s="115"/>
      <c r="DL415" s="115"/>
      <c r="DM415" s="115"/>
    </row>
    <row r="416" spans="2:117" x14ac:dyDescent="0.2">
      <c r="B416" s="117">
        <f t="shared" si="377"/>
        <v>358.85250000000332</v>
      </c>
      <c r="C416" s="167" t="str">
        <f t="shared" ca="1" si="370"/>
        <v>净世破魔击·月</v>
      </c>
      <c r="D416" s="115">
        <f ca="1">IF(C416="赤日轮1",1,IF(C416="赤日轮2",2,IF(C416="赤日轮3",3,IF(C416="幽月轮1",4,IF(C416="幽月轮2",5,IF(C416="幽月轮3",6,IF(C416="烈日斩",7,IF(C416="银月斩",8,IF(C416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416="净世破魔击·月",17,IF(C416="驱夜断愁",18,0)))))))))))</f>
        <v>17</v>
      </c>
      <c r="E416" s="115">
        <f ca="1">IF(AND(CU416,OR(C416="幽月轮1",C416="幽月轮2",C416="幽月轮3",C416="银月斩",C416="驱夜断愁",C416="净世破魔击·月")),100,MIN(IF(OR(CN416,BE416),0,IF(OR($C416="赤日轮1",$C416="赤日轮2",$C416="赤日轮3"),E415+20+IF(模拟模式!$I$7="日月凌天",4,0)+IF(CR415,20,0),IF($C416="烈日斩",E415+40,IF($C416="驱夜断愁",IF(模拟模式!$R$7="万念俱寂",E415+20,E415+60),IF($C416="净世破魔击·月",IF(OR(DB415&gt;0,CV415&gt;0),100,IF(模拟模式!$M$7="辉耀红尘",E415+20,E415)),IF($C416="净世破魔击·日",E415-100,E415)))))),100))</f>
        <v>20</v>
      </c>
      <c r="F416" s="115">
        <f ca="1">IF(AND(CU416,OR(C416="赤日轮1",C416="赤日轮2",C416="赤日轮3",C416="烈日斩",C416="净世破魔击·日")),100,MIN(IF(CO416,0,IF(OR($C416="幽月轮1",$C416="幽月轮2",$C416="幽月轮3"),F415+20+IF(模拟模式!$I$7="日月凌天",4,0)+IF(CS415,20,0),IF($C416="银月斩",F415+40+IF(模拟模式!$X$12=1,5,0),IF($C416="驱夜断愁",IF(模拟模式!$R$7="万念俱寂",F415+20,F415+60),IF($C416="净世破魔击·月",IF(模拟模式!$M$7="辉耀红尘",F415-80,F415-100),IF(AND(C416="净世破魔击·日",OR(DB415&gt;0,CV415&gt;0)),100,F415)))))),100))</f>
        <v>20</v>
      </c>
      <c r="G416" s="117">
        <f ca="1">('模拟-全程加成'!$E$3+'模拟-全程加成'!$E$4+'模拟-全程加成'!$E$5+('模拟-全程加成'!$C$6-'模拟-全程加成'!$C$3)*系数!$B$9+BS416*23)*(1+'模拟-全程加成'!$F$4+'模拟-全程加成'!$F$5+BJ416*10%+BM416*20%+BP416*4%+CG416*30%)+$F$7*系数!$B$12</f>
        <v>21493.829400000002</v>
      </c>
      <c r="H416" s="45">
        <f ca="1">'模拟-全程加成'!$H$3+'模拟-全程加成'!$H$4+'模拟-全程加成'!$H$5+('模拟-全程加成'!$G$4+'模拟-全程加成'!$G$5+('模拟-全程加成'!$C$6-'模拟-全程加成'!$C$3)*系数!$B$13)/系数!$B$3+LOOKUP(D416,'模拟-单技能数据'!$A$2:$A$19,'模拟-单技能数据'!$K$2:$K$19)+BG416*10%+IF(BV416&gt;0,378,0)</f>
        <v>0.54185145527300216</v>
      </c>
      <c r="I416" s="45">
        <f ca="1">'模拟-全程加成'!$J$3+'模拟-全程加成'!$J$4+'模拟-全程加成'!$J$5+('模拟-全程加成'!$I$4+'模拟-全程加成'!$I$5)/系数!$B$4+LOOKUP(D416,'模拟-单技能数据'!$A$2:$A$19,'模拟-单技能数据'!$L$2:$L$19)+BG416*10%</f>
        <v>2.162482885499879</v>
      </c>
      <c r="J416" s="45">
        <f ca="1">(('模拟-全程加成'!$K$3+'模拟-全程加成'!$K$4+'模拟-全程加成'!$K$5+('模拟-全程加成'!$C$6-'模拟-全程加成'!$C$3)*系数!$B$10+IF(BV416&gt;0,882,0)+IF(BY416&gt;0,1831,0))*(1+'模拟-全程加成'!$L$4+'模拟-全程加成'!$L$5+CC416*20%))/系数!$B$5</f>
        <v>0.69723220422048726</v>
      </c>
      <c r="K416" s="119">
        <f ca="1">LOOKUP(D416,'模拟-单技能数据'!$A$2:$A$19,'模拟-单技能数据'!$J$2:$J$19)+IF(CM416,60%,0)+IF(DB415-DB416&gt;0,30%,0)+IF(OR(AND(OR(C416="赤日轮1",C416="赤日轮2",C416="赤日轮3"),CR416),AND(OR(C416="幽月轮1",C416="幽月轮2",C416="幽月轮3"),CS416)),35%,0)+CJ416</f>
        <v>0.2</v>
      </c>
      <c r="L416" s="119">
        <f ca="1">IF(AND(C416="烈日斩",模拟模式!$X$11=1),10%,0)+IF(AND(C416="驱夜断愁",AB416=1),30%,0)</f>
        <v>0</v>
      </c>
      <c r="M416" s="45">
        <f t="shared" ca="1" si="353"/>
        <v>0.54185145527300216</v>
      </c>
      <c r="N416" s="45">
        <f t="shared" ca="1" si="354"/>
        <v>0.40424854472699789</v>
      </c>
      <c r="O416" s="46">
        <f t="shared" ca="1" si="378"/>
        <v>5.4390487997773795E-2</v>
      </c>
      <c r="P416" s="46" t="str">
        <f t="shared" ca="1" si="379"/>
        <v>会</v>
      </c>
      <c r="Q416" s="45">
        <f t="shared" ca="1" si="380"/>
        <v>2.162482885499879</v>
      </c>
      <c r="R416" s="117">
        <f ca="1">模拟模式!$E$20*(1-IF(模拟模式!$J$19="有",0.15,0))*(1-IF(模拟模式!$K$19="有",0.3,0)-IF(CQ416,0.5,0))</f>
        <v>843.02999999999975</v>
      </c>
      <c r="S416" s="45">
        <f ca="1">R416/(R416+(185*模拟模式!$E$22-16800)*4.08224)</f>
        <v>8.389626085980037E-2</v>
      </c>
      <c r="T416" s="45" t="str">
        <f ca="1">LOOKUP(D416,'模拟-单技能数据'!$A$2:$A$19,'模拟-单技能数据'!$H$2:$H$19)</f>
        <v>阴</v>
      </c>
      <c r="U416" s="119">
        <f t="shared" ca="1" si="355"/>
        <v>0.08</v>
      </c>
      <c r="V416" s="47">
        <f ca="1">(1+L416)*(LOOKUP(D416,'模拟-单技能数据'!$A$2:$A$19,'模拟-单技能数据'!$D$2:$D$19)+G416*LOOKUP(D416,'模拟-单技能数据'!$A$2:$A$19,'模拟-单技能数据'!$F$2:$F$19))*(1+J416)*(1+K416)*(1-S416)*(1+U416)*Q416*LOOKUP(D416,'模拟-单技能数据'!$A$2:$A$19,'模拟-单技能数据'!$I$2:$I$20)</f>
        <v>121694.14741267689</v>
      </c>
      <c r="W416" s="47">
        <f ca="1">LOOKUP(D416,'模拟-单技能数据'!$A$2:$A$19,'模拟-单技能数据'!$G$2:$G$19)*$I$10</f>
        <v>361.51064354704795</v>
      </c>
      <c r="X416" s="47">
        <f t="shared" ca="1" si="381"/>
        <v>17572.867871948234</v>
      </c>
      <c r="Y416" s="47">
        <f t="shared" ca="1" si="356"/>
        <v>139628.52592817217</v>
      </c>
      <c r="Z416" s="49">
        <f t="shared" ca="1" si="357"/>
        <v>40683616.127188079</v>
      </c>
      <c r="AA416" s="97">
        <f t="shared" ca="1" si="358"/>
        <v>113371.41618683917</v>
      </c>
      <c r="AB416" s="115">
        <f ca="1">IF(OR(C416="赤日轮1",C416="赤日轮2",C416="赤日轮3"),IF(RAND()&lt;模拟模式!$Y$17,1,0),IF(OR(C416="幽月轮1",C416="幽月轮2",C416="幽月轮3"),IF(RAND()&lt;模拟模式!$Y$18,1,0),IF(C416="烈日斩",IF(RAND()&lt;模拟模式!$Y$19,1,0),IF(C416="银月斩",IF(RAND()&lt;模拟模式!$Y$20,1,0),IF(C416="驱夜断愁",IF(RAND()&lt;模拟模式!$Y$21,1,0),IF(C416="净世破魔击·日",IF(RAND()&lt;模拟模式!$Y$22,1,0),IF(C416="净世破魔击·月",IF(RAND()&lt;模拟模式!$Y$23,1,0),0)))))))</f>
        <v>1</v>
      </c>
      <c r="AC416" s="115" t="b">
        <f t="shared" ca="1" si="346"/>
        <v>0</v>
      </c>
      <c r="AD416" s="115" t="b">
        <f t="shared" ca="1" si="366"/>
        <v>1</v>
      </c>
      <c r="AE416" s="115">
        <f t="shared" ca="1" si="367"/>
        <v>3</v>
      </c>
      <c r="AF416" s="47">
        <f ca="1">IF(AC416,('模拟-单技能数据'!$D$20+G416*'模拟-单技能数据'!$F$20)*(1+J416)*(1+'模拟-单技能数据'!$J$20)*(1+U416),0)</f>
        <v>0</v>
      </c>
      <c r="AG416" s="61">
        <f t="shared" ca="1" si="359"/>
        <v>0.64185145527300214</v>
      </c>
      <c r="AH416" s="61">
        <f t="shared" ca="1" si="360"/>
        <v>2.2624828854998791</v>
      </c>
      <c r="AI416" s="62">
        <f t="shared" ca="1" si="382"/>
        <v>0.45443116601583944</v>
      </c>
      <c r="AJ416" s="47">
        <f ca="1">IF(AD416,IF(AI416&lt;$F$10,0,IF(AI416&lt;$F$10+$F$11,0.25,IF(AI416&lt;$F$10+$F$11+AG416,AH416,1)))*IF(AF416&gt;0,AF416,IF(AF415&gt;0,AF415,IF(AF414&gt;0,AF414,IF(AF413&gt;0,AF413,IF(AF412&gt;0,AF412,IF(AF411&gt;0,AF411,IF(AF410&gt;0,AF410,IF(AF409&gt;0,AF409,IF(AF408&gt;0,AF408,IF(AF406&gt;0,AF406,IF(AF405&gt;0,AF405,IF(AF404&gt;0,AF404,0)))))))))))),0)*(1-$S416)*'模拟-单技能数据'!$I$20</f>
        <v>9616.6571145767884</v>
      </c>
      <c r="AK416" s="115" t="b">
        <f t="shared" ca="1" si="347"/>
        <v>0</v>
      </c>
      <c r="AL416" s="115" t="b">
        <f t="shared" ca="1" si="368"/>
        <v>0</v>
      </c>
      <c r="AM416" s="115">
        <f t="shared" ca="1" si="369"/>
        <v>5</v>
      </c>
      <c r="AN416" s="47">
        <f ca="1">IF(AK416,('模拟-单技能数据'!$D$21+G416*'模拟-单技能数据'!$F$21)*(1+J416)*(1+'模拟-单技能数据'!$J$21)*(1+U416),0)</f>
        <v>0</v>
      </c>
      <c r="AO416" s="61">
        <f ca="1">IF(AN416&gt;0,M416-'模拟-单技能数据'!$K$10,AO415)</f>
        <v>0.42185145527300216</v>
      </c>
      <c r="AP416" s="61">
        <f ca="1">IF(AN416&gt;0,I416-'模拟-单技能数据'!$L$10,AP415)</f>
        <v>2.162482885499879</v>
      </c>
      <c r="AQ416" s="63">
        <f t="shared" ca="1" si="383"/>
        <v>0.11072508948056337</v>
      </c>
      <c r="AR416" s="64">
        <f ca="1">IF(AL416,IF(AQ416&lt;$F$10,0,IF(AQ416&lt;$F$10+$F$11,0.25,IF(AQ416&lt;$F$10+$F$11+AO416,AP416,1)))*IF(AN416&gt;0,AN416,IF(AN415&gt;0,AN415,IF(AN414&gt;0,AN414,IF(AN413&gt;0,AN413,IF(AN412&gt;0,AN412,IF(AN411&gt;0,AN411,IF(AN410&gt;0,AN410,IF(AN409&gt;0,AN409,IF(AN408&gt;0,AN408,IF(AN406&gt;0,AN406,IF(AN405&gt;0,AN405,IF(AN404&gt;0,AN404,0)))))))))))),0)*(1-$S416)*'模拟-单技能数据'!$I$21</f>
        <v>0</v>
      </c>
      <c r="AS416" s="61">
        <f ca="1">IF(OR(C416="净世破魔击·日",C416="净世破魔击·月"),M416-'模拟-单技能数据'!$K$10,0)</f>
        <v>0.42185145527300216</v>
      </c>
      <c r="AT416" s="61">
        <f ca="1">IF(OR(C416="净世破魔击·日",C416="净世破魔击·月"),I416-'模拟-单技能数据'!$L$10,0)</f>
        <v>2.162482885499879</v>
      </c>
      <c r="AU416" s="62">
        <f t="shared" ca="1" si="384"/>
        <v>0.74569926207466519</v>
      </c>
      <c r="AV416" s="64">
        <f ca="1">IF(AS416&gt;0,('模拟-单技能数据'!$D$22+G416*'模拟-单技能数据'!$F$22)*(1+J416)*(1-S416)*IF(AU416&lt;$F$10,0,IF(AU416&lt;$F$10+$F$11,0.25,IF(AU416&lt;$F$10+$F$11+AS416,AT416,1)))*(1+U416),0)*'模拟-单技能数据'!$I$22</f>
        <v>7956.2107573714466</v>
      </c>
      <c r="AW416" s="108">
        <f t="shared" ca="1" si="385"/>
        <v>15.387500000000003</v>
      </c>
      <c r="AX416" s="108" t="b">
        <f ca="1">AND(模拟模式!$P$10="有",AW415=0,RAND()&lt;IF(C416="净世破魔击·月",0.1*8/3,IF(C416="净世破魔击·日",0.1*4/3,0.1*2/3)))</f>
        <v>0</v>
      </c>
      <c r="AY416" s="47">
        <f ca="1">IF(AX416,(18+G416*0.722)*(1+J416)*(1-S416)*(1+$I$4)*IF(P416="会",'模拟-全程加成'!$J$3+'模拟-全程加成'!$J$4+'模拟-全程加成'!$J$5+('模拟-全程加成'!$I$4+'模拟-全程加成'!$I$5)/系数!$B$4+BG416*10%,IF(P416="命",1,IF(P416="识",0.25,0))),0)</f>
        <v>0</v>
      </c>
      <c r="AZ416" s="108">
        <f t="shared" si="386"/>
        <v>6.1625000000000068</v>
      </c>
      <c r="BA416" s="108" t="b">
        <f>AND(模拟模式!$Q$10="有",AZ415=0)</f>
        <v>0</v>
      </c>
      <c r="BB416" s="140">
        <f>IF(BA416,(0+G416*0.287)*(1+J416)*(1-S416)*(1+$I$4)*IF(P416="会",'模拟-全程加成'!$J$3+'模拟-全程加成'!$J$4+'模拟-全程加成'!$J$5+('模拟-全程加成'!$I$4+'模拟-全程加成'!$I$5)/系数!$B$4+BG416*10%,IF(P416="命",1,IF(P416="识",0.25,0))),0)</f>
        <v>0</v>
      </c>
      <c r="BC416" s="115" t="b">
        <f ca="1">AND(模拟模式!$R$7="伏明众生",E416=60,F416=20,DA416&lt;5,CZ415&lt;$F$4)</f>
        <v>0</v>
      </c>
      <c r="BD416" s="115">
        <f t="shared" ca="1" si="348"/>
        <v>0</v>
      </c>
      <c r="BE416" s="115" t="b">
        <f t="shared" ca="1" si="349"/>
        <v>0</v>
      </c>
      <c r="BF416" s="47">
        <f ca="1">IF(BC416,4*('模拟-单技能数据'!$D$24+G416*'模拟-单技能数据'!$F$24)*(1+J416)*(1+'模拟-单技能数据'!$J$24)*(1-S416)*(1+$I$3)*(('模拟-全程加成'!$J$3+'模拟-全程加成'!$J$4+'模拟-全程加成'!$J$5+('模拟-全程加成'!$I$4+'模拟-全程加成'!$I$5)/系数!$B$4+BG416*10%)*('模拟-全程加成'!$J$3+'模拟-全程加成'!$J$4+'模拟-全程加成'!$J$5+('模拟-全程加成'!$I$4+'模拟-全程加成'!$I$5)/系数!$B$4+BG416*10%)+(1-('模拟-全程加成'!$J$3+'模拟-全程加成'!$J$4+'模拟-全程加成'!$J$5+('模拟-全程加成'!$I$4+'模拟-全程加成'!$I$5)/系数!$B$4+BG416*10%)-$F$10-$F$11)+F402*0.25),0)*'模拟-单技能数据'!$I$24</f>
        <v>0</v>
      </c>
      <c r="BG416" s="115" t="b">
        <f ca="1">OR(AND(OR(C416="烈日斩",C416="银月斩"),模拟模式!$I$7="净身明礼"),AND(C416="净世破魔击·日",模拟模式!$J$7="洞若观火"),AND(C417="净世破魔击·月",模拟模式!$J$7="洞若观火"),AB416=1)</f>
        <v>1</v>
      </c>
      <c r="BH416" s="115" t="b">
        <f t="shared" ca="1" si="387"/>
        <v>1</v>
      </c>
      <c r="BI416" s="115">
        <f t="shared" ca="1" si="350"/>
        <v>6</v>
      </c>
      <c r="BJ416" s="115" t="b">
        <f t="shared" ca="1" si="361"/>
        <v>1</v>
      </c>
      <c r="BK416" s="115" t="b">
        <f ca="1">AND(C416="驱夜断愁",模拟模式!$P$7="天地诛戮")</f>
        <v>0</v>
      </c>
      <c r="BL416" s="57">
        <f t="shared" ca="1" si="351"/>
        <v>15.387500000000003</v>
      </c>
      <c r="BM416" s="115" t="b">
        <f t="shared" ca="1" si="362"/>
        <v>1</v>
      </c>
      <c r="BN416" s="115" t="b">
        <f ca="1">AND(OR(C416="赤日轮1",C416="赤日轮2",C416="赤日轮3",C416="幽月轮1",C416="幽月轮2",C416="幽月轮3"),AB416=1,模拟模式!$L$7="明光恒照")</f>
        <v>0</v>
      </c>
      <c r="BO416" s="117">
        <f t="shared" ca="1" si="352"/>
        <v>27.232500000000002</v>
      </c>
      <c r="BP416" s="115">
        <f t="shared" ca="1" si="388"/>
        <v>6</v>
      </c>
      <c r="BQ416" s="115" t="b">
        <f>模拟模式!$K$10="2600·水"</f>
        <v>0</v>
      </c>
      <c r="BR416" s="117">
        <f t="shared" si="389"/>
        <v>0</v>
      </c>
      <c r="BS416" s="115">
        <f t="shared" si="390"/>
        <v>0</v>
      </c>
      <c r="BT416" s="115">
        <f t="shared" ca="1" si="391"/>
        <v>0</v>
      </c>
      <c r="BU416" s="115" t="b">
        <f ca="1">AND(模拟模式!$K$10="2300·雷",BT415=0,RAND()&lt;IF(C416="净世破魔击·月",5*0.05*2/3,IF(C416="净世破魔击·日",3*0.05*2/3,0.05*2*2/3)))</f>
        <v>0</v>
      </c>
      <c r="BV416" s="115">
        <f t="shared" ca="1" si="392"/>
        <v>0</v>
      </c>
      <c r="BW416" s="115">
        <f t="shared" ca="1" si="393"/>
        <v>13.027499999999307</v>
      </c>
      <c r="BX416" s="164" t="b">
        <f t="shared" ca="1" si="394"/>
        <v>0</v>
      </c>
      <c r="BY416" s="115">
        <f t="shared" ca="1" si="395"/>
        <v>0</v>
      </c>
      <c r="BZ416" s="115">
        <f>IF(OR(模拟模式!$P$16="10人团",模拟模式!$P$16="25人团"),IF(B416/30&gt;CA415,1,0),0)</f>
        <v>0</v>
      </c>
      <c r="CA416" s="115">
        <f t="shared" si="371"/>
        <v>0</v>
      </c>
      <c r="CB416" s="115">
        <f ca="1">IF(BZ416=1,IF(模拟模式!$P$16="10人团",15,0)+IF(模拟模式!$P$16="25人团",IF(RAND()&lt;0.6,15,0)),MAX(0,CB415-$F$4))</f>
        <v>0</v>
      </c>
      <c r="CC416" s="115" t="b">
        <f t="shared" ca="1" si="363"/>
        <v>0</v>
      </c>
      <c r="CD416" s="115">
        <f>IF(模拟模式!$Q$16="1个",IF(B416/40&gt;CE415,1,0),0)</f>
        <v>0</v>
      </c>
      <c r="CE416" s="115">
        <f t="shared" si="364"/>
        <v>0</v>
      </c>
      <c r="CF416" s="115">
        <f>IF(OR(CD416=1,模拟模式!$Q$16="2个"),20,MAX(0,CF415-$F$4))</f>
        <v>0</v>
      </c>
      <c r="CG416" s="115" t="b">
        <f t="shared" si="365"/>
        <v>0</v>
      </c>
      <c r="CH416" s="115">
        <f t="shared" ca="1" si="396"/>
        <v>13.39500000000001</v>
      </c>
      <c r="CI416" s="115" t="b">
        <f t="shared" ca="1" si="397"/>
        <v>0</v>
      </c>
      <c r="CJ416" s="119">
        <f t="shared" ca="1" si="398"/>
        <v>0</v>
      </c>
      <c r="CK416" s="115">
        <f t="shared" ca="1" si="399"/>
        <v>0</v>
      </c>
      <c r="CL416" s="115" t="b">
        <f ca="1">AND(模拟模式!$S$7="驱夷逐法",OR(AND(C416="净世破魔击·月",E415&gt;59),AND(C416="净世破魔击·日",F415&gt;59)))</f>
        <v>0</v>
      </c>
      <c r="CM416" s="115" t="b">
        <f ca="1">OR(CL416,AND(C416="净世破魔击·日",CL415,RAND()&lt;模拟模式!$U$23))</f>
        <v>0</v>
      </c>
      <c r="CN416" s="115" t="b">
        <f ca="1">IF(模拟模式!$M$7="辉耀红尘",AND(C416="净世破魔击·月",CL416,CV416=0,E415&lt;80),AND(C416="净世破魔击·月",CL416,E415&lt;100))</f>
        <v>0</v>
      </c>
      <c r="CO416" s="115" t="b">
        <f t="shared" ca="1" si="372"/>
        <v>0</v>
      </c>
      <c r="CP416" s="115" t="b">
        <f ca="1">AND(模拟模式!$O$7="用晦而明",OR(C416="净世破魔击·日",C416="净世破魔击·月",C416="驱夜断愁"),AB416)</f>
        <v>1</v>
      </c>
      <c r="CQ416" s="115" t="b">
        <f ca="1">OR(CP416,AND(CP415,RAND()&lt;模拟模式!$U$23))</f>
        <v>1</v>
      </c>
      <c r="CR416" s="115" t="b">
        <f ca="1">AND(模拟模式!$S$7="日月齐光",OR(C416="幽月轮1",C416="幽月轮2",C416="幽月轮3",CR415),NOT(OR(C416="赤日轮1",C416="赤日轮2",C416="赤日轮3")))</f>
        <v>0</v>
      </c>
      <c r="CS416" s="115" t="b">
        <f ca="1">AND(模拟模式!$S$7="日月齐光",OR(C416="赤日轮1",C416="赤日轮2",C416="赤日轮3",CS415),NOT(OR(C416="幽月轮1",C416="幽月轮2",C416="幽月轮3")))</f>
        <v>0</v>
      </c>
      <c r="CT416" s="115">
        <f t="shared" ca="1" si="400"/>
        <v>17.085000000000008</v>
      </c>
      <c r="CU416" s="115" t="b">
        <f ca="1">AND(模拟模式!$K$10="阴阳往极",CT415=0,RAND()&lt;IF(C416="净世破魔击·月",0.0275*7/3,IF(C416="净世破魔击·日",0.0275*3/3,0.0275*2/3)))</f>
        <v>0</v>
      </c>
      <c r="CV416" s="115">
        <f t="shared" ca="1" si="401"/>
        <v>0</v>
      </c>
      <c r="CW416" s="115">
        <f t="shared" ca="1" si="373"/>
        <v>2.3099999999999996</v>
      </c>
      <c r="CX416" s="115">
        <f t="shared" ca="1" si="374"/>
        <v>0.46499999999999975</v>
      </c>
      <c r="CY416" s="115">
        <f ca="1">MAX(IF($C416="驱夜断愁",IF(模拟模式!$R$7="万念俱寂",6,45),CY415-$F$4),0)</f>
        <v>1.3874999999999997</v>
      </c>
      <c r="CZ416" s="115">
        <f t="shared" ca="1" si="375"/>
        <v>0</v>
      </c>
      <c r="DA416" s="115">
        <f ca="1">IF(模拟模式!$N$7="日月同辉",IF(DB415=2,0,MIN(6,IF(AND(OR(C416="赤日轮1",C416="赤日轮2",C416="赤日轮3",C416="幽月轮1",C416="幽月轮2",C416="幽月轮3"),AB416=1),DA415+1,DA415))),0)</f>
        <v>0</v>
      </c>
      <c r="DB416" s="115">
        <f t="shared" ca="1" si="376"/>
        <v>0</v>
      </c>
      <c r="DC416" s="115"/>
      <c r="DD416" s="115"/>
      <c r="DE416" s="115"/>
      <c r="DF416" s="115"/>
      <c r="DG416" s="115"/>
      <c r="DH416" s="115"/>
      <c r="DI416" s="115"/>
      <c r="DJ416" s="115"/>
      <c r="DK416" s="115"/>
      <c r="DL416" s="115"/>
      <c r="DM416" s="115"/>
    </row>
    <row r="417" spans="2:117" x14ac:dyDescent="0.2">
      <c r="B417" s="117">
        <f t="shared" si="377"/>
        <v>359.77500000000333</v>
      </c>
      <c r="C417" s="167" t="str">
        <f t="shared" ca="1" si="370"/>
        <v>银月斩</v>
      </c>
      <c r="D417" s="115">
        <f ca="1">IF(C417="赤日轮1",1,IF(C417="赤日轮2",2,IF(C417="赤日轮3",3,IF(C417="幽月轮1",4,IF(C417="幽月轮2",5,IF(C417="幽月轮3",6,IF(C417="烈日斩",7,IF(C417="银月斩",8,IF(C417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417="净世破魔击·月",17,IF(C417="驱夜断愁",18,0)))))))))))</f>
        <v>8</v>
      </c>
      <c r="E417" s="115">
        <f ca="1">IF(AND(CU417,OR(C417="幽月轮1",C417="幽月轮2",C417="幽月轮3",C417="银月斩",C417="驱夜断愁",C417="净世破魔击·月")),100,MIN(IF(OR(CN417,BE417),0,IF(OR($C417="赤日轮1",$C417="赤日轮2",$C417="赤日轮3"),E416+20+IF(模拟模式!$I$7="日月凌天",4,0)+IF(CR416,20,0),IF($C417="烈日斩",E416+40,IF($C417="驱夜断愁",IF(模拟模式!$R$7="万念俱寂",E416+20,E416+60),IF($C417="净世破魔击·月",IF(OR(DB416&gt;0,CV416&gt;0),100,IF(模拟模式!$M$7="辉耀红尘",E416+20,E416)),IF($C417="净世破魔击·日",E416-100,E416)))))),100))</f>
        <v>20</v>
      </c>
      <c r="F417" s="115">
        <f ca="1">IF(AND(CU417,OR(C417="赤日轮1",C417="赤日轮2",C417="赤日轮3",C417="烈日斩",C417="净世破魔击·日")),100,MIN(IF(CO417,0,IF(OR($C417="幽月轮1",$C417="幽月轮2",$C417="幽月轮3"),F416+20+IF(模拟模式!$I$7="日月凌天",4,0)+IF(CS416,20,0),IF($C417="银月斩",F416+40+IF(模拟模式!$X$12=1,5,0),IF($C417="驱夜断愁",IF(模拟模式!$R$7="万念俱寂",F416+20,F416+60),IF($C417="净世破魔击·月",IF(模拟模式!$M$7="辉耀红尘",F416-80,F416-100),IF(AND(C417="净世破魔击·日",OR(DB416&gt;0,CV416&gt;0)),100,F416)))))),100))</f>
        <v>65</v>
      </c>
      <c r="G417" s="117">
        <f ca="1">('模拟-全程加成'!$E$3+'模拟-全程加成'!$E$4+'模拟-全程加成'!$E$5+('模拟-全程加成'!$C$6-'模拟-全程加成'!$C$3)*系数!$B$9+BS417*23)*(1+'模拟-全程加成'!$F$4+'模拟-全程加成'!$F$5+BJ417*10%+BM417*20%+BP417*4%+CG417*30%)+$F$7*系数!$B$12</f>
        <v>21493.829400000002</v>
      </c>
      <c r="H417" s="45">
        <f ca="1">'模拟-全程加成'!$H$3+'模拟-全程加成'!$H$4+'模拟-全程加成'!$H$5+('模拟-全程加成'!$G$4+'模拟-全程加成'!$G$5+('模拟-全程加成'!$C$6-'模拟-全程加成'!$C$3)*系数!$B$13)/系数!$B$3+LOOKUP(D417,'模拟-单技能数据'!$A$2:$A$19,'模拟-单技能数据'!$K$2:$K$19)+BG417*10%+IF(BV417&gt;0,378,0)</f>
        <v>0.64185145527300214</v>
      </c>
      <c r="I417" s="45">
        <f ca="1">'模拟-全程加成'!$J$3+'模拟-全程加成'!$J$4+'模拟-全程加成'!$J$5+('模拟-全程加成'!$I$4+'模拟-全程加成'!$I$5)/系数!$B$4+LOOKUP(D417,'模拟-单技能数据'!$A$2:$A$19,'模拟-单技能数据'!$L$2:$L$19)+BG417*10%</f>
        <v>2.2624828854998791</v>
      </c>
      <c r="J417" s="45">
        <f ca="1">(('模拟-全程加成'!$K$3+'模拟-全程加成'!$K$4+'模拟-全程加成'!$K$5+('模拟-全程加成'!$C$6-'模拟-全程加成'!$C$3)*系数!$B$10+IF(BV417&gt;0,882,0)+IF(BY417&gt;0,1831,0))*(1+'模拟-全程加成'!$L$4+'模拟-全程加成'!$L$5+CC417*20%))/系数!$B$5</f>
        <v>0.69723220422048726</v>
      </c>
      <c r="K417" s="119">
        <f ca="1">LOOKUP(D417,'模拟-单技能数据'!$A$2:$A$19,'模拟-单技能数据'!$J$2:$J$19)+IF(CM417,60%,0)+IF(DB416-DB417&gt;0,30%,0)+IF(OR(AND(OR(C417="赤日轮1",C417="赤日轮2",C417="赤日轮3"),CR417),AND(OR(C417="幽月轮1",C417="幽月轮2",C417="幽月轮3"),CS417)),35%,0)+CJ417</f>
        <v>0.15</v>
      </c>
      <c r="L417" s="119">
        <f ca="1">IF(AND(C417="烈日斩",模拟模式!$X$11=1),10%,0)+IF(AND(C417="驱夜断愁",AB417=1),30%,0)</f>
        <v>0</v>
      </c>
      <c r="M417" s="45">
        <f t="shared" ca="1" si="353"/>
        <v>0.64185145527300214</v>
      </c>
      <c r="N417" s="45">
        <f t="shared" ca="1" si="354"/>
        <v>0.30424854472699792</v>
      </c>
      <c r="O417" s="46">
        <f t="shared" ca="1" si="378"/>
        <v>0.14364241716068848</v>
      </c>
      <c r="P417" s="46" t="str">
        <f t="shared" ca="1" si="379"/>
        <v>会</v>
      </c>
      <c r="Q417" s="45">
        <f t="shared" ca="1" si="380"/>
        <v>2.2624828854998791</v>
      </c>
      <c r="R417" s="117">
        <f ca="1">模拟模式!$E$20*(1-IF(模拟模式!$J$19="有",0.15,0))*(1-IF(模拟模式!$K$19="有",0.3,0)-IF(CQ417,0.5,0))</f>
        <v>843.02999999999975</v>
      </c>
      <c r="S417" s="45">
        <f ca="1">R417/(R417+(185*模拟模式!$E$22-16800)*4.08224)</f>
        <v>8.389626085980037E-2</v>
      </c>
      <c r="T417" s="45" t="str">
        <f ca="1">LOOKUP(D417,'模拟-单技能数据'!$A$2:$A$19,'模拟-单技能数据'!$H$2:$H$19)</f>
        <v>阴</v>
      </c>
      <c r="U417" s="119">
        <f t="shared" ca="1" si="355"/>
        <v>0.08</v>
      </c>
      <c r="V417" s="47">
        <f ca="1">(1+L417)*(LOOKUP(D417,'模拟-单技能数据'!$A$2:$A$19,'模拟-单技能数据'!$D$2:$D$19)+G417*LOOKUP(D417,'模拟-单技能数据'!$A$2:$A$19,'模拟-单技能数据'!$F$2:$F$19))*(1+J417)*(1+K417)*(1-S417)*(1+U417)*Q417*LOOKUP(D417,'模拟-单技能数据'!$A$2:$A$19,'模拟-单技能数据'!$I$2:$I$20)</f>
        <v>49855.474753700611</v>
      </c>
      <c r="W417" s="47">
        <f ca="1">LOOKUP(D417,'模拟-单技能数据'!$A$2:$A$19,'模拟-单技能数据'!$G$2:$G$19)*$I$10</f>
        <v>361.51064354704795</v>
      </c>
      <c r="X417" s="47">
        <f t="shared" ca="1" si="381"/>
        <v>11118.353508757338</v>
      </c>
      <c r="Y417" s="47">
        <f t="shared" ca="1" si="356"/>
        <v>61335.338906004996</v>
      </c>
      <c r="Z417" s="49">
        <f t="shared" ca="1" si="357"/>
        <v>40744951.466094084</v>
      </c>
      <c r="AA417" s="97">
        <f t="shared" ca="1" si="358"/>
        <v>113251.20274086222</v>
      </c>
      <c r="AB417" s="115">
        <f ca="1">IF(OR(C417="赤日轮1",C417="赤日轮2",C417="赤日轮3"),IF(RAND()&lt;模拟模式!$Y$17,1,0),IF(OR(C417="幽月轮1",C417="幽月轮2",C417="幽月轮3"),IF(RAND()&lt;模拟模式!$Y$18,1,0),IF(C417="烈日斩",IF(RAND()&lt;模拟模式!$Y$19,1,0),IF(C417="银月斩",IF(RAND()&lt;模拟模式!$Y$20,1,0),IF(C417="驱夜断愁",IF(RAND()&lt;模拟模式!$Y$21,1,0),IF(C417="净世破魔击·日",IF(RAND()&lt;模拟模式!$Y$22,1,0),IF(C417="净世破魔击·月",IF(RAND()&lt;模拟模式!$Y$23,1,0),0)))))))</f>
        <v>1</v>
      </c>
      <c r="AC417" s="115" t="b">
        <f t="shared" ca="1" si="346"/>
        <v>1</v>
      </c>
      <c r="AD417" s="115" t="b">
        <f t="shared" ca="1" si="366"/>
        <v>0</v>
      </c>
      <c r="AE417" s="115">
        <f t="shared" ca="1" si="367"/>
        <v>6</v>
      </c>
      <c r="AF417" s="47">
        <f ca="1">IF(AC417,('模拟-单技能数据'!$D$20+G417*'模拟-单技能数据'!$F$20)*(1+J417)*(1+'模拟-单技能数据'!$J$20)*(1+U417),0)</f>
        <v>4639.7456468263617</v>
      </c>
      <c r="AG417" s="61">
        <f t="shared" ca="1" si="359"/>
        <v>0.64185145527300214</v>
      </c>
      <c r="AH417" s="61">
        <f t="shared" ca="1" si="360"/>
        <v>2.2624828854998791</v>
      </c>
      <c r="AI417" s="62">
        <f t="shared" ca="1" si="382"/>
        <v>0.77951220677583866</v>
      </c>
      <c r="AJ417" s="47">
        <f ca="1">IF(AD417,IF(AI417&lt;$F$10,0,IF(AI417&lt;$F$10+$F$11,0.25,IF(AI417&lt;$F$10+$F$11+AG417,AH417,1)))*IF(AF417&gt;0,AF417,IF(AF416&gt;0,AF416,IF(AF415&gt;0,AF415,IF(AF414&gt;0,AF414,IF(AF413&gt;0,AF413,IF(AF412&gt;0,AF412,IF(AF411&gt;0,AF411,IF(AF410&gt;0,AF410,IF(AF409&gt;0,AF409,IF(AF407&gt;0,AF407,IF(AF406&gt;0,AF406,IF(AF405&gt;0,AF405,0)))))))))))),0)*(1-$S417)*'模拟-单技能数据'!$I$20</f>
        <v>0</v>
      </c>
      <c r="AK417" s="115" t="b">
        <f t="shared" ca="1" si="347"/>
        <v>0</v>
      </c>
      <c r="AL417" s="115" t="b">
        <f t="shared" ca="1" si="368"/>
        <v>1</v>
      </c>
      <c r="AM417" s="115">
        <f t="shared" ca="1" si="369"/>
        <v>4</v>
      </c>
      <c r="AN417" s="47">
        <f ca="1">IF(AK417,('模拟-单技能数据'!$D$21+G417*'模拟-单技能数据'!$F$21)*(1+J417)*(1+'模拟-单技能数据'!$J$21)*(1+U417),0)</f>
        <v>0</v>
      </c>
      <c r="AO417" s="61">
        <f ca="1">IF(AN417&gt;0,M417-'模拟-单技能数据'!$K$10,AO416)</f>
        <v>0.42185145527300216</v>
      </c>
      <c r="AP417" s="61">
        <f ca="1">IF(AN417&gt;0,I417-'模拟-单技能数据'!$L$10,AP416)</f>
        <v>2.162482885499879</v>
      </c>
      <c r="AQ417" s="63">
        <f t="shared" ca="1" si="383"/>
        <v>0.82342852893275154</v>
      </c>
      <c r="AR417" s="64">
        <f ca="1">IF(AL417,IF(AQ417&lt;$F$10,0,IF(AQ417&lt;$F$10+$F$11,0.25,IF(AQ417&lt;$F$10+$F$11+AO417,AP417,1)))*IF(AN417&gt;0,AN417,IF(AN416&gt;0,AN416,IF(AN415&gt;0,AN415,IF(AN414&gt;0,AN414,IF(AN413&gt;0,AN413,IF(AN412&gt;0,AN412,IF(AN411&gt;0,AN411,IF(AN410&gt;0,AN410,IF(AN409&gt;0,AN409,IF(AN407&gt;0,AN407,IF(AN406&gt;0,AN406,IF(AN405&gt;0,AN405,0)))))))))))),0)*(1-$S417)*'模拟-单技能数据'!$I$21</f>
        <v>11118.353508757338</v>
      </c>
      <c r="AS417" s="61">
        <f ca="1">IF(OR(C417="净世破魔击·日",C417="净世破魔击·月"),M417-'模拟-单技能数据'!$K$10,0)</f>
        <v>0</v>
      </c>
      <c r="AT417" s="61">
        <f ca="1">IF(OR(C417="净世破魔击·日",C417="净世破魔击·月"),I417-'模拟-单技能数据'!$L$10,0)</f>
        <v>0</v>
      </c>
      <c r="AU417" s="62">
        <f t="shared" ca="1" si="384"/>
        <v>0.14066164985022267</v>
      </c>
      <c r="AV417" s="64">
        <f ca="1">IF(AS417&gt;0,('模拟-单技能数据'!$D$22+G417*'模拟-单技能数据'!$F$22)*(1+J417)*(1-S417)*IF(AU417&lt;$F$10,0,IF(AU417&lt;$F$10+$F$11,0.25,IF(AU417&lt;$F$10+$F$11+AS417,AT417,1)))*(1+U417),0)*'模拟-单技能数据'!$I$22</f>
        <v>0</v>
      </c>
      <c r="AW417" s="108">
        <f t="shared" ca="1" si="385"/>
        <v>14.465000000000003</v>
      </c>
      <c r="AX417" s="108" t="b">
        <f ca="1">AND(模拟模式!$P$10="有",AW416=0,RAND()&lt;IF(C417="净世破魔击·月",0.1*8/3,IF(C417="净世破魔击·日",0.1*4/3,0.1*2/3)))</f>
        <v>0</v>
      </c>
      <c r="AY417" s="47">
        <f ca="1">IF(AX417,(18+G417*0.722)*(1+J417)*(1-S417)*(1+$I$4)*IF(P417="会",'模拟-全程加成'!$J$3+'模拟-全程加成'!$J$4+'模拟-全程加成'!$J$5+('模拟-全程加成'!$I$4+'模拟-全程加成'!$I$5)/系数!$B$4+BG417*10%,IF(P417="命",1,IF(P417="识",0.25,0))),0)</f>
        <v>0</v>
      </c>
      <c r="AZ417" s="108">
        <f t="shared" si="386"/>
        <v>5.2400000000000064</v>
      </c>
      <c r="BA417" s="108" t="b">
        <f>AND(模拟模式!$Q$10="有",AZ416=0)</f>
        <v>0</v>
      </c>
      <c r="BB417" s="140">
        <f>IF(BA417,(0+G417*0.287)*(1+J417)*(1-S417)*(1+$I$4)*IF(P417="会",'模拟-全程加成'!$J$3+'模拟-全程加成'!$J$4+'模拟-全程加成'!$J$5+('模拟-全程加成'!$I$4+'模拟-全程加成'!$I$5)/系数!$B$4+BG417*10%,IF(P417="命",1,IF(P417="识",0.25,0))),0)</f>
        <v>0</v>
      </c>
      <c r="BC417" s="115" t="b">
        <f ca="1">AND(模拟模式!$R$7="伏明众生",E417=60,F417=20,DA417&lt;5,CZ416&lt;$F$4)</f>
        <v>0</v>
      </c>
      <c r="BD417" s="115">
        <f t="shared" ca="1" si="348"/>
        <v>0</v>
      </c>
      <c r="BE417" s="115" t="b">
        <f t="shared" ca="1" si="349"/>
        <v>0</v>
      </c>
      <c r="BF417" s="47">
        <f ca="1">IF(BC417,4*('模拟-单技能数据'!$D$24+G417*'模拟-单技能数据'!$F$24)*(1+J417)*(1+'模拟-单技能数据'!$J$24)*(1-S417)*(1+$I$3)*(('模拟-全程加成'!$J$3+'模拟-全程加成'!$J$4+'模拟-全程加成'!$J$5+('模拟-全程加成'!$I$4+'模拟-全程加成'!$I$5)/系数!$B$4+BG417*10%)*('模拟-全程加成'!$J$3+'模拟-全程加成'!$J$4+'模拟-全程加成'!$J$5+('模拟-全程加成'!$I$4+'模拟-全程加成'!$I$5)/系数!$B$4+BG417*10%)+(1-('模拟-全程加成'!$J$3+'模拟-全程加成'!$J$4+'模拟-全程加成'!$J$5+('模拟-全程加成'!$I$4+'模拟-全程加成'!$I$5)/系数!$B$4+BG417*10%)-$F$10-$F$11)+F403*0.25),0)*'模拟-单技能数据'!$I$24</f>
        <v>0</v>
      </c>
      <c r="BG417" s="115" t="b">
        <f ca="1">OR(AND(OR(C417="烈日斩",C417="银月斩"),模拟模式!$I$7="净身明礼"),AND(C417="净世破魔击·日",模拟模式!$J$7="洞若观火"),AND(C418="净世破魔击·月",模拟模式!$J$7="洞若观火"),AB417=1)</f>
        <v>1</v>
      </c>
      <c r="BH417" s="115" t="b">
        <f t="shared" ca="1" si="387"/>
        <v>0</v>
      </c>
      <c r="BI417" s="115">
        <f t="shared" ca="1" si="350"/>
        <v>5.0774999999999997</v>
      </c>
      <c r="BJ417" s="115" t="b">
        <f t="shared" ca="1" si="361"/>
        <v>1</v>
      </c>
      <c r="BK417" s="115" t="b">
        <f ca="1">AND(C417="驱夜断愁",模拟模式!$P$7="天地诛戮")</f>
        <v>0</v>
      </c>
      <c r="BL417" s="57">
        <f t="shared" ca="1" si="351"/>
        <v>14.465000000000003</v>
      </c>
      <c r="BM417" s="115" t="b">
        <f t="shared" ca="1" si="362"/>
        <v>1</v>
      </c>
      <c r="BN417" s="115" t="b">
        <f ca="1">AND(OR(C417="赤日轮1",C417="赤日轮2",C417="赤日轮3",C417="幽月轮1",C417="幽月轮2",C417="幽月轮3"),AB417=1,模拟模式!$L$7="明光恒照")</f>
        <v>0</v>
      </c>
      <c r="BO417" s="117">
        <f t="shared" ca="1" si="352"/>
        <v>26.310000000000002</v>
      </c>
      <c r="BP417" s="115">
        <f t="shared" ca="1" si="388"/>
        <v>6</v>
      </c>
      <c r="BQ417" s="115" t="b">
        <f>模拟模式!$K$10="2600·水"</f>
        <v>0</v>
      </c>
      <c r="BR417" s="117">
        <f t="shared" si="389"/>
        <v>0</v>
      </c>
      <c r="BS417" s="115">
        <f t="shared" si="390"/>
        <v>0</v>
      </c>
      <c r="BT417" s="115">
        <f t="shared" ca="1" si="391"/>
        <v>0</v>
      </c>
      <c r="BU417" s="115" t="b">
        <f ca="1">AND(模拟模式!$K$10="2300·雷",BT416=0,RAND()&lt;IF(C417="净世破魔击·月",5*0.05*2/3,IF(C417="净世破魔击·日",3*0.05*2/3,0.05*2*2/3)))</f>
        <v>0</v>
      </c>
      <c r="BV417" s="115">
        <f t="shared" ca="1" si="392"/>
        <v>0</v>
      </c>
      <c r="BW417" s="115">
        <f t="shared" ca="1" si="393"/>
        <v>12.104999999999308</v>
      </c>
      <c r="BX417" s="164" t="b">
        <f t="shared" ca="1" si="394"/>
        <v>0</v>
      </c>
      <c r="BY417" s="115">
        <f t="shared" ca="1" si="395"/>
        <v>0</v>
      </c>
      <c r="BZ417" s="115">
        <f>IF(OR(模拟模式!$P$16="10人团",模拟模式!$P$16="25人团"),IF(B417/30&gt;CA416,1,0),0)</f>
        <v>0</v>
      </c>
      <c r="CA417" s="115">
        <f t="shared" si="371"/>
        <v>0</v>
      </c>
      <c r="CB417" s="115">
        <f ca="1">IF(BZ417=1,IF(模拟模式!$P$16="10人团",15,0)+IF(模拟模式!$P$16="25人团",IF(RAND()&lt;0.6,15,0)),MAX(0,CB416-$F$4))</f>
        <v>0</v>
      </c>
      <c r="CC417" s="115" t="b">
        <f t="shared" ca="1" si="363"/>
        <v>0</v>
      </c>
      <c r="CD417" s="115">
        <f>IF(模拟模式!$Q$16="1个",IF(B417/40&gt;CE416,1,0),0)</f>
        <v>0</v>
      </c>
      <c r="CE417" s="115">
        <f t="shared" si="364"/>
        <v>0</v>
      </c>
      <c r="CF417" s="115">
        <f>IF(OR(CD417=1,模拟模式!$Q$16="2个"),20,MAX(0,CF416-$F$4))</f>
        <v>0</v>
      </c>
      <c r="CG417" s="115" t="b">
        <f t="shared" si="365"/>
        <v>0</v>
      </c>
      <c r="CH417" s="115">
        <f t="shared" ca="1" si="396"/>
        <v>12.472500000000011</v>
      </c>
      <c r="CI417" s="115" t="b">
        <f t="shared" ca="1" si="397"/>
        <v>0</v>
      </c>
      <c r="CJ417" s="119">
        <f t="shared" ca="1" si="398"/>
        <v>0</v>
      </c>
      <c r="CK417" s="115">
        <f t="shared" ca="1" si="399"/>
        <v>0</v>
      </c>
      <c r="CL417" s="115" t="b">
        <f ca="1">AND(模拟模式!$S$7="驱夷逐法",OR(AND(C417="净世破魔击·月",E416&gt;59),AND(C417="净世破魔击·日",F416&gt;59)))</f>
        <v>0</v>
      </c>
      <c r="CM417" s="115" t="b">
        <f ca="1">OR(CL417,AND(C417="净世破魔击·日",CL416,RAND()&lt;模拟模式!$U$23))</f>
        <v>0</v>
      </c>
      <c r="CN417" s="115" t="b">
        <f ca="1">IF(模拟模式!$M$7="辉耀红尘",AND(C417="净世破魔击·月",CL417,CV417=0,E416&lt;80),AND(C417="净世破魔击·月",CL417,E416&lt;100))</f>
        <v>0</v>
      </c>
      <c r="CO417" s="115" t="b">
        <f t="shared" ca="1" si="372"/>
        <v>0</v>
      </c>
      <c r="CP417" s="115" t="b">
        <f ca="1">AND(模拟模式!$O$7="用晦而明",OR(C417="净世破魔击·日",C417="净世破魔击·月",C417="驱夜断愁"),AB417)</f>
        <v>0</v>
      </c>
      <c r="CQ417" s="115" t="b">
        <f ca="1">OR(CP417,AND(CP416,RAND()&lt;模拟模式!$U$23))</f>
        <v>1</v>
      </c>
      <c r="CR417" s="115" t="b">
        <f ca="1">AND(模拟模式!$S$7="日月齐光",OR(C417="幽月轮1",C417="幽月轮2",C417="幽月轮3",CR416),NOT(OR(C417="赤日轮1",C417="赤日轮2",C417="赤日轮3")))</f>
        <v>0</v>
      </c>
      <c r="CS417" s="115" t="b">
        <f ca="1">AND(模拟模式!$S$7="日月齐光",OR(C417="赤日轮1",C417="赤日轮2",C417="赤日轮3",CS416),NOT(OR(C417="幽月轮1",C417="幽月轮2",C417="幽月轮3")))</f>
        <v>0</v>
      </c>
      <c r="CT417" s="115">
        <f t="shared" ca="1" si="400"/>
        <v>16.162500000000009</v>
      </c>
      <c r="CU417" s="115" t="b">
        <f ca="1">AND(模拟模式!$K$10="阴阳往极",CT416=0,RAND()&lt;IF(C417="净世破魔击·月",0.0275*7/3,IF(C417="净世破魔击·日",0.0275*3/3,0.0275*2/3)))</f>
        <v>0</v>
      </c>
      <c r="CV417" s="115">
        <f t="shared" ca="1" si="401"/>
        <v>0</v>
      </c>
      <c r="CW417" s="115">
        <f t="shared" ca="1" si="373"/>
        <v>1.3874999999999997</v>
      </c>
      <c r="CX417" s="115">
        <f t="shared" ca="1" si="374"/>
        <v>6</v>
      </c>
      <c r="CY417" s="115">
        <f ca="1">MAX(IF($C417="驱夜断愁",IF(模拟模式!$R$7="万念俱寂",6,45),CY416-$F$4),0)</f>
        <v>0.46499999999999975</v>
      </c>
      <c r="CZ417" s="115">
        <f t="shared" ca="1" si="375"/>
        <v>0</v>
      </c>
      <c r="DA417" s="115">
        <f ca="1">IF(模拟模式!$N$7="日月同辉",IF(DB416=2,0,MIN(6,IF(AND(OR(C417="赤日轮1",C417="赤日轮2",C417="赤日轮3",C417="幽月轮1",C417="幽月轮2",C417="幽月轮3"),AB417=1),DA416+1,DA416))),0)</f>
        <v>0</v>
      </c>
      <c r="DB417" s="115">
        <f t="shared" ca="1" si="376"/>
        <v>0</v>
      </c>
      <c r="DC417" s="115"/>
      <c r="DD417" s="115"/>
      <c r="DE417" s="115"/>
      <c r="DF417" s="115"/>
      <c r="DG417" s="115"/>
      <c r="DH417" s="115"/>
      <c r="DI417" s="115"/>
      <c r="DJ417" s="115"/>
      <c r="DK417" s="115"/>
      <c r="DL417" s="115"/>
      <c r="DM417" s="115"/>
    </row>
    <row r="418" spans="2:117" x14ac:dyDescent="0.2">
      <c r="B418" s="117">
        <f t="shared" si="377"/>
        <v>360.69750000000334</v>
      </c>
      <c r="C418" s="167" t="str">
        <f t="shared" ca="1" si="370"/>
        <v>驱夜断愁</v>
      </c>
      <c r="D418" s="115">
        <f ca="1">IF(C418="赤日轮1",1,IF(C418="赤日轮2",2,IF(C418="赤日轮3",3,IF(C418="幽月轮1",4,IF(C418="幽月轮2",5,IF(C418="幽月轮3",6,IF(C418="烈日斩",7,IF(C418="银月斩",8,IF(C418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418="净世破魔击·月",17,IF(C418="驱夜断愁",18,0)))))))))))</f>
        <v>18</v>
      </c>
      <c r="E418" s="115">
        <f ca="1">IF(AND(CU418,OR(C418="幽月轮1",C418="幽月轮2",C418="幽月轮3",C418="银月斩",C418="驱夜断愁",C418="净世破魔击·月")),100,MIN(IF(OR(CN418,BE418),0,IF(OR($C418="赤日轮1",$C418="赤日轮2",$C418="赤日轮3"),E417+20+IF(模拟模式!$I$7="日月凌天",4,0)+IF(CR417,20,0),IF($C418="烈日斩",E417+40,IF($C418="驱夜断愁",IF(模拟模式!$R$7="万念俱寂",E417+20,E417+60),IF($C418="净世破魔击·月",IF(OR(DB417&gt;0,CV417&gt;0),100,IF(模拟模式!$M$7="辉耀红尘",E417+20,E417)),IF($C418="净世破魔击·日",E417-100,E417)))))),100))</f>
        <v>40</v>
      </c>
      <c r="F418" s="115">
        <f ca="1">IF(AND(CU418,OR(C418="赤日轮1",C418="赤日轮2",C418="赤日轮3",C418="烈日斩",C418="净世破魔击·日")),100,MIN(IF(CO418,0,IF(OR($C418="幽月轮1",$C418="幽月轮2",$C418="幽月轮3"),F417+20+IF(模拟模式!$I$7="日月凌天",4,0)+IF(CS417,20,0),IF($C418="银月斩",F417+40+IF(模拟模式!$X$12=1,5,0),IF($C418="驱夜断愁",IF(模拟模式!$R$7="万念俱寂",F417+20,F417+60),IF($C418="净世破魔击·月",IF(模拟模式!$M$7="辉耀红尘",F417-80,F417-100),IF(AND(C418="净世破魔击·日",OR(DB417&gt;0,CV417&gt;0)),100,F417)))))),100))</f>
        <v>85</v>
      </c>
      <c r="G418" s="117">
        <f ca="1">('模拟-全程加成'!$E$3+'模拟-全程加成'!$E$4+'模拟-全程加成'!$E$5+('模拟-全程加成'!$C$6-'模拟-全程加成'!$C$3)*系数!$B$9+BS418*23)*(1+'模拟-全程加成'!$F$4+'模拟-全程加成'!$F$5+BJ418*10%+BM418*20%+BP418*4%+CG418*30%)+$F$7*系数!$B$12</f>
        <v>21493.829400000002</v>
      </c>
      <c r="H418" s="45">
        <f ca="1">'模拟-全程加成'!$H$3+'模拟-全程加成'!$H$4+'模拟-全程加成'!$H$5+('模拟-全程加成'!$G$4+'模拟-全程加成'!$G$5+('模拟-全程加成'!$C$6-'模拟-全程加成'!$C$3)*系数!$B$13)/系数!$B$3+LOOKUP(D418,'模拟-单技能数据'!$A$2:$A$19,'模拟-单技能数据'!$K$2:$K$19)+BG418*10%+IF(BV418&gt;0,378,0)</f>
        <v>0.51185145527300213</v>
      </c>
      <c r="I418" s="45">
        <f ca="1">'模拟-全程加成'!$J$3+'模拟-全程加成'!$J$4+'模拟-全程加成'!$J$5+('模拟-全程加成'!$I$4+'模拟-全程加成'!$I$5)/系数!$B$4+LOOKUP(D418,'模拟-单技能数据'!$A$2:$A$19,'模拟-单技能数据'!$L$2:$L$19)+BG418*10%</f>
        <v>2.162482885499879</v>
      </c>
      <c r="J418" s="45">
        <f ca="1">(('模拟-全程加成'!$K$3+'模拟-全程加成'!$K$4+'模拟-全程加成'!$K$5+('模拟-全程加成'!$C$6-'模拟-全程加成'!$C$3)*系数!$B$10+IF(BV418&gt;0,882,0)+IF(BY418&gt;0,1831,0))*(1+'模拟-全程加成'!$L$4+'模拟-全程加成'!$L$5+CC418*20%))/系数!$B$5</f>
        <v>0.69723220422048726</v>
      </c>
      <c r="K418" s="119">
        <f ca="1">LOOKUP(D418,'模拟-单技能数据'!$A$2:$A$19,'模拟-单技能数据'!$J$2:$J$19)+IF(CM418,60%,0)+IF(DB417-DB418&gt;0,30%,0)+IF(OR(AND(OR(C418="赤日轮1",C418="赤日轮2",C418="赤日轮3"),CR418),AND(OR(C418="幽月轮1",C418="幽月轮2",C418="幽月轮3"),CS418)),35%,0)+CJ418</f>
        <v>0.14000000000000001</v>
      </c>
      <c r="L418" s="119">
        <f ca="1">IF(AND(C418="烈日斩",模拟模式!$X$11=1),10%,0)+IF(AND(C418="驱夜断愁",AB418=1),30%,0)</f>
        <v>0.3</v>
      </c>
      <c r="M418" s="45">
        <f t="shared" ca="1" si="353"/>
        <v>0.51185145527300213</v>
      </c>
      <c r="N418" s="45">
        <f t="shared" ca="1" si="354"/>
        <v>0.43424854472699792</v>
      </c>
      <c r="O418" s="46">
        <f t="shared" ca="1" si="378"/>
        <v>0.906158598259312</v>
      </c>
      <c r="P418" s="46" t="str">
        <f t="shared" ca="1" si="379"/>
        <v>命</v>
      </c>
      <c r="Q418" s="45">
        <f t="shared" ca="1" si="380"/>
        <v>1</v>
      </c>
      <c r="R418" s="117">
        <f ca="1">模拟模式!$E$20*(1-IF(模拟模式!$J$19="有",0.15,0))*(1-IF(模拟模式!$K$19="有",0.3,0)-IF(CQ418,0.5,0))</f>
        <v>843.02999999999975</v>
      </c>
      <c r="S418" s="45">
        <f ca="1">R418/(R418+(185*模拟模式!$E$22-16800)*4.08224)</f>
        <v>8.389626085980037E-2</v>
      </c>
      <c r="T418" s="45" t="str">
        <f ca="1">LOOKUP(D418,'模拟-单技能数据'!$A$2:$A$19,'模拟-单技能数据'!$H$2:$H$19)</f>
        <v>阴</v>
      </c>
      <c r="U418" s="119">
        <f t="shared" ca="1" si="355"/>
        <v>0.08</v>
      </c>
      <c r="V418" s="47">
        <f ca="1">(1+L418)*(LOOKUP(D418,'模拟-单技能数据'!$A$2:$A$19,'模拟-单技能数据'!$D$2:$D$19)+G418*LOOKUP(D418,'模拟-单技能数据'!$A$2:$A$19,'模拟-单技能数据'!$F$2:$F$19))*(1+J418)*(1+K418)*(1-S418)*(1+U418)*Q418*LOOKUP(D418,'模拟-单技能数据'!$A$2:$A$19,'模拟-单技能数据'!$I$2:$I$20)</f>
        <v>61540.073489592025</v>
      </c>
      <c r="W418" s="47">
        <f ca="1">LOOKUP(D418,'模拟-单技能数据'!$A$2:$A$19,'模拟-单技能数据'!$G$2:$G$19)*$I$10</f>
        <v>723.0212870940959</v>
      </c>
      <c r="X418" s="47">
        <f t="shared" ca="1" si="381"/>
        <v>4250.4883357170938</v>
      </c>
      <c r="Y418" s="47">
        <f t="shared" ca="1" si="356"/>
        <v>66513.583112403212</v>
      </c>
      <c r="Z418" s="49">
        <f t="shared" ca="1" si="357"/>
        <v>40811465.049206488</v>
      </c>
      <c r="AA418" s="97">
        <f t="shared" ca="1" si="358"/>
        <v>113145.96039397587</v>
      </c>
      <c r="AB418" s="115">
        <f ca="1">IF(OR(C418="赤日轮1",C418="赤日轮2",C418="赤日轮3"),IF(RAND()&lt;模拟模式!$Y$17,1,0),IF(OR(C418="幽月轮1",C418="幽月轮2",C418="幽月轮3"),IF(RAND()&lt;模拟模式!$Y$18,1,0),IF(C418="烈日斩",IF(RAND()&lt;模拟模式!$Y$19,1,0),IF(C418="银月斩",IF(RAND()&lt;模拟模式!$Y$20,1,0),IF(C418="驱夜断愁",IF(RAND()&lt;模拟模式!$Y$21,1,0),IF(C418="净世破魔击·日",IF(RAND()&lt;模拟模式!$Y$22,1,0),IF(C418="净世破魔击·月",IF(RAND()&lt;模拟模式!$Y$23,1,0),0)))))))</f>
        <v>1</v>
      </c>
      <c r="AC418" s="115" t="b">
        <f t="shared" ca="1" si="346"/>
        <v>0</v>
      </c>
      <c r="AD418" s="115" t="b">
        <f t="shared" ca="1" si="366"/>
        <v>1</v>
      </c>
      <c r="AE418" s="115">
        <f t="shared" ca="1" si="367"/>
        <v>5</v>
      </c>
      <c r="AF418" s="47">
        <f ca="1">IF(AC418,('模拟-单技能数据'!$D$20+G418*'模拟-单技能数据'!$F$20)*(1+J418)*(1+'模拟-单技能数据'!$J$20)*(1+U418),0)</f>
        <v>0</v>
      </c>
      <c r="AG418" s="61">
        <f t="shared" ca="1" si="359"/>
        <v>0.64185145527300214</v>
      </c>
      <c r="AH418" s="61">
        <f t="shared" ca="1" si="360"/>
        <v>2.2624828854998791</v>
      </c>
      <c r="AI418" s="62">
        <f t="shared" ca="1" si="382"/>
        <v>0.99708472136982229</v>
      </c>
      <c r="AJ418" s="47">
        <f ca="1">IF(AD418,IF(AI418&lt;$F$10,0,IF(AI418&lt;$F$10+$F$11,0.25,IF(AI418&lt;$F$10+$F$11+AG418,AH418,1)))*IF(AF418&gt;0,AF418,IF(AF417&gt;0,AF417,IF(AF416&gt;0,AF416,IF(AF415&gt;0,AF415,IF(AF414&gt;0,AF414,IF(AF413&gt;0,AF413,IF(AF412&gt;0,AF412,IF(AF411&gt;0,AF411,IF(AF410&gt;0,AF410,IF(AF408&gt;0,AF408,IF(AF407&gt;0,AF407,IF(AF406&gt;0,AF406,0)))))))))))),0)*(1-$S418)*'模拟-单技能数据'!$I$20</f>
        <v>4250.4883357170938</v>
      </c>
      <c r="AK418" s="115" t="b">
        <f t="shared" ca="1" si="347"/>
        <v>0</v>
      </c>
      <c r="AL418" s="115" t="b">
        <f t="shared" ca="1" si="368"/>
        <v>0</v>
      </c>
      <c r="AM418" s="115">
        <f t="shared" ca="1" si="369"/>
        <v>4</v>
      </c>
      <c r="AN418" s="47">
        <f ca="1">IF(AK418,('模拟-单技能数据'!$D$21+G418*'模拟-单技能数据'!$F$21)*(1+J418)*(1+'模拟-单技能数据'!$J$21)*(1+U418),0)</f>
        <v>0</v>
      </c>
      <c r="AO418" s="61">
        <f ca="1">IF(AN418&gt;0,M418-'模拟-单技能数据'!$K$10,AO417)</f>
        <v>0.42185145527300216</v>
      </c>
      <c r="AP418" s="61">
        <f ca="1">IF(AN418&gt;0,I418-'模拟-单技能数据'!$L$10,AP417)</f>
        <v>2.162482885499879</v>
      </c>
      <c r="AQ418" s="63">
        <f t="shared" ca="1" si="383"/>
        <v>0.73161570948923738</v>
      </c>
      <c r="AR418" s="64">
        <f ca="1">IF(AL418,IF(AQ418&lt;$F$10,0,IF(AQ418&lt;$F$10+$F$11,0.25,IF(AQ418&lt;$F$10+$F$11+AO418,AP418,1)))*IF(AN418&gt;0,AN418,IF(AN417&gt;0,AN417,IF(AN416&gt;0,AN416,IF(AN415&gt;0,AN415,IF(AN414&gt;0,AN414,IF(AN413&gt;0,AN413,IF(AN412&gt;0,AN412,IF(AN411&gt;0,AN411,IF(AN410&gt;0,AN410,IF(AN408&gt;0,AN408,IF(AN407&gt;0,AN407,IF(AN406&gt;0,AN406,0)))))))))))),0)*(1-$S418)*'模拟-单技能数据'!$I$21</f>
        <v>0</v>
      </c>
      <c r="AS418" s="61">
        <f ca="1">IF(OR(C418="净世破魔击·日",C418="净世破魔击·月"),M418-'模拟-单技能数据'!$K$10,0)</f>
        <v>0</v>
      </c>
      <c r="AT418" s="61">
        <f ca="1">IF(OR(C418="净世破魔击·日",C418="净世破魔击·月"),I418-'模拟-单技能数据'!$L$10,0)</f>
        <v>0</v>
      </c>
      <c r="AU418" s="62">
        <f t="shared" ca="1" si="384"/>
        <v>3.3103151789251939E-2</v>
      </c>
      <c r="AV418" s="64">
        <f ca="1">IF(AS418&gt;0,('模拟-单技能数据'!$D$22+G418*'模拟-单技能数据'!$F$22)*(1+J418)*(1-S418)*IF(AU418&lt;$F$10,0,IF(AU418&lt;$F$10+$F$11,0.25,IF(AU418&lt;$F$10+$F$11+AS418,AT418,1)))*(1+U418),0)*'模拟-单技能数据'!$I$22</f>
        <v>0</v>
      </c>
      <c r="AW418" s="108">
        <f t="shared" ca="1" si="385"/>
        <v>13.542500000000004</v>
      </c>
      <c r="AX418" s="108" t="b">
        <f ca="1">AND(模拟模式!$P$10="有",AW417=0,RAND()&lt;IF(C418="净世破魔击·月",0.1*8/3,IF(C418="净世破魔击·日",0.1*4/3,0.1*2/3)))</f>
        <v>0</v>
      </c>
      <c r="AY418" s="47">
        <f ca="1">IF(AX418,(18+G418*0.722)*(1+J418)*(1-S418)*(1+$I$4)*IF(P418="会",'模拟-全程加成'!$J$3+'模拟-全程加成'!$J$4+'模拟-全程加成'!$J$5+('模拟-全程加成'!$I$4+'模拟-全程加成'!$I$5)/系数!$B$4+BG418*10%,IF(P418="命",1,IF(P418="识",0.25,0))),0)</f>
        <v>0</v>
      </c>
      <c r="AZ418" s="108">
        <f t="shared" si="386"/>
        <v>4.3175000000000061</v>
      </c>
      <c r="BA418" s="108" t="b">
        <f>AND(模拟模式!$Q$10="有",AZ417=0)</f>
        <v>0</v>
      </c>
      <c r="BB418" s="140">
        <f>IF(BA418,(0+G418*0.287)*(1+J418)*(1-S418)*(1+$I$4)*IF(P418="会",'模拟-全程加成'!$J$3+'模拟-全程加成'!$J$4+'模拟-全程加成'!$J$5+('模拟-全程加成'!$I$4+'模拟-全程加成'!$I$5)/系数!$B$4+BG418*10%,IF(P418="命",1,IF(P418="识",0.25,0))),0)</f>
        <v>0</v>
      </c>
      <c r="BC418" s="115" t="b">
        <f ca="1">AND(模拟模式!$R$7="伏明众生",E418=60,F418=20,DA418&lt;5,CZ417&lt;$F$4)</f>
        <v>0</v>
      </c>
      <c r="BD418" s="115">
        <f t="shared" ca="1" si="348"/>
        <v>0</v>
      </c>
      <c r="BE418" s="115" t="b">
        <f t="shared" ca="1" si="349"/>
        <v>0</v>
      </c>
      <c r="BF418" s="47">
        <f ca="1">IF(BC418,4*('模拟-单技能数据'!$D$24+G418*'模拟-单技能数据'!$F$24)*(1+J418)*(1+'模拟-单技能数据'!$J$24)*(1-S418)*(1+$I$3)*(('模拟-全程加成'!$J$3+'模拟-全程加成'!$J$4+'模拟-全程加成'!$J$5+('模拟-全程加成'!$I$4+'模拟-全程加成'!$I$5)/系数!$B$4+BG418*10%)*('模拟-全程加成'!$J$3+'模拟-全程加成'!$J$4+'模拟-全程加成'!$J$5+('模拟-全程加成'!$I$4+'模拟-全程加成'!$I$5)/系数!$B$4+BG418*10%)+(1-('模拟-全程加成'!$J$3+'模拟-全程加成'!$J$4+'模拟-全程加成'!$J$5+('模拟-全程加成'!$I$4+'模拟-全程加成'!$I$5)/系数!$B$4+BG418*10%)-$F$10-$F$11)+F404*0.25),0)*'模拟-单技能数据'!$I$24</f>
        <v>0</v>
      </c>
      <c r="BG418" s="115" t="b">
        <f ca="1">OR(AND(OR(C418="烈日斩",C418="银月斩"),模拟模式!$I$7="净身明礼"),AND(C418="净世破魔击·日",模拟模式!$J$7="洞若观火"),AND(C419="净世破魔击·月",模拟模式!$J$7="洞若观火"),AB418=1)</f>
        <v>1</v>
      </c>
      <c r="BH418" s="115" t="b">
        <f t="shared" ca="1" si="387"/>
        <v>0</v>
      </c>
      <c r="BI418" s="115">
        <f t="shared" ca="1" si="350"/>
        <v>4.1549999999999994</v>
      </c>
      <c r="BJ418" s="115" t="b">
        <f t="shared" ca="1" si="361"/>
        <v>1</v>
      </c>
      <c r="BK418" s="115" t="b">
        <f ca="1">AND(C418="驱夜断愁",模拟模式!$P$7="天地诛戮")</f>
        <v>1</v>
      </c>
      <c r="BL418" s="57">
        <f t="shared" ca="1" si="351"/>
        <v>20</v>
      </c>
      <c r="BM418" s="115" t="b">
        <f t="shared" ca="1" si="362"/>
        <v>1</v>
      </c>
      <c r="BN418" s="115" t="b">
        <f ca="1">AND(OR(C418="赤日轮1",C418="赤日轮2",C418="赤日轮3",C418="幽月轮1",C418="幽月轮2",C418="幽月轮3"),AB418=1,模拟模式!$L$7="明光恒照")</f>
        <v>0</v>
      </c>
      <c r="BO418" s="117">
        <f t="shared" ca="1" si="352"/>
        <v>25.387500000000003</v>
      </c>
      <c r="BP418" s="115">
        <f t="shared" ca="1" si="388"/>
        <v>6</v>
      </c>
      <c r="BQ418" s="115" t="b">
        <f>模拟模式!$K$10="2600·水"</f>
        <v>0</v>
      </c>
      <c r="BR418" s="117">
        <f t="shared" si="389"/>
        <v>0</v>
      </c>
      <c r="BS418" s="115">
        <f t="shared" si="390"/>
        <v>0</v>
      </c>
      <c r="BT418" s="115">
        <f t="shared" ca="1" si="391"/>
        <v>0</v>
      </c>
      <c r="BU418" s="115" t="b">
        <f ca="1">AND(模拟模式!$K$10="2300·雷",BT417=0,RAND()&lt;IF(C418="净世破魔击·月",5*0.05*2/3,IF(C418="净世破魔击·日",3*0.05*2/3,0.05*2*2/3)))</f>
        <v>0</v>
      </c>
      <c r="BV418" s="115">
        <f t="shared" ca="1" si="392"/>
        <v>0</v>
      </c>
      <c r="BW418" s="115">
        <f t="shared" ca="1" si="393"/>
        <v>11.182499999999308</v>
      </c>
      <c r="BX418" s="164" t="b">
        <f t="shared" ca="1" si="394"/>
        <v>0</v>
      </c>
      <c r="BY418" s="115">
        <f t="shared" ca="1" si="395"/>
        <v>0</v>
      </c>
      <c r="BZ418" s="115">
        <f>IF(OR(模拟模式!$P$16="10人团",模拟模式!$P$16="25人团"),IF(B418/30&gt;CA417,1,0),0)</f>
        <v>0</v>
      </c>
      <c r="CA418" s="115">
        <f t="shared" si="371"/>
        <v>0</v>
      </c>
      <c r="CB418" s="115">
        <f ca="1">IF(BZ418=1,IF(模拟模式!$P$16="10人团",15,0)+IF(模拟模式!$P$16="25人团",IF(RAND()&lt;0.6,15,0)),MAX(0,CB417-$F$4))</f>
        <v>0</v>
      </c>
      <c r="CC418" s="115" t="b">
        <f t="shared" ca="1" si="363"/>
        <v>0</v>
      </c>
      <c r="CD418" s="115">
        <f>IF(模拟模式!$Q$16="1个",IF(B418/40&gt;CE417,1,0),0)</f>
        <v>0</v>
      </c>
      <c r="CE418" s="115">
        <f t="shared" si="364"/>
        <v>0</v>
      </c>
      <c r="CF418" s="115">
        <f>IF(OR(CD418=1,模拟模式!$Q$16="2个"),20,MAX(0,CF417-$F$4))</f>
        <v>0</v>
      </c>
      <c r="CG418" s="115" t="b">
        <f t="shared" si="365"/>
        <v>0</v>
      </c>
      <c r="CH418" s="115">
        <f t="shared" ca="1" si="396"/>
        <v>11.550000000000011</v>
      </c>
      <c r="CI418" s="115" t="b">
        <f t="shared" ca="1" si="397"/>
        <v>0</v>
      </c>
      <c r="CJ418" s="119">
        <f t="shared" ca="1" si="398"/>
        <v>0</v>
      </c>
      <c r="CK418" s="115">
        <f t="shared" ca="1" si="399"/>
        <v>0</v>
      </c>
      <c r="CL418" s="115" t="b">
        <f ca="1">AND(模拟模式!$S$7="驱夷逐法",OR(AND(C418="净世破魔击·月",E417&gt;59),AND(C418="净世破魔击·日",F417&gt;59)))</f>
        <v>0</v>
      </c>
      <c r="CM418" s="115" t="b">
        <f ca="1">OR(CL418,AND(C418="净世破魔击·日",CL417,RAND()&lt;模拟模式!$U$23))</f>
        <v>0</v>
      </c>
      <c r="CN418" s="115" t="b">
        <f ca="1">IF(模拟模式!$M$7="辉耀红尘",AND(C418="净世破魔击·月",CL418,CV418=0,E417&lt;80),AND(C418="净世破魔击·月",CL418,E417&lt;100))</f>
        <v>0</v>
      </c>
      <c r="CO418" s="115" t="b">
        <f t="shared" ca="1" si="372"/>
        <v>0</v>
      </c>
      <c r="CP418" s="115" t="b">
        <f ca="1">AND(模拟模式!$O$7="用晦而明",OR(C418="净世破魔击·日",C418="净世破魔击·月",C418="驱夜断愁"),AB418)</f>
        <v>1</v>
      </c>
      <c r="CQ418" s="115" t="b">
        <f ca="1">OR(CP418,AND(CP417,RAND()&lt;模拟模式!$U$23))</f>
        <v>1</v>
      </c>
      <c r="CR418" s="115" t="b">
        <f ca="1">AND(模拟模式!$S$7="日月齐光",OR(C418="幽月轮1",C418="幽月轮2",C418="幽月轮3",CR417),NOT(OR(C418="赤日轮1",C418="赤日轮2",C418="赤日轮3")))</f>
        <v>0</v>
      </c>
      <c r="CS418" s="115" t="b">
        <f ca="1">AND(模拟模式!$S$7="日月齐光",OR(C418="赤日轮1",C418="赤日轮2",C418="赤日轮3",CS417),NOT(OR(C418="幽月轮1",C418="幽月轮2",C418="幽月轮3")))</f>
        <v>0</v>
      </c>
      <c r="CT418" s="115">
        <f t="shared" ca="1" si="400"/>
        <v>15.240000000000009</v>
      </c>
      <c r="CU418" s="115" t="b">
        <f ca="1">AND(模拟模式!$K$10="阴阳往极",CT417=0,RAND()&lt;IF(C418="净世破魔击·月",0.0275*7/3,IF(C418="净世破魔击·日",0.0275*3/3,0.0275*2/3)))</f>
        <v>0</v>
      </c>
      <c r="CV418" s="115">
        <f t="shared" ca="1" si="401"/>
        <v>0</v>
      </c>
      <c r="CW418" s="115">
        <f t="shared" ca="1" si="373"/>
        <v>0.46499999999999975</v>
      </c>
      <c r="CX418" s="115">
        <f t="shared" ca="1" si="374"/>
        <v>5.0774999999999997</v>
      </c>
      <c r="CY418" s="115">
        <f ca="1">MAX(IF($C418="驱夜断愁",IF(模拟模式!$R$7="万念俱寂",6,45),CY417-$F$4),0)</f>
        <v>6</v>
      </c>
      <c r="CZ418" s="115">
        <f t="shared" ca="1" si="375"/>
        <v>0</v>
      </c>
      <c r="DA418" s="115">
        <f ca="1">IF(模拟模式!$N$7="日月同辉",IF(DB417=2,0,MIN(6,IF(AND(OR(C418="赤日轮1",C418="赤日轮2",C418="赤日轮3",C418="幽月轮1",C418="幽月轮2",C418="幽月轮3"),AB418=1),DA417+1,DA417))),0)</f>
        <v>0</v>
      </c>
      <c r="DB418" s="115">
        <f t="shared" ca="1" si="376"/>
        <v>0</v>
      </c>
      <c r="DC418" s="115"/>
      <c r="DD418" s="115"/>
      <c r="DE418" s="115"/>
      <c r="DF418" s="115"/>
      <c r="DG418" s="115"/>
      <c r="DH418" s="115"/>
      <c r="DI418" s="115"/>
      <c r="DJ418" s="115"/>
      <c r="DK418" s="115"/>
      <c r="DL418" s="115"/>
      <c r="DM418" s="115"/>
    </row>
    <row r="419" spans="2:117" x14ac:dyDescent="0.2">
      <c r="B419" s="117">
        <f t="shared" si="377"/>
        <v>361.62000000000336</v>
      </c>
      <c r="C419" s="167" t="str">
        <f t="shared" ca="1" si="370"/>
        <v>烈日斩</v>
      </c>
      <c r="D419" s="115">
        <f ca="1">IF(C419="赤日轮1",1,IF(C419="赤日轮2",2,IF(C419="赤日轮3",3,IF(C419="幽月轮1",4,IF(C419="幽月轮2",5,IF(C419="幽月轮3",6,IF(C419="烈日斩",7,IF(C419="银月斩",8,IF(C419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419="净世破魔击·月",17,IF(C419="驱夜断愁",18,0)))))))))))</f>
        <v>7</v>
      </c>
      <c r="E419" s="115">
        <f ca="1">IF(AND(CU419,OR(C419="幽月轮1",C419="幽月轮2",C419="幽月轮3",C419="银月斩",C419="驱夜断愁",C419="净世破魔击·月")),100,MIN(IF(OR(CN419,BE419),0,IF(OR($C419="赤日轮1",$C419="赤日轮2",$C419="赤日轮3"),E418+20+IF(模拟模式!$I$7="日月凌天",4,0)+IF(CR418,20,0),IF($C419="烈日斩",E418+40,IF($C419="驱夜断愁",IF(模拟模式!$R$7="万念俱寂",E418+20,E418+60),IF($C419="净世破魔击·月",IF(OR(DB418&gt;0,CV418&gt;0),100,IF(模拟模式!$M$7="辉耀红尘",E418+20,E418)),IF($C419="净世破魔击·日",E418-100,E418)))))),100))</f>
        <v>80</v>
      </c>
      <c r="F419" s="115">
        <f ca="1">IF(AND(CU419,OR(C419="赤日轮1",C419="赤日轮2",C419="赤日轮3",C419="烈日斩",C419="净世破魔击·日")),100,MIN(IF(CO419,0,IF(OR($C419="幽月轮1",$C419="幽月轮2",$C419="幽月轮3"),F418+20+IF(模拟模式!$I$7="日月凌天",4,0)+IF(CS418,20,0),IF($C419="银月斩",F418+40+IF(模拟模式!$X$12=1,5,0),IF($C419="驱夜断愁",IF(模拟模式!$R$7="万念俱寂",F418+20,F418+60),IF($C419="净世破魔击·月",IF(模拟模式!$M$7="辉耀红尘",F418-80,F418-100),IF(AND(C419="净世破魔击·日",OR(DB418&gt;0,CV418&gt;0)),100,F418)))))),100))</f>
        <v>85</v>
      </c>
      <c r="G419" s="117">
        <f ca="1">('模拟-全程加成'!$E$3+'模拟-全程加成'!$E$4+'模拟-全程加成'!$E$5+('模拟-全程加成'!$C$6-'模拟-全程加成'!$C$3)*系数!$B$9+BS419*23)*(1+'模拟-全程加成'!$F$4+'模拟-全程加成'!$F$5+BJ419*10%+BM419*20%+BP419*4%+CG419*30%)+$F$7*系数!$B$12</f>
        <v>21493.829400000002</v>
      </c>
      <c r="H419" s="45">
        <f ca="1">'模拟-全程加成'!$H$3+'模拟-全程加成'!$H$4+'模拟-全程加成'!$H$5+('模拟-全程加成'!$G$4+'模拟-全程加成'!$G$5+('模拟-全程加成'!$C$6-'模拟-全程加成'!$C$3)*系数!$B$13)/系数!$B$3+LOOKUP(D419,'模拟-单技能数据'!$A$2:$A$19,'模拟-单技能数据'!$K$2:$K$19)+BG419*10%+IF(BV419&gt;0,378,0)</f>
        <v>0.56185145527300218</v>
      </c>
      <c r="I419" s="45">
        <f ca="1">'模拟-全程加成'!$J$3+'模拟-全程加成'!$J$4+'模拟-全程加成'!$J$5+('模拟-全程加成'!$I$4+'模拟-全程加成'!$I$5)/系数!$B$4+LOOKUP(D419,'模拟-单技能数据'!$A$2:$A$19,'模拟-单技能数据'!$L$2:$L$19)+BG419*10%</f>
        <v>2.2624828854998791</v>
      </c>
      <c r="J419" s="45">
        <f ca="1">(('模拟-全程加成'!$K$3+'模拟-全程加成'!$K$4+'模拟-全程加成'!$K$5+('模拟-全程加成'!$C$6-'模拟-全程加成'!$C$3)*系数!$B$10+IF(BV419&gt;0,882,0)+IF(BY419&gt;0,1831,0))*(1+'模拟-全程加成'!$L$4+'模拟-全程加成'!$L$5+CC419*20%))/系数!$B$5</f>
        <v>0.69723220422048726</v>
      </c>
      <c r="K419" s="119">
        <f ca="1">LOOKUP(D419,'模拟-单技能数据'!$A$2:$A$19,'模拟-单技能数据'!$J$2:$J$19)+IF(CM419,60%,0)+IF(DB418-DB419&gt;0,30%,0)+IF(OR(AND(OR(C419="赤日轮1",C419="赤日轮2",C419="赤日轮3"),CR419),AND(OR(C419="幽月轮1",C419="幽月轮2",C419="幽月轮3"),CS419)),35%,0)+CJ419</f>
        <v>0.24</v>
      </c>
      <c r="L419" s="119">
        <f ca="1">IF(AND(C419="烈日斩",模拟模式!$X$11=1),10%,0)+IF(AND(C419="驱夜断愁",AB419=1),30%,0)</f>
        <v>0.1</v>
      </c>
      <c r="M419" s="45">
        <f t="shared" ca="1" si="353"/>
        <v>0.56185145527300218</v>
      </c>
      <c r="N419" s="45">
        <f t="shared" ca="1" si="354"/>
        <v>0.38424854472699788</v>
      </c>
      <c r="O419" s="46">
        <f t="shared" ca="1" si="378"/>
        <v>0.63832905983990595</v>
      </c>
      <c r="P419" s="46" t="str">
        <f t="shared" ca="1" si="379"/>
        <v>命</v>
      </c>
      <c r="Q419" s="45">
        <f t="shared" ca="1" si="380"/>
        <v>1</v>
      </c>
      <c r="R419" s="117">
        <f ca="1">模拟模式!$E$20*(1-IF(模拟模式!$J$19="有",0.15,0))*(1-IF(模拟模式!$K$19="有",0.3,0)-IF(CQ419,0.5,0))</f>
        <v>843.02999999999975</v>
      </c>
      <c r="S419" s="45">
        <f ca="1">R419/(R419+(185*模拟模式!$E$22-16800)*4.08224)</f>
        <v>8.389626085980037E-2</v>
      </c>
      <c r="T419" s="45" t="str">
        <f ca="1">LOOKUP(D419,'模拟-单技能数据'!$A$2:$A$19,'模拟-单技能数据'!$H$2:$H$19)</f>
        <v>阳</v>
      </c>
      <c r="U419" s="119">
        <f t="shared" ca="1" si="355"/>
        <v>0.2</v>
      </c>
      <c r="V419" s="47">
        <f ca="1">(1+L419)*(LOOKUP(D419,'模拟-单技能数据'!$A$2:$A$19,'模拟-单技能数据'!$D$2:$D$19)+G419*LOOKUP(D419,'模拟-单技能数据'!$A$2:$A$19,'模拟-单技能数据'!$F$2:$F$19))*(1+J419)*(1+K419)*(1-S419)*(1+U419)*Q419*LOOKUP(D419,'模拟-单技能数据'!$A$2:$A$19,'模拟-单技能数据'!$I$2:$I$20)</f>
        <v>48841.631854871324</v>
      </c>
      <c r="W419" s="47">
        <f ca="1">LOOKUP(D419,'模拟-单技能数据'!$A$2:$A$19,'模拟-单技能数据'!$G$2:$G$19)*$I$10</f>
        <v>361.51064354704795</v>
      </c>
      <c r="X419" s="47">
        <f t="shared" ca="1" si="381"/>
        <v>11118.353508757338</v>
      </c>
      <c r="Y419" s="47">
        <f t="shared" ca="1" si="356"/>
        <v>60321.496007175709</v>
      </c>
      <c r="Z419" s="49">
        <f t="shared" ca="1" si="357"/>
        <v>40871786.545213662</v>
      </c>
      <c r="AA419" s="97">
        <f t="shared" ca="1" si="358"/>
        <v>113024.13181022422</v>
      </c>
      <c r="AB419" s="115">
        <f ca="1">IF(OR(C419="赤日轮1",C419="赤日轮2",C419="赤日轮3"),IF(RAND()&lt;模拟模式!$Y$17,1,0),IF(OR(C419="幽月轮1",C419="幽月轮2",C419="幽月轮3"),IF(RAND()&lt;模拟模式!$Y$18,1,0),IF(C419="烈日斩",IF(RAND()&lt;模拟模式!$Y$19,1,0),IF(C419="银月斩",IF(RAND()&lt;模拟模式!$Y$20,1,0),IF(C419="驱夜断愁",IF(RAND()&lt;模拟模式!$Y$21,1,0),IF(C419="净世破魔击·日",IF(RAND()&lt;模拟模式!$Y$22,1,0),IF(C419="净世破魔击·月",IF(RAND()&lt;模拟模式!$Y$23,1,0),0)))))))</f>
        <v>1</v>
      </c>
      <c r="AC419" s="115" t="b">
        <f t="shared" ca="1" si="346"/>
        <v>0</v>
      </c>
      <c r="AD419" s="115" t="b">
        <f t="shared" ca="1" si="366"/>
        <v>0</v>
      </c>
      <c r="AE419" s="115">
        <f t="shared" ca="1" si="367"/>
        <v>5</v>
      </c>
      <c r="AF419" s="47">
        <f ca="1">IF(AC419,('模拟-单技能数据'!$D$20+G419*'模拟-单技能数据'!$F$20)*(1+J419)*(1+'模拟-单技能数据'!$J$20)*(1+U419),0)</f>
        <v>0</v>
      </c>
      <c r="AG419" s="61">
        <f t="shared" ca="1" si="359"/>
        <v>0.64185145527300214</v>
      </c>
      <c r="AH419" s="61">
        <f t="shared" ca="1" si="360"/>
        <v>2.2624828854998791</v>
      </c>
      <c r="AI419" s="62">
        <f t="shared" ca="1" si="382"/>
        <v>0.41996613007735384</v>
      </c>
      <c r="AJ419" s="47">
        <f ca="1">IF(AD419,IF(AI419&lt;$F$10,0,IF(AI419&lt;$F$10+$F$11,0.25,IF(AI419&lt;$F$10+$F$11+AG419,AH419,1)))*IF(AF419&gt;0,AF419,IF(AF418&gt;0,AF418,IF(AF417&gt;0,AF417,IF(AF416&gt;0,AF416,IF(AF415&gt;0,AF415,IF(AF414&gt;0,AF414,IF(AF413&gt;0,AF413,IF(AF412&gt;0,AF412,IF(AF411&gt;0,AF411,IF(AF409&gt;0,AF409,IF(AF408&gt;0,AF408,IF(AF407&gt;0,AF407,0)))))))))))),0)*(1-$S419)*'模拟-单技能数据'!$I$20</f>
        <v>0</v>
      </c>
      <c r="AK419" s="115" t="b">
        <f t="shared" ca="1" si="347"/>
        <v>0</v>
      </c>
      <c r="AL419" s="115" t="b">
        <f t="shared" ca="1" si="368"/>
        <v>1</v>
      </c>
      <c r="AM419" s="115">
        <f t="shared" ca="1" si="369"/>
        <v>3</v>
      </c>
      <c r="AN419" s="47">
        <f ca="1">IF(AK419,('模拟-单技能数据'!$D$21+G419*'模拟-单技能数据'!$F$21)*(1+J419)*(1+'模拟-单技能数据'!$J$21)*(1+U419),0)</f>
        <v>0</v>
      </c>
      <c r="AO419" s="61">
        <f ca="1">IF(AN419&gt;0,M419-'模拟-单技能数据'!$K$10,AO418)</f>
        <v>0.42185145527300216</v>
      </c>
      <c r="AP419" s="61">
        <f ca="1">IF(AN419&gt;0,I419-'模拟-单技能数据'!$L$10,AP418)</f>
        <v>2.162482885499879</v>
      </c>
      <c r="AQ419" s="63">
        <f t="shared" ca="1" si="383"/>
        <v>0.68365819962669383</v>
      </c>
      <c r="AR419" s="64">
        <f ca="1">IF(AL419,IF(AQ419&lt;$F$10,0,IF(AQ419&lt;$F$10+$F$11,0.25,IF(AQ419&lt;$F$10+$F$11+AO419,AP419,1)))*IF(AN419&gt;0,AN419,IF(AN418&gt;0,AN418,IF(AN417&gt;0,AN417,IF(AN416&gt;0,AN416,IF(AN415&gt;0,AN415,IF(AN414&gt;0,AN414,IF(AN413&gt;0,AN413,IF(AN412&gt;0,AN412,IF(AN411&gt;0,AN411,IF(AN409&gt;0,AN409,IF(AN408&gt;0,AN408,IF(AN407&gt;0,AN407,0)))))))))))),0)*(1-$S419)*'模拟-单技能数据'!$I$21</f>
        <v>11118.353508757338</v>
      </c>
      <c r="AS419" s="61">
        <f ca="1">IF(OR(C419="净世破魔击·日",C419="净世破魔击·月"),M419-'模拟-单技能数据'!$K$10,0)</f>
        <v>0</v>
      </c>
      <c r="AT419" s="61">
        <f ca="1">IF(OR(C419="净世破魔击·日",C419="净世破魔击·月"),I419-'模拟-单技能数据'!$L$10,0)</f>
        <v>0</v>
      </c>
      <c r="AU419" s="62">
        <f t="shared" ca="1" si="384"/>
        <v>0.22486326256037592</v>
      </c>
      <c r="AV419" s="64">
        <f ca="1">IF(AS419&gt;0,('模拟-单技能数据'!$D$22+G419*'模拟-单技能数据'!$F$22)*(1+J419)*(1-S419)*IF(AU419&lt;$F$10,0,IF(AU419&lt;$F$10+$F$11,0.25,IF(AU419&lt;$F$10+$F$11+AS419,AT419,1)))*(1+U419),0)*'模拟-单技能数据'!$I$22</f>
        <v>0</v>
      </c>
      <c r="AW419" s="108">
        <f t="shared" ca="1" si="385"/>
        <v>12.620000000000005</v>
      </c>
      <c r="AX419" s="108" t="b">
        <f ca="1">AND(模拟模式!$P$10="有",AW418=0,RAND()&lt;IF(C419="净世破魔击·月",0.1*8/3,IF(C419="净世破魔击·日",0.1*4/3,0.1*2/3)))</f>
        <v>0</v>
      </c>
      <c r="AY419" s="47">
        <f ca="1">IF(AX419,(18+G419*0.722)*(1+J419)*(1-S419)*(1+$I$4)*IF(P419="会",'模拟-全程加成'!$J$3+'模拟-全程加成'!$J$4+'模拟-全程加成'!$J$5+('模拟-全程加成'!$I$4+'模拟-全程加成'!$I$5)/系数!$B$4+BG419*10%,IF(P419="命",1,IF(P419="识",0.25,0))),0)</f>
        <v>0</v>
      </c>
      <c r="AZ419" s="108">
        <f t="shared" si="386"/>
        <v>3.3950000000000062</v>
      </c>
      <c r="BA419" s="108" t="b">
        <f>AND(模拟模式!$Q$10="有",AZ418=0)</f>
        <v>0</v>
      </c>
      <c r="BB419" s="140">
        <f>IF(BA419,(0+G419*0.287)*(1+J419)*(1-S419)*(1+$I$4)*IF(P419="会",'模拟-全程加成'!$J$3+'模拟-全程加成'!$J$4+'模拟-全程加成'!$J$5+('模拟-全程加成'!$I$4+'模拟-全程加成'!$I$5)/系数!$B$4+BG419*10%,IF(P419="命",1,IF(P419="识",0.25,0))),0)</f>
        <v>0</v>
      </c>
      <c r="BC419" s="115" t="b">
        <f ca="1">AND(模拟模式!$R$7="伏明众生",E419=60,F419=20,DA419&lt;5,CZ418&lt;$F$4)</f>
        <v>0</v>
      </c>
      <c r="BD419" s="115">
        <f t="shared" ca="1" si="348"/>
        <v>0</v>
      </c>
      <c r="BE419" s="115" t="b">
        <f t="shared" ca="1" si="349"/>
        <v>0</v>
      </c>
      <c r="BF419" s="47">
        <f ca="1">IF(BC419,4*('模拟-单技能数据'!$D$24+G419*'模拟-单技能数据'!$F$24)*(1+J419)*(1+'模拟-单技能数据'!$J$24)*(1-S419)*(1+$I$3)*(('模拟-全程加成'!$J$3+'模拟-全程加成'!$J$4+'模拟-全程加成'!$J$5+('模拟-全程加成'!$I$4+'模拟-全程加成'!$I$5)/系数!$B$4+BG419*10%)*('模拟-全程加成'!$J$3+'模拟-全程加成'!$J$4+'模拟-全程加成'!$J$5+('模拟-全程加成'!$I$4+'模拟-全程加成'!$I$5)/系数!$B$4+BG419*10%)+(1-('模拟-全程加成'!$J$3+'模拟-全程加成'!$J$4+'模拟-全程加成'!$J$5+('模拟-全程加成'!$I$4+'模拟-全程加成'!$I$5)/系数!$B$4+BG419*10%)-$F$10-$F$11)+F405*0.25),0)*'模拟-单技能数据'!$I$24</f>
        <v>0</v>
      </c>
      <c r="BG419" s="115" t="b">
        <f ca="1">OR(AND(OR(C419="烈日斩",C419="银月斩"),模拟模式!$I$7="净身明礼"),AND(C419="净世破魔击·日",模拟模式!$J$7="洞若观火"),AND(C420="净世破魔击·月",模拟模式!$J$7="洞若观火"),AB419=1)</f>
        <v>1</v>
      </c>
      <c r="BH419" s="115" t="b">
        <f t="shared" ca="1" si="387"/>
        <v>0</v>
      </c>
      <c r="BI419" s="115">
        <f t="shared" ca="1" si="350"/>
        <v>3.2324999999999995</v>
      </c>
      <c r="BJ419" s="115" t="b">
        <f t="shared" ca="1" si="361"/>
        <v>1</v>
      </c>
      <c r="BK419" s="115" t="b">
        <f ca="1">AND(C419="驱夜断愁",模拟模式!$P$7="天地诛戮")</f>
        <v>0</v>
      </c>
      <c r="BL419" s="57">
        <f t="shared" ca="1" si="351"/>
        <v>19.077500000000001</v>
      </c>
      <c r="BM419" s="115" t="b">
        <f t="shared" ca="1" si="362"/>
        <v>1</v>
      </c>
      <c r="BN419" s="115" t="b">
        <f ca="1">AND(OR(C419="赤日轮1",C419="赤日轮2",C419="赤日轮3",C419="幽月轮1",C419="幽月轮2",C419="幽月轮3"),AB419=1,模拟模式!$L$7="明光恒照")</f>
        <v>0</v>
      </c>
      <c r="BO419" s="117">
        <f t="shared" ca="1" si="352"/>
        <v>24.465000000000003</v>
      </c>
      <c r="BP419" s="115">
        <f t="shared" ca="1" si="388"/>
        <v>6</v>
      </c>
      <c r="BQ419" s="115" t="b">
        <f>模拟模式!$K$10="2600·水"</f>
        <v>0</v>
      </c>
      <c r="BR419" s="117">
        <f t="shared" si="389"/>
        <v>0</v>
      </c>
      <c r="BS419" s="115">
        <f t="shared" si="390"/>
        <v>0</v>
      </c>
      <c r="BT419" s="115">
        <f t="shared" ca="1" si="391"/>
        <v>0</v>
      </c>
      <c r="BU419" s="115" t="b">
        <f ca="1">AND(模拟模式!$K$10="2300·雷",BT418=0,RAND()&lt;IF(C419="净世破魔击·月",5*0.05*2/3,IF(C419="净世破魔击·日",3*0.05*2/3,0.05*2*2/3)))</f>
        <v>0</v>
      </c>
      <c r="BV419" s="115">
        <f t="shared" ca="1" si="392"/>
        <v>0</v>
      </c>
      <c r="BW419" s="115">
        <f t="shared" ca="1" si="393"/>
        <v>10.259999999999309</v>
      </c>
      <c r="BX419" s="164" t="b">
        <f t="shared" ca="1" si="394"/>
        <v>0</v>
      </c>
      <c r="BY419" s="115">
        <f t="shared" ca="1" si="395"/>
        <v>0</v>
      </c>
      <c r="BZ419" s="115">
        <f>IF(OR(模拟模式!$P$16="10人团",模拟模式!$P$16="25人团"),IF(B419/30&gt;CA418,1,0),0)</f>
        <v>0</v>
      </c>
      <c r="CA419" s="115">
        <f t="shared" si="371"/>
        <v>0</v>
      </c>
      <c r="CB419" s="115">
        <f ca="1">IF(BZ419=1,IF(模拟模式!$P$16="10人团",15,0)+IF(模拟模式!$P$16="25人团",IF(RAND()&lt;0.6,15,0)),MAX(0,CB418-$F$4))</f>
        <v>0</v>
      </c>
      <c r="CC419" s="115" t="b">
        <f t="shared" ca="1" si="363"/>
        <v>0</v>
      </c>
      <c r="CD419" s="115">
        <f>IF(模拟模式!$Q$16="1个",IF(B419/40&gt;CE418,1,0),0)</f>
        <v>0</v>
      </c>
      <c r="CE419" s="115">
        <f t="shared" si="364"/>
        <v>0</v>
      </c>
      <c r="CF419" s="115">
        <f>IF(OR(CD419=1,模拟模式!$Q$16="2个"),20,MAX(0,CF418-$F$4))</f>
        <v>0</v>
      </c>
      <c r="CG419" s="115" t="b">
        <f t="shared" si="365"/>
        <v>0</v>
      </c>
      <c r="CH419" s="115">
        <f t="shared" ca="1" si="396"/>
        <v>10.627500000000012</v>
      </c>
      <c r="CI419" s="115" t="b">
        <f t="shared" ca="1" si="397"/>
        <v>0</v>
      </c>
      <c r="CJ419" s="119">
        <f t="shared" ca="1" si="398"/>
        <v>0</v>
      </c>
      <c r="CK419" s="115">
        <f t="shared" ca="1" si="399"/>
        <v>0</v>
      </c>
      <c r="CL419" s="115" t="b">
        <f ca="1">AND(模拟模式!$S$7="驱夷逐法",OR(AND(C419="净世破魔击·月",E418&gt;59),AND(C419="净世破魔击·日",F418&gt;59)))</f>
        <v>0</v>
      </c>
      <c r="CM419" s="115" t="b">
        <f ca="1">OR(CL419,AND(C419="净世破魔击·日",CL418,RAND()&lt;模拟模式!$U$23))</f>
        <v>0</v>
      </c>
      <c r="CN419" s="115" t="b">
        <f ca="1">IF(模拟模式!$M$7="辉耀红尘",AND(C419="净世破魔击·月",CL419,CV419=0,E418&lt;80),AND(C419="净世破魔击·月",CL419,E418&lt;100))</f>
        <v>0</v>
      </c>
      <c r="CO419" s="115" t="b">
        <f t="shared" ca="1" si="372"/>
        <v>0</v>
      </c>
      <c r="CP419" s="115" t="b">
        <f ca="1">AND(模拟模式!$O$7="用晦而明",OR(C419="净世破魔击·日",C419="净世破魔击·月",C419="驱夜断愁"),AB419)</f>
        <v>0</v>
      </c>
      <c r="CQ419" s="115" t="b">
        <f ca="1">OR(CP419,AND(CP418,RAND()&lt;模拟模式!$U$23))</f>
        <v>1</v>
      </c>
      <c r="CR419" s="115" t="b">
        <f ca="1">AND(模拟模式!$S$7="日月齐光",OR(C419="幽月轮1",C419="幽月轮2",C419="幽月轮3",CR418),NOT(OR(C419="赤日轮1",C419="赤日轮2",C419="赤日轮3")))</f>
        <v>0</v>
      </c>
      <c r="CS419" s="115" t="b">
        <f ca="1">AND(模拟模式!$S$7="日月齐光",OR(C419="赤日轮1",C419="赤日轮2",C419="赤日轮3",CS418),NOT(OR(C419="幽月轮1",C419="幽月轮2",C419="幽月轮3")))</f>
        <v>0</v>
      </c>
      <c r="CT419" s="115">
        <f t="shared" ca="1" si="400"/>
        <v>14.31750000000001</v>
      </c>
      <c r="CU419" s="115" t="b">
        <f ca="1">AND(模拟模式!$K$10="阴阳往极",CT418=0,RAND()&lt;IF(C419="净世破魔击·月",0.0275*7/3,IF(C419="净世破魔击·日",0.0275*3/3,0.0275*2/3)))</f>
        <v>0</v>
      </c>
      <c r="CV419" s="115">
        <f t="shared" ca="1" si="401"/>
        <v>0</v>
      </c>
      <c r="CW419" s="115">
        <f t="shared" ca="1" si="373"/>
        <v>6</v>
      </c>
      <c r="CX419" s="115">
        <f t="shared" ca="1" si="374"/>
        <v>4.1549999999999994</v>
      </c>
      <c r="CY419" s="115">
        <f ca="1">MAX(IF($C419="驱夜断愁",IF(模拟模式!$R$7="万念俱寂",6,45),CY418-$F$4),0)</f>
        <v>5.0774999999999997</v>
      </c>
      <c r="CZ419" s="115">
        <f t="shared" ca="1" si="375"/>
        <v>0</v>
      </c>
      <c r="DA419" s="115">
        <f ca="1">IF(模拟模式!$N$7="日月同辉",IF(DB418=2,0,MIN(6,IF(AND(OR(C419="赤日轮1",C419="赤日轮2",C419="赤日轮3",C419="幽月轮1",C419="幽月轮2",C419="幽月轮3"),AB419=1),DA418+1,DA418))),0)</f>
        <v>0</v>
      </c>
      <c r="DB419" s="115">
        <f t="shared" ca="1" si="376"/>
        <v>0</v>
      </c>
      <c r="DC419" s="115"/>
      <c r="DD419" s="115"/>
      <c r="DE419" s="115"/>
      <c r="DF419" s="115"/>
      <c r="DG419" s="115"/>
      <c r="DH419" s="115"/>
      <c r="DI419" s="115"/>
      <c r="DJ419" s="115"/>
      <c r="DK419" s="115"/>
      <c r="DL419" s="115"/>
      <c r="DM419" s="115"/>
    </row>
    <row r="420" spans="2:117" x14ac:dyDescent="0.2">
      <c r="B420" s="117">
        <f t="shared" si="377"/>
        <v>362.54250000000337</v>
      </c>
      <c r="C420" s="167" t="str">
        <f t="shared" ca="1" si="370"/>
        <v>幽月轮1</v>
      </c>
      <c r="D420" s="115">
        <f ca="1">IF(C420="赤日轮1",1,IF(C420="赤日轮2",2,IF(C420="赤日轮3",3,IF(C420="幽月轮1",4,IF(C420="幽月轮2",5,IF(C420="幽月轮3",6,IF(C420="烈日斩",7,IF(C420="银月斩",8,IF(C420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420="净世破魔击·月",17,IF(C420="驱夜断愁",18,0)))))))))))</f>
        <v>4</v>
      </c>
      <c r="E420" s="115">
        <f ca="1">IF(AND(CU420,OR(C420="幽月轮1",C420="幽月轮2",C420="幽月轮3",C420="银月斩",C420="驱夜断愁",C420="净世破魔击·月")),100,MIN(IF(OR(CN420,BE420),0,IF(OR($C420="赤日轮1",$C420="赤日轮2",$C420="赤日轮3"),E419+20+IF(模拟模式!$I$7="日月凌天",4,0)+IF(CR419,20,0),IF($C420="烈日斩",E419+40,IF($C420="驱夜断愁",IF(模拟模式!$R$7="万念俱寂",E419+20,E419+60),IF($C420="净世破魔击·月",IF(OR(DB419&gt;0,CV419&gt;0),100,IF(模拟模式!$M$7="辉耀红尘",E419+20,E419)),IF($C420="净世破魔击·日",E419-100,E419)))))),100))</f>
        <v>80</v>
      </c>
      <c r="F420" s="115">
        <f ca="1">IF(AND(CU420,OR(C420="赤日轮1",C420="赤日轮2",C420="赤日轮3",C420="烈日斩",C420="净世破魔击·日")),100,MIN(IF(CO420,0,IF(OR($C420="幽月轮1",$C420="幽月轮2",$C420="幽月轮3"),F419+20+IF(模拟模式!$I$7="日月凌天",4,0)+IF(CS419,20,0),IF($C420="银月斩",F419+40+IF(模拟模式!$X$12=1,5,0),IF($C420="驱夜断愁",IF(模拟模式!$R$7="万念俱寂",F419+20,F419+60),IF($C420="净世破魔击·月",IF(模拟模式!$M$7="辉耀红尘",F419-80,F419-100),IF(AND(C420="净世破魔击·日",OR(DB419&gt;0,CV419&gt;0)),100,F419)))))),100))</f>
        <v>100</v>
      </c>
      <c r="G420" s="117">
        <f ca="1">('模拟-全程加成'!$E$3+'模拟-全程加成'!$E$4+'模拟-全程加成'!$E$5+('模拟-全程加成'!$C$6-'模拟-全程加成'!$C$3)*系数!$B$9+BS420*23)*(1+'模拟-全程加成'!$F$4+'模拟-全程加成'!$F$5+BJ420*10%+BM420*20%+BP420*4%+CG420*30%)+$F$7*系数!$B$12</f>
        <v>21493.829400000002</v>
      </c>
      <c r="H420" s="45">
        <f ca="1">'模拟-全程加成'!$H$3+'模拟-全程加成'!$H$4+'模拟-全程加成'!$H$5+('模拟-全程加成'!$G$4+'模拟-全程加成'!$G$5+('模拟-全程加成'!$C$6-'模拟-全程加成'!$C$3)*系数!$B$13)/系数!$B$3+LOOKUP(D420,'模拟-单技能数据'!$A$2:$A$19,'模拟-单技能数据'!$K$2:$K$19)+BG420*10%+IF(BV420&gt;0,378,0)</f>
        <v>0.51185145527300213</v>
      </c>
      <c r="I420" s="45">
        <f ca="1">'模拟-全程加成'!$J$3+'模拟-全程加成'!$J$4+'模拟-全程加成'!$J$5+('模拟-全程加成'!$I$4+'模拟-全程加成'!$I$5)/系数!$B$4+LOOKUP(D420,'模拟-单技能数据'!$A$2:$A$19,'模拟-单技能数据'!$L$2:$L$19)+BG420*10%</f>
        <v>2.162482885499879</v>
      </c>
      <c r="J420" s="45">
        <f ca="1">(('模拟-全程加成'!$K$3+'模拟-全程加成'!$K$4+'模拟-全程加成'!$K$5+('模拟-全程加成'!$C$6-'模拟-全程加成'!$C$3)*系数!$B$10+IF(BV420&gt;0,882,0)+IF(BY420&gt;0,1831,0))*(1+'模拟-全程加成'!$L$4+'模拟-全程加成'!$L$5+CC420*20%))/系数!$B$5</f>
        <v>0.69723220422048726</v>
      </c>
      <c r="K420" s="119">
        <f ca="1">LOOKUP(D420,'模拟-单技能数据'!$A$2:$A$19,'模拟-单技能数据'!$J$2:$J$19)+IF(CM420,60%,0)+IF(DB419-DB420&gt;0,30%,0)+IF(OR(AND(OR(C420="赤日轮1",C420="赤日轮2",C420="赤日轮3"),CR420),AND(OR(C420="幽月轮1",C420="幽月轮2",C420="幽月轮3"),CS420)),35%,0)+CJ420</f>
        <v>7.0000000000000007E-2</v>
      </c>
      <c r="L420" s="119">
        <f ca="1">IF(AND(C420="烈日斩",模拟模式!$X$11=1),10%,0)+IF(AND(C420="驱夜断愁",AB420=1),30%,0)</f>
        <v>0</v>
      </c>
      <c r="M420" s="45">
        <f t="shared" ca="1" si="353"/>
        <v>0.51185145527300213</v>
      </c>
      <c r="N420" s="45">
        <f t="shared" ca="1" si="354"/>
        <v>0.43424854472699792</v>
      </c>
      <c r="O420" s="46">
        <f t="shared" ca="1" si="378"/>
        <v>0.93330178870333924</v>
      </c>
      <c r="P420" s="46" t="str">
        <f t="shared" ca="1" si="379"/>
        <v>命</v>
      </c>
      <c r="Q420" s="45">
        <f t="shared" ca="1" si="380"/>
        <v>1</v>
      </c>
      <c r="R420" s="117">
        <f ca="1">模拟模式!$E$20*(1-IF(模拟模式!$J$19="有",0.15,0))*(1-IF(模拟模式!$K$19="有",0.3,0)-IF(CQ420,0.5,0))</f>
        <v>2950.6049999999996</v>
      </c>
      <c r="S420" s="45">
        <f ca="1">R420/(R420+(185*模拟模式!$E$22-16800)*4.08224)</f>
        <v>0.24272716014590323</v>
      </c>
      <c r="T420" s="45" t="str">
        <f ca="1">LOOKUP(D420,'模拟-单技能数据'!$A$2:$A$19,'模拟-单技能数据'!$H$2:$H$19)</f>
        <v>阴</v>
      </c>
      <c r="U420" s="119">
        <f t="shared" ca="1" si="355"/>
        <v>0.08</v>
      </c>
      <c r="V420" s="47">
        <f ca="1">(1+L420)*(LOOKUP(D420,'模拟-单技能数据'!$A$2:$A$19,'模拟-单技能数据'!$D$2:$D$19)+G420*LOOKUP(D420,'模拟-单技能数据'!$A$2:$A$19,'模拟-单技能数据'!$F$2:$F$19))*(1+J420)*(1+K420)*(1-S420)*(1+U420)*Q420*LOOKUP(D420,'模拟-单技能数据'!$A$2:$A$19,'模拟-单技能数据'!$I$2:$I$20)</f>
        <v>16939.18703301924</v>
      </c>
      <c r="W420" s="47">
        <f ca="1">LOOKUP(D420,'模拟-单技能数据'!$A$2:$A$19,'模拟-单技能数据'!$G$2:$G$19)*$I$10</f>
        <v>361.51064354704795</v>
      </c>
      <c r="X420" s="47">
        <f t="shared" ca="1" si="381"/>
        <v>7949.3543492067038</v>
      </c>
      <c r="Y420" s="47">
        <f t="shared" ca="1" si="356"/>
        <v>25250.052025772991</v>
      </c>
      <c r="Z420" s="49">
        <f t="shared" ca="1" si="357"/>
        <v>40897036.597239435</v>
      </c>
      <c r="AA420" s="97">
        <f t="shared" ca="1" si="358"/>
        <v>112806.18574991636</v>
      </c>
      <c r="AB420" s="115">
        <f ca="1">IF(OR(C420="赤日轮1",C420="赤日轮2",C420="赤日轮3"),IF(RAND()&lt;模拟模式!$Y$17,1,0),IF(OR(C420="幽月轮1",C420="幽月轮2",C420="幽月轮3"),IF(RAND()&lt;模拟模式!$Y$18,1,0),IF(C420="烈日斩",IF(RAND()&lt;模拟模式!$Y$19,1,0),IF(C420="银月斩",IF(RAND()&lt;模拟模式!$Y$20,1,0),IF(C420="驱夜断愁",IF(RAND()&lt;模拟模式!$Y$21,1,0),IF(C420="净世破魔击·日",IF(RAND()&lt;模拟模式!$Y$22,1,0),IF(C420="净世破魔击·月",IF(RAND()&lt;模拟模式!$Y$23,1,0),0)))))))</f>
        <v>1</v>
      </c>
      <c r="AC420" s="115" t="b">
        <f t="shared" ca="1" si="346"/>
        <v>0</v>
      </c>
      <c r="AD420" s="115" t="b">
        <f t="shared" ca="1" si="366"/>
        <v>1</v>
      </c>
      <c r="AE420" s="115">
        <f t="shared" ca="1" si="367"/>
        <v>4</v>
      </c>
      <c r="AF420" s="47">
        <f ca="1">IF(AC420,('模拟-单技能数据'!$D$20+G420*'模拟-单技能数据'!$F$20)*(1+J420)*(1+'模拟-单技能数据'!$J$20)*(1+U420),0)</f>
        <v>0</v>
      </c>
      <c r="AG420" s="61">
        <f t="shared" ca="1" si="359"/>
        <v>0.64185145527300214</v>
      </c>
      <c r="AH420" s="61">
        <f t="shared" ca="1" si="360"/>
        <v>2.2624828854998791</v>
      </c>
      <c r="AI420" s="62">
        <f t="shared" ca="1" si="382"/>
        <v>0.44841259516684717</v>
      </c>
      <c r="AJ420" s="47">
        <f ca="1">IF(AD420,IF(AI420&lt;$F$10,0,IF(AI420&lt;$F$10+$F$11,0.25,IF(AI420&lt;$F$10+$F$11+AG420,AH420,1)))*IF(AF420&gt;0,AF420,IF(AF419&gt;0,AF419,IF(AF418&gt;0,AF418,IF(AF417&gt;0,AF417,IF(AF416&gt;0,AF416,IF(AF415&gt;0,AF415,IF(AF414&gt;0,AF414,IF(AF413&gt;0,AF413,IF(AF412&gt;0,AF412,IF(AF410&gt;0,AF410,IF(AF409&gt;0,AF409,IF(AF408&gt;0,AF408,0)))))))))))),0)*(1-$S420)*'模拟-单技能数据'!$I$20</f>
        <v>7949.3543492067038</v>
      </c>
      <c r="AK420" s="115" t="b">
        <f t="shared" ca="1" si="347"/>
        <v>0</v>
      </c>
      <c r="AL420" s="115" t="b">
        <f t="shared" ca="1" si="368"/>
        <v>0</v>
      </c>
      <c r="AM420" s="115">
        <f t="shared" ca="1" si="369"/>
        <v>3</v>
      </c>
      <c r="AN420" s="47">
        <f ca="1">IF(AK420,('模拟-单技能数据'!$D$21+G420*'模拟-单技能数据'!$F$21)*(1+J420)*(1+'模拟-单技能数据'!$J$21)*(1+U420),0)</f>
        <v>0</v>
      </c>
      <c r="AO420" s="61">
        <f ca="1">IF(AN420&gt;0,M420-'模拟-单技能数据'!$K$10,AO419)</f>
        <v>0.42185145527300216</v>
      </c>
      <c r="AP420" s="61">
        <f ca="1">IF(AN420&gt;0,I420-'模拟-单技能数据'!$L$10,AP419)</f>
        <v>2.162482885499879</v>
      </c>
      <c r="AQ420" s="63">
        <f t="shared" ca="1" si="383"/>
        <v>0.58667923597987048</v>
      </c>
      <c r="AR420" s="64">
        <f ca="1">IF(AL420,IF(AQ420&lt;$F$10,0,IF(AQ420&lt;$F$10+$F$11,0.25,IF(AQ420&lt;$F$10+$F$11+AO420,AP420,1)))*IF(AN420&gt;0,AN420,IF(AN419&gt;0,AN419,IF(AN418&gt;0,AN418,IF(AN417&gt;0,AN417,IF(AN416&gt;0,AN416,IF(AN415&gt;0,AN415,IF(AN414&gt;0,AN414,IF(AN413&gt;0,AN413,IF(AN412&gt;0,AN412,IF(AN410&gt;0,AN410,IF(AN409&gt;0,AN409,IF(AN408&gt;0,AN408,0)))))))))))),0)*(1-$S420)*'模拟-单技能数据'!$I$21</f>
        <v>0</v>
      </c>
      <c r="AS420" s="61">
        <f ca="1">IF(OR(C420="净世破魔击·日",C420="净世破魔击·月"),M420-'模拟-单技能数据'!$K$10,0)</f>
        <v>0</v>
      </c>
      <c r="AT420" s="61">
        <f ca="1">IF(OR(C420="净世破魔击·日",C420="净世破魔击·月"),I420-'模拟-单技能数据'!$L$10,0)</f>
        <v>0</v>
      </c>
      <c r="AU420" s="62">
        <f t="shared" ca="1" si="384"/>
        <v>0.34035015089416254</v>
      </c>
      <c r="AV420" s="64">
        <f ca="1">IF(AS420&gt;0,('模拟-单技能数据'!$D$22+G420*'模拟-单技能数据'!$F$22)*(1+J420)*(1-S420)*IF(AU420&lt;$F$10,0,IF(AU420&lt;$F$10+$F$11,0.25,IF(AU420&lt;$F$10+$F$11+AS420,AT420,1)))*(1+U420),0)*'模拟-单技能数据'!$I$22</f>
        <v>0</v>
      </c>
      <c r="AW420" s="108">
        <f t="shared" ca="1" si="385"/>
        <v>11.697500000000005</v>
      </c>
      <c r="AX420" s="108" t="b">
        <f ca="1">AND(模拟模式!$P$10="有",AW419=0,RAND()&lt;IF(C420="净世破魔击·月",0.1*8/3,IF(C420="净世破魔击·日",0.1*4/3,0.1*2/3)))</f>
        <v>0</v>
      </c>
      <c r="AY420" s="47">
        <f ca="1">IF(AX420,(18+G420*0.722)*(1+J420)*(1-S420)*(1+$I$4)*IF(P420="会",'模拟-全程加成'!$J$3+'模拟-全程加成'!$J$4+'模拟-全程加成'!$J$5+('模拟-全程加成'!$I$4+'模拟-全程加成'!$I$5)/系数!$B$4+BG420*10%,IF(P420="命",1,IF(P420="识",0.25,0))),0)</f>
        <v>0</v>
      </c>
      <c r="AZ420" s="108">
        <f t="shared" si="386"/>
        <v>2.4725000000000064</v>
      </c>
      <c r="BA420" s="108" t="b">
        <f>AND(模拟模式!$Q$10="有",AZ419=0)</f>
        <v>0</v>
      </c>
      <c r="BB420" s="140">
        <f>IF(BA420,(0+G420*0.287)*(1+J420)*(1-S420)*(1+$I$4)*IF(P420="会",'模拟-全程加成'!$J$3+'模拟-全程加成'!$J$4+'模拟-全程加成'!$J$5+('模拟-全程加成'!$I$4+'模拟-全程加成'!$I$5)/系数!$B$4+BG420*10%,IF(P420="命",1,IF(P420="识",0.25,0))),0)</f>
        <v>0</v>
      </c>
      <c r="BC420" s="115" t="b">
        <f ca="1">AND(模拟模式!$R$7="伏明众生",E420=60,F420=20,DA420&lt;5,CZ419&lt;$F$4)</f>
        <v>0</v>
      </c>
      <c r="BD420" s="115">
        <f t="shared" ca="1" si="348"/>
        <v>0</v>
      </c>
      <c r="BE420" s="115" t="b">
        <f t="shared" ca="1" si="349"/>
        <v>0</v>
      </c>
      <c r="BF420" s="47">
        <f ca="1">IF(BC420,4*('模拟-单技能数据'!$D$24+G420*'模拟-单技能数据'!$F$24)*(1+J420)*(1+'模拟-单技能数据'!$J$24)*(1-S420)*(1+$I$3)*(('模拟-全程加成'!$J$3+'模拟-全程加成'!$J$4+'模拟-全程加成'!$J$5+('模拟-全程加成'!$I$4+'模拟-全程加成'!$I$5)/系数!$B$4+BG420*10%)*('模拟-全程加成'!$J$3+'模拟-全程加成'!$J$4+'模拟-全程加成'!$J$5+('模拟-全程加成'!$I$4+'模拟-全程加成'!$I$5)/系数!$B$4+BG420*10%)+(1-('模拟-全程加成'!$J$3+'模拟-全程加成'!$J$4+'模拟-全程加成'!$J$5+('模拟-全程加成'!$I$4+'模拟-全程加成'!$I$5)/系数!$B$4+BG420*10%)-$F$10-$F$11)+F406*0.25),0)*'模拟-单技能数据'!$I$24</f>
        <v>0</v>
      </c>
      <c r="BG420" s="115" t="b">
        <f ca="1">OR(AND(OR(C420="烈日斩",C420="银月斩"),模拟模式!$I$7="净身明礼"),AND(C420="净世破魔击·日",模拟模式!$J$7="洞若观火"),AND(C421="净世破魔击·月",模拟模式!$J$7="洞若观火"),AB420=1)</f>
        <v>1</v>
      </c>
      <c r="BH420" s="115" t="b">
        <f t="shared" ca="1" si="387"/>
        <v>0</v>
      </c>
      <c r="BI420" s="115">
        <f t="shared" ca="1" si="350"/>
        <v>2.3099999999999996</v>
      </c>
      <c r="BJ420" s="115" t="b">
        <f t="shared" ca="1" si="361"/>
        <v>1</v>
      </c>
      <c r="BK420" s="115" t="b">
        <f ca="1">AND(C420="驱夜断愁",模拟模式!$P$7="天地诛戮")</f>
        <v>0</v>
      </c>
      <c r="BL420" s="57">
        <f t="shared" ca="1" si="351"/>
        <v>18.155000000000001</v>
      </c>
      <c r="BM420" s="115" t="b">
        <f t="shared" ca="1" si="362"/>
        <v>1</v>
      </c>
      <c r="BN420" s="115" t="b">
        <f ca="1">AND(OR(C420="赤日轮1",C420="赤日轮2",C420="赤日轮3",C420="幽月轮1",C420="幽月轮2",C420="幽月轮3"),AB420=1,模拟模式!$L$7="明光恒照")</f>
        <v>1</v>
      </c>
      <c r="BO420" s="117">
        <f t="shared" ca="1" si="352"/>
        <v>30</v>
      </c>
      <c r="BP420" s="115">
        <f t="shared" ca="1" si="388"/>
        <v>6</v>
      </c>
      <c r="BQ420" s="115" t="b">
        <f>模拟模式!$K$10="2600·水"</f>
        <v>0</v>
      </c>
      <c r="BR420" s="117">
        <f t="shared" si="389"/>
        <v>0</v>
      </c>
      <c r="BS420" s="115">
        <f t="shared" si="390"/>
        <v>0</v>
      </c>
      <c r="BT420" s="115">
        <f t="shared" ca="1" si="391"/>
        <v>0</v>
      </c>
      <c r="BU420" s="115" t="b">
        <f ca="1">AND(模拟模式!$K$10="2300·雷",BT419=0,RAND()&lt;IF(C420="净世破魔击·月",5*0.05*2/3,IF(C420="净世破魔击·日",3*0.05*2/3,0.05*2*2/3)))</f>
        <v>0</v>
      </c>
      <c r="BV420" s="115">
        <f t="shared" ca="1" si="392"/>
        <v>0</v>
      </c>
      <c r="BW420" s="115">
        <f t="shared" ca="1" si="393"/>
        <v>9.3374999999993094</v>
      </c>
      <c r="BX420" s="164" t="b">
        <f t="shared" ca="1" si="394"/>
        <v>0</v>
      </c>
      <c r="BY420" s="115">
        <f t="shared" ca="1" si="395"/>
        <v>0</v>
      </c>
      <c r="BZ420" s="115">
        <f>IF(OR(模拟模式!$P$16="10人团",模拟模式!$P$16="25人团"),IF(B420/30&gt;CA419,1,0),0)</f>
        <v>0</v>
      </c>
      <c r="CA420" s="115">
        <f t="shared" si="371"/>
        <v>0</v>
      </c>
      <c r="CB420" s="115">
        <f ca="1">IF(BZ420=1,IF(模拟模式!$P$16="10人团",15,0)+IF(模拟模式!$P$16="25人团",IF(RAND()&lt;0.6,15,0)),MAX(0,CB419-$F$4))</f>
        <v>0</v>
      </c>
      <c r="CC420" s="115" t="b">
        <f t="shared" ca="1" si="363"/>
        <v>0</v>
      </c>
      <c r="CD420" s="115">
        <f>IF(模拟模式!$Q$16="1个",IF(B420/40&gt;CE419,1,0),0)</f>
        <v>0</v>
      </c>
      <c r="CE420" s="115">
        <f t="shared" si="364"/>
        <v>0</v>
      </c>
      <c r="CF420" s="115">
        <f>IF(OR(CD420=1,模拟模式!$Q$16="2个"),20,MAX(0,CF419-$F$4))</f>
        <v>0</v>
      </c>
      <c r="CG420" s="115" t="b">
        <f t="shared" si="365"/>
        <v>0</v>
      </c>
      <c r="CH420" s="115">
        <f t="shared" ca="1" si="396"/>
        <v>9.7050000000000125</v>
      </c>
      <c r="CI420" s="115" t="b">
        <f t="shared" ca="1" si="397"/>
        <v>0</v>
      </c>
      <c r="CJ420" s="119">
        <f t="shared" ca="1" si="398"/>
        <v>0</v>
      </c>
      <c r="CK420" s="115">
        <f t="shared" ca="1" si="399"/>
        <v>0</v>
      </c>
      <c r="CL420" s="115" t="b">
        <f ca="1">AND(模拟模式!$S$7="驱夷逐法",OR(AND(C420="净世破魔击·月",E419&gt;59),AND(C420="净世破魔击·日",F419&gt;59)))</f>
        <v>0</v>
      </c>
      <c r="CM420" s="115" t="b">
        <f ca="1">OR(CL420,AND(C420="净世破魔击·日",CL419,RAND()&lt;模拟模式!$U$23))</f>
        <v>0</v>
      </c>
      <c r="CN420" s="115" t="b">
        <f ca="1">IF(模拟模式!$M$7="辉耀红尘",AND(C420="净世破魔击·月",CL420,CV420=0,E419&lt;80),AND(C420="净世破魔击·月",CL420,E419&lt;100))</f>
        <v>0</v>
      </c>
      <c r="CO420" s="115" t="b">
        <f t="shared" ca="1" si="372"/>
        <v>0</v>
      </c>
      <c r="CP420" s="115" t="b">
        <f ca="1">AND(模拟模式!$O$7="用晦而明",OR(C420="净世破魔击·日",C420="净世破魔击·月",C420="驱夜断愁"),AB420)</f>
        <v>0</v>
      </c>
      <c r="CQ420" s="115" t="b">
        <f ca="1">OR(CP420,AND(CP419,RAND()&lt;模拟模式!$U$23))</f>
        <v>0</v>
      </c>
      <c r="CR420" s="115" t="b">
        <f ca="1">AND(模拟模式!$S$7="日月齐光",OR(C420="幽月轮1",C420="幽月轮2",C420="幽月轮3",CR419),NOT(OR(C420="赤日轮1",C420="赤日轮2",C420="赤日轮3")))</f>
        <v>0</v>
      </c>
      <c r="CS420" s="115" t="b">
        <f ca="1">AND(模拟模式!$S$7="日月齐光",OR(C420="赤日轮1",C420="赤日轮2",C420="赤日轮3",CS419),NOT(OR(C420="幽月轮1",C420="幽月轮2",C420="幽月轮3")))</f>
        <v>0</v>
      </c>
      <c r="CT420" s="115">
        <f t="shared" ca="1" si="400"/>
        <v>13.39500000000001</v>
      </c>
      <c r="CU420" s="115" t="b">
        <f ca="1">AND(模拟模式!$K$10="阴阳往极",CT419=0,RAND()&lt;IF(C420="净世破魔击·月",0.0275*7/3,IF(C420="净世破魔击·日",0.0275*3/3,0.0275*2/3)))</f>
        <v>0</v>
      </c>
      <c r="CV420" s="115">
        <f t="shared" ca="1" si="401"/>
        <v>0</v>
      </c>
      <c r="CW420" s="115">
        <f t="shared" ca="1" si="373"/>
        <v>5.0774999999999997</v>
      </c>
      <c r="CX420" s="115">
        <f t="shared" ca="1" si="374"/>
        <v>3.2324999999999995</v>
      </c>
      <c r="CY420" s="115">
        <f ca="1">MAX(IF($C420="驱夜断愁",IF(模拟模式!$R$7="万念俱寂",6,45),CY419-$F$4),0)</f>
        <v>4.1549999999999994</v>
      </c>
      <c r="CZ420" s="115">
        <f t="shared" ca="1" si="375"/>
        <v>0</v>
      </c>
      <c r="DA420" s="115">
        <f ca="1">IF(模拟模式!$N$7="日月同辉",IF(DB419=2,0,MIN(6,IF(AND(OR(C420="赤日轮1",C420="赤日轮2",C420="赤日轮3",C420="幽月轮1",C420="幽月轮2",C420="幽月轮3"),AB420=1),DA419+1,DA419))),0)</f>
        <v>1</v>
      </c>
      <c r="DB420" s="115">
        <f t="shared" ca="1" si="376"/>
        <v>0</v>
      </c>
      <c r="DC420" s="115"/>
      <c r="DD420" s="115"/>
      <c r="DE420" s="115"/>
      <c r="DF420" s="115"/>
      <c r="DG420" s="115"/>
      <c r="DH420" s="115"/>
      <c r="DI420" s="115"/>
      <c r="DJ420" s="115"/>
      <c r="DK420" s="115"/>
      <c r="DL420" s="115"/>
      <c r="DM420" s="115"/>
    </row>
    <row r="421" spans="2:117" x14ac:dyDescent="0.2">
      <c r="B421" s="117">
        <f t="shared" si="377"/>
        <v>363.46500000000339</v>
      </c>
      <c r="C421" s="167" t="str">
        <f t="shared" ca="1" si="370"/>
        <v>净世破魔击·月</v>
      </c>
      <c r="D421" s="115">
        <f ca="1">IF(C421="赤日轮1",1,IF(C421="赤日轮2",2,IF(C421="赤日轮3",3,IF(C421="幽月轮1",4,IF(C421="幽月轮2",5,IF(C421="幽月轮3",6,IF(C421="烈日斩",7,IF(C421="银月斩",8,IF(C421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421="净世破魔击·月",17,IF(C421="驱夜断愁",18,0)))))))))))</f>
        <v>17</v>
      </c>
      <c r="E421" s="115">
        <f ca="1">IF(AND(CU421,OR(C421="幽月轮1",C421="幽月轮2",C421="幽月轮3",C421="银月斩",C421="驱夜断愁",C421="净世破魔击·月")),100,MIN(IF(OR(CN421,BE421),0,IF(OR($C421="赤日轮1",$C421="赤日轮2",$C421="赤日轮3"),E420+20+IF(模拟模式!$I$7="日月凌天",4,0)+IF(CR420,20,0),IF($C421="烈日斩",E420+40,IF($C421="驱夜断愁",IF(模拟模式!$R$7="万念俱寂",E420+20,E420+60),IF($C421="净世破魔击·月",IF(OR(DB420&gt;0,CV420&gt;0),100,IF(模拟模式!$M$7="辉耀红尘",E420+20,E420)),IF($C421="净世破魔击·日",E420-100,E420)))))),100))</f>
        <v>100</v>
      </c>
      <c r="F421" s="115">
        <f ca="1">IF(AND(CU421,OR(C421="赤日轮1",C421="赤日轮2",C421="赤日轮3",C421="烈日斩",C421="净世破魔击·日")),100,MIN(IF(CO421,0,IF(OR($C421="幽月轮1",$C421="幽月轮2",$C421="幽月轮3"),F420+20+IF(模拟模式!$I$7="日月凌天",4,0)+IF(CS420,20,0),IF($C421="银月斩",F420+40+IF(模拟模式!$X$12=1,5,0),IF($C421="驱夜断愁",IF(模拟模式!$R$7="万念俱寂",F420+20,F420+60),IF($C421="净世破魔击·月",IF(模拟模式!$M$7="辉耀红尘",F420-80,F420-100),IF(AND(C421="净世破魔击·日",OR(DB420&gt;0,CV420&gt;0)),100,F420)))))),100))</f>
        <v>20</v>
      </c>
      <c r="G421" s="117">
        <f ca="1">('模拟-全程加成'!$E$3+'模拟-全程加成'!$E$4+'模拟-全程加成'!$E$5+('模拟-全程加成'!$C$6-'模拟-全程加成'!$C$3)*系数!$B$9+BS421*23)*(1+'模拟-全程加成'!$F$4+'模拟-全程加成'!$F$5+BJ421*10%+BM421*20%+BP421*4%+CG421*30%)+$F$7*系数!$B$12</f>
        <v>21493.829400000002</v>
      </c>
      <c r="H421" s="45">
        <f ca="1">'模拟-全程加成'!$H$3+'模拟-全程加成'!$H$4+'模拟-全程加成'!$H$5+('模拟-全程加成'!$G$4+'模拟-全程加成'!$G$5+('模拟-全程加成'!$C$6-'模拟-全程加成'!$C$3)*系数!$B$13)/系数!$B$3+LOOKUP(D421,'模拟-单技能数据'!$A$2:$A$19,'模拟-单技能数据'!$K$2:$K$19)+BG421*10%+IF(BV421&gt;0,378,0)</f>
        <v>0.54185145527300216</v>
      </c>
      <c r="I421" s="45">
        <f ca="1">'模拟-全程加成'!$J$3+'模拟-全程加成'!$J$4+'模拟-全程加成'!$J$5+('模拟-全程加成'!$I$4+'模拟-全程加成'!$I$5)/系数!$B$4+LOOKUP(D421,'模拟-单技能数据'!$A$2:$A$19,'模拟-单技能数据'!$L$2:$L$19)+BG421*10%</f>
        <v>2.162482885499879</v>
      </c>
      <c r="J421" s="45">
        <f ca="1">(('模拟-全程加成'!$K$3+'模拟-全程加成'!$K$4+'模拟-全程加成'!$K$5+('模拟-全程加成'!$C$6-'模拟-全程加成'!$C$3)*系数!$B$10+IF(BV421&gt;0,882,0)+IF(BY421&gt;0,1831,0))*(1+'模拟-全程加成'!$L$4+'模拟-全程加成'!$L$5+CC421*20%))/系数!$B$5</f>
        <v>0.69723220422048726</v>
      </c>
      <c r="K421" s="119">
        <f ca="1">LOOKUP(D421,'模拟-单技能数据'!$A$2:$A$19,'模拟-单技能数据'!$J$2:$J$19)+IF(CM421,60%,0)+IF(DB420-DB421&gt;0,30%,0)+IF(OR(AND(OR(C421="赤日轮1",C421="赤日轮2",C421="赤日轮3"),CR421),AND(OR(C421="幽月轮1",C421="幽月轮2",C421="幽月轮3"),CS421)),35%,0)+CJ421</f>
        <v>0.8</v>
      </c>
      <c r="L421" s="119">
        <f ca="1">IF(AND(C421="烈日斩",模拟模式!$X$11=1),10%,0)+IF(AND(C421="驱夜断愁",AB421=1),30%,0)</f>
        <v>0</v>
      </c>
      <c r="M421" s="45">
        <f t="shared" ca="1" si="353"/>
        <v>0.54185145527300216</v>
      </c>
      <c r="N421" s="45">
        <f t="shared" ca="1" si="354"/>
        <v>0.40424854472699789</v>
      </c>
      <c r="O421" s="46">
        <f t="shared" ca="1" si="378"/>
        <v>0.85300122359547925</v>
      </c>
      <c r="P421" s="46" t="str">
        <f t="shared" ca="1" si="379"/>
        <v>命</v>
      </c>
      <c r="Q421" s="45">
        <f t="shared" ca="1" si="380"/>
        <v>1</v>
      </c>
      <c r="R421" s="117">
        <f ca="1">模拟模式!$E$20*(1-IF(模拟模式!$J$19="有",0.15,0))*(1-IF(模拟模式!$K$19="有",0.3,0)-IF(CQ421,0.5,0))</f>
        <v>843.02999999999975</v>
      </c>
      <c r="S421" s="45">
        <f ca="1">R421/(R421+(185*模拟模式!$E$22-16800)*4.08224)</f>
        <v>8.389626085980037E-2</v>
      </c>
      <c r="T421" s="45" t="str">
        <f ca="1">LOOKUP(D421,'模拟-单技能数据'!$A$2:$A$19,'模拟-单技能数据'!$H$2:$H$19)</f>
        <v>阴</v>
      </c>
      <c r="U421" s="119">
        <f t="shared" ca="1" si="355"/>
        <v>0.08</v>
      </c>
      <c r="V421" s="47">
        <f ca="1">(1+L421)*(LOOKUP(D421,'模拟-单技能数据'!$A$2:$A$19,'模拟-单技能数据'!$D$2:$D$19)+G421*LOOKUP(D421,'模拟-单技能数据'!$A$2:$A$19,'模拟-单技能数据'!$F$2:$F$19))*(1+J421)*(1+K421)*(1-S421)*(1+U421)*Q421*LOOKUP(D421,'模拟-单技能数据'!$A$2:$A$19,'模拟-单技能数据'!$I$2:$I$20)</f>
        <v>84412.793434348554</v>
      </c>
      <c r="W421" s="47">
        <f ca="1">LOOKUP(D421,'模拟-单技能数据'!$A$2:$A$19,'模拟-单技能数据'!$G$2:$G$19)*$I$10</f>
        <v>361.51064354704795</v>
      </c>
      <c r="X421" s="47">
        <f t="shared" ca="1" si="381"/>
        <v>26032.301866968133</v>
      </c>
      <c r="Y421" s="47">
        <f t="shared" ca="1" si="356"/>
        <v>110806.60594486374</v>
      </c>
      <c r="Z421" s="49">
        <f t="shared" ca="1" si="357"/>
        <v>41007843.203184299</v>
      </c>
      <c r="AA421" s="97">
        <f t="shared" ca="1" si="358"/>
        <v>112824.73746628677</v>
      </c>
      <c r="AB421" s="115">
        <f ca="1">IF(OR(C421="赤日轮1",C421="赤日轮2",C421="赤日轮3"),IF(RAND()&lt;模拟模式!$Y$17,1,0),IF(OR(C421="幽月轮1",C421="幽月轮2",C421="幽月轮3"),IF(RAND()&lt;模拟模式!$Y$18,1,0),IF(C421="烈日斩",IF(RAND()&lt;模拟模式!$Y$19,1,0),IF(C421="银月斩",IF(RAND()&lt;模拟模式!$Y$20,1,0),IF(C421="驱夜断愁",IF(RAND()&lt;模拟模式!$Y$21,1,0),IF(C421="净世破魔击·日",IF(RAND()&lt;模拟模式!$Y$22,1,0),IF(C421="净世破魔击·月",IF(RAND()&lt;模拟模式!$Y$23,1,0),0)))))))</f>
        <v>1</v>
      </c>
      <c r="AC421" s="115" t="b">
        <f t="shared" ca="1" si="346"/>
        <v>0</v>
      </c>
      <c r="AD421" s="115" t="b">
        <f t="shared" ca="1" si="366"/>
        <v>0</v>
      </c>
      <c r="AE421" s="115">
        <f t="shared" ca="1" si="367"/>
        <v>4</v>
      </c>
      <c r="AF421" s="47">
        <f ca="1">IF(AC421,('模拟-单技能数据'!$D$20+G421*'模拟-单技能数据'!$F$20)*(1+J421)*(1+'模拟-单技能数据'!$J$20)*(1+U421),0)</f>
        <v>0</v>
      </c>
      <c r="AG421" s="61">
        <f t="shared" ca="1" si="359"/>
        <v>0.64185145527300214</v>
      </c>
      <c r="AH421" s="61">
        <f t="shared" ca="1" si="360"/>
        <v>2.2624828854998791</v>
      </c>
      <c r="AI421" s="62">
        <f t="shared" ca="1" si="382"/>
        <v>0.78910474035253997</v>
      </c>
      <c r="AJ421" s="47">
        <f ca="1">IF(AD421,IF(AI421&lt;$F$10,0,IF(AI421&lt;$F$10+$F$11,0.25,IF(AI421&lt;$F$10+$F$11+AG421,AH421,1)))*IF(AF421&gt;0,AF421,IF(AF420&gt;0,AF420,IF(AF419&gt;0,AF419,IF(AF418&gt;0,AF418,IF(AF417&gt;0,AF417,IF(AF416&gt;0,AF416,IF(AF415&gt;0,AF415,IF(AF414&gt;0,AF414,IF(AF413&gt;0,AF413,IF(AF411&gt;0,AF411,IF(AF410&gt;0,AF410,IF(AF409&gt;0,AF409,0)))))))))))),0)*(1-$S421)*'模拟-单技能数据'!$I$20</f>
        <v>0</v>
      </c>
      <c r="AK421" s="115" t="b">
        <f t="shared" ca="1" si="347"/>
        <v>0</v>
      </c>
      <c r="AL421" s="115" t="b">
        <f t="shared" ca="1" si="368"/>
        <v>1</v>
      </c>
      <c r="AM421" s="115">
        <f t="shared" ca="1" si="369"/>
        <v>2</v>
      </c>
      <c r="AN421" s="47">
        <f ca="1">IF(AK421,('模拟-单技能数据'!$D$21+G421*'模拟-单技能数据'!$F$21)*(1+J421)*(1+'模拟-单技能数据'!$J$21)*(1+U421),0)</f>
        <v>0</v>
      </c>
      <c r="AO421" s="61">
        <f ca="1">IF(AN421&gt;0,M421-'模拟-单技能数据'!$K$10,AO420)</f>
        <v>0.42185145527300216</v>
      </c>
      <c r="AP421" s="61">
        <f ca="1">IF(AN421&gt;0,I421-'模拟-单技能数据'!$L$10,AP420)</f>
        <v>2.162482885499879</v>
      </c>
      <c r="AQ421" s="63">
        <f t="shared" ca="1" si="383"/>
        <v>7.8310980838813604E-2</v>
      </c>
      <c r="AR421" s="64">
        <f ca="1">IF(AL421,IF(AQ421&lt;$F$10,0,IF(AQ421&lt;$F$10+$F$11,0.25,IF(AQ421&lt;$F$10+$F$11+AO421,AP421,1)))*IF(AN421&gt;0,AN421,IF(AN420&gt;0,AN420,IF(AN419&gt;0,AN419,IF(AN418&gt;0,AN418,IF(AN417&gt;0,AN417,IF(AN416&gt;0,AN416,IF(AN415&gt;0,AN415,IF(AN414&gt;0,AN414,IF(AN413&gt;0,AN413,IF(AN411&gt;0,AN411,IF(AN410&gt;0,AN410,IF(AN409&gt;0,AN409,0)))))))))))),0)*(1-$S421)*'模拟-单技能数据'!$I$21</f>
        <v>24043.249177625272</v>
      </c>
      <c r="AS421" s="61">
        <f ca="1">IF(OR(C421="净世破魔击·日",C421="净世破魔击·月"),M421-'模拟-单技能数据'!$K$10,0)</f>
        <v>0.42185145527300216</v>
      </c>
      <c r="AT421" s="61">
        <f ca="1">IF(OR(C421="净世破魔击·日",C421="净世破魔击·月"),I421-'模拟-单技能数据'!$L$10,0)</f>
        <v>2.162482885499879</v>
      </c>
      <c r="AU421" s="62">
        <f t="shared" ca="1" si="384"/>
        <v>1.1855593663299135E-2</v>
      </c>
      <c r="AV421" s="64">
        <f ca="1">IF(AS421&gt;0,('模拟-单技能数据'!$D$22+G421*'模拟-单技能数据'!$F$22)*(1+J421)*(1-S421)*IF(AU421&lt;$F$10,0,IF(AU421&lt;$F$10+$F$11,0.25,IF(AU421&lt;$F$10+$F$11+AS421,AT421,1)))*(1+U421),0)*'模拟-单技能数据'!$I$22</f>
        <v>1989.0526893428616</v>
      </c>
      <c r="AW421" s="108">
        <f t="shared" ca="1" si="385"/>
        <v>10.775000000000006</v>
      </c>
      <c r="AX421" s="108" t="b">
        <f ca="1">AND(模拟模式!$P$10="有",AW420=0,RAND()&lt;IF(C421="净世破魔击·月",0.1*8/3,IF(C421="净世破魔击·日",0.1*4/3,0.1*2/3)))</f>
        <v>0</v>
      </c>
      <c r="AY421" s="47">
        <f ca="1">IF(AX421,(18+G421*0.722)*(1+J421)*(1-S421)*(1+$I$4)*IF(P421="会",'模拟-全程加成'!$J$3+'模拟-全程加成'!$J$4+'模拟-全程加成'!$J$5+('模拟-全程加成'!$I$4+'模拟-全程加成'!$I$5)/系数!$B$4+BG421*10%,IF(P421="命",1,IF(P421="识",0.25,0))),0)</f>
        <v>0</v>
      </c>
      <c r="AZ421" s="108">
        <f t="shared" si="386"/>
        <v>1.5500000000000065</v>
      </c>
      <c r="BA421" s="108" t="b">
        <f>AND(模拟模式!$Q$10="有",AZ420=0)</f>
        <v>0</v>
      </c>
      <c r="BB421" s="140">
        <f>IF(BA421,(0+G421*0.287)*(1+J421)*(1-S421)*(1+$I$4)*IF(P421="会",'模拟-全程加成'!$J$3+'模拟-全程加成'!$J$4+'模拟-全程加成'!$J$5+('模拟-全程加成'!$I$4+'模拟-全程加成'!$I$5)/系数!$B$4+BG421*10%,IF(P421="命",1,IF(P421="识",0.25,0))),0)</f>
        <v>0</v>
      </c>
      <c r="BC421" s="115" t="b">
        <f ca="1">AND(模拟模式!$R$7="伏明众生",E421=60,F421=20,DA421&lt;5,CZ420&lt;$F$4)</f>
        <v>0</v>
      </c>
      <c r="BD421" s="115">
        <f t="shared" ca="1" si="348"/>
        <v>0</v>
      </c>
      <c r="BE421" s="115" t="b">
        <f t="shared" ca="1" si="349"/>
        <v>0</v>
      </c>
      <c r="BF421" s="47">
        <f ca="1">IF(BC421,4*('模拟-单技能数据'!$D$24+G421*'模拟-单技能数据'!$F$24)*(1+J421)*(1+'模拟-单技能数据'!$J$24)*(1-S421)*(1+$I$3)*(('模拟-全程加成'!$J$3+'模拟-全程加成'!$J$4+'模拟-全程加成'!$J$5+('模拟-全程加成'!$I$4+'模拟-全程加成'!$I$5)/系数!$B$4+BG421*10%)*('模拟-全程加成'!$J$3+'模拟-全程加成'!$J$4+'模拟-全程加成'!$J$5+('模拟-全程加成'!$I$4+'模拟-全程加成'!$I$5)/系数!$B$4+BG421*10%)+(1-('模拟-全程加成'!$J$3+'模拟-全程加成'!$J$4+'模拟-全程加成'!$J$5+('模拟-全程加成'!$I$4+'模拟-全程加成'!$I$5)/系数!$B$4+BG421*10%)-$F$10-$F$11)+F407*0.25),0)*'模拟-单技能数据'!$I$24</f>
        <v>0</v>
      </c>
      <c r="BG421" s="115" t="b">
        <f ca="1">OR(AND(OR(C421="烈日斩",C421="银月斩"),模拟模式!$I$7="净身明礼"),AND(C421="净世破魔击·日",模拟模式!$J$7="洞若观火"),AND(C422="净世破魔击·月",模拟模式!$J$7="洞若观火"),AB421=1)</f>
        <v>1</v>
      </c>
      <c r="BH421" s="115" t="b">
        <f t="shared" ca="1" si="387"/>
        <v>0</v>
      </c>
      <c r="BI421" s="115">
        <f t="shared" ca="1" si="350"/>
        <v>1.3874999999999997</v>
      </c>
      <c r="BJ421" s="115" t="b">
        <f t="shared" ca="1" si="361"/>
        <v>1</v>
      </c>
      <c r="BK421" s="115" t="b">
        <f ca="1">AND(C421="驱夜断愁",模拟模式!$P$7="天地诛戮")</f>
        <v>0</v>
      </c>
      <c r="BL421" s="57">
        <f t="shared" ca="1" si="351"/>
        <v>17.232500000000002</v>
      </c>
      <c r="BM421" s="115" t="b">
        <f t="shared" ca="1" si="362"/>
        <v>1</v>
      </c>
      <c r="BN421" s="115" t="b">
        <f ca="1">AND(OR(C421="赤日轮1",C421="赤日轮2",C421="赤日轮3",C421="幽月轮1",C421="幽月轮2",C421="幽月轮3"),AB421=1,模拟模式!$L$7="明光恒照")</f>
        <v>0</v>
      </c>
      <c r="BO421" s="117">
        <f t="shared" ca="1" si="352"/>
        <v>29.077500000000001</v>
      </c>
      <c r="BP421" s="115">
        <f t="shared" ca="1" si="388"/>
        <v>6</v>
      </c>
      <c r="BQ421" s="115" t="b">
        <f>模拟模式!$K$10="2600·水"</f>
        <v>0</v>
      </c>
      <c r="BR421" s="117">
        <f t="shared" si="389"/>
        <v>0</v>
      </c>
      <c r="BS421" s="115">
        <f t="shared" si="390"/>
        <v>0</v>
      </c>
      <c r="BT421" s="115">
        <f t="shared" ca="1" si="391"/>
        <v>0</v>
      </c>
      <c r="BU421" s="115" t="b">
        <f ca="1">AND(模拟模式!$K$10="2300·雷",BT420=0,RAND()&lt;IF(C421="净世破魔击·月",5*0.05*2/3,IF(C421="净世破魔击·日",3*0.05*2/3,0.05*2*2/3)))</f>
        <v>0</v>
      </c>
      <c r="BV421" s="115">
        <f t="shared" ca="1" si="392"/>
        <v>0</v>
      </c>
      <c r="BW421" s="115">
        <f t="shared" ca="1" si="393"/>
        <v>8.4149999999993099</v>
      </c>
      <c r="BX421" s="164" t="b">
        <f t="shared" ca="1" si="394"/>
        <v>0</v>
      </c>
      <c r="BY421" s="115">
        <f t="shared" ca="1" si="395"/>
        <v>0</v>
      </c>
      <c r="BZ421" s="115">
        <f>IF(OR(模拟模式!$P$16="10人团",模拟模式!$P$16="25人团"),IF(B421/30&gt;CA420,1,0),0)</f>
        <v>0</v>
      </c>
      <c r="CA421" s="115">
        <f t="shared" si="371"/>
        <v>0</v>
      </c>
      <c r="CB421" s="115">
        <f ca="1">IF(BZ421=1,IF(模拟模式!$P$16="10人团",15,0)+IF(模拟模式!$P$16="25人团",IF(RAND()&lt;0.6,15,0)),MAX(0,CB420-$F$4))</f>
        <v>0</v>
      </c>
      <c r="CC421" s="115" t="b">
        <f t="shared" ca="1" si="363"/>
        <v>0</v>
      </c>
      <c r="CD421" s="115">
        <f>IF(模拟模式!$Q$16="1个",IF(B421/40&gt;CE420,1,0),0)</f>
        <v>0</v>
      </c>
      <c r="CE421" s="115">
        <f t="shared" si="364"/>
        <v>0</v>
      </c>
      <c r="CF421" s="115">
        <f>IF(OR(CD421=1,模拟模式!$Q$16="2个"),20,MAX(0,CF420-$F$4))</f>
        <v>0</v>
      </c>
      <c r="CG421" s="115" t="b">
        <f t="shared" si="365"/>
        <v>0</v>
      </c>
      <c r="CH421" s="115">
        <f t="shared" ca="1" si="396"/>
        <v>8.7825000000000131</v>
      </c>
      <c r="CI421" s="115" t="b">
        <f t="shared" ca="1" si="397"/>
        <v>0</v>
      </c>
      <c r="CJ421" s="119">
        <f t="shared" ca="1" si="398"/>
        <v>0</v>
      </c>
      <c r="CK421" s="115">
        <f t="shared" ca="1" si="399"/>
        <v>0</v>
      </c>
      <c r="CL421" s="115" t="b">
        <f ca="1">AND(模拟模式!$S$7="驱夷逐法",OR(AND(C421="净世破魔击·月",E420&gt;59),AND(C421="净世破魔击·日",F420&gt;59)))</f>
        <v>1</v>
      </c>
      <c r="CM421" s="115" t="b">
        <f ca="1">OR(CL421,AND(C421="净世破魔击·日",CL420,RAND()&lt;模拟模式!$U$23))</f>
        <v>1</v>
      </c>
      <c r="CN421" s="115" t="b">
        <f ca="1">IF(模拟模式!$M$7="辉耀红尘",AND(C421="净世破魔击·月",CL421,CV421=0,E420&lt;80),AND(C421="净世破魔击·月",CL421,E420&lt;100))</f>
        <v>0</v>
      </c>
      <c r="CO421" s="115" t="b">
        <f t="shared" ca="1" si="372"/>
        <v>0</v>
      </c>
      <c r="CP421" s="115" t="b">
        <f ca="1">AND(模拟模式!$O$7="用晦而明",OR(C421="净世破魔击·日",C421="净世破魔击·月",C421="驱夜断愁"),AB421)</f>
        <v>1</v>
      </c>
      <c r="CQ421" s="115" t="b">
        <f ca="1">OR(CP421,AND(CP420,RAND()&lt;模拟模式!$U$23))</f>
        <v>1</v>
      </c>
      <c r="CR421" s="115" t="b">
        <f ca="1">AND(模拟模式!$S$7="日月齐光",OR(C421="幽月轮1",C421="幽月轮2",C421="幽月轮3",CR420),NOT(OR(C421="赤日轮1",C421="赤日轮2",C421="赤日轮3")))</f>
        <v>0</v>
      </c>
      <c r="CS421" s="115" t="b">
        <f ca="1">AND(模拟模式!$S$7="日月齐光",OR(C421="赤日轮1",C421="赤日轮2",C421="赤日轮3",CS420),NOT(OR(C421="幽月轮1",C421="幽月轮2",C421="幽月轮3")))</f>
        <v>0</v>
      </c>
      <c r="CT421" s="115">
        <f t="shared" ca="1" si="400"/>
        <v>12.472500000000011</v>
      </c>
      <c r="CU421" s="115" t="b">
        <f ca="1">AND(模拟模式!$K$10="阴阳往极",CT420=0,RAND()&lt;IF(C421="净世破魔击·月",0.0275*7/3,IF(C421="净世破魔击·日",0.0275*3/3,0.0275*2/3)))</f>
        <v>0</v>
      </c>
      <c r="CV421" s="115">
        <f t="shared" ca="1" si="401"/>
        <v>0</v>
      </c>
      <c r="CW421" s="115">
        <f t="shared" ca="1" si="373"/>
        <v>4.1549999999999994</v>
      </c>
      <c r="CX421" s="115">
        <f t="shared" ca="1" si="374"/>
        <v>2.3099999999999996</v>
      </c>
      <c r="CY421" s="115">
        <f ca="1">MAX(IF($C421="驱夜断愁",IF(模拟模式!$R$7="万念俱寂",6,45),CY420-$F$4),0)</f>
        <v>3.2324999999999995</v>
      </c>
      <c r="CZ421" s="115">
        <f t="shared" ca="1" si="375"/>
        <v>0</v>
      </c>
      <c r="DA421" s="115">
        <f ca="1">IF(模拟模式!$N$7="日月同辉",IF(DB420=2,0,MIN(6,IF(AND(OR(C421="赤日轮1",C421="赤日轮2",C421="赤日轮3",C421="幽月轮1",C421="幽月轮2",C421="幽月轮3"),AB421=1),DA420+1,DA420))),0)</f>
        <v>1</v>
      </c>
      <c r="DB421" s="115">
        <f t="shared" ca="1" si="376"/>
        <v>0</v>
      </c>
      <c r="DC421" s="115"/>
      <c r="DD421" s="115"/>
      <c r="DE421" s="115"/>
      <c r="DF421" s="115"/>
      <c r="DG421" s="115"/>
      <c r="DH421" s="115"/>
      <c r="DI421" s="115"/>
      <c r="DJ421" s="115"/>
      <c r="DK421" s="115"/>
      <c r="DL421" s="115"/>
      <c r="DM421" s="115"/>
    </row>
    <row r="422" spans="2:117" x14ac:dyDescent="0.2">
      <c r="B422" s="117">
        <f t="shared" si="377"/>
        <v>364.3875000000034</v>
      </c>
      <c r="C422" s="167" t="str">
        <f t="shared" ca="1" si="370"/>
        <v>净世破魔击·日</v>
      </c>
      <c r="D422" s="115">
        <f ca="1">IF(C422="赤日轮1",1,IF(C422="赤日轮2",2,IF(C422="赤日轮3",3,IF(C422="幽月轮1",4,IF(C422="幽月轮2",5,IF(C422="幽月轮3",6,IF(C422="烈日斩",7,IF(C422="银月斩",8,IF(C422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422="净世破魔击·月",17,IF(C422="驱夜断愁",18,0)))))))))))</f>
        <v>9</v>
      </c>
      <c r="E422" s="115">
        <f ca="1">IF(AND(CU422,OR(C422="幽月轮1",C422="幽月轮2",C422="幽月轮3",C422="银月斩",C422="驱夜断愁",C422="净世破魔击·月")),100,MIN(IF(OR(CN422,BE422),0,IF(OR($C422="赤日轮1",$C422="赤日轮2",$C422="赤日轮3"),E421+20+IF(模拟模式!$I$7="日月凌天",4,0)+IF(CR421,20,0),IF($C422="烈日斩",E421+40,IF($C422="驱夜断愁",IF(模拟模式!$R$7="万念俱寂",E421+20,E421+60),IF($C422="净世破魔击·月",IF(OR(DB421&gt;0,CV421&gt;0),100,IF(模拟模式!$M$7="辉耀红尘",E421+20,E421)),IF($C422="净世破魔击·日",E421-100,E421)))))),100))</f>
        <v>0</v>
      </c>
      <c r="F422" s="115">
        <f ca="1">IF(AND(CU422,OR(C422="赤日轮1",C422="赤日轮2",C422="赤日轮3",C422="烈日斩",C422="净世破魔击·日")),100,MIN(IF(CO422,0,IF(OR($C422="幽月轮1",$C422="幽月轮2",$C422="幽月轮3"),F421+20+IF(模拟模式!$I$7="日月凌天",4,0)+IF(CS421,20,0),IF($C422="银月斩",F421+40+IF(模拟模式!$X$12=1,5,0),IF($C422="驱夜断愁",IF(模拟模式!$R$7="万念俱寂",F421+20,F421+60),IF($C422="净世破魔击·月",IF(模拟模式!$M$7="辉耀红尘",F421-80,F421-100),IF(AND(C422="净世破魔击·日",OR(DB421&gt;0,CV421&gt;0)),100,F421)))))),100))</f>
        <v>20</v>
      </c>
      <c r="G422" s="117">
        <f ca="1">('模拟-全程加成'!$E$3+'模拟-全程加成'!$E$4+'模拟-全程加成'!$E$5+('模拟-全程加成'!$C$6-'模拟-全程加成'!$C$3)*系数!$B$9+BS422*23)*(1+'模拟-全程加成'!$F$4+'模拟-全程加成'!$F$5+BJ422*10%+BM422*20%+BP422*4%+CG422*30%)+$F$7*系数!$B$12</f>
        <v>21493.829400000002</v>
      </c>
      <c r="H422" s="45">
        <f ca="1">'模拟-全程加成'!$H$3+'模拟-全程加成'!$H$4+'模拟-全程加成'!$H$5+('模拟-全程加成'!$G$4+'模拟-全程加成'!$G$5+('模拟-全程加成'!$C$6-'模拟-全程加成'!$C$3)*系数!$B$13)/系数!$B$3+LOOKUP(D422,'模拟-单技能数据'!$A$2:$A$19,'模拟-单技能数据'!$K$2:$K$19)+BG422*10%+IF(BV422&gt;0,378,0)</f>
        <v>0.54185145527300216</v>
      </c>
      <c r="I422" s="45">
        <f ca="1">'模拟-全程加成'!$J$3+'模拟-全程加成'!$J$4+'模拟-全程加成'!$J$5+('模拟-全程加成'!$I$4+'模拟-全程加成'!$I$5)/系数!$B$4+LOOKUP(D422,'模拟-单技能数据'!$A$2:$A$19,'模拟-单技能数据'!$L$2:$L$19)+BG422*10%</f>
        <v>2.162482885499879</v>
      </c>
      <c r="J422" s="45">
        <f ca="1">(('模拟-全程加成'!$K$3+'模拟-全程加成'!$K$4+'模拟-全程加成'!$K$5+('模拟-全程加成'!$C$6-'模拟-全程加成'!$C$3)*系数!$B$10+IF(BV422&gt;0,882,0)+IF(BY422&gt;0,1831,0))*(1+'模拟-全程加成'!$L$4+'模拟-全程加成'!$L$5+CC422*20%))/系数!$B$5</f>
        <v>0.69723220422048726</v>
      </c>
      <c r="K422" s="119">
        <f ca="1">LOOKUP(D422,'模拟-单技能数据'!$A$2:$A$19,'模拟-单技能数据'!$J$2:$J$19)+IF(CM422,60%,0)+IF(DB421-DB422&gt;0,30%,0)+IF(OR(AND(OR(C422="赤日轮1",C422="赤日轮2",C422="赤日轮3"),CR422),AND(OR(C422="幽月轮1",C422="幽月轮2",C422="幽月轮3"),CS422)),35%,0)+CJ422</f>
        <v>0.8</v>
      </c>
      <c r="L422" s="119">
        <f ca="1">IF(AND(C422="烈日斩",模拟模式!$X$11=1),10%,0)+IF(AND(C422="驱夜断愁",AB422=1),30%,0)</f>
        <v>0</v>
      </c>
      <c r="M422" s="45">
        <f t="shared" ca="1" si="353"/>
        <v>0.54185145527300216</v>
      </c>
      <c r="N422" s="45">
        <f t="shared" ca="1" si="354"/>
        <v>0.40424854472699789</v>
      </c>
      <c r="O422" s="46">
        <f t="shared" ca="1" si="378"/>
        <v>0.56189962993768328</v>
      </c>
      <c r="P422" s="46" t="str">
        <f t="shared" ca="1" si="379"/>
        <v>会</v>
      </c>
      <c r="Q422" s="45">
        <f t="shared" ca="1" si="380"/>
        <v>2.162482885499879</v>
      </c>
      <c r="R422" s="117">
        <f ca="1">模拟模式!$E$20*(1-IF(模拟模式!$J$19="有",0.15,0))*(1-IF(模拟模式!$K$19="有",0.3,0)-IF(CQ422,0.5,0))</f>
        <v>843.02999999999975</v>
      </c>
      <c r="S422" s="45">
        <f ca="1">R422/(R422+(185*模拟模式!$E$22-16800)*4.08224)</f>
        <v>8.389626085980037E-2</v>
      </c>
      <c r="T422" s="45" t="str">
        <f ca="1">LOOKUP(D422,'模拟-单技能数据'!$A$2:$A$19,'模拟-单技能数据'!$H$2:$H$19)</f>
        <v>阳</v>
      </c>
      <c r="U422" s="119">
        <f t="shared" ca="1" si="355"/>
        <v>0.2</v>
      </c>
      <c r="V422" s="47">
        <f ca="1">(1+L422)*(LOOKUP(D422,'模拟-单技能数据'!$A$2:$A$19,'模拟-单技能数据'!$D$2:$D$19)+G422*LOOKUP(D422,'模拟-单技能数据'!$A$2:$A$19,'模拟-单技能数据'!$F$2:$F$19))*(1+J422)*(1+K422)*(1-S422)*(1+U422)*Q422*LOOKUP(D422,'模拟-单技能数据'!$A$2:$A$19,'模拟-单技能数据'!$I$2:$I$20)</f>
        <v>204517.60843249681</v>
      </c>
      <c r="W422" s="47">
        <f ca="1">LOOKUP(D422,'模拟-单技能数据'!$A$2:$A$19,'模拟-单技能数据'!$G$2:$G$19)*$I$10</f>
        <v>723.0212870940959</v>
      </c>
      <c r="X422" s="47">
        <f t="shared" ca="1" si="381"/>
        <v>28733.512221516547</v>
      </c>
      <c r="Y422" s="47">
        <f t="shared" ca="1" si="356"/>
        <v>233974.14194110746</v>
      </c>
      <c r="Z422" s="49">
        <f t="shared" ca="1" si="357"/>
        <v>41241817.345125407</v>
      </c>
      <c r="AA422" s="97">
        <f t="shared" ca="1" si="358"/>
        <v>113181.20776680051</v>
      </c>
      <c r="AB422" s="115">
        <f ca="1">IF(OR(C422="赤日轮1",C422="赤日轮2",C422="赤日轮3"),IF(RAND()&lt;模拟模式!$Y$17,1,0),IF(OR(C422="幽月轮1",C422="幽月轮2",C422="幽月轮3"),IF(RAND()&lt;模拟模式!$Y$18,1,0),IF(C422="烈日斩",IF(RAND()&lt;模拟模式!$Y$19,1,0),IF(C422="银月斩",IF(RAND()&lt;模拟模式!$Y$20,1,0),IF(C422="驱夜断愁",IF(RAND()&lt;模拟模式!$Y$21,1,0),IF(C422="净世破魔击·日",IF(RAND()&lt;模拟模式!$Y$22,1,0),IF(C422="净世破魔击·月",IF(RAND()&lt;模拟模式!$Y$23,1,0),0)))))))</f>
        <v>1</v>
      </c>
      <c r="AC422" s="115" t="b">
        <f t="shared" ca="1" si="346"/>
        <v>0</v>
      </c>
      <c r="AD422" s="115" t="b">
        <f t="shared" ca="1" si="366"/>
        <v>1</v>
      </c>
      <c r="AE422" s="115">
        <f t="shared" ca="1" si="367"/>
        <v>3</v>
      </c>
      <c r="AF422" s="47">
        <f ca="1">IF(AC422,('模拟-单技能数据'!$D$20+G422*'模拟-单技能数据'!$F$20)*(1+J422)*(1+'模拟-单技能数据'!$J$20)*(1+U422),0)</f>
        <v>0</v>
      </c>
      <c r="AG422" s="61">
        <f t="shared" ca="1" si="359"/>
        <v>0.64185145527300214</v>
      </c>
      <c r="AH422" s="61">
        <f t="shared" ca="1" si="360"/>
        <v>2.2624828854998791</v>
      </c>
      <c r="AI422" s="62">
        <f t="shared" ca="1" si="382"/>
        <v>0.4462655334947172</v>
      </c>
      <c r="AJ422" s="47">
        <f ca="1">IF(AD422,IF(AI422&lt;$F$10,0,IF(AI422&lt;$F$10+$F$11,0.25,IF(AI422&lt;$F$10+$F$11+AG422,AH422,1)))*IF(AF422&gt;0,AF422,IF(AF421&gt;0,AF421,IF(AF420&gt;0,AF420,IF(AF419&gt;0,AF419,IF(AF418&gt;0,AF418,IF(AF417&gt;0,AF417,IF(AF416&gt;0,AF416,IF(AF415&gt;0,AF415,IF(AF414&gt;0,AF414,IF(AF412&gt;0,AF412,IF(AF411&gt;0,AF411,IF(AF410&gt;0,AF410,0)))))))))))),0)*(1-$S422)*'模拟-单技能数据'!$I$20</f>
        <v>9616.6571145767884</v>
      </c>
      <c r="AK422" s="115" t="b">
        <f t="shared" ca="1" si="347"/>
        <v>1</v>
      </c>
      <c r="AL422" s="115" t="b">
        <f t="shared" ca="1" si="368"/>
        <v>0</v>
      </c>
      <c r="AM422" s="115">
        <f t="shared" ca="1" si="369"/>
        <v>6</v>
      </c>
      <c r="AN422" s="47">
        <f ca="1">IF(AK422,('模拟-单技能数据'!$D$21+G422*'模拟-单技能数据'!$F$21)*(1+J422)*(1+'模拟-单技能数据'!$J$21)*(1+U422),0)</f>
        <v>12670.936004857545</v>
      </c>
      <c r="AO422" s="61">
        <f ca="1">IF(AN422&gt;0,M422-'模拟-单技能数据'!$K$10,AO421)</f>
        <v>0.42185145527300216</v>
      </c>
      <c r="AP422" s="61">
        <f ca="1">IF(AN422&gt;0,I422-'模拟-单技能数据'!$L$10,AP421)</f>
        <v>2.162482885499879</v>
      </c>
      <c r="AQ422" s="63">
        <f t="shared" ca="1" si="383"/>
        <v>0.24876259377121268</v>
      </c>
      <c r="AR422" s="64">
        <f ca="1">IF(AL422,IF(AQ422&lt;$F$10,0,IF(AQ422&lt;$F$10+$F$11,0.25,IF(AQ422&lt;$F$10+$F$11+AO422,AP422,1)))*IF(AN422&gt;0,AN422,IF(AN421&gt;0,AN421,IF(AN420&gt;0,AN420,IF(AN419&gt;0,AN419,IF(AN418&gt;0,AN418,IF(AN417&gt;0,AN417,IF(AN416&gt;0,AN416,IF(AN415&gt;0,AN415,IF(AN414&gt;0,AN414,IF(AN412&gt;0,AN412,IF(AN411&gt;0,AN411,IF(AN410&gt;0,AN410,0)))))))))))),0)*(1-$S422)*'模拟-单技能数据'!$I$21</f>
        <v>0</v>
      </c>
      <c r="AS422" s="61">
        <f ca="1">IF(OR(C422="净世破魔击·日",C422="净世破魔击·月"),M422-'模拟-单技能数据'!$K$10,0)</f>
        <v>0.42185145527300216</v>
      </c>
      <c r="AT422" s="61">
        <f ca="1">IF(OR(C422="净世破魔击·日",C422="净世破魔击·月"),I422-'模拟-单技能数据'!$L$10,0)</f>
        <v>2.162482885499879</v>
      </c>
      <c r="AU422" s="62">
        <f t="shared" ca="1" si="384"/>
        <v>0.39408500421540793</v>
      </c>
      <c r="AV422" s="64">
        <f ca="1">IF(AS422&gt;0,('模拟-单技能数据'!$D$22+G422*'模拟-单技能数据'!$F$22)*(1+J422)*(1-S422)*IF(AU422&lt;$F$10,0,IF(AU422&lt;$F$10+$F$11,0.25,IF(AU422&lt;$F$10+$F$11+AS422,AT422,1)))*(1+U422),0)*'模拟-单技能数据'!$I$22</f>
        <v>19116.855106939758</v>
      </c>
      <c r="AW422" s="108">
        <f t="shared" ca="1" si="385"/>
        <v>9.8525000000000063</v>
      </c>
      <c r="AX422" s="108" t="b">
        <f ca="1">AND(模拟模式!$P$10="有",AW421=0,RAND()&lt;IF(C422="净世破魔击·月",0.1*8/3,IF(C422="净世破魔击·日",0.1*4/3,0.1*2/3)))</f>
        <v>0</v>
      </c>
      <c r="AY422" s="47">
        <f ca="1">IF(AX422,(18+G422*0.722)*(1+J422)*(1-S422)*(1+$I$4)*IF(P422="会",'模拟-全程加成'!$J$3+'模拟-全程加成'!$J$4+'模拟-全程加成'!$J$5+('模拟-全程加成'!$I$4+'模拟-全程加成'!$I$5)/系数!$B$4+BG422*10%,IF(P422="命",1,IF(P422="识",0.25,0))),0)</f>
        <v>0</v>
      </c>
      <c r="AZ422" s="108">
        <f t="shared" si="386"/>
        <v>0.6275000000000065</v>
      </c>
      <c r="BA422" s="108" t="b">
        <f>AND(模拟模式!$Q$10="有",AZ421=0)</f>
        <v>0</v>
      </c>
      <c r="BB422" s="140">
        <f>IF(BA422,(0+G422*0.287)*(1+J422)*(1-S422)*(1+$I$4)*IF(P422="会",'模拟-全程加成'!$J$3+'模拟-全程加成'!$J$4+'模拟-全程加成'!$J$5+('模拟-全程加成'!$I$4+'模拟-全程加成'!$I$5)/系数!$B$4+BG422*10%,IF(P422="命",1,IF(P422="识",0.25,0))),0)</f>
        <v>0</v>
      </c>
      <c r="BC422" s="115" t="b">
        <f ca="1">AND(模拟模式!$R$7="伏明众生",E422=60,F422=20,DA422&lt;5,CZ421&lt;$F$4)</f>
        <v>0</v>
      </c>
      <c r="BD422" s="115">
        <f t="shared" ca="1" si="348"/>
        <v>0</v>
      </c>
      <c r="BE422" s="115" t="b">
        <f t="shared" ca="1" si="349"/>
        <v>0</v>
      </c>
      <c r="BF422" s="47">
        <f ca="1">IF(BC422,4*('模拟-单技能数据'!$D$24+G422*'模拟-单技能数据'!$F$24)*(1+J422)*(1+'模拟-单技能数据'!$J$24)*(1-S422)*(1+$I$3)*(('模拟-全程加成'!$J$3+'模拟-全程加成'!$J$4+'模拟-全程加成'!$J$5+('模拟-全程加成'!$I$4+'模拟-全程加成'!$I$5)/系数!$B$4+BG422*10%)*('模拟-全程加成'!$J$3+'模拟-全程加成'!$J$4+'模拟-全程加成'!$J$5+('模拟-全程加成'!$I$4+'模拟-全程加成'!$I$5)/系数!$B$4+BG422*10%)+(1-('模拟-全程加成'!$J$3+'模拟-全程加成'!$J$4+'模拟-全程加成'!$J$5+('模拟-全程加成'!$I$4+'模拟-全程加成'!$I$5)/系数!$B$4+BG422*10%)-$F$10-$F$11)+F408*0.25),0)*'模拟-单技能数据'!$I$24</f>
        <v>0</v>
      </c>
      <c r="BG422" s="115" t="b">
        <f ca="1">OR(AND(OR(C422="烈日斩",C422="银月斩"),模拟模式!$I$7="净身明礼"),AND(C422="净世破魔击·日",模拟模式!$J$7="洞若观火"),AND(C423="净世破魔击·月",模拟模式!$J$7="洞若观火"),AB422=1)</f>
        <v>1</v>
      </c>
      <c r="BH422" s="115" t="b">
        <f t="shared" ca="1" si="387"/>
        <v>0</v>
      </c>
      <c r="BI422" s="115">
        <f t="shared" ca="1" si="350"/>
        <v>0.46499999999999975</v>
      </c>
      <c r="BJ422" s="115" t="b">
        <f t="shared" ca="1" si="361"/>
        <v>1</v>
      </c>
      <c r="BK422" s="115" t="b">
        <f ca="1">AND(C422="驱夜断愁",模拟模式!$P$7="天地诛戮")</f>
        <v>0</v>
      </c>
      <c r="BL422" s="57">
        <f t="shared" ca="1" si="351"/>
        <v>16.310000000000002</v>
      </c>
      <c r="BM422" s="115" t="b">
        <f t="shared" ca="1" si="362"/>
        <v>1</v>
      </c>
      <c r="BN422" s="115" t="b">
        <f ca="1">AND(OR(C422="赤日轮1",C422="赤日轮2",C422="赤日轮3",C422="幽月轮1",C422="幽月轮2",C422="幽月轮3"),AB422=1,模拟模式!$L$7="明光恒照")</f>
        <v>0</v>
      </c>
      <c r="BO422" s="117">
        <f t="shared" ca="1" si="352"/>
        <v>28.155000000000001</v>
      </c>
      <c r="BP422" s="115">
        <f t="shared" ca="1" si="388"/>
        <v>6</v>
      </c>
      <c r="BQ422" s="115" t="b">
        <f>模拟模式!$K$10="2600·水"</f>
        <v>0</v>
      </c>
      <c r="BR422" s="117">
        <f t="shared" si="389"/>
        <v>0</v>
      </c>
      <c r="BS422" s="115">
        <f t="shared" si="390"/>
        <v>0</v>
      </c>
      <c r="BT422" s="115">
        <f t="shared" ca="1" si="391"/>
        <v>0</v>
      </c>
      <c r="BU422" s="115" t="b">
        <f ca="1">AND(模拟模式!$K$10="2300·雷",BT421=0,RAND()&lt;IF(C422="净世破魔击·月",5*0.05*2/3,IF(C422="净世破魔击·日",3*0.05*2/3,0.05*2*2/3)))</f>
        <v>0</v>
      </c>
      <c r="BV422" s="115">
        <f t="shared" ca="1" si="392"/>
        <v>0</v>
      </c>
      <c r="BW422" s="115">
        <f t="shared" ca="1" si="393"/>
        <v>7.4924999999993096</v>
      </c>
      <c r="BX422" s="164" t="b">
        <f t="shared" ca="1" si="394"/>
        <v>0</v>
      </c>
      <c r="BY422" s="115">
        <f t="shared" ca="1" si="395"/>
        <v>0</v>
      </c>
      <c r="BZ422" s="115">
        <f>IF(OR(模拟模式!$P$16="10人团",模拟模式!$P$16="25人团"),IF(B422/30&gt;CA421,1,0),0)</f>
        <v>0</v>
      </c>
      <c r="CA422" s="115">
        <f t="shared" si="371"/>
        <v>0</v>
      </c>
      <c r="CB422" s="115">
        <f ca="1">IF(BZ422=1,IF(模拟模式!$P$16="10人团",15,0)+IF(模拟模式!$P$16="25人团",IF(RAND()&lt;0.6,15,0)),MAX(0,CB421-$F$4))</f>
        <v>0</v>
      </c>
      <c r="CC422" s="115" t="b">
        <f t="shared" ca="1" si="363"/>
        <v>0</v>
      </c>
      <c r="CD422" s="115">
        <f>IF(模拟模式!$Q$16="1个",IF(B422/40&gt;CE421,1,0),0)</f>
        <v>0</v>
      </c>
      <c r="CE422" s="115">
        <f t="shared" si="364"/>
        <v>0</v>
      </c>
      <c r="CF422" s="115">
        <f>IF(OR(CD422=1,模拟模式!$Q$16="2个"),20,MAX(0,CF421-$F$4))</f>
        <v>0</v>
      </c>
      <c r="CG422" s="115" t="b">
        <f t="shared" si="365"/>
        <v>0</v>
      </c>
      <c r="CH422" s="115">
        <f t="shared" ca="1" si="396"/>
        <v>7.8600000000000128</v>
      </c>
      <c r="CI422" s="115" t="b">
        <f t="shared" ca="1" si="397"/>
        <v>0</v>
      </c>
      <c r="CJ422" s="119">
        <f t="shared" ca="1" si="398"/>
        <v>0</v>
      </c>
      <c r="CK422" s="115">
        <f t="shared" ca="1" si="399"/>
        <v>0</v>
      </c>
      <c r="CL422" s="115" t="b">
        <f ca="1">AND(模拟模式!$S$7="驱夷逐法",OR(AND(C422="净世破魔击·月",E421&gt;59),AND(C422="净世破魔击·日",F421&gt;59)))</f>
        <v>0</v>
      </c>
      <c r="CM422" s="115" t="b">
        <f ca="1">OR(CL422,AND(C422="净世破魔击·日",CL421,RAND()&lt;模拟模式!$U$23))</f>
        <v>1</v>
      </c>
      <c r="CN422" s="115" t="b">
        <f ca="1">IF(模拟模式!$M$7="辉耀红尘",AND(C422="净世破魔击·月",CL422,CV422=0,E421&lt;80),AND(C422="净世破魔击·月",CL422,E421&lt;100))</f>
        <v>0</v>
      </c>
      <c r="CO422" s="115" t="b">
        <f t="shared" ca="1" si="372"/>
        <v>0</v>
      </c>
      <c r="CP422" s="115" t="b">
        <f ca="1">AND(模拟模式!$O$7="用晦而明",OR(C422="净世破魔击·日",C422="净世破魔击·月",C422="驱夜断愁"),AB422)</f>
        <v>1</v>
      </c>
      <c r="CQ422" s="115" t="b">
        <f ca="1">OR(CP422,AND(CP421,RAND()&lt;模拟模式!$U$23))</f>
        <v>1</v>
      </c>
      <c r="CR422" s="115" t="b">
        <f ca="1">AND(模拟模式!$S$7="日月齐光",OR(C422="幽月轮1",C422="幽月轮2",C422="幽月轮3",CR421),NOT(OR(C422="赤日轮1",C422="赤日轮2",C422="赤日轮3")))</f>
        <v>0</v>
      </c>
      <c r="CS422" s="115" t="b">
        <f ca="1">AND(模拟模式!$S$7="日月齐光",OR(C422="赤日轮1",C422="赤日轮2",C422="赤日轮3",CS421),NOT(OR(C422="幽月轮1",C422="幽月轮2",C422="幽月轮3")))</f>
        <v>0</v>
      </c>
      <c r="CT422" s="115">
        <f t="shared" ca="1" si="400"/>
        <v>11.550000000000011</v>
      </c>
      <c r="CU422" s="115" t="b">
        <f ca="1">AND(模拟模式!$K$10="阴阳往极",CT421=0,RAND()&lt;IF(C422="净世破魔击·月",0.0275*7/3,IF(C422="净世破魔击·日",0.0275*3/3,0.0275*2/3)))</f>
        <v>0</v>
      </c>
      <c r="CV422" s="115">
        <f t="shared" ca="1" si="401"/>
        <v>0</v>
      </c>
      <c r="CW422" s="115">
        <f t="shared" ca="1" si="373"/>
        <v>3.2324999999999995</v>
      </c>
      <c r="CX422" s="115">
        <f t="shared" ca="1" si="374"/>
        <v>1.3874999999999997</v>
      </c>
      <c r="CY422" s="115">
        <f ca="1">MAX(IF($C422="驱夜断愁",IF(模拟模式!$R$7="万念俱寂",6,45),CY421-$F$4),0)</f>
        <v>2.3099999999999996</v>
      </c>
      <c r="CZ422" s="115">
        <f t="shared" ca="1" si="375"/>
        <v>0</v>
      </c>
      <c r="DA422" s="115">
        <f ca="1">IF(模拟模式!$N$7="日月同辉",IF(DB421=2,0,MIN(6,IF(AND(OR(C422="赤日轮1",C422="赤日轮2",C422="赤日轮3",C422="幽月轮1",C422="幽月轮2",C422="幽月轮3"),AB422=1),DA421+1,DA421))),0)</f>
        <v>1</v>
      </c>
      <c r="DB422" s="115">
        <f t="shared" ca="1" si="376"/>
        <v>0</v>
      </c>
      <c r="DC422" s="115"/>
      <c r="DD422" s="115"/>
      <c r="DE422" s="115"/>
      <c r="DF422" s="115"/>
      <c r="DG422" s="115"/>
      <c r="DH422" s="115"/>
      <c r="DI422" s="115"/>
      <c r="DJ422" s="115"/>
      <c r="DK422" s="115"/>
      <c r="DL422" s="115"/>
      <c r="DM422" s="115"/>
    </row>
    <row r="423" spans="2:117" x14ac:dyDescent="0.2">
      <c r="B423" s="117">
        <f t="shared" si="377"/>
        <v>365.31000000000341</v>
      </c>
      <c r="C423" s="167" t="str">
        <f t="shared" ca="1" si="370"/>
        <v>赤日轮1</v>
      </c>
      <c r="D423" s="115">
        <f ca="1">IF(C423="赤日轮1",1,IF(C423="赤日轮2",2,IF(C423="赤日轮3",3,IF(C423="幽月轮1",4,IF(C423="幽月轮2",5,IF(C423="幽月轮3",6,IF(C423="烈日斩",7,IF(C423="银月斩",8,IF(C423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423="净世破魔击·月",17,IF(C423="驱夜断愁",18,0)))))))))))</f>
        <v>1</v>
      </c>
      <c r="E423" s="115">
        <f ca="1">IF(AND(CU423,OR(C423="幽月轮1",C423="幽月轮2",C423="幽月轮3",C423="银月斩",C423="驱夜断愁",C423="净世破魔击·月")),100,MIN(IF(OR(CN423,BE423),0,IF(OR($C423="赤日轮1",$C423="赤日轮2",$C423="赤日轮3"),E422+20+IF(模拟模式!$I$7="日月凌天",4,0)+IF(CR422,20,0),IF($C423="烈日斩",E422+40,IF($C423="驱夜断愁",IF(模拟模式!$R$7="万念俱寂",E422+20,E422+60),IF($C423="净世破魔击·月",IF(OR(DB422&gt;0,CV422&gt;0),100,IF(模拟模式!$M$7="辉耀红尘",E422+20,E422)),IF($C423="净世破魔击·日",E422-100,E422)))))),100))</f>
        <v>20</v>
      </c>
      <c r="F423" s="115">
        <f ca="1">IF(AND(CU423,OR(C423="赤日轮1",C423="赤日轮2",C423="赤日轮3",C423="烈日斩",C423="净世破魔击·日")),100,MIN(IF(CO423,0,IF(OR($C423="幽月轮1",$C423="幽月轮2",$C423="幽月轮3"),F422+20+IF(模拟模式!$I$7="日月凌天",4,0)+IF(CS422,20,0),IF($C423="银月斩",F422+40+IF(模拟模式!$X$12=1,5,0),IF($C423="驱夜断愁",IF(模拟模式!$R$7="万念俱寂",F422+20,F422+60),IF($C423="净世破魔击·月",IF(模拟模式!$M$7="辉耀红尘",F422-80,F422-100),IF(AND(C423="净世破魔击·日",OR(DB422&gt;0,CV422&gt;0)),100,F422)))))),100))</f>
        <v>20</v>
      </c>
      <c r="G423" s="117">
        <f ca="1">('模拟-全程加成'!$E$3+'模拟-全程加成'!$E$4+'模拟-全程加成'!$E$5+('模拟-全程加成'!$C$6-'模拟-全程加成'!$C$3)*系数!$B$9+BS423*23)*(1+'模拟-全程加成'!$F$4+'模拟-全程加成'!$F$5+BJ423*10%+BM423*20%+BP423*4%+CG423*30%)+$F$7*系数!$B$12</f>
        <v>20583.127400000001</v>
      </c>
      <c r="H423" s="45">
        <f ca="1">'模拟-全程加成'!$H$3+'模拟-全程加成'!$H$4+'模拟-全程加成'!$H$5+('模拟-全程加成'!$G$4+'模拟-全程加成'!$G$5+('模拟-全程加成'!$C$6-'模拟-全程加成'!$C$3)*系数!$B$13)/系数!$B$3+LOOKUP(D423,'模拟-单技能数据'!$A$2:$A$19,'模拟-单技能数据'!$K$2:$K$19)+BG423*10%+IF(BV423&gt;0,378,0)</f>
        <v>0.4618514552730022</v>
      </c>
      <c r="I423" s="45">
        <f ca="1">'模拟-全程加成'!$J$3+'模拟-全程加成'!$J$4+'模拟-全程加成'!$J$5+('模拟-全程加成'!$I$4+'模拟-全程加成'!$I$5)/系数!$B$4+LOOKUP(D423,'模拟-单技能数据'!$A$2:$A$19,'模拟-单技能数据'!$L$2:$L$19)+BG423*10%</f>
        <v>2.162482885499879</v>
      </c>
      <c r="J423" s="45">
        <f ca="1">(('模拟-全程加成'!$K$3+'模拟-全程加成'!$K$4+'模拟-全程加成'!$K$5+('模拟-全程加成'!$C$6-'模拟-全程加成'!$C$3)*系数!$B$10+IF(BV423&gt;0,882,0)+IF(BY423&gt;0,1831,0))*(1+'模拟-全程加成'!$L$4+'模拟-全程加成'!$L$5+CC423*20%))/系数!$B$5</f>
        <v>0.69723220422048726</v>
      </c>
      <c r="K423" s="119">
        <f ca="1">LOOKUP(D423,'模拟-单技能数据'!$A$2:$A$19,'模拟-单技能数据'!$J$2:$J$19)+IF(CM423,60%,0)+IF(DB422-DB423&gt;0,30%,0)+IF(OR(AND(OR(C423="赤日轮1",C423="赤日轮2",C423="赤日轮3"),CR423),AND(OR(C423="幽月轮1",C423="幽月轮2",C423="幽月轮3"),CS423)),35%,0)+CJ423</f>
        <v>0.12</v>
      </c>
      <c r="L423" s="119">
        <f ca="1">IF(AND(C423="烈日斩",模拟模式!$X$11=1),10%,0)+IF(AND(C423="驱夜断愁",AB423=1),30%,0)</f>
        <v>0</v>
      </c>
      <c r="M423" s="45">
        <f t="shared" ca="1" si="353"/>
        <v>0.4618514552730022</v>
      </c>
      <c r="N423" s="45">
        <f t="shared" ca="1" si="354"/>
        <v>0.48424854472699785</v>
      </c>
      <c r="O423" s="46">
        <f t="shared" ca="1" si="378"/>
        <v>0.54678852831453151</v>
      </c>
      <c r="P423" s="46" t="str">
        <f t="shared" ca="1" si="379"/>
        <v>命</v>
      </c>
      <c r="Q423" s="45">
        <f t="shared" ca="1" si="380"/>
        <v>1</v>
      </c>
      <c r="R423" s="117">
        <f ca="1">模拟模式!$E$20*(1-IF(模拟模式!$J$19="有",0.15,0))*(1-IF(模拟模式!$K$19="有",0.3,0)-IF(CQ423,0.5,0))</f>
        <v>843.02999999999975</v>
      </c>
      <c r="S423" s="45">
        <f ca="1">R423/(R423+(185*模拟模式!$E$22-16800)*4.08224)</f>
        <v>8.389626085980037E-2</v>
      </c>
      <c r="T423" s="45" t="str">
        <f ca="1">LOOKUP(D423,'模拟-单技能数据'!$A$2:$A$19,'模拟-单技能数据'!$H$2:$H$19)</f>
        <v>阳</v>
      </c>
      <c r="U423" s="119">
        <f t="shared" ca="1" si="355"/>
        <v>0.2</v>
      </c>
      <c r="V423" s="47">
        <f ca="1">(1+L423)*(LOOKUP(D423,'模拟-单技能数据'!$A$2:$A$19,'模拟-单技能数据'!$D$2:$D$19)+G423*LOOKUP(D423,'模拟-单技能数据'!$A$2:$A$19,'模拟-单技能数据'!$F$2:$F$19))*(1+J423)*(1+K423)*(1-S423)*(1+U423)*Q423*LOOKUP(D423,'模拟-单技能数据'!$A$2:$A$19,'模拟-单技能数据'!$I$2:$I$20)</f>
        <v>25194.44799269021</v>
      </c>
      <c r="W423" s="47">
        <f ca="1">LOOKUP(D423,'模拟-单技能数据'!$A$2:$A$19,'模拟-单技能数据'!$G$2:$G$19)*$I$10</f>
        <v>361.51064354704795</v>
      </c>
      <c r="X423" s="47">
        <f t="shared" ca="1" si="381"/>
        <v>11607.89185245618</v>
      </c>
      <c r="Y423" s="47">
        <f t="shared" ca="1" si="356"/>
        <v>37163.850488693439</v>
      </c>
      <c r="Z423" s="49">
        <f t="shared" ca="1" si="357"/>
        <v>41278981.1956141</v>
      </c>
      <c r="AA423" s="97">
        <f t="shared" ca="1" si="358"/>
        <v>112997.12900170735</v>
      </c>
      <c r="AB423" s="115">
        <f ca="1">IF(OR(C423="赤日轮1",C423="赤日轮2",C423="赤日轮3"),IF(RAND()&lt;模拟模式!$Y$17,1,0),IF(OR(C423="幽月轮1",C423="幽月轮2",C423="幽月轮3"),IF(RAND()&lt;模拟模式!$Y$18,1,0),IF(C423="烈日斩",IF(RAND()&lt;模拟模式!$Y$19,1,0),IF(C423="银月斩",IF(RAND()&lt;模拟模式!$Y$20,1,0),IF(C423="驱夜断愁",IF(RAND()&lt;模拟模式!$Y$21,1,0),IF(C423="净世破魔击·日",IF(RAND()&lt;模拟模式!$Y$22,1,0),IF(C423="净世破魔击·月",IF(RAND()&lt;模拟模式!$Y$23,1,0),0)))))))</f>
        <v>1</v>
      </c>
      <c r="AC423" s="115" t="b">
        <f t="shared" ca="1" si="346"/>
        <v>0</v>
      </c>
      <c r="AD423" s="115" t="b">
        <f t="shared" ca="1" si="366"/>
        <v>0</v>
      </c>
      <c r="AE423" s="115">
        <f t="shared" ca="1" si="367"/>
        <v>3</v>
      </c>
      <c r="AF423" s="47">
        <f ca="1">IF(AC423,('模拟-单技能数据'!$D$20+G423*'模拟-单技能数据'!$F$20)*(1+J423)*(1+'模拟-单技能数据'!$J$20)*(1+U423),0)</f>
        <v>0</v>
      </c>
      <c r="AG423" s="61">
        <f t="shared" ca="1" si="359"/>
        <v>0.64185145527300214</v>
      </c>
      <c r="AH423" s="61">
        <f t="shared" ca="1" si="360"/>
        <v>2.2624828854998791</v>
      </c>
      <c r="AI423" s="62">
        <f t="shared" ca="1" si="382"/>
        <v>6.7675606357575524E-2</v>
      </c>
      <c r="AJ423" s="47">
        <f ca="1">IF(AD423,IF(AI423&lt;$F$10,0,IF(AI423&lt;$F$10+$F$11,0.25,IF(AI423&lt;$F$10+$F$11+AG423,AH423,1)))*IF(AF423&gt;0,AF423,IF(AF422&gt;0,AF422,IF(AF421&gt;0,AF421,IF(AF420&gt;0,AF420,IF(AF419&gt;0,AF419,IF(AF418&gt;0,AF418,IF(AF417&gt;0,AF417,IF(AF416&gt;0,AF416,IF(AF415&gt;0,AF415,IF(AF413&gt;0,AF413,IF(AF412&gt;0,AF412,IF(AF411&gt;0,AF411,0)))))))))))),0)*(1-$S423)*'模拟-单技能数据'!$I$20</f>
        <v>0</v>
      </c>
      <c r="AK423" s="115" t="b">
        <f t="shared" ca="1" si="347"/>
        <v>0</v>
      </c>
      <c r="AL423" s="115" t="b">
        <f t="shared" ca="1" si="368"/>
        <v>1</v>
      </c>
      <c r="AM423" s="115">
        <f t="shared" ca="1" si="369"/>
        <v>5</v>
      </c>
      <c r="AN423" s="47">
        <f ca="1">IF(AK423,('模拟-单技能数据'!$D$21+G423*'模拟-单技能数据'!$F$21)*(1+J423)*(1+'模拟-单技能数据'!$J$21)*(1+U423),0)</f>
        <v>0</v>
      </c>
      <c r="AO423" s="61">
        <f ca="1">IF(AN423&gt;0,M423-'模拟-单技能数据'!$K$10,AO422)</f>
        <v>0.42185145527300216</v>
      </c>
      <c r="AP423" s="61">
        <f ca="1">IF(AN423&gt;0,I423-'模拟-单技能数据'!$L$10,AP422)</f>
        <v>2.162482885499879</v>
      </c>
      <c r="AQ423" s="63">
        <f t="shared" ca="1" si="383"/>
        <v>0.51104539658604453</v>
      </c>
      <c r="AR423" s="64">
        <f ca="1">IF(AL423,IF(AQ423&lt;$F$10,0,IF(AQ423&lt;$F$10+$F$11,0.25,IF(AQ423&lt;$F$10+$F$11+AO423,AP423,1)))*IF(AN423&gt;0,AN423,IF(AN422&gt;0,AN422,IF(AN421&gt;0,AN421,IF(AN420&gt;0,AN420,IF(AN419&gt;0,AN419,IF(AN418&gt;0,AN418,IF(AN417&gt;0,AN417,IF(AN416&gt;0,AN416,IF(AN415&gt;0,AN415,IF(AN413&gt;0,AN413,IF(AN412&gt;0,AN412,IF(AN411&gt;0,AN411,0)))))))))))),0)*(1-$S423)*'模拟-单技能数据'!$I$21</f>
        <v>11607.89185245618</v>
      </c>
      <c r="AS423" s="61">
        <f ca="1">IF(OR(C423="净世破魔击·日",C423="净世破魔击·月"),M423-'模拟-单技能数据'!$K$10,0)</f>
        <v>0</v>
      </c>
      <c r="AT423" s="61">
        <f ca="1">IF(OR(C423="净世破魔击·日",C423="净世破魔击·月"),I423-'模拟-单技能数据'!$L$10,0)</f>
        <v>0</v>
      </c>
      <c r="AU423" s="62">
        <f t="shared" ca="1" si="384"/>
        <v>0.11784827236769679</v>
      </c>
      <c r="AV423" s="64">
        <f ca="1">IF(AS423&gt;0,('模拟-单技能数据'!$D$22+G423*'模拟-单技能数据'!$F$22)*(1+J423)*(1-S423)*IF(AU423&lt;$F$10,0,IF(AU423&lt;$F$10+$F$11,0.25,IF(AU423&lt;$F$10+$F$11+AS423,AT423,1)))*(1+U423),0)*'模拟-单技能数据'!$I$22</f>
        <v>0</v>
      </c>
      <c r="AW423" s="108">
        <f t="shared" ca="1" si="385"/>
        <v>8.9300000000000068</v>
      </c>
      <c r="AX423" s="108" t="b">
        <f ca="1">AND(模拟模式!$P$10="有",AW422=0,RAND()&lt;IF(C423="净世破魔击·月",0.1*8/3,IF(C423="净世破魔击·日",0.1*4/3,0.1*2/3)))</f>
        <v>0</v>
      </c>
      <c r="AY423" s="47">
        <f ca="1">IF(AX423,(18+G423*0.722)*(1+J423)*(1-S423)*(1+$I$4)*IF(P423="会",'模拟-全程加成'!$J$3+'模拟-全程加成'!$J$4+'模拟-全程加成'!$J$5+('模拟-全程加成'!$I$4+'模拟-全程加成'!$I$5)/系数!$B$4+BG423*10%,IF(P423="命",1,IF(P423="识",0.25,0))),0)</f>
        <v>0</v>
      </c>
      <c r="AZ423" s="108">
        <f t="shared" si="386"/>
        <v>0</v>
      </c>
      <c r="BA423" s="108" t="b">
        <f>AND(模拟模式!$Q$10="有",AZ422=0)</f>
        <v>0</v>
      </c>
      <c r="BB423" s="140">
        <f>IF(BA423,(0+G423*0.287)*(1+J423)*(1-S423)*(1+$I$4)*IF(P423="会",'模拟-全程加成'!$J$3+'模拟-全程加成'!$J$4+'模拟-全程加成'!$J$5+('模拟-全程加成'!$I$4+'模拟-全程加成'!$I$5)/系数!$B$4+BG423*10%,IF(P423="命",1,IF(P423="识",0.25,0))),0)</f>
        <v>0</v>
      </c>
      <c r="BC423" s="115" t="b">
        <f ca="1">AND(模拟模式!$R$7="伏明众生",E423=60,F423=20,DA423&lt;5,CZ422&lt;$F$4)</f>
        <v>0</v>
      </c>
      <c r="BD423" s="115">
        <f t="shared" ca="1" si="348"/>
        <v>0</v>
      </c>
      <c r="BE423" s="115" t="b">
        <f t="shared" ca="1" si="349"/>
        <v>0</v>
      </c>
      <c r="BF423" s="47">
        <f ca="1">IF(BC423,4*('模拟-单技能数据'!$D$24+G423*'模拟-单技能数据'!$F$24)*(1+J423)*(1+'模拟-单技能数据'!$J$24)*(1-S423)*(1+$I$3)*(('模拟-全程加成'!$J$3+'模拟-全程加成'!$J$4+'模拟-全程加成'!$J$5+('模拟-全程加成'!$I$4+'模拟-全程加成'!$I$5)/系数!$B$4+BG423*10%)*('模拟-全程加成'!$J$3+'模拟-全程加成'!$J$4+'模拟-全程加成'!$J$5+('模拟-全程加成'!$I$4+'模拟-全程加成'!$I$5)/系数!$B$4+BG423*10%)+(1-('模拟-全程加成'!$J$3+'模拟-全程加成'!$J$4+'模拟-全程加成'!$J$5+('模拟-全程加成'!$I$4+'模拟-全程加成'!$I$5)/系数!$B$4+BG423*10%)-$F$10-$F$11)+F409*0.25),0)*'模拟-单技能数据'!$I$24</f>
        <v>0</v>
      </c>
      <c r="BG423" s="115" t="b">
        <f ca="1">OR(AND(OR(C423="烈日斩",C423="银月斩"),模拟模式!$I$7="净身明礼"),AND(C423="净世破魔击·日",模拟模式!$J$7="洞若观火"),AND(C424="净世破魔击·月",模拟模式!$J$7="洞若观火"),AB423=1)</f>
        <v>1</v>
      </c>
      <c r="BH423" s="115" t="b">
        <f t="shared" ca="1" si="387"/>
        <v>0</v>
      </c>
      <c r="BI423" s="115">
        <f t="shared" ca="1" si="350"/>
        <v>0</v>
      </c>
      <c r="BJ423" s="115" t="b">
        <f t="shared" ca="1" si="361"/>
        <v>0</v>
      </c>
      <c r="BK423" s="115" t="b">
        <f ca="1">AND(C423="驱夜断愁",模拟模式!$P$7="天地诛戮")</f>
        <v>0</v>
      </c>
      <c r="BL423" s="57">
        <f t="shared" ca="1" si="351"/>
        <v>15.387500000000003</v>
      </c>
      <c r="BM423" s="115" t="b">
        <f t="shared" ca="1" si="362"/>
        <v>1</v>
      </c>
      <c r="BN423" s="115" t="b">
        <f ca="1">AND(OR(C423="赤日轮1",C423="赤日轮2",C423="赤日轮3",C423="幽月轮1",C423="幽月轮2",C423="幽月轮3"),AB423=1,模拟模式!$L$7="明光恒照")</f>
        <v>1</v>
      </c>
      <c r="BO423" s="117">
        <f t="shared" ca="1" si="352"/>
        <v>30</v>
      </c>
      <c r="BP423" s="115">
        <f t="shared" ca="1" si="388"/>
        <v>6</v>
      </c>
      <c r="BQ423" s="115" t="b">
        <f>模拟模式!$K$10="2600·水"</f>
        <v>0</v>
      </c>
      <c r="BR423" s="117">
        <f t="shared" si="389"/>
        <v>0</v>
      </c>
      <c r="BS423" s="115">
        <f t="shared" si="390"/>
        <v>0</v>
      </c>
      <c r="BT423" s="115">
        <f t="shared" ca="1" si="391"/>
        <v>0</v>
      </c>
      <c r="BU423" s="115" t="b">
        <f ca="1">AND(模拟模式!$K$10="2300·雷",BT422=0,RAND()&lt;IF(C423="净世破魔击·月",5*0.05*2/3,IF(C423="净世破魔击·日",3*0.05*2/3,0.05*2*2/3)))</f>
        <v>0</v>
      </c>
      <c r="BV423" s="115">
        <f t="shared" ca="1" si="392"/>
        <v>0</v>
      </c>
      <c r="BW423" s="115">
        <f t="shared" ca="1" si="393"/>
        <v>6.5699999999993093</v>
      </c>
      <c r="BX423" s="164" t="b">
        <f t="shared" ca="1" si="394"/>
        <v>0</v>
      </c>
      <c r="BY423" s="115">
        <f t="shared" ca="1" si="395"/>
        <v>0</v>
      </c>
      <c r="BZ423" s="115">
        <f>IF(OR(模拟模式!$P$16="10人团",模拟模式!$P$16="25人团"),IF(B423/30&gt;CA422,1,0),0)</f>
        <v>0</v>
      </c>
      <c r="CA423" s="115">
        <f t="shared" si="371"/>
        <v>0</v>
      </c>
      <c r="CB423" s="115">
        <f ca="1">IF(BZ423=1,IF(模拟模式!$P$16="10人团",15,0)+IF(模拟模式!$P$16="25人团",IF(RAND()&lt;0.6,15,0)),MAX(0,CB422-$F$4))</f>
        <v>0</v>
      </c>
      <c r="CC423" s="115" t="b">
        <f t="shared" ca="1" si="363"/>
        <v>0</v>
      </c>
      <c r="CD423" s="115">
        <f>IF(模拟模式!$Q$16="1个",IF(B423/40&gt;CE422,1,0),0)</f>
        <v>0</v>
      </c>
      <c r="CE423" s="115">
        <f t="shared" si="364"/>
        <v>0</v>
      </c>
      <c r="CF423" s="115">
        <f>IF(OR(CD423=1,模拟模式!$Q$16="2个"),20,MAX(0,CF422-$F$4))</f>
        <v>0</v>
      </c>
      <c r="CG423" s="115" t="b">
        <f t="shared" si="365"/>
        <v>0</v>
      </c>
      <c r="CH423" s="115">
        <f t="shared" ca="1" si="396"/>
        <v>6.9375000000000124</v>
      </c>
      <c r="CI423" s="115" t="b">
        <f t="shared" ca="1" si="397"/>
        <v>0</v>
      </c>
      <c r="CJ423" s="119">
        <f t="shared" ca="1" si="398"/>
        <v>0</v>
      </c>
      <c r="CK423" s="115">
        <f t="shared" ca="1" si="399"/>
        <v>0</v>
      </c>
      <c r="CL423" s="115" t="b">
        <f ca="1">AND(模拟模式!$S$7="驱夷逐法",OR(AND(C423="净世破魔击·月",E422&gt;59),AND(C423="净世破魔击·日",F422&gt;59)))</f>
        <v>0</v>
      </c>
      <c r="CM423" s="115" t="b">
        <f ca="1">OR(CL423,AND(C423="净世破魔击·日",CL422,RAND()&lt;模拟模式!$U$23))</f>
        <v>0</v>
      </c>
      <c r="CN423" s="115" t="b">
        <f ca="1">IF(模拟模式!$M$7="辉耀红尘",AND(C423="净世破魔击·月",CL423,CV423=0,E422&lt;80),AND(C423="净世破魔击·月",CL423,E422&lt;100))</f>
        <v>0</v>
      </c>
      <c r="CO423" s="115" t="b">
        <f t="shared" ca="1" si="372"/>
        <v>0</v>
      </c>
      <c r="CP423" s="115" t="b">
        <f ca="1">AND(模拟模式!$O$7="用晦而明",OR(C423="净世破魔击·日",C423="净世破魔击·月",C423="驱夜断愁"),AB423)</f>
        <v>0</v>
      </c>
      <c r="CQ423" s="115" t="b">
        <f ca="1">OR(CP423,AND(CP422,RAND()&lt;模拟模式!$U$23))</f>
        <v>1</v>
      </c>
      <c r="CR423" s="115" t="b">
        <f ca="1">AND(模拟模式!$S$7="日月齐光",OR(C423="幽月轮1",C423="幽月轮2",C423="幽月轮3",CR422),NOT(OR(C423="赤日轮1",C423="赤日轮2",C423="赤日轮3")))</f>
        <v>0</v>
      </c>
      <c r="CS423" s="115" t="b">
        <f ca="1">AND(模拟模式!$S$7="日月齐光",OR(C423="赤日轮1",C423="赤日轮2",C423="赤日轮3",CS422),NOT(OR(C423="幽月轮1",C423="幽月轮2",C423="幽月轮3")))</f>
        <v>0</v>
      </c>
      <c r="CT423" s="115">
        <f t="shared" ca="1" si="400"/>
        <v>10.627500000000012</v>
      </c>
      <c r="CU423" s="115" t="b">
        <f ca="1">AND(模拟模式!$K$10="阴阳往极",CT422=0,RAND()&lt;IF(C423="净世破魔击·月",0.0275*7/3,IF(C423="净世破魔击·日",0.0275*3/3,0.0275*2/3)))</f>
        <v>0</v>
      </c>
      <c r="CV423" s="115">
        <f t="shared" ca="1" si="401"/>
        <v>0</v>
      </c>
      <c r="CW423" s="115">
        <f t="shared" ca="1" si="373"/>
        <v>2.3099999999999996</v>
      </c>
      <c r="CX423" s="115">
        <f t="shared" ca="1" si="374"/>
        <v>0.46499999999999975</v>
      </c>
      <c r="CY423" s="115">
        <f ca="1">MAX(IF($C423="驱夜断愁",IF(模拟模式!$R$7="万念俱寂",6,45),CY422-$F$4),0)</f>
        <v>1.3874999999999997</v>
      </c>
      <c r="CZ423" s="115">
        <f t="shared" ca="1" si="375"/>
        <v>0</v>
      </c>
      <c r="DA423" s="115">
        <f ca="1">IF(模拟模式!$N$7="日月同辉",IF(DB422=2,0,MIN(6,IF(AND(OR(C423="赤日轮1",C423="赤日轮2",C423="赤日轮3",C423="幽月轮1",C423="幽月轮2",C423="幽月轮3"),AB423=1),DA422+1,DA422))),0)</f>
        <v>2</v>
      </c>
      <c r="DB423" s="115">
        <f t="shared" ca="1" si="376"/>
        <v>0</v>
      </c>
      <c r="DC423" s="115"/>
      <c r="DD423" s="115"/>
      <c r="DE423" s="115"/>
      <c r="DF423" s="115"/>
      <c r="DG423" s="115"/>
      <c r="DH423" s="115"/>
      <c r="DI423" s="115"/>
      <c r="DJ423" s="115"/>
      <c r="DK423" s="115"/>
      <c r="DL423" s="115"/>
      <c r="DM423" s="115"/>
    </row>
    <row r="424" spans="2:117" x14ac:dyDescent="0.2">
      <c r="B424" s="117">
        <f t="shared" si="377"/>
        <v>366.23250000000343</v>
      </c>
      <c r="C424" s="167" t="str">
        <f t="shared" ca="1" si="370"/>
        <v>银月斩</v>
      </c>
      <c r="D424" s="115">
        <f ca="1">IF(C424="赤日轮1",1,IF(C424="赤日轮2",2,IF(C424="赤日轮3",3,IF(C424="幽月轮1",4,IF(C424="幽月轮2",5,IF(C424="幽月轮3",6,IF(C424="烈日斩",7,IF(C424="银月斩",8,IF(C424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424="净世破魔击·月",17,IF(C424="驱夜断愁",18,0)))))))))))</f>
        <v>8</v>
      </c>
      <c r="E424" s="115">
        <f ca="1">IF(AND(CU424,OR(C424="幽月轮1",C424="幽月轮2",C424="幽月轮3",C424="银月斩",C424="驱夜断愁",C424="净世破魔击·月")),100,MIN(IF(OR(CN424,BE424),0,IF(OR($C424="赤日轮1",$C424="赤日轮2",$C424="赤日轮3"),E423+20+IF(模拟模式!$I$7="日月凌天",4,0)+IF(CR423,20,0),IF($C424="烈日斩",E423+40,IF($C424="驱夜断愁",IF(模拟模式!$R$7="万念俱寂",E423+20,E423+60),IF($C424="净世破魔击·月",IF(OR(DB423&gt;0,CV423&gt;0),100,IF(模拟模式!$M$7="辉耀红尘",E423+20,E423)),IF($C424="净世破魔击·日",E423-100,E423)))))),100))</f>
        <v>20</v>
      </c>
      <c r="F424" s="115">
        <f ca="1">IF(AND(CU424,OR(C424="赤日轮1",C424="赤日轮2",C424="赤日轮3",C424="烈日斩",C424="净世破魔击·日")),100,MIN(IF(CO424,0,IF(OR($C424="幽月轮1",$C424="幽月轮2",$C424="幽月轮3"),F423+20+IF(模拟模式!$I$7="日月凌天",4,0)+IF(CS423,20,0),IF($C424="银月斩",F423+40+IF(模拟模式!$X$12=1,5,0),IF($C424="驱夜断愁",IF(模拟模式!$R$7="万念俱寂",F423+20,F423+60),IF($C424="净世破魔击·月",IF(模拟模式!$M$7="辉耀红尘",F423-80,F423-100),IF(AND(C424="净世破魔击·日",OR(DB423&gt;0,CV423&gt;0)),100,F423)))))),100))</f>
        <v>65</v>
      </c>
      <c r="G424" s="117">
        <f ca="1">('模拟-全程加成'!$E$3+'模拟-全程加成'!$E$4+'模拟-全程加成'!$E$5+('模拟-全程加成'!$C$6-'模拟-全程加成'!$C$3)*系数!$B$9+BS424*23)*(1+'模拟-全程加成'!$F$4+'模拟-全程加成'!$F$5+BJ424*10%+BM424*20%+BP424*4%+CG424*30%)+$F$7*系数!$B$12</f>
        <v>20583.127400000001</v>
      </c>
      <c r="H424" s="45">
        <f ca="1">'模拟-全程加成'!$H$3+'模拟-全程加成'!$H$4+'模拟-全程加成'!$H$5+('模拟-全程加成'!$G$4+'模拟-全程加成'!$G$5+('模拟-全程加成'!$C$6-'模拟-全程加成'!$C$3)*系数!$B$13)/系数!$B$3+LOOKUP(D424,'模拟-单技能数据'!$A$2:$A$19,'模拟-单技能数据'!$K$2:$K$19)+BG424*10%+IF(BV424&gt;0,378,0)</f>
        <v>0.64185145527300214</v>
      </c>
      <c r="I424" s="45">
        <f ca="1">'模拟-全程加成'!$J$3+'模拟-全程加成'!$J$4+'模拟-全程加成'!$J$5+('模拟-全程加成'!$I$4+'模拟-全程加成'!$I$5)/系数!$B$4+LOOKUP(D424,'模拟-单技能数据'!$A$2:$A$19,'模拟-单技能数据'!$L$2:$L$19)+BG424*10%</f>
        <v>2.2624828854998791</v>
      </c>
      <c r="J424" s="45">
        <f ca="1">(('模拟-全程加成'!$K$3+'模拟-全程加成'!$K$4+'模拟-全程加成'!$K$5+('模拟-全程加成'!$C$6-'模拟-全程加成'!$C$3)*系数!$B$10+IF(BV424&gt;0,882,0)+IF(BY424&gt;0,1831,0))*(1+'模拟-全程加成'!$L$4+'模拟-全程加成'!$L$5+CC424*20%))/系数!$B$5</f>
        <v>0.69723220422048726</v>
      </c>
      <c r="K424" s="119">
        <f ca="1">LOOKUP(D424,'模拟-单技能数据'!$A$2:$A$19,'模拟-单技能数据'!$J$2:$J$19)+IF(CM424,60%,0)+IF(DB423-DB424&gt;0,30%,0)+IF(OR(AND(OR(C424="赤日轮1",C424="赤日轮2",C424="赤日轮3"),CR424),AND(OR(C424="幽月轮1",C424="幽月轮2",C424="幽月轮3"),CS424)),35%,0)+CJ424</f>
        <v>0.15</v>
      </c>
      <c r="L424" s="119">
        <f ca="1">IF(AND(C424="烈日斩",模拟模式!$X$11=1),10%,0)+IF(AND(C424="驱夜断愁",AB424=1),30%,0)</f>
        <v>0</v>
      </c>
      <c r="M424" s="45">
        <f t="shared" ca="1" si="353"/>
        <v>0.64185145527300214</v>
      </c>
      <c r="N424" s="45">
        <f t="shared" ca="1" si="354"/>
        <v>0.30424854472699792</v>
      </c>
      <c r="O424" s="46">
        <f t="shared" ca="1" si="378"/>
        <v>0.52090216922623334</v>
      </c>
      <c r="P424" s="46" t="str">
        <f t="shared" ca="1" si="379"/>
        <v>会</v>
      </c>
      <c r="Q424" s="45">
        <f t="shared" ca="1" si="380"/>
        <v>2.2624828854998791</v>
      </c>
      <c r="R424" s="117">
        <f ca="1">模拟模式!$E$20*(1-IF(模拟模式!$J$19="有",0.15,0))*(1-IF(模拟模式!$K$19="有",0.3,0)-IF(CQ424,0.5,0))</f>
        <v>2950.6049999999996</v>
      </c>
      <c r="S424" s="45">
        <f ca="1">R424/(R424+(185*模拟模式!$E$22-16800)*4.08224)</f>
        <v>0.24272716014590323</v>
      </c>
      <c r="T424" s="45" t="str">
        <f ca="1">LOOKUP(D424,'模拟-单技能数据'!$A$2:$A$19,'模拟-单技能数据'!$H$2:$H$19)</f>
        <v>阴</v>
      </c>
      <c r="U424" s="119">
        <f t="shared" ca="1" si="355"/>
        <v>0.08</v>
      </c>
      <c r="V424" s="47">
        <f ca="1">(1+L424)*(LOOKUP(D424,'模拟-单技能数据'!$A$2:$A$19,'模拟-单技能数据'!$D$2:$D$19)+G424*LOOKUP(D424,'模拟-单技能数据'!$A$2:$A$19,'模拟-单技能数据'!$F$2:$F$19))*(1+J424)*(1+K424)*(1-S424)*(1+U424)*Q424*LOOKUP(D424,'模拟-单技能数据'!$A$2:$A$19,'模拟-单技能数据'!$I$2:$I$20)</f>
        <v>39481.310356797861</v>
      </c>
      <c r="W424" s="47">
        <f ca="1">LOOKUP(D424,'模拟-单技能数据'!$A$2:$A$19,'模拟-单技能数据'!$G$2:$G$19)*$I$10</f>
        <v>361.51064354704795</v>
      </c>
      <c r="X424" s="47">
        <f t="shared" ca="1" si="381"/>
        <v>25352.816808753843</v>
      </c>
      <c r="Y424" s="47">
        <f t="shared" ca="1" si="356"/>
        <v>65195.637809098749</v>
      </c>
      <c r="Z424" s="49">
        <f t="shared" ca="1" si="357"/>
        <v>41344176.833423197</v>
      </c>
      <c r="AA424" s="97">
        <f t="shared" ca="1" si="358"/>
        <v>112890.51854606789</v>
      </c>
      <c r="AB424" s="115">
        <f ca="1">IF(OR(C424="赤日轮1",C424="赤日轮2",C424="赤日轮3"),IF(RAND()&lt;模拟模式!$Y$17,1,0),IF(OR(C424="幽月轮1",C424="幽月轮2",C424="幽月轮3"),IF(RAND()&lt;模拟模式!$Y$18,1,0),IF(C424="烈日斩",IF(RAND()&lt;模拟模式!$Y$19,1,0),IF(C424="银月斩",IF(RAND()&lt;模拟模式!$Y$20,1,0),IF(C424="驱夜断愁",IF(RAND()&lt;模拟模式!$Y$21,1,0),IF(C424="净世破魔击·日",IF(RAND()&lt;模拟模式!$Y$22,1,0),IF(C424="净世破魔击·月",IF(RAND()&lt;模拟模式!$Y$23,1,0),0)))))))</f>
        <v>1</v>
      </c>
      <c r="AC424" s="115" t="b">
        <f t="shared" ca="1" si="346"/>
        <v>1</v>
      </c>
      <c r="AD424" s="115" t="b">
        <f t="shared" ca="1" si="366"/>
        <v>1</v>
      </c>
      <c r="AE424" s="115">
        <f t="shared" ca="1" si="367"/>
        <v>5</v>
      </c>
      <c r="AF424" s="47">
        <f ca="1">IF(AC424,('模拟-单技能数据'!$D$20+G424*'模拟-单技能数据'!$F$20)*(1+J424)*(1+'模拟-单技能数据'!$J$20)*(1+U424),0)</f>
        <v>4447.8565560098323</v>
      </c>
      <c r="AG424" s="61">
        <f t="shared" ca="1" si="359"/>
        <v>0.64185145527300214</v>
      </c>
      <c r="AH424" s="61">
        <f t="shared" ca="1" si="360"/>
        <v>2.2624828854998791</v>
      </c>
      <c r="AI424" s="62">
        <f t="shared" ca="1" si="382"/>
        <v>0.10139152995212974</v>
      </c>
      <c r="AJ424" s="47">
        <f ca="1">IF(AD424,IF(AI424&lt;$F$10,0,IF(AI424&lt;$F$10+$F$11,0.25,IF(AI424&lt;$F$10+$F$11+AG424,AH424,1)))*IF(AF424&gt;0,AF424,IF(AF423&gt;0,AF423,IF(AF422&gt;0,AF422,IF(AF421&gt;0,AF421,IF(AF420&gt;0,AF420,IF(AF419&gt;0,AF419,IF(AF418&gt;0,AF418,IF(AF417&gt;0,AF417,IF(AF416&gt;0,AF416,IF(AF414&gt;0,AF414,IF(AF413&gt;0,AF413,IF(AF412&gt;0,AF412,0)))))))))))),0)*(1-$S424)*'模拟-单技能数据'!$I$20</f>
        <v>7620.5875385322679</v>
      </c>
      <c r="AK424" s="115" t="b">
        <f t="shared" ca="1" si="347"/>
        <v>0</v>
      </c>
      <c r="AL424" s="115" t="b">
        <f t="shared" ca="1" si="368"/>
        <v>0</v>
      </c>
      <c r="AM424" s="115">
        <f t="shared" ca="1" si="369"/>
        <v>5</v>
      </c>
      <c r="AN424" s="47">
        <f ca="1">IF(AK424,('模拟-单技能数据'!$D$21+G424*'模拟-单技能数据'!$F$21)*(1+J424)*(1+'模拟-单技能数据'!$J$21)*(1+U424),0)</f>
        <v>0</v>
      </c>
      <c r="AO424" s="61">
        <f ca="1">IF(AN424&gt;0,M424-'模拟-单技能数据'!$K$10,AO423)</f>
        <v>0.42185145527300216</v>
      </c>
      <c r="AP424" s="61">
        <f ca="1">IF(AN424&gt;0,I424-'模拟-单技能数据'!$L$10,AP423)</f>
        <v>2.162482885499879</v>
      </c>
      <c r="AQ424" s="63">
        <f t="shared" ca="1" si="383"/>
        <v>0.62194028193505857</v>
      </c>
      <c r="AR424" s="64">
        <f ca="1">IF(AL424,IF(AQ424&lt;$F$10,0,IF(AQ424&lt;$F$10+$F$11,0.25,IF(AQ424&lt;$F$10+$F$11+AO424,AP424,1)))*IF(AN424&gt;0,AN424,IF(AN423&gt;0,AN423,IF(AN422&gt;0,AN422,IF(AN421&gt;0,AN421,IF(AN420&gt;0,AN420,IF(AN419&gt;0,AN419,IF(AN418&gt;0,AN418,IF(AN417&gt;0,AN417,IF(AN416&gt;0,AN416,IF(AN414&gt;0,AN414,IF(AN413&gt;0,AN413,IF(AN412&gt;0,AN412,0)))))))))))),0)*(1-$S424)*'模拟-单技能数据'!$I$21</f>
        <v>0</v>
      </c>
      <c r="AS424" s="61">
        <f ca="1">IF(OR(C424="净世破魔击·日",C424="净世破魔击·月"),M424-'模拟-单技能数据'!$K$10,0)</f>
        <v>0</v>
      </c>
      <c r="AT424" s="61">
        <f ca="1">IF(OR(C424="净世破魔击·日",C424="净世破魔击·月"),I424-'模拟-单技能数据'!$L$10,0)</f>
        <v>0</v>
      </c>
      <c r="AU424" s="62">
        <f t="shared" ca="1" si="384"/>
        <v>0.31894935457501872</v>
      </c>
      <c r="AV424" s="64">
        <f ca="1">IF(AS424&gt;0,('模拟-单技能数据'!$D$22+G424*'模拟-单技能数据'!$F$22)*(1+J424)*(1-S424)*IF(AU424&lt;$F$10,0,IF(AU424&lt;$F$10+$F$11,0.25,IF(AU424&lt;$F$10+$F$11+AS424,AT424,1)))*(1+U424),0)*'模拟-单技能数据'!$I$22</f>
        <v>0</v>
      </c>
      <c r="AW424" s="108">
        <f t="shared" ca="1" si="385"/>
        <v>8.0075000000000074</v>
      </c>
      <c r="AX424" s="108" t="b">
        <f ca="1">AND(模拟模式!$P$10="有",AW423=0,RAND()&lt;IF(C424="净世破魔击·月",0.1*8/3,IF(C424="净世破魔击·日",0.1*4/3,0.1*2/3)))</f>
        <v>0</v>
      </c>
      <c r="AY424" s="47">
        <f ca="1">IF(AX424,(18+G424*0.722)*(1+J424)*(1-S424)*(1+$I$4)*IF(P424="会",'模拟-全程加成'!$J$3+'模拟-全程加成'!$J$4+'模拟-全程加成'!$J$5+('模拟-全程加成'!$I$4+'模拟-全程加成'!$I$5)/系数!$B$4+BG424*10%,IF(P424="命",1,IF(P424="识",0.25,0))),0)</f>
        <v>0</v>
      </c>
      <c r="AZ424" s="108">
        <f t="shared" si="386"/>
        <v>19.077500000000001</v>
      </c>
      <c r="BA424" s="108" t="b">
        <f>AND(模拟模式!$Q$10="有",AZ423=0)</f>
        <v>1</v>
      </c>
      <c r="BB424" s="140">
        <f ca="1">IF(BA424,(0+G424*0.287)*(1+J424)*(1-S424)*(1+$I$4)*IF(P424="会",'模拟-全程加成'!$J$3+'模拟-全程加成'!$J$4+'模拟-全程加成'!$J$5+('模拟-全程加成'!$I$4+'模拟-全程加成'!$I$5)/系数!$B$4+BG424*10%,IF(P424="命",1,IF(P424="识",0.25,0))),0)</f>
        <v>17732.229270221575</v>
      </c>
      <c r="BC424" s="115" t="b">
        <f ca="1">AND(模拟模式!$R$7="伏明众生",E424=60,F424=20,DA424&lt;5,CZ423&lt;$F$4)</f>
        <v>0</v>
      </c>
      <c r="BD424" s="115">
        <f t="shared" ca="1" si="348"/>
        <v>0</v>
      </c>
      <c r="BE424" s="115" t="b">
        <f t="shared" ca="1" si="349"/>
        <v>0</v>
      </c>
      <c r="BF424" s="47">
        <f ca="1">IF(BC424,4*('模拟-单技能数据'!$D$24+G424*'模拟-单技能数据'!$F$24)*(1+J424)*(1+'模拟-单技能数据'!$J$24)*(1-S424)*(1+$I$3)*(('模拟-全程加成'!$J$3+'模拟-全程加成'!$J$4+'模拟-全程加成'!$J$5+('模拟-全程加成'!$I$4+'模拟-全程加成'!$I$5)/系数!$B$4+BG424*10%)*('模拟-全程加成'!$J$3+'模拟-全程加成'!$J$4+'模拟-全程加成'!$J$5+('模拟-全程加成'!$I$4+'模拟-全程加成'!$I$5)/系数!$B$4+BG424*10%)+(1-('模拟-全程加成'!$J$3+'模拟-全程加成'!$J$4+'模拟-全程加成'!$J$5+('模拟-全程加成'!$I$4+'模拟-全程加成'!$I$5)/系数!$B$4+BG424*10%)-$F$10-$F$11)+F410*0.25),0)*'模拟-单技能数据'!$I$24</f>
        <v>0</v>
      </c>
      <c r="BG424" s="115" t="b">
        <f ca="1">OR(AND(OR(C424="烈日斩",C424="银月斩"),模拟模式!$I$7="净身明礼"),AND(C424="净世破魔击·日",模拟模式!$J$7="洞若观火"),AND(C425="净世破魔击·月",模拟模式!$J$7="洞若观火"),AB424=1)</f>
        <v>1</v>
      </c>
      <c r="BH424" s="115" t="b">
        <f t="shared" ca="1" si="387"/>
        <v>0</v>
      </c>
      <c r="BI424" s="115">
        <f t="shared" ca="1" si="350"/>
        <v>0</v>
      </c>
      <c r="BJ424" s="115" t="b">
        <f t="shared" ca="1" si="361"/>
        <v>0</v>
      </c>
      <c r="BK424" s="115" t="b">
        <f ca="1">AND(C424="驱夜断愁",模拟模式!$P$7="天地诛戮")</f>
        <v>0</v>
      </c>
      <c r="BL424" s="57">
        <f t="shared" ca="1" si="351"/>
        <v>14.465000000000003</v>
      </c>
      <c r="BM424" s="115" t="b">
        <f t="shared" ca="1" si="362"/>
        <v>1</v>
      </c>
      <c r="BN424" s="115" t="b">
        <f ca="1">AND(OR(C424="赤日轮1",C424="赤日轮2",C424="赤日轮3",C424="幽月轮1",C424="幽月轮2",C424="幽月轮3"),AB424=1,模拟模式!$L$7="明光恒照")</f>
        <v>0</v>
      </c>
      <c r="BO424" s="117">
        <f t="shared" ca="1" si="352"/>
        <v>29.077500000000001</v>
      </c>
      <c r="BP424" s="115">
        <f t="shared" ca="1" si="388"/>
        <v>6</v>
      </c>
      <c r="BQ424" s="115" t="b">
        <f>模拟模式!$K$10="2600·水"</f>
        <v>0</v>
      </c>
      <c r="BR424" s="117">
        <f t="shared" si="389"/>
        <v>0</v>
      </c>
      <c r="BS424" s="115">
        <f t="shared" si="390"/>
        <v>0</v>
      </c>
      <c r="BT424" s="115">
        <f t="shared" ca="1" si="391"/>
        <v>0</v>
      </c>
      <c r="BU424" s="115" t="b">
        <f ca="1">AND(模拟模式!$K$10="2300·雷",BT423=0,RAND()&lt;IF(C424="净世破魔击·月",5*0.05*2/3,IF(C424="净世破魔击·日",3*0.05*2/3,0.05*2*2/3)))</f>
        <v>0</v>
      </c>
      <c r="BV424" s="115">
        <f t="shared" ca="1" si="392"/>
        <v>0</v>
      </c>
      <c r="BW424" s="115">
        <f t="shared" ca="1" si="393"/>
        <v>5.647499999999309</v>
      </c>
      <c r="BX424" s="164" t="b">
        <f t="shared" ca="1" si="394"/>
        <v>0</v>
      </c>
      <c r="BY424" s="115">
        <f t="shared" ca="1" si="395"/>
        <v>0</v>
      </c>
      <c r="BZ424" s="115">
        <f>IF(OR(模拟模式!$P$16="10人团",模拟模式!$P$16="25人团"),IF(B424/30&gt;CA423,1,0),0)</f>
        <v>0</v>
      </c>
      <c r="CA424" s="115">
        <f t="shared" si="371"/>
        <v>0</v>
      </c>
      <c r="CB424" s="115">
        <f ca="1">IF(BZ424=1,IF(模拟模式!$P$16="10人团",15,0)+IF(模拟模式!$P$16="25人团",IF(RAND()&lt;0.6,15,0)),MAX(0,CB423-$F$4))</f>
        <v>0</v>
      </c>
      <c r="CC424" s="115" t="b">
        <f t="shared" ca="1" si="363"/>
        <v>0</v>
      </c>
      <c r="CD424" s="115">
        <f>IF(模拟模式!$Q$16="1个",IF(B424/40&gt;CE423,1,0),0)</f>
        <v>0</v>
      </c>
      <c r="CE424" s="115">
        <f t="shared" si="364"/>
        <v>0</v>
      </c>
      <c r="CF424" s="115">
        <f>IF(OR(CD424=1,模拟模式!$Q$16="2个"),20,MAX(0,CF423-$F$4))</f>
        <v>0</v>
      </c>
      <c r="CG424" s="115" t="b">
        <f t="shared" si="365"/>
        <v>0</v>
      </c>
      <c r="CH424" s="115">
        <f t="shared" ca="1" si="396"/>
        <v>6.0150000000000121</v>
      </c>
      <c r="CI424" s="115" t="b">
        <f t="shared" ca="1" si="397"/>
        <v>0</v>
      </c>
      <c r="CJ424" s="119">
        <f t="shared" ca="1" si="398"/>
        <v>0</v>
      </c>
      <c r="CK424" s="115">
        <f t="shared" ca="1" si="399"/>
        <v>0</v>
      </c>
      <c r="CL424" s="115" t="b">
        <f ca="1">AND(模拟模式!$S$7="驱夷逐法",OR(AND(C424="净世破魔击·月",E423&gt;59),AND(C424="净世破魔击·日",F423&gt;59)))</f>
        <v>0</v>
      </c>
      <c r="CM424" s="115" t="b">
        <f ca="1">OR(CL424,AND(C424="净世破魔击·日",CL423,RAND()&lt;模拟模式!$U$23))</f>
        <v>0</v>
      </c>
      <c r="CN424" s="115" t="b">
        <f ca="1">IF(模拟模式!$M$7="辉耀红尘",AND(C424="净世破魔击·月",CL424,CV424=0,E423&lt;80),AND(C424="净世破魔击·月",CL424,E423&lt;100))</f>
        <v>0</v>
      </c>
      <c r="CO424" s="115" t="b">
        <f t="shared" ca="1" si="372"/>
        <v>0</v>
      </c>
      <c r="CP424" s="115" t="b">
        <f ca="1">AND(模拟模式!$O$7="用晦而明",OR(C424="净世破魔击·日",C424="净世破魔击·月",C424="驱夜断愁"),AB424)</f>
        <v>0</v>
      </c>
      <c r="CQ424" s="115" t="b">
        <f ca="1">OR(CP424,AND(CP423,RAND()&lt;模拟模式!$U$23))</f>
        <v>0</v>
      </c>
      <c r="CR424" s="115" t="b">
        <f ca="1">AND(模拟模式!$S$7="日月齐光",OR(C424="幽月轮1",C424="幽月轮2",C424="幽月轮3",CR423),NOT(OR(C424="赤日轮1",C424="赤日轮2",C424="赤日轮3")))</f>
        <v>0</v>
      </c>
      <c r="CS424" s="115" t="b">
        <f ca="1">AND(模拟模式!$S$7="日月齐光",OR(C424="赤日轮1",C424="赤日轮2",C424="赤日轮3",CS423),NOT(OR(C424="幽月轮1",C424="幽月轮2",C424="幽月轮3")))</f>
        <v>0</v>
      </c>
      <c r="CT424" s="115">
        <f t="shared" ca="1" si="400"/>
        <v>9.7050000000000125</v>
      </c>
      <c r="CU424" s="115" t="b">
        <f ca="1">AND(模拟模式!$K$10="阴阳往极",CT423=0,RAND()&lt;IF(C424="净世破魔击·月",0.0275*7/3,IF(C424="净世破魔击·日",0.0275*3/3,0.0275*2/3)))</f>
        <v>0</v>
      </c>
      <c r="CV424" s="115">
        <f t="shared" ca="1" si="401"/>
        <v>0</v>
      </c>
      <c r="CW424" s="115">
        <f t="shared" ca="1" si="373"/>
        <v>1.3874999999999997</v>
      </c>
      <c r="CX424" s="115">
        <f t="shared" ca="1" si="374"/>
        <v>6</v>
      </c>
      <c r="CY424" s="115">
        <f ca="1">MAX(IF($C424="驱夜断愁",IF(模拟模式!$R$7="万念俱寂",6,45),CY423-$F$4),0)</f>
        <v>0.46499999999999975</v>
      </c>
      <c r="CZ424" s="115">
        <f t="shared" ca="1" si="375"/>
        <v>0</v>
      </c>
      <c r="DA424" s="115">
        <f ca="1">IF(模拟模式!$N$7="日月同辉",IF(DB423=2,0,MIN(6,IF(AND(OR(C424="赤日轮1",C424="赤日轮2",C424="赤日轮3",C424="幽月轮1",C424="幽月轮2",C424="幽月轮3"),AB424=1),DA423+1,DA423))),0)</f>
        <v>2</v>
      </c>
      <c r="DB424" s="115">
        <f t="shared" ca="1" si="376"/>
        <v>0</v>
      </c>
      <c r="DC424" s="115"/>
      <c r="DD424" s="115"/>
      <c r="DE424" s="115"/>
      <c r="DF424" s="115"/>
      <c r="DG424" s="115"/>
      <c r="DH424" s="115"/>
      <c r="DI424" s="115"/>
      <c r="DJ424" s="115"/>
      <c r="DK424" s="115"/>
      <c r="DL424" s="115"/>
      <c r="DM424" s="115"/>
    </row>
    <row r="425" spans="2:117" x14ac:dyDescent="0.2">
      <c r="B425" s="117">
        <f t="shared" si="377"/>
        <v>367.15500000000344</v>
      </c>
      <c r="C425" s="167" t="str">
        <f t="shared" ca="1" si="370"/>
        <v>驱夜断愁</v>
      </c>
      <c r="D425" s="115">
        <f ca="1">IF(C425="赤日轮1",1,IF(C425="赤日轮2",2,IF(C425="赤日轮3",3,IF(C425="幽月轮1",4,IF(C425="幽月轮2",5,IF(C425="幽月轮3",6,IF(C425="烈日斩",7,IF(C425="银月斩",8,IF(C425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425="净世破魔击·月",17,IF(C425="驱夜断愁",18,0)))))))))))</f>
        <v>18</v>
      </c>
      <c r="E425" s="115">
        <f ca="1">IF(AND(CU425,OR(C425="幽月轮1",C425="幽月轮2",C425="幽月轮3",C425="银月斩",C425="驱夜断愁",C425="净世破魔击·月")),100,MIN(IF(OR(CN425,BE425),0,IF(OR($C425="赤日轮1",$C425="赤日轮2",$C425="赤日轮3"),E424+20+IF(模拟模式!$I$7="日月凌天",4,0)+IF(CR424,20,0),IF($C425="烈日斩",E424+40,IF($C425="驱夜断愁",IF(模拟模式!$R$7="万念俱寂",E424+20,E424+60),IF($C425="净世破魔击·月",IF(OR(DB424&gt;0,CV424&gt;0),100,IF(模拟模式!$M$7="辉耀红尘",E424+20,E424)),IF($C425="净世破魔击·日",E424-100,E424)))))),100))</f>
        <v>40</v>
      </c>
      <c r="F425" s="115">
        <f ca="1">IF(AND(CU425,OR(C425="赤日轮1",C425="赤日轮2",C425="赤日轮3",C425="烈日斩",C425="净世破魔击·日")),100,MIN(IF(CO425,0,IF(OR($C425="幽月轮1",$C425="幽月轮2",$C425="幽月轮3"),F424+20+IF(模拟模式!$I$7="日月凌天",4,0)+IF(CS424,20,0),IF($C425="银月斩",F424+40+IF(模拟模式!$X$12=1,5,0),IF($C425="驱夜断愁",IF(模拟模式!$R$7="万念俱寂",F424+20,F424+60),IF($C425="净世破魔击·月",IF(模拟模式!$M$7="辉耀红尘",F424-80,F424-100),IF(AND(C425="净世破魔击·日",OR(DB424&gt;0,CV424&gt;0)),100,F424)))))),100))</f>
        <v>85</v>
      </c>
      <c r="G425" s="117">
        <f ca="1">('模拟-全程加成'!$E$3+'模拟-全程加成'!$E$4+'模拟-全程加成'!$E$5+('模拟-全程加成'!$C$6-'模拟-全程加成'!$C$3)*系数!$B$9+BS425*23)*(1+'模拟-全程加成'!$F$4+'模拟-全程加成'!$F$5+BJ425*10%+BM425*20%+BP425*4%+CG425*30%)+$F$7*系数!$B$12</f>
        <v>20583.127400000001</v>
      </c>
      <c r="H425" s="45">
        <f ca="1">'模拟-全程加成'!$H$3+'模拟-全程加成'!$H$4+'模拟-全程加成'!$H$5+('模拟-全程加成'!$G$4+'模拟-全程加成'!$G$5+('模拟-全程加成'!$C$6-'模拟-全程加成'!$C$3)*系数!$B$13)/系数!$B$3+LOOKUP(D425,'模拟-单技能数据'!$A$2:$A$19,'模拟-单技能数据'!$K$2:$K$19)+BG425*10%+IF(BV425&gt;0,378,0)</f>
        <v>0.51185145527300213</v>
      </c>
      <c r="I425" s="45">
        <f ca="1">'模拟-全程加成'!$J$3+'模拟-全程加成'!$J$4+'模拟-全程加成'!$J$5+('模拟-全程加成'!$I$4+'模拟-全程加成'!$I$5)/系数!$B$4+LOOKUP(D425,'模拟-单技能数据'!$A$2:$A$19,'模拟-单技能数据'!$L$2:$L$19)+BG425*10%</f>
        <v>2.162482885499879</v>
      </c>
      <c r="J425" s="45">
        <f ca="1">(('模拟-全程加成'!$K$3+'模拟-全程加成'!$K$4+'模拟-全程加成'!$K$5+('模拟-全程加成'!$C$6-'模拟-全程加成'!$C$3)*系数!$B$10+IF(BV425&gt;0,882,0)+IF(BY425&gt;0,1831,0))*(1+'模拟-全程加成'!$L$4+'模拟-全程加成'!$L$5+CC425*20%))/系数!$B$5</f>
        <v>0.69723220422048726</v>
      </c>
      <c r="K425" s="119">
        <f ca="1">LOOKUP(D425,'模拟-单技能数据'!$A$2:$A$19,'模拟-单技能数据'!$J$2:$J$19)+IF(CM425,60%,0)+IF(DB424-DB425&gt;0,30%,0)+IF(OR(AND(OR(C425="赤日轮1",C425="赤日轮2",C425="赤日轮3"),CR425),AND(OR(C425="幽月轮1",C425="幽月轮2",C425="幽月轮3"),CS425)),35%,0)+CJ425</f>
        <v>0.14000000000000001</v>
      </c>
      <c r="L425" s="119">
        <f ca="1">IF(AND(C425="烈日斩",模拟模式!$X$11=1),10%,0)+IF(AND(C425="驱夜断愁",AB425=1),30%,0)</f>
        <v>0.3</v>
      </c>
      <c r="M425" s="45">
        <f t="shared" ca="1" si="353"/>
        <v>0.51185145527300213</v>
      </c>
      <c r="N425" s="45">
        <f t="shared" ca="1" si="354"/>
        <v>0.43424854472699792</v>
      </c>
      <c r="O425" s="46">
        <f t="shared" ca="1" si="378"/>
        <v>0.85654227021432083</v>
      </c>
      <c r="P425" s="46" t="str">
        <f t="shared" ca="1" si="379"/>
        <v>命</v>
      </c>
      <c r="Q425" s="45">
        <f t="shared" ca="1" si="380"/>
        <v>1</v>
      </c>
      <c r="R425" s="117">
        <f ca="1">模拟模式!$E$20*(1-IF(模拟模式!$J$19="有",0.15,0))*(1-IF(模拟模式!$K$19="有",0.3,0)-IF(CQ425,0.5,0))</f>
        <v>843.02999999999975</v>
      </c>
      <c r="S425" s="45">
        <f ca="1">R425/(R425+(185*模拟模式!$E$22-16800)*4.08224)</f>
        <v>8.389626085980037E-2</v>
      </c>
      <c r="T425" s="45" t="str">
        <f ca="1">LOOKUP(D425,'模拟-单技能数据'!$A$2:$A$19,'模拟-单技能数据'!$H$2:$H$19)</f>
        <v>阴</v>
      </c>
      <c r="U425" s="119">
        <f t="shared" ca="1" si="355"/>
        <v>0.08</v>
      </c>
      <c r="V425" s="47">
        <f ca="1">(1+L425)*(LOOKUP(D425,'模拟-单技能数据'!$A$2:$A$19,'模拟-单技能数据'!$D$2:$D$19)+G425*LOOKUP(D425,'模拟-单技能数据'!$A$2:$A$19,'模拟-单技能数据'!$F$2:$F$19))*(1+J425)*(1+K425)*(1-S425)*(1+U425)*Q425*LOOKUP(D425,'模拟-单技能数据'!$A$2:$A$19,'模拟-单技能数据'!$I$2:$I$20)</f>
        <v>58943.088028757353</v>
      </c>
      <c r="W425" s="47">
        <f ca="1">LOOKUP(D425,'模拟-单技能数据'!$A$2:$A$19,'模拟-单技能数据'!$G$2:$G$19)*$I$10</f>
        <v>723.0212870940959</v>
      </c>
      <c r="X425" s="47">
        <f t="shared" ca="1" si="381"/>
        <v>25101.867467669974</v>
      </c>
      <c r="Y425" s="47">
        <f t="shared" ca="1" si="356"/>
        <v>84767.976783521415</v>
      </c>
      <c r="Z425" s="49">
        <f t="shared" ca="1" si="357"/>
        <v>41428944.810206719</v>
      </c>
      <c r="AA425" s="97">
        <f t="shared" ca="1" si="358"/>
        <v>112837.7519309456</v>
      </c>
      <c r="AB425" s="115">
        <f ca="1">IF(OR(C425="赤日轮1",C425="赤日轮2",C425="赤日轮3"),IF(RAND()&lt;模拟模式!$Y$17,1,0),IF(OR(C425="幽月轮1",C425="幽月轮2",C425="幽月轮3"),IF(RAND()&lt;模拟模式!$Y$18,1,0),IF(C425="烈日斩",IF(RAND()&lt;模拟模式!$Y$19,1,0),IF(C425="银月斩",IF(RAND()&lt;模拟模式!$Y$20,1,0),IF(C425="驱夜断愁",IF(RAND()&lt;模拟模式!$Y$21,1,0),IF(C425="净世破魔击·日",IF(RAND()&lt;模拟模式!$Y$22,1,0),IF(C425="净世破魔击·月",IF(RAND()&lt;模拟模式!$Y$23,1,0),0)))))))</f>
        <v>1</v>
      </c>
      <c r="AC425" s="115" t="b">
        <f t="shared" ca="1" si="346"/>
        <v>0</v>
      </c>
      <c r="AD425" s="115" t="b">
        <f t="shared" ca="1" si="366"/>
        <v>0</v>
      </c>
      <c r="AE425" s="115">
        <f t="shared" ca="1" si="367"/>
        <v>5</v>
      </c>
      <c r="AF425" s="47">
        <f ca="1">IF(AC425,('模拟-单技能数据'!$D$20+G425*'模拟-单技能数据'!$F$20)*(1+J425)*(1+'模拟-单技能数据'!$J$20)*(1+U425),0)</f>
        <v>0</v>
      </c>
      <c r="AG425" s="61">
        <f t="shared" ca="1" si="359"/>
        <v>0.64185145527300214</v>
      </c>
      <c r="AH425" s="61">
        <f t="shared" ca="1" si="360"/>
        <v>2.2624828854998791</v>
      </c>
      <c r="AI425" s="62">
        <f t="shared" ca="1" si="382"/>
        <v>0.66506511755145348</v>
      </c>
      <c r="AJ425" s="47">
        <f ca="1">IF(AD425,IF(AI425&lt;$F$10,0,IF(AI425&lt;$F$10+$F$11,0.25,IF(AI425&lt;$F$10+$F$11+AG425,AH425,1)))*IF(AF425&gt;0,AF425,IF(AF424&gt;0,AF424,IF(AF423&gt;0,AF423,IF(AF422&gt;0,AF422,IF(AF421&gt;0,AF421,IF(AF420&gt;0,AF420,IF(AF419&gt;0,AF419,IF(AF418&gt;0,AF418,IF(AF417&gt;0,AF417,IF(AF415&gt;0,AF415,IF(AF414&gt;0,AF414,IF(AF413&gt;0,AF413,0)))))))))))),0)*(1-$S425)*'模拟-单技能数据'!$I$20</f>
        <v>0</v>
      </c>
      <c r="AK425" s="115" t="b">
        <f t="shared" ca="1" si="347"/>
        <v>0</v>
      </c>
      <c r="AL425" s="115" t="b">
        <f t="shared" ca="1" si="368"/>
        <v>1</v>
      </c>
      <c r="AM425" s="115">
        <f t="shared" ca="1" si="369"/>
        <v>4</v>
      </c>
      <c r="AN425" s="47">
        <f ca="1">IF(AK425,('模拟-单技能数据'!$D$21+G425*'模拟-单技能数据'!$F$21)*(1+J425)*(1+'模拟-单技能数据'!$J$21)*(1+U425),0)</f>
        <v>0</v>
      </c>
      <c r="AO425" s="61">
        <f ca="1">IF(AN425&gt;0,M425-'模拟-单技能数据'!$K$10,AO424)</f>
        <v>0.42185145527300216</v>
      </c>
      <c r="AP425" s="61">
        <f ca="1">IF(AN425&gt;0,I425-'模拟-单技能数据'!$L$10,AP424)</f>
        <v>2.162482885499879</v>
      </c>
      <c r="AQ425" s="63">
        <f t="shared" ca="1" si="383"/>
        <v>0.36627485417098615</v>
      </c>
      <c r="AR425" s="64">
        <f ca="1">IF(AL425,IF(AQ425&lt;$F$10,0,IF(AQ425&lt;$F$10+$F$11,0.25,IF(AQ425&lt;$F$10+$F$11+AO425,AP425,1)))*IF(AN425&gt;0,AN425,IF(AN424&gt;0,AN424,IF(AN423&gt;0,AN423,IF(AN422&gt;0,AN422,IF(AN421&gt;0,AN421,IF(AN420&gt;0,AN420,IF(AN419&gt;0,AN419,IF(AN418&gt;0,AN418,IF(AN417&gt;0,AN417,IF(AN415&gt;0,AN415,IF(AN414&gt;0,AN414,IF(AN413&gt;0,AN413,0)))))))))))),0)*(1-$S425)*'模拟-单技能数据'!$I$21</f>
        <v>25101.867467669974</v>
      </c>
      <c r="AS425" s="61">
        <f ca="1">IF(OR(C425="净世破魔击·日",C425="净世破魔击·月"),M425-'模拟-单技能数据'!$K$10,0)</f>
        <v>0</v>
      </c>
      <c r="AT425" s="61">
        <f ca="1">IF(OR(C425="净世破魔击·日",C425="净世破魔击·月"),I425-'模拟-单技能数据'!$L$10,0)</f>
        <v>0</v>
      </c>
      <c r="AU425" s="62">
        <f t="shared" ca="1" si="384"/>
        <v>0.93025622403014574</v>
      </c>
      <c r="AV425" s="64">
        <f ca="1">IF(AS425&gt;0,('模拟-单技能数据'!$D$22+G425*'模拟-单技能数据'!$F$22)*(1+J425)*(1-S425)*IF(AU425&lt;$F$10,0,IF(AU425&lt;$F$10+$F$11,0.25,IF(AU425&lt;$F$10+$F$11+AS425,AT425,1)))*(1+U425),0)*'模拟-单技能数据'!$I$22</f>
        <v>0</v>
      </c>
      <c r="AW425" s="108">
        <f t="shared" ca="1" si="385"/>
        <v>7.0850000000000071</v>
      </c>
      <c r="AX425" s="108" t="b">
        <f ca="1">AND(模拟模式!$P$10="有",AW424=0,RAND()&lt;IF(C425="净世破魔击·月",0.1*8/3,IF(C425="净世破魔击·日",0.1*4/3,0.1*2/3)))</f>
        <v>0</v>
      </c>
      <c r="AY425" s="47">
        <f ca="1">IF(AX425,(18+G425*0.722)*(1+J425)*(1-S425)*(1+$I$4)*IF(P425="会",'模拟-全程加成'!$J$3+'模拟-全程加成'!$J$4+'模拟-全程加成'!$J$5+('模拟-全程加成'!$I$4+'模拟-全程加成'!$I$5)/系数!$B$4+BG425*10%,IF(P425="命",1,IF(P425="识",0.25,0))),0)</f>
        <v>0</v>
      </c>
      <c r="AZ425" s="108">
        <f t="shared" si="386"/>
        <v>18.155000000000001</v>
      </c>
      <c r="BA425" s="108" t="b">
        <f>AND(模拟模式!$Q$10="有",AZ424=0)</f>
        <v>0</v>
      </c>
      <c r="BB425" s="140">
        <f>IF(BA425,(0+G425*0.287)*(1+J425)*(1-S425)*(1+$I$4)*IF(P425="会",'模拟-全程加成'!$J$3+'模拟-全程加成'!$J$4+'模拟-全程加成'!$J$5+('模拟-全程加成'!$I$4+'模拟-全程加成'!$I$5)/系数!$B$4+BG425*10%,IF(P425="命",1,IF(P425="识",0.25,0))),0)</f>
        <v>0</v>
      </c>
      <c r="BC425" s="115" t="b">
        <f ca="1">AND(模拟模式!$R$7="伏明众生",E425=60,F425=20,DA425&lt;5,CZ424&lt;$F$4)</f>
        <v>0</v>
      </c>
      <c r="BD425" s="115">
        <f t="shared" ca="1" si="348"/>
        <v>0</v>
      </c>
      <c r="BE425" s="115" t="b">
        <f t="shared" ca="1" si="349"/>
        <v>0</v>
      </c>
      <c r="BF425" s="47">
        <f ca="1">IF(BC425,4*('模拟-单技能数据'!$D$24+G425*'模拟-单技能数据'!$F$24)*(1+J425)*(1+'模拟-单技能数据'!$J$24)*(1-S425)*(1+$I$3)*(('模拟-全程加成'!$J$3+'模拟-全程加成'!$J$4+'模拟-全程加成'!$J$5+('模拟-全程加成'!$I$4+'模拟-全程加成'!$I$5)/系数!$B$4+BG425*10%)*('模拟-全程加成'!$J$3+'模拟-全程加成'!$J$4+'模拟-全程加成'!$J$5+('模拟-全程加成'!$I$4+'模拟-全程加成'!$I$5)/系数!$B$4+BG425*10%)+(1-('模拟-全程加成'!$J$3+'模拟-全程加成'!$J$4+'模拟-全程加成'!$J$5+('模拟-全程加成'!$I$4+'模拟-全程加成'!$I$5)/系数!$B$4+BG425*10%)-$F$10-$F$11)+F411*0.25),0)*'模拟-单技能数据'!$I$24</f>
        <v>0</v>
      </c>
      <c r="BG425" s="115" t="b">
        <f ca="1">OR(AND(OR(C425="烈日斩",C425="银月斩"),模拟模式!$I$7="净身明礼"),AND(C425="净世破魔击·日",模拟模式!$J$7="洞若观火"),AND(C426="净世破魔击·月",模拟模式!$J$7="洞若观火"),AB425=1)</f>
        <v>1</v>
      </c>
      <c r="BH425" s="115" t="b">
        <f t="shared" ca="1" si="387"/>
        <v>0</v>
      </c>
      <c r="BI425" s="115">
        <f t="shared" ca="1" si="350"/>
        <v>0</v>
      </c>
      <c r="BJ425" s="115" t="b">
        <f t="shared" ca="1" si="361"/>
        <v>0</v>
      </c>
      <c r="BK425" s="115" t="b">
        <f ca="1">AND(C425="驱夜断愁",模拟模式!$P$7="天地诛戮")</f>
        <v>1</v>
      </c>
      <c r="BL425" s="57">
        <f t="shared" ca="1" si="351"/>
        <v>20</v>
      </c>
      <c r="BM425" s="115" t="b">
        <f t="shared" ca="1" si="362"/>
        <v>1</v>
      </c>
      <c r="BN425" s="115" t="b">
        <f ca="1">AND(OR(C425="赤日轮1",C425="赤日轮2",C425="赤日轮3",C425="幽月轮1",C425="幽月轮2",C425="幽月轮3"),AB425=1,模拟模式!$L$7="明光恒照")</f>
        <v>0</v>
      </c>
      <c r="BO425" s="117">
        <f t="shared" ca="1" si="352"/>
        <v>28.155000000000001</v>
      </c>
      <c r="BP425" s="115">
        <f t="shared" ca="1" si="388"/>
        <v>6</v>
      </c>
      <c r="BQ425" s="115" t="b">
        <f>模拟模式!$K$10="2600·水"</f>
        <v>0</v>
      </c>
      <c r="BR425" s="117">
        <f t="shared" si="389"/>
        <v>0</v>
      </c>
      <c r="BS425" s="115">
        <f t="shared" si="390"/>
        <v>0</v>
      </c>
      <c r="BT425" s="115">
        <f t="shared" ca="1" si="391"/>
        <v>0</v>
      </c>
      <c r="BU425" s="115" t="b">
        <f ca="1">AND(模拟模式!$K$10="2300·雷",BT424=0,RAND()&lt;IF(C425="净世破魔击·月",5*0.05*2/3,IF(C425="净世破魔击·日",3*0.05*2/3,0.05*2*2/3)))</f>
        <v>0</v>
      </c>
      <c r="BV425" s="115">
        <f t="shared" ca="1" si="392"/>
        <v>0</v>
      </c>
      <c r="BW425" s="115">
        <f t="shared" ca="1" si="393"/>
        <v>4.7249999999993086</v>
      </c>
      <c r="BX425" s="164" t="b">
        <f t="shared" ca="1" si="394"/>
        <v>0</v>
      </c>
      <c r="BY425" s="115">
        <f t="shared" ca="1" si="395"/>
        <v>0</v>
      </c>
      <c r="BZ425" s="115">
        <f>IF(OR(模拟模式!$P$16="10人团",模拟模式!$P$16="25人团"),IF(B425/30&gt;CA424,1,0),0)</f>
        <v>0</v>
      </c>
      <c r="CA425" s="115">
        <f t="shared" si="371"/>
        <v>0</v>
      </c>
      <c r="CB425" s="115">
        <f ca="1">IF(BZ425=1,IF(模拟模式!$P$16="10人团",15,0)+IF(模拟模式!$P$16="25人团",IF(RAND()&lt;0.6,15,0)),MAX(0,CB424-$F$4))</f>
        <v>0</v>
      </c>
      <c r="CC425" s="115" t="b">
        <f t="shared" ca="1" si="363"/>
        <v>0</v>
      </c>
      <c r="CD425" s="115">
        <f>IF(模拟模式!$Q$16="1个",IF(B425/40&gt;CE424,1,0),0)</f>
        <v>0</v>
      </c>
      <c r="CE425" s="115">
        <f t="shared" si="364"/>
        <v>0</v>
      </c>
      <c r="CF425" s="115">
        <f>IF(OR(CD425=1,模拟模式!$Q$16="2个"),20,MAX(0,CF424-$F$4))</f>
        <v>0</v>
      </c>
      <c r="CG425" s="115" t="b">
        <f t="shared" si="365"/>
        <v>0</v>
      </c>
      <c r="CH425" s="115">
        <f t="shared" ca="1" si="396"/>
        <v>5.0925000000000118</v>
      </c>
      <c r="CI425" s="115" t="b">
        <f t="shared" ca="1" si="397"/>
        <v>0</v>
      </c>
      <c r="CJ425" s="119">
        <f t="shared" ca="1" si="398"/>
        <v>0</v>
      </c>
      <c r="CK425" s="115">
        <f t="shared" ca="1" si="399"/>
        <v>0</v>
      </c>
      <c r="CL425" s="115" t="b">
        <f ca="1">AND(模拟模式!$S$7="驱夷逐法",OR(AND(C425="净世破魔击·月",E424&gt;59),AND(C425="净世破魔击·日",F424&gt;59)))</f>
        <v>0</v>
      </c>
      <c r="CM425" s="115" t="b">
        <f ca="1">OR(CL425,AND(C425="净世破魔击·日",CL424,RAND()&lt;模拟模式!$U$23))</f>
        <v>0</v>
      </c>
      <c r="CN425" s="115" t="b">
        <f ca="1">IF(模拟模式!$M$7="辉耀红尘",AND(C425="净世破魔击·月",CL425,CV425=0,E424&lt;80),AND(C425="净世破魔击·月",CL425,E424&lt;100))</f>
        <v>0</v>
      </c>
      <c r="CO425" s="115" t="b">
        <f t="shared" ca="1" si="372"/>
        <v>0</v>
      </c>
      <c r="CP425" s="115" t="b">
        <f ca="1">AND(模拟模式!$O$7="用晦而明",OR(C425="净世破魔击·日",C425="净世破魔击·月",C425="驱夜断愁"),AB425)</f>
        <v>1</v>
      </c>
      <c r="CQ425" s="115" t="b">
        <f ca="1">OR(CP425,AND(CP424,RAND()&lt;模拟模式!$U$23))</f>
        <v>1</v>
      </c>
      <c r="CR425" s="115" t="b">
        <f ca="1">AND(模拟模式!$S$7="日月齐光",OR(C425="幽月轮1",C425="幽月轮2",C425="幽月轮3",CR424),NOT(OR(C425="赤日轮1",C425="赤日轮2",C425="赤日轮3")))</f>
        <v>0</v>
      </c>
      <c r="CS425" s="115" t="b">
        <f ca="1">AND(模拟模式!$S$7="日月齐光",OR(C425="赤日轮1",C425="赤日轮2",C425="赤日轮3",CS424),NOT(OR(C425="幽月轮1",C425="幽月轮2",C425="幽月轮3")))</f>
        <v>0</v>
      </c>
      <c r="CT425" s="115">
        <f t="shared" ca="1" si="400"/>
        <v>8.7825000000000131</v>
      </c>
      <c r="CU425" s="115" t="b">
        <f ca="1">AND(模拟模式!$K$10="阴阳往极",CT424=0,RAND()&lt;IF(C425="净世破魔击·月",0.0275*7/3,IF(C425="净世破魔击·日",0.0275*3/3,0.0275*2/3)))</f>
        <v>0</v>
      </c>
      <c r="CV425" s="115">
        <f t="shared" ca="1" si="401"/>
        <v>0</v>
      </c>
      <c r="CW425" s="115">
        <f t="shared" ca="1" si="373"/>
        <v>0.46499999999999975</v>
      </c>
      <c r="CX425" s="115">
        <f t="shared" ca="1" si="374"/>
        <v>5.0774999999999997</v>
      </c>
      <c r="CY425" s="115">
        <f ca="1">MAX(IF($C425="驱夜断愁",IF(模拟模式!$R$7="万念俱寂",6,45),CY424-$F$4),0)</f>
        <v>6</v>
      </c>
      <c r="CZ425" s="115">
        <f t="shared" ca="1" si="375"/>
        <v>0</v>
      </c>
      <c r="DA425" s="115">
        <f ca="1">IF(模拟模式!$N$7="日月同辉",IF(DB424=2,0,MIN(6,IF(AND(OR(C425="赤日轮1",C425="赤日轮2",C425="赤日轮3",C425="幽月轮1",C425="幽月轮2",C425="幽月轮3"),AB425=1),DA424+1,DA424))),0)</f>
        <v>2</v>
      </c>
      <c r="DB425" s="115">
        <f t="shared" ca="1" si="376"/>
        <v>0</v>
      </c>
      <c r="DC425" s="115"/>
      <c r="DD425" s="115"/>
      <c r="DE425" s="115"/>
      <c r="DF425" s="115"/>
      <c r="DG425" s="115"/>
      <c r="DH425" s="115"/>
      <c r="DI425" s="115"/>
      <c r="DJ425" s="115"/>
      <c r="DK425" s="115"/>
      <c r="DL425" s="115"/>
      <c r="DM425" s="115"/>
    </row>
    <row r="426" spans="2:117" x14ac:dyDescent="0.2">
      <c r="B426" s="117">
        <f t="shared" si="377"/>
        <v>368.07750000000345</v>
      </c>
      <c r="C426" s="167" t="str">
        <f t="shared" ca="1" si="370"/>
        <v>烈日斩</v>
      </c>
      <c r="D426" s="115">
        <f ca="1">IF(C426="赤日轮1",1,IF(C426="赤日轮2",2,IF(C426="赤日轮3",3,IF(C426="幽月轮1",4,IF(C426="幽月轮2",5,IF(C426="幽月轮3",6,IF(C426="烈日斩",7,IF(C426="银月斩",8,IF(C426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426="净世破魔击·月",17,IF(C426="驱夜断愁",18,0)))))))))))</f>
        <v>7</v>
      </c>
      <c r="E426" s="115">
        <f ca="1">IF(AND(CU426,OR(C426="幽月轮1",C426="幽月轮2",C426="幽月轮3",C426="银月斩",C426="驱夜断愁",C426="净世破魔击·月")),100,MIN(IF(OR(CN426,BE426),0,IF(OR($C426="赤日轮1",$C426="赤日轮2",$C426="赤日轮3"),E425+20+IF(模拟模式!$I$7="日月凌天",4,0)+IF(CR425,20,0),IF($C426="烈日斩",E425+40,IF($C426="驱夜断愁",IF(模拟模式!$R$7="万念俱寂",E425+20,E425+60),IF($C426="净世破魔击·月",IF(OR(DB425&gt;0,CV425&gt;0),100,IF(模拟模式!$M$7="辉耀红尘",E425+20,E425)),IF($C426="净世破魔击·日",E425-100,E425)))))),100))</f>
        <v>80</v>
      </c>
      <c r="F426" s="115">
        <f ca="1">IF(AND(CU426,OR(C426="赤日轮1",C426="赤日轮2",C426="赤日轮3",C426="烈日斩",C426="净世破魔击·日")),100,MIN(IF(CO426,0,IF(OR($C426="幽月轮1",$C426="幽月轮2",$C426="幽月轮3"),F425+20+IF(模拟模式!$I$7="日月凌天",4,0)+IF(CS425,20,0),IF($C426="银月斩",F425+40+IF(模拟模式!$X$12=1,5,0),IF($C426="驱夜断愁",IF(模拟模式!$R$7="万念俱寂",F425+20,F425+60),IF($C426="净世破魔击·月",IF(模拟模式!$M$7="辉耀红尘",F425-80,F425-100),IF(AND(C426="净世破魔击·日",OR(DB425&gt;0,CV425&gt;0)),100,F425)))))),100))</f>
        <v>85</v>
      </c>
      <c r="G426" s="117">
        <f ca="1">('模拟-全程加成'!$E$3+'模拟-全程加成'!$E$4+'模拟-全程加成'!$E$5+('模拟-全程加成'!$C$6-'模拟-全程加成'!$C$3)*系数!$B$9+BS426*23)*(1+'模拟-全程加成'!$F$4+'模拟-全程加成'!$F$5+BJ426*10%+BM426*20%+BP426*4%+CG426*30%)+$F$7*系数!$B$12</f>
        <v>20583.127400000001</v>
      </c>
      <c r="H426" s="45">
        <f ca="1">'模拟-全程加成'!$H$3+'模拟-全程加成'!$H$4+'模拟-全程加成'!$H$5+('模拟-全程加成'!$G$4+'模拟-全程加成'!$G$5+('模拟-全程加成'!$C$6-'模拟-全程加成'!$C$3)*系数!$B$13)/系数!$B$3+LOOKUP(D426,'模拟-单技能数据'!$A$2:$A$19,'模拟-单技能数据'!$K$2:$K$19)+BG426*10%+IF(BV426&gt;0,378,0)</f>
        <v>0.56185145527300218</v>
      </c>
      <c r="I426" s="45">
        <f ca="1">'模拟-全程加成'!$J$3+'模拟-全程加成'!$J$4+'模拟-全程加成'!$J$5+('模拟-全程加成'!$I$4+'模拟-全程加成'!$I$5)/系数!$B$4+LOOKUP(D426,'模拟-单技能数据'!$A$2:$A$19,'模拟-单技能数据'!$L$2:$L$19)+BG426*10%</f>
        <v>2.2624828854998791</v>
      </c>
      <c r="J426" s="45">
        <f ca="1">(('模拟-全程加成'!$K$3+'模拟-全程加成'!$K$4+'模拟-全程加成'!$K$5+('模拟-全程加成'!$C$6-'模拟-全程加成'!$C$3)*系数!$B$10+IF(BV426&gt;0,882,0)+IF(BY426&gt;0,1831,0))*(1+'模拟-全程加成'!$L$4+'模拟-全程加成'!$L$5+CC426*20%))/系数!$B$5</f>
        <v>0.69723220422048726</v>
      </c>
      <c r="K426" s="119">
        <f ca="1">LOOKUP(D426,'模拟-单技能数据'!$A$2:$A$19,'模拟-单技能数据'!$J$2:$J$19)+IF(CM426,60%,0)+IF(DB425-DB426&gt;0,30%,0)+IF(OR(AND(OR(C426="赤日轮1",C426="赤日轮2",C426="赤日轮3"),CR426),AND(OR(C426="幽月轮1",C426="幽月轮2",C426="幽月轮3"),CS426)),35%,0)+CJ426</f>
        <v>0.24</v>
      </c>
      <c r="L426" s="119">
        <f ca="1">IF(AND(C426="烈日斩",模拟模式!$X$11=1),10%,0)+IF(AND(C426="驱夜断愁",AB426=1),30%,0)</f>
        <v>0.1</v>
      </c>
      <c r="M426" s="45">
        <f t="shared" ca="1" si="353"/>
        <v>0.56185145527300218</v>
      </c>
      <c r="N426" s="45">
        <f t="shared" ca="1" si="354"/>
        <v>0.38424854472699788</v>
      </c>
      <c r="O426" s="46">
        <f t="shared" ca="1" si="378"/>
        <v>0.38081848360010351</v>
      </c>
      <c r="P426" s="46" t="str">
        <f t="shared" ca="1" si="379"/>
        <v>会</v>
      </c>
      <c r="Q426" s="45">
        <f t="shared" ca="1" si="380"/>
        <v>2.2624828854998791</v>
      </c>
      <c r="R426" s="117">
        <f ca="1">模拟模式!$E$20*(1-IF(模拟模式!$J$19="有",0.15,0))*(1-IF(模拟模式!$K$19="有",0.3,0)-IF(CQ426,0.5,0))</f>
        <v>843.02999999999975</v>
      </c>
      <c r="S426" s="45">
        <f ca="1">R426/(R426+(185*模拟模式!$E$22-16800)*4.08224)</f>
        <v>8.389626085980037E-2</v>
      </c>
      <c r="T426" s="45" t="str">
        <f ca="1">LOOKUP(D426,'模拟-单技能数据'!$A$2:$A$19,'模拟-单技能数据'!$H$2:$H$19)</f>
        <v>阳</v>
      </c>
      <c r="U426" s="119">
        <f t="shared" ca="1" si="355"/>
        <v>0.2</v>
      </c>
      <c r="V426" s="47">
        <f ca="1">(1+L426)*(LOOKUP(D426,'模拟-单技能数据'!$A$2:$A$19,'模拟-单技能数据'!$D$2:$D$19)+G426*LOOKUP(D426,'模拟-单技能数据'!$A$2:$A$19,'模拟-单技能数据'!$F$2:$F$19))*(1+J426)*(1+K426)*(1-S426)*(1+U426)*Q426*LOOKUP(D426,'模拟-单技能数据'!$A$2:$A$19,'模拟-单技能数据'!$I$2:$I$20)</f>
        <v>105861.05199666526</v>
      </c>
      <c r="W426" s="47">
        <f ca="1">LOOKUP(D426,'模拟-单技能数据'!$A$2:$A$19,'模拟-单技能数据'!$G$2:$G$19)*$I$10</f>
        <v>361.51064354704795</v>
      </c>
      <c r="X426" s="47">
        <f t="shared" ca="1" si="381"/>
        <v>9218.9345386263849</v>
      </c>
      <c r="Y426" s="47">
        <f t="shared" ca="1" si="356"/>
        <v>115441.4971788387</v>
      </c>
      <c r="Z426" s="49">
        <f t="shared" ca="1" si="357"/>
        <v>41544386.307385556</v>
      </c>
      <c r="AA426" s="97">
        <f t="shared" ca="1" si="358"/>
        <v>112868.58421768558</v>
      </c>
      <c r="AB426" s="115">
        <f ca="1">IF(OR(C426="赤日轮1",C426="赤日轮2",C426="赤日轮3"),IF(RAND()&lt;模拟模式!$Y$17,1,0),IF(OR(C426="幽月轮1",C426="幽月轮2",C426="幽月轮3"),IF(RAND()&lt;模拟模式!$Y$18,1,0),IF(C426="烈日斩",IF(RAND()&lt;模拟模式!$Y$19,1,0),IF(C426="银月斩",IF(RAND()&lt;模拟模式!$Y$20,1,0),IF(C426="驱夜断愁",IF(RAND()&lt;模拟模式!$Y$21,1,0),IF(C426="净世破魔击·日",IF(RAND()&lt;模拟模式!$Y$22,1,0),IF(C426="净世破魔击·月",IF(RAND()&lt;模拟模式!$Y$23,1,0),0)))))))</f>
        <v>1</v>
      </c>
      <c r="AC426" s="115" t="b">
        <f t="shared" ca="1" si="346"/>
        <v>0</v>
      </c>
      <c r="AD426" s="115" t="b">
        <f t="shared" ca="1" si="366"/>
        <v>1</v>
      </c>
      <c r="AE426" s="115">
        <f t="shared" ca="1" si="367"/>
        <v>4</v>
      </c>
      <c r="AF426" s="47">
        <f ca="1">IF(AC426,('模拟-单技能数据'!$D$20+G426*'模拟-单技能数据'!$F$20)*(1+J426)*(1+'模拟-单技能数据'!$J$20)*(1+U426),0)</f>
        <v>0</v>
      </c>
      <c r="AG426" s="61">
        <f t="shared" ca="1" si="359"/>
        <v>0.64185145527300214</v>
      </c>
      <c r="AH426" s="61">
        <f t="shared" ca="1" si="360"/>
        <v>2.2624828854998791</v>
      </c>
      <c r="AI426" s="62">
        <f t="shared" ca="1" si="382"/>
        <v>0.45256550955560715</v>
      </c>
      <c r="AJ426" s="47">
        <f ca="1">IF(AD426,IF(AI426&lt;$F$10,0,IF(AI426&lt;$F$10+$F$11,0.25,IF(AI426&lt;$F$10+$F$11+AG426,AH426,1)))*IF(AF426&gt;0,AF426,IF(AF425&gt;0,AF425,IF(AF424&gt;0,AF424,IF(AF423&gt;0,AF423,IF(AF422&gt;0,AF422,IF(AF421&gt;0,AF421,IF(AF420&gt;0,AF420,IF(AF419&gt;0,AF419,IF(AF418&gt;0,AF418,IF(AF416&gt;0,AF416,IF(AF415&gt;0,AF415,IF(AF414&gt;0,AF414,0)))))))))))),0)*(1-$S426)*'模拟-单技能数据'!$I$20</f>
        <v>9218.9345386263849</v>
      </c>
      <c r="AK426" s="115" t="b">
        <f t="shared" ca="1" si="347"/>
        <v>0</v>
      </c>
      <c r="AL426" s="115" t="b">
        <f t="shared" ca="1" si="368"/>
        <v>0</v>
      </c>
      <c r="AM426" s="115">
        <f t="shared" ca="1" si="369"/>
        <v>4</v>
      </c>
      <c r="AN426" s="47">
        <f ca="1">IF(AK426,('模拟-单技能数据'!$D$21+G426*'模拟-单技能数据'!$F$21)*(1+J426)*(1+'模拟-单技能数据'!$J$21)*(1+U426),0)</f>
        <v>0</v>
      </c>
      <c r="AO426" s="61">
        <f ca="1">IF(AN426&gt;0,M426-'模拟-单技能数据'!$K$10,AO425)</f>
        <v>0.42185145527300216</v>
      </c>
      <c r="AP426" s="61">
        <f ca="1">IF(AN426&gt;0,I426-'模拟-单技能数据'!$L$10,AP425)</f>
        <v>2.162482885499879</v>
      </c>
      <c r="AQ426" s="63">
        <f t="shared" ca="1" si="383"/>
        <v>0.77130965845740784</v>
      </c>
      <c r="AR426" s="64">
        <f ca="1">IF(AL426,IF(AQ426&lt;$F$10,0,IF(AQ426&lt;$F$10+$F$11,0.25,IF(AQ426&lt;$F$10+$F$11+AO426,AP426,1)))*IF(AN426&gt;0,AN426,IF(AN425&gt;0,AN425,IF(AN424&gt;0,AN424,IF(AN423&gt;0,AN423,IF(AN422&gt;0,AN422,IF(AN421&gt;0,AN421,IF(AN420&gt;0,AN420,IF(AN419&gt;0,AN419,IF(AN418&gt;0,AN418,IF(AN416&gt;0,AN416,IF(AN415&gt;0,AN415,IF(AN414&gt;0,AN414,0)))))))))))),0)*(1-$S426)*'模拟-单技能数据'!$I$21</f>
        <v>0</v>
      </c>
      <c r="AS426" s="61">
        <f ca="1">IF(OR(C426="净世破魔击·日",C426="净世破魔击·月"),M426-'模拟-单技能数据'!$K$10,0)</f>
        <v>0</v>
      </c>
      <c r="AT426" s="61">
        <f ca="1">IF(OR(C426="净世破魔击·日",C426="净世破魔击·月"),I426-'模拟-单技能数据'!$L$10,0)</f>
        <v>0</v>
      </c>
      <c r="AU426" s="62">
        <f t="shared" ca="1" si="384"/>
        <v>0.16756213595137714</v>
      </c>
      <c r="AV426" s="64">
        <f ca="1">IF(AS426&gt;0,('模拟-单技能数据'!$D$22+G426*'模拟-单技能数据'!$F$22)*(1+J426)*(1-S426)*IF(AU426&lt;$F$10,0,IF(AU426&lt;$F$10+$F$11,0.25,IF(AU426&lt;$F$10+$F$11+AS426,AT426,1)))*(1+U426),0)*'模拟-单技能数据'!$I$22</f>
        <v>0</v>
      </c>
      <c r="AW426" s="108">
        <f t="shared" ca="1" si="385"/>
        <v>6.1625000000000068</v>
      </c>
      <c r="AX426" s="108" t="b">
        <f ca="1">AND(模拟模式!$P$10="有",AW425=0,RAND()&lt;IF(C426="净世破魔击·月",0.1*8/3,IF(C426="净世破魔击·日",0.1*4/3,0.1*2/3)))</f>
        <v>0</v>
      </c>
      <c r="AY426" s="47">
        <f ca="1">IF(AX426,(18+G426*0.722)*(1+J426)*(1-S426)*(1+$I$4)*IF(P426="会",'模拟-全程加成'!$J$3+'模拟-全程加成'!$J$4+'模拟-全程加成'!$J$5+('模拟-全程加成'!$I$4+'模拟-全程加成'!$I$5)/系数!$B$4+BG426*10%,IF(P426="命",1,IF(P426="识",0.25,0))),0)</f>
        <v>0</v>
      </c>
      <c r="AZ426" s="108">
        <f t="shared" si="386"/>
        <v>17.232500000000002</v>
      </c>
      <c r="BA426" s="108" t="b">
        <f>AND(模拟模式!$Q$10="有",AZ425=0)</f>
        <v>0</v>
      </c>
      <c r="BB426" s="140">
        <f>IF(BA426,(0+G426*0.287)*(1+J426)*(1-S426)*(1+$I$4)*IF(P426="会",'模拟-全程加成'!$J$3+'模拟-全程加成'!$J$4+'模拟-全程加成'!$J$5+('模拟-全程加成'!$I$4+'模拟-全程加成'!$I$5)/系数!$B$4+BG426*10%,IF(P426="命",1,IF(P426="识",0.25,0))),0)</f>
        <v>0</v>
      </c>
      <c r="BC426" s="115" t="b">
        <f ca="1">AND(模拟模式!$R$7="伏明众生",E426=60,F426=20,DA426&lt;5,CZ425&lt;$F$4)</f>
        <v>0</v>
      </c>
      <c r="BD426" s="115">
        <f t="shared" ca="1" si="348"/>
        <v>0</v>
      </c>
      <c r="BE426" s="115" t="b">
        <f t="shared" ca="1" si="349"/>
        <v>0</v>
      </c>
      <c r="BF426" s="47">
        <f ca="1">IF(BC426,4*('模拟-单技能数据'!$D$24+G426*'模拟-单技能数据'!$F$24)*(1+J426)*(1+'模拟-单技能数据'!$J$24)*(1-S426)*(1+$I$3)*(('模拟-全程加成'!$J$3+'模拟-全程加成'!$J$4+'模拟-全程加成'!$J$5+('模拟-全程加成'!$I$4+'模拟-全程加成'!$I$5)/系数!$B$4+BG426*10%)*('模拟-全程加成'!$J$3+'模拟-全程加成'!$J$4+'模拟-全程加成'!$J$5+('模拟-全程加成'!$I$4+'模拟-全程加成'!$I$5)/系数!$B$4+BG426*10%)+(1-('模拟-全程加成'!$J$3+'模拟-全程加成'!$J$4+'模拟-全程加成'!$J$5+('模拟-全程加成'!$I$4+'模拟-全程加成'!$I$5)/系数!$B$4+BG426*10%)-$F$10-$F$11)+F412*0.25),0)*'模拟-单技能数据'!$I$24</f>
        <v>0</v>
      </c>
      <c r="BG426" s="115" t="b">
        <f ca="1">OR(AND(OR(C426="烈日斩",C426="银月斩"),模拟模式!$I$7="净身明礼"),AND(C426="净世破魔击·日",模拟模式!$J$7="洞若观火"),AND(C427="净世破魔击·月",模拟模式!$J$7="洞若观火"),AB426=1)</f>
        <v>1</v>
      </c>
      <c r="BH426" s="115" t="b">
        <f t="shared" ca="1" si="387"/>
        <v>0</v>
      </c>
      <c r="BI426" s="115">
        <f t="shared" ca="1" si="350"/>
        <v>0</v>
      </c>
      <c r="BJ426" s="115" t="b">
        <f t="shared" ca="1" si="361"/>
        <v>0</v>
      </c>
      <c r="BK426" s="115" t="b">
        <f ca="1">AND(C426="驱夜断愁",模拟模式!$P$7="天地诛戮")</f>
        <v>0</v>
      </c>
      <c r="BL426" s="57">
        <f t="shared" ca="1" si="351"/>
        <v>19.077500000000001</v>
      </c>
      <c r="BM426" s="115" t="b">
        <f t="shared" ca="1" si="362"/>
        <v>1</v>
      </c>
      <c r="BN426" s="115" t="b">
        <f ca="1">AND(OR(C426="赤日轮1",C426="赤日轮2",C426="赤日轮3",C426="幽月轮1",C426="幽月轮2",C426="幽月轮3"),AB426=1,模拟模式!$L$7="明光恒照")</f>
        <v>0</v>
      </c>
      <c r="BO426" s="117">
        <f t="shared" ca="1" si="352"/>
        <v>27.232500000000002</v>
      </c>
      <c r="BP426" s="115">
        <f t="shared" ca="1" si="388"/>
        <v>6</v>
      </c>
      <c r="BQ426" s="115" t="b">
        <f>模拟模式!$K$10="2600·水"</f>
        <v>0</v>
      </c>
      <c r="BR426" s="117">
        <f t="shared" si="389"/>
        <v>0</v>
      </c>
      <c r="BS426" s="115">
        <f t="shared" si="390"/>
        <v>0</v>
      </c>
      <c r="BT426" s="115">
        <f t="shared" ca="1" si="391"/>
        <v>0</v>
      </c>
      <c r="BU426" s="115" t="b">
        <f ca="1">AND(模拟模式!$K$10="2300·雷",BT425=0,RAND()&lt;IF(C426="净世破魔击·月",5*0.05*2/3,IF(C426="净世破魔击·日",3*0.05*2/3,0.05*2*2/3)))</f>
        <v>0</v>
      </c>
      <c r="BV426" s="115">
        <f t="shared" ca="1" si="392"/>
        <v>0</v>
      </c>
      <c r="BW426" s="115">
        <f t="shared" ca="1" si="393"/>
        <v>3.8024999999993088</v>
      </c>
      <c r="BX426" s="164" t="b">
        <f t="shared" ca="1" si="394"/>
        <v>0</v>
      </c>
      <c r="BY426" s="115">
        <f t="shared" ca="1" si="395"/>
        <v>0</v>
      </c>
      <c r="BZ426" s="115">
        <f>IF(OR(模拟模式!$P$16="10人团",模拟模式!$P$16="25人团"),IF(B426/30&gt;CA425,1,0),0)</f>
        <v>0</v>
      </c>
      <c r="CA426" s="115">
        <f t="shared" si="371"/>
        <v>0</v>
      </c>
      <c r="CB426" s="115">
        <f ca="1">IF(BZ426=1,IF(模拟模式!$P$16="10人团",15,0)+IF(模拟模式!$P$16="25人团",IF(RAND()&lt;0.6,15,0)),MAX(0,CB425-$F$4))</f>
        <v>0</v>
      </c>
      <c r="CC426" s="115" t="b">
        <f t="shared" ca="1" si="363"/>
        <v>0</v>
      </c>
      <c r="CD426" s="115">
        <f>IF(模拟模式!$Q$16="1个",IF(B426/40&gt;CE425,1,0),0)</f>
        <v>0</v>
      </c>
      <c r="CE426" s="115">
        <f t="shared" si="364"/>
        <v>0</v>
      </c>
      <c r="CF426" s="115">
        <f>IF(OR(CD426=1,模拟模式!$Q$16="2个"),20,MAX(0,CF425-$F$4))</f>
        <v>0</v>
      </c>
      <c r="CG426" s="115" t="b">
        <f t="shared" si="365"/>
        <v>0</v>
      </c>
      <c r="CH426" s="115">
        <f t="shared" ca="1" si="396"/>
        <v>4.1700000000000115</v>
      </c>
      <c r="CI426" s="115" t="b">
        <f t="shared" ca="1" si="397"/>
        <v>0</v>
      </c>
      <c r="CJ426" s="119">
        <f t="shared" ca="1" si="398"/>
        <v>0</v>
      </c>
      <c r="CK426" s="115">
        <f t="shared" ca="1" si="399"/>
        <v>0</v>
      </c>
      <c r="CL426" s="115" t="b">
        <f ca="1">AND(模拟模式!$S$7="驱夷逐法",OR(AND(C426="净世破魔击·月",E425&gt;59),AND(C426="净世破魔击·日",F425&gt;59)))</f>
        <v>0</v>
      </c>
      <c r="CM426" s="115" t="b">
        <f ca="1">OR(CL426,AND(C426="净世破魔击·日",CL425,RAND()&lt;模拟模式!$U$23))</f>
        <v>0</v>
      </c>
      <c r="CN426" s="115" t="b">
        <f ca="1">IF(模拟模式!$M$7="辉耀红尘",AND(C426="净世破魔击·月",CL426,CV426=0,E425&lt;80),AND(C426="净世破魔击·月",CL426,E425&lt;100))</f>
        <v>0</v>
      </c>
      <c r="CO426" s="115" t="b">
        <f t="shared" ca="1" si="372"/>
        <v>0</v>
      </c>
      <c r="CP426" s="115" t="b">
        <f ca="1">AND(模拟模式!$O$7="用晦而明",OR(C426="净世破魔击·日",C426="净世破魔击·月",C426="驱夜断愁"),AB426)</f>
        <v>0</v>
      </c>
      <c r="CQ426" s="115" t="b">
        <f ca="1">OR(CP426,AND(CP425,RAND()&lt;模拟模式!$U$23))</f>
        <v>1</v>
      </c>
      <c r="CR426" s="115" t="b">
        <f ca="1">AND(模拟模式!$S$7="日月齐光",OR(C426="幽月轮1",C426="幽月轮2",C426="幽月轮3",CR425),NOT(OR(C426="赤日轮1",C426="赤日轮2",C426="赤日轮3")))</f>
        <v>0</v>
      </c>
      <c r="CS426" s="115" t="b">
        <f ca="1">AND(模拟模式!$S$7="日月齐光",OR(C426="赤日轮1",C426="赤日轮2",C426="赤日轮3",CS425),NOT(OR(C426="幽月轮1",C426="幽月轮2",C426="幽月轮3")))</f>
        <v>0</v>
      </c>
      <c r="CT426" s="115">
        <f t="shared" ca="1" si="400"/>
        <v>7.8600000000000128</v>
      </c>
      <c r="CU426" s="115" t="b">
        <f ca="1">AND(模拟模式!$K$10="阴阳往极",CT425=0,RAND()&lt;IF(C426="净世破魔击·月",0.0275*7/3,IF(C426="净世破魔击·日",0.0275*3/3,0.0275*2/3)))</f>
        <v>0</v>
      </c>
      <c r="CV426" s="115">
        <f t="shared" ca="1" si="401"/>
        <v>0</v>
      </c>
      <c r="CW426" s="115">
        <f t="shared" ca="1" si="373"/>
        <v>6</v>
      </c>
      <c r="CX426" s="115">
        <f t="shared" ca="1" si="374"/>
        <v>4.1549999999999994</v>
      </c>
      <c r="CY426" s="115">
        <f ca="1">MAX(IF($C426="驱夜断愁",IF(模拟模式!$R$7="万念俱寂",6,45),CY425-$F$4),0)</f>
        <v>5.0774999999999997</v>
      </c>
      <c r="CZ426" s="115">
        <f t="shared" ca="1" si="375"/>
        <v>0</v>
      </c>
      <c r="DA426" s="115">
        <f ca="1">IF(模拟模式!$N$7="日月同辉",IF(DB425=2,0,MIN(6,IF(AND(OR(C426="赤日轮1",C426="赤日轮2",C426="赤日轮3",C426="幽月轮1",C426="幽月轮2",C426="幽月轮3"),AB426=1),DA425+1,DA425))),0)</f>
        <v>2</v>
      </c>
      <c r="DB426" s="115">
        <f t="shared" ca="1" si="376"/>
        <v>0</v>
      </c>
      <c r="DC426" s="115"/>
      <c r="DD426" s="115"/>
      <c r="DE426" s="115"/>
      <c r="DF426" s="115"/>
      <c r="DG426" s="115"/>
      <c r="DH426" s="115"/>
      <c r="DI426" s="115"/>
      <c r="DJ426" s="115"/>
      <c r="DK426" s="115"/>
      <c r="DL426" s="115"/>
      <c r="DM426" s="115"/>
    </row>
    <row r="427" spans="2:117" x14ac:dyDescent="0.2">
      <c r="B427" s="117">
        <f t="shared" si="377"/>
        <v>369.00000000000347</v>
      </c>
      <c r="C427" s="167" t="str">
        <f t="shared" ca="1" si="370"/>
        <v>幽月轮1</v>
      </c>
      <c r="D427" s="115">
        <f ca="1">IF(C427="赤日轮1",1,IF(C427="赤日轮2",2,IF(C427="赤日轮3",3,IF(C427="幽月轮1",4,IF(C427="幽月轮2",5,IF(C427="幽月轮3",6,IF(C427="烈日斩",7,IF(C427="银月斩",8,IF(C427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427="净世破魔击·月",17,IF(C427="驱夜断愁",18,0)))))))))))</f>
        <v>4</v>
      </c>
      <c r="E427" s="115">
        <f ca="1">IF(AND(CU427,OR(C427="幽月轮1",C427="幽月轮2",C427="幽月轮3",C427="银月斩",C427="驱夜断愁",C427="净世破魔击·月")),100,MIN(IF(OR(CN427,BE427),0,IF(OR($C427="赤日轮1",$C427="赤日轮2",$C427="赤日轮3"),E426+20+IF(模拟模式!$I$7="日月凌天",4,0)+IF(CR426,20,0),IF($C427="烈日斩",E426+40,IF($C427="驱夜断愁",IF(模拟模式!$R$7="万念俱寂",E426+20,E426+60),IF($C427="净世破魔击·月",IF(OR(DB426&gt;0,CV426&gt;0),100,IF(模拟模式!$M$7="辉耀红尘",E426+20,E426)),IF($C427="净世破魔击·日",E426-100,E426)))))),100))</f>
        <v>80</v>
      </c>
      <c r="F427" s="115">
        <f ca="1">IF(AND(CU427,OR(C427="赤日轮1",C427="赤日轮2",C427="赤日轮3",C427="烈日斩",C427="净世破魔击·日")),100,MIN(IF(CO427,0,IF(OR($C427="幽月轮1",$C427="幽月轮2",$C427="幽月轮3"),F426+20+IF(模拟模式!$I$7="日月凌天",4,0)+IF(CS426,20,0),IF($C427="银月斩",F426+40+IF(模拟模式!$X$12=1,5,0),IF($C427="驱夜断愁",IF(模拟模式!$R$7="万念俱寂",F426+20,F426+60),IF($C427="净世破魔击·月",IF(模拟模式!$M$7="辉耀红尘",F426-80,F426-100),IF(AND(C427="净世破魔击·日",OR(DB426&gt;0,CV426&gt;0)),100,F426)))))),100))</f>
        <v>100</v>
      </c>
      <c r="G427" s="117">
        <f ca="1">('模拟-全程加成'!$E$3+'模拟-全程加成'!$E$4+'模拟-全程加成'!$E$5+('模拟-全程加成'!$C$6-'模拟-全程加成'!$C$3)*系数!$B$9+BS427*23)*(1+'模拟-全程加成'!$F$4+'模拟-全程加成'!$F$5+BJ427*10%+BM427*20%+BP427*4%+CG427*30%)+$F$7*系数!$B$12</f>
        <v>20583.127400000001</v>
      </c>
      <c r="H427" s="45">
        <f ca="1">'模拟-全程加成'!$H$3+'模拟-全程加成'!$H$4+'模拟-全程加成'!$H$5+('模拟-全程加成'!$G$4+'模拟-全程加成'!$G$5+('模拟-全程加成'!$C$6-'模拟-全程加成'!$C$3)*系数!$B$13)/系数!$B$3+LOOKUP(D427,'模拟-单技能数据'!$A$2:$A$19,'模拟-单技能数据'!$K$2:$K$19)+BG427*10%+IF(BV427&gt;0,378,0)</f>
        <v>0.51185145527300213</v>
      </c>
      <c r="I427" s="45">
        <f ca="1">'模拟-全程加成'!$J$3+'模拟-全程加成'!$J$4+'模拟-全程加成'!$J$5+('模拟-全程加成'!$I$4+'模拟-全程加成'!$I$5)/系数!$B$4+LOOKUP(D427,'模拟-单技能数据'!$A$2:$A$19,'模拟-单技能数据'!$L$2:$L$19)+BG427*10%</f>
        <v>2.162482885499879</v>
      </c>
      <c r="J427" s="45">
        <f ca="1">(('模拟-全程加成'!$K$3+'模拟-全程加成'!$K$4+'模拟-全程加成'!$K$5+('模拟-全程加成'!$C$6-'模拟-全程加成'!$C$3)*系数!$B$10+IF(BV427&gt;0,882,0)+IF(BY427&gt;0,1831,0))*(1+'模拟-全程加成'!$L$4+'模拟-全程加成'!$L$5+CC427*20%))/系数!$B$5</f>
        <v>0.69723220422048726</v>
      </c>
      <c r="K427" s="119">
        <f ca="1">LOOKUP(D427,'模拟-单技能数据'!$A$2:$A$19,'模拟-单技能数据'!$J$2:$J$19)+IF(CM427,60%,0)+IF(DB426-DB427&gt;0,30%,0)+IF(OR(AND(OR(C427="赤日轮1",C427="赤日轮2",C427="赤日轮3"),CR427),AND(OR(C427="幽月轮1",C427="幽月轮2",C427="幽月轮3"),CS427)),35%,0)+CJ427</f>
        <v>7.0000000000000007E-2</v>
      </c>
      <c r="L427" s="119">
        <f ca="1">IF(AND(C427="烈日斩",模拟模式!$X$11=1),10%,0)+IF(AND(C427="驱夜断愁",AB427=1),30%,0)</f>
        <v>0</v>
      </c>
      <c r="M427" s="45">
        <f t="shared" ca="1" si="353"/>
        <v>0.51185145527300213</v>
      </c>
      <c r="N427" s="45">
        <f t="shared" ca="1" si="354"/>
        <v>0.43424854472699792</v>
      </c>
      <c r="O427" s="46">
        <f t="shared" ca="1" si="378"/>
        <v>0.24746509253223525</v>
      </c>
      <c r="P427" s="46" t="str">
        <f t="shared" ca="1" si="379"/>
        <v>会</v>
      </c>
      <c r="Q427" s="45">
        <f t="shared" ca="1" si="380"/>
        <v>2.162482885499879</v>
      </c>
      <c r="R427" s="117">
        <f ca="1">模拟模式!$E$20*(1-IF(模拟模式!$J$19="有",0.15,0))*(1-IF(模拟模式!$K$19="有",0.3,0)-IF(CQ427,0.5,0))</f>
        <v>2950.6049999999996</v>
      </c>
      <c r="S427" s="45">
        <f ca="1">R427/(R427+(185*模拟模式!$E$22-16800)*4.08224)</f>
        <v>0.24272716014590323</v>
      </c>
      <c r="T427" s="45" t="str">
        <f ca="1">LOOKUP(D427,'模拟-单技能数据'!$A$2:$A$19,'模拟-单技能数据'!$H$2:$H$19)</f>
        <v>阴</v>
      </c>
      <c r="U427" s="119">
        <f t="shared" ca="1" si="355"/>
        <v>0.08</v>
      </c>
      <c r="V427" s="47">
        <f ca="1">(1+L427)*(LOOKUP(D427,'模拟-单技能数据'!$A$2:$A$19,'模拟-单技能数据'!$D$2:$D$19)+G427*LOOKUP(D427,'模拟-单技能数据'!$A$2:$A$19,'模拟-单技能数据'!$F$2:$F$19))*(1+J427)*(1+K427)*(1-S427)*(1+U427)*Q427*LOOKUP(D427,'模拟-单技能数据'!$A$2:$A$19,'模拟-单技能数据'!$I$2:$I$20)</f>
        <v>35088.919370823241</v>
      </c>
      <c r="W427" s="47">
        <f ca="1">LOOKUP(D427,'模拟-单技能数据'!$A$2:$A$19,'模拟-单技能数据'!$G$2:$G$19)*$I$10</f>
        <v>361.51064354704795</v>
      </c>
      <c r="X427" s="47">
        <f t="shared" ca="1" si="381"/>
        <v>2398.8389230019993</v>
      </c>
      <c r="Y427" s="47">
        <f t="shared" ca="1" si="356"/>
        <v>37849.268937372282</v>
      </c>
      <c r="Z427" s="49">
        <f t="shared" ca="1" si="357"/>
        <v>41582235.576322928</v>
      </c>
      <c r="AA427" s="97">
        <f t="shared" ca="1" si="358"/>
        <v>112688.98530168709</v>
      </c>
      <c r="AB427" s="115">
        <f ca="1">IF(OR(C427="赤日轮1",C427="赤日轮2",C427="赤日轮3"),IF(RAND()&lt;模拟模式!$Y$17,1,0),IF(OR(C427="幽月轮1",C427="幽月轮2",C427="幽月轮3"),IF(RAND()&lt;模拟模式!$Y$18,1,0),IF(C427="烈日斩",IF(RAND()&lt;模拟模式!$Y$19,1,0),IF(C427="银月斩",IF(RAND()&lt;模拟模式!$Y$20,1,0),IF(C427="驱夜断愁",IF(RAND()&lt;模拟模式!$Y$21,1,0),IF(C427="净世破魔击·日",IF(RAND()&lt;模拟模式!$Y$22,1,0),IF(C427="净世破魔击·月",IF(RAND()&lt;模拟模式!$Y$23,1,0),0)))))))</f>
        <v>1</v>
      </c>
      <c r="AC427" s="115" t="b">
        <f t="shared" ca="1" si="346"/>
        <v>0</v>
      </c>
      <c r="AD427" s="115" t="b">
        <f t="shared" ca="1" si="366"/>
        <v>0</v>
      </c>
      <c r="AE427" s="115">
        <f t="shared" ca="1" si="367"/>
        <v>4</v>
      </c>
      <c r="AF427" s="47">
        <f ca="1">IF(AC427,('模拟-单技能数据'!$D$20+G427*'模拟-单技能数据'!$F$20)*(1+J427)*(1+'模拟-单技能数据'!$J$20)*(1+U427),0)</f>
        <v>0</v>
      </c>
      <c r="AG427" s="61">
        <f t="shared" ca="1" si="359"/>
        <v>0.64185145527300214</v>
      </c>
      <c r="AH427" s="61">
        <f t="shared" ca="1" si="360"/>
        <v>2.2624828854998791</v>
      </c>
      <c r="AI427" s="62">
        <f t="shared" ca="1" si="382"/>
        <v>0.70081663634709201</v>
      </c>
      <c r="AJ427" s="47">
        <f ca="1">IF(AD427,IF(AI427&lt;$F$10,0,IF(AI427&lt;$F$10+$F$11,0.25,IF(AI427&lt;$F$10+$F$11+AG427,AH427,1)))*IF(AF427&gt;0,AF427,IF(AF426&gt;0,AF426,IF(AF425&gt;0,AF425,IF(AF424&gt;0,AF424,IF(AF423&gt;0,AF423,IF(AF422&gt;0,AF422,IF(AF421&gt;0,AF421,IF(AF420&gt;0,AF420,IF(AF419&gt;0,AF419,IF(AF417&gt;0,AF417,IF(AF416&gt;0,AF416,IF(AF415&gt;0,AF415,0)))))))))))),0)*(1-$S427)*'模拟-单技能数据'!$I$20</f>
        <v>0</v>
      </c>
      <c r="AK427" s="115" t="b">
        <f t="shared" ca="1" si="347"/>
        <v>0</v>
      </c>
      <c r="AL427" s="115" t="b">
        <f t="shared" ca="1" si="368"/>
        <v>1</v>
      </c>
      <c r="AM427" s="115">
        <f t="shared" ca="1" si="369"/>
        <v>3</v>
      </c>
      <c r="AN427" s="47">
        <f ca="1">IF(AK427,('模拟-单技能数据'!$D$21+G427*'模拟-单技能数据'!$F$21)*(1+J427)*(1+'模拟-单技能数据'!$J$21)*(1+U427),0)</f>
        <v>0</v>
      </c>
      <c r="AO427" s="61">
        <f ca="1">IF(AN427&gt;0,M427-'模拟-单技能数据'!$K$10,AO426)</f>
        <v>0.42185145527300216</v>
      </c>
      <c r="AP427" s="61">
        <f ca="1">IF(AN427&gt;0,I427-'模拟-单技能数据'!$L$10,AP426)</f>
        <v>2.162482885499879</v>
      </c>
      <c r="AQ427" s="63">
        <f t="shared" ca="1" si="383"/>
        <v>4.0543776150878452E-2</v>
      </c>
      <c r="AR427" s="64">
        <f ca="1">IF(AL427,IF(AQ427&lt;$F$10,0,IF(AQ427&lt;$F$10+$F$11,0.25,IF(AQ427&lt;$F$10+$F$11+AO427,AP427,1)))*IF(AN427&gt;0,AN427,IF(AN426&gt;0,AN426,IF(AN425&gt;0,AN425,IF(AN424&gt;0,AN424,IF(AN423&gt;0,AN423,IF(AN422&gt;0,AN422,IF(AN421&gt;0,AN421,IF(AN420&gt;0,AN420,IF(AN419&gt;0,AN419,IF(AN417&gt;0,AN417,IF(AN416&gt;0,AN416,IF(AN415&gt;0,AN415,0)))))))))))),0)*(1-$S427)*'模拟-单技能数据'!$I$21</f>
        <v>2398.8389230019993</v>
      </c>
      <c r="AS427" s="61">
        <f ca="1">IF(OR(C427="净世破魔击·日",C427="净世破魔击·月"),M427-'模拟-单技能数据'!$K$10,0)</f>
        <v>0</v>
      </c>
      <c r="AT427" s="61">
        <f ca="1">IF(OR(C427="净世破魔击·日",C427="净世破魔击·月"),I427-'模拟-单技能数据'!$L$10,0)</f>
        <v>0</v>
      </c>
      <c r="AU427" s="62">
        <f t="shared" ca="1" si="384"/>
        <v>0.84120019611494445</v>
      </c>
      <c r="AV427" s="64">
        <f ca="1">IF(AS427&gt;0,('模拟-单技能数据'!$D$22+G427*'模拟-单技能数据'!$F$22)*(1+J427)*(1-S427)*IF(AU427&lt;$F$10,0,IF(AU427&lt;$F$10+$F$11,0.25,IF(AU427&lt;$F$10+$F$11+AS427,AT427,1)))*(1+U427),0)*'模拟-单技能数据'!$I$22</f>
        <v>0</v>
      </c>
      <c r="AW427" s="108">
        <f t="shared" ca="1" si="385"/>
        <v>5.2400000000000064</v>
      </c>
      <c r="AX427" s="108" t="b">
        <f ca="1">AND(模拟模式!$P$10="有",AW426=0,RAND()&lt;IF(C427="净世破魔击·月",0.1*8/3,IF(C427="净世破魔击·日",0.1*4/3,0.1*2/3)))</f>
        <v>0</v>
      </c>
      <c r="AY427" s="47">
        <f ca="1">IF(AX427,(18+G427*0.722)*(1+J427)*(1-S427)*(1+$I$4)*IF(P427="会",'模拟-全程加成'!$J$3+'模拟-全程加成'!$J$4+'模拟-全程加成'!$J$5+('模拟-全程加成'!$I$4+'模拟-全程加成'!$I$5)/系数!$B$4+BG427*10%,IF(P427="命",1,IF(P427="识",0.25,0))),0)</f>
        <v>0</v>
      </c>
      <c r="AZ427" s="108">
        <f t="shared" si="386"/>
        <v>16.310000000000002</v>
      </c>
      <c r="BA427" s="108" t="b">
        <f>AND(模拟模式!$Q$10="有",AZ426=0)</f>
        <v>0</v>
      </c>
      <c r="BB427" s="140">
        <f>IF(BA427,(0+G427*0.287)*(1+J427)*(1-S427)*(1+$I$4)*IF(P427="会",'模拟-全程加成'!$J$3+'模拟-全程加成'!$J$4+'模拟-全程加成'!$J$5+('模拟-全程加成'!$I$4+'模拟-全程加成'!$I$5)/系数!$B$4+BG427*10%,IF(P427="命",1,IF(P427="识",0.25,0))),0)</f>
        <v>0</v>
      </c>
      <c r="BC427" s="115" t="b">
        <f ca="1">AND(模拟模式!$R$7="伏明众生",E427=60,F427=20,DA427&lt;5,CZ426&lt;$F$4)</f>
        <v>0</v>
      </c>
      <c r="BD427" s="115">
        <f t="shared" ca="1" si="348"/>
        <v>0</v>
      </c>
      <c r="BE427" s="115" t="b">
        <f t="shared" ca="1" si="349"/>
        <v>0</v>
      </c>
      <c r="BF427" s="47">
        <f ca="1">IF(BC427,4*('模拟-单技能数据'!$D$24+G427*'模拟-单技能数据'!$F$24)*(1+J427)*(1+'模拟-单技能数据'!$J$24)*(1-S427)*(1+$I$3)*(('模拟-全程加成'!$J$3+'模拟-全程加成'!$J$4+'模拟-全程加成'!$J$5+('模拟-全程加成'!$I$4+'模拟-全程加成'!$I$5)/系数!$B$4+BG427*10%)*('模拟-全程加成'!$J$3+'模拟-全程加成'!$J$4+'模拟-全程加成'!$J$5+('模拟-全程加成'!$I$4+'模拟-全程加成'!$I$5)/系数!$B$4+BG427*10%)+(1-('模拟-全程加成'!$J$3+'模拟-全程加成'!$J$4+'模拟-全程加成'!$J$5+('模拟-全程加成'!$I$4+'模拟-全程加成'!$I$5)/系数!$B$4+BG427*10%)-$F$10-$F$11)+F413*0.25),0)*'模拟-单技能数据'!$I$24</f>
        <v>0</v>
      </c>
      <c r="BG427" s="115" t="b">
        <f ca="1">OR(AND(OR(C427="烈日斩",C427="银月斩"),模拟模式!$I$7="净身明礼"),AND(C427="净世破魔击·日",模拟模式!$J$7="洞若观火"),AND(C428="净世破魔击·月",模拟模式!$J$7="洞若观火"),AB427=1)</f>
        <v>1</v>
      </c>
      <c r="BH427" s="115" t="b">
        <f t="shared" ca="1" si="387"/>
        <v>0</v>
      </c>
      <c r="BI427" s="115">
        <f t="shared" ca="1" si="350"/>
        <v>0</v>
      </c>
      <c r="BJ427" s="115" t="b">
        <f t="shared" ca="1" si="361"/>
        <v>0</v>
      </c>
      <c r="BK427" s="115" t="b">
        <f ca="1">AND(C427="驱夜断愁",模拟模式!$P$7="天地诛戮")</f>
        <v>0</v>
      </c>
      <c r="BL427" s="57">
        <f t="shared" ca="1" si="351"/>
        <v>18.155000000000001</v>
      </c>
      <c r="BM427" s="115" t="b">
        <f t="shared" ca="1" si="362"/>
        <v>1</v>
      </c>
      <c r="BN427" s="115" t="b">
        <f ca="1">AND(OR(C427="赤日轮1",C427="赤日轮2",C427="赤日轮3",C427="幽月轮1",C427="幽月轮2",C427="幽月轮3"),AB427=1,模拟模式!$L$7="明光恒照")</f>
        <v>1</v>
      </c>
      <c r="BO427" s="117">
        <f t="shared" ca="1" si="352"/>
        <v>30</v>
      </c>
      <c r="BP427" s="115">
        <f t="shared" ca="1" si="388"/>
        <v>6</v>
      </c>
      <c r="BQ427" s="115" t="b">
        <f>模拟模式!$K$10="2600·水"</f>
        <v>0</v>
      </c>
      <c r="BR427" s="117">
        <f t="shared" si="389"/>
        <v>0</v>
      </c>
      <c r="BS427" s="115">
        <f t="shared" si="390"/>
        <v>0</v>
      </c>
      <c r="BT427" s="115">
        <f t="shared" ca="1" si="391"/>
        <v>0</v>
      </c>
      <c r="BU427" s="115" t="b">
        <f ca="1">AND(模拟模式!$K$10="2300·雷",BT426=0,RAND()&lt;IF(C427="净世破魔击·月",5*0.05*2/3,IF(C427="净世破魔击·日",3*0.05*2/3,0.05*2*2/3)))</f>
        <v>0</v>
      </c>
      <c r="BV427" s="115">
        <f t="shared" ca="1" si="392"/>
        <v>0</v>
      </c>
      <c r="BW427" s="115">
        <f t="shared" ca="1" si="393"/>
        <v>2.8799999999993089</v>
      </c>
      <c r="BX427" s="164" t="b">
        <f t="shared" ca="1" si="394"/>
        <v>0</v>
      </c>
      <c r="BY427" s="115">
        <f t="shared" ca="1" si="395"/>
        <v>0</v>
      </c>
      <c r="BZ427" s="115">
        <f>IF(OR(模拟模式!$P$16="10人团",模拟模式!$P$16="25人团"),IF(B427/30&gt;CA426,1,0),0)</f>
        <v>0</v>
      </c>
      <c r="CA427" s="115">
        <f t="shared" si="371"/>
        <v>0</v>
      </c>
      <c r="CB427" s="115">
        <f ca="1">IF(BZ427=1,IF(模拟模式!$P$16="10人团",15,0)+IF(模拟模式!$P$16="25人团",IF(RAND()&lt;0.6,15,0)),MAX(0,CB426-$F$4))</f>
        <v>0</v>
      </c>
      <c r="CC427" s="115" t="b">
        <f t="shared" ca="1" si="363"/>
        <v>0</v>
      </c>
      <c r="CD427" s="115">
        <f>IF(模拟模式!$Q$16="1个",IF(B427/40&gt;CE426,1,0),0)</f>
        <v>0</v>
      </c>
      <c r="CE427" s="115">
        <f t="shared" si="364"/>
        <v>0</v>
      </c>
      <c r="CF427" s="115">
        <f>IF(OR(CD427=1,模拟模式!$Q$16="2个"),20,MAX(0,CF426-$F$4))</f>
        <v>0</v>
      </c>
      <c r="CG427" s="115" t="b">
        <f t="shared" si="365"/>
        <v>0</v>
      </c>
      <c r="CH427" s="115">
        <f t="shared" ca="1" si="396"/>
        <v>3.2475000000000116</v>
      </c>
      <c r="CI427" s="115" t="b">
        <f t="shared" ca="1" si="397"/>
        <v>0</v>
      </c>
      <c r="CJ427" s="119">
        <f t="shared" ca="1" si="398"/>
        <v>0</v>
      </c>
      <c r="CK427" s="115">
        <f t="shared" ca="1" si="399"/>
        <v>0</v>
      </c>
      <c r="CL427" s="115" t="b">
        <f ca="1">AND(模拟模式!$S$7="驱夷逐法",OR(AND(C427="净世破魔击·月",E426&gt;59),AND(C427="净世破魔击·日",F426&gt;59)))</f>
        <v>0</v>
      </c>
      <c r="CM427" s="115" t="b">
        <f ca="1">OR(CL427,AND(C427="净世破魔击·日",CL426,RAND()&lt;模拟模式!$U$23))</f>
        <v>0</v>
      </c>
      <c r="CN427" s="115" t="b">
        <f ca="1">IF(模拟模式!$M$7="辉耀红尘",AND(C427="净世破魔击·月",CL427,CV427=0,E426&lt;80),AND(C427="净世破魔击·月",CL427,E426&lt;100))</f>
        <v>0</v>
      </c>
      <c r="CO427" s="115" t="b">
        <f t="shared" ca="1" si="372"/>
        <v>0</v>
      </c>
      <c r="CP427" s="115" t="b">
        <f ca="1">AND(模拟模式!$O$7="用晦而明",OR(C427="净世破魔击·日",C427="净世破魔击·月",C427="驱夜断愁"),AB427)</f>
        <v>0</v>
      </c>
      <c r="CQ427" s="115" t="b">
        <f ca="1">OR(CP427,AND(CP426,RAND()&lt;模拟模式!$U$23))</f>
        <v>0</v>
      </c>
      <c r="CR427" s="115" t="b">
        <f ca="1">AND(模拟模式!$S$7="日月齐光",OR(C427="幽月轮1",C427="幽月轮2",C427="幽月轮3",CR426),NOT(OR(C427="赤日轮1",C427="赤日轮2",C427="赤日轮3")))</f>
        <v>0</v>
      </c>
      <c r="CS427" s="115" t="b">
        <f ca="1">AND(模拟模式!$S$7="日月齐光",OR(C427="赤日轮1",C427="赤日轮2",C427="赤日轮3",CS426),NOT(OR(C427="幽月轮1",C427="幽月轮2",C427="幽月轮3")))</f>
        <v>0</v>
      </c>
      <c r="CT427" s="115">
        <f t="shared" ca="1" si="400"/>
        <v>6.9375000000000124</v>
      </c>
      <c r="CU427" s="115" t="b">
        <f ca="1">AND(模拟模式!$K$10="阴阳往极",CT426=0,RAND()&lt;IF(C427="净世破魔击·月",0.0275*7/3,IF(C427="净世破魔击·日",0.0275*3/3,0.0275*2/3)))</f>
        <v>0</v>
      </c>
      <c r="CV427" s="115">
        <f t="shared" ca="1" si="401"/>
        <v>0</v>
      </c>
      <c r="CW427" s="115">
        <f t="shared" ca="1" si="373"/>
        <v>5.0774999999999997</v>
      </c>
      <c r="CX427" s="115">
        <f t="shared" ca="1" si="374"/>
        <v>3.2324999999999995</v>
      </c>
      <c r="CY427" s="115">
        <f ca="1">MAX(IF($C427="驱夜断愁",IF(模拟模式!$R$7="万念俱寂",6,45),CY426-$F$4),0)</f>
        <v>4.1549999999999994</v>
      </c>
      <c r="CZ427" s="115">
        <f t="shared" ca="1" si="375"/>
        <v>0</v>
      </c>
      <c r="DA427" s="115">
        <f ca="1">IF(模拟模式!$N$7="日月同辉",IF(DB426=2,0,MIN(6,IF(AND(OR(C427="赤日轮1",C427="赤日轮2",C427="赤日轮3",C427="幽月轮1",C427="幽月轮2",C427="幽月轮3"),AB427=1),DA426+1,DA426))),0)</f>
        <v>3</v>
      </c>
      <c r="DB427" s="115">
        <f t="shared" ca="1" si="376"/>
        <v>0</v>
      </c>
      <c r="DC427" s="115"/>
      <c r="DD427" s="115"/>
      <c r="DE427" s="115"/>
      <c r="DF427" s="115"/>
      <c r="DG427" s="115"/>
      <c r="DH427" s="115"/>
      <c r="DI427" s="115"/>
      <c r="DJ427" s="115"/>
      <c r="DK427" s="115"/>
      <c r="DL427" s="115"/>
      <c r="DM427" s="115"/>
    </row>
    <row r="428" spans="2:117" x14ac:dyDescent="0.2">
      <c r="B428" s="117">
        <f t="shared" si="377"/>
        <v>369.92250000000348</v>
      </c>
      <c r="C428" s="167" t="str">
        <f t="shared" ca="1" si="370"/>
        <v>净世破魔击·月</v>
      </c>
      <c r="D428" s="115">
        <f ca="1">IF(C428="赤日轮1",1,IF(C428="赤日轮2",2,IF(C428="赤日轮3",3,IF(C428="幽月轮1",4,IF(C428="幽月轮2",5,IF(C428="幽月轮3",6,IF(C428="烈日斩",7,IF(C428="银月斩",8,IF(C428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428="净世破魔击·月",17,IF(C428="驱夜断愁",18,0)))))))))))</f>
        <v>17</v>
      </c>
      <c r="E428" s="115">
        <f ca="1">IF(AND(CU428,OR(C428="幽月轮1",C428="幽月轮2",C428="幽月轮3",C428="银月斩",C428="驱夜断愁",C428="净世破魔击·月")),100,MIN(IF(OR(CN428,BE428),0,IF(OR($C428="赤日轮1",$C428="赤日轮2",$C428="赤日轮3"),E427+20+IF(模拟模式!$I$7="日月凌天",4,0)+IF(CR427,20,0),IF($C428="烈日斩",E427+40,IF($C428="驱夜断愁",IF(模拟模式!$R$7="万念俱寂",E427+20,E427+60),IF($C428="净世破魔击·月",IF(OR(DB427&gt;0,CV427&gt;0),100,IF(模拟模式!$M$7="辉耀红尘",E427+20,E427)),IF($C428="净世破魔击·日",E427-100,E427)))))),100))</f>
        <v>100</v>
      </c>
      <c r="F428" s="115">
        <f ca="1">IF(AND(CU428,OR(C428="赤日轮1",C428="赤日轮2",C428="赤日轮3",C428="烈日斩",C428="净世破魔击·日")),100,MIN(IF(CO428,0,IF(OR($C428="幽月轮1",$C428="幽月轮2",$C428="幽月轮3"),F427+20+IF(模拟模式!$I$7="日月凌天",4,0)+IF(CS427,20,0),IF($C428="银月斩",F427+40+IF(模拟模式!$X$12=1,5,0),IF($C428="驱夜断愁",IF(模拟模式!$R$7="万念俱寂",F427+20,F427+60),IF($C428="净世破魔击·月",IF(模拟模式!$M$7="辉耀红尘",F427-80,F427-100),IF(AND(C428="净世破魔击·日",OR(DB427&gt;0,CV427&gt;0)),100,F427)))))),100))</f>
        <v>20</v>
      </c>
      <c r="G428" s="117">
        <f ca="1">('模拟-全程加成'!$E$3+'模拟-全程加成'!$E$4+'模拟-全程加成'!$E$5+('模拟-全程加成'!$C$6-'模拟-全程加成'!$C$3)*系数!$B$9+BS428*23)*(1+'模拟-全程加成'!$F$4+'模拟-全程加成'!$F$5+BJ428*10%+BM428*20%+BP428*4%+CG428*30%)+$F$7*系数!$B$12</f>
        <v>20583.127400000001</v>
      </c>
      <c r="H428" s="45">
        <f ca="1">'模拟-全程加成'!$H$3+'模拟-全程加成'!$H$4+'模拟-全程加成'!$H$5+('模拟-全程加成'!$G$4+'模拟-全程加成'!$G$5+('模拟-全程加成'!$C$6-'模拟-全程加成'!$C$3)*系数!$B$13)/系数!$B$3+LOOKUP(D428,'模拟-单技能数据'!$A$2:$A$19,'模拟-单技能数据'!$K$2:$K$19)+BG428*10%+IF(BV428&gt;0,378,0)</f>
        <v>0.54185145527300216</v>
      </c>
      <c r="I428" s="45">
        <f ca="1">'模拟-全程加成'!$J$3+'模拟-全程加成'!$J$4+'模拟-全程加成'!$J$5+('模拟-全程加成'!$I$4+'模拟-全程加成'!$I$5)/系数!$B$4+LOOKUP(D428,'模拟-单技能数据'!$A$2:$A$19,'模拟-单技能数据'!$L$2:$L$19)+BG428*10%</f>
        <v>2.162482885499879</v>
      </c>
      <c r="J428" s="45">
        <f ca="1">(('模拟-全程加成'!$K$3+'模拟-全程加成'!$K$4+'模拟-全程加成'!$K$5+('模拟-全程加成'!$C$6-'模拟-全程加成'!$C$3)*系数!$B$10+IF(BV428&gt;0,882,0)+IF(BY428&gt;0,1831,0))*(1+'模拟-全程加成'!$L$4+'模拟-全程加成'!$L$5+CC428*20%))/系数!$B$5</f>
        <v>0.69723220422048726</v>
      </c>
      <c r="K428" s="119">
        <f ca="1">LOOKUP(D428,'模拟-单技能数据'!$A$2:$A$19,'模拟-单技能数据'!$J$2:$J$19)+IF(CM428,60%,0)+IF(DB427-DB428&gt;0,30%,0)+IF(OR(AND(OR(C428="赤日轮1",C428="赤日轮2",C428="赤日轮3"),CR428),AND(OR(C428="幽月轮1",C428="幽月轮2",C428="幽月轮3"),CS428)),35%,0)+CJ428</f>
        <v>0.8</v>
      </c>
      <c r="L428" s="119">
        <f ca="1">IF(AND(C428="烈日斩",模拟模式!$X$11=1),10%,0)+IF(AND(C428="驱夜断愁",AB428=1),30%,0)</f>
        <v>0</v>
      </c>
      <c r="M428" s="45">
        <f t="shared" ca="1" si="353"/>
        <v>0.54185145527300216</v>
      </c>
      <c r="N428" s="45">
        <f t="shared" ca="1" si="354"/>
        <v>0.40424854472699789</v>
      </c>
      <c r="O428" s="46">
        <f t="shared" ca="1" si="378"/>
        <v>0.80299294302328428</v>
      </c>
      <c r="P428" s="46" t="str">
        <f t="shared" ca="1" si="379"/>
        <v>命</v>
      </c>
      <c r="Q428" s="45">
        <f t="shared" ca="1" si="380"/>
        <v>1</v>
      </c>
      <c r="R428" s="117">
        <f ca="1">模拟模式!$E$20*(1-IF(模拟模式!$J$19="有",0.15,0))*(1-IF(模拟模式!$K$19="有",0.3,0)-IF(CQ428,0.5,0))</f>
        <v>843.02999999999975</v>
      </c>
      <c r="S428" s="45">
        <f ca="1">R428/(R428+(185*模拟模式!$E$22-16800)*4.08224)</f>
        <v>8.389626085980037E-2</v>
      </c>
      <c r="T428" s="45" t="str">
        <f ca="1">LOOKUP(D428,'模拟-单技能数据'!$A$2:$A$19,'模拟-单技能数据'!$H$2:$H$19)</f>
        <v>阴</v>
      </c>
      <c r="U428" s="119">
        <f t="shared" ca="1" si="355"/>
        <v>0.08</v>
      </c>
      <c r="V428" s="47">
        <f ca="1">(1+L428)*(LOOKUP(D428,'模拟-单技能数据'!$A$2:$A$19,'模拟-单技能数据'!$D$2:$D$19)+G428*LOOKUP(D428,'模拟-单技能数据'!$A$2:$A$19,'模拟-单技能数据'!$F$2:$F$19))*(1+J428)*(1+K428)*(1-S428)*(1+U428)*Q428*LOOKUP(D428,'模拟-单技能数据'!$A$2:$A$19,'模拟-单技能数据'!$I$2:$I$20)</f>
        <v>80864.621558254468</v>
      </c>
      <c r="W428" s="47">
        <f ca="1">LOOKUP(D428,'模拟-单技能数据'!$A$2:$A$19,'模拟-单技能数据'!$G$2:$G$19)*$I$10</f>
        <v>361.51064354704795</v>
      </c>
      <c r="X428" s="47">
        <f t="shared" ca="1" si="381"/>
        <v>16858.386290731236</v>
      </c>
      <c r="Y428" s="47">
        <f t="shared" ca="1" si="356"/>
        <v>98084.518492532748</v>
      </c>
      <c r="Z428" s="49">
        <f t="shared" ca="1" si="357"/>
        <v>41680320.094815463</v>
      </c>
      <c r="AA428" s="97">
        <f t="shared" ca="1" si="358"/>
        <v>112673.11421937046</v>
      </c>
      <c r="AB428" s="115">
        <f ca="1">IF(OR(C428="赤日轮1",C428="赤日轮2",C428="赤日轮3"),IF(RAND()&lt;模拟模式!$Y$17,1,0),IF(OR(C428="幽月轮1",C428="幽月轮2",C428="幽月轮3"),IF(RAND()&lt;模拟模式!$Y$18,1,0),IF(C428="烈日斩",IF(RAND()&lt;模拟模式!$Y$19,1,0),IF(C428="银月斩",IF(RAND()&lt;模拟模式!$Y$20,1,0),IF(C428="驱夜断愁",IF(RAND()&lt;模拟模式!$Y$21,1,0),IF(C428="净世破魔击·日",IF(RAND()&lt;模拟模式!$Y$22,1,0),IF(C428="净世破魔击·月",IF(RAND()&lt;模拟模式!$Y$23,1,0),0)))))))</f>
        <v>1</v>
      </c>
      <c r="AC428" s="115" t="b">
        <f t="shared" ca="1" si="346"/>
        <v>0</v>
      </c>
      <c r="AD428" s="115" t="b">
        <f t="shared" ca="1" si="366"/>
        <v>1</v>
      </c>
      <c r="AE428" s="115">
        <f t="shared" ca="1" si="367"/>
        <v>3</v>
      </c>
      <c r="AF428" s="47">
        <f ca="1">IF(AC428,('模拟-单技能数据'!$D$20+G428*'模拟-单技能数据'!$F$20)*(1+J428)*(1+'模拟-单技能数据'!$J$20)*(1+U428),0)</f>
        <v>0</v>
      </c>
      <c r="AG428" s="61">
        <f t="shared" ca="1" si="359"/>
        <v>0.64185145527300214</v>
      </c>
      <c r="AH428" s="61">
        <f t="shared" ca="1" si="360"/>
        <v>2.2624828854998791</v>
      </c>
      <c r="AI428" s="62">
        <f t="shared" ca="1" si="382"/>
        <v>0.4489361245255703</v>
      </c>
      <c r="AJ428" s="47">
        <f ca="1">IF(AD428,IF(AI428&lt;$F$10,0,IF(AI428&lt;$F$10+$F$11,0.25,IF(AI428&lt;$F$10+$F$11+AG428,AH428,1)))*IF(AF428&gt;0,AF428,IF(AF427&gt;0,AF427,IF(AF426&gt;0,AF426,IF(AF425&gt;0,AF425,IF(AF424&gt;0,AF424,IF(AF423&gt;0,AF423,IF(AF422&gt;0,AF422,IF(AF421&gt;0,AF421,IF(AF420&gt;0,AF420,IF(AF418&gt;0,AF418,IF(AF417&gt;0,AF417,IF(AF416&gt;0,AF416,0)))))))))))),0)*(1-$S428)*'模拟-单技能数据'!$I$20</f>
        <v>9218.9345386263849</v>
      </c>
      <c r="AK428" s="115" t="b">
        <f t="shared" ca="1" si="347"/>
        <v>0</v>
      </c>
      <c r="AL428" s="115" t="b">
        <f t="shared" ca="1" si="368"/>
        <v>0</v>
      </c>
      <c r="AM428" s="115">
        <f t="shared" ca="1" si="369"/>
        <v>3</v>
      </c>
      <c r="AN428" s="47">
        <f ca="1">IF(AK428,('模拟-单技能数据'!$D$21+G428*'模拟-单技能数据'!$F$21)*(1+J428)*(1+'模拟-单技能数据'!$J$21)*(1+U428),0)</f>
        <v>0</v>
      </c>
      <c r="AO428" s="61">
        <f ca="1">IF(AN428&gt;0,M428-'模拟-单技能数据'!$K$10,AO427)</f>
        <v>0.42185145527300216</v>
      </c>
      <c r="AP428" s="61">
        <f ca="1">IF(AN428&gt;0,I428-'模拟-单技能数据'!$L$10,AP427)</f>
        <v>2.162482885499879</v>
      </c>
      <c r="AQ428" s="63">
        <f t="shared" ca="1" si="383"/>
        <v>0.32840629766990992</v>
      </c>
      <c r="AR428" s="64">
        <f ca="1">IF(AL428,IF(AQ428&lt;$F$10,0,IF(AQ428&lt;$F$10+$F$11,0.25,IF(AQ428&lt;$F$10+$F$11+AO428,AP428,1)))*IF(AN428&gt;0,AN428,IF(AN427&gt;0,AN427,IF(AN426&gt;0,AN426,IF(AN425&gt;0,AN425,IF(AN424&gt;0,AN424,IF(AN423&gt;0,AN423,IF(AN422&gt;0,AN422,IF(AN421&gt;0,AN421,IF(AN420&gt;0,AN420,IF(AN418&gt;0,AN418,IF(AN417&gt;0,AN417,IF(AN416&gt;0,AN416,0)))))))))))),0)*(1-$S428)*'模拟-单技能数据'!$I$21</f>
        <v>0</v>
      </c>
      <c r="AS428" s="61">
        <f ca="1">IF(OR(C428="净世破魔击·日",C428="净世破魔击·月"),M428-'模拟-单技能数据'!$K$10,0)</f>
        <v>0.42185145527300216</v>
      </c>
      <c r="AT428" s="61">
        <f ca="1">IF(OR(C428="净世破魔击·日",C428="净世破魔击·月"),I428-'模拟-单技能数据'!$L$10,0)</f>
        <v>2.162482885499879</v>
      </c>
      <c r="AU428" s="62">
        <f t="shared" ca="1" si="384"/>
        <v>0.73730066694684515</v>
      </c>
      <c r="AV428" s="64">
        <f ca="1">IF(AS428&gt;0,('模拟-单技能数据'!$D$22+G428*'模拟-单技能数据'!$F$22)*(1+J428)*(1-S428)*IF(AU428&lt;$F$10,0,IF(AU428&lt;$F$10+$F$11,0.25,IF(AU428&lt;$F$10+$F$11+AS428,AT428,1)))*(1+U428),0)*'模拟-单技能数据'!$I$22</f>
        <v>7639.4517521048492</v>
      </c>
      <c r="AW428" s="108">
        <f t="shared" ca="1" si="385"/>
        <v>4.3175000000000061</v>
      </c>
      <c r="AX428" s="108" t="b">
        <f ca="1">AND(模拟模式!$P$10="有",AW427=0,RAND()&lt;IF(C428="净世破魔击·月",0.1*8/3,IF(C428="净世破魔击·日",0.1*4/3,0.1*2/3)))</f>
        <v>0</v>
      </c>
      <c r="AY428" s="47">
        <f ca="1">IF(AX428,(18+G428*0.722)*(1+J428)*(1-S428)*(1+$I$4)*IF(P428="会",'模拟-全程加成'!$J$3+'模拟-全程加成'!$J$4+'模拟-全程加成'!$J$5+('模拟-全程加成'!$I$4+'模拟-全程加成'!$I$5)/系数!$B$4+BG428*10%,IF(P428="命",1,IF(P428="识",0.25,0))),0)</f>
        <v>0</v>
      </c>
      <c r="AZ428" s="108">
        <f t="shared" si="386"/>
        <v>15.387500000000003</v>
      </c>
      <c r="BA428" s="108" t="b">
        <f>AND(模拟模式!$Q$10="有",AZ427=0)</f>
        <v>0</v>
      </c>
      <c r="BB428" s="140">
        <f>IF(BA428,(0+G428*0.287)*(1+J428)*(1-S428)*(1+$I$4)*IF(P428="会",'模拟-全程加成'!$J$3+'模拟-全程加成'!$J$4+'模拟-全程加成'!$J$5+('模拟-全程加成'!$I$4+'模拟-全程加成'!$I$5)/系数!$B$4+BG428*10%,IF(P428="命",1,IF(P428="识",0.25,0))),0)</f>
        <v>0</v>
      </c>
      <c r="BC428" s="115" t="b">
        <f ca="1">AND(模拟模式!$R$7="伏明众生",E428=60,F428=20,DA428&lt;5,CZ427&lt;$F$4)</f>
        <v>0</v>
      </c>
      <c r="BD428" s="115">
        <f t="shared" ca="1" si="348"/>
        <v>0</v>
      </c>
      <c r="BE428" s="115" t="b">
        <f t="shared" ca="1" si="349"/>
        <v>0</v>
      </c>
      <c r="BF428" s="47">
        <f ca="1">IF(BC428,4*('模拟-单技能数据'!$D$24+G428*'模拟-单技能数据'!$F$24)*(1+J428)*(1+'模拟-单技能数据'!$J$24)*(1-S428)*(1+$I$3)*(('模拟-全程加成'!$J$3+'模拟-全程加成'!$J$4+'模拟-全程加成'!$J$5+('模拟-全程加成'!$I$4+'模拟-全程加成'!$I$5)/系数!$B$4+BG428*10%)*('模拟-全程加成'!$J$3+'模拟-全程加成'!$J$4+'模拟-全程加成'!$J$5+('模拟-全程加成'!$I$4+'模拟-全程加成'!$I$5)/系数!$B$4+BG428*10%)+(1-('模拟-全程加成'!$J$3+'模拟-全程加成'!$J$4+'模拟-全程加成'!$J$5+('模拟-全程加成'!$I$4+'模拟-全程加成'!$I$5)/系数!$B$4+BG428*10%)-$F$10-$F$11)+F414*0.25),0)*'模拟-单技能数据'!$I$24</f>
        <v>0</v>
      </c>
      <c r="BG428" s="115" t="b">
        <f ca="1">OR(AND(OR(C428="烈日斩",C428="银月斩"),模拟模式!$I$7="净身明礼"),AND(C428="净世破魔击·日",模拟模式!$J$7="洞若观火"),AND(C429="净世破魔击·月",模拟模式!$J$7="洞若观火"),AB428=1)</f>
        <v>1</v>
      </c>
      <c r="BH428" s="115" t="b">
        <f t="shared" ca="1" si="387"/>
        <v>0</v>
      </c>
      <c r="BI428" s="115">
        <f t="shared" ca="1" si="350"/>
        <v>0</v>
      </c>
      <c r="BJ428" s="115" t="b">
        <f t="shared" ca="1" si="361"/>
        <v>0</v>
      </c>
      <c r="BK428" s="115" t="b">
        <f ca="1">AND(C428="驱夜断愁",模拟模式!$P$7="天地诛戮")</f>
        <v>0</v>
      </c>
      <c r="BL428" s="57">
        <f t="shared" ca="1" si="351"/>
        <v>17.232500000000002</v>
      </c>
      <c r="BM428" s="115" t="b">
        <f t="shared" ca="1" si="362"/>
        <v>1</v>
      </c>
      <c r="BN428" s="115" t="b">
        <f ca="1">AND(OR(C428="赤日轮1",C428="赤日轮2",C428="赤日轮3",C428="幽月轮1",C428="幽月轮2",C428="幽月轮3"),AB428=1,模拟模式!$L$7="明光恒照")</f>
        <v>0</v>
      </c>
      <c r="BO428" s="117">
        <f t="shared" ca="1" si="352"/>
        <v>29.077500000000001</v>
      </c>
      <c r="BP428" s="115">
        <f t="shared" ca="1" si="388"/>
        <v>6</v>
      </c>
      <c r="BQ428" s="115" t="b">
        <f>模拟模式!$K$10="2600·水"</f>
        <v>0</v>
      </c>
      <c r="BR428" s="117">
        <f t="shared" si="389"/>
        <v>0</v>
      </c>
      <c r="BS428" s="115">
        <f t="shared" si="390"/>
        <v>0</v>
      </c>
      <c r="BT428" s="115">
        <f t="shared" ca="1" si="391"/>
        <v>0</v>
      </c>
      <c r="BU428" s="115" t="b">
        <f ca="1">AND(模拟模式!$K$10="2300·雷",BT427=0,RAND()&lt;IF(C428="净世破魔击·月",5*0.05*2/3,IF(C428="净世破魔击·日",3*0.05*2/3,0.05*2*2/3)))</f>
        <v>0</v>
      </c>
      <c r="BV428" s="115">
        <f t="shared" ca="1" si="392"/>
        <v>0</v>
      </c>
      <c r="BW428" s="115">
        <f t="shared" ca="1" si="393"/>
        <v>1.957499999999309</v>
      </c>
      <c r="BX428" s="164" t="b">
        <f t="shared" ca="1" si="394"/>
        <v>0</v>
      </c>
      <c r="BY428" s="115">
        <f t="shared" ca="1" si="395"/>
        <v>0</v>
      </c>
      <c r="BZ428" s="115">
        <f>IF(OR(模拟模式!$P$16="10人团",模拟模式!$P$16="25人团"),IF(B428/30&gt;CA427,1,0),0)</f>
        <v>0</v>
      </c>
      <c r="CA428" s="115">
        <f t="shared" si="371"/>
        <v>0</v>
      </c>
      <c r="CB428" s="115">
        <f ca="1">IF(BZ428=1,IF(模拟模式!$P$16="10人团",15,0)+IF(模拟模式!$P$16="25人团",IF(RAND()&lt;0.6,15,0)),MAX(0,CB427-$F$4))</f>
        <v>0</v>
      </c>
      <c r="CC428" s="115" t="b">
        <f t="shared" ca="1" si="363"/>
        <v>0</v>
      </c>
      <c r="CD428" s="115">
        <f>IF(模拟模式!$Q$16="1个",IF(B428/40&gt;CE427,1,0),0)</f>
        <v>0</v>
      </c>
      <c r="CE428" s="115">
        <f t="shared" si="364"/>
        <v>0</v>
      </c>
      <c r="CF428" s="115">
        <f>IF(OR(CD428=1,模拟模式!$Q$16="2个"),20,MAX(0,CF427-$F$4))</f>
        <v>0</v>
      </c>
      <c r="CG428" s="115" t="b">
        <f t="shared" si="365"/>
        <v>0</v>
      </c>
      <c r="CH428" s="115">
        <f t="shared" ca="1" si="396"/>
        <v>2.3250000000000117</v>
      </c>
      <c r="CI428" s="115" t="b">
        <f t="shared" ca="1" si="397"/>
        <v>0</v>
      </c>
      <c r="CJ428" s="119">
        <f t="shared" ca="1" si="398"/>
        <v>0</v>
      </c>
      <c r="CK428" s="115">
        <f t="shared" ca="1" si="399"/>
        <v>0</v>
      </c>
      <c r="CL428" s="115" t="b">
        <f ca="1">AND(模拟模式!$S$7="驱夷逐法",OR(AND(C428="净世破魔击·月",E427&gt;59),AND(C428="净世破魔击·日",F427&gt;59)))</f>
        <v>1</v>
      </c>
      <c r="CM428" s="115" t="b">
        <f ca="1">OR(CL428,AND(C428="净世破魔击·日",CL427,RAND()&lt;模拟模式!$U$23))</f>
        <v>1</v>
      </c>
      <c r="CN428" s="115" t="b">
        <f ca="1">IF(模拟模式!$M$7="辉耀红尘",AND(C428="净世破魔击·月",CL428,CV428=0,E427&lt;80),AND(C428="净世破魔击·月",CL428,E427&lt;100))</f>
        <v>0</v>
      </c>
      <c r="CO428" s="115" t="b">
        <f t="shared" ca="1" si="372"/>
        <v>0</v>
      </c>
      <c r="CP428" s="115" t="b">
        <f ca="1">AND(模拟模式!$O$7="用晦而明",OR(C428="净世破魔击·日",C428="净世破魔击·月",C428="驱夜断愁"),AB428)</f>
        <v>1</v>
      </c>
      <c r="CQ428" s="115" t="b">
        <f ca="1">OR(CP428,AND(CP427,RAND()&lt;模拟模式!$U$23))</f>
        <v>1</v>
      </c>
      <c r="CR428" s="115" t="b">
        <f ca="1">AND(模拟模式!$S$7="日月齐光",OR(C428="幽月轮1",C428="幽月轮2",C428="幽月轮3",CR427),NOT(OR(C428="赤日轮1",C428="赤日轮2",C428="赤日轮3")))</f>
        <v>0</v>
      </c>
      <c r="CS428" s="115" t="b">
        <f ca="1">AND(模拟模式!$S$7="日月齐光",OR(C428="赤日轮1",C428="赤日轮2",C428="赤日轮3",CS427),NOT(OR(C428="幽月轮1",C428="幽月轮2",C428="幽月轮3")))</f>
        <v>0</v>
      </c>
      <c r="CT428" s="115">
        <f t="shared" ca="1" si="400"/>
        <v>6.0150000000000121</v>
      </c>
      <c r="CU428" s="115" t="b">
        <f ca="1">AND(模拟模式!$K$10="阴阳往极",CT427=0,RAND()&lt;IF(C428="净世破魔击·月",0.0275*7/3,IF(C428="净世破魔击·日",0.0275*3/3,0.0275*2/3)))</f>
        <v>0</v>
      </c>
      <c r="CV428" s="115">
        <f t="shared" ca="1" si="401"/>
        <v>0</v>
      </c>
      <c r="CW428" s="115">
        <f t="shared" ca="1" si="373"/>
        <v>4.1549999999999994</v>
      </c>
      <c r="CX428" s="115">
        <f t="shared" ca="1" si="374"/>
        <v>2.3099999999999996</v>
      </c>
      <c r="CY428" s="115">
        <f ca="1">MAX(IF($C428="驱夜断愁",IF(模拟模式!$R$7="万念俱寂",6,45),CY427-$F$4),0)</f>
        <v>3.2324999999999995</v>
      </c>
      <c r="CZ428" s="115">
        <f t="shared" ca="1" si="375"/>
        <v>0</v>
      </c>
      <c r="DA428" s="115">
        <f ca="1">IF(模拟模式!$N$7="日月同辉",IF(DB427=2,0,MIN(6,IF(AND(OR(C428="赤日轮1",C428="赤日轮2",C428="赤日轮3",C428="幽月轮1",C428="幽月轮2",C428="幽月轮3"),AB428=1),DA427+1,DA427))),0)</f>
        <v>3</v>
      </c>
      <c r="DB428" s="115">
        <f t="shared" ca="1" si="376"/>
        <v>0</v>
      </c>
      <c r="DC428" s="115"/>
      <c r="DD428" s="115"/>
      <c r="DE428" s="115"/>
      <c r="DF428" s="115"/>
      <c r="DG428" s="115"/>
      <c r="DH428" s="115"/>
      <c r="DI428" s="115"/>
      <c r="DJ428" s="115"/>
      <c r="DK428" s="115"/>
      <c r="DL428" s="115"/>
      <c r="DM428" s="115"/>
    </row>
    <row r="429" spans="2:117" x14ac:dyDescent="0.2">
      <c r="B429" s="117">
        <f t="shared" si="377"/>
        <v>370.84500000000349</v>
      </c>
      <c r="C429" s="167" t="str">
        <f t="shared" ca="1" si="370"/>
        <v>净世破魔击·日</v>
      </c>
      <c r="D429" s="115">
        <f ca="1">IF(C429="赤日轮1",1,IF(C429="赤日轮2",2,IF(C429="赤日轮3",3,IF(C429="幽月轮1",4,IF(C429="幽月轮2",5,IF(C429="幽月轮3",6,IF(C429="烈日斩",7,IF(C429="银月斩",8,IF(C429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429="净世破魔击·月",17,IF(C429="驱夜断愁",18,0)))))))))))</f>
        <v>9</v>
      </c>
      <c r="E429" s="115">
        <f ca="1">IF(AND(CU429,OR(C429="幽月轮1",C429="幽月轮2",C429="幽月轮3",C429="银月斩",C429="驱夜断愁",C429="净世破魔击·月")),100,MIN(IF(OR(CN429,BE429),0,IF(OR($C429="赤日轮1",$C429="赤日轮2",$C429="赤日轮3"),E428+20+IF(模拟模式!$I$7="日月凌天",4,0)+IF(CR428,20,0),IF($C429="烈日斩",E428+40,IF($C429="驱夜断愁",IF(模拟模式!$R$7="万念俱寂",E428+20,E428+60),IF($C429="净世破魔击·月",IF(OR(DB428&gt;0,CV428&gt;0),100,IF(模拟模式!$M$7="辉耀红尘",E428+20,E428)),IF($C429="净世破魔击·日",E428-100,E428)))))),100))</f>
        <v>0</v>
      </c>
      <c r="F429" s="115">
        <f ca="1">IF(AND(CU429,OR(C429="赤日轮1",C429="赤日轮2",C429="赤日轮3",C429="烈日斩",C429="净世破魔击·日")),100,MIN(IF(CO429,0,IF(OR($C429="幽月轮1",$C429="幽月轮2",$C429="幽月轮3"),F428+20+IF(模拟模式!$I$7="日月凌天",4,0)+IF(CS428,20,0),IF($C429="银月斩",F428+40+IF(模拟模式!$X$12=1,5,0),IF($C429="驱夜断愁",IF(模拟模式!$R$7="万念俱寂",F428+20,F428+60),IF($C429="净世破魔击·月",IF(模拟模式!$M$7="辉耀红尘",F428-80,F428-100),IF(AND(C429="净世破魔击·日",OR(DB428&gt;0,CV428&gt;0)),100,F428)))))),100))</f>
        <v>20</v>
      </c>
      <c r="G429" s="117">
        <f ca="1">('模拟-全程加成'!$E$3+'模拟-全程加成'!$E$4+'模拟-全程加成'!$E$5+('模拟-全程加成'!$C$6-'模拟-全程加成'!$C$3)*系数!$B$9+BS429*23)*(1+'模拟-全程加成'!$F$4+'模拟-全程加成'!$F$5+BJ429*10%+BM429*20%+BP429*4%+CG429*30%)+$F$7*系数!$B$12</f>
        <v>20583.127400000001</v>
      </c>
      <c r="H429" s="45">
        <f ca="1">'模拟-全程加成'!$H$3+'模拟-全程加成'!$H$4+'模拟-全程加成'!$H$5+('模拟-全程加成'!$G$4+'模拟-全程加成'!$G$5+('模拟-全程加成'!$C$6-'模拟-全程加成'!$C$3)*系数!$B$13)/系数!$B$3+LOOKUP(D429,'模拟-单技能数据'!$A$2:$A$19,'模拟-单技能数据'!$K$2:$K$19)+BG429*10%+IF(BV429&gt;0,378,0)</f>
        <v>0.54185145527300216</v>
      </c>
      <c r="I429" s="45">
        <f ca="1">'模拟-全程加成'!$J$3+'模拟-全程加成'!$J$4+'模拟-全程加成'!$J$5+('模拟-全程加成'!$I$4+'模拟-全程加成'!$I$5)/系数!$B$4+LOOKUP(D429,'模拟-单技能数据'!$A$2:$A$19,'模拟-单技能数据'!$L$2:$L$19)+BG429*10%</f>
        <v>2.162482885499879</v>
      </c>
      <c r="J429" s="45">
        <f ca="1">(('模拟-全程加成'!$K$3+'模拟-全程加成'!$K$4+'模拟-全程加成'!$K$5+('模拟-全程加成'!$C$6-'模拟-全程加成'!$C$3)*系数!$B$10+IF(BV429&gt;0,882,0)+IF(BY429&gt;0,1831,0))*(1+'模拟-全程加成'!$L$4+'模拟-全程加成'!$L$5+CC429*20%))/系数!$B$5</f>
        <v>0.69723220422048726</v>
      </c>
      <c r="K429" s="119">
        <f ca="1">LOOKUP(D429,'模拟-单技能数据'!$A$2:$A$19,'模拟-单技能数据'!$J$2:$J$19)+IF(CM429,60%,0)+IF(DB428-DB429&gt;0,30%,0)+IF(OR(AND(OR(C429="赤日轮1",C429="赤日轮2",C429="赤日轮3"),CR429),AND(OR(C429="幽月轮1",C429="幽月轮2",C429="幽月轮3"),CS429)),35%,0)+CJ429</f>
        <v>0.8</v>
      </c>
      <c r="L429" s="119">
        <f ca="1">IF(AND(C429="烈日斩",模拟模式!$X$11=1),10%,0)+IF(AND(C429="驱夜断愁",AB429=1),30%,0)</f>
        <v>0</v>
      </c>
      <c r="M429" s="45">
        <f t="shared" ca="1" si="353"/>
        <v>0.54185145527300216</v>
      </c>
      <c r="N429" s="45">
        <f t="shared" ca="1" si="354"/>
        <v>0.40424854472699789</v>
      </c>
      <c r="O429" s="46">
        <f t="shared" ca="1" si="378"/>
        <v>0.9352184847624706</v>
      </c>
      <c r="P429" s="46" t="str">
        <f t="shared" ca="1" si="379"/>
        <v>命</v>
      </c>
      <c r="Q429" s="45">
        <f t="shared" ca="1" si="380"/>
        <v>1</v>
      </c>
      <c r="R429" s="117">
        <f ca="1">模拟模式!$E$20*(1-IF(模拟模式!$J$19="有",0.15,0))*(1-IF(模拟模式!$K$19="有",0.3,0)-IF(CQ429,0.5,0))</f>
        <v>843.02999999999975</v>
      </c>
      <c r="S429" s="45">
        <f ca="1">R429/(R429+(185*模拟模式!$E$22-16800)*4.08224)</f>
        <v>8.389626085980037E-2</v>
      </c>
      <c r="T429" s="45" t="str">
        <f ca="1">LOOKUP(D429,'模拟-单技能数据'!$A$2:$A$19,'模拟-单技能数据'!$H$2:$H$19)</f>
        <v>阳</v>
      </c>
      <c r="U429" s="119">
        <f t="shared" ca="1" si="355"/>
        <v>0.2</v>
      </c>
      <c r="V429" s="47">
        <f ca="1">(1+L429)*(LOOKUP(D429,'模拟-单技能数据'!$A$2:$A$19,'模拟-单技能数据'!$D$2:$D$19)+G429*LOOKUP(D429,'模拟-单技能数据'!$A$2:$A$19,'模拟-单技能数据'!$F$2:$F$19))*(1+J429)*(1+K429)*(1-S429)*(1+U429)*Q429*LOOKUP(D429,'模拟-单技能数据'!$A$2:$A$19,'模拟-单技能数据'!$I$2:$I$20)</f>
        <v>90597.625627626709</v>
      </c>
      <c r="W429" s="47">
        <f ca="1">LOOKUP(D429,'模拟-单技能数据'!$A$2:$A$19,'模拟-单技能数据'!$G$2:$G$19)*$I$10</f>
        <v>723.0212870940959</v>
      </c>
      <c r="X429" s="47">
        <f t="shared" ca="1" si="381"/>
        <v>29474.113140456007</v>
      </c>
      <c r="Y429" s="47">
        <f t="shared" ca="1" si="356"/>
        <v>120794.7600551768</v>
      </c>
      <c r="Z429" s="49">
        <f t="shared" ca="1" si="357"/>
        <v>41801114.85487064</v>
      </c>
      <c r="AA429" s="97">
        <f t="shared" ca="1" si="358"/>
        <v>112718.56127187975</v>
      </c>
      <c r="AB429" s="115">
        <f ca="1">IF(OR(C429="赤日轮1",C429="赤日轮2",C429="赤日轮3"),IF(RAND()&lt;模拟模式!$Y$17,1,0),IF(OR(C429="幽月轮1",C429="幽月轮2",C429="幽月轮3"),IF(RAND()&lt;模拟模式!$Y$18,1,0),IF(C429="烈日斩",IF(RAND()&lt;模拟模式!$Y$19,1,0),IF(C429="银月斩",IF(RAND()&lt;模拟模式!$Y$20,1,0),IF(C429="驱夜断愁",IF(RAND()&lt;模拟模式!$Y$21,1,0),IF(C429="净世破魔击·日",IF(RAND()&lt;模拟模式!$Y$22,1,0),IF(C429="净世破魔击·月",IF(RAND()&lt;模拟模式!$Y$23,1,0),0)))))))</f>
        <v>1</v>
      </c>
      <c r="AC429" s="115" t="b">
        <f t="shared" ca="1" si="346"/>
        <v>0</v>
      </c>
      <c r="AD429" s="115" t="b">
        <f t="shared" ca="1" si="366"/>
        <v>0</v>
      </c>
      <c r="AE429" s="115">
        <f t="shared" ca="1" si="367"/>
        <v>3</v>
      </c>
      <c r="AF429" s="47">
        <f ca="1">IF(AC429,('模拟-单技能数据'!$D$20+G429*'模拟-单技能数据'!$F$20)*(1+J429)*(1+'模拟-单技能数据'!$J$20)*(1+U429),0)</f>
        <v>0</v>
      </c>
      <c r="AG429" s="61">
        <f t="shared" ca="1" si="359"/>
        <v>0.64185145527300214</v>
      </c>
      <c r="AH429" s="61">
        <f t="shared" ca="1" si="360"/>
        <v>2.2624828854998791</v>
      </c>
      <c r="AI429" s="62">
        <f t="shared" ca="1" si="382"/>
        <v>0.34618957455919908</v>
      </c>
      <c r="AJ429" s="47">
        <f ca="1">IF(AD429,IF(AI429&lt;$F$10,0,IF(AI429&lt;$F$10+$F$11,0.25,IF(AI429&lt;$F$10+$F$11+AG429,AH429,1)))*IF(AF429&gt;0,AF429,IF(AF428&gt;0,AF428,IF(AF427&gt;0,AF427,IF(AF426&gt;0,AF426,IF(AF425&gt;0,AF425,IF(AF424&gt;0,AF424,IF(AF423&gt;0,AF423,IF(AF422&gt;0,AF422,IF(AF421&gt;0,AF421,IF(AF419&gt;0,AF419,IF(AF418&gt;0,AF418,IF(AF417&gt;0,AF417,0)))))))))))),0)*(1-$S429)*'模拟-单技能数据'!$I$20</f>
        <v>0</v>
      </c>
      <c r="AK429" s="115" t="b">
        <f t="shared" ca="1" si="347"/>
        <v>1</v>
      </c>
      <c r="AL429" s="115" t="b">
        <f t="shared" ca="1" si="368"/>
        <v>1</v>
      </c>
      <c r="AM429" s="115">
        <f t="shared" ca="1" si="369"/>
        <v>5</v>
      </c>
      <c r="AN429" s="47">
        <f ca="1">IF(AK429,('模拟-单技能数据'!$D$21+G429*'模拟-单技能数据'!$F$21)*(1+J429)*(1+'模拟-单技能数据'!$J$21)*(1+U429),0)</f>
        <v>12136.56601728573</v>
      </c>
      <c r="AO429" s="61">
        <f ca="1">IF(AN429&gt;0,M429-'模拟-单技能数据'!$K$10,AO428)</f>
        <v>0.42185145527300216</v>
      </c>
      <c r="AP429" s="61">
        <f ca="1">IF(AN429&gt;0,I429-'模拟-单技能数据'!$L$10,AP428)</f>
        <v>2.162482885499879</v>
      </c>
      <c r="AQ429" s="63">
        <f t="shared" ca="1" si="383"/>
        <v>0.75750370663989341</v>
      </c>
      <c r="AR429" s="64">
        <f ca="1">IF(AL429,IF(AQ429&lt;$F$10,0,IF(AQ429&lt;$F$10+$F$11,0.25,IF(AQ429&lt;$F$10+$F$11+AO429,AP429,1)))*IF(AN429&gt;0,AN429,IF(AN428&gt;0,AN428,IF(AN427&gt;0,AN427,IF(AN426&gt;0,AN426,IF(AN425&gt;0,AN425,IF(AN424&gt;0,AN424,IF(AN423&gt;0,AN423,IF(AN422&gt;0,AN422,IF(AN421&gt;0,AN421,IF(AN419&gt;0,AN419,IF(AN418&gt;0,AN418,IF(AN417&gt;0,AN417,0)))))))))))),0)*(1-$S429)*'模拟-单技能数据'!$I$21</f>
        <v>11118.353508757338</v>
      </c>
      <c r="AS429" s="61">
        <f ca="1">IF(OR(C429="净世破魔击·日",C429="净世破魔击·月"),M429-'模拟-单技能数据'!$K$10,0)</f>
        <v>0.42185145527300216</v>
      </c>
      <c r="AT429" s="61">
        <f ca="1">IF(OR(C429="净世破魔击·日",C429="净世破魔击·月"),I429-'模拟-单技能数据'!$L$10,0)</f>
        <v>2.162482885499879</v>
      </c>
      <c r="AU429" s="62">
        <f t="shared" ca="1" si="384"/>
        <v>9.9388432788258485E-2</v>
      </c>
      <c r="AV429" s="64">
        <f ca="1">IF(AS429&gt;0,('模拟-单技能数据'!$D$22+G429*'模拟-单技能数据'!$F$22)*(1+J429)*(1-S429)*IF(AU429&lt;$F$10,0,IF(AU429&lt;$F$10+$F$11,0.25,IF(AU429&lt;$F$10+$F$11+AS429,AT429,1)))*(1+U429),0)*'模拟-单技能数据'!$I$22</f>
        <v>18355.759631698667</v>
      </c>
      <c r="AW429" s="108">
        <f t="shared" ca="1" si="385"/>
        <v>3.3950000000000062</v>
      </c>
      <c r="AX429" s="108" t="b">
        <f ca="1">AND(模拟模式!$P$10="有",AW428=0,RAND()&lt;IF(C429="净世破魔击·月",0.1*8/3,IF(C429="净世破魔击·日",0.1*4/3,0.1*2/3)))</f>
        <v>0</v>
      </c>
      <c r="AY429" s="47">
        <f ca="1">IF(AX429,(18+G429*0.722)*(1+J429)*(1-S429)*(1+$I$4)*IF(P429="会",'模拟-全程加成'!$J$3+'模拟-全程加成'!$J$4+'模拟-全程加成'!$J$5+('模拟-全程加成'!$I$4+'模拟-全程加成'!$I$5)/系数!$B$4+BG429*10%,IF(P429="命",1,IF(P429="识",0.25,0))),0)</f>
        <v>0</v>
      </c>
      <c r="AZ429" s="108">
        <f t="shared" si="386"/>
        <v>14.465000000000003</v>
      </c>
      <c r="BA429" s="108" t="b">
        <f>AND(模拟模式!$Q$10="有",AZ428=0)</f>
        <v>0</v>
      </c>
      <c r="BB429" s="140">
        <f>IF(BA429,(0+G429*0.287)*(1+J429)*(1-S429)*(1+$I$4)*IF(P429="会",'模拟-全程加成'!$J$3+'模拟-全程加成'!$J$4+'模拟-全程加成'!$J$5+('模拟-全程加成'!$I$4+'模拟-全程加成'!$I$5)/系数!$B$4+BG429*10%,IF(P429="命",1,IF(P429="识",0.25,0))),0)</f>
        <v>0</v>
      </c>
      <c r="BC429" s="115" t="b">
        <f ca="1">AND(模拟模式!$R$7="伏明众生",E429=60,F429=20,DA429&lt;5,CZ428&lt;$F$4)</f>
        <v>0</v>
      </c>
      <c r="BD429" s="115">
        <f t="shared" ca="1" si="348"/>
        <v>0</v>
      </c>
      <c r="BE429" s="115" t="b">
        <f t="shared" ca="1" si="349"/>
        <v>0</v>
      </c>
      <c r="BF429" s="47">
        <f ca="1">IF(BC429,4*('模拟-单技能数据'!$D$24+G429*'模拟-单技能数据'!$F$24)*(1+J429)*(1+'模拟-单技能数据'!$J$24)*(1-S429)*(1+$I$3)*(('模拟-全程加成'!$J$3+'模拟-全程加成'!$J$4+'模拟-全程加成'!$J$5+('模拟-全程加成'!$I$4+'模拟-全程加成'!$I$5)/系数!$B$4+BG429*10%)*('模拟-全程加成'!$J$3+'模拟-全程加成'!$J$4+'模拟-全程加成'!$J$5+('模拟-全程加成'!$I$4+'模拟-全程加成'!$I$5)/系数!$B$4+BG429*10%)+(1-('模拟-全程加成'!$J$3+'模拟-全程加成'!$J$4+'模拟-全程加成'!$J$5+('模拟-全程加成'!$I$4+'模拟-全程加成'!$I$5)/系数!$B$4+BG429*10%)-$F$10-$F$11)+F415*0.25),0)*'模拟-单技能数据'!$I$24</f>
        <v>0</v>
      </c>
      <c r="BG429" s="115" t="b">
        <f ca="1">OR(AND(OR(C429="烈日斩",C429="银月斩"),模拟模式!$I$7="净身明礼"),AND(C429="净世破魔击·日",模拟模式!$J$7="洞若观火"),AND(C430="净世破魔击·月",模拟模式!$J$7="洞若观火"),AB429=1)</f>
        <v>1</v>
      </c>
      <c r="BH429" s="115" t="b">
        <f t="shared" ca="1" si="387"/>
        <v>0</v>
      </c>
      <c r="BI429" s="115">
        <f t="shared" ca="1" si="350"/>
        <v>0</v>
      </c>
      <c r="BJ429" s="115" t="b">
        <f t="shared" ca="1" si="361"/>
        <v>0</v>
      </c>
      <c r="BK429" s="115" t="b">
        <f ca="1">AND(C429="驱夜断愁",模拟模式!$P$7="天地诛戮")</f>
        <v>0</v>
      </c>
      <c r="BL429" s="57">
        <f t="shared" ca="1" si="351"/>
        <v>16.310000000000002</v>
      </c>
      <c r="BM429" s="115" t="b">
        <f t="shared" ca="1" si="362"/>
        <v>1</v>
      </c>
      <c r="BN429" s="115" t="b">
        <f ca="1">AND(OR(C429="赤日轮1",C429="赤日轮2",C429="赤日轮3",C429="幽月轮1",C429="幽月轮2",C429="幽月轮3"),AB429=1,模拟模式!$L$7="明光恒照")</f>
        <v>0</v>
      </c>
      <c r="BO429" s="117">
        <f t="shared" ca="1" si="352"/>
        <v>28.155000000000001</v>
      </c>
      <c r="BP429" s="115">
        <f t="shared" ca="1" si="388"/>
        <v>6</v>
      </c>
      <c r="BQ429" s="115" t="b">
        <f>模拟模式!$K$10="2600·水"</f>
        <v>0</v>
      </c>
      <c r="BR429" s="117">
        <f t="shared" si="389"/>
        <v>0</v>
      </c>
      <c r="BS429" s="115">
        <f t="shared" si="390"/>
        <v>0</v>
      </c>
      <c r="BT429" s="115">
        <f t="shared" ca="1" si="391"/>
        <v>0</v>
      </c>
      <c r="BU429" s="115" t="b">
        <f ca="1">AND(模拟模式!$K$10="2300·雷",BT428=0,RAND()&lt;IF(C429="净世破魔击·月",5*0.05*2/3,IF(C429="净世破魔击·日",3*0.05*2/3,0.05*2*2/3)))</f>
        <v>0</v>
      </c>
      <c r="BV429" s="115">
        <f t="shared" ca="1" si="392"/>
        <v>0</v>
      </c>
      <c r="BW429" s="115">
        <f t="shared" ca="1" si="393"/>
        <v>1.0349999999993091</v>
      </c>
      <c r="BX429" s="164" t="b">
        <f t="shared" ca="1" si="394"/>
        <v>0</v>
      </c>
      <c r="BY429" s="115">
        <f t="shared" ca="1" si="395"/>
        <v>0</v>
      </c>
      <c r="BZ429" s="115">
        <f>IF(OR(模拟模式!$P$16="10人团",模拟模式!$P$16="25人团"),IF(B429/30&gt;CA428,1,0),0)</f>
        <v>0</v>
      </c>
      <c r="CA429" s="115">
        <f t="shared" si="371"/>
        <v>0</v>
      </c>
      <c r="CB429" s="115">
        <f ca="1">IF(BZ429=1,IF(模拟模式!$P$16="10人团",15,0)+IF(模拟模式!$P$16="25人团",IF(RAND()&lt;0.6,15,0)),MAX(0,CB428-$F$4))</f>
        <v>0</v>
      </c>
      <c r="CC429" s="115" t="b">
        <f t="shared" ca="1" si="363"/>
        <v>0</v>
      </c>
      <c r="CD429" s="115">
        <f>IF(模拟模式!$Q$16="1个",IF(B429/40&gt;CE428,1,0),0)</f>
        <v>0</v>
      </c>
      <c r="CE429" s="115">
        <f t="shared" si="364"/>
        <v>0</v>
      </c>
      <c r="CF429" s="115">
        <f>IF(OR(CD429=1,模拟模式!$Q$16="2个"),20,MAX(0,CF428-$F$4))</f>
        <v>0</v>
      </c>
      <c r="CG429" s="115" t="b">
        <f t="shared" si="365"/>
        <v>0</v>
      </c>
      <c r="CH429" s="115">
        <f t="shared" ca="1" si="396"/>
        <v>1.4025000000000118</v>
      </c>
      <c r="CI429" s="115" t="b">
        <f t="shared" ca="1" si="397"/>
        <v>0</v>
      </c>
      <c r="CJ429" s="119">
        <f t="shared" ca="1" si="398"/>
        <v>0</v>
      </c>
      <c r="CK429" s="115">
        <f t="shared" ca="1" si="399"/>
        <v>0</v>
      </c>
      <c r="CL429" s="115" t="b">
        <f ca="1">AND(模拟模式!$S$7="驱夷逐法",OR(AND(C429="净世破魔击·月",E428&gt;59),AND(C429="净世破魔击·日",F428&gt;59)))</f>
        <v>0</v>
      </c>
      <c r="CM429" s="115" t="b">
        <f ca="1">OR(CL429,AND(C429="净世破魔击·日",CL428,RAND()&lt;模拟模式!$U$23))</f>
        <v>1</v>
      </c>
      <c r="CN429" s="115" t="b">
        <f ca="1">IF(模拟模式!$M$7="辉耀红尘",AND(C429="净世破魔击·月",CL429,CV429=0,E428&lt;80),AND(C429="净世破魔击·月",CL429,E428&lt;100))</f>
        <v>0</v>
      </c>
      <c r="CO429" s="115" t="b">
        <f t="shared" ca="1" si="372"/>
        <v>0</v>
      </c>
      <c r="CP429" s="115" t="b">
        <f ca="1">AND(模拟模式!$O$7="用晦而明",OR(C429="净世破魔击·日",C429="净世破魔击·月",C429="驱夜断愁"),AB429)</f>
        <v>1</v>
      </c>
      <c r="CQ429" s="115" t="b">
        <f ca="1">OR(CP429,AND(CP428,RAND()&lt;模拟模式!$U$23))</f>
        <v>1</v>
      </c>
      <c r="CR429" s="115" t="b">
        <f ca="1">AND(模拟模式!$S$7="日月齐光",OR(C429="幽月轮1",C429="幽月轮2",C429="幽月轮3",CR428),NOT(OR(C429="赤日轮1",C429="赤日轮2",C429="赤日轮3")))</f>
        <v>0</v>
      </c>
      <c r="CS429" s="115" t="b">
        <f ca="1">AND(模拟模式!$S$7="日月齐光",OR(C429="赤日轮1",C429="赤日轮2",C429="赤日轮3",CS428),NOT(OR(C429="幽月轮1",C429="幽月轮2",C429="幽月轮3")))</f>
        <v>0</v>
      </c>
      <c r="CT429" s="115">
        <f t="shared" ca="1" si="400"/>
        <v>5.0925000000000118</v>
      </c>
      <c r="CU429" s="115" t="b">
        <f ca="1">AND(模拟模式!$K$10="阴阳往极",CT428=0,RAND()&lt;IF(C429="净世破魔击·月",0.0275*7/3,IF(C429="净世破魔击·日",0.0275*3/3,0.0275*2/3)))</f>
        <v>0</v>
      </c>
      <c r="CV429" s="115">
        <f t="shared" ca="1" si="401"/>
        <v>0</v>
      </c>
      <c r="CW429" s="115">
        <f t="shared" ca="1" si="373"/>
        <v>3.2324999999999995</v>
      </c>
      <c r="CX429" s="115">
        <f t="shared" ca="1" si="374"/>
        <v>1.3874999999999997</v>
      </c>
      <c r="CY429" s="115">
        <f ca="1">MAX(IF($C429="驱夜断愁",IF(模拟模式!$R$7="万念俱寂",6,45),CY428-$F$4),0)</f>
        <v>2.3099999999999996</v>
      </c>
      <c r="CZ429" s="115">
        <f t="shared" ca="1" si="375"/>
        <v>0</v>
      </c>
      <c r="DA429" s="115">
        <f ca="1">IF(模拟模式!$N$7="日月同辉",IF(DB428=2,0,MIN(6,IF(AND(OR(C429="赤日轮1",C429="赤日轮2",C429="赤日轮3",C429="幽月轮1",C429="幽月轮2",C429="幽月轮3"),AB429=1),DA428+1,DA428))),0)</f>
        <v>3</v>
      </c>
      <c r="DB429" s="115">
        <f t="shared" ca="1" si="376"/>
        <v>0</v>
      </c>
      <c r="DC429" s="115"/>
      <c r="DD429" s="115"/>
      <c r="DE429" s="115"/>
      <c r="DF429" s="115"/>
      <c r="DG429" s="115"/>
      <c r="DH429" s="115"/>
      <c r="DI429" s="115"/>
      <c r="DJ429" s="115"/>
      <c r="DK429" s="115"/>
      <c r="DL429" s="115"/>
      <c r="DM429" s="115"/>
    </row>
    <row r="430" spans="2:117" x14ac:dyDescent="0.2">
      <c r="B430" s="117">
        <f t="shared" si="377"/>
        <v>371.76750000000351</v>
      </c>
      <c r="C430" s="167" t="str">
        <f t="shared" ca="1" si="370"/>
        <v>赤日轮1</v>
      </c>
      <c r="D430" s="115">
        <f ca="1">IF(C430="赤日轮1",1,IF(C430="赤日轮2",2,IF(C430="赤日轮3",3,IF(C430="幽月轮1",4,IF(C430="幽月轮2",5,IF(C430="幽月轮3",6,IF(C430="烈日斩",7,IF(C430="银月斩",8,IF(C430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430="净世破魔击·月",17,IF(C430="驱夜断愁",18,0)))))))))))</f>
        <v>1</v>
      </c>
      <c r="E430" s="115">
        <f ca="1">IF(AND(CU430,OR(C430="幽月轮1",C430="幽月轮2",C430="幽月轮3",C430="银月斩",C430="驱夜断愁",C430="净世破魔击·月")),100,MIN(IF(OR(CN430,BE430),0,IF(OR($C430="赤日轮1",$C430="赤日轮2",$C430="赤日轮3"),E429+20+IF(模拟模式!$I$7="日月凌天",4,0)+IF(CR429,20,0),IF($C430="烈日斩",E429+40,IF($C430="驱夜断愁",IF(模拟模式!$R$7="万念俱寂",E429+20,E429+60),IF($C430="净世破魔击·月",IF(OR(DB429&gt;0,CV429&gt;0),100,IF(模拟模式!$M$7="辉耀红尘",E429+20,E429)),IF($C430="净世破魔击·日",E429-100,E429)))))),100))</f>
        <v>20</v>
      </c>
      <c r="F430" s="115">
        <f ca="1">IF(AND(CU430,OR(C430="赤日轮1",C430="赤日轮2",C430="赤日轮3",C430="烈日斩",C430="净世破魔击·日")),100,MIN(IF(CO430,0,IF(OR($C430="幽月轮1",$C430="幽月轮2",$C430="幽月轮3"),F429+20+IF(模拟模式!$I$7="日月凌天",4,0)+IF(CS429,20,0),IF($C430="银月斩",F429+40+IF(模拟模式!$X$12=1,5,0),IF($C430="驱夜断愁",IF(模拟模式!$R$7="万念俱寂",F429+20,F429+60),IF($C430="净世破魔击·月",IF(模拟模式!$M$7="辉耀红尘",F429-80,F429-100),IF(AND(C430="净世破魔击·日",OR(DB429&gt;0,CV429&gt;0)),100,F429)))))),100))</f>
        <v>20</v>
      </c>
      <c r="G430" s="117">
        <f ca="1">('模拟-全程加成'!$E$3+'模拟-全程加成'!$E$4+'模拟-全程加成'!$E$5+('模拟-全程加成'!$C$6-'模拟-全程加成'!$C$3)*系数!$B$9+BS430*23)*(1+'模拟-全程加成'!$F$4+'模拟-全程加成'!$F$5+BJ430*10%+BM430*20%+BP430*4%+CG430*30%)+$F$7*系数!$B$12</f>
        <v>20583.127400000001</v>
      </c>
      <c r="H430" s="45">
        <f ca="1">'模拟-全程加成'!$H$3+'模拟-全程加成'!$H$4+'模拟-全程加成'!$H$5+('模拟-全程加成'!$G$4+'模拟-全程加成'!$G$5+('模拟-全程加成'!$C$6-'模拟-全程加成'!$C$3)*系数!$B$13)/系数!$B$3+LOOKUP(D430,'模拟-单技能数据'!$A$2:$A$19,'模拟-单技能数据'!$K$2:$K$19)+BG430*10%+IF(BV430&gt;0,378,0)</f>
        <v>0.4618514552730022</v>
      </c>
      <c r="I430" s="45">
        <f ca="1">'模拟-全程加成'!$J$3+'模拟-全程加成'!$J$4+'模拟-全程加成'!$J$5+('模拟-全程加成'!$I$4+'模拟-全程加成'!$I$5)/系数!$B$4+LOOKUP(D430,'模拟-单技能数据'!$A$2:$A$19,'模拟-单技能数据'!$L$2:$L$19)+BG430*10%</f>
        <v>2.162482885499879</v>
      </c>
      <c r="J430" s="45">
        <f ca="1">(('模拟-全程加成'!$K$3+'模拟-全程加成'!$K$4+'模拟-全程加成'!$K$5+('模拟-全程加成'!$C$6-'模拟-全程加成'!$C$3)*系数!$B$10+IF(BV430&gt;0,882,0)+IF(BY430&gt;0,1831,0))*(1+'模拟-全程加成'!$L$4+'模拟-全程加成'!$L$5+CC430*20%))/系数!$B$5</f>
        <v>0.69723220422048726</v>
      </c>
      <c r="K430" s="119">
        <f ca="1">LOOKUP(D430,'模拟-单技能数据'!$A$2:$A$19,'模拟-单技能数据'!$J$2:$J$19)+IF(CM430,60%,0)+IF(DB429-DB430&gt;0,30%,0)+IF(OR(AND(OR(C430="赤日轮1",C430="赤日轮2",C430="赤日轮3"),CR430),AND(OR(C430="幽月轮1",C430="幽月轮2",C430="幽月轮3"),CS430)),35%,0)+CJ430</f>
        <v>0.12</v>
      </c>
      <c r="L430" s="119">
        <f ca="1">IF(AND(C430="烈日斩",模拟模式!$X$11=1),10%,0)+IF(AND(C430="驱夜断愁",AB430=1),30%,0)</f>
        <v>0</v>
      </c>
      <c r="M430" s="45">
        <f t="shared" ca="1" si="353"/>
        <v>0.4618514552730022</v>
      </c>
      <c r="N430" s="45">
        <f t="shared" ca="1" si="354"/>
        <v>0.48424854472699785</v>
      </c>
      <c r="O430" s="46">
        <f t="shared" ca="1" si="378"/>
        <v>0.74101212139186723</v>
      </c>
      <c r="P430" s="46" t="str">
        <f t="shared" ca="1" si="379"/>
        <v>命</v>
      </c>
      <c r="Q430" s="45">
        <f t="shared" ca="1" si="380"/>
        <v>1</v>
      </c>
      <c r="R430" s="117">
        <f ca="1">模拟模式!$E$20*(1-IF(模拟模式!$J$19="有",0.15,0))*(1-IF(模拟模式!$K$19="有",0.3,0)-IF(CQ430,0.5,0))</f>
        <v>843.02999999999975</v>
      </c>
      <c r="S430" s="45">
        <f ca="1">R430/(R430+(185*模拟模式!$E$22-16800)*4.08224)</f>
        <v>8.389626085980037E-2</v>
      </c>
      <c r="T430" s="45" t="str">
        <f ca="1">LOOKUP(D430,'模拟-单技能数据'!$A$2:$A$19,'模拟-单技能数据'!$H$2:$H$19)</f>
        <v>阳</v>
      </c>
      <c r="U430" s="119">
        <f t="shared" ca="1" si="355"/>
        <v>0.2</v>
      </c>
      <c r="V430" s="47">
        <f ca="1">(1+L430)*(LOOKUP(D430,'模拟-单技能数据'!$A$2:$A$19,'模拟-单技能数据'!$D$2:$D$19)+G430*LOOKUP(D430,'模拟-单技能数据'!$A$2:$A$19,'模拟-单技能数据'!$F$2:$F$19))*(1+J430)*(1+K430)*(1-S430)*(1+U430)*Q430*LOOKUP(D430,'模拟-单技能数据'!$A$2:$A$19,'模拟-单技能数据'!$I$2:$I$20)</f>
        <v>25194.44799269021</v>
      </c>
      <c r="W430" s="47">
        <f ca="1">LOOKUP(D430,'模拟-单技能数据'!$A$2:$A$19,'模拟-单技能数据'!$G$2:$G$19)*$I$10</f>
        <v>361.51064354704795</v>
      </c>
      <c r="X430" s="47">
        <f t="shared" ca="1" si="381"/>
        <v>9218.9345386263849</v>
      </c>
      <c r="Y430" s="47">
        <f t="shared" ca="1" si="356"/>
        <v>34774.893174863639</v>
      </c>
      <c r="Z430" s="49">
        <f t="shared" ca="1" si="357"/>
        <v>41835889.748045504</v>
      </c>
      <c r="AA430" s="97">
        <f t="shared" ca="1" si="358"/>
        <v>112532.40196640402</v>
      </c>
      <c r="AB430" s="115">
        <f ca="1">IF(OR(C430="赤日轮1",C430="赤日轮2",C430="赤日轮3"),IF(RAND()&lt;模拟模式!$Y$17,1,0),IF(OR(C430="幽月轮1",C430="幽月轮2",C430="幽月轮3"),IF(RAND()&lt;模拟模式!$Y$18,1,0),IF(C430="烈日斩",IF(RAND()&lt;模拟模式!$Y$19,1,0),IF(C430="银月斩",IF(RAND()&lt;模拟模式!$Y$20,1,0),IF(C430="驱夜断愁",IF(RAND()&lt;模拟模式!$Y$21,1,0),IF(C430="净世破魔击·日",IF(RAND()&lt;模拟模式!$Y$22,1,0),IF(C430="净世破魔击·月",IF(RAND()&lt;模拟模式!$Y$23,1,0),0)))))))</f>
        <v>1</v>
      </c>
      <c r="AC430" s="115" t="b">
        <f t="shared" ca="1" si="346"/>
        <v>0</v>
      </c>
      <c r="AD430" s="115" t="b">
        <f t="shared" ca="1" si="366"/>
        <v>1</v>
      </c>
      <c r="AE430" s="115">
        <f t="shared" ca="1" si="367"/>
        <v>2</v>
      </c>
      <c r="AF430" s="47">
        <f ca="1">IF(AC430,('模拟-单技能数据'!$D$20+G430*'模拟-单技能数据'!$F$20)*(1+J430)*(1+'模拟-单技能数据'!$J$20)*(1+U430),0)</f>
        <v>0</v>
      </c>
      <c r="AG430" s="61">
        <f t="shared" ca="1" si="359"/>
        <v>0.64185145527300214</v>
      </c>
      <c r="AH430" s="61">
        <f t="shared" ca="1" si="360"/>
        <v>2.2624828854998791</v>
      </c>
      <c r="AI430" s="62">
        <f t="shared" ca="1" si="382"/>
        <v>0.13458373331550688</v>
      </c>
      <c r="AJ430" s="47">
        <f ca="1">IF(AD430,IF(AI430&lt;$F$10,0,IF(AI430&lt;$F$10+$F$11,0.25,IF(AI430&lt;$F$10+$F$11+AG430,AH430,1)))*IF(AF430&gt;0,AF430,IF(AF429&gt;0,AF429,IF(AF428&gt;0,AF428,IF(AF427&gt;0,AF427,IF(AF426&gt;0,AF426,IF(AF425&gt;0,AF425,IF(AF424&gt;0,AF424,IF(AF423&gt;0,AF423,IF(AF422&gt;0,AF422,IF(AF420&gt;0,AF420,IF(AF419&gt;0,AF419,IF(AF418&gt;0,AF418,0)))))))))))),0)*(1-$S430)*'模拟-单技能数据'!$I$20</f>
        <v>9218.9345386263849</v>
      </c>
      <c r="AK430" s="115" t="b">
        <f t="shared" ca="1" si="347"/>
        <v>0</v>
      </c>
      <c r="AL430" s="115" t="b">
        <f t="shared" ca="1" si="368"/>
        <v>0</v>
      </c>
      <c r="AM430" s="115">
        <f t="shared" ca="1" si="369"/>
        <v>5</v>
      </c>
      <c r="AN430" s="47">
        <f ca="1">IF(AK430,('模拟-单技能数据'!$D$21+G430*'模拟-单技能数据'!$F$21)*(1+J430)*(1+'模拟-单技能数据'!$J$21)*(1+U430),0)</f>
        <v>0</v>
      </c>
      <c r="AO430" s="61">
        <f ca="1">IF(AN430&gt;0,M430-'模拟-单技能数据'!$K$10,AO429)</f>
        <v>0.42185145527300216</v>
      </c>
      <c r="AP430" s="61">
        <f ca="1">IF(AN430&gt;0,I430-'模拟-单技能数据'!$L$10,AP429)</f>
        <v>2.162482885499879</v>
      </c>
      <c r="AQ430" s="63">
        <f t="shared" ca="1" si="383"/>
        <v>0.63575811681002636</v>
      </c>
      <c r="AR430" s="64">
        <f ca="1">IF(AL430,IF(AQ430&lt;$F$10,0,IF(AQ430&lt;$F$10+$F$11,0.25,IF(AQ430&lt;$F$10+$F$11+AO430,AP430,1)))*IF(AN430&gt;0,AN430,IF(AN429&gt;0,AN429,IF(AN428&gt;0,AN428,IF(AN427&gt;0,AN427,IF(AN426&gt;0,AN426,IF(AN425&gt;0,AN425,IF(AN424&gt;0,AN424,IF(AN423&gt;0,AN423,IF(AN422&gt;0,AN422,IF(AN420&gt;0,AN420,IF(AN419&gt;0,AN419,IF(AN418&gt;0,AN418,0)))))))))))),0)*(1-$S430)*'模拟-单技能数据'!$I$21</f>
        <v>0</v>
      </c>
      <c r="AS430" s="61">
        <f ca="1">IF(OR(C430="净世破魔击·日",C430="净世破魔击·月"),M430-'模拟-单技能数据'!$K$10,0)</f>
        <v>0</v>
      </c>
      <c r="AT430" s="61">
        <f ca="1">IF(OR(C430="净世破魔击·日",C430="净世破魔击·月"),I430-'模拟-单技能数据'!$L$10,0)</f>
        <v>0</v>
      </c>
      <c r="AU430" s="62">
        <f t="shared" ca="1" si="384"/>
        <v>0.8817938281177049</v>
      </c>
      <c r="AV430" s="64">
        <f ca="1">IF(AS430&gt;0,('模拟-单技能数据'!$D$22+G430*'模拟-单技能数据'!$F$22)*(1+J430)*(1-S430)*IF(AU430&lt;$F$10,0,IF(AU430&lt;$F$10+$F$11,0.25,IF(AU430&lt;$F$10+$F$11+AS430,AT430,1)))*(1+U430),0)*'模拟-单技能数据'!$I$22</f>
        <v>0</v>
      </c>
      <c r="AW430" s="108">
        <f t="shared" ca="1" si="385"/>
        <v>2.4725000000000064</v>
      </c>
      <c r="AX430" s="108" t="b">
        <f ca="1">AND(模拟模式!$P$10="有",AW429=0,RAND()&lt;IF(C430="净世破魔击·月",0.1*8/3,IF(C430="净世破魔击·日",0.1*4/3,0.1*2/3)))</f>
        <v>0</v>
      </c>
      <c r="AY430" s="47">
        <f ca="1">IF(AX430,(18+G430*0.722)*(1+J430)*(1-S430)*(1+$I$4)*IF(P430="会",'模拟-全程加成'!$J$3+'模拟-全程加成'!$J$4+'模拟-全程加成'!$J$5+('模拟-全程加成'!$I$4+'模拟-全程加成'!$I$5)/系数!$B$4+BG430*10%,IF(P430="命",1,IF(P430="识",0.25,0))),0)</f>
        <v>0</v>
      </c>
      <c r="AZ430" s="108">
        <f t="shared" si="386"/>
        <v>13.542500000000004</v>
      </c>
      <c r="BA430" s="108" t="b">
        <f>AND(模拟模式!$Q$10="有",AZ429=0)</f>
        <v>0</v>
      </c>
      <c r="BB430" s="140">
        <f>IF(BA430,(0+G430*0.287)*(1+J430)*(1-S430)*(1+$I$4)*IF(P430="会",'模拟-全程加成'!$J$3+'模拟-全程加成'!$J$4+'模拟-全程加成'!$J$5+('模拟-全程加成'!$I$4+'模拟-全程加成'!$I$5)/系数!$B$4+BG430*10%,IF(P430="命",1,IF(P430="识",0.25,0))),0)</f>
        <v>0</v>
      </c>
      <c r="BC430" s="115" t="b">
        <f ca="1">AND(模拟模式!$R$7="伏明众生",E430=60,F430=20,DA430&lt;5,CZ429&lt;$F$4)</f>
        <v>0</v>
      </c>
      <c r="BD430" s="115">
        <f t="shared" ca="1" si="348"/>
        <v>0</v>
      </c>
      <c r="BE430" s="115" t="b">
        <f t="shared" ca="1" si="349"/>
        <v>0</v>
      </c>
      <c r="BF430" s="47">
        <f ca="1">IF(BC430,4*('模拟-单技能数据'!$D$24+G430*'模拟-单技能数据'!$F$24)*(1+J430)*(1+'模拟-单技能数据'!$J$24)*(1-S430)*(1+$I$3)*(('模拟-全程加成'!$J$3+'模拟-全程加成'!$J$4+'模拟-全程加成'!$J$5+('模拟-全程加成'!$I$4+'模拟-全程加成'!$I$5)/系数!$B$4+BG430*10%)*('模拟-全程加成'!$J$3+'模拟-全程加成'!$J$4+'模拟-全程加成'!$J$5+('模拟-全程加成'!$I$4+'模拟-全程加成'!$I$5)/系数!$B$4+BG430*10%)+(1-('模拟-全程加成'!$J$3+'模拟-全程加成'!$J$4+'模拟-全程加成'!$J$5+('模拟-全程加成'!$I$4+'模拟-全程加成'!$I$5)/系数!$B$4+BG430*10%)-$F$10-$F$11)+F416*0.25),0)*'模拟-单技能数据'!$I$24</f>
        <v>0</v>
      </c>
      <c r="BG430" s="115" t="b">
        <f ca="1">OR(AND(OR(C430="烈日斩",C430="银月斩"),模拟模式!$I$7="净身明礼"),AND(C430="净世破魔击·日",模拟模式!$J$7="洞若观火"),AND(C431="净世破魔击·月",模拟模式!$J$7="洞若观火"),AB430=1)</f>
        <v>1</v>
      </c>
      <c r="BH430" s="115" t="b">
        <f t="shared" ca="1" si="387"/>
        <v>0</v>
      </c>
      <c r="BI430" s="115">
        <f t="shared" ca="1" si="350"/>
        <v>0</v>
      </c>
      <c r="BJ430" s="115" t="b">
        <f t="shared" ca="1" si="361"/>
        <v>0</v>
      </c>
      <c r="BK430" s="115" t="b">
        <f ca="1">AND(C430="驱夜断愁",模拟模式!$P$7="天地诛戮")</f>
        <v>0</v>
      </c>
      <c r="BL430" s="57">
        <f t="shared" ca="1" si="351"/>
        <v>15.387500000000003</v>
      </c>
      <c r="BM430" s="115" t="b">
        <f t="shared" ca="1" si="362"/>
        <v>1</v>
      </c>
      <c r="BN430" s="115" t="b">
        <f ca="1">AND(OR(C430="赤日轮1",C430="赤日轮2",C430="赤日轮3",C430="幽月轮1",C430="幽月轮2",C430="幽月轮3"),AB430=1,模拟模式!$L$7="明光恒照")</f>
        <v>1</v>
      </c>
      <c r="BO430" s="117">
        <f t="shared" ca="1" si="352"/>
        <v>30</v>
      </c>
      <c r="BP430" s="115">
        <f t="shared" ca="1" si="388"/>
        <v>6</v>
      </c>
      <c r="BQ430" s="115" t="b">
        <f>模拟模式!$K$10="2600·水"</f>
        <v>0</v>
      </c>
      <c r="BR430" s="117">
        <f t="shared" si="389"/>
        <v>0</v>
      </c>
      <c r="BS430" s="115">
        <f t="shared" si="390"/>
        <v>0</v>
      </c>
      <c r="BT430" s="115">
        <f t="shared" ca="1" si="391"/>
        <v>0</v>
      </c>
      <c r="BU430" s="115" t="b">
        <f ca="1">AND(模拟模式!$K$10="2300·雷",BT429=0,RAND()&lt;IF(C430="净世破魔击·月",5*0.05*2/3,IF(C430="净世破魔击·日",3*0.05*2/3,0.05*2*2/3)))</f>
        <v>0</v>
      </c>
      <c r="BV430" s="115">
        <f t="shared" ca="1" si="392"/>
        <v>0</v>
      </c>
      <c r="BW430" s="115">
        <f t="shared" ca="1" si="393"/>
        <v>0.11249999999930915</v>
      </c>
      <c r="BX430" s="164" t="b">
        <f t="shared" ca="1" si="394"/>
        <v>0</v>
      </c>
      <c r="BY430" s="115">
        <f t="shared" ca="1" si="395"/>
        <v>0</v>
      </c>
      <c r="BZ430" s="115">
        <f>IF(OR(模拟模式!$P$16="10人团",模拟模式!$P$16="25人团"),IF(B430/30&gt;CA429,1,0),0)</f>
        <v>0</v>
      </c>
      <c r="CA430" s="115">
        <f t="shared" si="371"/>
        <v>0</v>
      </c>
      <c r="CB430" s="115">
        <f ca="1">IF(BZ430=1,IF(模拟模式!$P$16="10人团",15,0)+IF(模拟模式!$P$16="25人团",IF(RAND()&lt;0.6,15,0)),MAX(0,CB429-$F$4))</f>
        <v>0</v>
      </c>
      <c r="CC430" s="115" t="b">
        <f t="shared" ca="1" si="363"/>
        <v>0</v>
      </c>
      <c r="CD430" s="115">
        <f>IF(模拟模式!$Q$16="1个",IF(B430/40&gt;CE429,1,0),0)</f>
        <v>0</v>
      </c>
      <c r="CE430" s="115">
        <f t="shared" si="364"/>
        <v>0</v>
      </c>
      <c r="CF430" s="115">
        <f>IF(OR(CD430=1,模拟模式!$Q$16="2个"),20,MAX(0,CF429-$F$4))</f>
        <v>0</v>
      </c>
      <c r="CG430" s="115" t="b">
        <f t="shared" si="365"/>
        <v>0</v>
      </c>
      <c r="CH430" s="115">
        <f t="shared" ca="1" si="396"/>
        <v>0.48000000000001186</v>
      </c>
      <c r="CI430" s="115" t="b">
        <f t="shared" ca="1" si="397"/>
        <v>0</v>
      </c>
      <c r="CJ430" s="119">
        <f t="shared" ca="1" si="398"/>
        <v>0</v>
      </c>
      <c r="CK430" s="115">
        <f t="shared" ca="1" si="399"/>
        <v>0</v>
      </c>
      <c r="CL430" s="115" t="b">
        <f ca="1">AND(模拟模式!$S$7="驱夷逐法",OR(AND(C430="净世破魔击·月",E429&gt;59),AND(C430="净世破魔击·日",F429&gt;59)))</f>
        <v>0</v>
      </c>
      <c r="CM430" s="115" t="b">
        <f ca="1">OR(CL430,AND(C430="净世破魔击·日",CL429,RAND()&lt;模拟模式!$U$23))</f>
        <v>0</v>
      </c>
      <c r="CN430" s="115" t="b">
        <f ca="1">IF(模拟模式!$M$7="辉耀红尘",AND(C430="净世破魔击·月",CL430,CV430=0,E429&lt;80),AND(C430="净世破魔击·月",CL430,E429&lt;100))</f>
        <v>0</v>
      </c>
      <c r="CO430" s="115" t="b">
        <f t="shared" ca="1" si="372"/>
        <v>0</v>
      </c>
      <c r="CP430" s="115" t="b">
        <f ca="1">AND(模拟模式!$O$7="用晦而明",OR(C430="净世破魔击·日",C430="净世破魔击·月",C430="驱夜断愁"),AB430)</f>
        <v>0</v>
      </c>
      <c r="CQ430" s="115" t="b">
        <f ca="1">OR(CP430,AND(CP429,RAND()&lt;模拟模式!$U$23))</f>
        <v>1</v>
      </c>
      <c r="CR430" s="115" t="b">
        <f ca="1">AND(模拟模式!$S$7="日月齐光",OR(C430="幽月轮1",C430="幽月轮2",C430="幽月轮3",CR429),NOT(OR(C430="赤日轮1",C430="赤日轮2",C430="赤日轮3")))</f>
        <v>0</v>
      </c>
      <c r="CS430" s="115" t="b">
        <f ca="1">AND(模拟模式!$S$7="日月齐光",OR(C430="赤日轮1",C430="赤日轮2",C430="赤日轮3",CS429),NOT(OR(C430="幽月轮1",C430="幽月轮2",C430="幽月轮3")))</f>
        <v>0</v>
      </c>
      <c r="CT430" s="115">
        <f t="shared" ca="1" si="400"/>
        <v>4.1700000000000115</v>
      </c>
      <c r="CU430" s="115" t="b">
        <f ca="1">AND(模拟模式!$K$10="阴阳往极",CT429=0,RAND()&lt;IF(C430="净世破魔击·月",0.0275*7/3,IF(C430="净世破魔击·日",0.0275*3/3,0.0275*2/3)))</f>
        <v>0</v>
      </c>
      <c r="CV430" s="115">
        <f t="shared" ca="1" si="401"/>
        <v>0</v>
      </c>
      <c r="CW430" s="115">
        <f t="shared" ca="1" si="373"/>
        <v>2.3099999999999996</v>
      </c>
      <c r="CX430" s="115">
        <f t="shared" ca="1" si="374"/>
        <v>0.46499999999999975</v>
      </c>
      <c r="CY430" s="115">
        <f ca="1">MAX(IF($C430="驱夜断愁",IF(模拟模式!$R$7="万念俱寂",6,45),CY429-$F$4),0)</f>
        <v>1.3874999999999997</v>
      </c>
      <c r="CZ430" s="115">
        <f t="shared" ca="1" si="375"/>
        <v>0</v>
      </c>
      <c r="DA430" s="115">
        <f ca="1">IF(模拟模式!$N$7="日月同辉",IF(DB429=2,0,MIN(6,IF(AND(OR(C430="赤日轮1",C430="赤日轮2",C430="赤日轮3",C430="幽月轮1",C430="幽月轮2",C430="幽月轮3"),AB430=1),DA429+1,DA429))),0)</f>
        <v>4</v>
      </c>
      <c r="DB430" s="115">
        <f t="shared" ca="1" si="376"/>
        <v>0</v>
      </c>
      <c r="DC430" s="115"/>
      <c r="DD430" s="115"/>
      <c r="DE430" s="115"/>
      <c r="DF430" s="115"/>
      <c r="DG430" s="115"/>
      <c r="DH430" s="115"/>
      <c r="DI430" s="115"/>
      <c r="DJ430" s="115"/>
      <c r="DK430" s="115"/>
      <c r="DL430" s="115"/>
      <c r="DM430" s="115"/>
    </row>
    <row r="431" spans="2:117" x14ac:dyDescent="0.2">
      <c r="B431" s="117">
        <f t="shared" si="377"/>
        <v>372.69000000000352</v>
      </c>
      <c r="C431" s="167" t="str">
        <f t="shared" ca="1" si="370"/>
        <v>银月斩</v>
      </c>
      <c r="D431" s="115">
        <f ca="1">IF(C431="赤日轮1",1,IF(C431="赤日轮2",2,IF(C431="赤日轮3",3,IF(C431="幽月轮1",4,IF(C431="幽月轮2",5,IF(C431="幽月轮3",6,IF(C431="烈日斩",7,IF(C431="银月斩",8,IF(C431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431="净世破魔击·月",17,IF(C431="驱夜断愁",18,0)))))))))))</f>
        <v>8</v>
      </c>
      <c r="E431" s="115">
        <f ca="1">IF(AND(CU431,OR(C431="幽月轮1",C431="幽月轮2",C431="幽月轮3",C431="银月斩",C431="驱夜断愁",C431="净世破魔击·月")),100,MIN(IF(OR(CN431,BE431),0,IF(OR($C431="赤日轮1",$C431="赤日轮2",$C431="赤日轮3"),E430+20+IF(模拟模式!$I$7="日月凌天",4,0)+IF(CR430,20,0),IF($C431="烈日斩",E430+40,IF($C431="驱夜断愁",IF(模拟模式!$R$7="万念俱寂",E430+20,E430+60),IF($C431="净世破魔击·月",IF(OR(DB430&gt;0,CV430&gt;0),100,IF(模拟模式!$M$7="辉耀红尘",E430+20,E430)),IF($C431="净世破魔击·日",E430-100,E430)))))),100))</f>
        <v>20</v>
      </c>
      <c r="F431" s="115">
        <f ca="1">IF(AND(CU431,OR(C431="赤日轮1",C431="赤日轮2",C431="赤日轮3",C431="烈日斩",C431="净世破魔击·日")),100,MIN(IF(CO431,0,IF(OR($C431="幽月轮1",$C431="幽月轮2",$C431="幽月轮3"),F430+20+IF(模拟模式!$I$7="日月凌天",4,0)+IF(CS430,20,0),IF($C431="银月斩",F430+40+IF(模拟模式!$X$12=1,5,0),IF($C431="驱夜断愁",IF(模拟模式!$R$7="万念俱寂",F430+20,F430+60),IF($C431="净世破魔击·月",IF(模拟模式!$M$7="辉耀红尘",F430-80,F430-100),IF(AND(C431="净世破魔击·日",OR(DB430&gt;0,CV430&gt;0)),100,F430)))))),100))</f>
        <v>65</v>
      </c>
      <c r="G431" s="117">
        <f ca="1">('模拟-全程加成'!$E$3+'模拟-全程加成'!$E$4+'模拟-全程加成'!$E$5+('模拟-全程加成'!$C$6-'模拟-全程加成'!$C$3)*系数!$B$9+BS431*23)*(1+'模拟-全程加成'!$F$4+'模拟-全程加成'!$F$5+BJ431*10%+BM431*20%+BP431*4%+CG431*30%)+$F$7*系数!$B$12</f>
        <v>20583.127400000001</v>
      </c>
      <c r="H431" s="45">
        <f ca="1">'模拟-全程加成'!$H$3+'模拟-全程加成'!$H$4+'模拟-全程加成'!$H$5+('模拟-全程加成'!$G$4+'模拟-全程加成'!$G$5+('模拟-全程加成'!$C$6-'模拟-全程加成'!$C$3)*系数!$B$13)/系数!$B$3+LOOKUP(D431,'模拟-单技能数据'!$A$2:$A$19,'模拟-单技能数据'!$K$2:$K$19)+BG431*10%+IF(BV431&gt;0,378,0)</f>
        <v>0.64185145527300214</v>
      </c>
      <c r="I431" s="45">
        <f ca="1">'模拟-全程加成'!$J$3+'模拟-全程加成'!$J$4+'模拟-全程加成'!$J$5+('模拟-全程加成'!$I$4+'模拟-全程加成'!$I$5)/系数!$B$4+LOOKUP(D431,'模拟-单技能数据'!$A$2:$A$19,'模拟-单技能数据'!$L$2:$L$19)+BG431*10%</f>
        <v>2.2624828854998791</v>
      </c>
      <c r="J431" s="45">
        <f ca="1">(('模拟-全程加成'!$K$3+'模拟-全程加成'!$K$4+'模拟-全程加成'!$K$5+('模拟-全程加成'!$C$6-'模拟-全程加成'!$C$3)*系数!$B$10+IF(BV431&gt;0,882,0)+IF(BY431&gt;0,1831,0))*(1+'模拟-全程加成'!$L$4+'模拟-全程加成'!$L$5+CC431*20%))/系数!$B$5</f>
        <v>0.69723220422048726</v>
      </c>
      <c r="K431" s="119">
        <f ca="1">LOOKUP(D431,'模拟-单技能数据'!$A$2:$A$19,'模拟-单技能数据'!$J$2:$J$19)+IF(CM431,60%,0)+IF(DB430-DB431&gt;0,30%,0)+IF(OR(AND(OR(C431="赤日轮1",C431="赤日轮2",C431="赤日轮3"),CR431),AND(OR(C431="幽月轮1",C431="幽月轮2",C431="幽月轮3"),CS431)),35%,0)+CJ431</f>
        <v>0.15</v>
      </c>
      <c r="L431" s="119">
        <f ca="1">IF(AND(C431="烈日斩",模拟模式!$X$11=1),10%,0)+IF(AND(C431="驱夜断愁",AB431=1),30%,0)</f>
        <v>0</v>
      </c>
      <c r="M431" s="45">
        <f t="shared" ca="1" si="353"/>
        <v>0.64185145527300214</v>
      </c>
      <c r="N431" s="45">
        <f t="shared" ca="1" si="354"/>
        <v>0.30424854472699792</v>
      </c>
      <c r="O431" s="46">
        <f t="shared" ca="1" si="378"/>
        <v>0.5109716516781212</v>
      </c>
      <c r="P431" s="46" t="str">
        <f t="shared" ca="1" si="379"/>
        <v>会</v>
      </c>
      <c r="Q431" s="45">
        <f t="shared" ca="1" si="380"/>
        <v>2.2624828854998791</v>
      </c>
      <c r="R431" s="117">
        <f ca="1">模拟模式!$E$20*(1-IF(模拟模式!$J$19="有",0.15,0))*(1-IF(模拟模式!$K$19="有",0.3,0)-IF(CQ431,0.5,0))</f>
        <v>2950.6049999999996</v>
      </c>
      <c r="S431" s="45">
        <f ca="1">R431/(R431+(185*模拟模式!$E$22-16800)*4.08224)</f>
        <v>0.24272716014590323</v>
      </c>
      <c r="T431" s="45" t="str">
        <f ca="1">LOOKUP(D431,'模拟-单技能数据'!$A$2:$A$19,'模拟-单技能数据'!$H$2:$H$19)</f>
        <v>阴</v>
      </c>
      <c r="U431" s="119">
        <f t="shared" ca="1" si="355"/>
        <v>0.08</v>
      </c>
      <c r="V431" s="47">
        <f ca="1">(1+L431)*(LOOKUP(D431,'模拟-单技能数据'!$A$2:$A$19,'模拟-单技能数据'!$D$2:$D$19)+G431*LOOKUP(D431,'模拟-单技能数据'!$A$2:$A$19,'模拟-单技能数据'!$F$2:$F$19))*(1+J431)*(1+K431)*(1-S431)*(1+U431)*Q431*LOOKUP(D431,'模拟-单技能数据'!$A$2:$A$19,'模拟-单技能数据'!$I$2:$I$20)</f>
        <v>39481.310356797861</v>
      </c>
      <c r="W431" s="47">
        <f ca="1">LOOKUP(D431,'模拟-单技能数据'!$A$2:$A$19,'模拟-单技能数据'!$G$2:$G$19)*$I$10</f>
        <v>361.51064354704795</v>
      </c>
      <c r="X431" s="47">
        <f t="shared" ca="1" si="381"/>
        <v>9190.6918139866902</v>
      </c>
      <c r="Y431" s="47">
        <f t="shared" ca="1" si="356"/>
        <v>49033.512814331596</v>
      </c>
      <c r="Z431" s="49">
        <f t="shared" ca="1" si="357"/>
        <v>41884923.260859832</v>
      </c>
      <c r="AA431" s="97">
        <f t="shared" ca="1" si="358"/>
        <v>112385.42290069343</v>
      </c>
      <c r="AB431" s="115">
        <f ca="1">IF(OR(C431="赤日轮1",C431="赤日轮2",C431="赤日轮3"),IF(RAND()&lt;模拟模式!$Y$17,1,0),IF(OR(C431="幽月轮1",C431="幽月轮2",C431="幽月轮3"),IF(RAND()&lt;模拟模式!$Y$18,1,0),IF(C431="烈日斩",IF(RAND()&lt;模拟模式!$Y$19,1,0),IF(C431="银月斩",IF(RAND()&lt;模拟模式!$Y$20,1,0),IF(C431="驱夜断愁",IF(RAND()&lt;模拟模式!$Y$21,1,0),IF(C431="净世破魔击·日",IF(RAND()&lt;模拟模式!$Y$22,1,0),IF(C431="净世破魔击·月",IF(RAND()&lt;模拟模式!$Y$23,1,0),0)))))))</f>
        <v>1</v>
      </c>
      <c r="AC431" s="115" t="b">
        <f t="shared" ca="1" si="346"/>
        <v>1</v>
      </c>
      <c r="AD431" s="115" t="b">
        <f t="shared" ca="1" si="366"/>
        <v>0</v>
      </c>
      <c r="AE431" s="115">
        <f t="shared" ca="1" si="367"/>
        <v>6</v>
      </c>
      <c r="AF431" s="47">
        <f ca="1">IF(AC431,('模拟-单技能数据'!$D$20+G431*'模拟-单技能数据'!$F$20)*(1+J431)*(1+'模拟-单技能数据'!$J$20)*(1+U431),0)</f>
        <v>4447.8565560098323</v>
      </c>
      <c r="AG431" s="61">
        <f t="shared" ca="1" si="359"/>
        <v>0.64185145527300214</v>
      </c>
      <c r="AH431" s="61">
        <f t="shared" ca="1" si="360"/>
        <v>2.2624828854998791</v>
      </c>
      <c r="AI431" s="62">
        <f t="shared" ca="1" si="382"/>
        <v>0.14046989093064688</v>
      </c>
      <c r="AJ431" s="47">
        <f ca="1">IF(AD431,IF(AI431&lt;$F$10,0,IF(AI431&lt;$F$10+$F$11,0.25,IF(AI431&lt;$F$10+$F$11+AG431,AH431,1)))*IF(AF431&gt;0,AF431,IF(AF430&gt;0,AF430,IF(AF429&gt;0,AF429,IF(AF428&gt;0,AF428,IF(AF427&gt;0,AF427,IF(AF426&gt;0,AF426,IF(AF425&gt;0,AF425,IF(AF424&gt;0,AF424,IF(AF423&gt;0,AF423,IF(AF421&gt;0,AF421,IF(AF420&gt;0,AF420,IF(AF419&gt;0,AF419,0)))))))))))),0)*(1-$S431)*'模拟-单技能数据'!$I$20</f>
        <v>0</v>
      </c>
      <c r="AK431" s="115" t="b">
        <f t="shared" ca="1" si="347"/>
        <v>0</v>
      </c>
      <c r="AL431" s="115" t="b">
        <f t="shared" ca="1" si="368"/>
        <v>1</v>
      </c>
      <c r="AM431" s="115">
        <f t="shared" ca="1" si="369"/>
        <v>4</v>
      </c>
      <c r="AN431" s="47">
        <f ca="1">IF(AK431,('模拟-单技能数据'!$D$21+G431*'模拟-单技能数据'!$F$21)*(1+J431)*(1+'模拟-单技能数据'!$J$21)*(1+U431),0)</f>
        <v>0</v>
      </c>
      <c r="AO431" s="61">
        <f ca="1">IF(AN431&gt;0,M431-'模拟-单技能数据'!$K$10,AO430)</f>
        <v>0.42185145527300216</v>
      </c>
      <c r="AP431" s="61">
        <f ca="1">IF(AN431&gt;0,I431-'模拟-单技能数据'!$L$10,AP430)</f>
        <v>2.162482885499879</v>
      </c>
      <c r="AQ431" s="63">
        <f t="shared" ca="1" si="383"/>
        <v>0.66758714371133965</v>
      </c>
      <c r="AR431" s="64">
        <f ca="1">IF(AL431,IF(AQ431&lt;$F$10,0,IF(AQ431&lt;$F$10+$F$11,0.25,IF(AQ431&lt;$F$10+$F$11+AO431,AP431,1)))*IF(AN431&gt;0,AN431,IF(AN430&gt;0,AN430,IF(AN429&gt;0,AN429,IF(AN428&gt;0,AN428,IF(AN427&gt;0,AN427,IF(AN426&gt;0,AN426,IF(AN425&gt;0,AN425,IF(AN424&gt;0,AN424,IF(AN423&gt;0,AN423,IF(AN421&gt;0,AN421,IF(AN420&gt;0,AN420,IF(AN419&gt;0,AN419,0)))))))))))),0)*(1-$S431)*'模拟-单技能数据'!$I$21</f>
        <v>9190.6918139866902</v>
      </c>
      <c r="AS431" s="61">
        <f ca="1">IF(OR(C431="净世破魔击·日",C431="净世破魔击·月"),M431-'模拟-单技能数据'!$K$10,0)</f>
        <v>0</v>
      </c>
      <c r="AT431" s="61">
        <f ca="1">IF(OR(C431="净世破魔击·日",C431="净世破魔击·月"),I431-'模拟-单技能数据'!$L$10,0)</f>
        <v>0</v>
      </c>
      <c r="AU431" s="62">
        <f t="shared" ca="1" si="384"/>
        <v>0.10761437484320502</v>
      </c>
      <c r="AV431" s="64">
        <f ca="1">IF(AS431&gt;0,('模拟-单技能数据'!$D$22+G431*'模拟-单技能数据'!$F$22)*(1+J431)*(1-S431)*IF(AU431&lt;$F$10,0,IF(AU431&lt;$F$10+$F$11,0.25,IF(AU431&lt;$F$10+$F$11+AS431,AT431,1)))*(1+U431),0)*'模拟-单技能数据'!$I$22</f>
        <v>0</v>
      </c>
      <c r="AW431" s="108">
        <f t="shared" ca="1" si="385"/>
        <v>1.5500000000000065</v>
      </c>
      <c r="AX431" s="108" t="b">
        <f ca="1">AND(模拟模式!$P$10="有",AW430=0,RAND()&lt;IF(C431="净世破魔击·月",0.1*8/3,IF(C431="净世破魔击·日",0.1*4/3,0.1*2/3)))</f>
        <v>0</v>
      </c>
      <c r="AY431" s="47">
        <f ca="1">IF(AX431,(18+G431*0.722)*(1+J431)*(1-S431)*(1+$I$4)*IF(P431="会",'模拟-全程加成'!$J$3+'模拟-全程加成'!$J$4+'模拟-全程加成'!$J$5+('模拟-全程加成'!$I$4+'模拟-全程加成'!$I$5)/系数!$B$4+BG431*10%,IF(P431="命",1,IF(P431="识",0.25,0))),0)</f>
        <v>0</v>
      </c>
      <c r="AZ431" s="108">
        <f t="shared" si="386"/>
        <v>12.620000000000005</v>
      </c>
      <c r="BA431" s="108" t="b">
        <f>AND(模拟模式!$Q$10="有",AZ430=0)</f>
        <v>0</v>
      </c>
      <c r="BB431" s="140">
        <f>IF(BA431,(0+G431*0.287)*(1+J431)*(1-S431)*(1+$I$4)*IF(P431="会",'模拟-全程加成'!$J$3+'模拟-全程加成'!$J$4+'模拟-全程加成'!$J$5+('模拟-全程加成'!$I$4+'模拟-全程加成'!$I$5)/系数!$B$4+BG431*10%,IF(P431="命",1,IF(P431="识",0.25,0))),0)</f>
        <v>0</v>
      </c>
      <c r="BC431" s="115" t="b">
        <f ca="1">AND(模拟模式!$R$7="伏明众生",E431=60,F431=20,DA431&lt;5,CZ430&lt;$F$4)</f>
        <v>0</v>
      </c>
      <c r="BD431" s="115">
        <f t="shared" ca="1" si="348"/>
        <v>0</v>
      </c>
      <c r="BE431" s="115" t="b">
        <f t="shared" ca="1" si="349"/>
        <v>0</v>
      </c>
      <c r="BF431" s="47">
        <f ca="1">IF(BC431,4*('模拟-单技能数据'!$D$24+G431*'模拟-单技能数据'!$F$24)*(1+J431)*(1+'模拟-单技能数据'!$J$24)*(1-S431)*(1+$I$3)*(('模拟-全程加成'!$J$3+'模拟-全程加成'!$J$4+'模拟-全程加成'!$J$5+('模拟-全程加成'!$I$4+'模拟-全程加成'!$I$5)/系数!$B$4+BG431*10%)*('模拟-全程加成'!$J$3+'模拟-全程加成'!$J$4+'模拟-全程加成'!$J$5+('模拟-全程加成'!$I$4+'模拟-全程加成'!$I$5)/系数!$B$4+BG431*10%)+(1-('模拟-全程加成'!$J$3+'模拟-全程加成'!$J$4+'模拟-全程加成'!$J$5+('模拟-全程加成'!$I$4+'模拟-全程加成'!$I$5)/系数!$B$4+BG431*10%)-$F$10-$F$11)+F417*0.25),0)*'模拟-单技能数据'!$I$24</f>
        <v>0</v>
      </c>
      <c r="BG431" s="115" t="b">
        <f ca="1">OR(AND(OR(C431="烈日斩",C431="银月斩"),模拟模式!$I$7="净身明礼"),AND(C431="净世破魔击·日",模拟模式!$J$7="洞若观火"),AND(C432="净世破魔击·月",模拟模式!$J$7="洞若观火"),AB431=1)</f>
        <v>1</v>
      </c>
      <c r="BH431" s="115" t="b">
        <f t="shared" ca="1" si="387"/>
        <v>0</v>
      </c>
      <c r="BI431" s="115">
        <f t="shared" ca="1" si="350"/>
        <v>0</v>
      </c>
      <c r="BJ431" s="115" t="b">
        <f t="shared" ca="1" si="361"/>
        <v>0</v>
      </c>
      <c r="BK431" s="115" t="b">
        <f ca="1">AND(C431="驱夜断愁",模拟模式!$P$7="天地诛戮")</f>
        <v>0</v>
      </c>
      <c r="BL431" s="57">
        <f t="shared" ca="1" si="351"/>
        <v>14.465000000000003</v>
      </c>
      <c r="BM431" s="115" t="b">
        <f t="shared" ca="1" si="362"/>
        <v>1</v>
      </c>
      <c r="BN431" s="115" t="b">
        <f ca="1">AND(OR(C431="赤日轮1",C431="赤日轮2",C431="赤日轮3",C431="幽月轮1",C431="幽月轮2",C431="幽月轮3"),AB431=1,模拟模式!$L$7="明光恒照")</f>
        <v>0</v>
      </c>
      <c r="BO431" s="117">
        <f t="shared" ca="1" si="352"/>
        <v>29.077500000000001</v>
      </c>
      <c r="BP431" s="115">
        <f t="shared" ca="1" si="388"/>
        <v>6</v>
      </c>
      <c r="BQ431" s="115" t="b">
        <f>模拟模式!$K$10="2600·水"</f>
        <v>0</v>
      </c>
      <c r="BR431" s="117">
        <f t="shared" si="389"/>
        <v>0</v>
      </c>
      <c r="BS431" s="115">
        <f t="shared" si="390"/>
        <v>0</v>
      </c>
      <c r="BT431" s="115">
        <f t="shared" ca="1" si="391"/>
        <v>0</v>
      </c>
      <c r="BU431" s="115" t="b">
        <f ca="1">AND(模拟模式!$K$10="2300·雷",BT430=0,RAND()&lt;IF(C431="净世破魔击·月",5*0.05*2/3,IF(C431="净世破魔击·日",3*0.05*2/3,0.05*2*2/3)))</f>
        <v>0</v>
      </c>
      <c r="BV431" s="115">
        <f t="shared" ca="1" si="392"/>
        <v>0</v>
      </c>
      <c r="BW431" s="115">
        <f t="shared" ca="1" si="393"/>
        <v>0</v>
      </c>
      <c r="BX431" s="164" t="b">
        <f t="shared" ca="1" si="394"/>
        <v>0</v>
      </c>
      <c r="BY431" s="115">
        <f t="shared" ca="1" si="395"/>
        <v>0</v>
      </c>
      <c r="BZ431" s="115">
        <f>IF(OR(模拟模式!$P$16="10人团",模拟模式!$P$16="25人团"),IF(B431/30&gt;CA430,1,0),0)</f>
        <v>0</v>
      </c>
      <c r="CA431" s="115">
        <f t="shared" si="371"/>
        <v>0</v>
      </c>
      <c r="CB431" s="115">
        <f ca="1">IF(BZ431=1,IF(模拟模式!$P$16="10人团",15,0)+IF(模拟模式!$P$16="25人团",IF(RAND()&lt;0.6,15,0)),MAX(0,CB430-$F$4))</f>
        <v>0</v>
      </c>
      <c r="CC431" s="115" t="b">
        <f t="shared" ca="1" si="363"/>
        <v>0</v>
      </c>
      <c r="CD431" s="115">
        <f>IF(模拟模式!$Q$16="1个",IF(B431/40&gt;CE430,1,0),0)</f>
        <v>0</v>
      </c>
      <c r="CE431" s="115">
        <f t="shared" si="364"/>
        <v>0</v>
      </c>
      <c r="CF431" s="115">
        <f>IF(OR(CD431=1,模拟模式!$Q$16="2个"),20,MAX(0,CF430-$F$4))</f>
        <v>0</v>
      </c>
      <c r="CG431" s="115" t="b">
        <f t="shared" si="365"/>
        <v>0</v>
      </c>
      <c r="CH431" s="115">
        <f t="shared" ca="1" si="396"/>
        <v>0</v>
      </c>
      <c r="CI431" s="115" t="b">
        <f t="shared" ca="1" si="397"/>
        <v>0</v>
      </c>
      <c r="CJ431" s="119">
        <f t="shared" ca="1" si="398"/>
        <v>0</v>
      </c>
      <c r="CK431" s="115">
        <f t="shared" ca="1" si="399"/>
        <v>0</v>
      </c>
      <c r="CL431" s="115" t="b">
        <f ca="1">AND(模拟模式!$S$7="驱夷逐法",OR(AND(C431="净世破魔击·月",E430&gt;59),AND(C431="净世破魔击·日",F430&gt;59)))</f>
        <v>0</v>
      </c>
      <c r="CM431" s="115" t="b">
        <f ca="1">OR(CL431,AND(C431="净世破魔击·日",CL430,RAND()&lt;模拟模式!$U$23))</f>
        <v>0</v>
      </c>
      <c r="CN431" s="115" t="b">
        <f ca="1">IF(模拟模式!$M$7="辉耀红尘",AND(C431="净世破魔击·月",CL431,CV431=0,E430&lt;80),AND(C431="净世破魔击·月",CL431,E430&lt;100))</f>
        <v>0</v>
      </c>
      <c r="CO431" s="115" t="b">
        <f t="shared" ca="1" si="372"/>
        <v>0</v>
      </c>
      <c r="CP431" s="115" t="b">
        <f ca="1">AND(模拟模式!$O$7="用晦而明",OR(C431="净世破魔击·日",C431="净世破魔击·月",C431="驱夜断愁"),AB431)</f>
        <v>0</v>
      </c>
      <c r="CQ431" s="115" t="b">
        <f ca="1">OR(CP431,AND(CP430,RAND()&lt;模拟模式!$U$23))</f>
        <v>0</v>
      </c>
      <c r="CR431" s="115" t="b">
        <f ca="1">AND(模拟模式!$S$7="日月齐光",OR(C431="幽月轮1",C431="幽月轮2",C431="幽月轮3",CR430),NOT(OR(C431="赤日轮1",C431="赤日轮2",C431="赤日轮3")))</f>
        <v>0</v>
      </c>
      <c r="CS431" s="115" t="b">
        <f ca="1">AND(模拟模式!$S$7="日月齐光",OR(C431="赤日轮1",C431="赤日轮2",C431="赤日轮3",CS430),NOT(OR(C431="幽月轮1",C431="幽月轮2",C431="幽月轮3")))</f>
        <v>0</v>
      </c>
      <c r="CT431" s="115">
        <f t="shared" ca="1" si="400"/>
        <v>3.2475000000000116</v>
      </c>
      <c r="CU431" s="115" t="b">
        <f ca="1">AND(模拟模式!$K$10="阴阳往极",CT430=0,RAND()&lt;IF(C431="净世破魔击·月",0.0275*7/3,IF(C431="净世破魔击·日",0.0275*3/3,0.0275*2/3)))</f>
        <v>0</v>
      </c>
      <c r="CV431" s="115">
        <f t="shared" ca="1" si="401"/>
        <v>0</v>
      </c>
      <c r="CW431" s="115">
        <f t="shared" ca="1" si="373"/>
        <v>1.3874999999999997</v>
      </c>
      <c r="CX431" s="115">
        <f t="shared" ca="1" si="374"/>
        <v>6</v>
      </c>
      <c r="CY431" s="115">
        <f ca="1">MAX(IF($C431="驱夜断愁",IF(模拟模式!$R$7="万念俱寂",6,45),CY430-$F$4),0)</f>
        <v>0.46499999999999975</v>
      </c>
      <c r="CZ431" s="115">
        <f t="shared" ca="1" si="375"/>
        <v>0</v>
      </c>
      <c r="DA431" s="115">
        <f ca="1">IF(模拟模式!$N$7="日月同辉",IF(DB430=2,0,MIN(6,IF(AND(OR(C431="赤日轮1",C431="赤日轮2",C431="赤日轮3",C431="幽月轮1",C431="幽月轮2",C431="幽月轮3"),AB431=1),DA430+1,DA430))),0)</f>
        <v>4</v>
      </c>
      <c r="DB431" s="115">
        <f t="shared" ca="1" si="376"/>
        <v>0</v>
      </c>
      <c r="DC431" s="115"/>
      <c r="DD431" s="115"/>
      <c r="DE431" s="115"/>
      <c r="DF431" s="115"/>
      <c r="DG431" s="115"/>
      <c r="DH431" s="115"/>
      <c r="DI431" s="115"/>
      <c r="DJ431" s="115"/>
      <c r="DK431" s="115"/>
      <c r="DL431" s="115"/>
      <c r="DM431" s="115"/>
    </row>
    <row r="432" spans="2:117" x14ac:dyDescent="0.2">
      <c r="B432" s="117">
        <f t="shared" si="377"/>
        <v>373.61250000000354</v>
      </c>
      <c r="C432" s="167" t="str">
        <f t="shared" ca="1" si="370"/>
        <v>驱夜断愁</v>
      </c>
      <c r="D432" s="115">
        <f ca="1">IF(C432="赤日轮1",1,IF(C432="赤日轮2",2,IF(C432="赤日轮3",3,IF(C432="幽月轮1",4,IF(C432="幽月轮2",5,IF(C432="幽月轮3",6,IF(C432="烈日斩",7,IF(C432="银月斩",8,IF(C432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432="净世破魔击·月",17,IF(C432="驱夜断愁",18,0)))))))))))</f>
        <v>18</v>
      </c>
      <c r="E432" s="115">
        <f ca="1">IF(AND(CU432,OR(C432="幽月轮1",C432="幽月轮2",C432="幽月轮3",C432="银月斩",C432="驱夜断愁",C432="净世破魔击·月")),100,MIN(IF(OR(CN432,BE432),0,IF(OR($C432="赤日轮1",$C432="赤日轮2",$C432="赤日轮3"),E431+20+IF(模拟模式!$I$7="日月凌天",4,0)+IF(CR431,20,0),IF($C432="烈日斩",E431+40,IF($C432="驱夜断愁",IF(模拟模式!$R$7="万念俱寂",E431+20,E431+60),IF($C432="净世破魔击·月",IF(OR(DB431&gt;0,CV431&gt;0),100,IF(模拟模式!$M$7="辉耀红尘",E431+20,E431)),IF($C432="净世破魔击·日",E431-100,E431)))))),100))</f>
        <v>40</v>
      </c>
      <c r="F432" s="115">
        <f ca="1">IF(AND(CU432,OR(C432="赤日轮1",C432="赤日轮2",C432="赤日轮3",C432="烈日斩",C432="净世破魔击·日")),100,MIN(IF(CO432,0,IF(OR($C432="幽月轮1",$C432="幽月轮2",$C432="幽月轮3"),F431+20+IF(模拟模式!$I$7="日月凌天",4,0)+IF(CS431,20,0),IF($C432="银月斩",F431+40+IF(模拟模式!$X$12=1,5,0),IF($C432="驱夜断愁",IF(模拟模式!$R$7="万念俱寂",F431+20,F431+60),IF($C432="净世破魔击·月",IF(模拟模式!$M$7="辉耀红尘",F431-80,F431-100),IF(AND(C432="净世破魔击·日",OR(DB431&gt;0,CV431&gt;0)),100,F431)))))),100))</f>
        <v>85</v>
      </c>
      <c r="G432" s="117">
        <f ca="1">('模拟-全程加成'!$E$3+'模拟-全程加成'!$E$4+'模拟-全程加成'!$E$5+('模拟-全程加成'!$C$6-'模拟-全程加成'!$C$3)*系数!$B$9+BS432*23)*(1+'模拟-全程加成'!$F$4+'模拟-全程加成'!$F$5+BJ432*10%+BM432*20%+BP432*4%+CG432*30%)+$F$7*系数!$B$12</f>
        <v>20583.127400000001</v>
      </c>
      <c r="H432" s="45">
        <f ca="1">'模拟-全程加成'!$H$3+'模拟-全程加成'!$H$4+'模拟-全程加成'!$H$5+('模拟-全程加成'!$G$4+'模拟-全程加成'!$G$5+('模拟-全程加成'!$C$6-'模拟-全程加成'!$C$3)*系数!$B$13)/系数!$B$3+LOOKUP(D432,'模拟-单技能数据'!$A$2:$A$19,'模拟-单技能数据'!$K$2:$K$19)+BG432*10%+IF(BV432&gt;0,378,0)</f>
        <v>0.51185145527300213</v>
      </c>
      <c r="I432" s="45">
        <f ca="1">'模拟-全程加成'!$J$3+'模拟-全程加成'!$J$4+'模拟-全程加成'!$J$5+('模拟-全程加成'!$I$4+'模拟-全程加成'!$I$5)/系数!$B$4+LOOKUP(D432,'模拟-单技能数据'!$A$2:$A$19,'模拟-单技能数据'!$L$2:$L$19)+BG432*10%</f>
        <v>2.162482885499879</v>
      </c>
      <c r="J432" s="45">
        <f ca="1">(('模拟-全程加成'!$K$3+'模拟-全程加成'!$K$4+'模拟-全程加成'!$K$5+('模拟-全程加成'!$C$6-'模拟-全程加成'!$C$3)*系数!$B$10+IF(BV432&gt;0,882,0)+IF(BY432&gt;0,1831,0))*(1+'模拟-全程加成'!$L$4+'模拟-全程加成'!$L$5+CC432*20%))/系数!$B$5</f>
        <v>0.69723220422048726</v>
      </c>
      <c r="K432" s="119">
        <f ca="1">LOOKUP(D432,'模拟-单技能数据'!$A$2:$A$19,'模拟-单技能数据'!$J$2:$J$19)+IF(CM432,60%,0)+IF(DB431-DB432&gt;0,30%,0)+IF(OR(AND(OR(C432="赤日轮1",C432="赤日轮2",C432="赤日轮3"),CR432),AND(OR(C432="幽月轮1",C432="幽月轮2",C432="幽月轮3"),CS432)),35%,0)+CJ432</f>
        <v>0.14000000000000001</v>
      </c>
      <c r="L432" s="119">
        <f ca="1">IF(AND(C432="烈日斩",模拟模式!$X$11=1),10%,0)+IF(AND(C432="驱夜断愁",AB432=1),30%,0)</f>
        <v>0.3</v>
      </c>
      <c r="M432" s="45">
        <f t="shared" ca="1" si="353"/>
        <v>0.51185145527300213</v>
      </c>
      <c r="N432" s="45">
        <f t="shared" ca="1" si="354"/>
        <v>0.43424854472699792</v>
      </c>
      <c r="O432" s="46">
        <f t="shared" ca="1" si="378"/>
        <v>0.15039580931198593</v>
      </c>
      <c r="P432" s="46" t="str">
        <f t="shared" ca="1" si="379"/>
        <v>会</v>
      </c>
      <c r="Q432" s="45">
        <f t="shared" ca="1" si="380"/>
        <v>2.162482885499879</v>
      </c>
      <c r="R432" s="117">
        <f ca="1">模拟模式!$E$20*(1-IF(模拟模式!$J$19="有",0.15,0))*(1-IF(模拟模式!$K$19="有",0.3,0)-IF(CQ432,0.5,0))</f>
        <v>843.02999999999975</v>
      </c>
      <c r="S432" s="45">
        <f ca="1">R432/(R432+(185*模拟模式!$E$22-16800)*4.08224)</f>
        <v>8.389626085980037E-2</v>
      </c>
      <c r="T432" s="45" t="str">
        <f ca="1">LOOKUP(D432,'模拟-单技能数据'!$A$2:$A$19,'模拟-单技能数据'!$H$2:$H$19)</f>
        <v>阴</v>
      </c>
      <c r="U432" s="119">
        <f t="shared" ca="1" si="355"/>
        <v>0.08</v>
      </c>
      <c r="V432" s="47">
        <f ca="1">(1+L432)*(LOOKUP(D432,'模拟-单技能数据'!$A$2:$A$19,'模拟-单技能数据'!$D$2:$D$19)+G432*LOOKUP(D432,'模拟-单技能数据'!$A$2:$A$19,'模拟-单技能数据'!$F$2:$F$19))*(1+J432)*(1+K432)*(1-S432)*(1+U432)*Q432*LOOKUP(D432,'模拟-单技能数据'!$A$2:$A$19,'模拟-单技能数据'!$I$2:$I$20)</f>
        <v>127463.41908070058</v>
      </c>
      <c r="W432" s="47">
        <f ca="1">LOOKUP(D432,'模拟-单技能数据'!$A$2:$A$19,'模拟-单技能数据'!$G$2:$G$19)*$I$10</f>
        <v>723.0212870940959</v>
      </c>
      <c r="X432" s="47">
        <f t="shared" ca="1" si="381"/>
        <v>9218.9345386263849</v>
      </c>
      <c r="Y432" s="47">
        <f t="shared" ca="1" si="356"/>
        <v>137405.37490642106</v>
      </c>
      <c r="Z432" s="49">
        <f t="shared" ca="1" si="357"/>
        <v>42022328.635766253</v>
      </c>
      <c r="AA432" s="97">
        <f t="shared" ca="1" si="358"/>
        <v>112475.70313029102</v>
      </c>
      <c r="AB432" s="115">
        <f ca="1">IF(OR(C432="赤日轮1",C432="赤日轮2",C432="赤日轮3"),IF(RAND()&lt;模拟模式!$Y$17,1,0),IF(OR(C432="幽月轮1",C432="幽月轮2",C432="幽月轮3"),IF(RAND()&lt;模拟模式!$Y$18,1,0),IF(C432="烈日斩",IF(RAND()&lt;模拟模式!$Y$19,1,0),IF(C432="银月斩",IF(RAND()&lt;模拟模式!$Y$20,1,0),IF(C432="驱夜断愁",IF(RAND()&lt;模拟模式!$Y$21,1,0),IF(C432="净世破魔击·日",IF(RAND()&lt;模拟模式!$Y$22,1,0),IF(C432="净世破魔击·月",IF(RAND()&lt;模拟模式!$Y$23,1,0),0)))))))</f>
        <v>1</v>
      </c>
      <c r="AC432" s="115" t="b">
        <f t="shared" ca="1" si="346"/>
        <v>0</v>
      </c>
      <c r="AD432" s="115" t="b">
        <f t="shared" ca="1" si="366"/>
        <v>1</v>
      </c>
      <c r="AE432" s="115">
        <f t="shared" ca="1" si="367"/>
        <v>5</v>
      </c>
      <c r="AF432" s="47">
        <f ca="1">IF(AC432,('模拟-单技能数据'!$D$20+G432*'模拟-单技能数据'!$F$20)*(1+J432)*(1+'模拟-单技能数据'!$J$20)*(1+U432),0)</f>
        <v>0</v>
      </c>
      <c r="AG432" s="61">
        <f t="shared" ca="1" si="359"/>
        <v>0.64185145527300214</v>
      </c>
      <c r="AH432" s="61">
        <f t="shared" ca="1" si="360"/>
        <v>2.2624828854998791</v>
      </c>
      <c r="AI432" s="62">
        <f t="shared" ca="1" si="382"/>
        <v>0.6177111725835146</v>
      </c>
      <c r="AJ432" s="47">
        <f ca="1">IF(AD432,IF(AI432&lt;$F$10,0,IF(AI432&lt;$F$10+$F$11,0.25,IF(AI432&lt;$F$10+$F$11+AG432,AH432,1)))*IF(AF432&gt;0,AF432,IF(AF431&gt;0,AF431,IF(AF430&gt;0,AF430,IF(AF429&gt;0,AF429,IF(AF428&gt;0,AF428,IF(AF427&gt;0,AF427,IF(AF426&gt;0,AF426,IF(AF425&gt;0,AF425,IF(AF424&gt;0,AF424,IF(AF422&gt;0,AF422,IF(AF421&gt;0,AF421,IF(AF420&gt;0,AF420,0)))))))))))),0)*(1-$S432)*'模拟-单技能数据'!$I$20</f>
        <v>9218.9345386263849</v>
      </c>
      <c r="AK432" s="115" t="b">
        <f t="shared" ca="1" si="347"/>
        <v>0</v>
      </c>
      <c r="AL432" s="115" t="b">
        <f t="shared" ca="1" si="368"/>
        <v>0</v>
      </c>
      <c r="AM432" s="115">
        <f t="shared" ca="1" si="369"/>
        <v>4</v>
      </c>
      <c r="AN432" s="47">
        <f ca="1">IF(AK432,('模拟-单技能数据'!$D$21+G432*'模拟-单技能数据'!$F$21)*(1+J432)*(1+'模拟-单技能数据'!$J$21)*(1+U432),0)</f>
        <v>0</v>
      </c>
      <c r="AO432" s="61">
        <f ca="1">IF(AN432&gt;0,M432-'模拟-单技能数据'!$K$10,AO431)</f>
        <v>0.42185145527300216</v>
      </c>
      <c r="AP432" s="61">
        <f ca="1">IF(AN432&gt;0,I432-'模拟-单技能数据'!$L$10,AP431)</f>
        <v>2.162482885499879</v>
      </c>
      <c r="AQ432" s="63">
        <f t="shared" ca="1" si="383"/>
        <v>0.80522542042954115</v>
      </c>
      <c r="AR432" s="64">
        <f ca="1">IF(AL432,IF(AQ432&lt;$F$10,0,IF(AQ432&lt;$F$10+$F$11,0.25,IF(AQ432&lt;$F$10+$F$11+AO432,AP432,1)))*IF(AN432&gt;0,AN432,IF(AN431&gt;0,AN431,IF(AN430&gt;0,AN430,IF(AN429&gt;0,AN429,IF(AN428&gt;0,AN428,IF(AN427&gt;0,AN427,IF(AN426&gt;0,AN426,IF(AN425&gt;0,AN425,IF(AN424&gt;0,AN424,IF(AN422&gt;0,AN422,IF(AN421&gt;0,AN421,IF(AN420&gt;0,AN420,0)))))))))))),0)*(1-$S432)*'模拟-单技能数据'!$I$21</f>
        <v>0</v>
      </c>
      <c r="AS432" s="61">
        <f ca="1">IF(OR(C432="净世破魔击·日",C432="净世破魔击·月"),M432-'模拟-单技能数据'!$K$10,0)</f>
        <v>0</v>
      </c>
      <c r="AT432" s="61">
        <f ca="1">IF(OR(C432="净世破魔击·日",C432="净世破魔击·月"),I432-'模拟-单技能数据'!$L$10,0)</f>
        <v>0</v>
      </c>
      <c r="AU432" s="62">
        <f t="shared" ca="1" si="384"/>
        <v>0.25527792116502335</v>
      </c>
      <c r="AV432" s="64">
        <f ca="1">IF(AS432&gt;0,('模拟-单技能数据'!$D$22+G432*'模拟-单技能数据'!$F$22)*(1+J432)*(1-S432)*IF(AU432&lt;$F$10,0,IF(AU432&lt;$F$10+$F$11,0.25,IF(AU432&lt;$F$10+$F$11+AS432,AT432,1)))*(1+U432),0)*'模拟-单技能数据'!$I$22</f>
        <v>0</v>
      </c>
      <c r="AW432" s="108">
        <f t="shared" ca="1" si="385"/>
        <v>0.6275000000000065</v>
      </c>
      <c r="AX432" s="108" t="b">
        <f ca="1">AND(模拟模式!$P$10="有",AW431=0,RAND()&lt;IF(C432="净世破魔击·月",0.1*8/3,IF(C432="净世破魔击·日",0.1*4/3,0.1*2/3)))</f>
        <v>0</v>
      </c>
      <c r="AY432" s="47">
        <f ca="1">IF(AX432,(18+G432*0.722)*(1+J432)*(1-S432)*(1+$I$4)*IF(P432="会",'模拟-全程加成'!$J$3+'模拟-全程加成'!$J$4+'模拟-全程加成'!$J$5+('模拟-全程加成'!$I$4+'模拟-全程加成'!$I$5)/系数!$B$4+BG432*10%,IF(P432="命",1,IF(P432="识",0.25,0))),0)</f>
        <v>0</v>
      </c>
      <c r="AZ432" s="108">
        <f t="shared" si="386"/>
        <v>11.697500000000005</v>
      </c>
      <c r="BA432" s="108" t="b">
        <f>AND(模拟模式!$Q$10="有",AZ431=0)</f>
        <v>0</v>
      </c>
      <c r="BB432" s="140">
        <f>IF(BA432,(0+G432*0.287)*(1+J432)*(1-S432)*(1+$I$4)*IF(P432="会",'模拟-全程加成'!$J$3+'模拟-全程加成'!$J$4+'模拟-全程加成'!$J$5+('模拟-全程加成'!$I$4+'模拟-全程加成'!$I$5)/系数!$B$4+BG432*10%,IF(P432="命",1,IF(P432="识",0.25,0))),0)</f>
        <v>0</v>
      </c>
      <c r="BC432" s="115" t="b">
        <f ca="1">AND(模拟模式!$R$7="伏明众生",E432=60,F432=20,DA432&lt;5,CZ431&lt;$F$4)</f>
        <v>0</v>
      </c>
      <c r="BD432" s="115">
        <f t="shared" ca="1" si="348"/>
        <v>0</v>
      </c>
      <c r="BE432" s="115" t="b">
        <f t="shared" ca="1" si="349"/>
        <v>0</v>
      </c>
      <c r="BF432" s="47">
        <f ca="1">IF(BC432,4*('模拟-单技能数据'!$D$24+G432*'模拟-单技能数据'!$F$24)*(1+J432)*(1+'模拟-单技能数据'!$J$24)*(1-S432)*(1+$I$3)*(('模拟-全程加成'!$J$3+'模拟-全程加成'!$J$4+'模拟-全程加成'!$J$5+('模拟-全程加成'!$I$4+'模拟-全程加成'!$I$5)/系数!$B$4+BG432*10%)*('模拟-全程加成'!$J$3+'模拟-全程加成'!$J$4+'模拟-全程加成'!$J$5+('模拟-全程加成'!$I$4+'模拟-全程加成'!$I$5)/系数!$B$4+BG432*10%)+(1-('模拟-全程加成'!$J$3+'模拟-全程加成'!$J$4+'模拟-全程加成'!$J$5+('模拟-全程加成'!$I$4+'模拟-全程加成'!$I$5)/系数!$B$4+BG432*10%)-$F$10-$F$11)+F418*0.25),0)*'模拟-单技能数据'!$I$24</f>
        <v>0</v>
      </c>
      <c r="BG432" s="115" t="b">
        <f ca="1">OR(AND(OR(C432="烈日斩",C432="银月斩"),模拟模式!$I$7="净身明礼"),AND(C432="净世破魔击·日",模拟模式!$J$7="洞若观火"),AND(C433="净世破魔击·月",模拟模式!$J$7="洞若观火"),AB432=1)</f>
        <v>1</v>
      </c>
      <c r="BH432" s="115" t="b">
        <f t="shared" ca="1" si="387"/>
        <v>0</v>
      </c>
      <c r="BI432" s="115">
        <f t="shared" ca="1" si="350"/>
        <v>0</v>
      </c>
      <c r="BJ432" s="115" t="b">
        <f t="shared" ca="1" si="361"/>
        <v>0</v>
      </c>
      <c r="BK432" s="115" t="b">
        <f ca="1">AND(C432="驱夜断愁",模拟模式!$P$7="天地诛戮")</f>
        <v>1</v>
      </c>
      <c r="BL432" s="57">
        <f t="shared" ca="1" si="351"/>
        <v>20</v>
      </c>
      <c r="BM432" s="115" t="b">
        <f t="shared" ca="1" si="362"/>
        <v>1</v>
      </c>
      <c r="BN432" s="115" t="b">
        <f ca="1">AND(OR(C432="赤日轮1",C432="赤日轮2",C432="赤日轮3",C432="幽月轮1",C432="幽月轮2",C432="幽月轮3"),AB432=1,模拟模式!$L$7="明光恒照")</f>
        <v>0</v>
      </c>
      <c r="BO432" s="117">
        <f t="shared" ca="1" si="352"/>
        <v>28.155000000000001</v>
      </c>
      <c r="BP432" s="115">
        <f t="shared" ca="1" si="388"/>
        <v>6</v>
      </c>
      <c r="BQ432" s="115" t="b">
        <f>模拟模式!$K$10="2600·水"</f>
        <v>0</v>
      </c>
      <c r="BR432" s="117">
        <f t="shared" si="389"/>
        <v>0</v>
      </c>
      <c r="BS432" s="115">
        <f t="shared" si="390"/>
        <v>0</v>
      </c>
      <c r="BT432" s="115">
        <f t="shared" ca="1" si="391"/>
        <v>0</v>
      </c>
      <c r="BU432" s="115" t="b">
        <f ca="1">AND(模拟模式!$K$10="2300·雷",BT431=0,RAND()&lt;IF(C432="净世破魔击·月",5*0.05*2/3,IF(C432="净世破魔击·日",3*0.05*2/3,0.05*2*2/3)))</f>
        <v>0</v>
      </c>
      <c r="BV432" s="115">
        <f t="shared" ca="1" si="392"/>
        <v>0</v>
      </c>
      <c r="BW432" s="115">
        <f t="shared" ca="1" si="393"/>
        <v>0</v>
      </c>
      <c r="BX432" s="164" t="b">
        <f t="shared" ca="1" si="394"/>
        <v>0</v>
      </c>
      <c r="BY432" s="115">
        <f t="shared" ca="1" si="395"/>
        <v>0</v>
      </c>
      <c r="BZ432" s="115">
        <f>IF(OR(模拟模式!$P$16="10人团",模拟模式!$P$16="25人团"),IF(B432/30&gt;CA431,1,0),0)</f>
        <v>0</v>
      </c>
      <c r="CA432" s="115">
        <f t="shared" si="371"/>
        <v>0</v>
      </c>
      <c r="CB432" s="115">
        <f ca="1">IF(BZ432=1,IF(模拟模式!$P$16="10人团",15,0)+IF(模拟模式!$P$16="25人团",IF(RAND()&lt;0.6,15,0)),MAX(0,CB431-$F$4))</f>
        <v>0</v>
      </c>
      <c r="CC432" s="115" t="b">
        <f t="shared" ca="1" si="363"/>
        <v>0</v>
      </c>
      <c r="CD432" s="115">
        <f>IF(模拟模式!$Q$16="1个",IF(B432/40&gt;CE431,1,0),0)</f>
        <v>0</v>
      </c>
      <c r="CE432" s="115">
        <f t="shared" si="364"/>
        <v>0</v>
      </c>
      <c r="CF432" s="115">
        <f>IF(OR(CD432=1,模拟模式!$Q$16="2个"),20,MAX(0,CF431-$F$4))</f>
        <v>0</v>
      </c>
      <c r="CG432" s="115" t="b">
        <f t="shared" si="365"/>
        <v>0</v>
      </c>
      <c r="CH432" s="115">
        <f t="shared" ca="1" si="396"/>
        <v>0</v>
      </c>
      <c r="CI432" s="115" t="b">
        <f t="shared" ca="1" si="397"/>
        <v>0</v>
      </c>
      <c r="CJ432" s="119">
        <f t="shared" ca="1" si="398"/>
        <v>0</v>
      </c>
      <c r="CK432" s="115">
        <f t="shared" ca="1" si="399"/>
        <v>0</v>
      </c>
      <c r="CL432" s="115" t="b">
        <f ca="1">AND(模拟模式!$S$7="驱夷逐法",OR(AND(C432="净世破魔击·月",E431&gt;59),AND(C432="净世破魔击·日",F431&gt;59)))</f>
        <v>0</v>
      </c>
      <c r="CM432" s="115" t="b">
        <f ca="1">OR(CL432,AND(C432="净世破魔击·日",CL431,RAND()&lt;模拟模式!$U$23))</f>
        <v>0</v>
      </c>
      <c r="CN432" s="115" t="b">
        <f ca="1">IF(模拟模式!$M$7="辉耀红尘",AND(C432="净世破魔击·月",CL432,CV432=0,E431&lt;80),AND(C432="净世破魔击·月",CL432,E431&lt;100))</f>
        <v>0</v>
      </c>
      <c r="CO432" s="115" t="b">
        <f t="shared" ca="1" si="372"/>
        <v>0</v>
      </c>
      <c r="CP432" s="115" t="b">
        <f ca="1">AND(模拟模式!$O$7="用晦而明",OR(C432="净世破魔击·日",C432="净世破魔击·月",C432="驱夜断愁"),AB432)</f>
        <v>1</v>
      </c>
      <c r="CQ432" s="115" t="b">
        <f ca="1">OR(CP432,AND(CP431,RAND()&lt;模拟模式!$U$23))</f>
        <v>1</v>
      </c>
      <c r="CR432" s="115" t="b">
        <f ca="1">AND(模拟模式!$S$7="日月齐光",OR(C432="幽月轮1",C432="幽月轮2",C432="幽月轮3",CR431),NOT(OR(C432="赤日轮1",C432="赤日轮2",C432="赤日轮3")))</f>
        <v>0</v>
      </c>
      <c r="CS432" s="115" t="b">
        <f ca="1">AND(模拟模式!$S$7="日月齐光",OR(C432="赤日轮1",C432="赤日轮2",C432="赤日轮3",CS431),NOT(OR(C432="幽月轮1",C432="幽月轮2",C432="幽月轮3")))</f>
        <v>0</v>
      </c>
      <c r="CT432" s="115">
        <f t="shared" ca="1" si="400"/>
        <v>2.3250000000000117</v>
      </c>
      <c r="CU432" s="115" t="b">
        <f ca="1">AND(模拟模式!$K$10="阴阳往极",CT431=0,RAND()&lt;IF(C432="净世破魔击·月",0.0275*7/3,IF(C432="净世破魔击·日",0.0275*3/3,0.0275*2/3)))</f>
        <v>0</v>
      </c>
      <c r="CV432" s="115">
        <f t="shared" ca="1" si="401"/>
        <v>0</v>
      </c>
      <c r="CW432" s="115">
        <f t="shared" ca="1" si="373"/>
        <v>0.46499999999999975</v>
      </c>
      <c r="CX432" s="115">
        <f t="shared" ca="1" si="374"/>
        <v>5.0774999999999997</v>
      </c>
      <c r="CY432" s="115">
        <f ca="1">MAX(IF($C432="驱夜断愁",IF(模拟模式!$R$7="万念俱寂",6,45),CY431-$F$4),0)</f>
        <v>6</v>
      </c>
      <c r="CZ432" s="115">
        <f t="shared" ca="1" si="375"/>
        <v>0</v>
      </c>
      <c r="DA432" s="115">
        <f ca="1">IF(模拟模式!$N$7="日月同辉",IF(DB431=2,0,MIN(6,IF(AND(OR(C432="赤日轮1",C432="赤日轮2",C432="赤日轮3",C432="幽月轮1",C432="幽月轮2",C432="幽月轮3"),AB432=1),DA431+1,DA431))),0)</f>
        <v>4</v>
      </c>
      <c r="DB432" s="115">
        <f t="shared" ca="1" si="376"/>
        <v>0</v>
      </c>
      <c r="DC432" s="115"/>
      <c r="DD432" s="115"/>
      <c r="DE432" s="115"/>
      <c r="DF432" s="115"/>
      <c r="DG432" s="115"/>
      <c r="DH432" s="115"/>
      <c r="DI432" s="115"/>
      <c r="DJ432" s="115"/>
      <c r="DK432" s="115"/>
      <c r="DL432" s="115"/>
      <c r="DM432" s="115"/>
    </row>
    <row r="433" spans="2:117" x14ac:dyDescent="0.2">
      <c r="B433" s="117">
        <f t="shared" si="377"/>
        <v>374.53500000000355</v>
      </c>
      <c r="C433" s="167" t="str">
        <f t="shared" ca="1" si="370"/>
        <v>烈日斩</v>
      </c>
      <c r="D433" s="115">
        <f ca="1">IF(C433="赤日轮1",1,IF(C433="赤日轮2",2,IF(C433="赤日轮3",3,IF(C433="幽月轮1",4,IF(C433="幽月轮2",5,IF(C433="幽月轮3",6,IF(C433="烈日斩",7,IF(C433="银月斩",8,IF(C433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433="净世破魔击·月",17,IF(C433="驱夜断愁",18,0)))))))))))</f>
        <v>7</v>
      </c>
      <c r="E433" s="115">
        <f ca="1">IF(AND(CU433,OR(C433="幽月轮1",C433="幽月轮2",C433="幽月轮3",C433="银月斩",C433="驱夜断愁",C433="净世破魔击·月")),100,MIN(IF(OR(CN433,BE433),0,IF(OR($C433="赤日轮1",$C433="赤日轮2",$C433="赤日轮3"),E432+20+IF(模拟模式!$I$7="日月凌天",4,0)+IF(CR432,20,0),IF($C433="烈日斩",E432+40,IF($C433="驱夜断愁",IF(模拟模式!$R$7="万念俱寂",E432+20,E432+60),IF($C433="净世破魔击·月",IF(OR(DB432&gt;0,CV432&gt;0),100,IF(模拟模式!$M$7="辉耀红尘",E432+20,E432)),IF($C433="净世破魔击·日",E432-100,E432)))))),100))</f>
        <v>80</v>
      </c>
      <c r="F433" s="115">
        <f ca="1">IF(AND(CU433,OR(C433="赤日轮1",C433="赤日轮2",C433="赤日轮3",C433="烈日斩",C433="净世破魔击·日")),100,MIN(IF(CO433,0,IF(OR($C433="幽月轮1",$C433="幽月轮2",$C433="幽月轮3"),F432+20+IF(模拟模式!$I$7="日月凌天",4,0)+IF(CS432,20,0),IF($C433="银月斩",F432+40+IF(模拟模式!$X$12=1,5,0),IF($C433="驱夜断愁",IF(模拟模式!$R$7="万念俱寂",F432+20,F432+60),IF($C433="净世破魔击·月",IF(模拟模式!$M$7="辉耀红尘",F432-80,F432-100),IF(AND(C433="净世破魔击·日",OR(DB432&gt;0,CV432&gt;0)),100,F432)))))),100))</f>
        <v>85</v>
      </c>
      <c r="G433" s="117">
        <f ca="1">('模拟-全程加成'!$E$3+'模拟-全程加成'!$E$4+'模拟-全程加成'!$E$5+('模拟-全程加成'!$C$6-'模拟-全程加成'!$C$3)*系数!$B$9+BS433*23)*(1+'模拟-全程加成'!$F$4+'模拟-全程加成'!$F$5+BJ433*10%+BM433*20%+BP433*4%+CG433*30%)+$F$7*系数!$B$12</f>
        <v>20583.127400000001</v>
      </c>
      <c r="H433" s="45">
        <f ca="1">'模拟-全程加成'!$H$3+'模拟-全程加成'!$H$4+'模拟-全程加成'!$H$5+('模拟-全程加成'!$G$4+'模拟-全程加成'!$G$5+('模拟-全程加成'!$C$6-'模拟-全程加成'!$C$3)*系数!$B$13)/系数!$B$3+LOOKUP(D433,'模拟-单技能数据'!$A$2:$A$19,'模拟-单技能数据'!$K$2:$K$19)+BG433*10%+IF(BV433&gt;0,378,0)</f>
        <v>0.56185145527300218</v>
      </c>
      <c r="I433" s="45">
        <f ca="1">'模拟-全程加成'!$J$3+'模拟-全程加成'!$J$4+'模拟-全程加成'!$J$5+('模拟-全程加成'!$I$4+'模拟-全程加成'!$I$5)/系数!$B$4+LOOKUP(D433,'模拟-单技能数据'!$A$2:$A$19,'模拟-单技能数据'!$L$2:$L$19)+BG433*10%</f>
        <v>2.2624828854998791</v>
      </c>
      <c r="J433" s="45">
        <f ca="1">(('模拟-全程加成'!$K$3+'模拟-全程加成'!$K$4+'模拟-全程加成'!$K$5+('模拟-全程加成'!$C$6-'模拟-全程加成'!$C$3)*系数!$B$10+IF(BV433&gt;0,882,0)+IF(BY433&gt;0,1831,0))*(1+'模拟-全程加成'!$L$4+'模拟-全程加成'!$L$5+CC433*20%))/系数!$B$5</f>
        <v>0.69723220422048726</v>
      </c>
      <c r="K433" s="119">
        <f ca="1">LOOKUP(D433,'模拟-单技能数据'!$A$2:$A$19,'模拟-单技能数据'!$J$2:$J$19)+IF(CM433,60%,0)+IF(DB432-DB433&gt;0,30%,0)+IF(OR(AND(OR(C433="赤日轮1",C433="赤日轮2",C433="赤日轮3"),CR433),AND(OR(C433="幽月轮1",C433="幽月轮2",C433="幽月轮3"),CS433)),35%,0)+CJ433</f>
        <v>0.24</v>
      </c>
      <c r="L433" s="119">
        <f ca="1">IF(AND(C433="烈日斩",模拟模式!$X$11=1),10%,0)+IF(AND(C433="驱夜断愁",AB433=1),30%,0)</f>
        <v>0.1</v>
      </c>
      <c r="M433" s="45">
        <f t="shared" ca="1" si="353"/>
        <v>0.56185145527300218</v>
      </c>
      <c r="N433" s="45">
        <f t="shared" ca="1" si="354"/>
        <v>0.38424854472699788</v>
      </c>
      <c r="O433" s="46">
        <f t="shared" ca="1" si="378"/>
        <v>1.9219313579674768E-3</v>
      </c>
      <c r="P433" s="46" t="str">
        <f t="shared" ca="1" si="379"/>
        <v>识</v>
      </c>
      <c r="Q433" s="45">
        <f t="shared" ca="1" si="380"/>
        <v>0.25</v>
      </c>
      <c r="R433" s="117">
        <f ca="1">模拟模式!$E$20*(1-IF(模拟模式!$J$19="有",0.15,0))*(1-IF(模拟模式!$K$19="有",0.3,0)-IF(CQ433,0.5,0))</f>
        <v>843.02999999999975</v>
      </c>
      <c r="S433" s="45">
        <f ca="1">R433/(R433+(185*模拟模式!$E$22-16800)*4.08224)</f>
        <v>8.389626085980037E-2</v>
      </c>
      <c r="T433" s="45" t="str">
        <f ca="1">LOOKUP(D433,'模拟-单技能数据'!$A$2:$A$19,'模拟-单技能数据'!$H$2:$H$19)</f>
        <v>阳</v>
      </c>
      <c r="U433" s="119">
        <f t="shared" ca="1" si="355"/>
        <v>0.2</v>
      </c>
      <c r="V433" s="47">
        <f ca="1">(1+L433)*(LOOKUP(D433,'模拟-单技能数据'!$A$2:$A$19,'模拟-单技能数据'!$D$2:$D$19)+G433*LOOKUP(D433,'模拟-单技能数据'!$A$2:$A$19,'模拟-单技能数据'!$F$2:$F$19))*(1+J433)*(1+K433)*(1-S433)*(1+U433)*Q433*LOOKUP(D433,'模拟-单技能数据'!$A$2:$A$19,'模拟-单技能数据'!$I$2:$I$20)</f>
        <v>11697.442296152003</v>
      </c>
      <c r="W433" s="47">
        <f ca="1">LOOKUP(D433,'模拟-单技能数据'!$A$2:$A$19,'模拟-单技能数据'!$G$2:$G$19)*$I$10</f>
        <v>361.51064354704795</v>
      </c>
      <c r="X433" s="47">
        <f t="shared" ca="1" si="381"/>
        <v>24043.249177625272</v>
      </c>
      <c r="Y433" s="47">
        <f t="shared" ca="1" si="356"/>
        <v>36102.202117324327</v>
      </c>
      <c r="Z433" s="49">
        <f t="shared" ca="1" si="357"/>
        <v>42058430.837883577</v>
      </c>
      <c r="AA433" s="97">
        <f t="shared" ca="1" si="358"/>
        <v>112295.06144387889</v>
      </c>
      <c r="AB433" s="115">
        <f ca="1">IF(OR(C433="赤日轮1",C433="赤日轮2",C433="赤日轮3"),IF(RAND()&lt;模拟模式!$Y$17,1,0),IF(OR(C433="幽月轮1",C433="幽月轮2",C433="幽月轮3"),IF(RAND()&lt;模拟模式!$Y$18,1,0),IF(C433="烈日斩",IF(RAND()&lt;模拟模式!$Y$19,1,0),IF(C433="银月斩",IF(RAND()&lt;模拟模式!$Y$20,1,0),IF(C433="驱夜断愁",IF(RAND()&lt;模拟模式!$Y$21,1,0),IF(C433="净世破魔击·日",IF(RAND()&lt;模拟模式!$Y$22,1,0),IF(C433="净世破魔击·月",IF(RAND()&lt;模拟模式!$Y$23,1,0),0)))))))</f>
        <v>1</v>
      </c>
      <c r="AC433" s="115" t="b">
        <f t="shared" ca="1" si="346"/>
        <v>0</v>
      </c>
      <c r="AD433" s="115" t="b">
        <f t="shared" ca="1" si="366"/>
        <v>0</v>
      </c>
      <c r="AE433" s="115">
        <f t="shared" ca="1" si="367"/>
        <v>5</v>
      </c>
      <c r="AF433" s="47">
        <f ca="1">IF(AC433,('模拟-单技能数据'!$D$20+G433*'模拟-单技能数据'!$F$20)*(1+J433)*(1+'模拟-单技能数据'!$J$20)*(1+U433),0)</f>
        <v>0</v>
      </c>
      <c r="AG433" s="61">
        <f t="shared" ca="1" si="359"/>
        <v>0.64185145527300214</v>
      </c>
      <c r="AH433" s="61">
        <f t="shared" ca="1" si="360"/>
        <v>2.2624828854998791</v>
      </c>
      <c r="AI433" s="62">
        <f t="shared" ca="1" si="382"/>
        <v>0.22889229083999374</v>
      </c>
      <c r="AJ433" s="47">
        <f ca="1">IF(AD433,IF(AI433&lt;$F$10,0,IF(AI433&lt;$F$10+$F$11,0.25,IF(AI433&lt;$F$10+$F$11+AG433,AH433,1)))*IF(AF433&gt;0,AF433,IF(AF432&gt;0,AF432,IF(AF431&gt;0,AF431,IF(AF430&gt;0,AF430,IF(AF429&gt;0,AF429,IF(AF428&gt;0,AF428,IF(AF427&gt;0,AF427,IF(AF426&gt;0,AF426,IF(AF425&gt;0,AF425,IF(AF423&gt;0,AF423,IF(AF422&gt;0,AF422,IF(AF421&gt;0,AF421,0)))))))))))),0)*(1-$S433)*'模拟-单技能数据'!$I$20</f>
        <v>0</v>
      </c>
      <c r="AK433" s="115" t="b">
        <f t="shared" ca="1" si="347"/>
        <v>0</v>
      </c>
      <c r="AL433" s="115" t="b">
        <f t="shared" ca="1" si="368"/>
        <v>1</v>
      </c>
      <c r="AM433" s="115">
        <f t="shared" ca="1" si="369"/>
        <v>3</v>
      </c>
      <c r="AN433" s="47">
        <f ca="1">IF(AK433,('模拟-单技能数据'!$D$21+G433*'模拟-单技能数据'!$F$21)*(1+J433)*(1+'模拟-单技能数据'!$J$21)*(1+U433),0)</f>
        <v>0</v>
      </c>
      <c r="AO433" s="61">
        <f ca="1">IF(AN433&gt;0,M433-'模拟-单技能数据'!$K$10,AO432)</f>
        <v>0.42185145527300216</v>
      </c>
      <c r="AP433" s="61">
        <f ca="1">IF(AN433&gt;0,I433-'模拟-单技能数据'!$L$10,AP432)</f>
        <v>2.162482885499879</v>
      </c>
      <c r="AQ433" s="63">
        <f t="shared" ca="1" si="383"/>
        <v>0.13252951685335379</v>
      </c>
      <c r="AR433" s="64">
        <f ca="1">IF(AL433,IF(AQ433&lt;$F$10,0,IF(AQ433&lt;$F$10+$F$11,0.25,IF(AQ433&lt;$F$10+$F$11+AO433,AP433,1)))*IF(AN433&gt;0,AN433,IF(AN432&gt;0,AN432,IF(AN431&gt;0,AN431,IF(AN430&gt;0,AN430,IF(AN429&gt;0,AN429,IF(AN428&gt;0,AN428,IF(AN427&gt;0,AN427,IF(AN426&gt;0,AN426,IF(AN425&gt;0,AN425,IF(AN423&gt;0,AN423,IF(AN422&gt;0,AN422,IF(AN421&gt;0,AN421,0)))))))))))),0)*(1-$S433)*'模拟-单技能数据'!$I$21</f>
        <v>24043.249177625272</v>
      </c>
      <c r="AS433" s="61">
        <f ca="1">IF(OR(C433="净世破魔击·日",C433="净世破魔击·月"),M433-'模拟-单技能数据'!$K$10,0)</f>
        <v>0</v>
      </c>
      <c r="AT433" s="61">
        <f ca="1">IF(OR(C433="净世破魔击·日",C433="净世破魔击·月"),I433-'模拟-单技能数据'!$L$10,0)</f>
        <v>0</v>
      </c>
      <c r="AU433" s="62">
        <f t="shared" ca="1" si="384"/>
        <v>0.58702852097661262</v>
      </c>
      <c r="AV433" s="64">
        <f ca="1">IF(AS433&gt;0,('模拟-单技能数据'!$D$22+G433*'模拟-单技能数据'!$F$22)*(1+J433)*(1-S433)*IF(AU433&lt;$F$10,0,IF(AU433&lt;$F$10+$F$11,0.25,IF(AU433&lt;$F$10+$F$11+AS433,AT433,1)))*(1+U433),0)*'模拟-单技能数据'!$I$22</f>
        <v>0</v>
      </c>
      <c r="AW433" s="108">
        <f t="shared" ca="1" si="385"/>
        <v>0</v>
      </c>
      <c r="AX433" s="108" t="b">
        <f ca="1">AND(模拟模式!$P$10="有",AW432=0,RAND()&lt;IF(C433="净世破魔击·月",0.1*8/3,IF(C433="净世破魔击·日",0.1*4/3,0.1*2/3)))</f>
        <v>0</v>
      </c>
      <c r="AY433" s="47">
        <f ca="1">IF(AX433,(18+G433*0.722)*(1+J433)*(1-S433)*(1+$I$4)*IF(P433="会",'模拟-全程加成'!$J$3+'模拟-全程加成'!$J$4+'模拟-全程加成'!$J$5+('模拟-全程加成'!$I$4+'模拟-全程加成'!$I$5)/系数!$B$4+BG433*10%,IF(P433="命",1,IF(P433="识",0.25,0))),0)</f>
        <v>0</v>
      </c>
      <c r="AZ433" s="108">
        <f t="shared" si="386"/>
        <v>10.775000000000006</v>
      </c>
      <c r="BA433" s="108" t="b">
        <f>AND(模拟模式!$Q$10="有",AZ432=0)</f>
        <v>0</v>
      </c>
      <c r="BB433" s="140">
        <f>IF(BA433,(0+G433*0.287)*(1+J433)*(1-S433)*(1+$I$4)*IF(P433="会",'模拟-全程加成'!$J$3+'模拟-全程加成'!$J$4+'模拟-全程加成'!$J$5+('模拟-全程加成'!$I$4+'模拟-全程加成'!$I$5)/系数!$B$4+BG433*10%,IF(P433="命",1,IF(P433="识",0.25,0))),0)</f>
        <v>0</v>
      </c>
      <c r="BC433" s="115" t="b">
        <f ca="1">AND(模拟模式!$R$7="伏明众生",E433=60,F433=20,DA433&lt;5,CZ432&lt;$F$4)</f>
        <v>0</v>
      </c>
      <c r="BD433" s="115">
        <f t="shared" ca="1" si="348"/>
        <v>0</v>
      </c>
      <c r="BE433" s="115" t="b">
        <f t="shared" ca="1" si="349"/>
        <v>0</v>
      </c>
      <c r="BF433" s="47">
        <f ca="1">IF(BC433,4*('模拟-单技能数据'!$D$24+G433*'模拟-单技能数据'!$F$24)*(1+J433)*(1+'模拟-单技能数据'!$J$24)*(1-S433)*(1+$I$3)*(('模拟-全程加成'!$J$3+'模拟-全程加成'!$J$4+'模拟-全程加成'!$J$5+('模拟-全程加成'!$I$4+'模拟-全程加成'!$I$5)/系数!$B$4+BG433*10%)*('模拟-全程加成'!$J$3+'模拟-全程加成'!$J$4+'模拟-全程加成'!$J$5+('模拟-全程加成'!$I$4+'模拟-全程加成'!$I$5)/系数!$B$4+BG433*10%)+(1-('模拟-全程加成'!$J$3+'模拟-全程加成'!$J$4+'模拟-全程加成'!$J$5+('模拟-全程加成'!$I$4+'模拟-全程加成'!$I$5)/系数!$B$4+BG433*10%)-$F$10-$F$11)+F419*0.25),0)*'模拟-单技能数据'!$I$24</f>
        <v>0</v>
      </c>
      <c r="BG433" s="115" t="b">
        <f ca="1">OR(AND(OR(C433="烈日斩",C433="银月斩"),模拟模式!$I$7="净身明礼"),AND(C433="净世破魔击·日",模拟模式!$J$7="洞若观火"),AND(C434="净世破魔击·月",模拟模式!$J$7="洞若观火"),AB433=1)</f>
        <v>1</v>
      </c>
      <c r="BH433" s="115" t="b">
        <f t="shared" ca="1" si="387"/>
        <v>0</v>
      </c>
      <c r="BI433" s="115">
        <f t="shared" ca="1" si="350"/>
        <v>0</v>
      </c>
      <c r="BJ433" s="115" t="b">
        <f t="shared" ca="1" si="361"/>
        <v>0</v>
      </c>
      <c r="BK433" s="115" t="b">
        <f ca="1">AND(C433="驱夜断愁",模拟模式!$P$7="天地诛戮")</f>
        <v>0</v>
      </c>
      <c r="BL433" s="57">
        <f t="shared" ca="1" si="351"/>
        <v>19.077500000000001</v>
      </c>
      <c r="BM433" s="115" t="b">
        <f t="shared" ca="1" si="362"/>
        <v>1</v>
      </c>
      <c r="BN433" s="115" t="b">
        <f ca="1">AND(OR(C433="赤日轮1",C433="赤日轮2",C433="赤日轮3",C433="幽月轮1",C433="幽月轮2",C433="幽月轮3"),AB433=1,模拟模式!$L$7="明光恒照")</f>
        <v>0</v>
      </c>
      <c r="BO433" s="117">
        <f t="shared" ca="1" si="352"/>
        <v>27.232500000000002</v>
      </c>
      <c r="BP433" s="115">
        <f t="shared" ca="1" si="388"/>
        <v>6</v>
      </c>
      <c r="BQ433" s="115" t="b">
        <f>模拟模式!$K$10="2600·水"</f>
        <v>0</v>
      </c>
      <c r="BR433" s="117">
        <f t="shared" si="389"/>
        <v>0</v>
      </c>
      <c r="BS433" s="115">
        <f t="shared" si="390"/>
        <v>0</v>
      </c>
      <c r="BT433" s="115">
        <f t="shared" ca="1" si="391"/>
        <v>0</v>
      </c>
      <c r="BU433" s="115" t="b">
        <f ca="1">AND(模拟模式!$K$10="2300·雷",BT432=0,RAND()&lt;IF(C433="净世破魔击·月",5*0.05*2/3,IF(C433="净世破魔击·日",3*0.05*2/3,0.05*2*2/3)))</f>
        <v>0</v>
      </c>
      <c r="BV433" s="115">
        <f t="shared" ca="1" si="392"/>
        <v>0</v>
      </c>
      <c r="BW433" s="115">
        <f t="shared" ca="1" si="393"/>
        <v>0</v>
      </c>
      <c r="BX433" s="164" t="b">
        <f t="shared" ca="1" si="394"/>
        <v>0</v>
      </c>
      <c r="BY433" s="115">
        <f t="shared" ca="1" si="395"/>
        <v>0</v>
      </c>
      <c r="BZ433" s="115">
        <f>IF(OR(模拟模式!$P$16="10人团",模拟模式!$P$16="25人团"),IF(B433/30&gt;CA432,1,0),0)</f>
        <v>0</v>
      </c>
      <c r="CA433" s="115">
        <f t="shared" si="371"/>
        <v>0</v>
      </c>
      <c r="CB433" s="115">
        <f ca="1">IF(BZ433=1,IF(模拟模式!$P$16="10人团",15,0)+IF(模拟模式!$P$16="25人团",IF(RAND()&lt;0.6,15,0)),MAX(0,CB432-$F$4))</f>
        <v>0</v>
      </c>
      <c r="CC433" s="115" t="b">
        <f t="shared" ca="1" si="363"/>
        <v>0</v>
      </c>
      <c r="CD433" s="115">
        <f>IF(模拟模式!$Q$16="1个",IF(B433/40&gt;CE432,1,0),0)</f>
        <v>0</v>
      </c>
      <c r="CE433" s="115">
        <f t="shared" si="364"/>
        <v>0</v>
      </c>
      <c r="CF433" s="115">
        <f>IF(OR(CD433=1,模拟模式!$Q$16="2个"),20,MAX(0,CF432-$F$4))</f>
        <v>0</v>
      </c>
      <c r="CG433" s="115" t="b">
        <f t="shared" si="365"/>
        <v>0</v>
      </c>
      <c r="CH433" s="115">
        <f t="shared" ca="1" si="396"/>
        <v>0</v>
      </c>
      <c r="CI433" s="115" t="b">
        <f t="shared" ca="1" si="397"/>
        <v>0</v>
      </c>
      <c r="CJ433" s="119">
        <f t="shared" ca="1" si="398"/>
        <v>0</v>
      </c>
      <c r="CK433" s="115">
        <f t="shared" ca="1" si="399"/>
        <v>0</v>
      </c>
      <c r="CL433" s="115" t="b">
        <f ca="1">AND(模拟模式!$S$7="驱夷逐法",OR(AND(C433="净世破魔击·月",E432&gt;59),AND(C433="净世破魔击·日",F432&gt;59)))</f>
        <v>0</v>
      </c>
      <c r="CM433" s="115" t="b">
        <f ca="1">OR(CL433,AND(C433="净世破魔击·日",CL432,RAND()&lt;模拟模式!$U$23))</f>
        <v>0</v>
      </c>
      <c r="CN433" s="115" t="b">
        <f ca="1">IF(模拟模式!$M$7="辉耀红尘",AND(C433="净世破魔击·月",CL433,CV433=0,E432&lt;80),AND(C433="净世破魔击·月",CL433,E432&lt;100))</f>
        <v>0</v>
      </c>
      <c r="CO433" s="115" t="b">
        <f t="shared" ca="1" si="372"/>
        <v>0</v>
      </c>
      <c r="CP433" s="115" t="b">
        <f ca="1">AND(模拟模式!$O$7="用晦而明",OR(C433="净世破魔击·日",C433="净世破魔击·月",C433="驱夜断愁"),AB433)</f>
        <v>0</v>
      </c>
      <c r="CQ433" s="115" t="b">
        <f ca="1">OR(CP433,AND(CP432,RAND()&lt;模拟模式!$U$23))</f>
        <v>1</v>
      </c>
      <c r="CR433" s="115" t="b">
        <f ca="1">AND(模拟模式!$S$7="日月齐光",OR(C433="幽月轮1",C433="幽月轮2",C433="幽月轮3",CR432),NOT(OR(C433="赤日轮1",C433="赤日轮2",C433="赤日轮3")))</f>
        <v>0</v>
      </c>
      <c r="CS433" s="115" t="b">
        <f ca="1">AND(模拟模式!$S$7="日月齐光",OR(C433="赤日轮1",C433="赤日轮2",C433="赤日轮3",CS432),NOT(OR(C433="幽月轮1",C433="幽月轮2",C433="幽月轮3")))</f>
        <v>0</v>
      </c>
      <c r="CT433" s="115">
        <f t="shared" ca="1" si="400"/>
        <v>1.4025000000000118</v>
      </c>
      <c r="CU433" s="115" t="b">
        <f ca="1">AND(模拟模式!$K$10="阴阳往极",CT432=0,RAND()&lt;IF(C433="净世破魔击·月",0.0275*7/3,IF(C433="净世破魔击·日",0.0275*3/3,0.0275*2/3)))</f>
        <v>0</v>
      </c>
      <c r="CV433" s="115">
        <f t="shared" ca="1" si="401"/>
        <v>0</v>
      </c>
      <c r="CW433" s="115">
        <f t="shared" ca="1" si="373"/>
        <v>6</v>
      </c>
      <c r="CX433" s="115">
        <f t="shared" ca="1" si="374"/>
        <v>4.1549999999999994</v>
      </c>
      <c r="CY433" s="115">
        <f ca="1">MAX(IF($C433="驱夜断愁",IF(模拟模式!$R$7="万念俱寂",6,45),CY432-$F$4),0)</f>
        <v>5.0774999999999997</v>
      </c>
      <c r="CZ433" s="115">
        <f t="shared" ca="1" si="375"/>
        <v>0</v>
      </c>
      <c r="DA433" s="115">
        <f ca="1">IF(模拟模式!$N$7="日月同辉",IF(DB432=2,0,MIN(6,IF(AND(OR(C433="赤日轮1",C433="赤日轮2",C433="赤日轮3",C433="幽月轮1",C433="幽月轮2",C433="幽月轮3"),AB433=1),DA432+1,DA432))),0)</f>
        <v>4</v>
      </c>
      <c r="DB433" s="115">
        <f t="shared" ca="1" si="376"/>
        <v>0</v>
      </c>
      <c r="DC433" s="115"/>
      <c r="DD433" s="115"/>
      <c r="DE433" s="115"/>
      <c r="DF433" s="115"/>
      <c r="DG433" s="115"/>
      <c r="DH433" s="115"/>
      <c r="DI433" s="115"/>
      <c r="DJ433" s="115"/>
      <c r="DK433" s="115"/>
      <c r="DL433" s="115"/>
      <c r="DM433" s="115"/>
    </row>
    <row r="434" spans="2:117" x14ac:dyDescent="0.2">
      <c r="B434" s="117">
        <f t="shared" si="377"/>
        <v>375.45750000000356</v>
      </c>
      <c r="C434" s="167" t="str">
        <f t="shared" ca="1" si="370"/>
        <v>幽月轮1</v>
      </c>
      <c r="D434" s="115">
        <f ca="1">IF(C434="赤日轮1",1,IF(C434="赤日轮2",2,IF(C434="赤日轮3",3,IF(C434="幽月轮1",4,IF(C434="幽月轮2",5,IF(C434="幽月轮3",6,IF(C434="烈日斩",7,IF(C434="银月斩",8,IF(C434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434="净世破魔击·月",17,IF(C434="驱夜断愁",18,0)))))))))))</f>
        <v>4</v>
      </c>
      <c r="E434" s="115">
        <f ca="1">IF(AND(CU434,OR(C434="幽月轮1",C434="幽月轮2",C434="幽月轮3",C434="银月斩",C434="驱夜断愁",C434="净世破魔击·月")),100,MIN(IF(OR(CN434,BE434),0,IF(OR($C434="赤日轮1",$C434="赤日轮2",$C434="赤日轮3"),E433+20+IF(模拟模式!$I$7="日月凌天",4,0)+IF(CR433,20,0),IF($C434="烈日斩",E433+40,IF($C434="驱夜断愁",IF(模拟模式!$R$7="万念俱寂",E433+20,E433+60),IF($C434="净世破魔击·月",IF(OR(DB433&gt;0,CV433&gt;0),100,IF(模拟模式!$M$7="辉耀红尘",E433+20,E433)),IF($C434="净世破魔击·日",E433-100,E433)))))),100))</f>
        <v>80</v>
      </c>
      <c r="F434" s="115">
        <f ca="1">IF(AND(CU434,OR(C434="赤日轮1",C434="赤日轮2",C434="赤日轮3",C434="烈日斩",C434="净世破魔击·日")),100,MIN(IF(CO434,0,IF(OR($C434="幽月轮1",$C434="幽月轮2",$C434="幽月轮3"),F433+20+IF(模拟模式!$I$7="日月凌天",4,0)+IF(CS433,20,0),IF($C434="银月斩",F433+40+IF(模拟模式!$X$12=1,5,0),IF($C434="驱夜断愁",IF(模拟模式!$R$7="万念俱寂",F433+20,F433+60),IF($C434="净世破魔击·月",IF(模拟模式!$M$7="辉耀红尘",F433-80,F433-100),IF(AND(C434="净世破魔击·日",OR(DB433&gt;0,CV433&gt;0)),100,F433)))))),100))</f>
        <v>100</v>
      </c>
      <c r="G434" s="117">
        <f ca="1">('模拟-全程加成'!$E$3+'模拟-全程加成'!$E$4+'模拟-全程加成'!$E$5+('模拟-全程加成'!$C$6-'模拟-全程加成'!$C$3)*系数!$B$9+BS434*23)*(1+'模拟-全程加成'!$F$4+'模拟-全程加成'!$F$5+BJ434*10%+BM434*20%+BP434*4%+CG434*30%)+$F$7*系数!$B$12</f>
        <v>20583.127400000001</v>
      </c>
      <c r="H434" s="45">
        <f ca="1">'模拟-全程加成'!$H$3+'模拟-全程加成'!$H$4+'模拟-全程加成'!$H$5+('模拟-全程加成'!$G$4+'模拟-全程加成'!$G$5+('模拟-全程加成'!$C$6-'模拟-全程加成'!$C$3)*系数!$B$13)/系数!$B$3+LOOKUP(D434,'模拟-单技能数据'!$A$2:$A$19,'模拟-单技能数据'!$K$2:$K$19)+BG434*10%+IF(BV434&gt;0,378,0)</f>
        <v>0.51185145527300213</v>
      </c>
      <c r="I434" s="45">
        <f ca="1">'模拟-全程加成'!$J$3+'模拟-全程加成'!$J$4+'模拟-全程加成'!$J$5+('模拟-全程加成'!$I$4+'模拟-全程加成'!$I$5)/系数!$B$4+LOOKUP(D434,'模拟-单技能数据'!$A$2:$A$19,'模拟-单技能数据'!$L$2:$L$19)+BG434*10%</f>
        <v>2.162482885499879</v>
      </c>
      <c r="J434" s="45">
        <f ca="1">(('模拟-全程加成'!$K$3+'模拟-全程加成'!$K$4+'模拟-全程加成'!$K$5+('模拟-全程加成'!$C$6-'模拟-全程加成'!$C$3)*系数!$B$10+IF(BV434&gt;0,882,0)+IF(BY434&gt;0,1831,0))*(1+'模拟-全程加成'!$L$4+'模拟-全程加成'!$L$5+CC434*20%))/系数!$B$5</f>
        <v>0.69723220422048726</v>
      </c>
      <c r="K434" s="119">
        <f ca="1">LOOKUP(D434,'模拟-单技能数据'!$A$2:$A$19,'模拟-单技能数据'!$J$2:$J$19)+IF(CM434,60%,0)+IF(DB433-DB434&gt;0,30%,0)+IF(OR(AND(OR(C434="赤日轮1",C434="赤日轮2",C434="赤日轮3"),CR434),AND(OR(C434="幽月轮1",C434="幽月轮2",C434="幽月轮3"),CS434)),35%,0)+CJ434</f>
        <v>7.0000000000000007E-2</v>
      </c>
      <c r="L434" s="119">
        <f ca="1">IF(AND(C434="烈日斩",模拟模式!$X$11=1),10%,0)+IF(AND(C434="驱夜断愁",AB434=1),30%,0)</f>
        <v>0</v>
      </c>
      <c r="M434" s="45">
        <f t="shared" ca="1" si="353"/>
        <v>0.51185145527300213</v>
      </c>
      <c r="N434" s="45">
        <f t="shared" ca="1" si="354"/>
        <v>0.43424854472699792</v>
      </c>
      <c r="O434" s="46">
        <f t="shared" ca="1" si="378"/>
        <v>0.82366146597281686</v>
      </c>
      <c r="P434" s="46" t="str">
        <f t="shared" ca="1" si="379"/>
        <v>命</v>
      </c>
      <c r="Q434" s="45">
        <f t="shared" ca="1" si="380"/>
        <v>1</v>
      </c>
      <c r="R434" s="117">
        <f ca="1">模拟模式!$E$20*(1-IF(模拟模式!$J$19="有",0.15,0))*(1-IF(模拟模式!$K$19="有",0.3,0)-IF(CQ434,0.5,0))</f>
        <v>2950.6049999999996</v>
      </c>
      <c r="S434" s="45">
        <f ca="1">R434/(R434+(185*模拟模式!$E$22-16800)*4.08224)</f>
        <v>0.24272716014590323</v>
      </c>
      <c r="T434" s="45" t="str">
        <f ca="1">LOOKUP(D434,'模拟-单技能数据'!$A$2:$A$19,'模拟-单技能数据'!$H$2:$H$19)</f>
        <v>阴</v>
      </c>
      <c r="U434" s="119">
        <f t="shared" ca="1" si="355"/>
        <v>0.08</v>
      </c>
      <c r="V434" s="47">
        <f ca="1">(1+L434)*(LOOKUP(D434,'模拟-单技能数据'!$A$2:$A$19,'模拟-单技能数据'!$D$2:$D$19)+G434*LOOKUP(D434,'模拟-单技能数据'!$A$2:$A$19,'模拟-单技能数据'!$F$2:$F$19))*(1+J434)*(1+K434)*(1-S434)*(1+U434)*Q434*LOOKUP(D434,'模拟-单技能数据'!$A$2:$A$19,'模拟-单技能数据'!$I$2:$I$20)</f>
        <v>16226.218300318291</v>
      </c>
      <c r="W434" s="47">
        <f ca="1">LOOKUP(D434,'模拟-单技能数据'!$A$2:$A$19,'模拟-单技能数据'!$G$2:$G$19)*$I$10</f>
        <v>361.51064354704795</v>
      </c>
      <c r="X434" s="47">
        <f t="shared" ca="1" si="381"/>
        <v>7620.5875385322679</v>
      </c>
      <c r="Y434" s="47">
        <f t="shared" ca="1" si="356"/>
        <v>24208.316482397608</v>
      </c>
      <c r="Z434" s="49">
        <f t="shared" ca="1" si="357"/>
        <v>42082639.154365972</v>
      </c>
      <c r="AA434" s="97">
        <f t="shared" ca="1" si="358"/>
        <v>112083.62905086613</v>
      </c>
      <c r="AB434" s="115">
        <f ca="1">IF(OR(C434="赤日轮1",C434="赤日轮2",C434="赤日轮3"),IF(RAND()&lt;模拟模式!$Y$17,1,0),IF(OR(C434="幽月轮1",C434="幽月轮2",C434="幽月轮3"),IF(RAND()&lt;模拟模式!$Y$18,1,0),IF(C434="烈日斩",IF(RAND()&lt;模拟模式!$Y$19,1,0),IF(C434="银月斩",IF(RAND()&lt;模拟模式!$Y$20,1,0),IF(C434="驱夜断愁",IF(RAND()&lt;模拟模式!$Y$21,1,0),IF(C434="净世破魔击·日",IF(RAND()&lt;模拟模式!$Y$22,1,0),IF(C434="净世破魔击·月",IF(RAND()&lt;模拟模式!$Y$23,1,0),0)))))))</f>
        <v>1</v>
      </c>
      <c r="AC434" s="115" t="b">
        <f t="shared" ca="1" si="346"/>
        <v>0</v>
      </c>
      <c r="AD434" s="115" t="b">
        <f t="shared" ca="1" si="366"/>
        <v>1</v>
      </c>
      <c r="AE434" s="115">
        <f t="shared" ca="1" si="367"/>
        <v>4</v>
      </c>
      <c r="AF434" s="47">
        <f ca="1">IF(AC434,('模拟-单技能数据'!$D$20+G434*'模拟-单技能数据'!$F$20)*(1+J434)*(1+'模拟-单技能数据'!$J$20)*(1+U434),0)</f>
        <v>0</v>
      </c>
      <c r="AG434" s="61">
        <f t="shared" ca="1" si="359"/>
        <v>0.64185145527300214</v>
      </c>
      <c r="AH434" s="61">
        <f t="shared" ca="1" si="360"/>
        <v>2.2624828854998791</v>
      </c>
      <c r="AI434" s="62">
        <f t="shared" ca="1" si="382"/>
        <v>0.62225801757078192</v>
      </c>
      <c r="AJ434" s="47">
        <f ca="1">IF(AD434,IF(AI434&lt;$F$10,0,IF(AI434&lt;$F$10+$F$11,0.25,IF(AI434&lt;$F$10+$F$11+AG434,AH434,1)))*IF(AF434&gt;0,AF434,IF(AF433&gt;0,AF433,IF(AF432&gt;0,AF432,IF(AF431&gt;0,AF431,IF(AF430&gt;0,AF430,IF(AF429&gt;0,AF429,IF(AF428&gt;0,AF428,IF(AF427&gt;0,AF427,IF(AF426&gt;0,AF426,IF(AF424&gt;0,AF424,IF(AF423&gt;0,AF423,IF(AF422&gt;0,AF422,0)))))))))))),0)*(1-$S434)*'模拟-单技能数据'!$I$20</f>
        <v>7620.5875385322679</v>
      </c>
      <c r="AK434" s="115" t="b">
        <f t="shared" ca="1" si="347"/>
        <v>0</v>
      </c>
      <c r="AL434" s="115" t="b">
        <f t="shared" ca="1" si="368"/>
        <v>0</v>
      </c>
      <c r="AM434" s="115">
        <f t="shared" ca="1" si="369"/>
        <v>3</v>
      </c>
      <c r="AN434" s="47">
        <f ca="1">IF(AK434,('模拟-单技能数据'!$D$21+G434*'模拟-单技能数据'!$F$21)*(1+J434)*(1+'模拟-单技能数据'!$J$21)*(1+U434),0)</f>
        <v>0</v>
      </c>
      <c r="AO434" s="61">
        <f ca="1">IF(AN434&gt;0,M434-'模拟-单技能数据'!$K$10,AO433)</f>
        <v>0.42185145527300216</v>
      </c>
      <c r="AP434" s="61">
        <f ca="1">IF(AN434&gt;0,I434-'模拟-单技能数据'!$L$10,AP433)</f>
        <v>2.162482885499879</v>
      </c>
      <c r="AQ434" s="63">
        <f t="shared" ca="1" si="383"/>
        <v>2.148814137709032E-2</v>
      </c>
      <c r="AR434" s="64">
        <f ca="1">IF(AL434,IF(AQ434&lt;$F$10,0,IF(AQ434&lt;$F$10+$F$11,0.25,IF(AQ434&lt;$F$10+$F$11+AO434,AP434,1)))*IF(AN434&gt;0,AN434,IF(AN433&gt;0,AN433,IF(AN432&gt;0,AN432,IF(AN431&gt;0,AN431,IF(AN430&gt;0,AN430,IF(AN429&gt;0,AN429,IF(AN428&gt;0,AN428,IF(AN427&gt;0,AN427,IF(AN426&gt;0,AN426,IF(AN424&gt;0,AN424,IF(AN423&gt;0,AN423,IF(AN422&gt;0,AN422,0)))))))))))),0)*(1-$S434)*'模拟-单技能数据'!$I$21</f>
        <v>0</v>
      </c>
      <c r="AS434" s="61">
        <f ca="1">IF(OR(C434="净世破魔击·日",C434="净世破魔击·月"),M434-'模拟-单技能数据'!$K$10,0)</f>
        <v>0</v>
      </c>
      <c r="AT434" s="61">
        <f ca="1">IF(OR(C434="净世破魔击·日",C434="净世破魔击·月"),I434-'模拟-单技能数据'!$L$10,0)</f>
        <v>0</v>
      </c>
      <c r="AU434" s="62">
        <f t="shared" ca="1" si="384"/>
        <v>6.595139263958727E-2</v>
      </c>
      <c r="AV434" s="64">
        <f ca="1">IF(AS434&gt;0,('模拟-单技能数据'!$D$22+G434*'模拟-单技能数据'!$F$22)*(1+J434)*(1-S434)*IF(AU434&lt;$F$10,0,IF(AU434&lt;$F$10+$F$11,0.25,IF(AU434&lt;$F$10+$F$11+AS434,AT434,1)))*(1+U434),0)*'模拟-单技能数据'!$I$22</f>
        <v>0</v>
      </c>
      <c r="AW434" s="108">
        <f t="shared" ca="1" si="385"/>
        <v>0</v>
      </c>
      <c r="AX434" s="108" t="b">
        <f ca="1">AND(模拟模式!$P$10="有",AW433=0,RAND()&lt;IF(C434="净世破魔击·月",0.1*8/3,IF(C434="净世破魔击·日",0.1*4/3,0.1*2/3)))</f>
        <v>0</v>
      </c>
      <c r="AY434" s="47">
        <f ca="1">IF(AX434,(18+G434*0.722)*(1+J434)*(1-S434)*(1+$I$4)*IF(P434="会",'模拟-全程加成'!$J$3+'模拟-全程加成'!$J$4+'模拟-全程加成'!$J$5+('模拟-全程加成'!$I$4+'模拟-全程加成'!$I$5)/系数!$B$4+BG434*10%,IF(P434="命",1,IF(P434="识",0.25,0))),0)</f>
        <v>0</v>
      </c>
      <c r="AZ434" s="108">
        <f t="shared" si="386"/>
        <v>9.8525000000000063</v>
      </c>
      <c r="BA434" s="108" t="b">
        <f>AND(模拟模式!$Q$10="有",AZ433=0)</f>
        <v>0</v>
      </c>
      <c r="BB434" s="140">
        <f>IF(BA434,(0+G434*0.287)*(1+J434)*(1-S434)*(1+$I$4)*IF(P434="会",'模拟-全程加成'!$J$3+'模拟-全程加成'!$J$4+'模拟-全程加成'!$J$5+('模拟-全程加成'!$I$4+'模拟-全程加成'!$I$5)/系数!$B$4+BG434*10%,IF(P434="命",1,IF(P434="识",0.25,0))),0)</f>
        <v>0</v>
      </c>
      <c r="BC434" s="115" t="b">
        <f ca="1">AND(模拟模式!$R$7="伏明众生",E434=60,F434=20,DA434&lt;5,CZ433&lt;$F$4)</f>
        <v>0</v>
      </c>
      <c r="BD434" s="115">
        <f t="shared" ca="1" si="348"/>
        <v>0</v>
      </c>
      <c r="BE434" s="115" t="b">
        <f t="shared" ca="1" si="349"/>
        <v>0</v>
      </c>
      <c r="BF434" s="47">
        <f ca="1">IF(BC434,4*('模拟-单技能数据'!$D$24+G434*'模拟-单技能数据'!$F$24)*(1+J434)*(1+'模拟-单技能数据'!$J$24)*(1-S434)*(1+$I$3)*(('模拟-全程加成'!$J$3+'模拟-全程加成'!$J$4+'模拟-全程加成'!$J$5+('模拟-全程加成'!$I$4+'模拟-全程加成'!$I$5)/系数!$B$4+BG434*10%)*('模拟-全程加成'!$J$3+'模拟-全程加成'!$J$4+'模拟-全程加成'!$J$5+('模拟-全程加成'!$I$4+'模拟-全程加成'!$I$5)/系数!$B$4+BG434*10%)+(1-('模拟-全程加成'!$J$3+'模拟-全程加成'!$J$4+'模拟-全程加成'!$J$5+('模拟-全程加成'!$I$4+'模拟-全程加成'!$I$5)/系数!$B$4+BG434*10%)-$F$10-$F$11)+F420*0.25),0)*'模拟-单技能数据'!$I$24</f>
        <v>0</v>
      </c>
      <c r="BG434" s="115" t="b">
        <f ca="1">OR(AND(OR(C434="烈日斩",C434="银月斩"),模拟模式!$I$7="净身明礼"),AND(C434="净世破魔击·日",模拟模式!$J$7="洞若观火"),AND(C435="净世破魔击·月",模拟模式!$J$7="洞若观火"),AB434=1)</f>
        <v>1</v>
      </c>
      <c r="BH434" s="115" t="b">
        <f t="shared" ca="1" si="387"/>
        <v>0</v>
      </c>
      <c r="BI434" s="115">
        <f t="shared" ca="1" si="350"/>
        <v>0</v>
      </c>
      <c r="BJ434" s="115" t="b">
        <f t="shared" ca="1" si="361"/>
        <v>0</v>
      </c>
      <c r="BK434" s="115" t="b">
        <f ca="1">AND(C434="驱夜断愁",模拟模式!$P$7="天地诛戮")</f>
        <v>0</v>
      </c>
      <c r="BL434" s="57">
        <f t="shared" ca="1" si="351"/>
        <v>18.155000000000001</v>
      </c>
      <c r="BM434" s="115" t="b">
        <f t="shared" ca="1" si="362"/>
        <v>1</v>
      </c>
      <c r="BN434" s="115" t="b">
        <f ca="1">AND(OR(C434="赤日轮1",C434="赤日轮2",C434="赤日轮3",C434="幽月轮1",C434="幽月轮2",C434="幽月轮3"),AB434=1,模拟模式!$L$7="明光恒照")</f>
        <v>1</v>
      </c>
      <c r="BO434" s="117">
        <f t="shared" ca="1" si="352"/>
        <v>30</v>
      </c>
      <c r="BP434" s="115">
        <f t="shared" ca="1" si="388"/>
        <v>6</v>
      </c>
      <c r="BQ434" s="115" t="b">
        <f>模拟模式!$K$10="2600·水"</f>
        <v>0</v>
      </c>
      <c r="BR434" s="117">
        <f t="shared" si="389"/>
        <v>0</v>
      </c>
      <c r="BS434" s="115">
        <f t="shared" si="390"/>
        <v>0</v>
      </c>
      <c r="BT434" s="115">
        <f t="shared" ca="1" si="391"/>
        <v>0</v>
      </c>
      <c r="BU434" s="115" t="b">
        <f ca="1">AND(模拟模式!$K$10="2300·雷",BT433=0,RAND()&lt;IF(C434="净世破魔击·月",5*0.05*2/3,IF(C434="净世破魔击·日",3*0.05*2/3,0.05*2*2/3)))</f>
        <v>0</v>
      </c>
      <c r="BV434" s="115">
        <f t="shared" ca="1" si="392"/>
        <v>0</v>
      </c>
      <c r="BW434" s="115">
        <f t="shared" ca="1" si="393"/>
        <v>0</v>
      </c>
      <c r="BX434" s="164" t="b">
        <f t="shared" ca="1" si="394"/>
        <v>0</v>
      </c>
      <c r="BY434" s="115">
        <f t="shared" ca="1" si="395"/>
        <v>0</v>
      </c>
      <c r="BZ434" s="115">
        <f>IF(OR(模拟模式!$P$16="10人团",模拟模式!$P$16="25人团"),IF(B434/30&gt;CA433,1,0),0)</f>
        <v>0</v>
      </c>
      <c r="CA434" s="115">
        <f t="shared" si="371"/>
        <v>0</v>
      </c>
      <c r="CB434" s="115">
        <f ca="1">IF(BZ434=1,IF(模拟模式!$P$16="10人团",15,0)+IF(模拟模式!$P$16="25人团",IF(RAND()&lt;0.6,15,0)),MAX(0,CB433-$F$4))</f>
        <v>0</v>
      </c>
      <c r="CC434" s="115" t="b">
        <f t="shared" ca="1" si="363"/>
        <v>0</v>
      </c>
      <c r="CD434" s="115">
        <f>IF(模拟模式!$Q$16="1个",IF(B434/40&gt;CE433,1,0),0)</f>
        <v>0</v>
      </c>
      <c r="CE434" s="115">
        <f t="shared" si="364"/>
        <v>0</v>
      </c>
      <c r="CF434" s="115">
        <f>IF(OR(CD434=1,模拟模式!$Q$16="2个"),20,MAX(0,CF433-$F$4))</f>
        <v>0</v>
      </c>
      <c r="CG434" s="115" t="b">
        <f t="shared" si="365"/>
        <v>0</v>
      </c>
      <c r="CH434" s="115">
        <f t="shared" ca="1" si="396"/>
        <v>0</v>
      </c>
      <c r="CI434" s="115" t="b">
        <f t="shared" ca="1" si="397"/>
        <v>0</v>
      </c>
      <c r="CJ434" s="119">
        <f t="shared" ca="1" si="398"/>
        <v>0</v>
      </c>
      <c r="CK434" s="115">
        <f t="shared" ca="1" si="399"/>
        <v>0</v>
      </c>
      <c r="CL434" s="115" t="b">
        <f ca="1">AND(模拟模式!$S$7="驱夷逐法",OR(AND(C434="净世破魔击·月",E433&gt;59),AND(C434="净世破魔击·日",F433&gt;59)))</f>
        <v>0</v>
      </c>
      <c r="CM434" s="115" t="b">
        <f ca="1">OR(CL434,AND(C434="净世破魔击·日",CL433,RAND()&lt;模拟模式!$U$23))</f>
        <v>0</v>
      </c>
      <c r="CN434" s="115" t="b">
        <f ca="1">IF(模拟模式!$M$7="辉耀红尘",AND(C434="净世破魔击·月",CL434,CV434=0,E433&lt;80),AND(C434="净世破魔击·月",CL434,E433&lt;100))</f>
        <v>0</v>
      </c>
      <c r="CO434" s="115" t="b">
        <f t="shared" ca="1" si="372"/>
        <v>0</v>
      </c>
      <c r="CP434" s="115" t="b">
        <f ca="1">AND(模拟模式!$O$7="用晦而明",OR(C434="净世破魔击·日",C434="净世破魔击·月",C434="驱夜断愁"),AB434)</f>
        <v>0</v>
      </c>
      <c r="CQ434" s="115" t="b">
        <f ca="1">OR(CP434,AND(CP433,RAND()&lt;模拟模式!$U$23))</f>
        <v>0</v>
      </c>
      <c r="CR434" s="115" t="b">
        <f ca="1">AND(模拟模式!$S$7="日月齐光",OR(C434="幽月轮1",C434="幽月轮2",C434="幽月轮3",CR433),NOT(OR(C434="赤日轮1",C434="赤日轮2",C434="赤日轮3")))</f>
        <v>0</v>
      </c>
      <c r="CS434" s="115" t="b">
        <f ca="1">AND(模拟模式!$S$7="日月齐光",OR(C434="赤日轮1",C434="赤日轮2",C434="赤日轮3",CS433),NOT(OR(C434="幽月轮1",C434="幽月轮2",C434="幽月轮3")))</f>
        <v>0</v>
      </c>
      <c r="CT434" s="115">
        <f t="shared" ca="1" si="400"/>
        <v>0.48000000000001186</v>
      </c>
      <c r="CU434" s="115" t="b">
        <f ca="1">AND(模拟模式!$K$10="阴阳往极",CT433=0,RAND()&lt;IF(C434="净世破魔击·月",0.0275*7/3,IF(C434="净世破魔击·日",0.0275*3/3,0.0275*2/3)))</f>
        <v>0</v>
      </c>
      <c r="CV434" s="115">
        <f t="shared" ca="1" si="401"/>
        <v>0</v>
      </c>
      <c r="CW434" s="115">
        <f t="shared" ca="1" si="373"/>
        <v>5.0774999999999997</v>
      </c>
      <c r="CX434" s="115">
        <f t="shared" ca="1" si="374"/>
        <v>3.2324999999999995</v>
      </c>
      <c r="CY434" s="115">
        <f ca="1">MAX(IF($C434="驱夜断愁",IF(模拟模式!$R$7="万念俱寂",6,45),CY433-$F$4),0)</f>
        <v>4.1549999999999994</v>
      </c>
      <c r="CZ434" s="115">
        <f t="shared" ca="1" si="375"/>
        <v>0</v>
      </c>
      <c r="DA434" s="115">
        <f ca="1">IF(模拟模式!$N$7="日月同辉",IF(DB433=2,0,MIN(6,IF(AND(OR(C434="赤日轮1",C434="赤日轮2",C434="赤日轮3",C434="幽月轮1",C434="幽月轮2",C434="幽月轮3"),AB434=1),DA433+1,DA433))),0)</f>
        <v>5</v>
      </c>
      <c r="DB434" s="115">
        <f t="shared" ca="1" si="376"/>
        <v>0</v>
      </c>
      <c r="DC434" s="115"/>
      <c r="DD434" s="115"/>
      <c r="DE434" s="115"/>
      <c r="DF434" s="115"/>
      <c r="DG434" s="115"/>
      <c r="DH434" s="115"/>
      <c r="DI434" s="115"/>
      <c r="DJ434" s="115"/>
      <c r="DK434" s="115"/>
      <c r="DL434" s="115"/>
      <c r="DM434" s="115"/>
    </row>
    <row r="435" spans="2:117" x14ac:dyDescent="0.2">
      <c r="B435" s="117">
        <f t="shared" si="377"/>
        <v>376.38000000000358</v>
      </c>
      <c r="C435" s="167" t="str">
        <f t="shared" ca="1" si="370"/>
        <v>净世破魔击·月</v>
      </c>
      <c r="D435" s="115">
        <f ca="1">IF(C435="赤日轮1",1,IF(C435="赤日轮2",2,IF(C435="赤日轮3",3,IF(C435="幽月轮1",4,IF(C435="幽月轮2",5,IF(C435="幽月轮3",6,IF(C435="烈日斩",7,IF(C435="银月斩",8,IF(C435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435="净世破魔击·月",17,IF(C435="驱夜断愁",18,0)))))))))))</f>
        <v>17</v>
      </c>
      <c r="E435" s="115">
        <f ca="1">IF(AND(CU435,OR(C435="幽月轮1",C435="幽月轮2",C435="幽月轮3",C435="银月斩",C435="驱夜断愁",C435="净世破魔击·月")),100,MIN(IF(OR(CN435,BE435),0,IF(OR($C435="赤日轮1",$C435="赤日轮2",$C435="赤日轮3"),E434+20+IF(模拟模式!$I$7="日月凌天",4,0)+IF(CR434,20,0),IF($C435="烈日斩",E434+40,IF($C435="驱夜断愁",IF(模拟模式!$R$7="万念俱寂",E434+20,E434+60),IF($C435="净世破魔击·月",IF(OR(DB434&gt;0,CV434&gt;0),100,IF(模拟模式!$M$7="辉耀红尘",E434+20,E434)),IF($C435="净世破魔击·日",E434-100,E434)))))),100))</f>
        <v>100</v>
      </c>
      <c r="F435" s="115">
        <f ca="1">IF(AND(CU435,OR(C435="赤日轮1",C435="赤日轮2",C435="赤日轮3",C435="烈日斩",C435="净世破魔击·日")),100,MIN(IF(CO435,0,IF(OR($C435="幽月轮1",$C435="幽月轮2",$C435="幽月轮3"),F434+20+IF(模拟模式!$I$7="日月凌天",4,0)+IF(CS434,20,0),IF($C435="银月斩",F434+40+IF(模拟模式!$X$12=1,5,0),IF($C435="驱夜断愁",IF(模拟模式!$R$7="万念俱寂",F434+20,F434+60),IF($C435="净世破魔击·月",IF(模拟模式!$M$7="辉耀红尘",F434-80,F434-100),IF(AND(C435="净世破魔击·日",OR(DB434&gt;0,CV434&gt;0)),100,F434)))))),100))</f>
        <v>20</v>
      </c>
      <c r="G435" s="117">
        <f ca="1">('模拟-全程加成'!$E$3+'模拟-全程加成'!$E$4+'模拟-全程加成'!$E$5+('模拟-全程加成'!$C$6-'模拟-全程加成'!$C$3)*系数!$B$9+BS435*23)*(1+'模拟-全程加成'!$F$4+'模拟-全程加成'!$F$5+BJ435*10%+BM435*20%+BP435*4%+CG435*30%)+$F$7*系数!$B$12</f>
        <v>20583.127400000001</v>
      </c>
      <c r="H435" s="45">
        <f ca="1">'模拟-全程加成'!$H$3+'模拟-全程加成'!$H$4+'模拟-全程加成'!$H$5+('模拟-全程加成'!$G$4+'模拟-全程加成'!$G$5+('模拟-全程加成'!$C$6-'模拟-全程加成'!$C$3)*系数!$B$13)/系数!$B$3+LOOKUP(D435,'模拟-单技能数据'!$A$2:$A$19,'模拟-单技能数据'!$K$2:$K$19)+BG435*10%+IF(BV435&gt;0,378,0)</f>
        <v>0.54185145527300216</v>
      </c>
      <c r="I435" s="45">
        <f ca="1">'模拟-全程加成'!$J$3+'模拟-全程加成'!$J$4+'模拟-全程加成'!$J$5+('模拟-全程加成'!$I$4+'模拟-全程加成'!$I$5)/系数!$B$4+LOOKUP(D435,'模拟-单技能数据'!$A$2:$A$19,'模拟-单技能数据'!$L$2:$L$19)+BG435*10%</f>
        <v>2.162482885499879</v>
      </c>
      <c r="J435" s="45">
        <f ca="1">(('模拟-全程加成'!$K$3+'模拟-全程加成'!$K$4+'模拟-全程加成'!$K$5+('模拟-全程加成'!$C$6-'模拟-全程加成'!$C$3)*系数!$B$10+IF(BV435&gt;0,882,0)+IF(BY435&gt;0,1831,0))*(1+'模拟-全程加成'!$L$4+'模拟-全程加成'!$L$5+CC435*20%))/系数!$B$5</f>
        <v>0.85832564669386491</v>
      </c>
      <c r="K435" s="119">
        <f ca="1">LOOKUP(D435,'模拟-单技能数据'!$A$2:$A$19,'模拟-单技能数据'!$J$2:$J$19)+IF(CM435,60%,0)+IF(DB434-DB435&gt;0,30%,0)+IF(OR(AND(OR(C435="赤日轮1",C435="赤日轮2",C435="赤日轮3"),CR435),AND(OR(C435="幽月轮1",C435="幽月轮2",C435="幽月轮3"),CS435)),35%,0)+CJ435</f>
        <v>0.8</v>
      </c>
      <c r="L435" s="119">
        <f ca="1">IF(AND(C435="烈日斩",模拟模式!$X$11=1),10%,0)+IF(AND(C435="驱夜断愁",AB435=1),30%,0)</f>
        <v>0</v>
      </c>
      <c r="M435" s="45">
        <f t="shared" ca="1" si="353"/>
        <v>0.54185145527300216</v>
      </c>
      <c r="N435" s="45">
        <f t="shared" ca="1" si="354"/>
        <v>0.40424854472699789</v>
      </c>
      <c r="O435" s="46">
        <f t="shared" ca="1" si="378"/>
        <v>0.40897518563592339</v>
      </c>
      <c r="P435" s="46" t="str">
        <f t="shared" ca="1" si="379"/>
        <v>会</v>
      </c>
      <c r="Q435" s="45">
        <f t="shared" ca="1" si="380"/>
        <v>2.162482885499879</v>
      </c>
      <c r="R435" s="117">
        <f ca="1">模拟模式!$E$20*(1-IF(模拟模式!$J$19="有",0.15,0))*(1-IF(模拟模式!$K$19="有",0.3,0)-IF(CQ435,0.5,0))</f>
        <v>843.02999999999975</v>
      </c>
      <c r="S435" s="45">
        <f ca="1">R435/(R435+(185*模拟模式!$E$22-16800)*4.08224)</f>
        <v>8.389626085980037E-2</v>
      </c>
      <c r="T435" s="45" t="str">
        <f ca="1">LOOKUP(D435,'模拟-单技能数据'!$A$2:$A$19,'模拟-单技能数据'!$H$2:$H$19)</f>
        <v>阴</v>
      </c>
      <c r="U435" s="119">
        <f t="shared" ca="1" si="355"/>
        <v>0.08</v>
      </c>
      <c r="V435" s="47">
        <f ca="1">(1+L435)*(LOOKUP(D435,'模拟-单技能数据'!$A$2:$A$19,'模拟-单技能数据'!$D$2:$D$19)+G435*LOOKUP(D435,'模拟-单技能数据'!$A$2:$A$19,'模拟-单技能数据'!$F$2:$F$19))*(1+J435)*(1+K435)*(1-S435)*(1+U435)*Q435*LOOKUP(D435,'模拟-单技能数据'!$A$2:$A$19,'模拟-单技能数据'!$I$2:$I$20)</f>
        <v>191466.05731174714</v>
      </c>
      <c r="W435" s="47">
        <f ca="1">LOOKUP(D435,'模拟-单技能数据'!$A$2:$A$19,'模拟-单技能数据'!$G$2:$G$19)*$I$10</f>
        <v>361.51064354704795</v>
      </c>
      <c r="X435" s="47">
        <f t="shared" ca="1" si="381"/>
        <v>32407.80240865302</v>
      </c>
      <c r="Y435" s="47">
        <f t="shared" ca="1" si="356"/>
        <v>224235.37036394721</v>
      </c>
      <c r="Z435" s="49">
        <f t="shared" ca="1" si="357"/>
        <v>42306874.524729922</v>
      </c>
      <c r="AA435" s="97">
        <f t="shared" ca="1" si="358"/>
        <v>112404.68283311951</v>
      </c>
      <c r="AB435" s="115">
        <f ca="1">IF(OR(C435="赤日轮1",C435="赤日轮2",C435="赤日轮3"),IF(RAND()&lt;模拟模式!$Y$17,1,0),IF(OR(C435="幽月轮1",C435="幽月轮2",C435="幽月轮3"),IF(RAND()&lt;模拟模式!$Y$18,1,0),IF(C435="烈日斩",IF(RAND()&lt;模拟模式!$Y$19,1,0),IF(C435="银月斩",IF(RAND()&lt;模拟模式!$Y$20,1,0),IF(C435="驱夜断愁",IF(RAND()&lt;模拟模式!$Y$21,1,0),IF(C435="净世破魔击·日",IF(RAND()&lt;模拟模式!$Y$22,1,0),IF(C435="净世破魔击·月",IF(RAND()&lt;模拟模式!$Y$23,1,0),0)))))))</f>
        <v>1</v>
      </c>
      <c r="AC435" s="115" t="b">
        <f t="shared" ca="1" si="346"/>
        <v>0</v>
      </c>
      <c r="AD435" s="115" t="b">
        <f t="shared" ca="1" si="366"/>
        <v>0</v>
      </c>
      <c r="AE435" s="115">
        <f t="shared" ca="1" si="367"/>
        <v>4</v>
      </c>
      <c r="AF435" s="47">
        <f ca="1">IF(AC435,('模拟-单技能数据'!$D$20+G435*'模拟-单技能数据'!$F$20)*(1+J435)*(1+'模拟-单技能数据'!$J$20)*(1+U435),0)</f>
        <v>0</v>
      </c>
      <c r="AG435" s="61">
        <f t="shared" ca="1" si="359"/>
        <v>0.64185145527300214</v>
      </c>
      <c r="AH435" s="61">
        <f t="shared" ca="1" si="360"/>
        <v>2.2624828854998791</v>
      </c>
      <c r="AI435" s="62">
        <f t="shared" ca="1" si="382"/>
        <v>0.56810310348671522</v>
      </c>
      <c r="AJ435" s="47">
        <f ca="1">IF(AD435,IF(AI435&lt;$F$10,0,IF(AI435&lt;$F$10+$F$11,0.25,IF(AI435&lt;$F$10+$F$11+AG435,AH435,1)))*IF(AF435&gt;0,AF435,IF(AF434&gt;0,AF434,IF(AF433&gt;0,AF433,IF(AF432&gt;0,AF432,IF(AF431&gt;0,AF431,IF(AF430&gt;0,AF430,IF(AF429&gt;0,AF429,IF(AF428&gt;0,AF428,IF(AF427&gt;0,AF427,IF(AF425&gt;0,AF425,IF(AF424&gt;0,AF424,IF(AF423&gt;0,AF423,0)))))))))))),0)*(1-$S435)*'模拟-单技能数据'!$I$20</f>
        <v>0</v>
      </c>
      <c r="AK435" s="115" t="b">
        <f t="shared" ca="1" si="347"/>
        <v>0</v>
      </c>
      <c r="AL435" s="115" t="b">
        <f t="shared" ca="1" si="368"/>
        <v>1</v>
      </c>
      <c r="AM435" s="115">
        <f t="shared" ca="1" si="369"/>
        <v>2</v>
      </c>
      <c r="AN435" s="47">
        <f ca="1">IF(AK435,('模拟-单技能数据'!$D$21+G435*'模拟-单技能数据'!$F$21)*(1+J435)*(1+'模拟-单技能数据'!$J$21)*(1+U435),0)</f>
        <v>0</v>
      </c>
      <c r="AO435" s="61">
        <f ca="1">IF(AN435&gt;0,M435-'模拟-单技能数据'!$K$10,AO434)</f>
        <v>0.42185145527300216</v>
      </c>
      <c r="AP435" s="61">
        <f ca="1">IF(AN435&gt;0,I435-'模拟-单技能数据'!$L$10,AP434)</f>
        <v>2.162482885499879</v>
      </c>
      <c r="AQ435" s="63">
        <f t="shared" ca="1" si="383"/>
        <v>6.2597685002711567E-2</v>
      </c>
      <c r="AR435" s="64">
        <f ca="1">IF(AL435,IF(AQ435&lt;$F$10,0,IF(AQ435&lt;$F$10+$F$11,0.25,IF(AQ435&lt;$F$10+$F$11+AO435,AP435,1)))*IF(AN435&gt;0,AN435,IF(AN434&gt;0,AN434,IF(AN433&gt;0,AN433,IF(AN432&gt;0,AN432,IF(AN431&gt;0,AN431,IF(AN430&gt;0,AN430,IF(AN429&gt;0,AN429,IF(AN428&gt;0,AN428,IF(AN427&gt;0,AN427,IF(AN425&gt;0,AN425,IF(AN424&gt;0,AN424,IF(AN423&gt;0,AN423,0)))))))))))),0)*(1-$S435)*'模拟-单技能数据'!$I$21</f>
        <v>24043.249177625272</v>
      </c>
      <c r="AS435" s="61">
        <f ca="1">IF(OR(C435="净世破魔击·日",C435="净世破魔击·月"),M435-'模拟-单技能数据'!$K$10,0)</f>
        <v>0.42185145527300216</v>
      </c>
      <c r="AT435" s="61">
        <f ca="1">IF(OR(C435="净世破魔击·日",C435="净世破魔击·月"),I435-'模拟-单技能数据'!$L$10,0)</f>
        <v>2.162482885499879</v>
      </c>
      <c r="AU435" s="62">
        <f t="shared" ca="1" si="384"/>
        <v>0.79945080085431353</v>
      </c>
      <c r="AV435" s="64">
        <f ca="1">IF(AS435&gt;0,('模拟-单技能数据'!$D$22+G435*'模拟-单技能数据'!$F$22)*(1+J435)*(1-S435)*IF(AU435&lt;$F$10,0,IF(AU435&lt;$F$10+$F$11,0.25,IF(AU435&lt;$F$10+$F$11+AS435,AT435,1)))*(1+U435),0)*'模拟-单技能数据'!$I$22</f>
        <v>8364.5532310277467</v>
      </c>
      <c r="AW435" s="108">
        <f t="shared" ca="1" si="385"/>
        <v>0</v>
      </c>
      <c r="AX435" s="108" t="b">
        <f ca="1">AND(模拟模式!$P$10="有",AW434=0,RAND()&lt;IF(C435="净世破魔击·月",0.1*8/3,IF(C435="净世破魔击·日",0.1*4/3,0.1*2/3)))</f>
        <v>0</v>
      </c>
      <c r="AY435" s="47">
        <f ca="1">IF(AX435,(18+G435*0.722)*(1+J435)*(1-S435)*(1+$I$4)*IF(P435="会",'模拟-全程加成'!$J$3+'模拟-全程加成'!$J$4+'模拟-全程加成'!$J$5+('模拟-全程加成'!$I$4+'模拟-全程加成'!$I$5)/系数!$B$4+BG435*10%,IF(P435="命",1,IF(P435="识",0.25,0))),0)</f>
        <v>0</v>
      </c>
      <c r="AZ435" s="108">
        <f t="shared" si="386"/>
        <v>8.9300000000000068</v>
      </c>
      <c r="BA435" s="108" t="b">
        <f>AND(模拟模式!$Q$10="有",AZ434=0)</f>
        <v>0</v>
      </c>
      <c r="BB435" s="140">
        <f>IF(BA435,(0+G435*0.287)*(1+J435)*(1-S435)*(1+$I$4)*IF(P435="会",'模拟-全程加成'!$J$3+'模拟-全程加成'!$J$4+'模拟-全程加成'!$J$5+('模拟-全程加成'!$I$4+'模拟-全程加成'!$I$5)/系数!$B$4+BG435*10%,IF(P435="命",1,IF(P435="识",0.25,0))),0)</f>
        <v>0</v>
      </c>
      <c r="BC435" s="115" t="b">
        <f ca="1">AND(模拟模式!$R$7="伏明众生",E435=60,F435=20,DA435&lt;5,CZ434&lt;$F$4)</f>
        <v>0</v>
      </c>
      <c r="BD435" s="115">
        <f t="shared" ca="1" si="348"/>
        <v>0</v>
      </c>
      <c r="BE435" s="115" t="b">
        <f t="shared" ca="1" si="349"/>
        <v>0</v>
      </c>
      <c r="BF435" s="47">
        <f ca="1">IF(BC435,4*('模拟-单技能数据'!$D$24+G435*'模拟-单技能数据'!$F$24)*(1+J435)*(1+'模拟-单技能数据'!$J$24)*(1-S435)*(1+$I$3)*(('模拟-全程加成'!$J$3+'模拟-全程加成'!$J$4+'模拟-全程加成'!$J$5+('模拟-全程加成'!$I$4+'模拟-全程加成'!$I$5)/系数!$B$4+BG435*10%)*('模拟-全程加成'!$J$3+'模拟-全程加成'!$J$4+'模拟-全程加成'!$J$5+('模拟-全程加成'!$I$4+'模拟-全程加成'!$I$5)/系数!$B$4+BG435*10%)+(1-('模拟-全程加成'!$J$3+'模拟-全程加成'!$J$4+'模拟-全程加成'!$J$5+('模拟-全程加成'!$I$4+'模拟-全程加成'!$I$5)/系数!$B$4+BG435*10%)-$F$10-$F$11)+F421*0.25),0)*'模拟-单技能数据'!$I$24</f>
        <v>0</v>
      </c>
      <c r="BG435" s="115" t="b">
        <f ca="1">OR(AND(OR(C435="烈日斩",C435="银月斩"),模拟模式!$I$7="净身明礼"),AND(C435="净世破魔击·日",模拟模式!$J$7="洞若观火"),AND(C436="净世破魔击·月",模拟模式!$J$7="洞若观火"),AB435=1)</f>
        <v>1</v>
      </c>
      <c r="BH435" s="115" t="b">
        <f t="shared" ca="1" si="387"/>
        <v>0</v>
      </c>
      <c r="BI435" s="115">
        <f t="shared" ca="1" si="350"/>
        <v>0</v>
      </c>
      <c r="BJ435" s="115" t="b">
        <f t="shared" ca="1" si="361"/>
        <v>0</v>
      </c>
      <c r="BK435" s="115" t="b">
        <f ca="1">AND(C435="驱夜断愁",模拟模式!$P$7="天地诛戮")</f>
        <v>0</v>
      </c>
      <c r="BL435" s="57">
        <f t="shared" ca="1" si="351"/>
        <v>17.232500000000002</v>
      </c>
      <c r="BM435" s="115" t="b">
        <f t="shared" ca="1" si="362"/>
        <v>1</v>
      </c>
      <c r="BN435" s="115" t="b">
        <f ca="1">AND(OR(C435="赤日轮1",C435="赤日轮2",C435="赤日轮3",C435="幽月轮1",C435="幽月轮2",C435="幽月轮3"),AB435=1,模拟模式!$L$7="明光恒照")</f>
        <v>0</v>
      </c>
      <c r="BO435" s="117">
        <f t="shared" ca="1" si="352"/>
        <v>29.077500000000001</v>
      </c>
      <c r="BP435" s="115">
        <f t="shared" ca="1" si="388"/>
        <v>6</v>
      </c>
      <c r="BQ435" s="115" t="b">
        <f>模拟模式!$K$10="2600·水"</f>
        <v>0</v>
      </c>
      <c r="BR435" s="117">
        <f t="shared" si="389"/>
        <v>0</v>
      </c>
      <c r="BS435" s="115">
        <f t="shared" si="390"/>
        <v>0</v>
      </c>
      <c r="BT435" s="115">
        <f t="shared" ca="1" si="391"/>
        <v>0</v>
      </c>
      <c r="BU435" s="115" t="b">
        <f ca="1">AND(模拟模式!$K$10="2300·雷",BT434=0,RAND()&lt;IF(C435="净世破魔击·月",5*0.05*2/3,IF(C435="净世破魔击·日",3*0.05*2/3,0.05*2*2/3)))</f>
        <v>0</v>
      </c>
      <c r="BV435" s="115">
        <f t="shared" ca="1" si="392"/>
        <v>0</v>
      </c>
      <c r="BW435" s="115">
        <f t="shared" ca="1" si="393"/>
        <v>179.07749999999999</v>
      </c>
      <c r="BX435" s="164" t="b">
        <f t="shared" ca="1" si="394"/>
        <v>1</v>
      </c>
      <c r="BY435" s="115">
        <f t="shared" ca="1" si="395"/>
        <v>14.077500000000001</v>
      </c>
      <c r="BZ435" s="115">
        <f>IF(OR(模拟模式!$P$16="10人团",模拟模式!$P$16="25人团"),IF(B435/30&gt;CA434,1,0),0)</f>
        <v>0</v>
      </c>
      <c r="CA435" s="115">
        <f t="shared" si="371"/>
        <v>0</v>
      </c>
      <c r="CB435" s="115">
        <f ca="1">IF(BZ435=1,IF(模拟模式!$P$16="10人团",15,0)+IF(模拟模式!$P$16="25人团",IF(RAND()&lt;0.6,15,0)),MAX(0,CB434-$F$4))</f>
        <v>0</v>
      </c>
      <c r="CC435" s="115" t="b">
        <f t="shared" ca="1" si="363"/>
        <v>0</v>
      </c>
      <c r="CD435" s="115">
        <f>IF(模拟模式!$Q$16="1个",IF(B435/40&gt;CE434,1,0),0)</f>
        <v>0</v>
      </c>
      <c r="CE435" s="115">
        <f t="shared" si="364"/>
        <v>0</v>
      </c>
      <c r="CF435" s="115">
        <f>IF(OR(CD435=1,模拟模式!$Q$16="2个"),20,MAX(0,CF434-$F$4))</f>
        <v>0</v>
      </c>
      <c r="CG435" s="115" t="b">
        <f t="shared" si="365"/>
        <v>0</v>
      </c>
      <c r="CH435" s="115">
        <f t="shared" ca="1" si="396"/>
        <v>0</v>
      </c>
      <c r="CI435" s="115" t="b">
        <f t="shared" ca="1" si="397"/>
        <v>0</v>
      </c>
      <c r="CJ435" s="119">
        <f t="shared" ca="1" si="398"/>
        <v>0</v>
      </c>
      <c r="CK435" s="115">
        <f t="shared" ca="1" si="399"/>
        <v>0</v>
      </c>
      <c r="CL435" s="115" t="b">
        <f ca="1">AND(模拟模式!$S$7="驱夷逐法",OR(AND(C435="净世破魔击·月",E434&gt;59),AND(C435="净世破魔击·日",F434&gt;59)))</f>
        <v>1</v>
      </c>
      <c r="CM435" s="115" t="b">
        <f ca="1">OR(CL435,AND(C435="净世破魔击·日",CL434,RAND()&lt;模拟模式!$U$23))</f>
        <v>1</v>
      </c>
      <c r="CN435" s="115" t="b">
        <f ca="1">IF(模拟模式!$M$7="辉耀红尘",AND(C435="净世破魔击·月",CL435,CV435=0,E434&lt;80),AND(C435="净世破魔击·月",CL435,E434&lt;100))</f>
        <v>0</v>
      </c>
      <c r="CO435" s="115" t="b">
        <f t="shared" ca="1" si="372"/>
        <v>0</v>
      </c>
      <c r="CP435" s="115" t="b">
        <f ca="1">AND(模拟模式!$O$7="用晦而明",OR(C435="净世破魔击·日",C435="净世破魔击·月",C435="驱夜断愁"),AB435)</f>
        <v>1</v>
      </c>
      <c r="CQ435" s="115" t="b">
        <f ca="1">OR(CP435,AND(CP434,RAND()&lt;模拟模式!$U$23))</f>
        <v>1</v>
      </c>
      <c r="CR435" s="115" t="b">
        <f ca="1">AND(模拟模式!$S$7="日月齐光",OR(C435="幽月轮1",C435="幽月轮2",C435="幽月轮3",CR434),NOT(OR(C435="赤日轮1",C435="赤日轮2",C435="赤日轮3")))</f>
        <v>0</v>
      </c>
      <c r="CS435" s="115" t="b">
        <f ca="1">AND(模拟模式!$S$7="日月齐光",OR(C435="赤日轮1",C435="赤日轮2",C435="赤日轮3",CS434),NOT(OR(C435="幽月轮1",C435="幽月轮2",C435="幽月轮3")))</f>
        <v>0</v>
      </c>
      <c r="CT435" s="115">
        <f t="shared" ca="1" si="400"/>
        <v>0</v>
      </c>
      <c r="CU435" s="115" t="b">
        <f ca="1">AND(模拟模式!$K$10="阴阳往极",CT434=0,RAND()&lt;IF(C435="净世破魔击·月",0.0275*7/3,IF(C435="净世破魔击·日",0.0275*3/3,0.0275*2/3)))</f>
        <v>0</v>
      </c>
      <c r="CV435" s="115">
        <f t="shared" ca="1" si="401"/>
        <v>0</v>
      </c>
      <c r="CW435" s="115">
        <f t="shared" ca="1" si="373"/>
        <v>4.1549999999999994</v>
      </c>
      <c r="CX435" s="115">
        <f t="shared" ca="1" si="374"/>
        <v>2.3099999999999996</v>
      </c>
      <c r="CY435" s="115">
        <f ca="1">MAX(IF($C435="驱夜断愁",IF(模拟模式!$R$7="万念俱寂",6,45),CY434-$F$4),0)</f>
        <v>3.2324999999999995</v>
      </c>
      <c r="CZ435" s="115">
        <f t="shared" ca="1" si="375"/>
        <v>0</v>
      </c>
      <c r="DA435" s="115">
        <f ca="1">IF(模拟模式!$N$7="日月同辉",IF(DB434=2,0,MIN(6,IF(AND(OR(C435="赤日轮1",C435="赤日轮2",C435="赤日轮3",C435="幽月轮1",C435="幽月轮2",C435="幽月轮3"),AB435=1),DA434+1,DA434))),0)</f>
        <v>5</v>
      </c>
      <c r="DB435" s="115">
        <f t="shared" ca="1" si="376"/>
        <v>0</v>
      </c>
      <c r="DC435" s="115"/>
      <c r="DD435" s="115"/>
      <c r="DE435" s="115"/>
      <c r="DF435" s="115"/>
      <c r="DG435" s="115"/>
      <c r="DH435" s="115"/>
      <c r="DI435" s="115"/>
      <c r="DJ435" s="115"/>
      <c r="DK435" s="115"/>
      <c r="DL435" s="115"/>
      <c r="DM435" s="115"/>
    </row>
    <row r="436" spans="2:117" x14ac:dyDescent="0.2">
      <c r="B436" s="117">
        <f t="shared" si="377"/>
        <v>377.30250000000359</v>
      </c>
      <c r="C436" s="167" t="str">
        <f t="shared" ca="1" si="370"/>
        <v>净世破魔击·日</v>
      </c>
      <c r="D436" s="115">
        <f ca="1">IF(C436="赤日轮1",1,IF(C436="赤日轮2",2,IF(C436="赤日轮3",3,IF(C436="幽月轮1",4,IF(C436="幽月轮2",5,IF(C436="幽月轮3",6,IF(C436="烈日斩",7,IF(C436="银月斩",8,IF(C436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436="净世破魔击·月",17,IF(C436="驱夜断愁",18,0)))))))))))</f>
        <v>9</v>
      </c>
      <c r="E436" s="115">
        <f ca="1">IF(AND(CU436,OR(C436="幽月轮1",C436="幽月轮2",C436="幽月轮3",C436="银月斩",C436="驱夜断愁",C436="净世破魔击·月")),100,MIN(IF(OR(CN436,BE436),0,IF(OR($C436="赤日轮1",$C436="赤日轮2",$C436="赤日轮3"),E435+20+IF(模拟模式!$I$7="日月凌天",4,0)+IF(CR435,20,0),IF($C436="烈日斩",E435+40,IF($C436="驱夜断愁",IF(模拟模式!$R$7="万念俱寂",E435+20,E435+60),IF($C436="净世破魔击·月",IF(OR(DB435&gt;0,CV435&gt;0),100,IF(模拟模式!$M$7="辉耀红尘",E435+20,E435)),IF($C436="净世破魔击·日",E435-100,E435)))))),100))</f>
        <v>0</v>
      </c>
      <c r="F436" s="115">
        <f ca="1">IF(AND(CU436,OR(C436="赤日轮1",C436="赤日轮2",C436="赤日轮3",C436="烈日斩",C436="净世破魔击·日")),100,MIN(IF(CO436,0,IF(OR($C436="幽月轮1",$C436="幽月轮2",$C436="幽月轮3"),F435+20+IF(模拟模式!$I$7="日月凌天",4,0)+IF(CS435,20,0),IF($C436="银月斩",F435+40+IF(模拟模式!$X$12=1,5,0),IF($C436="驱夜断愁",IF(模拟模式!$R$7="万念俱寂",F435+20,F435+60),IF($C436="净世破魔击·月",IF(模拟模式!$M$7="辉耀红尘",F435-80,F435-100),IF(AND(C436="净世破魔击·日",OR(DB435&gt;0,CV435&gt;0)),100,F435)))))),100))</f>
        <v>20</v>
      </c>
      <c r="G436" s="117">
        <f ca="1">('模拟-全程加成'!$E$3+'模拟-全程加成'!$E$4+'模拟-全程加成'!$E$5+('模拟-全程加成'!$C$6-'模拟-全程加成'!$C$3)*系数!$B$9+BS436*23)*(1+'模拟-全程加成'!$F$4+'模拟-全程加成'!$F$5+BJ436*10%+BM436*20%+BP436*4%+CG436*30%)+$F$7*系数!$B$12</f>
        <v>21493.829400000002</v>
      </c>
      <c r="H436" s="45">
        <f ca="1">'模拟-全程加成'!$H$3+'模拟-全程加成'!$H$4+'模拟-全程加成'!$H$5+('模拟-全程加成'!$G$4+'模拟-全程加成'!$G$5+('模拟-全程加成'!$C$6-'模拟-全程加成'!$C$3)*系数!$B$13)/系数!$B$3+LOOKUP(D436,'模拟-单技能数据'!$A$2:$A$19,'模拟-单技能数据'!$K$2:$K$19)+BG436*10%+IF(BV436&gt;0,378,0)</f>
        <v>0.54185145527300216</v>
      </c>
      <c r="I436" s="45">
        <f ca="1">'模拟-全程加成'!$J$3+'模拟-全程加成'!$J$4+'模拟-全程加成'!$J$5+('模拟-全程加成'!$I$4+'模拟-全程加成'!$I$5)/系数!$B$4+LOOKUP(D436,'模拟-单技能数据'!$A$2:$A$19,'模拟-单技能数据'!$L$2:$L$19)+BG436*10%</f>
        <v>2.162482885499879</v>
      </c>
      <c r="J436" s="45">
        <f ca="1">(('模拟-全程加成'!$K$3+'模拟-全程加成'!$K$4+'模拟-全程加成'!$K$5+('模拟-全程加成'!$C$6-'模拟-全程加成'!$C$3)*系数!$B$10+IF(BV436&gt;0,882,0)+IF(BY436&gt;0,1831,0))*(1+'模拟-全程加成'!$L$4+'模拟-全程加成'!$L$5+CC436*20%))/系数!$B$5</f>
        <v>0.85832564669386491</v>
      </c>
      <c r="K436" s="119">
        <f ca="1">LOOKUP(D436,'模拟-单技能数据'!$A$2:$A$19,'模拟-单技能数据'!$J$2:$J$19)+IF(CM436,60%,0)+IF(DB435-DB436&gt;0,30%,0)+IF(OR(AND(OR(C436="赤日轮1",C436="赤日轮2",C436="赤日轮3"),CR436),AND(OR(C436="幽月轮1",C436="幽月轮2",C436="幽月轮3"),CS436)),35%,0)+CJ436</f>
        <v>0.8</v>
      </c>
      <c r="L436" s="119">
        <f ca="1">IF(AND(C436="烈日斩",模拟模式!$X$11=1),10%,0)+IF(AND(C436="驱夜断愁",AB436=1),30%,0)</f>
        <v>0</v>
      </c>
      <c r="M436" s="45">
        <f t="shared" ca="1" si="353"/>
        <v>0.54185145527300216</v>
      </c>
      <c r="N436" s="45">
        <f t="shared" ca="1" si="354"/>
        <v>0.40424854472699789</v>
      </c>
      <c r="O436" s="46">
        <f t="shared" ca="1" si="378"/>
        <v>0.64947545378710614</v>
      </c>
      <c r="P436" s="46" t="str">
        <f t="shared" ca="1" si="379"/>
        <v>命</v>
      </c>
      <c r="Q436" s="45">
        <f t="shared" ca="1" si="380"/>
        <v>1</v>
      </c>
      <c r="R436" s="117">
        <f ca="1">模拟模式!$E$20*(1-IF(模拟模式!$J$19="有",0.15,0))*(1-IF(模拟模式!$K$19="有",0.3,0)-IF(CQ436,0.5,0))</f>
        <v>843.02999999999975</v>
      </c>
      <c r="S436" s="45">
        <f ca="1">R436/(R436+(185*模拟模式!$E$22-16800)*4.08224)</f>
        <v>8.389626085980037E-2</v>
      </c>
      <c r="T436" s="45" t="str">
        <f ca="1">LOOKUP(D436,'模拟-单技能数据'!$A$2:$A$19,'模拟-单技能数据'!$H$2:$H$19)</f>
        <v>阳</v>
      </c>
      <c r="U436" s="119">
        <f t="shared" ca="1" si="355"/>
        <v>0.2</v>
      </c>
      <c r="V436" s="47">
        <f ca="1">(1+L436)*(LOOKUP(D436,'模拟-单技能数据'!$A$2:$A$19,'模拟-单技能数据'!$D$2:$D$19)+G436*LOOKUP(D436,'模拟-单技能数据'!$A$2:$A$19,'模拟-单技能数据'!$F$2:$F$19))*(1+J436)*(1+K436)*(1-S436)*(1+U436)*Q436*LOOKUP(D436,'模拟-单技能数据'!$A$2:$A$19,'模拟-单技能数据'!$I$2:$I$20)</f>
        <v>103552.02198357004</v>
      </c>
      <c r="W436" s="47">
        <f ca="1">LOOKUP(D436,'模拟-单技能数据'!$A$2:$A$19,'模拟-单技能数据'!$G$2:$G$19)*$I$10</f>
        <v>723.0212870940959</v>
      </c>
      <c r="X436" s="47">
        <f t="shared" ca="1" si="381"/>
        <v>13754.006397877307</v>
      </c>
      <c r="Y436" s="47">
        <f t="shared" ca="1" si="356"/>
        <v>118029.04966854145</v>
      </c>
      <c r="Z436" s="49">
        <f t="shared" ca="1" si="357"/>
        <v>42424903.574398465</v>
      </c>
      <c r="AA436" s="97">
        <f t="shared" ca="1" si="358"/>
        <v>112442.67815452605</v>
      </c>
      <c r="AB436" s="115">
        <f ca="1">IF(OR(C436="赤日轮1",C436="赤日轮2",C436="赤日轮3"),IF(RAND()&lt;模拟模式!$Y$17,1,0),IF(OR(C436="幽月轮1",C436="幽月轮2",C436="幽月轮3"),IF(RAND()&lt;模拟模式!$Y$18,1,0),IF(C436="烈日斩",IF(RAND()&lt;模拟模式!$Y$19,1,0),IF(C436="银月斩",IF(RAND()&lt;模拟模式!$Y$20,1,0),IF(C436="驱夜断愁",IF(RAND()&lt;模拟模式!$Y$21,1,0),IF(C436="净世破魔击·日",IF(RAND()&lt;模拟模式!$Y$22,1,0),IF(C436="净世破魔击·月",IF(RAND()&lt;模拟模式!$Y$23,1,0),0)))))))</f>
        <v>1</v>
      </c>
      <c r="AC436" s="115" t="b">
        <f t="shared" ca="1" si="346"/>
        <v>0</v>
      </c>
      <c r="AD436" s="115" t="b">
        <f t="shared" ca="1" si="366"/>
        <v>1</v>
      </c>
      <c r="AE436" s="115">
        <f t="shared" ca="1" si="367"/>
        <v>3</v>
      </c>
      <c r="AF436" s="47">
        <f ca="1">IF(AC436,('模拟-单技能数据'!$D$20+G436*'模拟-单技能数据'!$F$20)*(1+J436)*(1+'模拟-单技能数据'!$J$20)*(1+U436),0)</f>
        <v>0</v>
      </c>
      <c r="AG436" s="61">
        <f t="shared" ca="1" si="359"/>
        <v>0.64185145527300214</v>
      </c>
      <c r="AH436" s="61">
        <f t="shared" ca="1" si="360"/>
        <v>2.2624828854998791</v>
      </c>
      <c r="AI436" s="62">
        <f t="shared" ca="1" si="382"/>
        <v>0.99580487326638234</v>
      </c>
      <c r="AJ436" s="47">
        <f ca="1">IF(AD436,IF(AI436&lt;$F$10,0,IF(AI436&lt;$F$10+$F$11,0.25,IF(AI436&lt;$F$10+$F$11+AG436,AH436,1)))*IF(AF436&gt;0,AF436,IF(AF435&gt;0,AF435,IF(AF434&gt;0,AF434,IF(AF433&gt;0,AF433,IF(AF432&gt;0,AF432,IF(AF431&gt;0,AF431,IF(AF430&gt;0,AF430,IF(AF429&gt;0,AF429,IF(AF428&gt;0,AF428,IF(AF426&gt;0,AF426,IF(AF425&gt;0,AF425,IF(AF424&gt;0,AF424,0)))))))))))),0)*(1-$S436)*'模拟-单技能数据'!$I$20</f>
        <v>4074.6980221198578</v>
      </c>
      <c r="AK436" s="115" t="b">
        <f t="shared" ca="1" si="347"/>
        <v>1</v>
      </c>
      <c r="AL436" s="115" t="b">
        <f t="shared" ca="1" si="368"/>
        <v>0</v>
      </c>
      <c r="AM436" s="115">
        <f t="shared" ca="1" si="369"/>
        <v>6</v>
      </c>
      <c r="AN436" s="47">
        <f ca="1">IF(AK436,('模拟-单技能数据'!$D$21+G436*'模拟-单技能数据'!$F$21)*(1+J436)*(1+'模拟-单技能数据'!$J$21)*(1+U436),0)</f>
        <v>13873.602732077619</v>
      </c>
      <c r="AO436" s="61">
        <f ca="1">IF(AN436&gt;0,M436-'模拟-单技能数据'!$K$10,AO435)</f>
        <v>0.42185145527300216</v>
      </c>
      <c r="AP436" s="61">
        <f ca="1">IF(AN436&gt;0,I436-'模拟-单技能数据'!$L$10,AP435)</f>
        <v>2.162482885499879</v>
      </c>
      <c r="AQ436" s="63">
        <f t="shared" ca="1" si="383"/>
        <v>0.50190336696860605</v>
      </c>
      <c r="AR436" s="64">
        <f ca="1">IF(AL436,IF(AQ436&lt;$F$10,0,IF(AQ436&lt;$F$10+$F$11,0.25,IF(AQ436&lt;$F$10+$F$11+AO436,AP436,1)))*IF(AN436&gt;0,AN436,IF(AN435&gt;0,AN435,IF(AN434&gt;0,AN434,IF(AN433&gt;0,AN433,IF(AN432&gt;0,AN432,IF(AN431&gt;0,AN431,IF(AN430&gt;0,AN430,IF(AN429&gt;0,AN429,IF(AN428&gt;0,AN428,IF(AN426&gt;0,AN426,IF(AN425&gt;0,AN425,IF(AN424&gt;0,AN424,0)))))))))))),0)*(1-$S436)*'模拟-单技能数据'!$I$21</f>
        <v>0</v>
      </c>
      <c r="AS436" s="61">
        <f ca="1">IF(OR(C436="净世破魔击·日",C436="净世破魔击·月"),M436-'模拟-单技能数据'!$K$10,0)</f>
        <v>0.42185145527300216</v>
      </c>
      <c r="AT436" s="61">
        <f ca="1">IF(OR(C436="净世破魔击·日",C436="净世破魔击·月"),I436-'模拟-单技能数据'!$L$10,0)</f>
        <v>2.162482885499879</v>
      </c>
      <c r="AU436" s="62">
        <f t="shared" ca="1" si="384"/>
        <v>0.48485594339890581</v>
      </c>
      <c r="AV436" s="64">
        <f ca="1">IF(AS436&gt;0,('模拟-单技能数据'!$D$22+G436*'模拟-单技能数据'!$F$22)*(1+J436)*(1-S436)*IF(AU436&lt;$F$10,0,IF(AU436&lt;$F$10+$F$11,0.25,IF(AU436&lt;$F$10+$F$11+AS436,AT436,1)))*(1+U436),0)*'模拟-单技能数据'!$I$22</f>
        <v>9679.3083757574495</v>
      </c>
      <c r="AW436" s="108">
        <f t="shared" ca="1" si="385"/>
        <v>0</v>
      </c>
      <c r="AX436" s="108" t="b">
        <f ca="1">AND(模拟模式!$P$10="有",AW435=0,RAND()&lt;IF(C436="净世破魔击·月",0.1*8/3,IF(C436="净世破魔击·日",0.1*4/3,0.1*2/3)))</f>
        <v>0</v>
      </c>
      <c r="AY436" s="47">
        <f ca="1">IF(AX436,(18+G436*0.722)*(1+J436)*(1-S436)*(1+$I$4)*IF(P436="会",'模拟-全程加成'!$J$3+'模拟-全程加成'!$J$4+'模拟-全程加成'!$J$5+('模拟-全程加成'!$I$4+'模拟-全程加成'!$I$5)/系数!$B$4+BG436*10%,IF(P436="命",1,IF(P436="识",0.25,0))),0)</f>
        <v>0</v>
      </c>
      <c r="AZ436" s="108">
        <f t="shared" si="386"/>
        <v>8.0075000000000074</v>
      </c>
      <c r="BA436" s="108" t="b">
        <f>AND(模拟模式!$Q$10="有",AZ435=0)</f>
        <v>0</v>
      </c>
      <c r="BB436" s="140">
        <f>IF(BA436,(0+G436*0.287)*(1+J436)*(1-S436)*(1+$I$4)*IF(P436="会",'模拟-全程加成'!$J$3+'模拟-全程加成'!$J$4+'模拟-全程加成'!$J$5+('模拟-全程加成'!$I$4+'模拟-全程加成'!$I$5)/系数!$B$4+BG436*10%,IF(P436="命",1,IF(P436="识",0.25,0))),0)</f>
        <v>0</v>
      </c>
      <c r="BC436" s="115" t="b">
        <f ca="1">AND(模拟模式!$R$7="伏明众生",E436=60,F436=20,DA436&lt;5,CZ435&lt;$F$4)</f>
        <v>0</v>
      </c>
      <c r="BD436" s="115">
        <f t="shared" ca="1" si="348"/>
        <v>0</v>
      </c>
      <c r="BE436" s="115" t="b">
        <f t="shared" ca="1" si="349"/>
        <v>0</v>
      </c>
      <c r="BF436" s="47">
        <f ca="1">IF(BC436,4*('模拟-单技能数据'!$D$24+G436*'模拟-单技能数据'!$F$24)*(1+J436)*(1+'模拟-单技能数据'!$J$24)*(1-S436)*(1+$I$3)*(('模拟-全程加成'!$J$3+'模拟-全程加成'!$J$4+'模拟-全程加成'!$J$5+('模拟-全程加成'!$I$4+'模拟-全程加成'!$I$5)/系数!$B$4+BG436*10%)*('模拟-全程加成'!$J$3+'模拟-全程加成'!$J$4+'模拟-全程加成'!$J$5+('模拟-全程加成'!$I$4+'模拟-全程加成'!$I$5)/系数!$B$4+BG436*10%)+(1-('模拟-全程加成'!$J$3+'模拟-全程加成'!$J$4+'模拟-全程加成'!$J$5+('模拟-全程加成'!$I$4+'模拟-全程加成'!$I$5)/系数!$B$4+BG436*10%)-$F$10-$F$11)+F422*0.25),0)*'模拟-单技能数据'!$I$24</f>
        <v>0</v>
      </c>
      <c r="BG436" s="115" t="b">
        <f ca="1">OR(AND(OR(C436="烈日斩",C436="银月斩"),模拟模式!$I$7="净身明礼"),AND(C436="净世破魔击·日",模拟模式!$J$7="洞若观火"),AND(C437="净世破魔击·月",模拟模式!$J$7="洞若观火"),AB436=1)</f>
        <v>1</v>
      </c>
      <c r="BH436" s="115" t="b">
        <f t="shared" ca="1" si="387"/>
        <v>1</v>
      </c>
      <c r="BI436" s="115">
        <f t="shared" ca="1" si="350"/>
        <v>6</v>
      </c>
      <c r="BJ436" s="115" t="b">
        <f t="shared" ca="1" si="361"/>
        <v>1</v>
      </c>
      <c r="BK436" s="115" t="b">
        <f ca="1">AND(C436="驱夜断愁",模拟模式!$P$7="天地诛戮")</f>
        <v>0</v>
      </c>
      <c r="BL436" s="57">
        <f t="shared" ca="1" si="351"/>
        <v>16.310000000000002</v>
      </c>
      <c r="BM436" s="115" t="b">
        <f t="shared" ca="1" si="362"/>
        <v>1</v>
      </c>
      <c r="BN436" s="115" t="b">
        <f ca="1">AND(OR(C436="赤日轮1",C436="赤日轮2",C436="赤日轮3",C436="幽月轮1",C436="幽月轮2",C436="幽月轮3"),AB436=1,模拟模式!$L$7="明光恒照")</f>
        <v>0</v>
      </c>
      <c r="BO436" s="117">
        <f t="shared" ca="1" si="352"/>
        <v>28.155000000000001</v>
      </c>
      <c r="BP436" s="115">
        <f t="shared" ca="1" si="388"/>
        <v>6</v>
      </c>
      <c r="BQ436" s="115" t="b">
        <f>模拟模式!$K$10="2600·水"</f>
        <v>0</v>
      </c>
      <c r="BR436" s="117">
        <f t="shared" si="389"/>
        <v>0</v>
      </c>
      <c r="BS436" s="115">
        <f t="shared" si="390"/>
        <v>0</v>
      </c>
      <c r="BT436" s="115">
        <f t="shared" ca="1" si="391"/>
        <v>0</v>
      </c>
      <c r="BU436" s="115" t="b">
        <f ca="1">AND(模拟模式!$K$10="2300·雷",BT435=0,RAND()&lt;IF(C436="净世破魔击·月",5*0.05*2/3,IF(C436="净世破魔击·日",3*0.05*2/3,0.05*2*2/3)))</f>
        <v>0</v>
      </c>
      <c r="BV436" s="115">
        <f t="shared" ca="1" si="392"/>
        <v>0</v>
      </c>
      <c r="BW436" s="115">
        <f t="shared" ca="1" si="393"/>
        <v>178.15499999999997</v>
      </c>
      <c r="BX436" s="164" t="b">
        <f t="shared" ca="1" si="394"/>
        <v>0</v>
      </c>
      <c r="BY436" s="115">
        <f t="shared" ca="1" si="395"/>
        <v>13.155000000000001</v>
      </c>
      <c r="BZ436" s="115">
        <f>IF(OR(模拟模式!$P$16="10人团",模拟模式!$P$16="25人团"),IF(B436/30&gt;CA435,1,0),0)</f>
        <v>0</v>
      </c>
      <c r="CA436" s="115">
        <f t="shared" si="371"/>
        <v>0</v>
      </c>
      <c r="CB436" s="115">
        <f ca="1">IF(BZ436=1,IF(模拟模式!$P$16="10人团",15,0)+IF(模拟模式!$P$16="25人团",IF(RAND()&lt;0.6,15,0)),MAX(0,CB435-$F$4))</f>
        <v>0</v>
      </c>
      <c r="CC436" s="115" t="b">
        <f t="shared" ca="1" si="363"/>
        <v>0</v>
      </c>
      <c r="CD436" s="115">
        <f>IF(模拟模式!$Q$16="1个",IF(B436/40&gt;CE435,1,0),0)</f>
        <v>0</v>
      </c>
      <c r="CE436" s="115">
        <f t="shared" si="364"/>
        <v>0</v>
      </c>
      <c r="CF436" s="115">
        <f>IF(OR(CD436=1,模拟模式!$Q$16="2个"),20,MAX(0,CF435-$F$4))</f>
        <v>0</v>
      </c>
      <c r="CG436" s="115" t="b">
        <f t="shared" si="365"/>
        <v>0</v>
      </c>
      <c r="CH436" s="115">
        <f t="shared" ca="1" si="396"/>
        <v>0</v>
      </c>
      <c r="CI436" s="115" t="b">
        <f t="shared" ca="1" si="397"/>
        <v>0</v>
      </c>
      <c r="CJ436" s="119">
        <f t="shared" ca="1" si="398"/>
        <v>0</v>
      </c>
      <c r="CK436" s="115">
        <f t="shared" ca="1" si="399"/>
        <v>0</v>
      </c>
      <c r="CL436" s="115" t="b">
        <f ca="1">AND(模拟模式!$S$7="驱夷逐法",OR(AND(C436="净世破魔击·月",E435&gt;59),AND(C436="净世破魔击·日",F435&gt;59)))</f>
        <v>0</v>
      </c>
      <c r="CM436" s="115" t="b">
        <f ca="1">OR(CL436,AND(C436="净世破魔击·日",CL435,RAND()&lt;模拟模式!$U$23))</f>
        <v>1</v>
      </c>
      <c r="CN436" s="115" t="b">
        <f ca="1">IF(模拟模式!$M$7="辉耀红尘",AND(C436="净世破魔击·月",CL436,CV436=0,E435&lt;80),AND(C436="净世破魔击·月",CL436,E435&lt;100))</f>
        <v>0</v>
      </c>
      <c r="CO436" s="115" t="b">
        <f t="shared" ca="1" si="372"/>
        <v>0</v>
      </c>
      <c r="CP436" s="115" t="b">
        <f ca="1">AND(模拟模式!$O$7="用晦而明",OR(C436="净世破魔击·日",C436="净世破魔击·月",C436="驱夜断愁"),AB436)</f>
        <v>1</v>
      </c>
      <c r="CQ436" s="115" t="b">
        <f ca="1">OR(CP436,AND(CP435,RAND()&lt;模拟模式!$U$23))</f>
        <v>1</v>
      </c>
      <c r="CR436" s="115" t="b">
        <f ca="1">AND(模拟模式!$S$7="日月齐光",OR(C436="幽月轮1",C436="幽月轮2",C436="幽月轮3",CR435),NOT(OR(C436="赤日轮1",C436="赤日轮2",C436="赤日轮3")))</f>
        <v>0</v>
      </c>
      <c r="CS436" s="115" t="b">
        <f ca="1">AND(模拟模式!$S$7="日月齐光",OR(C436="赤日轮1",C436="赤日轮2",C436="赤日轮3",CS435),NOT(OR(C436="幽月轮1",C436="幽月轮2",C436="幽月轮3")))</f>
        <v>0</v>
      </c>
      <c r="CT436" s="115">
        <f t="shared" ca="1" si="400"/>
        <v>0</v>
      </c>
      <c r="CU436" s="115" t="b">
        <f ca="1">AND(模拟模式!$K$10="阴阳往极",CT435=0,RAND()&lt;IF(C436="净世破魔击·月",0.0275*7/3,IF(C436="净世破魔击·日",0.0275*3/3,0.0275*2/3)))</f>
        <v>0</v>
      </c>
      <c r="CV436" s="115">
        <f t="shared" ca="1" si="401"/>
        <v>0</v>
      </c>
      <c r="CW436" s="115">
        <f t="shared" ca="1" si="373"/>
        <v>3.2324999999999995</v>
      </c>
      <c r="CX436" s="115">
        <f t="shared" ca="1" si="374"/>
        <v>1.3874999999999997</v>
      </c>
      <c r="CY436" s="115">
        <f ca="1">MAX(IF($C436="驱夜断愁",IF(模拟模式!$R$7="万念俱寂",6,45),CY435-$F$4),0)</f>
        <v>2.3099999999999996</v>
      </c>
      <c r="CZ436" s="115">
        <f t="shared" ca="1" si="375"/>
        <v>0</v>
      </c>
      <c r="DA436" s="115">
        <f ca="1">IF(模拟模式!$N$7="日月同辉",IF(DB435=2,0,MIN(6,IF(AND(OR(C436="赤日轮1",C436="赤日轮2",C436="赤日轮3",C436="幽月轮1",C436="幽月轮2",C436="幽月轮3"),AB436=1),DA435+1,DA435))),0)</f>
        <v>5</v>
      </c>
      <c r="DB436" s="115">
        <f t="shared" ca="1" si="376"/>
        <v>0</v>
      </c>
      <c r="DC436" s="115"/>
      <c r="DD436" s="115"/>
      <c r="DE436" s="115"/>
      <c r="DF436" s="115"/>
      <c r="DG436" s="115"/>
      <c r="DH436" s="115"/>
      <c r="DI436" s="115"/>
      <c r="DJ436" s="115"/>
      <c r="DK436" s="115"/>
      <c r="DL436" s="115"/>
      <c r="DM436" s="115"/>
    </row>
    <row r="437" spans="2:117" x14ac:dyDescent="0.2">
      <c r="B437" s="117">
        <f t="shared" si="377"/>
        <v>378.2250000000036</v>
      </c>
      <c r="C437" s="167" t="str">
        <f t="shared" ca="1" si="370"/>
        <v>赤日轮1</v>
      </c>
      <c r="D437" s="115">
        <f ca="1">IF(C437="赤日轮1",1,IF(C437="赤日轮2",2,IF(C437="赤日轮3",3,IF(C437="幽月轮1",4,IF(C437="幽月轮2",5,IF(C437="幽月轮3",6,IF(C437="烈日斩",7,IF(C437="银月斩",8,IF(C437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437="净世破魔击·月",17,IF(C437="驱夜断愁",18,0)))))))))))</f>
        <v>1</v>
      </c>
      <c r="E437" s="115">
        <f ca="1">IF(AND(CU437,OR(C437="幽月轮1",C437="幽月轮2",C437="幽月轮3",C437="银月斩",C437="驱夜断愁",C437="净世破魔击·月")),100,MIN(IF(OR(CN437,BE437),0,IF(OR($C437="赤日轮1",$C437="赤日轮2",$C437="赤日轮3"),E436+20+IF(模拟模式!$I$7="日月凌天",4,0)+IF(CR436,20,0),IF($C437="烈日斩",E436+40,IF($C437="驱夜断愁",IF(模拟模式!$R$7="万念俱寂",E436+20,E436+60),IF($C437="净世破魔击·月",IF(OR(DB436&gt;0,CV436&gt;0),100,IF(模拟模式!$M$7="辉耀红尘",E436+20,E436)),IF($C437="净世破魔击·日",E436-100,E436)))))),100))</f>
        <v>20</v>
      </c>
      <c r="F437" s="115">
        <f ca="1">IF(AND(CU437,OR(C437="赤日轮1",C437="赤日轮2",C437="赤日轮3",C437="烈日斩",C437="净世破魔击·日")),100,MIN(IF(CO437,0,IF(OR($C437="幽月轮1",$C437="幽月轮2",$C437="幽月轮3"),F436+20+IF(模拟模式!$I$7="日月凌天",4,0)+IF(CS436,20,0),IF($C437="银月斩",F436+40+IF(模拟模式!$X$12=1,5,0),IF($C437="驱夜断愁",IF(模拟模式!$R$7="万念俱寂",F436+20,F436+60),IF($C437="净世破魔击·月",IF(模拟模式!$M$7="辉耀红尘",F436-80,F436-100),IF(AND(C437="净世破魔击·日",OR(DB436&gt;0,CV436&gt;0)),100,F436)))))),100))</f>
        <v>20</v>
      </c>
      <c r="G437" s="117">
        <f ca="1">('模拟-全程加成'!$E$3+'模拟-全程加成'!$E$4+'模拟-全程加成'!$E$5+('模拟-全程加成'!$C$6-'模拟-全程加成'!$C$3)*系数!$B$9+BS437*23)*(1+'模拟-全程加成'!$F$4+'模拟-全程加成'!$F$5+BJ437*10%+BM437*20%+BP437*4%+CG437*30%)+$F$7*系数!$B$12</f>
        <v>21493.829400000002</v>
      </c>
      <c r="H437" s="45">
        <f ca="1">'模拟-全程加成'!$H$3+'模拟-全程加成'!$H$4+'模拟-全程加成'!$H$5+('模拟-全程加成'!$G$4+'模拟-全程加成'!$G$5+('模拟-全程加成'!$C$6-'模拟-全程加成'!$C$3)*系数!$B$13)/系数!$B$3+LOOKUP(D437,'模拟-单技能数据'!$A$2:$A$19,'模拟-单技能数据'!$K$2:$K$19)+BG437*10%+IF(BV437&gt;0,378,0)</f>
        <v>0.4618514552730022</v>
      </c>
      <c r="I437" s="45">
        <f ca="1">'模拟-全程加成'!$J$3+'模拟-全程加成'!$J$4+'模拟-全程加成'!$J$5+('模拟-全程加成'!$I$4+'模拟-全程加成'!$I$5)/系数!$B$4+LOOKUP(D437,'模拟-单技能数据'!$A$2:$A$19,'模拟-单技能数据'!$L$2:$L$19)+BG437*10%</f>
        <v>2.162482885499879</v>
      </c>
      <c r="J437" s="45">
        <f ca="1">(('模拟-全程加成'!$K$3+'模拟-全程加成'!$K$4+'模拟-全程加成'!$K$5+('模拟-全程加成'!$C$6-'模拟-全程加成'!$C$3)*系数!$B$10+IF(BV437&gt;0,882,0)+IF(BY437&gt;0,1831,0))*(1+'模拟-全程加成'!$L$4+'模拟-全程加成'!$L$5+CC437*20%))/系数!$B$5</f>
        <v>0.85832564669386491</v>
      </c>
      <c r="K437" s="119">
        <f ca="1">LOOKUP(D437,'模拟-单技能数据'!$A$2:$A$19,'模拟-单技能数据'!$J$2:$J$19)+IF(CM437,60%,0)+IF(DB436-DB437&gt;0,30%,0)+IF(OR(AND(OR(C437="赤日轮1",C437="赤日轮2",C437="赤日轮3"),CR437),AND(OR(C437="幽月轮1",C437="幽月轮2",C437="幽月轮3"),CS437)),35%,0)+CJ437</f>
        <v>0.12</v>
      </c>
      <c r="L437" s="119">
        <f ca="1">IF(AND(C437="烈日斩",模拟模式!$X$11=1),10%,0)+IF(AND(C437="驱夜断愁",AB437=1),30%,0)</f>
        <v>0</v>
      </c>
      <c r="M437" s="45">
        <f t="shared" ca="1" si="353"/>
        <v>0.4618514552730022</v>
      </c>
      <c r="N437" s="45">
        <f t="shared" ca="1" si="354"/>
        <v>0.48424854472699785</v>
      </c>
      <c r="O437" s="46">
        <f t="shared" ca="1" si="378"/>
        <v>6.4670125731991934E-2</v>
      </c>
      <c r="P437" s="46" t="str">
        <f t="shared" ca="1" si="379"/>
        <v>会</v>
      </c>
      <c r="Q437" s="45">
        <f t="shared" ca="1" si="380"/>
        <v>2.162482885499879</v>
      </c>
      <c r="R437" s="117">
        <f ca="1">模拟模式!$E$20*(1-IF(模拟模式!$J$19="有",0.15,0))*(1-IF(模拟模式!$K$19="有",0.3,0)-IF(CQ437,0.5,0))</f>
        <v>843.02999999999975</v>
      </c>
      <c r="S437" s="45">
        <f ca="1">R437/(R437+(185*模拟模式!$E$22-16800)*4.08224)</f>
        <v>8.389626085980037E-2</v>
      </c>
      <c r="T437" s="45" t="str">
        <f ca="1">LOOKUP(D437,'模拟-单技能数据'!$A$2:$A$19,'模拟-单技能数据'!$H$2:$H$19)</f>
        <v>阳</v>
      </c>
      <c r="U437" s="119">
        <f t="shared" ca="1" si="355"/>
        <v>0.2</v>
      </c>
      <c r="V437" s="47">
        <f ca="1">(1+L437)*(LOOKUP(D437,'模拟-单技能数据'!$A$2:$A$19,'模拟-单技能数据'!$D$2:$D$19)+G437*LOOKUP(D437,'模拟-单技能数据'!$A$2:$A$19,'模拟-单技能数据'!$F$2:$F$19))*(1+J437)*(1+K437)*(1-S437)*(1+U437)*Q437*LOOKUP(D437,'模拟-单技能数据'!$A$2:$A$19,'模拟-单技能数据'!$I$2:$I$20)</f>
        <v>62261.439195113235</v>
      </c>
      <c r="W437" s="47">
        <f ca="1">LOOKUP(D437,'模拟-单技能数据'!$A$2:$A$19,'模拟-单技能数据'!$G$2:$G$19)*$I$10</f>
        <v>361.51064354704795</v>
      </c>
      <c r="X437" s="47">
        <f t="shared" ca="1" si="381"/>
        <v>74482.468737438729</v>
      </c>
      <c r="Y437" s="47">
        <f t="shared" ca="1" si="356"/>
        <v>137105.41857609901</v>
      </c>
      <c r="Z437" s="49">
        <f t="shared" ca="1" si="357"/>
        <v>42562008.992974564</v>
      </c>
      <c r="AA437" s="97">
        <f t="shared" ca="1" si="358"/>
        <v>112530.92469554937</v>
      </c>
      <c r="AB437" s="115">
        <f ca="1">IF(OR(C437="赤日轮1",C437="赤日轮2",C437="赤日轮3"),IF(RAND()&lt;模拟模式!$Y$17,1,0),IF(OR(C437="幽月轮1",C437="幽月轮2",C437="幽月轮3"),IF(RAND()&lt;模拟模式!$Y$18,1,0),IF(C437="烈日斩",IF(RAND()&lt;模拟模式!$Y$19,1,0),IF(C437="银月斩",IF(RAND()&lt;模拟模式!$Y$20,1,0),IF(C437="驱夜断愁",IF(RAND()&lt;模拟模式!$Y$21,1,0),IF(C437="净世破魔击·日",IF(RAND()&lt;模拟模式!$Y$22,1,0),IF(C437="净世破魔击·月",IF(RAND()&lt;模拟模式!$Y$23,1,0),0)))))))</f>
        <v>1</v>
      </c>
      <c r="AC437" s="115" t="b">
        <f t="shared" ca="1" si="346"/>
        <v>0</v>
      </c>
      <c r="AD437" s="115" t="b">
        <f t="shared" ca="1" si="366"/>
        <v>0</v>
      </c>
      <c r="AE437" s="115">
        <f t="shared" ca="1" si="367"/>
        <v>3</v>
      </c>
      <c r="AF437" s="47">
        <f ca="1">IF(AC437,('模拟-单技能数据'!$D$20+G437*'模拟-单技能数据'!$F$20)*(1+J437)*(1+'模拟-单技能数据'!$J$20)*(1+U437),0)</f>
        <v>0</v>
      </c>
      <c r="AG437" s="61">
        <f t="shared" ca="1" si="359"/>
        <v>0.64185145527300214</v>
      </c>
      <c r="AH437" s="61">
        <f t="shared" ca="1" si="360"/>
        <v>2.2624828854998791</v>
      </c>
      <c r="AI437" s="62">
        <f t="shared" ca="1" si="382"/>
        <v>0.75634885802156326</v>
      </c>
      <c r="AJ437" s="47">
        <f ca="1">IF(AD437,IF(AI437&lt;$F$10,0,IF(AI437&lt;$F$10+$F$11,0.25,IF(AI437&lt;$F$10+$F$11+AG437,AH437,1)))*IF(AF437&gt;0,AF437,IF(AF436&gt;0,AF436,IF(AF435&gt;0,AF435,IF(AF434&gt;0,AF434,IF(AF433&gt;0,AF433,IF(AF432&gt;0,AF432,IF(AF431&gt;0,AF431,IF(AF430&gt;0,AF430,IF(AF429&gt;0,AF429,IF(AF427&gt;0,AF427,IF(AF426&gt;0,AF426,IF(AF425&gt;0,AF425,0)))))))))))),0)*(1-$S437)*'模拟-单技能数据'!$I$20</f>
        <v>0</v>
      </c>
      <c r="AK437" s="115" t="b">
        <f t="shared" ca="1" si="347"/>
        <v>0</v>
      </c>
      <c r="AL437" s="115" t="b">
        <f t="shared" ca="1" si="368"/>
        <v>1</v>
      </c>
      <c r="AM437" s="115">
        <f t="shared" ca="1" si="369"/>
        <v>5</v>
      </c>
      <c r="AN437" s="47">
        <f ca="1">IF(AK437,('模拟-单技能数据'!$D$21+G437*'模拟-单技能数据'!$F$21)*(1+J437)*(1+'模拟-单技能数据'!$J$21)*(1+U437),0)</f>
        <v>0</v>
      </c>
      <c r="AO437" s="61">
        <f ca="1">IF(AN437&gt;0,M437-'模拟-单技能数据'!$K$10,AO436)</f>
        <v>0.42185145527300216</v>
      </c>
      <c r="AP437" s="61">
        <f ca="1">IF(AN437&gt;0,I437-'模拟-单技能数据'!$L$10,AP436)</f>
        <v>2.162482885499879</v>
      </c>
      <c r="AQ437" s="63">
        <f t="shared" ca="1" si="383"/>
        <v>0.81619992509536343</v>
      </c>
      <c r="AR437" s="64">
        <f ca="1">IF(AL437,IF(AQ437&lt;$F$10,0,IF(AQ437&lt;$F$10+$F$11,0.25,IF(AQ437&lt;$F$10+$F$11+AO437,AP437,1)))*IF(AN437&gt;0,AN437,IF(AN436&gt;0,AN436,IF(AN435&gt;0,AN435,IF(AN434&gt;0,AN434,IF(AN433&gt;0,AN433,IF(AN432&gt;0,AN432,IF(AN431&gt;0,AN431,IF(AN430&gt;0,AN430,IF(AN429&gt;0,AN429,IF(AN427&gt;0,AN427,IF(AN426&gt;0,AN426,IF(AN425&gt;0,AN425,0)))))))))))),0)*(1-$S437)*'模拟-单技能数据'!$I$21</f>
        <v>12709.659338201996</v>
      </c>
      <c r="AS437" s="61">
        <f ca="1">IF(OR(C437="净世破魔击·日",C437="净世破魔击·月"),M437-'模拟-单技能数据'!$K$10,0)</f>
        <v>0</v>
      </c>
      <c r="AT437" s="61">
        <f ca="1">IF(OR(C437="净世破魔击·日",C437="净世破魔击·月"),I437-'模拟-单技能数据'!$L$10,0)</f>
        <v>0</v>
      </c>
      <c r="AU437" s="62">
        <f t="shared" ca="1" si="384"/>
        <v>0.39713887287604888</v>
      </c>
      <c r="AV437" s="64">
        <f ca="1">IF(AS437&gt;0,('模拟-单技能数据'!$D$22+G437*'模拟-单技能数据'!$F$22)*(1+J437)*(1-S437)*IF(AU437&lt;$F$10,0,IF(AU437&lt;$F$10+$F$11,0.25,IF(AU437&lt;$F$10+$F$11+AS437,AT437,1)))*(1+U437),0)*'模拟-单技能数据'!$I$22</f>
        <v>0</v>
      </c>
      <c r="AW437" s="108">
        <f t="shared" ca="1" si="385"/>
        <v>19.077500000000001</v>
      </c>
      <c r="AX437" s="108" t="b">
        <f ca="1">AND(模拟模式!$P$10="有",AW436=0,RAND()&lt;IF(C437="净世破魔击·月",0.1*8/3,IF(C437="净世破魔击·日",0.1*4/3,0.1*2/3)))</f>
        <v>1</v>
      </c>
      <c r="AY437" s="47">
        <f ca="1">IF(AX437,(18+G437*0.722)*(1+J437)*(1-S437)*(1+$I$4)*IF(P437="会",'模拟-全程加成'!$J$3+'模拟-全程加成'!$J$4+'模拟-全程加成'!$J$5+('模拟-全程加成'!$I$4+'模拟-全程加成'!$I$5)/系数!$B$4+BG437*10%,IF(P437="命",1,IF(P437="识",0.25,0))),0)</f>
        <v>61772.809399236728</v>
      </c>
      <c r="AZ437" s="108">
        <f t="shared" si="386"/>
        <v>7.0850000000000071</v>
      </c>
      <c r="BA437" s="108" t="b">
        <f>AND(模拟模式!$Q$10="有",AZ436=0)</f>
        <v>0</v>
      </c>
      <c r="BB437" s="140">
        <f>IF(BA437,(0+G437*0.287)*(1+J437)*(1-S437)*(1+$I$4)*IF(P437="会",'模拟-全程加成'!$J$3+'模拟-全程加成'!$J$4+'模拟-全程加成'!$J$5+('模拟-全程加成'!$I$4+'模拟-全程加成'!$I$5)/系数!$B$4+BG437*10%,IF(P437="命",1,IF(P437="识",0.25,0))),0)</f>
        <v>0</v>
      </c>
      <c r="BC437" s="115" t="b">
        <f ca="1">AND(模拟模式!$R$7="伏明众生",E437=60,F437=20,DA437&lt;5,CZ436&lt;$F$4)</f>
        <v>0</v>
      </c>
      <c r="BD437" s="115">
        <f t="shared" ca="1" si="348"/>
        <v>0</v>
      </c>
      <c r="BE437" s="115" t="b">
        <f t="shared" ca="1" si="349"/>
        <v>0</v>
      </c>
      <c r="BF437" s="47">
        <f ca="1">IF(BC437,4*('模拟-单技能数据'!$D$24+G437*'模拟-单技能数据'!$F$24)*(1+J437)*(1+'模拟-单技能数据'!$J$24)*(1-S437)*(1+$I$3)*(('模拟-全程加成'!$J$3+'模拟-全程加成'!$J$4+'模拟-全程加成'!$J$5+('模拟-全程加成'!$I$4+'模拟-全程加成'!$I$5)/系数!$B$4+BG437*10%)*('模拟-全程加成'!$J$3+'模拟-全程加成'!$J$4+'模拟-全程加成'!$J$5+('模拟-全程加成'!$I$4+'模拟-全程加成'!$I$5)/系数!$B$4+BG437*10%)+(1-('模拟-全程加成'!$J$3+'模拟-全程加成'!$J$4+'模拟-全程加成'!$J$5+('模拟-全程加成'!$I$4+'模拟-全程加成'!$I$5)/系数!$B$4+BG437*10%)-$F$10-$F$11)+F423*0.25),0)*'模拟-单技能数据'!$I$24</f>
        <v>0</v>
      </c>
      <c r="BG437" s="115" t="b">
        <f ca="1">OR(AND(OR(C437="烈日斩",C437="银月斩"),模拟模式!$I$7="净身明礼"),AND(C437="净世破魔击·日",模拟模式!$J$7="洞若观火"),AND(C438="净世破魔击·月",模拟模式!$J$7="洞若观火"),AB437=1)</f>
        <v>1</v>
      </c>
      <c r="BH437" s="115" t="b">
        <f t="shared" ca="1" si="387"/>
        <v>0</v>
      </c>
      <c r="BI437" s="115">
        <f t="shared" ca="1" si="350"/>
        <v>5.0774999999999997</v>
      </c>
      <c r="BJ437" s="115" t="b">
        <f t="shared" ca="1" si="361"/>
        <v>1</v>
      </c>
      <c r="BK437" s="115" t="b">
        <f ca="1">AND(C437="驱夜断愁",模拟模式!$P$7="天地诛戮")</f>
        <v>0</v>
      </c>
      <c r="BL437" s="57">
        <f t="shared" ca="1" si="351"/>
        <v>15.387500000000003</v>
      </c>
      <c r="BM437" s="115" t="b">
        <f t="shared" ca="1" si="362"/>
        <v>1</v>
      </c>
      <c r="BN437" s="115" t="b">
        <f ca="1">AND(OR(C437="赤日轮1",C437="赤日轮2",C437="赤日轮3",C437="幽月轮1",C437="幽月轮2",C437="幽月轮3"),AB437=1,模拟模式!$L$7="明光恒照")</f>
        <v>1</v>
      </c>
      <c r="BO437" s="117">
        <f t="shared" ca="1" si="352"/>
        <v>30</v>
      </c>
      <c r="BP437" s="115">
        <f t="shared" ca="1" si="388"/>
        <v>6</v>
      </c>
      <c r="BQ437" s="115" t="b">
        <f>模拟模式!$K$10="2600·水"</f>
        <v>0</v>
      </c>
      <c r="BR437" s="117">
        <f t="shared" si="389"/>
        <v>0</v>
      </c>
      <c r="BS437" s="115">
        <f t="shared" si="390"/>
        <v>0</v>
      </c>
      <c r="BT437" s="115">
        <f t="shared" ca="1" si="391"/>
        <v>0</v>
      </c>
      <c r="BU437" s="115" t="b">
        <f ca="1">AND(模拟模式!$K$10="2300·雷",BT436=0,RAND()&lt;IF(C437="净世破魔击·月",5*0.05*2/3,IF(C437="净世破魔击·日",3*0.05*2/3,0.05*2*2/3)))</f>
        <v>0</v>
      </c>
      <c r="BV437" s="115">
        <f t="shared" ca="1" si="392"/>
        <v>0</v>
      </c>
      <c r="BW437" s="115">
        <f t="shared" ca="1" si="393"/>
        <v>177.23249999999996</v>
      </c>
      <c r="BX437" s="164" t="b">
        <f t="shared" ca="1" si="394"/>
        <v>0</v>
      </c>
      <c r="BY437" s="115">
        <f t="shared" ca="1" si="395"/>
        <v>12.232500000000002</v>
      </c>
      <c r="BZ437" s="115">
        <f>IF(OR(模拟模式!$P$16="10人团",模拟模式!$P$16="25人团"),IF(B437/30&gt;CA436,1,0),0)</f>
        <v>0</v>
      </c>
      <c r="CA437" s="115">
        <f t="shared" si="371"/>
        <v>0</v>
      </c>
      <c r="CB437" s="115">
        <f ca="1">IF(BZ437=1,IF(模拟模式!$P$16="10人团",15,0)+IF(模拟模式!$P$16="25人团",IF(RAND()&lt;0.6,15,0)),MAX(0,CB436-$F$4))</f>
        <v>0</v>
      </c>
      <c r="CC437" s="115" t="b">
        <f t="shared" ca="1" si="363"/>
        <v>0</v>
      </c>
      <c r="CD437" s="115">
        <f>IF(模拟模式!$Q$16="1个",IF(B437/40&gt;CE436,1,0),0)</f>
        <v>0</v>
      </c>
      <c r="CE437" s="115">
        <f t="shared" si="364"/>
        <v>0</v>
      </c>
      <c r="CF437" s="115">
        <f>IF(OR(CD437=1,模拟模式!$Q$16="2个"),20,MAX(0,CF436-$F$4))</f>
        <v>0</v>
      </c>
      <c r="CG437" s="115" t="b">
        <f t="shared" si="365"/>
        <v>0</v>
      </c>
      <c r="CH437" s="115">
        <f t="shared" ca="1" si="396"/>
        <v>0</v>
      </c>
      <c r="CI437" s="115" t="b">
        <f t="shared" ca="1" si="397"/>
        <v>0</v>
      </c>
      <c r="CJ437" s="119">
        <f t="shared" ca="1" si="398"/>
        <v>0</v>
      </c>
      <c r="CK437" s="115">
        <f t="shared" ca="1" si="399"/>
        <v>0</v>
      </c>
      <c r="CL437" s="115" t="b">
        <f ca="1">AND(模拟模式!$S$7="驱夷逐法",OR(AND(C437="净世破魔击·月",E436&gt;59),AND(C437="净世破魔击·日",F436&gt;59)))</f>
        <v>0</v>
      </c>
      <c r="CM437" s="115" t="b">
        <f ca="1">OR(CL437,AND(C437="净世破魔击·日",CL436,RAND()&lt;模拟模式!$U$23))</f>
        <v>0</v>
      </c>
      <c r="CN437" s="115" t="b">
        <f ca="1">IF(模拟模式!$M$7="辉耀红尘",AND(C437="净世破魔击·月",CL437,CV437=0,E436&lt;80),AND(C437="净世破魔击·月",CL437,E436&lt;100))</f>
        <v>0</v>
      </c>
      <c r="CO437" s="115" t="b">
        <f t="shared" ca="1" si="372"/>
        <v>0</v>
      </c>
      <c r="CP437" s="115" t="b">
        <f ca="1">AND(模拟模式!$O$7="用晦而明",OR(C437="净世破魔击·日",C437="净世破魔击·月",C437="驱夜断愁"),AB437)</f>
        <v>0</v>
      </c>
      <c r="CQ437" s="115" t="b">
        <f ca="1">OR(CP437,AND(CP436,RAND()&lt;模拟模式!$U$23))</f>
        <v>1</v>
      </c>
      <c r="CR437" s="115" t="b">
        <f ca="1">AND(模拟模式!$S$7="日月齐光",OR(C437="幽月轮1",C437="幽月轮2",C437="幽月轮3",CR436),NOT(OR(C437="赤日轮1",C437="赤日轮2",C437="赤日轮3")))</f>
        <v>0</v>
      </c>
      <c r="CS437" s="115" t="b">
        <f ca="1">AND(模拟模式!$S$7="日月齐光",OR(C437="赤日轮1",C437="赤日轮2",C437="赤日轮3",CS436),NOT(OR(C437="幽月轮1",C437="幽月轮2",C437="幽月轮3")))</f>
        <v>0</v>
      </c>
      <c r="CT437" s="115">
        <f t="shared" ca="1" si="400"/>
        <v>0</v>
      </c>
      <c r="CU437" s="115" t="b">
        <f ca="1">AND(模拟模式!$K$10="阴阳往极",CT436=0,RAND()&lt;IF(C437="净世破魔击·月",0.0275*7/3,IF(C437="净世破魔击·日",0.0275*3/3,0.0275*2/3)))</f>
        <v>0</v>
      </c>
      <c r="CV437" s="115">
        <f t="shared" ca="1" si="401"/>
        <v>0</v>
      </c>
      <c r="CW437" s="115">
        <f t="shared" ca="1" si="373"/>
        <v>2.3099999999999996</v>
      </c>
      <c r="CX437" s="115">
        <f t="shared" ca="1" si="374"/>
        <v>0.46499999999999975</v>
      </c>
      <c r="CY437" s="115">
        <f ca="1">MAX(IF($C437="驱夜断愁",IF(模拟模式!$R$7="万念俱寂",6,45),CY436-$F$4),0)</f>
        <v>1.3874999999999997</v>
      </c>
      <c r="CZ437" s="115">
        <f t="shared" ca="1" si="375"/>
        <v>0</v>
      </c>
      <c r="DA437" s="115">
        <f ca="1">IF(模拟模式!$N$7="日月同辉",IF(DB436=2,0,MIN(6,IF(AND(OR(C437="赤日轮1",C437="赤日轮2",C437="赤日轮3",C437="幽月轮1",C437="幽月轮2",C437="幽月轮3"),AB437=1),DA436+1,DA436))),0)</f>
        <v>6</v>
      </c>
      <c r="DB437" s="115">
        <f t="shared" ca="1" si="376"/>
        <v>2</v>
      </c>
      <c r="DC437" s="115"/>
      <c r="DD437" s="115"/>
      <c r="DE437" s="115"/>
      <c r="DF437" s="115"/>
      <c r="DG437" s="115"/>
      <c r="DH437" s="115"/>
      <c r="DI437" s="115"/>
      <c r="DJ437" s="115"/>
      <c r="DK437" s="115"/>
      <c r="DL437" s="115"/>
      <c r="DM437" s="115"/>
    </row>
    <row r="438" spans="2:117" x14ac:dyDescent="0.2">
      <c r="B438" s="117">
        <f t="shared" si="377"/>
        <v>379.14750000000362</v>
      </c>
      <c r="C438" s="167" t="str">
        <f t="shared" ca="1" si="370"/>
        <v>银月斩</v>
      </c>
      <c r="D438" s="115">
        <f ca="1">IF(C438="赤日轮1",1,IF(C438="赤日轮2",2,IF(C438="赤日轮3",3,IF(C438="幽月轮1",4,IF(C438="幽月轮2",5,IF(C438="幽月轮3",6,IF(C438="烈日斩",7,IF(C438="银月斩",8,IF(C438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438="净世破魔击·月",17,IF(C438="驱夜断愁",18,0)))))))))))</f>
        <v>8</v>
      </c>
      <c r="E438" s="115">
        <f ca="1">IF(AND(CU438,OR(C438="幽月轮1",C438="幽月轮2",C438="幽月轮3",C438="银月斩",C438="驱夜断愁",C438="净世破魔击·月")),100,MIN(IF(OR(CN438,BE438),0,IF(OR($C438="赤日轮1",$C438="赤日轮2",$C438="赤日轮3"),E437+20+IF(模拟模式!$I$7="日月凌天",4,0)+IF(CR437,20,0),IF($C438="烈日斩",E437+40,IF($C438="驱夜断愁",IF(模拟模式!$R$7="万念俱寂",E437+20,E437+60),IF($C438="净世破魔击·月",IF(OR(DB437&gt;0,CV437&gt;0),100,IF(模拟模式!$M$7="辉耀红尘",E437+20,E437)),IF($C438="净世破魔击·日",E437-100,E437)))))),100))</f>
        <v>20</v>
      </c>
      <c r="F438" s="115">
        <f ca="1">IF(AND(CU438,OR(C438="赤日轮1",C438="赤日轮2",C438="赤日轮3",C438="烈日斩",C438="净世破魔击·日")),100,MIN(IF(CO438,0,IF(OR($C438="幽月轮1",$C438="幽月轮2",$C438="幽月轮3"),F437+20+IF(模拟模式!$I$7="日月凌天",4,0)+IF(CS437,20,0),IF($C438="银月斩",F437+40+IF(模拟模式!$X$12=1,5,0),IF($C438="驱夜断愁",IF(模拟模式!$R$7="万念俱寂",F437+20,F437+60),IF($C438="净世破魔击·月",IF(模拟模式!$M$7="辉耀红尘",F437-80,F437-100),IF(AND(C438="净世破魔击·日",OR(DB437&gt;0,CV437&gt;0)),100,F437)))))),100))</f>
        <v>65</v>
      </c>
      <c r="G438" s="117">
        <f ca="1">('模拟-全程加成'!$E$3+'模拟-全程加成'!$E$4+'模拟-全程加成'!$E$5+('模拟-全程加成'!$C$6-'模拟-全程加成'!$C$3)*系数!$B$9+BS438*23)*(1+'模拟-全程加成'!$F$4+'模拟-全程加成'!$F$5+BJ438*10%+BM438*20%+BP438*4%+CG438*30%)+$F$7*系数!$B$12</f>
        <v>21493.829400000002</v>
      </c>
      <c r="H438" s="45">
        <f ca="1">'模拟-全程加成'!$H$3+'模拟-全程加成'!$H$4+'模拟-全程加成'!$H$5+('模拟-全程加成'!$G$4+'模拟-全程加成'!$G$5+('模拟-全程加成'!$C$6-'模拟-全程加成'!$C$3)*系数!$B$13)/系数!$B$3+LOOKUP(D438,'模拟-单技能数据'!$A$2:$A$19,'模拟-单技能数据'!$K$2:$K$19)+BG438*10%+IF(BV438&gt;0,378,0)</f>
        <v>0.64185145527300214</v>
      </c>
      <c r="I438" s="45">
        <f ca="1">'模拟-全程加成'!$J$3+'模拟-全程加成'!$J$4+'模拟-全程加成'!$J$5+('模拟-全程加成'!$I$4+'模拟-全程加成'!$I$5)/系数!$B$4+LOOKUP(D438,'模拟-单技能数据'!$A$2:$A$19,'模拟-单技能数据'!$L$2:$L$19)+BG438*10%</f>
        <v>2.2624828854998791</v>
      </c>
      <c r="J438" s="45">
        <f ca="1">(('模拟-全程加成'!$K$3+'模拟-全程加成'!$K$4+'模拟-全程加成'!$K$5+('模拟-全程加成'!$C$6-'模拟-全程加成'!$C$3)*系数!$B$10+IF(BV438&gt;0,882,0)+IF(BY438&gt;0,1831,0))*(1+'模拟-全程加成'!$L$4+'模拟-全程加成'!$L$5+CC438*20%))/系数!$B$5</f>
        <v>0.85832564669386491</v>
      </c>
      <c r="K438" s="119">
        <f ca="1">LOOKUP(D438,'模拟-单技能数据'!$A$2:$A$19,'模拟-单技能数据'!$J$2:$J$19)+IF(CM438,60%,0)+IF(DB437-DB438&gt;0,30%,0)+IF(OR(AND(OR(C438="赤日轮1",C438="赤日轮2",C438="赤日轮3"),CR438),AND(OR(C438="幽月轮1",C438="幽月轮2",C438="幽月轮3"),CS438)),35%,0)+CJ438</f>
        <v>0.15</v>
      </c>
      <c r="L438" s="119">
        <f ca="1">IF(AND(C438="烈日斩",模拟模式!$X$11=1),10%,0)+IF(AND(C438="驱夜断愁",AB438=1),30%,0)</f>
        <v>0</v>
      </c>
      <c r="M438" s="45">
        <f t="shared" ca="1" si="353"/>
        <v>0.64185145527300214</v>
      </c>
      <c r="N438" s="45">
        <f t="shared" ca="1" si="354"/>
        <v>0.30424854472699792</v>
      </c>
      <c r="O438" s="46">
        <f t="shared" ca="1" si="378"/>
        <v>0.54001907981582187</v>
      </c>
      <c r="P438" s="46" t="str">
        <f t="shared" ca="1" si="379"/>
        <v>会</v>
      </c>
      <c r="Q438" s="45">
        <f t="shared" ca="1" si="380"/>
        <v>2.2624828854998791</v>
      </c>
      <c r="R438" s="117">
        <f ca="1">模拟模式!$E$20*(1-IF(模拟模式!$J$19="有",0.15,0))*(1-IF(模拟模式!$K$19="有",0.3,0)-IF(CQ438,0.5,0))</f>
        <v>2950.6049999999996</v>
      </c>
      <c r="S438" s="45">
        <f ca="1">R438/(R438+(185*模拟模式!$E$22-16800)*4.08224)</f>
        <v>0.24272716014590323</v>
      </c>
      <c r="T438" s="45" t="str">
        <f ca="1">LOOKUP(D438,'模拟-单技能数据'!$A$2:$A$19,'模拟-单技能数据'!$H$2:$H$19)</f>
        <v>阴</v>
      </c>
      <c r="U438" s="119">
        <f t="shared" ca="1" si="355"/>
        <v>0.08</v>
      </c>
      <c r="V438" s="47">
        <f ca="1">(1+L438)*(LOOKUP(D438,'模拟-单技能数据'!$A$2:$A$19,'模拟-单技能数据'!$D$2:$D$19)+G438*LOOKUP(D438,'模拟-单技能数据'!$A$2:$A$19,'模拟-单技能数据'!$F$2:$F$19))*(1+J438)*(1+K438)*(1-S438)*(1+U438)*Q438*LOOKUP(D438,'模拟-单技能数据'!$A$2:$A$19,'模拟-单技能数据'!$I$2:$I$20)</f>
        <v>45123.329593076625</v>
      </c>
      <c r="W438" s="47">
        <f ca="1">LOOKUP(D438,'模拟-单技能数据'!$A$2:$A$19,'模拟-单技能数据'!$G$2:$G$19)*$I$10</f>
        <v>361.51064354704795</v>
      </c>
      <c r="X438" s="47">
        <f t="shared" ca="1" si="381"/>
        <v>3847.0436206176892</v>
      </c>
      <c r="Y438" s="47">
        <f t="shared" ca="1" si="356"/>
        <v>49331.883857241359</v>
      </c>
      <c r="Z438" s="49">
        <f t="shared" ca="1" si="357"/>
        <v>42611340.876831807</v>
      </c>
      <c r="AA438" s="97">
        <f t="shared" ca="1" si="358"/>
        <v>112387.23946968238</v>
      </c>
      <c r="AB438" s="115">
        <f ca="1">IF(OR(C438="赤日轮1",C438="赤日轮2",C438="赤日轮3"),IF(RAND()&lt;模拟模式!$Y$17,1,0),IF(OR(C438="幽月轮1",C438="幽月轮2",C438="幽月轮3"),IF(RAND()&lt;模拟模式!$Y$18,1,0),IF(C438="烈日斩",IF(RAND()&lt;模拟模式!$Y$19,1,0),IF(C438="银月斩",IF(RAND()&lt;模拟模式!$Y$20,1,0),IF(C438="驱夜断愁",IF(RAND()&lt;模拟模式!$Y$21,1,0),IF(C438="净世破魔击·日",IF(RAND()&lt;模拟模式!$Y$22,1,0),IF(C438="净世破魔击·月",IF(RAND()&lt;模拟模式!$Y$23,1,0),0)))))))</f>
        <v>1</v>
      </c>
      <c r="AC438" s="115" t="b">
        <f t="shared" ca="1" si="346"/>
        <v>1</v>
      </c>
      <c r="AD438" s="115" t="b">
        <f t="shared" ca="1" si="366"/>
        <v>1</v>
      </c>
      <c r="AE438" s="115">
        <f t="shared" ca="1" si="367"/>
        <v>5</v>
      </c>
      <c r="AF438" s="47">
        <f ca="1">IF(AC438,('模拟-单技能数据'!$D$20+G438*'模拟-单技能数据'!$F$20)*(1+J438)*(1+'模拟-单技能数据'!$J$20)*(1+U438),0)</f>
        <v>5080.1288758208948</v>
      </c>
      <c r="AG438" s="61">
        <f t="shared" ca="1" si="359"/>
        <v>0.64185145527300214</v>
      </c>
      <c r="AH438" s="61">
        <f t="shared" ca="1" si="360"/>
        <v>2.2624828854998791</v>
      </c>
      <c r="AI438" s="62">
        <f t="shared" ca="1" si="382"/>
        <v>0.98491091714234003</v>
      </c>
      <c r="AJ438" s="47">
        <f ca="1">IF(AD438,IF(AI438&lt;$F$10,0,IF(AI438&lt;$F$10+$F$11,0.25,IF(AI438&lt;$F$10+$F$11+AG438,AH438,1)))*IF(AF438&gt;0,AF438,IF(AF437&gt;0,AF437,IF(AF436&gt;0,AF436,IF(AF435&gt;0,AF435,IF(AF434&gt;0,AF434,IF(AF433&gt;0,AF433,IF(AF432&gt;0,AF432,IF(AF431&gt;0,AF431,IF(AF430&gt;0,AF430,IF(AF428&gt;0,AF428,IF(AF427&gt;0,AF427,IF(AF426&gt;0,AF426,0)))))))))))),0)*(1-$S438)*'模拟-单技能数据'!$I$20</f>
        <v>3847.0436206176892</v>
      </c>
      <c r="AK438" s="115" t="b">
        <f t="shared" ca="1" si="347"/>
        <v>0</v>
      </c>
      <c r="AL438" s="115" t="b">
        <f t="shared" ca="1" si="368"/>
        <v>0</v>
      </c>
      <c r="AM438" s="115">
        <f t="shared" ca="1" si="369"/>
        <v>5</v>
      </c>
      <c r="AN438" s="47">
        <f ca="1">IF(AK438,('模拟-单技能数据'!$D$21+G438*'模拟-单技能数据'!$F$21)*(1+J438)*(1+'模拟-单技能数据'!$J$21)*(1+U438),0)</f>
        <v>0</v>
      </c>
      <c r="AO438" s="61">
        <f ca="1">IF(AN438&gt;0,M438-'模拟-单技能数据'!$K$10,AO437)</f>
        <v>0.42185145527300216</v>
      </c>
      <c r="AP438" s="61">
        <f ca="1">IF(AN438&gt;0,I438-'模拟-单技能数据'!$L$10,AP437)</f>
        <v>2.162482885499879</v>
      </c>
      <c r="AQ438" s="63">
        <f t="shared" ca="1" si="383"/>
        <v>0.83324360294188116</v>
      </c>
      <c r="AR438" s="64">
        <f ca="1">IF(AL438,IF(AQ438&lt;$F$10,0,IF(AQ438&lt;$F$10+$F$11,0.25,IF(AQ438&lt;$F$10+$F$11+AO438,AP438,1)))*IF(AN438&gt;0,AN438,IF(AN437&gt;0,AN437,IF(AN436&gt;0,AN436,IF(AN435&gt;0,AN435,IF(AN434&gt;0,AN434,IF(AN433&gt;0,AN433,IF(AN432&gt;0,AN432,IF(AN431&gt;0,AN431,IF(AN430&gt;0,AN430,IF(AN428&gt;0,AN428,IF(AN427&gt;0,AN427,IF(AN426&gt;0,AN426,0)))))))))))),0)*(1-$S438)*'模拟-单技能数据'!$I$21</f>
        <v>0</v>
      </c>
      <c r="AS438" s="61">
        <f ca="1">IF(OR(C438="净世破魔击·日",C438="净世破魔击·月"),M438-'模拟-单技能数据'!$K$10,0)</f>
        <v>0</v>
      </c>
      <c r="AT438" s="61">
        <f ca="1">IF(OR(C438="净世破魔击·日",C438="净世破魔击·月"),I438-'模拟-单技能数据'!$L$10,0)</f>
        <v>0</v>
      </c>
      <c r="AU438" s="62">
        <f t="shared" ca="1" si="384"/>
        <v>0.33736314916440557</v>
      </c>
      <c r="AV438" s="64">
        <f ca="1">IF(AS438&gt;0,('模拟-单技能数据'!$D$22+G438*'模拟-单技能数据'!$F$22)*(1+J438)*(1-S438)*IF(AU438&lt;$F$10,0,IF(AU438&lt;$F$10+$F$11,0.25,IF(AU438&lt;$F$10+$F$11+AS438,AT438,1)))*(1+U438),0)*'模拟-单技能数据'!$I$22</f>
        <v>0</v>
      </c>
      <c r="AW438" s="108">
        <f t="shared" ca="1" si="385"/>
        <v>18.155000000000001</v>
      </c>
      <c r="AX438" s="108" t="b">
        <f ca="1">AND(模拟模式!$P$10="有",AW437=0,RAND()&lt;IF(C438="净世破魔击·月",0.1*8/3,IF(C438="净世破魔击·日",0.1*4/3,0.1*2/3)))</f>
        <v>0</v>
      </c>
      <c r="AY438" s="47">
        <f ca="1">IF(AX438,(18+G438*0.722)*(1+J438)*(1-S438)*(1+$I$4)*IF(P438="会",'模拟-全程加成'!$J$3+'模拟-全程加成'!$J$4+'模拟-全程加成'!$J$5+('模拟-全程加成'!$I$4+'模拟-全程加成'!$I$5)/系数!$B$4+BG438*10%,IF(P438="命",1,IF(P438="识",0.25,0))),0)</f>
        <v>0</v>
      </c>
      <c r="AZ438" s="108">
        <f t="shared" si="386"/>
        <v>6.1625000000000068</v>
      </c>
      <c r="BA438" s="108" t="b">
        <f>AND(模拟模式!$Q$10="有",AZ437=0)</f>
        <v>0</v>
      </c>
      <c r="BB438" s="140">
        <f>IF(BA438,(0+G438*0.287)*(1+J438)*(1-S438)*(1+$I$4)*IF(P438="会",'模拟-全程加成'!$J$3+'模拟-全程加成'!$J$4+'模拟-全程加成'!$J$5+('模拟-全程加成'!$I$4+'模拟-全程加成'!$I$5)/系数!$B$4+BG438*10%,IF(P438="命",1,IF(P438="识",0.25,0))),0)</f>
        <v>0</v>
      </c>
      <c r="BC438" s="115" t="b">
        <f ca="1">AND(模拟模式!$R$7="伏明众生",E438=60,F438=20,DA438&lt;5,CZ437&lt;$F$4)</f>
        <v>0</v>
      </c>
      <c r="BD438" s="115">
        <f t="shared" ca="1" si="348"/>
        <v>0</v>
      </c>
      <c r="BE438" s="115" t="b">
        <f t="shared" ca="1" si="349"/>
        <v>0</v>
      </c>
      <c r="BF438" s="47">
        <f ca="1">IF(BC438,4*('模拟-单技能数据'!$D$24+G438*'模拟-单技能数据'!$F$24)*(1+J438)*(1+'模拟-单技能数据'!$J$24)*(1-S438)*(1+$I$3)*(('模拟-全程加成'!$J$3+'模拟-全程加成'!$J$4+'模拟-全程加成'!$J$5+('模拟-全程加成'!$I$4+'模拟-全程加成'!$I$5)/系数!$B$4+BG438*10%)*('模拟-全程加成'!$J$3+'模拟-全程加成'!$J$4+'模拟-全程加成'!$J$5+('模拟-全程加成'!$I$4+'模拟-全程加成'!$I$5)/系数!$B$4+BG438*10%)+(1-('模拟-全程加成'!$J$3+'模拟-全程加成'!$J$4+'模拟-全程加成'!$J$5+('模拟-全程加成'!$I$4+'模拟-全程加成'!$I$5)/系数!$B$4+BG438*10%)-$F$10-$F$11)+F424*0.25),0)*'模拟-单技能数据'!$I$24</f>
        <v>0</v>
      </c>
      <c r="BG438" s="115" t="b">
        <f ca="1">OR(AND(OR(C438="烈日斩",C438="银月斩"),模拟模式!$I$7="净身明礼"),AND(C438="净世破魔击·日",模拟模式!$J$7="洞若观火"),AND(C439="净世破魔击·月",模拟模式!$J$7="洞若观火"),AB438=1)</f>
        <v>1</v>
      </c>
      <c r="BH438" s="115" t="b">
        <f t="shared" ca="1" si="387"/>
        <v>0</v>
      </c>
      <c r="BI438" s="115">
        <f t="shared" ca="1" si="350"/>
        <v>4.1549999999999994</v>
      </c>
      <c r="BJ438" s="115" t="b">
        <f t="shared" ca="1" si="361"/>
        <v>1</v>
      </c>
      <c r="BK438" s="115" t="b">
        <f ca="1">AND(C438="驱夜断愁",模拟模式!$P$7="天地诛戮")</f>
        <v>0</v>
      </c>
      <c r="BL438" s="57">
        <f t="shared" ca="1" si="351"/>
        <v>14.465000000000003</v>
      </c>
      <c r="BM438" s="115" t="b">
        <f t="shared" ca="1" si="362"/>
        <v>1</v>
      </c>
      <c r="BN438" s="115" t="b">
        <f ca="1">AND(OR(C438="赤日轮1",C438="赤日轮2",C438="赤日轮3",C438="幽月轮1",C438="幽月轮2",C438="幽月轮3"),AB438=1,模拟模式!$L$7="明光恒照")</f>
        <v>0</v>
      </c>
      <c r="BO438" s="117">
        <f t="shared" ca="1" si="352"/>
        <v>29.077500000000001</v>
      </c>
      <c r="BP438" s="115">
        <f t="shared" ca="1" si="388"/>
        <v>6</v>
      </c>
      <c r="BQ438" s="115" t="b">
        <f>模拟模式!$K$10="2600·水"</f>
        <v>0</v>
      </c>
      <c r="BR438" s="117">
        <f t="shared" si="389"/>
        <v>0</v>
      </c>
      <c r="BS438" s="115">
        <f t="shared" si="390"/>
        <v>0</v>
      </c>
      <c r="BT438" s="115">
        <f t="shared" ca="1" si="391"/>
        <v>0</v>
      </c>
      <c r="BU438" s="115" t="b">
        <f ca="1">AND(模拟模式!$K$10="2300·雷",BT437=0,RAND()&lt;IF(C438="净世破魔击·月",5*0.05*2/3,IF(C438="净世破魔击·日",3*0.05*2/3,0.05*2*2/3)))</f>
        <v>0</v>
      </c>
      <c r="BV438" s="115">
        <f t="shared" ca="1" si="392"/>
        <v>0</v>
      </c>
      <c r="BW438" s="115">
        <f t="shared" ca="1" si="393"/>
        <v>176.30999999999995</v>
      </c>
      <c r="BX438" s="164" t="b">
        <f t="shared" ca="1" si="394"/>
        <v>0</v>
      </c>
      <c r="BY438" s="115">
        <f t="shared" ca="1" si="395"/>
        <v>11.310000000000002</v>
      </c>
      <c r="BZ438" s="115">
        <f>IF(OR(模拟模式!$P$16="10人团",模拟模式!$P$16="25人团"),IF(B438/30&gt;CA437,1,0),0)</f>
        <v>0</v>
      </c>
      <c r="CA438" s="115">
        <f t="shared" si="371"/>
        <v>0</v>
      </c>
      <c r="CB438" s="115">
        <f ca="1">IF(BZ438=1,IF(模拟模式!$P$16="10人团",15,0)+IF(模拟模式!$P$16="25人团",IF(RAND()&lt;0.6,15,0)),MAX(0,CB437-$F$4))</f>
        <v>0</v>
      </c>
      <c r="CC438" s="115" t="b">
        <f t="shared" ca="1" si="363"/>
        <v>0</v>
      </c>
      <c r="CD438" s="115">
        <f>IF(模拟模式!$Q$16="1个",IF(B438/40&gt;CE437,1,0),0)</f>
        <v>0</v>
      </c>
      <c r="CE438" s="115">
        <f t="shared" si="364"/>
        <v>0</v>
      </c>
      <c r="CF438" s="115">
        <f>IF(OR(CD438=1,模拟模式!$Q$16="2个"),20,MAX(0,CF437-$F$4))</f>
        <v>0</v>
      </c>
      <c r="CG438" s="115" t="b">
        <f t="shared" si="365"/>
        <v>0</v>
      </c>
      <c r="CH438" s="115">
        <f t="shared" ca="1" si="396"/>
        <v>0</v>
      </c>
      <c r="CI438" s="115" t="b">
        <f t="shared" ca="1" si="397"/>
        <v>0</v>
      </c>
      <c r="CJ438" s="119">
        <f t="shared" ca="1" si="398"/>
        <v>0</v>
      </c>
      <c r="CK438" s="115">
        <f t="shared" ca="1" si="399"/>
        <v>0</v>
      </c>
      <c r="CL438" s="115" t="b">
        <f ca="1">AND(模拟模式!$S$7="驱夷逐法",OR(AND(C438="净世破魔击·月",E437&gt;59),AND(C438="净世破魔击·日",F437&gt;59)))</f>
        <v>0</v>
      </c>
      <c r="CM438" s="115" t="b">
        <f ca="1">OR(CL438,AND(C438="净世破魔击·日",CL437,RAND()&lt;模拟模式!$U$23))</f>
        <v>0</v>
      </c>
      <c r="CN438" s="115" t="b">
        <f ca="1">IF(模拟模式!$M$7="辉耀红尘",AND(C438="净世破魔击·月",CL438,CV438=0,E437&lt;80),AND(C438="净世破魔击·月",CL438,E437&lt;100))</f>
        <v>0</v>
      </c>
      <c r="CO438" s="115" t="b">
        <f t="shared" ca="1" si="372"/>
        <v>0</v>
      </c>
      <c r="CP438" s="115" t="b">
        <f ca="1">AND(模拟模式!$O$7="用晦而明",OR(C438="净世破魔击·日",C438="净世破魔击·月",C438="驱夜断愁"),AB438)</f>
        <v>0</v>
      </c>
      <c r="CQ438" s="115" t="b">
        <f ca="1">OR(CP438,AND(CP437,RAND()&lt;模拟模式!$U$23))</f>
        <v>0</v>
      </c>
      <c r="CR438" s="115" t="b">
        <f ca="1">AND(模拟模式!$S$7="日月齐光",OR(C438="幽月轮1",C438="幽月轮2",C438="幽月轮3",CR437),NOT(OR(C438="赤日轮1",C438="赤日轮2",C438="赤日轮3")))</f>
        <v>0</v>
      </c>
      <c r="CS438" s="115" t="b">
        <f ca="1">AND(模拟模式!$S$7="日月齐光",OR(C438="赤日轮1",C438="赤日轮2",C438="赤日轮3",CS437),NOT(OR(C438="幽月轮1",C438="幽月轮2",C438="幽月轮3")))</f>
        <v>0</v>
      </c>
      <c r="CT438" s="115">
        <f t="shared" ca="1" si="400"/>
        <v>0</v>
      </c>
      <c r="CU438" s="115" t="b">
        <f ca="1">AND(模拟模式!$K$10="阴阳往极",CT437=0,RAND()&lt;IF(C438="净世破魔击·月",0.0275*7/3,IF(C438="净世破魔击·日",0.0275*3/3,0.0275*2/3)))</f>
        <v>0</v>
      </c>
      <c r="CV438" s="115">
        <f t="shared" ca="1" si="401"/>
        <v>0</v>
      </c>
      <c r="CW438" s="115">
        <f t="shared" ca="1" si="373"/>
        <v>1.3874999999999997</v>
      </c>
      <c r="CX438" s="115">
        <f t="shared" ca="1" si="374"/>
        <v>6</v>
      </c>
      <c r="CY438" s="115">
        <f ca="1">MAX(IF($C438="驱夜断愁",IF(模拟模式!$R$7="万念俱寂",6,45),CY437-$F$4),0)</f>
        <v>0.46499999999999975</v>
      </c>
      <c r="CZ438" s="115">
        <f t="shared" ca="1" si="375"/>
        <v>0</v>
      </c>
      <c r="DA438" s="115">
        <f ca="1">IF(模拟模式!$N$7="日月同辉",IF(DB437=2,0,MIN(6,IF(AND(OR(C438="赤日轮1",C438="赤日轮2",C438="赤日轮3",C438="幽月轮1",C438="幽月轮2",C438="幽月轮3"),AB438=1),DA437+1,DA437))),0)</f>
        <v>0</v>
      </c>
      <c r="DB438" s="115">
        <f t="shared" ca="1" si="376"/>
        <v>2</v>
      </c>
      <c r="DC438" s="115"/>
      <c r="DD438" s="115"/>
      <c r="DE438" s="115"/>
      <c r="DF438" s="115"/>
      <c r="DG438" s="115"/>
      <c r="DH438" s="115"/>
      <c r="DI438" s="115"/>
      <c r="DJ438" s="115"/>
      <c r="DK438" s="115"/>
      <c r="DL438" s="115"/>
      <c r="DM438" s="115"/>
    </row>
    <row r="439" spans="2:117" x14ac:dyDescent="0.2">
      <c r="B439" s="117">
        <f t="shared" si="377"/>
        <v>380.07000000000363</v>
      </c>
      <c r="C439" s="167" t="str">
        <f t="shared" ca="1" si="370"/>
        <v>驱夜断愁</v>
      </c>
      <c r="D439" s="115">
        <f ca="1">IF(C439="赤日轮1",1,IF(C439="赤日轮2",2,IF(C439="赤日轮3",3,IF(C439="幽月轮1",4,IF(C439="幽月轮2",5,IF(C439="幽月轮3",6,IF(C439="烈日斩",7,IF(C439="银月斩",8,IF(C439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439="净世破魔击·月",17,IF(C439="驱夜断愁",18,0)))))))))))</f>
        <v>18</v>
      </c>
      <c r="E439" s="115">
        <f ca="1">IF(AND(CU439,OR(C439="幽月轮1",C439="幽月轮2",C439="幽月轮3",C439="银月斩",C439="驱夜断愁",C439="净世破魔击·月")),100,MIN(IF(OR(CN439,BE439),0,IF(OR($C439="赤日轮1",$C439="赤日轮2",$C439="赤日轮3"),E438+20+IF(模拟模式!$I$7="日月凌天",4,0)+IF(CR438,20,0),IF($C439="烈日斩",E438+40,IF($C439="驱夜断愁",IF(模拟模式!$R$7="万念俱寂",E438+20,E438+60),IF($C439="净世破魔击·月",IF(OR(DB438&gt;0,CV438&gt;0),100,IF(模拟模式!$M$7="辉耀红尘",E438+20,E438)),IF($C439="净世破魔击·日",E438-100,E438)))))),100))</f>
        <v>40</v>
      </c>
      <c r="F439" s="115">
        <f ca="1">IF(AND(CU439,OR(C439="赤日轮1",C439="赤日轮2",C439="赤日轮3",C439="烈日斩",C439="净世破魔击·日")),100,MIN(IF(CO439,0,IF(OR($C439="幽月轮1",$C439="幽月轮2",$C439="幽月轮3"),F438+20+IF(模拟模式!$I$7="日月凌天",4,0)+IF(CS438,20,0),IF($C439="银月斩",F438+40+IF(模拟模式!$X$12=1,5,0),IF($C439="驱夜断愁",IF(模拟模式!$R$7="万念俱寂",F438+20,F438+60),IF($C439="净世破魔击·月",IF(模拟模式!$M$7="辉耀红尘",F438-80,F438-100),IF(AND(C439="净世破魔击·日",OR(DB438&gt;0,CV438&gt;0)),100,F438)))))),100))</f>
        <v>85</v>
      </c>
      <c r="G439" s="117">
        <f ca="1">('模拟-全程加成'!$E$3+'模拟-全程加成'!$E$4+'模拟-全程加成'!$E$5+('模拟-全程加成'!$C$6-'模拟-全程加成'!$C$3)*系数!$B$9+BS439*23)*(1+'模拟-全程加成'!$F$4+'模拟-全程加成'!$F$5+BJ439*10%+BM439*20%+BP439*4%+CG439*30%)+$F$7*系数!$B$12</f>
        <v>21493.829400000002</v>
      </c>
      <c r="H439" s="45">
        <f ca="1">'模拟-全程加成'!$H$3+'模拟-全程加成'!$H$4+'模拟-全程加成'!$H$5+('模拟-全程加成'!$G$4+'模拟-全程加成'!$G$5+('模拟-全程加成'!$C$6-'模拟-全程加成'!$C$3)*系数!$B$13)/系数!$B$3+LOOKUP(D439,'模拟-单技能数据'!$A$2:$A$19,'模拟-单技能数据'!$K$2:$K$19)+BG439*10%+IF(BV439&gt;0,378,0)</f>
        <v>0.51185145527300213</v>
      </c>
      <c r="I439" s="45">
        <f ca="1">'模拟-全程加成'!$J$3+'模拟-全程加成'!$J$4+'模拟-全程加成'!$J$5+('模拟-全程加成'!$I$4+'模拟-全程加成'!$I$5)/系数!$B$4+LOOKUP(D439,'模拟-单技能数据'!$A$2:$A$19,'模拟-单技能数据'!$L$2:$L$19)+BG439*10%</f>
        <v>2.162482885499879</v>
      </c>
      <c r="J439" s="45">
        <f ca="1">(('模拟-全程加成'!$K$3+'模拟-全程加成'!$K$4+'模拟-全程加成'!$K$5+('模拟-全程加成'!$C$6-'模拟-全程加成'!$C$3)*系数!$B$10+IF(BV439&gt;0,882,0)+IF(BY439&gt;0,1831,0))*(1+'模拟-全程加成'!$L$4+'模拟-全程加成'!$L$5+CC439*20%))/系数!$B$5</f>
        <v>0.85832564669386491</v>
      </c>
      <c r="K439" s="119">
        <f ca="1">LOOKUP(D439,'模拟-单技能数据'!$A$2:$A$19,'模拟-单技能数据'!$J$2:$J$19)+IF(CM439,60%,0)+IF(DB438-DB439&gt;0,30%,0)+IF(OR(AND(OR(C439="赤日轮1",C439="赤日轮2",C439="赤日轮3"),CR439),AND(OR(C439="幽月轮1",C439="幽月轮2",C439="幽月轮3"),CS439)),35%,0)+CJ439</f>
        <v>0.15000000000000002</v>
      </c>
      <c r="L439" s="119">
        <f ca="1">IF(AND(C439="烈日斩",模拟模式!$X$11=1),10%,0)+IF(AND(C439="驱夜断愁",AB439=1),30%,0)</f>
        <v>0.3</v>
      </c>
      <c r="M439" s="45">
        <f t="shared" ca="1" si="353"/>
        <v>0.51185145527300213</v>
      </c>
      <c r="N439" s="45">
        <f t="shared" ca="1" si="354"/>
        <v>0.43424854472699792</v>
      </c>
      <c r="O439" s="46">
        <f t="shared" ca="1" si="378"/>
        <v>0.16318670700666038</v>
      </c>
      <c r="P439" s="46" t="str">
        <f t="shared" ca="1" si="379"/>
        <v>会</v>
      </c>
      <c r="Q439" s="45">
        <f t="shared" ca="1" si="380"/>
        <v>2.162482885499879</v>
      </c>
      <c r="R439" s="117">
        <f ca="1">模拟模式!$E$20*(1-IF(模拟模式!$J$19="有",0.15,0))*(1-IF(模拟模式!$K$19="有",0.3,0)-IF(CQ439,0.5,0))</f>
        <v>843.02999999999975</v>
      </c>
      <c r="S439" s="45">
        <f ca="1">R439/(R439+(185*模拟模式!$E$22-16800)*4.08224)</f>
        <v>8.389626085980037E-2</v>
      </c>
      <c r="T439" s="45" t="str">
        <f ca="1">LOOKUP(D439,'模拟-单技能数据'!$A$2:$A$19,'模拟-单技能数据'!$H$2:$H$19)</f>
        <v>阴</v>
      </c>
      <c r="U439" s="119">
        <f t="shared" ca="1" si="355"/>
        <v>0.08</v>
      </c>
      <c r="V439" s="47">
        <f ca="1">(1+L439)*(LOOKUP(D439,'模拟-单技能数据'!$A$2:$A$19,'模拟-单技能数据'!$D$2:$D$19)+G439*LOOKUP(D439,'模拟-单技能数据'!$A$2:$A$19,'模拟-单技能数据'!$F$2:$F$19))*(1+J439)*(1+K439)*(1-S439)*(1+U439)*Q439*LOOKUP(D439,'模拟-单技能数据'!$A$2:$A$19,'模拟-单技能数据'!$I$2:$I$20)</f>
        <v>146988.79698588976</v>
      </c>
      <c r="W439" s="47">
        <f ca="1">LOOKUP(D439,'模拟-单技能数据'!$A$2:$A$19,'模拟-单技能数据'!$G$2:$G$19)*$I$10</f>
        <v>723.0212870940959</v>
      </c>
      <c r="X439" s="47">
        <f t="shared" ca="1" si="381"/>
        <v>12709.659338201996</v>
      </c>
      <c r="Y439" s="47">
        <f t="shared" ca="1" si="356"/>
        <v>160421.47761118587</v>
      </c>
      <c r="Z439" s="49">
        <f t="shared" ca="1" si="357"/>
        <v>42771762.354442991</v>
      </c>
      <c r="AA439" s="97">
        <f t="shared" ca="1" si="358"/>
        <v>112536.53893872861</v>
      </c>
      <c r="AB439" s="115">
        <f ca="1">IF(OR(C439="赤日轮1",C439="赤日轮2",C439="赤日轮3"),IF(RAND()&lt;模拟模式!$Y$17,1,0),IF(OR(C439="幽月轮1",C439="幽月轮2",C439="幽月轮3"),IF(RAND()&lt;模拟模式!$Y$18,1,0),IF(C439="烈日斩",IF(RAND()&lt;模拟模式!$Y$19,1,0),IF(C439="银月斩",IF(RAND()&lt;模拟模式!$Y$20,1,0),IF(C439="驱夜断愁",IF(RAND()&lt;模拟模式!$Y$21,1,0),IF(C439="净世破魔击·日",IF(RAND()&lt;模拟模式!$Y$22,1,0),IF(C439="净世破魔击·月",IF(RAND()&lt;模拟模式!$Y$23,1,0),0)))))))</f>
        <v>1</v>
      </c>
      <c r="AC439" s="115" t="b">
        <f t="shared" ca="1" si="346"/>
        <v>0</v>
      </c>
      <c r="AD439" s="115" t="b">
        <f t="shared" ca="1" si="366"/>
        <v>0</v>
      </c>
      <c r="AE439" s="115">
        <f t="shared" ca="1" si="367"/>
        <v>5</v>
      </c>
      <c r="AF439" s="47">
        <f ca="1">IF(AC439,('模拟-单技能数据'!$D$20+G439*'模拟-单技能数据'!$F$20)*(1+J439)*(1+'模拟-单技能数据'!$J$20)*(1+U439),0)</f>
        <v>0</v>
      </c>
      <c r="AG439" s="61">
        <f t="shared" ca="1" si="359"/>
        <v>0.64185145527300214</v>
      </c>
      <c r="AH439" s="61">
        <f t="shared" ca="1" si="360"/>
        <v>2.2624828854998791</v>
      </c>
      <c r="AI439" s="62">
        <f t="shared" ca="1" si="382"/>
        <v>0.1512269136296065</v>
      </c>
      <c r="AJ439" s="47">
        <f ca="1">IF(AD439,IF(AI439&lt;$F$10,0,IF(AI439&lt;$F$10+$F$11,0.25,IF(AI439&lt;$F$10+$F$11+AG439,AH439,1)))*IF(AF439&gt;0,AF439,IF(AF438&gt;0,AF438,IF(AF437&gt;0,AF437,IF(AF436&gt;0,AF436,IF(AF435&gt;0,AF435,IF(AF434&gt;0,AF434,IF(AF433&gt;0,AF433,IF(AF432&gt;0,AF432,IF(AF431&gt;0,AF431,IF(AF429&gt;0,AF429,IF(AF428&gt;0,AF428,IF(AF427&gt;0,AF427,0)))))))))))),0)*(1-$S439)*'模拟-单技能数据'!$I$20</f>
        <v>0</v>
      </c>
      <c r="AK439" s="115" t="b">
        <f t="shared" ca="1" si="347"/>
        <v>0</v>
      </c>
      <c r="AL439" s="115" t="b">
        <f t="shared" ca="1" si="368"/>
        <v>1</v>
      </c>
      <c r="AM439" s="115">
        <f t="shared" ca="1" si="369"/>
        <v>4</v>
      </c>
      <c r="AN439" s="47">
        <f ca="1">IF(AK439,('模拟-单技能数据'!$D$21+G439*'模拟-单技能数据'!$F$21)*(1+J439)*(1+'模拟-单技能数据'!$J$21)*(1+U439),0)</f>
        <v>0</v>
      </c>
      <c r="AO439" s="61">
        <f ca="1">IF(AN439&gt;0,M439-'模拟-单技能数据'!$K$10,AO438)</f>
        <v>0.42185145527300216</v>
      </c>
      <c r="AP439" s="61">
        <f ca="1">IF(AN439&gt;0,I439-'模拟-单技能数据'!$L$10,AP438)</f>
        <v>2.162482885499879</v>
      </c>
      <c r="AQ439" s="63">
        <f t="shared" ca="1" si="383"/>
        <v>0.95090161380131155</v>
      </c>
      <c r="AR439" s="64">
        <f ca="1">IF(AL439,IF(AQ439&lt;$F$10,0,IF(AQ439&lt;$F$10+$F$11,0.25,IF(AQ439&lt;$F$10+$F$11+AO439,AP439,1)))*IF(AN439&gt;0,AN439,IF(AN438&gt;0,AN438,IF(AN437&gt;0,AN437,IF(AN436&gt;0,AN436,IF(AN435&gt;0,AN435,IF(AN434&gt;0,AN434,IF(AN433&gt;0,AN433,IF(AN432&gt;0,AN432,IF(AN431&gt;0,AN431,IF(AN429&gt;0,AN429,IF(AN428&gt;0,AN428,IF(AN427&gt;0,AN427,0)))))))))))),0)*(1-$S439)*'模拟-单技能数据'!$I$21</f>
        <v>12709.659338201996</v>
      </c>
      <c r="AS439" s="61">
        <f ca="1">IF(OR(C439="净世破魔击·日",C439="净世破魔击·月"),M439-'模拟-单技能数据'!$K$10,0)</f>
        <v>0</v>
      </c>
      <c r="AT439" s="61">
        <f ca="1">IF(OR(C439="净世破魔击·日",C439="净世破魔击·月"),I439-'模拟-单技能数据'!$L$10,0)</f>
        <v>0</v>
      </c>
      <c r="AU439" s="62">
        <f t="shared" ca="1" si="384"/>
        <v>0.76580549139531229</v>
      </c>
      <c r="AV439" s="64">
        <f ca="1">IF(AS439&gt;0,('模拟-单技能数据'!$D$22+G439*'模拟-单技能数据'!$F$22)*(1+J439)*(1-S439)*IF(AU439&lt;$F$10,0,IF(AU439&lt;$F$10+$F$11,0.25,IF(AU439&lt;$F$10+$F$11+AS439,AT439,1)))*(1+U439),0)*'模拟-单技能数据'!$I$22</f>
        <v>0</v>
      </c>
      <c r="AW439" s="108">
        <f t="shared" ca="1" si="385"/>
        <v>17.232500000000002</v>
      </c>
      <c r="AX439" s="108" t="b">
        <f ca="1">AND(模拟模式!$P$10="有",AW438=0,RAND()&lt;IF(C439="净世破魔击·月",0.1*8/3,IF(C439="净世破魔击·日",0.1*4/3,0.1*2/3)))</f>
        <v>0</v>
      </c>
      <c r="AY439" s="47">
        <f ca="1">IF(AX439,(18+G439*0.722)*(1+J439)*(1-S439)*(1+$I$4)*IF(P439="会",'模拟-全程加成'!$J$3+'模拟-全程加成'!$J$4+'模拟-全程加成'!$J$5+('模拟-全程加成'!$I$4+'模拟-全程加成'!$I$5)/系数!$B$4+BG439*10%,IF(P439="命",1,IF(P439="识",0.25,0))),0)</f>
        <v>0</v>
      </c>
      <c r="AZ439" s="108">
        <f t="shared" si="386"/>
        <v>5.2400000000000064</v>
      </c>
      <c r="BA439" s="108" t="b">
        <f>AND(模拟模式!$Q$10="有",AZ438=0)</f>
        <v>0</v>
      </c>
      <c r="BB439" s="140">
        <f>IF(BA439,(0+G439*0.287)*(1+J439)*(1-S439)*(1+$I$4)*IF(P439="会",'模拟-全程加成'!$J$3+'模拟-全程加成'!$J$4+'模拟-全程加成'!$J$5+('模拟-全程加成'!$I$4+'模拟-全程加成'!$I$5)/系数!$B$4+BG439*10%,IF(P439="命",1,IF(P439="识",0.25,0))),0)</f>
        <v>0</v>
      </c>
      <c r="BC439" s="115" t="b">
        <f ca="1">AND(模拟模式!$R$7="伏明众生",E439=60,F439=20,DA439&lt;5,CZ438&lt;$F$4)</f>
        <v>0</v>
      </c>
      <c r="BD439" s="115">
        <f t="shared" ca="1" si="348"/>
        <v>0</v>
      </c>
      <c r="BE439" s="115" t="b">
        <f t="shared" ca="1" si="349"/>
        <v>0</v>
      </c>
      <c r="BF439" s="47">
        <f ca="1">IF(BC439,4*('模拟-单技能数据'!$D$24+G439*'模拟-单技能数据'!$F$24)*(1+J439)*(1+'模拟-单技能数据'!$J$24)*(1-S439)*(1+$I$3)*(('模拟-全程加成'!$J$3+'模拟-全程加成'!$J$4+'模拟-全程加成'!$J$5+('模拟-全程加成'!$I$4+'模拟-全程加成'!$I$5)/系数!$B$4+BG439*10%)*('模拟-全程加成'!$J$3+'模拟-全程加成'!$J$4+'模拟-全程加成'!$J$5+('模拟-全程加成'!$I$4+'模拟-全程加成'!$I$5)/系数!$B$4+BG439*10%)+(1-('模拟-全程加成'!$J$3+'模拟-全程加成'!$J$4+'模拟-全程加成'!$J$5+('模拟-全程加成'!$I$4+'模拟-全程加成'!$I$5)/系数!$B$4+BG439*10%)-$F$10-$F$11)+F425*0.25),0)*'模拟-单技能数据'!$I$24</f>
        <v>0</v>
      </c>
      <c r="BG439" s="115" t="b">
        <f ca="1">OR(AND(OR(C439="烈日斩",C439="银月斩"),模拟模式!$I$7="净身明礼"),AND(C439="净世破魔击·日",模拟模式!$J$7="洞若观火"),AND(C440="净世破魔击·月",模拟模式!$J$7="洞若观火"),AB439=1)</f>
        <v>1</v>
      </c>
      <c r="BH439" s="115" t="b">
        <f t="shared" ca="1" si="387"/>
        <v>0</v>
      </c>
      <c r="BI439" s="115">
        <f t="shared" ca="1" si="350"/>
        <v>3.2324999999999995</v>
      </c>
      <c r="BJ439" s="115" t="b">
        <f t="shared" ca="1" si="361"/>
        <v>1</v>
      </c>
      <c r="BK439" s="115" t="b">
        <f ca="1">AND(C439="驱夜断愁",模拟模式!$P$7="天地诛戮")</f>
        <v>1</v>
      </c>
      <c r="BL439" s="57">
        <f t="shared" ca="1" si="351"/>
        <v>20</v>
      </c>
      <c r="BM439" s="115" t="b">
        <f t="shared" ca="1" si="362"/>
        <v>1</v>
      </c>
      <c r="BN439" s="115" t="b">
        <f ca="1">AND(OR(C439="赤日轮1",C439="赤日轮2",C439="赤日轮3",C439="幽月轮1",C439="幽月轮2",C439="幽月轮3"),AB439=1,模拟模式!$L$7="明光恒照")</f>
        <v>0</v>
      </c>
      <c r="BO439" s="117">
        <f t="shared" ca="1" si="352"/>
        <v>28.155000000000001</v>
      </c>
      <c r="BP439" s="115">
        <f t="shared" ca="1" si="388"/>
        <v>6</v>
      </c>
      <c r="BQ439" s="115" t="b">
        <f>模拟模式!$K$10="2600·水"</f>
        <v>0</v>
      </c>
      <c r="BR439" s="117">
        <f t="shared" si="389"/>
        <v>0</v>
      </c>
      <c r="BS439" s="115">
        <f t="shared" si="390"/>
        <v>0</v>
      </c>
      <c r="BT439" s="115">
        <f t="shared" ca="1" si="391"/>
        <v>0</v>
      </c>
      <c r="BU439" s="115" t="b">
        <f ca="1">AND(模拟模式!$K$10="2300·雷",BT438=0,RAND()&lt;IF(C439="净世破魔击·月",5*0.05*2/3,IF(C439="净世破魔击·日",3*0.05*2/3,0.05*2*2/3)))</f>
        <v>0</v>
      </c>
      <c r="BV439" s="115">
        <f t="shared" ca="1" si="392"/>
        <v>0</v>
      </c>
      <c r="BW439" s="115">
        <f t="shared" ca="1" si="393"/>
        <v>175.38749999999993</v>
      </c>
      <c r="BX439" s="164" t="b">
        <f t="shared" ca="1" si="394"/>
        <v>0</v>
      </c>
      <c r="BY439" s="115">
        <f t="shared" ca="1" si="395"/>
        <v>10.387500000000003</v>
      </c>
      <c r="BZ439" s="115">
        <f>IF(OR(模拟模式!$P$16="10人团",模拟模式!$P$16="25人团"),IF(B439/30&gt;CA438,1,0),0)</f>
        <v>0</v>
      </c>
      <c r="CA439" s="115">
        <f t="shared" si="371"/>
        <v>0</v>
      </c>
      <c r="CB439" s="115">
        <f ca="1">IF(BZ439=1,IF(模拟模式!$P$16="10人团",15,0)+IF(模拟模式!$P$16="25人团",IF(RAND()&lt;0.6,15,0)),MAX(0,CB438-$F$4))</f>
        <v>0</v>
      </c>
      <c r="CC439" s="115" t="b">
        <f t="shared" ca="1" si="363"/>
        <v>0</v>
      </c>
      <c r="CD439" s="115">
        <f>IF(模拟模式!$Q$16="1个",IF(B439/40&gt;CE438,1,0),0)</f>
        <v>0</v>
      </c>
      <c r="CE439" s="115">
        <f t="shared" si="364"/>
        <v>0</v>
      </c>
      <c r="CF439" s="115">
        <f>IF(OR(CD439=1,模拟模式!$Q$16="2个"),20,MAX(0,CF438-$F$4))</f>
        <v>0</v>
      </c>
      <c r="CG439" s="115" t="b">
        <f t="shared" si="365"/>
        <v>0</v>
      </c>
      <c r="CH439" s="115">
        <f t="shared" ca="1" si="396"/>
        <v>29.077500000000001</v>
      </c>
      <c r="CI439" s="115" t="b">
        <f t="shared" ca="1" si="397"/>
        <v>1</v>
      </c>
      <c r="CJ439" s="119">
        <f t="shared" ca="1" si="398"/>
        <v>0.01</v>
      </c>
      <c r="CK439" s="115">
        <f t="shared" ca="1" si="399"/>
        <v>7.0774999999999997</v>
      </c>
      <c r="CL439" s="115" t="b">
        <f ca="1">AND(模拟模式!$S$7="驱夷逐法",OR(AND(C439="净世破魔击·月",E438&gt;59),AND(C439="净世破魔击·日",F438&gt;59)))</f>
        <v>0</v>
      </c>
      <c r="CM439" s="115" t="b">
        <f ca="1">OR(CL439,AND(C439="净世破魔击·日",CL438,RAND()&lt;模拟模式!$U$23))</f>
        <v>0</v>
      </c>
      <c r="CN439" s="115" t="b">
        <f ca="1">IF(模拟模式!$M$7="辉耀红尘",AND(C439="净世破魔击·月",CL439,CV439=0,E438&lt;80),AND(C439="净世破魔击·月",CL439,E438&lt;100))</f>
        <v>0</v>
      </c>
      <c r="CO439" s="115" t="b">
        <f t="shared" ca="1" si="372"/>
        <v>0</v>
      </c>
      <c r="CP439" s="115" t="b">
        <f ca="1">AND(模拟模式!$O$7="用晦而明",OR(C439="净世破魔击·日",C439="净世破魔击·月",C439="驱夜断愁"),AB439)</f>
        <v>1</v>
      </c>
      <c r="CQ439" s="115" t="b">
        <f ca="1">OR(CP439,AND(CP438,RAND()&lt;模拟模式!$U$23))</f>
        <v>1</v>
      </c>
      <c r="CR439" s="115" t="b">
        <f ca="1">AND(模拟模式!$S$7="日月齐光",OR(C439="幽月轮1",C439="幽月轮2",C439="幽月轮3",CR438),NOT(OR(C439="赤日轮1",C439="赤日轮2",C439="赤日轮3")))</f>
        <v>0</v>
      </c>
      <c r="CS439" s="115" t="b">
        <f ca="1">AND(模拟模式!$S$7="日月齐光",OR(C439="赤日轮1",C439="赤日轮2",C439="赤日轮3",CS438),NOT(OR(C439="幽月轮1",C439="幽月轮2",C439="幽月轮3")))</f>
        <v>0</v>
      </c>
      <c r="CT439" s="115">
        <f t="shared" ca="1" si="400"/>
        <v>0</v>
      </c>
      <c r="CU439" s="115" t="b">
        <f ca="1">AND(模拟模式!$K$10="阴阳往极",CT438=0,RAND()&lt;IF(C439="净世破魔击·月",0.0275*7/3,IF(C439="净世破魔击·日",0.0275*3/3,0.0275*2/3)))</f>
        <v>0</v>
      </c>
      <c r="CV439" s="115">
        <f t="shared" ca="1" si="401"/>
        <v>0</v>
      </c>
      <c r="CW439" s="115">
        <f t="shared" ca="1" si="373"/>
        <v>0.46499999999999975</v>
      </c>
      <c r="CX439" s="115">
        <f t="shared" ca="1" si="374"/>
        <v>5.0774999999999997</v>
      </c>
      <c r="CY439" s="115">
        <f ca="1">MAX(IF($C439="驱夜断愁",IF(模拟模式!$R$7="万念俱寂",6,45),CY438-$F$4),0)</f>
        <v>6</v>
      </c>
      <c r="CZ439" s="115">
        <f t="shared" ca="1" si="375"/>
        <v>0</v>
      </c>
      <c r="DA439" s="115">
        <f ca="1">IF(模拟模式!$N$7="日月同辉",IF(DB438=2,0,MIN(6,IF(AND(OR(C439="赤日轮1",C439="赤日轮2",C439="赤日轮3",C439="幽月轮1",C439="幽月轮2",C439="幽月轮3"),AB439=1),DA438+1,DA438))),0)</f>
        <v>0</v>
      </c>
      <c r="DB439" s="115">
        <f t="shared" ca="1" si="376"/>
        <v>2</v>
      </c>
      <c r="DC439" s="115"/>
      <c r="DD439" s="115"/>
      <c r="DE439" s="115"/>
      <c r="DF439" s="115"/>
      <c r="DG439" s="115"/>
      <c r="DH439" s="115"/>
      <c r="DI439" s="115"/>
      <c r="DJ439" s="115"/>
      <c r="DK439" s="115"/>
      <c r="DL439" s="115"/>
      <c r="DM439" s="115"/>
    </row>
    <row r="440" spans="2:117" x14ac:dyDescent="0.2">
      <c r="B440" s="117">
        <f t="shared" si="377"/>
        <v>380.99250000000364</v>
      </c>
      <c r="C440" s="167" t="str">
        <f t="shared" ca="1" si="370"/>
        <v>烈日斩</v>
      </c>
      <c r="D440" s="115">
        <f ca="1">IF(C440="赤日轮1",1,IF(C440="赤日轮2",2,IF(C440="赤日轮3",3,IF(C440="幽月轮1",4,IF(C440="幽月轮2",5,IF(C440="幽月轮3",6,IF(C440="烈日斩",7,IF(C440="银月斩",8,IF(C440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440="净世破魔击·月",17,IF(C440="驱夜断愁",18,0)))))))))))</f>
        <v>7</v>
      </c>
      <c r="E440" s="115">
        <f ca="1">IF(AND(CU440,OR(C440="幽月轮1",C440="幽月轮2",C440="幽月轮3",C440="银月斩",C440="驱夜断愁",C440="净世破魔击·月")),100,MIN(IF(OR(CN440,BE440),0,IF(OR($C440="赤日轮1",$C440="赤日轮2",$C440="赤日轮3"),E439+20+IF(模拟模式!$I$7="日月凌天",4,0)+IF(CR439,20,0),IF($C440="烈日斩",E439+40,IF($C440="驱夜断愁",IF(模拟模式!$R$7="万念俱寂",E439+20,E439+60),IF($C440="净世破魔击·月",IF(OR(DB439&gt;0,CV439&gt;0),100,IF(模拟模式!$M$7="辉耀红尘",E439+20,E439)),IF($C440="净世破魔击·日",E439-100,E439)))))),100))</f>
        <v>80</v>
      </c>
      <c r="F440" s="115">
        <f ca="1">IF(AND(CU440,OR(C440="赤日轮1",C440="赤日轮2",C440="赤日轮3",C440="烈日斩",C440="净世破魔击·日")),100,MIN(IF(CO440,0,IF(OR($C440="幽月轮1",$C440="幽月轮2",$C440="幽月轮3"),F439+20+IF(模拟模式!$I$7="日月凌天",4,0)+IF(CS439,20,0),IF($C440="银月斩",F439+40+IF(模拟模式!$X$12=1,5,0),IF($C440="驱夜断愁",IF(模拟模式!$R$7="万念俱寂",F439+20,F439+60),IF($C440="净世破魔击·月",IF(模拟模式!$M$7="辉耀红尘",F439-80,F439-100),IF(AND(C440="净世破魔击·日",OR(DB439&gt;0,CV439&gt;0)),100,F439)))))),100))</f>
        <v>85</v>
      </c>
      <c r="G440" s="117">
        <f ca="1">('模拟-全程加成'!$E$3+'模拟-全程加成'!$E$4+'模拟-全程加成'!$E$5+('模拟-全程加成'!$C$6-'模拟-全程加成'!$C$3)*系数!$B$9+BS440*23)*(1+'模拟-全程加成'!$F$4+'模拟-全程加成'!$F$5+BJ440*10%+BM440*20%+BP440*4%+CG440*30%)+$F$7*系数!$B$12</f>
        <v>21493.829400000002</v>
      </c>
      <c r="H440" s="45">
        <f ca="1">'模拟-全程加成'!$H$3+'模拟-全程加成'!$H$4+'模拟-全程加成'!$H$5+('模拟-全程加成'!$G$4+'模拟-全程加成'!$G$5+('模拟-全程加成'!$C$6-'模拟-全程加成'!$C$3)*系数!$B$13)/系数!$B$3+LOOKUP(D440,'模拟-单技能数据'!$A$2:$A$19,'模拟-单技能数据'!$K$2:$K$19)+BG440*10%+IF(BV440&gt;0,378,0)</f>
        <v>0.56185145527300218</v>
      </c>
      <c r="I440" s="45">
        <f ca="1">'模拟-全程加成'!$J$3+'模拟-全程加成'!$J$4+'模拟-全程加成'!$J$5+('模拟-全程加成'!$I$4+'模拟-全程加成'!$I$5)/系数!$B$4+LOOKUP(D440,'模拟-单技能数据'!$A$2:$A$19,'模拟-单技能数据'!$L$2:$L$19)+BG440*10%</f>
        <v>2.2624828854998791</v>
      </c>
      <c r="J440" s="45">
        <f ca="1">(('模拟-全程加成'!$K$3+'模拟-全程加成'!$K$4+'模拟-全程加成'!$K$5+('模拟-全程加成'!$C$6-'模拟-全程加成'!$C$3)*系数!$B$10+IF(BV440&gt;0,882,0)+IF(BY440&gt;0,1831,0))*(1+'模拟-全程加成'!$L$4+'模拟-全程加成'!$L$5+CC440*20%))/系数!$B$5</f>
        <v>0.85832564669386491</v>
      </c>
      <c r="K440" s="119">
        <f ca="1">LOOKUP(D440,'模拟-单技能数据'!$A$2:$A$19,'模拟-单技能数据'!$J$2:$J$19)+IF(CM440,60%,0)+IF(DB439-DB440&gt;0,30%,0)+IF(OR(AND(OR(C440="赤日轮1",C440="赤日轮2",C440="赤日轮3"),CR440),AND(OR(C440="幽月轮1",C440="幽月轮2",C440="幽月轮3"),CS440)),35%,0)+CJ440</f>
        <v>0.25</v>
      </c>
      <c r="L440" s="119">
        <f ca="1">IF(AND(C440="烈日斩",模拟模式!$X$11=1),10%,0)+IF(AND(C440="驱夜断愁",AB440=1),30%,0)</f>
        <v>0.1</v>
      </c>
      <c r="M440" s="45">
        <f t="shared" ca="1" si="353"/>
        <v>0.56185145527300218</v>
      </c>
      <c r="N440" s="45">
        <f t="shared" ca="1" si="354"/>
        <v>0.38424854472699788</v>
      </c>
      <c r="O440" s="46">
        <f t="shared" ca="1" si="378"/>
        <v>0.97173548552841849</v>
      </c>
      <c r="P440" s="46" t="str">
        <f t="shared" ca="1" si="379"/>
        <v>命</v>
      </c>
      <c r="Q440" s="45">
        <f t="shared" ca="1" si="380"/>
        <v>1</v>
      </c>
      <c r="R440" s="117">
        <f ca="1">模拟模式!$E$20*(1-IF(模拟模式!$J$19="有",0.15,0))*(1-IF(模拟模式!$K$19="有",0.3,0)-IF(CQ440,0.5,0))</f>
        <v>843.02999999999975</v>
      </c>
      <c r="S440" s="45">
        <f ca="1">R440/(R440+(185*模拟模式!$E$22-16800)*4.08224)</f>
        <v>8.389626085980037E-2</v>
      </c>
      <c r="T440" s="45" t="str">
        <f ca="1">LOOKUP(D440,'模拟-单技能数据'!$A$2:$A$19,'模拟-单技能数据'!$H$2:$H$19)</f>
        <v>阳</v>
      </c>
      <c r="U440" s="119">
        <f t="shared" ca="1" si="355"/>
        <v>0.2</v>
      </c>
      <c r="V440" s="47">
        <f ca="1">(1+L440)*(LOOKUP(D440,'模拟-单技能数据'!$A$2:$A$19,'模拟-单技能数据'!$D$2:$D$19)+G440*LOOKUP(D440,'模拟-单技能数据'!$A$2:$A$19,'模拟-单技能数据'!$F$2:$F$19))*(1+J440)*(1+K440)*(1-S440)*(1+U440)*Q440*LOOKUP(D440,'模拟-单技能数据'!$A$2:$A$19,'模拟-单技能数据'!$I$2:$I$20)</f>
        <v>53908.723774742022</v>
      </c>
      <c r="W440" s="47">
        <f ca="1">LOOKUP(D440,'模拟-单技能数据'!$A$2:$A$19,'模拟-单技能数据'!$G$2:$G$19)*$I$10</f>
        <v>361.51064354704795</v>
      </c>
      <c r="X440" s="47">
        <f t="shared" ca="1" si="381"/>
        <v>4653.9250584536203</v>
      </c>
      <c r="Y440" s="47">
        <f t="shared" ca="1" si="356"/>
        <v>58924.159476742687</v>
      </c>
      <c r="Z440" s="49">
        <f t="shared" ca="1" si="357"/>
        <v>42830686.513919733</v>
      </c>
      <c r="AA440" s="97">
        <f t="shared" ca="1" si="358"/>
        <v>112418.71300332506</v>
      </c>
      <c r="AB440" s="115">
        <f ca="1">IF(OR(C440="赤日轮1",C440="赤日轮2",C440="赤日轮3"),IF(RAND()&lt;模拟模式!$Y$17,1,0),IF(OR(C440="幽月轮1",C440="幽月轮2",C440="幽月轮3"),IF(RAND()&lt;模拟模式!$Y$18,1,0),IF(C440="烈日斩",IF(RAND()&lt;模拟模式!$Y$19,1,0),IF(C440="银月斩",IF(RAND()&lt;模拟模式!$Y$20,1,0),IF(C440="驱夜断愁",IF(RAND()&lt;模拟模式!$Y$21,1,0),IF(C440="净世破魔击·日",IF(RAND()&lt;模拟模式!$Y$22,1,0),IF(C440="净世破魔击·月",IF(RAND()&lt;模拟模式!$Y$23,1,0),0)))))))</f>
        <v>1</v>
      </c>
      <c r="AC440" s="115" t="b">
        <f t="shared" ca="1" si="346"/>
        <v>0</v>
      </c>
      <c r="AD440" s="115" t="b">
        <f t="shared" ca="1" si="366"/>
        <v>1</v>
      </c>
      <c r="AE440" s="115">
        <f t="shared" ca="1" si="367"/>
        <v>4</v>
      </c>
      <c r="AF440" s="47">
        <f ca="1">IF(AC440,('模拟-单技能数据'!$D$20+G440*'模拟-单技能数据'!$F$20)*(1+J440)*(1+'模拟-单技能数据'!$J$20)*(1+U440),0)</f>
        <v>0</v>
      </c>
      <c r="AG440" s="61">
        <f t="shared" ca="1" si="359"/>
        <v>0.64185145527300214</v>
      </c>
      <c r="AH440" s="61">
        <f t="shared" ca="1" si="360"/>
        <v>2.2624828854998791</v>
      </c>
      <c r="AI440" s="62">
        <f t="shared" ca="1" si="382"/>
        <v>0.89520642001980399</v>
      </c>
      <c r="AJ440" s="47">
        <f ca="1">IF(AD440,IF(AI440&lt;$F$10,0,IF(AI440&lt;$F$10+$F$11,0.25,IF(AI440&lt;$F$10+$F$11+AG440,AH440,1)))*IF(AF440&gt;0,AF440,IF(AF439&gt;0,AF439,IF(AF438&gt;0,AF438,IF(AF437&gt;0,AF437,IF(AF436&gt;0,AF436,IF(AF435&gt;0,AF435,IF(AF434&gt;0,AF434,IF(AF433&gt;0,AF433,IF(AF432&gt;0,AF432,IF(AF430&gt;0,AF430,IF(AF429&gt;0,AF429,IF(AF428&gt;0,AF428,0)))))))))))),0)*(1-$S440)*'模拟-单技能数据'!$I$20</f>
        <v>4653.9250584536203</v>
      </c>
      <c r="AK440" s="115" t="b">
        <f t="shared" ca="1" si="347"/>
        <v>0</v>
      </c>
      <c r="AL440" s="115" t="b">
        <f t="shared" ca="1" si="368"/>
        <v>0</v>
      </c>
      <c r="AM440" s="115">
        <f t="shared" ca="1" si="369"/>
        <v>4</v>
      </c>
      <c r="AN440" s="47">
        <f ca="1">IF(AK440,('模拟-单技能数据'!$D$21+G440*'模拟-单技能数据'!$F$21)*(1+J440)*(1+'模拟-单技能数据'!$J$21)*(1+U440),0)</f>
        <v>0</v>
      </c>
      <c r="AO440" s="61">
        <f ca="1">IF(AN440&gt;0,M440-'模拟-单技能数据'!$K$10,AO439)</f>
        <v>0.42185145527300216</v>
      </c>
      <c r="AP440" s="61">
        <f ca="1">IF(AN440&gt;0,I440-'模拟-单技能数据'!$L$10,AP439)</f>
        <v>2.162482885499879</v>
      </c>
      <c r="AQ440" s="63">
        <f t="shared" ca="1" si="383"/>
        <v>0.58643485310324595</v>
      </c>
      <c r="AR440" s="64">
        <f ca="1">IF(AL440,IF(AQ440&lt;$F$10,0,IF(AQ440&lt;$F$10+$F$11,0.25,IF(AQ440&lt;$F$10+$F$11+AO440,AP440,1)))*IF(AN440&gt;0,AN440,IF(AN439&gt;0,AN439,IF(AN438&gt;0,AN438,IF(AN437&gt;0,AN437,IF(AN436&gt;0,AN436,IF(AN435&gt;0,AN435,IF(AN434&gt;0,AN434,IF(AN433&gt;0,AN433,IF(AN432&gt;0,AN432,IF(AN430&gt;0,AN430,IF(AN429&gt;0,AN429,IF(AN428&gt;0,AN428,0)))))))))))),0)*(1-$S440)*'模拟-单技能数据'!$I$21</f>
        <v>0</v>
      </c>
      <c r="AS440" s="61">
        <f ca="1">IF(OR(C440="净世破魔击·日",C440="净世破魔击·月"),M440-'模拟-单技能数据'!$K$10,0)</f>
        <v>0</v>
      </c>
      <c r="AT440" s="61">
        <f ca="1">IF(OR(C440="净世破魔击·日",C440="净世破魔击·月"),I440-'模拟-单技能数据'!$L$10,0)</f>
        <v>0</v>
      </c>
      <c r="AU440" s="62">
        <f t="shared" ca="1" si="384"/>
        <v>0.22503922146556088</v>
      </c>
      <c r="AV440" s="64">
        <f ca="1">IF(AS440&gt;0,('模拟-单技能数据'!$D$22+G440*'模拟-单技能数据'!$F$22)*(1+J440)*(1-S440)*IF(AU440&lt;$F$10,0,IF(AU440&lt;$F$10+$F$11,0.25,IF(AU440&lt;$F$10+$F$11+AS440,AT440,1)))*(1+U440),0)*'模拟-单技能数据'!$I$22</f>
        <v>0</v>
      </c>
      <c r="AW440" s="108">
        <f t="shared" ca="1" si="385"/>
        <v>16.310000000000002</v>
      </c>
      <c r="AX440" s="108" t="b">
        <f ca="1">AND(模拟模式!$P$10="有",AW439=0,RAND()&lt;IF(C440="净世破魔击·月",0.1*8/3,IF(C440="净世破魔击·日",0.1*4/3,0.1*2/3)))</f>
        <v>0</v>
      </c>
      <c r="AY440" s="47">
        <f ca="1">IF(AX440,(18+G440*0.722)*(1+J440)*(1-S440)*(1+$I$4)*IF(P440="会",'模拟-全程加成'!$J$3+'模拟-全程加成'!$J$4+'模拟-全程加成'!$J$5+('模拟-全程加成'!$I$4+'模拟-全程加成'!$I$5)/系数!$B$4+BG440*10%,IF(P440="命",1,IF(P440="识",0.25,0))),0)</f>
        <v>0</v>
      </c>
      <c r="AZ440" s="108">
        <f t="shared" si="386"/>
        <v>4.3175000000000061</v>
      </c>
      <c r="BA440" s="108" t="b">
        <f>AND(模拟模式!$Q$10="有",AZ439=0)</f>
        <v>0</v>
      </c>
      <c r="BB440" s="140">
        <f>IF(BA440,(0+G440*0.287)*(1+J440)*(1-S440)*(1+$I$4)*IF(P440="会",'模拟-全程加成'!$J$3+'模拟-全程加成'!$J$4+'模拟-全程加成'!$J$5+('模拟-全程加成'!$I$4+'模拟-全程加成'!$I$5)/系数!$B$4+BG440*10%,IF(P440="命",1,IF(P440="识",0.25,0))),0)</f>
        <v>0</v>
      </c>
      <c r="BC440" s="115" t="b">
        <f ca="1">AND(模拟模式!$R$7="伏明众生",E440=60,F440=20,DA440&lt;5,CZ439&lt;$F$4)</f>
        <v>0</v>
      </c>
      <c r="BD440" s="115">
        <f t="shared" ca="1" si="348"/>
        <v>0</v>
      </c>
      <c r="BE440" s="115" t="b">
        <f t="shared" ca="1" si="349"/>
        <v>0</v>
      </c>
      <c r="BF440" s="47">
        <f ca="1">IF(BC440,4*('模拟-单技能数据'!$D$24+G440*'模拟-单技能数据'!$F$24)*(1+J440)*(1+'模拟-单技能数据'!$J$24)*(1-S440)*(1+$I$3)*(('模拟-全程加成'!$J$3+'模拟-全程加成'!$J$4+'模拟-全程加成'!$J$5+('模拟-全程加成'!$I$4+'模拟-全程加成'!$I$5)/系数!$B$4+BG440*10%)*('模拟-全程加成'!$J$3+'模拟-全程加成'!$J$4+'模拟-全程加成'!$J$5+('模拟-全程加成'!$I$4+'模拟-全程加成'!$I$5)/系数!$B$4+BG440*10%)+(1-('模拟-全程加成'!$J$3+'模拟-全程加成'!$J$4+'模拟-全程加成'!$J$5+('模拟-全程加成'!$I$4+'模拟-全程加成'!$I$5)/系数!$B$4+BG440*10%)-$F$10-$F$11)+F426*0.25),0)*'模拟-单技能数据'!$I$24</f>
        <v>0</v>
      </c>
      <c r="BG440" s="115" t="b">
        <f ca="1">OR(AND(OR(C440="烈日斩",C440="银月斩"),模拟模式!$I$7="净身明礼"),AND(C440="净世破魔击·日",模拟模式!$J$7="洞若观火"),AND(C441="净世破魔击·月",模拟模式!$J$7="洞若观火"),AB440=1)</f>
        <v>1</v>
      </c>
      <c r="BH440" s="115" t="b">
        <f t="shared" ca="1" si="387"/>
        <v>0</v>
      </c>
      <c r="BI440" s="115">
        <f t="shared" ca="1" si="350"/>
        <v>2.3099999999999996</v>
      </c>
      <c r="BJ440" s="115" t="b">
        <f t="shared" ca="1" si="361"/>
        <v>1</v>
      </c>
      <c r="BK440" s="115" t="b">
        <f ca="1">AND(C440="驱夜断愁",模拟模式!$P$7="天地诛戮")</f>
        <v>0</v>
      </c>
      <c r="BL440" s="57">
        <f t="shared" ca="1" si="351"/>
        <v>19.077500000000001</v>
      </c>
      <c r="BM440" s="115" t="b">
        <f t="shared" ca="1" si="362"/>
        <v>1</v>
      </c>
      <c r="BN440" s="115" t="b">
        <f ca="1">AND(OR(C440="赤日轮1",C440="赤日轮2",C440="赤日轮3",C440="幽月轮1",C440="幽月轮2",C440="幽月轮3"),AB440=1,模拟模式!$L$7="明光恒照")</f>
        <v>0</v>
      </c>
      <c r="BO440" s="117">
        <f t="shared" ca="1" si="352"/>
        <v>27.232500000000002</v>
      </c>
      <c r="BP440" s="115">
        <f t="shared" ca="1" si="388"/>
        <v>6</v>
      </c>
      <c r="BQ440" s="115" t="b">
        <f>模拟模式!$K$10="2600·水"</f>
        <v>0</v>
      </c>
      <c r="BR440" s="117">
        <f t="shared" si="389"/>
        <v>0</v>
      </c>
      <c r="BS440" s="115">
        <f t="shared" si="390"/>
        <v>0</v>
      </c>
      <c r="BT440" s="115">
        <f t="shared" ca="1" si="391"/>
        <v>0</v>
      </c>
      <c r="BU440" s="115" t="b">
        <f ca="1">AND(模拟模式!$K$10="2300·雷",BT439=0,RAND()&lt;IF(C440="净世破魔击·月",5*0.05*2/3,IF(C440="净世破魔击·日",3*0.05*2/3,0.05*2*2/3)))</f>
        <v>0</v>
      </c>
      <c r="BV440" s="115">
        <f t="shared" ca="1" si="392"/>
        <v>0</v>
      </c>
      <c r="BW440" s="115">
        <f t="shared" ca="1" si="393"/>
        <v>174.46499999999992</v>
      </c>
      <c r="BX440" s="164" t="b">
        <f t="shared" ca="1" si="394"/>
        <v>0</v>
      </c>
      <c r="BY440" s="115">
        <f t="shared" ca="1" si="395"/>
        <v>9.4650000000000034</v>
      </c>
      <c r="BZ440" s="115">
        <f>IF(OR(模拟模式!$P$16="10人团",模拟模式!$P$16="25人团"),IF(B440/30&gt;CA439,1,0),0)</f>
        <v>0</v>
      </c>
      <c r="CA440" s="115">
        <f t="shared" si="371"/>
        <v>0</v>
      </c>
      <c r="CB440" s="115">
        <f ca="1">IF(BZ440=1,IF(模拟模式!$P$16="10人团",15,0)+IF(模拟模式!$P$16="25人团",IF(RAND()&lt;0.6,15,0)),MAX(0,CB439-$F$4))</f>
        <v>0</v>
      </c>
      <c r="CC440" s="115" t="b">
        <f t="shared" ca="1" si="363"/>
        <v>0</v>
      </c>
      <c r="CD440" s="115">
        <f>IF(模拟模式!$Q$16="1个",IF(B440/40&gt;CE439,1,0),0)</f>
        <v>0</v>
      </c>
      <c r="CE440" s="115">
        <f t="shared" si="364"/>
        <v>0</v>
      </c>
      <c r="CF440" s="115">
        <f>IF(OR(CD440=1,模拟模式!$Q$16="2个"),20,MAX(0,CF439-$F$4))</f>
        <v>0</v>
      </c>
      <c r="CG440" s="115" t="b">
        <f t="shared" si="365"/>
        <v>0</v>
      </c>
      <c r="CH440" s="115">
        <f t="shared" ca="1" si="396"/>
        <v>28.155000000000001</v>
      </c>
      <c r="CI440" s="115" t="b">
        <f t="shared" ca="1" si="397"/>
        <v>0</v>
      </c>
      <c r="CJ440" s="119">
        <f t="shared" ca="1" si="398"/>
        <v>0.01</v>
      </c>
      <c r="CK440" s="115">
        <f t="shared" ca="1" si="399"/>
        <v>6.1549999999999994</v>
      </c>
      <c r="CL440" s="115" t="b">
        <f ca="1">AND(模拟模式!$S$7="驱夷逐法",OR(AND(C440="净世破魔击·月",E439&gt;59),AND(C440="净世破魔击·日",F439&gt;59)))</f>
        <v>0</v>
      </c>
      <c r="CM440" s="115" t="b">
        <f ca="1">OR(CL440,AND(C440="净世破魔击·日",CL439,RAND()&lt;模拟模式!$U$23))</f>
        <v>0</v>
      </c>
      <c r="CN440" s="115" t="b">
        <f ca="1">IF(模拟模式!$M$7="辉耀红尘",AND(C440="净世破魔击·月",CL440,CV440=0,E439&lt;80),AND(C440="净世破魔击·月",CL440,E439&lt;100))</f>
        <v>0</v>
      </c>
      <c r="CO440" s="115" t="b">
        <f t="shared" ca="1" si="372"/>
        <v>0</v>
      </c>
      <c r="CP440" s="115" t="b">
        <f ca="1">AND(模拟模式!$O$7="用晦而明",OR(C440="净世破魔击·日",C440="净世破魔击·月",C440="驱夜断愁"),AB440)</f>
        <v>0</v>
      </c>
      <c r="CQ440" s="115" t="b">
        <f ca="1">OR(CP440,AND(CP439,RAND()&lt;模拟模式!$U$23))</f>
        <v>1</v>
      </c>
      <c r="CR440" s="115" t="b">
        <f ca="1">AND(模拟模式!$S$7="日月齐光",OR(C440="幽月轮1",C440="幽月轮2",C440="幽月轮3",CR439),NOT(OR(C440="赤日轮1",C440="赤日轮2",C440="赤日轮3")))</f>
        <v>0</v>
      </c>
      <c r="CS440" s="115" t="b">
        <f ca="1">AND(模拟模式!$S$7="日月齐光",OR(C440="赤日轮1",C440="赤日轮2",C440="赤日轮3",CS439),NOT(OR(C440="幽月轮1",C440="幽月轮2",C440="幽月轮3")))</f>
        <v>0</v>
      </c>
      <c r="CT440" s="115">
        <f t="shared" ca="1" si="400"/>
        <v>0</v>
      </c>
      <c r="CU440" s="115" t="b">
        <f ca="1">AND(模拟模式!$K$10="阴阳往极",CT439=0,RAND()&lt;IF(C440="净世破魔击·月",0.0275*7/3,IF(C440="净世破魔击·日",0.0275*3/3,0.0275*2/3)))</f>
        <v>0</v>
      </c>
      <c r="CV440" s="115">
        <f t="shared" ca="1" si="401"/>
        <v>0</v>
      </c>
      <c r="CW440" s="115">
        <f t="shared" ca="1" si="373"/>
        <v>6</v>
      </c>
      <c r="CX440" s="115">
        <f t="shared" ca="1" si="374"/>
        <v>4.1549999999999994</v>
      </c>
      <c r="CY440" s="115">
        <f ca="1">MAX(IF($C440="驱夜断愁",IF(模拟模式!$R$7="万念俱寂",6,45),CY439-$F$4),0)</f>
        <v>5.0774999999999997</v>
      </c>
      <c r="CZ440" s="115">
        <f t="shared" ca="1" si="375"/>
        <v>0</v>
      </c>
      <c r="DA440" s="115">
        <f ca="1">IF(模拟模式!$N$7="日月同辉",IF(DB439=2,0,MIN(6,IF(AND(OR(C440="赤日轮1",C440="赤日轮2",C440="赤日轮3",C440="幽月轮1",C440="幽月轮2",C440="幽月轮3"),AB440=1),DA439+1,DA439))),0)</f>
        <v>0</v>
      </c>
      <c r="DB440" s="115">
        <f t="shared" ca="1" si="376"/>
        <v>2</v>
      </c>
      <c r="DC440" s="115"/>
      <c r="DD440" s="115"/>
      <c r="DE440" s="115"/>
      <c r="DF440" s="115"/>
      <c r="DG440" s="115"/>
      <c r="DH440" s="115"/>
      <c r="DI440" s="115"/>
      <c r="DJ440" s="115"/>
      <c r="DK440" s="115"/>
      <c r="DL440" s="115"/>
      <c r="DM440" s="115"/>
    </row>
    <row r="441" spans="2:117" x14ac:dyDescent="0.2">
      <c r="B441" s="117">
        <f t="shared" si="377"/>
        <v>381.91500000000366</v>
      </c>
      <c r="C441" s="167" t="str">
        <f t="shared" ca="1" si="370"/>
        <v>幽月轮1</v>
      </c>
      <c r="D441" s="115">
        <f ca="1">IF(C441="赤日轮1",1,IF(C441="赤日轮2",2,IF(C441="赤日轮3",3,IF(C441="幽月轮1",4,IF(C441="幽月轮2",5,IF(C441="幽月轮3",6,IF(C441="烈日斩",7,IF(C441="银月斩",8,IF(C441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441="净世破魔击·月",17,IF(C441="驱夜断愁",18,0)))))))))))</f>
        <v>4</v>
      </c>
      <c r="E441" s="115">
        <f ca="1">IF(AND(CU441,OR(C441="幽月轮1",C441="幽月轮2",C441="幽月轮3",C441="银月斩",C441="驱夜断愁",C441="净世破魔击·月")),100,MIN(IF(OR(CN441,BE441),0,IF(OR($C441="赤日轮1",$C441="赤日轮2",$C441="赤日轮3"),E440+20+IF(模拟模式!$I$7="日月凌天",4,0)+IF(CR440,20,0),IF($C441="烈日斩",E440+40,IF($C441="驱夜断愁",IF(模拟模式!$R$7="万念俱寂",E440+20,E440+60),IF($C441="净世破魔击·月",IF(OR(DB440&gt;0,CV440&gt;0),100,IF(模拟模式!$M$7="辉耀红尘",E440+20,E440)),IF($C441="净世破魔击·日",E440-100,E440)))))),100))</f>
        <v>80</v>
      </c>
      <c r="F441" s="115">
        <f ca="1">IF(AND(CU441,OR(C441="赤日轮1",C441="赤日轮2",C441="赤日轮3",C441="烈日斩",C441="净世破魔击·日")),100,MIN(IF(CO441,0,IF(OR($C441="幽月轮1",$C441="幽月轮2",$C441="幽月轮3"),F440+20+IF(模拟模式!$I$7="日月凌天",4,0)+IF(CS440,20,0),IF($C441="银月斩",F440+40+IF(模拟模式!$X$12=1,5,0),IF($C441="驱夜断愁",IF(模拟模式!$R$7="万念俱寂",F440+20,F440+60),IF($C441="净世破魔击·月",IF(模拟模式!$M$7="辉耀红尘",F440-80,F440-100),IF(AND(C441="净世破魔击·日",OR(DB440&gt;0,CV440&gt;0)),100,F440)))))),100))</f>
        <v>100</v>
      </c>
      <c r="G441" s="117">
        <f ca="1">('模拟-全程加成'!$E$3+'模拟-全程加成'!$E$4+'模拟-全程加成'!$E$5+('模拟-全程加成'!$C$6-'模拟-全程加成'!$C$3)*系数!$B$9+BS441*23)*(1+'模拟-全程加成'!$F$4+'模拟-全程加成'!$F$5+BJ441*10%+BM441*20%+BP441*4%+CG441*30%)+$F$7*系数!$B$12</f>
        <v>21493.829400000002</v>
      </c>
      <c r="H441" s="45">
        <f ca="1">'模拟-全程加成'!$H$3+'模拟-全程加成'!$H$4+'模拟-全程加成'!$H$5+('模拟-全程加成'!$G$4+'模拟-全程加成'!$G$5+('模拟-全程加成'!$C$6-'模拟-全程加成'!$C$3)*系数!$B$13)/系数!$B$3+LOOKUP(D441,'模拟-单技能数据'!$A$2:$A$19,'模拟-单技能数据'!$K$2:$K$19)+BG441*10%+IF(BV441&gt;0,378,0)</f>
        <v>0.51185145527300213</v>
      </c>
      <c r="I441" s="45">
        <f ca="1">'模拟-全程加成'!$J$3+'模拟-全程加成'!$J$4+'模拟-全程加成'!$J$5+('模拟-全程加成'!$I$4+'模拟-全程加成'!$I$5)/系数!$B$4+LOOKUP(D441,'模拟-单技能数据'!$A$2:$A$19,'模拟-单技能数据'!$L$2:$L$19)+BG441*10%</f>
        <v>2.162482885499879</v>
      </c>
      <c r="J441" s="45">
        <f ca="1">(('模拟-全程加成'!$K$3+'模拟-全程加成'!$K$4+'模拟-全程加成'!$K$5+('模拟-全程加成'!$C$6-'模拟-全程加成'!$C$3)*系数!$B$10+IF(BV441&gt;0,882,0)+IF(BY441&gt;0,1831,0))*(1+'模拟-全程加成'!$L$4+'模拟-全程加成'!$L$5+CC441*20%))/系数!$B$5</f>
        <v>0.85832564669386491</v>
      </c>
      <c r="K441" s="119">
        <f ca="1">LOOKUP(D441,'模拟-单技能数据'!$A$2:$A$19,'模拟-单技能数据'!$J$2:$J$19)+IF(CM441,60%,0)+IF(DB440-DB441&gt;0,30%,0)+IF(OR(AND(OR(C441="赤日轮1",C441="赤日轮2",C441="赤日轮3"),CR441),AND(OR(C441="幽月轮1",C441="幽月轮2",C441="幽月轮3"),CS441)),35%,0)+CJ441</f>
        <v>0.08</v>
      </c>
      <c r="L441" s="119">
        <f ca="1">IF(AND(C441="烈日斩",模拟模式!$X$11=1),10%,0)+IF(AND(C441="驱夜断愁",AB441=1),30%,0)</f>
        <v>0</v>
      </c>
      <c r="M441" s="45">
        <f t="shared" ca="1" si="353"/>
        <v>0.51185145527300213</v>
      </c>
      <c r="N441" s="45">
        <f t="shared" ca="1" si="354"/>
        <v>0.43424854472699792</v>
      </c>
      <c r="O441" s="46">
        <f t="shared" ca="1" si="378"/>
        <v>0.39132180499846081</v>
      </c>
      <c r="P441" s="46" t="str">
        <f t="shared" ca="1" si="379"/>
        <v>会</v>
      </c>
      <c r="Q441" s="45">
        <f t="shared" ca="1" si="380"/>
        <v>2.162482885499879</v>
      </c>
      <c r="R441" s="117">
        <f ca="1">模拟模式!$E$20*(1-IF(模拟模式!$J$19="有",0.15,0))*(1-IF(模拟模式!$K$19="有",0.3,0)-IF(CQ441,0.5,0))</f>
        <v>2950.6049999999996</v>
      </c>
      <c r="S441" s="45">
        <f ca="1">R441/(R441+(185*模拟模式!$E$22-16800)*4.08224)</f>
        <v>0.24272716014590323</v>
      </c>
      <c r="T441" s="45" t="str">
        <f ca="1">LOOKUP(D441,'模拟-单技能数据'!$A$2:$A$19,'模拟-单技能数据'!$H$2:$H$19)</f>
        <v>阴</v>
      </c>
      <c r="U441" s="119">
        <f t="shared" ca="1" si="355"/>
        <v>0.08</v>
      </c>
      <c r="V441" s="47">
        <f ca="1">(1+L441)*(LOOKUP(D441,'模拟-单技能数据'!$A$2:$A$19,'模拟-单技能数据'!$D$2:$D$19)+G441*LOOKUP(D441,'模拟-单技能数据'!$A$2:$A$19,'模拟-单技能数据'!$F$2:$F$19))*(1+J441)*(1+K441)*(1-S441)*(1+U441)*Q441*LOOKUP(D441,'模拟-单技能数据'!$A$2:$A$19,'模拟-单技能数据'!$I$2:$I$20)</f>
        <v>40482.355747279864</v>
      </c>
      <c r="W441" s="47">
        <f ca="1">LOOKUP(D441,'模拟-单技能数据'!$A$2:$A$19,'模拟-单技能数据'!$G$2:$G$19)*$I$10</f>
        <v>361.51064354704795</v>
      </c>
      <c r="X441" s="47">
        <f t="shared" ca="1" si="381"/>
        <v>10506.102539927975</v>
      </c>
      <c r="Y441" s="47">
        <f t="shared" ca="1" si="356"/>
        <v>51349.968930754883</v>
      </c>
      <c r="Z441" s="49">
        <f t="shared" ca="1" si="357"/>
        <v>42882036.482850492</v>
      </c>
      <c r="AA441" s="97">
        <f t="shared" ca="1" si="358"/>
        <v>112281.62413848653</v>
      </c>
      <c r="AB441" s="115">
        <f ca="1">IF(OR(C441="赤日轮1",C441="赤日轮2",C441="赤日轮3"),IF(RAND()&lt;模拟模式!$Y$17,1,0),IF(OR(C441="幽月轮1",C441="幽月轮2",C441="幽月轮3"),IF(RAND()&lt;模拟模式!$Y$18,1,0),IF(C441="烈日斩",IF(RAND()&lt;模拟模式!$Y$19,1,0),IF(C441="银月斩",IF(RAND()&lt;模拟模式!$Y$20,1,0),IF(C441="驱夜断愁",IF(RAND()&lt;模拟模式!$Y$21,1,0),IF(C441="净世破魔击·日",IF(RAND()&lt;模拟模式!$Y$22,1,0),IF(C441="净世破魔击·月",IF(RAND()&lt;模拟模式!$Y$23,1,0),0)))))))</f>
        <v>1</v>
      </c>
      <c r="AC441" s="115" t="b">
        <f t="shared" ca="1" si="346"/>
        <v>0</v>
      </c>
      <c r="AD441" s="115" t="b">
        <f t="shared" ca="1" si="366"/>
        <v>0</v>
      </c>
      <c r="AE441" s="115">
        <f t="shared" ca="1" si="367"/>
        <v>4</v>
      </c>
      <c r="AF441" s="47">
        <f ca="1">IF(AC441,('模拟-单技能数据'!$D$20+G441*'模拟-单技能数据'!$F$20)*(1+J441)*(1+'模拟-单技能数据'!$J$20)*(1+U441),0)</f>
        <v>0</v>
      </c>
      <c r="AG441" s="61">
        <f t="shared" ca="1" si="359"/>
        <v>0.64185145527300214</v>
      </c>
      <c r="AH441" s="61">
        <f t="shared" ca="1" si="360"/>
        <v>2.2624828854998791</v>
      </c>
      <c r="AI441" s="62">
        <f t="shared" ca="1" si="382"/>
        <v>0.6359433823374423</v>
      </c>
      <c r="AJ441" s="47">
        <f ca="1">IF(AD441,IF(AI441&lt;$F$10,0,IF(AI441&lt;$F$10+$F$11,0.25,IF(AI441&lt;$F$10+$F$11+AG441,AH441,1)))*IF(AF441&gt;0,AF441,IF(AF440&gt;0,AF440,IF(AF439&gt;0,AF439,IF(AF438&gt;0,AF438,IF(AF437&gt;0,AF437,IF(AF436&gt;0,AF436,IF(AF435&gt;0,AF435,IF(AF434&gt;0,AF434,IF(AF433&gt;0,AF433,IF(AF431&gt;0,AF431,IF(AF430&gt;0,AF430,IF(AF429&gt;0,AF429,0)))))))))))),0)*(1-$S441)*'模拟-单技能数据'!$I$20</f>
        <v>0</v>
      </c>
      <c r="AK441" s="115" t="b">
        <f t="shared" ca="1" si="347"/>
        <v>0</v>
      </c>
      <c r="AL441" s="115" t="b">
        <f t="shared" ca="1" si="368"/>
        <v>1</v>
      </c>
      <c r="AM441" s="115">
        <f t="shared" ca="1" si="369"/>
        <v>3</v>
      </c>
      <c r="AN441" s="47">
        <f ca="1">IF(AK441,('模拟-单技能数据'!$D$21+G441*'模拟-单技能数据'!$F$21)*(1+J441)*(1+'模拟-单技能数据'!$J$21)*(1+U441),0)</f>
        <v>0</v>
      </c>
      <c r="AO441" s="61">
        <f ca="1">IF(AN441&gt;0,M441-'模拟-单技能数据'!$K$10,AO440)</f>
        <v>0.42185145527300216</v>
      </c>
      <c r="AP441" s="61">
        <f ca="1">IF(AN441&gt;0,I441-'模拟-单技能数据'!$L$10,AP440)</f>
        <v>2.162482885499879</v>
      </c>
      <c r="AQ441" s="63">
        <f t="shared" ca="1" si="383"/>
        <v>0.72703923514774671</v>
      </c>
      <c r="AR441" s="64">
        <f ca="1">IF(AL441,IF(AQ441&lt;$F$10,0,IF(AQ441&lt;$F$10+$F$11,0.25,IF(AQ441&lt;$F$10+$F$11+AO441,AP441,1)))*IF(AN441&gt;0,AN441,IF(AN440&gt;0,AN440,IF(AN439&gt;0,AN439,IF(AN438&gt;0,AN438,IF(AN437&gt;0,AN437,IF(AN436&gt;0,AN436,IF(AN435&gt;0,AN435,IF(AN434&gt;0,AN434,IF(AN433&gt;0,AN433,IF(AN431&gt;0,AN431,IF(AN430&gt;0,AN430,IF(AN429&gt;0,AN429,0)))))))))))),0)*(1-$S441)*'模拟-单技能数据'!$I$21</f>
        <v>10506.102539927975</v>
      </c>
      <c r="AS441" s="61">
        <f ca="1">IF(OR(C441="净世破魔击·日",C441="净世破魔击·月"),M441-'模拟-单技能数据'!$K$10,0)</f>
        <v>0</v>
      </c>
      <c r="AT441" s="61">
        <f ca="1">IF(OR(C441="净世破魔击·日",C441="净世破魔击·月"),I441-'模拟-单技能数据'!$L$10,0)</f>
        <v>0</v>
      </c>
      <c r="AU441" s="62">
        <f t="shared" ca="1" si="384"/>
        <v>0.61395022749699502</v>
      </c>
      <c r="AV441" s="64">
        <f ca="1">IF(AS441&gt;0,('模拟-单技能数据'!$D$22+G441*'模拟-单技能数据'!$F$22)*(1+J441)*(1-S441)*IF(AU441&lt;$F$10,0,IF(AU441&lt;$F$10+$F$11,0.25,IF(AU441&lt;$F$10+$F$11+AS441,AT441,1)))*(1+U441),0)*'模拟-单技能数据'!$I$22</f>
        <v>0</v>
      </c>
      <c r="AW441" s="108">
        <f t="shared" ca="1" si="385"/>
        <v>15.387500000000003</v>
      </c>
      <c r="AX441" s="108" t="b">
        <f ca="1">AND(模拟模式!$P$10="有",AW440=0,RAND()&lt;IF(C441="净世破魔击·月",0.1*8/3,IF(C441="净世破魔击·日",0.1*4/3,0.1*2/3)))</f>
        <v>0</v>
      </c>
      <c r="AY441" s="47">
        <f ca="1">IF(AX441,(18+G441*0.722)*(1+J441)*(1-S441)*(1+$I$4)*IF(P441="会",'模拟-全程加成'!$J$3+'模拟-全程加成'!$J$4+'模拟-全程加成'!$J$5+('模拟-全程加成'!$I$4+'模拟-全程加成'!$I$5)/系数!$B$4+BG441*10%,IF(P441="命",1,IF(P441="识",0.25,0))),0)</f>
        <v>0</v>
      </c>
      <c r="AZ441" s="108">
        <f t="shared" si="386"/>
        <v>3.3950000000000062</v>
      </c>
      <c r="BA441" s="108" t="b">
        <f>AND(模拟模式!$Q$10="有",AZ440=0)</f>
        <v>0</v>
      </c>
      <c r="BB441" s="140">
        <f>IF(BA441,(0+G441*0.287)*(1+J441)*(1-S441)*(1+$I$4)*IF(P441="会",'模拟-全程加成'!$J$3+'模拟-全程加成'!$J$4+'模拟-全程加成'!$J$5+('模拟-全程加成'!$I$4+'模拟-全程加成'!$I$5)/系数!$B$4+BG441*10%,IF(P441="命",1,IF(P441="识",0.25,0))),0)</f>
        <v>0</v>
      </c>
      <c r="BC441" s="115" t="b">
        <f ca="1">AND(模拟模式!$R$7="伏明众生",E441=60,F441=20,DA441&lt;5,CZ440&lt;$F$4)</f>
        <v>0</v>
      </c>
      <c r="BD441" s="115">
        <f t="shared" ca="1" si="348"/>
        <v>0</v>
      </c>
      <c r="BE441" s="115" t="b">
        <f t="shared" ca="1" si="349"/>
        <v>0</v>
      </c>
      <c r="BF441" s="47">
        <f ca="1">IF(BC441,4*('模拟-单技能数据'!$D$24+G441*'模拟-单技能数据'!$F$24)*(1+J441)*(1+'模拟-单技能数据'!$J$24)*(1-S441)*(1+$I$3)*(('模拟-全程加成'!$J$3+'模拟-全程加成'!$J$4+'模拟-全程加成'!$J$5+('模拟-全程加成'!$I$4+'模拟-全程加成'!$I$5)/系数!$B$4+BG441*10%)*('模拟-全程加成'!$J$3+'模拟-全程加成'!$J$4+'模拟-全程加成'!$J$5+('模拟-全程加成'!$I$4+'模拟-全程加成'!$I$5)/系数!$B$4+BG441*10%)+(1-('模拟-全程加成'!$J$3+'模拟-全程加成'!$J$4+'模拟-全程加成'!$J$5+('模拟-全程加成'!$I$4+'模拟-全程加成'!$I$5)/系数!$B$4+BG441*10%)-$F$10-$F$11)+F427*0.25),0)*'模拟-单技能数据'!$I$24</f>
        <v>0</v>
      </c>
      <c r="BG441" s="115" t="b">
        <f ca="1">OR(AND(OR(C441="烈日斩",C441="银月斩"),模拟模式!$I$7="净身明礼"),AND(C441="净世破魔击·日",模拟模式!$J$7="洞若观火"),AND(C442="净世破魔击·月",模拟模式!$J$7="洞若观火"),AB441=1)</f>
        <v>1</v>
      </c>
      <c r="BH441" s="115" t="b">
        <f t="shared" ca="1" si="387"/>
        <v>0</v>
      </c>
      <c r="BI441" s="115">
        <f t="shared" ca="1" si="350"/>
        <v>1.3874999999999997</v>
      </c>
      <c r="BJ441" s="115" t="b">
        <f t="shared" ca="1" si="361"/>
        <v>1</v>
      </c>
      <c r="BK441" s="115" t="b">
        <f ca="1">AND(C441="驱夜断愁",模拟模式!$P$7="天地诛戮")</f>
        <v>0</v>
      </c>
      <c r="BL441" s="57">
        <f t="shared" ca="1" si="351"/>
        <v>18.155000000000001</v>
      </c>
      <c r="BM441" s="115" t="b">
        <f t="shared" ca="1" si="362"/>
        <v>1</v>
      </c>
      <c r="BN441" s="115" t="b">
        <f ca="1">AND(OR(C441="赤日轮1",C441="赤日轮2",C441="赤日轮3",C441="幽月轮1",C441="幽月轮2",C441="幽月轮3"),AB441=1,模拟模式!$L$7="明光恒照")</f>
        <v>1</v>
      </c>
      <c r="BO441" s="117">
        <f t="shared" ca="1" si="352"/>
        <v>30</v>
      </c>
      <c r="BP441" s="115">
        <f t="shared" ca="1" si="388"/>
        <v>6</v>
      </c>
      <c r="BQ441" s="115" t="b">
        <f>模拟模式!$K$10="2600·水"</f>
        <v>0</v>
      </c>
      <c r="BR441" s="117">
        <f t="shared" si="389"/>
        <v>0</v>
      </c>
      <c r="BS441" s="115">
        <f t="shared" si="390"/>
        <v>0</v>
      </c>
      <c r="BT441" s="115">
        <f t="shared" ca="1" si="391"/>
        <v>0</v>
      </c>
      <c r="BU441" s="115" t="b">
        <f ca="1">AND(模拟模式!$K$10="2300·雷",BT440=0,RAND()&lt;IF(C441="净世破魔击·月",5*0.05*2/3,IF(C441="净世破魔击·日",3*0.05*2/3,0.05*2*2/3)))</f>
        <v>0</v>
      </c>
      <c r="BV441" s="115">
        <f t="shared" ca="1" si="392"/>
        <v>0</v>
      </c>
      <c r="BW441" s="115">
        <f t="shared" ca="1" si="393"/>
        <v>173.5424999999999</v>
      </c>
      <c r="BX441" s="164" t="b">
        <f t="shared" ca="1" si="394"/>
        <v>0</v>
      </c>
      <c r="BY441" s="115">
        <f t="shared" ca="1" si="395"/>
        <v>8.542500000000004</v>
      </c>
      <c r="BZ441" s="115">
        <f>IF(OR(模拟模式!$P$16="10人团",模拟模式!$P$16="25人团"),IF(B441/30&gt;CA440,1,0),0)</f>
        <v>0</v>
      </c>
      <c r="CA441" s="115">
        <f t="shared" si="371"/>
        <v>0</v>
      </c>
      <c r="CB441" s="115">
        <f ca="1">IF(BZ441=1,IF(模拟模式!$P$16="10人团",15,0)+IF(模拟模式!$P$16="25人团",IF(RAND()&lt;0.6,15,0)),MAX(0,CB440-$F$4))</f>
        <v>0</v>
      </c>
      <c r="CC441" s="115" t="b">
        <f t="shared" ca="1" si="363"/>
        <v>0</v>
      </c>
      <c r="CD441" s="115">
        <f>IF(模拟模式!$Q$16="1个",IF(B441/40&gt;CE440,1,0),0)</f>
        <v>0</v>
      </c>
      <c r="CE441" s="115">
        <f t="shared" si="364"/>
        <v>0</v>
      </c>
      <c r="CF441" s="115">
        <f>IF(OR(CD441=1,模拟模式!$Q$16="2个"),20,MAX(0,CF440-$F$4))</f>
        <v>0</v>
      </c>
      <c r="CG441" s="115" t="b">
        <f t="shared" si="365"/>
        <v>0</v>
      </c>
      <c r="CH441" s="115">
        <f t="shared" ca="1" si="396"/>
        <v>27.232500000000002</v>
      </c>
      <c r="CI441" s="115" t="b">
        <f t="shared" ca="1" si="397"/>
        <v>0</v>
      </c>
      <c r="CJ441" s="119">
        <f t="shared" ca="1" si="398"/>
        <v>0.01</v>
      </c>
      <c r="CK441" s="115">
        <f t="shared" ca="1" si="399"/>
        <v>5.232499999999999</v>
      </c>
      <c r="CL441" s="115" t="b">
        <f ca="1">AND(模拟模式!$S$7="驱夷逐法",OR(AND(C441="净世破魔击·月",E440&gt;59),AND(C441="净世破魔击·日",F440&gt;59)))</f>
        <v>0</v>
      </c>
      <c r="CM441" s="115" t="b">
        <f ca="1">OR(CL441,AND(C441="净世破魔击·日",CL440,RAND()&lt;模拟模式!$U$23))</f>
        <v>0</v>
      </c>
      <c r="CN441" s="115" t="b">
        <f ca="1">IF(模拟模式!$M$7="辉耀红尘",AND(C441="净世破魔击·月",CL441,CV441=0,E440&lt;80),AND(C441="净世破魔击·月",CL441,E440&lt;100))</f>
        <v>0</v>
      </c>
      <c r="CO441" s="115" t="b">
        <f t="shared" ca="1" si="372"/>
        <v>0</v>
      </c>
      <c r="CP441" s="115" t="b">
        <f ca="1">AND(模拟模式!$O$7="用晦而明",OR(C441="净世破魔击·日",C441="净世破魔击·月",C441="驱夜断愁"),AB441)</f>
        <v>0</v>
      </c>
      <c r="CQ441" s="115" t="b">
        <f ca="1">OR(CP441,AND(CP440,RAND()&lt;模拟模式!$U$23))</f>
        <v>0</v>
      </c>
      <c r="CR441" s="115" t="b">
        <f ca="1">AND(模拟模式!$S$7="日月齐光",OR(C441="幽月轮1",C441="幽月轮2",C441="幽月轮3",CR440),NOT(OR(C441="赤日轮1",C441="赤日轮2",C441="赤日轮3")))</f>
        <v>0</v>
      </c>
      <c r="CS441" s="115" t="b">
        <f ca="1">AND(模拟模式!$S$7="日月齐光",OR(C441="赤日轮1",C441="赤日轮2",C441="赤日轮3",CS440),NOT(OR(C441="幽月轮1",C441="幽月轮2",C441="幽月轮3")))</f>
        <v>0</v>
      </c>
      <c r="CT441" s="115">
        <f t="shared" ca="1" si="400"/>
        <v>0</v>
      </c>
      <c r="CU441" s="115" t="b">
        <f ca="1">AND(模拟模式!$K$10="阴阳往极",CT440=0,RAND()&lt;IF(C441="净世破魔击·月",0.0275*7/3,IF(C441="净世破魔击·日",0.0275*3/3,0.0275*2/3)))</f>
        <v>0</v>
      </c>
      <c r="CV441" s="115">
        <f t="shared" ca="1" si="401"/>
        <v>0</v>
      </c>
      <c r="CW441" s="115">
        <f t="shared" ca="1" si="373"/>
        <v>5.0774999999999997</v>
      </c>
      <c r="CX441" s="115">
        <f t="shared" ca="1" si="374"/>
        <v>3.2324999999999995</v>
      </c>
      <c r="CY441" s="115">
        <f ca="1">MAX(IF($C441="驱夜断愁",IF(模拟模式!$R$7="万念俱寂",6,45),CY440-$F$4),0)</f>
        <v>4.1549999999999994</v>
      </c>
      <c r="CZ441" s="115">
        <f t="shared" ca="1" si="375"/>
        <v>0</v>
      </c>
      <c r="DA441" s="115">
        <f ca="1">IF(模拟模式!$N$7="日月同辉",IF(DB440=2,0,MIN(6,IF(AND(OR(C441="赤日轮1",C441="赤日轮2",C441="赤日轮3",C441="幽月轮1",C441="幽月轮2",C441="幽月轮3"),AB441=1),DA440+1,DA440))),0)</f>
        <v>0</v>
      </c>
      <c r="DB441" s="115">
        <f t="shared" ca="1" si="376"/>
        <v>2</v>
      </c>
      <c r="DC441" s="115"/>
      <c r="DD441" s="115"/>
      <c r="DE441" s="115"/>
      <c r="DF441" s="115"/>
      <c r="DG441" s="115"/>
      <c r="DH441" s="115"/>
      <c r="DI441" s="115"/>
      <c r="DJ441" s="115"/>
      <c r="DK441" s="115"/>
      <c r="DL441" s="115"/>
      <c r="DM441" s="115"/>
    </row>
    <row r="442" spans="2:117" x14ac:dyDescent="0.2">
      <c r="B442" s="117">
        <f t="shared" si="377"/>
        <v>382.83750000000367</v>
      </c>
      <c r="C442" s="167" t="str">
        <f t="shared" ca="1" si="370"/>
        <v>净世破魔击·月</v>
      </c>
      <c r="D442" s="115">
        <f ca="1">IF(C442="赤日轮1",1,IF(C442="赤日轮2",2,IF(C442="赤日轮3",3,IF(C442="幽月轮1",4,IF(C442="幽月轮2",5,IF(C442="幽月轮3",6,IF(C442="烈日斩",7,IF(C442="银月斩",8,IF(C442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442="净世破魔击·月",17,IF(C442="驱夜断愁",18,0)))))))))))</f>
        <v>17</v>
      </c>
      <c r="E442" s="115">
        <f ca="1">IF(AND(CU442,OR(C442="幽月轮1",C442="幽月轮2",C442="幽月轮3",C442="银月斩",C442="驱夜断愁",C442="净世破魔击·月")),100,MIN(IF(OR(CN442,BE442),0,IF(OR($C442="赤日轮1",$C442="赤日轮2",$C442="赤日轮3"),E441+20+IF(模拟模式!$I$7="日月凌天",4,0)+IF(CR441,20,0),IF($C442="烈日斩",E441+40,IF($C442="驱夜断愁",IF(模拟模式!$R$7="万念俱寂",E441+20,E441+60),IF($C442="净世破魔击·月",IF(OR(DB441&gt;0,CV441&gt;0),100,IF(模拟模式!$M$7="辉耀红尘",E441+20,E441)),IF($C442="净世破魔击·日",E441-100,E441)))))),100))</f>
        <v>100</v>
      </c>
      <c r="F442" s="115">
        <f ca="1">IF(AND(CU442,OR(C442="赤日轮1",C442="赤日轮2",C442="赤日轮3",C442="烈日斩",C442="净世破魔击·日")),100,MIN(IF(CO442,0,IF(OR($C442="幽月轮1",$C442="幽月轮2",$C442="幽月轮3"),F441+20+IF(模拟模式!$I$7="日月凌天",4,0)+IF(CS441,20,0),IF($C442="银月斩",F441+40+IF(模拟模式!$X$12=1,5,0),IF($C442="驱夜断愁",IF(模拟模式!$R$7="万念俱寂",F441+20,F441+60),IF($C442="净世破魔击·月",IF(模拟模式!$M$7="辉耀红尘",F441-80,F441-100),IF(AND(C442="净世破魔击·日",OR(DB441&gt;0,CV441&gt;0)),100,F441)))))),100))</f>
        <v>20</v>
      </c>
      <c r="G442" s="117">
        <f ca="1">('模拟-全程加成'!$E$3+'模拟-全程加成'!$E$4+'模拟-全程加成'!$E$5+('模拟-全程加成'!$C$6-'模拟-全程加成'!$C$3)*系数!$B$9+BS442*23)*(1+'模拟-全程加成'!$F$4+'模拟-全程加成'!$F$5+BJ442*10%+BM442*20%+BP442*4%+CG442*30%)+$F$7*系数!$B$12</f>
        <v>21493.829400000002</v>
      </c>
      <c r="H442" s="45">
        <f ca="1">'模拟-全程加成'!$H$3+'模拟-全程加成'!$H$4+'模拟-全程加成'!$H$5+('模拟-全程加成'!$G$4+'模拟-全程加成'!$G$5+('模拟-全程加成'!$C$6-'模拟-全程加成'!$C$3)*系数!$B$13)/系数!$B$3+LOOKUP(D442,'模拟-单技能数据'!$A$2:$A$19,'模拟-单技能数据'!$K$2:$K$19)+BG442*10%+IF(BV442&gt;0,378,0)</f>
        <v>0.54185145527300216</v>
      </c>
      <c r="I442" s="45">
        <f ca="1">'模拟-全程加成'!$J$3+'模拟-全程加成'!$J$4+'模拟-全程加成'!$J$5+('模拟-全程加成'!$I$4+'模拟-全程加成'!$I$5)/系数!$B$4+LOOKUP(D442,'模拟-单技能数据'!$A$2:$A$19,'模拟-单技能数据'!$L$2:$L$19)+BG442*10%</f>
        <v>2.162482885499879</v>
      </c>
      <c r="J442" s="45">
        <f ca="1">(('模拟-全程加成'!$K$3+'模拟-全程加成'!$K$4+'模拟-全程加成'!$K$5+('模拟-全程加成'!$C$6-'模拟-全程加成'!$C$3)*系数!$B$10+IF(BV442&gt;0,882,0)+IF(BY442&gt;0,1831,0))*(1+'模拟-全程加成'!$L$4+'模拟-全程加成'!$L$5+CC442*20%))/系数!$B$5</f>
        <v>0.85832564669386491</v>
      </c>
      <c r="K442" s="119">
        <f ca="1">LOOKUP(D442,'模拟-单技能数据'!$A$2:$A$19,'模拟-单技能数据'!$J$2:$J$19)+IF(CM442,60%,0)+IF(DB441-DB442&gt;0,30%,0)+IF(OR(AND(OR(C442="赤日轮1",C442="赤日轮2",C442="赤日轮3"),CR442),AND(OR(C442="幽月轮1",C442="幽月轮2",C442="幽月轮3"),CS442)),35%,0)+CJ442</f>
        <v>1.1100000000000001</v>
      </c>
      <c r="L442" s="119">
        <f ca="1">IF(AND(C442="烈日斩",模拟模式!$X$11=1),10%,0)+IF(AND(C442="驱夜断愁",AB442=1),30%,0)</f>
        <v>0</v>
      </c>
      <c r="M442" s="45">
        <f t="shared" ca="1" si="353"/>
        <v>0.54185145527300216</v>
      </c>
      <c r="N442" s="45">
        <f t="shared" ca="1" si="354"/>
        <v>0.40424854472699789</v>
      </c>
      <c r="O442" s="46">
        <f t="shared" ca="1" si="378"/>
        <v>0.39255857250930792</v>
      </c>
      <c r="P442" s="46" t="str">
        <f t="shared" ca="1" si="379"/>
        <v>会</v>
      </c>
      <c r="Q442" s="45">
        <f t="shared" ca="1" si="380"/>
        <v>2.162482885499879</v>
      </c>
      <c r="R442" s="117">
        <f ca="1">模拟模式!$E$20*(1-IF(模拟模式!$J$19="有",0.15,0))*(1-IF(模拟模式!$K$19="有",0.3,0)-IF(CQ442,0.5,0))</f>
        <v>843.02999999999975</v>
      </c>
      <c r="S442" s="45">
        <f ca="1">R442/(R442+(185*模拟模式!$E$22-16800)*4.08224)</f>
        <v>8.389626085980037E-2</v>
      </c>
      <c r="T442" s="45" t="str">
        <f ca="1">LOOKUP(D442,'模拟-单技能数据'!$A$2:$A$19,'模拟-单技能数据'!$H$2:$H$19)</f>
        <v>阴</v>
      </c>
      <c r="U442" s="119">
        <f t="shared" ca="1" si="355"/>
        <v>0.08</v>
      </c>
      <c r="V442" s="47">
        <f ca="1">(1+L442)*(LOOKUP(D442,'模拟-单技能数据'!$A$2:$A$19,'模拟-单技能数据'!$D$2:$D$19)+G442*LOOKUP(D442,'模拟-单技能数据'!$A$2:$A$19,'模拟-单技能数据'!$F$2:$F$19))*(1+J442)*(1+K442)*(1-S442)*(1+U442)*Q442*LOOKUP(D442,'模拟-单技能数据'!$A$2:$A$19,'模拟-单技能数据'!$I$2:$I$20)</f>
        <v>234288.76254297764</v>
      </c>
      <c r="W442" s="47">
        <f ca="1">LOOKUP(D442,'模拟-单技能数据'!$A$2:$A$19,'模拟-单技能数据'!$G$2:$G$19)*$I$10</f>
        <v>361.51064354704795</v>
      </c>
      <c r="X442" s="47">
        <f t="shared" ca="1" si="381"/>
        <v>29367.630630596344</v>
      </c>
      <c r="Y442" s="47">
        <f t="shared" ca="1" si="356"/>
        <v>264017.90381712106</v>
      </c>
      <c r="Z442" s="49">
        <f t="shared" ca="1" si="357"/>
        <v>43146054.386667617</v>
      </c>
      <c r="AA442" s="97">
        <f t="shared" ca="1" si="358"/>
        <v>112700.70039290091</v>
      </c>
      <c r="AB442" s="115">
        <f ca="1">IF(OR(C442="赤日轮1",C442="赤日轮2",C442="赤日轮3"),IF(RAND()&lt;模拟模式!$Y$17,1,0),IF(OR(C442="幽月轮1",C442="幽月轮2",C442="幽月轮3"),IF(RAND()&lt;模拟模式!$Y$18,1,0),IF(C442="烈日斩",IF(RAND()&lt;模拟模式!$Y$19,1,0),IF(C442="银月斩",IF(RAND()&lt;模拟模式!$Y$20,1,0),IF(C442="驱夜断愁",IF(RAND()&lt;模拟模式!$Y$21,1,0),IF(C442="净世破魔击·日",IF(RAND()&lt;模拟模式!$Y$22,1,0),IF(C442="净世破魔击·月",IF(RAND()&lt;模拟模式!$Y$23,1,0),0)))))))</f>
        <v>1</v>
      </c>
      <c r="AC442" s="115" t="b">
        <f t="shared" ca="1" si="346"/>
        <v>0</v>
      </c>
      <c r="AD442" s="115" t="b">
        <f t="shared" ca="1" si="366"/>
        <v>1</v>
      </c>
      <c r="AE442" s="115">
        <f t="shared" ca="1" si="367"/>
        <v>3</v>
      </c>
      <c r="AF442" s="47">
        <f ca="1">IF(AC442,('模拟-单技能数据'!$D$20+G442*'模拟-单技能数据'!$F$20)*(1+J442)*(1+'模拟-单技能数据'!$J$20)*(1+U442),0)</f>
        <v>0</v>
      </c>
      <c r="AG442" s="61">
        <f t="shared" ca="1" si="359"/>
        <v>0.64185145527300214</v>
      </c>
      <c r="AH442" s="61">
        <f t="shared" ca="1" si="360"/>
        <v>2.2624828854998791</v>
      </c>
      <c r="AI442" s="62">
        <f t="shared" ca="1" si="382"/>
        <v>9.2289360737837334E-2</v>
      </c>
      <c r="AJ442" s="47">
        <f ca="1">IF(AD442,IF(AI442&lt;$F$10,0,IF(AI442&lt;$F$10+$F$11,0.25,IF(AI442&lt;$F$10+$F$11+AG442,AH442,1)))*IF(AF442&gt;0,AF442,IF(AF441&gt;0,AF441,IF(AF440&gt;0,AF440,IF(AF439&gt;0,AF439,IF(AF438&gt;0,AF438,IF(AF437&gt;0,AF437,IF(AF436&gt;0,AF436,IF(AF435&gt;0,AF435,IF(AF434&gt;0,AF434,IF(AF432&gt;0,AF432,IF(AF431&gt;0,AF431,IF(AF430&gt;0,AF430,0)))))))))))),0)*(1-$S442)*'模拟-单技能数据'!$I$20</f>
        <v>10529.42579515034</v>
      </c>
      <c r="AK442" s="115" t="b">
        <f t="shared" ca="1" si="347"/>
        <v>0</v>
      </c>
      <c r="AL442" s="115" t="b">
        <f t="shared" ca="1" si="368"/>
        <v>0</v>
      </c>
      <c r="AM442" s="115">
        <f t="shared" ca="1" si="369"/>
        <v>3</v>
      </c>
      <c r="AN442" s="47">
        <f ca="1">IF(AK442,('模拟-单技能数据'!$D$21+G442*'模拟-单技能数据'!$F$21)*(1+J442)*(1+'模拟-单技能数据'!$J$21)*(1+U442),0)</f>
        <v>0</v>
      </c>
      <c r="AO442" s="61">
        <f ca="1">IF(AN442&gt;0,M442-'模拟-单技能数据'!$K$10,AO441)</f>
        <v>0.42185145527300216</v>
      </c>
      <c r="AP442" s="61">
        <f ca="1">IF(AN442&gt;0,I442-'模拟-单技能数据'!$L$10,AP441)</f>
        <v>2.162482885499879</v>
      </c>
      <c r="AQ442" s="63">
        <f t="shared" ca="1" si="383"/>
        <v>0.71334202813718695</v>
      </c>
      <c r="AR442" s="64">
        <f ca="1">IF(AL442,IF(AQ442&lt;$F$10,0,IF(AQ442&lt;$F$10+$F$11,0.25,IF(AQ442&lt;$F$10+$F$11+AO442,AP442,1)))*IF(AN442&gt;0,AN442,IF(AN441&gt;0,AN441,IF(AN440&gt;0,AN440,IF(AN439&gt;0,AN439,IF(AN438&gt;0,AN438,IF(AN437&gt;0,AN437,IF(AN436&gt;0,AN436,IF(AN435&gt;0,AN435,IF(AN434&gt;0,AN434,IF(AN432&gt;0,AN432,IF(AN431&gt;0,AN431,IF(AN430&gt;0,AN430,0)))))))))))),0)*(1-$S442)*'模拟-单技能数据'!$I$21</f>
        <v>0</v>
      </c>
      <c r="AS442" s="61">
        <f ca="1">IF(OR(C442="净世破魔击·日",C442="净世破魔击·月"),M442-'模拟-单技能数据'!$K$10,0)</f>
        <v>0.42185145527300216</v>
      </c>
      <c r="AT442" s="61">
        <f ca="1">IF(OR(C442="净世破魔击·日",C442="净世破魔击·月"),I442-'模拟-单技能数据'!$L$10,0)</f>
        <v>2.162482885499879</v>
      </c>
      <c r="AU442" s="62">
        <f t="shared" ca="1" si="384"/>
        <v>0.45664976374901456</v>
      </c>
      <c r="AV442" s="64">
        <f ca="1">IF(AS442&gt;0,('模拟-单技能数据'!$D$22+G442*'模拟-单技能数据'!$F$22)*(1+J442)*(1-S442)*IF(AU442&lt;$F$10,0,IF(AU442&lt;$F$10+$F$11,0.25,IF(AU442&lt;$F$10+$F$11+AS442,AT442,1)))*(1+U442),0)*'模拟-单技能数据'!$I$22</f>
        <v>18838.204835446006</v>
      </c>
      <c r="AW442" s="108">
        <f t="shared" ca="1" si="385"/>
        <v>14.465000000000003</v>
      </c>
      <c r="AX442" s="108" t="b">
        <f ca="1">AND(模拟模式!$P$10="有",AW441=0,RAND()&lt;IF(C442="净世破魔击·月",0.1*8/3,IF(C442="净世破魔击·日",0.1*4/3,0.1*2/3)))</f>
        <v>0</v>
      </c>
      <c r="AY442" s="47">
        <f ca="1">IF(AX442,(18+G442*0.722)*(1+J442)*(1-S442)*(1+$I$4)*IF(P442="会",'模拟-全程加成'!$J$3+'模拟-全程加成'!$J$4+'模拟-全程加成'!$J$5+('模拟-全程加成'!$I$4+'模拟-全程加成'!$I$5)/系数!$B$4+BG442*10%,IF(P442="命",1,IF(P442="识",0.25,0))),0)</f>
        <v>0</v>
      </c>
      <c r="AZ442" s="108">
        <f t="shared" si="386"/>
        <v>2.4725000000000064</v>
      </c>
      <c r="BA442" s="108" t="b">
        <f>AND(模拟模式!$Q$10="有",AZ441=0)</f>
        <v>0</v>
      </c>
      <c r="BB442" s="140">
        <f>IF(BA442,(0+G442*0.287)*(1+J442)*(1-S442)*(1+$I$4)*IF(P442="会",'模拟-全程加成'!$J$3+'模拟-全程加成'!$J$4+'模拟-全程加成'!$J$5+('模拟-全程加成'!$I$4+'模拟-全程加成'!$I$5)/系数!$B$4+BG442*10%,IF(P442="命",1,IF(P442="识",0.25,0))),0)</f>
        <v>0</v>
      </c>
      <c r="BC442" s="115" t="b">
        <f ca="1">AND(模拟模式!$R$7="伏明众生",E442=60,F442=20,DA442&lt;5,CZ441&lt;$F$4)</f>
        <v>0</v>
      </c>
      <c r="BD442" s="115">
        <f t="shared" ca="1" si="348"/>
        <v>0</v>
      </c>
      <c r="BE442" s="115" t="b">
        <f t="shared" ca="1" si="349"/>
        <v>0</v>
      </c>
      <c r="BF442" s="47">
        <f ca="1">IF(BC442,4*('模拟-单技能数据'!$D$24+G442*'模拟-单技能数据'!$F$24)*(1+J442)*(1+'模拟-单技能数据'!$J$24)*(1-S442)*(1+$I$3)*(('模拟-全程加成'!$J$3+'模拟-全程加成'!$J$4+'模拟-全程加成'!$J$5+('模拟-全程加成'!$I$4+'模拟-全程加成'!$I$5)/系数!$B$4+BG442*10%)*('模拟-全程加成'!$J$3+'模拟-全程加成'!$J$4+'模拟-全程加成'!$J$5+('模拟-全程加成'!$I$4+'模拟-全程加成'!$I$5)/系数!$B$4+BG442*10%)+(1-('模拟-全程加成'!$J$3+'模拟-全程加成'!$J$4+'模拟-全程加成'!$J$5+('模拟-全程加成'!$I$4+'模拟-全程加成'!$I$5)/系数!$B$4+BG442*10%)-$F$10-$F$11)+F428*0.25),0)*'模拟-单技能数据'!$I$24</f>
        <v>0</v>
      </c>
      <c r="BG442" s="115" t="b">
        <f ca="1">OR(AND(OR(C442="烈日斩",C442="银月斩"),模拟模式!$I$7="净身明礼"),AND(C442="净世破魔击·日",模拟模式!$J$7="洞若观火"),AND(C443="净世破魔击·月",模拟模式!$J$7="洞若观火"),AB442=1)</f>
        <v>1</v>
      </c>
      <c r="BH442" s="115" t="b">
        <f t="shared" ca="1" si="387"/>
        <v>0</v>
      </c>
      <c r="BI442" s="115">
        <f t="shared" ca="1" si="350"/>
        <v>0.46499999999999975</v>
      </c>
      <c r="BJ442" s="115" t="b">
        <f t="shared" ca="1" si="361"/>
        <v>1</v>
      </c>
      <c r="BK442" s="115" t="b">
        <f ca="1">AND(C442="驱夜断愁",模拟模式!$P$7="天地诛戮")</f>
        <v>0</v>
      </c>
      <c r="BL442" s="57">
        <f t="shared" ca="1" si="351"/>
        <v>17.232500000000002</v>
      </c>
      <c r="BM442" s="115" t="b">
        <f t="shared" ca="1" si="362"/>
        <v>1</v>
      </c>
      <c r="BN442" s="115" t="b">
        <f ca="1">AND(OR(C442="赤日轮1",C442="赤日轮2",C442="赤日轮3",C442="幽月轮1",C442="幽月轮2",C442="幽月轮3"),AB442=1,模拟模式!$L$7="明光恒照")</f>
        <v>0</v>
      </c>
      <c r="BO442" s="117">
        <f t="shared" ca="1" si="352"/>
        <v>29.077500000000001</v>
      </c>
      <c r="BP442" s="115">
        <f t="shared" ca="1" si="388"/>
        <v>6</v>
      </c>
      <c r="BQ442" s="115" t="b">
        <f>模拟模式!$K$10="2600·水"</f>
        <v>0</v>
      </c>
      <c r="BR442" s="117">
        <f t="shared" si="389"/>
        <v>0</v>
      </c>
      <c r="BS442" s="115">
        <f t="shared" si="390"/>
        <v>0</v>
      </c>
      <c r="BT442" s="115">
        <f t="shared" ca="1" si="391"/>
        <v>0</v>
      </c>
      <c r="BU442" s="115" t="b">
        <f ca="1">AND(模拟模式!$K$10="2300·雷",BT441=0,RAND()&lt;IF(C442="净世破魔击·月",5*0.05*2/3,IF(C442="净世破魔击·日",3*0.05*2/3,0.05*2*2/3)))</f>
        <v>0</v>
      </c>
      <c r="BV442" s="115">
        <f t="shared" ca="1" si="392"/>
        <v>0</v>
      </c>
      <c r="BW442" s="115">
        <f t="shared" ca="1" si="393"/>
        <v>172.61999999999989</v>
      </c>
      <c r="BX442" s="164" t="b">
        <f t="shared" ca="1" si="394"/>
        <v>0</v>
      </c>
      <c r="BY442" s="115">
        <f t="shared" ca="1" si="395"/>
        <v>7.6200000000000037</v>
      </c>
      <c r="BZ442" s="115">
        <f>IF(OR(模拟模式!$P$16="10人团",模拟模式!$P$16="25人团"),IF(B442/30&gt;CA441,1,0),0)</f>
        <v>0</v>
      </c>
      <c r="CA442" s="115">
        <f t="shared" si="371"/>
        <v>0</v>
      </c>
      <c r="CB442" s="115">
        <f ca="1">IF(BZ442=1,IF(模拟模式!$P$16="10人团",15,0)+IF(模拟模式!$P$16="25人团",IF(RAND()&lt;0.6,15,0)),MAX(0,CB441-$F$4))</f>
        <v>0</v>
      </c>
      <c r="CC442" s="115" t="b">
        <f t="shared" ca="1" si="363"/>
        <v>0</v>
      </c>
      <c r="CD442" s="115">
        <f>IF(模拟模式!$Q$16="1个",IF(B442/40&gt;CE441,1,0),0)</f>
        <v>0</v>
      </c>
      <c r="CE442" s="115">
        <f t="shared" si="364"/>
        <v>0</v>
      </c>
      <c r="CF442" s="115">
        <f>IF(OR(CD442=1,模拟模式!$Q$16="2个"),20,MAX(0,CF441-$F$4))</f>
        <v>0</v>
      </c>
      <c r="CG442" s="115" t="b">
        <f t="shared" si="365"/>
        <v>0</v>
      </c>
      <c r="CH442" s="115">
        <f t="shared" ca="1" si="396"/>
        <v>26.310000000000002</v>
      </c>
      <c r="CI442" s="115" t="b">
        <f t="shared" ca="1" si="397"/>
        <v>0</v>
      </c>
      <c r="CJ442" s="119">
        <f t="shared" ca="1" si="398"/>
        <v>0.01</v>
      </c>
      <c r="CK442" s="115">
        <f t="shared" ca="1" si="399"/>
        <v>4.3099999999999987</v>
      </c>
      <c r="CL442" s="115" t="b">
        <f ca="1">AND(模拟模式!$S$7="驱夷逐法",OR(AND(C442="净世破魔击·月",E441&gt;59),AND(C442="净世破魔击·日",F441&gt;59)))</f>
        <v>1</v>
      </c>
      <c r="CM442" s="115" t="b">
        <f ca="1">OR(CL442,AND(C442="净世破魔击·日",CL441,RAND()&lt;模拟模式!$U$23))</f>
        <v>1</v>
      </c>
      <c r="CN442" s="115" t="b">
        <f ca="1">IF(模拟模式!$M$7="辉耀红尘",AND(C442="净世破魔击·月",CL442,CV442=0,E441&lt;80),AND(C442="净世破魔击·月",CL442,E441&lt;100))</f>
        <v>0</v>
      </c>
      <c r="CO442" s="115" t="b">
        <f t="shared" ca="1" si="372"/>
        <v>0</v>
      </c>
      <c r="CP442" s="115" t="b">
        <f ca="1">AND(模拟模式!$O$7="用晦而明",OR(C442="净世破魔击·日",C442="净世破魔击·月",C442="驱夜断愁"),AB442)</f>
        <v>1</v>
      </c>
      <c r="CQ442" s="115" t="b">
        <f ca="1">OR(CP442,AND(CP441,RAND()&lt;模拟模式!$U$23))</f>
        <v>1</v>
      </c>
      <c r="CR442" s="115" t="b">
        <f ca="1">AND(模拟模式!$S$7="日月齐光",OR(C442="幽月轮1",C442="幽月轮2",C442="幽月轮3",CR441),NOT(OR(C442="赤日轮1",C442="赤日轮2",C442="赤日轮3")))</f>
        <v>0</v>
      </c>
      <c r="CS442" s="115" t="b">
        <f ca="1">AND(模拟模式!$S$7="日月齐光",OR(C442="赤日轮1",C442="赤日轮2",C442="赤日轮3",CS441),NOT(OR(C442="幽月轮1",C442="幽月轮2",C442="幽月轮3")))</f>
        <v>0</v>
      </c>
      <c r="CT442" s="115">
        <f t="shared" ca="1" si="400"/>
        <v>0</v>
      </c>
      <c r="CU442" s="115" t="b">
        <f ca="1">AND(模拟模式!$K$10="阴阳往极",CT441=0,RAND()&lt;IF(C442="净世破魔击·月",0.0275*7/3,IF(C442="净世破魔击·日",0.0275*3/3,0.0275*2/3)))</f>
        <v>0</v>
      </c>
      <c r="CV442" s="115">
        <f t="shared" ca="1" si="401"/>
        <v>0</v>
      </c>
      <c r="CW442" s="115">
        <f t="shared" ca="1" si="373"/>
        <v>4.1549999999999994</v>
      </c>
      <c r="CX442" s="115">
        <f t="shared" ca="1" si="374"/>
        <v>2.3099999999999996</v>
      </c>
      <c r="CY442" s="115">
        <f ca="1">MAX(IF($C442="驱夜断愁",IF(模拟模式!$R$7="万念俱寂",6,45),CY441-$F$4),0)</f>
        <v>3.2324999999999995</v>
      </c>
      <c r="CZ442" s="115">
        <f t="shared" ca="1" si="375"/>
        <v>0</v>
      </c>
      <c r="DA442" s="115">
        <f ca="1">IF(模拟模式!$N$7="日月同辉",IF(DB441=2,0,MIN(6,IF(AND(OR(C442="赤日轮1",C442="赤日轮2",C442="赤日轮3",C442="幽月轮1",C442="幽月轮2",C442="幽月轮3"),AB442=1),DA441+1,DA441))),0)</f>
        <v>0</v>
      </c>
      <c r="DB442" s="115">
        <f t="shared" ca="1" si="376"/>
        <v>1</v>
      </c>
      <c r="DC442" s="115"/>
      <c r="DD442" s="115"/>
      <c r="DE442" s="115"/>
      <c r="DF442" s="115"/>
      <c r="DG442" s="115"/>
      <c r="DH442" s="115"/>
      <c r="DI442" s="115"/>
      <c r="DJ442" s="115"/>
      <c r="DK442" s="115"/>
      <c r="DL442" s="115"/>
      <c r="DM442" s="115"/>
    </row>
    <row r="443" spans="2:117" x14ac:dyDescent="0.2">
      <c r="B443" s="117">
        <f t="shared" si="377"/>
        <v>383.76000000000369</v>
      </c>
      <c r="C443" s="167" t="str">
        <f t="shared" ca="1" si="370"/>
        <v>净世破魔击·日</v>
      </c>
      <c r="D443" s="115">
        <f ca="1">IF(C443="赤日轮1",1,IF(C443="赤日轮2",2,IF(C443="赤日轮3",3,IF(C443="幽月轮1",4,IF(C443="幽月轮2",5,IF(C443="幽月轮3",6,IF(C443="烈日斩",7,IF(C443="银月斩",8,IF(C443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443="净世破魔击·月",17,IF(C443="驱夜断愁",18,0)))))))))))</f>
        <v>9</v>
      </c>
      <c r="E443" s="115">
        <f ca="1">IF(AND(CU443,OR(C443="幽月轮1",C443="幽月轮2",C443="幽月轮3",C443="银月斩",C443="驱夜断愁",C443="净世破魔击·月")),100,MIN(IF(OR(CN443,BE443),0,IF(OR($C443="赤日轮1",$C443="赤日轮2",$C443="赤日轮3"),E442+20+IF(模拟模式!$I$7="日月凌天",4,0)+IF(CR442,20,0),IF($C443="烈日斩",E442+40,IF($C443="驱夜断愁",IF(模拟模式!$R$7="万念俱寂",E442+20,E442+60),IF($C443="净世破魔击·月",IF(OR(DB442&gt;0,CV442&gt;0),100,IF(模拟模式!$M$7="辉耀红尘",E442+20,E442)),IF($C443="净世破魔击·日",E442-100,E442)))))),100))</f>
        <v>0</v>
      </c>
      <c r="F443" s="115">
        <f ca="1">IF(AND(CU443,OR(C443="赤日轮1",C443="赤日轮2",C443="赤日轮3",C443="烈日斩",C443="净世破魔击·日")),100,MIN(IF(CO443,0,IF(OR($C443="幽月轮1",$C443="幽月轮2",$C443="幽月轮3"),F442+20+IF(模拟模式!$I$7="日月凌天",4,0)+IF(CS442,20,0),IF($C443="银月斩",F442+40+IF(模拟模式!$X$12=1,5,0),IF($C443="驱夜断愁",IF(模拟模式!$R$7="万念俱寂",F442+20,F442+60),IF($C443="净世破魔击·月",IF(模拟模式!$M$7="辉耀红尘",F442-80,F442-100),IF(AND(C443="净世破魔击·日",OR(DB442&gt;0,CV442&gt;0)),100,F442)))))),100))</f>
        <v>100</v>
      </c>
      <c r="G443" s="117">
        <f ca="1">('模拟-全程加成'!$E$3+'模拟-全程加成'!$E$4+'模拟-全程加成'!$E$5+('模拟-全程加成'!$C$6-'模拟-全程加成'!$C$3)*系数!$B$9+BS443*23)*(1+'模拟-全程加成'!$F$4+'模拟-全程加成'!$F$5+BJ443*10%+BM443*20%+BP443*4%+CG443*30%)+$F$7*系数!$B$12</f>
        <v>20583.127400000001</v>
      </c>
      <c r="H443" s="45">
        <f ca="1">'模拟-全程加成'!$H$3+'模拟-全程加成'!$H$4+'模拟-全程加成'!$H$5+('模拟-全程加成'!$G$4+'模拟-全程加成'!$G$5+('模拟-全程加成'!$C$6-'模拟-全程加成'!$C$3)*系数!$B$13)/系数!$B$3+LOOKUP(D443,'模拟-单技能数据'!$A$2:$A$19,'模拟-单技能数据'!$K$2:$K$19)+BG443*10%+IF(BV443&gt;0,378,0)</f>
        <v>0.54185145527300216</v>
      </c>
      <c r="I443" s="45">
        <f ca="1">'模拟-全程加成'!$J$3+'模拟-全程加成'!$J$4+'模拟-全程加成'!$J$5+('模拟-全程加成'!$I$4+'模拟-全程加成'!$I$5)/系数!$B$4+LOOKUP(D443,'模拟-单技能数据'!$A$2:$A$19,'模拟-单技能数据'!$L$2:$L$19)+BG443*10%</f>
        <v>2.162482885499879</v>
      </c>
      <c r="J443" s="45">
        <f ca="1">(('模拟-全程加成'!$K$3+'模拟-全程加成'!$K$4+'模拟-全程加成'!$K$5+('模拟-全程加成'!$C$6-'模拟-全程加成'!$C$3)*系数!$B$10+IF(BV443&gt;0,882,0)+IF(BY443&gt;0,1831,0))*(1+'模拟-全程加成'!$L$4+'模拟-全程加成'!$L$5+CC443*20%))/系数!$B$5</f>
        <v>0.85832564669386491</v>
      </c>
      <c r="K443" s="119">
        <f ca="1">LOOKUP(D443,'模拟-单技能数据'!$A$2:$A$19,'模拟-单技能数据'!$J$2:$J$19)+IF(CM443,60%,0)+IF(DB442-DB443&gt;0,30%,0)+IF(OR(AND(OR(C443="赤日轮1",C443="赤日轮2",C443="赤日轮3"),CR443),AND(OR(C443="幽月轮1",C443="幽月轮2",C443="幽月轮3"),CS443)),35%,0)+CJ443</f>
        <v>1.1100000000000001</v>
      </c>
      <c r="L443" s="119">
        <f ca="1">IF(AND(C443="烈日斩",模拟模式!$X$11=1),10%,0)+IF(AND(C443="驱夜断愁",AB443=1),30%,0)</f>
        <v>0</v>
      </c>
      <c r="M443" s="45">
        <f t="shared" ca="1" si="353"/>
        <v>0.54185145527300216</v>
      </c>
      <c r="N443" s="45">
        <f t="shared" ca="1" si="354"/>
        <v>0.40424854472699789</v>
      </c>
      <c r="O443" s="46">
        <f t="shared" ca="1" si="378"/>
        <v>0.17282348456522578</v>
      </c>
      <c r="P443" s="46" t="str">
        <f t="shared" ca="1" si="379"/>
        <v>会</v>
      </c>
      <c r="Q443" s="45">
        <f t="shared" ca="1" si="380"/>
        <v>2.162482885499879</v>
      </c>
      <c r="R443" s="117">
        <f ca="1">模拟模式!$E$20*(1-IF(模拟模式!$J$19="有",0.15,0))*(1-IF(模拟模式!$K$19="有",0.3,0)-IF(CQ443,0.5,0))</f>
        <v>843.02999999999975</v>
      </c>
      <c r="S443" s="45">
        <f ca="1">R443/(R443+(185*模拟模式!$E$22-16800)*4.08224)</f>
        <v>8.389626085980037E-2</v>
      </c>
      <c r="T443" s="45" t="str">
        <f ca="1">LOOKUP(D443,'模拟-单技能数据'!$A$2:$A$19,'模拟-单技能数据'!$H$2:$H$19)</f>
        <v>阳</v>
      </c>
      <c r="U443" s="119">
        <f t="shared" ca="1" si="355"/>
        <v>0.2</v>
      </c>
      <c r="V443" s="47">
        <f ca="1">(1+L443)*(LOOKUP(D443,'模拟-单技能数据'!$A$2:$A$19,'模拟-单技能数据'!$D$2:$D$19)+G443*LOOKUP(D443,'模拟-单技能数据'!$A$2:$A$19,'模拟-单技能数据'!$F$2:$F$19))*(1+J443)*(1+K443)*(1-S443)*(1+U443)*Q443*LOOKUP(D443,'模拟-单技能数据'!$A$2:$A$19,'模拟-单技能数据'!$I$2:$I$20)</f>
        <v>251454.84154764985</v>
      </c>
      <c r="W443" s="47">
        <f ca="1">LOOKUP(D443,'模拟-单技能数据'!$A$2:$A$19,'模拟-单技能数据'!$G$2:$G$19)*$I$10</f>
        <v>723.0212870940959</v>
      </c>
      <c r="X443" s="47">
        <f t="shared" ca="1" si="381"/>
        <v>35619.271384766726</v>
      </c>
      <c r="Y443" s="47">
        <f t="shared" ca="1" si="356"/>
        <v>287797.13421951066</v>
      </c>
      <c r="Z443" s="49">
        <f t="shared" ca="1" si="357"/>
        <v>43433851.520887129</v>
      </c>
      <c r="AA443" s="97">
        <f t="shared" ca="1" si="358"/>
        <v>113179.7256641826</v>
      </c>
      <c r="AB443" s="115">
        <f ca="1">IF(OR(C443="赤日轮1",C443="赤日轮2",C443="赤日轮3"),IF(RAND()&lt;模拟模式!$Y$17,1,0),IF(OR(C443="幽月轮1",C443="幽月轮2",C443="幽月轮3"),IF(RAND()&lt;模拟模式!$Y$18,1,0),IF(C443="烈日斩",IF(RAND()&lt;模拟模式!$Y$19,1,0),IF(C443="银月斩",IF(RAND()&lt;模拟模式!$Y$20,1,0),IF(C443="驱夜断愁",IF(RAND()&lt;模拟模式!$Y$21,1,0),IF(C443="净世破魔击·日",IF(RAND()&lt;模拟模式!$Y$22,1,0),IF(C443="净世破魔击·月",IF(RAND()&lt;模拟模式!$Y$23,1,0),0)))))))</f>
        <v>1</v>
      </c>
      <c r="AC443" s="115" t="b">
        <f t="shared" ca="1" si="346"/>
        <v>0</v>
      </c>
      <c r="AD443" s="115" t="b">
        <f t="shared" ca="1" si="366"/>
        <v>0</v>
      </c>
      <c r="AE443" s="115">
        <f t="shared" ca="1" si="367"/>
        <v>3</v>
      </c>
      <c r="AF443" s="47">
        <f ca="1">IF(AC443,('模拟-单技能数据'!$D$20+G443*'模拟-单技能数据'!$F$20)*(1+J443)*(1+'模拟-单技能数据'!$J$20)*(1+U443),0)</f>
        <v>0</v>
      </c>
      <c r="AG443" s="61">
        <f t="shared" ca="1" si="359"/>
        <v>0.64185145527300214</v>
      </c>
      <c r="AH443" s="61">
        <f t="shared" ca="1" si="360"/>
        <v>2.2624828854998791</v>
      </c>
      <c r="AI443" s="62">
        <f t="shared" ca="1" si="382"/>
        <v>6.7089735824225394E-2</v>
      </c>
      <c r="AJ443" s="47">
        <f ca="1">IF(AD443,IF(AI443&lt;$F$10,0,IF(AI443&lt;$F$10+$F$11,0.25,IF(AI443&lt;$F$10+$F$11+AG443,AH443,1)))*IF(AF443&gt;0,AF443,IF(AF442&gt;0,AF442,IF(AF441&gt;0,AF441,IF(AF440&gt;0,AF440,IF(AF439&gt;0,AF439,IF(AF438&gt;0,AF438,IF(AF437&gt;0,AF437,IF(AF436&gt;0,AF436,IF(AF435&gt;0,AF435,IF(AF433&gt;0,AF433,IF(AF432&gt;0,AF432,IF(AF431&gt;0,AF431,0)))))))))))),0)*(1-$S443)*'模拟-单技能数据'!$I$20</f>
        <v>0</v>
      </c>
      <c r="AK443" s="115" t="b">
        <f t="shared" ca="1" si="347"/>
        <v>1</v>
      </c>
      <c r="AL443" s="115" t="b">
        <f t="shared" ca="1" si="368"/>
        <v>1</v>
      </c>
      <c r="AM443" s="115">
        <f t="shared" ca="1" si="369"/>
        <v>5</v>
      </c>
      <c r="AN443" s="47">
        <f ca="1">IF(AK443,('模拟-单技能数据'!$D$21+G443*'模拟-单技能数据'!$F$21)*(1+J443)*(1+'模拟-单技能数据'!$J$21)*(1+U443),0)</f>
        <v>13288.512813173878</v>
      </c>
      <c r="AO443" s="61">
        <f ca="1">IF(AN443&gt;0,M443-'模拟-单技能数据'!$K$10,AO442)</f>
        <v>0.42185145527300216</v>
      </c>
      <c r="AP443" s="61">
        <f ca="1">IF(AN443&gt;0,I443-'模拟-单技能数据'!$L$10,AP442)</f>
        <v>2.162482885499879</v>
      </c>
      <c r="AQ443" s="63">
        <f t="shared" ca="1" si="383"/>
        <v>0.11565439962491431</v>
      </c>
      <c r="AR443" s="64">
        <f ca="1">IF(AL443,IF(AQ443&lt;$F$10,0,IF(AQ443&lt;$F$10+$F$11,0.25,IF(AQ443&lt;$F$10+$F$11+AO443,AP443,1)))*IF(AN443&gt;0,AN443,IF(AN442&gt;0,AN442,IF(AN441&gt;0,AN441,IF(AN440&gt;0,AN440,IF(AN439&gt;0,AN439,IF(AN438&gt;0,AN438,IF(AN437&gt;0,AN437,IF(AN436&gt;0,AN436,IF(AN435&gt;0,AN435,IF(AN433&gt;0,AN433,IF(AN432&gt;0,AN432,IF(AN431&gt;0,AN431,0)))))))))))),0)*(1-$S443)*'模拟-单技能数据'!$I$21</f>
        <v>26325.323350291452</v>
      </c>
      <c r="AS443" s="61">
        <f ca="1">IF(OR(C443="净世破魔击·日",C443="净世破魔击·月"),M443-'模拟-单技能数据'!$K$10,0)</f>
        <v>0.42185145527300216</v>
      </c>
      <c r="AT443" s="61">
        <f ca="1">IF(OR(C443="净世破魔击·日",C443="净世破魔击·月"),I443-'模拟-单技能数据'!$L$10,0)</f>
        <v>2.162482885499879</v>
      </c>
      <c r="AU443" s="62">
        <f t="shared" ca="1" si="384"/>
        <v>0.63459792441991514</v>
      </c>
      <c r="AV443" s="64">
        <f ca="1">IF(AS443&gt;0,('模拟-单技能数据'!$D$22+G443*'模拟-单技能数据'!$F$22)*(1+J443)*(1-S443)*IF(AU443&lt;$F$10,0,IF(AU443&lt;$F$10+$F$11,0.25,IF(AU443&lt;$F$10+$F$11+AS443,AT443,1)))*(1+U443),0)*'模拟-单技能数据'!$I$22</f>
        <v>9293.9480344752737</v>
      </c>
      <c r="AW443" s="108">
        <f t="shared" ca="1" si="385"/>
        <v>13.542500000000004</v>
      </c>
      <c r="AX443" s="108" t="b">
        <f ca="1">AND(模拟模式!$P$10="有",AW442=0,RAND()&lt;IF(C443="净世破魔击·月",0.1*8/3,IF(C443="净世破魔击·日",0.1*4/3,0.1*2/3)))</f>
        <v>0</v>
      </c>
      <c r="AY443" s="47">
        <f ca="1">IF(AX443,(18+G443*0.722)*(1+J443)*(1-S443)*(1+$I$4)*IF(P443="会",'模拟-全程加成'!$J$3+'模拟-全程加成'!$J$4+'模拟-全程加成'!$J$5+('模拟-全程加成'!$I$4+'模拟-全程加成'!$I$5)/系数!$B$4+BG443*10%,IF(P443="命",1,IF(P443="识",0.25,0))),0)</f>
        <v>0</v>
      </c>
      <c r="AZ443" s="108">
        <f t="shared" si="386"/>
        <v>1.5500000000000065</v>
      </c>
      <c r="BA443" s="108" t="b">
        <f>AND(模拟模式!$Q$10="有",AZ442=0)</f>
        <v>0</v>
      </c>
      <c r="BB443" s="140">
        <f>IF(BA443,(0+G443*0.287)*(1+J443)*(1-S443)*(1+$I$4)*IF(P443="会",'模拟-全程加成'!$J$3+'模拟-全程加成'!$J$4+'模拟-全程加成'!$J$5+('模拟-全程加成'!$I$4+'模拟-全程加成'!$I$5)/系数!$B$4+BG443*10%,IF(P443="命",1,IF(P443="识",0.25,0))),0)</f>
        <v>0</v>
      </c>
      <c r="BC443" s="115" t="b">
        <f ca="1">AND(模拟模式!$R$7="伏明众生",E443=60,F443=20,DA443&lt;5,CZ442&lt;$F$4)</f>
        <v>0</v>
      </c>
      <c r="BD443" s="115">
        <f t="shared" ca="1" si="348"/>
        <v>0</v>
      </c>
      <c r="BE443" s="115" t="b">
        <f t="shared" ca="1" si="349"/>
        <v>0</v>
      </c>
      <c r="BF443" s="47">
        <f ca="1">IF(BC443,4*('模拟-单技能数据'!$D$24+G443*'模拟-单技能数据'!$F$24)*(1+J443)*(1+'模拟-单技能数据'!$J$24)*(1-S443)*(1+$I$3)*(('模拟-全程加成'!$J$3+'模拟-全程加成'!$J$4+'模拟-全程加成'!$J$5+('模拟-全程加成'!$I$4+'模拟-全程加成'!$I$5)/系数!$B$4+BG443*10%)*('模拟-全程加成'!$J$3+'模拟-全程加成'!$J$4+'模拟-全程加成'!$J$5+('模拟-全程加成'!$I$4+'模拟-全程加成'!$I$5)/系数!$B$4+BG443*10%)+(1-('模拟-全程加成'!$J$3+'模拟-全程加成'!$J$4+'模拟-全程加成'!$J$5+('模拟-全程加成'!$I$4+'模拟-全程加成'!$I$5)/系数!$B$4+BG443*10%)-$F$10-$F$11)+F429*0.25),0)*'模拟-单技能数据'!$I$24</f>
        <v>0</v>
      </c>
      <c r="BG443" s="115" t="b">
        <f ca="1">OR(AND(OR(C443="烈日斩",C443="银月斩"),模拟模式!$I$7="净身明礼"),AND(C443="净世破魔击·日",模拟模式!$J$7="洞若观火"),AND(C444="净世破魔击·月",模拟模式!$J$7="洞若观火"),AB443=1)</f>
        <v>1</v>
      </c>
      <c r="BH443" s="115" t="b">
        <f t="shared" ca="1" si="387"/>
        <v>0</v>
      </c>
      <c r="BI443" s="115">
        <f t="shared" ca="1" si="350"/>
        <v>0</v>
      </c>
      <c r="BJ443" s="115" t="b">
        <f t="shared" ca="1" si="361"/>
        <v>0</v>
      </c>
      <c r="BK443" s="115" t="b">
        <f ca="1">AND(C443="驱夜断愁",模拟模式!$P$7="天地诛戮")</f>
        <v>0</v>
      </c>
      <c r="BL443" s="57">
        <f t="shared" ca="1" si="351"/>
        <v>16.310000000000002</v>
      </c>
      <c r="BM443" s="115" t="b">
        <f t="shared" ca="1" si="362"/>
        <v>1</v>
      </c>
      <c r="BN443" s="115" t="b">
        <f ca="1">AND(OR(C443="赤日轮1",C443="赤日轮2",C443="赤日轮3",C443="幽月轮1",C443="幽月轮2",C443="幽月轮3"),AB443=1,模拟模式!$L$7="明光恒照")</f>
        <v>0</v>
      </c>
      <c r="BO443" s="117">
        <f t="shared" ca="1" si="352"/>
        <v>28.155000000000001</v>
      </c>
      <c r="BP443" s="115">
        <f t="shared" ca="1" si="388"/>
        <v>6</v>
      </c>
      <c r="BQ443" s="115" t="b">
        <f>模拟模式!$K$10="2600·水"</f>
        <v>0</v>
      </c>
      <c r="BR443" s="117">
        <f t="shared" si="389"/>
        <v>0</v>
      </c>
      <c r="BS443" s="115">
        <f t="shared" si="390"/>
        <v>0</v>
      </c>
      <c r="BT443" s="115">
        <f t="shared" ca="1" si="391"/>
        <v>0</v>
      </c>
      <c r="BU443" s="115" t="b">
        <f ca="1">AND(模拟模式!$K$10="2300·雷",BT442=0,RAND()&lt;IF(C443="净世破魔击·月",5*0.05*2/3,IF(C443="净世破魔击·日",3*0.05*2/3,0.05*2*2/3)))</f>
        <v>0</v>
      </c>
      <c r="BV443" s="115">
        <f t="shared" ca="1" si="392"/>
        <v>0</v>
      </c>
      <c r="BW443" s="115">
        <f t="shared" ca="1" si="393"/>
        <v>171.69749999999988</v>
      </c>
      <c r="BX443" s="164" t="b">
        <f t="shared" ca="1" si="394"/>
        <v>0</v>
      </c>
      <c r="BY443" s="115">
        <f t="shared" ca="1" si="395"/>
        <v>6.6975000000000033</v>
      </c>
      <c r="BZ443" s="115">
        <f>IF(OR(模拟模式!$P$16="10人团",模拟模式!$P$16="25人团"),IF(B443/30&gt;CA442,1,0),0)</f>
        <v>0</v>
      </c>
      <c r="CA443" s="115">
        <f t="shared" si="371"/>
        <v>0</v>
      </c>
      <c r="CB443" s="115">
        <f ca="1">IF(BZ443=1,IF(模拟模式!$P$16="10人团",15,0)+IF(模拟模式!$P$16="25人团",IF(RAND()&lt;0.6,15,0)),MAX(0,CB442-$F$4))</f>
        <v>0</v>
      </c>
      <c r="CC443" s="115" t="b">
        <f t="shared" ca="1" si="363"/>
        <v>0</v>
      </c>
      <c r="CD443" s="115">
        <f>IF(模拟模式!$Q$16="1个",IF(B443/40&gt;CE442,1,0),0)</f>
        <v>0</v>
      </c>
      <c r="CE443" s="115">
        <f t="shared" si="364"/>
        <v>0</v>
      </c>
      <c r="CF443" s="115">
        <f>IF(OR(CD443=1,模拟模式!$Q$16="2个"),20,MAX(0,CF442-$F$4))</f>
        <v>0</v>
      </c>
      <c r="CG443" s="115" t="b">
        <f t="shared" si="365"/>
        <v>0</v>
      </c>
      <c r="CH443" s="115">
        <f t="shared" ca="1" si="396"/>
        <v>25.387500000000003</v>
      </c>
      <c r="CI443" s="115" t="b">
        <f t="shared" ca="1" si="397"/>
        <v>0</v>
      </c>
      <c r="CJ443" s="119">
        <f t="shared" ca="1" si="398"/>
        <v>0.01</v>
      </c>
      <c r="CK443" s="115">
        <f t="shared" ca="1" si="399"/>
        <v>3.3874999999999988</v>
      </c>
      <c r="CL443" s="115" t="b">
        <f ca="1">AND(模拟模式!$S$7="驱夷逐法",OR(AND(C443="净世破魔击·月",E442&gt;59),AND(C443="净世破魔击·日",F442&gt;59)))</f>
        <v>0</v>
      </c>
      <c r="CM443" s="115" t="b">
        <f ca="1">OR(CL443,AND(C443="净世破魔击·日",CL442,RAND()&lt;模拟模式!$U$23))</f>
        <v>1</v>
      </c>
      <c r="CN443" s="115" t="b">
        <f ca="1">IF(模拟模式!$M$7="辉耀红尘",AND(C443="净世破魔击·月",CL443,CV443=0,E442&lt;80),AND(C443="净世破魔击·月",CL443,E442&lt;100))</f>
        <v>0</v>
      </c>
      <c r="CO443" s="115" t="b">
        <f t="shared" ca="1" si="372"/>
        <v>0</v>
      </c>
      <c r="CP443" s="115" t="b">
        <f ca="1">AND(模拟模式!$O$7="用晦而明",OR(C443="净世破魔击·日",C443="净世破魔击·月",C443="驱夜断愁"),AB443)</f>
        <v>1</v>
      </c>
      <c r="CQ443" s="115" t="b">
        <f ca="1">OR(CP443,AND(CP442,RAND()&lt;模拟模式!$U$23))</f>
        <v>1</v>
      </c>
      <c r="CR443" s="115" t="b">
        <f ca="1">AND(模拟模式!$S$7="日月齐光",OR(C443="幽月轮1",C443="幽月轮2",C443="幽月轮3",CR442),NOT(OR(C443="赤日轮1",C443="赤日轮2",C443="赤日轮3")))</f>
        <v>0</v>
      </c>
      <c r="CS443" s="115" t="b">
        <f ca="1">AND(模拟模式!$S$7="日月齐光",OR(C443="赤日轮1",C443="赤日轮2",C443="赤日轮3",CS442),NOT(OR(C443="幽月轮1",C443="幽月轮2",C443="幽月轮3")))</f>
        <v>0</v>
      </c>
      <c r="CT443" s="115">
        <f t="shared" ca="1" si="400"/>
        <v>0</v>
      </c>
      <c r="CU443" s="115" t="b">
        <f ca="1">AND(模拟模式!$K$10="阴阳往极",CT442=0,RAND()&lt;IF(C443="净世破魔击·月",0.0275*7/3,IF(C443="净世破魔击·日",0.0275*3/3,0.0275*2/3)))</f>
        <v>0</v>
      </c>
      <c r="CV443" s="115">
        <f t="shared" ca="1" si="401"/>
        <v>0</v>
      </c>
      <c r="CW443" s="115">
        <f t="shared" ca="1" si="373"/>
        <v>3.2324999999999995</v>
      </c>
      <c r="CX443" s="115">
        <f t="shared" ca="1" si="374"/>
        <v>1.3874999999999997</v>
      </c>
      <c r="CY443" s="115">
        <f ca="1">MAX(IF($C443="驱夜断愁",IF(模拟模式!$R$7="万念俱寂",6,45),CY442-$F$4),0)</f>
        <v>2.3099999999999996</v>
      </c>
      <c r="CZ443" s="115">
        <f t="shared" ca="1" si="375"/>
        <v>0</v>
      </c>
      <c r="DA443" s="115">
        <f ca="1">IF(模拟模式!$N$7="日月同辉",IF(DB442=2,0,MIN(6,IF(AND(OR(C443="赤日轮1",C443="赤日轮2",C443="赤日轮3",C443="幽月轮1",C443="幽月轮2",C443="幽月轮3"),AB443=1),DA442+1,DA442))),0)</f>
        <v>0</v>
      </c>
      <c r="DB443" s="115">
        <f t="shared" ca="1" si="376"/>
        <v>0</v>
      </c>
      <c r="DC443" s="115"/>
      <c r="DD443" s="115"/>
      <c r="DE443" s="115"/>
      <c r="DF443" s="115"/>
      <c r="DG443" s="115"/>
      <c r="DH443" s="115"/>
      <c r="DI443" s="115"/>
      <c r="DJ443" s="115"/>
      <c r="DK443" s="115"/>
      <c r="DL443" s="115"/>
      <c r="DM443" s="115"/>
    </row>
    <row r="444" spans="2:117" x14ac:dyDescent="0.2">
      <c r="B444" s="117">
        <f t="shared" si="377"/>
        <v>384.6825000000037</v>
      </c>
      <c r="C444" s="167" t="str">
        <f t="shared" ca="1" si="370"/>
        <v>净世破魔击·月</v>
      </c>
      <c r="D444" s="115">
        <f ca="1">IF(C444="赤日轮1",1,IF(C444="赤日轮2",2,IF(C444="赤日轮3",3,IF(C444="幽月轮1",4,IF(C444="幽月轮2",5,IF(C444="幽月轮3",6,IF(C444="烈日斩",7,IF(C444="银月斩",8,IF(C444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444="净世破魔击·月",17,IF(C444="驱夜断愁",18,0)))))))))))</f>
        <v>17</v>
      </c>
      <c r="E444" s="115">
        <f ca="1">IF(AND(CU444,OR(C444="幽月轮1",C444="幽月轮2",C444="幽月轮3",C444="银月斩",C444="驱夜断愁",C444="净世破魔击·月")),100,MIN(IF(OR(CN444,BE444),0,IF(OR($C444="赤日轮1",$C444="赤日轮2",$C444="赤日轮3"),E443+20+IF(模拟模式!$I$7="日月凌天",4,0)+IF(CR443,20,0),IF($C444="烈日斩",E443+40,IF($C444="驱夜断愁",IF(模拟模式!$R$7="万念俱寂",E443+20,E443+60),IF($C444="净世破魔击·月",IF(OR(DB443&gt;0,CV443&gt;0),100,IF(模拟模式!$M$7="辉耀红尘",E443+20,E443)),IF($C444="净世破魔击·日",E443-100,E443)))))),100))</f>
        <v>20</v>
      </c>
      <c r="F444" s="115">
        <f ca="1">IF(AND(CU444,OR(C444="赤日轮1",C444="赤日轮2",C444="赤日轮3",C444="烈日斩",C444="净世破魔击·日")),100,MIN(IF(CO444,0,IF(OR($C444="幽月轮1",$C444="幽月轮2",$C444="幽月轮3"),F443+20+IF(模拟模式!$I$7="日月凌天",4,0)+IF(CS443,20,0),IF($C444="银月斩",F443+40+IF(模拟模式!$X$12=1,5,0),IF($C444="驱夜断愁",IF(模拟模式!$R$7="万念俱寂",F443+20,F443+60),IF($C444="净世破魔击·月",IF(模拟模式!$M$7="辉耀红尘",F443-80,F443-100),IF(AND(C444="净世破魔击·日",OR(DB443&gt;0,CV443&gt;0)),100,F443)))))),100))</f>
        <v>20</v>
      </c>
      <c r="G444" s="117">
        <f ca="1">('模拟-全程加成'!$E$3+'模拟-全程加成'!$E$4+'模拟-全程加成'!$E$5+('模拟-全程加成'!$C$6-'模拟-全程加成'!$C$3)*系数!$B$9+BS444*23)*(1+'模拟-全程加成'!$F$4+'模拟-全程加成'!$F$5+BJ444*10%+BM444*20%+BP444*4%+CG444*30%)+$F$7*系数!$B$12</f>
        <v>21493.829400000002</v>
      </c>
      <c r="H444" s="45">
        <f ca="1">'模拟-全程加成'!$H$3+'模拟-全程加成'!$H$4+'模拟-全程加成'!$H$5+('模拟-全程加成'!$G$4+'模拟-全程加成'!$G$5+('模拟-全程加成'!$C$6-'模拟-全程加成'!$C$3)*系数!$B$13)/系数!$B$3+LOOKUP(D444,'模拟-单技能数据'!$A$2:$A$19,'模拟-单技能数据'!$K$2:$K$19)+BG444*10%+IF(BV444&gt;0,378,0)</f>
        <v>0.54185145527300216</v>
      </c>
      <c r="I444" s="45">
        <f ca="1">'模拟-全程加成'!$J$3+'模拟-全程加成'!$J$4+'模拟-全程加成'!$J$5+('模拟-全程加成'!$I$4+'模拟-全程加成'!$I$5)/系数!$B$4+LOOKUP(D444,'模拟-单技能数据'!$A$2:$A$19,'模拟-单技能数据'!$L$2:$L$19)+BG444*10%</f>
        <v>2.162482885499879</v>
      </c>
      <c r="J444" s="45">
        <f ca="1">(('模拟-全程加成'!$K$3+'模拟-全程加成'!$K$4+'模拟-全程加成'!$K$5+('模拟-全程加成'!$C$6-'模拟-全程加成'!$C$3)*系数!$B$10+IF(BV444&gt;0,882,0)+IF(BY444&gt;0,1831,0))*(1+'模拟-全程加成'!$L$4+'模拟-全程加成'!$L$5+CC444*20%))/系数!$B$5</f>
        <v>0.85832564669386491</v>
      </c>
      <c r="K444" s="119">
        <f ca="1">LOOKUP(D444,'模拟-单技能数据'!$A$2:$A$19,'模拟-单技能数据'!$J$2:$J$19)+IF(CM444,60%,0)+IF(DB443-DB444&gt;0,30%,0)+IF(OR(AND(OR(C444="赤日轮1",C444="赤日轮2",C444="赤日轮3"),CR444),AND(OR(C444="幽月轮1",C444="幽月轮2",C444="幽月轮3"),CS444)),35%,0)+CJ444</f>
        <v>0.21000000000000002</v>
      </c>
      <c r="L444" s="119">
        <f ca="1">IF(AND(C444="烈日斩",模拟模式!$X$11=1),10%,0)+IF(AND(C444="驱夜断愁",AB444=1),30%,0)</f>
        <v>0</v>
      </c>
      <c r="M444" s="45">
        <f t="shared" ca="1" si="353"/>
        <v>0.54185145527300216</v>
      </c>
      <c r="N444" s="45">
        <f t="shared" ca="1" si="354"/>
        <v>0.40424854472699789</v>
      </c>
      <c r="O444" s="46">
        <f t="shared" ca="1" si="378"/>
        <v>0.15967187238796099</v>
      </c>
      <c r="P444" s="46" t="str">
        <f t="shared" ca="1" si="379"/>
        <v>会</v>
      </c>
      <c r="Q444" s="45">
        <f t="shared" ca="1" si="380"/>
        <v>2.162482885499879</v>
      </c>
      <c r="R444" s="117">
        <f ca="1">模拟模式!$E$20*(1-IF(模拟模式!$J$19="有",0.15,0))*(1-IF(模拟模式!$K$19="有",0.3,0)-IF(CQ444,0.5,0))</f>
        <v>843.02999999999975</v>
      </c>
      <c r="S444" s="45">
        <f ca="1">R444/(R444+(185*模拟模式!$E$22-16800)*4.08224)</f>
        <v>8.389626085980037E-2</v>
      </c>
      <c r="T444" s="45" t="str">
        <f ca="1">LOOKUP(D444,'模拟-单技能数据'!$A$2:$A$19,'模拟-单技能数据'!$H$2:$H$19)</f>
        <v>阴</v>
      </c>
      <c r="U444" s="119">
        <f t="shared" ca="1" si="355"/>
        <v>0.08</v>
      </c>
      <c r="V444" s="47">
        <f ca="1">(1+L444)*(LOOKUP(D444,'模拟-单技能数据'!$A$2:$A$19,'模拟-单技能数据'!$D$2:$D$19)+G444*LOOKUP(D444,'模拟-单技能数据'!$A$2:$A$19,'模拟-单技能数据'!$F$2:$F$19))*(1+J444)*(1+K444)*(1-S444)*(1+U444)*Q444*LOOKUP(D444,'模拟-单技能数据'!$A$2:$A$19,'模拟-单技能数据'!$I$2:$I$20)</f>
        <v>134355.16714549903</v>
      </c>
      <c r="W444" s="47">
        <f ca="1">LOOKUP(D444,'模拟-单技能数据'!$A$2:$A$19,'模拟-单技能数据'!$G$2:$G$19)*$I$10</f>
        <v>361.51064354704795</v>
      </c>
      <c r="X444" s="47">
        <f t="shared" ca="1" si="381"/>
        <v>23492.129893899626</v>
      </c>
      <c r="Y444" s="47">
        <f t="shared" ca="1" si="356"/>
        <v>158208.80768294571</v>
      </c>
      <c r="Z444" s="49">
        <f t="shared" ca="1" si="357"/>
        <v>43592060.328570075</v>
      </c>
      <c r="AA444" s="97">
        <f t="shared" ca="1" si="358"/>
        <v>113319.58258711966</v>
      </c>
      <c r="AB444" s="115">
        <f ca="1">IF(OR(C444="赤日轮1",C444="赤日轮2",C444="赤日轮3"),IF(RAND()&lt;模拟模式!$Y$17,1,0),IF(OR(C444="幽月轮1",C444="幽月轮2",C444="幽月轮3"),IF(RAND()&lt;模拟模式!$Y$18,1,0),IF(C444="烈日斩",IF(RAND()&lt;模拟模式!$Y$19,1,0),IF(C444="银月斩",IF(RAND()&lt;模拟模式!$Y$20,1,0),IF(C444="驱夜断愁",IF(RAND()&lt;模拟模式!$Y$21,1,0),IF(C444="净世破魔击·日",IF(RAND()&lt;模拟模式!$Y$22,1,0),IF(C444="净世破魔击·月",IF(RAND()&lt;模拟模式!$Y$23,1,0),0)))))))</f>
        <v>1</v>
      </c>
      <c r="AC444" s="115" t="b">
        <f t="shared" ca="1" si="346"/>
        <v>0</v>
      </c>
      <c r="AD444" s="115" t="b">
        <f t="shared" ca="1" si="366"/>
        <v>1</v>
      </c>
      <c r="AE444" s="115">
        <f t="shared" ca="1" si="367"/>
        <v>2</v>
      </c>
      <c r="AF444" s="47">
        <f ca="1">IF(AC444,('模拟-单技能数据'!$D$20+G444*'模拟-单技能数据'!$F$20)*(1+J444)*(1+'模拟-单技能数据'!$J$20)*(1+U444),0)</f>
        <v>0</v>
      </c>
      <c r="AG444" s="61">
        <f t="shared" ca="1" si="359"/>
        <v>0.64185145527300214</v>
      </c>
      <c r="AH444" s="61">
        <f t="shared" ca="1" si="360"/>
        <v>2.2624828854998791</v>
      </c>
      <c r="AI444" s="62">
        <f t="shared" ca="1" si="382"/>
        <v>0.81750014902937784</v>
      </c>
      <c r="AJ444" s="47">
        <f ca="1">IF(AD444,IF(AI444&lt;$F$10,0,IF(AI444&lt;$F$10+$F$11,0.25,IF(AI444&lt;$F$10+$F$11+AG444,AH444,1)))*IF(AF444&gt;0,AF444,IF(AF443&gt;0,AF443,IF(AF442&gt;0,AF442,IF(AF441&gt;0,AF441,IF(AF440&gt;0,AF440,IF(AF439&gt;0,AF439,IF(AF438&gt;0,AF438,IF(AF437&gt;0,AF437,IF(AF436&gt;0,AF436,IF(AF434&gt;0,AF434,IF(AF433&gt;0,AF433,IF(AF432&gt;0,AF432,0)))))))))))),0)*(1-$S444)*'模拟-单技能数据'!$I$20</f>
        <v>4653.9250584536203</v>
      </c>
      <c r="AK444" s="115" t="b">
        <f t="shared" ca="1" si="347"/>
        <v>0</v>
      </c>
      <c r="AL444" s="115" t="b">
        <f t="shared" ca="1" si="368"/>
        <v>0</v>
      </c>
      <c r="AM444" s="115">
        <f t="shared" ca="1" si="369"/>
        <v>5</v>
      </c>
      <c r="AN444" s="47">
        <f ca="1">IF(AK444,('模拟-单技能数据'!$D$21+G444*'模拟-单技能数据'!$F$21)*(1+J444)*(1+'模拟-单技能数据'!$J$21)*(1+U444),0)</f>
        <v>0</v>
      </c>
      <c r="AO444" s="61">
        <f ca="1">IF(AN444&gt;0,M444-'模拟-单技能数据'!$K$10,AO443)</f>
        <v>0.42185145527300216</v>
      </c>
      <c r="AP444" s="61">
        <f ca="1">IF(AN444&gt;0,I444-'模拟-单技能数据'!$L$10,AP443)</f>
        <v>2.162482885499879</v>
      </c>
      <c r="AQ444" s="63">
        <f t="shared" ca="1" si="383"/>
        <v>0.54819348146333002</v>
      </c>
      <c r="AR444" s="64">
        <f ca="1">IF(AL444,IF(AQ444&lt;$F$10,0,IF(AQ444&lt;$F$10+$F$11,0.25,IF(AQ444&lt;$F$10+$F$11+AO444,AP444,1)))*IF(AN444&gt;0,AN444,IF(AN443&gt;0,AN443,IF(AN442&gt;0,AN442,IF(AN441&gt;0,AN441,IF(AN440&gt;0,AN440,IF(AN439&gt;0,AN439,IF(AN438&gt;0,AN438,IF(AN437&gt;0,AN437,IF(AN436&gt;0,AN436,IF(AN434&gt;0,AN434,IF(AN433&gt;0,AN433,IF(AN432&gt;0,AN432,0)))))))))))),0)*(1-$S444)*'模拟-单技能数据'!$I$21</f>
        <v>0</v>
      </c>
      <c r="AS444" s="61">
        <f ca="1">IF(OR(C444="净世破魔击·日",C444="净世破魔击·月"),M444-'模拟-单技能数据'!$K$10,0)</f>
        <v>0.42185145527300216</v>
      </c>
      <c r="AT444" s="61">
        <f ca="1">IF(OR(C444="净世破魔击·日",C444="净世破魔击·月"),I444-'模拟-单技能数据'!$L$10,0)</f>
        <v>2.162482885499879</v>
      </c>
      <c r="AU444" s="62">
        <f t="shared" ca="1" si="384"/>
        <v>7.5385913249515157E-2</v>
      </c>
      <c r="AV444" s="64">
        <f ca="1">IF(AS444&gt;0,('模拟-单技能数据'!$D$22+G444*'模拟-单技能数据'!$F$22)*(1+J444)*(1-S444)*IF(AU444&lt;$F$10,0,IF(AU444&lt;$F$10+$F$11,0.25,IF(AU444&lt;$F$10+$F$11+AS444,AT444,1)))*(1+U444),0)*'模拟-单技能数据'!$I$22</f>
        <v>18838.204835446006</v>
      </c>
      <c r="AW444" s="108">
        <f t="shared" ca="1" si="385"/>
        <v>12.620000000000005</v>
      </c>
      <c r="AX444" s="108" t="b">
        <f ca="1">AND(模拟模式!$P$10="有",AW443=0,RAND()&lt;IF(C444="净世破魔击·月",0.1*8/3,IF(C444="净世破魔击·日",0.1*4/3,0.1*2/3)))</f>
        <v>0</v>
      </c>
      <c r="AY444" s="47">
        <f ca="1">IF(AX444,(18+G444*0.722)*(1+J444)*(1-S444)*(1+$I$4)*IF(P444="会",'模拟-全程加成'!$J$3+'模拟-全程加成'!$J$4+'模拟-全程加成'!$J$5+('模拟-全程加成'!$I$4+'模拟-全程加成'!$I$5)/系数!$B$4+BG444*10%,IF(P444="命",1,IF(P444="识",0.25,0))),0)</f>
        <v>0</v>
      </c>
      <c r="AZ444" s="108">
        <f t="shared" si="386"/>
        <v>0.6275000000000065</v>
      </c>
      <c r="BA444" s="108" t="b">
        <f>AND(模拟模式!$Q$10="有",AZ443=0)</f>
        <v>0</v>
      </c>
      <c r="BB444" s="140">
        <f>IF(BA444,(0+G444*0.287)*(1+J444)*(1-S444)*(1+$I$4)*IF(P444="会",'模拟-全程加成'!$J$3+'模拟-全程加成'!$J$4+'模拟-全程加成'!$J$5+('模拟-全程加成'!$I$4+'模拟-全程加成'!$I$5)/系数!$B$4+BG444*10%,IF(P444="命",1,IF(P444="识",0.25,0))),0)</f>
        <v>0</v>
      </c>
      <c r="BC444" s="115" t="b">
        <f ca="1">AND(模拟模式!$R$7="伏明众生",E444=60,F444=20,DA444&lt;5,CZ443&lt;$F$4)</f>
        <v>0</v>
      </c>
      <c r="BD444" s="115">
        <f t="shared" ca="1" si="348"/>
        <v>0</v>
      </c>
      <c r="BE444" s="115" t="b">
        <f t="shared" ca="1" si="349"/>
        <v>0</v>
      </c>
      <c r="BF444" s="47">
        <f ca="1">IF(BC444,4*('模拟-单技能数据'!$D$24+G444*'模拟-单技能数据'!$F$24)*(1+J444)*(1+'模拟-单技能数据'!$J$24)*(1-S444)*(1+$I$3)*(('模拟-全程加成'!$J$3+'模拟-全程加成'!$J$4+'模拟-全程加成'!$J$5+('模拟-全程加成'!$I$4+'模拟-全程加成'!$I$5)/系数!$B$4+BG444*10%)*('模拟-全程加成'!$J$3+'模拟-全程加成'!$J$4+'模拟-全程加成'!$J$5+('模拟-全程加成'!$I$4+'模拟-全程加成'!$I$5)/系数!$B$4+BG444*10%)+(1-('模拟-全程加成'!$J$3+'模拟-全程加成'!$J$4+'模拟-全程加成'!$J$5+('模拟-全程加成'!$I$4+'模拟-全程加成'!$I$5)/系数!$B$4+BG444*10%)-$F$10-$F$11)+F430*0.25),0)*'模拟-单技能数据'!$I$24</f>
        <v>0</v>
      </c>
      <c r="BG444" s="115" t="b">
        <f ca="1">OR(AND(OR(C444="烈日斩",C444="银月斩"),模拟模式!$I$7="净身明礼"),AND(C444="净世破魔击·日",模拟模式!$J$7="洞若观火"),AND(C445="净世破魔击·月",模拟模式!$J$7="洞若观火"),AB444=1)</f>
        <v>1</v>
      </c>
      <c r="BH444" s="115" t="b">
        <f t="shared" ca="1" si="387"/>
        <v>1</v>
      </c>
      <c r="BI444" s="115">
        <f t="shared" ca="1" si="350"/>
        <v>6</v>
      </c>
      <c r="BJ444" s="115" t="b">
        <f t="shared" ca="1" si="361"/>
        <v>1</v>
      </c>
      <c r="BK444" s="115" t="b">
        <f ca="1">AND(C444="驱夜断愁",模拟模式!$P$7="天地诛戮")</f>
        <v>0</v>
      </c>
      <c r="BL444" s="57">
        <f t="shared" ca="1" si="351"/>
        <v>15.387500000000003</v>
      </c>
      <c r="BM444" s="115" t="b">
        <f t="shared" ca="1" si="362"/>
        <v>1</v>
      </c>
      <c r="BN444" s="115" t="b">
        <f ca="1">AND(OR(C444="赤日轮1",C444="赤日轮2",C444="赤日轮3",C444="幽月轮1",C444="幽月轮2",C444="幽月轮3"),AB444=1,模拟模式!$L$7="明光恒照")</f>
        <v>0</v>
      </c>
      <c r="BO444" s="117">
        <f t="shared" ca="1" si="352"/>
        <v>27.232500000000002</v>
      </c>
      <c r="BP444" s="115">
        <f t="shared" ca="1" si="388"/>
        <v>6</v>
      </c>
      <c r="BQ444" s="115" t="b">
        <f>模拟模式!$K$10="2600·水"</f>
        <v>0</v>
      </c>
      <c r="BR444" s="117">
        <f t="shared" si="389"/>
        <v>0</v>
      </c>
      <c r="BS444" s="115">
        <f t="shared" si="390"/>
        <v>0</v>
      </c>
      <c r="BT444" s="115">
        <f t="shared" ca="1" si="391"/>
        <v>0</v>
      </c>
      <c r="BU444" s="115" t="b">
        <f ca="1">AND(模拟模式!$K$10="2300·雷",BT443=0,RAND()&lt;IF(C444="净世破魔击·月",5*0.05*2/3,IF(C444="净世破魔击·日",3*0.05*2/3,0.05*2*2/3)))</f>
        <v>0</v>
      </c>
      <c r="BV444" s="115">
        <f t="shared" ca="1" si="392"/>
        <v>0</v>
      </c>
      <c r="BW444" s="115">
        <f t="shared" ca="1" si="393"/>
        <v>170.77499999999986</v>
      </c>
      <c r="BX444" s="164" t="b">
        <f t="shared" ca="1" si="394"/>
        <v>0</v>
      </c>
      <c r="BY444" s="115">
        <f t="shared" ca="1" si="395"/>
        <v>5.775000000000003</v>
      </c>
      <c r="BZ444" s="115">
        <f>IF(OR(模拟模式!$P$16="10人团",模拟模式!$P$16="25人团"),IF(B444/30&gt;CA443,1,0),0)</f>
        <v>0</v>
      </c>
      <c r="CA444" s="115">
        <f t="shared" si="371"/>
        <v>0</v>
      </c>
      <c r="CB444" s="115">
        <f ca="1">IF(BZ444=1,IF(模拟模式!$P$16="10人团",15,0)+IF(模拟模式!$P$16="25人团",IF(RAND()&lt;0.6,15,0)),MAX(0,CB443-$F$4))</f>
        <v>0</v>
      </c>
      <c r="CC444" s="115" t="b">
        <f t="shared" ca="1" si="363"/>
        <v>0</v>
      </c>
      <c r="CD444" s="115">
        <f>IF(模拟模式!$Q$16="1个",IF(B444/40&gt;CE443,1,0),0)</f>
        <v>0</v>
      </c>
      <c r="CE444" s="115">
        <f t="shared" si="364"/>
        <v>0</v>
      </c>
      <c r="CF444" s="115">
        <f>IF(OR(CD444=1,模拟模式!$Q$16="2个"),20,MAX(0,CF443-$F$4))</f>
        <v>0</v>
      </c>
      <c r="CG444" s="115" t="b">
        <f t="shared" si="365"/>
        <v>0</v>
      </c>
      <c r="CH444" s="115">
        <f t="shared" ca="1" si="396"/>
        <v>24.465000000000003</v>
      </c>
      <c r="CI444" s="115" t="b">
        <f t="shared" ca="1" si="397"/>
        <v>0</v>
      </c>
      <c r="CJ444" s="119">
        <f t="shared" ca="1" si="398"/>
        <v>0.01</v>
      </c>
      <c r="CK444" s="115">
        <f t="shared" ca="1" si="399"/>
        <v>2.464999999999999</v>
      </c>
      <c r="CL444" s="115" t="b">
        <f ca="1">AND(模拟模式!$S$7="驱夷逐法",OR(AND(C444="净世破魔击·月",E443&gt;59),AND(C444="净世破魔击·日",F443&gt;59)))</f>
        <v>0</v>
      </c>
      <c r="CM444" s="115" t="b">
        <f ca="1">OR(CL444,AND(C444="净世破魔击·日",CL443,RAND()&lt;模拟模式!$U$23))</f>
        <v>0</v>
      </c>
      <c r="CN444" s="115" t="b">
        <f ca="1">IF(模拟模式!$M$7="辉耀红尘",AND(C444="净世破魔击·月",CL444,CV444=0,E443&lt;80),AND(C444="净世破魔击·月",CL444,E443&lt;100))</f>
        <v>0</v>
      </c>
      <c r="CO444" s="115" t="b">
        <f t="shared" ca="1" si="372"/>
        <v>0</v>
      </c>
      <c r="CP444" s="115" t="b">
        <f ca="1">AND(模拟模式!$O$7="用晦而明",OR(C444="净世破魔击·日",C444="净世破魔击·月",C444="驱夜断愁"),AB444)</f>
        <v>1</v>
      </c>
      <c r="CQ444" s="115" t="b">
        <f ca="1">OR(CP444,AND(CP443,RAND()&lt;模拟模式!$U$23))</f>
        <v>1</v>
      </c>
      <c r="CR444" s="115" t="b">
        <f ca="1">AND(模拟模式!$S$7="日月齐光",OR(C444="幽月轮1",C444="幽月轮2",C444="幽月轮3",CR443),NOT(OR(C444="赤日轮1",C444="赤日轮2",C444="赤日轮3")))</f>
        <v>0</v>
      </c>
      <c r="CS444" s="115" t="b">
        <f ca="1">AND(模拟模式!$S$7="日月齐光",OR(C444="赤日轮1",C444="赤日轮2",C444="赤日轮3",CS443),NOT(OR(C444="幽月轮1",C444="幽月轮2",C444="幽月轮3")))</f>
        <v>0</v>
      </c>
      <c r="CT444" s="115">
        <f t="shared" ca="1" si="400"/>
        <v>0</v>
      </c>
      <c r="CU444" s="115" t="b">
        <f ca="1">AND(模拟模式!$K$10="阴阳往极",CT443=0,RAND()&lt;IF(C444="净世破魔击·月",0.0275*7/3,IF(C444="净世破魔击·日",0.0275*3/3,0.0275*2/3)))</f>
        <v>0</v>
      </c>
      <c r="CV444" s="115">
        <f t="shared" ca="1" si="401"/>
        <v>0</v>
      </c>
      <c r="CW444" s="115">
        <f t="shared" ca="1" si="373"/>
        <v>2.3099999999999996</v>
      </c>
      <c r="CX444" s="115">
        <f t="shared" ca="1" si="374"/>
        <v>0.46499999999999975</v>
      </c>
      <c r="CY444" s="115">
        <f ca="1">MAX(IF($C444="驱夜断愁",IF(模拟模式!$R$7="万念俱寂",6,45),CY443-$F$4),0)</f>
        <v>1.3874999999999997</v>
      </c>
      <c r="CZ444" s="115">
        <f t="shared" ca="1" si="375"/>
        <v>0</v>
      </c>
      <c r="DA444" s="115">
        <f ca="1">IF(模拟模式!$N$7="日月同辉",IF(DB443=2,0,MIN(6,IF(AND(OR(C444="赤日轮1",C444="赤日轮2",C444="赤日轮3",C444="幽月轮1",C444="幽月轮2",C444="幽月轮3"),AB444=1),DA443+1,DA443))),0)</f>
        <v>0</v>
      </c>
      <c r="DB444" s="115">
        <f t="shared" ca="1" si="376"/>
        <v>0</v>
      </c>
      <c r="DC444" s="115"/>
      <c r="DD444" s="115"/>
      <c r="DE444" s="115"/>
      <c r="DF444" s="115"/>
      <c r="DG444" s="115"/>
      <c r="DH444" s="115"/>
      <c r="DI444" s="115"/>
      <c r="DJ444" s="115"/>
      <c r="DK444" s="115"/>
      <c r="DL444" s="115"/>
      <c r="DM444" s="115"/>
    </row>
    <row r="445" spans="2:117" x14ac:dyDescent="0.2">
      <c r="B445" s="117">
        <f t="shared" si="377"/>
        <v>385.60500000000371</v>
      </c>
      <c r="C445" s="167" t="str">
        <f t="shared" ca="1" si="370"/>
        <v>银月斩</v>
      </c>
      <c r="D445" s="115">
        <f ca="1">IF(C445="赤日轮1",1,IF(C445="赤日轮2",2,IF(C445="赤日轮3",3,IF(C445="幽月轮1",4,IF(C445="幽月轮2",5,IF(C445="幽月轮3",6,IF(C445="烈日斩",7,IF(C445="银月斩",8,IF(C445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445="净世破魔击·月",17,IF(C445="驱夜断愁",18,0)))))))))))</f>
        <v>8</v>
      </c>
      <c r="E445" s="115">
        <f ca="1">IF(AND(CU445,OR(C445="幽月轮1",C445="幽月轮2",C445="幽月轮3",C445="银月斩",C445="驱夜断愁",C445="净世破魔击·月")),100,MIN(IF(OR(CN445,BE445),0,IF(OR($C445="赤日轮1",$C445="赤日轮2",$C445="赤日轮3"),E444+20+IF(模拟模式!$I$7="日月凌天",4,0)+IF(CR444,20,0),IF($C445="烈日斩",E444+40,IF($C445="驱夜断愁",IF(模拟模式!$R$7="万念俱寂",E444+20,E444+60),IF($C445="净世破魔击·月",IF(OR(DB444&gt;0,CV444&gt;0),100,IF(模拟模式!$M$7="辉耀红尘",E444+20,E444)),IF($C445="净世破魔击·日",E444-100,E444)))))),100))</f>
        <v>20</v>
      </c>
      <c r="F445" s="115">
        <f ca="1">IF(AND(CU445,OR(C445="赤日轮1",C445="赤日轮2",C445="赤日轮3",C445="烈日斩",C445="净世破魔击·日")),100,MIN(IF(CO445,0,IF(OR($C445="幽月轮1",$C445="幽月轮2",$C445="幽月轮3"),F444+20+IF(模拟模式!$I$7="日月凌天",4,0)+IF(CS444,20,0),IF($C445="银月斩",F444+40+IF(模拟模式!$X$12=1,5,0),IF($C445="驱夜断愁",IF(模拟模式!$R$7="万念俱寂",F444+20,F444+60),IF($C445="净世破魔击·月",IF(模拟模式!$M$7="辉耀红尘",F444-80,F444-100),IF(AND(C445="净世破魔击·日",OR(DB444&gt;0,CV444&gt;0)),100,F444)))))),100))</f>
        <v>65</v>
      </c>
      <c r="G445" s="117">
        <f ca="1">('模拟-全程加成'!$E$3+'模拟-全程加成'!$E$4+'模拟-全程加成'!$E$5+('模拟-全程加成'!$C$6-'模拟-全程加成'!$C$3)*系数!$B$9+BS445*23)*(1+'模拟-全程加成'!$F$4+'模拟-全程加成'!$F$5+BJ445*10%+BM445*20%+BP445*4%+CG445*30%)+$F$7*系数!$B$12</f>
        <v>21493.829400000002</v>
      </c>
      <c r="H445" s="45">
        <f ca="1">'模拟-全程加成'!$H$3+'模拟-全程加成'!$H$4+'模拟-全程加成'!$H$5+('模拟-全程加成'!$G$4+'模拟-全程加成'!$G$5+('模拟-全程加成'!$C$6-'模拟-全程加成'!$C$3)*系数!$B$13)/系数!$B$3+LOOKUP(D445,'模拟-单技能数据'!$A$2:$A$19,'模拟-单技能数据'!$K$2:$K$19)+BG445*10%+IF(BV445&gt;0,378,0)</f>
        <v>0.64185145527300214</v>
      </c>
      <c r="I445" s="45">
        <f ca="1">'模拟-全程加成'!$J$3+'模拟-全程加成'!$J$4+'模拟-全程加成'!$J$5+('模拟-全程加成'!$I$4+'模拟-全程加成'!$I$5)/系数!$B$4+LOOKUP(D445,'模拟-单技能数据'!$A$2:$A$19,'模拟-单技能数据'!$L$2:$L$19)+BG445*10%</f>
        <v>2.2624828854998791</v>
      </c>
      <c r="J445" s="45">
        <f ca="1">(('模拟-全程加成'!$K$3+'模拟-全程加成'!$K$4+'模拟-全程加成'!$K$5+('模拟-全程加成'!$C$6-'模拟-全程加成'!$C$3)*系数!$B$10+IF(BV445&gt;0,882,0)+IF(BY445&gt;0,1831,0))*(1+'模拟-全程加成'!$L$4+'模拟-全程加成'!$L$5+CC445*20%))/系数!$B$5</f>
        <v>0.85832564669386491</v>
      </c>
      <c r="K445" s="119">
        <f ca="1">LOOKUP(D445,'模拟-单技能数据'!$A$2:$A$19,'模拟-单技能数据'!$J$2:$J$19)+IF(CM445,60%,0)+IF(DB444-DB445&gt;0,30%,0)+IF(OR(AND(OR(C445="赤日轮1",C445="赤日轮2",C445="赤日轮3"),CR445),AND(OR(C445="幽月轮1",C445="幽月轮2",C445="幽月轮3"),CS445)),35%,0)+CJ445</f>
        <v>0.16</v>
      </c>
      <c r="L445" s="119">
        <f ca="1">IF(AND(C445="烈日斩",模拟模式!$X$11=1),10%,0)+IF(AND(C445="驱夜断愁",AB445=1),30%,0)</f>
        <v>0</v>
      </c>
      <c r="M445" s="45">
        <f t="shared" ca="1" si="353"/>
        <v>0.64185145527300214</v>
      </c>
      <c r="N445" s="45">
        <f t="shared" ca="1" si="354"/>
        <v>0.30424854472699792</v>
      </c>
      <c r="O445" s="46">
        <f t="shared" ca="1" si="378"/>
        <v>0.32781428839462645</v>
      </c>
      <c r="P445" s="46" t="str">
        <f t="shared" ca="1" si="379"/>
        <v>会</v>
      </c>
      <c r="Q445" s="45">
        <f t="shared" ca="1" si="380"/>
        <v>2.2624828854998791</v>
      </c>
      <c r="R445" s="117">
        <f ca="1">模拟模式!$E$20*(1-IF(模拟模式!$J$19="有",0.15,0))*(1-IF(模拟模式!$K$19="有",0.3,0)-IF(CQ445,0.5,0))</f>
        <v>843.02999999999975</v>
      </c>
      <c r="S445" s="45">
        <f ca="1">R445/(R445+(185*模拟模式!$E$22-16800)*4.08224)</f>
        <v>8.389626085980037E-2</v>
      </c>
      <c r="T445" s="45" t="str">
        <f ca="1">LOOKUP(D445,'模拟-单技能数据'!$A$2:$A$19,'模拟-单技能数据'!$H$2:$H$19)</f>
        <v>阴</v>
      </c>
      <c r="U445" s="119">
        <f t="shared" ca="1" si="355"/>
        <v>0.08</v>
      </c>
      <c r="V445" s="47">
        <f ca="1">(1+L445)*(LOOKUP(D445,'模拟-单技能数据'!$A$2:$A$19,'模拟-单技能数据'!$D$2:$D$19)+G445*LOOKUP(D445,'模拟-单技能数据'!$A$2:$A$19,'模拟-单技能数据'!$F$2:$F$19))*(1+J445)*(1+K445)*(1-S445)*(1+U445)*Q445*LOOKUP(D445,'模拟-单技能数据'!$A$2:$A$19,'模拟-单技能数据'!$I$2:$I$20)</f>
        <v>55062.200309686144</v>
      </c>
      <c r="W445" s="47">
        <f ca="1">LOOKUP(D445,'模拟-单技能数据'!$A$2:$A$19,'模拟-单技能数据'!$G$2:$G$19)*$I$10</f>
        <v>361.51064354704795</v>
      </c>
      <c r="X445" s="47">
        <f t="shared" ca="1" si="381"/>
        <v>26325.323350291452</v>
      </c>
      <c r="Y445" s="47">
        <f t="shared" ca="1" si="356"/>
        <v>81749.034303524648</v>
      </c>
      <c r="Z445" s="49">
        <f t="shared" ca="1" si="357"/>
        <v>43673809.362873599</v>
      </c>
      <c r="AA445" s="97">
        <f t="shared" ca="1" si="358"/>
        <v>113260.48511526868</v>
      </c>
      <c r="AB445" s="115">
        <f ca="1">IF(OR(C445="赤日轮1",C445="赤日轮2",C445="赤日轮3"),IF(RAND()&lt;模拟模式!$Y$17,1,0),IF(OR(C445="幽月轮1",C445="幽月轮2",C445="幽月轮3"),IF(RAND()&lt;模拟模式!$Y$18,1,0),IF(C445="烈日斩",IF(RAND()&lt;模拟模式!$Y$19,1,0),IF(C445="银月斩",IF(RAND()&lt;模拟模式!$Y$20,1,0),IF(C445="驱夜断愁",IF(RAND()&lt;模拟模式!$Y$21,1,0),IF(C445="净世破魔击·日",IF(RAND()&lt;模拟模式!$Y$22,1,0),IF(C445="净世破魔击·月",IF(RAND()&lt;模拟模式!$Y$23,1,0),0)))))))</f>
        <v>1</v>
      </c>
      <c r="AC445" s="115" t="b">
        <f t="shared" ca="1" si="346"/>
        <v>1</v>
      </c>
      <c r="AD445" s="115" t="b">
        <f t="shared" ca="1" si="366"/>
        <v>0</v>
      </c>
      <c r="AE445" s="115">
        <f t="shared" ca="1" si="367"/>
        <v>6</v>
      </c>
      <c r="AF445" s="47">
        <f ca="1">IF(AC445,('模拟-单技能数据'!$D$20+G445*'模拟-单技能数据'!$F$20)*(1+J445)*(1+'模拟-单技能数据'!$J$20)*(1+U445),0)</f>
        <v>5080.1288758208948</v>
      </c>
      <c r="AG445" s="61">
        <f t="shared" ca="1" si="359"/>
        <v>0.64185145527300214</v>
      </c>
      <c r="AH445" s="61">
        <f t="shared" ca="1" si="360"/>
        <v>2.2624828854998791</v>
      </c>
      <c r="AI445" s="62">
        <f t="shared" ca="1" si="382"/>
        <v>0.86693176008140094</v>
      </c>
      <c r="AJ445" s="47">
        <f ca="1">IF(AD445,IF(AI445&lt;$F$10,0,IF(AI445&lt;$F$10+$F$11,0.25,IF(AI445&lt;$F$10+$F$11+AG445,AH445,1)))*IF(AF445&gt;0,AF445,IF(AF444&gt;0,AF444,IF(AF443&gt;0,AF443,IF(AF442&gt;0,AF442,IF(AF441&gt;0,AF441,IF(AF440&gt;0,AF440,IF(AF439&gt;0,AF439,IF(AF438&gt;0,AF438,IF(AF437&gt;0,AF437,IF(AF435&gt;0,AF435,IF(AF434&gt;0,AF434,IF(AF433&gt;0,AF433,0)))))))))))),0)*(1-$S445)*'模拟-单技能数据'!$I$20</f>
        <v>0</v>
      </c>
      <c r="AK445" s="115" t="b">
        <f t="shared" ca="1" si="347"/>
        <v>0</v>
      </c>
      <c r="AL445" s="115" t="b">
        <f t="shared" ca="1" si="368"/>
        <v>1</v>
      </c>
      <c r="AM445" s="115">
        <f t="shared" ca="1" si="369"/>
        <v>4</v>
      </c>
      <c r="AN445" s="47">
        <f ca="1">IF(AK445,('模拟-单技能数据'!$D$21+G445*'模拟-单技能数据'!$F$21)*(1+J445)*(1+'模拟-单技能数据'!$J$21)*(1+U445),0)</f>
        <v>0</v>
      </c>
      <c r="AO445" s="61">
        <f ca="1">IF(AN445&gt;0,M445-'模拟-单技能数据'!$K$10,AO444)</f>
        <v>0.42185145527300216</v>
      </c>
      <c r="AP445" s="61">
        <f ca="1">IF(AN445&gt;0,I445-'模拟-单技能数据'!$L$10,AP444)</f>
        <v>2.162482885499879</v>
      </c>
      <c r="AQ445" s="63">
        <f t="shared" ca="1" si="383"/>
        <v>0.3315471472844107</v>
      </c>
      <c r="AR445" s="64">
        <f ca="1">IF(AL445,IF(AQ445&lt;$F$10,0,IF(AQ445&lt;$F$10+$F$11,0.25,IF(AQ445&lt;$F$10+$F$11+AO445,AP445,1)))*IF(AN445&gt;0,AN445,IF(AN444&gt;0,AN444,IF(AN443&gt;0,AN443,IF(AN442&gt;0,AN442,IF(AN441&gt;0,AN441,IF(AN440&gt;0,AN440,IF(AN439&gt;0,AN439,IF(AN438&gt;0,AN438,IF(AN437&gt;0,AN437,IF(AN435&gt;0,AN435,IF(AN434&gt;0,AN434,IF(AN433&gt;0,AN433,0)))))))))))),0)*(1-$S445)*'模拟-单技能数据'!$I$21</f>
        <v>26325.323350291452</v>
      </c>
      <c r="AS445" s="61">
        <f ca="1">IF(OR(C445="净世破魔击·日",C445="净世破魔击·月"),M445-'模拟-单技能数据'!$K$10,0)</f>
        <v>0</v>
      </c>
      <c r="AT445" s="61">
        <f ca="1">IF(OR(C445="净世破魔击·日",C445="净世破魔击·月"),I445-'模拟-单技能数据'!$L$10,0)</f>
        <v>0</v>
      </c>
      <c r="AU445" s="62">
        <f t="shared" ca="1" si="384"/>
        <v>0.6335550085673548</v>
      </c>
      <c r="AV445" s="64">
        <f ca="1">IF(AS445&gt;0,('模拟-单技能数据'!$D$22+G445*'模拟-单技能数据'!$F$22)*(1+J445)*(1-S445)*IF(AU445&lt;$F$10,0,IF(AU445&lt;$F$10+$F$11,0.25,IF(AU445&lt;$F$10+$F$11+AS445,AT445,1)))*(1+U445),0)*'模拟-单技能数据'!$I$22</f>
        <v>0</v>
      </c>
      <c r="AW445" s="108">
        <f t="shared" ca="1" si="385"/>
        <v>11.697500000000005</v>
      </c>
      <c r="AX445" s="108" t="b">
        <f ca="1">AND(模拟模式!$P$10="有",AW444=0,RAND()&lt;IF(C445="净世破魔击·月",0.1*8/3,IF(C445="净世破魔击·日",0.1*4/3,0.1*2/3)))</f>
        <v>0</v>
      </c>
      <c r="AY445" s="47">
        <f ca="1">IF(AX445,(18+G445*0.722)*(1+J445)*(1-S445)*(1+$I$4)*IF(P445="会",'模拟-全程加成'!$J$3+'模拟-全程加成'!$J$4+'模拟-全程加成'!$J$5+('模拟-全程加成'!$I$4+'模拟-全程加成'!$I$5)/系数!$B$4+BG445*10%,IF(P445="命",1,IF(P445="识",0.25,0))),0)</f>
        <v>0</v>
      </c>
      <c r="AZ445" s="108">
        <f t="shared" si="386"/>
        <v>0</v>
      </c>
      <c r="BA445" s="108" t="b">
        <f>AND(模拟模式!$Q$10="有",AZ444=0)</f>
        <v>0</v>
      </c>
      <c r="BB445" s="140">
        <f>IF(BA445,(0+G445*0.287)*(1+J445)*(1-S445)*(1+$I$4)*IF(P445="会",'模拟-全程加成'!$J$3+'模拟-全程加成'!$J$4+'模拟-全程加成'!$J$5+('模拟-全程加成'!$I$4+'模拟-全程加成'!$I$5)/系数!$B$4+BG445*10%,IF(P445="命",1,IF(P445="识",0.25,0))),0)</f>
        <v>0</v>
      </c>
      <c r="BC445" s="115" t="b">
        <f ca="1">AND(模拟模式!$R$7="伏明众生",E445=60,F445=20,DA445&lt;5,CZ444&lt;$F$4)</f>
        <v>0</v>
      </c>
      <c r="BD445" s="115">
        <f t="shared" ca="1" si="348"/>
        <v>0</v>
      </c>
      <c r="BE445" s="115" t="b">
        <f t="shared" ca="1" si="349"/>
        <v>0</v>
      </c>
      <c r="BF445" s="47">
        <f ca="1">IF(BC445,4*('模拟-单技能数据'!$D$24+G445*'模拟-单技能数据'!$F$24)*(1+J445)*(1+'模拟-单技能数据'!$J$24)*(1-S445)*(1+$I$3)*(('模拟-全程加成'!$J$3+'模拟-全程加成'!$J$4+'模拟-全程加成'!$J$5+('模拟-全程加成'!$I$4+'模拟-全程加成'!$I$5)/系数!$B$4+BG445*10%)*('模拟-全程加成'!$J$3+'模拟-全程加成'!$J$4+'模拟-全程加成'!$J$5+('模拟-全程加成'!$I$4+'模拟-全程加成'!$I$5)/系数!$B$4+BG445*10%)+(1-('模拟-全程加成'!$J$3+'模拟-全程加成'!$J$4+'模拟-全程加成'!$J$5+('模拟-全程加成'!$I$4+'模拟-全程加成'!$I$5)/系数!$B$4+BG445*10%)-$F$10-$F$11)+F431*0.25),0)*'模拟-单技能数据'!$I$24</f>
        <v>0</v>
      </c>
      <c r="BG445" s="115" t="b">
        <f ca="1">OR(AND(OR(C445="烈日斩",C445="银月斩"),模拟模式!$I$7="净身明礼"),AND(C445="净世破魔击·日",模拟模式!$J$7="洞若观火"),AND(C446="净世破魔击·月",模拟模式!$J$7="洞若观火"),AB445=1)</f>
        <v>1</v>
      </c>
      <c r="BH445" s="115" t="b">
        <f t="shared" ca="1" si="387"/>
        <v>1</v>
      </c>
      <c r="BI445" s="115">
        <f t="shared" ca="1" si="350"/>
        <v>6</v>
      </c>
      <c r="BJ445" s="115" t="b">
        <f t="shared" ca="1" si="361"/>
        <v>1</v>
      </c>
      <c r="BK445" s="115" t="b">
        <f ca="1">AND(C445="驱夜断愁",模拟模式!$P$7="天地诛戮")</f>
        <v>0</v>
      </c>
      <c r="BL445" s="57">
        <f t="shared" ca="1" si="351"/>
        <v>14.465000000000003</v>
      </c>
      <c r="BM445" s="115" t="b">
        <f t="shared" ca="1" si="362"/>
        <v>1</v>
      </c>
      <c r="BN445" s="115" t="b">
        <f ca="1">AND(OR(C445="赤日轮1",C445="赤日轮2",C445="赤日轮3",C445="幽月轮1",C445="幽月轮2",C445="幽月轮3"),AB445=1,模拟模式!$L$7="明光恒照")</f>
        <v>0</v>
      </c>
      <c r="BO445" s="117">
        <f t="shared" ca="1" si="352"/>
        <v>26.310000000000002</v>
      </c>
      <c r="BP445" s="115">
        <f t="shared" ca="1" si="388"/>
        <v>6</v>
      </c>
      <c r="BQ445" s="115" t="b">
        <f>模拟模式!$K$10="2600·水"</f>
        <v>0</v>
      </c>
      <c r="BR445" s="117">
        <f t="shared" si="389"/>
        <v>0</v>
      </c>
      <c r="BS445" s="115">
        <f t="shared" si="390"/>
        <v>0</v>
      </c>
      <c r="BT445" s="115">
        <f t="shared" ca="1" si="391"/>
        <v>0</v>
      </c>
      <c r="BU445" s="115" t="b">
        <f ca="1">AND(模拟模式!$K$10="2300·雷",BT444=0,RAND()&lt;IF(C445="净世破魔击·月",5*0.05*2/3,IF(C445="净世破魔击·日",3*0.05*2/3,0.05*2*2/3)))</f>
        <v>0</v>
      </c>
      <c r="BV445" s="115">
        <f t="shared" ca="1" si="392"/>
        <v>0</v>
      </c>
      <c r="BW445" s="115">
        <f t="shared" ca="1" si="393"/>
        <v>169.85249999999985</v>
      </c>
      <c r="BX445" s="164" t="b">
        <f t="shared" ca="1" si="394"/>
        <v>0</v>
      </c>
      <c r="BY445" s="115">
        <f t="shared" ca="1" si="395"/>
        <v>4.8525000000000027</v>
      </c>
      <c r="BZ445" s="115">
        <f>IF(OR(模拟模式!$P$16="10人团",模拟模式!$P$16="25人团"),IF(B445/30&gt;CA444,1,0),0)</f>
        <v>0</v>
      </c>
      <c r="CA445" s="115">
        <f t="shared" si="371"/>
        <v>0</v>
      </c>
      <c r="CB445" s="115">
        <f ca="1">IF(BZ445=1,IF(模拟模式!$P$16="10人团",15,0)+IF(模拟模式!$P$16="25人团",IF(RAND()&lt;0.6,15,0)),MAX(0,CB444-$F$4))</f>
        <v>0</v>
      </c>
      <c r="CC445" s="115" t="b">
        <f t="shared" ca="1" si="363"/>
        <v>0</v>
      </c>
      <c r="CD445" s="115">
        <f>IF(模拟模式!$Q$16="1个",IF(B445/40&gt;CE444,1,0),0)</f>
        <v>0</v>
      </c>
      <c r="CE445" s="115">
        <f t="shared" si="364"/>
        <v>0</v>
      </c>
      <c r="CF445" s="115">
        <f>IF(OR(CD445=1,模拟模式!$Q$16="2个"),20,MAX(0,CF444-$F$4))</f>
        <v>0</v>
      </c>
      <c r="CG445" s="115" t="b">
        <f t="shared" si="365"/>
        <v>0</v>
      </c>
      <c r="CH445" s="115">
        <f t="shared" ca="1" si="396"/>
        <v>23.542500000000004</v>
      </c>
      <c r="CI445" s="115" t="b">
        <f t="shared" ca="1" si="397"/>
        <v>0</v>
      </c>
      <c r="CJ445" s="119">
        <f t="shared" ca="1" si="398"/>
        <v>0.01</v>
      </c>
      <c r="CK445" s="115">
        <f t="shared" ca="1" si="399"/>
        <v>1.5424999999999991</v>
      </c>
      <c r="CL445" s="115" t="b">
        <f ca="1">AND(模拟模式!$S$7="驱夷逐法",OR(AND(C445="净世破魔击·月",E444&gt;59),AND(C445="净世破魔击·日",F444&gt;59)))</f>
        <v>0</v>
      </c>
      <c r="CM445" s="115" t="b">
        <f ca="1">OR(CL445,AND(C445="净世破魔击·日",CL444,RAND()&lt;模拟模式!$U$23))</f>
        <v>0</v>
      </c>
      <c r="CN445" s="115" t="b">
        <f ca="1">IF(模拟模式!$M$7="辉耀红尘",AND(C445="净世破魔击·月",CL445,CV445=0,E444&lt;80),AND(C445="净世破魔击·月",CL445,E444&lt;100))</f>
        <v>0</v>
      </c>
      <c r="CO445" s="115" t="b">
        <f t="shared" ca="1" si="372"/>
        <v>0</v>
      </c>
      <c r="CP445" s="115" t="b">
        <f ca="1">AND(模拟模式!$O$7="用晦而明",OR(C445="净世破魔击·日",C445="净世破魔击·月",C445="驱夜断愁"),AB445)</f>
        <v>0</v>
      </c>
      <c r="CQ445" s="115" t="b">
        <f ca="1">OR(CP445,AND(CP444,RAND()&lt;模拟模式!$U$23))</f>
        <v>1</v>
      </c>
      <c r="CR445" s="115" t="b">
        <f ca="1">AND(模拟模式!$S$7="日月齐光",OR(C445="幽月轮1",C445="幽月轮2",C445="幽月轮3",CR444),NOT(OR(C445="赤日轮1",C445="赤日轮2",C445="赤日轮3")))</f>
        <v>0</v>
      </c>
      <c r="CS445" s="115" t="b">
        <f ca="1">AND(模拟模式!$S$7="日月齐光",OR(C445="赤日轮1",C445="赤日轮2",C445="赤日轮3",CS444),NOT(OR(C445="幽月轮1",C445="幽月轮2",C445="幽月轮3")))</f>
        <v>0</v>
      </c>
      <c r="CT445" s="115">
        <f t="shared" ca="1" si="400"/>
        <v>0</v>
      </c>
      <c r="CU445" s="115" t="b">
        <f ca="1">AND(模拟模式!$K$10="阴阳往极",CT444=0,RAND()&lt;IF(C445="净世破魔击·月",0.0275*7/3,IF(C445="净世破魔击·日",0.0275*3/3,0.0275*2/3)))</f>
        <v>0</v>
      </c>
      <c r="CV445" s="115">
        <f t="shared" ca="1" si="401"/>
        <v>0</v>
      </c>
      <c r="CW445" s="115">
        <f t="shared" ca="1" si="373"/>
        <v>1.3874999999999997</v>
      </c>
      <c r="CX445" s="115">
        <f t="shared" ca="1" si="374"/>
        <v>6</v>
      </c>
      <c r="CY445" s="115">
        <f ca="1">MAX(IF($C445="驱夜断愁",IF(模拟模式!$R$7="万念俱寂",6,45),CY444-$F$4),0)</f>
        <v>0.46499999999999975</v>
      </c>
      <c r="CZ445" s="115">
        <f t="shared" ca="1" si="375"/>
        <v>0</v>
      </c>
      <c r="DA445" s="115">
        <f ca="1">IF(模拟模式!$N$7="日月同辉",IF(DB444=2,0,MIN(6,IF(AND(OR(C445="赤日轮1",C445="赤日轮2",C445="赤日轮3",C445="幽月轮1",C445="幽月轮2",C445="幽月轮3"),AB445=1),DA444+1,DA444))),0)</f>
        <v>0</v>
      </c>
      <c r="DB445" s="115">
        <f t="shared" ca="1" si="376"/>
        <v>0</v>
      </c>
      <c r="DC445" s="115"/>
      <c r="DD445" s="115"/>
      <c r="DE445" s="115"/>
      <c r="DF445" s="115"/>
      <c r="DG445" s="115"/>
      <c r="DH445" s="115"/>
      <c r="DI445" s="115"/>
      <c r="DJ445" s="115"/>
      <c r="DK445" s="115"/>
      <c r="DL445" s="115"/>
      <c r="DM445" s="115"/>
    </row>
    <row r="446" spans="2:117" x14ac:dyDescent="0.2">
      <c r="B446" s="117">
        <f t="shared" si="377"/>
        <v>386.52750000000373</v>
      </c>
      <c r="C446" s="167" t="str">
        <f t="shared" ca="1" si="370"/>
        <v>驱夜断愁</v>
      </c>
      <c r="D446" s="115">
        <f ca="1">IF(C446="赤日轮1",1,IF(C446="赤日轮2",2,IF(C446="赤日轮3",3,IF(C446="幽月轮1",4,IF(C446="幽月轮2",5,IF(C446="幽月轮3",6,IF(C446="烈日斩",7,IF(C446="银月斩",8,IF(C446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446="净世破魔击·月",17,IF(C446="驱夜断愁",18,0)))))))))))</f>
        <v>18</v>
      </c>
      <c r="E446" s="115">
        <f ca="1">IF(AND(CU446,OR(C446="幽月轮1",C446="幽月轮2",C446="幽月轮3",C446="银月斩",C446="驱夜断愁",C446="净世破魔击·月")),100,MIN(IF(OR(CN446,BE446),0,IF(OR($C446="赤日轮1",$C446="赤日轮2",$C446="赤日轮3"),E445+20+IF(模拟模式!$I$7="日月凌天",4,0)+IF(CR445,20,0),IF($C446="烈日斩",E445+40,IF($C446="驱夜断愁",IF(模拟模式!$R$7="万念俱寂",E445+20,E445+60),IF($C446="净世破魔击·月",IF(OR(DB445&gt;0,CV445&gt;0),100,IF(模拟模式!$M$7="辉耀红尘",E445+20,E445)),IF($C446="净世破魔击·日",E445-100,E445)))))),100))</f>
        <v>40</v>
      </c>
      <c r="F446" s="115">
        <f ca="1">IF(AND(CU446,OR(C446="赤日轮1",C446="赤日轮2",C446="赤日轮3",C446="烈日斩",C446="净世破魔击·日")),100,MIN(IF(CO446,0,IF(OR($C446="幽月轮1",$C446="幽月轮2",$C446="幽月轮3"),F445+20+IF(模拟模式!$I$7="日月凌天",4,0)+IF(CS445,20,0),IF($C446="银月斩",F445+40+IF(模拟模式!$X$12=1,5,0),IF($C446="驱夜断愁",IF(模拟模式!$R$7="万念俱寂",F445+20,F445+60),IF($C446="净世破魔击·月",IF(模拟模式!$M$7="辉耀红尘",F445-80,F445-100),IF(AND(C446="净世破魔击·日",OR(DB445&gt;0,CV445&gt;0)),100,F445)))))),100))</f>
        <v>85</v>
      </c>
      <c r="G446" s="117">
        <f ca="1">('模拟-全程加成'!$E$3+'模拟-全程加成'!$E$4+'模拟-全程加成'!$E$5+('模拟-全程加成'!$C$6-'模拟-全程加成'!$C$3)*系数!$B$9+BS446*23)*(1+'模拟-全程加成'!$F$4+'模拟-全程加成'!$F$5+BJ446*10%+BM446*20%+BP446*4%+CG446*30%)+$F$7*系数!$B$12</f>
        <v>21493.829400000002</v>
      </c>
      <c r="H446" s="45">
        <f ca="1">'模拟-全程加成'!$H$3+'模拟-全程加成'!$H$4+'模拟-全程加成'!$H$5+('模拟-全程加成'!$G$4+'模拟-全程加成'!$G$5+('模拟-全程加成'!$C$6-'模拟-全程加成'!$C$3)*系数!$B$13)/系数!$B$3+LOOKUP(D446,'模拟-单技能数据'!$A$2:$A$19,'模拟-单技能数据'!$K$2:$K$19)+BG446*10%+IF(BV446&gt;0,378,0)</f>
        <v>0.51185145527300213</v>
      </c>
      <c r="I446" s="45">
        <f ca="1">'模拟-全程加成'!$J$3+'模拟-全程加成'!$J$4+'模拟-全程加成'!$J$5+('模拟-全程加成'!$I$4+'模拟-全程加成'!$I$5)/系数!$B$4+LOOKUP(D446,'模拟-单技能数据'!$A$2:$A$19,'模拟-单技能数据'!$L$2:$L$19)+BG446*10%</f>
        <v>2.162482885499879</v>
      </c>
      <c r="J446" s="45">
        <f ca="1">(('模拟-全程加成'!$K$3+'模拟-全程加成'!$K$4+'模拟-全程加成'!$K$5+('模拟-全程加成'!$C$6-'模拟-全程加成'!$C$3)*系数!$B$10+IF(BV446&gt;0,882,0)+IF(BY446&gt;0,1831,0))*(1+'模拟-全程加成'!$L$4+'模拟-全程加成'!$L$5+CC446*20%))/系数!$B$5</f>
        <v>0.85832564669386491</v>
      </c>
      <c r="K446" s="119">
        <f ca="1">LOOKUP(D446,'模拟-单技能数据'!$A$2:$A$19,'模拟-单技能数据'!$J$2:$J$19)+IF(CM446,60%,0)+IF(DB445-DB446&gt;0,30%,0)+IF(OR(AND(OR(C446="赤日轮1",C446="赤日轮2",C446="赤日轮3"),CR446),AND(OR(C446="幽月轮1",C446="幽月轮2",C446="幽月轮3"),CS446)),35%,0)+CJ446</f>
        <v>0.15000000000000002</v>
      </c>
      <c r="L446" s="119">
        <f ca="1">IF(AND(C446="烈日斩",模拟模式!$X$11=1),10%,0)+IF(AND(C446="驱夜断愁",AB446=1),30%,0)</f>
        <v>0.3</v>
      </c>
      <c r="M446" s="45">
        <f t="shared" ca="1" si="353"/>
        <v>0.51185145527300213</v>
      </c>
      <c r="N446" s="45">
        <f t="shared" ca="1" si="354"/>
        <v>0.43424854472699792</v>
      </c>
      <c r="O446" s="46">
        <f t="shared" ca="1" si="378"/>
        <v>8.5066216438077435E-2</v>
      </c>
      <c r="P446" s="46" t="str">
        <f t="shared" ca="1" si="379"/>
        <v>会</v>
      </c>
      <c r="Q446" s="45">
        <f t="shared" ca="1" si="380"/>
        <v>2.162482885499879</v>
      </c>
      <c r="R446" s="117">
        <f ca="1">模拟模式!$E$20*(1-IF(模拟模式!$J$19="有",0.15,0))*(1-IF(模拟模式!$K$19="有",0.3,0)-IF(CQ446,0.5,0))</f>
        <v>843.02999999999975</v>
      </c>
      <c r="S446" s="45">
        <f ca="1">R446/(R446+(185*模拟模式!$E$22-16800)*4.08224)</f>
        <v>8.389626085980037E-2</v>
      </c>
      <c r="T446" s="45" t="str">
        <f ca="1">LOOKUP(D446,'模拟-单技能数据'!$A$2:$A$19,'模拟-单技能数据'!$H$2:$H$19)</f>
        <v>阴</v>
      </c>
      <c r="U446" s="119">
        <f t="shared" ca="1" si="355"/>
        <v>0.08</v>
      </c>
      <c r="V446" s="47">
        <f ca="1">(1+L446)*(LOOKUP(D446,'模拟-单技能数据'!$A$2:$A$19,'模拟-单技能数据'!$D$2:$D$19)+G446*LOOKUP(D446,'模拟-单技能数据'!$A$2:$A$19,'模拟-单技能数据'!$F$2:$F$19))*(1+J446)*(1+K446)*(1-S446)*(1+U446)*Q446*LOOKUP(D446,'模拟-单技能数据'!$A$2:$A$19,'模拟-单技能数据'!$I$2:$I$20)</f>
        <v>146988.79698588976</v>
      </c>
      <c r="W446" s="47">
        <f ca="1">LOOKUP(D446,'模拟-单技能数据'!$A$2:$A$19,'模拟-单技能数据'!$G$2:$G$19)*$I$10</f>
        <v>723.0212870940959</v>
      </c>
      <c r="X446" s="47">
        <f t="shared" ca="1" si="381"/>
        <v>29180.59603553222</v>
      </c>
      <c r="Y446" s="47">
        <f t="shared" ca="1" si="356"/>
        <v>176892.41430851608</v>
      </c>
      <c r="Z446" s="49">
        <f t="shared" ca="1" si="357"/>
        <v>43850701.777182117</v>
      </c>
      <c r="AA446" s="97">
        <f t="shared" ca="1" si="358"/>
        <v>113447.8187895601</v>
      </c>
      <c r="AB446" s="115">
        <f ca="1">IF(OR(C446="赤日轮1",C446="赤日轮2",C446="赤日轮3"),IF(RAND()&lt;模拟模式!$Y$17,1,0),IF(OR(C446="幽月轮1",C446="幽月轮2",C446="幽月轮3"),IF(RAND()&lt;模拟模式!$Y$18,1,0),IF(C446="烈日斩",IF(RAND()&lt;模拟模式!$Y$19,1,0),IF(C446="银月斩",IF(RAND()&lt;模拟模式!$Y$20,1,0),IF(C446="驱夜断愁",IF(RAND()&lt;模拟模式!$Y$21,1,0),IF(C446="净世破魔击·日",IF(RAND()&lt;模拟模式!$Y$22,1,0),IF(C446="净世破魔击·月",IF(RAND()&lt;模拟模式!$Y$23,1,0),0)))))))</f>
        <v>1</v>
      </c>
      <c r="AC446" s="115" t="b">
        <f t="shared" ca="1" si="346"/>
        <v>0</v>
      </c>
      <c r="AD446" s="115" t="b">
        <f t="shared" ca="1" si="366"/>
        <v>1</v>
      </c>
      <c r="AE446" s="115">
        <f t="shared" ca="1" si="367"/>
        <v>5</v>
      </c>
      <c r="AF446" s="47">
        <f ca="1">IF(AC446,('模拟-单技能数据'!$D$20+G446*'模拟-单技能数据'!$F$20)*(1+J446)*(1+'模拟-单技能数据'!$J$20)*(1+U446),0)</f>
        <v>0</v>
      </c>
      <c r="AG446" s="61">
        <f t="shared" ca="1" si="359"/>
        <v>0.64185145527300214</v>
      </c>
      <c r="AH446" s="61">
        <f t="shared" ca="1" si="360"/>
        <v>2.2624828854998791</v>
      </c>
      <c r="AI446" s="62">
        <f t="shared" ca="1" si="382"/>
        <v>0.73384267722060859</v>
      </c>
      <c r="AJ446" s="47">
        <f ca="1">IF(AD446,IF(AI446&lt;$F$10,0,IF(AI446&lt;$F$10+$F$11,0.25,IF(AI446&lt;$F$10+$F$11+AG446,AH446,1)))*IF(AF446&gt;0,AF446,IF(AF445&gt;0,AF445,IF(AF444&gt;0,AF444,IF(AF443&gt;0,AF443,IF(AF442&gt;0,AF442,IF(AF441&gt;0,AF441,IF(AF440&gt;0,AF440,IF(AF439&gt;0,AF439,IF(AF438&gt;0,AF438,IF(AF436&gt;0,AF436,IF(AF435&gt;0,AF435,IF(AF434&gt;0,AF434,0)))))))))))),0)*(1-$S446)*'模拟-单技能数据'!$I$20</f>
        <v>4653.9250584536203</v>
      </c>
      <c r="AK446" s="115" t="b">
        <f t="shared" ca="1" si="347"/>
        <v>0</v>
      </c>
      <c r="AL446" s="115" t="b">
        <f t="shared" ca="1" si="368"/>
        <v>0</v>
      </c>
      <c r="AM446" s="115">
        <f t="shared" ca="1" si="369"/>
        <v>4</v>
      </c>
      <c r="AN446" s="47">
        <f ca="1">IF(AK446,('模拟-单技能数据'!$D$21+G446*'模拟-单技能数据'!$F$21)*(1+J446)*(1+'模拟-单技能数据'!$J$21)*(1+U446),0)</f>
        <v>0</v>
      </c>
      <c r="AO446" s="61">
        <f ca="1">IF(AN446&gt;0,M446-'模拟-单技能数据'!$K$10,AO445)</f>
        <v>0.42185145527300216</v>
      </c>
      <c r="AP446" s="61">
        <f ca="1">IF(AN446&gt;0,I446-'模拟-单技能数据'!$L$10,AP445)</f>
        <v>2.162482885499879</v>
      </c>
      <c r="AQ446" s="63">
        <f t="shared" ca="1" si="383"/>
        <v>0.73288157424570743</v>
      </c>
      <c r="AR446" s="64">
        <f ca="1">IF(AL446,IF(AQ446&lt;$F$10,0,IF(AQ446&lt;$F$10+$F$11,0.25,IF(AQ446&lt;$F$10+$F$11+AO446,AP446,1)))*IF(AN446&gt;0,AN446,IF(AN445&gt;0,AN445,IF(AN444&gt;0,AN444,IF(AN443&gt;0,AN443,IF(AN442&gt;0,AN442,IF(AN441&gt;0,AN441,IF(AN440&gt;0,AN440,IF(AN439&gt;0,AN439,IF(AN438&gt;0,AN438,IF(AN436&gt;0,AN436,IF(AN435&gt;0,AN435,IF(AN434&gt;0,AN434,0)))))))))))),0)*(1-$S446)*'模拟-单技能数据'!$I$21</f>
        <v>0</v>
      </c>
      <c r="AS446" s="61">
        <f ca="1">IF(OR(C446="净世破魔击·日",C446="净世破魔击·月"),M446-'模拟-单技能数据'!$K$10,0)</f>
        <v>0</v>
      </c>
      <c r="AT446" s="61">
        <f ca="1">IF(OR(C446="净世破魔击·日",C446="净世破魔击·月"),I446-'模拟-单技能数据'!$L$10,0)</f>
        <v>0</v>
      </c>
      <c r="AU446" s="62">
        <f t="shared" ca="1" si="384"/>
        <v>0.93765506916324104</v>
      </c>
      <c r="AV446" s="64">
        <f ca="1">IF(AS446&gt;0,('模拟-单技能数据'!$D$22+G446*'模拟-单技能数据'!$F$22)*(1+J446)*(1-S446)*IF(AU446&lt;$F$10,0,IF(AU446&lt;$F$10+$F$11,0.25,IF(AU446&lt;$F$10+$F$11+AS446,AT446,1)))*(1+U446),0)*'模拟-单技能数据'!$I$22</f>
        <v>0</v>
      </c>
      <c r="AW446" s="108">
        <f t="shared" ca="1" si="385"/>
        <v>10.775000000000006</v>
      </c>
      <c r="AX446" s="108" t="b">
        <f ca="1">AND(模拟模式!$P$10="有",AW445=0,RAND()&lt;IF(C446="净世破魔击·月",0.1*8/3,IF(C446="净世破魔击·日",0.1*4/3,0.1*2/3)))</f>
        <v>0</v>
      </c>
      <c r="AY446" s="47">
        <f ca="1">IF(AX446,(18+G446*0.722)*(1+J446)*(1-S446)*(1+$I$4)*IF(P446="会",'模拟-全程加成'!$J$3+'模拟-全程加成'!$J$4+'模拟-全程加成'!$J$5+('模拟-全程加成'!$I$4+'模拟-全程加成'!$I$5)/系数!$B$4+BG446*10%,IF(P446="命",1,IF(P446="识",0.25,0))),0)</f>
        <v>0</v>
      </c>
      <c r="AZ446" s="108">
        <f t="shared" si="386"/>
        <v>19.077500000000001</v>
      </c>
      <c r="BA446" s="108" t="b">
        <f>AND(模拟模式!$Q$10="有",AZ445=0)</f>
        <v>1</v>
      </c>
      <c r="BB446" s="140">
        <f ca="1">IF(BA446,(0+G446*0.287)*(1+J446)*(1-S446)*(1+$I$4)*IF(P446="会",'模拟-全程加成'!$J$3+'模拟-全程加成'!$J$4+'模拟-全程加成'!$J$5+('模拟-全程加成'!$I$4+'模拟-全程加成'!$I$5)/系数!$B$4+BG446*10%,IF(P446="命",1,IF(P446="识",0.25,0))),0)</f>
        <v>24526.6709770786</v>
      </c>
      <c r="BC446" s="115" t="b">
        <f ca="1">AND(模拟模式!$R$7="伏明众生",E446=60,F446=20,DA446&lt;5,CZ445&lt;$F$4)</f>
        <v>0</v>
      </c>
      <c r="BD446" s="115">
        <f t="shared" ca="1" si="348"/>
        <v>0</v>
      </c>
      <c r="BE446" s="115" t="b">
        <f t="shared" ca="1" si="349"/>
        <v>0</v>
      </c>
      <c r="BF446" s="47">
        <f ca="1">IF(BC446,4*('模拟-单技能数据'!$D$24+G446*'模拟-单技能数据'!$F$24)*(1+J446)*(1+'模拟-单技能数据'!$J$24)*(1-S446)*(1+$I$3)*(('模拟-全程加成'!$J$3+'模拟-全程加成'!$J$4+'模拟-全程加成'!$J$5+('模拟-全程加成'!$I$4+'模拟-全程加成'!$I$5)/系数!$B$4+BG446*10%)*('模拟-全程加成'!$J$3+'模拟-全程加成'!$J$4+'模拟-全程加成'!$J$5+('模拟-全程加成'!$I$4+'模拟-全程加成'!$I$5)/系数!$B$4+BG446*10%)+(1-('模拟-全程加成'!$J$3+'模拟-全程加成'!$J$4+'模拟-全程加成'!$J$5+('模拟-全程加成'!$I$4+'模拟-全程加成'!$I$5)/系数!$B$4+BG446*10%)-$F$10-$F$11)+F432*0.25),0)*'模拟-单技能数据'!$I$24</f>
        <v>0</v>
      </c>
      <c r="BG446" s="115" t="b">
        <f ca="1">OR(AND(OR(C446="烈日斩",C446="银月斩"),模拟模式!$I$7="净身明礼"),AND(C446="净世破魔击·日",模拟模式!$J$7="洞若观火"),AND(C447="净世破魔击·月",模拟模式!$J$7="洞若观火"),AB446=1)</f>
        <v>1</v>
      </c>
      <c r="BH446" s="115" t="b">
        <f t="shared" ca="1" si="387"/>
        <v>0</v>
      </c>
      <c r="BI446" s="115">
        <f t="shared" ca="1" si="350"/>
        <v>5.0774999999999997</v>
      </c>
      <c r="BJ446" s="115" t="b">
        <f t="shared" ca="1" si="361"/>
        <v>1</v>
      </c>
      <c r="BK446" s="115" t="b">
        <f ca="1">AND(C446="驱夜断愁",模拟模式!$P$7="天地诛戮")</f>
        <v>1</v>
      </c>
      <c r="BL446" s="57">
        <f t="shared" ca="1" si="351"/>
        <v>20</v>
      </c>
      <c r="BM446" s="115" t="b">
        <f t="shared" ca="1" si="362"/>
        <v>1</v>
      </c>
      <c r="BN446" s="115" t="b">
        <f ca="1">AND(OR(C446="赤日轮1",C446="赤日轮2",C446="赤日轮3",C446="幽月轮1",C446="幽月轮2",C446="幽月轮3"),AB446=1,模拟模式!$L$7="明光恒照")</f>
        <v>0</v>
      </c>
      <c r="BO446" s="117">
        <f t="shared" ca="1" si="352"/>
        <v>25.387500000000003</v>
      </c>
      <c r="BP446" s="115">
        <f t="shared" ca="1" si="388"/>
        <v>6</v>
      </c>
      <c r="BQ446" s="115" t="b">
        <f>模拟模式!$K$10="2600·水"</f>
        <v>0</v>
      </c>
      <c r="BR446" s="117">
        <f t="shared" si="389"/>
        <v>0</v>
      </c>
      <c r="BS446" s="115">
        <f t="shared" si="390"/>
        <v>0</v>
      </c>
      <c r="BT446" s="115">
        <f t="shared" ca="1" si="391"/>
        <v>0</v>
      </c>
      <c r="BU446" s="115" t="b">
        <f ca="1">AND(模拟模式!$K$10="2300·雷",BT445=0,RAND()&lt;IF(C446="净世破魔击·月",5*0.05*2/3,IF(C446="净世破魔击·日",3*0.05*2/3,0.05*2*2/3)))</f>
        <v>0</v>
      </c>
      <c r="BV446" s="115">
        <f t="shared" ca="1" si="392"/>
        <v>0</v>
      </c>
      <c r="BW446" s="115">
        <f t="shared" ca="1" si="393"/>
        <v>168.92999999999984</v>
      </c>
      <c r="BX446" s="164" t="b">
        <f t="shared" ca="1" si="394"/>
        <v>0</v>
      </c>
      <c r="BY446" s="115">
        <f t="shared" ca="1" si="395"/>
        <v>3.9300000000000028</v>
      </c>
      <c r="BZ446" s="115">
        <f>IF(OR(模拟模式!$P$16="10人团",模拟模式!$P$16="25人团"),IF(B446/30&gt;CA445,1,0),0)</f>
        <v>0</v>
      </c>
      <c r="CA446" s="115">
        <f t="shared" si="371"/>
        <v>0</v>
      </c>
      <c r="CB446" s="115">
        <f ca="1">IF(BZ446=1,IF(模拟模式!$P$16="10人团",15,0)+IF(模拟模式!$P$16="25人团",IF(RAND()&lt;0.6,15,0)),MAX(0,CB445-$F$4))</f>
        <v>0</v>
      </c>
      <c r="CC446" s="115" t="b">
        <f t="shared" ca="1" si="363"/>
        <v>0</v>
      </c>
      <c r="CD446" s="115">
        <f>IF(模拟模式!$Q$16="1个",IF(B446/40&gt;CE445,1,0),0)</f>
        <v>0</v>
      </c>
      <c r="CE446" s="115">
        <f t="shared" si="364"/>
        <v>0</v>
      </c>
      <c r="CF446" s="115">
        <f>IF(OR(CD446=1,模拟模式!$Q$16="2个"),20,MAX(0,CF445-$F$4))</f>
        <v>0</v>
      </c>
      <c r="CG446" s="115" t="b">
        <f t="shared" si="365"/>
        <v>0</v>
      </c>
      <c r="CH446" s="115">
        <f t="shared" ca="1" si="396"/>
        <v>22.620000000000005</v>
      </c>
      <c r="CI446" s="115" t="b">
        <f t="shared" ca="1" si="397"/>
        <v>0</v>
      </c>
      <c r="CJ446" s="119">
        <f t="shared" ca="1" si="398"/>
        <v>0.01</v>
      </c>
      <c r="CK446" s="115">
        <f t="shared" ca="1" si="399"/>
        <v>0.61999999999999911</v>
      </c>
      <c r="CL446" s="115" t="b">
        <f ca="1">AND(模拟模式!$S$7="驱夷逐法",OR(AND(C446="净世破魔击·月",E445&gt;59),AND(C446="净世破魔击·日",F445&gt;59)))</f>
        <v>0</v>
      </c>
      <c r="CM446" s="115" t="b">
        <f ca="1">OR(CL446,AND(C446="净世破魔击·日",CL445,RAND()&lt;模拟模式!$U$23))</f>
        <v>0</v>
      </c>
      <c r="CN446" s="115" t="b">
        <f ca="1">IF(模拟模式!$M$7="辉耀红尘",AND(C446="净世破魔击·月",CL446,CV446=0,E445&lt;80),AND(C446="净世破魔击·月",CL446,E445&lt;100))</f>
        <v>0</v>
      </c>
      <c r="CO446" s="115" t="b">
        <f t="shared" ca="1" si="372"/>
        <v>0</v>
      </c>
      <c r="CP446" s="115" t="b">
        <f ca="1">AND(模拟模式!$O$7="用晦而明",OR(C446="净世破魔击·日",C446="净世破魔击·月",C446="驱夜断愁"),AB446)</f>
        <v>1</v>
      </c>
      <c r="CQ446" s="115" t="b">
        <f ca="1">OR(CP446,AND(CP445,RAND()&lt;模拟模式!$U$23))</f>
        <v>1</v>
      </c>
      <c r="CR446" s="115" t="b">
        <f ca="1">AND(模拟模式!$S$7="日月齐光",OR(C446="幽月轮1",C446="幽月轮2",C446="幽月轮3",CR445),NOT(OR(C446="赤日轮1",C446="赤日轮2",C446="赤日轮3")))</f>
        <v>0</v>
      </c>
      <c r="CS446" s="115" t="b">
        <f ca="1">AND(模拟模式!$S$7="日月齐光",OR(C446="赤日轮1",C446="赤日轮2",C446="赤日轮3",CS445),NOT(OR(C446="幽月轮1",C446="幽月轮2",C446="幽月轮3")))</f>
        <v>0</v>
      </c>
      <c r="CT446" s="115">
        <f t="shared" ca="1" si="400"/>
        <v>0</v>
      </c>
      <c r="CU446" s="115" t="b">
        <f ca="1">AND(模拟模式!$K$10="阴阳往极",CT445=0,RAND()&lt;IF(C446="净世破魔击·月",0.0275*7/3,IF(C446="净世破魔击·日",0.0275*3/3,0.0275*2/3)))</f>
        <v>0</v>
      </c>
      <c r="CV446" s="115">
        <f t="shared" ca="1" si="401"/>
        <v>0</v>
      </c>
      <c r="CW446" s="115">
        <f t="shared" ca="1" si="373"/>
        <v>0.46499999999999975</v>
      </c>
      <c r="CX446" s="115">
        <f t="shared" ca="1" si="374"/>
        <v>5.0774999999999997</v>
      </c>
      <c r="CY446" s="115">
        <f ca="1">MAX(IF($C446="驱夜断愁",IF(模拟模式!$R$7="万念俱寂",6,45),CY445-$F$4),0)</f>
        <v>6</v>
      </c>
      <c r="CZ446" s="115">
        <f t="shared" ca="1" si="375"/>
        <v>0</v>
      </c>
      <c r="DA446" s="115">
        <f ca="1">IF(模拟模式!$N$7="日月同辉",IF(DB445=2,0,MIN(6,IF(AND(OR(C446="赤日轮1",C446="赤日轮2",C446="赤日轮3",C446="幽月轮1",C446="幽月轮2",C446="幽月轮3"),AB446=1),DA445+1,DA445))),0)</f>
        <v>0</v>
      </c>
      <c r="DB446" s="115">
        <f t="shared" ca="1" si="376"/>
        <v>0</v>
      </c>
      <c r="DC446" s="115"/>
      <c r="DD446" s="115"/>
      <c r="DE446" s="115"/>
      <c r="DF446" s="115"/>
      <c r="DG446" s="115"/>
      <c r="DH446" s="115"/>
      <c r="DI446" s="115"/>
      <c r="DJ446" s="115"/>
      <c r="DK446" s="115"/>
      <c r="DL446" s="115"/>
      <c r="DM446" s="115"/>
    </row>
    <row r="447" spans="2:117" x14ac:dyDescent="0.2">
      <c r="B447" s="117">
        <f t="shared" si="377"/>
        <v>387.45000000000374</v>
      </c>
      <c r="C447" s="167" t="str">
        <f t="shared" ca="1" si="370"/>
        <v>烈日斩</v>
      </c>
      <c r="D447" s="115">
        <f ca="1">IF(C447="赤日轮1",1,IF(C447="赤日轮2",2,IF(C447="赤日轮3",3,IF(C447="幽月轮1",4,IF(C447="幽月轮2",5,IF(C447="幽月轮3",6,IF(C447="烈日斩",7,IF(C447="银月斩",8,IF(C447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447="净世破魔击·月",17,IF(C447="驱夜断愁",18,0)))))))))))</f>
        <v>7</v>
      </c>
      <c r="E447" s="115">
        <f ca="1">IF(AND(CU447,OR(C447="幽月轮1",C447="幽月轮2",C447="幽月轮3",C447="银月斩",C447="驱夜断愁",C447="净世破魔击·月")),100,MIN(IF(OR(CN447,BE447),0,IF(OR($C447="赤日轮1",$C447="赤日轮2",$C447="赤日轮3"),E446+20+IF(模拟模式!$I$7="日月凌天",4,0)+IF(CR446,20,0),IF($C447="烈日斩",E446+40,IF($C447="驱夜断愁",IF(模拟模式!$R$7="万念俱寂",E446+20,E446+60),IF($C447="净世破魔击·月",IF(OR(DB446&gt;0,CV446&gt;0),100,IF(模拟模式!$M$7="辉耀红尘",E446+20,E446)),IF($C447="净世破魔击·日",E446-100,E446)))))),100))</f>
        <v>80</v>
      </c>
      <c r="F447" s="115">
        <f ca="1">IF(AND(CU447,OR(C447="赤日轮1",C447="赤日轮2",C447="赤日轮3",C447="烈日斩",C447="净世破魔击·日")),100,MIN(IF(CO447,0,IF(OR($C447="幽月轮1",$C447="幽月轮2",$C447="幽月轮3"),F446+20+IF(模拟模式!$I$7="日月凌天",4,0)+IF(CS446,20,0),IF($C447="银月斩",F446+40+IF(模拟模式!$X$12=1,5,0),IF($C447="驱夜断愁",IF(模拟模式!$R$7="万念俱寂",F446+20,F446+60),IF($C447="净世破魔击·月",IF(模拟模式!$M$7="辉耀红尘",F446-80,F446-100),IF(AND(C447="净世破魔击·日",OR(DB446&gt;0,CV446&gt;0)),100,F446)))))),100))</f>
        <v>85</v>
      </c>
      <c r="G447" s="117">
        <f ca="1">('模拟-全程加成'!$E$3+'模拟-全程加成'!$E$4+'模拟-全程加成'!$E$5+('模拟-全程加成'!$C$6-'模拟-全程加成'!$C$3)*系数!$B$9+BS447*23)*(1+'模拟-全程加成'!$F$4+'模拟-全程加成'!$F$5+BJ447*10%+BM447*20%+BP447*4%+CG447*30%)+$F$7*系数!$B$12</f>
        <v>21493.829400000002</v>
      </c>
      <c r="H447" s="45">
        <f ca="1">'模拟-全程加成'!$H$3+'模拟-全程加成'!$H$4+'模拟-全程加成'!$H$5+('模拟-全程加成'!$G$4+'模拟-全程加成'!$G$5+('模拟-全程加成'!$C$6-'模拟-全程加成'!$C$3)*系数!$B$13)/系数!$B$3+LOOKUP(D447,'模拟-单技能数据'!$A$2:$A$19,'模拟-单技能数据'!$K$2:$K$19)+BG447*10%+IF(BV447&gt;0,378,0)</f>
        <v>0.56185145527300218</v>
      </c>
      <c r="I447" s="45">
        <f ca="1">'模拟-全程加成'!$J$3+'模拟-全程加成'!$J$4+'模拟-全程加成'!$J$5+('模拟-全程加成'!$I$4+'模拟-全程加成'!$I$5)/系数!$B$4+LOOKUP(D447,'模拟-单技能数据'!$A$2:$A$19,'模拟-单技能数据'!$L$2:$L$19)+BG447*10%</f>
        <v>2.2624828854998791</v>
      </c>
      <c r="J447" s="45">
        <f ca="1">(('模拟-全程加成'!$K$3+'模拟-全程加成'!$K$4+'模拟-全程加成'!$K$5+('模拟-全程加成'!$C$6-'模拟-全程加成'!$C$3)*系数!$B$10+IF(BV447&gt;0,882,0)+IF(BY447&gt;0,1831,0))*(1+'模拟-全程加成'!$L$4+'模拟-全程加成'!$L$5+CC447*20%))/系数!$B$5</f>
        <v>0.85832564669386491</v>
      </c>
      <c r="K447" s="119">
        <f ca="1">LOOKUP(D447,'模拟-单技能数据'!$A$2:$A$19,'模拟-单技能数据'!$J$2:$J$19)+IF(CM447,60%,0)+IF(DB446-DB447&gt;0,30%,0)+IF(OR(AND(OR(C447="赤日轮1",C447="赤日轮2",C447="赤日轮3"),CR447),AND(OR(C447="幽月轮1",C447="幽月轮2",C447="幽月轮3"),CS447)),35%,0)+CJ447</f>
        <v>0.24</v>
      </c>
      <c r="L447" s="119">
        <f ca="1">IF(AND(C447="烈日斩",模拟模式!$X$11=1),10%,0)+IF(AND(C447="驱夜断愁",AB447=1),30%,0)</f>
        <v>0.1</v>
      </c>
      <c r="M447" s="45">
        <f t="shared" ca="1" si="353"/>
        <v>0.56185145527300218</v>
      </c>
      <c r="N447" s="45">
        <f t="shared" ca="1" si="354"/>
        <v>0.38424854472699788</v>
      </c>
      <c r="O447" s="46">
        <f t="shared" ca="1" si="378"/>
        <v>0.94543780555727386</v>
      </c>
      <c r="P447" s="46" t="str">
        <f t="shared" ca="1" si="379"/>
        <v>命</v>
      </c>
      <c r="Q447" s="45">
        <f t="shared" ca="1" si="380"/>
        <v>1</v>
      </c>
      <c r="R447" s="117">
        <f ca="1">模拟模式!$E$20*(1-IF(模拟模式!$J$19="有",0.15,0))*(1-IF(模拟模式!$K$19="有",0.3,0)-IF(CQ447,0.5,0))</f>
        <v>843.02999999999975</v>
      </c>
      <c r="S447" s="45">
        <f ca="1">R447/(R447+(185*模拟模式!$E$22-16800)*4.08224)</f>
        <v>8.389626085980037E-2</v>
      </c>
      <c r="T447" s="45" t="str">
        <f ca="1">LOOKUP(D447,'模拟-单技能数据'!$A$2:$A$19,'模拟-单技能数据'!$H$2:$H$19)</f>
        <v>阳</v>
      </c>
      <c r="U447" s="119">
        <f t="shared" ca="1" si="355"/>
        <v>0.2</v>
      </c>
      <c r="V447" s="47">
        <f ca="1">(1+L447)*(LOOKUP(D447,'模拟-单技能数据'!$A$2:$A$19,'模拟-单技能数据'!$D$2:$D$19)+G447*LOOKUP(D447,'模拟-单技能数据'!$A$2:$A$19,'模拟-单技能数据'!$F$2:$F$19))*(1+J447)*(1+K447)*(1-S447)*(1+U447)*Q447*LOOKUP(D447,'模拟-单技能数据'!$A$2:$A$19,'模拟-单技能数据'!$I$2:$I$20)</f>
        <v>53477.453984544081</v>
      </c>
      <c r="W447" s="47">
        <f ca="1">LOOKUP(D447,'模拟-单技能数据'!$A$2:$A$19,'模拟-单技能数据'!$G$2:$G$19)*$I$10</f>
        <v>361.51064354704795</v>
      </c>
      <c r="X447" s="47">
        <f t="shared" ca="1" si="381"/>
        <v>12173.656275761043</v>
      </c>
      <c r="Y447" s="47">
        <f t="shared" ca="1" si="356"/>
        <v>66012.620903852163</v>
      </c>
      <c r="Z447" s="49">
        <f t="shared" ca="1" si="357"/>
        <v>43916714.398085967</v>
      </c>
      <c r="AA447" s="97">
        <f t="shared" ca="1" si="358"/>
        <v>113348.0820701653</v>
      </c>
      <c r="AB447" s="115">
        <f ca="1">IF(OR(C447="赤日轮1",C447="赤日轮2",C447="赤日轮3"),IF(RAND()&lt;模拟模式!$Y$17,1,0),IF(OR(C447="幽月轮1",C447="幽月轮2",C447="幽月轮3"),IF(RAND()&lt;模拟模式!$Y$18,1,0),IF(C447="烈日斩",IF(RAND()&lt;模拟模式!$Y$19,1,0),IF(C447="银月斩",IF(RAND()&lt;模拟模式!$Y$20,1,0),IF(C447="驱夜断愁",IF(RAND()&lt;模拟模式!$Y$21,1,0),IF(C447="净世破魔击·日",IF(RAND()&lt;模拟模式!$Y$22,1,0),IF(C447="净世破魔击·月",IF(RAND()&lt;模拟模式!$Y$23,1,0),0)))))))</f>
        <v>1</v>
      </c>
      <c r="AC447" s="115" t="b">
        <f t="shared" ca="1" si="346"/>
        <v>0</v>
      </c>
      <c r="AD447" s="115" t="b">
        <f t="shared" ca="1" si="366"/>
        <v>0</v>
      </c>
      <c r="AE447" s="115">
        <f t="shared" ca="1" si="367"/>
        <v>5</v>
      </c>
      <c r="AF447" s="47">
        <f ca="1">IF(AC447,('模拟-单技能数据'!$D$20+G447*'模拟-单技能数据'!$F$20)*(1+J447)*(1+'模拟-单技能数据'!$J$20)*(1+U447),0)</f>
        <v>0</v>
      </c>
      <c r="AG447" s="61">
        <f t="shared" ca="1" si="359"/>
        <v>0.64185145527300214</v>
      </c>
      <c r="AH447" s="61">
        <f t="shared" ca="1" si="360"/>
        <v>2.2624828854998791</v>
      </c>
      <c r="AI447" s="62">
        <f t="shared" ca="1" si="382"/>
        <v>0.34495185394762706</v>
      </c>
      <c r="AJ447" s="47">
        <f ca="1">IF(AD447,IF(AI447&lt;$F$10,0,IF(AI447&lt;$F$10+$F$11,0.25,IF(AI447&lt;$F$10+$F$11+AG447,AH447,1)))*IF(AF447&gt;0,AF447,IF(AF446&gt;0,AF446,IF(AF445&gt;0,AF445,IF(AF444&gt;0,AF444,IF(AF443&gt;0,AF443,IF(AF442&gt;0,AF442,IF(AF441&gt;0,AF441,IF(AF440&gt;0,AF440,IF(AF439&gt;0,AF439,IF(AF437&gt;0,AF437,IF(AF436&gt;0,AF436,IF(AF435&gt;0,AF435,0)))))))))))),0)*(1-$S447)*'模拟-单技能数据'!$I$20</f>
        <v>0</v>
      </c>
      <c r="AK447" s="115" t="b">
        <f t="shared" ca="1" si="347"/>
        <v>0</v>
      </c>
      <c r="AL447" s="115" t="b">
        <f t="shared" ca="1" si="368"/>
        <v>1</v>
      </c>
      <c r="AM447" s="115">
        <f t="shared" ca="1" si="369"/>
        <v>3</v>
      </c>
      <c r="AN447" s="47">
        <f ca="1">IF(AK447,('模拟-单技能数据'!$D$21+G447*'模拟-单技能数据'!$F$21)*(1+J447)*(1+'模拟-单技能数据'!$J$21)*(1+U447),0)</f>
        <v>0</v>
      </c>
      <c r="AO447" s="61">
        <f ca="1">IF(AN447&gt;0,M447-'模拟-单技能数据'!$K$10,AO446)</f>
        <v>0.42185145527300216</v>
      </c>
      <c r="AP447" s="61">
        <f ca="1">IF(AN447&gt;0,I447-'模拟-单技能数据'!$L$10,AP446)</f>
        <v>2.162482885499879</v>
      </c>
      <c r="AQ447" s="63">
        <f t="shared" ca="1" si="383"/>
        <v>0.83750800679133386</v>
      </c>
      <c r="AR447" s="64">
        <f ca="1">IF(AL447,IF(AQ447&lt;$F$10,0,IF(AQ447&lt;$F$10+$F$11,0.25,IF(AQ447&lt;$F$10+$F$11+AO447,AP447,1)))*IF(AN447&gt;0,AN447,IF(AN446&gt;0,AN446,IF(AN445&gt;0,AN445,IF(AN444&gt;0,AN444,IF(AN443&gt;0,AN443,IF(AN442&gt;0,AN442,IF(AN441&gt;0,AN441,IF(AN440&gt;0,AN440,IF(AN439&gt;0,AN439,IF(AN437&gt;0,AN437,IF(AN436&gt;0,AN436,IF(AN435&gt;0,AN435,0)))))))))))),0)*(1-$S447)*'模拟-单技能数据'!$I$21</f>
        <v>12173.656275761043</v>
      </c>
      <c r="AS447" s="61">
        <f ca="1">IF(OR(C447="净世破魔击·日",C447="净世破魔击·月"),M447-'模拟-单技能数据'!$K$10,0)</f>
        <v>0</v>
      </c>
      <c r="AT447" s="61">
        <f ca="1">IF(OR(C447="净世破魔击·日",C447="净世破魔击·月"),I447-'模拟-单技能数据'!$L$10,0)</f>
        <v>0</v>
      </c>
      <c r="AU447" s="62">
        <f t="shared" ca="1" si="384"/>
        <v>7.2191919265104931E-2</v>
      </c>
      <c r="AV447" s="64">
        <f ca="1">IF(AS447&gt;0,('模拟-单技能数据'!$D$22+G447*'模拟-单技能数据'!$F$22)*(1+J447)*(1-S447)*IF(AU447&lt;$F$10,0,IF(AU447&lt;$F$10+$F$11,0.25,IF(AU447&lt;$F$10+$F$11+AS447,AT447,1)))*(1+U447),0)*'模拟-单技能数据'!$I$22</f>
        <v>0</v>
      </c>
      <c r="AW447" s="108">
        <f t="shared" ca="1" si="385"/>
        <v>9.8525000000000063</v>
      </c>
      <c r="AX447" s="108" t="b">
        <f ca="1">AND(模拟模式!$P$10="有",AW446=0,RAND()&lt;IF(C447="净世破魔击·月",0.1*8/3,IF(C447="净世破魔击·日",0.1*4/3,0.1*2/3)))</f>
        <v>0</v>
      </c>
      <c r="AY447" s="47">
        <f ca="1">IF(AX447,(18+G447*0.722)*(1+J447)*(1-S447)*(1+$I$4)*IF(P447="会",'模拟-全程加成'!$J$3+'模拟-全程加成'!$J$4+'模拟-全程加成'!$J$5+('模拟-全程加成'!$I$4+'模拟-全程加成'!$I$5)/系数!$B$4+BG447*10%,IF(P447="命",1,IF(P447="识",0.25,0))),0)</f>
        <v>0</v>
      </c>
      <c r="AZ447" s="108">
        <f t="shared" si="386"/>
        <v>18.155000000000001</v>
      </c>
      <c r="BA447" s="108" t="b">
        <f>AND(模拟模式!$Q$10="有",AZ446=0)</f>
        <v>0</v>
      </c>
      <c r="BB447" s="140">
        <f>IF(BA447,(0+G447*0.287)*(1+J447)*(1-S447)*(1+$I$4)*IF(P447="会",'模拟-全程加成'!$J$3+'模拟-全程加成'!$J$4+'模拟-全程加成'!$J$5+('模拟-全程加成'!$I$4+'模拟-全程加成'!$I$5)/系数!$B$4+BG447*10%,IF(P447="命",1,IF(P447="识",0.25,0))),0)</f>
        <v>0</v>
      </c>
      <c r="BC447" s="115" t="b">
        <f ca="1">AND(模拟模式!$R$7="伏明众生",E447=60,F447=20,DA447&lt;5,CZ446&lt;$F$4)</f>
        <v>0</v>
      </c>
      <c r="BD447" s="115">
        <f t="shared" ca="1" si="348"/>
        <v>0</v>
      </c>
      <c r="BE447" s="115" t="b">
        <f t="shared" ca="1" si="349"/>
        <v>0</v>
      </c>
      <c r="BF447" s="47">
        <f ca="1">IF(BC447,4*('模拟-单技能数据'!$D$24+G447*'模拟-单技能数据'!$F$24)*(1+J447)*(1+'模拟-单技能数据'!$J$24)*(1-S447)*(1+$I$3)*(('模拟-全程加成'!$J$3+'模拟-全程加成'!$J$4+'模拟-全程加成'!$J$5+('模拟-全程加成'!$I$4+'模拟-全程加成'!$I$5)/系数!$B$4+BG447*10%)*('模拟-全程加成'!$J$3+'模拟-全程加成'!$J$4+'模拟-全程加成'!$J$5+('模拟-全程加成'!$I$4+'模拟-全程加成'!$I$5)/系数!$B$4+BG447*10%)+(1-('模拟-全程加成'!$J$3+'模拟-全程加成'!$J$4+'模拟-全程加成'!$J$5+('模拟-全程加成'!$I$4+'模拟-全程加成'!$I$5)/系数!$B$4+BG447*10%)-$F$10-$F$11)+F433*0.25),0)*'模拟-单技能数据'!$I$24</f>
        <v>0</v>
      </c>
      <c r="BG447" s="115" t="b">
        <f ca="1">OR(AND(OR(C447="烈日斩",C447="银月斩"),模拟模式!$I$7="净身明礼"),AND(C447="净世破魔击·日",模拟模式!$J$7="洞若观火"),AND(C448="净世破魔击·月",模拟模式!$J$7="洞若观火"),AB447=1)</f>
        <v>1</v>
      </c>
      <c r="BH447" s="115" t="b">
        <f t="shared" ca="1" si="387"/>
        <v>0</v>
      </c>
      <c r="BI447" s="115">
        <f t="shared" ca="1" si="350"/>
        <v>4.1549999999999994</v>
      </c>
      <c r="BJ447" s="115" t="b">
        <f t="shared" ca="1" si="361"/>
        <v>1</v>
      </c>
      <c r="BK447" s="115" t="b">
        <f ca="1">AND(C447="驱夜断愁",模拟模式!$P$7="天地诛戮")</f>
        <v>0</v>
      </c>
      <c r="BL447" s="57">
        <f t="shared" ca="1" si="351"/>
        <v>19.077500000000001</v>
      </c>
      <c r="BM447" s="115" t="b">
        <f t="shared" ca="1" si="362"/>
        <v>1</v>
      </c>
      <c r="BN447" s="115" t="b">
        <f ca="1">AND(OR(C447="赤日轮1",C447="赤日轮2",C447="赤日轮3",C447="幽月轮1",C447="幽月轮2",C447="幽月轮3"),AB447=1,模拟模式!$L$7="明光恒照")</f>
        <v>0</v>
      </c>
      <c r="BO447" s="117">
        <f t="shared" ca="1" si="352"/>
        <v>24.465000000000003</v>
      </c>
      <c r="BP447" s="115">
        <f t="shared" ca="1" si="388"/>
        <v>6</v>
      </c>
      <c r="BQ447" s="115" t="b">
        <f>模拟模式!$K$10="2600·水"</f>
        <v>0</v>
      </c>
      <c r="BR447" s="117">
        <f t="shared" si="389"/>
        <v>0</v>
      </c>
      <c r="BS447" s="115">
        <f t="shared" si="390"/>
        <v>0</v>
      </c>
      <c r="BT447" s="115">
        <f t="shared" ca="1" si="391"/>
        <v>0</v>
      </c>
      <c r="BU447" s="115" t="b">
        <f ca="1">AND(模拟模式!$K$10="2300·雷",BT446=0,RAND()&lt;IF(C447="净世破魔击·月",5*0.05*2/3,IF(C447="净世破魔击·日",3*0.05*2/3,0.05*2*2/3)))</f>
        <v>0</v>
      </c>
      <c r="BV447" s="115">
        <f t="shared" ca="1" si="392"/>
        <v>0</v>
      </c>
      <c r="BW447" s="115">
        <f t="shared" ca="1" si="393"/>
        <v>168.00749999999982</v>
      </c>
      <c r="BX447" s="164" t="b">
        <f t="shared" ca="1" si="394"/>
        <v>0</v>
      </c>
      <c r="BY447" s="115">
        <f t="shared" ca="1" si="395"/>
        <v>3.0075000000000029</v>
      </c>
      <c r="BZ447" s="115">
        <f>IF(OR(模拟模式!$P$16="10人团",模拟模式!$P$16="25人团"),IF(B447/30&gt;CA446,1,0),0)</f>
        <v>0</v>
      </c>
      <c r="CA447" s="115">
        <f t="shared" si="371"/>
        <v>0</v>
      </c>
      <c r="CB447" s="115">
        <f ca="1">IF(BZ447=1,IF(模拟模式!$P$16="10人团",15,0)+IF(模拟模式!$P$16="25人团",IF(RAND()&lt;0.6,15,0)),MAX(0,CB446-$F$4))</f>
        <v>0</v>
      </c>
      <c r="CC447" s="115" t="b">
        <f t="shared" ca="1" si="363"/>
        <v>0</v>
      </c>
      <c r="CD447" s="115">
        <f>IF(模拟模式!$Q$16="1个",IF(B447/40&gt;CE446,1,0),0)</f>
        <v>0</v>
      </c>
      <c r="CE447" s="115">
        <f t="shared" si="364"/>
        <v>0</v>
      </c>
      <c r="CF447" s="115">
        <f>IF(OR(CD447=1,模拟模式!$Q$16="2个"),20,MAX(0,CF446-$F$4))</f>
        <v>0</v>
      </c>
      <c r="CG447" s="115" t="b">
        <f t="shared" si="365"/>
        <v>0</v>
      </c>
      <c r="CH447" s="115">
        <f t="shared" ca="1" si="396"/>
        <v>21.697500000000005</v>
      </c>
      <c r="CI447" s="115" t="b">
        <f t="shared" ca="1" si="397"/>
        <v>0</v>
      </c>
      <c r="CJ447" s="119">
        <f t="shared" ca="1" si="398"/>
        <v>0</v>
      </c>
      <c r="CK447" s="115">
        <f t="shared" ca="1" si="399"/>
        <v>0</v>
      </c>
      <c r="CL447" s="115" t="b">
        <f ca="1">AND(模拟模式!$S$7="驱夷逐法",OR(AND(C447="净世破魔击·月",E446&gt;59),AND(C447="净世破魔击·日",F446&gt;59)))</f>
        <v>0</v>
      </c>
      <c r="CM447" s="115" t="b">
        <f ca="1">OR(CL447,AND(C447="净世破魔击·日",CL446,RAND()&lt;模拟模式!$U$23))</f>
        <v>0</v>
      </c>
      <c r="CN447" s="115" t="b">
        <f ca="1">IF(模拟模式!$M$7="辉耀红尘",AND(C447="净世破魔击·月",CL447,CV447=0,E446&lt;80),AND(C447="净世破魔击·月",CL447,E446&lt;100))</f>
        <v>0</v>
      </c>
      <c r="CO447" s="115" t="b">
        <f t="shared" ca="1" si="372"/>
        <v>0</v>
      </c>
      <c r="CP447" s="115" t="b">
        <f ca="1">AND(模拟模式!$O$7="用晦而明",OR(C447="净世破魔击·日",C447="净世破魔击·月",C447="驱夜断愁"),AB447)</f>
        <v>0</v>
      </c>
      <c r="CQ447" s="115" t="b">
        <f ca="1">OR(CP447,AND(CP446,RAND()&lt;模拟模式!$U$23))</f>
        <v>1</v>
      </c>
      <c r="CR447" s="115" t="b">
        <f ca="1">AND(模拟模式!$S$7="日月齐光",OR(C447="幽月轮1",C447="幽月轮2",C447="幽月轮3",CR446),NOT(OR(C447="赤日轮1",C447="赤日轮2",C447="赤日轮3")))</f>
        <v>0</v>
      </c>
      <c r="CS447" s="115" t="b">
        <f ca="1">AND(模拟模式!$S$7="日月齐光",OR(C447="赤日轮1",C447="赤日轮2",C447="赤日轮3",CS446),NOT(OR(C447="幽月轮1",C447="幽月轮2",C447="幽月轮3")))</f>
        <v>0</v>
      </c>
      <c r="CT447" s="115">
        <f t="shared" ca="1" si="400"/>
        <v>0</v>
      </c>
      <c r="CU447" s="115" t="b">
        <f ca="1">AND(模拟模式!$K$10="阴阳往极",CT446=0,RAND()&lt;IF(C447="净世破魔击·月",0.0275*7/3,IF(C447="净世破魔击·日",0.0275*3/3,0.0275*2/3)))</f>
        <v>0</v>
      </c>
      <c r="CV447" s="115">
        <f t="shared" ca="1" si="401"/>
        <v>0</v>
      </c>
      <c r="CW447" s="115">
        <f t="shared" ca="1" si="373"/>
        <v>6</v>
      </c>
      <c r="CX447" s="115">
        <f t="shared" ca="1" si="374"/>
        <v>4.1549999999999994</v>
      </c>
      <c r="CY447" s="115">
        <f ca="1">MAX(IF($C447="驱夜断愁",IF(模拟模式!$R$7="万念俱寂",6,45),CY446-$F$4),0)</f>
        <v>5.0774999999999997</v>
      </c>
      <c r="CZ447" s="115">
        <f t="shared" ca="1" si="375"/>
        <v>0</v>
      </c>
      <c r="DA447" s="115">
        <f ca="1">IF(模拟模式!$N$7="日月同辉",IF(DB446=2,0,MIN(6,IF(AND(OR(C447="赤日轮1",C447="赤日轮2",C447="赤日轮3",C447="幽月轮1",C447="幽月轮2",C447="幽月轮3"),AB447=1),DA446+1,DA446))),0)</f>
        <v>0</v>
      </c>
      <c r="DB447" s="115">
        <f t="shared" ca="1" si="376"/>
        <v>0</v>
      </c>
      <c r="DC447" s="115"/>
      <c r="DD447" s="115"/>
      <c r="DE447" s="115"/>
      <c r="DF447" s="115"/>
      <c r="DG447" s="115"/>
      <c r="DH447" s="115"/>
      <c r="DI447" s="115"/>
      <c r="DJ447" s="115"/>
      <c r="DK447" s="115"/>
      <c r="DL447" s="115"/>
      <c r="DM447" s="115"/>
    </row>
    <row r="448" spans="2:117" x14ac:dyDescent="0.2">
      <c r="B448" s="117">
        <f t="shared" si="377"/>
        <v>388.37250000000375</v>
      </c>
      <c r="C448" s="167" t="str">
        <f t="shared" ca="1" si="370"/>
        <v>幽月轮1</v>
      </c>
      <c r="D448" s="115">
        <f ca="1">IF(C448="赤日轮1",1,IF(C448="赤日轮2",2,IF(C448="赤日轮3",3,IF(C448="幽月轮1",4,IF(C448="幽月轮2",5,IF(C448="幽月轮3",6,IF(C448="烈日斩",7,IF(C448="银月斩",8,IF(C448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448="净世破魔击·月",17,IF(C448="驱夜断愁",18,0)))))))))))</f>
        <v>4</v>
      </c>
      <c r="E448" s="115">
        <f ca="1">IF(AND(CU448,OR(C448="幽月轮1",C448="幽月轮2",C448="幽月轮3",C448="银月斩",C448="驱夜断愁",C448="净世破魔击·月")),100,MIN(IF(OR(CN448,BE448),0,IF(OR($C448="赤日轮1",$C448="赤日轮2",$C448="赤日轮3"),E447+20+IF(模拟模式!$I$7="日月凌天",4,0)+IF(CR447,20,0),IF($C448="烈日斩",E447+40,IF($C448="驱夜断愁",IF(模拟模式!$R$7="万念俱寂",E447+20,E447+60),IF($C448="净世破魔击·月",IF(OR(DB447&gt;0,CV447&gt;0),100,IF(模拟模式!$M$7="辉耀红尘",E447+20,E447)),IF($C448="净世破魔击·日",E447-100,E447)))))),100))</f>
        <v>80</v>
      </c>
      <c r="F448" s="115">
        <f ca="1">IF(AND(CU448,OR(C448="赤日轮1",C448="赤日轮2",C448="赤日轮3",C448="烈日斩",C448="净世破魔击·日")),100,MIN(IF(CO448,0,IF(OR($C448="幽月轮1",$C448="幽月轮2",$C448="幽月轮3"),F447+20+IF(模拟模式!$I$7="日月凌天",4,0)+IF(CS447,20,0),IF($C448="银月斩",F447+40+IF(模拟模式!$X$12=1,5,0),IF($C448="驱夜断愁",IF(模拟模式!$R$7="万念俱寂",F447+20,F447+60),IF($C448="净世破魔击·月",IF(模拟模式!$M$7="辉耀红尘",F447-80,F447-100),IF(AND(C448="净世破魔击·日",OR(DB447&gt;0,CV447&gt;0)),100,F447)))))),100))</f>
        <v>100</v>
      </c>
      <c r="G448" s="117">
        <f ca="1">('模拟-全程加成'!$E$3+'模拟-全程加成'!$E$4+'模拟-全程加成'!$E$5+('模拟-全程加成'!$C$6-'模拟-全程加成'!$C$3)*系数!$B$9+BS448*23)*(1+'模拟-全程加成'!$F$4+'模拟-全程加成'!$F$5+BJ448*10%+BM448*20%+BP448*4%+CG448*30%)+$F$7*系数!$B$12</f>
        <v>21493.829400000002</v>
      </c>
      <c r="H448" s="45">
        <f ca="1">'模拟-全程加成'!$H$3+'模拟-全程加成'!$H$4+'模拟-全程加成'!$H$5+('模拟-全程加成'!$G$4+'模拟-全程加成'!$G$5+('模拟-全程加成'!$C$6-'模拟-全程加成'!$C$3)*系数!$B$13)/系数!$B$3+LOOKUP(D448,'模拟-单技能数据'!$A$2:$A$19,'模拟-单技能数据'!$K$2:$K$19)+BG448*10%+IF(BV448&gt;0,378,0)</f>
        <v>0.51185145527300213</v>
      </c>
      <c r="I448" s="45">
        <f ca="1">'模拟-全程加成'!$J$3+'模拟-全程加成'!$J$4+'模拟-全程加成'!$J$5+('模拟-全程加成'!$I$4+'模拟-全程加成'!$I$5)/系数!$B$4+LOOKUP(D448,'模拟-单技能数据'!$A$2:$A$19,'模拟-单技能数据'!$L$2:$L$19)+BG448*10%</f>
        <v>2.162482885499879</v>
      </c>
      <c r="J448" s="45">
        <f ca="1">(('模拟-全程加成'!$K$3+'模拟-全程加成'!$K$4+'模拟-全程加成'!$K$5+('模拟-全程加成'!$C$6-'模拟-全程加成'!$C$3)*系数!$B$10+IF(BV448&gt;0,882,0)+IF(BY448&gt;0,1831,0))*(1+'模拟-全程加成'!$L$4+'模拟-全程加成'!$L$5+CC448*20%))/系数!$B$5</f>
        <v>0.85832564669386491</v>
      </c>
      <c r="K448" s="119">
        <f ca="1">LOOKUP(D448,'模拟-单技能数据'!$A$2:$A$19,'模拟-单技能数据'!$J$2:$J$19)+IF(CM448,60%,0)+IF(DB447-DB448&gt;0,30%,0)+IF(OR(AND(OR(C448="赤日轮1",C448="赤日轮2",C448="赤日轮3"),CR448),AND(OR(C448="幽月轮1",C448="幽月轮2",C448="幽月轮3"),CS448)),35%,0)+CJ448</f>
        <v>7.0000000000000007E-2</v>
      </c>
      <c r="L448" s="119">
        <f ca="1">IF(AND(C448="烈日斩",模拟模式!$X$11=1),10%,0)+IF(AND(C448="驱夜断愁",AB448=1),30%,0)</f>
        <v>0</v>
      </c>
      <c r="M448" s="45">
        <f t="shared" ca="1" si="353"/>
        <v>0.51185145527300213</v>
      </c>
      <c r="N448" s="45">
        <f t="shared" ca="1" si="354"/>
        <v>0.43424854472699792</v>
      </c>
      <c r="O448" s="46">
        <f t="shared" ca="1" si="378"/>
        <v>0.5538161263227227</v>
      </c>
      <c r="P448" s="46" t="str">
        <f t="shared" ca="1" si="379"/>
        <v>会</v>
      </c>
      <c r="Q448" s="45">
        <f t="shared" ca="1" si="380"/>
        <v>2.162482885499879</v>
      </c>
      <c r="R448" s="117">
        <f ca="1">模拟模式!$E$20*(1-IF(模拟模式!$J$19="有",0.15,0))*(1-IF(模拟模式!$K$19="有",0.3,0)-IF(CQ448,0.5,0))</f>
        <v>2950.6049999999996</v>
      </c>
      <c r="S448" s="45">
        <f ca="1">R448/(R448+(185*模拟模式!$E$22-16800)*4.08224)</f>
        <v>0.24272716014590323</v>
      </c>
      <c r="T448" s="45" t="str">
        <f ca="1">LOOKUP(D448,'模拟-单技能数据'!$A$2:$A$19,'模拟-单技能数据'!$H$2:$H$19)</f>
        <v>阴</v>
      </c>
      <c r="U448" s="119">
        <f t="shared" ca="1" si="355"/>
        <v>0.08</v>
      </c>
      <c r="V448" s="47">
        <f ca="1">(1+L448)*(LOOKUP(D448,'模拟-单技能数据'!$A$2:$A$19,'模拟-单技能数据'!$D$2:$D$19)+G448*LOOKUP(D448,'模拟-单技能数据'!$A$2:$A$19,'模拟-单技能数据'!$F$2:$F$19))*(1+J448)*(1+K448)*(1-S448)*(1+U448)*Q448*LOOKUP(D448,'模拟-单技能数据'!$A$2:$A$19,'模拟-单技能数据'!$I$2:$I$20)</f>
        <v>40107.51911999024</v>
      </c>
      <c r="W448" s="47">
        <f ca="1">LOOKUP(D448,'模拟-单技能数据'!$A$2:$A$19,'模拟-单技能数据'!$G$2:$G$19)*$I$10</f>
        <v>361.51064354704795</v>
      </c>
      <c r="X448" s="47">
        <f t="shared" ca="1" si="381"/>
        <v>8703.8703514190111</v>
      </c>
      <c r="Y448" s="47">
        <f t="shared" ca="1" si="356"/>
        <v>49172.900114956297</v>
      </c>
      <c r="Z448" s="49">
        <f t="shared" ca="1" si="357"/>
        <v>43965887.29820092</v>
      </c>
      <c r="AA448" s="97">
        <f t="shared" ca="1" si="358"/>
        <v>113205.45944473539</v>
      </c>
      <c r="AB448" s="115">
        <f ca="1">IF(OR(C448="赤日轮1",C448="赤日轮2",C448="赤日轮3"),IF(RAND()&lt;模拟模式!$Y$17,1,0),IF(OR(C448="幽月轮1",C448="幽月轮2",C448="幽月轮3"),IF(RAND()&lt;模拟模式!$Y$18,1,0),IF(C448="烈日斩",IF(RAND()&lt;模拟模式!$Y$19,1,0),IF(C448="银月斩",IF(RAND()&lt;模拟模式!$Y$20,1,0),IF(C448="驱夜断愁",IF(RAND()&lt;模拟模式!$Y$21,1,0),IF(C448="净世破魔击·日",IF(RAND()&lt;模拟模式!$Y$22,1,0),IF(C448="净世破魔击·月",IF(RAND()&lt;模拟模式!$Y$23,1,0),0)))))))</f>
        <v>1</v>
      </c>
      <c r="AC448" s="115" t="b">
        <f t="shared" ca="1" si="346"/>
        <v>0</v>
      </c>
      <c r="AD448" s="115" t="b">
        <f t="shared" ca="1" si="366"/>
        <v>1</v>
      </c>
      <c r="AE448" s="115">
        <f t="shared" ca="1" si="367"/>
        <v>4</v>
      </c>
      <c r="AF448" s="47">
        <f ca="1">IF(AC448,('模拟-单技能数据'!$D$20+G448*'模拟-单技能数据'!$F$20)*(1+J448)*(1+'模拟-单技能数据'!$J$20)*(1+U448),0)</f>
        <v>0</v>
      </c>
      <c r="AG448" s="61">
        <f t="shared" ca="1" si="359"/>
        <v>0.64185145527300214</v>
      </c>
      <c r="AH448" s="61">
        <f t="shared" ca="1" si="360"/>
        <v>2.2624828854998791</v>
      </c>
      <c r="AI448" s="62">
        <f t="shared" ca="1" si="382"/>
        <v>0.47029037910684424</v>
      </c>
      <c r="AJ448" s="47">
        <f ca="1">IF(AD448,IF(AI448&lt;$F$10,0,IF(AI448&lt;$F$10+$F$11,0.25,IF(AI448&lt;$F$10+$F$11+AG448,AH448,1)))*IF(AF448&gt;0,AF448,IF(AF447&gt;0,AF447,IF(AF446&gt;0,AF446,IF(AF445&gt;0,AF445,IF(AF444&gt;0,AF444,IF(AF443&gt;0,AF443,IF(AF442&gt;0,AF442,IF(AF441&gt;0,AF441,IF(AF440&gt;0,AF440,IF(AF438&gt;0,AF438,IF(AF437&gt;0,AF437,IF(AF436&gt;0,AF436,0)))))))))))),0)*(1-$S448)*'模拟-单技能数据'!$I$20</f>
        <v>8703.8703514190111</v>
      </c>
      <c r="AK448" s="115" t="b">
        <f t="shared" ca="1" si="347"/>
        <v>0</v>
      </c>
      <c r="AL448" s="115" t="b">
        <f t="shared" ca="1" si="368"/>
        <v>0</v>
      </c>
      <c r="AM448" s="115">
        <f t="shared" ca="1" si="369"/>
        <v>3</v>
      </c>
      <c r="AN448" s="47">
        <f ca="1">IF(AK448,('模拟-单技能数据'!$D$21+G448*'模拟-单技能数据'!$F$21)*(1+J448)*(1+'模拟-单技能数据'!$J$21)*(1+U448),0)</f>
        <v>0</v>
      </c>
      <c r="AO448" s="61">
        <f ca="1">IF(AN448&gt;0,M448-'模拟-单技能数据'!$K$10,AO447)</f>
        <v>0.42185145527300216</v>
      </c>
      <c r="AP448" s="61">
        <f ca="1">IF(AN448&gt;0,I448-'模拟-单技能数据'!$L$10,AP447)</f>
        <v>2.162482885499879</v>
      </c>
      <c r="AQ448" s="63">
        <f t="shared" ca="1" si="383"/>
        <v>0.16578027045452592</v>
      </c>
      <c r="AR448" s="64">
        <f ca="1">IF(AL448,IF(AQ448&lt;$F$10,0,IF(AQ448&lt;$F$10+$F$11,0.25,IF(AQ448&lt;$F$10+$F$11+AO448,AP448,1)))*IF(AN448&gt;0,AN448,IF(AN447&gt;0,AN447,IF(AN446&gt;0,AN446,IF(AN445&gt;0,AN445,IF(AN444&gt;0,AN444,IF(AN443&gt;0,AN443,IF(AN442&gt;0,AN442,IF(AN441&gt;0,AN441,IF(AN440&gt;0,AN440,IF(AN438&gt;0,AN438,IF(AN437&gt;0,AN437,IF(AN436&gt;0,AN436,0)))))))))))),0)*(1-$S448)*'模拟-单技能数据'!$I$21</f>
        <v>0</v>
      </c>
      <c r="AS448" s="61">
        <f ca="1">IF(OR(C448="净世破魔击·日",C448="净世破魔击·月"),M448-'模拟-单技能数据'!$K$10,0)</f>
        <v>0</v>
      </c>
      <c r="AT448" s="61">
        <f ca="1">IF(OR(C448="净世破魔击·日",C448="净世破魔击·月"),I448-'模拟-单技能数据'!$L$10,0)</f>
        <v>0</v>
      </c>
      <c r="AU448" s="62">
        <f t="shared" ca="1" si="384"/>
        <v>0.48513471280235365</v>
      </c>
      <c r="AV448" s="64">
        <f ca="1">IF(AS448&gt;0,('模拟-单技能数据'!$D$22+G448*'模拟-单技能数据'!$F$22)*(1+J448)*(1-S448)*IF(AU448&lt;$F$10,0,IF(AU448&lt;$F$10+$F$11,0.25,IF(AU448&lt;$F$10+$F$11+AS448,AT448,1)))*(1+U448),0)*'模拟-单技能数据'!$I$22</f>
        <v>0</v>
      </c>
      <c r="AW448" s="108">
        <f t="shared" ca="1" si="385"/>
        <v>8.9300000000000068</v>
      </c>
      <c r="AX448" s="108" t="b">
        <f ca="1">AND(模拟模式!$P$10="有",AW447=0,RAND()&lt;IF(C448="净世破魔击·月",0.1*8/3,IF(C448="净世破魔击·日",0.1*4/3,0.1*2/3)))</f>
        <v>0</v>
      </c>
      <c r="AY448" s="47">
        <f ca="1">IF(AX448,(18+G448*0.722)*(1+J448)*(1-S448)*(1+$I$4)*IF(P448="会",'模拟-全程加成'!$J$3+'模拟-全程加成'!$J$4+'模拟-全程加成'!$J$5+('模拟-全程加成'!$I$4+'模拟-全程加成'!$I$5)/系数!$B$4+BG448*10%,IF(P448="命",1,IF(P448="识",0.25,0))),0)</f>
        <v>0</v>
      </c>
      <c r="AZ448" s="108">
        <f t="shared" si="386"/>
        <v>17.232500000000002</v>
      </c>
      <c r="BA448" s="108" t="b">
        <f>AND(模拟模式!$Q$10="有",AZ447=0)</f>
        <v>0</v>
      </c>
      <c r="BB448" s="140">
        <f>IF(BA448,(0+G448*0.287)*(1+J448)*(1-S448)*(1+$I$4)*IF(P448="会",'模拟-全程加成'!$J$3+'模拟-全程加成'!$J$4+'模拟-全程加成'!$J$5+('模拟-全程加成'!$I$4+'模拟-全程加成'!$I$5)/系数!$B$4+BG448*10%,IF(P448="命",1,IF(P448="识",0.25,0))),0)</f>
        <v>0</v>
      </c>
      <c r="BC448" s="115" t="b">
        <f ca="1">AND(模拟模式!$R$7="伏明众生",E448=60,F448=20,DA448&lt;5,CZ447&lt;$F$4)</f>
        <v>0</v>
      </c>
      <c r="BD448" s="115">
        <f t="shared" ca="1" si="348"/>
        <v>0</v>
      </c>
      <c r="BE448" s="115" t="b">
        <f t="shared" ca="1" si="349"/>
        <v>0</v>
      </c>
      <c r="BF448" s="47">
        <f ca="1">IF(BC448,4*('模拟-单技能数据'!$D$24+G448*'模拟-单技能数据'!$F$24)*(1+J448)*(1+'模拟-单技能数据'!$J$24)*(1-S448)*(1+$I$3)*(('模拟-全程加成'!$J$3+'模拟-全程加成'!$J$4+'模拟-全程加成'!$J$5+('模拟-全程加成'!$I$4+'模拟-全程加成'!$I$5)/系数!$B$4+BG448*10%)*('模拟-全程加成'!$J$3+'模拟-全程加成'!$J$4+'模拟-全程加成'!$J$5+('模拟-全程加成'!$I$4+'模拟-全程加成'!$I$5)/系数!$B$4+BG448*10%)+(1-('模拟-全程加成'!$J$3+'模拟-全程加成'!$J$4+'模拟-全程加成'!$J$5+('模拟-全程加成'!$I$4+'模拟-全程加成'!$I$5)/系数!$B$4+BG448*10%)-$F$10-$F$11)+F434*0.25),0)*'模拟-单技能数据'!$I$24</f>
        <v>0</v>
      </c>
      <c r="BG448" s="115" t="b">
        <f ca="1">OR(AND(OR(C448="烈日斩",C448="银月斩"),模拟模式!$I$7="净身明礼"),AND(C448="净世破魔击·日",模拟模式!$J$7="洞若观火"),AND(C449="净世破魔击·月",模拟模式!$J$7="洞若观火"),AB448=1)</f>
        <v>1</v>
      </c>
      <c r="BH448" s="115" t="b">
        <f t="shared" ca="1" si="387"/>
        <v>0</v>
      </c>
      <c r="BI448" s="115">
        <f t="shared" ca="1" si="350"/>
        <v>3.2324999999999995</v>
      </c>
      <c r="BJ448" s="115" t="b">
        <f t="shared" ca="1" si="361"/>
        <v>1</v>
      </c>
      <c r="BK448" s="115" t="b">
        <f ca="1">AND(C448="驱夜断愁",模拟模式!$P$7="天地诛戮")</f>
        <v>0</v>
      </c>
      <c r="BL448" s="57">
        <f t="shared" ca="1" si="351"/>
        <v>18.155000000000001</v>
      </c>
      <c r="BM448" s="115" t="b">
        <f t="shared" ca="1" si="362"/>
        <v>1</v>
      </c>
      <c r="BN448" s="115" t="b">
        <f ca="1">AND(OR(C448="赤日轮1",C448="赤日轮2",C448="赤日轮3",C448="幽月轮1",C448="幽月轮2",C448="幽月轮3"),AB448=1,模拟模式!$L$7="明光恒照")</f>
        <v>1</v>
      </c>
      <c r="BO448" s="117">
        <f t="shared" ca="1" si="352"/>
        <v>30</v>
      </c>
      <c r="BP448" s="115">
        <f t="shared" ca="1" si="388"/>
        <v>6</v>
      </c>
      <c r="BQ448" s="115" t="b">
        <f>模拟模式!$K$10="2600·水"</f>
        <v>0</v>
      </c>
      <c r="BR448" s="117">
        <f t="shared" si="389"/>
        <v>0</v>
      </c>
      <c r="BS448" s="115">
        <f t="shared" si="390"/>
        <v>0</v>
      </c>
      <c r="BT448" s="115">
        <f t="shared" ca="1" si="391"/>
        <v>0</v>
      </c>
      <c r="BU448" s="115" t="b">
        <f ca="1">AND(模拟模式!$K$10="2300·雷",BT447=0,RAND()&lt;IF(C448="净世破魔击·月",5*0.05*2/3,IF(C448="净世破魔击·日",3*0.05*2/3,0.05*2*2/3)))</f>
        <v>0</v>
      </c>
      <c r="BV448" s="115">
        <f t="shared" ca="1" si="392"/>
        <v>0</v>
      </c>
      <c r="BW448" s="115">
        <f t="shared" ca="1" si="393"/>
        <v>167.08499999999981</v>
      </c>
      <c r="BX448" s="164" t="b">
        <f t="shared" ca="1" si="394"/>
        <v>0</v>
      </c>
      <c r="BY448" s="115">
        <f t="shared" ca="1" si="395"/>
        <v>2.0850000000000031</v>
      </c>
      <c r="BZ448" s="115">
        <f>IF(OR(模拟模式!$P$16="10人团",模拟模式!$P$16="25人团"),IF(B448/30&gt;CA447,1,0),0)</f>
        <v>0</v>
      </c>
      <c r="CA448" s="115">
        <f t="shared" si="371"/>
        <v>0</v>
      </c>
      <c r="CB448" s="115">
        <f ca="1">IF(BZ448=1,IF(模拟模式!$P$16="10人团",15,0)+IF(模拟模式!$P$16="25人团",IF(RAND()&lt;0.6,15,0)),MAX(0,CB447-$F$4))</f>
        <v>0</v>
      </c>
      <c r="CC448" s="115" t="b">
        <f t="shared" ca="1" si="363"/>
        <v>0</v>
      </c>
      <c r="CD448" s="115">
        <f>IF(模拟模式!$Q$16="1个",IF(B448/40&gt;CE447,1,0),0)</f>
        <v>0</v>
      </c>
      <c r="CE448" s="115">
        <f t="shared" si="364"/>
        <v>0</v>
      </c>
      <c r="CF448" s="115">
        <f>IF(OR(CD448=1,模拟模式!$Q$16="2个"),20,MAX(0,CF447-$F$4))</f>
        <v>0</v>
      </c>
      <c r="CG448" s="115" t="b">
        <f t="shared" si="365"/>
        <v>0</v>
      </c>
      <c r="CH448" s="115">
        <f t="shared" ca="1" si="396"/>
        <v>20.775000000000006</v>
      </c>
      <c r="CI448" s="115" t="b">
        <f t="shared" ca="1" si="397"/>
        <v>0</v>
      </c>
      <c r="CJ448" s="119">
        <f t="shared" ca="1" si="398"/>
        <v>0</v>
      </c>
      <c r="CK448" s="115">
        <f t="shared" ca="1" si="399"/>
        <v>0</v>
      </c>
      <c r="CL448" s="115" t="b">
        <f ca="1">AND(模拟模式!$S$7="驱夷逐法",OR(AND(C448="净世破魔击·月",E447&gt;59),AND(C448="净世破魔击·日",F447&gt;59)))</f>
        <v>0</v>
      </c>
      <c r="CM448" s="115" t="b">
        <f ca="1">OR(CL448,AND(C448="净世破魔击·日",CL447,RAND()&lt;模拟模式!$U$23))</f>
        <v>0</v>
      </c>
      <c r="CN448" s="115" t="b">
        <f ca="1">IF(模拟模式!$M$7="辉耀红尘",AND(C448="净世破魔击·月",CL448,CV448=0,E447&lt;80),AND(C448="净世破魔击·月",CL448,E447&lt;100))</f>
        <v>0</v>
      </c>
      <c r="CO448" s="115" t="b">
        <f t="shared" ca="1" si="372"/>
        <v>0</v>
      </c>
      <c r="CP448" s="115" t="b">
        <f ca="1">AND(模拟模式!$O$7="用晦而明",OR(C448="净世破魔击·日",C448="净世破魔击·月",C448="驱夜断愁"),AB448)</f>
        <v>0</v>
      </c>
      <c r="CQ448" s="115" t="b">
        <f ca="1">OR(CP448,AND(CP447,RAND()&lt;模拟模式!$U$23))</f>
        <v>0</v>
      </c>
      <c r="CR448" s="115" t="b">
        <f ca="1">AND(模拟模式!$S$7="日月齐光",OR(C448="幽月轮1",C448="幽月轮2",C448="幽月轮3",CR447),NOT(OR(C448="赤日轮1",C448="赤日轮2",C448="赤日轮3")))</f>
        <v>0</v>
      </c>
      <c r="CS448" s="115" t="b">
        <f ca="1">AND(模拟模式!$S$7="日月齐光",OR(C448="赤日轮1",C448="赤日轮2",C448="赤日轮3",CS447),NOT(OR(C448="幽月轮1",C448="幽月轮2",C448="幽月轮3")))</f>
        <v>0</v>
      </c>
      <c r="CT448" s="115">
        <f t="shared" ca="1" si="400"/>
        <v>0</v>
      </c>
      <c r="CU448" s="115" t="b">
        <f ca="1">AND(模拟模式!$K$10="阴阳往极",CT447=0,RAND()&lt;IF(C448="净世破魔击·月",0.0275*7/3,IF(C448="净世破魔击·日",0.0275*3/3,0.0275*2/3)))</f>
        <v>0</v>
      </c>
      <c r="CV448" s="115">
        <f t="shared" ca="1" si="401"/>
        <v>0</v>
      </c>
      <c r="CW448" s="115">
        <f t="shared" ca="1" si="373"/>
        <v>5.0774999999999997</v>
      </c>
      <c r="CX448" s="115">
        <f t="shared" ca="1" si="374"/>
        <v>3.2324999999999995</v>
      </c>
      <c r="CY448" s="115">
        <f ca="1">MAX(IF($C448="驱夜断愁",IF(模拟模式!$R$7="万念俱寂",6,45),CY447-$F$4),0)</f>
        <v>4.1549999999999994</v>
      </c>
      <c r="CZ448" s="115">
        <f t="shared" ca="1" si="375"/>
        <v>0</v>
      </c>
      <c r="DA448" s="115">
        <f ca="1">IF(模拟模式!$N$7="日月同辉",IF(DB447=2,0,MIN(6,IF(AND(OR(C448="赤日轮1",C448="赤日轮2",C448="赤日轮3",C448="幽月轮1",C448="幽月轮2",C448="幽月轮3"),AB448=1),DA447+1,DA447))),0)</f>
        <v>1</v>
      </c>
      <c r="DB448" s="115">
        <f t="shared" ca="1" si="376"/>
        <v>0</v>
      </c>
      <c r="DC448" s="115"/>
      <c r="DD448" s="115"/>
      <c r="DE448" s="115"/>
      <c r="DF448" s="115"/>
      <c r="DG448" s="115"/>
      <c r="DH448" s="115"/>
      <c r="DI448" s="115"/>
      <c r="DJ448" s="115"/>
      <c r="DK448" s="115"/>
      <c r="DL448" s="115"/>
      <c r="DM448" s="115"/>
    </row>
    <row r="449" spans="2:117" x14ac:dyDescent="0.2">
      <c r="B449" s="117">
        <f t="shared" si="377"/>
        <v>389.29500000000377</v>
      </c>
      <c r="C449" s="167" t="str">
        <f t="shared" ca="1" si="370"/>
        <v>净世破魔击·月</v>
      </c>
      <c r="D449" s="115">
        <f ca="1">IF(C449="赤日轮1",1,IF(C449="赤日轮2",2,IF(C449="赤日轮3",3,IF(C449="幽月轮1",4,IF(C449="幽月轮2",5,IF(C449="幽月轮3",6,IF(C449="烈日斩",7,IF(C449="银月斩",8,IF(C449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449="净世破魔击·月",17,IF(C449="驱夜断愁",18,0)))))))))))</f>
        <v>17</v>
      </c>
      <c r="E449" s="115">
        <f ca="1">IF(AND(CU449,OR(C449="幽月轮1",C449="幽月轮2",C449="幽月轮3",C449="银月斩",C449="驱夜断愁",C449="净世破魔击·月")),100,MIN(IF(OR(CN449,BE449),0,IF(OR($C449="赤日轮1",$C449="赤日轮2",$C449="赤日轮3"),E448+20+IF(模拟模式!$I$7="日月凌天",4,0)+IF(CR448,20,0),IF($C449="烈日斩",E448+40,IF($C449="驱夜断愁",IF(模拟模式!$R$7="万念俱寂",E448+20,E448+60),IF($C449="净世破魔击·月",IF(OR(DB448&gt;0,CV448&gt;0),100,IF(模拟模式!$M$7="辉耀红尘",E448+20,E448)),IF($C449="净世破魔击·日",E448-100,E448)))))),100))</f>
        <v>100</v>
      </c>
      <c r="F449" s="115">
        <f ca="1">IF(AND(CU449,OR(C449="赤日轮1",C449="赤日轮2",C449="赤日轮3",C449="烈日斩",C449="净世破魔击·日")),100,MIN(IF(CO449,0,IF(OR($C449="幽月轮1",$C449="幽月轮2",$C449="幽月轮3"),F448+20+IF(模拟模式!$I$7="日月凌天",4,0)+IF(CS448,20,0),IF($C449="银月斩",F448+40+IF(模拟模式!$X$12=1,5,0),IF($C449="驱夜断愁",IF(模拟模式!$R$7="万念俱寂",F448+20,F448+60),IF($C449="净世破魔击·月",IF(模拟模式!$M$7="辉耀红尘",F448-80,F448-100),IF(AND(C449="净世破魔击·日",OR(DB448&gt;0,CV448&gt;0)),100,F448)))))),100))</f>
        <v>20</v>
      </c>
      <c r="G449" s="117">
        <f ca="1">('模拟-全程加成'!$E$3+'模拟-全程加成'!$E$4+'模拟-全程加成'!$E$5+('模拟-全程加成'!$C$6-'模拟-全程加成'!$C$3)*系数!$B$9+BS449*23)*(1+'模拟-全程加成'!$F$4+'模拟-全程加成'!$F$5+BJ449*10%+BM449*20%+BP449*4%+CG449*30%)+$F$7*系数!$B$12</f>
        <v>21493.829400000002</v>
      </c>
      <c r="H449" s="45">
        <f ca="1">'模拟-全程加成'!$H$3+'模拟-全程加成'!$H$4+'模拟-全程加成'!$H$5+('模拟-全程加成'!$G$4+'模拟-全程加成'!$G$5+('模拟-全程加成'!$C$6-'模拟-全程加成'!$C$3)*系数!$B$13)/系数!$B$3+LOOKUP(D449,'模拟-单技能数据'!$A$2:$A$19,'模拟-单技能数据'!$K$2:$K$19)+BG449*10%+IF(BV449&gt;0,378,0)</f>
        <v>0.54185145527300216</v>
      </c>
      <c r="I449" s="45">
        <f ca="1">'模拟-全程加成'!$J$3+'模拟-全程加成'!$J$4+'模拟-全程加成'!$J$5+('模拟-全程加成'!$I$4+'模拟-全程加成'!$I$5)/系数!$B$4+LOOKUP(D449,'模拟-单技能数据'!$A$2:$A$19,'模拟-单技能数据'!$L$2:$L$19)+BG449*10%</f>
        <v>2.162482885499879</v>
      </c>
      <c r="J449" s="45">
        <f ca="1">(('模拟-全程加成'!$K$3+'模拟-全程加成'!$K$4+'模拟-全程加成'!$K$5+('模拟-全程加成'!$C$6-'模拟-全程加成'!$C$3)*系数!$B$10+IF(BV449&gt;0,882,0)+IF(BY449&gt;0,1831,0))*(1+'模拟-全程加成'!$L$4+'模拟-全程加成'!$L$5+CC449*20%))/系数!$B$5</f>
        <v>0.85832564669386491</v>
      </c>
      <c r="K449" s="119">
        <f ca="1">LOOKUP(D449,'模拟-单技能数据'!$A$2:$A$19,'模拟-单技能数据'!$J$2:$J$19)+IF(CM449,60%,0)+IF(DB448-DB449&gt;0,30%,0)+IF(OR(AND(OR(C449="赤日轮1",C449="赤日轮2",C449="赤日轮3"),CR449),AND(OR(C449="幽月轮1",C449="幽月轮2",C449="幽月轮3"),CS449)),35%,0)+CJ449</f>
        <v>0.8</v>
      </c>
      <c r="L449" s="119">
        <f ca="1">IF(AND(C449="烈日斩",模拟模式!$X$11=1),10%,0)+IF(AND(C449="驱夜断愁",AB449=1),30%,0)</f>
        <v>0</v>
      </c>
      <c r="M449" s="45">
        <f t="shared" ca="1" si="353"/>
        <v>0.54185145527300216</v>
      </c>
      <c r="N449" s="45">
        <f t="shared" ca="1" si="354"/>
        <v>0.40424854472699789</v>
      </c>
      <c r="O449" s="46">
        <f t="shared" ca="1" si="378"/>
        <v>0.10658662525916429</v>
      </c>
      <c r="P449" s="46" t="str">
        <f t="shared" ca="1" si="379"/>
        <v>会</v>
      </c>
      <c r="Q449" s="45">
        <f t="shared" ca="1" si="380"/>
        <v>2.162482885499879</v>
      </c>
      <c r="R449" s="117">
        <f ca="1">模拟模式!$E$20*(1-IF(模拟模式!$J$19="有",0.15,0))*(1-IF(模拟模式!$K$19="有",0.3,0)-IF(CQ449,0.5,0))</f>
        <v>843.02999999999975</v>
      </c>
      <c r="S449" s="45">
        <f ca="1">R449/(R449+(185*模拟模式!$E$22-16800)*4.08224)</f>
        <v>8.389626085980037E-2</v>
      </c>
      <c r="T449" s="45" t="str">
        <f ca="1">LOOKUP(D449,'模拟-单技能数据'!$A$2:$A$19,'模拟-单技能数据'!$H$2:$H$19)</f>
        <v>阴</v>
      </c>
      <c r="U449" s="119">
        <f t="shared" ca="1" si="355"/>
        <v>0.08</v>
      </c>
      <c r="V449" s="47">
        <f ca="1">(1+L449)*(LOOKUP(D449,'模拟-单技能数据'!$A$2:$A$19,'模拟-单技能数据'!$D$2:$D$19)+G449*LOOKUP(D449,'模拟-单技能数据'!$A$2:$A$19,'模拟-单技能数据'!$F$2:$F$19))*(1+J449)*(1+K449)*(1-S449)*(1+U449)*Q449*LOOKUP(D449,'模拟-单技能数据'!$A$2:$A$19,'模拟-单技能数据'!$I$2:$I$20)</f>
        <v>199867.19079495722</v>
      </c>
      <c r="W449" s="47">
        <f ca="1">LOOKUP(D449,'模拟-单技能数据'!$A$2:$A$19,'模拟-单技能数据'!$G$2:$G$19)*$I$10</f>
        <v>361.51064354704795</v>
      </c>
      <c r="X449" s="47">
        <f t="shared" ca="1" si="381"/>
        <v>45163.528185737458</v>
      </c>
      <c r="Y449" s="47">
        <f t="shared" ca="1" si="356"/>
        <v>245392.22962424174</v>
      </c>
      <c r="Z449" s="49">
        <f t="shared" ca="1" si="357"/>
        <v>44211279.527825162</v>
      </c>
      <c r="AA449" s="97">
        <f t="shared" ca="1" si="358"/>
        <v>113567.55038678825</v>
      </c>
      <c r="AB449" s="115">
        <f ca="1">IF(OR(C449="赤日轮1",C449="赤日轮2",C449="赤日轮3"),IF(RAND()&lt;模拟模式!$Y$17,1,0),IF(OR(C449="幽月轮1",C449="幽月轮2",C449="幽月轮3"),IF(RAND()&lt;模拟模式!$Y$18,1,0),IF(C449="烈日斩",IF(RAND()&lt;模拟模式!$Y$19,1,0),IF(C449="银月斩",IF(RAND()&lt;模拟模式!$Y$20,1,0),IF(C449="驱夜断愁",IF(RAND()&lt;模拟模式!$Y$21,1,0),IF(C449="净世破魔击·日",IF(RAND()&lt;模拟模式!$Y$22,1,0),IF(C449="净世破魔击·月",IF(RAND()&lt;模拟模式!$Y$23,1,0),0)))))))</f>
        <v>1</v>
      </c>
      <c r="AC449" s="115" t="b">
        <f t="shared" ca="1" si="346"/>
        <v>0</v>
      </c>
      <c r="AD449" s="115" t="b">
        <f t="shared" ca="1" si="366"/>
        <v>0</v>
      </c>
      <c r="AE449" s="115">
        <f t="shared" ca="1" si="367"/>
        <v>4</v>
      </c>
      <c r="AF449" s="47">
        <f ca="1">IF(AC449,('模拟-单技能数据'!$D$20+G449*'模拟-单技能数据'!$F$20)*(1+J449)*(1+'模拟-单技能数据'!$J$20)*(1+U449),0)</f>
        <v>0</v>
      </c>
      <c r="AG449" s="61">
        <f t="shared" ca="1" si="359"/>
        <v>0.64185145527300214</v>
      </c>
      <c r="AH449" s="61">
        <f t="shared" ca="1" si="360"/>
        <v>2.2624828854998791</v>
      </c>
      <c r="AI449" s="62">
        <f t="shared" ca="1" si="382"/>
        <v>0.73395786733980983</v>
      </c>
      <c r="AJ449" s="47">
        <f ca="1">IF(AD449,IF(AI449&lt;$F$10,0,IF(AI449&lt;$F$10+$F$11,0.25,IF(AI449&lt;$F$10+$F$11+AG449,AH449,1)))*IF(AF449&gt;0,AF449,IF(AF448&gt;0,AF448,IF(AF447&gt;0,AF447,IF(AF446&gt;0,AF446,IF(AF445&gt;0,AF445,IF(AF444&gt;0,AF444,IF(AF443&gt;0,AF443,IF(AF442&gt;0,AF442,IF(AF441&gt;0,AF441,IF(AF439&gt;0,AF439,IF(AF438&gt;0,AF438,IF(AF437&gt;0,AF437,0)))))))))))),0)*(1-$S449)*'模拟-单技能数据'!$I$20</f>
        <v>0</v>
      </c>
      <c r="AK449" s="115" t="b">
        <f t="shared" ca="1" si="347"/>
        <v>0</v>
      </c>
      <c r="AL449" s="115" t="b">
        <f t="shared" ca="1" si="368"/>
        <v>1</v>
      </c>
      <c r="AM449" s="115">
        <f t="shared" ca="1" si="369"/>
        <v>2</v>
      </c>
      <c r="AN449" s="47">
        <f ca="1">IF(AK449,('模拟-单技能数据'!$D$21+G449*'模拟-单技能数据'!$F$21)*(1+J449)*(1+'模拟-单技能数据'!$J$21)*(1+U449),0)</f>
        <v>0</v>
      </c>
      <c r="AO449" s="61">
        <f ca="1">IF(AN449&gt;0,M449-'模拟-单技能数据'!$K$10,AO448)</f>
        <v>0.42185145527300216</v>
      </c>
      <c r="AP449" s="61">
        <f ca="1">IF(AN449&gt;0,I449-'模拟-单技能数据'!$L$10,AP448)</f>
        <v>2.162482885499879</v>
      </c>
      <c r="AQ449" s="63">
        <f t="shared" ca="1" si="383"/>
        <v>7.5243737213370299E-2</v>
      </c>
      <c r="AR449" s="64">
        <f ca="1">IF(AL449,IF(AQ449&lt;$F$10,0,IF(AQ449&lt;$F$10+$F$11,0.25,IF(AQ449&lt;$F$10+$F$11+AO449,AP449,1)))*IF(AN449&gt;0,AN449,IF(AN448&gt;0,AN448,IF(AN447&gt;0,AN447,IF(AN446&gt;0,AN446,IF(AN445&gt;0,AN445,IF(AN444&gt;0,AN444,IF(AN443&gt;0,AN443,IF(AN442&gt;0,AN442,IF(AN441&gt;0,AN441,IF(AN439&gt;0,AN439,IF(AN438&gt;0,AN438,IF(AN437&gt;0,AN437,0)))))))))))),0)*(1-$S449)*'模拟-单技能数据'!$I$21</f>
        <v>26325.323350291452</v>
      </c>
      <c r="AS449" s="61">
        <f ca="1">IF(OR(C449="净世破魔击·日",C449="净世破魔击·月"),M449-'模拟-单技能数据'!$K$10,0)</f>
        <v>0.42185145527300216</v>
      </c>
      <c r="AT449" s="61">
        <f ca="1">IF(OR(C449="净世破魔击·日",C449="净世破魔击·月"),I449-'模拟-单技能数据'!$L$10,0)</f>
        <v>2.162482885499879</v>
      </c>
      <c r="AU449" s="62">
        <f t="shared" ca="1" si="384"/>
        <v>0.11870708906724547</v>
      </c>
      <c r="AV449" s="64">
        <f ca="1">IF(AS449&gt;0,('模拟-单技能数据'!$D$22+G449*'模拟-单技能数据'!$F$22)*(1+J449)*(1-S449)*IF(AU449&lt;$F$10,0,IF(AU449&lt;$F$10+$F$11,0.25,IF(AU449&lt;$F$10+$F$11+AS449,AT449,1)))*(1+U449),0)*'模拟-单技能数据'!$I$22</f>
        <v>18838.204835446006</v>
      </c>
      <c r="AW449" s="108">
        <f t="shared" ca="1" si="385"/>
        <v>8.0075000000000074</v>
      </c>
      <c r="AX449" s="108" t="b">
        <f ca="1">AND(模拟模式!$P$10="有",AW448=0,RAND()&lt;IF(C449="净世破魔击·月",0.1*8/3,IF(C449="净世破魔击·日",0.1*4/3,0.1*2/3)))</f>
        <v>0</v>
      </c>
      <c r="AY449" s="47">
        <f ca="1">IF(AX449,(18+G449*0.722)*(1+J449)*(1-S449)*(1+$I$4)*IF(P449="会",'模拟-全程加成'!$J$3+'模拟-全程加成'!$J$4+'模拟-全程加成'!$J$5+('模拟-全程加成'!$I$4+'模拟-全程加成'!$I$5)/系数!$B$4+BG449*10%,IF(P449="命",1,IF(P449="识",0.25,0))),0)</f>
        <v>0</v>
      </c>
      <c r="AZ449" s="108">
        <f t="shared" si="386"/>
        <v>16.310000000000002</v>
      </c>
      <c r="BA449" s="108" t="b">
        <f>AND(模拟模式!$Q$10="有",AZ448=0)</f>
        <v>0</v>
      </c>
      <c r="BB449" s="140">
        <f>IF(BA449,(0+G449*0.287)*(1+J449)*(1-S449)*(1+$I$4)*IF(P449="会",'模拟-全程加成'!$J$3+'模拟-全程加成'!$J$4+'模拟-全程加成'!$J$5+('模拟-全程加成'!$I$4+'模拟-全程加成'!$I$5)/系数!$B$4+BG449*10%,IF(P449="命",1,IF(P449="识",0.25,0))),0)</f>
        <v>0</v>
      </c>
      <c r="BC449" s="115" t="b">
        <f ca="1">AND(模拟模式!$R$7="伏明众生",E449=60,F449=20,DA449&lt;5,CZ448&lt;$F$4)</f>
        <v>0</v>
      </c>
      <c r="BD449" s="115">
        <f t="shared" ca="1" si="348"/>
        <v>0</v>
      </c>
      <c r="BE449" s="115" t="b">
        <f t="shared" ca="1" si="349"/>
        <v>0</v>
      </c>
      <c r="BF449" s="47">
        <f ca="1">IF(BC449,4*('模拟-单技能数据'!$D$24+G449*'模拟-单技能数据'!$F$24)*(1+J449)*(1+'模拟-单技能数据'!$J$24)*(1-S449)*(1+$I$3)*(('模拟-全程加成'!$J$3+'模拟-全程加成'!$J$4+'模拟-全程加成'!$J$5+('模拟-全程加成'!$I$4+'模拟-全程加成'!$I$5)/系数!$B$4+BG449*10%)*('模拟-全程加成'!$J$3+'模拟-全程加成'!$J$4+'模拟-全程加成'!$J$5+('模拟-全程加成'!$I$4+'模拟-全程加成'!$I$5)/系数!$B$4+BG449*10%)+(1-('模拟-全程加成'!$J$3+'模拟-全程加成'!$J$4+'模拟-全程加成'!$J$5+('模拟-全程加成'!$I$4+'模拟-全程加成'!$I$5)/系数!$B$4+BG449*10%)-$F$10-$F$11)+F435*0.25),0)*'模拟-单技能数据'!$I$24</f>
        <v>0</v>
      </c>
      <c r="BG449" s="115" t="b">
        <f ca="1">OR(AND(OR(C449="烈日斩",C449="银月斩"),模拟模式!$I$7="净身明礼"),AND(C449="净世破魔击·日",模拟模式!$J$7="洞若观火"),AND(C450="净世破魔击·月",模拟模式!$J$7="洞若观火"),AB449=1)</f>
        <v>1</v>
      </c>
      <c r="BH449" s="115" t="b">
        <f t="shared" ca="1" si="387"/>
        <v>0</v>
      </c>
      <c r="BI449" s="115">
        <f t="shared" ca="1" si="350"/>
        <v>2.3099999999999996</v>
      </c>
      <c r="BJ449" s="115" t="b">
        <f t="shared" ca="1" si="361"/>
        <v>1</v>
      </c>
      <c r="BK449" s="115" t="b">
        <f ca="1">AND(C449="驱夜断愁",模拟模式!$P$7="天地诛戮")</f>
        <v>0</v>
      </c>
      <c r="BL449" s="57">
        <f t="shared" ca="1" si="351"/>
        <v>17.232500000000002</v>
      </c>
      <c r="BM449" s="115" t="b">
        <f t="shared" ca="1" si="362"/>
        <v>1</v>
      </c>
      <c r="BN449" s="115" t="b">
        <f ca="1">AND(OR(C449="赤日轮1",C449="赤日轮2",C449="赤日轮3",C449="幽月轮1",C449="幽月轮2",C449="幽月轮3"),AB449=1,模拟模式!$L$7="明光恒照")</f>
        <v>0</v>
      </c>
      <c r="BO449" s="117">
        <f t="shared" ca="1" si="352"/>
        <v>29.077500000000001</v>
      </c>
      <c r="BP449" s="115">
        <f t="shared" ca="1" si="388"/>
        <v>6</v>
      </c>
      <c r="BQ449" s="115" t="b">
        <f>模拟模式!$K$10="2600·水"</f>
        <v>0</v>
      </c>
      <c r="BR449" s="117">
        <f t="shared" si="389"/>
        <v>0</v>
      </c>
      <c r="BS449" s="115">
        <f t="shared" si="390"/>
        <v>0</v>
      </c>
      <c r="BT449" s="115">
        <f t="shared" ca="1" si="391"/>
        <v>0</v>
      </c>
      <c r="BU449" s="115" t="b">
        <f ca="1">AND(模拟模式!$K$10="2300·雷",BT448=0,RAND()&lt;IF(C449="净世破魔击·月",5*0.05*2/3,IF(C449="净世破魔击·日",3*0.05*2/3,0.05*2*2/3)))</f>
        <v>0</v>
      </c>
      <c r="BV449" s="115">
        <f t="shared" ca="1" si="392"/>
        <v>0</v>
      </c>
      <c r="BW449" s="115">
        <f t="shared" ca="1" si="393"/>
        <v>166.1624999999998</v>
      </c>
      <c r="BX449" s="164" t="b">
        <f t="shared" ca="1" si="394"/>
        <v>0</v>
      </c>
      <c r="BY449" s="115">
        <f t="shared" ca="1" si="395"/>
        <v>1.1625000000000032</v>
      </c>
      <c r="BZ449" s="115">
        <f>IF(OR(模拟模式!$P$16="10人团",模拟模式!$P$16="25人团"),IF(B449/30&gt;CA448,1,0),0)</f>
        <v>0</v>
      </c>
      <c r="CA449" s="115">
        <f t="shared" si="371"/>
        <v>0</v>
      </c>
      <c r="CB449" s="115">
        <f ca="1">IF(BZ449=1,IF(模拟模式!$P$16="10人团",15,0)+IF(模拟模式!$P$16="25人团",IF(RAND()&lt;0.6,15,0)),MAX(0,CB448-$F$4))</f>
        <v>0</v>
      </c>
      <c r="CC449" s="115" t="b">
        <f t="shared" ca="1" si="363"/>
        <v>0</v>
      </c>
      <c r="CD449" s="115">
        <f>IF(模拟模式!$Q$16="1个",IF(B449/40&gt;CE448,1,0),0)</f>
        <v>0</v>
      </c>
      <c r="CE449" s="115">
        <f t="shared" si="364"/>
        <v>0</v>
      </c>
      <c r="CF449" s="115">
        <f>IF(OR(CD449=1,模拟模式!$Q$16="2个"),20,MAX(0,CF448-$F$4))</f>
        <v>0</v>
      </c>
      <c r="CG449" s="115" t="b">
        <f t="shared" si="365"/>
        <v>0</v>
      </c>
      <c r="CH449" s="115">
        <f t="shared" ca="1" si="396"/>
        <v>19.852500000000006</v>
      </c>
      <c r="CI449" s="115" t="b">
        <f t="shared" ca="1" si="397"/>
        <v>0</v>
      </c>
      <c r="CJ449" s="119">
        <f t="shared" ca="1" si="398"/>
        <v>0</v>
      </c>
      <c r="CK449" s="115">
        <f t="shared" ca="1" si="399"/>
        <v>0</v>
      </c>
      <c r="CL449" s="115" t="b">
        <f ca="1">AND(模拟模式!$S$7="驱夷逐法",OR(AND(C449="净世破魔击·月",E448&gt;59),AND(C449="净世破魔击·日",F448&gt;59)))</f>
        <v>1</v>
      </c>
      <c r="CM449" s="115" t="b">
        <f ca="1">OR(CL449,AND(C449="净世破魔击·日",CL448,RAND()&lt;模拟模式!$U$23))</f>
        <v>1</v>
      </c>
      <c r="CN449" s="115" t="b">
        <f ca="1">IF(模拟模式!$M$7="辉耀红尘",AND(C449="净世破魔击·月",CL449,CV449=0,E448&lt;80),AND(C449="净世破魔击·月",CL449,E448&lt;100))</f>
        <v>0</v>
      </c>
      <c r="CO449" s="115" t="b">
        <f t="shared" ca="1" si="372"/>
        <v>0</v>
      </c>
      <c r="CP449" s="115" t="b">
        <f ca="1">AND(模拟模式!$O$7="用晦而明",OR(C449="净世破魔击·日",C449="净世破魔击·月",C449="驱夜断愁"),AB449)</f>
        <v>1</v>
      </c>
      <c r="CQ449" s="115" t="b">
        <f ca="1">OR(CP449,AND(CP448,RAND()&lt;模拟模式!$U$23))</f>
        <v>1</v>
      </c>
      <c r="CR449" s="115" t="b">
        <f ca="1">AND(模拟模式!$S$7="日月齐光",OR(C449="幽月轮1",C449="幽月轮2",C449="幽月轮3",CR448),NOT(OR(C449="赤日轮1",C449="赤日轮2",C449="赤日轮3")))</f>
        <v>0</v>
      </c>
      <c r="CS449" s="115" t="b">
        <f ca="1">AND(模拟模式!$S$7="日月齐光",OR(C449="赤日轮1",C449="赤日轮2",C449="赤日轮3",CS448),NOT(OR(C449="幽月轮1",C449="幽月轮2",C449="幽月轮3")))</f>
        <v>0</v>
      </c>
      <c r="CT449" s="115">
        <f t="shared" ca="1" si="400"/>
        <v>0</v>
      </c>
      <c r="CU449" s="115" t="b">
        <f ca="1">AND(模拟模式!$K$10="阴阳往极",CT448=0,RAND()&lt;IF(C449="净世破魔击·月",0.0275*7/3,IF(C449="净世破魔击·日",0.0275*3/3,0.0275*2/3)))</f>
        <v>0</v>
      </c>
      <c r="CV449" s="115">
        <f t="shared" ca="1" si="401"/>
        <v>0</v>
      </c>
      <c r="CW449" s="115">
        <f t="shared" ca="1" si="373"/>
        <v>4.1549999999999994</v>
      </c>
      <c r="CX449" s="115">
        <f t="shared" ca="1" si="374"/>
        <v>2.3099999999999996</v>
      </c>
      <c r="CY449" s="115">
        <f ca="1">MAX(IF($C449="驱夜断愁",IF(模拟模式!$R$7="万念俱寂",6,45),CY448-$F$4),0)</f>
        <v>3.2324999999999995</v>
      </c>
      <c r="CZ449" s="115">
        <f t="shared" ca="1" si="375"/>
        <v>0</v>
      </c>
      <c r="DA449" s="115">
        <f ca="1">IF(模拟模式!$N$7="日月同辉",IF(DB448=2,0,MIN(6,IF(AND(OR(C449="赤日轮1",C449="赤日轮2",C449="赤日轮3",C449="幽月轮1",C449="幽月轮2",C449="幽月轮3"),AB449=1),DA448+1,DA448))),0)</f>
        <v>1</v>
      </c>
      <c r="DB449" s="115">
        <f t="shared" ca="1" si="376"/>
        <v>0</v>
      </c>
      <c r="DC449" s="115"/>
      <c r="DD449" s="115"/>
      <c r="DE449" s="115"/>
      <c r="DF449" s="115"/>
      <c r="DG449" s="115"/>
      <c r="DH449" s="115"/>
      <c r="DI449" s="115"/>
      <c r="DJ449" s="115"/>
      <c r="DK449" s="115"/>
      <c r="DL449" s="115"/>
      <c r="DM449" s="115"/>
    </row>
    <row r="450" spans="2:117" x14ac:dyDescent="0.2">
      <c r="B450" s="117">
        <f t="shared" si="377"/>
        <v>390.21750000000378</v>
      </c>
      <c r="C450" s="167" t="str">
        <f t="shared" ca="1" si="370"/>
        <v>净世破魔击·日</v>
      </c>
      <c r="D450" s="115">
        <f ca="1">IF(C450="赤日轮1",1,IF(C450="赤日轮2",2,IF(C450="赤日轮3",3,IF(C450="幽月轮1",4,IF(C450="幽月轮2",5,IF(C450="幽月轮3",6,IF(C450="烈日斩",7,IF(C450="银月斩",8,IF(C450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450="净世破魔击·月",17,IF(C450="驱夜断愁",18,0)))))))))))</f>
        <v>9</v>
      </c>
      <c r="E450" s="115">
        <f ca="1">IF(AND(CU450,OR(C450="幽月轮1",C450="幽月轮2",C450="幽月轮3",C450="银月斩",C450="驱夜断愁",C450="净世破魔击·月")),100,MIN(IF(OR(CN450,BE450),0,IF(OR($C450="赤日轮1",$C450="赤日轮2",$C450="赤日轮3"),E449+20+IF(模拟模式!$I$7="日月凌天",4,0)+IF(CR449,20,0),IF($C450="烈日斩",E449+40,IF($C450="驱夜断愁",IF(模拟模式!$R$7="万念俱寂",E449+20,E449+60),IF($C450="净世破魔击·月",IF(OR(DB449&gt;0,CV449&gt;0),100,IF(模拟模式!$M$7="辉耀红尘",E449+20,E449)),IF($C450="净世破魔击·日",E449-100,E449)))))),100))</f>
        <v>0</v>
      </c>
      <c r="F450" s="115">
        <f ca="1">IF(AND(CU450,OR(C450="赤日轮1",C450="赤日轮2",C450="赤日轮3",C450="烈日斩",C450="净世破魔击·日")),100,MIN(IF(CO450,0,IF(OR($C450="幽月轮1",$C450="幽月轮2",$C450="幽月轮3"),F449+20+IF(模拟模式!$I$7="日月凌天",4,0)+IF(CS449,20,0),IF($C450="银月斩",F449+40+IF(模拟模式!$X$12=1,5,0),IF($C450="驱夜断愁",IF(模拟模式!$R$7="万念俱寂",F449+20,F449+60),IF($C450="净世破魔击·月",IF(模拟模式!$M$7="辉耀红尘",F449-80,F449-100),IF(AND(C450="净世破魔击·日",OR(DB449&gt;0,CV449&gt;0)),100,F449)))))),100))</f>
        <v>20</v>
      </c>
      <c r="G450" s="117">
        <f ca="1">('模拟-全程加成'!$E$3+'模拟-全程加成'!$E$4+'模拟-全程加成'!$E$5+('模拟-全程加成'!$C$6-'模拟-全程加成'!$C$3)*系数!$B$9+BS450*23)*(1+'模拟-全程加成'!$F$4+'模拟-全程加成'!$F$5+BJ450*10%+BM450*20%+BP450*4%+CG450*30%)+$F$7*系数!$B$12</f>
        <v>21493.829400000002</v>
      </c>
      <c r="H450" s="45">
        <f ca="1">'模拟-全程加成'!$H$3+'模拟-全程加成'!$H$4+'模拟-全程加成'!$H$5+('模拟-全程加成'!$G$4+'模拟-全程加成'!$G$5+('模拟-全程加成'!$C$6-'模拟-全程加成'!$C$3)*系数!$B$13)/系数!$B$3+LOOKUP(D450,'模拟-单技能数据'!$A$2:$A$19,'模拟-单技能数据'!$K$2:$K$19)+BG450*10%+IF(BV450&gt;0,378,0)</f>
        <v>0.54185145527300216</v>
      </c>
      <c r="I450" s="45">
        <f ca="1">'模拟-全程加成'!$J$3+'模拟-全程加成'!$J$4+'模拟-全程加成'!$J$5+('模拟-全程加成'!$I$4+'模拟-全程加成'!$I$5)/系数!$B$4+LOOKUP(D450,'模拟-单技能数据'!$A$2:$A$19,'模拟-单技能数据'!$L$2:$L$19)+BG450*10%</f>
        <v>2.162482885499879</v>
      </c>
      <c r="J450" s="45">
        <f ca="1">(('模拟-全程加成'!$K$3+'模拟-全程加成'!$K$4+'模拟-全程加成'!$K$5+('模拟-全程加成'!$C$6-'模拟-全程加成'!$C$3)*系数!$B$10+IF(BV450&gt;0,882,0)+IF(BY450&gt;0,1831,0))*(1+'模拟-全程加成'!$L$4+'模拟-全程加成'!$L$5+CC450*20%))/系数!$B$5</f>
        <v>0.85832564669386491</v>
      </c>
      <c r="K450" s="119">
        <f ca="1">LOOKUP(D450,'模拟-单技能数据'!$A$2:$A$19,'模拟-单技能数据'!$J$2:$J$19)+IF(CM450,60%,0)+IF(DB449-DB450&gt;0,30%,0)+IF(OR(AND(OR(C450="赤日轮1",C450="赤日轮2",C450="赤日轮3"),CR450),AND(OR(C450="幽月轮1",C450="幽月轮2",C450="幽月轮3"),CS450)),35%,0)+CJ450</f>
        <v>0.8</v>
      </c>
      <c r="L450" s="119">
        <f ca="1">IF(AND(C450="烈日斩",模拟模式!$X$11=1),10%,0)+IF(AND(C450="驱夜断愁",AB450=1),30%,0)</f>
        <v>0</v>
      </c>
      <c r="M450" s="45">
        <f t="shared" ca="1" si="353"/>
        <v>0.54185145527300216</v>
      </c>
      <c r="N450" s="45">
        <f t="shared" ca="1" si="354"/>
        <v>0.40424854472699789</v>
      </c>
      <c r="O450" s="46">
        <f t="shared" ca="1" si="378"/>
        <v>8.8473317740180524E-2</v>
      </c>
      <c r="P450" s="46" t="str">
        <f t="shared" ca="1" si="379"/>
        <v>会</v>
      </c>
      <c r="Q450" s="45">
        <f t="shared" ca="1" si="380"/>
        <v>2.162482885499879</v>
      </c>
      <c r="R450" s="117">
        <f ca="1">模拟模式!$E$20*(1-IF(模拟模式!$J$19="有",0.15,0))*(1-IF(模拟模式!$K$19="有",0.3,0)-IF(CQ450,0.5,0))</f>
        <v>843.02999999999975</v>
      </c>
      <c r="S450" s="45">
        <f ca="1">R450/(R450+(185*模拟模式!$E$22-16800)*4.08224)</f>
        <v>8.389626085980037E-2</v>
      </c>
      <c r="T450" s="45" t="str">
        <f ca="1">LOOKUP(D450,'模拟-单技能数据'!$A$2:$A$19,'模拟-单技能数据'!$H$2:$H$19)</f>
        <v>阳</v>
      </c>
      <c r="U450" s="119">
        <f t="shared" ca="1" si="355"/>
        <v>0.2</v>
      </c>
      <c r="V450" s="47">
        <f ca="1">(1+L450)*(LOOKUP(D450,'模拟-单技能数据'!$A$2:$A$19,'模拟-单技能数据'!$D$2:$D$19)+G450*LOOKUP(D450,'模拟-单技能数据'!$A$2:$A$19,'模拟-单技能数据'!$F$2:$F$19))*(1+J450)*(1+K450)*(1-S450)*(1+U450)*Q450*LOOKUP(D450,'模拟-单技能数据'!$A$2:$A$19,'模拟-单技能数据'!$I$2:$I$20)</f>
        <v>223929.47529837745</v>
      </c>
      <c r="W450" s="47">
        <f ca="1">LOOKUP(D450,'模拟-单技能数据'!$A$2:$A$19,'模拟-单技能数据'!$G$2:$G$19)*$I$10</f>
        <v>723.0212870940959</v>
      </c>
      <c r="X450" s="47">
        <f t="shared" ca="1" si="381"/>
        <v>20208.734170907788</v>
      </c>
      <c r="Y450" s="47">
        <f t="shared" ca="1" si="356"/>
        <v>244861.23075637934</v>
      </c>
      <c r="Z450" s="49">
        <f t="shared" ca="1" si="357"/>
        <v>44456140.758581541</v>
      </c>
      <c r="AA450" s="97">
        <f t="shared" ca="1" si="358"/>
        <v>113926.56853826676</v>
      </c>
      <c r="AB450" s="115">
        <f ca="1">IF(OR(C450="赤日轮1",C450="赤日轮2",C450="赤日轮3"),IF(RAND()&lt;模拟模式!$Y$17,1,0),IF(OR(C450="幽月轮1",C450="幽月轮2",C450="幽月轮3"),IF(RAND()&lt;模拟模式!$Y$18,1,0),IF(C450="烈日斩",IF(RAND()&lt;模拟模式!$Y$19,1,0),IF(C450="银月斩",IF(RAND()&lt;模拟模式!$Y$20,1,0),IF(C450="驱夜断愁",IF(RAND()&lt;模拟模式!$Y$21,1,0),IF(C450="净世破魔击·日",IF(RAND()&lt;模拟模式!$Y$22,1,0),IF(C450="净世破魔击·月",IF(RAND()&lt;模拟模式!$Y$23,1,0),0)))))))</f>
        <v>1</v>
      </c>
      <c r="AC450" s="115" t="b">
        <f t="shared" ref="AC450:AC513" ca="1" si="402">C450="银月斩"</f>
        <v>0</v>
      </c>
      <c r="AD450" s="115" t="b">
        <f t="shared" ca="1" si="366"/>
        <v>1</v>
      </c>
      <c r="AE450" s="115">
        <f t="shared" ca="1" si="367"/>
        <v>3</v>
      </c>
      <c r="AF450" s="47">
        <f ca="1">IF(AC450,('模拟-单技能数据'!$D$20+G450*'模拟-单技能数据'!$F$20)*(1+J450)*(1+'模拟-单技能数据'!$J$20)*(1+U450),0)</f>
        <v>0</v>
      </c>
      <c r="AG450" s="61">
        <f t="shared" ca="1" si="359"/>
        <v>0.64185145527300214</v>
      </c>
      <c r="AH450" s="61">
        <f t="shared" ca="1" si="360"/>
        <v>2.2624828854998791</v>
      </c>
      <c r="AI450" s="62">
        <f t="shared" ca="1" si="382"/>
        <v>0.56796546056880803</v>
      </c>
      <c r="AJ450" s="47">
        <f ca="1">IF(AD450,IF(AI450&lt;$F$10,0,IF(AI450&lt;$F$10+$F$11,0.25,IF(AI450&lt;$F$10+$F$11+AG450,AH450,1)))*IF(AF450&gt;0,AF450,IF(AF449&gt;0,AF449,IF(AF448&gt;0,AF448,IF(AF447&gt;0,AF447,IF(AF446&gt;0,AF446,IF(AF445&gt;0,AF445,IF(AF444&gt;0,AF444,IF(AF443&gt;0,AF443,IF(AF442&gt;0,AF442,IF(AF440&gt;0,AF440,IF(AF439&gt;0,AF439,IF(AF438&gt;0,AF438,0)))))))))))),0)*(1-$S450)*'模拟-单技能数据'!$I$20</f>
        <v>10529.42579515034</v>
      </c>
      <c r="AK450" s="115" t="b">
        <f t="shared" ref="AK450:AK513" ca="1" si="403">C450="净世破魔击·日"</f>
        <v>1</v>
      </c>
      <c r="AL450" s="115" t="b">
        <f t="shared" ca="1" si="368"/>
        <v>0</v>
      </c>
      <c r="AM450" s="115">
        <f t="shared" ca="1" si="369"/>
        <v>6</v>
      </c>
      <c r="AN450" s="47">
        <f ca="1">IF(AK450,('模拟-单技能数据'!$D$21+G450*'模拟-单技能数据'!$F$21)*(1+J450)*(1+'模拟-单技能数据'!$J$21)*(1+U450),0)</f>
        <v>13873.602732077619</v>
      </c>
      <c r="AO450" s="61">
        <f ca="1">IF(AN450&gt;0,M450-'模拟-单技能数据'!$K$10,AO449)</f>
        <v>0.42185145527300216</v>
      </c>
      <c r="AP450" s="61">
        <f ca="1">IF(AN450&gt;0,I450-'模拟-单技能数据'!$L$10,AP449)</f>
        <v>2.162482885499879</v>
      </c>
      <c r="AQ450" s="63">
        <f t="shared" ca="1" si="383"/>
        <v>4.1744552350202135E-2</v>
      </c>
      <c r="AR450" s="64">
        <f ca="1">IF(AL450,IF(AQ450&lt;$F$10,0,IF(AQ450&lt;$F$10+$F$11,0.25,IF(AQ450&lt;$F$10+$F$11+AO450,AP450,1)))*IF(AN450&gt;0,AN450,IF(AN449&gt;0,AN449,IF(AN448&gt;0,AN448,IF(AN447&gt;0,AN447,IF(AN446&gt;0,AN446,IF(AN445&gt;0,AN445,IF(AN444&gt;0,AN444,IF(AN443&gt;0,AN443,IF(AN442&gt;0,AN442,IF(AN440&gt;0,AN440,IF(AN439&gt;0,AN439,IF(AN438&gt;0,AN438,0)))))))))))),0)*(1-$S450)*'模拟-单技能数据'!$I$21</f>
        <v>0</v>
      </c>
      <c r="AS450" s="61">
        <f ca="1">IF(OR(C450="净世破魔击·日",C450="净世破魔击·月"),M450-'模拟-单技能数据'!$K$10,0)</f>
        <v>0.42185145527300216</v>
      </c>
      <c r="AT450" s="61">
        <f ca="1">IF(OR(C450="净世破魔击·日",C450="净世破魔击·月"),I450-'模拟-单技能数据'!$L$10,0)</f>
        <v>2.162482885499879</v>
      </c>
      <c r="AU450" s="62">
        <f t="shared" ca="1" si="384"/>
        <v>0.68692759134174008</v>
      </c>
      <c r="AV450" s="64">
        <f ca="1">IF(AS450&gt;0,('模拟-单技能数据'!$D$22+G450*'模拟-单技能数据'!$F$22)*(1+J450)*(1-S450)*IF(AU450&lt;$F$10,0,IF(AU450&lt;$F$10+$F$11,0.25,IF(AU450&lt;$F$10+$F$11+AS450,AT450,1)))*(1+U450),0)*'模拟-单技能数据'!$I$22</f>
        <v>9679.3083757574495</v>
      </c>
      <c r="AW450" s="108">
        <f t="shared" ca="1" si="385"/>
        <v>7.0850000000000071</v>
      </c>
      <c r="AX450" s="108" t="b">
        <f ca="1">AND(模拟模式!$P$10="有",AW449=0,RAND()&lt;IF(C450="净世破魔击·月",0.1*8/3,IF(C450="净世破魔击·日",0.1*4/3,0.1*2/3)))</f>
        <v>0</v>
      </c>
      <c r="AY450" s="47">
        <f ca="1">IF(AX450,(18+G450*0.722)*(1+J450)*(1-S450)*(1+$I$4)*IF(P450="会",'模拟-全程加成'!$J$3+'模拟-全程加成'!$J$4+'模拟-全程加成'!$J$5+('模拟-全程加成'!$I$4+'模拟-全程加成'!$I$5)/系数!$B$4+BG450*10%,IF(P450="命",1,IF(P450="识",0.25,0))),0)</f>
        <v>0</v>
      </c>
      <c r="AZ450" s="108">
        <f t="shared" si="386"/>
        <v>15.387500000000003</v>
      </c>
      <c r="BA450" s="108" t="b">
        <f>AND(模拟模式!$Q$10="有",AZ449=0)</f>
        <v>0</v>
      </c>
      <c r="BB450" s="140">
        <f>IF(BA450,(0+G450*0.287)*(1+J450)*(1-S450)*(1+$I$4)*IF(P450="会",'模拟-全程加成'!$J$3+'模拟-全程加成'!$J$4+'模拟-全程加成'!$J$5+('模拟-全程加成'!$I$4+'模拟-全程加成'!$I$5)/系数!$B$4+BG450*10%,IF(P450="命",1,IF(P450="识",0.25,0))),0)</f>
        <v>0</v>
      </c>
      <c r="BC450" s="115" t="b">
        <f ca="1">AND(模拟模式!$R$7="伏明众生",E450=60,F450=20,DA450&lt;5,CZ449&lt;$F$4)</f>
        <v>0</v>
      </c>
      <c r="BD450" s="115">
        <f t="shared" ref="BD450:BD513" ca="1" si="404">IF(BC450,6-$F$4,MAX(0,BD449-$F$4))</f>
        <v>0</v>
      </c>
      <c r="BE450" s="115" t="b">
        <f t="shared" ref="BE450:BE513" ca="1" si="405">AND(BD449&gt;0,BD449-$F$4&lt;0)</f>
        <v>0</v>
      </c>
      <c r="BF450" s="47">
        <f ca="1">IF(BC450,4*('模拟-单技能数据'!$D$24+G450*'模拟-单技能数据'!$F$24)*(1+J450)*(1+'模拟-单技能数据'!$J$24)*(1-S450)*(1+$I$3)*(('模拟-全程加成'!$J$3+'模拟-全程加成'!$J$4+'模拟-全程加成'!$J$5+('模拟-全程加成'!$I$4+'模拟-全程加成'!$I$5)/系数!$B$4+BG450*10%)*('模拟-全程加成'!$J$3+'模拟-全程加成'!$J$4+'模拟-全程加成'!$J$5+('模拟-全程加成'!$I$4+'模拟-全程加成'!$I$5)/系数!$B$4+BG450*10%)+(1-('模拟-全程加成'!$J$3+'模拟-全程加成'!$J$4+'模拟-全程加成'!$J$5+('模拟-全程加成'!$I$4+'模拟-全程加成'!$I$5)/系数!$B$4+BG450*10%)-$F$10-$F$11)+F436*0.25),0)*'模拟-单技能数据'!$I$24</f>
        <v>0</v>
      </c>
      <c r="BG450" s="115" t="b">
        <f ca="1">OR(AND(OR(C450="烈日斩",C450="银月斩"),模拟模式!$I$7="净身明礼"),AND(C450="净世破魔击·日",模拟模式!$J$7="洞若观火"),AND(C451="净世破魔击·月",模拟模式!$J$7="洞若观火"),AB450=1)</f>
        <v>1</v>
      </c>
      <c r="BH450" s="115" t="b">
        <f t="shared" ca="1" si="387"/>
        <v>0</v>
      </c>
      <c r="BI450" s="115">
        <f t="shared" ref="BI450:BI513" ca="1" si="406">IF(BH450,6,MAX(0,BI449-$F$4))</f>
        <v>1.3874999999999997</v>
      </c>
      <c r="BJ450" s="115" t="b">
        <f t="shared" ca="1" si="361"/>
        <v>1</v>
      </c>
      <c r="BK450" s="115" t="b">
        <f ca="1">AND(C450="驱夜断愁",模拟模式!$P$7="天地诛戮")</f>
        <v>0</v>
      </c>
      <c r="BL450" s="57">
        <f t="shared" ref="BL450:BL513" ca="1" si="407">IF(BK450,20,MAX(0,BL449-$F$4))</f>
        <v>16.310000000000002</v>
      </c>
      <c r="BM450" s="115" t="b">
        <f t="shared" ca="1" si="362"/>
        <v>1</v>
      </c>
      <c r="BN450" s="115" t="b">
        <f ca="1">AND(OR(C450="赤日轮1",C450="赤日轮2",C450="赤日轮3",C450="幽月轮1",C450="幽月轮2",C450="幽月轮3"),AB450=1,模拟模式!$L$7="明光恒照")</f>
        <v>0</v>
      </c>
      <c r="BO450" s="117">
        <f t="shared" ref="BO450:BO513" ca="1" si="408">IF(BN450,30,MAX(0,BO449-$F$4))</f>
        <v>28.155000000000001</v>
      </c>
      <c r="BP450" s="115">
        <f t="shared" ca="1" si="388"/>
        <v>6</v>
      </c>
      <c r="BQ450" s="115" t="b">
        <f>模拟模式!$K$10="2600·水"</f>
        <v>0</v>
      </c>
      <c r="BR450" s="117">
        <f t="shared" si="389"/>
        <v>0</v>
      </c>
      <c r="BS450" s="115">
        <f t="shared" si="390"/>
        <v>0</v>
      </c>
      <c r="BT450" s="115">
        <f t="shared" ca="1" si="391"/>
        <v>0</v>
      </c>
      <c r="BU450" s="115" t="b">
        <f ca="1">AND(模拟模式!$K$10="2300·雷",BT449=0,RAND()&lt;IF(C450="净世破魔击·月",5*0.05*2/3,IF(C450="净世破魔击·日",3*0.05*2/3,0.05*2*2/3)))</f>
        <v>0</v>
      </c>
      <c r="BV450" s="115">
        <f t="shared" ca="1" si="392"/>
        <v>0</v>
      </c>
      <c r="BW450" s="115">
        <f t="shared" ca="1" si="393"/>
        <v>165.23999999999978</v>
      </c>
      <c r="BX450" s="164" t="b">
        <f t="shared" ca="1" si="394"/>
        <v>0</v>
      </c>
      <c r="BY450" s="115">
        <f t="shared" ca="1" si="395"/>
        <v>0.24000000000000321</v>
      </c>
      <c r="BZ450" s="115">
        <f>IF(OR(模拟模式!$P$16="10人团",模拟模式!$P$16="25人团"),IF(B450/30&gt;CA449,1,0),0)</f>
        <v>0</v>
      </c>
      <c r="CA450" s="115">
        <f t="shared" si="371"/>
        <v>0</v>
      </c>
      <c r="CB450" s="115">
        <f ca="1">IF(BZ450=1,IF(模拟模式!$P$16="10人团",15,0)+IF(模拟模式!$P$16="25人团",IF(RAND()&lt;0.6,15,0)),MAX(0,CB449-$F$4))</f>
        <v>0</v>
      </c>
      <c r="CC450" s="115" t="b">
        <f t="shared" ca="1" si="363"/>
        <v>0</v>
      </c>
      <c r="CD450" s="115">
        <f>IF(模拟模式!$Q$16="1个",IF(B450/40&gt;CE449,1,0),0)</f>
        <v>0</v>
      </c>
      <c r="CE450" s="115">
        <f t="shared" si="364"/>
        <v>0</v>
      </c>
      <c r="CF450" s="115">
        <f>IF(OR(CD450=1,模拟模式!$Q$16="2个"),20,MAX(0,CF449-$F$4))</f>
        <v>0</v>
      </c>
      <c r="CG450" s="115" t="b">
        <f t="shared" si="365"/>
        <v>0</v>
      </c>
      <c r="CH450" s="115">
        <f t="shared" ca="1" si="396"/>
        <v>18.930000000000007</v>
      </c>
      <c r="CI450" s="115" t="b">
        <f t="shared" ca="1" si="397"/>
        <v>0</v>
      </c>
      <c r="CJ450" s="119">
        <f t="shared" ca="1" si="398"/>
        <v>0</v>
      </c>
      <c r="CK450" s="115">
        <f t="shared" ca="1" si="399"/>
        <v>0</v>
      </c>
      <c r="CL450" s="115" t="b">
        <f ca="1">AND(模拟模式!$S$7="驱夷逐法",OR(AND(C450="净世破魔击·月",E449&gt;59),AND(C450="净世破魔击·日",F449&gt;59)))</f>
        <v>0</v>
      </c>
      <c r="CM450" s="115" t="b">
        <f ca="1">OR(CL450,AND(C450="净世破魔击·日",CL449,RAND()&lt;模拟模式!$U$23))</f>
        <v>1</v>
      </c>
      <c r="CN450" s="115" t="b">
        <f ca="1">IF(模拟模式!$M$7="辉耀红尘",AND(C450="净世破魔击·月",CL450,CV450=0,E449&lt;80),AND(C450="净世破魔击·月",CL450,E449&lt;100))</f>
        <v>0</v>
      </c>
      <c r="CO450" s="115" t="b">
        <f t="shared" ca="1" si="372"/>
        <v>0</v>
      </c>
      <c r="CP450" s="115" t="b">
        <f ca="1">AND(模拟模式!$O$7="用晦而明",OR(C450="净世破魔击·日",C450="净世破魔击·月",C450="驱夜断愁"),AB450)</f>
        <v>1</v>
      </c>
      <c r="CQ450" s="115" t="b">
        <f ca="1">OR(CP450,AND(CP449,RAND()&lt;模拟模式!$U$23))</f>
        <v>1</v>
      </c>
      <c r="CR450" s="115" t="b">
        <f ca="1">AND(模拟模式!$S$7="日月齐光",OR(C450="幽月轮1",C450="幽月轮2",C450="幽月轮3",CR449),NOT(OR(C450="赤日轮1",C450="赤日轮2",C450="赤日轮3")))</f>
        <v>0</v>
      </c>
      <c r="CS450" s="115" t="b">
        <f ca="1">AND(模拟模式!$S$7="日月齐光",OR(C450="赤日轮1",C450="赤日轮2",C450="赤日轮3",CS449),NOT(OR(C450="幽月轮1",C450="幽月轮2",C450="幽月轮3")))</f>
        <v>0</v>
      </c>
      <c r="CT450" s="115">
        <f t="shared" ca="1" si="400"/>
        <v>0</v>
      </c>
      <c r="CU450" s="115" t="b">
        <f ca="1">AND(模拟模式!$K$10="阴阳往极",CT449=0,RAND()&lt;IF(C450="净世破魔击·月",0.0275*7/3,IF(C450="净世破魔击·日",0.0275*3/3,0.0275*2/3)))</f>
        <v>0</v>
      </c>
      <c r="CV450" s="115">
        <f t="shared" ca="1" si="401"/>
        <v>0</v>
      </c>
      <c r="CW450" s="115">
        <f t="shared" ca="1" si="373"/>
        <v>3.2324999999999995</v>
      </c>
      <c r="CX450" s="115">
        <f t="shared" ca="1" si="374"/>
        <v>1.3874999999999997</v>
      </c>
      <c r="CY450" s="115">
        <f ca="1">MAX(IF($C450="驱夜断愁",IF(模拟模式!$R$7="万念俱寂",6,45),CY449-$F$4),0)</f>
        <v>2.3099999999999996</v>
      </c>
      <c r="CZ450" s="115">
        <f t="shared" ca="1" si="375"/>
        <v>0</v>
      </c>
      <c r="DA450" s="115">
        <f ca="1">IF(模拟模式!$N$7="日月同辉",IF(DB449=2,0,MIN(6,IF(AND(OR(C450="赤日轮1",C450="赤日轮2",C450="赤日轮3",C450="幽月轮1",C450="幽月轮2",C450="幽月轮3"),AB450=1),DA449+1,DA449))),0)</f>
        <v>1</v>
      </c>
      <c r="DB450" s="115">
        <f t="shared" ca="1" si="376"/>
        <v>0</v>
      </c>
      <c r="DC450" s="115"/>
      <c r="DD450" s="115"/>
      <c r="DE450" s="115"/>
      <c r="DF450" s="115"/>
      <c r="DG450" s="115"/>
      <c r="DH450" s="115"/>
      <c r="DI450" s="115"/>
      <c r="DJ450" s="115"/>
      <c r="DK450" s="115"/>
      <c r="DL450" s="115"/>
      <c r="DM450" s="115"/>
    </row>
    <row r="451" spans="2:117" x14ac:dyDescent="0.2">
      <c r="B451" s="117">
        <f t="shared" si="377"/>
        <v>391.14000000000379</v>
      </c>
      <c r="C451" s="167" t="str">
        <f t="shared" ca="1" si="370"/>
        <v>赤日轮1</v>
      </c>
      <c r="D451" s="115">
        <f ca="1">IF(C451="赤日轮1",1,IF(C451="赤日轮2",2,IF(C451="赤日轮3",3,IF(C451="幽月轮1",4,IF(C451="幽月轮2",5,IF(C451="幽月轮3",6,IF(C451="烈日斩",7,IF(C451="银月斩",8,IF(C451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451="净世破魔击·月",17,IF(C451="驱夜断愁",18,0)))))))))))</f>
        <v>1</v>
      </c>
      <c r="E451" s="115">
        <f ca="1">IF(AND(CU451,OR(C451="幽月轮1",C451="幽月轮2",C451="幽月轮3",C451="银月斩",C451="驱夜断愁",C451="净世破魔击·月")),100,MIN(IF(OR(CN451,BE451),0,IF(OR($C451="赤日轮1",$C451="赤日轮2",$C451="赤日轮3"),E450+20+IF(模拟模式!$I$7="日月凌天",4,0)+IF(CR450,20,0),IF($C451="烈日斩",E450+40,IF($C451="驱夜断愁",IF(模拟模式!$R$7="万念俱寂",E450+20,E450+60),IF($C451="净世破魔击·月",IF(OR(DB450&gt;0,CV450&gt;0),100,IF(模拟模式!$M$7="辉耀红尘",E450+20,E450)),IF($C451="净世破魔击·日",E450-100,E450)))))),100))</f>
        <v>20</v>
      </c>
      <c r="F451" s="115">
        <f ca="1">IF(AND(CU451,OR(C451="赤日轮1",C451="赤日轮2",C451="赤日轮3",C451="烈日斩",C451="净世破魔击·日")),100,MIN(IF(CO451,0,IF(OR($C451="幽月轮1",$C451="幽月轮2",$C451="幽月轮3"),F450+20+IF(模拟模式!$I$7="日月凌天",4,0)+IF(CS450,20,0),IF($C451="银月斩",F450+40+IF(模拟模式!$X$12=1,5,0),IF($C451="驱夜断愁",IF(模拟模式!$R$7="万念俱寂",F450+20,F450+60),IF($C451="净世破魔击·月",IF(模拟模式!$M$7="辉耀红尘",F450-80,F450-100),IF(AND(C451="净世破魔击·日",OR(DB450&gt;0,CV450&gt;0)),100,F450)))))),100))</f>
        <v>20</v>
      </c>
      <c r="G451" s="117">
        <f ca="1">('模拟-全程加成'!$E$3+'模拟-全程加成'!$E$4+'模拟-全程加成'!$E$5+('模拟-全程加成'!$C$6-'模拟-全程加成'!$C$3)*系数!$B$9+BS451*23)*(1+'模拟-全程加成'!$F$4+'模拟-全程加成'!$F$5+BJ451*10%+BM451*20%+BP451*4%+CG451*30%)+$F$7*系数!$B$12</f>
        <v>21493.829400000002</v>
      </c>
      <c r="H451" s="45">
        <f ca="1">'模拟-全程加成'!$H$3+'模拟-全程加成'!$H$4+'模拟-全程加成'!$H$5+('模拟-全程加成'!$G$4+'模拟-全程加成'!$G$5+('模拟-全程加成'!$C$6-'模拟-全程加成'!$C$3)*系数!$B$13)/系数!$B$3+LOOKUP(D451,'模拟-单技能数据'!$A$2:$A$19,'模拟-单技能数据'!$K$2:$K$19)+BG451*10%+IF(BV451&gt;0,378,0)</f>
        <v>0.4618514552730022</v>
      </c>
      <c r="I451" s="45">
        <f ca="1">'模拟-全程加成'!$J$3+'模拟-全程加成'!$J$4+'模拟-全程加成'!$J$5+('模拟-全程加成'!$I$4+'模拟-全程加成'!$I$5)/系数!$B$4+LOOKUP(D451,'模拟-单技能数据'!$A$2:$A$19,'模拟-单技能数据'!$L$2:$L$19)+BG451*10%</f>
        <v>2.162482885499879</v>
      </c>
      <c r="J451" s="45">
        <f ca="1">(('模拟-全程加成'!$K$3+'模拟-全程加成'!$K$4+'模拟-全程加成'!$K$5+('模拟-全程加成'!$C$6-'模拟-全程加成'!$C$3)*系数!$B$10+IF(BV451&gt;0,882,0)+IF(BY451&gt;0,1831,0))*(1+'模拟-全程加成'!$L$4+'模拟-全程加成'!$L$5+CC451*20%))/系数!$B$5</f>
        <v>0.69723220422048726</v>
      </c>
      <c r="K451" s="119">
        <f ca="1">LOOKUP(D451,'模拟-单技能数据'!$A$2:$A$19,'模拟-单技能数据'!$J$2:$J$19)+IF(CM451,60%,0)+IF(DB450-DB451&gt;0,30%,0)+IF(OR(AND(OR(C451="赤日轮1",C451="赤日轮2",C451="赤日轮3"),CR451),AND(OR(C451="幽月轮1",C451="幽月轮2",C451="幽月轮3"),CS451)),35%,0)+CJ451</f>
        <v>0.12</v>
      </c>
      <c r="L451" s="119">
        <f ca="1">IF(AND(C451="烈日斩",模拟模式!$X$11=1),10%,0)+IF(AND(C451="驱夜断愁",AB451=1),30%,0)</f>
        <v>0</v>
      </c>
      <c r="M451" s="45">
        <f t="shared" ref="M451:M514" ca="1" si="409">MIN(H451,1-$F$10-$F$11)</f>
        <v>0.4618514552730022</v>
      </c>
      <c r="N451" s="45">
        <f t="shared" ref="N451:N514" ca="1" si="410">1-$F$10-$F$11-M451</f>
        <v>0.48424854472699785</v>
      </c>
      <c r="O451" s="46">
        <f t="shared" ca="1" si="378"/>
        <v>0.6708221160967478</v>
      </c>
      <c r="P451" s="46" t="str">
        <f t="shared" ca="1" si="379"/>
        <v>命</v>
      </c>
      <c r="Q451" s="45">
        <f t="shared" ca="1" si="380"/>
        <v>1</v>
      </c>
      <c r="R451" s="117">
        <f ca="1">模拟模式!$E$20*(1-IF(模拟模式!$J$19="有",0.15,0))*(1-IF(模拟模式!$K$19="有",0.3,0)-IF(CQ451,0.5,0))</f>
        <v>843.02999999999975</v>
      </c>
      <c r="S451" s="45">
        <f ca="1">R451/(R451+(185*模拟模式!$E$22-16800)*4.08224)</f>
        <v>8.389626085980037E-2</v>
      </c>
      <c r="T451" s="45" t="str">
        <f ca="1">LOOKUP(D451,'模拟-单技能数据'!$A$2:$A$19,'模拟-单技能数据'!$H$2:$H$19)</f>
        <v>阳</v>
      </c>
      <c r="U451" s="119">
        <f t="shared" ref="U451:U514" ca="1" si="411">IF(T451="阳",$I$3,IF(T451="阴",$I$4,0))</f>
        <v>0.2</v>
      </c>
      <c r="V451" s="47">
        <f ca="1">(1+L451)*(LOOKUP(D451,'模拟-单技能数据'!$A$2:$A$19,'模拟-单技能数据'!$D$2:$D$19)+G451*LOOKUP(D451,'模拟-单技能数据'!$A$2:$A$19,'模拟-单技能数据'!$F$2:$F$19))*(1+J451)*(1+K451)*(1-S451)*(1+U451)*Q451*LOOKUP(D451,'模拟-单技能数据'!$A$2:$A$19,'模拟-单技能数据'!$I$2:$I$20)</f>
        <v>26295.771631143321</v>
      </c>
      <c r="W451" s="47">
        <f ca="1">LOOKUP(D451,'模拟-单技能数据'!$A$2:$A$19,'模拟-单技能数据'!$G$2:$G$19)*$I$10</f>
        <v>361.51064354704795</v>
      </c>
      <c r="X451" s="47">
        <f t="shared" ca="1" si="381"/>
        <v>27484.420799395535</v>
      </c>
      <c r="Y451" s="47">
        <f t="shared" ref="Y451:Y514" ca="1" si="412">V451+W451+X451</f>
        <v>54141.703074085905</v>
      </c>
      <c r="Z451" s="49">
        <f t="shared" ref="Z451:Z514" ca="1" si="413">Z450+Y451</f>
        <v>44510282.461655624</v>
      </c>
      <c r="AA451" s="97">
        <f t="shared" ref="AA451:AA514" ca="1" si="414">Z451/B451</f>
        <v>113796.29406773839</v>
      </c>
      <c r="AB451" s="115">
        <f ca="1">IF(OR(C451="赤日轮1",C451="赤日轮2",C451="赤日轮3"),IF(RAND()&lt;模拟模式!$Y$17,1,0),IF(OR(C451="幽月轮1",C451="幽月轮2",C451="幽月轮3"),IF(RAND()&lt;模拟模式!$Y$18,1,0),IF(C451="烈日斩",IF(RAND()&lt;模拟模式!$Y$19,1,0),IF(C451="银月斩",IF(RAND()&lt;模拟模式!$Y$20,1,0),IF(C451="驱夜断愁",IF(RAND()&lt;模拟模式!$Y$21,1,0),IF(C451="净世破魔击·日",IF(RAND()&lt;模拟模式!$Y$22,1,0),IF(C451="净世破魔击·月",IF(RAND()&lt;模拟模式!$Y$23,1,0),0)))))))</f>
        <v>1</v>
      </c>
      <c r="AC451" s="115" t="b">
        <f t="shared" ca="1" si="402"/>
        <v>0</v>
      </c>
      <c r="AD451" s="115" t="b">
        <f t="shared" ca="1" si="366"/>
        <v>0</v>
      </c>
      <c r="AE451" s="115">
        <f t="shared" ca="1" si="367"/>
        <v>3</v>
      </c>
      <c r="AF451" s="47">
        <f ca="1">IF(AC451,('模拟-单技能数据'!$D$20+G451*'模拟-单技能数据'!$F$20)*(1+J451)*(1+'模拟-单技能数据'!$J$20)*(1+U451),0)</f>
        <v>0</v>
      </c>
      <c r="AG451" s="61">
        <f t="shared" ref="AG451:AG514" ca="1" si="415">IF(AF451&gt;0,M451,AG450)</f>
        <v>0.64185145527300214</v>
      </c>
      <c r="AH451" s="61">
        <f t="shared" ref="AH451:AH514" ca="1" si="416">IF(AF451&gt;0,I451,AH450)</f>
        <v>2.2624828854998791</v>
      </c>
      <c r="AI451" s="62">
        <f t="shared" ca="1" si="382"/>
        <v>0.88952817458142142</v>
      </c>
      <c r="AJ451" s="47">
        <f ca="1">IF(AD451,IF(AI451&lt;$F$10,0,IF(AI451&lt;$F$10+$F$11,0.25,IF(AI451&lt;$F$10+$F$11+AG451,AH451,1)))*IF(AF451&gt;0,AF451,IF(AF450&gt;0,AF450,IF(AF449&gt;0,AF449,IF(AF448&gt;0,AF448,IF(AF447&gt;0,AF447,IF(AF446&gt;0,AF446,IF(AF445&gt;0,AF445,IF(AF444&gt;0,AF444,IF(AF443&gt;0,AF443,IF(AF441&gt;0,AF441,IF(AF440&gt;0,AF440,IF(AF439&gt;0,AF439,0)))))))))))),0)*(1-$S451)*'模拟-单技能数据'!$I$20</f>
        <v>0</v>
      </c>
      <c r="AK451" s="115" t="b">
        <f t="shared" ca="1" si="403"/>
        <v>0</v>
      </c>
      <c r="AL451" s="115" t="b">
        <f t="shared" ca="1" si="368"/>
        <v>1</v>
      </c>
      <c r="AM451" s="115">
        <f t="shared" ca="1" si="369"/>
        <v>5</v>
      </c>
      <c r="AN451" s="47">
        <f ca="1">IF(AK451,('模拟-单技能数据'!$D$21+G451*'模拟-单技能数据'!$F$21)*(1+J451)*(1+'模拟-单技能数据'!$J$21)*(1+U451),0)</f>
        <v>0</v>
      </c>
      <c r="AO451" s="61">
        <f ca="1">IF(AN451&gt;0,M451-'模拟-单技能数据'!$K$10,AO450)</f>
        <v>0.42185145527300216</v>
      </c>
      <c r="AP451" s="61">
        <f ca="1">IF(AN451&gt;0,I451-'模拟-单技能数据'!$L$10,AP450)</f>
        <v>2.162482885499879</v>
      </c>
      <c r="AQ451" s="63">
        <f t="shared" ca="1" si="383"/>
        <v>0.10800941268753084</v>
      </c>
      <c r="AR451" s="64">
        <f ca="1">IF(AL451,IF(AQ451&lt;$F$10,0,IF(AQ451&lt;$F$10+$F$11,0.25,IF(AQ451&lt;$F$10+$F$11+AO451,AP451,1)))*IF(AN451&gt;0,AN451,IF(AN450&gt;0,AN450,IF(AN449&gt;0,AN449,IF(AN448&gt;0,AN448,IF(AN447&gt;0,AN447,IF(AN446&gt;0,AN446,IF(AN445&gt;0,AN445,IF(AN444&gt;0,AN444,IF(AN443&gt;0,AN443,IF(AN441&gt;0,AN441,IF(AN440&gt;0,AN440,IF(AN439&gt;0,AN439,0)))))))))))),0)*(1-$S451)*'模拟-单技能数据'!$I$21</f>
        <v>27484.420799395535</v>
      </c>
      <c r="AS451" s="61">
        <f ca="1">IF(OR(C451="净世破魔击·日",C451="净世破魔击·月"),M451-'模拟-单技能数据'!$K$10,0)</f>
        <v>0</v>
      </c>
      <c r="AT451" s="61">
        <f ca="1">IF(OR(C451="净世破魔击·日",C451="净世破魔击·月"),I451-'模拟-单技能数据'!$L$10,0)</f>
        <v>0</v>
      </c>
      <c r="AU451" s="62">
        <f t="shared" ca="1" si="384"/>
        <v>0.96780486026055823</v>
      </c>
      <c r="AV451" s="64">
        <f ca="1">IF(AS451&gt;0,('模拟-单技能数据'!$D$22+G451*'模拟-单技能数据'!$F$22)*(1+J451)*(1-S451)*IF(AU451&lt;$F$10,0,IF(AU451&lt;$F$10+$F$11,0.25,IF(AU451&lt;$F$10+$F$11+AS451,AT451,1)))*(1+U451),0)*'模拟-单技能数据'!$I$22</f>
        <v>0</v>
      </c>
      <c r="AW451" s="108">
        <f t="shared" ca="1" si="385"/>
        <v>6.1625000000000068</v>
      </c>
      <c r="AX451" s="108" t="b">
        <f ca="1">AND(模拟模式!$P$10="有",AW450=0,RAND()&lt;IF(C451="净世破魔击·月",0.1*8/3,IF(C451="净世破魔击·日",0.1*4/3,0.1*2/3)))</f>
        <v>0</v>
      </c>
      <c r="AY451" s="47">
        <f ca="1">IF(AX451,(18+G451*0.722)*(1+J451)*(1-S451)*(1+$I$4)*IF(P451="会",'模拟-全程加成'!$J$3+'模拟-全程加成'!$J$4+'模拟-全程加成'!$J$5+('模拟-全程加成'!$I$4+'模拟-全程加成'!$I$5)/系数!$B$4+BG451*10%,IF(P451="命",1,IF(P451="识",0.25,0))),0)</f>
        <v>0</v>
      </c>
      <c r="AZ451" s="108">
        <f t="shared" si="386"/>
        <v>14.465000000000003</v>
      </c>
      <c r="BA451" s="108" t="b">
        <f>AND(模拟模式!$Q$10="有",AZ450=0)</f>
        <v>0</v>
      </c>
      <c r="BB451" s="140">
        <f>IF(BA451,(0+G451*0.287)*(1+J451)*(1-S451)*(1+$I$4)*IF(P451="会",'模拟-全程加成'!$J$3+'模拟-全程加成'!$J$4+'模拟-全程加成'!$J$5+('模拟-全程加成'!$I$4+'模拟-全程加成'!$I$5)/系数!$B$4+BG451*10%,IF(P451="命",1,IF(P451="识",0.25,0))),0)</f>
        <v>0</v>
      </c>
      <c r="BC451" s="115" t="b">
        <f ca="1">AND(模拟模式!$R$7="伏明众生",E451=60,F451=20,DA451&lt;5,CZ450&lt;$F$4)</f>
        <v>0</v>
      </c>
      <c r="BD451" s="115">
        <f t="shared" ca="1" si="404"/>
        <v>0</v>
      </c>
      <c r="BE451" s="115" t="b">
        <f t="shared" ca="1" si="405"/>
        <v>0</v>
      </c>
      <c r="BF451" s="47">
        <f ca="1">IF(BC451,4*('模拟-单技能数据'!$D$24+G451*'模拟-单技能数据'!$F$24)*(1+J451)*(1+'模拟-单技能数据'!$J$24)*(1-S451)*(1+$I$3)*(('模拟-全程加成'!$J$3+'模拟-全程加成'!$J$4+'模拟-全程加成'!$J$5+('模拟-全程加成'!$I$4+'模拟-全程加成'!$I$5)/系数!$B$4+BG451*10%)*('模拟-全程加成'!$J$3+'模拟-全程加成'!$J$4+'模拟-全程加成'!$J$5+('模拟-全程加成'!$I$4+'模拟-全程加成'!$I$5)/系数!$B$4+BG451*10%)+(1-('模拟-全程加成'!$J$3+'模拟-全程加成'!$J$4+'模拟-全程加成'!$J$5+('模拟-全程加成'!$I$4+'模拟-全程加成'!$I$5)/系数!$B$4+BG451*10%)-$F$10-$F$11)+F437*0.25),0)*'模拟-单技能数据'!$I$24</f>
        <v>0</v>
      </c>
      <c r="BG451" s="115" t="b">
        <f ca="1">OR(AND(OR(C451="烈日斩",C451="银月斩"),模拟模式!$I$7="净身明礼"),AND(C451="净世破魔击·日",模拟模式!$J$7="洞若观火"),AND(C452="净世破魔击·月",模拟模式!$J$7="洞若观火"),AB451=1)</f>
        <v>1</v>
      </c>
      <c r="BH451" s="115" t="b">
        <f t="shared" ca="1" si="387"/>
        <v>0</v>
      </c>
      <c r="BI451" s="115">
        <f t="shared" ca="1" si="406"/>
        <v>0.46499999999999975</v>
      </c>
      <c r="BJ451" s="115" t="b">
        <f t="shared" ref="BJ451:BJ514" ca="1" si="417">BI451&gt;0</f>
        <v>1</v>
      </c>
      <c r="BK451" s="115" t="b">
        <f ca="1">AND(C451="驱夜断愁",模拟模式!$P$7="天地诛戮")</f>
        <v>0</v>
      </c>
      <c r="BL451" s="57">
        <f t="shared" ca="1" si="407"/>
        <v>15.387500000000003</v>
      </c>
      <c r="BM451" s="115" t="b">
        <f t="shared" ref="BM451:BM514" ca="1" si="418">BL451&gt;0</f>
        <v>1</v>
      </c>
      <c r="BN451" s="115" t="b">
        <f ca="1">AND(OR(C451="赤日轮1",C451="赤日轮2",C451="赤日轮3",C451="幽月轮1",C451="幽月轮2",C451="幽月轮3"),AB451=1,模拟模式!$L$7="明光恒照")</f>
        <v>1</v>
      </c>
      <c r="BO451" s="117">
        <f t="shared" ca="1" si="408"/>
        <v>30</v>
      </c>
      <c r="BP451" s="115">
        <f t="shared" ca="1" si="388"/>
        <v>6</v>
      </c>
      <c r="BQ451" s="115" t="b">
        <f>模拟模式!$K$10="2600·水"</f>
        <v>0</v>
      </c>
      <c r="BR451" s="117">
        <f t="shared" si="389"/>
        <v>0</v>
      </c>
      <c r="BS451" s="115">
        <f t="shared" si="390"/>
        <v>0</v>
      </c>
      <c r="BT451" s="115">
        <f t="shared" ca="1" si="391"/>
        <v>0</v>
      </c>
      <c r="BU451" s="115" t="b">
        <f ca="1">AND(模拟模式!$K$10="2300·雷",BT450=0,RAND()&lt;IF(C451="净世破魔击·月",5*0.05*2/3,IF(C451="净世破魔击·日",3*0.05*2/3,0.05*2*2/3)))</f>
        <v>0</v>
      </c>
      <c r="BV451" s="115">
        <f t="shared" ca="1" si="392"/>
        <v>0</v>
      </c>
      <c r="BW451" s="115">
        <f t="shared" ca="1" si="393"/>
        <v>164.31749999999977</v>
      </c>
      <c r="BX451" s="164" t="b">
        <f t="shared" ca="1" si="394"/>
        <v>0</v>
      </c>
      <c r="BY451" s="115">
        <f t="shared" ca="1" si="395"/>
        <v>0</v>
      </c>
      <c r="BZ451" s="115">
        <f>IF(OR(模拟模式!$P$16="10人团",模拟模式!$P$16="25人团"),IF(B451/30&gt;CA450,1,0),0)</f>
        <v>0</v>
      </c>
      <c r="CA451" s="115">
        <f t="shared" si="371"/>
        <v>0</v>
      </c>
      <c r="CB451" s="115">
        <f ca="1">IF(BZ451=1,IF(模拟模式!$P$16="10人团",15,0)+IF(模拟模式!$P$16="25人团",IF(RAND()&lt;0.6,15,0)),MAX(0,CB450-$F$4))</f>
        <v>0</v>
      </c>
      <c r="CC451" s="115" t="b">
        <f t="shared" ref="CC451:CC514" ca="1" si="419">CB451&gt;0</f>
        <v>0</v>
      </c>
      <c r="CD451" s="115">
        <f>IF(模拟模式!$Q$16="1个",IF(B451/40&gt;CE450,1,0),0)</f>
        <v>0</v>
      </c>
      <c r="CE451" s="115">
        <f t="shared" ref="CE451:CE514" si="420">CE450+CD451</f>
        <v>0</v>
      </c>
      <c r="CF451" s="115">
        <f>IF(OR(CD451=1,模拟模式!$Q$16="2个"),20,MAX(0,CF450-$F$4))</f>
        <v>0</v>
      </c>
      <c r="CG451" s="115" t="b">
        <f t="shared" ref="CG451:CG514" si="421">CF451&gt;0</f>
        <v>0</v>
      </c>
      <c r="CH451" s="115">
        <f t="shared" ca="1" si="396"/>
        <v>18.007500000000007</v>
      </c>
      <c r="CI451" s="115" t="b">
        <f t="shared" ca="1" si="397"/>
        <v>0</v>
      </c>
      <c r="CJ451" s="119">
        <f t="shared" ca="1" si="398"/>
        <v>0</v>
      </c>
      <c r="CK451" s="115">
        <f t="shared" ca="1" si="399"/>
        <v>0</v>
      </c>
      <c r="CL451" s="115" t="b">
        <f ca="1">AND(模拟模式!$S$7="驱夷逐法",OR(AND(C451="净世破魔击·月",E450&gt;59),AND(C451="净世破魔击·日",F450&gt;59)))</f>
        <v>0</v>
      </c>
      <c r="CM451" s="115" t="b">
        <f ca="1">OR(CL451,AND(C451="净世破魔击·日",CL450,RAND()&lt;模拟模式!$U$23))</f>
        <v>0</v>
      </c>
      <c r="CN451" s="115" t="b">
        <f ca="1">IF(模拟模式!$M$7="辉耀红尘",AND(C451="净世破魔击·月",CL451,CV451=0,E450&lt;80),AND(C451="净世破魔击·月",CL451,E450&lt;100))</f>
        <v>0</v>
      </c>
      <c r="CO451" s="115" t="b">
        <f t="shared" ca="1" si="372"/>
        <v>0</v>
      </c>
      <c r="CP451" s="115" t="b">
        <f ca="1">AND(模拟模式!$O$7="用晦而明",OR(C451="净世破魔击·日",C451="净世破魔击·月",C451="驱夜断愁"),AB451)</f>
        <v>0</v>
      </c>
      <c r="CQ451" s="115" t="b">
        <f ca="1">OR(CP451,AND(CP450,RAND()&lt;模拟模式!$U$23))</f>
        <v>1</v>
      </c>
      <c r="CR451" s="115" t="b">
        <f ca="1">AND(模拟模式!$S$7="日月齐光",OR(C451="幽月轮1",C451="幽月轮2",C451="幽月轮3",CR450),NOT(OR(C451="赤日轮1",C451="赤日轮2",C451="赤日轮3")))</f>
        <v>0</v>
      </c>
      <c r="CS451" s="115" t="b">
        <f ca="1">AND(模拟模式!$S$7="日月齐光",OR(C451="赤日轮1",C451="赤日轮2",C451="赤日轮3",CS450),NOT(OR(C451="幽月轮1",C451="幽月轮2",C451="幽月轮3")))</f>
        <v>0</v>
      </c>
      <c r="CT451" s="115">
        <f t="shared" ca="1" si="400"/>
        <v>0</v>
      </c>
      <c r="CU451" s="115" t="b">
        <f ca="1">AND(模拟模式!$K$10="阴阳往极",CT450=0,RAND()&lt;IF(C451="净世破魔击·月",0.0275*7/3,IF(C451="净世破魔击·日",0.0275*3/3,0.0275*2/3)))</f>
        <v>0</v>
      </c>
      <c r="CV451" s="115">
        <f t="shared" ca="1" si="401"/>
        <v>0</v>
      </c>
      <c r="CW451" s="115">
        <f t="shared" ca="1" si="373"/>
        <v>2.3099999999999996</v>
      </c>
      <c r="CX451" s="115">
        <f t="shared" ca="1" si="374"/>
        <v>0.46499999999999975</v>
      </c>
      <c r="CY451" s="115">
        <f ca="1">MAX(IF($C451="驱夜断愁",IF(模拟模式!$R$7="万念俱寂",6,45),CY450-$F$4),0)</f>
        <v>1.3874999999999997</v>
      </c>
      <c r="CZ451" s="115">
        <f t="shared" ca="1" si="375"/>
        <v>0</v>
      </c>
      <c r="DA451" s="115">
        <f ca="1">IF(模拟模式!$N$7="日月同辉",IF(DB450=2,0,MIN(6,IF(AND(OR(C451="赤日轮1",C451="赤日轮2",C451="赤日轮3",C451="幽月轮1",C451="幽月轮2",C451="幽月轮3"),AB451=1),DA450+1,DA450))),0)</f>
        <v>2</v>
      </c>
      <c r="DB451" s="115">
        <f t="shared" ca="1" si="376"/>
        <v>0</v>
      </c>
      <c r="DC451" s="115"/>
      <c r="DD451" s="115"/>
      <c r="DE451" s="115"/>
      <c r="DF451" s="115"/>
      <c r="DG451" s="115"/>
      <c r="DH451" s="115"/>
      <c r="DI451" s="115"/>
      <c r="DJ451" s="115"/>
      <c r="DK451" s="115"/>
      <c r="DL451" s="115"/>
      <c r="DM451" s="115"/>
    </row>
    <row r="452" spans="2:117" x14ac:dyDescent="0.2">
      <c r="B452" s="117">
        <f t="shared" si="377"/>
        <v>392.06250000000381</v>
      </c>
      <c r="C452" s="167" t="str">
        <f t="shared" ca="1" si="370"/>
        <v>银月斩</v>
      </c>
      <c r="D452" s="115">
        <f ca="1">IF(C452="赤日轮1",1,IF(C452="赤日轮2",2,IF(C452="赤日轮3",3,IF(C452="幽月轮1",4,IF(C452="幽月轮2",5,IF(C452="幽月轮3",6,IF(C452="烈日斩",7,IF(C452="银月斩",8,IF(C452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452="净世破魔击·月",17,IF(C452="驱夜断愁",18,0)))))))))))</f>
        <v>8</v>
      </c>
      <c r="E452" s="115">
        <f ca="1">IF(AND(CU452,OR(C452="幽月轮1",C452="幽月轮2",C452="幽月轮3",C452="银月斩",C452="驱夜断愁",C452="净世破魔击·月")),100,MIN(IF(OR(CN452,BE452),0,IF(OR($C452="赤日轮1",$C452="赤日轮2",$C452="赤日轮3"),E451+20+IF(模拟模式!$I$7="日月凌天",4,0)+IF(CR451,20,0),IF($C452="烈日斩",E451+40,IF($C452="驱夜断愁",IF(模拟模式!$R$7="万念俱寂",E451+20,E451+60),IF($C452="净世破魔击·月",IF(OR(DB451&gt;0,CV451&gt;0),100,IF(模拟模式!$M$7="辉耀红尘",E451+20,E451)),IF($C452="净世破魔击·日",E451-100,E451)))))),100))</f>
        <v>20</v>
      </c>
      <c r="F452" s="115">
        <f ca="1">IF(AND(CU452,OR(C452="赤日轮1",C452="赤日轮2",C452="赤日轮3",C452="烈日斩",C452="净世破魔击·日")),100,MIN(IF(CO452,0,IF(OR($C452="幽月轮1",$C452="幽月轮2",$C452="幽月轮3"),F451+20+IF(模拟模式!$I$7="日月凌天",4,0)+IF(CS451,20,0),IF($C452="银月斩",F451+40+IF(模拟模式!$X$12=1,5,0),IF($C452="驱夜断愁",IF(模拟模式!$R$7="万念俱寂",F451+20,F451+60),IF($C452="净世破魔击·月",IF(模拟模式!$M$7="辉耀红尘",F451-80,F451-100),IF(AND(C452="净世破魔击·日",OR(DB451&gt;0,CV451&gt;0)),100,F451)))))),100))</f>
        <v>65</v>
      </c>
      <c r="G452" s="117">
        <f ca="1">('模拟-全程加成'!$E$3+'模拟-全程加成'!$E$4+'模拟-全程加成'!$E$5+('模拟-全程加成'!$C$6-'模拟-全程加成'!$C$3)*系数!$B$9+BS452*23)*(1+'模拟-全程加成'!$F$4+'模拟-全程加成'!$F$5+BJ452*10%+BM452*20%+BP452*4%+CG452*30%)+$F$7*系数!$B$12</f>
        <v>20583.127400000001</v>
      </c>
      <c r="H452" s="45">
        <f ca="1">'模拟-全程加成'!$H$3+'模拟-全程加成'!$H$4+'模拟-全程加成'!$H$5+('模拟-全程加成'!$G$4+'模拟-全程加成'!$G$5+('模拟-全程加成'!$C$6-'模拟-全程加成'!$C$3)*系数!$B$13)/系数!$B$3+LOOKUP(D452,'模拟-单技能数据'!$A$2:$A$19,'模拟-单技能数据'!$K$2:$K$19)+BG452*10%+IF(BV452&gt;0,378,0)</f>
        <v>0.64185145527300214</v>
      </c>
      <c r="I452" s="45">
        <f ca="1">'模拟-全程加成'!$J$3+'模拟-全程加成'!$J$4+'模拟-全程加成'!$J$5+('模拟-全程加成'!$I$4+'模拟-全程加成'!$I$5)/系数!$B$4+LOOKUP(D452,'模拟-单技能数据'!$A$2:$A$19,'模拟-单技能数据'!$L$2:$L$19)+BG452*10%</f>
        <v>2.2624828854998791</v>
      </c>
      <c r="J452" s="45">
        <f ca="1">(('模拟-全程加成'!$K$3+'模拟-全程加成'!$K$4+'模拟-全程加成'!$K$5+('模拟-全程加成'!$C$6-'模拟-全程加成'!$C$3)*系数!$B$10+IF(BV452&gt;0,882,0)+IF(BY452&gt;0,1831,0))*(1+'模拟-全程加成'!$L$4+'模拟-全程加成'!$L$5+CC452*20%))/系数!$B$5</f>
        <v>0.69723220422048726</v>
      </c>
      <c r="K452" s="119">
        <f ca="1">LOOKUP(D452,'模拟-单技能数据'!$A$2:$A$19,'模拟-单技能数据'!$J$2:$J$19)+IF(CM452,60%,0)+IF(DB451-DB452&gt;0,30%,0)+IF(OR(AND(OR(C452="赤日轮1",C452="赤日轮2",C452="赤日轮3"),CR452),AND(OR(C452="幽月轮1",C452="幽月轮2",C452="幽月轮3"),CS452)),35%,0)+CJ452</f>
        <v>0.15</v>
      </c>
      <c r="L452" s="119">
        <f ca="1">IF(AND(C452="烈日斩",模拟模式!$X$11=1),10%,0)+IF(AND(C452="驱夜断愁",AB452=1),30%,0)</f>
        <v>0</v>
      </c>
      <c r="M452" s="45">
        <f t="shared" ca="1" si="409"/>
        <v>0.64185145527300214</v>
      </c>
      <c r="N452" s="45">
        <f t="shared" ca="1" si="410"/>
        <v>0.30424854472699792</v>
      </c>
      <c r="O452" s="46">
        <f t="shared" ca="1" si="378"/>
        <v>0.47352201217461154</v>
      </c>
      <c r="P452" s="46" t="str">
        <f t="shared" ca="1" si="379"/>
        <v>会</v>
      </c>
      <c r="Q452" s="45">
        <f t="shared" ca="1" si="380"/>
        <v>2.2624828854998791</v>
      </c>
      <c r="R452" s="117">
        <f ca="1">模拟模式!$E$20*(1-IF(模拟模式!$J$19="有",0.15,0))*(1-IF(模拟模式!$K$19="有",0.3,0)-IF(CQ452,0.5,0))</f>
        <v>2950.6049999999996</v>
      </c>
      <c r="S452" s="45">
        <f ca="1">R452/(R452+(185*模拟模式!$E$22-16800)*4.08224)</f>
        <v>0.24272716014590323</v>
      </c>
      <c r="T452" s="45" t="str">
        <f ca="1">LOOKUP(D452,'模拟-单技能数据'!$A$2:$A$19,'模拟-单技能数据'!$H$2:$H$19)</f>
        <v>阴</v>
      </c>
      <c r="U452" s="119">
        <f t="shared" ca="1" si="411"/>
        <v>0.08</v>
      </c>
      <c r="V452" s="47">
        <f ca="1">(1+L452)*(LOOKUP(D452,'模拟-单技能数据'!$A$2:$A$19,'模拟-单技能数据'!$D$2:$D$19)+G452*LOOKUP(D452,'模拟-单技能数据'!$A$2:$A$19,'模拟-单技能数据'!$F$2:$F$19))*(1+J452)*(1+K452)*(1-S452)*(1+U452)*Q452*LOOKUP(D452,'模拟-单技能数据'!$A$2:$A$19,'模拟-单技能数据'!$I$2:$I$20)</f>
        <v>39481.310356797861</v>
      </c>
      <c r="W452" s="47">
        <f ca="1">LOOKUP(D452,'模拟-单技能数据'!$A$2:$A$19,'模拟-单技能数据'!$G$2:$G$19)*$I$10</f>
        <v>361.51064354704795</v>
      </c>
      <c r="X452" s="47">
        <f t="shared" ca="1" si="381"/>
        <v>3368.2409654332282</v>
      </c>
      <c r="Y452" s="47">
        <f t="shared" ca="1" si="412"/>
        <v>43211.061965778135</v>
      </c>
      <c r="Z452" s="49">
        <f t="shared" ca="1" si="413"/>
        <v>44553493.523621403</v>
      </c>
      <c r="AA452" s="97">
        <f t="shared" ca="1" si="414"/>
        <v>113638.75281012841</v>
      </c>
      <c r="AB452" s="115">
        <f ca="1">IF(OR(C452="赤日轮1",C452="赤日轮2",C452="赤日轮3"),IF(RAND()&lt;模拟模式!$Y$17,1,0),IF(OR(C452="幽月轮1",C452="幽月轮2",C452="幽月轮3"),IF(RAND()&lt;模拟模式!$Y$18,1,0),IF(C452="烈日斩",IF(RAND()&lt;模拟模式!$Y$19,1,0),IF(C452="银月斩",IF(RAND()&lt;模拟模式!$Y$20,1,0),IF(C452="驱夜断愁",IF(RAND()&lt;模拟模式!$Y$21,1,0),IF(C452="净世破魔击·日",IF(RAND()&lt;模拟模式!$Y$22,1,0),IF(C452="净世破魔击·月",IF(RAND()&lt;模拟模式!$Y$23,1,0),0)))))))</f>
        <v>1</v>
      </c>
      <c r="AC452" s="115" t="b">
        <f t="shared" ca="1" si="402"/>
        <v>1</v>
      </c>
      <c r="AD452" s="115" t="b">
        <f t="shared" ref="AD452:AD515" ca="1" si="422">IF(AD451+AD450=1,IF(AE451&gt;0,NOT(AD451),FALSE),AC452)</f>
        <v>1</v>
      </c>
      <c r="AE452" s="115">
        <f t="shared" ref="AE452:AE515" ca="1" si="423">IF(AC452,IF(AD450+AD451=0,6,6-AD452),AE451-AD452)</f>
        <v>5</v>
      </c>
      <c r="AF452" s="47">
        <f ca="1">IF(AC452,('模拟-单技能数据'!$D$20+G452*'模拟-单技能数据'!$F$20)*(1+J452)*(1+'模拟-单技能数据'!$J$20)*(1+U452),0)</f>
        <v>4447.8565560098323</v>
      </c>
      <c r="AG452" s="61">
        <f t="shared" ca="1" si="415"/>
        <v>0.64185145527300214</v>
      </c>
      <c r="AH452" s="61">
        <f t="shared" ca="1" si="416"/>
        <v>2.2624828854998791</v>
      </c>
      <c r="AI452" s="62">
        <f t="shared" ca="1" si="382"/>
        <v>0.85421469518690796</v>
      </c>
      <c r="AJ452" s="47">
        <f ca="1">IF(AD452,IF(AI452&lt;$F$10,0,IF(AI452&lt;$F$10+$F$11,0.25,IF(AI452&lt;$F$10+$F$11+AG452,AH452,1)))*IF(AF452&gt;0,AF452,IF(AF451&gt;0,AF451,IF(AF450&gt;0,AF450,IF(AF449&gt;0,AF449,IF(AF448&gt;0,AF448,IF(AF447&gt;0,AF447,IF(AF446&gt;0,AF446,IF(AF445&gt;0,AF445,IF(AF444&gt;0,AF444,IF(AF442&gt;0,AF442,IF(AF441&gt;0,AF441,IF(AF440&gt;0,AF440,0)))))))))))),0)*(1-$S452)*'模拟-单技能数据'!$I$20</f>
        <v>3368.2409654332282</v>
      </c>
      <c r="AK452" s="115" t="b">
        <f t="shared" ca="1" si="403"/>
        <v>0</v>
      </c>
      <c r="AL452" s="115" t="b">
        <f t="shared" ref="AL452:AL515" ca="1" si="424">IF(AL451+AL450=1,IF(AM451&gt;0,NOT(AL451),FALSE),AK452)</f>
        <v>0</v>
      </c>
      <c r="AM452" s="115">
        <f t="shared" ref="AM452:AM515" ca="1" si="425">IF(AK452,IF(AL450+AL451=0,6,6-AL452),AM451-AL452)</f>
        <v>5</v>
      </c>
      <c r="AN452" s="47">
        <f ca="1">IF(AK452,('模拟-单技能数据'!$D$21+G452*'模拟-单技能数据'!$F$21)*(1+J452)*(1+'模拟-单技能数据'!$J$21)*(1+U452),0)</f>
        <v>0</v>
      </c>
      <c r="AO452" s="61">
        <f ca="1">IF(AN452&gt;0,M452-'模拟-单技能数据'!$K$10,AO451)</f>
        <v>0.42185145527300216</v>
      </c>
      <c r="AP452" s="61">
        <f ca="1">IF(AN452&gt;0,I452-'模拟-单技能数据'!$L$10,AP451)</f>
        <v>2.162482885499879</v>
      </c>
      <c r="AQ452" s="63">
        <f t="shared" ca="1" si="383"/>
        <v>0.96168322131725958</v>
      </c>
      <c r="AR452" s="64">
        <f ca="1">IF(AL452,IF(AQ452&lt;$F$10,0,IF(AQ452&lt;$F$10+$F$11,0.25,IF(AQ452&lt;$F$10+$F$11+AO452,AP452,1)))*IF(AN452&gt;0,AN452,IF(AN451&gt;0,AN451,IF(AN450&gt;0,AN450,IF(AN449&gt;0,AN449,IF(AN448&gt;0,AN448,IF(AN447&gt;0,AN447,IF(AN446&gt;0,AN446,IF(AN445&gt;0,AN445,IF(AN444&gt;0,AN444,IF(AN442&gt;0,AN442,IF(AN441&gt;0,AN441,IF(AN440&gt;0,AN440,0)))))))))))),0)*(1-$S452)*'模拟-单技能数据'!$I$21</f>
        <v>0</v>
      </c>
      <c r="AS452" s="61">
        <f ca="1">IF(OR(C452="净世破魔击·日",C452="净世破魔击·月"),M452-'模拟-单技能数据'!$K$10,0)</f>
        <v>0</v>
      </c>
      <c r="AT452" s="61">
        <f ca="1">IF(OR(C452="净世破魔击·日",C452="净世破魔击·月"),I452-'模拟-单技能数据'!$L$10,0)</f>
        <v>0</v>
      </c>
      <c r="AU452" s="62">
        <f t="shared" ca="1" si="384"/>
        <v>0.12386288885252206</v>
      </c>
      <c r="AV452" s="64">
        <f ca="1">IF(AS452&gt;0,('模拟-单技能数据'!$D$22+G452*'模拟-单技能数据'!$F$22)*(1+J452)*(1-S452)*IF(AU452&lt;$F$10,0,IF(AU452&lt;$F$10+$F$11,0.25,IF(AU452&lt;$F$10+$F$11+AS452,AT452,1)))*(1+U452),0)*'模拟-单技能数据'!$I$22</f>
        <v>0</v>
      </c>
      <c r="AW452" s="108">
        <f t="shared" ca="1" si="385"/>
        <v>5.2400000000000064</v>
      </c>
      <c r="AX452" s="108" t="b">
        <f ca="1">AND(模拟模式!$P$10="有",AW451=0,RAND()&lt;IF(C452="净世破魔击·月",0.1*8/3,IF(C452="净世破魔击·日",0.1*4/3,0.1*2/3)))</f>
        <v>0</v>
      </c>
      <c r="AY452" s="47">
        <f ca="1">IF(AX452,(18+G452*0.722)*(1+J452)*(1-S452)*(1+$I$4)*IF(P452="会",'模拟-全程加成'!$J$3+'模拟-全程加成'!$J$4+'模拟-全程加成'!$J$5+('模拟-全程加成'!$I$4+'模拟-全程加成'!$I$5)/系数!$B$4+BG452*10%,IF(P452="命",1,IF(P452="识",0.25,0))),0)</f>
        <v>0</v>
      </c>
      <c r="AZ452" s="108">
        <f t="shared" si="386"/>
        <v>13.542500000000004</v>
      </c>
      <c r="BA452" s="108" t="b">
        <f>AND(模拟模式!$Q$10="有",AZ451=0)</f>
        <v>0</v>
      </c>
      <c r="BB452" s="140">
        <f>IF(BA452,(0+G452*0.287)*(1+J452)*(1-S452)*(1+$I$4)*IF(P452="会",'模拟-全程加成'!$J$3+'模拟-全程加成'!$J$4+'模拟-全程加成'!$J$5+('模拟-全程加成'!$I$4+'模拟-全程加成'!$I$5)/系数!$B$4+BG452*10%,IF(P452="命",1,IF(P452="识",0.25,0))),0)</f>
        <v>0</v>
      </c>
      <c r="BC452" s="115" t="b">
        <f ca="1">AND(模拟模式!$R$7="伏明众生",E452=60,F452=20,DA452&lt;5,CZ451&lt;$F$4)</f>
        <v>0</v>
      </c>
      <c r="BD452" s="115">
        <f t="shared" ca="1" si="404"/>
        <v>0</v>
      </c>
      <c r="BE452" s="115" t="b">
        <f t="shared" ca="1" si="405"/>
        <v>0</v>
      </c>
      <c r="BF452" s="47">
        <f ca="1">IF(BC452,4*('模拟-单技能数据'!$D$24+G452*'模拟-单技能数据'!$F$24)*(1+J452)*(1+'模拟-单技能数据'!$J$24)*(1-S452)*(1+$I$3)*(('模拟-全程加成'!$J$3+'模拟-全程加成'!$J$4+'模拟-全程加成'!$J$5+('模拟-全程加成'!$I$4+'模拟-全程加成'!$I$5)/系数!$B$4+BG452*10%)*('模拟-全程加成'!$J$3+'模拟-全程加成'!$J$4+'模拟-全程加成'!$J$5+('模拟-全程加成'!$I$4+'模拟-全程加成'!$I$5)/系数!$B$4+BG452*10%)+(1-('模拟-全程加成'!$J$3+'模拟-全程加成'!$J$4+'模拟-全程加成'!$J$5+('模拟-全程加成'!$I$4+'模拟-全程加成'!$I$5)/系数!$B$4+BG452*10%)-$F$10-$F$11)+F438*0.25),0)*'模拟-单技能数据'!$I$24</f>
        <v>0</v>
      </c>
      <c r="BG452" s="115" t="b">
        <f ca="1">OR(AND(OR(C452="烈日斩",C452="银月斩"),模拟模式!$I$7="净身明礼"),AND(C452="净世破魔击·日",模拟模式!$J$7="洞若观火"),AND(C453="净世破魔击·月",模拟模式!$J$7="洞若观火"),AB452=1)</f>
        <v>1</v>
      </c>
      <c r="BH452" s="115" t="b">
        <f t="shared" ca="1" si="387"/>
        <v>0</v>
      </c>
      <c r="BI452" s="115">
        <f t="shared" ca="1" si="406"/>
        <v>0</v>
      </c>
      <c r="BJ452" s="115" t="b">
        <f t="shared" ca="1" si="417"/>
        <v>0</v>
      </c>
      <c r="BK452" s="115" t="b">
        <f ca="1">AND(C452="驱夜断愁",模拟模式!$P$7="天地诛戮")</f>
        <v>0</v>
      </c>
      <c r="BL452" s="57">
        <f t="shared" ca="1" si="407"/>
        <v>14.465000000000003</v>
      </c>
      <c r="BM452" s="115" t="b">
        <f t="shared" ca="1" si="418"/>
        <v>1</v>
      </c>
      <c r="BN452" s="115" t="b">
        <f ca="1">AND(OR(C452="赤日轮1",C452="赤日轮2",C452="赤日轮3",C452="幽月轮1",C452="幽月轮2",C452="幽月轮3"),AB452=1,模拟模式!$L$7="明光恒照")</f>
        <v>0</v>
      </c>
      <c r="BO452" s="117">
        <f t="shared" ca="1" si="408"/>
        <v>29.077500000000001</v>
      </c>
      <c r="BP452" s="115">
        <f t="shared" ca="1" si="388"/>
        <v>6</v>
      </c>
      <c r="BQ452" s="115" t="b">
        <f>模拟模式!$K$10="2600·水"</f>
        <v>0</v>
      </c>
      <c r="BR452" s="117">
        <f t="shared" si="389"/>
        <v>0</v>
      </c>
      <c r="BS452" s="115">
        <f t="shared" si="390"/>
        <v>0</v>
      </c>
      <c r="BT452" s="115">
        <f t="shared" ca="1" si="391"/>
        <v>0</v>
      </c>
      <c r="BU452" s="115" t="b">
        <f ca="1">AND(模拟模式!$K$10="2300·雷",BT451=0,RAND()&lt;IF(C452="净世破魔击·月",5*0.05*2/3,IF(C452="净世破魔击·日",3*0.05*2/3,0.05*2*2/3)))</f>
        <v>0</v>
      </c>
      <c r="BV452" s="115">
        <f t="shared" ca="1" si="392"/>
        <v>0</v>
      </c>
      <c r="BW452" s="115">
        <f t="shared" ca="1" si="393"/>
        <v>163.39499999999975</v>
      </c>
      <c r="BX452" s="164" t="b">
        <f t="shared" ca="1" si="394"/>
        <v>0</v>
      </c>
      <c r="BY452" s="115">
        <f t="shared" ca="1" si="395"/>
        <v>0</v>
      </c>
      <c r="BZ452" s="115">
        <f>IF(OR(模拟模式!$P$16="10人团",模拟模式!$P$16="25人团"),IF(B452/30&gt;CA451,1,0),0)</f>
        <v>0</v>
      </c>
      <c r="CA452" s="115">
        <f t="shared" si="371"/>
        <v>0</v>
      </c>
      <c r="CB452" s="115">
        <f ca="1">IF(BZ452=1,IF(模拟模式!$P$16="10人团",15,0)+IF(模拟模式!$P$16="25人团",IF(RAND()&lt;0.6,15,0)),MAX(0,CB451-$F$4))</f>
        <v>0</v>
      </c>
      <c r="CC452" s="115" t="b">
        <f t="shared" ca="1" si="419"/>
        <v>0</v>
      </c>
      <c r="CD452" s="115">
        <f>IF(模拟模式!$Q$16="1个",IF(B452/40&gt;CE451,1,0),0)</f>
        <v>0</v>
      </c>
      <c r="CE452" s="115">
        <f t="shared" si="420"/>
        <v>0</v>
      </c>
      <c r="CF452" s="115">
        <f>IF(OR(CD452=1,模拟模式!$Q$16="2个"),20,MAX(0,CF451-$F$4))</f>
        <v>0</v>
      </c>
      <c r="CG452" s="115" t="b">
        <f t="shared" si="421"/>
        <v>0</v>
      </c>
      <c r="CH452" s="115">
        <f t="shared" ca="1" si="396"/>
        <v>17.085000000000008</v>
      </c>
      <c r="CI452" s="115" t="b">
        <f t="shared" ca="1" si="397"/>
        <v>0</v>
      </c>
      <c r="CJ452" s="119">
        <f t="shared" ca="1" si="398"/>
        <v>0</v>
      </c>
      <c r="CK452" s="115">
        <f t="shared" ca="1" si="399"/>
        <v>0</v>
      </c>
      <c r="CL452" s="115" t="b">
        <f ca="1">AND(模拟模式!$S$7="驱夷逐法",OR(AND(C452="净世破魔击·月",E451&gt;59),AND(C452="净世破魔击·日",F451&gt;59)))</f>
        <v>0</v>
      </c>
      <c r="CM452" s="115" t="b">
        <f ca="1">OR(CL452,AND(C452="净世破魔击·日",CL451,RAND()&lt;模拟模式!$U$23))</f>
        <v>0</v>
      </c>
      <c r="CN452" s="115" t="b">
        <f ca="1">IF(模拟模式!$M$7="辉耀红尘",AND(C452="净世破魔击·月",CL452,CV452=0,E451&lt;80),AND(C452="净世破魔击·月",CL452,E451&lt;100))</f>
        <v>0</v>
      </c>
      <c r="CO452" s="115" t="b">
        <f t="shared" ca="1" si="372"/>
        <v>0</v>
      </c>
      <c r="CP452" s="115" t="b">
        <f ca="1">AND(模拟模式!$O$7="用晦而明",OR(C452="净世破魔击·日",C452="净世破魔击·月",C452="驱夜断愁"),AB452)</f>
        <v>0</v>
      </c>
      <c r="CQ452" s="115" t="b">
        <f ca="1">OR(CP452,AND(CP451,RAND()&lt;模拟模式!$U$23))</f>
        <v>0</v>
      </c>
      <c r="CR452" s="115" t="b">
        <f ca="1">AND(模拟模式!$S$7="日月齐光",OR(C452="幽月轮1",C452="幽月轮2",C452="幽月轮3",CR451),NOT(OR(C452="赤日轮1",C452="赤日轮2",C452="赤日轮3")))</f>
        <v>0</v>
      </c>
      <c r="CS452" s="115" t="b">
        <f ca="1">AND(模拟模式!$S$7="日月齐光",OR(C452="赤日轮1",C452="赤日轮2",C452="赤日轮3",CS451),NOT(OR(C452="幽月轮1",C452="幽月轮2",C452="幽月轮3")))</f>
        <v>0</v>
      </c>
      <c r="CT452" s="115">
        <f t="shared" ca="1" si="400"/>
        <v>0</v>
      </c>
      <c r="CU452" s="115" t="b">
        <f ca="1">AND(模拟模式!$K$10="阴阳往极",CT451=0,RAND()&lt;IF(C452="净世破魔击·月",0.0275*7/3,IF(C452="净世破魔击·日",0.0275*3/3,0.0275*2/3)))</f>
        <v>0</v>
      </c>
      <c r="CV452" s="115">
        <f t="shared" ca="1" si="401"/>
        <v>0</v>
      </c>
      <c r="CW452" s="115">
        <f t="shared" ca="1" si="373"/>
        <v>1.3874999999999997</v>
      </c>
      <c r="CX452" s="115">
        <f t="shared" ca="1" si="374"/>
        <v>6</v>
      </c>
      <c r="CY452" s="115">
        <f ca="1">MAX(IF($C452="驱夜断愁",IF(模拟模式!$R$7="万念俱寂",6,45),CY451-$F$4),0)</f>
        <v>0.46499999999999975</v>
      </c>
      <c r="CZ452" s="115">
        <f t="shared" ca="1" si="375"/>
        <v>0</v>
      </c>
      <c r="DA452" s="115">
        <f ca="1">IF(模拟模式!$N$7="日月同辉",IF(DB451=2,0,MIN(6,IF(AND(OR(C452="赤日轮1",C452="赤日轮2",C452="赤日轮3",C452="幽月轮1",C452="幽月轮2",C452="幽月轮3"),AB452=1),DA451+1,DA451))),0)</f>
        <v>2</v>
      </c>
      <c r="DB452" s="115">
        <f t="shared" ca="1" si="376"/>
        <v>0</v>
      </c>
      <c r="DC452" s="115"/>
      <c r="DD452" s="115"/>
      <c r="DE452" s="115"/>
      <c r="DF452" s="115"/>
      <c r="DG452" s="115"/>
      <c r="DH452" s="115"/>
      <c r="DI452" s="115"/>
      <c r="DJ452" s="115"/>
      <c r="DK452" s="115"/>
      <c r="DL452" s="115"/>
      <c r="DM452" s="115"/>
    </row>
    <row r="453" spans="2:117" x14ac:dyDescent="0.2">
      <c r="B453" s="117">
        <f t="shared" si="377"/>
        <v>392.98500000000382</v>
      </c>
      <c r="C453" s="167" t="str">
        <f t="shared" ca="1" si="370"/>
        <v>驱夜断愁</v>
      </c>
      <c r="D453" s="115">
        <f ca="1">IF(C453="赤日轮1",1,IF(C453="赤日轮2",2,IF(C453="赤日轮3",3,IF(C453="幽月轮1",4,IF(C453="幽月轮2",5,IF(C453="幽月轮3",6,IF(C453="烈日斩",7,IF(C453="银月斩",8,IF(C453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453="净世破魔击·月",17,IF(C453="驱夜断愁",18,0)))))))))))</f>
        <v>18</v>
      </c>
      <c r="E453" s="115">
        <f ca="1">IF(AND(CU453,OR(C453="幽月轮1",C453="幽月轮2",C453="幽月轮3",C453="银月斩",C453="驱夜断愁",C453="净世破魔击·月")),100,MIN(IF(OR(CN453,BE453),0,IF(OR($C453="赤日轮1",$C453="赤日轮2",$C453="赤日轮3"),E452+20+IF(模拟模式!$I$7="日月凌天",4,0)+IF(CR452,20,0),IF($C453="烈日斩",E452+40,IF($C453="驱夜断愁",IF(模拟模式!$R$7="万念俱寂",E452+20,E452+60),IF($C453="净世破魔击·月",IF(OR(DB452&gt;0,CV452&gt;0),100,IF(模拟模式!$M$7="辉耀红尘",E452+20,E452)),IF($C453="净世破魔击·日",E452-100,E452)))))),100))</f>
        <v>40</v>
      </c>
      <c r="F453" s="115">
        <f ca="1">IF(AND(CU453,OR(C453="赤日轮1",C453="赤日轮2",C453="赤日轮3",C453="烈日斩",C453="净世破魔击·日")),100,MIN(IF(CO453,0,IF(OR($C453="幽月轮1",$C453="幽月轮2",$C453="幽月轮3"),F452+20+IF(模拟模式!$I$7="日月凌天",4,0)+IF(CS452,20,0),IF($C453="银月斩",F452+40+IF(模拟模式!$X$12=1,5,0),IF($C453="驱夜断愁",IF(模拟模式!$R$7="万念俱寂",F452+20,F452+60),IF($C453="净世破魔击·月",IF(模拟模式!$M$7="辉耀红尘",F452-80,F452-100),IF(AND(C453="净世破魔击·日",OR(DB452&gt;0,CV452&gt;0)),100,F452)))))),100))</f>
        <v>85</v>
      </c>
      <c r="G453" s="117">
        <f ca="1">('模拟-全程加成'!$E$3+'模拟-全程加成'!$E$4+'模拟-全程加成'!$E$5+('模拟-全程加成'!$C$6-'模拟-全程加成'!$C$3)*系数!$B$9+BS453*23)*(1+'模拟-全程加成'!$F$4+'模拟-全程加成'!$F$5+BJ453*10%+BM453*20%+BP453*4%+CG453*30%)+$F$7*系数!$B$12</f>
        <v>20583.127400000001</v>
      </c>
      <c r="H453" s="45">
        <f ca="1">'模拟-全程加成'!$H$3+'模拟-全程加成'!$H$4+'模拟-全程加成'!$H$5+('模拟-全程加成'!$G$4+'模拟-全程加成'!$G$5+('模拟-全程加成'!$C$6-'模拟-全程加成'!$C$3)*系数!$B$13)/系数!$B$3+LOOKUP(D453,'模拟-单技能数据'!$A$2:$A$19,'模拟-单技能数据'!$K$2:$K$19)+BG453*10%+IF(BV453&gt;0,378,0)</f>
        <v>0.51185145527300213</v>
      </c>
      <c r="I453" s="45">
        <f ca="1">'模拟-全程加成'!$J$3+'模拟-全程加成'!$J$4+'模拟-全程加成'!$J$5+('模拟-全程加成'!$I$4+'模拟-全程加成'!$I$5)/系数!$B$4+LOOKUP(D453,'模拟-单技能数据'!$A$2:$A$19,'模拟-单技能数据'!$L$2:$L$19)+BG453*10%</f>
        <v>2.162482885499879</v>
      </c>
      <c r="J453" s="45">
        <f ca="1">(('模拟-全程加成'!$K$3+'模拟-全程加成'!$K$4+'模拟-全程加成'!$K$5+('模拟-全程加成'!$C$6-'模拟-全程加成'!$C$3)*系数!$B$10+IF(BV453&gt;0,882,0)+IF(BY453&gt;0,1831,0))*(1+'模拟-全程加成'!$L$4+'模拟-全程加成'!$L$5+CC453*20%))/系数!$B$5</f>
        <v>0.69723220422048726</v>
      </c>
      <c r="K453" s="119">
        <f ca="1">LOOKUP(D453,'模拟-单技能数据'!$A$2:$A$19,'模拟-单技能数据'!$J$2:$J$19)+IF(CM453,60%,0)+IF(DB452-DB453&gt;0,30%,0)+IF(OR(AND(OR(C453="赤日轮1",C453="赤日轮2",C453="赤日轮3"),CR453),AND(OR(C453="幽月轮1",C453="幽月轮2",C453="幽月轮3"),CS453)),35%,0)+CJ453</f>
        <v>0.14000000000000001</v>
      </c>
      <c r="L453" s="119">
        <f ca="1">IF(AND(C453="烈日斩",模拟模式!$X$11=1),10%,0)+IF(AND(C453="驱夜断愁",AB453=1),30%,0)</f>
        <v>0.3</v>
      </c>
      <c r="M453" s="45">
        <f t="shared" ca="1" si="409"/>
        <v>0.51185145527300213</v>
      </c>
      <c r="N453" s="45">
        <f t="shared" ca="1" si="410"/>
        <v>0.43424854472699792</v>
      </c>
      <c r="O453" s="46">
        <f t="shared" ca="1" si="378"/>
        <v>0.37704485376646568</v>
      </c>
      <c r="P453" s="46" t="str">
        <f t="shared" ca="1" si="379"/>
        <v>会</v>
      </c>
      <c r="Q453" s="45">
        <f t="shared" ca="1" si="380"/>
        <v>2.162482885499879</v>
      </c>
      <c r="R453" s="117">
        <f ca="1">模拟模式!$E$20*(1-IF(模拟模式!$J$19="有",0.15,0))*(1-IF(模拟模式!$K$19="有",0.3,0)-IF(CQ453,0.5,0))</f>
        <v>843.02999999999975</v>
      </c>
      <c r="S453" s="45">
        <f ca="1">R453/(R453+(185*模拟模式!$E$22-16800)*4.08224)</f>
        <v>8.389626085980037E-2</v>
      </c>
      <c r="T453" s="45" t="str">
        <f ca="1">LOOKUP(D453,'模拟-单技能数据'!$A$2:$A$19,'模拟-单技能数据'!$H$2:$H$19)</f>
        <v>阴</v>
      </c>
      <c r="U453" s="119">
        <f t="shared" ca="1" si="411"/>
        <v>0.08</v>
      </c>
      <c r="V453" s="47">
        <f ca="1">(1+L453)*(LOOKUP(D453,'模拟-单技能数据'!$A$2:$A$19,'模拟-单技能数据'!$D$2:$D$19)+G453*LOOKUP(D453,'模拟-单技能数据'!$A$2:$A$19,'模拟-单技能数据'!$F$2:$F$19))*(1+J453)*(1+K453)*(1-S453)*(1+U453)*Q453*LOOKUP(D453,'模拟-单技能数据'!$A$2:$A$19,'模拟-单技能数据'!$I$2:$I$20)</f>
        <v>127463.41908070058</v>
      </c>
      <c r="W453" s="47">
        <f ca="1">LOOKUP(D453,'模拟-单技能数据'!$A$2:$A$19,'模拟-单技能数据'!$G$2:$G$19)*$I$10</f>
        <v>723.0212870940959</v>
      </c>
      <c r="X453" s="47">
        <f t="shared" ca="1" si="381"/>
        <v>27484.420799395535</v>
      </c>
      <c r="Y453" s="47">
        <f t="shared" ca="1" si="412"/>
        <v>155670.86116719022</v>
      </c>
      <c r="Z453" s="49">
        <f t="shared" ca="1" si="413"/>
        <v>44709164.384788595</v>
      </c>
      <c r="AA453" s="97">
        <f t="shared" ca="1" si="414"/>
        <v>113768.11935516154</v>
      </c>
      <c r="AB453" s="115">
        <f ca="1">IF(OR(C453="赤日轮1",C453="赤日轮2",C453="赤日轮3"),IF(RAND()&lt;模拟模式!$Y$17,1,0),IF(OR(C453="幽月轮1",C453="幽月轮2",C453="幽月轮3"),IF(RAND()&lt;模拟模式!$Y$18,1,0),IF(C453="烈日斩",IF(RAND()&lt;模拟模式!$Y$19,1,0),IF(C453="银月斩",IF(RAND()&lt;模拟模式!$Y$20,1,0),IF(C453="驱夜断愁",IF(RAND()&lt;模拟模式!$Y$21,1,0),IF(C453="净世破魔击·日",IF(RAND()&lt;模拟模式!$Y$22,1,0),IF(C453="净世破魔击·月",IF(RAND()&lt;模拟模式!$Y$23,1,0),0)))))))</f>
        <v>1</v>
      </c>
      <c r="AC453" s="115" t="b">
        <f t="shared" ca="1" si="402"/>
        <v>0</v>
      </c>
      <c r="AD453" s="115" t="b">
        <f t="shared" ca="1" si="422"/>
        <v>0</v>
      </c>
      <c r="AE453" s="115">
        <f t="shared" ca="1" si="423"/>
        <v>5</v>
      </c>
      <c r="AF453" s="47">
        <f ca="1">IF(AC453,('模拟-单技能数据'!$D$20+G453*'模拟-单技能数据'!$F$20)*(1+J453)*(1+'模拟-单技能数据'!$J$20)*(1+U453),0)</f>
        <v>0</v>
      </c>
      <c r="AG453" s="61">
        <f t="shared" ca="1" si="415"/>
        <v>0.64185145527300214</v>
      </c>
      <c r="AH453" s="61">
        <f t="shared" ca="1" si="416"/>
        <v>2.2624828854998791</v>
      </c>
      <c r="AI453" s="62">
        <f t="shared" ca="1" si="382"/>
        <v>0.15842212153275426</v>
      </c>
      <c r="AJ453" s="47">
        <f ca="1">IF(AD453,IF(AI453&lt;$F$10,0,IF(AI453&lt;$F$10+$F$11,0.25,IF(AI453&lt;$F$10+$F$11+AG453,AH453,1)))*IF(AF453&gt;0,AF453,IF(AF452&gt;0,AF452,IF(AF451&gt;0,AF451,IF(AF450&gt;0,AF450,IF(AF449&gt;0,AF449,IF(AF448&gt;0,AF448,IF(AF447&gt;0,AF447,IF(AF446&gt;0,AF446,IF(AF445&gt;0,AF445,IF(AF443&gt;0,AF443,IF(AF442&gt;0,AF442,IF(AF441&gt;0,AF441,0)))))))))))),0)*(1-$S453)*'模拟-单技能数据'!$I$20</f>
        <v>0</v>
      </c>
      <c r="AK453" s="115" t="b">
        <f t="shared" ca="1" si="403"/>
        <v>0</v>
      </c>
      <c r="AL453" s="115" t="b">
        <f t="shared" ca="1" si="424"/>
        <v>1</v>
      </c>
      <c r="AM453" s="115">
        <f t="shared" ca="1" si="425"/>
        <v>4</v>
      </c>
      <c r="AN453" s="47">
        <f ca="1">IF(AK453,('模拟-单技能数据'!$D$21+G453*'模拟-单技能数据'!$F$21)*(1+J453)*(1+'模拟-单技能数据'!$J$21)*(1+U453),0)</f>
        <v>0</v>
      </c>
      <c r="AO453" s="61">
        <f ca="1">IF(AN453&gt;0,M453-'模拟-单技能数据'!$K$10,AO452)</f>
        <v>0.42185145527300216</v>
      </c>
      <c r="AP453" s="61">
        <f ca="1">IF(AN453&gt;0,I453-'模拟-单技能数据'!$L$10,AP452)</f>
        <v>2.162482885499879</v>
      </c>
      <c r="AQ453" s="63">
        <f t="shared" ca="1" si="383"/>
        <v>0.24379960253953836</v>
      </c>
      <c r="AR453" s="64">
        <f ca="1">IF(AL453,IF(AQ453&lt;$F$10,0,IF(AQ453&lt;$F$10+$F$11,0.25,IF(AQ453&lt;$F$10+$F$11+AO453,AP453,1)))*IF(AN453&gt;0,AN453,IF(AN452&gt;0,AN452,IF(AN451&gt;0,AN451,IF(AN450&gt;0,AN450,IF(AN449&gt;0,AN449,IF(AN448&gt;0,AN448,IF(AN447&gt;0,AN447,IF(AN446&gt;0,AN446,IF(AN445&gt;0,AN445,IF(AN443&gt;0,AN443,IF(AN442&gt;0,AN442,IF(AN441&gt;0,AN441,0)))))))))))),0)*(1-$S453)*'模拟-单技能数据'!$I$21</f>
        <v>27484.420799395535</v>
      </c>
      <c r="AS453" s="61">
        <f ca="1">IF(OR(C453="净世破魔击·日",C453="净世破魔击·月"),M453-'模拟-单技能数据'!$K$10,0)</f>
        <v>0</v>
      </c>
      <c r="AT453" s="61">
        <f ca="1">IF(OR(C453="净世破魔击·日",C453="净世破魔击·月"),I453-'模拟-单技能数据'!$L$10,0)</f>
        <v>0</v>
      </c>
      <c r="AU453" s="62">
        <f t="shared" ca="1" si="384"/>
        <v>0.4530808132380052</v>
      </c>
      <c r="AV453" s="64">
        <f ca="1">IF(AS453&gt;0,('模拟-单技能数据'!$D$22+G453*'模拟-单技能数据'!$F$22)*(1+J453)*(1-S453)*IF(AU453&lt;$F$10,0,IF(AU453&lt;$F$10+$F$11,0.25,IF(AU453&lt;$F$10+$F$11+AS453,AT453,1)))*(1+U453),0)*'模拟-单技能数据'!$I$22</f>
        <v>0</v>
      </c>
      <c r="AW453" s="108">
        <f t="shared" ca="1" si="385"/>
        <v>4.3175000000000061</v>
      </c>
      <c r="AX453" s="108" t="b">
        <f ca="1">AND(模拟模式!$P$10="有",AW452=0,RAND()&lt;IF(C453="净世破魔击·月",0.1*8/3,IF(C453="净世破魔击·日",0.1*4/3,0.1*2/3)))</f>
        <v>0</v>
      </c>
      <c r="AY453" s="47">
        <f ca="1">IF(AX453,(18+G453*0.722)*(1+J453)*(1-S453)*(1+$I$4)*IF(P453="会",'模拟-全程加成'!$J$3+'模拟-全程加成'!$J$4+'模拟-全程加成'!$J$5+('模拟-全程加成'!$I$4+'模拟-全程加成'!$I$5)/系数!$B$4+BG453*10%,IF(P453="命",1,IF(P453="识",0.25,0))),0)</f>
        <v>0</v>
      </c>
      <c r="AZ453" s="108">
        <f t="shared" si="386"/>
        <v>12.620000000000005</v>
      </c>
      <c r="BA453" s="108" t="b">
        <f>AND(模拟模式!$Q$10="有",AZ452=0)</f>
        <v>0</v>
      </c>
      <c r="BB453" s="140">
        <f>IF(BA453,(0+G453*0.287)*(1+J453)*(1-S453)*(1+$I$4)*IF(P453="会",'模拟-全程加成'!$J$3+'模拟-全程加成'!$J$4+'模拟-全程加成'!$J$5+('模拟-全程加成'!$I$4+'模拟-全程加成'!$I$5)/系数!$B$4+BG453*10%,IF(P453="命",1,IF(P453="识",0.25,0))),0)</f>
        <v>0</v>
      </c>
      <c r="BC453" s="115" t="b">
        <f ca="1">AND(模拟模式!$R$7="伏明众生",E453=60,F453=20,DA453&lt;5,CZ452&lt;$F$4)</f>
        <v>0</v>
      </c>
      <c r="BD453" s="115">
        <f t="shared" ca="1" si="404"/>
        <v>0</v>
      </c>
      <c r="BE453" s="115" t="b">
        <f t="shared" ca="1" si="405"/>
        <v>0</v>
      </c>
      <c r="BF453" s="47">
        <f ca="1">IF(BC453,4*('模拟-单技能数据'!$D$24+G453*'模拟-单技能数据'!$F$24)*(1+J453)*(1+'模拟-单技能数据'!$J$24)*(1-S453)*(1+$I$3)*(('模拟-全程加成'!$J$3+'模拟-全程加成'!$J$4+'模拟-全程加成'!$J$5+('模拟-全程加成'!$I$4+'模拟-全程加成'!$I$5)/系数!$B$4+BG453*10%)*('模拟-全程加成'!$J$3+'模拟-全程加成'!$J$4+'模拟-全程加成'!$J$5+('模拟-全程加成'!$I$4+'模拟-全程加成'!$I$5)/系数!$B$4+BG453*10%)+(1-('模拟-全程加成'!$J$3+'模拟-全程加成'!$J$4+'模拟-全程加成'!$J$5+('模拟-全程加成'!$I$4+'模拟-全程加成'!$I$5)/系数!$B$4+BG453*10%)-$F$10-$F$11)+F439*0.25),0)*'模拟-单技能数据'!$I$24</f>
        <v>0</v>
      </c>
      <c r="BG453" s="115" t="b">
        <f ca="1">OR(AND(OR(C453="烈日斩",C453="银月斩"),模拟模式!$I$7="净身明礼"),AND(C453="净世破魔击·日",模拟模式!$J$7="洞若观火"),AND(C454="净世破魔击·月",模拟模式!$J$7="洞若观火"),AB453=1)</f>
        <v>1</v>
      </c>
      <c r="BH453" s="115" t="b">
        <f t="shared" ca="1" si="387"/>
        <v>0</v>
      </c>
      <c r="BI453" s="115">
        <f t="shared" ca="1" si="406"/>
        <v>0</v>
      </c>
      <c r="BJ453" s="115" t="b">
        <f t="shared" ca="1" si="417"/>
        <v>0</v>
      </c>
      <c r="BK453" s="115" t="b">
        <f ca="1">AND(C453="驱夜断愁",模拟模式!$P$7="天地诛戮")</f>
        <v>1</v>
      </c>
      <c r="BL453" s="57">
        <f t="shared" ca="1" si="407"/>
        <v>20</v>
      </c>
      <c r="BM453" s="115" t="b">
        <f t="shared" ca="1" si="418"/>
        <v>1</v>
      </c>
      <c r="BN453" s="115" t="b">
        <f ca="1">AND(OR(C453="赤日轮1",C453="赤日轮2",C453="赤日轮3",C453="幽月轮1",C453="幽月轮2",C453="幽月轮3"),AB453=1,模拟模式!$L$7="明光恒照")</f>
        <v>0</v>
      </c>
      <c r="BO453" s="117">
        <f t="shared" ca="1" si="408"/>
        <v>28.155000000000001</v>
      </c>
      <c r="BP453" s="115">
        <f t="shared" ca="1" si="388"/>
        <v>6</v>
      </c>
      <c r="BQ453" s="115" t="b">
        <f>模拟模式!$K$10="2600·水"</f>
        <v>0</v>
      </c>
      <c r="BR453" s="117">
        <f t="shared" si="389"/>
        <v>0</v>
      </c>
      <c r="BS453" s="115">
        <f t="shared" si="390"/>
        <v>0</v>
      </c>
      <c r="BT453" s="115">
        <f t="shared" ca="1" si="391"/>
        <v>0</v>
      </c>
      <c r="BU453" s="115" t="b">
        <f ca="1">AND(模拟模式!$K$10="2300·雷",BT452=0,RAND()&lt;IF(C453="净世破魔击·月",5*0.05*2/3,IF(C453="净世破魔击·日",3*0.05*2/3,0.05*2*2/3)))</f>
        <v>0</v>
      </c>
      <c r="BV453" s="115">
        <f t="shared" ca="1" si="392"/>
        <v>0</v>
      </c>
      <c r="BW453" s="115">
        <f t="shared" ca="1" si="393"/>
        <v>162.47249999999974</v>
      </c>
      <c r="BX453" s="164" t="b">
        <f t="shared" ca="1" si="394"/>
        <v>0</v>
      </c>
      <c r="BY453" s="115">
        <f t="shared" ca="1" si="395"/>
        <v>0</v>
      </c>
      <c r="BZ453" s="115">
        <f>IF(OR(模拟模式!$P$16="10人团",模拟模式!$P$16="25人团"),IF(B453/30&gt;CA452,1,0),0)</f>
        <v>0</v>
      </c>
      <c r="CA453" s="115">
        <f t="shared" si="371"/>
        <v>0</v>
      </c>
      <c r="CB453" s="115">
        <f ca="1">IF(BZ453=1,IF(模拟模式!$P$16="10人团",15,0)+IF(模拟模式!$P$16="25人团",IF(RAND()&lt;0.6,15,0)),MAX(0,CB452-$F$4))</f>
        <v>0</v>
      </c>
      <c r="CC453" s="115" t="b">
        <f t="shared" ca="1" si="419"/>
        <v>0</v>
      </c>
      <c r="CD453" s="115">
        <f>IF(模拟模式!$Q$16="1个",IF(B453/40&gt;CE452,1,0),0)</f>
        <v>0</v>
      </c>
      <c r="CE453" s="115">
        <f t="shared" si="420"/>
        <v>0</v>
      </c>
      <c r="CF453" s="115">
        <f>IF(OR(CD453=1,模拟模式!$Q$16="2个"),20,MAX(0,CF452-$F$4))</f>
        <v>0</v>
      </c>
      <c r="CG453" s="115" t="b">
        <f t="shared" si="421"/>
        <v>0</v>
      </c>
      <c r="CH453" s="115">
        <f t="shared" ca="1" si="396"/>
        <v>16.162500000000009</v>
      </c>
      <c r="CI453" s="115" t="b">
        <f t="shared" ca="1" si="397"/>
        <v>0</v>
      </c>
      <c r="CJ453" s="119">
        <f t="shared" ca="1" si="398"/>
        <v>0</v>
      </c>
      <c r="CK453" s="115">
        <f t="shared" ca="1" si="399"/>
        <v>0</v>
      </c>
      <c r="CL453" s="115" t="b">
        <f ca="1">AND(模拟模式!$S$7="驱夷逐法",OR(AND(C453="净世破魔击·月",E452&gt;59),AND(C453="净世破魔击·日",F452&gt;59)))</f>
        <v>0</v>
      </c>
      <c r="CM453" s="115" t="b">
        <f ca="1">OR(CL453,AND(C453="净世破魔击·日",CL452,RAND()&lt;模拟模式!$U$23))</f>
        <v>0</v>
      </c>
      <c r="CN453" s="115" t="b">
        <f ca="1">IF(模拟模式!$M$7="辉耀红尘",AND(C453="净世破魔击·月",CL453,CV453=0,E452&lt;80),AND(C453="净世破魔击·月",CL453,E452&lt;100))</f>
        <v>0</v>
      </c>
      <c r="CO453" s="115" t="b">
        <f t="shared" ca="1" si="372"/>
        <v>0</v>
      </c>
      <c r="CP453" s="115" t="b">
        <f ca="1">AND(模拟模式!$O$7="用晦而明",OR(C453="净世破魔击·日",C453="净世破魔击·月",C453="驱夜断愁"),AB453)</f>
        <v>1</v>
      </c>
      <c r="CQ453" s="115" t="b">
        <f ca="1">OR(CP453,AND(CP452,RAND()&lt;模拟模式!$U$23))</f>
        <v>1</v>
      </c>
      <c r="CR453" s="115" t="b">
        <f ca="1">AND(模拟模式!$S$7="日月齐光",OR(C453="幽月轮1",C453="幽月轮2",C453="幽月轮3",CR452),NOT(OR(C453="赤日轮1",C453="赤日轮2",C453="赤日轮3")))</f>
        <v>0</v>
      </c>
      <c r="CS453" s="115" t="b">
        <f ca="1">AND(模拟模式!$S$7="日月齐光",OR(C453="赤日轮1",C453="赤日轮2",C453="赤日轮3",CS452),NOT(OR(C453="幽月轮1",C453="幽月轮2",C453="幽月轮3")))</f>
        <v>0</v>
      </c>
      <c r="CT453" s="115">
        <f t="shared" ca="1" si="400"/>
        <v>0</v>
      </c>
      <c r="CU453" s="115" t="b">
        <f ca="1">AND(模拟模式!$K$10="阴阳往极",CT452=0,RAND()&lt;IF(C453="净世破魔击·月",0.0275*7/3,IF(C453="净世破魔击·日",0.0275*3/3,0.0275*2/3)))</f>
        <v>0</v>
      </c>
      <c r="CV453" s="115">
        <f t="shared" ca="1" si="401"/>
        <v>0</v>
      </c>
      <c r="CW453" s="115">
        <f t="shared" ca="1" si="373"/>
        <v>0.46499999999999975</v>
      </c>
      <c r="CX453" s="115">
        <f t="shared" ca="1" si="374"/>
        <v>5.0774999999999997</v>
      </c>
      <c r="CY453" s="115">
        <f ca="1">MAX(IF($C453="驱夜断愁",IF(模拟模式!$R$7="万念俱寂",6,45),CY452-$F$4),0)</f>
        <v>6</v>
      </c>
      <c r="CZ453" s="115">
        <f t="shared" ca="1" si="375"/>
        <v>0</v>
      </c>
      <c r="DA453" s="115">
        <f ca="1">IF(模拟模式!$N$7="日月同辉",IF(DB452=2,0,MIN(6,IF(AND(OR(C453="赤日轮1",C453="赤日轮2",C453="赤日轮3",C453="幽月轮1",C453="幽月轮2",C453="幽月轮3"),AB453=1),DA452+1,DA452))),0)</f>
        <v>2</v>
      </c>
      <c r="DB453" s="115">
        <f t="shared" ca="1" si="376"/>
        <v>0</v>
      </c>
      <c r="DC453" s="115"/>
      <c r="DD453" s="115"/>
      <c r="DE453" s="115"/>
      <c r="DF453" s="115"/>
      <c r="DG453" s="115"/>
      <c r="DH453" s="115"/>
      <c r="DI453" s="115"/>
      <c r="DJ453" s="115"/>
      <c r="DK453" s="115"/>
      <c r="DL453" s="115"/>
      <c r="DM453" s="115"/>
    </row>
    <row r="454" spans="2:117" x14ac:dyDescent="0.2">
      <c r="B454" s="117">
        <f t="shared" si="377"/>
        <v>393.90750000000384</v>
      </c>
      <c r="C454" s="167" t="str">
        <f t="shared" ca="1" si="370"/>
        <v>烈日斩</v>
      </c>
      <c r="D454" s="115">
        <f ca="1">IF(C454="赤日轮1",1,IF(C454="赤日轮2",2,IF(C454="赤日轮3",3,IF(C454="幽月轮1",4,IF(C454="幽月轮2",5,IF(C454="幽月轮3",6,IF(C454="烈日斩",7,IF(C454="银月斩",8,IF(C454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454="净世破魔击·月",17,IF(C454="驱夜断愁",18,0)))))))))))</f>
        <v>7</v>
      </c>
      <c r="E454" s="115">
        <f ca="1">IF(AND(CU454,OR(C454="幽月轮1",C454="幽月轮2",C454="幽月轮3",C454="银月斩",C454="驱夜断愁",C454="净世破魔击·月")),100,MIN(IF(OR(CN454,BE454),0,IF(OR($C454="赤日轮1",$C454="赤日轮2",$C454="赤日轮3"),E453+20+IF(模拟模式!$I$7="日月凌天",4,0)+IF(CR453,20,0),IF($C454="烈日斩",E453+40,IF($C454="驱夜断愁",IF(模拟模式!$R$7="万念俱寂",E453+20,E453+60),IF($C454="净世破魔击·月",IF(OR(DB453&gt;0,CV453&gt;0),100,IF(模拟模式!$M$7="辉耀红尘",E453+20,E453)),IF($C454="净世破魔击·日",E453-100,E453)))))),100))</f>
        <v>80</v>
      </c>
      <c r="F454" s="115">
        <f ca="1">IF(AND(CU454,OR(C454="赤日轮1",C454="赤日轮2",C454="赤日轮3",C454="烈日斩",C454="净世破魔击·日")),100,MIN(IF(CO454,0,IF(OR($C454="幽月轮1",$C454="幽月轮2",$C454="幽月轮3"),F453+20+IF(模拟模式!$I$7="日月凌天",4,0)+IF(CS453,20,0),IF($C454="银月斩",F453+40+IF(模拟模式!$X$12=1,5,0),IF($C454="驱夜断愁",IF(模拟模式!$R$7="万念俱寂",F453+20,F453+60),IF($C454="净世破魔击·月",IF(模拟模式!$M$7="辉耀红尘",F453-80,F453-100),IF(AND(C454="净世破魔击·日",OR(DB453&gt;0,CV453&gt;0)),100,F453)))))),100))</f>
        <v>85</v>
      </c>
      <c r="G454" s="117">
        <f ca="1">('模拟-全程加成'!$E$3+'模拟-全程加成'!$E$4+'模拟-全程加成'!$E$5+('模拟-全程加成'!$C$6-'模拟-全程加成'!$C$3)*系数!$B$9+BS454*23)*(1+'模拟-全程加成'!$F$4+'模拟-全程加成'!$F$5+BJ454*10%+BM454*20%+BP454*4%+CG454*30%)+$F$7*系数!$B$12</f>
        <v>20583.127400000001</v>
      </c>
      <c r="H454" s="45">
        <f ca="1">'模拟-全程加成'!$H$3+'模拟-全程加成'!$H$4+'模拟-全程加成'!$H$5+('模拟-全程加成'!$G$4+'模拟-全程加成'!$G$5+('模拟-全程加成'!$C$6-'模拟-全程加成'!$C$3)*系数!$B$13)/系数!$B$3+LOOKUP(D454,'模拟-单技能数据'!$A$2:$A$19,'模拟-单技能数据'!$K$2:$K$19)+BG454*10%+IF(BV454&gt;0,378,0)</f>
        <v>0.56185145527300218</v>
      </c>
      <c r="I454" s="45">
        <f ca="1">'模拟-全程加成'!$J$3+'模拟-全程加成'!$J$4+'模拟-全程加成'!$J$5+('模拟-全程加成'!$I$4+'模拟-全程加成'!$I$5)/系数!$B$4+LOOKUP(D454,'模拟-单技能数据'!$A$2:$A$19,'模拟-单技能数据'!$L$2:$L$19)+BG454*10%</f>
        <v>2.2624828854998791</v>
      </c>
      <c r="J454" s="45">
        <f ca="1">(('模拟-全程加成'!$K$3+'模拟-全程加成'!$K$4+'模拟-全程加成'!$K$5+('模拟-全程加成'!$C$6-'模拟-全程加成'!$C$3)*系数!$B$10+IF(BV454&gt;0,882,0)+IF(BY454&gt;0,1831,0))*(1+'模拟-全程加成'!$L$4+'模拟-全程加成'!$L$5+CC454*20%))/系数!$B$5</f>
        <v>0.69723220422048726</v>
      </c>
      <c r="K454" s="119">
        <f ca="1">LOOKUP(D454,'模拟-单技能数据'!$A$2:$A$19,'模拟-单技能数据'!$J$2:$J$19)+IF(CM454,60%,0)+IF(DB453-DB454&gt;0,30%,0)+IF(OR(AND(OR(C454="赤日轮1",C454="赤日轮2",C454="赤日轮3"),CR454),AND(OR(C454="幽月轮1",C454="幽月轮2",C454="幽月轮3"),CS454)),35%,0)+CJ454</f>
        <v>0.24</v>
      </c>
      <c r="L454" s="119">
        <f ca="1">IF(AND(C454="烈日斩",模拟模式!$X$11=1),10%,0)+IF(AND(C454="驱夜断愁",AB454=1),30%,0)</f>
        <v>0.1</v>
      </c>
      <c r="M454" s="45">
        <f t="shared" ca="1" si="409"/>
        <v>0.56185145527300218</v>
      </c>
      <c r="N454" s="45">
        <f t="shared" ca="1" si="410"/>
        <v>0.38424854472699788</v>
      </c>
      <c r="O454" s="46">
        <f t="shared" ca="1" si="378"/>
        <v>0.12638781995475012</v>
      </c>
      <c r="P454" s="46" t="str">
        <f t="shared" ca="1" si="379"/>
        <v>会</v>
      </c>
      <c r="Q454" s="45">
        <f t="shared" ca="1" si="380"/>
        <v>2.2624828854998791</v>
      </c>
      <c r="R454" s="117">
        <f ca="1">模拟模式!$E$20*(1-IF(模拟模式!$J$19="有",0.15,0))*(1-IF(模拟模式!$K$19="有",0.3,0)-IF(CQ454,0.5,0))</f>
        <v>843.02999999999975</v>
      </c>
      <c r="S454" s="45">
        <f ca="1">R454/(R454+(185*模拟模式!$E$22-16800)*4.08224)</f>
        <v>8.389626085980037E-2</v>
      </c>
      <c r="T454" s="45" t="str">
        <f ca="1">LOOKUP(D454,'模拟-单技能数据'!$A$2:$A$19,'模拟-单技能数据'!$H$2:$H$19)</f>
        <v>阳</v>
      </c>
      <c r="U454" s="119">
        <f t="shared" ca="1" si="411"/>
        <v>0.2</v>
      </c>
      <c r="V454" s="47">
        <f ca="1">(1+L454)*(LOOKUP(D454,'模拟-单技能数据'!$A$2:$A$19,'模拟-单技能数据'!$D$2:$D$19)+G454*LOOKUP(D454,'模拟-单技能数据'!$A$2:$A$19,'模拟-单技能数据'!$F$2:$F$19))*(1+J454)*(1+K454)*(1-S454)*(1+U454)*Q454*LOOKUP(D454,'模拟-单技能数据'!$A$2:$A$19,'模拟-单技能数据'!$I$2:$I$20)</f>
        <v>105861.05199666526</v>
      </c>
      <c r="W454" s="47">
        <f ca="1">LOOKUP(D454,'模拟-单技能数据'!$A$2:$A$19,'模拟-单技能数据'!$G$2:$G$19)*$I$10</f>
        <v>361.51064354704795</v>
      </c>
      <c r="X454" s="47">
        <f t="shared" ca="1" si="381"/>
        <v>9218.9345386263849</v>
      </c>
      <c r="Y454" s="47">
        <f t="shared" ca="1" si="412"/>
        <v>115441.4971788387</v>
      </c>
      <c r="Z454" s="49">
        <f t="shared" ca="1" si="413"/>
        <v>44824605.881967433</v>
      </c>
      <c r="AA454" s="97">
        <f t="shared" ca="1" si="414"/>
        <v>113794.75100618038</v>
      </c>
      <c r="AB454" s="115">
        <f ca="1">IF(OR(C454="赤日轮1",C454="赤日轮2",C454="赤日轮3"),IF(RAND()&lt;模拟模式!$Y$17,1,0),IF(OR(C454="幽月轮1",C454="幽月轮2",C454="幽月轮3"),IF(RAND()&lt;模拟模式!$Y$18,1,0),IF(C454="烈日斩",IF(RAND()&lt;模拟模式!$Y$19,1,0),IF(C454="银月斩",IF(RAND()&lt;模拟模式!$Y$20,1,0),IF(C454="驱夜断愁",IF(RAND()&lt;模拟模式!$Y$21,1,0),IF(C454="净世破魔击·日",IF(RAND()&lt;模拟模式!$Y$22,1,0),IF(C454="净世破魔击·月",IF(RAND()&lt;模拟模式!$Y$23,1,0),0)))))))</f>
        <v>1</v>
      </c>
      <c r="AC454" s="115" t="b">
        <f t="shared" ca="1" si="402"/>
        <v>0</v>
      </c>
      <c r="AD454" s="115" t="b">
        <f t="shared" ca="1" si="422"/>
        <v>1</v>
      </c>
      <c r="AE454" s="115">
        <f t="shared" ca="1" si="423"/>
        <v>4</v>
      </c>
      <c r="AF454" s="47">
        <f ca="1">IF(AC454,('模拟-单技能数据'!$D$20+G454*'模拟-单技能数据'!$F$20)*(1+J454)*(1+'模拟-单技能数据'!$J$20)*(1+U454),0)</f>
        <v>0</v>
      </c>
      <c r="AG454" s="61">
        <f t="shared" ca="1" si="415"/>
        <v>0.64185145527300214</v>
      </c>
      <c r="AH454" s="61">
        <f t="shared" ca="1" si="416"/>
        <v>2.2624828854998791</v>
      </c>
      <c r="AI454" s="62">
        <f t="shared" ca="1" si="382"/>
        <v>0.42176388525406605</v>
      </c>
      <c r="AJ454" s="47">
        <f ca="1">IF(AD454,IF(AI454&lt;$F$10,0,IF(AI454&lt;$F$10+$F$11,0.25,IF(AI454&lt;$F$10+$F$11+AG454,AH454,1)))*IF(AF454&gt;0,AF454,IF(AF453&gt;0,AF453,IF(AF452&gt;0,AF452,IF(AF451&gt;0,AF451,IF(AF450&gt;0,AF450,IF(AF449&gt;0,AF449,IF(AF448&gt;0,AF448,IF(AF447&gt;0,AF447,IF(AF446&gt;0,AF446,IF(AF444&gt;0,AF444,IF(AF443&gt;0,AF443,IF(AF442&gt;0,AF442,0)))))))))))),0)*(1-$S454)*'模拟-单技能数据'!$I$20</f>
        <v>9218.9345386263849</v>
      </c>
      <c r="AK454" s="115" t="b">
        <f t="shared" ca="1" si="403"/>
        <v>0</v>
      </c>
      <c r="AL454" s="115" t="b">
        <f t="shared" ca="1" si="424"/>
        <v>0</v>
      </c>
      <c r="AM454" s="115">
        <f t="shared" ca="1" si="425"/>
        <v>4</v>
      </c>
      <c r="AN454" s="47">
        <f ca="1">IF(AK454,('模拟-单技能数据'!$D$21+G454*'模拟-单技能数据'!$F$21)*(1+J454)*(1+'模拟-单技能数据'!$J$21)*(1+U454),0)</f>
        <v>0</v>
      </c>
      <c r="AO454" s="61">
        <f ca="1">IF(AN454&gt;0,M454-'模拟-单技能数据'!$K$10,AO453)</f>
        <v>0.42185145527300216</v>
      </c>
      <c r="AP454" s="61">
        <f ca="1">IF(AN454&gt;0,I454-'模拟-单技能数据'!$L$10,AP453)</f>
        <v>2.162482885499879</v>
      </c>
      <c r="AQ454" s="63">
        <f t="shared" ca="1" si="383"/>
        <v>0.84243900213433309</v>
      </c>
      <c r="AR454" s="64">
        <f ca="1">IF(AL454,IF(AQ454&lt;$F$10,0,IF(AQ454&lt;$F$10+$F$11,0.25,IF(AQ454&lt;$F$10+$F$11+AO454,AP454,1)))*IF(AN454&gt;0,AN454,IF(AN453&gt;0,AN453,IF(AN452&gt;0,AN452,IF(AN451&gt;0,AN451,IF(AN450&gt;0,AN450,IF(AN449&gt;0,AN449,IF(AN448&gt;0,AN448,IF(AN447&gt;0,AN447,IF(AN446&gt;0,AN446,IF(AN444&gt;0,AN444,IF(AN443&gt;0,AN443,IF(AN442&gt;0,AN442,0)))))))))))),0)*(1-$S454)*'模拟-单技能数据'!$I$21</f>
        <v>0</v>
      </c>
      <c r="AS454" s="61">
        <f ca="1">IF(OR(C454="净世破魔击·日",C454="净世破魔击·月"),M454-'模拟-单技能数据'!$K$10,0)</f>
        <v>0</v>
      </c>
      <c r="AT454" s="61">
        <f ca="1">IF(OR(C454="净世破魔击·日",C454="净世破魔击·月"),I454-'模拟-单技能数据'!$L$10,0)</f>
        <v>0</v>
      </c>
      <c r="AU454" s="62">
        <f t="shared" ca="1" si="384"/>
        <v>0.56785938641864719</v>
      </c>
      <c r="AV454" s="64">
        <f ca="1">IF(AS454&gt;0,('模拟-单技能数据'!$D$22+G454*'模拟-单技能数据'!$F$22)*(1+J454)*(1-S454)*IF(AU454&lt;$F$10,0,IF(AU454&lt;$F$10+$F$11,0.25,IF(AU454&lt;$F$10+$F$11+AS454,AT454,1)))*(1+U454),0)*'模拟-单技能数据'!$I$22</f>
        <v>0</v>
      </c>
      <c r="AW454" s="108">
        <f t="shared" ca="1" si="385"/>
        <v>3.3950000000000062</v>
      </c>
      <c r="AX454" s="108" t="b">
        <f ca="1">AND(模拟模式!$P$10="有",AW453=0,RAND()&lt;IF(C454="净世破魔击·月",0.1*8/3,IF(C454="净世破魔击·日",0.1*4/3,0.1*2/3)))</f>
        <v>0</v>
      </c>
      <c r="AY454" s="47">
        <f ca="1">IF(AX454,(18+G454*0.722)*(1+J454)*(1-S454)*(1+$I$4)*IF(P454="会",'模拟-全程加成'!$J$3+'模拟-全程加成'!$J$4+'模拟-全程加成'!$J$5+('模拟-全程加成'!$I$4+'模拟-全程加成'!$I$5)/系数!$B$4+BG454*10%,IF(P454="命",1,IF(P454="识",0.25,0))),0)</f>
        <v>0</v>
      </c>
      <c r="AZ454" s="108">
        <f t="shared" si="386"/>
        <v>11.697500000000005</v>
      </c>
      <c r="BA454" s="108" t="b">
        <f>AND(模拟模式!$Q$10="有",AZ453=0)</f>
        <v>0</v>
      </c>
      <c r="BB454" s="140">
        <f>IF(BA454,(0+G454*0.287)*(1+J454)*(1-S454)*(1+$I$4)*IF(P454="会",'模拟-全程加成'!$J$3+'模拟-全程加成'!$J$4+'模拟-全程加成'!$J$5+('模拟-全程加成'!$I$4+'模拟-全程加成'!$I$5)/系数!$B$4+BG454*10%,IF(P454="命",1,IF(P454="识",0.25,0))),0)</f>
        <v>0</v>
      </c>
      <c r="BC454" s="115" t="b">
        <f ca="1">AND(模拟模式!$R$7="伏明众生",E454=60,F454=20,DA454&lt;5,CZ453&lt;$F$4)</f>
        <v>0</v>
      </c>
      <c r="BD454" s="115">
        <f t="shared" ca="1" si="404"/>
        <v>0</v>
      </c>
      <c r="BE454" s="115" t="b">
        <f t="shared" ca="1" si="405"/>
        <v>0</v>
      </c>
      <c r="BF454" s="47">
        <f ca="1">IF(BC454,4*('模拟-单技能数据'!$D$24+G454*'模拟-单技能数据'!$F$24)*(1+J454)*(1+'模拟-单技能数据'!$J$24)*(1-S454)*(1+$I$3)*(('模拟-全程加成'!$J$3+'模拟-全程加成'!$J$4+'模拟-全程加成'!$J$5+('模拟-全程加成'!$I$4+'模拟-全程加成'!$I$5)/系数!$B$4+BG454*10%)*('模拟-全程加成'!$J$3+'模拟-全程加成'!$J$4+'模拟-全程加成'!$J$5+('模拟-全程加成'!$I$4+'模拟-全程加成'!$I$5)/系数!$B$4+BG454*10%)+(1-('模拟-全程加成'!$J$3+'模拟-全程加成'!$J$4+'模拟-全程加成'!$J$5+('模拟-全程加成'!$I$4+'模拟-全程加成'!$I$5)/系数!$B$4+BG454*10%)-$F$10-$F$11)+F440*0.25),0)*'模拟-单技能数据'!$I$24</f>
        <v>0</v>
      </c>
      <c r="BG454" s="115" t="b">
        <f ca="1">OR(AND(OR(C454="烈日斩",C454="银月斩"),模拟模式!$I$7="净身明礼"),AND(C454="净世破魔击·日",模拟模式!$J$7="洞若观火"),AND(C455="净世破魔击·月",模拟模式!$J$7="洞若观火"),AB454=1)</f>
        <v>1</v>
      </c>
      <c r="BH454" s="115" t="b">
        <f t="shared" ca="1" si="387"/>
        <v>0</v>
      </c>
      <c r="BI454" s="115">
        <f t="shared" ca="1" si="406"/>
        <v>0</v>
      </c>
      <c r="BJ454" s="115" t="b">
        <f t="shared" ca="1" si="417"/>
        <v>0</v>
      </c>
      <c r="BK454" s="115" t="b">
        <f ca="1">AND(C454="驱夜断愁",模拟模式!$P$7="天地诛戮")</f>
        <v>0</v>
      </c>
      <c r="BL454" s="57">
        <f t="shared" ca="1" si="407"/>
        <v>19.077500000000001</v>
      </c>
      <c r="BM454" s="115" t="b">
        <f t="shared" ca="1" si="418"/>
        <v>1</v>
      </c>
      <c r="BN454" s="115" t="b">
        <f ca="1">AND(OR(C454="赤日轮1",C454="赤日轮2",C454="赤日轮3",C454="幽月轮1",C454="幽月轮2",C454="幽月轮3"),AB454=1,模拟模式!$L$7="明光恒照")</f>
        <v>0</v>
      </c>
      <c r="BO454" s="117">
        <f t="shared" ca="1" si="408"/>
        <v>27.232500000000002</v>
      </c>
      <c r="BP454" s="115">
        <f t="shared" ca="1" si="388"/>
        <v>6</v>
      </c>
      <c r="BQ454" s="115" t="b">
        <f>模拟模式!$K$10="2600·水"</f>
        <v>0</v>
      </c>
      <c r="BR454" s="117">
        <f t="shared" si="389"/>
        <v>0</v>
      </c>
      <c r="BS454" s="115">
        <f t="shared" si="390"/>
        <v>0</v>
      </c>
      <c r="BT454" s="115">
        <f t="shared" ca="1" si="391"/>
        <v>0</v>
      </c>
      <c r="BU454" s="115" t="b">
        <f ca="1">AND(模拟模式!$K$10="2300·雷",BT453=0,RAND()&lt;IF(C454="净世破魔击·月",5*0.05*2/3,IF(C454="净世破魔击·日",3*0.05*2/3,0.05*2*2/3)))</f>
        <v>0</v>
      </c>
      <c r="BV454" s="115">
        <f t="shared" ca="1" si="392"/>
        <v>0</v>
      </c>
      <c r="BW454" s="115">
        <f t="shared" ca="1" si="393"/>
        <v>161.54999999999973</v>
      </c>
      <c r="BX454" s="164" t="b">
        <f t="shared" ca="1" si="394"/>
        <v>0</v>
      </c>
      <c r="BY454" s="115">
        <f t="shared" ca="1" si="395"/>
        <v>0</v>
      </c>
      <c r="BZ454" s="115">
        <f>IF(OR(模拟模式!$P$16="10人团",模拟模式!$P$16="25人团"),IF(B454/30&gt;CA453,1,0),0)</f>
        <v>0</v>
      </c>
      <c r="CA454" s="115">
        <f t="shared" si="371"/>
        <v>0</v>
      </c>
      <c r="CB454" s="115">
        <f ca="1">IF(BZ454=1,IF(模拟模式!$P$16="10人团",15,0)+IF(模拟模式!$P$16="25人团",IF(RAND()&lt;0.6,15,0)),MAX(0,CB453-$F$4))</f>
        <v>0</v>
      </c>
      <c r="CC454" s="115" t="b">
        <f t="shared" ca="1" si="419"/>
        <v>0</v>
      </c>
      <c r="CD454" s="115">
        <f>IF(模拟模式!$Q$16="1个",IF(B454/40&gt;CE453,1,0),0)</f>
        <v>0</v>
      </c>
      <c r="CE454" s="115">
        <f t="shared" si="420"/>
        <v>0</v>
      </c>
      <c r="CF454" s="115">
        <f>IF(OR(CD454=1,模拟模式!$Q$16="2个"),20,MAX(0,CF453-$F$4))</f>
        <v>0</v>
      </c>
      <c r="CG454" s="115" t="b">
        <f t="shared" si="421"/>
        <v>0</v>
      </c>
      <c r="CH454" s="115">
        <f t="shared" ca="1" si="396"/>
        <v>15.240000000000009</v>
      </c>
      <c r="CI454" s="115" t="b">
        <f t="shared" ca="1" si="397"/>
        <v>0</v>
      </c>
      <c r="CJ454" s="119">
        <f t="shared" ca="1" si="398"/>
        <v>0</v>
      </c>
      <c r="CK454" s="115">
        <f t="shared" ca="1" si="399"/>
        <v>0</v>
      </c>
      <c r="CL454" s="115" t="b">
        <f ca="1">AND(模拟模式!$S$7="驱夷逐法",OR(AND(C454="净世破魔击·月",E453&gt;59),AND(C454="净世破魔击·日",F453&gt;59)))</f>
        <v>0</v>
      </c>
      <c r="CM454" s="115" t="b">
        <f ca="1">OR(CL454,AND(C454="净世破魔击·日",CL453,RAND()&lt;模拟模式!$U$23))</f>
        <v>0</v>
      </c>
      <c r="CN454" s="115" t="b">
        <f ca="1">IF(模拟模式!$M$7="辉耀红尘",AND(C454="净世破魔击·月",CL454,CV454=0,E453&lt;80),AND(C454="净世破魔击·月",CL454,E453&lt;100))</f>
        <v>0</v>
      </c>
      <c r="CO454" s="115" t="b">
        <f t="shared" ca="1" si="372"/>
        <v>0</v>
      </c>
      <c r="CP454" s="115" t="b">
        <f ca="1">AND(模拟模式!$O$7="用晦而明",OR(C454="净世破魔击·日",C454="净世破魔击·月",C454="驱夜断愁"),AB454)</f>
        <v>0</v>
      </c>
      <c r="CQ454" s="115" t="b">
        <f ca="1">OR(CP454,AND(CP453,RAND()&lt;模拟模式!$U$23))</f>
        <v>1</v>
      </c>
      <c r="CR454" s="115" t="b">
        <f ca="1">AND(模拟模式!$S$7="日月齐光",OR(C454="幽月轮1",C454="幽月轮2",C454="幽月轮3",CR453),NOT(OR(C454="赤日轮1",C454="赤日轮2",C454="赤日轮3")))</f>
        <v>0</v>
      </c>
      <c r="CS454" s="115" t="b">
        <f ca="1">AND(模拟模式!$S$7="日月齐光",OR(C454="赤日轮1",C454="赤日轮2",C454="赤日轮3",CS453),NOT(OR(C454="幽月轮1",C454="幽月轮2",C454="幽月轮3")))</f>
        <v>0</v>
      </c>
      <c r="CT454" s="115">
        <f t="shared" ca="1" si="400"/>
        <v>0</v>
      </c>
      <c r="CU454" s="115" t="b">
        <f ca="1">AND(模拟模式!$K$10="阴阳往极",CT453=0,RAND()&lt;IF(C454="净世破魔击·月",0.0275*7/3,IF(C454="净世破魔击·日",0.0275*3/3,0.0275*2/3)))</f>
        <v>0</v>
      </c>
      <c r="CV454" s="115">
        <f t="shared" ca="1" si="401"/>
        <v>0</v>
      </c>
      <c r="CW454" s="115">
        <f t="shared" ca="1" si="373"/>
        <v>6</v>
      </c>
      <c r="CX454" s="115">
        <f t="shared" ca="1" si="374"/>
        <v>4.1549999999999994</v>
      </c>
      <c r="CY454" s="115">
        <f ca="1">MAX(IF($C454="驱夜断愁",IF(模拟模式!$R$7="万念俱寂",6,45),CY453-$F$4),0)</f>
        <v>5.0774999999999997</v>
      </c>
      <c r="CZ454" s="115">
        <f t="shared" ca="1" si="375"/>
        <v>0</v>
      </c>
      <c r="DA454" s="115">
        <f ca="1">IF(模拟模式!$N$7="日月同辉",IF(DB453=2,0,MIN(6,IF(AND(OR(C454="赤日轮1",C454="赤日轮2",C454="赤日轮3",C454="幽月轮1",C454="幽月轮2",C454="幽月轮3"),AB454=1),DA453+1,DA453))),0)</f>
        <v>2</v>
      </c>
      <c r="DB454" s="115">
        <f t="shared" ca="1" si="376"/>
        <v>0</v>
      </c>
      <c r="DC454" s="115"/>
      <c r="DD454" s="115"/>
      <c r="DE454" s="115"/>
      <c r="DF454" s="115"/>
      <c r="DG454" s="115"/>
      <c r="DH454" s="115"/>
      <c r="DI454" s="115"/>
      <c r="DJ454" s="115"/>
      <c r="DK454" s="115"/>
      <c r="DL454" s="115"/>
      <c r="DM454" s="115"/>
    </row>
    <row r="455" spans="2:117" x14ac:dyDescent="0.2">
      <c r="B455" s="117">
        <f t="shared" si="377"/>
        <v>394.83000000000385</v>
      </c>
      <c r="C455" s="167" t="str">
        <f t="shared" ca="1" si="370"/>
        <v>幽月轮1</v>
      </c>
      <c r="D455" s="115">
        <f ca="1">IF(C455="赤日轮1",1,IF(C455="赤日轮2",2,IF(C455="赤日轮3",3,IF(C455="幽月轮1",4,IF(C455="幽月轮2",5,IF(C455="幽月轮3",6,IF(C455="烈日斩",7,IF(C455="银月斩",8,IF(C455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455="净世破魔击·月",17,IF(C455="驱夜断愁",18,0)))))))))))</f>
        <v>4</v>
      </c>
      <c r="E455" s="115">
        <f ca="1">IF(AND(CU455,OR(C455="幽月轮1",C455="幽月轮2",C455="幽月轮3",C455="银月斩",C455="驱夜断愁",C455="净世破魔击·月")),100,MIN(IF(OR(CN455,BE455),0,IF(OR($C455="赤日轮1",$C455="赤日轮2",$C455="赤日轮3"),E454+20+IF(模拟模式!$I$7="日月凌天",4,0)+IF(CR454,20,0),IF($C455="烈日斩",E454+40,IF($C455="驱夜断愁",IF(模拟模式!$R$7="万念俱寂",E454+20,E454+60),IF($C455="净世破魔击·月",IF(OR(DB454&gt;0,CV454&gt;0),100,IF(模拟模式!$M$7="辉耀红尘",E454+20,E454)),IF($C455="净世破魔击·日",E454-100,E454)))))),100))</f>
        <v>80</v>
      </c>
      <c r="F455" s="115">
        <f ca="1">IF(AND(CU455,OR(C455="赤日轮1",C455="赤日轮2",C455="赤日轮3",C455="烈日斩",C455="净世破魔击·日")),100,MIN(IF(CO455,0,IF(OR($C455="幽月轮1",$C455="幽月轮2",$C455="幽月轮3"),F454+20+IF(模拟模式!$I$7="日月凌天",4,0)+IF(CS454,20,0),IF($C455="银月斩",F454+40+IF(模拟模式!$X$12=1,5,0),IF($C455="驱夜断愁",IF(模拟模式!$R$7="万念俱寂",F454+20,F454+60),IF($C455="净世破魔击·月",IF(模拟模式!$M$7="辉耀红尘",F454-80,F454-100),IF(AND(C455="净世破魔击·日",OR(DB454&gt;0,CV454&gt;0)),100,F454)))))),100))</f>
        <v>100</v>
      </c>
      <c r="G455" s="117">
        <f ca="1">('模拟-全程加成'!$E$3+'模拟-全程加成'!$E$4+'模拟-全程加成'!$E$5+('模拟-全程加成'!$C$6-'模拟-全程加成'!$C$3)*系数!$B$9+BS455*23)*(1+'模拟-全程加成'!$F$4+'模拟-全程加成'!$F$5+BJ455*10%+BM455*20%+BP455*4%+CG455*30%)+$F$7*系数!$B$12</f>
        <v>20583.127400000001</v>
      </c>
      <c r="H455" s="45">
        <f ca="1">'模拟-全程加成'!$H$3+'模拟-全程加成'!$H$4+'模拟-全程加成'!$H$5+('模拟-全程加成'!$G$4+'模拟-全程加成'!$G$5+('模拟-全程加成'!$C$6-'模拟-全程加成'!$C$3)*系数!$B$13)/系数!$B$3+LOOKUP(D455,'模拟-单技能数据'!$A$2:$A$19,'模拟-单技能数据'!$K$2:$K$19)+BG455*10%+IF(BV455&gt;0,378,0)</f>
        <v>0.51185145527300213</v>
      </c>
      <c r="I455" s="45">
        <f ca="1">'模拟-全程加成'!$J$3+'模拟-全程加成'!$J$4+'模拟-全程加成'!$J$5+('模拟-全程加成'!$I$4+'模拟-全程加成'!$I$5)/系数!$B$4+LOOKUP(D455,'模拟-单技能数据'!$A$2:$A$19,'模拟-单技能数据'!$L$2:$L$19)+BG455*10%</f>
        <v>2.162482885499879</v>
      </c>
      <c r="J455" s="45">
        <f ca="1">(('模拟-全程加成'!$K$3+'模拟-全程加成'!$K$4+'模拟-全程加成'!$K$5+('模拟-全程加成'!$C$6-'模拟-全程加成'!$C$3)*系数!$B$10+IF(BV455&gt;0,882,0)+IF(BY455&gt;0,1831,0))*(1+'模拟-全程加成'!$L$4+'模拟-全程加成'!$L$5+CC455*20%))/系数!$B$5</f>
        <v>0.69723220422048726</v>
      </c>
      <c r="K455" s="119">
        <f ca="1">LOOKUP(D455,'模拟-单技能数据'!$A$2:$A$19,'模拟-单技能数据'!$J$2:$J$19)+IF(CM455,60%,0)+IF(DB454-DB455&gt;0,30%,0)+IF(OR(AND(OR(C455="赤日轮1",C455="赤日轮2",C455="赤日轮3"),CR455),AND(OR(C455="幽月轮1",C455="幽月轮2",C455="幽月轮3"),CS455)),35%,0)+CJ455</f>
        <v>7.0000000000000007E-2</v>
      </c>
      <c r="L455" s="119">
        <f ca="1">IF(AND(C455="烈日斩",模拟模式!$X$11=1),10%,0)+IF(AND(C455="驱夜断愁",AB455=1),30%,0)</f>
        <v>0</v>
      </c>
      <c r="M455" s="45">
        <f t="shared" ca="1" si="409"/>
        <v>0.51185145527300213</v>
      </c>
      <c r="N455" s="45">
        <f t="shared" ca="1" si="410"/>
        <v>0.43424854472699792</v>
      </c>
      <c r="O455" s="46">
        <f t="shared" ca="1" si="378"/>
        <v>3.1341246257500233E-2</v>
      </c>
      <c r="P455" s="46" t="str">
        <f t="shared" ca="1" si="379"/>
        <v>识</v>
      </c>
      <c r="Q455" s="45">
        <f t="shared" ca="1" si="380"/>
        <v>0.25</v>
      </c>
      <c r="R455" s="117">
        <f ca="1">模拟模式!$E$20*(1-IF(模拟模式!$J$19="有",0.15,0))*(1-IF(模拟模式!$K$19="有",0.3,0)-IF(CQ455,0.5,0))</f>
        <v>2950.6049999999996</v>
      </c>
      <c r="S455" s="45">
        <f ca="1">R455/(R455+(185*模拟模式!$E$22-16800)*4.08224)</f>
        <v>0.24272716014590323</v>
      </c>
      <c r="T455" s="45" t="str">
        <f ca="1">LOOKUP(D455,'模拟-单技能数据'!$A$2:$A$19,'模拟-单技能数据'!$H$2:$H$19)</f>
        <v>阴</v>
      </c>
      <c r="U455" s="119">
        <f t="shared" ca="1" si="411"/>
        <v>0.08</v>
      </c>
      <c r="V455" s="47">
        <f ca="1">(1+L455)*(LOOKUP(D455,'模拟-单技能数据'!$A$2:$A$19,'模拟-单技能数据'!$D$2:$D$19)+G455*LOOKUP(D455,'模拟-单技能数据'!$A$2:$A$19,'模拟-单技能数据'!$F$2:$F$19))*(1+J455)*(1+K455)*(1-S455)*(1+U455)*Q455*LOOKUP(D455,'模拟-单技能数据'!$A$2:$A$19,'模拟-单技能数据'!$I$2:$I$20)</f>
        <v>4056.5545750795727</v>
      </c>
      <c r="W455" s="47">
        <f ca="1">LOOKUP(D455,'模拟-单技能数据'!$A$2:$A$19,'模拟-单技能数据'!$G$2:$G$19)*$I$10</f>
        <v>361.51064354704795</v>
      </c>
      <c r="X455" s="47">
        <f t="shared" ca="1" si="381"/>
        <v>22719.266935901054</v>
      </c>
      <c r="Y455" s="47">
        <f t="shared" ca="1" si="412"/>
        <v>27137.332154527674</v>
      </c>
      <c r="Z455" s="49">
        <f t="shared" ca="1" si="413"/>
        <v>44851743.21412196</v>
      </c>
      <c r="AA455" s="97">
        <f t="shared" ca="1" si="414"/>
        <v>113597.6071071639</v>
      </c>
      <c r="AB455" s="115">
        <f ca="1">IF(OR(C455="赤日轮1",C455="赤日轮2",C455="赤日轮3"),IF(RAND()&lt;模拟模式!$Y$17,1,0),IF(OR(C455="幽月轮1",C455="幽月轮2",C455="幽月轮3"),IF(RAND()&lt;模拟模式!$Y$18,1,0),IF(C455="烈日斩",IF(RAND()&lt;模拟模式!$Y$19,1,0),IF(C455="银月斩",IF(RAND()&lt;模拟模式!$Y$20,1,0),IF(C455="驱夜断愁",IF(RAND()&lt;模拟模式!$Y$21,1,0),IF(C455="净世破魔击·日",IF(RAND()&lt;模拟模式!$Y$22,1,0),IF(C455="净世破魔击·月",IF(RAND()&lt;模拟模式!$Y$23,1,0),0)))))))</f>
        <v>1</v>
      </c>
      <c r="AC455" s="115" t="b">
        <f t="shared" ca="1" si="402"/>
        <v>0</v>
      </c>
      <c r="AD455" s="115" t="b">
        <f t="shared" ca="1" si="422"/>
        <v>0</v>
      </c>
      <c r="AE455" s="115">
        <f t="shared" ca="1" si="423"/>
        <v>4</v>
      </c>
      <c r="AF455" s="47">
        <f ca="1">IF(AC455,('模拟-单技能数据'!$D$20+G455*'模拟-单技能数据'!$F$20)*(1+J455)*(1+'模拟-单技能数据'!$J$20)*(1+U455),0)</f>
        <v>0</v>
      </c>
      <c r="AG455" s="61">
        <f t="shared" ca="1" si="415"/>
        <v>0.64185145527300214</v>
      </c>
      <c r="AH455" s="61">
        <f t="shared" ca="1" si="416"/>
        <v>2.2624828854998791</v>
      </c>
      <c r="AI455" s="62">
        <f t="shared" ca="1" si="382"/>
        <v>0.47890265786929875</v>
      </c>
      <c r="AJ455" s="47">
        <f ca="1">IF(AD455,IF(AI455&lt;$F$10,0,IF(AI455&lt;$F$10+$F$11,0.25,IF(AI455&lt;$F$10+$F$11+AG455,AH455,1)))*IF(AF455&gt;0,AF455,IF(AF454&gt;0,AF454,IF(AF453&gt;0,AF453,IF(AF452&gt;0,AF452,IF(AF451&gt;0,AF451,IF(AF450&gt;0,AF450,IF(AF449&gt;0,AF449,IF(AF448&gt;0,AF448,IF(AF447&gt;0,AF447,IF(AF445&gt;0,AF445,IF(AF444&gt;0,AF444,IF(AF443&gt;0,AF443,0)))))))))))),0)*(1-$S455)*'模拟-单技能数据'!$I$20</f>
        <v>0</v>
      </c>
      <c r="AK455" s="115" t="b">
        <f t="shared" ca="1" si="403"/>
        <v>0</v>
      </c>
      <c r="AL455" s="115" t="b">
        <f t="shared" ca="1" si="424"/>
        <v>1</v>
      </c>
      <c r="AM455" s="115">
        <f t="shared" ca="1" si="425"/>
        <v>3</v>
      </c>
      <c r="AN455" s="47">
        <f ca="1">IF(AK455,('模拟-单技能数据'!$D$21+G455*'模拟-单技能数据'!$F$21)*(1+J455)*(1+'模拟-单技能数据'!$J$21)*(1+U455),0)</f>
        <v>0</v>
      </c>
      <c r="AO455" s="61">
        <f ca="1">IF(AN455&gt;0,M455-'模拟-单技能数据'!$K$10,AO454)</f>
        <v>0.42185145527300216</v>
      </c>
      <c r="AP455" s="61">
        <f ca="1">IF(AN455&gt;0,I455-'模拟-单技能数据'!$L$10,AP454)</f>
        <v>2.162482885499879</v>
      </c>
      <c r="AQ455" s="63">
        <f t="shared" ca="1" si="383"/>
        <v>7.6690251798238296E-2</v>
      </c>
      <c r="AR455" s="64">
        <f ca="1">IF(AL455,IF(AQ455&lt;$F$10,0,IF(AQ455&lt;$F$10+$F$11,0.25,IF(AQ455&lt;$F$10+$F$11+AO455,AP455,1)))*IF(AN455&gt;0,AN455,IF(AN454&gt;0,AN454,IF(AN453&gt;0,AN453,IF(AN452&gt;0,AN452,IF(AN451&gt;0,AN451,IF(AN450&gt;0,AN450,IF(AN449&gt;0,AN449,IF(AN448&gt;0,AN448,IF(AN447&gt;0,AN447,IF(AN445&gt;0,AN445,IF(AN444&gt;0,AN444,IF(AN443&gt;0,AN443,0)))))))))))),0)*(1-$S455)*'模拟-单技能数据'!$I$21</f>
        <v>22719.266935901054</v>
      </c>
      <c r="AS455" s="61">
        <f ca="1">IF(OR(C455="净世破魔击·日",C455="净世破魔击·月"),M455-'模拟-单技能数据'!$K$10,0)</f>
        <v>0</v>
      </c>
      <c r="AT455" s="61">
        <f ca="1">IF(OR(C455="净世破魔击·日",C455="净世破魔击·月"),I455-'模拟-单技能数据'!$L$10,0)</f>
        <v>0</v>
      </c>
      <c r="AU455" s="62">
        <f t="shared" ca="1" si="384"/>
        <v>0.95810639036505374</v>
      </c>
      <c r="AV455" s="64">
        <f ca="1">IF(AS455&gt;0,('模拟-单技能数据'!$D$22+G455*'模拟-单技能数据'!$F$22)*(1+J455)*(1-S455)*IF(AU455&lt;$F$10,0,IF(AU455&lt;$F$10+$F$11,0.25,IF(AU455&lt;$F$10+$F$11+AS455,AT455,1)))*(1+U455),0)*'模拟-单技能数据'!$I$22</f>
        <v>0</v>
      </c>
      <c r="AW455" s="108">
        <f t="shared" ca="1" si="385"/>
        <v>2.4725000000000064</v>
      </c>
      <c r="AX455" s="108" t="b">
        <f ca="1">AND(模拟模式!$P$10="有",AW454=0,RAND()&lt;IF(C455="净世破魔击·月",0.1*8/3,IF(C455="净世破魔击·日",0.1*4/3,0.1*2/3)))</f>
        <v>0</v>
      </c>
      <c r="AY455" s="47">
        <f ca="1">IF(AX455,(18+G455*0.722)*(1+J455)*(1-S455)*(1+$I$4)*IF(P455="会",'模拟-全程加成'!$J$3+'模拟-全程加成'!$J$4+'模拟-全程加成'!$J$5+('模拟-全程加成'!$I$4+'模拟-全程加成'!$I$5)/系数!$B$4+BG455*10%,IF(P455="命",1,IF(P455="识",0.25,0))),0)</f>
        <v>0</v>
      </c>
      <c r="AZ455" s="108">
        <f t="shared" si="386"/>
        <v>10.775000000000006</v>
      </c>
      <c r="BA455" s="108" t="b">
        <f>AND(模拟模式!$Q$10="有",AZ454=0)</f>
        <v>0</v>
      </c>
      <c r="BB455" s="140">
        <f>IF(BA455,(0+G455*0.287)*(1+J455)*(1-S455)*(1+$I$4)*IF(P455="会",'模拟-全程加成'!$J$3+'模拟-全程加成'!$J$4+'模拟-全程加成'!$J$5+('模拟-全程加成'!$I$4+'模拟-全程加成'!$I$5)/系数!$B$4+BG455*10%,IF(P455="命",1,IF(P455="识",0.25,0))),0)</f>
        <v>0</v>
      </c>
      <c r="BC455" s="115" t="b">
        <f ca="1">AND(模拟模式!$R$7="伏明众生",E455=60,F455=20,DA455&lt;5,CZ454&lt;$F$4)</f>
        <v>0</v>
      </c>
      <c r="BD455" s="115">
        <f t="shared" ca="1" si="404"/>
        <v>0</v>
      </c>
      <c r="BE455" s="115" t="b">
        <f t="shared" ca="1" si="405"/>
        <v>0</v>
      </c>
      <c r="BF455" s="47">
        <f ca="1">IF(BC455,4*('模拟-单技能数据'!$D$24+G455*'模拟-单技能数据'!$F$24)*(1+J455)*(1+'模拟-单技能数据'!$J$24)*(1-S455)*(1+$I$3)*(('模拟-全程加成'!$J$3+'模拟-全程加成'!$J$4+'模拟-全程加成'!$J$5+('模拟-全程加成'!$I$4+'模拟-全程加成'!$I$5)/系数!$B$4+BG455*10%)*('模拟-全程加成'!$J$3+'模拟-全程加成'!$J$4+'模拟-全程加成'!$J$5+('模拟-全程加成'!$I$4+'模拟-全程加成'!$I$5)/系数!$B$4+BG455*10%)+(1-('模拟-全程加成'!$J$3+'模拟-全程加成'!$J$4+'模拟-全程加成'!$J$5+('模拟-全程加成'!$I$4+'模拟-全程加成'!$I$5)/系数!$B$4+BG455*10%)-$F$10-$F$11)+F441*0.25),0)*'模拟-单技能数据'!$I$24</f>
        <v>0</v>
      </c>
      <c r="BG455" s="115" t="b">
        <f ca="1">OR(AND(OR(C455="烈日斩",C455="银月斩"),模拟模式!$I$7="净身明礼"),AND(C455="净世破魔击·日",模拟模式!$J$7="洞若观火"),AND(C456="净世破魔击·月",模拟模式!$J$7="洞若观火"),AB455=1)</f>
        <v>1</v>
      </c>
      <c r="BH455" s="115" t="b">
        <f t="shared" ca="1" si="387"/>
        <v>0</v>
      </c>
      <c r="BI455" s="115">
        <f t="shared" ca="1" si="406"/>
        <v>0</v>
      </c>
      <c r="BJ455" s="115" t="b">
        <f t="shared" ca="1" si="417"/>
        <v>0</v>
      </c>
      <c r="BK455" s="115" t="b">
        <f ca="1">AND(C455="驱夜断愁",模拟模式!$P$7="天地诛戮")</f>
        <v>0</v>
      </c>
      <c r="BL455" s="57">
        <f t="shared" ca="1" si="407"/>
        <v>18.155000000000001</v>
      </c>
      <c r="BM455" s="115" t="b">
        <f t="shared" ca="1" si="418"/>
        <v>1</v>
      </c>
      <c r="BN455" s="115" t="b">
        <f ca="1">AND(OR(C455="赤日轮1",C455="赤日轮2",C455="赤日轮3",C455="幽月轮1",C455="幽月轮2",C455="幽月轮3"),AB455=1,模拟模式!$L$7="明光恒照")</f>
        <v>1</v>
      </c>
      <c r="BO455" s="117">
        <f t="shared" ca="1" si="408"/>
        <v>30</v>
      </c>
      <c r="BP455" s="115">
        <f t="shared" ca="1" si="388"/>
        <v>6</v>
      </c>
      <c r="BQ455" s="115" t="b">
        <f>模拟模式!$K$10="2600·水"</f>
        <v>0</v>
      </c>
      <c r="BR455" s="117">
        <f t="shared" si="389"/>
        <v>0</v>
      </c>
      <c r="BS455" s="115">
        <f t="shared" si="390"/>
        <v>0</v>
      </c>
      <c r="BT455" s="115">
        <f t="shared" ca="1" si="391"/>
        <v>0</v>
      </c>
      <c r="BU455" s="115" t="b">
        <f ca="1">AND(模拟模式!$K$10="2300·雷",BT454=0,RAND()&lt;IF(C455="净世破魔击·月",5*0.05*2/3,IF(C455="净世破魔击·日",3*0.05*2/3,0.05*2*2/3)))</f>
        <v>0</v>
      </c>
      <c r="BV455" s="115">
        <f t="shared" ca="1" si="392"/>
        <v>0</v>
      </c>
      <c r="BW455" s="115">
        <f t="shared" ca="1" si="393"/>
        <v>160.62749999999971</v>
      </c>
      <c r="BX455" s="164" t="b">
        <f t="shared" ca="1" si="394"/>
        <v>0</v>
      </c>
      <c r="BY455" s="115">
        <f t="shared" ca="1" si="395"/>
        <v>0</v>
      </c>
      <c r="BZ455" s="115">
        <f>IF(OR(模拟模式!$P$16="10人团",模拟模式!$P$16="25人团"),IF(B455/30&gt;CA454,1,0),0)</f>
        <v>0</v>
      </c>
      <c r="CA455" s="115">
        <f t="shared" si="371"/>
        <v>0</v>
      </c>
      <c r="CB455" s="115">
        <f ca="1">IF(BZ455=1,IF(模拟模式!$P$16="10人团",15,0)+IF(模拟模式!$P$16="25人团",IF(RAND()&lt;0.6,15,0)),MAX(0,CB454-$F$4))</f>
        <v>0</v>
      </c>
      <c r="CC455" s="115" t="b">
        <f t="shared" ca="1" si="419"/>
        <v>0</v>
      </c>
      <c r="CD455" s="115">
        <f>IF(模拟模式!$Q$16="1个",IF(B455/40&gt;CE454,1,0),0)</f>
        <v>0</v>
      </c>
      <c r="CE455" s="115">
        <f t="shared" si="420"/>
        <v>0</v>
      </c>
      <c r="CF455" s="115">
        <f>IF(OR(CD455=1,模拟模式!$Q$16="2个"),20,MAX(0,CF454-$F$4))</f>
        <v>0</v>
      </c>
      <c r="CG455" s="115" t="b">
        <f t="shared" si="421"/>
        <v>0</v>
      </c>
      <c r="CH455" s="115">
        <f t="shared" ca="1" si="396"/>
        <v>14.31750000000001</v>
      </c>
      <c r="CI455" s="115" t="b">
        <f t="shared" ca="1" si="397"/>
        <v>0</v>
      </c>
      <c r="CJ455" s="119">
        <f t="shared" ca="1" si="398"/>
        <v>0</v>
      </c>
      <c r="CK455" s="115">
        <f t="shared" ca="1" si="399"/>
        <v>0</v>
      </c>
      <c r="CL455" s="115" t="b">
        <f ca="1">AND(模拟模式!$S$7="驱夷逐法",OR(AND(C455="净世破魔击·月",E454&gt;59),AND(C455="净世破魔击·日",F454&gt;59)))</f>
        <v>0</v>
      </c>
      <c r="CM455" s="115" t="b">
        <f ca="1">OR(CL455,AND(C455="净世破魔击·日",CL454,RAND()&lt;模拟模式!$U$23))</f>
        <v>0</v>
      </c>
      <c r="CN455" s="115" t="b">
        <f ca="1">IF(模拟模式!$M$7="辉耀红尘",AND(C455="净世破魔击·月",CL455,CV455=0,E454&lt;80),AND(C455="净世破魔击·月",CL455,E454&lt;100))</f>
        <v>0</v>
      </c>
      <c r="CO455" s="115" t="b">
        <f t="shared" ca="1" si="372"/>
        <v>0</v>
      </c>
      <c r="CP455" s="115" t="b">
        <f ca="1">AND(模拟模式!$O$7="用晦而明",OR(C455="净世破魔击·日",C455="净世破魔击·月",C455="驱夜断愁"),AB455)</f>
        <v>0</v>
      </c>
      <c r="CQ455" s="115" t="b">
        <f ca="1">OR(CP455,AND(CP454,RAND()&lt;模拟模式!$U$23))</f>
        <v>0</v>
      </c>
      <c r="CR455" s="115" t="b">
        <f ca="1">AND(模拟模式!$S$7="日月齐光",OR(C455="幽月轮1",C455="幽月轮2",C455="幽月轮3",CR454),NOT(OR(C455="赤日轮1",C455="赤日轮2",C455="赤日轮3")))</f>
        <v>0</v>
      </c>
      <c r="CS455" s="115" t="b">
        <f ca="1">AND(模拟模式!$S$7="日月齐光",OR(C455="赤日轮1",C455="赤日轮2",C455="赤日轮3",CS454),NOT(OR(C455="幽月轮1",C455="幽月轮2",C455="幽月轮3")))</f>
        <v>0</v>
      </c>
      <c r="CT455" s="115">
        <f t="shared" ca="1" si="400"/>
        <v>0</v>
      </c>
      <c r="CU455" s="115" t="b">
        <f ca="1">AND(模拟模式!$K$10="阴阳往极",CT454=0,RAND()&lt;IF(C455="净世破魔击·月",0.0275*7/3,IF(C455="净世破魔击·日",0.0275*3/3,0.0275*2/3)))</f>
        <v>0</v>
      </c>
      <c r="CV455" s="115">
        <f t="shared" ca="1" si="401"/>
        <v>0</v>
      </c>
      <c r="CW455" s="115">
        <f t="shared" ca="1" si="373"/>
        <v>5.0774999999999997</v>
      </c>
      <c r="CX455" s="115">
        <f t="shared" ca="1" si="374"/>
        <v>3.2324999999999995</v>
      </c>
      <c r="CY455" s="115">
        <f ca="1">MAX(IF($C455="驱夜断愁",IF(模拟模式!$R$7="万念俱寂",6,45),CY454-$F$4),0)</f>
        <v>4.1549999999999994</v>
      </c>
      <c r="CZ455" s="115">
        <f t="shared" ca="1" si="375"/>
        <v>0</v>
      </c>
      <c r="DA455" s="115">
        <f ca="1">IF(模拟模式!$N$7="日月同辉",IF(DB454=2,0,MIN(6,IF(AND(OR(C455="赤日轮1",C455="赤日轮2",C455="赤日轮3",C455="幽月轮1",C455="幽月轮2",C455="幽月轮3"),AB455=1),DA454+1,DA454))),0)</f>
        <v>3</v>
      </c>
      <c r="DB455" s="115">
        <f t="shared" ca="1" si="376"/>
        <v>0</v>
      </c>
      <c r="DC455" s="115"/>
      <c r="DD455" s="115"/>
      <c r="DE455" s="115"/>
      <c r="DF455" s="115"/>
      <c r="DG455" s="115"/>
      <c r="DH455" s="115"/>
      <c r="DI455" s="115"/>
      <c r="DJ455" s="115"/>
      <c r="DK455" s="115"/>
      <c r="DL455" s="115"/>
      <c r="DM455" s="115"/>
    </row>
    <row r="456" spans="2:117" x14ac:dyDescent="0.2">
      <c r="B456" s="117">
        <f t="shared" si="377"/>
        <v>395.75250000000386</v>
      </c>
      <c r="C456" s="167" t="str">
        <f t="shared" ca="1" si="370"/>
        <v>净世破魔击·月</v>
      </c>
      <c r="D456" s="115">
        <f ca="1">IF(C456="赤日轮1",1,IF(C456="赤日轮2",2,IF(C456="赤日轮3",3,IF(C456="幽月轮1",4,IF(C456="幽月轮2",5,IF(C456="幽月轮3",6,IF(C456="烈日斩",7,IF(C456="银月斩",8,IF(C456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456="净世破魔击·月",17,IF(C456="驱夜断愁",18,0)))))))))))</f>
        <v>17</v>
      </c>
      <c r="E456" s="115">
        <f ca="1">IF(AND(CU456,OR(C456="幽月轮1",C456="幽月轮2",C456="幽月轮3",C456="银月斩",C456="驱夜断愁",C456="净世破魔击·月")),100,MIN(IF(OR(CN456,BE456),0,IF(OR($C456="赤日轮1",$C456="赤日轮2",$C456="赤日轮3"),E455+20+IF(模拟模式!$I$7="日月凌天",4,0)+IF(CR455,20,0),IF($C456="烈日斩",E455+40,IF($C456="驱夜断愁",IF(模拟模式!$R$7="万念俱寂",E455+20,E455+60),IF($C456="净世破魔击·月",IF(OR(DB455&gt;0,CV455&gt;0),100,IF(模拟模式!$M$7="辉耀红尘",E455+20,E455)),IF($C456="净世破魔击·日",E455-100,E455)))))),100))</f>
        <v>100</v>
      </c>
      <c r="F456" s="115">
        <f ca="1">IF(AND(CU456,OR(C456="赤日轮1",C456="赤日轮2",C456="赤日轮3",C456="烈日斩",C456="净世破魔击·日")),100,MIN(IF(CO456,0,IF(OR($C456="幽月轮1",$C456="幽月轮2",$C456="幽月轮3"),F455+20+IF(模拟模式!$I$7="日月凌天",4,0)+IF(CS455,20,0),IF($C456="银月斩",F455+40+IF(模拟模式!$X$12=1,5,0),IF($C456="驱夜断愁",IF(模拟模式!$R$7="万念俱寂",F455+20,F455+60),IF($C456="净世破魔击·月",IF(模拟模式!$M$7="辉耀红尘",F455-80,F455-100),IF(AND(C456="净世破魔击·日",OR(DB455&gt;0,CV455&gt;0)),100,F455)))))),100))</f>
        <v>20</v>
      </c>
      <c r="G456" s="117">
        <f ca="1">('模拟-全程加成'!$E$3+'模拟-全程加成'!$E$4+'模拟-全程加成'!$E$5+('模拟-全程加成'!$C$6-'模拟-全程加成'!$C$3)*系数!$B$9+BS456*23)*(1+'模拟-全程加成'!$F$4+'模拟-全程加成'!$F$5+BJ456*10%+BM456*20%+BP456*4%+CG456*30%)+$F$7*系数!$B$12</f>
        <v>20583.127400000001</v>
      </c>
      <c r="H456" s="45">
        <f ca="1">'模拟-全程加成'!$H$3+'模拟-全程加成'!$H$4+'模拟-全程加成'!$H$5+('模拟-全程加成'!$G$4+'模拟-全程加成'!$G$5+('模拟-全程加成'!$C$6-'模拟-全程加成'!$C$3)*系数!$B$13)/系数!$B$3+LOOKUP(D456,'模拟-单技能数据'!$A$2:$A$19,'模拟-单技能数据'!$K$2:$K$19)+BG456*10%+IF(BV456&gt;0,378,0)</f>
        <v>0.54185145527300216</v>
      </c>
      <c r="I456" s="45">
        <f ca="1">'模拟-全程加成'!$J$3+'模拟-全程加成'!$J$4+'模拟-全程加成'!$J$5+('模拟-全程加成'!$I$4+'模拟-全程加成'!$I$5)/系数!$B$4+LOOKUP(D456,'模拟-单技能数据'!$A$2:$A$19,'模拟-单技能数据'!$L$2:$L$19)+BG456*10%</f>
        <v>2.162482885499879</v>
      </c>
      <c r="J456" s="45">
        <f ca="1">(('模拟-全程加成'!$K$3+'模拟-全程加成'!$K$4+'模拟-全程加成'!$K$5+('模拟-全程加成'!$C$6-'模拟-全程加成'!$C$3)*系数!$B$10+IF(BV456&gt;0,882,0)+IF(BY456&gt;0,1831,0))*(1+'模拟-全程加成'!$L$4+'模拟-全程加成'!$L$5+CC456*20%))/系数!$B$5</f>
        <v>0.69723220422048726</v>
      </c>
      <c r="K456" s="119">
        <f ca="1">LOOKUP(D456,'模拟-单技能数据'!$A$2:$A$19,'模拟-单技能数据'!$J$2:$J$19)+IF(CM456,60%,0)+IF(DB455-DB456&gt;0,30%,0)+IF(OR(AND(OR(C456="赤日轮1",C456="赤日轮2",C456="赤日轮3"),CR456),AND(OR(C456="幽月轮1",C456="幽月轮2",C456="幽月轮3"),CS456)),35%,0)+CJ456</f>
        <v>0.8</v>
      </c>
      <c r="L456" s="119">
        <f ca="1">IF(AND(C456="烈日斩",模拟模式!$X$11=1),10%,0)+IF(AND(C456="驱夜断愁",AB456=1),30%,0)</f>
        <v>0</v>
      </c>
      <c r="M456" s="45">
        <f t="shared" ca="1" si="409"/>
        <v>0.54185145527300216</v>
      </c>
      <c r="N456" s="45">
        <f t="shared" ca="1" si="410"/>
        <v>0.40424854472699789</v>
      </c>
      <c r="O456" s="46">
        <f t="shared" ca="1" si="378"/>
        <v>3.7239801928416916E-2</v>
      </c>
      <c r="P456" s="46" t="str">
        <f t="shared" ca="1" si="379"/>
        <v>识</v>
      </c>
      <c r="Q456" s="45">
        <f t="shared" ca="1" si="380"/>
        <v>0.25</v>
      </c>
      <c r="R456" s="117">
        <f ca="1">模拟模式!$E$20*(1-IF(模拟模式!$J$19="有",0.15,0))*(1-IF(模拟模式!$K$19="有",0.3,0)-IF(CQ456,0.5,0))</f>
        <v>843.02999999999975</v>
      </c>
      <c r="S456" s="45">
        <f ca="1">R456/(R456+(185*模拟模式!$E$22-16800)*4.08224)</f>
        <v>8.389626085980037E-2</v>
      </c>
      <c r="T456" s="45" t="str">
        <f ca="1">LOOKUP(D456,'模拟-单技能数据'!$A$2:$A$19,'模拟-单技能数据'!$H$2:$H$19)</f>
        <v>阴</v>
      </c>
      <c r="U456" s="119">
        <f t="shared" ca="1" si="411"/>
        <v>0.08</v>
      </c>
      <c r="V456" s="47">
        <f ca="1">(1+L456)*(LOOKUP(D456,'模拟-单技能数据'!$A$2:$A$19,'模拟-单技能数据'!$D$2:$D$19)+G456*LOOKUP(D456,'模拟-单技能数据'!$A$2:$A$19,'模拟-单技能数据'!$F$2:$F$19))*(1+J456)*(1+K456)*(1-S456)*(1+U456)*Q456*LOOKUP(D456,'模拟-单技能数据'!$A$2:$A$19,'模拟-单技能数据'!$I$2:$I$20)</f>
        <v>20216.155389563617</v>
      </c>
      <c r="W456" s="47">
        <f ca="1">LOOKUP(D456,'模拟-单技能数据'!$A$2:$A$19,'模拟-单技能数据'!$G$2:$G$19)*$I$10</f>
        <v>361.51064354704795</v>
      </c>
      <c r="X456" s="47">
        <f t="shared" ca="1" si="381"/>
        <v>16858.386290731236</v>
      </c>
      <c r="Y456" s="47">
        <f t="shared" ca="1" si="412"/>
        <v>37436.052323841897</v>
      </c>
      <c r="Z456" s="49">
        <f t="shared" ca="1" si="413"/>
        <v>44889179.266445801</v>
      </c>
      <c r="AA456" s="97">
        <f t="shared" ca="1" si="414"/>
        <v>113427.40542749663</v>
      </c>
      <c r="AB456" s="115">
        <f ca="1">IF(OR(C456="赤日轮1",C456="赤日轮2",C456="赤日轮3"),IF(RAND()&lt;模拟模式!$Y$17,1,0),IF(OR(C456="幽月轮1",C456="幽月轮2",C456="幽月轮3"),IF(RAND()&lt;模拟模式!$Y$18,1,0),IF(C456="烈日斩",IF(RAND()&lt;模拟模式!$Y$19,1,0),IF(C456="银月斩",IF(RAND()&lt;模拟模式!$Y$20,1,0),IF(C456="驱夜断愁",IF(RAND()&lt;模拟模式!$Y$21,1,0),IF(C456="净世破魔击·日",IF(RAND()&lt;模拟模式!$Y$22,1,0),IF(C456="净世破魔击·月",IF(RAND()&lt;模拟模式!$Y$23,1,0),0)))))))</f>
        <v>1</v>
      </c>
      <c r="AC456" s="115" t="b">
        <f t="shared" ca="1" si="402"/>
        <v>0</v>
      </c>
      <c r="AD456" s="115" t="b">
        <f t="shared" ca="1" si="422"/>
        <v>1</v>
      </c>
      <c r="AE456" s="115">
        <f t="shared" ca="1" si="423"/>
        <v>3</v>
      </c>
      <c r="AF456" s="47">
        <f ca="1">IF(AC456,('模拟-单技能数据'!$D$20+G456*'模拟-单技能数据'!$F$20)*(1+J456)*(1+'模拟-单技能数据'!$J$20)*(1+U456),0)</f>
        <v>0</v>
      </c>
      <c r="AG456" s="61">
        <f t="shared" ca="1" si="415"/>
        <v>0.64185145527300214</v>
      </c>
      <c r="AH456" s="61">
        <f t="shared" ca="1" si="416"/>
        <v>2.2624828854998791</v>
      </c>
      <c r="AI456" s="62">
        <f t="shared" ca="1" si="382"/>
        <v>9.6859510211200206E-2</v>
      </c>
      <c r="AJ456" s="47">
        <f ca="1">IF(AD456,IF(AI456&lt;$F$10,0,IF(AI456&lt;$F$10+$F$11,0.25,IF(AI456&lt;$F$10+$F$11+AG456,AH456,1)))*IF(AF456&gt;0,AF456,IF(AF455&gt;0,AF455,IF(AF454&gt;0,AF454,IF(AF453&gt;0,AF453,IF(AF452&gt;0,AF452,IF(AF451&gt;0,AF451,IF(AF450&gt;0,AF450,IF(AF449&gt;0,AF449,IF(AF448&gt;0,AF448,IF(AF446&gt;0,AF446,IF(AF445&gt;0,AF445,IF(AF444&gt;0,AF444,0)))))))))))),0)*(1-$S456)*'模拟-单技能数据'!$I$20</f>
        <v>9218.9345386263849</v>
      </c>
      <c r="AK456" s="115" t="b">
        <f t="shared" ca="1" si="403"/>
        <v>0</v>
      </c>
      <c r="AL456" s="115" t="b">
        <f t="shared" ca="1" si="424"/>
        <v>0</v>
      </c>
      <c r="AM456" s="115">
        <f t="shared" ca="1" si="425"/>
        <v>3</v>
      </c>
      <c r="AN456" s="47">
        <f ca="1">IF(AK456,('模拟-单技能数据'!$D$21+G456*'模拟-单技能数据'!$F$21)*(1+J456)*(1+'模拟-单技能数据'!$J$21)*(1+U456),0)</f>
        <v>0</v>
      </c>
      <c r="AO456" s="61">
        <f ca="1">IF(AN456&gt;0,M456-'模拟-单技能数据'!$K$10,AO455)</f>
        <v>0.42185145527300216</v>
      </c>
      <c r="AP456" s="61">
        <f ca="1">IF(AN456&gt;0,I456-'模拟-单技能数据'!$L$10,AP455)</f>
        <v>2.162482885499879</v>
      </c>
      <c r="AQ456" s="63">
        <f t="shared" ca="1" si="383"/>
        <v>0.85453666921559457</v>
      </c>
      <c r="AR456" s="64">
        <f ca="1">IF(AL456,IF(AQ456&lt;$F$10,0,IF(AQ456&lt;$F$10+$F$11,0.25,IF(AQ456&lt;$F$10+$F$11+AO456,AP456,1)))*IF(AN456&gt;0,AN456,IF(AN455&gt;0,AN455,IF(AN454&gt;0,AN454,IF(AN453&gt;0,AN453,IF(AN452&gt;0,AN452,IF(AN451&gt;0,AN451,IF(AN450&gt;0,AN450,IF(AN449&gt;0,AN449,IF(AN448&gt;0,AN448,IF(AN446&gt;0,AN446,IF(AN445&gt;0,AN445,IF(AN444&gt;0,AN444,0)))))))))))),0)*(1-$S456)*'模拟-单技能数据'!$I$21</f>
        <v>0</v>
      </c>
      <c r="AS456" s="61">
        <f ca="1">IF(OR(C456="净世破魔击·日",C456="净世破魔击·月"),M456-'模拟-单技能数据'!$K$10,0)</f>
        <v>0.42185145527300216</v>
      </c>
      <c r="AT456" s="61">
        <f ca="1">IF(OR(C456="净世破魔击·日",C456="净世破魔击·月"),I456-'模拟-单技能数据'!$L$10,0)</f>
        <v>2.162482885499879</v>
      </c>
      <c r="AU456" s="62">
        <f t="shared" ca="1" si="384"/>
        <v>0.8805138577020436</v>
      </c>
      <c r="AV456" s="64">
        <f ca="1">IF(AS456&gt;0,('模拟-单技能数据'!$D$22+G456*'模拟-单技能数据'!$F$22)*(1+J456)*(1-S456)*IF(AU456&lt;$F$10,0,IF(AU456&lt;$F$10+$F$11,0.25,IF(AU456&lt;$F$10+$F$11+AS456,AT456,1)))*(1+U456),0)*'模拟-单技能数据'!$I$22</f>
        <v>7639.4517521048492</v>
      </c>
      <c r="AW456" s="108">
        <f t="shared" ca="1" si="385"/>
        <v>1.5500000000000065</v>
      </c>
      <c r="AX456" s="108" t="b">
        <f ca="1">AND(模拟模式!$P$10="有",AW455=0,RAND()&lt;IF(C456="净世破魔击·月",0.1*8/3,IF(C456="净世破魔击·日",0.1*4/3,0.1*2/3)))</f>
        <v>0</v>
      </c>
      <c r="AY456" s="47">
        <f ca="1">IF(AX456,(18+G456*0.722)*(1+J456)*(1-S456)*(1+$I$4)*IF(P456="会",'模拟-全程加成'!$J$3+'模拟-全程加成'!$J$4+'模拟-全程加成'!$J$5+('模拟-全程加成'!$I$4+'模拟-全程加成'!$I$5)/系数!$B$4+BG456*10%,IF(P456="命",1,IF(P456="识",0.25,0))),0)</f>
        <v>0</v>
      </c>
      <c r="AZ456" s="108">
        <f t="shared" si="386"/>
        <v>9.8525000000000063</v>
      </c>
      <c r="BA456" s="108" t="b">
        <f>AND(模拟模式!$Q$10="有",AZ455=0)</f>
        <v>0</v>
      </c>
      <c r="BB456" s="140">
        <f>IF(BA456,(0+G456*0.287)*(1+J456)*(1-S456)*(1+$I$4)*IF(P456="会",'模拟-全程加成'!$J$3+'模拟-全程加成'!$J$4+'模拟-全程加成'!$J$5+('模拟-全程加成'!$I$4+'模拟-全程加成'!$I$5)/系数!$B$4+BG456*10%,IF(P456="命",1,IF(P456="识",0.25,0))),0)</f>
        <v>0</v>
      </c>
      <c r="BC456" s="115" t="b">
        <f ca="1">AND(模拟模式!$R$7="伏明众生",E456=60,F456=20,DA456&lt;5,CZ455&lt;$F$4)</f>
        <v>0</v>
      </c>
      <c r="BD456" s="115">
        <f t="shared" ca="1" si="404"/>
        <v>0</v>
      </c>
      <c r="BE456" s="115" t="b">
        <f t="shared" ca="1" si="405"/>
        <v>0</v>
      </c>
      <c r="BF456" s="47">
        <f ca="1">IF(BC456,4*('模拟-单技能数据'!$D$24+G456*'模拟-单技能数据'!$F$24)*(1+J456)*(1+'模拟-单技能数据'!$J$24)*(1-S456)*(1+$I$3)*(('模拟-全程加成'!$J$3+'模拟-全程加成'!$J$4+'模拟-全程加成'!$J$5+('模拟-全程加成'!$I$4+'模拟-全程加成'!$I$5)/系数!$B$4+BG456*10%)*('模拟-全程加成'!$J$3+'模拟-全程加成'!$J$4+'模拟-全程加成'!$J$5+('模拟-全程加成'!$I$4+'模拟-全程加成'!$I$5)/系数!$B$4+BG456*10%)+(1-('模拟-全程加成'!$J$3+'模拟-全程加成'!$J$4+'模拟-全程加成'!$J$5+('模拟-全程加成'!$I$4+'模拟-全程加成'!$I$5)/系数!$B$4+BG456*10%)-$F$10-$F$11)+F442*0.25),0)*'模拟-单技能数据'!$I$24</f>
        <v>0</v>
      </c>
      <c r="BG456" s="115" t="b">
        <f ca="1">OR(AND(OR(C456="烈日斩",C456="银月斩"),模拟模式!$I$7="净身明礼"),AND(C456="净世破魔击·日",模拟模式!$J$7="洞若观火"),AND(C457="净世破魔击·月",模拟模式!$J$7="洞若观火"),AB456=1)</f>
        <v>1</v>
      </c>
      <c r="BH456" s="115" t="b">
        <f t="shared" ca="1" si="387"/>
        <v>0</v>
      </c>
      <c r="BI456" s="115">
        <f t="shared" ca="1" si="406"/>
        <v>0</v>
      </c>
      <c r="BJ456" s="115" t="b">
        <f t="shared" ca="1" si="417"/>
        <v>0</v>
      </c>
      <c r="BK456" s="115" t="b">
        <f ca="1">AND(C456="驱夜断愁",模拟模式!$P$7="天地诛戮")</f>
        <v>0</v>
      </c>
      <c r="BL456" s="57">
        <f t="shared" ca="1" si="407"/>
        <v>17.232500000000002</v>
      </c>
      <c r="BM456" s="115" t="b">
        <f t="shared" ca="1" si="418"/>
        <v>1</v>
      </c>
      <c r="BN456" s="115" t="b">
        <f ca="1">AND(OR(C456="赤日轮1",C456="赤日轮2",C456="赤日轮3",C456="幽月轮1",C456="幽月轮2",C456="幽月轮3"),AB456=1,模拟模式!$L$7="明光恒照")</f>
        <v>0</v>
      </c>
      <c r="BO456" s="117">
        <f t="shared" ca="1" si="408"/>
        <v>29.077500000000001</v>
      </c>
      <c r="BP456" s="115">
        <f t="shared" ca="1" si="388"/>
        <v>6</v>
      </c>
      <c r="BQ456" s="115" t="b">
        <f>模拟模式!$K$10="2600·水"</f>
        <v>0</v>
      </c>
      <c r="BR456" s="117">
        <f t="shared" si="389"/>
        <v>0</v>
      </c>
      <c r="BS456" s="115">
        <f t="shared" si="390"/>
        <v>0</v>
      </c>
      <c r="BT456" s="115">
        <f t="shared" ca="1" si="391"/>
        <v>0</v>
      </c>
      <c r="BU456" s="115" t="b">
        <f ca="1">AND(模拟模式!$K$10="2300·雷",BT455=0,RAND()&lt;IF(C456="净世破魔击·月",5*0.05*2/3,IF(C456="净世破魔击·日",3*0.05*2/3,0.05*2*2/3)))</f>
        <v>0</v>
      </c>
      <c r="BV456" s="115">
        <f t="shared" ca="1" si="392"/>
        <v>0</v>
      </c>
      <c r="BW456" s="115">
        <f t="shared" ca="1" si="393"/>
        <v>159.7049999999997</v>
      </c>
      <c r="BX456" s="164" t="b">
        <f t="shared" ca="1" si="394"/>
        <v>0</v>
      </c>
      <c r="BY456" s="115">
        <f t="shared" ca="1" si="395"/>
        <v>0</v>
      </c>
      <c r="BZ456" s="115">
        <f>IF(OR(模拟模式!$P$16="10人团",模拟模式!$P$16="25人团"),IF(B456/30&gt;CA455,1,0),0)</f>
        <v>0</v>
      </c>
      <c r="CA456" s="115">
        <f t="shared" si="371"/>
        <v>0</v>
      </c>
      <c r="CB456" s="115">
        <f ca="1">IF(BZ456=1,IF(模拟模式!$P$16="10人团",15,0)+IF(模拟模式!$P$16="25人团",IF(RAND()&lt;0.6,15,0)),MAX(0,CB455-$F$4))</f>
        <v>0</v>
      </c>
      <c r="CC456" s="115" t="b">
        <f t="shared" ca="1" si="419"/>
        <v>0</v>
      </c>
      <c r="CD456" s="115">
        <f>IF(模拟模式!$Q$16="1个",IF(B456/40&gt;CE455,1,0),0)</f>
        <v>0</v>
      </c>
      <c r="CE456" s="115">
        <f t="shared" si="420"/>
        <v>0</v>
      </c>
      <c r="CF456" s="115">
        <f>IF(OR(CD456=1,模拟模式!$Q$16="2个"),20,MAX(0,CF455-$F$4))</f>
        <v>0</v>
      </c>
      <c r="CG456" s="115" t="b">
        <f t="shared" si="421"/>
        <v>0</v>
      </c>
      <c r="CH456" s="115">
        <f t="shared" ca="1" si="396"/>
        <v>13.39500000000001</v>
      </c>
      <c r="CI456" s="115" t="b">
        <f t="shared" ca="1" si="397"/>
        <v>0</v>
      </c>
      <c r="CJ456" s="119">
        <f t="shared" ca="1" si="398"/>
        <v>0</v>
      </c>
      <c r="CK456" s="115">
        <f t="shared" ca="1" si="399"/>
        <v>0</v>
      </c>
      <c r="CL456" s="115" t="b">
        <f ca="1">AND(模拟模式!$S$7="驱夷逐法",OR(AND(C456="净世破魔击·月",E455&gt;59),AND(C456="净世破魔击·日",F455&gt;59)))</f>
        <v>1</v>
      </c>
      <c r="CM456" s="115" t="b">
        <f ca="1">OR(CL456,AND(C456="净世破魔击·日",CL455,RAND()&lt;模拟模式!$U$23))</f>
        <v>1</v>
      </c>
      <c r="CN456" s="115" t="b">
        <f ca="1">IF(模拟模式!$M$7="辉耀红尘",AND(C456="净世破魔击·月",CL456,CV456=0,E455&lt;80),AND(C456="净世破魔击·月",CL456,E455&lt;100))</f>
        <v>0</v>
      </c>
      <c r="CO456" s="115" t="b">
        <f t="shared" ca="1" si="372"/>
        <v>0</v>
      </c>
      <c r="CP456" s="115" t="b">
        <f ca="1">AND(模拟模式!$O$7="用晦而明",OR(C456="净世破魔击·日",C456="净世破魔击·月",C456="驱夜断愁"),AB456)</f>
        <v>1</v>
      </c>
      <c r="CQ456" s="115" t="b">
        <f ca="1">OR(CP456,AND(CP455,RAND()&lt;模拟模式!$U$23))</f>
        <v>1</v>
      </c>
      <c r="CR456" s="115" t="b">
        <f ca="1">AND(模拟模式!$S$7="日月齐光",OR(C456="幽月轮1",C456="幽月轮2",C456="幽月轮3",CR455),NOT(OR(C456="赤日轮1",C456="赤日轮2",C456="赤日轮3")))</f>
        <v>0</v>
      </c>
      <c r="CS456" s="115" t="b">
        <f ca="1">AND(模拟模式!$S$7="日月齐光",OR(C456="赤日轮1",C456="赤日轮2",C456="赤日轮3",CS455),NOT(OR(C456="幽月轮1",C456="幽月轮2",C456="幽月轮3")))</f>
        <v>0</v>
      </c>
      <c r="CT456" s="115">
        <f t="shared" ca="1" si="400"/>
        <v>0</v>
      </c>
      <c r="CU456" s="115" t="b">
        <f ca="1">AND(模拟模式!$K$10="阴阳往极",CT455=0,RAND()&lt;IF(C456="净世破魔击·月",0.0275*7/3,IF(C456="净世破魔击·日",0.0275*3/3,0.0275*2/3)))</f>
        <v>0</v>
      </c>
      <c r="CV456" s="115">
        <f t="shared" ca="1" si="401"/>
        <v>0</v>
      </c>
      <c r="CW456" s="115">
        <f t="shared" ca="1" si="373"/>
        <v>4.1549999999999994</v>
      </c>
      <c r="CX456" s="115">
        <f t="shared" ca="1" si="374"/>
        <v>2.3099999999999996</v>
      </c>
      <c r="CY456" s="115">
        <f ca="1">MAX(IF($C456="驱夜断愁",IF(模拟模式!$R$7="万念俱寂",6,45),CY455-$F$4),0)</f>
        <v>3.2324999999999995</v>
      </c>
      <c r="CZ456" s="115">
        <f t="shared" ca="1" si="375"/>
        <v>0</v>
      </c>
      <c r="DA456" s="115">
        <f ca="1">IF(模拟模式!$N$7="日月同辉",IF(DB455=2,0,MIN(6,IF(AND(OR(C456="赤日轮1",C456="赤日轮2",C456="赤日轮3",C456="幽月轮1",C456="幽月轮2",C456="幽月轮3"),AB456=1),DA455+1,DA455))),0)</f>
        <v>3</v>
      </c>
      <c r="DB456" s="115">
        <f t="shared" ca="1" si="376"/>
        <v>0</v>
      </c>
      <c r="DC456" s="115"/>
      <c r="DD456" s="115"/>
      <c r="DE456" s="115"/>
      <c r="DF456" s="115"/>
      <c r="DG456" s="115"/>
      <c r="DH456" s="115"/>
      <c r="DI456" s="115"/>
      <c r="DJ456" s="115"/>
      <c r="DK456" s="115"/>
      <c r="DL456" s="115"/>
      <c r="DM456" s="115"/>
    </row>
    <row r="457" spans="2:117" x14ac:dyDescent="0.2">
      <c r="B457" s="117">
        <f t="shared" si="377"/>
        <v>396.67500000000388</v>
      </c>
      <c r="C457" s="167" t="str">
        <f t="shared" ca="1" si="370"/>
        <v>净世破魔击·日</v>
      </c>
      <c r="D457" s="115">
        <f ca="1">IF(C457="赤日轮1",1,IF(C457="赤日轮2",2,IF(C457="赤日轮3",3,IF(C457="幽月轮1",4,IF(C457="幽月轮2",5,IF(C457="幽月轮3",6,IF(C457="烈日斩",7,IF(C457="银月斩",8,IF(C457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457="净世破魔击·月",17,IF(C457="驱夜断愁",18,0)))))))))))</f>
        <v>9</v>
      </c>
      <c r="E457" s="115">
        <f ca="1">IF(AND(CU457,OR(C457="幽月轮1",C457="幽月轮2",C457="幽月轮3",C457="银月斩",C457="驱夜断愁",C457="净世破魔击·月")),100,MIN(IF(OR(CN457,BE457),0,IF(OR($C457="赤日轮1",$C457="赤日轮2",$C457="赤日轮3"),E456+20+IF(模拟模式!$I$7="日月凌天",4,0)+IF(CR456,20,0),IF($C457="烈日斩",E456+40,IF($C457="驱夜断愁",IF(模拟模式!$R$7="万念俱寂",E456+20,E456+60),IF($C457="净世破魔击·月",IF(OR(DB456&gt;0,CV456&gt;0),100,IF(模拟模式!$M$7="辉耀红尘",E456+20,E456)),IF($C457="净世破魔击·日",E456-100,E456)))))),100))</f>
        <v>0</v>
      </c>
      <c r="F457" s="115">
        <f ca="1">IF(AND(CU457,OR(C457="赤日轮1",C457="赤日轮2",C457="赤日轮3",C457="烈日斩",C457="净世破魔击·日")),100,MIN(IF(CO457,0,IF(OR($C457="幽月轮1",$C457="幽月轮2",$C457="幽月轮3"),F456+20+IF(模拟模式!$I$7="日月凌天",4,0)+IF(CS456,20,0),IF($C457="银月斩",F456+40+IF(模拟模式!$X$12=1,5,0),IF($C457="驱夜断愁",IF(模拟模式!$R$7="万念俱寂",F456+20,F456+60),IF($C457="净世破魔击·月",IF(模拟模式!$M$7="辉耀红尘",F456-80,F456-100),IF(AND(C457="净世破魔击·日",OR(DB456&gt;0,CV456&gt;0)),100,F456)))))),100))</f>
        <v>20</v>
      </c>
      <c r="G457" s="117">
        <f ca="1">('模拟-全程加成'!$E$3+'模拟-全程加成'!$E$4+'模拟-全程加成'!$E$5+('模拟-全程加成'!$C$6-'模拟-全程加成'!$C$3)*系数!$B$9+BS457*23)*(1+'模拟-全程加成'!$F$4+'模拟-全程加成'!$F$5+BJ457*10%+BM457*20%+BP457*4%+CG457*30%)+$F$7*系数!$B$12</f>
        <v>20583.127400000001</v>
      </c>
      <c r="H457" s="45">
        <f ca="1">'模拟-全程加成'!$H$3+'模拟-全程加成'!$H$4+'模拟-全程加成'!$H$5+('模拟-全程加成'!$G$4+'模拟-全程加成'!$G$5+('模拟-全程加成'!$C$6-'模拟-全程加成'!$C$3)*系数!$B$13)/系数!$B$3+LOOKUP(D457,'模拟-单技能数据'!$A$2:$A$19,'模拟-单技能数据'!$K$2:$K$19)+BG457*10%+IF(BV457&gt;0,378,0)</f>
        <v>0.54185145527300216</v>
      </c>
      <c r="I457" s="45">
        <f ca="1">'模拟-全程加成'!$J$3+'模拟-全程加成'!$J$4+'模拟-全程加成'!$J$5+('模拟-全程加成'!$I$4+'模拟-全程加成'!$I$5)/系数!$B$4+LOOKUP(D457,'模拟-单技能数据'!$A$2:$A$19,'模拟-单技能数据'!$L$2:$L$19)+BG457*10%</f>
        <v>2.162482885499879</v>
      </c>
      <c r="J457" s="45">
        <f ca="1">(('模拟-全程加成'!$K$3+'模拟-全程加成'!$K$4+'模拟-全程加成'!$K$5+('模拟-全程加成'!$C$6-'模拟-全程加成'!$C$3)*系数!$B$10+IF(BV457&gt;0,882,0)+IF(BY457&gt;0,1831,0))*(1+'模拟-全程加成'!$L$4+'模拟-全程加成'!$L$5+CC457*20%))/系数!$B$5</f>
        <v>0.69723220422048726</v>
      </c>
      <c r="K457" s="119">
        <f ca="1">LOOKUP(D457,'模拟-单技能数据'!$A$2:$A$19,'模拟-单技能数据'!$J$2:$J$19)+IF(CM457,60%,0)+IF(DB456-DB457&gt;0,30%,0)+IF(OR(AND(OR(C457="赤日轮1",C457="赤日轮2",C457="赤日轮3"),CR457),AND(OR(C457="幽月轮1",C457="幽月轮2",C457="幽月轮3"),CS457)),35%,0)+CJ457</f>
        <v>0.8</v>
      </c>
      <c r="L457" s="119">
        <f ca="1">IF(AND(C457="烈日斩",模拟模式!$X$11=1),10%,0)+IF(AND(C457="驱夜断愁",AB457=1),30%,0)</f>
        <v>0</v>
      </c>
      <c r="M457" s="45">
        <f t="shared" ca="1" si="409"/>
        <v>0.54185145527300216</v>
      </c>
      <c r="N457" s="45">
        <f t="shared" ca="1" si="410"/>
        <v>0.40424854472699789</v>
      </c>
      <c r="O457" s="46">
        <f t="shared" ca="1" si="378"/>
        <v>0.34388313663287018</v>
      </c>
      <c r="P457" s="46" t="str">
        <f t="shared" ca="1" si="379"/>
        <v>会</v>
      </c>
      <c r="Q457" s="45">
        <f t="shared" ca="1" si="380"/>
        <v>2.162482885499879</v>
      </c>
      <c r="R457" s="117">
        <f ca="1">模拟模式!$E$20*(1-IF(模拟模式!$J$19="有",0.15,0))*(1-IF(模拟模式!$K$19="有",0.3,0)-IF(CQ457,0.5,0))</f>
        <v>843.02999999999975</v>
      </c>
      <c r="S457" s="45">
        <f ca="1">R457/(R457+(185*模拟模式!$E$22-16800)*4.08224)</f>
        <v>8.389626085980037E-2</v>
      </c>
      <c r="T457" s="45" t="str">
        <f ca="1">LOOKUP(D457,'模拟-单技能数据'!$A$2:$A$19,'模拟-单技能数据'!$H$2:$H$19)</f>
        <v>阳</v>
      </c>
      <c r="U457" s="119">
        <f t="shared" ca="1" si="411"/>
        <v>0.2</v>
      </c>
      <c r="V457" s="47">
        <f ca="1">(1+L457)*(LOOKUP(D457,'模拟-单技能数据'!$A$2:$A$19,'模拟-单技能数据'!$D$2:$D$19)+G457*LOOKUP(D457,'模拟-单技能数据'!$A$2:$A$19,'模拟-单技能数据'!$F$2:$F$19))*(1+J457)*(1+K457)*(1-S457)*(1+U457)*Q457*LOOKUP(D457,'模拟-单技能数据'!$A$2:$A$19,'模拟-单技能数据'!$I$2:$I$20)</f>
        <v>195915.814886668</v>
      </c>
      <c r="W457" s="47">
        <f ca="1">LOOKUP(D457,'模拟-单技能数据'!$A$2:$A$19,'模拟-单技能数据'!$G$2:$G$19)*$I$10</f>
        <v>723.0212870940959</v>
      </c>
      <c r="X457" s="47">
        <f t="shared" ca="1" si="381"/>
        <v>13240.423439897573</v>
      </c>
      <c r="Y457" s="47">
        <f t="shared" ca="1" si="412"/>
        <v>209879.25961365967</v>
      </c>
      <c r="Z457" s="49">
        <f t="shared" ca="1" si="413"/>
        <v>45099058.526059464</v>
      </c>
      <c r="AA457" s="97">
        <f t="shared" ca="1" si="414"/>
        <v>113692.71702542137</v>
      </c>
      <c r="AB457" s="115">
        <f ca="1">IF(OR(C457="赤日轮1",C457="赤日轮2",C457="赤日轮3"),IF(RAND()&lt;模拟模式!$Y$17,1,0),IF(OR(C457="幽月轮1",C457="幽月轮2",C457="幽月轮3"),IF(RAND()&lt;模拟模式!$Y$18,1,0),IF(C457="烈日斩",IF(RAND()&lt;模拟模式!$Y$19,1,0),IF(C457="银月斩",IF(RAND()&lt;模拟模式!$Y$20,1,0),IF(C457="驱夜断愁",IF(RAND()&lt;模拟模式!$Y$21,1,0),IF(C457="净世破魔击·日",IF(RAND()&lt;模拟模式!$Y$22,1,0),IF(C457="净世破魔击·月",IF(RAND()&lt;模拟模式!$Y$23,1,0),0)))))))</f>
        <v>1</v>
      </c>
      <c r="AC457" s="115" t="b">
        <f t="shared" ca="1" si="402"/>
        <v>0</v>
      </c>
      <c r="AD457" s="115" t="b">
        <f t="shared" ca="1" si="422"/>
        <v>0</v>
      </c>
      <c r="AE457" s="115">
        <f t="shared" ca="1" si="423"/>
        <v>3</v>
      </c>
      <c r="AF457" s="47">
        <f ca="1">IF(AC457,('模拟-单技能数据'!$D$20+G457*'模拟-单技能数据'!$F$20)*(1+J457)*(1+'模拟-单技能数据'!$J$20)*(1+U457),0)</f>
        <v>0</v>
      </c>
      <c r="AG457" s="61">
        <f t="shared" ca="1" si="415"/>
        <v>0.64185145527300214</v>
      </c>
      <c r="AH457" s="61">
        <f t="shared" ca="1" si="416"/>
        <v>2.2624828854998791</v>
      </c>
      <c r="AI457" s="62">
        <f t="shared" ca="1" si="382"/>
        <v>0.56473323283027166</v>
      </c>
      <c r="AJ457" s="47">
        <f ca="1">IF(AD457,IF(AI457&lt;$F$10,0,IF(AI457&lt;$F$10+$F$11,0.25,IF(AI457&lt;$F$10+$F$11+AG457,AH457,1)))*IF(AF457&gt;0,AF457,IF(AF456&gt;0,AF456,IF(AF455&gt;0,AF455,IF(AF454&gt;0,AF454,IF(AF453&gt;0,AF453,IF(AF452&gt;0,AF452,IF(AF451&gt;0,AF451,IF(AF450&gt;0,AF450,IF(AF449&gt;0,AF449,IF(AF447&gt;0,AF447,IF(AF446&gt;0,AF446,IF(AF445&gt;0,AF445,0)))))))))))),0)*(1-$S457)*'模拟-单技能数据'!$I$20</f>
        <v>0</v>
      </c>
      <c r="AK457" s="115" t="b">
        <f t="shared" ca="1" si="403"/>
        <v>1</v>
      </c>
      <c r="AL457" s="115" t="b">
        <f t="shared" ca="1" si="424"/>
        <v>1</v>
      </c>
      <c r="AM457" s="115">
        <f t="shared" ca="1" si="425"/>
        <v>5</v>
      </c>
      <c r="AN457" s="47">
        <f ca="1">IF(AK457,('模拟-单技能数据'!$D$21+G457*'模拟-单技能数据'!$F$21)*(1+J457)*(1+'模拟-单技能数据'!$J$21)*(1+U457),0)</f>
        <v>12136.56601728573</v>
      </c>
      <c r="AO457" s="61">
        <f ca="1">IF(AN457&gt;0,M457-'模拟-单技能数据'!$K$10,AO456)</f>
        <v>0.42185145527300216</v>
      </c>
      <c r="AP457" s="61">
        <f ca="1">IF(AN457&gt;0,I457-'模拟-单技能数据'!$L$10,AP456)</f>
        <v>2.162482885499879</v>
      </c>
      <c r="AQ457" s="63">
        <f t="shared" ca="1" si="383"/>
        <v>0.49545612467926814</v>
      </c>
      <c r="AR457" s="64">
        <f ca="1">IF(AL457,IF(AQ457&lt;$F$10,0,IF(AQ457&lt;$F$10+$F$11,0.25,IF(AQ457&lt;$F$10+$F$11+AO457,AP457,1)))*IF(AN457&gt;0,AN457,IF(AN456&gt;0,AN456,IF(AN455&gt;0,AN455,IF(AN454&gt;0,AN454,IF(AN453&gt;0,AN453,IF(AN452&gt;0,AN452,IF(AN451&gt;0,AN451,IF(AN450&gt;0,AN450,IF(AN449&gt;0,AN449,IF(AN447&gt;0,AN447,IF(AN446&gt;0,AN446,IF(AN445&gt;0,AN445,0)))))))))))),0)*(1-$S457)*'模拟-单技能数据'!$I$21</f>
        <v>11118.353508757338</v>
      </c>
      <c r="AS457" s="61">
        <f ca="1">IF(OR(C457="净世破魔击·日",C457="净世破魔击·月"),M457-'模拟-单技能数据'!$K$10,0)</f>
        <v>0.42185145527300216</v>
      </c>
      <c r="AT457" s="61">
        <f ca="1">IF(OR(C457="净世破魔击·日",C457="净世破魔击·月"),I457-'模拟-单技能数据'!$L$10,0)</f>
        <v>2.162482885499879</v>
      </c>
      <c r="AU457" s="62">
        <f t="shared" ca="1" si="384"/>
        <v>4.8598010585412799E-2</v>
      </c>
      <c r="AV457" s="64">
        <f ca="1">IF(AS457&gt;0,('模拟-单技能数据'!$D$22+G457*'模拟-单技能数据'!$F$22)*(1+J457)*(1-S457)*IF(AU457&lt;$F$10,0,IF(AU457&lt;$F$10+$F$11,0.25,IF(AU457&lt;$F$10+$F$11+AS457,AT457,1)))*(1+U457),0)*'模拟-单技能数据'!$I$22</f>
        <v>2122.0699311402354</v>
      </c>
      <c r="AW457" s="108">
        <f t="shared" ca="1" si="385"/>
        <v>0.6275000000000065</v>
      </c>
      <c r="AX457" s="108" t="b">
        <f ca="1">AND(模拟模式!$P$10="有",AW456=0,RAND()&lt;IF(C457="净世破魔击·月",0.1*8/3,IF(C457="净世破魔击·日",0.1*4/3,0.1*2/3)))</f>
        <v>0</v>
      </c>
      <c r="AY457" s="47">
        <f ca="1">IF(AX457,(18+G457*0.722)*(1+J457)*(1-S457)*(1+$I$4)*IF(P457="会",'模拟-全程加成'!$J$3+'模拟-全程加成'!$J$4+'模拟-全程加成'!$J$5+('模拟-全程加成'!$I$4+'模拟-全程加成'!$I$5)/系数!$B$4+BG457*10%,IF(P457="命",1,IF(P457="识",0.25,0))),0)</f>
        <v>0</v>
      </c>
      <c r="AZ457" s="108">
        <f t="shared" si="386"/>
        <v>8.9300000000000068</v>
      </c>
      <c r="BA457" s="108" t="b">
        <f>AND(模拟模式!$Q$10="有",AZ456=0)</f>
        <v>0</v>
      </c>
      <c r="BB457" s="140">
        <f>IF(BA457,(0+G457*0.287)*(1+J457)*(1-S457)*(1+$I$4)*IF(P457="会",'模拟-全程加成'!$J$3+'模拟-全程加成'!$J$4+'模拟-全程加成'!$J$5+('模拟-全程加成'!$I$4+'模拟-全程加成'!$I$5)/系数!$B$4+BG457*10%,IF(P457="命",1,IF(P457="识",0.25,0))),0)</f>
        <v>0</v>
      </c>
      <c r="BC457" s="115" t="b">
        <f ca="1">AND(模拟模式!$R$7="伏明众生",E457=60,F457=20,DA457&lt;5,CZ456&lt;$F$4)</f>
        <v>0</v>
      </c>
      <c r="BD457" s="115">
        <f t="shared" ca="1" si="404"/>
        <v>0</v>
      </c>
      <c r="BE457" s="115" t="b">
        <f t="shared" ca="1" si="405"/>
        <v>0</v>
      </c>
      <c r="BF457" s="47">
        <f ca="1">IF(BC457,4*('模拟-单技能数据'!$D$24+G457*'模拟-单技能数据'!$F$24)*(1+J457)*(1+'模拟-单技能数据'!$J$24)*(1-S457)*(1+$I$3)*(('模拟-全程加成'!$J$3+'模拟-全程加成'!$J$4+'模拟-全程加成'!$J$5+('模拟-全程加成'!$I$4+'模拟-全程加成'!$I$5)/系数!$B$4+BG457*10%)*('模拟-全程加成'!$J$3+'模拟-全程加成'!$J$4+'模拟-全程加成'!$J$5+('模拟-全程加成'!$I$4+'模拟-全程加成'!$I$5)/系数!$B$4+BG457*10%)+(1-('模拟-全程加成'!$J$3+'模拟-全程加成'!$J$4+'模拟-全程加成'!$J$5+('模拟-全程加成'!$I$4+'模拟-全程加成'!$I$5)/系数!$B$4+BG457*10%)-$F$10-$F$11)+F443*0.25),0)*'模拟-单技能数据'!$I$24</f>
        <v>0</v>
      </c>
      <c r="BG457" s="115" t="b">
        <f ca="1">OR(AND(OR(C457="烈日斩",C457="银月斩"),模拟模式!$I$7="净身明礼"),AND(C457="净世破魔击·日",模拟模式!$J$7="洞若观火"),AND(C458="净世破魔击·月",模拟模式!$J$7="洞若观火"),AB457=1)</f>
        <v>1</v>
      </c>
      <c r="BH457" s="115" t="b">
        <f t="shared" ca="1" si="387"/>
        <v>0</v>
      </c>
      <c r="BI457" s="115">
        <f t="shared" ca="1" si="406"/>
        <v>0</v>
      </c>
      <c r="BJ457" s="115" t="b">
        <f t="shared" ca="1" si="417"/>
        <v>0</v>
      </c>
      <c r="BK457" s="115" t="b">
        <f ca="1">AND(C457="驱夜断愁",模拟模式!$P$7="天地诛戮")</f>
        <v>0</v>
      </c>
      <c r="BL457" s="57">
        <f t="shared" ca="1" si="407"/>
        <v>16.310000000000002</v>
      </c>
      <c r="BM457" s="115" t="b">
        <f t="shared" ca="1" si="418"/>
        <v>1</v>
      </c>
      <c r="BN457" s="115" t="b">
        <f ca="1">AND(OR(C457="赤日轮1",C457="赤日轮2",C457="赤日轮3",C457="幽月轮1",C457="幽月轮2",C457="幽月轮3"),AB457=1,模拟模式!$L$7="明光恒照")</f>
        <v>0</v>
      </c>
      <c r="BO457" s="117">
        <f t="shared" ca="1" si="408"/>
        <v>28.155000000000001</v>
      </c>
      <c r="BP457" s="115">
        <f t="shared" ca="1" si="388"/>
        <v>6</v>
      </c>
      <c r="BQ457" s="115" t="b">
        <f>模拟模式!$K$10="2600·水"</f>
        <v>0</v>
      </c>
      <c r="BR457" s="117">
        <f t="shared" si="389"/>
        <v>0</v>
      </c>
      <c r="BS457" s="115">
        <f t="shared" si="390"/>
        <v>0</v>
      </c>
      <c r="BT457" s="115">
        <f t="shared" ca="1" si="391"/>
        <v>0</v>
      </c>
      <c r="BU457" s="115" t="b">
        <f ca="1">AND(模拟模式!$K$10="2300·雷",BT456=0,RAND()&lt;IF(C457="净世破魔击·月",5*0.05*2/3,IF(C457="净世破魔击·日",3*0.05*2/3,0.05*2*2/3)))</f>
        <v>0</v>
      </c>
      <c r="BV457" s="115">
        <f t="shared" ca="1" si="392"/>
        <v>0</v>
      </c>
      <c r="BW457" s="115">
        <f t="shared" ca="1" si="393"/>
        <v>158.78249999999969</v>
      </c>
      <c r="BX457" s="164" t="b">
        <f t="shared" ca="1" si="394"/>
        <v>0</v>
      </c>
      <c r="BY457" s="115">
        <f t="shared" ca="1" si="395"/>
        <v>0</v>
      </c>
      <c r="BZ457" s="115">
        <f>IF(OR(模拟模式!$P$16="10人团",模拟模式!$P$16="25人团"),IF(B457/30&gt;CA456,1,0),0)</f>
        <v>0</v>
      </c>
      <c r="CA457" s="115">
        <f t="shared" si="371"/>
        <v>0</v>
      </c>
      <c r="CB457" s="115">
        <f ca="1">IF(BZ457=1,IF(模拟模式!$P$16="10人团",15,0)+IF(模拟模式!$P$16="25人团",IF(RAND()&lt;0.6,15,0)),MAX(0,CB456-$F$4))</f>
        <v>0</v>
      </c>
      <c r="CC457" s="115" t="b">
        <f t="shared" ca="1" si="419"/>
        <v>0</v>
      </c>
      <c r="CD457" s="115">
        <f>IF(模拟模式!$Q$16="1个",IF(B457/40&gt;CE456,1,0),0)</f>
        <v>0</v>
      </c>
      <c r="CE457" s="115">
        <f t="shared" si="420"/>
        <v>0</v>
      </c>
      <c r="CF457" s="115">
        <f>IF(OR(CD457=1,模拟模式!$Q$16="2个"),20,MAX(0,CF456-$F$4))</f>
        <v>0</v>
      </c>
      <c r="CG457" s="115" t="b">
        <f t="shared" si="421"/>
        <v>0</v>
      </c>
      <c r="CH457" s="115">
        <f t="shared" ca="1" si="396"/>
        <v>12.472500000000011</v>
      </c>
      <c r="CI457" s="115" t="b">
        <f t="shared" ca="1" si="397"/>
        <v>0</v>
      </c>
      <c r="CJ457" s="119">
        <f t="shared" ca="1" si="398"/>
        <v>0</v>
      </c>
      <c r="CK457" s="115">
        <f t="shared" ca="1" si="399"/>
        <v>0</v>
      </c>
      <c r="CL457" s="115" t="b">
        <f ca="1">AND(模拟模式!$S$7="驱夷逐法",OR(AND(C457="净世破魔击·月",E456&gt;59),AND(C457="净世破魔击·日",F456&gt;59)))</f>
        <v>0</v>
      </c>
      <c r="CM457" s="115" t="b">
        <f ca="1">OR(CL457,AND(C457="净世破魔击·日",CL456,RAND()&lt;模拟模式!$U$23))</f>
        <v>1</v>
      </c>
      <c r="CN457" s="115" t="b">
        <f ca="1">IF(模拟模式!$M$7="辉耀红尘",AND(C457="净世破魔击·月",CL457,CV457=0,E456&lt;80),AND(C457="净世破魔击·月",CL457,E456&lt;100))</f>
        <v>0</v>
      </c>
      <c r="CO457" s="115" t="b">
        <f t="shared" ca="1" si="372"/>
        <v>0</v>
      </c>
      <c r="CP457" s="115" t="b">
        <f ca="1">AND(模拟模式!$O$7="用晦而明",OR(C457="净世破魔击·日",C457="净世破魔击·月",C457="驱夜断愁"),AB457)</f>
        <v>1</v>
      </c>
      <c r="CQ457" s="115" t="b">
        <f ca="1">OR(CP457,AND(CP456,RAND()&lt;模拟模式!$U$23))</f>
        <v>1</v>
      </c>
      <c r="CR457" s="115" t="b">
        <f ca="1">AND(模拟模式!$S$7="日月齐光",OR(C457="幽月轮1",C457="幽月轮2",C457="幽月轮3",CR456),NOT(OR(C457="赤日轮1",C457="赤日轮2",C457="赤日轮3")))</f>
        <v>0</v>
      </c>
      <c r="CS457" s="115" t="b">
        <f ca="1">AND(模拟模式!$S$7="日月齐光",OR(C457="赤日轮1",C457="赤日轮2",C457="赤日轮3",CS456),NOT(OR(C457="幽月轮1",C457="幽月轮2",C457="幽月轮3")))</f>
        <v>0</v>
      </c>
      <c r="CT457" s="115">
        <f t="shared" ca="1" si="400"/>
        <v>0</v>
      </c>
      <c r="CU457" s="115" t="b">
        <f ca="1">AND(模拟模式!$K$10="阴阳往极",CT456=0,RAND()&lt;IF(C457="净世破魔击·月",0.0275*7/3,IF(C457="净世破魔击·日",0.0275*3/3,0.0275*2/3)))</f>
        <v>0</v>
      </c>
      <c r="CV457" s="115">
        <f t="shared" ca="1" si="401"/>
        <v>0</v>
      </c>
      <c r="CW457" s="115">
        <f t="shared" ca="1" si="373"/>
        <v>3.2324999999999995</v>
      </c>
      <c r="CX457" s="115">
        <f t="shared" ca="1" si="374"/>
        <v>1.3874999999999997</v>
      </c>
      <c r="CY457" s="115">
        <f ca="1">MAX(IF($C457="驱夜断愁",IF(模拟模式!$R$7="万念俱寂",6,45),CY456-$F$4),0)</f>
        <v>2.3099999999999996</v>
      </c>
      <c r="CZ457" s="115">
        <f t="shared" ca="1" si="375"/>
        <v>0</v>
      </c>
      <c r="DA457" s="115">
        <f ca="1">IF(模拟模式!$N$7="日月同辉",IF(DB456=2,0,MIN(6,IF(AND(OR(C457="赤日轮1",C457="赤日轮2",C457="赤日轮3",C457="幽月轮1",C457="幽月轮2",C457="幽月轮3"),AB457=1),DA456+1,DA456))),0)</f>
        <v>3</v>
      </c>
      <c r="DB457" s="115">
        <f t="shared" ca="1" si="376"/>
        <v>0</v>
      </c>
      <c r="DC457" s="115"/>
      <c r="DD457" s="115"/>
      <c r="DE457" s="115"/>
      <c r="DF457" s="115"/>
      <c r="DG457" s="115"/>
      <c r="DH457" s="115"/>
      <c r="DI457" s="115"/>
      <c r="DJ457" s="115"/>
      <c r="DK457" s="115"/>
      <c r="DL457" s="115"/>
      <c r="DM457" s="115"/>
    </row>
    <row r="458" spans="2:117" x14ac:dyDescent="0.2">
      <c r="B458" s="117">
        <f t="shared" si="377"/>
        <v>397.59750000000389</v>
      </c>
      <c r="C458" s="167" t="str">
        <f t="shared" ca="1" si="370"/>
        <v>赤日轮1</v>
      </c>
      <c r="D458" s="115">
        <f ca="1">IF(C458="赤日轮1",1,IF(C458="赤日轮2",2,IF(C458="赤日轮3",3,IF(C458="幽月轮1",4,IF(C458="幽月轮2",5,IF(C458="幽月轮3",6,IF(C458="烈日斩",7,IF(C458="银月斩",8,IF(C458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458="净世破魔击·月",17,IF(C458="驱夜断愁",18,0)))))))))))</f>
        <v>1</v>
      </c>
      <c r="E458" s="115">
        <f ca="1">IF(AND(CU458,OR(C458="幽月轮1",C458="幽月轮2",C458="幽月轮3",C458="银月斩",C458="驱夜断愁",C458="净世破魔击·月")),100,MIN(IF(OR(CN458,BE458),0,IF(OR($C458="赤日轮1",$C458="赤日轮2",$C458="赤日轮3"),E457+20+IF(模拟模式!$I$7="日月凌天",4,0)+IF(CR457,20,0),IF($C458="烈日斩",E457+40,IF($C458="驱夜断愁",IF(模拟模式!$R$7="万念俱寂",E457+20,E457+60),IF($C458="净世破魔击·月",IF(OR(DB457&gt;0,CV457&gt;0),100,IF(模拟模式!$M$7="辉耀红尘",E457+20,E457)),IF($C458="净世破魔击·日",E457-100,E457)))))),100))</f>
        <v>20</v>
      </c>
      <c r="F458" s="115">
        <f ca="1">IF(AND(CU458,OR(C458="赤日轮1",C458="赤日轮2",C458="赤日轮3",C458="烈日斩",C458="净世破魔击·日")),100,MIN(IF(CO458,0,IF(OR($C458="幽月轮1",$C458="幽月轮2",$C458="幽月轮3"),F457+20+IF(模拟模式!$I$7="日月凌天",4,0)+IF(CS457,20,0),IF($C458="银月斩",F457+40+IF(模拟模式!$X$12=1,5,0),IF($C458="驱夜断愁",IF(模拟模式!$R$7="万念俱寂",F457+20,F457+60),IF($C458="净世破魔击·月",IF(模拟模式!$M$7="辉耀红尘",F457-80,F457-100),IF(AND(C458="净世破魔击·日",OR(DB457&gt;0,CV457&gt;0)),100,F457)))))),100))</f>
        <v>20</v>
      </c>
      <c r="G458" s="117">
        <f ca="1">('模拟-全程加成'!$E$3+'模拟-全程加成'!$E$4+'模拟-全程加成'!$E$5+('模拟-全程加成'!$C$6-'模拟-全程加成'!$C$3)*系数!$B$9+BS458*23)*(1+'模拟-全程加成'!$F$4+'模拟-全程加成'!$F$5+BJ458*10%+BM458*20%+BP458*4%+CG458*30%)+$F$7*系数!$B$12</f>
        <v>20583.127400000001</v>
      </c>
      <c r="H458" s="45">
        <f ca="1">'模拟-全程加成'!$H$3+'模拟-全程加成'!$H$4+'模拟-全程加成'!$H$5+('模拟-全程加成'!$G$4+'模拟-全程加成'!$G$5+('模拟-全程加成'!$C$6-'模拟-全程加成'!$C$3)*系数!$B$13)/系数!$B$3+LOOKUP(D458,'模拟-单技能数据'!$A$2:$A$19,'模拟-单技能数据'!$K$2:$K$19)+BG458*10%+IF(BV458&gt;0,378,0)</f>
        <v>0.4618514552730022</v>
      </c>
      <c r="I458" s="45">
        <f ca="1">'模拟-全程加成'!$J$3+'模拟-全程加成'!$J$4+'模拟-全程加成'!$J$5+('模拟-全程加成'!$I$4+'模拟-全程加成'!$I$5)/系数!$B$4+LOOKUP(D458,'模拟-单技能数据'!$A$2:$A$19,'模拟-单技能数据'!$L$2:$L$19)+BG458*10%</f>
        <v>2.162482885499879</v>
      </c>
      <c r="J458" s="45">
        <f ca="1">(('模拟-全程加成'!$K$3+'模拟-全程加成'!$K$4+'模拟-全程加成'!$K$5+('模拟-全程加成'!$C$6-'模拟-全程加成'!$C$3)*系数!$B$10+IF(BV458&gt;0,882,0)+IF(BY458&gt;0,1831,0))*(1+'模拟-全程加成'!$L$4+'模拟-全程加成'!$L$5+CC458*20%))/系数!$B$5</f>
        <v>0.69723220422048726</v>
      </c>
      <c r="K458" s="119">
        <f ca="1">LOOKUP(D458,'模拟-单技能数据'!$A$2:$A$19,'模拟-单技能数据'!$J$2:$J$19)+IF(CM458,60%,0)+IF(DB457-DB458&gt;0,30%,0)+IF(OR(AND(OR(C458="赤日轮1",C458="赤日轮2",C458="赤日轮3"),CR458),AND(OR(C458="幽月轮1",C458="幽月轮2",C458="幽月轮3"),CS458)),35%,0)+CJ458</f>
        <v>0.12</v>
      </c>
      <c r="L458" s="119">
        <f ca="1">IF(AND(C458="烈日斩",模拟模式!$X$11=1),10%,0)+IF(AND(C458="驱夜断愁",AB458=1),30%,0)</f>
        <v>0</v>
      </c>
      <c r="M458" s="45">
        <f t="shared" ca="1" si="409"/>
        <v>0.4618514552730022</v>
      </c>
      <c r="N458" s="45">
        <f t="shared" ca="1" si="410"/>
        <v>0.48424854472699785</v>
      </c>
      <c r="O458" s="46">
        <f t="shared" ca="1" si="378"/>
        <v>0.95576001284003453</v>
      </c>
      <c r="P458" s="46" t="str">
        <f t="shared" ca="1" si="379"/>
        <v>命</v>
      </c>
      <c r="Q458" s="45">
        <f t="shared" ca="1" si="380"/>
        <v>1</v>
      </c>
      <c r="R458" s="117">
        <f ca="1">模拟模式!$E$20*(1-IF(模拟模式!$J$19="有",0.15,0))*(1-IF(模拟模式!$K$19="有",0.3,0)-IF(CQ458,0.5,0))</f>
        <v>843.02999999999975</v>
      </c>
      <c r="S458" s="45">
        <f ca="1">R458/(R458+(185*模拟模式!$E$22-16800)*4.08224)</f>
        <v>8.389626085980037E-2</v>
      </c>
      <c r="T458" s="45" t="str">
        <f ca="1">LOOKUP(D458,'模拟-单技能数据'!$A$2:$A$19,'模拟-单技能数据'!$H$2:$H$19)</f>
        <v>阳</v>
      </c>
      <c r="U458" s="119">
        <f t="shared" ca="1" si="411"/>
        <v>0.2</v>
      </c>
      <c r="V458" s="47">
        <f ca="1">(1+L458)*(LOOKUP(D458,'模拟-单技能数据'!$A$2:$A$19,'模拟-单技能数据'!$D$2:$D$19)+G458*LOOKUP(D458,'模拟-单技能数据'!$A$2:$A$19,'模拟-单技能数据'!$F$2:$F$19))*(1+J458)*(1+K458)*(1-S458)*(1+U458)*Q458*LOOKUP(D458,'模拟-单技能数据'!$A$2:$A$19,'模拟-单技能数据'!$I$2:$I$20)</f>
        <v>25194.44799269021</v>
      </c>
      <c r="W458" s="47">
        <f ca="1">LOOKUP(D458,'模拟-单技能数据'!$A$2:$A$19,'模拟-单技能数据'!$G$2:$G$19)*$I$10</f>
        <v>361.51064354704795</v>
      </c>
      <c r="X458" s="47">
        <f t="shared" ca="1" si="381"/>
        <v>9218.9345386263849</v>
      </c>
      <c r="Y458" s="47">
        <f t="shared" ca="1" si="412"/>
        <v>34774.893174863639</v>
      </c>
      <c r="Z458" s="49">
        <f t="shared" ca="1" si="413"/>
        <v>45133833.419234328</v>
      </c>
      <c r="AA458" s="97">
        <f t="shared" ca="1" si="414"/>
        <v>113516.39137377344</v>
      </c>
      <c r="AB458" s="115">
        <f ca="1">IF(OR(C458="赤日轮1",C458="赤日轮2",C458="赤日轮3"),IF(RAND()&lt;模拟模式!$Y$17,1,0),IF(OR(C458="幽月轮1",C458="幽月轮2",C458="幽月轮3"),IF(RAND()&lt;模拟模式!$Y$18,1,0),IF(C458="烈日斩",IF(RAND()&lt;模拟模式!$Y$19,1,0),IF(C458="银月斩",IF(RAND()&lt;模拟模式!$Y$20,1,0),IF(C458="驱夜断愁",IF(RAND()&lt;模拟模式!$Y$21,1,0),IF(C458="净世破魔击·日",IF(RAND()&lt;模拟模式!$Y$22,1,0),IF(C458="净世破魔击·月",IF(RAND()&lt;模拟模式!$Y$23,1,0),0)))))))</f>
        <v>1</v>
      </c>
      <c r="AC458" s="115" t="b">
        <f t="shared" ca="1" si="402"/>
        <v>0</v>
      </c>
      <c r="AD458" s="115" t="b">
        <f t="shared" ca="1" si="422"/>
        <v>1</v>
      </c>
      <c r="AE458" s="115">
        <f t="shared" ca="1" si="423"/>
        <v>2</v>
      </c>
      <c r="AF458" s="47">
        <f ca="1">IF(AC458,('模拟-单技能数据'!$D$20+G458*'模拟-单技能数据'!$F$20)*(1+J458)*(1+'模拟-单技能数据'!$J$20)*(1+U458),0)</f>
        <v>0</v>
      </c>
      <c r="AG458" s="61">
        <f t="shared" ca="1" si="415"/>
        <v>0.64185145527300214</v>
      </c>
      <c r="AH458" s="61">
        <f t="shared" ca="1" si="416"/>
        <v>2.2624828854998791</v>
      </c>
      <c r="AI458" s="62">
        <f t="shared" ca="1" si="382"/>
        <v>0.15931226151701927</v>
      </c>
      <c r="AJ458" s="47">
        <f ca="1">IF(AD458,IF(AI458&lt;$F$10,0,IF(AI458&lt;$F$10+$F$11,0.25,IF(AI458&lt;$F$10+$F$11+AG458,AH458,1)))*IF(AF458&gt;0,AF458,IF(AF457&gt;0,AF457,IF(AF456&gt;0,AF456,IF(AF455&gt;0,AF455,IF(AF454&gt;0,AF454,IF(AF453&gt;0,AF453,IF(AF452&gt;0,AF452,IF(AF451&gt;0,AF451,IF(AF450&gt;0,AF450,IF(AF448&gt;0,AF448,IF(AF447&gt;0,AF447,IF(AF446&gt;0,AF446,0)))))))))))),0)*(1-$S458)*'模拟-单技能数据'!$I$20</f>
        <v>9218.9345386263849</v>
      </c>
      <c r="AK458" s="115" t="b">
        <f t="shared" ca="1" si="403"/>
        <v>0</v>
      </c>
      <c r="AL458" s="115" t="b">
        <f t="shared" ca="1" si="424"/>
        <v>0</v>
      </c>
      <c r="AM458" s="115">
        <f t="shared" ca="1" si="425"/>
        <v>5</v>
      </c>
      <c r="AN458" s="47">
        <f ca="1">IF(AK458,('模拟-单技能数据'!$D$21+G458*'模拟-单技能数据'!$F$21)*(1+J458)*(1+'模拟-单技能数据'!$J$21)*(1+U458),0)</f>
        <v>0</v>
      </c>
      <c r="AO458" s="61">
        <f ca="1">IF(AN458&gt;0,M458-'模拟-单技能数据'!$K$10,AO457)</f>
        <v>0.42185145527300216</v>
      </c>
      <c r="AP458" s="61">
        <f ca="1">IF(AN458&gt;0,I458-'模拟-单技能数据'!$L$10,AP457)</f>
        <v>2.162482885499879</v>
      </c>
      <c r="AQ458" s="63">
        <f t="shared" ca="1" si="383"/>
        <v>0.110230052611478</v>
      </c>
      <c r="AR458" s="64">
        <f ca="1">IF(AL458,IF(AQ458&lt;$F$10,0,IF(AQ458&lt;$F$10+$F$11,0.25,IF(AQ458&lt;$F$10+$F$11+AO458,AP458,1)))*IF(AN458&gt;0,AN458,IF(AN457&gt;0,AN457,IF(AN456&gt;0,AN456,IF(AN455&gt;0,AN455,IF(AN454&gt;0,AN454,IF(AN453&gt;0,AN453,IF(AN452&gt;0,AN452,IF(AN451&gt;0,AN451,IF(AN450&gt;0,AN450,IF(AN448&gt;0,AN448,IF(AN447&gt;0,AN447,IF(AN446&gt;0,AN446,0)))))))))))),0)*(1-$S458)*'模拟-单技能数据'!$I$21</f>
        <v>0</v>
      </c>
      <c r="AS458" s="61">
        <f ca="1">IF(OR(C458="净世破魔击·日",C458="净世破魔击·月"),M458-'模拟-单技能数据'!$K$10,0)</f>
        <v>0</v>
      </c>
      <c r="AT458" s="61">
        <f ca="1">IF(OR(C458="净世破魔击·日",C458="净世破魔击·月"),I458-'模拟-单技能数据'!$L$10,0)</f>
        <v>0</v>
      </c>
      <c r="AU458" s="62">
        <f t="shared" ca="1" si="384"/>
        <v>0.96869866826621231</v>
      </c>
      <c r="AV458" s="64">
        <f ca="1">IF(AS458&gt;0,('模拟-单技能数据'!$D$22+G458*'模拟-单技能数据'!$F$22)*(1+J458)*(1-S458)*IF(AU458&lt;$F$10,0,IF(AU458&lt;$F$10+$F$11,0.25,IF(AU458&lt;$F$10+$F$11+AS458,AT458,1)))*(1+U458),0)*'模拟-单技能数据'!$I$22</f>
        <v>0</v>
      </c>
      <c r="AW458" s="108">
        <f t="shared" ca="1" si="385"/>
        <v>0</v>
      </c>
      <c r="AX458" s="108" t="b">
        <f ca="1">AND(模拟模式!$P$10="有",AW457=0,RAND()&lt;IF(C458="净世破魔击·月",0.1*8/3,IF(C458="净世破魔击·日",0.1*4/3,0.1*2/3)))</f>
        <v>0</v>
      </c>
      <c r="AY458" s="47">
        <f ca="1">IF(AX458,(18+G458*0.722)*(1+J458)*(1-S458)*(1+$I$4)*IF(P458="会",'模拟-全程加成'!$J$3+'模拟-全程加成'!$J$4+'模拟-全程加成'!$J$5+('模拟-全程加成'!$I$4+'模拟-全程加成'!$I$5)/系数!$B$4+BG458*10%,IF(P458="命",1,IF(P458="识",0.25,0))),0)</f>
        <v>0</v>
      </c>
      <c r="AZ458" s="108">
        <f t="shared" si="386"/>
        <v>8.0075000000000074</v>
      </c>
      <c r="BA458" s="108" t="b">
        <f>AND(模拟模式!$Q$10="有",AZ457=0)</f>
        <v>0</v>
      </c>
      <c r="BB458" s="140">
        <f>IF(BA458,(0+G458*0.287)*(1+J458)*(1-S458)*(1+$I$4)*IF(P458="会",'模拟-全程加成'!$J$3+'模拟-全程加成'!$J$4+'模拟-全程加成'!$J$5+('模拟-全程加成'!$I$4+'模拟-全程加成'!$I$5)/系数!$B$4+BG458*10%,IF(P458="命",1,IF(P458="识",0.25,0))),0)</f>
        <v>0</v>
      </c>
      <c r="BC458" s="115" t="b">
        <f ca="1">AND(模拟模式!$R$7="伏明众生",E458=60,F458=20,DA458&lt;5,CZ457&lt;$F$4)</f>
        <v>0</v>
      </c>
      <c r="BD458" s="115">
        <f t="shared" ca="1" si="404"/>
        <v>0</v>
      </c>
      <c r="BE458" s="115" t="b">
        <f t="shared" ca="1" si="405"/>
        <v>0</v>
      </c>
      <c r="BF458" s="47">
        <f ca="1">IF(BC458,4*('模拟-单技能数据'!$D$24+G458*'模拟-单技能数据'!$F$24)*(1+J458)*(1+'模拟-单技能数据'!$J$24)*(1-S458)*(1+$I$3)*(('模拟-全程加成'!$J$3+'模拟-全程加成'!$J$4+'模拟-全程加成'!$J$5+('模拟-全程加成'!$I$4+'模拟-全程加成'!$I$5)/系数!$B$4+BG458*10%)*('模拟-全程加成'!$J$3+'模拟-全程加成'!$J$4+'模拟-全程加成'!$J$5+('模拟-全程加成'!$I$4+'模拟-全程加成'!$I$5)/系数!$B$4+BG458*10%)+(1-('模拟-全程加成'!$J$3+'模拟-全程加成'!$J$4+'模拟-全程加成'!$J$5+('模拟-全程加成'!$I$4+'模拟-全程加成'!$I$5)/系数!$B$4+BG458*10%)-$F$10-$F$11)+F444*0.25),0)*'模拟-单技能数据'!$I$24</f>
        <v>0</v>
      </c>
      <c r="BG458" s="115" t="b">
        <f ca="1">OR(AND(OR(C458="烈日斩",C458="银月斩"),模拟模式!$I$7="净身明礼"),AND(C458="净世破魔击·日",模拟模式!$J$7="洞若观火"),AND(C459="净世破魔击·月",模拟模式!$J$7="洞若观火"),AB458=1)</f>
        <v>1</v>
      </c>
      <c r="BH458" s="115" t="b">
        <f t="shared" ca="1" si="387"/>
        <v>0</v>
      </c>
      <c r="BI458" s="115">
        <f t="shared" ca="1" si="406"/>
        <v>0</v>
      </c>
      <c r="BJ458" s="115" t="b">
        <f t="shared" ca="1" si="417"/>
        <v>0</v>
      </c>
      <c r="BK458" s="115" t="b">
        <f ca="1">AND(C458="驱夜断愁",模拟模式!$P$7="天地诛戮")</f>
        <v>0</v>
      </c>
      <c r="BL458" s="57">
        <f t="shared" ca="1" si="407"/>
        <v>15.387500000000003</v>
      </c>
      <c r="BM458" s="115" t="b">
        <f t="shared" ca="1" si="418"/>
        <v>1</v>
      </c>
      <c r="BN458" s="115" t="b">
        <f ca="1">AND(OR(C458="赤日轮1",C458="赤日轮2",C458="赤日轮3",C458="幽月轮1",C458="幽月轮2",C458="幽月轮3"),AB458=1,模拟模式!$L$7="明光恒照")</f>
        <v>1</v>
      </c>
      <c r="BO458" s="117">
        <f t="shared" ca="1" si="408"/>
        <v>30</v>
      </c>
      <c r="BP458" s="115">
        <f t="shared" ca="1" si="388"/>
        <v>6</v>
      </c>
      <c r="BQ458" s="115" t="b">
        <f>模拟模式!$K$10="2600·水"</f>
        <v>0</v>
      </c>
      <c r="BR458" s="117">
        <f t="shared" si="389"/>
        <v>0</v>
      </c>
      <c r="BS458" s="115">
        <f t="shared" si="390"/>
        <v>0</v>
      </c>
      <c r="BT458" s="115">
        <f t="shared" ca="1" si="391"/>
        <v>0</v>
      </c>
      <c r="BU458" s="115" t="b">
        <f ca="1">AND(模拟模式!$K$10="2300·雷",BT457=0,RAND()&lt;IF(C458="净世破魔击·月",5*0.05*2/3,IF(C458="净世破魔击·日",3*0.05*2/3,0.05*2*2/3)))</f>
        <v>0</v>
      </c>
      <c r="BV458" s="115">
        <f t="shared" ca="1" si="392"/>
        <v>0</v>
      </c>
      <c r="BW458" s="115">
        <f t="shared" ca="1" si="393"/>
        <v>157.85999999999967</v>
      </c>
      <c r="BX458" s="164" t="b">
        <f t="shared" ca="1" si="394"/>
        <v>0</v>
      </c>
      <c r="BY458" s="115">
        <f t="shared" ca="1" si="395"/>
        <v>0</v>
      </c>
      <c r="BZ458" s="115">
        <f>IF(OR(模拟模式!$P$16="10人团",模拟模式!$P$16="25人团"),IF(B458/30&gt;CA457,1,0),0)</f>
        <v>0</v>
      </c>
      <c r="CA458" s="115">
        <f t="shared" si="371"/>
        <v>0</v>
      </c>
      <c r="CB458" s="115">
        <f ca="1">IF(BZ458=1,IF(模拟模式!$P$16="10人团",15,0)+IF(模拟模式!$P$16="25人团",IF(RAND()&lt;0.6,15,0)),MAX(0,CB457-$F$4))</f>
        <v>0</v>
      </c>
      <c r="CC458" s="115" t="b">
        <f t="shared" ca="1" si="419"/>
        <v>0</v>
      </c>
      <c r="CD458" s="115">
        <f>IF(模拟模式!$Q$16="1个",IF(B458/40&gt;CE457,1,0),0)</f>
        <v>0</v>
      </c>
      <c r="CE458" s="115">
        <f t="shared" si="420"/>
        <v>0</v>
      </c>
      <c r="CF458" s="115">
        <f>IF(OR(CD458=1,模拟模式!$Q$16="2个"),20,MAX(0,CF457-$F$4))</f>
        <v>0</v>
      </c>
      <c r="CG458" s="115" t="b">
        <f t="shared" si="421"/>
        <v>0</v>
      </c>
      <c r="CH458" s="115">
        <f t="shared" ca="1" si="396"/>
        <v>11.550000000000011</v>
      </c>
      <c r="CI458" s="115" t="b">
        <f t="shared" ca="1" si="397"/>
        <v>0</v>
      </c>
      <c r="CJ458" s="119">
        <f t="shared" ca="1" si="398"/>
        <v>0</v>
      </c>
      <c r="CK458" s="115">
        <f t="shared" ca="1" si="399"/>
        <v>0</v>
      </c>
      <c r="CL458" s="115" t="b">
        <f ca="1">AND(模拟模式!$S$7="驱夷逐法",OR(AND(C458="净世破魔击·月",E457&gt;59),AND(C458="净世破魔击·日",F457&gt;59)))</f>
        <v>0</v>
      </c>
      <c r="CM458" s="115" t="b">
        <f ca="1">OR(CL458,AND(C458="净世破魔击·日",CL457,RAND()&lt;模拟模式!$U$23))</f>
        <v>0</v>
      </c>
      <c r="CN458" s="115" t="b">
        <f ca="1">IF(模拟模式!$M$7="辉耀红尘",AND(C458="净世破魔击·月",CL458,CV458=0,E457&lt;80),AND(C458="净世破魔击·月",CL458,E457&lt;100))</f>
        <v>0</v>
      </c>
      <c r="CO458" s="115" t="b">
        <f t="shared" ca="1" si="372"/>
        <v>0</v>
      </c>
      <c r="CP458" s="115" t="b">
        <f ca="1">AND(模拟模式!$O$7="用晦而明",OR(C458="净世破魔击·日",C458="净世破魔击·月",C458="驱夜断愁"),AB458)</f>
        <v>0</v>
      </c>
      <c r="CQ458" s="115" t="b">
        <f ca="1">OR(CP458,AND(CP457,RAND()&lt;模拟模式!$U$23))</f>
        <v>1</v>
      </c>
      <c r="CR458" s="115" t="b">
        <f ca="1">AND(模拟模式!$S$7="日月齐光",OR(C458="幽月轮1",C458="幽月轮2",C458="幽月轮3",CR457),NOT(OR(C458="赤日轮1",C458="赤日轮2",C458="赤日轮3")))</f>
        <v>0</v>
      </c>
      <c r="CS458" s="115" t="b">
        <f ca="1">AND(模拟模式!$S$7="日月齐光",OR(C458="赤日轮1",C458="赤日轮2",C458="赤日轮3",CS457),NOT(OR(C458="幽月轮1",C458="幽月轮2",C458="幽月轮3")))</f>
        <v>0</v>
      </c>
      <c r="CT458" s="115">
        <f t="shared" ca="1" si="400"/>
        <v>0</v>
      </c>
      <c r="CU458" s="115" t="b">
        <f ca="1">AND(模拟模式!$K$10="阴阳往极",CT457=0,RAND()&lt;IF(C458="净世破魔击·月",0.0275*7/3,IF(C458="净世破魔击·日",0.0275*3/3,0.0275*2/3)))</f>
        <v>0</v>
      </c>
      <c r="CV458" s="115">
        <f t="shared" ca="1" si="401"/>
        <v>0</v>
      </c>
      <c r="CW458" s="115">
        <f t="shared" ca="1" si="373"/>
        <v>2.3099999999999996</v>
      </c>
      <c r="CX458" s="115">
        <f t="shared" ca="1" si="374"/>
        <v>0.46499999999999975</v>
      </c>
      <c r="CY458" s="115">
        <f ca="1">MAX(IF($C458="驱夜断愁",IF(模拟模式!$R$7="万念俱寂",6,45),CY457-$F$4),0)</f>
        <v>1.3874999999999997</v>
      </c>
      <c r="CZ458" s="115">
        <f t="shared" ca="1" si="375"/>
        <v>0</v>
      </c>
      <c r="DA458" s="115">
        <f ca="1">IF(模拟模式!$N$7="日月同辉",IF(DB457=2,0,MIN(6,IF(AND(OR(C458="赤日轮1",C458="赤日轮2",C458="赤日轮3",C458="幽月轮1",C458="幽月轮2",C458="幽月轮3"),AB458=1),DA457+1,DA457))),0)</f>
        <v>4</v>
      </c>
      <c r="DB458" s="115">
        <f t="shared" ca="1" si="376"/>
        <v>0</v>
      </c>
      <c r="DC458" s="115"/>
      <c r="DD458" s="115"/>
      <c r="DE458" s="115"/>
      <c r="DF458" s="115"/>
      <c r="DG458" s="115"/>
      <c r="DH458" s="115"/>
      <c r="DI458" s="115"/>
      <c r="DJ458" s="115"/>
      <c r="DK458" s="115"/>
      <c r="DL458" s="115"/>
      <c r="DM458" s="115"/>
    </row>
    <row r="459" spans="2:117" x14ac:dyDescent="0.2">
      <c r="B459" s="117">
        <f t="shared" si="377"/>
        <v>398.5200000000039</v>
      </c>
      <c r="C459" s="167" t="str">
        <f t="shared" ca="1" si="370"/>
        <v>银月斩</v>
      </c>
      <c r="D459" s="115">
        <f ca="1">IF(C459="赤日轮1",1,IF(C459="赤日轮2",2,IF(C459="赤日轮3",3,IF(C459="幽月轮1",4,IF(C459="幽月轮2",5,IF(C459="幽月轮3",6,IF(C459="烈日斩",7,IF(C459="银月斩",8,IF(C459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459="净世破魔击·月",17,IF(C459="驱夜断愁",18,0)))))))))))</f>
        <v>8</v>
      </c>
      <c r="E459" s="115">
        <f ca="1">IF(AND(CU459,OR(C459="幽月轮1",C459="幽月轮2",C459="幽月轮3",C459="银月斩",C459="驱夜断愁",C459="净世破魔击·月")),100,MIN(IF(OR(CN459,BE459),0,IF(OR($C459="赤日轮1",$C459="赤日轮2",$C459="赤日轮3"),E458+20+IF(模拟模式!$I$7="日月凌天",4,0)+IF(CR458,20,0),IF($C459="烈日斩",E458+40,IF($C459="驱夜断愁",IF(模拟模式!$R$7="万念俱寂",E458+20,E458+60),IF($C459="净世破魔击·月",IF(OR(DB458&gt;0,CV458&gt;0),100,IF(模拟模式!$M$7="辉耀红尘",E458+20,E458)),IF($C459="净世破魔击·日",E458-100,E458)))))),100))</f>
        <v>20</v>
      </c>
      <c r="F459" s="115">
        <f ca="1">IF(AND(CU459,OR(C459="赤日轮1",C459="赤日轮2",C459="赤日轮3",C459="烈日斩",C459="净世破魔击·日")),100,MIN(IF(CO459,0,IF(OR($C459="幽月轮1",$C459="幽月轮2",$C459="幽月轮3"),F458+20+IF(模拟模式!$I$7="日月凌天",4,0)+IF(CS458,20,0),IF($C459="银月斩",F458+40+IF(模拟模式!$X$12=1,5,0),IF($C459="驱夜断愁",IF(模拟模式!$R$7="万念俱寂",F458+20,F458+60),IF($C459="净世破魔击·月",IF(模拟模式!$M$7="辉耀红尘",F458-80,F458-100),IF(AND(C459="净世破魔击·日",OR(DB458&gt;0,CV458&gt;0)),100,F458)))))),100))</f>
        <v>65</v>
      </c>
      <c r="G459" s="117">
        <f ca="1">('模拟-全程加成'!$E$3+'模拟-全程加成'!$E$4+'模拟-全程加成'!$E$5+('模拟-全程加成'!$C$6-'模拟-全程加成'!$C$3)*系数!$B$9+BS459*23)*(1+'模拟-全程加成'!$F$4+'模拟-全程加成'!$F$5+BJ459*10%+BM459*20%+BP459*4%+CG459*30%)+$F$7*系数!$B$12</f>
        <v>20583.127400000001</v>
      </c>
      <c r="H459" s="45">
        <f ca="1">'模拟-全程加成'!$H$3+'模拟-全程加成'!$H$4+'模拟-全程加成'!$H$5+('模拟-全程加成'!$G$4+'模拟-全程加成'!$G$5+('模拟-全程加成'!$C$6-'模拟-全程加成'!$C$3)*系数!$B$13)/系数!$B$3+LOOKUP(D459,'模拟-单技能数据'!$A$2:$A$19,'模拟-单技能数据'!$K$2:$K$19)+BG459*10%+IF(BV459&gt;0,378,0)</f>
        <v>0.64185145527300214</v>
      </c>
      <c r="I459" s="45">
        <f ca="1">'模拟-全程加成'!$J$3+'模拟-全程加成'!$J$4+'模拟-全程加成'!$J$5+('模拟-全程加成'!$I$4+'模拟-全程加成'!$I$5)/系数!$B$4+LOOKUP(D459,'模拟-单技能数据'!$A$2:$A$19,'模拟-单技能数据'!$L$2:$L$19)+BG459*10%</f>
        <v>2.2624828854998791</v>
      </c>
      <c r="J459" s="45">
        <f ca="1">(('模拟-全程加成'!$K$3+'模拟-全程加成'!$K$4+'模拟-全程加成'!$K$5+('模拟-全程加成'!$C$6-'模拟-全程加成'!$C$3)*系数!$B$10+IF(BV459&gt;0,882,0)+IF(BY459&gt;0,1831,0))*(1+'模拟-全程加成'!$L$4+'模拟-全程加成'!$L$5+CC459*20%))/系数!$B$5</f>
        <v>0.69723220422048726</v>
      </c>
      <c r="K459" s="119">
        <f ca="1">LOOKUP(D459,'模拟-单技能数据'!$A$2:$A$19,'模拟-单技能数据'!$J$2:$J$19)+IF(CM459,60%,0)+IF(DB458-DB459&gt;0,30%,0)+IF(OR(AND(OR(C459="赤日轮1",C459="赤日轮2",C459="赤日轮3"),CR459),AND(OR(C459="幽月轮1",C459="幽月轮2",C459="幽月轮3"),CS459)),35%,0)+CJ459</f>
        <v>0.15</v>
      </c>
      <c r="L459" s="119">
        <f ca="1">IF(AND(C459="烈日斩",模拟模式!$X$11=1),10%,0)+IF(AND(C459="驱夜断愁",AB459=1),30%,0)</f>
        <v>0</v>
      </c>
      <c r="M459" s="45">
        <f t="shared" ca="1" si="409"/>
        <v>0.64185145527300214</v>
      </c>
      <c r="N459" s="45">
        <f t="shared" ca="1" si="410"/>
        <v>0.30424854472699792</v>
      </c>
      <c r="O459" s="46">
        <f t="shared" ca="1" si="378"/>
        <v>0.80231822466374036</v>
      </c>
      <c r="P459" s="46" t="str">
        <f t="shared" ca="1" si="379"/>
        <v>命</v>
      </c>
      <c r="Q459" s="45">
        <f t="shared" ca="1" si="380"/>
        <v>1</v>
      </c>
      <c r="R459" s="117">
        <f ca="1">模拟模式!$E$20*(1-IF(模拟模式!$J$19="有",0.15,0))*(1-IF(模拟模式!$K$19="有",0.3,0)-IF(CQ459,0.5,0))</f>
        <v>2950.6049999999996</v>
      </c>
      <c r="S459" s="45">
        <f ca="1">R459/(R459+(185*模拟模式!$E$22-16800)*4.08224)</f>
        <v>0.24272716014590323</v>
      </c>
      <c r="T459" s="45" t="str">
        <f ca="1">LOOKUP(D459,'模拟-单技能数据'!$A$2:$A$19,'模拟-单技能数据'!$H$2:$H$19)</f>
        <v>阴</v>
      </c>
      <c r="U459" s="119">
        <f t="shared" ca="1" si="411"/>
        <v>0.08</v>
      </c>
      <c r="V459" s="47">
        <f ca="1">(1+L459)*(LOOKUP(D459,'模拟-单技能数据'!$A$2:$A$19,'模拟-单技能数据'!$D$2:$D$19)+G459*LOOKUP(D459,'模拟-单技能数据'!$A$2:$A$19,'模拟-单技能数据'!$F$2:$F$19))*(1+J459)*(1+K459)*(1-S459)*(1+U459)*Q459*LOOKUP(D459,'模拟-单技能数据'!$A$2:$A$19,'模拟-单技能数据'!$I$2:$I$20)</f>
        <v>17450.434922549593</v>
      </c>
      <c r="W459" s="47">
        <f ca="1">LOOKUP(D459,'模拟-单技能数据'!$A$2:$A$19,'模拟-单技能数据'!$G$2:$G$19)*$I$10</f>
        <v>361.51064354704795</v>
      </c>
      <c r="X459" s="47">
        <f t="shared" ca="1" si="381"/>
        <v>19874.713753650052</v>
      </c>
      <c r="Y459" s="47">
        <f t="shared" ca="1" si="412"/>
        <v>37686.659319746694</v>
      </c>
      <c r="Z459" s="49">
        <f t="shared" ca="1" si="413"/>
        <v>45171520.078554071</v>
      </c>
      <c r="AA459" s="97">
        <f t="shared" ca="1" si="414"/>
        <v>113348.18849381118</v>
      </c>
      <c r="AB459" s="115">
        <f ca="1">IF(OR(C459="赤日轮1",C459="赤日轮2",C459="赤日轮3"),IF(RAND()&lt;模拟模式!$Y$17,1,0),IF(OR(C459="幽月轮1",C459="幽月轮2",C459="幽月轮3"),IF(RAND()&lt;模拟模式!$Y$18,1,0),IF(C459="烈日斩",IF(RAND()&lt;模拟模式!$Y$19,1,0),IF(C459="银月斩",IF(RAND()&lt;模拟模式!$Y$20,1,0),IF(C459="驱夜断愁",IF(RAND()&lt;模拟模式!$Y$21,1,0),IF(C459="净世破魔击·日",IF(RAND()&lt;模拟模式!$Y$22,1,0),IF(C459="净世破魔击·月",IF(RAND()&lt;模拟模式!$Y$23,1,0),0)))))))</f>
        <v>1</v>
      </c>
      <c r="AC459" s="115" t="b">
        <f t="shared" ca="1" si="402"/>
        <v>1</v>
      </c>
      <c r="AD459" s="115" t="b">
        <f t="shared" ca="1" si="422"/>
        <v>0</v>
      </c>
      <c r="AE459" s="115">
        <f t="shared" ca="1" si="423"/>
        <v>6</v>
      </c>
      <c r="AF459" s="47">
        <f ca="1">IF(AC459,('模拟-单技能数据'!$D$20+G459*'模拟-单技能数据'!$F$20)*(1+J459)*(1+'模拟-单技能数据'!$J$20)*(1+U459),0)</f>
        <v>4447.8565560098323</v>
      </c>
      <c r="AG459" s="61">
        <f t="shared" ca="1" si="415"/>
        <v>0.64185145527300214</v>
      </c>
      <c r="AH459" s="61">
        <f t="shared" ca="1" si="416"/>
        <v>2.2624828854998791</v>
      </c>
      <c r="AI459" s="62">
        <f t="shared" ca="1" si="382"/>
        <v>0.95063295100794332</v>
      </c>
      <c r="AJ459" s="47">
        <f ca="1">IF(AD459,IF(AI459&lt;$F$10,0,IF(AI459&lt;$F$10+$F$11,0.25,IF(AI459&lt;$F$10+$F$11+AG459,AH459,1)))*IF(AF459&gt;0,AF459,IF(AF458&gt;0,AF458,IF(AF457&gt;0,AF457,IF(AF456&gt;0,AF456,IF(AF455&gt;0,AF455,IF(AF454&gt;0,AF454,IF(AF453&gt;0,AF453,IF(AF452&gt;0,AF452,IF(AF451&gt;0,AF451,IF(AF449&gt;0,AF449,IF(AF448&gt;0,AF448,IF(AF447&gt;0,AF447,0)))))))))))),0)*(1-$S459)*'模拟-单技能数据'!$I$20</f>
        <v>0</v>
      </c>
      <c r="AK459" s="115" t="b">
        <f t="shared" ca="1" si="403"/>
        <v>0</v>
      </c>
      <c r="AL459" s="115" t="b">
        <f t="shared" ca="1" si="424"/>
        <v>1</v>
      </c>
      <c r="AM459" s="115">
        <f t="shared" ca="1" si="425"/>
        <v>4</v>
      </c>
      <c r="AN459" s="47">
        <f ca="1">IF(AK459,('模拟-单技能数据'!$D$21+G459*'模拟-单技能数据'!$F$21)*(1+J459)*(1+'模拟-单技能数据'!$J$21)*(1+U459),0)</f>
        <v>0</v>
      </c>
      <c r="AO459" s="61">
        <f ca="1">IF(AN459&gt;0,M459-'模拟-单技能数据'!$K$10,AO458)</f>
        <v>0.42185145527300216</v>
      </c>
      <c r="AP459" s="61">
        <f ca="1">IF(AN459&gt;0,I459-'模拟-单技能数据'!$L$10,AP458)</f>
        <v>2.162482885499879</v>
      </c>
      <c r="AQ459" s="63">
        <f t="shared" ca="1" si="383"/>
        <v>0.37951533614389721</v>
      </c>
      <c r="AR459" s="64">
        <f ca="1">IF(AL459,IF(AQ459&lt;$F$10,0,IF(AQ459&lt;$F$10+$F$11,0.25,IF(AQ459&lt;$F$10+$F$11+AO459,AP459,1)))*IF(AN459&gt;0,AN459,IF(AN458&gt;0,AN458,IF(AN457&gt;0,AN457,IF(AN456&gt;0,AN456,IF(AN455&gt;0,AN455,IF(AN454&gt;0,AN454,IF(AN453&gt;0,AN453,IF(AN452&gt;0,AN452,IF(AN451&gt;0,AN451,IF(AN449&gt;0,AN449,IF(AN448&gt;0,AN448,IF(AN447&gt;0,AN447,0)))))))))))),0)*(1-$S459)*'模拟-单技能数据'!$I$21</f>
        <v>19874.713753650052</v>
      </c>
      <c r="AS459" s="61">
        <f ca="1">IF(OR(C459="净世破魔击·日",C459="净世破魔击·月"),M459-'模拟-单技能数据'!$K$10,0)</f>
        <v>0</v>
      </c>
      <c r="AT459" s="61">
        <f ca="1">IF(OR(C459="净世破魔击·日",C459="净世破魔击·月"),I459-'模拟-单技能数据'!$L$10,0)</f>
        <v>0</v>
      </c>
      <c r="AU459" s="62">
        <f t="shared" ca="1" si="384"/>
        <v>0.22141674147132762</v>
      </c>
      <c r="AV459" s="64">
        <f ca="1">IF(AS459&gt;0,('模拟-单技能数据'!$D$22+G459*'模拟-单技能数据'!$F$22)*(1+J459)*(1-S459)*IF(AU459&lt;$F$10,0,IF(AU459&lt;$F$10+$F$11,0.25,IF(AU459&lt;$F$10+$F$11+AS459,AT459,1)))*(1+U459),0)*'模拟-单技能数据'!$I$22</f>
        <v>0</v>
      </c>
      <c r="AW459" s="108">
        <f t="shared" ca="1" si="385"/>
        <v>0</v>
      </c>
      <c r="AX459" s="108" t="b">
        <f ca="1">AND(模拟模式!$P$10="有",AW458=0,RAND()&lt;IF(C459="净世破魔击·月",0.1*8/3,IF(C459="净世破魔击·日",0.1*4/3,0.1*2/3)))</f>
        <v>0</v>
      </c>
      <c r="AY459" s="47">
        <f ca="1">IF(AX459,(18+G459*0.722)*(1+J459)*(1-S459)*(1+$I$4)*IF(P459="会",'模拟-全程加成'!$J$3+'模拟-全程加成'!$J$4+'模拟-全程加成'!$J$5+('模拟-全程加成'!$I$4+'模拟-全程加成'!$I$5)/系数!$B$4+BG459*10%,IF(P459="命",1,IF(P459="识",0.25,0))),0)</f>
        <v>0</v>
      </c>
      <c r="AZ459" s="108">
        <f t="shared" si="386"/>
        <v>7.0850000000000071</v>
      </c>
      <c r="BA459" s="108" t="b">
        <f>AND(模拟模式!$Q$10="有",AZ458=0)</f>
        <v>0</v>
      </c>
      <c r="BB459" s="140">
        <f>IF(BA459,(0+G459*0.287)*(1+J459)*(1-S459)*(1+$I$4)*IF(P459="会",'模拟-全程加成'!$J$3+'模拟-全程加成'!$J$4+'模拟-全程加成'!$J$5+('模拟-全程加成'!$I$4+'模拟-全程加成'!$I$5)/系数!$B$4+BG459*10%,IF(P459="命",1,IF(P459="识",0.25,0))),0)</f>
        <v>0</v>
      </c>
      <c r="BC459" s="115" t="b">
        <f ca="1">AND(模拟模式!$R$7="伏明众生",E459=60,F459=20,DA459&lt;5,CZ458&lt;$F$4)</f>
        <v>0</v>
      </c>
      <c r="BD459" s="115">
        <f t="shared" ca="1" si="404"/>
        <v>0</v>
      </c>
      <c r="BE459" s="115" t="b">
        <f t="shared" ca="1" si="405"/>
        <v>0</v>
      </c>
      <c r="BF459" s="47">
        <f ca="1">IF(BC459,4*('模拟-单技能数据'!$D$24+G459*'模拟-单技能数据'!$F$24)*(1+J459)*(1+'模拟-单技能数据'!$J$24)*(1-S459)*(1+$I$3)*(('模拟-全程加成'!$J$3+'模拟-全程加成'!$J$4+'模拟-全程加成'!$J$5+('模拟-全程加成'!$I$4+'模拟-全程加成'!$I$5)/系数!$B$4+BG459*10%)*('模拟-全程加成'!$J$3+'模拟-全程加成'!$J$4+'模拟-全程加成'!$J$5+('模拟-全程加成'!$I$4+'模拟-全程加成'!$I$5)/系数!$B$4+BG459*10%)+(1-('模拟-全程加成'!$J$3+'模拟-全程加成'!$J$4+'模拟-全程加成'!$J$5+('模拟-全程加成'!$I$4+'模拟-全程加成'!$I$5)/系数!$B$4+BG459*10%)-$F$10-$F$11)+F445*0.25),0)*'模拟-单技能数据'!$I$24</f>
        <v>0</v>
      </c>
      <c r="BG459" s="115" t="b">
        <f ca="1">OR(AND(OR(C459="烈日斩",C459="银月斩"),模拟模式!$I$7="净身明礼"),AND(C459="净世破魔击·日",模拟模式!$J$7="洞若观火"),AND(C460="净世破魔击·月",模拟模式!$J$7="洞若观火"),AB459=1)</f>
        <v>1</v>
      </c>
      <c r="BH459" s="115" t="b">
        <f t="shared" ca="1" si="387"/>
        <v>0</v>
      </c>
      <c r="BI459" s="115">
        <f t="shared" ca="1" si="406"/>
        <v>0</v>
      </c>
      <c r="BJ459" s="115" t="b">
        <f t="shared" ca="1" si="417"/>
        <v>0</v>
      </c>
      <c r="BK459" s="115" t="b">
        <f ca="1">AND(C459="驱夜断愁",模拟模式!$P$7="天地诛戮")</f>
        <v>0</v>
      </c>
      <c r="BL459" s="57">
        <f t="shared" ca="1" si="407"/>
        <v>14.465000000000003</v>
      </c>
      <c r="BM459" s="115" t="b">
        <f t="shared" ca="1" si="418"/>
        <v>1</v>
      </c>
      <c r="BN459" s="115" t="b">
        <f ca="1">AND(OR(C459="赤日轮1",C459="赤日轮2",C459="赤日轮3",C459="幽月轮1",C459="幽月轮2",C459="幽月轮3"),AB459=1,模拟模式!$L$7="明光恒照")</f>
        <v>0</v>
      </c>
      <c r="BO459" s="117">
        <f t="shared" ca="1" si="408"/>
        <v>29.077500000000001</v>
      </c>
      <c r="BP459" s="115">
        <f t="shared" ca="1" si="388"/>
        <v>6</v>
      </c>
      <c r="BQ459" s="115" t="b">
        <f>模拟模式!$K$10="2600·水"</f>
        <v>0</v>
      </c>
      <c r="BR459" s="117">
        <f t="shared" si="389"/>
        <v>0</v>
      </c>
      <c r="BS459" s="115">
        <f t="shared" si="390"/>
        <v>0</v>
      </c>
      <c r="BT459" s="115">
        <f t="shared" ca="1" si="391"/>
        <v>0</v>
      </c>
      <c r="BU459" s="115" t="b">
        <f ca="1">AND(模拟模式!$K$10="2300·雷",BT458=0,RAND()&lt;IF(C459="净世破魔击·月",5*0.05*2/3,IF(C459="净世破魔击·日",3*0.05*2/3,0.05*2*2/3)))</f>
        <v>0</v>
      </c>
      <c r="BV459" s="115">
        <f t="shared" ca="1" si="392"/>
        <v>0</v>
      </c>
      <c r="BW459" s="115">
        <f t="shared" ca="1" si="393"/>
        <v>156.93749999999966</v>
      </c>
      <c r="BX459" s="164" t="b">
        <f t="shared" ca="1" si="394"/>
        <v>0</v>
      </c>
      <c r="BY459" s="115">
        <f t="shared" ca="1" si="395"/>
        <v>0</v>
      </c>
      <c r="BZ459" s="115">
        <f>IF(OR(模拟模式!$P$16="10人团",模拟模式!$P$16="25人团"),IF(B459/30&gt;CA458,1,0),0)</f>
        <v>0</v>
      </c>
      <c r="CA459" s="115">
        <f t="shared" si="371"/>
        <v>0</v>
      </c>
      <c r="CB459" s="115">
        <f ca="1">IF(BZ459=1,IF(模拟模式!$P$16="10人团",15,0)+IF(模拟模式!$P$16="25人团",IF(RAND()&lt;0.6,15,0)),MAX(0,CB458-$F$4))</f>
        <v>0</v>
      </c>
      <c r="CC459" s="115" t="b">
        <f t="shared" ca="1" si="419"/>
        <v>0</v>
      </c>
      <c r="CD459" s="115">
        <f>IF(模拟模式!$Q$16="1个",IF(B459/40&gt;CE458,1,0),0)</f>
        <v>0</v>
      </c>
      <c r="CE459" s="115">
        <f t="shared" si="420"/>
        <v>0</v>
      </c>
      <c r="CF459" s="115">
        <f>IF(OR(CD459=1,模拟模式!$Q$16="2个"),20,MAX(0,CF458-$F$4))</f>
        <v>0</v>
      </c>
      <c r="CG459" s="115" t="b">
        <f t="shared" si="421"/>
        <v>0</v>
      </c>
      <c r="CH459" s="115">
        <f t="shared" ca="1" si="396"/>
        <v>10.627500000000012</v>
      </c>
      <c r="CI459" s="115" t="b">
        <f t="shared" ca="1" si="397"/>
        <v>0</v>
      </c>
      <c r="CJ459" s="119">
        <f t="shared" ca="1" si="398"/>
        <v>0</v>
      </c>
      <c r="CK459" s="115">
        <f t="shared" ca="1" si="399"/>
        <v>0</v>
      </c>
      <c r="CL459" s="115" t="b">
        <f ca="1">AND(模拟模式!$S$7="驱夷逐法",OR(AND(C459="净世破魔击·月",E458&gt;59),AND(C459="净世破魔击·日",F458&gt;59)))</f>
        <v>0</v>
      </c>
      <c r="CM459" s="115" t="b">
        <f ca="1">OR(CL459,AND(C459="净世破魔击·日",CL458,RAND()&lt;模拟模式!$U$23))</f>
        <v>0</v>
      </c>
      <c r="CN459" s="115" t="b">
        <f ca="1">IF(模拟模式!$M$7="辉耀红尘",AND(C459="净世破魔击·月",CL459,CV459=0,E458&lt;80),AND(C459="净世破魔击·月",CL459,E458&lt;100))</f>
        <v>0</v>
      </c>
      <c r="CO459" s="115" t="b">
        <f t="shared" ca="1" si="372"/>
        <v>0</v>
      </c>
      <c r="CP459" s="115" t="b">
        <f ca="1">AND(模拟模式!$O$7="用晦而明",OR(C459="净世破魔击·日",C459="净世破魔击·月",C459="驱夜断愁"),AB459)</f>
        <v>0</v>
      </c>
      <c r="CQ459" s="115" t="b">
        <f ca="1">OR(CP459,AND(CP458,RAND()&lt;模拟模式!$U$23))</f>
        <v>0</v>
      </c>
      <c r="CR459" s="115" t="b">
        <f ca="1">AND(模拟模式!$S$7="日月齐光",OR(C459="幽月轮1",C459="幽月轮2",C459="幽月轮3",CR458),NOT(OR(C459="赤日轮1",C459="赤日轮2",C459="赤日轮3")))</f>
        <v>0</v>
      </c>
      <c r="CS459" s="115" t="b">
        <f ca="1">AND(模拟模式!$S$7="日月齐光",OR(C459="赤日轮1",C459="赤日轮2",C459="赤日轮3",CS458),NOT(OR(C459="幽月轮1",C459="幽月轮2",C459="幽月轮3")))</f>
        <v>0</v>
      </c>
      <c r="CT459" s="115">
        <f t="shared" ca="1" si="400"/>
        <v>0</v>
      </c>
      <c r="CU459" s="115" t="b">
        <f ca="1">AND(模拟模式!$K$10="阴阳往极",CT458=0,RAND()&lt;IF(C459="净世破魔击·月",0.0275*7/3,IF(C459="净世破魔击·日",0.0275*3/3,0.0275*2/3)))</f>
        <v>0</v>
      </c>
      <c r="CV459" s="115">
        <f t="shared" ca="1" si="401"/>
        <v>0</v>
      </c>
      <c r="CW459" s="115">
        <f t="shared" ca="1" si="373"/>
        <v>1.3874999999999997</v>
      </c>
      <c r="CX459" s="115">
        <f t="shared" ca="1" si="374"/>
        <v>6</v>
      </c>
      <c r="CY459" s="115">
        <f ca="1">MAX(IF($C459="驱夜断愁",IF(模拟模式!$R$7="万念俱寂",6,45),CY458-$F$4),0)</f>
        <v>0.46499999999999975</v>
      </c>
      <c r="CZ459" s="115">
        <f t="shared" ca="1" si="375"/>
        <v>0</v>
      </c>
      <c r="DA459" s="115">
        <f ca="1">IF(模拟模式!$N$7="日月同辉",IF(DB458=2,0,MIN(6,IF(AND(OR(C459="赤日轮1",C459="赤日轮2",C459="赤日轮3",C459="幽月轮1",C459="幽月轮2",C459="幽月轮3"),AB459=1),DA458+1,DA458))),0)</f>
        <v>4</v>
      </c>
      <c r="DB459" s="115">
        <f t="shared" ca="1" si="376"/>
        <v>0</v>
      </c>
      <c r="DC459" s="115"/>
      <c r="DD459" s="115"/>
      <c r="DE459" s="115"/>
      <c r="DF459" s="115"/>
      <c r="DG459" s="115"/>
      <c r="DH459" s="115"/>
      <c r="DI459" s="115"/>
      <c r="DJ459" s="115"/>
      <c r="DK459" s="115"/>
      <c r="DL459" s="115"/>
      <c r="DM459" s="115"/>
    </row>
    <row r="460" spans="2:117" x14ac:dyDescent="0.2">
      <c r="B460" s="117">
        <f t="shared" si="377"/>
        <v>399.44250000000392</v>
      </c>
      <c r="C460" s="167" t="str">
        <f t="shared" ca="1" si="370"/>
        <v>驱夜断愁</v>
      </c>
      <c r="D460" s="115">
        <f ca="1">IF(C460="赤日轮1",1,IF(C460="赤日轮2",2,IF(C460="赤日轮3",3,IF(C460="幽月轮1",4,IF(C460="幽月轮2",5,IF(C460="幽月轮3",6,IF(C460="烈日斩",7,IF(C460="银月斩",8,IF(C460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460="净世破魔击·月",17,IF(C460="驱夜断愁",18,0)))))))))))</f>
        <v>18</v>
      </c>
      <c r="E460" s="115">
        <f ca="1">IF(AND(CU460,OR(C460="幽月轮1",C460="幽月轮2",C460="幽月轮3",C460="银月斩",C460="驱夜断愁",C460="净世破魔击·月")),100,MIN(IF(OR(CN460,BE460),0,IF(OR($C460="赤日轮1",$C460="赤日轮2",$C460="赤日轮3"),E459+20+IF(模拟模式!$I$7="日月凌天",4,0)+IF(CR459,20,0),IF($C460="烈日斩",E459+40,IF($C460="驱夜断愁",IF(模拟模式!$R$7="万念俱寂",E459+20,E459+60),IF($C460="净世破魔击·月",IF(OR(DB459&gt;0,CV459&gt;0),100,IF(模拟模式!$M$7="辉耀红尘",E459+20,E459)),IF($C460="净世破魔击·日",E459-100,E459)))))),100))</f>
        <v>40</v>
      </c>
      <c r="F460" s="115">
        <f ca="1">IF(AND(CU460,OR(C460="赤日轮1",C460="赤日轮2",C460="赤日轮3",C460="烈日斩",C460="净世破魔击·日")),100,MIN(IF(CO460,0,IF(OR($C460="幽月轮1",$C460="幽月轮2",$C460="幽月轮3"),F459+20+IF(模拟模式!$I$7="日月凌天",4,0)+IF(CS459,20,0),IF($C460="银月斩",F459+40+IF(模拟模式!$X$12=1,5,0),IF($C460="驱夜断愁",IF(模拟模式!$R$7="万念俱寂",F459+20,F459+60),IF($C460="净世破魔击·月",IF(模拟模式!$M$7="辉耀红尘",F459-80,F459-100),IF(AND(C460="净世破魔击·日",OR(DB459&gt;0,CV459&gt;0)),100,F459)))))),100))</f>
        <v>85</v>
      </c>
      <c r="G460" s="117">
        <f ca="1">('模拟-全程加成'!$E$3+'模拟-全程加成'!$E$4+'模拟-全程加成'!$E$5+('模拟-全程加成'!$C$6-'模拟-全程加成'!$C$3)*系数!$B$9+BS460*23)*(1+'模拟-全程加成'!$F$4+'模拟-全程加成'!$F$5+BJ460*10%+BM460*20%+BP460*4%+CG460*30%)+$F$7*系数!$B$12</f>
        <v>20583.127400000001</v>
      </c>
      <c r="H460" s="45">
        <f ca="1">'模拟-全程加成'!$H$3+'模拟-全程加成'!$H$4+'模拟-全程加成'!$H$5+('模拟-全程加成'!$G$4+'模拟-全程加成'!$G$5+('模拟-全程加成'!$C$6-'模拟-全程加成'!$C$3)*系数!$B$13)/系数!$B$3+LOOKUP(D460,'模拟-单技能数据'!$A$2:$A$19,'模拟-单技能数据'!$K$2:$K$19)+BG460*10%+IF(BV460&gt;0,378,0)</f>
        <v>0.51185145527300213</v>
      </c>
      <c r="I460" s="45">
        <f ca="1">'模拟-全程加成'!$J$3+'模拟-全程加成'!$J$4+'模拟-全程加成'!$J$5+('模拟-全程加成'!$I$4+'模拟-全程加成'!$I$5)/系数!$B$4+LOOKUP(D460,'模拟-单技能数据'!$A$2:$A$19,'模拟-单技能数据'!$L$2:$L$19)+BG460*10%</f>
        <v>2.162482885499879</v>
      </c>
      <c r="J460" s="45">
        <f ca="1">(('模拟-全程加成'!$K$3+'模拟-全程加成'!$K$4+'模拟-全程加成'!$K$5+('模拟-全程加成'!$C$6-'模拟-全程加成'!$C$3)*系数!$B$10+IF(BV460&gt;0,882,0)+IF(BY460&gt;0,1831,0))*(1+'模拟-全程加成'!$L$4+'模拟-全程加成'!$L$5+CC460*20%))/系数!$B$5</f>
        <v>0.69723220422048726</v>
      </c>
      <c r="K460" s="119">
        <f ca="1">LOOKUP(D460,'模拟-单技能数据'!$A$2:$A$19,'模拟-单技能数据'!$J$2:$J$19)+IF(CM460,60%,0)+IF(DB459-DB460&gt;0,30%,0)+IF(OR(AND(OR(C460="赤日轮1",C460="赤日轮2",C460="赤日轮3"),CR460),AND(OR(C460="幽月轮1",C460="幽月轮2",C460="幽月轮3"),CS460)),35%,0)+CJ460</f>
        <v>0.14000000000000001</v>
      </c>
      <c r="L460" s="119">
        <f ca="1">IF(AND(C460="烈日斩",模拟模式!$X$11=1),10%,0)+IF(AND(C460="驱夜断愁",AB460=1),30%,0)</f>
        <v>0.3</v>
      </c>
      <c r="M460" s="45">
        <f t="shared" ca="1" si="409"/>
        <v>0.51185145527300213</v>
      </c>
      <c r="N460" s="45">
        <f t="shared" ca="1" si="410"/>
        <v>0.43424854472699792</v>
      </c>
      <c r="O460" s="46">
        <f t="shared" ca="1" si="378"/>
        <v>9.0372617146415868E-2</v>
      </c>
      <c r="P460" s="46" t="str">
        <f t="shared" ca="1" si="379"/>
        <v>会</v>
      </c>
      <c r="Q460" s="45">
        <f t="shared" ca="1" si="380"/>
        <v>2.162482885499879</v>
      </c>
      <c r="R460" s="117">
        <f ca="1">模拟模式!$E$20*(1-IF(模拟模式!$J$19="有",0.15,0))*(1-IF(模拟模式!$K$19="有",0.3,0)-IF(CQ460,0.5,0))</f>
        <v>843.02999999999975</v>
      </c>
      <c r="S460" s="45">
        <f ca="1">R460/(R460+(185*模拟模式!$E$22-16800)*4.08224)</f>
        <v>8.389626085980037E-2</v>
      </c>
      <c r="T460" s="45" t="str">
        <f ca="1">LOOKUP(D460,'模拟-单技能数据'!$A$2:$A$19,'模拟-单技能数据'!$H$2:$H$19)</f>
        <v>阴</v>
      </c>
      <c r="U460" s="119">
        <f t="shared" ca="1" si="411"/>
        <v>0.08</v>
      </c>
      <c r="V460" s="47">
        <f ca="1">(1+L460)*(LOOKUP(D460,'模拟-单技能数据'!$A$2:$A$19,'模拟-单技能数据'!$D$2:$D$19)+G460*LOOKUP(D460,'模拟-单技能数据'!$A$2:$A$19,'模拟-单技能数据'!$F$2:$F$19))*(1+J460)*(1+K460)*(1-S460)*(1+U460)*Q460*LOOKUP(D460,'模拟-单技能数据'!$A$2:$A$19,'模拟-单技能数据'!$I$2:$I$20)</f>
        <v>127463.41908070058</v>
      </c>
      <c r="W460" s="47">
        <f ca="1">LOOKUP(D460,'模拟-单技能数据'!$A$2:$A$19,'模拟-单技能数据'!$G$2:$G$19)*$I$10</f>
        <v>723.0212870940959</v>
      </c>
      <c r="X460" s="47">
        <f t="shared" ca="1" si="381"/>
        <v>9218.9345386263849</v>
      </c>
      <c r="Y460" s="47">
        <f t="shared" ca="1" si="412"/>
        <v>137405.37490642106</v>
      </c>
      <c r="Z460" s="49">
        <f t="shared" ca="1" si="413"/>
        <v>45308925.453460492</v>
      </c>
      <c r="AA460" s="97">
        <f t="shared" ca="1" si="414"/>
        <v>113430.407263774</v>
      </c>
      <c r="AB460" s="115">
        <f ca="1">IF(OR(C460="赤日轮1",C460="赤日轮2",C460="赤日轮3"),IF(RAND()&lt;模拟模式!$Y$17,1,0),IF(OR(C460="幽月轮1",C460="幽月轮2",C460="幽月轮3"),IF(RAND()&lt;模拟模式!$Y$18,1,0),IF(C460="烈日斩",IF(RAND()&lt;模拟模式!$Y$19,1,0),IF(C460="银月斩",IF(RAND()&lt;模拟模式!$Y$20,1,0),IF(C460="驱夜断愁",IF(RAND()&lt;模拟模式!$Y$21,1,0),IF(C460="净世破魔击·日",IF(RAND()&lt;模拟模式!$Y$22,1,0),IF(C460="净世破魔击·月",IF(RAND()&lt;模拟模式!$Y$23,1,0),0)))))))</f>
        <v>1</v>
      </c>
      <c r="AC460" s="115" t="b">
        <f t="shared" ca="1" si="402"/>
        <v>0</v>
      </c>
      <c r="AD460" s="115" t="b">
        <f t="shared" ca="1" si="422"/>
        <v>1</v>
      </c>
      <c r="AE460" s="115">
        <f t="shared" ca="1" si="423"/>
        <v>5</v>
      </c>
      <c r="AF460" s="47">
        <f ca="1">IF(AC460,('模拟-单技能数据'!$D$20+G460*'模拟-单技能数据'!$F$20)*(1+J460)*(1+'模拟-单技能数据'!$J$20)*(1+U460),0)</f>
        <v>0</v>
      </c>
      <c r="AG460" s="61">
        <f t="shared" ca="1" si="415"/>
        <v>0.64185145527300214</v>
      </c>
      <c r="AH460" s="61">
        <f t="shared" ca="1" si="416"/>
        <v>2.2624828854998791</v>
      </c>
      <c r="AI460" s="62">
        <f t="shared" ca="1" si="382"/>
        <v>0.27802338074547306</v>
      </c>
      <c r="AJ460" s="47">
        <f ca="1">IF(AD460,IF(AI460&lt;$F$10,0,IF(AI460&lt;$F$10+$F$11,0.25,IF(AI460&lt;$F$10+$F$11+AG460,AH460,1)))*IF(AF460&gt;0,AF460,IF(AF459&gt;0,AF459,IF(AF458&gt;0,AF458,IF(AF457&gt;0,AF457,IF(AF456&gt;0,AF456,IF(AF455&gt;0,AF455,IF(AF454&gt;0,AF454,IF(AF453&gt;0,AF453,IF(AF452&gt;0,AF452,IF(AF450&gt;0,AF450,IF(AF449&gt;0,AF449,IF(AF448&gt;0,AF448,0)))))))))))),0)*(1-$S460)*'模拟-单技能数据'!$I$20</f>
        <v>9218.9345386263849</v>
      </c>
      <c r="AK460" s="115" t="b">
        <f t="shared" ca="1" si="403"/>
        <v>0</v>
      </c>
      <c r="AL460" s="115" t="b">
        <f t="shared" ca="1" si="424"/>
        <v>0</v>
      </c>
      <c r="AM460" s="115">
        <f t="shared" ca="1" si="425"/>
        <v>4</v>
      </c>
      <c r="AN460" s="47">
        <f ca="1">IF(AK460,('模拟-单技能数据'!$D$21+G460*'模拟-单技能数据'!$F$21)*(1+J460)*(1+'模拟-单技能数据'!$J$21)*(1+U460),0)</f>
        <v>0</v>
      </c>
      <c r="AO460" s="61">
        <f ca="1">IF(AN460&gt;0,M460-'模拟-单技能数据'!$K$10,AO459)</f>
        <v>0.42185145527300216</v>
      </c>
      <c r="AP460" s="61">
        <f ca="1">IF(AN460&gt;0,I460-'模拟-单技能数据'!$L$10,AP459)</f>
        <v>2.162482885499879</v>
      </c>
      <c r="AQ460" s="63">
        <f t="shared" ca="1" si="383"/>
        <v>3.995458434470367E-2</v>
      </c>
      <c r="AR460" s="64">
        <f ca="1">IF(AL460,IF(AQ460&lt;$F$10,0,IF(AQ460&lt;$F$10+$F$11,0.25,IF(AQ460&lt;$F$10+$F$11+AO460,AP460,1)))*IF(AN460&gt;0,AN460,IF(AN459&gt;0,AN459,IF(AN458&gt;0,AN458,IF(AN457&gt;0,AN457,IF(AN456&gt;0,AN456,IF(AN455&gt;0,AN455,IF(AN454&gt;0,AN454,IF(AN453&gt;0,AN453,IF(AN452&gt;0,AN452,IF(AN450&gt;0,AN450,IF(AN449&gt;0,AN449,IF(AN448&gt;0,AN448,0)))))))))))),0)*(1-$S460)*'模拟-单技能数据'!$I$21</f>
        <v>0</v>
      </c>
      <c r="AS460" s="61">
        <f ca="1">IF(OR(C460="净世破魔击·日",C460="净世破魔击·月"),M460-'模拟-单技能数据'!$K$10,0)</f>
        <v>0</v>
      </c>
      <c r="AT460" s="61">
        <f ca="1">IF(OR(C460="净世破魔击·日",C460="净世破魔击·月"),I460-'模拟-单技能数据'!$L$10,0)</f>
        <v>0</v>
      </c>
      <c r="AU460" s="62">
        <f t="shared" ca="1" si="384"/>
        <v>0.57850433140077595</v>
      </c>
      <c r="AV460" s="64">
        <f ca="1">IF(AS460&gt;0,('模拟-单技能数据'!$D$22+G460*'模拟-单技能数据'!$F$22)*(1+J460)*(1-S460)*IF(AU460&lt;$F$10,0,IF(AU460&lt;$F$10+$F$11,0.25,IF(AU460&lt;$F$10+$F$11+AS460,AT460,1)))*(1+U460),0)*'模拟-单技能数据'!$I$22</f>
        <v>0</v>
      </c>
      <c r="AW460" s="108">
        <f t="shared" ca="1" si="385"/>
        <v>0</v>
      </c>
      <c r="AX460" s="108" t="b">
        <f ca="1">AND(模拟模式!$P$10="有",AW459=0,RAND()&lt;IF(C460="净世破魔击·月",0.1*8/3,IF(C460="净世破魔击·日",0.1*4/3,0.1*2/3)))</f>
        <v>0</v>
      </c>
      <c r="AY460" s="47">
        <f ca="1">IF(AX460,(18+G460*0.722)*(1+J460)*(1-S460)*(1+$I$4)*IF(P460="会",'模拟-全程加成'!$J$3+'模拟-全程加成'!$J$4+'模拟-全程加成'!$J$5+('模拟-全程加成'!$I$4+'模拟-全程加成'!$I$5)/系数!$B$4+BG460*10%,IF(P460="命",1,IF(P460="识",0.25,0))),0)</f>
        <v>0</v>
      </c>
      <c r="AZ460" s="108">
        <f t="shared" si="386"/>
        <v>6.1625000000000068</v>
      </c>
      <c r="BA460" s="108" t="b">
        <f>AND(模拟模式!$Q$10="有",AZ459=0)</f>
        <v>0</v>
      </c>
      <c r="BB460" s="140">
        <f>IF(BA460,(0+G460*0.287)*(1+J460)*(1-S460)*(1+$I$4)*IF(P460="会",'模拟-全程加成'!$J$3+'模拟-全程加成'!$J$4+'模拟-全程加成'!$J$5+('模拟-全程加成'!$I$4+'模拟-全程加成'!$I$5)/系数!$B$4+BG460*10%,IF(P460="命",1,IF(P460="识",0.25,0))),0)</f>
        <v>0</v>
      </c>
      <c r="BC460" s="115" t="b">
        <f ca="1">AND(模拟模式!$R$7="伏明众生",E460=60,F460=20,DA460&lt;5,CZ459&lt;$F$4)</f>
        <v>0</v>
      </c>
      <c r="BD460" s="115">
        <f t="shared" ca="1" si="404"/>
        <v>0</v>
      </c>
      <c r="BE460" s="115" t="b">
        <f t="shared" ca="1" si="405"/>
        <v>0</v>
      </c>
      <c r="BF460" s="47">
        <f ca="1">IF(BC460,4*('模拟-单技能数据'!$D$24+G460*'模拟-单技能数据'!$F$24)*(1+J460)*(1+'模拟-单技能数据'!$J$24)*(1-S460)*(1+$I$3)*(('模拟-全程加成'!$J$3+'模拟-全程加成'!$J$4+'模拟-全程加成'!$J$5+('模拟-全程加成'!$I$4+'模拟-全程加成'!$I$5)/系数!$B$4+BG460*10%)*('模拟-全程加成'!$J$3+'模拟-全程加成'!$J$4+'模拟-全程加成'!$J$5+('模拟-全程加成'!$I$4+'模拟-全程加成'!$I$5)/系数!$B$4+BG460*10%)+(1-('模拟-全程加成'!$J$3+'模拟-全程加成'!$J$4+'模拟-全程加成'!$J$5+('模拟-全程加成'!$I$4+'模拟-全程加成'!$I$5)/系数!$B$4+BG460*10%)-$F$10-$F$11)+F446*0.25),0)*'模拟-单技能数据'!$I$24</f>
        <v>0</v>
      </c>
      <c r="BG460" s="115" t="b">
        <f ca="1">OR(AND(OR(C460="烈日斩",C460="银月斩"),模拟模式!$I$7="净身明礼"),AND(C460="净世破魔击·日",模拟模式!$J$7="洞若观火"),AND(C461="净世破魔击·月",模拟模式!$J$7="洞若观火"),AB460=1)</f>
        <v>1</v>
      </c>
      <c r="BH460" s="115" t="b">
        <f t="shared" ca="1" si="387"/>
        <v>0</v>
      </c>
      <c r="BI460" s="115">
        <f t="shared" ca="1" si="406"/>
        <v>0</v>
      </c>
      <c r="BJ460" s="115" t="b">
        <f t="shared" ca="1" si="417"/>
        <v>0</v>
      </c>
      <c r="BK460" s="115" t="b">
        <f ca="1">AND(C460="驱夜断愁",模拟模式!$P$7="天地诛戮")</f>
        <v>1</v>
      </c>
      <c r="BL460" s="57">
        <f t="shared" ca="1" si="407"/>
        <v>20</v>
      </c>
      <c r="BM460" s="115" t="b">
        <f t="shared" ca="1" si="418"/>
        <v>1</v>
      </c>
      <c r="BN460" s="115" t="b">
        <f ca="1">AND(OR(C460="赤日轮1",C460="赤日轮2",C460="赤日轮3",C460="幽月轮1",C460="幽月轮2",C460="幽月轮3"),AB460=1,模拟模式!$L$7="明光恒照")</f>
        <v>0</v>
      </c>
      <c r="BO460" s="117">
        <f t="shared" ca="1" si="408"/>
        <v>28.155000000000001</v>
      </c>
      <c r="BP460" s="115">
        <f t="shared" ca="1" si="388"/>
        <v>6</v>
      </c>
      <c r="BQ460" s="115" t="b">
        <f>模拟模式!$K$10="2600·水"</f>
        <v>0</v>
      </c>
      <c r="BR460" s="117">
        <f t="shared" si="389"/>
        <v>0</v>
      </c>
      <c r="BS460" s="115">
        <f t="shared" si="390"/>
        <v>0</v>
      </c>
      <c r="BT460" s="115">
        <f t="shared" ca="1" si="391"/>
        <v>0</v>
      </c>
      <c r="BU460" s="115" t="b">
        <f ca="1">AND(模拟模式!$K$10="2300·雷",BT459=0,RAND()&lt;IF(C460="净世破魔击·月",5*0.05*2/3,IF(C460="净世破魔击·日",3*0.05*2/3,0.05*2*2/3)))</f>
        <v>0</v>
      </c>
      <c r="BV460" s="115">
        <f t="shared" ca="1" si="392"/>
        <v>0</v>
      </c>
      <c r="BW460" s="115">
        <f t="shared" ca="1" si="393"/>
        <v>156.01499999999965</v>
      </c>
      <c r="BX460" s="164" t="b">
        <f t="shared" ca="1" si="394"/>
        <v>0</v>
      </c>
      <c r="BY460" s="115">
        <f t="shared" ca="1" si="395"/>
        <v>0</v>
      </c>
      <c r="BZ460" s="115">
        <f>IF(OR(模拟模式!$P$16="10人团",模拟模式!$P$16="25人团"),IF(B460/30&gt;CA459,1,0),0)</f>
        <v>0</v>
      </c>
      <c r="CA460" s="115">
        <f t="shared" si="371"/>
        <v>0</v>
      </c>
      <c r="CB460" s="115">
        <f ca="1">IF(BZ460=1,IF(模拟模式!$P$16="10人团",15,0)+IF(模拟模式!$P$16="25人团",IF(RAND()&lt;0.6,15,0)),MAX(0,CB459-$F$4))</f>
        <v>0</v>
      </c>
      <c r="CC460" s="115" t="b">
        <f t="shared" ca="1" si="419"/>
        <v>0</v>
      </c>
      <c r="CD460" s="115">
        <f>IF(模拟模式!$Q$16="1个",IF(B460/40&gt;CE459,1,0),0)</f>
        <v>0</v>
      </c>
      <c r="CE460" s="115">
        <f t="shared" si="420"/>
        <v>0</v>
      </c>
      <c r="CF460" s="115">
        <f>IF(OR(CD460=1,模拟模式!$Q$16="2个"),20,MAX(0,CF459-$F$4))</f>
        <v>0</v>
      </c>
      <c r="CG460" s="115" t="b">
        <f t="shared" si="421"/>
        <v>0</v>
      </c>
      <c r="CH460" s="115">
        <f t="shared" ca="1" si="396"/>
        <v>9.7050000000000125</v>
      </c>
      <c r="CI460" s="115" t="b">
        <f t="shared" ca="1" si="397"/>
        <v>0</v>
      </c>
      <c r="CJ460" s="119">
        <f t="shared" ca="1" si="398"/>
        <v>0</v>
      </c>
      <c r="CK460" s="115">
        <f t="shared" ca="1" si="399"/>
        <v>0</v>
      </c>
      <c r="CL460" s="115" t="b">
        <f ca="1">AND(模拟模式!$S$7="驱夷逐法",OR(AND(C460="净世破魔击·月",E459&gt;59),AND(C460="净世破魔击·日",F459&gt;59)))</f>
        <v>0</v>
      </c>
      <c r="CM460" s="115" t="b">
        <f ca="1">OR(CL460,AND(C460="净世破魔击·日",CL459,RAND()&lt;模拟模式!$U$23))</f>
        <v>0</v>
      </c>
      <c r="CN460" s="115" t="b">
        <f ca="1">IF(模拟模式!$M$7="辉耀红尘",AND(C460="净世破魔击·月",CL460,CV460=0,E459&lt;80),AND(C460="净世破魔击·月",CL460,E459&lt;100))</f>
        <v>0</v>
      </c>
      <c r="CO460" s="115" t="b">
        <f t="shared" ca="1" si="372"/>
        <v>0</v>
      </c>
      <c r="CP460" s="115" t="b">
        <f ca="1">AND(模拟模式!$O$7="用晦而明",OR(C460="净世破魔击·日",C460="净世破魔击·月",C460="驱夜断愁"),AB460)</f>
        <v>1</v>
      </c>
      <c r="CQ460" s="115" t="b">
        <f ca="1">OR(CP460,AND(CP459,RAND()&lt;模拟模式!$U$23))</f>
        <v>1</v>
      </c>
      <c r="CR460" s="115" t="b">
        <f ca="1">AND(模拟模式!$S$7="日月齐光",OR(C460="幽月轮1",C460="幽月轮2",C460="幽月轮3",CR459),NOT(OR(C460="赤日轮1",C460="赤日轮2",C460="赤日轮3")))</f>
        <v>0</v>
      </c>
      <c r="CS460" s="115" t="b">
        <f ca="1">AND(模拟模式!$S$7="日月齐光",OR(C460="赤日轮1",C460="赤日轮2",C460="赤日轮3",CS459),NOT(OR(C460="幽月轮1",C460="幽月轮2",C460="幽月轮3")))</f>
        <v>0</v>
      </c>
      <c r="CT460" s="115">
        <f t="shared" ca="1" si="400"/>
        <v>0</v>
      </c>
      <c r="CU460" s="115" t="b">
        <f ca="1">AND(模拟模式!$K$10="阴阳往极",CT459=0,RAND()&lt;IF(C460="净世破魔击·月",0.0275*7/3,IF(C460="净世破魔击·日",0.0275*3/3,0.0275*2/3)))</f>
        <v>0</v>
      </c>
      <c r="CV460" s="115">
        <f t="shared" ca="1" si="401"/>
        <v>0</v>
      </c>
      <c r="CW460" s="115">
        <f t="shared" ca="1" si="373"/>
        <v>0.46499999999999975</v>
      </c>
      <c r="CX460" s="115">
        <f t="shared" ca="1" si="374"/>
        <v>5.0774999999999997</v>
      </c>
      <c r="CY460" s="115">
        <f ca="1">MAX(IF($C460="驱夜断愁",IF(模拟模式!$R$7="万念俱寂",6,45),CY459-$F$4),0)</f>
        <v>6</v>
      </c>
      <c r="CZ460" s="115">
        <f t="shared" ca="1" si="375"/>
        <v>0</v>
      </c>
      <c r="DA460" s="115">
        <f ca="1">IF(模拟模式!$N$7="日月同辉",IF(DB459=2,0,MIN(6,IF(AND(OR(C460="赤日轮1",C460="赤日轮2",C460="赤日轮3",C460="幽月轮1",C460="幽月轮2",C460="幽月轮3"),AB460=1),DA459+1,DA459))),0)</f>
        <v>4</v>
      </c>
      <c r="DB460" s="115">
        <f t="shared" ca="1" si="376"/>
        <v>0</v>
      </c>
      <c r="DC460" s="115"/>
      <c r="DD460" s="115"/>
      <c r="DE460" s="115"/>
      <c r="DF460" s="115"/>
      <c r="DG460" s="115"/>
      <c r="DH460" s="115"/>
      <c r="DI460" s="115"/>
      <c r="DJ460" s="115"/>
      <c r="DK460" s="115"/>
      <c r="DL460" s="115"/>
      <c r="DM460" s="115"/>
    </row>
    <row r="461" spans="2:117" x14ac:dyDescent="0.2">
      <c r="B461" s="117">
        <f t="shared" si="377"/>
        <v>400.36500000000393</v>
      </c>
      <c r="C461" s="167" t="str">
        <f t="shared" ca="1" si="370"/>
        <v>烈日斩</v>
      </c>
      <c r="D461" s="115">
        <f ca="1">IF(C461="赤日轮1",1,IF(C461="赤日轮2",2,IF(C461="赤日轮3",3,IF(C461="幽月轮1",4,IF(C461="幽月轮2",5,IF(C461="幽月轮3",6,IF(C461="烈日斩",7,IF(C461="银月斩",8,IF(C461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461="净世破魔击·月",17,IF(C461="驱夜断愁",18,0)))))))))))</f>
        <v>7</v>
      </c>
      <c r="E461" s="115">
        <f ca="1">IF(AND(CU461,OR(C461="幽月轮1",C461="幽月轮2",C461="幽月轮3",C461="银月斩",C461="驱夜断愁",C461="净世破魔击·月")),100,MIN(IF(OR(CN461,BE461),0,IF(OR($C461="赤日轮1",$C461="赤日轮2",$C461="赤日轮3"),E460+20+IF(模拟模式!$I$7="日月凌天",4,0)+IF(CR460,20,0),IF($C461="烈日斩",E460+40,IF($C461="驱夜断愁",IF(模拟模式!$R$7="万念俱寂",E460+20,E460+60),IF($C461="净世破魔击·月",IF(OR(DB460&gt;0,CV460&gt;0),100,IF(模拟模式!$M$7="辉耀红尘",E460+20,E460)),IF($C461="净世破魔击·日",E460-100,E460)))))),100))</f>
        <v>80</v>
      </c>
      <c r="F461" s="115">
        <f ca="1">IF(AND(CU461,OR(C461="赤日轮1",C461="赤日轮2",C461="赤日轮3",C461="烈日斩",C461="净世破魔击·日")),100,MIN(IF(CO461,0,IF(OR($C461="幽月轮1",$C461="幽月轮2",$C461="幽月轮3"),F460+20+IF(模拟模式!$I$7="日月凌天",4,0)+IF(CS460,20,0),IF($C461="银月斩",F460+40+IF(模拟模式!$X$12=1,5,0),IF($C461="驱夜断愁",IF(模拟模式!$R$7="万念俱寂",F460+20,F460+60),IF($C461="净世破魔击·月",IF(模拟模式!$M$7="辉耀红尘",F460-80,F460-100),IF(AND(C461="净世破魔击·日",OR(DB460&gt;0,CV460&gt;0)),100,F460)))))),100))</f>
        <v>85</v>
      </c>
      <c r="G461" s="117">
        <f ca="1">('模拟-全程加成'!$E$3+'模拟-全程加成'!$E$4+'模拟-全程加成'!$E$5+('模拟-全程加成'!$C$6-'模拟-全程加成'!$C$3)*系数!$B$9+BS461*23)*(1+'模拟-全程加成'!$F$4+'模拟-全程加成'!$F$5+BJ461*10%+BM461*20%+BP461*4%+CG461*30%)+$F$7*系数!$B$12</f>
        <v>20583.127400000001</v>
      </c>
      <c r="H461" s="45">
        <f ca="1">'模拟-全程加成'!$H$3+'模拟-全程加成'!$H$4+'模拟-全程加成'!$H$5+('模拟-全程加成'!$G$4+'模拟-全程加成'!$G$5+('模拟-全程加成'!$C$6-'模拟-全程加成'!$C$3)*系数!$B$13)/系数!$B$3+LOOKUP(D461,'模拟-单技能数据'!$A$2:$A$19,'模拟-单技能数据'!$K$2:$K$19)+BG461*10%+IF(BV461&gt;0,378,0)</f>
        <v>0.56185145527300218</v>
      </c>
      <c r="I461" s="45">
        <f ca="1">'模拟-全程加成'!$J$3+'模拟-全程加成'!$J$4+'模拟-全程加成'!$J$5+('模拟-全程加成'!$I$4+'模拟-全程加成'!$I$5)/系数!$B$4+LOOKUP(D461,'模拟-单技能数据'!$A$2:$A$19,'模拟-单技能数据'!$L$2:$L$19)+BG461*10%</f>
        <v>2.2624828854998791</v>
      </c>
      <c r="J461" s="45">
        <f ca="1">(('模拟-全程加成'!$K$3+'模拟-全程加成'!$K$4+'模拟-全程加成'!$K$5+('模拟-全程加成'!$C$6-'模拟-全程加成'!$C$3)*系数!$B$10+IF(BV461&gt;0,882,0)+IF(BY461&gt;0,1831,0))*(1+'模拟-全程加成'!$L$4+'模拟-全程加成'!$L$5+CC461*20%))/系数!$B$5</f>
        <v>0.69723220422048726</v>
      </c>
      <c r="K461" s="119">
        <f ca="1">LOOKUP(D461,'模拟-单技能数据'!$A$2:$A$19,'模拟-单技能数据'!$J$2:$J$19)+IF(CM461,60%,0)+IF(DB460-DB461&gt;0,30%,0)+IF(OR(AND(OR(C461="赤日轮1",C461="赤日轮2",C461="赤日轮3"),CR461),AND(OR(C461="幽月轮1",C461="幽月轮2",C461="幽月轮3"),CS461)),35%,0)+CJ461</f>
        <v>0.24</v>
      </c>
      <c r="L461" s="119">
        <f ca="1">IF(AND(C461="烈日斩",模拟模式!$X$11=1),10%,0)+IF(AND(C461="驱夜断愁",AB461=1),30%,0)</f>
        <v>0.1</v>
      </c>
      <c r="M461" s="45">
        <f t="shared" ca="1" si="409"/>
        <v>0.56185145527300218</v>
      </c>
      <c r="N461" s="45">
        <f t="shared" ca="1" si="410"/>
        <v>0.38424854472699788</v>
      </c>
      <c r="O461" s="46">
        <f t="shared" ca="1" si="378"/>
        <v>0.10215243522774409</v>
      </c>
      <c r="P461" s="46" t="str">
        <f t="shared" ca="1" si="379"/>
        <v>会</v>
      </c>
      <c r="Q461" s="45">
        <f t="shared" ca="1" si="380"/>
        <v>2.2624828854998791</v>
      </c>
      <c r="R461" s="117">
        <f ca="1">模拟模式!$E$20*(1-IF(模拟模式!$J$19="有",0.15,0))*(1-IF(模拟模式!$K$19="有",0.3,0)-IF(CQ461,0.5,0))</f>
        <v>843.02999999999975</v>
      </c>
      <c r="S461" s="45">
        <f ca="1">R461/(R461+(185*模拟模式!$E$22-16800)*4.08224)</f>
        <v>8.389626085980037E-2</v>
      </c>
      <c r="T461" s="45" t="str">
        <f ca="1">LOOKUP(D461,'模拟-单技能数据'!$A$2:$A$19,'模拟-单技能数据'!$H$2:$H$19)</f>
        <v>阳</v>
      </c>
      <c r="U461" s="119">
        <f t="shared" ca="1" si="411"/>
        <v>0.2</v>
      </c>
      <c r="V461" s="47">
        <f ca="1">(1+L461)*(LOOKUP(D461,'模拟-单技能数据'!$A$2:$A$19,'模拟-单技能数据'!$D$2:$D$19)+G461*LOOKUP(D461,'模拟-单技能数据'!$A$2:$A$19,'模拟-单技能数据'!$F$2:$F$19))*(1+J461)*(1+K461)*(1-S461)*(1+U461)*Q461*LOOKUP(D461,'模拟-单技能数据'!$A$2:$A$19,'模拟-单技能数据'!$I$2:$I$20)</f>
        <v>105861.05199666526</v>
      </c>
      <c r="W461" s="47">
        <f ca="1">LOOKUP(D461,'模拟-单技能数据'!$A$2:$A$19,'模拟-单技能数据'!$G$2:$G$19)*$I$10</f>
        <v>361.51064354704795</v>
      </c>
      <c r="X461" s="47">
        <f t="shared" ca="1" si="381"/>
        <v>24043.249177625272</v>
      </c>
      <c r="Y461" s="47">
        <f t="shared" ca="1" si="412"/>
        <v>130265.81181783759</v>
      </c>
      <c r="Z461" s="49">
        <f t="shared" ca="1" si="413"/>
        <v>45439191.265278332</v>
      </c>
      <c r="AA461" s="97">
        <f t="shared" ca="1" si="414"/>
        <v>113494.41450995438</v>
      </c>
      <c r="AB461" s="115">
        <f ca="1">IF(OR(C461="赤日轮1",C461="赤日轮2",C461="赤日轮3"),IF(RAND()&lt;模拟模式!$Y$17,1,0),IF(OR(C461="幽月轮1",C461="幽月轮2",C461="幽月轮3"),IF(RAND()&lt;模拟模式!$Y$18,1,0),IF(C461="烈日斩",IF(RAND()&lt;模拟模式!$Y$19,1,0),IF(C461="银月斩",IF(RAND()&lt;模拟模式!$Y$20,1,0),IF(C461="驱夜断愁",IF(RAND()&lt;模拟模式!$Y$21,1,0),IF(C461="净世破魔击·日",IF(RAND()&lt;模拟模式!$Y$22,1,0),IF(C461="净世破魔击·月",IF(RAND()&lt;模拟模式!$Y$23,1,0),0)))))))</f>
        <v>1</v>
      </c>
      <c r="AC461" s="115" t="b">
        <f t="shared" ca="1" si="402"/>
        <v>0</v>
      </c>
      <c r="AD461" s="115" t="b">
        <f t="shared" ca="1" si="422"/>
        <v>0</v>
      </c>
      <c r="AE461" s="115">
        <f t="shared" ca="1" si="423"/>
        <v>5</v>
      </c>
      <c r="AF461" s="47">
        <f ca="1">IF(AC461,('模拟-单技能数据'!$D$20+G461*'模拟-单技能数据'!$F$20)*(1+J461)*(1+'模拟-单技能数据'!$J$20)*(1+U461),0)</f>
        <v>0</v>
      </c>
      <c r="AG461" s="61">
        <f t="shared" ca="1" si="415"/>
        <v>0.64185145527300214</v>
      </c>
      <c r="AH461" s="61">
        <f t="shared" ca="1" si="416"/>
        <v>2.2624828854998791</v>
      </c>
      <c r="AI461" s="62">
        <f t="shared" ca="1" si="382"/>
        <v>0.49838039386710331</v>
      </c>
      <c r="AJ461" s="47">
        <f ca="1">IF(AD461,IF(AI461&lt;$F$10,0,IF(AI461&lt;$F$10+$F$11,0.25,IF(AI461&lt;$F$10+$F$11+AG461,AH461,1)))*IF(AF461&gt;0,AF461,IF(AF460&gt;0,AF460,IF(AF459&gt;0,AF459,IF(AF458&gt;0,AF458,IF(AF457&gt;0,AF457,IF(AF456&gt;0,AF456,IF(AF455&gt;0,AF455,IF(AF454&gt;0,AF454,IF(AF453&gt;0,AF453,IF(AF451&gt;0,AF451,IF(AF450&gt;0,AF450,IF(AF449&gt;0,AF449,0)))))))))))),0)*(1-$S461)*'模拟-单技能数据'!$I$20</f>
        <v>0</v>
      </c>
      <c r="AK461" s="115" t="b">
        <f t="shared" ca="1" si="403"/>
        <v>0</v>
      </c>
      <c r="AL461" s="115" t="b">
        <f t="shared" ca="1" si="424"/>
        <v>1</v>
      </c>
      <c r="AM461" s="115">
        <f t="shared" ca="1" si="425"/>
        <v>3</v>
      </c>
      <c r="AN461" s="47">
        <f ca="1">IF(AK461,('模拟-单技能数据'!$D$21+G461*'模拟-单技能数据'!$F$21)*(1+J461)*(1+'模拟-单技能数据'!$J$21)*(1+U461),0)</f>
        <v>0</v>
      </c>
      <c r="AO461" s="61">
        <f ca="1">IF(AN461&gt;0,M461-'模拟-单技能数据'!$K$10,AO460)</f>
        <v>0.42185145527300216</v>
      </c>
      <c r="AP461" s="61">
        <f ca="1">IF(AN461&gt;0,I461-'模拟-单技能数据'!$L$10,AP460)</f>
        <v>2.162482885499879</v>
      </c>
      <c r="AQ461" s="63">
        <f t="shared" ca="1" si="383"/>
        <v>0.13578576473269821</v>
      </c>
      <c r="AR461" s="64">
        <f ca="1">IF(AL461,IF(AQ461&lt;$F$10,0,IF(AQ461&lt;$F$10+$F$11,0.25,IF(AQ461&lt;$F$10+$F$11+AO461,AP461,1)))*IF(AN461&gt;0,AN461,IF(AN460&gt;0,AN460,IF(AN459&gt;0,AN459,IF(AN458&gt;0,AN458,IF(AN457&gt;0,AN457,IF(AN456&gt;0,AN456,IF(AN455&gt;0,AN455,IF(AN454&gt;0,AN454,IF(AN453&gt;0,AN453,IF(AN451&gt;0,AN451,IF(AN450&gt;0,AN450,IF(AN449&gt;0,AN449,0)))))))))))),0)*(1-$S461)*'模拟-单技能数据'!$I$21</f>
        <v>24043.249177625272</v>
      </c>
      <c r="AS461" s="61">
        <f ca="1">IF(OR(C461="净世破魔击·日",C461="净世破魔击·月"),M461-'模拟-单技能数据'!$K$10,0)</f>
        <v>0</v>
      </c>
      <c r="AT461" s="61">
        <f ca="1">IF(OR(C461="净世破魔击·日",C461="净世破魔击·月"),I461-'模拟-单技能数据'!$L$10,0)</f>
        <v>0</v>
      </c>
      <c r="AU461" s="62">
        <f t="shared" ca="1" si="384"/>
        <v>8.1848008026711772E-2</v>
      </c>
      <c r="AV461" s="64">
        <f ca="1">IF(AS461&gt;0,('模拟-单技能数据'!$D$22+G461*'模拟-单技能数据'!$F$22)*(1+J461)*(1-S461)*IF(AU461&lt;$F$10,0,IF(AU461&lt;$F$10+$F$11,0.25,IF(AU461&lt;$F$10+$F$11+AS461,AT461,1)))*(1+U461),0)*'模拟-单技能数据'!$I$22</f>
        <v>0</v>
      </c>
      <c r="AW461" s="108">
        <f t="shared" ca="1" si="385"/>
        <v>0</v>
      </c>
      <c r="AX461" s="108" t="b">
        <f ca="1">AND(模拟模式!$P$10="有",AW460=0,RAND()&lt;IF(C461="净世破魔击·月",0.1*8/3,IF(C461="净世破魔击·日",0.1*4/3,0.1*2/3)))</f>
        <v>0</v>
      </c>
      <c r="AY461" s="47">
        <f ca="1">IF(AX461,(18+G461*0.722)*(1+J461)*(1-S461)*(1+$I$4)*IF(P461="会",'模拟-全程加成'!$J$3+'模拟-全程加成'!$J$4+'模拟-全程加成'!$J$5+('模拟-全程加成'!$I$4+'模拟-全程加成'!$I$5)/系数!$B$4+BG461*10%,IF(P461="命",1,IF(P461="识",0.25,0))),0)</f>
        <v>0</v>
      </c>
      <c r="AZ461" s="108">
        <f t="shared" si="386"/>
        <v>5.2400000000000064</v>
      </c>
      <c r="BA461" s="108" t="b">
        <f>AND(模拟模式!$Q$10="有",AZ460=0)</f>
        <v>0</v>
      </c>
      <c r="BB461" s="140">
        <f>IF(BA461,(0+G461*0.287)*(1+J461)*(1-S461)*(1+$I$4)*IF(P461="会",'模拟-全程加成'!$J$3+'模拟-全程加成'!$J$4+'模拟-全程加成'!$J$5+('模拟-全程加成'!$I$4+'模拟-全程加成'!$I$5)/系数!$B$4+BG461*10%,IF(P461="命",1,IF(P461="识",0.25,0))),0)</f>
        <v>0</v>
      </c>
      <c r="BC461" s="115" t="b">
        <f ca="1">AND(模拟模式!$R$7="伏明众生",E461=60,F461=20,DA461&lt;5,CZ460&lt;$F$4)</f>
        <v>0</v>
      </c>
      <c r="BD461" s="115">
        <f t="shared" ca="1" si="404"/>
        <v>0</v>
      </c>
      <c r="BE461" s="115" t="b">
        <f t="shared" ca="1" si="405"/>
        <v>0</v>
      </c>
      <c r="BF461" s="47">
        <f ca="1">IF(BC461,4*('模拟-单技能数据'!$D$24+G461*'模拟-单技能数据'!$F$24)*(1+J461)*(1+'模拟-单技能数据'!$J$24)*(1-S461)*(1+$I$3)*(('模拟-全程加成'!$J$3+'模拟-全程加成'!$J$4+'模拟-全程加成'!$J$5+('模拟-全程加成'!$I$4+'模拟-全程加成'!$I$5)/系数!$B$4+BG461*10%)*('模拟-全程加成'!$J$3+'模拟-全程加成'!$J$4+'模拟-全程加成'!$J$5+('模拟-全程加成'!$I$4+'模拟-全程加成'!$I$5)/系数!$B$4+BG461*10%)+(1-('模拟-全程加成'!$J$3+'模拟-全程加成'!$J$4+'模拟-全程加成'!$J$5+('模拟-全程加成'!$I$4+'模拟-全程加成'!$I$5)/系数!$B$4+BG461*10%)-$F$10-$F$11)+F447*0.25),0)*'模拟-单技能数据'!$I$24</f>
        <v>0</v>
      </c>
      <c r="BG461" s="115" t="b">
        <f ca="1">OR(AND(OR(C461="烈日斩",C461="银月斩"),模拟模式!$I$7="净身明礼"),AND(C461="净世破魔击·日",模拟模式!$J$7="洞若观火"),AND(C462="净世破魔击·月",模拟模式!$J$7="洞若观火"),AB461=1)</f>
        <v>1</v>
      </c>
      <c r="BH461" s="115" t="b">
        <f t="shared" ca="1" si="387"/>
        <v>0</v>
      </c>
      <c r="BI461" s="115">
        <f t="shared" ca="1" si="406"/>
        <v>0</v>
      </c>
      <c r="BJ461" s="115" t="b">
        <f t="shared" ca="1" si="417"/>
        <v>0</v>
      </c>
      <c r="BK461" s="115" t="b">
        <f ca="1">AND(C461="驱夜断愁",模拟模式!$P$7="天地诛戮")</f>
        <v>0</v>
      </c>
      <c r="BL461" s="57">
        <f t="shared" ca="1" si="407"/>
        <v>19.077500000000001</v>
      </c>
      <c r="BM461" s="115" t="b">
        <f t="shared" ca="1" si="418"/>
        <v>1</v>
      </c>
      <c r="BN461" s="115" t="b">
        <f ca="1">AND(OR(C461="赤日轮1",C461="赤日轮2",C461="赤日轮3",C461="幽月轮1",C461="幽月轮2",C461="幽月轮3"),AB461=1,模拟模式!$L$7="明光恒照")</f>
        <v>0</v>
      </c>
      <c r="BO461" s="117">
        <f t="shared" ca="1" si="408"/>
        <v>27.232500000000002</v>
      </c>
      <c r="BP461" s="115">
        <f t="shared" ca="1" si="388"/>
        <v>6</v>
      </c>
      <c r="BQ461" s="115" t="b">
        <f>模拟模式!$K$10="2600·水"</f>
        <v>0</v>
      </c>
      <c r="BR461" s="117">
        <f t="shared" si="389"/>
        <v>0</v>
      </c>
      <c r="BS461" s="115">
        <f t="shared" si="390"/>
        <v>0</v>
      </c>
      <c r="BT461" s="115">
        <f t="shared" ca="1" si="391"/>
        <v>0</v>
      </c>
      <c r="BU461" s="115" t="b">
        <f ca="1">AND(模拟模式!$K$10="2300·雷",BT460=0,RAND()&lt;IF(C461="净世破魔击·月",5*0.05*2/3,IF(C461="净世破魔击·日",3*0.05*2/3,0.05*2*2/3)))</f>
        <v>0</v>
      </c>
      <c r="BV461" s="115">
        <f t="shared" ca="1" si="392"/>
        <v>0</v>
      </c>
      <c r="BW461" s="115">
        <f t="shared" ca="1" si="393"/>
        <v>155.09249999999963</v>
      </c>
      <c r="BX461" s="164" t="b">
        <f t="shared" ca="1" si="394"/>
        <v>0</v>
      </c>
      <c r="BY461" s="115">
        <f t="shared" ca="1" si="395"/>
        <v>0</v>
      </c>
      <c r="BZ461" s="115">
        <f>IF(OR(模拟模式!$P$16="10人团",模拟模式!$P$16="25人团"),IF(B461/30&gt;CA460,1,0),0)</f>
        <v>0</v>
      </c>
      <c r="CA461" s="115">
        <f t="shared" si="371"/>
        <v>0</v>
      </c>
      <c r="CB461" s="115">
        <f ca="1">IF(BZ461=1,IF(模拟模式!$P$16="10人团",15,0)+IF(模拟模式!$P$16="25人团",IF(RAND()&lt;0.6,15,0)),MAX(0,CB460-$F$4))</f>
        <v>0</v>
      </c>
      <c r="CC461" s="115" t="b">
        <f t="shared" ca="1" si="419"/>
        <v>0</v>
      </c>
      <c r="CD461" s="115">
        <f>IF(模拟模式!$Q$16="1个",IF(B461/40&gt;CE460,1,0),0)</f>
        <v>0</v>
      </c>
      <c r="CE461" s="115">
        <f t="shared" si="420"/>
        <v>0</v>
      </c>
      <c r="CF461" s="115">
        <f>IF(OR(CD461=1,模拟模式!$Q$16="2个"),20,MAX(0,CF460-$F$4))</f>
        <v>0</v>
      </c>
      <c r="CG461" s="115" t="b">
        <f t="shared" si="421"/>
        <v>0</v>
      </c>
      <c r="CH461" s="115">
        <f t="shared" ca="1" si="396"/>
        <v>8.7825000000000131</v>
      </c>
      <c r="CI461" s="115" t="b">
        <f t="shared" ca="1" si="397"/>
        <v>0</v>
      </c>
      <c r="CJ461" s="119">
        <f t="shared" ca="1" si="398"/>
        <v>0</v>
      </c>
      <c r="CK461" s="115">
        <f t="shared" ca="1" si="399"/>
        <v>0</v>
      </c>
      <c r="CL461" s="115" t="b">
        <f ca="1">AND(模拟模式!$S$7="驱夷逐法",OR(AND(C461="净世破魔击·月",E460&gt;59),AND(C461="净世破魔击·日",F460&gt;59)))</f>
        <v>0</v>
      </c>
      <c r="CM461" s="115" t="b">
        <f ca="1">OR(CL461,AND(C461="净世破魔击·日",CL460,RAND()&lt;模拟模式!$U$23))</f>
        <v>0</v>
      </c>
      <c r="CN461" s="115" t="b">
        <f ca="1">IF(模拟模式!$M$7="辉耀红尘",AND(C461="净世破魔击·月",CL461,CV461=0,E460&lt;80),AND(C461="净世破魔击·月",CL461,E460&lt;100))</f>
        <v>0</v>
      </c>
      <c r="CO461" s="115" t="b">
        <f t="shared" ca="1" si="372"/>
        <v>0</v>
      </c>
      <c r="CP461" s="115" t="b">
        <f ca="1">AND(模拟模式!$O$7="用晦而明",OR(C461="净世破魔击·日",C461="净世破魔击·月",C461="驱夜断愁"),AB461)</f>
        <v>0</v>
      </c>
      <c r="CQ461" s="115" t="b">
        <f ca="1">OR(CP461,AND(CP460,RAND()&lt;模拟模式!$U$23))</f>
        <v>1</v>
      </c>
      <c r="CR461" s="115" t="b">
        <f ca="1">AND(模拟模式!$S$7="日月齐光",OR(C461="幽月轮1",C461="幽月轮2",C461="幽月轮3",CR460),NOT(OR(C461="赤日轮1",C461="赤日轮2",C461="赤日轮3")))</f>
        <v>0</v>
      </c>
      <c r="CS461" s="115" t="b">
        <f ca="1">AND(模拟模式!$S$7="日月齐光",OR(C461="赤日轮1",C461="赤日轮2",C461="赤日轮3",CS460),NOT(OR(C461="幽月轮1",C461="幽月轮2",C461="幽月轮3")))</f>
        <v>0</v>
      </c>
      <c r="CT461" s="115">
        <f t="shared" ca="1" si="400"/>
        <v>0</v>
      </c>
      <c r="CU461" s="115" t="b">
        <f ca="1">AND(模拟模式!$K$10="阴阳往极",CT460=0,RAND()&lt;IF(C461="净世破魔击·月",0.0275*7/3,IF(C461="净世破魔击·日",0.0275*3/3,0.0275*2/3)))</f>
        <v>0</v>
      </c>
      <c r="CV461" s="115">
        <f t="shared" ca="1" si="401"/>
        <v>0</v>
      </c>
      <c r="CW461" s="115">
        <f t="shared" ca="1" si="373"/>
        <v>6</v>
      </c>
      <c r="CX461" s="115">
        <f t="shared" ca="1" si="374"/>
        <v>4.1549999999999994</v>
      </c>
      <c r="CY461" s="115">
        <f ca="1">MAX(IF($C461="驱夜断愁",IF(模拟模式!$R$7="万念俱寂",6,45),CY460-$F$4),0)</f>
        <v>5.0774999999999997</v>
      </c>
      <c r="CZ461" s="115">
        <f t="shared" ca="1" si="375"/>
        <v>0</v>
      </c>
      <c r="DA461" s="115">
        <f ca="1">IF(模拟模式!$N$7="日月同辉",IF(DB460=2,0,MIN(6,IF(AND(OR(C461="赤日轮1",C461="赤日轮2",C461="赤日轮3",C461="幽月轮1",C461="幽月轮2",C461="幽月轮3"),AB461=1),DA460+1,DA460))),0)</f>
        <v>4</v>
      </c>
      <c r="DB461" s="115">
        <f t="shared" ca="1" si="376"/>
        <v>0</v>
      </c>
      <c r="DC461" s="115"/>
      <c r="DD461" s="115"/>
      <c r="DE461" s="115"/>
      <c r="DF461" s="115"/>
      <c r="DG461" s="115"/>
      <c r="DH461" s="115"/>
      <c r="DI461" s="115"/>
      <c r="DJ461" s="115"/>
      <c r="DK461" s="115"/>
      <c r="DL461" s="115"/>
      <c r="DM461" s="115"/>
    </row>
    <row r="462" spans="2:117" x14ac:dyDescent="0.2">
      <c r="B462" s="117">
        <f t="shared" si="377"/>
        <v>401.28750000000394</v>
      </c>
      <c r="C462" s="167" t="str">
        <f t="shared" ca="1" si="370"/>
        <v>幽月轮1</v>
      </c>
      <c r="D462" s="115">
        <f ca="1">IF(C462="赤日轮1",1,IF(C462="赤日轮2",2,IF(C462="赤日轮3",3,IF(C462="幽月轮1",4,IF(C462="幽月轮2",5,IF(C462="幽月轮3",6,IF(C462="烈日斩",7,IF(C462="银月斩",8,IF(C462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462="净世破魔击·月",17,IF(C462="驱夜断愁",18,0)))))))))))</f>
        <v>4</v>
      </c>
      <c r="E462" s="115">
        <f ca="1">IF(AND(CU462,OR(C462="幽月轮1",C462="幽月轮2",C462="幽月轮3",C462="银月斩",C462="驱夜断愁",C462="净世破魔击·月")),100,MIN(IF(OR(CN462,BE462),0,IF(OR($C462="赤日轮1",$C462="赤日轮2",$C462="赤日轮3"),E461+20+IF(模拟模式!$I$7="日月凌天",4,0)+IF(CR461,20,0),IF($C462="烈日斩",E461+40,IF($C462="驱夜断愁",IF(模拟模式!$R$7="万念俱寂",E461+20,E461+60),IF($C462="净世破魔击·月",IF(OR(DB461&gt;0,CV461&gt;0),100,IF(模拟模式!$M$7="辉耀红尘",E461+20,E461)),IF($C462="净世破魔击·日",E461-100,E461)))))),100))</f>
        <v>80</v>
      </c>
      <c r="F462" s="115">
        <f ca="1">IF(AND(CU462,OR(C462="赤日轮1",C462="赤日轮2",C462="赤日轮3",C462="烈日斩",C462="净世破魔击·日")),100,MIN(IF(CO462,0,IF(OR($C462="幽月轮1",$C462="幽月轮2",$C462="幽月轮3"),F461+20+IF(模拟模式!$I$7="日月凌天",4,0)+IF(CS461,20,0),IF($C462="银月斩",F461+40+IF(模拟模式!$X$12=1,5,0),IF($C462="驱夜断愁",IF(模拟模式!$R$7="万念俱寂",F461+20,F461+60),IF($C462="净世破魔击·月",IF(模拟模式!$M$7="辉耀红尘",F461-80,F461-100),IF(AND(C462="净世破魔击·日",OR(DB461&gt;0,CV461&gt;0)),100,F461)))))),100))</f>
        <v>100</v>
      </c>
      <c r="G462" s="117">
        <f ca="1">('模拟-全程加成'!$E$3+'模拟-全程加成'!$E$4+'模拟-全程加成'!$E$5+('模拟-全程加成'!$C$6-'模拟-全程加成'!$C$3)*系数!$B$9+BS462*23)*(1+'模拟-全程加成'!$F$4+'模拟-全程加成'!$F$5+BJ462*10%+BM462*20%+BP462*4%+CG462*30%)+$F$7*系数!$B$12</f>
        <v>20583.127400000001</v>
      </c>
      <c r="H462" s="45">
        <f ca="1">'模拟-全程加成'!$H$3+'模拟-全程加成'!$H$4+'模拟-全程加成'!$H$5+('模拟-全程加成'!$G$4+'模拟-全程加成'!$G$5+('模拟-全程加成'!$C$6-'模拟-全程加成'!$C$3)*系数!$B$13)/系数!$B$3+LOOKUP(D462,'模拟-单技能数据'!$A$2:$A$19,'模拟-单技能数据'!$K$2:$K$19)+BG462*10%+IF(BV462&gt;0,378,0)</f>
        <v>0.51185145527300213</v>
      </c>
      <c r="I462" s="45">
        <f ca="1">'模拟-全程加成'!$J$3+'模拟-全程加成'!$J$4+'模拟-全程加成'!$J$5+('模拟-全程加成'!$I$4+'模拟-全程加成'!$I$5)/系数!$B$4+LOOKUP(D462,'模拟-单技能数据'!$A$2:$A$19,'模拟-单技能数据'!$L$2:$L$19)+BG462*10%</f>
        <v>2.162482885499879</v>
      </c>
      <c r="J462" s="45">
        <f ca="1">(('模拟-全程加成'!$K$3+'模拟-全程加成'!$K$4+'模拟-全程加成'!$K$5+('模拟-全程加成'!$C$6-'模拟-全程加成'!$C$3)*系数!$B$10+IF(BV462&gt;0,882,0)+IF(BY462&gt;0,1831,0))*(1+'模拟-全程加成'!$L$4+'模拟-全程加成'!$L$5+CC462*20%))/系数!$B$5</f>
        <v>0.69723220422048726</v>
      </c>
      <c r="K462" s="119">
        <f ca="1">LOOKUP(D462,'模拟-单技能数据'!$A$2:$A$19,'模拟-单技能数据'!$J$2:$J$19)+IF(CM462,60%,0)+IF(DB461-DB462&gt;0,30%,0)+IF(OR(AND(OR(C462="赤日轮1",C462="赤日轮2",C462="赤日轮3"),CR462),AND(OR(C462="幽月轮1",C462="幽月轮2",C462="幽月轮3"),CS462)),35%,0)+CJ462</f>
        <v>7.0000000000000007E-2</v>
      </c>
      <c r="L462" s="119">
        <f ca="1">IF(AND(C462="烈日斩",模拟模式!$X$11=1),10%,0)+IF(AND(C462="驱夜断愁",AB462=1),30%,0)</f>
        <v>0</v>
      </c>
      <c r="M462" s="45">
        <f t="shared" ca="1" si="409"/>
        <v>0.51185145527300213</v>
      </c>
      <c r="N462" s="45">
        <f t="shared" ca="1" si="410"/>
        <v>0.43424854472699792</v>
      </c>
      <c r="O462" s="46">
        <f t="shared" ca="1" si="378"/>
        <v>0.81247971341525549</v>
      </c>
      <c r="P462" s="46" t="str">
        <f t="shared" ca="1" si="379"/>
        <v>命</v>
      </c>
      <c r="Q462" s="45">
        <f t="shared" ca="1" si="380"/>
        <v>1</v>
      </c>
      <c r="R462" s="117">
        <f ca="1">模拟模式!$E$20*(1-IF(模拟模式!$J$19="有",0.15,0))*(1-IF(模拟模式!$K$19="有",0.3,0)-IF(CQ462,0.5,0))</f>
        <v>2950.6049999999996</v>
      </c>
      <c r="S462" s="45">
        <f ca="1">R462/(R462+(185*模拟模式!$E$22-16800)*4.08224)</f>
        <v>0.24272716014590323</v>
      </c>
      <c r="T462" s="45" t="str">
        <f ca="1">LOOKUP(D462,'模拟-单技能数据'!$A$2:$A$19,'模拟-单技能数据'!$H$2:$H$19)</f>
        <v>阴</v>
      </c>
      <c r="U462" s="119">
        <f t="shared" ca="1" si="411"/>
        <v>0.08</v>
      </c>
      <c r="V462" s="47">
        <f ca="1">(1+L462)*(LOOKUP(D462,'模拟-单技能数据'!$A$2:$A$19,'模拟-单技能数据'!$D$2:$D$19)+G462*LOOKUP(D462,'模拟-单技能数据'!$A$2:$A$19,'模拟-单技能数据'!$F$2:$F$19))*(1+J462)*(1+K462)*(1-S462)*(1+U462)*Q462*LOOKUP(D462,'模拟-单技能数据'!$A$2:$A$19,'模拟-单技能数据'!$I$2:$I$20)</f>
        <v>16226.218300318291</v>
      </c>
      <c r="W462" s="47">
        <f ca="1">LOOKUP(D462,'模拟-单技能数据'!$A$2:$A$19,'模拟-单技能数据'!$G$2:$G$19)*$I$10</f>
        <v>361.51064354704795</v>
      </c>
      <c r="X462" s="47">
        <f t="shared" ca="1" si="381"/>
        <v>7620.5875385322679</v>
      </c>
      <c r="Y462" s="47">
        <f t="shared" ca="1" si="412"/>
        <v>24208.316482397608</v>
      </c>
      <c r="Z462" s="49">
        <f t="shared" ca="1" si="413"/>
        <v>45463399.581760727</v>
      </c>
      <c r="AA462" s="97">
        <f t="shared" ca="1" si="414"/>
        <v>113293.83442484573</v>
      </c>
      <c r="AB462" s="115">
        <f ca="1">IF(OR(C462="赤日轮1",C462="赤日轮2",C462="赤日轮3"),IF(RAND()&lt;模拟模式!$Y$17,1,0),IF(OR(C462="幽月轮1",C462="幽月轮2",C462="幽月轮3"),IF(RAND()&lt;模拟模式!$Y$18,1,0),IF(C462="烈日斩",IF(RAND()&lt;模拟模式!$Y$19,1,0),IF(C462="银月斩",IF(RAND()&lt;模拟模式!$Y$20,1,0),IF(C462="驱夜断愁",IF(RAND()&lt;模拟模式!$Y$21,1,0),IF(C462="净世破魔击·日",IF(RAND()&lt;模拟模式!$Y$22,1,0),IF(C462="净世破魔击·月",IF(RAND()&lt;模拟模式!$Y$23,1,0),0)))))))</f>
        <v>1</v>
      </c>
      <c r="AC462" s="115" t="b">
        <f t="shared" ca="1" si="402"/>
        <v>0</v>
      </c>
      <c r="AD462" s="115" t="b">
        <f t="shared" ca="1" si="422"/>
        <v>1</v>
      </c>
      <c r="AE462" s="115">
        <f t="shared" ca="1" si="423"/>
        <v>4</v>
      </c>
      <c r="AF462" s="47">
        <f ca="1">IF(AC462,('模拟-单技能数据'!$D$20+G462*'模拟-单技能数据'!$F$20)*(1+J462)*(1+'模拟-单技能数据'!$J$20)*(1+U462),0)</f>
        <v>0</v>
      </c>
      <c r="AG462" s="61">
        <f t="shared" ca="1" si="415"/>
        <v>0.64185145527300214</v>
      </c>
      <c r="AH462" s="61">
        <f t="shared" ca="1" si="416"/>
        <v>2.2624828854998791</v>
      </c>
      <c r="AI462" s="62">
        <f t="shared" ca="1" si="382"/>
        <v>0.46498060181059475</v>
      </c>
      <c r="AJ462" s="47">
        <f ca="1">IF(AD462,IF(AI462&lt;$F$10,0,IF(AI462&lt;$F$10+$F$11,0.25,IF(AI462&lt;$F$10+$F$11+AG462,AH462,1)))*IF(AF462&gt;0,AF462,IF(AF461&gt;0,AF461,IF(AF460&gt;0,AF460,IF(AF459&gt;0,AF459,IF(AF458&gt;0,AF458,IF(AF457&gt;0,AF457,IF(AF456&gt;0,AF456,IF(AF455&gt;0,AF455,IF(AF454&gt;0,AF454,IF(AF452&gt;0,AF452,IF(AF451&gt;0,AF451,IF(AF450&gt;0,AF450,0)))))))))))),0)*(1-$S462)*'模拟-单技能数据'!$I$20</f>
        <v>7620.5875385322679</v>
      </c>
      <c r="AK462" s="115" t="b">
        <f t="shared" ca="1" si="403"/>
        <v>0</v>
      </c>
      <c r="AL462" s="115" t="b">
        <f t="shared" ca="1" si="424"/>
        <v>0</v>
      </c>
      <c r="AM462" s="115">
        <f t="shared" ca="1" si="425"/>
        <v>3</v>
      </c>
      <c r="AN462" s="47">
        <f ca="1">IF(AK462,('模拟-单技能数据'!$D$21+G462*'模拟-单技能数据'!$F$21)*(1+J462)*(1+'模拟-单技能数据'!$J$21)*(1+U462),0)</f>
        <v>0</v>
      </c>
      <c r="AO462" s="61">
        <f ca="1">IF(AN462&gt;0,M462-'模拟-单技能数据'!$K$10,AO461)</f>
        <v>0.42185145527300216</v>
      </c>
      <c r="AP462" s="61">
        <f ca="1">IF(AN462&gt;0,I462-'模拟-单技能数据'!$L$10,AP461)</f>
        <v>2.162482885499879</v>
      </c>
      <c r="AQ462" s="63">
        <f t="shared" ca="1" si="383"/>
        <v>0.15574791478442018</v>
      </c>
      <c r="AR462" s="64">
        <f ca="1">IF(AL462,IF(AQ462&lt;$F$10,0,IF(AQ462&lt;$F$10+$F$11,0.25,IF(AQ462&lt;$F$10+$F$11+AO462,AP462,1)))*IF(AN462&gt;0,AN462,IF(AN461&gt;0,AN461,IF(AN460&gt;0,AN460,IF(AN459&gt;0,AN459,IF(AN458&gt;0,AN458,IF(AN457&gt;0,AN457,IF(AN456&gt;0,AN456,IF(AN455&gt;0,AN455,IF(AN454&gt;0,AN454,IF(AN452&gt;0,AN452,IF(AN451&gt;0,AN451,IF(AN450&gt;0,AN450,0)))))))))))),0)*(1-$S462)*'模拟-单技能数据'!$I$21</f>
        <v>0</v>
      </c>
      <c r="AS462" s="61">
        <f ca="1">IF(OR(C462="净世破魔击·日",C462="净世破魔击·月"),M462-'模拟-单技能数据'!$K$10,0)</f>
        <v>0</v>
      </c>
      <c r="AT462" s="61">
        <f ca="1">IF(OR(C462="净世破魔击·日",C462="净世破魔击·月"),I462-'模拟-单技能数据'!$L$10,0)</f>
        <v>0</v>
      </c>
      <c r="AU462" s="62">
        <f t="shared" ca="1" si="384"/>
        <v>0.58050288782637505</v>
      </c>
      <c r="AV462" s="64">
        <f ca="1">IF(AS462&gt;0,('模拟-单技能数据'!$D$22+G462*'模拟-单技能数据'!$F$22)*(1+J462)*(1-S462)*IF(AU462&lt;$F$10,0,IF(AU462&lt;$F$10+$F$11,0.25,IF(AU462&lt;$F$10+$F$11+AS462,AT462,1)))*(1+U462),0)*'模拟-单技能数据'!$I$22</f>
        <v>0</v>
      </c>
      <c r="AW462" s="108">
        <f t="shared" ca="1" si="385"/>
        <v>0</v>
      </c>
      <c r="AX462" s="108" t="b">
        <f ca="1">AND(模拟模式!$P$10="有",AW461=0,RAND()&lt;IF(C462="净世破魔击·月",0.1*8/3,IF(C462="净世破魔击·日",0.1*4/3,0.1*2/3)))</f>
        <v>0</v>
      </c>
      <c r="AY462" s="47">
        <f ca="1">IF(AX462,(18+G462*0.722)*(1+J462)*(1-S462)*(1+$I$4)*IF(P462="会",'模拟-全程加成'!$J$3+'模拟-全程加成'!$J$4+'模拟-全程加成'!$J$5+('模拟-全程加成'!$I$4+'模拟-全程加成'!$I$5)/系数!$B$4+BG462*10%,IF(P462="命",1,IF(P462="识",0.25,0))),0)</f>
        <v>0</v>
      </c>
      <c r="AZ462" s="108">
        <f t="shared" si="386"/>
        <v>4.3175000000000061</v>
      </c>
      <c r="BA462" s="108" t="b">
        <f>AND(模拟模式!$Q$10="有",AZ461=0)</f>
        <v>0</v>
      </c>
      <c r="BB462" s="140">
        <f>IF(BA462,(0+G462*0.287)*(1+J462)*(1-S462)*(1+$I$4)*IF(P462="会",'模拟-全程加成'!$J$3+'模拟-全程加成'!$J$4+'模拟-全程加成'!$J$5+('模拟-全程加成'!$I$4+'模拟-全程加成'!$I$5)/系数!$B$4+BG462*10%,IF(P462="命",1,IF(P462="识",0.25,0))),0)</f>
        <v>0</v>
      </c>
      <c r="BC462" s="115" t="b">
        <f ca="1">AND(模拟模式!$R$7="伏明众生",E462=60,F462=20,DA462&lt;5,CZ461&lt;$F$4)</f>
        <v>0</v>
      </c>
      <c r="BD462" s="115">
        <f t="shared" ca="1" si="404"/>
        <v>0</v>
      </c>
      <c r="BE462" s="115" t="b">
        <f t="shared" ca="1" si="405"/>
        <v>0</v>
      </c>
      <c r="BF462" s="47">
        <f ca="1">IF(BC462,4*('模拟-单技能数据'!$D$24+G462*'模拟-单技能数据'!$F$24)*(1+J462)*(1+'模拟-单技能数据'!$J$24)*(1-S462)*(1+$I$3)*(('模拟-全程加成'!$J$3+'模拟-全程加成'!$J$4+'模拟-全程加成'!$J$5+('模拟-全程加成'!$I$4+'模拟-全程加成'!$I$5)/系数!$B$4+BG462*10%)*('模拟-全程加成'!$J$3+'模拟-全程加成'!$J$4+'模拟-全程加成'!$J$5+('模拟-全程加成'!$I$4+'模拟-全程加成'!$I$5)/系数!$B$4+BG462*10%)+(1-('模拟-全程加成'!$J$3+'模拟-全程加成'!$J$4+'模拟-全程加成'!$J$5+('模拟-全程加成'!$I$4+'模拟-全程加成'!$I$5)/系数!$B$4+BG462*10%)-$F$10-$F$11)+F448*0.25),0)*'模拟-单技能数据'!$I$24</f>
        <v>0</v>
      </c>
      <c r="BG462" s="115" t="b">
        <f ca="1">OR(AND(OR(C462="烈日斩",C462="银月斩"),模拟模式!$I$7="净身明礼"),AND(C462="净世破魔击·日",模拟模式!$J$7="洞若观火"),AND(C463="净世破魔击·月",模拟模式!$J$7="洞若观火"),AB462=1)</f>
        <v>1</v>
      </c>
      <c r="BH462" s="115" t="b">
        <f t="shared" ca="1" si="387"/>
        <v>0</v>
      </c>
      <c r="BI462" s="115">
        <f t="shared" ca="1" si="406"/>
        <v>0</v>
      </c>
      <c r="BJ462" s="115" t="b">
        <f t="shared" ca="1" si="417"/>
        <v>0</v>
      </c>
      <c r="BK462" s="115" t="b">
        <f ca="1">AND(C462="驱夜断愁",模拟模式!$P$7="天地诛戮")</f>
        <v>0</v>
      </c>
      <c r="BL462" s="57">
        <f t="shared" ca="1" si="407"/>
        <v>18.155000000000001</v>
      </c>
      <c r="BM462" s="115" t="b">
        <f t="shared" ca="1" si="418"/>
        <v>1</v>
      </c>
      <c r="BN462" s="115" t="b">
        <f ca="1">AND(OR(C462="赤日轮1",C462="赤日轮2",C462="赤日轮3",C462="幽月轮1",C462="幽月轮2",C462="幽月轮3"),AB462=1,模拟模式!$L$7="明光恒照")</f>
        <v>1</v>
      </c>
      <c r="BO462" s="117">
        <f t="shared" ca="1" si="408"/>
        <v>30</v>
      </c>
      <c r="BP462" s="115">
        <f t="shared" ca="1" si="388"/>
        <v>6</v>
      </c>
      <c r="BQ462" s="115" t="b">
        <f>模拟模式!$K$10="2600·水"</f>
        <v>0</v>
      </c>
      <c r="BR462" s="117">
        <f t="shared" si="389"/>
        <v>0</v>
      </c>
      <c r="BS462" s="115">
        <f t="shared" si="390"/>
        <v>0</v>
      </c>
      <c r="BT462" s="115">
        <f t="shared" ca="1" si="391"/>
        <v>0</v>
      </c>
      <c r="BU462" s="115" t="b">
        <f ca="1">AND(模拟模式!$K$10="2300·雷",BT461=0,RAND()&lt;IF(C462="净世破魔击·月",5*0.05*2/3,IF(C462="净世破魔击·日",3*0.05*2/3,0.05*2*2/3)))</f>
        <v>0</v>
      </c>
      <c r="BV462" s="115">
        <f t="shared" ca="1" si="392"/>
        <v>0</v>
      </c>
      <c r="BW462" s="115">
        <f t="shared" ca="1" si="393"/>
        <v>154.16999999999962</v>
      </c>
      <c r="BX462" s="164" t="b">
        <f t="shared" ca="1" si="394"/>
        <v>0</v>
      </c>
      <c r="BY462" s="115">
        <f t="shared" ca="1" si="395"/>
        <v>0</v>
      </c>
      <c r="BZ462" s="115">
        <f>IF(OR(模拟模式!$P$16="10人团",模拟模式!$P$16="25人团"),IF(B462/30&gt;CA461,1,0),0)</f>
        <v>0</v>
      </c>
      <c r="CA462" s="115">
        <f t="shared" si="371"/>
        <v>0</v>
      </c>
      <c r="CB462" s="115">
        <f ca="1">IF(BZ462=1,IF(模拟模式!$P$16="10人团",15,0)+IF(模拟模式!$P$16="25人团",IF(RAND()&lt;0.6,15,0)),MAX(0,CB461-$F$4))</f>
        <v>0</v>
      </c>
      <c r="CC462" s="115" t="b">
        <f t="shared" ca="1" si="419"/>
        <v>0</v>
      </c>
      <c r="CD462" s="115">
        <f>IF(模拟模式!$Q$16="1个",IF(B462/40&gt;CE461,1,0),0)</f>
        <v>0</v>
      </c>
      <c r="CE462" s="115">
        <f t="shared" si="420"/>
        <v>0</v>
      </c>
      <c r="CF462" s="115">
        <f>IF(OR(CD462=1,模拟模式!$Q$16="2个"),20,MAX(0,CF461-$F$4))</f>
        <v>0</v>
      </c>
      <c r="CG462" s="115" t="b">
        <f t="shared" si="421"/>
        <v>0</v>
      </c>
      <c r="CH462" s="115">
        <f t="shared" ca="1" si="396"/>
        <v>7.8600000000000128</v>
      </c>
      <c r="CI462" s="115" t="b">
        <f t="shared" ca="1" si="397"/>
        <v>0</v>
      </c>
      <c r="CJ462" s="119">
        <f t="shared" ca="1" si="398"/>
        <v>0</v>
      </c>
      <c r="CK462" s="115">
        <f t="shared" ca="1" si="399"/>
        <v>0</v>
      </c>
      <c r="CL462" s="115" t="b">
        <f ca="1">AND(模拟模式!$S$7="驱夷逐法",OR(AND(C462="净世破魔击·月",E461&gt;59),AND(C462="净世破魔击·日",F461&gt;59)))</f>
        <v>0</v>
      </c>
      <c r="CM462" s="115" t="b">
        <f ca="1">OR(CL462,AND(C462="净世破魔击·日",CL461,RAND()&lt;模拟模式!$U$23))</f>
        <v>0</v>
      </c>
      <c r="CN462" s="115" t="b">
        <f ca="1">IF(模拟模式!$M$7="辉耀红尘",AND(C462="净世破魔击·月",CL462,CV462=0,E461&lt;80),AND(C462="净世破魔击·月",CL462,E461&lt;100))</f>
        <v>0</v>
      </c>
      <c r="CO462" s="115" t="b">
        <f t="shared" ca="1" si="372"/>
        <v>0</v>
      </c>
      <c r="CP462" s="115" t="b">
        <f ca="1">AND(模拟模式!$O$7="用晦而明",OR(C462="净世破魔击·日",C462="净世破魔击·月",C462="驱夜断愁"),AB462)</f>
        <v>0</v>
      </c>
      <c r="CQ462" s="115" t="b">
        <f ca="1">OR(CP462,AND(CP461,RAND()&lt;模拟模式!$U$23))</f>
        <v>0</v>
      </c>
      <c r="CR462" s="115" t="b">
        <f ca="1">AND(模拟模式!$S$7="日月齐光",OR(C462="幽月轮1",C462="幽月轮2",C462="幽月轮3",CR461),NOT(OR(C462="赤日轮1",C462="赤日轮2",C462="赤日轮3")))</f>
        <v>0</v>
      </c>
      <c r="CS462" s="115" t="b">
        <f ca="1">AND(模拟模式!$S$7="日月齐光",OR(C462="赤日轮1",C462="赤日轮2",C462="赤日轮3",CS461),NOT(OR(C462="幽月轮1",C462="幽月轮2",C462="幽月轮3")))</f>
        <v>0</v>
      </c>
      <c r="CT462" s="115">
        <f t="shared" ca="1" si="400"/>
        <v>0</v>
      </c>
      <c r="CU462" s="115" t="b">
        <f ca="1">AND(模拟模式!$K$10="阴阳往极",CT461=0,RAND()&lt;IF(C462="净世破魔击·月",0.0275*7/3,IF(C462="净世破魔击·日",0.0275*3/3,0.0275*2/3)))</f>
        <v>0</v>
      </c>
      <c r="CV462" s="115">
        <f t="shared" ca="1" si="401"/>
        <v>0</v>
      </c>
      <c r="CW462" s="115">
        <f t="shared" ca="1" si="373"/>
        <v>5.0774999999999997</v>
      </c>
      <c r="CX462" s="115">
        <f t="shared" ca="1" si="374"/>
        <v>3.2324999999999995</v>
      </c>
      <c r="CY462" s="115">
        <f ca="1">MAX(IF($C462="驱夜断愁",IF(模拟模式!$R$7="万念俱寂",6,45),CY461-$F$4),0)</f>
        <v>4.1549999999999994</v>
      </c>
      <c r="CZ462" s="115">
        <f t="shared" ca="1" si="375"/>
        <v>0</v>
      </c>
      <c r="DA462" s="115">
        <f ca="1">IF(模拟模式!$N$7="日月同辉",IF(DB461=2,0,MIN(6,IF(AND(OR(C462="赤日轮1",C462="赤日轮2",C462="赤日轮3",C462="幽月轮1",C462="幽月轮2",C462="幽月轮3"),AB462=1),DA461+1,DA461))),0)</f>
        <v>5</v>
      </c>
      <c r="DB462" s="115">
        <f t="shared" ca="1" si="376"/>
        <v>0</v>
      </c>
      <c r="DC462" s="115"/>
      <c r="DD462" s="115"/>
      <c r="DE462" s="115"/>
      <c r="DF462" s="115"/>
      <c r="DG462" s="115"/>
      <c r="DH462" s="115"/>
      <c r="DI462" s="115"/>
      <c r="DJ462" s="115"/>
      <c r="DK462" s="115"/>
      <c r="DL462" s="115"/>
      <c r="DM462" s="115"/>
    </row>
    <row r="463" spans="2:117" x14ac:dyDescent="0.2">
      <c r="B463" s="117">
        <f t="shared" si="377"/>
        <v>402.21000000000396</v>
      </c>
      <c r="C463" s="167" t="str">
        <f t="shared" ca="1" si="370"/>
        <v>净世破魔击·月</v>
      </c>
      <c r="D463" s="115">
        <f ca="1">IF(C463="赤日轮1",1,IF(C463="赤日轮2",2,IF(C463="赤日轮3",3,IF(C463="幽月轮1",4,IF(C463="幽月轮2",5,IF(C463="幽月轮3",6,IF(C463="烈日斩",7,IF(C463="银月斩",8,IF(C463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463="净世破魔击·月",17,IF(C463="驱夜断愁",18,0)))))))))))</f>
        <v>17</v>
      </c>
      <c r="E463" s="115">
        <f ca="1">IF(AND(CU463,OR(C463="幽月轮1",C463="幽月轮2",C463="幽月轮3",C463="银月斩",C463="驱夜断愁",C463="净世破魔击·月")),100,MIN(IF(OR(CN463,BE463),0,IF(OR($C463="赤日轮1",$C463="赤日轮2",$C463="赤日轮3"),E462+20+IF(模拟模式!$I$7="日月凌天",4,0)+IF(CR462,20,0),IF($C463="烈日斩",E462+40,IF($C463="驱夜断愁",IF(模拟模式!$R$7="万念俱寂",E462+20,E462+60),IF($C463="净世破魔击·月",IF(OR(DB462&gt;0,CV462&gt;0),100,IF(模拟模式!$M$7="辉耀红尘",E462+20,E462)),IF($C463="净世破魔击·日",E462-100,E462)))))),100))</f>
        <v>100</v>
      </c>
      <c r="F463" s="115">
        <f ca="1">IF(AND(CU463,OR(C463="赤日轮1",C463="赤日轮2",C463="赤日轮3",C463="烈日斩",C463="净世破魔击·日")),100,MIN(IF(CO463,0,IF(OR($C463="幽月轮1",$C463="幽月轮2",$C463="幽月轮3"),F462+20+IF(模拟模式!$I$7="日月凌天",4,0)+IF(CS462,20,0),IF($C463="银月斩",F462+40+IF(模拟模式!$X$12=1,5,0),IF($C463="驱夜断愁",IF(模拟模式!$R$7="万念俱寂",F462+20,F462+60),IF($C463="净世破魔击·月",IF(模拟模式!$M$7="辉耀红尘",F462-80,F462-100),IF(AND(C463="净世破魔击·日",OR(DB462&gt;0,CV462&gt;0)),100,F462)))))),100))</f>
        <v>20</v>
      </c>
      <c r="G463" s="117">
        <f ca="1">('模拟-全程加成'!$E$3+'模拟-全程加成'!$E$4+'模拟-全程加成'!$E$5+('模拟-全程加成'!$C$6-'模拟-全程加成'!$C$3)*系数!$B$9+BS463*23)*(1+'模拟-全程加成'!$F$4+'模拟-全程加成'!$F$5+BJ463*10%+BM463*20%+BP463*4%+CG463*30%)+$F$7*系数!$B$12</f>
        <v>20583.127400000001</v>
      </c>
      <c r="H463" s="45">
        <f ca="1">'模拟-全程加成'!$H$3+'模拟-全程加成'!$H$4+'模拟-全程加成'!$H$5+('模拟-全程加成'!$G$4+'模拟-全程加成'!$G$5+('模拟-全程加成'!$C$6-'模拟-全程加成'!$C$3)*系数!$B$13)/系数!$B$3+LOOKUP(D463,'模拟-单技能数据'!$A$2:$A$19,'模拟-单技能数据'!$K$2:$K$19)+BG463*10%+IF(BV463&gt;0,378,0)</f>
        <v>0.54185145527300216</v>
      </c>
      <c r="I463" s="45">
        <f ca="1">'模拟-全程加成'!$J$3+'模拟-全程加成'!$J$4+'模拟-全程加成'!$J$5+('模拟-全程加成'!$I$4+'模拟-全程加成'!$I$5)/系数!$B$4+LOOKUP(D463,'模拟-单技能数据'!$A$2:$A$19,'模拟-单技能数据'!$L$2:$L$19)+BG463*10%</f>
        <v>2.162482885499879</v>
      </c>
      <c r="J463" s="45">
        <f ca="1">(('模拟-全程加成'!$K$3+'模拟-全程加成'!$K$4+'模拟-全程加成'!$K$5+('模拟-全程加成'!$C$6-'模拟-全程加成'!$C$3)*系数!$B$10+IF(BV463&gt;0,882,0)+IF(BY463&gt;0,1831,0))*(1+'模拟-全程加成'!$L$4+'模拟-全程加成'!$L$5+CC463*20%))/系数!$B$5</f>
        <v>0.69723220422048726</v>
      </c>
      <c r="K463" s="119">
        <f ca="1">LOOKUP(D463,'模拟-单技能数据'!$A$2:$A$19,'模拟-单技能数据'!$J$2:$J$19)+IF(CM463,60%,0)+IF(DB462-DB463&gt;0,30%,0)+IF(OR(AND(OR(C463="赤日轮1",C463="赤日轮2",C463="赤日轮3"),CR463),AND(OR(C463="幽月轮1",C463="幽月轮2",C463="幽月轮3"),CS463)),35%,0)+CJ463</f>
        <v>0.8</v>
      </c>
      <c r="L463" s="119">
        <f ca="1">IF(AND(C463="烈日斩",模拟模式!$X$11=1),10%,0)+IF(AND(C463="驱夜断愁",AB463=1),30%,0)</f>
        <v>0</v>
      </c>
      <c r="M463" s="45">
        <f t="shared" ca="1" si="409"/>
        <v>0.54185145527300216</v>
      </c>
      <c r="N463" s="45">
        <f t="shared" ca="1" si="410"/>
        <v>0.40424854472699789</v>
      </c>
      <c r="O463" s="46">
        <f t="shared" ca="1" si="378"/>
        <v>0.21172951443854382</v>
      </c>
      <c r="P463" s="46" t="str">
        <f t="shared" ca="1" si="379"/>
        <v>会</v>
      </c>
      <c r="Q463" s="45">
        <f t="shared" ca="1" si="380"/>
        <v>2.162482885499879</v>
      </c>
      <c r="R463" s="117">
        <f ca="1">模拟模式!$E$20*(1-IF(模拟模式!$J$19="有",0.15,0))*(1-IF(模拟模式!$K$19="有",0.3,0)-IF(CQ463,0.5,0))</f>
        <v>843.02999999999975</v>
      </c>
      <c r="S463" s="45">
        <f ca="1">R463/(R463+(185*模拟模式!$E$22-16800)*4.08224)</f>
        <v>8.389626085980037E-2</v>
      </c>
      <c r="T463" s="45" t="str">
        <f ca="1">LOOKUP(D463,'模拟-单技能数据'!$A$2:$A$19,'模拟-单技能数据'!$H$2:$H$19)</f>
        <v>阴</v>
      </c>
      <c r="U463" s="119">
        <f t="shared" ca="1" si="411"/>
        <v>0.08</v>
      </c>
      <c r="V463" s="47">
        <f ca="1">(1+L463)*(LOOKUP(D463,'模拟-单技能数据'!$A$2:$A$19,'模拟-单技能数据'!$D$2:$D$19)+G463*LOOKUP(D463,'模拟-单技能数据'!$A$2:$A$19,'模拟-单技能数据'!$F$2:$F$19))*(1+J463)*(1+K463)*(1-S463)*(1+U463)*Q463*LOOKUP(D463,'模拟-单技能数据'!$A$2:$A$19,'模拟-单技能数据'!$I$2:$I$20)</f>
        <v>174868.36016214982</v>
      </c>
      <c r="W463" s="47">
        <f ca="1">LOOKUP(D463,'模拟-单技能数据'!$A$2:$A$19,'模拟-单技能数据'!$G$2:$G$19)*$I$10</f>
        <v>361.51064354704795</v>
      </c>
      <c r="X463" s="47">
        <f t="shared" ca="1" si="381"/>
        <v>31682.700929730119</v>
      </c>
      <c r="Y463" s="47">
        <f t="shared" ca="1" si="412"/>
        <v>206912.57173542699</v>
      </c>
      <c r="Z463" s="49">
        <f t="shared" ca="1" si="413"/>
        <v>45670312.153496154</v>
      </c>
      <c r="AA463" s="97">
        <f t="shared" ca="1" si="414"/>
        <v>113548.42533377018</v>
      </c>
      <c r="AB463" s="115">
        <f ca="1">IF(OR(C463="赤日轮1",C463="赤日轮2",C463="赤日轮3"),IF(RAND()&lt;模拟模式!$Y$17,1,0),IF(OR(C463="幽月轮1",C463="幽月轮2",C463="幽月轮3"),IF(RAND()&lt;模拟模式!$Y$18,1,0),IF(C463="烈日斩",IF(RAND()&lt;模拟模式!$Y$19,1,0),IF(C463="银月斩",IF(RAND()&lt;模拟模式!$Y$20,1,0),IF(C463="驱夜断愁",IF(RAND()&lt;模拟模式!$Y$21,1,0),IF(C463="净世破魔击·日",IF(RAND()&lt;模拟模式!$Y$22,1,0),IF(C463="净世破魔击·月",IF(RAND()&lt;模拟模式!$Y$23,1,0),0)))))))</f>
        <v>1</v>
      </c>
      <c r="AC463" s="115" t="b">
        <f t="shared" ca="1" si="402"/>
        <v>0</v>
      </c>
      <c r="AD463" s="115" t="b">
        <f t="shared" ca="1" si="422"/>
        <v>0</v>
      </c>
      <c r="AE463" s="115">
        <f t="shared" ca="1" si="423"/>
        <v>4</v>
      </c>
      <c r="AF463" s="47">
        <f ca="1">IF(AC463,('模拟-单技能数据'!$D$20+G463*'模拟-单技能数据'!$F$20)*(1+J463)*(1+'模拟-单技能数据'!$J$20)*(1+U463),0)</f>
        <v>0</v>
      </c>
      <c r="AG463" s="61">
        <f t="shared" ca="1" si="415"/>
        <v>0.64185145527300214</v>
      </c>
      <c r="AH463" s="61">
        <f t="shared" ca="1" si="416"/>
        <v>2.2624828854998791</v>
      </c>
      <c r="AI463" s="62">
        <f t="shared" ca="1" si="382"/>
        <v>0.93151911849474656</v>
      </c>
      <c r="AJ463" s="47">
        <f ca="1">IF(AD463,IF(AI463&lt;$F$10,0,IF(AI463&lt;$F$10+$F$11,0.25,IF(AI463&lt;$F$10+$F$11+AG463,AH463,1)))*IF(AF463&gt;0,AF463,IF(AF462&gt;0,AF462,IF(AF461&gt;0,AF461,IF(AF460&gt;0,AF460,IF(AF459&gt;0,AF459,IF(AF458&gt;0,AF458,IF(AF457&gt;0,AF457,IF(AF456&gt;0,AF456,IF(AF455&gt;0,AF455,IF(AF453&gt;0,AF453,IF(AF452&gt;0,AF452,IF(AF451&gt;0,AF451,0)))))))))))),0)*(1-$S463)*'模拟-单技能数据'!$I$20</f>
        <v>0</v>
      </c>
      <c r="AK463" s="115" t="b">
        <f t="shared" ca="1" si="403"/>
        <v>0</v>
      </c>
      <c r="AL463" s="115" t="b">
        <f t="shared" ca="1" si="424"/>
        <v>1</v>
      </c>
      <c r="AM463" s="115">
        <f t="shared" ca="1" si="425"/>
        <v>2</v>
      </c>
      <c r="AN463" s="47">
        <f ca="1">IF(AK463,('模拟-单技能数据'!$D$21+G463*'模拟-单技能数据'!$F$21)*(1+J463)*(1+'模拟-单技能数据'!$J$21)*(1+U463),0)</f>
        <v>0</v>
      </c>
      <c r="AO463" s="61">
        <f ca="1">IF(AN463&gt;0,M463-'模拟-单技能数据'!$K$10,AO462)</f>
        <v>0.42185145527300216</v>
      </c>
      <c r="AP463" s="61">
        <f ca="1">IF(AN463&gt;0,I463-'模拟-单技能数据'!$L$10,AP462)</f>
        <v>2.162482885499879</v>
      </c>
      <c r="AQ463" s="63">
        <f t="shared" ca="1" si="383"/>
        <v>0.20957080786398574</v>
      </c>
      <c r="AR463" s="64">
        <f ca="1">IF(AL463,IF(AQ463&lt;$F$10,0,IF(AQ463&lt;$F$10+$F$11,0.25,IF(AQ463&lt;$F$10+$F$11+AO463,AP463,1)))*IF(AN463&gt;0,AN463,IF(AN462&gt;0,AN462,IF(AN461&gt;0,AN461,IF(AN460&gt;0,AN460,IF(AN459&gt;0,AN459,IF(AN458&gt;0,AN458,IF(AN457&gt;0,AN457,IF(AN456&gt;0,AN456,IF(AN455&gt;0,AN455,IF(AN453&gt;0,AN453,IF(AN452&gt;0,AN452,IF(AN451&gt;0,AN451,0)))))))))))),0)*(1-$S463)*'模拟-单技能数据'!$I$21</f>
        <v>24043.249177625272</v>
      </c>
      <c r="AS463" s="61">
        <f ca="1">IF(OR(C463="净世破魔击·日",C463="净世破魔击·月"),M463-'模拟-单技能数据'!$K$10,0)</f>
        <v>0.42185145527300216</v>
      </c>
      <c r="AT463" s="61">
        <f ca="1">IF(OR(C463="净世破魔击·日",C463="净世破魔击·月"),I463-'模拟-单技能数据'!$L$10,0)</f>
        <v>2.162482885499879</v>
      </c>
      <c r="AU463" s="62">
        <f t="shared" ca="1" si="384"/>
        <v>0.77333609463768516</v>
      </c>
      <c r="AV463" s="64">
        <f ca="1">IF(AS463&gt;0,('模拟-单技能数据'!$D$22+G463*'模拟-单技能数据'!$F$22)*(1+J463)*(1-S463)*IF(AU463&lt;$F$10,0,IF(AU463&lt;$F$10+$F$11,0.25,IF(AU463&lt;$F$10+$F$11+AS463,AT463,1)))*(1+U463),0)*'模拟-单技能数据'!$I$22</f>
        <v>7639.4517521048492</v>
      </c>
      <c r="AW463" s="108">
        <f t="shared" ca="1" si="385"/>
        <v>0</v>
      </c>
      <c r="AX463" s="108" t="b">
        <f ca="1">AND(模拟模式!$P$10="有",AW462=0,RAND()&lt;IF(C463="净世破魔击·月",0.1*8/3,IF(C463="净世破魔击·日",0.1*4/3,0.1*2/3)))</f>
        <v>0</v>
      </c>
      <c r="AY463" s="47">
        <f ca="1">IF(AX463,(18+G463*0.722)*(1+J463)*(1-S463)*(1+$I$4)*IF(P463="会",'模拟-全程加成'!$J$3+'模拟-全程加成'!$J$4+'模拟-全程加成'!$J$5+('模拟-全程加成'!$I$4+'模拟-全程加成'!$I$5)/系数!$B$4+BG463*10%,IF(P463="命",1,IF(P463="识",0.25,0))),0)</f>
        <v>0</v>
      </c>
      <c r="AZ463" s="108">
        <f t="shared" si="386"/>
        <v>3.3950000000000062</v>
      </c>
      <c r="BA463" s="108" t="b">
        <f>AND(模拟模式!$Q$10="有",AZ462=0)</f>
        <v>0</v>
      </c>
      <c r="BB463" s="140">
        <f>IF(BA463,(0+G463*0.287)*(1+J463)*(1-S463)*(1+$I$4)*IF(P463="会",'模拟-全程加成'!$J$3+'模拟-全程加成'!$J$4+'模拟-全程加成'!$J$5+('模拟-全程加成'!$I$4+'模拟-全程加成'!$I$5)/系数!$B$4+BG463*10%,IF(P463="命",1,IF(P463="识",0.25,0))),0)</f>
        <v>0</v>
      </c>
      <c r="BC463" s="115" t="b">
        <f ca="1">AND(模拟模式!$R$7="伏明众生",E463=60,F463=20,DA463&lt;5,CZ462&lt;$F$4)</f>
        <v>0</v>
      </c>
      <c r="BD463" s="115">
        <f t="shared" ca="1" si="404"/>
        <v>0</v>
      </c>
      <c r="BE463" s="115" t="b">
        <f t="shared" ca="1" si="405"/>
        <v>0</v>
      </c>
      <c r="BF463" s="47">
        <f ca="1">IF(BC463,4*('模拟-单技能数据'!$D$24+G463*'模拟-单技能数据'!$F$24)*(1+J463)*(1+'模拟-单技能数据'!$J$24)*(1-S463)*(1+$I$3)*(('模拟-全程加成'!$J$3+'模拟-全程加成'!$J$4+'模拟-全程加成'!$J$5+('模拟-全程加成'!$I$4+'模拟-全程加成'!$I$5)/系数!$B$4+BG463*10%)*('模拟-全程加成'!$J$3+'模拟-全程加成'!$J$4+'模拟-全程加成'!$J$5+('模拟-全程加成'!$I$4+'模拟-全程加成'!$I$5)/系数!$B$4+BG463*10%)+(1-('模拟-全程加成'!$J$3+'模拟-全程加成'!$J$4+'模拟-全程加成'!$J$5+('模拟-全程加成'!$I$4+'模拟-全程加成'!$I$5)/系数!$B$4+BG463*10%)-$F$10-$F$11)+F449*0.25),0)*'模拟-单技能数据'!$I$24</f>
        <v>0</v>
      </c>
      <c r="BG463" s="115" t="b">
        <f ca="1">OR(AND(OR(C463="烈日斩",C463="银月斩"),模拟模式!$I$7="净身明礼"),AND(C463="净世破魔击·日",模拟模式!$J$7="洞若观火"),AND(C464="净世破魔击·月",模拟模式!$J$7="洞若观火"),AB463=1)</f>
        <v>1</v>
      </c>
      <c r="BH463" s="115" t="b">
        <f t="shared" ca="1" si="387"/>
        <v>0</v>
      </c>
      <c r="BI463" s="115">
        <f t="shared" ca="1" si="406"/>
        <v>0</v>
      </c>
      <c r="BJ463" s="115" t="b">
        <f t="shared" ca="1" si="417"/>
        <v>0</v>
      </c>
      <c r="BK463" s="115" t="b">
        <f ca="1">AND(C463="驱夜断愁",模拟模式!$P$7="天地诛戮")</f>
        <v>0</v>
      </c>
      <c r="BL463" s="57">
        <f t="shared" ca="1" si="407"/>
        <v>17.232500000000002</v>
      </c>
      <c r="BM463" s="115" t="b">
        <f t="shared" ca="1" si="418"/>
        <v>1</v>
      </c>
      <c r="BN463" s="115" t="b">
        <f ca="1">AND(OR(C463="赤日轮1",C463="赤日轮2",C463="赤日轮3",C463="幽月轮1",C463="幽月轮2",C463="幽月轮3"),AB463=1,模拟模式!$L$7="明光恒照")</f>
        <v>0</v>
      </c>
      <c r="BO463" s="117">
        <f t="shared" ca="1" si="408"/>
        <v>29.077500000000001</v>
      </c>
      <c r="BP463" s="115">
        <f t="shared" ca="1" si="388"/>
        <v>6</v>
      </c>
      <c r="BQ463" s="115" t="b">
        <f>模拟模式!$K$10="2600·水"</f>
        <v>0</v>
      </c>
      <c r="BR463" s="117">
        <f t="shared" si="389"/>
        <v>0</v>
      </c>
      <c r="BS463" s="115">
        <f t="shared" si="390"/>
        <v>0</v>
      </c>
      <c r="BT463" s="115">
        <f t="shared" ca="1" si="391"/>
        <v>0</v>
      </c>
      <c r="BU463" s="115" t="b">
        <f ca="1">AND(模拟模式!$K$10="2300·雷",BT462=0,RAND()&lt;IF(C463="净世破魔击·月",5*0.05*2/3,IF(C463="净世破魔击·日",3*0.05*2/3,0.05*2*2/3)))</f>
        <v>0</v>
      </c>
      <c r="BV463" s="115">
        <f t="shared" ca="1" si="392"/>
        <v>0</v>
      </c>
      <c r="BW463" s="115">
        <f t="shared" ca="1" si="393"/>
        <v>153.2474999999996</v>
      </c>
      <c r="BX463" s="164" t="b">
        <f t="shared" ca="1" si="394"/>
        <v>0</v>
      </c>
      <c r="BY463" s="115">
        <f t="shared" ca="1" si="395"/>
        <v>0</v>
      </c>
      <c r="BZ463" s="115">
        <f>IF(OR(模拟模式!$P$16="10人团",模拟模式!$P$16="25人团"),IF(B463/30&gt;CA462,1,0),0)</f>
        <v>0</v>
      </c>
      <c r="CA463" s="115">
        <f t="shared" si="371"/>
        <v>0</v>
      </c>
      <c r="CB463" s="115">
        <f ca="1">IF(BZ463=1,IF(模拟模式!$P$16="10人团",15,0)+IF(模拟模式!$P$16="25人团",IF(RAND()&lt;0.6,15,0)),MAX(0,CB462-$F$4))</f>
        <v>0</v>
      </c>
      <c r="CC463" s="115" t="b">
        <f t="shared" ca="1" si="419"/>
        <v>0</v>
      </c>
      <c r="CD463" s="115">
        <f>IF(模拟模式!$Q$16="1个",IF(B463/40&gt;CE462,1,0),0)</f>
        <v>0</v>
      </c>
      <c r="CE463" s="115">
        <f t="shared" si="420"/>
        <v>0</v>
      </c>
      <c r="CF463" s="115">
        <f>IF(OR(CD463=1,模拟模式!$Q$16="2个"),20,MAX(0,CF462-$F$4))</f>
        <v>0</v>
      </c>
      <c r="CG463" s="115" t="b">
        <f t="shared" si="421"/>
        <v>0</v>
      </c>
      <c r="CH463" s="115">
        <f t="shared" ca="1" si="396"/>
        <v>6.9375000000000124</v>
      </c>
      <c r="CI463" s="115" t="b">
        <f t="shared" ca="1" si="397"/>
        <v>0</v>
      </c>
      <c r="CJ463" s="119">
        <f t="shared" ca="1" si="398"/>
        <v>0</v>
      </c>
      <c r="CK463" s="115">
        <f t="shared" ca="1" si="399"/>
        <v>0</v>
      </c>
      <c r="CL463" s="115" t="b">
        <f ca="1">AND(模拟模式!$S$7="驱夷逐法",OR(AND(C463="净世破魔击·月",E462&gt;59),AND(C463="净世破魔击·日",F462&gt;59)))</f>
        <v>1</v>
      </c>
      <c r="CM463" s="115" t="b">
        <f ca="1">OR(CL463,AND(C463="净世破魔击·日",CL462,RAND()&lt;模拟模式!$U$23))</f>
        <v>1</v>
      </c>
      <c r="CN463" s="115" t="b">
        <f ca="1">IF(模拟模式!$M$7="辉耀红尘",AND(C463="净世破魔击·月",CL463,CV463=0,E462&lt;80),AND(C463="净世破魔击·月",CL463,E462&lt;100))</f>
        <v>0</v>
      </c>
      <c r="CO463" s="115" t="b">
        <f t="shared" ca="1" si="372"/>
        <v>0</v>
      </c>
      <c r="CP463" s="115" t="b">
        <f ca="1">AND(模拟模式!$O$7="用晦而明",OR(C463="净世破魔击·日",C463="净世破魔击·月",C463="驱夜断愁"),AB463)</f>
        <v>1</v>
      </c>
      <c r="CQ463" s="115" t="b">
        <f ca="1">OR(CP463,AND(CP462,RAND()&lt;模拟模式!$U$23))</f>
        <v>1</v>
      </c>
      <c r="CR463" s="115" t="b">
        <f ca="1">AND(模拟模式!$S$7="日月齐光",OR(C463="幽月轮1",C463="幽月轮2",C463="幽月轮3",CR462),NOT(OR(C463="赤日轮1",C463="赤日轮2",C463="赤日轮3")))</f>
        <v>0</v>
      </c>
      <c r="CS463" s="115" t="b">
        <f ca="1">AND(模拟模式!$S$7="日月齐光",OR(C463="赤日轮1",C463="赤日轮2",C463="赤日轮3",CS462),NOT(OR(C463="幽月轮1",C463="幽月轮2",C463="幽月轮3")))</f>
        <v>0</v>
      </c>
      <c r="CT463" s="115">
        <f t="shared" ca="1" si="400"/>
        <v>0</v>
      </c>
      <c r="CU463" s="115" t="b">
        <f ca="1">AND(模拟模式!$K$10="阴阳往极",CT462=0,RAND()&lt;IF(C463="净世破魔击·月",0.0275*7/3,IF(C463="净世破魔击·日",0.0275*3/3,0.0275*2/3)))</f>
        <v>0</v>
      </c>
      <c r="CV463" s="115">
        <f t="shared" ca="1" si="401"/>
        <v>0</v>
      </c>
      <c r="CW463" s="115">
        <f t="shared" ca="1" si="373"/>
        <v>4.1549999999999994</v>
      </c>
      <c r="CX463" s="115">
        <f t="shared" ca="1" si="374"/>
        <v>2.3099999999999996</v>
      </c>
      <c r="CY463" s="115">
        <f ca="1">MAX(IF($C463="驱夜断愁",IF(模拟模式!$R$7="万念俱寂",6,45),CY462-$F$4),0)</f>
        <v>3.2324999999999995</v>
      </c>
      <c r="CZ463" s="115">
        <f t="shared" ca="1" si="375"/>
        <v>0</v>
      </c>
      <c r="DA463" s="115">
        <f ca="1">IF(模拟模式!$N$7="日月同辉",IF(DB462=2,0,MIN(6,IF(AND(OR(C463="赤日轮1",C463="赤日轮2",C463="赤日轮3",C463="幽月轮1",C463="幽月轮2",C463="幽月轮3"),AB463=1),DA462+1,DA462))),0)</f>
        <v>5</v>
      </c>
      <c r="DB463" s="115">
        <f t="shared" ca="1" si="376"/>
        <v>0</v>
      </c>
      <c r="DC463" s="115"/>
      <c r="DD463" s="115"/>
      <c r="DE463" s="115"/>
      <c r="DF463" s="115"/>
      <c r="DG463" s="115"/>
      <c r="DH463" s="115"/>
      <c r="DI463" s="115"/>
      <c r="DJ463" s="115"/>
      <c r="DK463" s="115"/>
      <c r="DL463" s="115"/>
      <c r="DM463" s="115"/>
    </row>
    <row r="464" spans="2:117" x14ac:dyDescent="0.2">
      <c r="B464" s="117">
        <f t="shared" si="377"/>
        <v>403.13250000000397</v>
      </c>
      <c r="C464" s="167" t="str">
        <f t="shared" ca="1" si="370"/>
        <v>净世破魔击·日</v>
      </c>
      <c r="D464" s="115">
        <f ca="1">IF(C464="赤日轮1",1,IF(C464="赤日轮2",2,IF(C464="赤日轮3",3,IF(C464="幽月轮1",4,IF(C464="幽月轮2",5,IF(C464="幽月轮3",6,IF(C464="烈日斩",7,IF(C464="银月斩",8,IF(C464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464="净世破魔击·月",17,IF(C464="驱夜断愁",18,0)))))))))))</f>
        <v>9</v>
      </c>
      <c r="E464" s="115">
        <f ca="1">IF(AND(CU464,OR(C464="幽月轮1",C464="幽月轮2",C464="幽月轮3",C464="银月斩",C464="驱夜断愁",C464="净世破魔击·月")),100,MIN(IF(OR(CN464,BE464),0,IF(OR($C464="赤日轮1",$C464="赤日轮2",$C464="赤日轮3"),E463+20+IF(模拟模式!$I$7="日月凌天",4,0)+IF(CR463,20,0),IF($C464="烈日斩",E463+40,IF($C464="驱夜断愁",IF(模拟模式!$R$7="万念俱寂",E463+20,E463+60),IF($C464="净世破魔击·月",IF(OR(DB463&gt;0,CV463&gt;0),100,IF(模拟模式!$M$7="辉耀红尘",E463+20,E463)),IF($C464="净世破魔击·日",E463-100,E463)))))),100))</f>
        <v>0</v>
      </c>
      <c r="F464" s="115">
        <f ca="1">IF(AND(CU464,OR(C464="赤日轮1",C464="赤日轮2",C464="赤日轮3",C464="烈日斩",C464="净世破魔击·日")),100,MIN(IF(CO464,0,IF(OR($C464="幽月轮1",$C464="幽月轮2",$C464="幽月轮3"),F463+20+IF(模拟模式!$I$7="日月凌天",4,0)+IF(CS463,20,0),IF($C464="银月斩",F463+40+IF(模拟模式!$X$12=1,5,0),IF($C464="驱夜断愁",IF(模拟模式!$R$7="万念俱寂",F463+20,F463+60),IF($C464="净世破魔击·月",IF(模拟模式!$M$7="辉耀红尘",F463-80,F463-100),IF(AND(C464="净世破魔击·日",OR(DB463&gt;0,CV463&gt;0)),100,F463)))))),100))</f>
        <v>20</v>
      </c>
      <c r="G464" s="117">
        <f ca="1">('模拟-全程加成'!$E$3+'模拟-全程加成'!$E$4+'模拟-全程加成'!$E$5+('模拟-全程加成'!$C$6-'模拟-全程加成'!$C$3)*系数!$B$9+BS464*23)*(1+'模拟-全程加成'!$F$4+'模拟-全程加成'!$F$5+BJ464*10%+BM464*20%+BP464*4%+CG464*30%)+$F$7*系数!$B$12</f>
        <v>20583.127400000001</v>
      </c>
      <c r="H464" s="45">
        <f ca="1">'模拟-全程加成'!$H$3+'模拟-全程加成'!$H$4+'模拟-全程加成'!$H$5+('模拟-全程加成'!$G$4+'模拟-全程加成'!$G$5+('模拟-全程加成'!$C$6-'模拟-全程加成'!$C$3)*系数!$B$13)/系数!$B$3+LOOKUP(D464,'模拟-单技能数据'!$A$2:$A$19,'模拟-单技能数据'!$K$2:$K$19)+BG464*10%+IF(BV464&gt;0,378,0)</f>
        <v>0.54185145527300216</v>
      </c>
      <c r="I464" s="45">
        <f ca="1">'模拟-全程加成'!$J$3+'模拟-全程加成'!$J$4+'模拟-全程加成'!$J$5+('模拟-全程加成'!$I$4+'模拟-全程加成'!$I$5)/系数!$B$4+LOOKUP(D464,'模拟-单技能数据'!$A$2:$A$19,'模拟-单技能数据'!$L$2:$L$19)+BG464*10%</f>
        <v>2.162482885499879</v>
      </c>
      <c r="J464" s="45">
        <f ca="1">(('模拟-全程加成'!$K$3+'模拟-全程加成'!$K$4+'模拟-全程加成'!$K$5+('模拟-全程加成'!$C$6-'模拟-全程加成'!$C$3)*系数!$B$10+IF(BV464&gt;0,882,0)+IF(BY464&gt;0,1831,0))*(1+'模拟-全程加成'!$L$4+'模拟-全程加成'!$L$5+CC464*20%))/系数!$B$5</f>
        <v>0.69723220422048726</v>
      </c>
      <c r="K464" s="119">
        <f ca="1">LOOKUP(D464,'模拟-单技能数据'!$A$2:$A$19,'模拟-单技能数据'!$J$2:$J$19)+IF(CM464,60%,0)+IF(DB463-DB464&gt;0,30%,0)+IF(OR(AND(OR(C464="赤日轮1",C464="赤日轮2",C464="赤日轮3"),CR464),AND(OR(C464="幽月轮1",C464="幽月轮2",C464="幽月轮3"),CS464)),35%,0)+CJ464</f>
        <v>0.8</v>
      </c>
      <c r="L464" s="119">
        <f ca="1">IF(AND(C464="烈日斩",模拟模式!$X$11=1),10%,0)+IF(AND(C464="驱夜断愁",AB464=1),30%,0)</f>
        <v>0</v>
      </c>
      <c r="M464" s="45">
        <f t="shared" ca="1" si="409"/>
        <v>0.54185145527300216</v>
      </c>
      <c r="N464" s="45">
        <f t="shared" ca="1" si="410"/>
        <v>0.40424854472699789</v>
      </c>
      <c r="O464" s="46">
        <f t="shared" ca="1" si="378"/>
        <v>0.19592898074644427</v>
      </c>
      <c r="P464" s="46" t="str">
        <f t="shared" ca="1" si="379"/>
        <v>会</v>
      </c>
      <c r="Q464" s="45">
        <f t="shared" ca="1" si="380"/>
        <v>2.162482885499879</v>
      </c>
      <c r="R464" s="117">
        <f ca="1">模拟模式!$E$20*(1-IF(模拟模式!$J$19="有",0.15,0))*(1-IF(模拟模式!$K$19="有",0.3,0)-IF(CQ464,0.5,0))</f>
        <v>843.02999999999975</v>
      </c>
      <c r="S464" s="45">
        <f ca="1">R464/(R464+(185*模拟模式!$E$22-16800)*4.08224)</f>
        <v>8.389626085980037E-2</v>
      </c>
      <c r="T464" s="45" t="str">
        <f ca="1">LOOKUP(D464,'模拟-单技能数据'!$A$2:$A$19,'模拟-单技能数据'!$H$2:$H$19)</f>
        <v>阳</v>
      </c>
      <c r="U464" s="119">
        <f t="shared" ca="1" si="411"/>
        <v>0.2</v>
      </c>
      <c r="V464" s="47">
        <f ca="1">(1+L464)*(LOOKUP(D464,'模拟-单技能数据'!$A$2:$A$19,'模拟-单技能数据'!$D$2:$D$19)+G464*LOOKUP(D464,'模拟-单技能数据'!$A$2:$A$19,'模拟-单技能数据'!$F$2:$F$19))*(1+J464)*(1+K464)*(1-S464)*(1+U464)*Q464*LOOKUP(D464,'模拟-单技能数据'!$A$2:$A$19,'模拟-单技能数据'!$I$2:$I$20)</f>
        <v>195915.814886668</v>
      </c>
      <c r="W464" s="47">
        <f ca="1">LOOKUP(D464,'模拟-单技能数据'!$A$2:$A$19,'模拟-单技能数据'!$G$2:$G$19)*$I$10</f>
        <v>723.0212870940959</v>
      </c>
      <c r="X464" s="47">
        <f t="shared" ca="1" si="381"/>
        <v>11341.00446976662</v>
      </c>
      <c r="Y464" s="47">
        <f t="shared" ca="1" si="412"/>
        <v>207979.84064352873</v>
      </c>
      <c r="Z464" s="49">
        <f t="shared" ca="1" si="413"/>
        <v>45878291.994139679</v>
      </c>
      <c r="AA464" s="97">
        <f t="shared" ca="1" si="414"/>
        <v>113804.49850641967</v>
      </c>
      <c r="AB464" s="115">
        <f ca="1">IF(OR(C464="赤日轮1",C464="赤日轮2",C464="赤日轮3"),IF(RAND()&lt;模拟模式!$Y$17,1,0),IF(OR(C464="幽月轮1",C464="幽月轮2",C464="幽月轮3"),IF(RAND()&lt;模拟模式!$Y$18,1,0),IF(C464="烈日斩",IF(RAND()&lt;模拟模式!$Y$19,1,0),IF(C464="银月斩",IF(RAND()&lt;模拟模式!$Y$20,1,0),IF(C464="驱夜断愁",IF(RAND()&lt;模拟模式!$Y$21,1,0),IF(C464="净世破魔击·日",IF(RAND()&lt;模拟模式!$Y$22,1,0),IF(C464="净世破魔击·月",IF(RAND()&lt;模拟模式!$Y$23,1,0),0)))))))</f>
        <v>1</v>
      </c>
      <c r="AC464" s="115" t="b">
        <f t="shared" ca="1" si="402"/>
        <v>0</v>
      </c>
      <c r="AD464" s="115" t="b">
        <f t="shared" ca="1" si="422"/>
        <v>1</v>
      </c>
      <c r="AE464" s="115">
        <f t="shared" ca="1" si="423"/>
        <v>3</v>
      </c>
      <c r="AF464" s="47">
        <f ca="1">IF(AC464,('模拟-单技能数据'!$D$20+G464*'模拟-单技能数据'!$F$20)*(1+J464)*(1+'模拟-单技能数据'!$J$20)*(1+U464),0)</f>
        <v>0</v>
      </c>
      <c r="AG464" s="61">
        <f t="shared" ca="1" si="415"/>
        <v>0.64185145527300214</v>
      </c>
      <c r="AH464" s="61">
        <f t="shared" ca="1" si="416"/>
        <v>2.2624828854998791</v>
      </c>
      <c r="AI464" s="62">
        <f t="shared" ca="1" si="382"/>
        <v>0.38622854728968459</v>
      </c>
      <c r="AJ464" s="47">
        <f ca="1">IF(AD464,IF(AI464&lt;$F$10,0,IF(AI464&lt;$F$10+$F$11,0.25,IF(AI464&lt;$F$10+$F$11+AG464,AH464,1)))*IF(AF464&gt;0,AF464,IF(AF463&gt;0,AF463,IF(AF462&gt;0,AF462,IF(AF461&gt;0,AF461,IF(AF460&gt;0,AF460,IF(AF459&gt;0,AF459,IF(AF458&gt;0,AF458,IF(AF457&gt;0,AF457,IF(AF456&gt;0,AF456,IF(AF454&gt;0,AF454,IF(AF453&gt;0,AF453,IF(AF452&gt;0,AF452,0)))))))))))),0)*(1-$S464)*'模拟-单技能数据'!$I$20</f>
        <v>9218.9345386263849</v>
      </c>
      <c r="AK464" s="115" t="b">
        <f t="shared" ca="1" si="403"/>
        <v>1</v>
      </c>
      <c r="AL464" s="115" t="b">
        <f t="shared" ca="1" si="424"/>
        <v>0</v>
      </c>
      <c r="AM464" s="115">
        <f t="shared" ca="1" si="425"/>
        <v>6</v>
      </c>
      <c r="AN464" s="47">
        <f ca="1">IF(AK464,('模拟-单技能数据'!$D$21+G464*'模拟-单技能数据'!$F$21)*(1+J464)*(1+'模拟-单技能数据'!$J$21)*(1+U464),0)</f>
        <v>12136.56601728573</v>
      </c>
      <c r="AO464" s="61">
        <f ca="1">IF(AN464&gt;0,M464-'模拟-单技能数据'!$K$10,AO463)</f>
        <v>0.42185145527300216</v>
      </c>
      <c r="AP464" s="61">
        <f ca="1">IF(AN464&gt;0,I464-'模拟-单技能数据'!$L$10,AP463)</f>
        <v>2.162482885499879</v>
      </c>
      <c r="AQ464" s="63">
        <f t="shared" ca="1" si="383"/>
        <v>0.26841211337350857</v>
      </c>
      <c r="AR464" s="64">
        <f ca="1">IF(AL464,IF(AQ464&lt;$F$10,0,IF(AQ464&lt;$F$10+$F$11,0.25,IF(AQ464&lt;$F$10+$F$11+AO464,AP464,1)))*IF(AN464&gt;0,AN464,IF(AN463&gt;0,AN463,IF(AN462&gt;0,AN462,IF(AN461&gt;0,AN461,IF(AN460&gt;0,AN460,IF(AN459&gt;0,AN459,IF(AN458&gt;0,AN458,IF(AN457&gt;0,AN457,IF(AN456&gt;0,AN456,IF(AN454&gt;0,AN454,IF(AN453&gt;0,AN453,IF(AN452&gt;0,AN452,0)))))))))))),0)*(1-$S464)*'模拟-单技能数据'!$I$21</f>
        <v>0</v>
      </c>
      <c r="AS464" s="61">
        <f ca="1">IF(OR(C464="净世破魔击·日",C464="净世破魔击·月"),M464-'模拟-单技能数据'!$K$10,0)</f>
        <v>0.42185145527300216</v>
      </c>
      <c r="AT464" s="61">
        <f ca="1">IF(OR(C464="净世破魔击·日",C464="净世破魔击·月"),I464-'模拟-单技能数据'!$L$10,0)</f>
        <v>2.162482885499879</v>
      </c>
      <c r="AU464" s="62">
        <f t="shared" ca="1" si="384"/>
        <v>2.4166548112521946E-2</v>
      </c>
      <c r="AV464" s="64">
        <f ca="1">IF(AS464&gt;0,('模拟-单技能数据'!$D$22+G464*'模拟-单技能数据'!$F$22)*(1+J464)*(1-S464)*IF(AU464&lt;$F$10,0,IF(AU464&lt;$F$10+$F$11,0.25,IF(AU464&lt;$F$10+$F$11+AS464,AT464,1)))*(1+U464),0)*'模拟-单技能数据'!$I$22</f>
        <v>2122.0699311402354</v>
      </c>
      <c r="AW464" s="108">
        <f t="shared" ca="1" si="385"/>
        <v>0</v>
      </c>
      <c r="AX464" s="108" t="b">
        <f ca="1">AND(模拟模式!$P$10="有",AW463=0,RAND()&lt;IF(C464="净世破魔击·月",0.1*8/3,IF(C464="净世破魔击·日",0.1*4/3,0.1*2/3)))</f>
        <v>0</v>
      </c>
      <c r="AY464" s="47">
        <f ca="1">IF(AX464,(18+G464*0.722)*(1+J464)*(1-S464)*(1+$I$4)*IF(P464="会",'模拟-全程加成'!$J$3+'模拟-全程加成'!$J$4+'模拟-全程加成'!$J$5+('模拟-全程加成'!$I$4+'模拟-全程加成'!$I$5)/系数!$B$4+BG464*10%,IF(P464="命",1,IF(P464="识",0.25,0))),0)</f>
        <v>0</v>
      </c>
      <c r="AZ464" s="108">
        <f t="shared" si="386"/>
        <v>2.4725000000000064</v>
      </c>
      <c r="BA464" s="108" t="b">
        <f>AND(模拟模式!$Q$10="有",AZ463=0)</f>
        <v>0</v>
      </c>
      <c r="BB464" s="140">
        <f>IF(BA464,(0+G464*0.287)*(1+J464)*(1-S464)*(1+$I$4)*IF(P464="会",'模拟-全程加成'!$J$3+'模拟-全程加成'!$J$4+'模拟-全程加成'!$J$5+('模拟-全程加成'!$I$4+'模拟-全程加成'!$I$5)/系数!$B$4+BG464*10%,IF(P464="命",1,IF(P464="识",0.25,0))),0)</f>
        <v>0</v>
      </c>
      <c r="BC464" s="115" t="b">
        <f ca="1">AND(模拟模式!$R$7="伏明众生",E464=60,F464=20,DA464&lt;5,CZ463&lt;$F$4)</f>
        <v>0</v>
      </c>
      <c r="BD464" s="115">
        <f t="shared" ca="1" si="404"/>
        <v>0</v>
      </c>
      <c r="BE464" s="115" t="b">
        <f t="shared" ca="1" si="405"/>
        <v>0</v>
      </c>
      <c r="BF464" s="47">
        <f ca="1">IF(BC464,4*('模拟-单技能数据'!$D$24+G464*'模拟-单技能数据'!$F$24)*(1+J464)*(1+'模拟-单技能数据'!$J$24)*(1-S464)*(1+$I$3)*(('模拟-全程加成'!$J$3+'模拟-全程加成'!$J$4+'模拟-全程加成'!$J$5+('模拟-全程加成'!$I$4+'模拟-全程加成'!$I$5)/系数!$B$4+BG464*10%)*('模拟-全程加成'!$J$3+'模拟-全程加成'!$J$4+'模拟-全程加成'!$J$5+('模拟-全程加成'!$I$4+'模拟-全程加成'!$I$5)/系数!$B$4+BG464*10%)+(1-('模拟-全程加成'!$J$3+'模拟-全程加成'!$J$4+'模拟-全程加成'!$J$5+('模拟-全程加成'!$I$4+'模拟-全程加成'!$I$5)/系数!$B$4+BG464*10%)-$F$10-$F$11)+F450*0.25),0)*'模拟-单技能数据'!$I$24</f>
        <v>0</v>
      </c>
      <c r="BG464" s="115" t="b">
        <f ca="1">OR(AND(OR(C464="烈日斩",C464="银月斩"),模拟模式!$I$7="净身明礼"),AND(C464="净世破魔击·日",模拟模式!$J$7="洞若观火"),AND(C465="净世破魔击·月",模拟模式!$J$7="洞若观火"),AB464=1)</f>
        <v>1</v>
      </c>
      <c r="BH464" s="115" t="b">
        <f t="shared" ca="1" si="387"/>
        <v>0</v>
      </c>
      <c r="BI464" s="115">
        <f t="shared" ca="1" si="406"/>
        <v>0</v>
      </c>
      <c r="BJ464" s="115" t="b">
        <f t="shared" ca="1" si="417"/>
        <v>0</v>
      </c>
      <c r="BK464" s="115" t="b">
        <f ca="1">AND(C464="驱夜断愁",模拟模式!$P$7="天地诛戮")</f>
        <v>0</v>
      </c>
      <c r="BL464" s="57">
        <f t="shared" ca="1" si="407"/>
        <v>16.310000000000002</v>
      </c>
      <c r="BM464" s="115" t="b">
        <f t="shared" ca="1" si="418"/>
        <v>1</v>
      </c>
      <c r="BN464" s="115" t="b">
        <f ca="1">AND(OR(C464="赤日轮1",C464="赤日轮2",C464="赤日轮3",C464="幽月轮1",C464="幽月轮2",C464="幽月轮3"),AB464=1,模拟模式!$L$7="明光恒照")</f>
        <v>0</v>
      </c>
      <c r="BO464" s="117">
        <f t="shared" ca="1" si="408"/>
        <v>28.155000000000001</v>
      </c>
      <c r="BP464" s="115">
        <f t="shared" ca="1" si="388"/>
        <v>6</v>
      </c>
      <c r="BQ464" s="115" t="b">
        <f>模拟模式!$K$10="2600·水"</f>
        <v>0</v>
      </c>
      <c r="BR464" s="117">
        <f t="shared" si="389"/>
        <v>0</v>
      </c>
      <c r="BS464" s="115">
        <f t="shared" si="390"/>
        <v>0</v>
      </c>
      <c r="BT464" s="115">
        <f t="shared" ca="1" si="391"/>
        <v>0</v>
      </c>
      <c r="BU464" s="115" t="b">
        <f ca="1">AND(模拟模式!$K$10="2300·雷",BT463=0,RAND()&lt;IF(C464="净世破魔击·月",5*0.05*2/3,IF(C464="净世破魔击·日",3*0.05*2/3,0.05*2*2/3)))</f>
        <v>0</v>
      </c>
      <c r="BV464" s="115">
        <f t="shared" ca="1" si="392"/>
        <v>0</v>
      </c>
      <c r="BW464" s="115">
        <f t="shared" ca="1" si="393"/>
        <v>152.32499999999959</v>
      </c>
      <c r="BX464" s="164" t="b">
        <f t="shared" ca="1" si="394"/>
        <v>0</v>
      </c>
      <c r="BY464" s="115">
        <f t="shared" ca="1" si="395"/>
        <v>0</v>
      </c>
      <c r="BZ464" s="115">
        <f>IF(OR(模拟模式!$P$16="10人团",模拟模式!$P$16="25人团"),IF(B464/30&gt;CA463,1,0),0)</f>
        <v>0</v>
      </c>
      <c r="CA464" s="115">
        <f t="shared" si="371"/>
        <v>0</v>
      </c>
      <c r="CB464" s="115">
        <f ca="1">IF(BZ464=1,IF(模拟模式!$P$16="10人团",15,0)+IF(模拟模式!$P$16="25人团",IF(RAND()&lt;0.6,15,0)),MAX(0,CB463-$F$4))</f>
        <v>0</v>
      </c>
      <c r="CC464" s="115" t="b">
        <f t="shared" ca="1" si="419"/>
        <v>0</v>
      </c>
      <c r="CD464" s="115">
        <f>IF(模拟模式!$Q$16="1个",IF(B464/40&gt;CE463,1,0),0)</f>
        <v>0</v>
      </c>
      <c r="CE464" s="115">
        <f t="shared" si="420"/>
        <v>0</v>
      </c>
      <c r="CF464" s="115">
        <f>IF(OR(CD464=1,模拟模式!$Q$16="2个"),20,MAX(0,CF463-$F$4))</f>
        <v>0</v>
      </c>
      <c r="CG464" s="115" t="b">
        <f t="shared" si="421"/>
        <v>0</v>
      </c>
      <c r="CH464" s="115">
        <f t="shared" ca="1" si="396"/>
        <v>6.0150000000000121</v>
      </c>
      <c r="CI464" s="115" t="b">
        <f t="shared" ca="1" si="397"/>
        <v>0</v>
      </c>
      <c r="CJ464" s="119">
        <f t="shared" ca="1" si="398"/>
        <v>0</v>
      </c>
      <c r="CK464" s="115">
        <f t="shared" ca="1" si="399"/>
        <v>0</v>
      </c>
      <c r="CL464" s="115" t="b">
        <f ca="1">AND(模拟模式!$S$7="驱夷逐法",OR(AND(C464="净世破魔击·月",E463&gt;59),AND(C464="净世破魔击·日",F463&gt;59)))</f>
        <v>0</v>
      </c>
      <c r="CM464" s="115" t="b">
        <f ca="1">OR(CL464,AND(C464="净世破魔击·日",CL463,RAND()&lt;模拟模式!$U$23))</f>
        <v>1</v>
      </c>
      <c r="CN464" s="115" t="b">
        <f ca="1">IF(模拟模式!$M$7="辉耀红尘",AND(C464="净世破魔击·月",CL464,CV464=0,E463&lt;80),AND(C464="净世破魔击·月",CL464,E463&lt;100))</f>
        <v>0</v>
      </c>
      <c r="CO464" s="115" t="b">
        <f t="shared" ca="1" si="372"/>
        <v>0</v>
      </c>
      <c r="CP464" s="115" t="b">
        <f ca="1">AND(模拟模式!$O$7="用晦而明",OR(C464="净世破魔击·日",C464="净世破魔击·月",C464="驱夜断愁"),AB464)</f>
        <v>1</v>
      </c>
      <c r="CQ464" s="115" t="b">
        <f ca="1">OR(CP464,AND(CP463,RAND()&lt;模拟模式!$U$23))</f>
        <v>1</v>
      </c>
      <c r="CR464" s="115" t="b">
        <f ca="1">AND(模拟模式!$S$7="日月齐光",OR(C464="幽月轮1",C464="幽月轮2",C464="幽月轮3",CR463),NOT(OR(C464="赤日轮1",C464="赤日轮2",C464="赤日轮3")))</f>
        <v>0</v>
      </c>
      <c r="CS464" s="115" t="b">
        <f ca="1">AND(模拟模式!$S$7="日月齐光",OR(C464="赤日轮1",C464="赤日轮2",C464="赤日轮3",CS463),NOT(OR(C464="幽月轮1",C464="幽月轮2",C464="幽月轮3")))</f>
        <v>0</v>
      </c>
      <c r="CT464" s="115">
        <f t="shared" ca="1" si="400"/>
        <v>0</v>
      </c>
      <c r="CU464" s="115" t="b">
        <f ca="1">AND(模拟模式!$K$10="阴阳往极",CT463=0,RAND()&lt;IF(C464="净世破魔击·月",0.0275*7/3,IF(C464="净世破魔击·日",0.0275*3/3,0.0275*2/3)))</f>
        <v>0</v>
      </c>
      <c r="CV464" s="115">
        <f t="shared" ca="1" si="401"/>
        <v>0</v>
      </c>
      <c r="CW464" s="115">
        <f t="shared" ca="1" si="373"/>
        <v>3.2324999999999995</v>
      </c>
      <c r="CX464" s="115">
        <f t="shared" ca="1" si="374"/>
        <v>1.3874999999999997</v>
      </c>
      <c r="CY464" s="115">
        <f ca="1">MAX(IF($C464="驱夜断愁",IF(模拟模式!$R$7="万念俱寂",6,45),CY463-$F$4),0)</f>
        <v>2.3099999999999996</v>
      </c>
      <c r="CZ464" s="115">
        <f t="shared" ca="1" si="375"/>
        <v>0</v>
      </c>
      <c r="DA464" s="115">
        <f ca="1">IF(模拟模式!$N$7="日月同辉",IF(DB463=2,0,MIN(6,IF(AND(OR(C464="赤日轮1",C464="赤日轮2",C464="赤日轮3",C464="幽月轮1",C464="幽月轮2",C464="幽月轮3"),AB464=1),DA463+1,DA463))),0)</f>
        <v>5</v>
      </c>
      <c r="DB464" s="115">
        <f t="shared" ca="1" si="376"/>
        <v>0</v>
      </c>
      <c r="DC464" s="115"/>
      <c r="DD464" s="115"/>
      <c r="DE464" s="115"/>
      <c r="DF464" s="115"/>
      <c r="DG464" s="115"/>
      <c r="DH464" s="115"/>
      <c r="DI464" s="115"/>
      <c r="DJ464" s="115"/>
      <c r="DK464" s="115"/>
      <c r="DL464" s="115"/>
      <c r="DM464" s="115"/>
    </row>
    <row r="465" spans="2:117" x14ac:dyDescent="0.2">
      <c r="B465" s="117">
        <f t="shared" si="377"/>
        <v>404.05500000000399</v>
      </c>
      <c r="C465" s="167" t="str">
        <f t="shared" ca="1" si="370"/>
        <v>赤日轮1</v>
      </c>
      <c r="D465" s="115">
        <f ca="1">IF(C465="赤日轮1",1,IF(C465="赤日轮2",2,IF(C465="赤日轮3",3,IF(C465="幽月轮1",4,IF(C465="幽月轮2",5,IF(C465="幽月轮3",6,IF(C465="烈日斩",7,IF(C465="银月斩",8,IF(C465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465="净世破魔击·月",17,IF(C465="驱夜断愁",18,0)))))))))))</f>
        <v>1</v>
      </c>
      <c r="E465" s="115">
        <f ca="1">IF(AND(CU465,OR(C465="幽月轮1",C465="幽月轮2",C465="幽月轮3",C465="银月斩",C465="驱夜断愁",C465="净世破魔击·月")),100,MIN(IF(OR(CN465,BE465),0,IF(OR($C465="赤日轮1",$C465="赤日轮2",$C465="赤日轮3"),E464+20+IF(模拟模式!$I$7="日月凌天",4,0)+IF(CR464,20,0),IF($C465="烈日斩",E464+40,IF($C465="驱夜断愁",IF(模拟模式!$R$7="万念俱寂",E464+20,E464+60),IF($C465="净世破魔击·月",IF(OR(DB464&gt;0,CV464&gt;0),100,IF(模拟模式!$M$7="辉耀红尘",E464+20,E464)),IF($C465="净世破魔击·日",E464-100,E464)))))),100))</f>
        <v>20</v>
      </c>
      <c r="F465" s="115">
        <f ca="1">IF(AND(CU465,OR(C465="赤日轮1",C465="赤日轮2",C465="赤日轮3",C465="烈日斩",C465="净世破魔击·日")),100,MIN(IF(CO465,0,IF(OR($C465="幽月轮1",$C465="幽月轮2",$C465="幽月轮3"),F464+20+IF(模拟模式!$I$7="日月凌天",4,0)+IF(CS464,20,0),IF($C465="银月斩",F464+40+IF(模拟模式!$X$12=1,5,0),IF($C465="驱夜断愁",IF(模拟模式!$R$7="万念俱寂",F464+20,F464+60),IF($C465="净世破魔击·月",IF(模拟模式!$M$7="辉耀红尘",F464-80,F464-100),IF(AND(C465="净世破魔击·日",OR(DB464&gt;0,CV464&gt;0)),100,F464)))))),100))</f>
        <v>20</v>
      </c>
      <c r="G465" s="117">
        <f ca="1">('模拟-全程加成'!$E$3+'模拟-全程加成'!$E$4+'模拟-全程加成'!$E$5+('模拟-全程加成'!$C$6-'模拟-全程加成'!$C$3)*系数!$B$9+BS465*23)*(1+'模拟-全程加成'!$F$4+'模拟-全程加成'!$F$5+BJ465*10%+BM465*20%+BP465*4%+CG465*30%)+$F$7*系数!$B$12</f>
        <v>20583.127400000001</v>
      </c>
      <c r="H465" s="45">
        <f ca="1">'模拟-全程加成'!$H$3+'模拟-全程加成'!$H$4+'模拟-全程加成'!$H$5+('模拟-全程加成'!$G$4+'模拟-全程加成'!$G$5+('模拟-全程加成'!$C$6-'模拟-全程加成'!$C$3)*系数!$B$13)/系数!$B$3+LOOKUP(D465,'模拟-单技能数据'!$A$2:$A$19,'模拟-单技能数据'!$K$2:$K$19)+BG465*10%+IF(BV465&gt;0,378,0)</f>
        <v>0.4618514552730022</v>
      </c>
      <c r="I465" s="45">
        <f ca="1">'模拟-全程加成'!$J$3+'模拟-全程加成'!$J$4+'模拟-全程加成'!$J$5+('模拟-全程加成'!$I$4+'模拟-全程加成'!$I$5)/系数!$B$4+LOOKUP(D465,'模拟-单技能数据'!$A$2:$A$19,'模拟-单技能数据'!$L$2:$L$19)+BG465*10%</f>
        <v>2.162482885499879</v>
      </c>
      <c r="J465" s="45">
        <f ca="1">(('模拟-全程加成'!$K$3+'模拟-全程加成'!$K$4+'模拟-全程加成'!$K$5+('模拟-全程加成'!$C$6-'模拟-全程加成'!$C$3)*系数!$B$10+IF(BV465&gt;0,882,0)+IF(BY465&gt;0,1831,0))*(1+'模拟-全程加成'!$L$4+'模拟-全程加成'!$L$5+CC465*20%))/系数!$B$5</f>
        <v>0.69723220422048726</v>
      </c>
      <c r="K465" s="119">
        <f ca="1">LOOKUP(D465,'模拟-单技能数据'!$A$2:$A$19,'模拟-单技能数据'!$J$2:$J$19)+IF(CM465,60%,0)+IF(DB464-DB465&gt;0,30%,0)+IF(OR(AND(OR(C465="赤日轮1",C465="赤日轮2",C465="赤日轮3"),CR465),AND(OR(C465="幽月轮1",C465="幽月轮2",C465="幽月轮3"),CS465)),35%,0)+CJ465</f>
        <v>0.12</v>
      </c>
      <c r="L465" s="119">
        <f ca="1">IF(AND(C465="烈日斩",模拟模式!$X$11=1),10%,0)+IF(AND(C465="驱夜断愁",AB465=1),30%,0)</f>
        <v>0</v>
      </c>
      <c r="M465" s="45">
        <f t="shared" ca="1" si="409"/>
        <v>0.4618514552730022</v>
      </c>
      <c r="N465" s="45">
        <f t="shared" ca="1" si="410"/>
        <v>0.48424854472699785</v>
      </c>
      <c r="O465" s="46">
        <f t="shared" ca="1" si="378"/>
        <v>9.7045613271966924E-2</v>
      </c>
      <c r="P465" s="46" t="str">
        <f t="shared" ca="1" si="379"/>
        <v>会</v>
      </c>
      <c r="Q465" s="45">
        <f t="shared" ca="1" si="380"/>
        <v>2.162482885499879</v>
      </c>
      <c r="R465" s="117">
        <f ca="1">模拟模式!$E$20*(1-IF(模拟模式!$J$19="有",0.15,0))*(1-IF(模拟模式!$K$19="有",0.3,0)-IF(CQ465,0.5,0))</f>
        <v>843.02999999999975</v>
      </c>
      <c r="S465" s="45">
        <f ca="1">R465/(R465+(185*模拟模式!$E$22-16800)*4.08224)</f>
        <v>8.389626085980037E-2</v>
      </c>
      <c r="T465" s="45" t="str">
        <f ca="1">LOOKUP(D465,'模拟-单技能数据'!$A$2:$A$19,'模拟-单技能数据'!$H$2:$H$19)</f>
        <v>阳</v>
      </c>
      <c r="U465" s="119">
        <f t="shared" ca="1" si="411"/>
        <v>0.2</v>
      </c>
      <c r="V465" s="47">
        <f ca="1">(1+L465)*(LOOKUP(D465,'模拟-单技能数据'!$A$2:$A$19,'模拟-单技能数据'!$D$2:$D$19)+G465*LOOKUP(D465,'模拟-单技能数据'!$A$2:$A$19,'模拟-单技能数据'!$F$2:$F$19))*(1+J465)*(1+K465)*(1-S465)*(1+U465)*Q465*LOOKUP(D465,'模拟-单技能数据'!$A$2:$A$19,'模拟-单技能数据'!$I$2:$I$20)</f>
        <v>54482.562593809358</v>
      </c>
      <c r="W465" s="47">
        <f ca="1">LOOKUP(D465,'模拟-单技能数据'!$A$2:$A$19,'模拟-单技能数据'!$G$2:$G$19)*$I$10</f>
        <v>361.51064354704795</v>
      </c>
      <c r="X465" s="47">
        <f t="shared" ca="1" si="381"/>
        <v>11118.353508757338</v>
      </c>
      <c r="Y465" s="47">
        <f t="shared" ca="1" si="412"/>
        <v>65962.42674611375</v>
      </c>
      <c r="Z465" s="49">
        <f t="shared" ca="1" si="413"/>
        <v>45944254.420885794</v>
      </c>
      <c r="AA465" s="97">
        <f t="shared" ca="1" si="414"/>
        <v>113707.92199300922</v>
      </c>
      <c r="AB465" s="115">
        <f ca="1">IF(OR(C465="赤日轮1",C465="赤日轮2",C465="赤日轮3"),IF(RAND()&lt;模拟模式!$Y$17,1,0),IF(OR(C465="幽月轮1",C465="幽月轮2",C465="幽月轮3"),IF(RAND()&lt;模拟模式!$Y$18,1,0),IF(C465="烈日斩",IF(RAND()&lt;模拟模式!$Y$19,1,0),IF(C465="银月斩",IF(RAND()&lt;模拟模式!$Y$20,1,0),IF(C465="驱夜断愁",IF(RAND()&lt;模拟模式!$Y$21,1,0),IF(C465="净世破魔击·日",IF(RAND()&lt;模拟模式!$Y$22,1,0),IF(C465="净世破魔击·月",IF(RAND()&lt;模拟模式!$Y$23,1,0),0)))))))</f>
        <v>1</v>
      </c>
      <c r="AC465" s="115" t="b">
        <f t="shared" ca="1" si="402"/>
        <v>0</v>
      </c>
      <c r="AD465" s="115" t="b">
        <f t="shared" ca="1" si="422"/>
        <v>0</v>
      </c>
      <c r="AE465" s="115">
        <f t="shared" ca="1" si="423"/>
        <v>3</v>
      </c>
      <c r="AF465" s="47">
        <f ca="1">IF(AC465,('模拟-单技能数据'!$D$20+G465*'模拟-单技能数据'!$F$20)*(1+J465)*(1+'模拟-单技能数据'!$J$20)*(1+U465),0)</f>
        <v>0</v>
      </c>
      <c r="AG465" s="61">
        <f t="shared" ca="1" si="415"/>
        <v>0.64185145527300214</v>
      </c>
      <c r="AH465" s="61">
        <f t="shared" ca="1" si="416"/>
        <v>2.2624828854998791</v>
      </c>
      <c r="AI465" s="62">
        <f t="shared" ca="1" si="382"/>
        <v>0.45476317906743091</v>
      </c>
      <c r="AJ465" s="47">
        <f ca="1">IF(AD465,IF(AI465&lt;$F$10,0,IF(AI465&lt;$F$10+$F$11,0.25,IF(AI465&lt;$F$10+$F$11+AG465,AH465,1)))*IF(AF465&gt;0,AF465,IF(AF464&gt;0,AF464,IF(AF463&gt;0,AF463,IF(AF462&gt;0,AF462,IF(AF461&gt;0,AF461,IF(AF460&gt;0,AF460,IF(AF459&gt;0,AF459,IF(AF458&gt;0,AF458,IF(AF457&gt;0,AF457,IF(AF455&gt;0,AF455,IF(AF454&gt;0,AF454,IF(AF453&gt;0,AF453,0)))))))))))),0)*(1-$S465)*'模拟-单技能数据'!$I$20</f>
        <v>0</v>
      </c>
      <c r="AK465" s="115" t="b">
        <f t="shared" ca="1" si="403"/>
        <v>0</v>
      </c>
      <c r="AL465" s="115" t="b">
        <f t="shared" ca="1" si="424"/>
        <v>1</v>
      </c>
      <c r="AM465" s="115">
        <f t="shared" ca="1" si="425"/>
        <v>5</v>
      </c>
      <c r="AN465" s="47">
        <f ca="1">IF(AK465,('模拟-单技能数据'!$D$21+G465*'模拟-单技能数据'!$F$21)*(1+J465)*(1+'模拟-单技能数据'!$J$21)*(1+U465),0)</f>
        <v>0</v>
      </c>
      <c r="AO465" s="61">
        <f ca="1">IF(AN465&gt;0,M465-'模拟-单技能数据'!$K$10,AO464)</f>
        <v>0.42185145527300216</v>
      </c>
      <c r="AP465" s="61">
        <f ca="1">IF(AN465&gt;0,I465-'模拟-单技能数据'!$L$10,AP464)</f>
        <v>2.162482885499879</v>
      </c>
      <c r="AQ465" s="63">
        <f t="shared" ca="1" si="383"/>
        <v>0.80735160452488175</v>
      </c>
      <c r="AR465" s="64">
        <f ca="1">IF(AL465,IF(AQ465&lt;$F$10,0,IF(AQ465&lt;$F$10+$F$11,0.25,IF(AQ465&lt;$F$10+$F$11+AO465,AP465,1)))*IF(AN465&gt;0,AN465,IF(AN464&gt;0,AN464,IF(AN463&gt;0,AN463,IF(AN462&gt;0,AN462,IF(AN461&gt;0,AN461,IF(AN460&gt;0,AN460,IF(AN459&gt;0,AN459,IF(AN458&gt;0,AN458,IF(AN457&gt;0,AN457,IF(AN455&gt;0,AN455,IF(AN454&gt;0,AN454,IF(AN453&gt;0,AN453,0)))))))))))),0)*(1-$S465)*'模拟-单技能数据'!$I$21</f>
        <v>11118.353508757338</v>
      </c>
      <c r="AS465" s="61">
        <f ca="1">IF(OR(C465="净世破魔击·日",C465="净世破魔击·月"),M465-'模拟-单技能数据'!$K$10,0)</f>
        <v>0</v>
      </c>
      <c r="AT465" s="61">
        <f ca="1">IF(OR(C465="净世破魔击·日",C465="净世破魔击·月"),I465-'模拟-单技能数据'!$L$10,0)</f>
        <v>0</v>
      </c>
      <c r="AU465" s="62">
        <f t="shared" ca="1" si="384"/>
        <v>0.3625994803449204</v>
      </c>
      <c r="AV465" s="64">
        <f ca="1">IF(AS465&gt;0,('模拟-单技能数据'!$D$22+G465*'模拟-单技能数据'!$F$22)*(1+J465)*(1-S465)*IF(AU465&lt;$F$10,0,IF(AU465&lt;$F$10+$F$11,0.25,IF(AU465&lt;$F$10+$F$11+AS465,AT465,1)))*(1+U465),0)*'模拟-单技能数据'!$I$22</f>
        <v>0</v>
      </c>
      <c r="AW465" s="108">
        <f t="shared" ca="1" si="385"/>
        <v>0</v>
      </c>
      <c r="AX465" s="108" t="b">
        <f ca="1">AND(模拟模式!$P$10="有",AW464=0,RAND()&lt;IF(C465="净世破魔击·月",0.1*8/3,IF(C465="净世破魔击·日",0.1*4/3,0.1*2/3)))</f>
        <v>0</v>
      </c>
      <c r="AY465" s="47">
        <f ca="1">IF(AX465,(18+G465*0.722)*(1+J465)*(1-S465)*(1+$I$4)*IF(P465="会",'模拟-全程加成'!$J$3+'模拟-全程加成'!$J$4+'模拟-全程加成'!$J$5+('模拟-全程加成'!$I$4+'模拟-全程加成'!$I$5)/系数!$B$4+BG465*10%,IF(P465="命",1,IF(P465="识",0.25,0))),0)</f>
        <v>0</v>
      </c>
      <c r="AZ465" s="108">
        <f t="shared" si="386"/>
        <v>1.5500000000000065</v>
      </c>
      <c r="BA465" s="108" t="b">
        <f>AND(模拟模式!$Q$10="有",AZ464=0)</f>
        <v>0</v>
      </c>
      <c r="BB465" s="140">
        <f>IF(BA465,(0+G465*0.287)*(1+J465)*(1-S465)*(1+$I$4)*IF(P465="会",'模拟-全程加成'!$J$3+'模拟-全程加成'!$J$4+'模拟-全程加成'!$J$5+('模拟-全程加成'!$I$4+'模拟-全程加成'!$I$5)/系数!$B$4+BG465*10%,IF(P465="命",1,IF(P465="识",0.25,0))),0)</f>
        <v>0</v>
      </c>
      <c r="BC465" s="115" t="b">
        <f ca="1">AND(模拟模式!$R$7="伏明众生",E465=60,F465=20,DA465&lt;5,CZ464&lt;$F$4)</f>
        <v>0</v>
      </c>
      <c r="BD465" s="115">
        <f t="shared" ca="1" si="404"/>
        <v>0</v>
      </c>
      <c r="BE465" s="115" t="b">
        <f t="shared" ca="1" si="405"/>
        <v>0</v>
      </c>
      <c r="BF465" s="47">
        <f ca="1">IF(BC465,4*('模拟-单技能数据'!$D$24+G465*'模拟-单技能数据'!$F$24)*(1+J465)*(1+'模拟-单技能数据'!$J$24)*(1-S465)*(1+$I$3)*(('模拟-全程加成'!$J$3+'模拟-全程加成'!$J$4+'模拟-全程加成'!$J$5+('模拟-全程加成'!$I$4+'模拟-全程加成'!$I$5)/系数!$B$4+BG465*10%)*('模拟-全程加成'!$J$3+'模拟-全程加成'!$J$4+'模拟-全程加成'!$J$5+('模拟-全程加成'!$I$4+'模拟-全程加成'!$I$5)/系数!$B$4+BG465*10%)+(1-('模拟-全程加成'!$J$3+'模拟-全程加成'!$J$4+'模拟-全程加成'!$J$5+('模拟-全程加成'!$I$4+'模拟-全程加成'!$I$5)/系数!$B$4+BG465*10%)-$F$10-$F$11)+F451*0.25),0)*'模拟-单技能数据'!$I$24</f>
        <v>0</v>
      </c>
      <c r="BG465" s="115" t="b">
        <f ca="1">OR(AND(OR(C465="烈日斩",C465="银月斩"),模拟模式!$I$7="净身明礼"),AND(C465="净世破魔击·日",模拟模式!$J$7="洞若观火"),AND(C466="净世破魔击·月",模拟模式!$J$7="洞若观火"),AB465=1)</f>
        <v>1</v>
      </c>
      <c r="BH465" s="115" t="b">
        <f t="shared" ca="1" si="387"/>
        <v>0</v>
      </c>
      <c r="BI465" s="115">
        <f t="shared" ca="1" si="406"/>
        <v>0</v>
      </c>
      <c r="BJ465" s="115" t="b">
        <f t="shared" ca="1" si="417"/>
        <v>0</v>
      </c>
      <c r="BK465" s="115" t="b">
        <f ca="1">AND(C465="驱夜断愁",模拟模式!$P$7="天地诛戮")</f>
        <v>0</v>
      </c>
      <c r="BL465" s="57">
        <f t="shared" ca="1" si="407"/>
        <v>15.387500000000003</v>
      </c>
      <c r="BM465" s="115" t="b">
        <f t="shared" ca="1" si="418"/>
        <v>1</v>
      </c>
      <c r="BN465" s="115" t="b">
        <f ca="1">AND(OR(C465="赤日轮1",C465="赤日轮2",C465="赤日轮3",C465="幽月轮1",C465="幽月轮2",C465="幽月轮3"),AB465=1,模拟模式!$L$7="明光恒照")</f>
        <v>1</v>
      </c>
      <c r="BO465" s="117">
        <f t="shared" ca="1" si="408"/>
        <v>30</v>
      </c>
      <c r="BP465" s="115">
        <f t="shared" ca="1" si="388"/>
        <v>6</v>
      </c>
      <c r="BQ465" s="115" t="b">
        <f>模拟模式!$K$10="2600·水"</f>
        <v>0</v>
      </c>
      <c r="BR465" s="117">
        <f t="shared" si="389"/>
        <v>0</v>
      </c>
      <c r="BS465" s="115">
        <f t="shared" si="390"/>
        <v>0</v>
      </c>
      <c r="BT465" s="115">
        <f t="shared" ca="1" si="391"/>
        <v>0</v>
      </c>
      <c r="BU465" s="115" t="b">
        <f ca="1">AND(模拟模式!$K$10="2300·雷",BT464=0,RAND()&lt;IF(C465="净世破魔击·月",5*0.05*2/3,IF(C465="净世破魔击·日",3*0.05*2/3,0.05*2*2/3)))</f>
        <v>0</v>
      </c>
      <c r="BV465" s="115">
        <f t="shared" ca="1" si="392"/>
        <v>0</v>
      </c>
      <c r="BW465" s="115">
        <f t="shared" ca="1" si="393"/>
        <v>151.40249999999958</v>
      </c>
      <c r="BX465" s="164" t="b">
        <f t="shared" ca="1" si="394"/>
        <v>0</v>
      </c>
      <c r="BY465" s="115">
        <f t="shared" ca="1" si="395"/>
        <v>0</v>
      </c>
      <c r="BZ465" s="115">
        <f>IF(OR(模拟模式!$P$16="10人团",模拟模式!$P$16="25人团"),IF(B465/30&gt;CA464,1,0),0)</f>
        <v>0</v>
      </c>
      <c r="CA465" s="115">
        <f t="shared" si="371"/>
        <v>0</v>
      </c>
      <c r="CB465" s="115">
        <f ca="1">IF(BZ465=1,IF(模拟模式!$P$16="10人团",15,0)+IF(模拟模式!$P$16="25人团",IF(RAND()&lt;0.6,15,0)),MAX(0,CB464-$F$4))</f>
        <v>0</v>
      </c>
      <c r="CC465" s="115" t="b">
        <f t="shared" ca="1" si="419"/>
        <v>0</v>
      </c>
      <c r="CD465" s="115">
        <f>IF(模拟模式!$Q$16="1个",IF(B465/40&gt;CE464,1,0),0)</f>
        <v>0</v>
      </c>
      <c r="CE465" s="115">
        <f t="shared" si="420"/>
        <v>0</v>
      </c>
      <c r="CF465" s="115">
        <f>IF(OR(CD465=1,模拟模式!$Q$16="2个"),20,MAX(0,CF464-$F$4))</f>
        <v>0</v>
      </c>
      <c r="CG465" s="115" t="b">
        <f t="shared" si="421"/>
        <v>0</v>
      </c>
      <c r="CH465" s="115">
        <f t="shared" ca="1" si="396"/>
        <v>5.0925000000000118</v>
      </c>
      <c r="CI465" s="115" t="b">
        <f t="shared" ca="1" si="397"/>
        <v>0</v>
      </c>
      <c r="CJ465" s="119">
        <f t="shared" ca="1" si="398"/>
        <v>0</v>
      </c>
      <c r="CK465" s="115">
        <f t="shared" ca="1" si="399"/>
        <v>0</v>
      </c>
      <c r="CL465" s="115" t="b">
        <f ca="1">AND(模拟模式!$S$7="驱夷逐法",OR(AND(C465="净世破魔击·月",E464&gt;59),AND(C465="净世破魔击·日",F464&gt;59)))</f>
        <v>0</v>
      </c>
      <c r="CM465" s="115" t="b">
        <f ca="1">OR(CL465,AND(C465="净世破魔击·日",CL464,RAND()&lt;模拟模式!$U$23))</f>
        <v>0</v>
      </c>
      <c r="CN465" s="115" t="b">
        <f ca="1">IF(模拟模式!$M$7="辉耀红尘",AND(C465="净世破魔击·月",CL465,CV465=0,E464&lt;80),AND(C465="净世破魔击·月",CL465,E464&lt;100))</f>
        <v>0</v>
      </c>
      <c r="CO465" s="115" t="b">
        <f t="shared" ca="1" si="372"/>
        <v>0</v>
      </c>
      <c r="CP465" s="115" t="b">
        <f ca="1">AND(模拟模式!$O$7="用晦而明",OR(C465="净世破魔击·日",C465="净世破魔击·月",C465="驱夜断愁"),AB465)</f>
        <v>0</v>
      </c>
      <c r="CQ465" s="115" t="b">
        <f ca="1">OR(CP465,AND(CP464,RAND()&lt;模拟模式!$U$23))</f>
        <v>1</v>
      </c>
      <c r="CR465" s="115" t="b">
        <f ca="1">AND(模拟模式!$S$7="日月齐光",OR(C465="幽月轮1",C465="幽月轮2",C465="幽月轮3",CR464),NOT(OR(C465="赤日轮1",C465="赤日轮2",C465="赤日轮3")))</f>
        <v>0</v>
      </c>
      <c r="CS465" s="115" t="b">
        <f ca="1">AND(模拟模式!$S$7="日月齐光",OR(C465="赤日轮1",C465="赤日轮2",C465="赤日轮3",CS464),NOT(OR(C465="幽月轮1",C465="幽月轮2",C465="幽月轮3")))</f>
        <v>0</v>
      </c>
      <c r="CT465" s="115">
        <f t="shared" ca="1" si="400"/>
        <v>0</v>
      </c>
      <c r="CU465" s="115" t="b">
        <f ca="1">AND(模拟模式!$K$10="阴阳往极",CT464=0,RAND()&lt;IF(C465="净世破魔击·月",0.0275*7/3,IF(C465="净世破魔击·日",0.0275*3/3,0.0275*2/3)))</f>
        <v>0</v>
      </c>
      <c r="CV465" s="115">
        <f t="shared" ca="1" si="401"/>
        <v>0</v>
      </c>
      <c r="CW465" s="115">
        <f t="shared" ca="1" si="373"/>
        <v>2.3099999999999996</v>
      </c>
      <c r="CX465" s="115">
        <f t="shared" ca="1" si="374"/>
        <v>0.46499999999999975</v>
      </c>
      <c r="CY465" s="115">
        <f ca="1">MAX(IF($C465="驱夜断愁",IF(模拟模式!$R$7="万念俱寂",6,45),CY464-$F$4),0)</f>
        <v>1.3874999999999997</v>
      </c>
      <c r="CZ465" s="115">
        <f t="shared" ca="1" si="375"/>
        <v>0</v>
      </c>
      <c r="DA465" s="115">
        <f ca="1">IF(模拟模式!$N$7="日月同辉",IF(DB464=2,0,MIN(6,IF(AND(OR(C465="赤日轮1",C465="赤日轮2",C465="赤日轮3",C465="幽月轮1",C465="幽月轮2",C465="幽月轮3"),AB465=1),DA464+1,DA464))),0)</f>
        <v>6</v>
      </c>
      <c r="DB465" s="115">
        <f t="shared" ca="1" si="376"/>
        <v>2</v>
      </c>
      <c r="DC465" s="115"/>
      <c r="DD465" s="115"/>
      <c r="DE465" s="115"/>
      <c r="DF465" s="115"/>
      <c r="DG465" s="115"/>
      <c r="DH465" s="115"/>
      <c r="DI465" s="115"/>
      <c r="DJ465" s="115"/>
      <c r="DK465" s="115"/>
      <c r="DL465" s="115"/>
      <c r="DM465" s="115"/>
    </row>
    <row r="466" spans="2:117" x14ac:dyDescent="0.2">
      <c r="B466" s="117">
        <f t="shared" si="377"/>
        <v>404.977500000004</v>
      </c>
      <c r="C466" s="167" t="str">
        <f t="shared" ca="1" si="370"/>
        <v>银月斩</v>
      </c>
      <c r="D466" s="115">
        <f ca="1">IF(C466="赤日轮1",1,IF(C466="赤日轮2",2,IF(C466="赤日轮3",3,IF(C466="幽月轮1",4,IF(C466="幽月轮2",5,IF(C466="幽月轮3",6,IF(C466="烈日斩",7,IF(C466="银月斩",8,IF(C466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466="净世破魔击·月",17,IF(C466="驱夜断愁",18,0)))))))))))</f>
        <v>8</v>
      </c>
      <c r="E466" s="115">
        <f ca="1">IF(AND(CU466,OR(C466="幽月轮1",C466="幽月轮2",C466="幽月轮3",C466="银月斩",C466="驱夜断愁",C466="净世破魔击·月")),100,MIN(IF(OR(CN466,BE466),0,IF(OR($C466="赤日轮1",$C466="赤日轮2",$C466="赤日轮3"),E465+20+IF(模拟模式!$I$7="日月凌天",4,0)+IF(CR465,20,0),IF($C466="烈日斩",E465+40,IF($C466="驱夜断愁",IF(模拟模式!$R$7="万念俱寂",E465+20,E465+60),IF($C466="净世破魔击·月",IF(OR(DB465&gt;0,CV465&gt;0),100,IF(模拟模式!$M$7="辉耀红尘",E465+20,E465)),IF($C466="净世破魔击·日",E465-100,E465)))))),100))</f>
        <v>20</v>
      </c>
      <c r="F466" s="115">
        <f ca="1">IF(AND(CU466,OR(C466="赤日轮1",C466="赤日轮2",C466="赤日轮3",C466="烈日斩",C466="净世破魔击·日")),100,MIN(IF(CO466,0,IF(OR($C466="幽月轮1",$C466="幽月轮2",$C466="幽月轮3"),F465+20+IF(模拟模式!$I$7="日月凌天",4,0)+IF(CS465,20,0),IF($C466="银月斩",F465+40+IF(模拟模式!$X$12=1,5,0),IF($C466="驱夜断愁",IF(模拟模式!$R$7="万念俱寂",F465+20,F465+60),IF($C466="净世破魔击·月",IF(模拟模式!$M$7="辉耀红尘",F465-80,F465-100),IF(AND(C466="净世破魔击·日",OR(DB465&gt;0,CV465&gt;0)),100,F465)))))),100))</f>
        <v>65</v>
      </c>
      <c r="G466" s="117">
        <f ca="1">('模拟-全程加成'!$E$3+'模拟-全程加成'!$E$4+'模拟-全程加成'!$E$5+('模拟-全程加成'!$C$6-'模拟-全程加成'!$C$3)*系数!$B$9+BS466*23)*(1+'模拟-全程加成'!$F$4+'模拟-全程加成'!$F$5+BJ466*10%+BM466*20%+BP466*4%+CG466*30%)+$F$7*系数!$B$12</f>
        <v>20583.127400000001</v>
      </c>
      <c r="H466" s="45">
        <f ca="1">'模拟-全程加成'!$H$3+'模拟-全程加成'!$H$4+'模拟-全程加成'!$H$5+('模拟-全程加成'!$G$4+'模拟-全程加成'!$G$5+('模拟-全程加成'!$C$6-'模拟-全程加成'!$C$3)*系数!$B$13)/系数!$B$3+LOOKUP(D466,'模拟-单技能数据'!$A$2:$A$19,'模拟-单技能数据'!$K$2:$K$19)+BG466*10%+IF(BV466&gt;0,378,0)</f>
        <v>0.64185145527300214</v>
      </c>
      <c r="I466" s="45">
        <f ca="1">'模拟-全程加成'!$J$3+'模拟-全程加成'!$J$4+'模拟-全程加成'!$J$5+('模拟-全程加成'!$I$4+'模拟-全程加成'!$I$5)/系数!$B$4+LOOKUP(D466,'模拟-单技能数据'!$A$2:$A$19,'模拟-单技能数据'!$L$2:$L$19)+BG466*10%</f>
        <v>2.2624828854998791</v>
      </c>
      <c r="J466" s="45">
        <f ca="1">(('模拟-全程加成'!$K$3+'模拟-全程加成'!$K$4+'模拟-全程加成'!$K$5+('模拟-全程加成'!$C$6-'模拟-全程加成'!$C$3)*系数!$B$10+IF(BV466&gt;0,882,0)+IF(BY466&gt;0,1831,0))*(1+'模拟-全程加成'!$L$4+'模拟-全程加成'!$L$5+CC466*20%))/系数!$B$5</f>
        <v>0.69723220422048726</v>
      </c>
      <c r="K466" s="119">
        <f ca="1">LOOKUP(D466,'模拟-单技能数据'!$A$2:$A$19,'模拟-单技能数据'!$J$2:$J$19)+IF(CM466,60%,0)+IF(DB465-DB466&gt;0,30%,0)+IF(OR(AND(OR(C466="赤日轮1",C466="赤日轮2",C466="赤日轮3"),CR466),AND(OR(C466="幽月轮1",C466="幽月轮2",C466="幽月轮3"),CS466)),35%,0)+CJ466</f>
        <v>0.15</v>
      </c>
      <c r="L466" s="119">
        <f ca="1">IF(AND(C466="烈日斩",模拟模式!$X$11=1),10%,0)+IF(AND(C466="驱夜断愁",AB466=1),30%,0)</f>
        <v>0</v>
      </c>
      <c r="M466" s="45">
        <f t="shared" ca="1" si="409"/>
        <v>0.64185145527300214</v>
      </c>
      <c r="N466" s="45">
        <f t="shared" ca="1" si="410"/>
        <v>0.30424854472699792</v>
      </c>
      <c r="O466" s="46">
        <f t="shared" ca="1" si="378"/>
        <v>5.6414133514083309E-2</v>
      </c>
      <c r="P466" s="46" t="str">
        <f t="shared" ca="1" si="379"/>
        <v>会</v>
      </c>
      <c r="Q466" s="45">
        <f t="shared" ca="1" si="380"/>
        <v>2.2624828854998791</v>
      </c>
      <c r="R466" s="117">
        <f ca="1">模拟模式!$E$20*(1-IF(模拟模式!$J$19="有",0.15,0))*(1-IF(模拟模式!$K$19="有",0.3,0)-IF(CQ466,0.5,0))</f>
        <v>2950.6049999999996</v>
      </c>
      <c r="S466" s="45">
        <f ca="1">R466/(R466+(185*模拟模式!$E$22-16800)*4.08224)</f>
        <v>0.24272716014590323</v>
      </c>
      <c r="T466" s="45" t="str">
        <f ca="1">LOOKUP(D466,'模拟-单技能数据'!$A$2:$A$19,'模拟-单技能数据'!$H$2:$H$19)</f>
        <v>阴</v>
      </c>
      <c r="U466" s="119">
        <f t="shared" ca="1" si="411"/>
        <v>0.08</v>
      </c>
      <c r="V466" s="47">
        <f ca="1">(1+L466)*(LOOKUP(D466,'模拟-单技能数据'!$A$2:$A$19,'模拟-单技能数据'!$D$2:$D$19)+G466*LOOKUP(D466,'模拟-单技能数据'!$A$2:$A$19,'模拟-单技能数据'!$F$2:$F$19))*(1+J466)*(1+K466)*(1-S466)*(1+U466)*Q466*LOOKUP(D466,'模拟-单技能数据'!$A$2:$A$19,'模拟-单技能数据'!$I$2:$I$20)</f>
        <v>39481.310356797861</v>
      </c>
      <c r="W466" s="47">
        <f ca="1">LOOKUP(D466,'模拟-单技能数据'!$A$2:$A$19,'模拟-单技能数据'!$G$2:$G$19)*$I$10</f>
        <v>361.51064354704795</v>
      </c>
      <c r="X466" s="47">
        <f t="shared" ca="1" si="381"/>
        <v>3368.2409654332282</v>
      </c>
      <c r="Y466" s="47">
        <f t="shared" ca="1" si="412"/>
        <v>43211.061965778135</v>
      </c>
      <c r="Z466" s="49">
        <f t="shared" ca="1" si="413"/>
        <v>45987465.482851572</v>
      </c>
      <c r="AA466" s="97">
        <f t="shared" ca="1" si="414"/>
        <v>113555.60613330646</v>
      </c>
      <c r="AB466" s="115">
        <f ca="1">IF(OR(C466="赤日轮1",C466="赤日轮2",C466="赤日轮3"),IF(RAND()&lt;模拟模式!$Y$17,1,0),IF(OR(C466="幽月轮1",C466="幽月轮2",C466="幽月轮3"),IF(RAND()&lt;模拟模式!$Y$18,1,0),IF(C466="烈日斩",IF(RAND()&lt;模拟模式!$Y$19,1,0),IF(C466="银月斩",IF(RAND()&lt;模拟模式!$Y$20,1,0),IF(C466="驱夜断愁",IF(RAND()&lt;模拟模式!$Y$21,1,0),IF(C466="净世破魔击·日",IF(RAND()&lt;模拟模式!$Y$22,1,0),IF(C466="净世破魔击·月",IF(RAND()&lt;模拟模式!$Y$23,1,0),0)))))))</f>
        <v>1</v>
      </c>
      <c r="AC466" s="115" t="b">
        <f t="shared" ca="1" si="402"/>
        <v>1</v>
      </c>
      <c r="AD466" s="115" t="b">
        <f t="shared" ca="1" si="422"/>
        <v>1</v>
      </c>
      <c r="AE466" s="115">
        <f t="shared" ca="1" si="423"/>
        <v>5</v>
      </c>
      <c r="AF466" s="47">
        <f ca="1">IF(AC466,('模拟-单技能数据'!$D$20+G466*'模拟-单技能数据'!$F$20)*(1+J466)*(1+'模拟-单技能数据'!$J$20)*(1+U466),0)</f>
        <v>4447.8565560098323</v>
      </c>
      <c r="AG466" s="61">
        <f t="shared" ca="1" si="415"/>
        <v>0.64185145527300214</v>
      </c>
      <c r="AH466" s="61">
        <f t="shared" ca="1" si="416"/>
        <v>2.2624828854998791</v>
      </c>
      <c r="AI466" s="62">
        <f t="shared" ca="1" si="382"/>
        <v>0.97370332016250394</v>
      </c>
      <c r="AJ466" s="47">
        <f ca="1">IF(AD466,IF(AI466&lt;$F$10,0,IF(AI466&lt;$F$10+$F$11,0.25,IF(AI466&lt;$F$10+$F$11+AG466,AH466,1)))*IF(AF466&gt;0,AF466,IF(AF465&gt;0,AF465,IF(AF464&gt;0,AF464,IF(AF463&gt;0,AF463,IF(AF462&gt;0,AF462,IF(AF461&gt;0,AF461,IF(AF460&gt;0,AF460,IF(AF459&gt;0,AF459,IF(AF458&gt;0,AF458,IF(AF456&gt;0,AF456,IF(AF455&gt;0,AF455,IF(AF454&gt;0,AF454,0)))))))))))),0)*(1-$S466)*'模拟-单技能数据'!$I$20</f>
        <v>3368.2409654332282</v>
      </c>
      <c r="AK466" s="115" t="b">
        <f t="shared" ca="1" si="403"/>
        <v>0</v>
      </c>
      <c r="AL466" s="115" t="b">
        <f t="shared" ca="1" si="424"/>
        <v>0</v>
      </c>
      <c r="AM466" s="115">
        <f t="shared" ca="1" si="425"/>
        <v>5</v>
      </c>
      <c r="AN466" s="47">
        <f ca="1">IF(AK466,('模拟-单技能数据'!$D$21+G466*'模拟-单技能数据'!$F$21)*(1+J466)*(1+'模拟-单技能数据'!$J$21)*(1+U466),0)</f>
        <v>0</v>
      </c>
      <c r="AO466" s="61">
        <f ca="1">IF(AN466&gt;0,M466-'模拟-单技能数据'!$K$10,AO465)</f>
        <v>0.42185145527300216</v>
      </c>
      <c r="AP466" s="61">
        <f ca="1">IF(AN466&gt;0,I466-'模拟-单技能数据'!$L$10,AP465)</f>
        <v>2.162482885499879</v>
      </c>
      <c r="AQ466" s="63">
        <f t="shared" ca="1" si="383"/>
        <v>0.79144440051307585</v>
      </c>
      <c r="AR466" s="64">
        <f ca="1">IF(AL466,IF(AQ466&lt;$F$10,0,IF(AQ466&lt;$F$10+$F$11,0.25,IF(AQ466&lt;$F$10+$F$11+AO466,AP466,1)))*IF(AN466&gt;0,AN466,IF(AN465&gt;0,AN465,IF(AN464&gt;0,AN464,IF(AN463&gt;0,AN463,IF(AN462&gt;0,AN462,IF(AN461&gt;0,AN461,IF(AN460&gt;0,AN460,IF(AN459&gt;0,AN459,IF(AN458&gt;0,AN458,IF(AN456&gt;0,AN456,IF(AN455&gt;0,AN455,IF(AN454&gt;0,AN454,0)))))))))))),0)*(1-$S466)*'模拟-单技能数据'!$I$21</f>
        <v>0</v>
      </c>
      <c r="AS466" s="61">
        <f ca="1">IF(OR(C466="净世破魔击·日",C466="净世破魔击·月"),M466-'模拟-单技能数据'!$K$10,0)</f>
        <v>0</v>
      </c>
      <c r="AT466" s="61">
        <f ca="1">IF(OR(C466="净世破魔击·日",C466="净世破魔击·月"),I466-'模拟-单技能数据'!$L$10,0)</f>
        <v>0</v>
      </c>
      <c r="AU466" s="62">
        <f t="shared" ca="1" si="384"/>
        <v>6.929554389439585E-2</v>
      </c>
      <c r="AV466" s="64">
        <f ca="1">IF(AS466&gt;0,('模拟-单技能数据'!$D$22+G466*'模拟-单技能数据'!$F$22)*(1+J466)*(1-S466)*IF(AU466&lt;$F$10,0,IF(AU466&lt;$F$10+$F$11,0.25,IF(AU466&lt;$F$10+$F$11+AS466,AT466,1)))*(1+U466),0)*'模拟-单技能数据'!$I$22</f>
        <v>0</v>
      </c>
      <c r="AW466" s="108">
        <f t="shared" ca="1" si="385"/>
        <v>0</v>
      </c>
      <c r="AX466" s="108" t="b">
        <f ca="1">AND(模拟模式!$P$10="有",AW465=0,RAND()&lt;IF(C466="净世破魔击·月",0.1*8/3,IF(C466="净世破魔击·日",0.1*4/3,0.1*2/3)))</f>
        <v>0</v>
      </c>
      <c r="AY466" s="47">
        <f ca="1">IF(AX466,(18+G466*0.722)*(1+J466)*(1-S466)*(1+$I$4)*IF(P466="会",'模拟-全程加成'!$J$3+'模拟-全程加成'!$J$4+'模拟-全程加成'!$J$5+('模拟-全程加成'!$I$4+'模拟-全程加成'!$I$5)/系数!$B$4+BG466*10%,IF(P466="命",1,IF(P466="识",0.25,0))),0)</f>
        <v>0</v>
      </c>
      <c r="AZ466" s="108">
        <f t="shared" si="386"/>
        <v>0.6275000000000065</v>
      </c>
      <c r="BA466" s="108" t="b">
        <f>AND(模拟模式!$Q$10="有",AZ465=0)</f>
        <v>0</v>
      </c>
      <c r="BB466" s="140">
        <f>IF(BA466,(0+G466*0.287)*(1+J466)*(1-S466)*(1+$I$4)*IF(P466="会",'模拟-全程加成'!$J$3+'模拟-全程加成'!$J$4+'模拟-全程加成'!$J$5+('模拟-全程加成'!$I$4+'模拟-全程加成'!$I$5)/系数!$B$4+BG466*10%,IF(P466="命",1,IF(P466="识",0.25,0))),0)</f>
        <v>0</v>
      </c>
      <c r="BC466" s="115" t="b">
        <f ca="1">AND(模拟模式!$R$7="伏明众生",E466=60,F466=20,DA466&lt;5,CZ465&lt;$F$4)</f>
        <v>0</v>
      </c>
      <c r="BD466" s="115">
        <f t="shared" ca="1" si="404"/>
        <v>0</v>
      </c>
      <c r="BE466" s="115" t="b">
        <f t="shared" ca="1" si="405"/>
        <v>0</v>
      </c>
      <c r="BF466" s="47">
        <f ca="1">IF(BC466,4*('模拟-单技能数据'!$D$24+G466*'模拟-单技能数据'!$F$24)*(1+J466)*(1+'模拟-单技能数据'!$J$24)*(1-S466)*(1+$I$3)*(('模拟-全程加成'!$J$3+'模拟-全程加成'!$J$4+'模拟-全程加成'!$J$5+('模拟-全程加成'!$I$4+'模拟-全程加成'!$I$5)/系数!$B$4+BG466*10%)*('模拟-全程加成'!$J$3+'模拟-全程加成'!$J$4+'模拟-全程加成'!$J$5+('模拟-全程加成'!$I$4+'模拟-全程加成'!$I$5)/系数!$B$4+BG466*10%)+(1-('模拟-全程加成'!$J$3+'模拟-全程加成'!$J$4+'模拟-全程加成'!$J$5+('模拟-全程加成'!$I$4+'模拟-全程加成'!$I$5)/系数!$B$4+BG466*10%)-$F$10-$F$11)+F452*0.25),0)*'模拟-单技能数据'!$I$24</f>
        <v>0</v>
      </c>
      <c r="BG466" s="115" t="b">
        <f ca="1">OR(AND(OR(C466="烈日斩",C466="银月斩"),模拟模式!$I$7="净身明礼"),AND(C466="净世破魔击·日",模拟模式!$J$7="洞若观火"),AND(C467="净世破魔击·月",模拟模式!$J$7="洞若观火"),AB466=1)</f>
        <v>1</v>
      </c>
      <c r="BH466" s="115" t="b">
        <f t="shared" ca="1" si="387"/>
        <v>0</v>
      </c>
      <c r="BI466" s="115">
        <f t="shared" ca="1" si="406"/>
        <v>0</v>
      </c>
      <c r="BJ466" s="115" t="b">
        <f t="shared" ca="1" si="417"/>
        <v>0</v>
      </c>
      <c r="BK466" s="115" t="b">
        <f ca="1">AND(C466="驱夜断愁",模拟模式!$P$7="天地诛戮")</f>
        <v>0</v>
      </c>
      <c r="BL466" s="57">
        <f t="shared" ca="1" si="407"/>
        <v>14.465000000000003</v>
      </c>
      <c r="BM466" s="115" t="b">
        <f t="shared" ca="1" si="418"/>
        <v>1</v>
      </c>
      <c r="BN466" s="115" t="b">
        <f ca="1">AND(OR(C466="赤日轮1",C466="赤日轮2",C466="赤日轮3",C466="幽月轮1",C466="幽月轮2",C466="幽月轮3"),AB466=1,模拟模式!$L$7="明光恒照")</f>
        <v>0</v>
      </c>
      <c r="BO466" s="117">
        <f t="shared" ca="1" si="408"/>
        <v>29.077500000000001</v>
      </c>
      <c r="BP466" s="115">
        <f t="shared" ca="1" si="388"/>
        <v>6</v>
      </c>
      <c r="BQ466" s="115" t="b">
        <f>模拟模式!$K$10="2600·水"</f>
        <v>0</v>
      </c>
      <c r="BR466" s="117">
        <f t="shared" si="389"/>
        <v>0</v>
      </c>
      <c r="BS466" s="115">
        <f t="shared" si="390"/>
        <v>0</v>
      </c>
      <c r="BT466" s="115">
        <f t="shared" ca="1" si="391"/>
        <v>0</v>
      </c>
      <c r="BU466" s="115" t="b">
        <f ca="1">AND(模拟模式!$K$10="2300·雷",BT465=0,RAND()&lt;IF(C466="净世破魔击·月",5*0.05*2/3,IF(C466="净世破魔击·日",3*0.05*2/3,0.05*2*2/3)))</f>
        <v>0</v>
      </c>
      <c r="BV466" s="115">
        <f t="shared" ca="1" si="392"/>
        <v>0</v>
      </c>
      <c r="BW466" s="115">
        <f t="shared" ca="1" si="393"/>
        <v>150.47999999999956</v>
      </c>
      <c r="BX466" s="164" t="b">
        <f t="shared" ca="1" si="394"/>
        <v>0</v>
      </c>
      <c r="BY466" s="115">
        <f t="shared" ca="1" si="395"/>
        <v>0</v>
      </c>
      <c r="BZ466" s="115">
        <f>IF(OR(模拟模式!$P$16="10人团",模拟模式!$P$16="25人团"),IF(B466/30&gt;CA465,1,0),0)</f>
        <v>0</v>
      </c>
      <c r="CA466" s="115">
        <f t="shared" si="371"/>
        <v>0</v>
      </c>
      <c r="CB466" s="115">
        <f ca="1">IF(BZ466=1,IF(模拟模式!$P$16="10人团",15,0)+IF(模拟模式!$P$16="25人团",IF(RAND()&lt;0.6,15,0)),MAX(0,CB465-$F$4))</f>
        <v>0</v>
      </c>
      <c r="CC466" s="115" t="b">
        <f t="shared" ca="1" si="419"/>
        <v>0</v>
      </c>
      <c r="CD466" s="115">
        <f>IF(模拟模式!$Q$16="1个",IF(B466/40&gt;CE465,1,0),0)</f>
        <v>0</v>
      </c>
      <c r="CE466" s="115">
        <f t="shared" si="420"/>
        <v>0</v>
      </c>
      <c r="CF466" s="115">
        <f>IF(OR(CD466=1,模拟模式!$Q$16="2个"),20,MAX(0,CF465-$F$4))</f>
        <v>0</v>
      </c>
      <c r="CG466" s="115" t="b">
        <f t="shared" si="421"/>
        <v>0</v>
      </c>
      <c r="CH466" s="115">
        <f t="shared" ca="1" si="396"/>
        <v>4.1700000000000115</v>
      </c>
      <c r="CI466" s="115" t="b">
        <f t="shared" ca="1" si="397"/>
        <v>0</v>
      </c>
      <c r="CJ466" s="119">
        <f t="shared" ca="1" si="398"/>
        <v>0</v>
      </c>
      <c r="CK466" s="115">
        <f t="shared" ca="1" si="399"/>
        <v>0</v>
      </c>
      <c r="CL466" s="115" t="b">
        <f ca="1">AND(模拟模式!$S$7="驱夷逐法",OR(AND(C466="净世破魔击·月",E465&gt;59),AND(C466="净世破魔击·日",F465&gt;59)))</f>
        <v>0</v>
      </c>
      <c r="CM466" s="115" t="b">
        <f ca="1">OR(CL466,AND(C466="净世破魔击·日",CL465,RAND()&lt;模拟模式!$U$23))</f>
        <v>0</v>
      </c>
      <c r="CN466" s="115" t="b">
        <f ca="1">IF(模拟模式!$M$7="辉耀红尘",AND(C466="净世破魔击·月",CL466,CV466=0,E465&lt;80),AND(C466="净世破魔击·月",CL466,E465&lt;100))</f>
        <v>0</v>
      </c>
      <c r="CO466" s="115" t="b">
        <f t="shared" ca="1" si="372"/>
        <v>0</v>
      </c>
      <c r="CP466" s="115" t="b">
        <f ca="1">AND(模拟模式!$O$7="用晦而明",OR(C466="净世破魔击·日",C466="净世破魔击·月",C466="驱夜断愁"),AB466)</f>
        <v>0</v>
      </c>
      <c r="CQ466" s="115" t="b">
        <f ca="1">OR(CP466,AND(CP465,RAND()&lt;模拟模式!$U$23))</f>
        <v>0</v>
      </c>
      <c r="CR466" s="115" t="b">
        <f ca="1">AND(模拟模式!$S$7="日月齐光",OR(C466="幽月轮1",C466="幽月轮2",C466="幽月轮3",CR465),NOT(OR(C466="赤日轮1",C466="赤日轮2",C466="赤日轮3")))</f>
        <v>0</v>
      </c>
      <c r="CS466" s="115" t="b">
        <f ca="1">AND(模拟模式!$S$7="日月齐光",OR(C466="赤日轮1",C466="赤日轮2",C466="赤日轮3",CS465),NOT(OR(C466="幽月轮1",C466="幽月轮2",C466="幽月轮3")))</f>
        <v>0</v>
      </c>
      <c r="CT466" s="115">
        <f t="shared" ca="1" si="400"/>
        <v>0</v>
      </c>
      <c r="CU466" s="115" t="b">
        <f ca="1">AND(模拟模式!$K$10="阴阳往极",CT465=0,RAND()&lt;IF(C466="净世破魔击·月",0.0275*7/3,IF(C466="净世破魔击·日",0.0275*3/3,0.0275*2/3)))</f>
        <v>0</v>
      </c>
      <c r="CV466" s="115">
        <f t="shared" ca="1" si="401"/>
        <v>0</v>
      </c>
      <c r="CW466" s="115">
        <f t="shared" ca="1" si="373"/>
        <v>1.3874999999999997</v>
      </c>
      <c r="CX466" s="115">
        <f t="shared" ca="1" si="374"/>
        <v>6</v>
      </c>
      <c r="CY466" s="115">
        <f ca="1">MAX(IF($C466="驱夜断愁",IF(模拟模式!$R$7="万念俱寂",6,45),CY465-$F$4),0)</f>
        <v>0.46499999999999975</v>
      </c>
      <c r="CZ466" s="115">
        <f t="shared" ca="1" si="375"/>
        <v>0</v>
      </c>
      <c r="DA466" s="115">
        <f ca="1">IF(模拟模式!$N$7="日月同辉",IF(DB465=2,0,MIN(6,IF(AND(OR(C466="赤日轮1",C466="赤日轮2",C466="赤日轮3",C466="幽月轮1",C466="幽月轮2",C466="幽月轮3"),AB466=1),DA465+1,DA465))),0)</f>
        <v>0</v>
      </c>
      <c r="DB466" s="115">
        <f t="shared" ca="1" si="376"/>
        <v>2</v>
      </c>
      <c r="DC466" s="115"/>
      <c r="DD466" s="115"/>
      <c r="DE466" s="115"/>
      <c r="DF466" s="115"/>
      <c r="DG466" s="115"/>
      <c r="DH466" s="115"/>
      <c r="DI466" s="115"/>
      <c r="DJ466" s="115"/>
      <c r="DK466" s="115"/>
      <c r="DL466" s="115"/>
      <c r="DM466" s="115"/>
    </row>
    <row r="467" spans="2:117" x14ac:dyDescent="0.2">
      <c r="B467" s="117">
        <f t="shared" si="377"/>
        <v>405.90000000000401</v>
      </c>
      <c r="C467" s="167" t="str">
        <f t="shared" ca="1" si="370"/>
        <v>驱夜断愁</v>
      </c>
      <c r="D467" s="115">
        <f ca="1">IF(C467="赤日轮1",1,IF(C467="赤日轮2",2,IF(C467="赤日轮3",3,IF(C467="幽月轮1",4,IF(C467="幽月轮2",5,IF(C467="幽月轮3",6,IF(C467="烈日斩",7,IF(C467="银月斩",8,IF(C467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467="净世破魔击·月",17,IF(C467="驱夜断愁",18,0)))))))))))</f>
        <v>18</v>
      </c>
      <c r="E467" s="115">
        <f ca="1">IF(AND(CU467,OR(C467="幽月轮1",C467="幽月轮2",C467="幽月轮3",C467="银月斩",C467="驱夜断愁",C467="净世破魔击·月")),100,MIN(IF(OR(CN467,BE467),0,IF(OR($C467="赤日轮1",$C467="赤日轮2",$C467="赤日轮3"),E466+20+IF(模拟模式!$I$7="日月凌天",4,0)+IF(CR466,20,0),IF($C467="烈日斩",E466+40,IF($C467="驱夜断愁",IF(模拟模式!$R$7="万念俱寂",E466+20,E466+60),IF($C467="净世破魔击·月",IF(OR(DB466&gt;0,CV466&gt;0),100,IF(模拟模式!$M$7="辉耀红尘",E466+20,E466)),IF($C467="净世破魔击·日",E466-100,E466)))))),100))</f>
        <v>40</v>
      </c>
      <c r="F467" s="115">
        <f ca="1">IF(AND(CU467,OR(C467="赤日轮1",C467="赤日轮2",C467="赤日轮3",C467="烈日斩",C467="净世破魔击·日")),100,MIN(IF(CO467,0,IF(OR($C467="幽月轮1",$C467="幽月轮2",$C467="幽月轮3"),F466+20+IF(模拟模式!$I$7="日月凌天",4,0)+IF(CS466,20,0),IF($C467="银月斩",F466+40+IF(模拟模式!$X$12=1,5,0),IF($C467="驱夜断愁",IF(模拟模式!$R$7="万念俱寂",F466+20,F466+60),IF($C467="净世破魔击·月",IF(模拟模式!$M$7="辉耀红尘",F466-80,F466-100),IF(AND(C467="净世破魔击·日",OR(DB466&gt;0,CV466&gt;0)),100,F466)))))),100))</f>
        <v>85</v>
      </c>
      <c r="G467" s="117">
        <f ca="1">('模拟-全程加成'!$E$3+'模拟-全程加成'!$E$4+'模拟-全程加成'!$E$5+('模拟-全程加成'!$C$6-'模拟-全程加成'!$C$3)*系数!$B$9+BS467*23)*(1+'模拟-全程加成'!$F$4+'模拟-全程加成'!$F$5+BJ467*10%+BM467*20%+BP467*4%+CG467*30%)+$F$7*系数!$B$12</f>
        <v>20583.127400000001</v>
      </c>
      <c r="H467" s="45">
        <f ca="1">'模拟-全程加成'!$H$3+'模拟-全程加成'!$H$4+'模拟-全程加成'!$H$5+('模拟-全程加成'!$G$4+'模拟-全程加成'!$G$5+('模拟-全程加成'!$C$6-'模拟-全程加成'!$C$3)*系数!$B$13)/系数!$B$3+LOOKUP(D467,'模拟-单技能数据'!$A$2:$A$19,'模拟-单技能数据'!$K$2:$K$19)+BG467*10%+IF(BV467&gt;0,378,0)</f>
        <v>0.51185145527300213</v>
      </c>
      <c r="I467" s="45">
        <f ca="1">'模拟-全程加成'!$J$3+'模拟-全程加成'!$J$4+'模拟-全程加成'!$J$5+('模拟-全程加成'!$I$4+'模拟-全程加成'!$I$5)/系数!$B$4+LOOKUP(D467,'模拟-单技能数据'!$A$2:$A$19,'模拟-单技能数据'!$L$2:$L$19)+BG467*10%</f>
        <v>2.162482885499879</v>
      </c>
      <c r="J467" s="45">
        <f ca="1">(('模拟-全程加成'!$K$3+'模拟-全程加成'!$K$4+'模拟-全程加成'!$K$5+('模拟-全程加成'!$C$6-'模拟-全程加成'!$C$3)*系数!$B$10+IF(BV467&gt;0,882,0)+IF(BY467&gt;0,1831,0))*(1+'模拟-全程加成'!$L$4+'模拟-全程加成'!$L$5+CC467*20%))/系数!$B$5</f>
        <v>0.69723220422048726</v>
      </c>
      <c r="K467" s="119">
        <f ca="1">LOOKUP(D467,'模拟-单技能数据'!$A$2:$A$19,'模拟-单技能数据'!$J$2:$J$19)+IF(CM467,60%,0)+IF(DB466-DB467&gt;0,30%,0)+IF(OR(AND(OR(C467="赤日轮1",C467="赤日轮2",C467="赤日轮3"),CR467),AND(OR(C467="幽月轮1",C467="幽月轮2",C467="幽月轮3"),CS467)),35%,0)+CJ467</f>
        <v>0.14000000000000001</v>
      </c>
      <c r="L467" s="119">
        <f ca="1">IF(AND(C467="烈日斩",模拟模式!$X$11=1),10%,0)+IF(AND(C467="驱夜断愁",AB467=1),30%,0)</f>
        <v>0.3</v>
      </c>
      <c r="M467" s="45">
        <f t="shared" ca="1" si="409"/>
        <v>0.51185145527300213</v>
      </c>
      <c r="N467" s="45">
        <f t="shared" ca="1" si="410"/>
        <v>0.43424854472699792</v>
      </c>
      <c r="O467" s="46">
        <f t="shared" ca="1" si="378"/>
        <v>0.96435110204422303</v>
      </c>
      <c r="P467" s="46" t="str">
        <f t="shared" ca="1" si="379"/>
        <v>命</v>
      </c>
      <c r="Q467" s="45">
        <f t="shared" ca="1" si="380"/>
        <v>1</v>
      </c>
      <c r="R467" s="117">
        <f ca="1">模拟模式!$E$20*(1-IF(模拟模式!$J$19="有",0.15,0))*(1-IF(模拟模式!$K$19="有",0.3,0)-IF(CQ467,0.5,0))</f>
        <v>843.02999999999975</v>
      </c>
      <c r="S467" s="45">
        <f ca="1">R467/(R467+(185*模拟模式!$E$22-16800)*4.08224)</f>
        <v>8.389626085980037E-2</v>
      </c>
      <c r="T467" s="45" t="str">
        <f ca="1">LOOKUP(D467,'模拟-单技能数据'!$A$2:$A$19,'模拟-单技能数据'!$H$2:$H$19)</f>
        <v>阴</v>
      </c>
      <c r="U467" s="119">
        <f t="shared" ca="1" si="411"/>
        <v>0.08</v>
      </c>
      <c r="V467" s="47">
        <f ca="1">(1+L467)*(LOOKUP(D467,'模拟-单技能数据'!$A$2:$A$19,'模拟-单技能数据'!$D$2:$D$19)+G467*LOOKUP(D467,'模拟-单技能数据'!$A$2:$A$19,'模拟-单技能数据'!$F$2:$F$19))*(1+J467)*(1+K467)*(1-S467)*(1+U467)*Q467*LOOKUP(D467,'模拟-单技能数据'!$A$2:$A$19,'模拟-单技能数据'!$I$2:$I$20)</f>
        <v>58943.088028757353</v>
      </c>
      <c r="W467" s="47">
        <f ca="1">LOOKUP(D467,'模拟-单技能数据'!$A$2:$A$19,'模拟-单技能数据'!$G$2:$G$19)*$I$10</f>
        <v>723.0212870940959</v>
      </c>
      <c r="X467" s="47">
        <f t="shared" ca="1" si="381"/>
        <v>24043.249177625272</v>
      </c>
      <c r="Y467" s="47">
        <f t="shared" ca="1" si="412"/>
        <v>83709.358493476728</v>
      </c>
      <c r="Z467" s="49">
        <f t="shared" ca="1" si="413"/>
        <v>46071174.841345049</v>
      </c>
      <c r="AA467" s="97">
        <f t="shared" ca="1" si="414"/>
        <v>113503.75669215224</v>
      </c>
      <c r="AB467" s="115">
        <f ca="1">IF(OR(C467="赤日轮1",C467="赤日轮2",C467="赤日轮3"),IF(RAND()&lt;模拟模式!$Y$17,1,0),IF(OR(C467="幽月轮1",C467="幽月轮2",C467="幽月轮3"),IF(RAND()&lt;模拟模式!$Y$18,1,0),IF(C467="烈日斩",IF(RAND()&lt;模拟模式!$Y$19,1,0),IF(C467="银月斩",IF(RAND()&lt;模拟模式!$Y$20,1,0),IF(C467="驱夜断愁",IF(RAND()&lt;模拟模式!$Y$21,1,0),IF(C467="净世破魔击·日",IF(RAND()&lt;模拟模式!$Y$22,1,0),IF(C467="净世破魔击·月",IF(RAND()&lt;模拟模式!$Y$23,1,0),0)))))))</f>
        <v>1</v>
      </c>
      <c r="AC467" s="115" t="b">
        <f t="shared" ca="1" si="402"/>
        <v>0</v>
      </c>
      <c r="AD467" s="115" t="b">
        <f t="shared" ca="1" si="422"/>
        <v>0</v>
      </c>
      <c r="AE467" s="115">
        <f t="shared" ca="1" si="423"/>
        <v>5</v>
      </c>
      <c r="AF467" s="47">
        <f ca="1">IF(AC467,('模拟-单技能数据'!$D$20+G467*'模拟-单技能数据'!$F$20)*(1+J467)*(1+'模拟-单技能数据'!$J$20)*(1+U467),0)</f>
        <v>0</v>
      </c>
      <c r="AG467" s="61">
        <f t="shared" ca="1" si="415"/>
        <v>0.64185145527300214</v>
      </c>
      <c r="AH467" s="61">
        <f t="shared" ca="1" si="416"/>
        <v>2.2624828854998791</v>
      </c>
      <c r="AI467" s="62">
        <f t="shared" ca="1" si="382"/>
        <v>0.81189296732250726</v>
      </c>
      <c r="AJ467" s="47">
        <f ca="1">IF(AD467,IF(AI467&lt;$F$10,0,IF(AI467&lt;$F$10+$F$11,0.25,IF(AI467&lt;$F$10+$F$11+AG467,AH467,1)))*IF(AF467&gt;0,AF467,IF(AF466&gt;0,AF466,IF(AF465&gt;0,AF465,IF(AF464&gt;0,AF464,IF(AF463&gt;0,AF463,IF(AF462&gt;0,AF462,IF(AF461&gt;0,AF461,IF(AF460&gt;0,AF460,IF(AF459&gt;0,AF459,IF(AF457&gt;0,AF457,IF(AF456&gt;0,AF456,IF(AF455&gt;0,AF455,0)))))))))))),0)*(1-$S467)*'模拟-单技能数据'!$I$20</f>
        <v>0</v>
      </c>
      <c r="AK467" s="115" t="b">
        <f t="shared" ca="1" si="403"/>
        <v>0</v>
      </c>
      <c r="AL467" s="115" t="b">
        <f t="shared" ca="1" si="424"/>
        <v>1</v>
      </c>
      <c r="AM467" s="115">
        <f t="shared" ca="1" si="425"/>
        <v>4</v>
      </c>
      <c r="AN467" s="47">
        <f ca="1">IF(AK467,('模拟-单技能数据'!$D$21+G467*'模拟-单技能数据'!$F$21)*(1+J467)*(1+'模拟-单技能数据'!$J$21)*(1+U467),0)</f>
        <v>0</v>
      </c>
      <c r="AO467" s="61">
        <f ca="1">IF(AN467&gt;0,M467-'模拟-单技能数据'!$K$10,AO466)</f>
        <v>0.42185145527300216</v>
      </c>
      <c r="AP467" s="61">
        <f ca="1">IF(AN467&gt;0,I467-'模拟-单技能数据'!$L$10,AP466)</f>
        <v>2.162482885499879</v>
      </c>
      <c r="AQ467" s="63">
        <f t="shared" ca="1" si="383"/>
        <v>9.2749359699599632E-2</v>
      </c>
      <c r="AR467" s="64">
        <f ca="1">IF(AL467,IF(AQ467&lt;$F$10,0,IF(AQ467&lt;$F$10+$F$11,0.25,IF(AQ467&lt;$F$10+$F$11+AO467,AP467,1)))*IF(AN467&gt;0,AN467,IF(AN466&gt;0,AN466,IF(AN465&gt;0,AN465,IF(AN464&gt;0,AN464,IF(AN463&gt;0,AN463,IF(AN462&gt;0,AN462,IF(AN461&gt;0,AN461,IF(AN460&gt;0,AN460,IF(AN459&gt;0,AN459,IF(AN457&gt;0,AN457,IF(AN456&gt;0,AN456,IF(AN455&gt;0,AN455,0)))))))))))),0)*(1-$S467)*'模拟-单技能数据'!$I$21</f>
        <v>24043.249177625272</v>
      </c>
      <c r="AS467" s="61">
        <f ca="1">IF(OR(C467="净世破魔击·日",C467="净世破魔击·月"),M467-'模拟-单技能数据'!$K$10,0)</f>
        <v>0</v>
      </c>
      <c r="AT467" s="61">
        <f ca="1">IF(OR(C467="净世破魔击·日",C467="净世破魔击·月"),I467-'模拟-单技能数据'!$L$10,0)</f>
        <v>0</v>
      </c>
      <c r="AU467" s="62">
        <f t="shared" ca="1" si="384"/>
        <v>0.44072399247236516</v>
      </c>
      <c r="AV467" s="64">
        <f ca="1">IF(AS467&gt;0,('模拟-单技能数据'!$D$22+G467*'模拟-单技能数据'!$F$22)*(1+J467)*(1-S467)*IF(AU467&lt;$F$10,0,IF(AU467&lt;$F$10+$F$11,0.25,IF(AU467&lt;$F$10+$F$11+AS467,AT467,1)))*(1+U467),0)*'模拟-单技能数据'!$I$22</f>
        <v>0</v>
      </c>
      <c r="AW467" s="108">
        <f t="shared" ca="1" si="385"/>
        <v>0</v>
      </c>
      <c r="AX467" s="108" t="b">
        <f ca="1">AND(模拟模式!$P$10="有",AW466=0,RAND()&lt;IF(C467="净世破魔击·月",0.1*8/3,IF(C467="净世破魔击·日",0.1*4/3,0.1*2/3)))</f>
        <v>0</v>
      </c>
      <c r="AY467" s="47">
        <f ca="1">IF(AX467,(18+G467*0.722)*(1+J467)*(1-S467)*(1+$I$4)*IF(P467="会",'模拟-全程加成'!$J$3+'模拟-全程加成'!$J$4+'模拟-全程加成'!$J$5+('模拟-全程加成'!$I$4+'模拟-全程加成'!$I$5)/系数!$B$4+BG467*10%,IF(P467="命",1,IF(P467="识",0.25,0))),0)</f>
        <v>0</v>
      </c>
      <c r="AZ467" s="108">
        <f t="shared" si="386"/>
        <v>0</v>
      </c>
      <c r="BA467" s="108" t="b">
        <f>AND(模拟模式!$Q$10="有",AZ466=0)</f>
        <v>0</v>
      </c>
      <c r="BB467" s="140">
        <f>IF(BA467,(0+G467*0.287)*(1+J467)*(1-S467)*(1+$I$4)*IF(P467="会",'模拟-全程加成'!$J$3+'模拟-全程加成'!$J$4+'模拟-全程加成'!$J$5+('模拟-全程加成'!$I$4+'模拟-全程加成'!$I$5)/系数!$B$4+BG467*10%,IF(P467="命",1,IF(P467="识",0.25,0))),0)</f>
        <v>0</v>
      </c>
      <c r="BC467" s="115" t="b">
        <f ca="1">AND(模拟模式!$R$7="伏明众生",E467=60,F467=20,DA467&lt;5,CZ466&lt;$F$4)</f>
        <v>0</v>
      </c>
      <c r="BD467" s="115">
        <f t="shared" ca="1" si="404"/>
        <v>0</v>
      </c>
      <c r="BE467" s="115" t="b">
        <f t="shared" ca="1" si="405"/>
        <v>0</v>
      </c>
      <c r="BF467" s="47">
        <f ca="1">IF(BC467,4*('模拟-单技能数据'!$D$24+G467*'模拟-单技能数据'!$F$24)*(1+J467)*(1+'模拟-单技能数据'!$J$24)*(1-S467)*(1+$I$3)*(('模拟-全程加成'!$J$3+'模拟-全程加成'!$J$4+'模拟-全程加成'!$J$5+('模拟-全程加成'!$I$4+'模拟-全程加成'!$I$5)/系数!$B$4+BG467*10%)*('模拟-全程加成'!$J$3+'模拟-全程加成'!$J$4+'模拟-全程加成'!$J$5+('模拟-全程加成'!$I$4+'模拟-全程加成'!$I$5)/系数!$B$4+BG467*10%)+(1-('模拟-全程加成'!$J$3+'模拟-全程加成'!$J$4+'模拟-全程加成'!$J$5+('模拟-全程加成'!$I$4+'模拟-全程加成'!$I$5)/系数!$B$4+BG467*10%)-$F$10-$F$11)+F453*0.25),0)*'模拟-单技能数据'!$I$24</f>
        <v>0</v>
      </c>
      <c r="BG467" s="115" t="b">
        <f ca="1">OR(AND(OR(C467="烈日斩",C467="银月斩"),模拟模式!$I$7="净身明礼"),AND(C467="净世破魔击·日",模拟模式!$J$7="洞若观火"),AND(C468="净世破魔击·月",模拟模式!$J$7="洞若观火"),AB467=1)</f>
        <v>1</v>
      </c>
      <c r="BH467" s="115" t="b">
        <f t="shared" ca="1" si="387"/>
        <v>0</v>
      </c>
      <c r="BI467" s="115">
        <f t="shared" ca="1" si="406"/>
        <v>0</v>
      </c>
      <c r="BJ467" s="115" t="b">
        <f t="shared" ca="1" si="417"/>
        <v>0</v>
      </c>
      <c r="BK467" s="115" t="b">
        <f ca="1">AND(C467="驱夜断愁",模拟模式!$P$7="天地诛戮")</f>
        <v>1</v>
      </c>
      <c r="BL467" s="57">
        <f t="shared" ca="1" si="407"/>
        <v>20</v>
      </c>
      <c r="BM467" s="115" t="b">
        <f t="shared" ca="1" si="418"/>
        <v>1</v>
      </c>
      <c r="BN467" s="115" t="b">
        <f ca="1">AND(OR(C467="赤日轮1",C467="赤日轮2",C467="赤日轮3",C467="幽月轮1",C467="幽月轮2",C467="幽月轮3"),AB467=1,模拟模式!$L$7="明光恒照")</f>
        <v>0</v>
      </c>
      <c r="BO467" s="117">
        <f t="shared" ca="1" si="408"/>
        <v>28.155000000000001</v>
      </c>
      <c r="BP467" s="115">
        <f t="shared" ca="1" si="388"/>
        <v>6</v>
      </c>
      <c r="BQ467" s="115" t="b">
        <f>模拟模式!$K$10="2600·水"</f>
        <v>0</v>
      </c>
      <c r="BR467" s="117">
        <f t="shared" si="389"/>
        <v>0</v>
      </c>
      <c r="BS467" s="115">
        <f t="shared" si="390"/>
        <v>0</v>
      </c>
      <c r="BT467" s="115">
        <f t="shared" ca="1" si="391"/>
        <v>0</v>
      </c>
      <c r="BU467" s="115" t="b">
        <f ca="1">AND(模拟模式!$K$10="2300·雷",BT466=0,RAND()&lt;IF(C467="净世破魔击·月",5*0.05*2/3,IF(C467="净世破魔击·日",3*0.05*2/3,0.05*2*2/3)))</f>
        <v>0</v>
      </c>
      <c r="BV467" s="115">
        <f t="shared" ca="1" si="392"/>
        <v>0</v>
      </c>
      <c r="BW467" s="115">
        <f t="shared" ca="1" si="393"/>
        <v>149.55749999999955</v>
      </c>
      <c r="BX467" s="164" t="b">
        <f t="shared" ca="1" si="394"/>
        <v>0</v>
      </c>
      <c r="BY467" s="115">
        <f t="shared" ca="1" si="395"/>
        <v>0</v>
      </c>
      <c r="BZ467" s="115">
        <f>IF(OR(模拟模式!$P$16="10人团",模拟模式!$P$16="25人团"),IF(B467/30&gt;CA466,1,0),0)</f>
        <v>0</v>
      </c>
      <c r="CA467" s="115">
        <f t="shared" si="371"/>
        <v>0</v>
      </c>
      <c r="CB467" s="115">
        <f ca="1">IF(BZ467=1,IF(模拟模式!$P$16="10人团",15,0)+IF(模拟模式!$P$16="25人团",IF(RAND()&lt;0.6,15,0)),MAX(0,CB466-$F$4))</f>
        <v>0</v>
      </c>
      <c r="CC467" s="115" t="b">
        <f t="shared" ca="1" si="419"/>
        <v>0</v>
      </c>
      <c r="CD467" s="115">
        <f>IF(模拟模式!$Q$16="1个",IF(B467/40&gt;CE466,1,0),0)</f>
        <v>0</v>
      </c>
      <c r="CE467" s="115">
        <f t="shared" si="420"/>
        <v>0</v>
      </c>
      <c r="CF467" s="115">
        <f>IF(OR(CD467=1,模拟模式!$Q$16="2个"),20,MAX(0,CF466-$F$4))</f>
        <v>0</v>
      </c>
      <c r="CG467" s="115" t="b">
        <f t="shared" si="421"/>
        <v>0</v>
      </c>
      <c r="CH467" s="115">
        <f t="shared" ca="1" si="396"/>
        <v>3.2475000000000116</v>
      </c>
      <c r="CI467" s="115" t="b">
        <f t="shared" ca="1" si="397"/>
        <v>0</v>
      </c>
      <c r="CJ467" s="119">
        <f t="shared" ca="1" si="398"/>
        <v>0</v>
      </c>
      <c r="CK467" s="115">
        <f t="shared" ca="1" si="399"/>
        <v>0</v>
      </c>
      <c r="CL467" s="115" t="b">
        <f ca="1">AND(模拟模式!$S$7="驱夷逐法",OR(AND(C467="净世破魔击·月",E466&gt;59),AND(C467="净世破魔击·日",F466&gt;59)))</f>
        <v>0</v>
      </c>
      <c r="CM467" s="115" t="b">
        <f ca="1">OR(CL467,AND(C467="净世破魔击·日",CL466,RAND()&lt;模拟模式!$U$23))</f>
        <v>0</v>
      </c>
      <c r="CN467" s="115" t="b">
        <f ca="1">IF(模拟模式!$M$7="辉耀红尘",AND(C467="净世破魔击·月",CL467,CV467=0,E466&lt;80),AND(C467="净世破魔击·月",CL467,E466&lt;100))</f>
        <v>0</v>
      </c>
      <c r="CO467" s="115" t="b">
        <f t="shared" ca="1" si="372"/>
        <v>0</v>
      </c>
      <c r="CP467" s="115" t="b">
        <f ca="1">AND(模拟模式!$O$7="用晦而明",OR(C467="净世破魔击·日",C467="净世破魔击·月",C467="驱夜断愁"),AB467)</f>
        <v>1</v>
      </c>
      <c r="CQ467" s="115" t="b">
        <f ca="1">OR(CP467,AND(CP466,RAND()&lt;模拟模式!$U$23))</f>
        <v>1</v>
      </c>
      <c r="CR467" s="115" t="b">
        <f ca="1">AND(模拟模式!$S$7="日月齐光",OR(C467="幽月轮1",C467="幽月轮2",C467="幽月轮3",CR466),NOT(OR(C467="赤日轮1",C467="赤日轮2",C467="赤日轮3")))</f>
        <v>0</v>
      </c>
      <c r="CS467" s="115" t="b">
        <f ca="1">AND(模拟模式!$S$7="日月齐光",OR(C467="赤日轮1",C467="赤日轮2",C467="赤日轮3",CS466),NOT(OR(C467="幽月轮1",C467="幽月轮2",C467="幽月轮3")))</f>
        <v>0</v>
      </c>
      <c r="CT467" s="115">
        <f t="shared" ca="1" si="400"/>
        <v>0</v>
      </c>
      <c r="CU467" s="115" t="b">
        <f ca="1">AND(模拟模式!$K$10="阴阳往极",CT466=0,RAND()&lt;IF(C467="净世破魔击·月",0.0275*7/3,IF(C467="净世破魔击·日",0.0275*3/3,0.0275*2/3)))</f>
        <v>0</v>
      </c>
      <c r="CV467" s="115">
        <f t="shared" ca="1" si="401"/>
        <v>0</v>
      </c>
      <c r="CW467" s="115">
        <f t="shared" ca="1" si="373"/>
        <v>0.46499999999999975</v>
      </c>
      <c r="CX467" s="115">
        <f t="shared" ca="1" si="374"/>
        <v>5.0774999999999997</v>
      </c>
      <c r="CY467" s="115">
        <f ca="1">MAX(IF($C467="驱夜断愁",IF(模拟模式!$R$7="万念俱寂",6,45),CY466-$F$4),0)</f>
        <v>6</v>
      </c>
      <c r="CZ467" s="115">
        <f t="shared" ca="1" si="375"/>
        <v>0</v>
      </c>
      <c r="DA467" s="115">
        <f ca="1">IF(模拟模式!$N$7="日月同辉",IF(DB466=2,0,MIN(6,IF(AND(OR(C467="赤日轮1",C467="赤日轮2",C467="赤日轮3",C467="幽月轮1",C467="幽月轮2",C467="幽月轮3"),AB467=1),DA466+1,DA466))),0)</f>
        <v>0</v>
      </c>
      <c r="DB467" s="115">
        <f t="shared" ca="1" si="376"/>
        <v>2</v>
      </c>
      <c r="DC467" s="115"/>
      <c r="DD467" s="115"/>
      <c r="DE467" s="115"/>
      <c r="DF467" s="115"/>
      <c r="DG467" s="115"/>
      <c r="DH467" s="115"/>
      <c r="DI467" s="115"/>
      <c r="DJ467" s="115"/>
      <c r="DK467" s="115"/>
      <c r="DL467" s="115"/>
      <c r="DM467" s="115"/>
    </row>
    <row r="468" spans="2:117" x14ac:dyDescent="0.2">
      <c r="B468" s="117">
        <f t="shared" si="377"/>
        <v>406.82250000000403</v>
      </c>
      <c r="C468" s="167" t="str">
        <f t="shared" ca="1" si="370"/>
        <v>烈日斩</v>
      </c>
      <c r="D468" s="115">
        <f ca="1">IF(C468="赤日轮1",1,IF(C468="赤日轮2",2,IF(C468="赤日轮3",3,IF(C468="幽月轮1",4,IF(C468="幽月轮2",5,IF(C468="幽月轮3",6,IF(C468="烈日斩",7,IF(C468="银月斩",8,IF(C468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468="净世破魔击·月",17,IF(C468="驱夜断愁",18,0)))))))))))</f>
        <v>7</v>
      </c>
      <c r="E468" s="115">
        <f ca="1">IF(AND(CU468,OR(C468="幽月轮1",C468="幽月轮2",C468="幽月轮3",C468="银月斩",C468="驱夜断愁",C468="净世破魔击·月")),100,MIN(IF(OR(CN468,BE468),0,IF(OR($C468="赤日轮1",$C468="赤日轮2",$C468="赤日轮3"),E467+20+IF(模拟模式!$I$7="日月凌天",4,0)+IF(CR467,20,0),IF($C468="烈日斩",E467+40,IF($C468="驱夜断愁",IF(模拟模式!$R$7="万念俱寂",E467+20,E467+60),IF($C468="净世破魔击·月",IF(OR(DB467&gt;0,CV467&gt;0),100,IF(模拟模式!$M$7="辉耀红尘",E467+20,E467)),IF($C468="净世破魔击·日",E467-100,E467)))))),100))</f>
        <v>80</v>
      </c>
      <c r="F468" s="115">
        <f ca="1">IF(AND(CU468,OR(C468="赤日轮1",C468="赤日轮2",C468="赤日轮3",C468="烈日斩",C468="净世破魔击·日")),100,MIN(IF(CO468,0,IF(OR($C468="幽月轮1",$C468="幽月轮2",$C468="幽月轮3"),F467+20+IF(模拟模式!$I$7="日月凌天",4,0)+IF(CS467,20,0),IF($C468="银月斩",F467+40+IF(模拟模式!$X$12=1,5,0),IF($C468="驱夜断愁",IF(模拟模式!$R$7="万念俱寂",F467+20,F467+60),IF($C468="净世破魔击·月",IF(模拟模式!$M$7="辉耀红尘",F467-80,F467-100),IF(AND(C468="净世破魔击·日",OR(DB467&gt;0,CV467&gt;0)),100,F467)))))),100))</f>
        <v>85</v>
      </c>
      <c r="G468" s="117">
        <f ca="1">('模拟-全程加成'!$E$3+'模拟-全程加成'!$E$4+'模拟-全程加成'!$E$5+('模拟-全程加成'!$C$6-'模拟-全程加成'!$C$3)*系数!$B$9+BS468*23)*(1+'模拟-全程加成'!$F$4+'模拟-全程加成'!$F$5+BJ468*10%+BM468*20%+BP468*4%+CG468*30%)+$F$7*系数!$B$12</f>
        <v>21493.829400000002</v>
      </c>
      <c r="H468" s="45">
        <f ca="1">'模拟-全程加成'!$H$3+'模拟-全程加成'!$H$4+'模拟-全程加成'!$H$5+('模拟-全程加成'!$G$4+'模拟-全程加成'!$G$5+('模拟-全程加成'!$C$6-'模拟-全程加成'!$C$3)*系数!$B$13)/系数!$B$3+LOOKUP(D468,'模拟-单技能数据'!$A$2:$A$19,'模拟-单技能数据'!$K$2:$K$19)+BG468*10%+IF(BV468&gt;0,378,0)</f>
        <v>0.56185145527300218</v>
      </c>
      <c r="I468" s="45">
        <f ca="1">'模拟-全程加成'!$J$3+'模拟-全程加成'!$J$4+'模拟-全程加成'!$J$5+('模拟-全程加成'!$I$4+'模拟-全程加成'!$I$5)/系数!$B$4+LOOKUP(D468,'模拟-单技能数据'!$A$2:$A$19,'模拟-单技能数据'!$L$2:$L$19)+BG468*10%</f>
        <v>2.2624828854998791</v>
      </c>
      <c r="J468" s="45">
        <f ca="1">(('模拟-全程加成'!$K$3+'模拟-全程加成'!$K$4+'模拟-全程加成'!$K$5+('模拟-全程加成'!$C$6-'模拟-全程加成'!$C$3)*系数!$B$10+IF(BV468&gt;0,882,0)+IF(BY468&gt;0,1831,0))*(1+'模拟-全程加成'!$L$4+'模拟-全程加成'!$L$5+CC468*20%))/系数!$B$5</f>
        <v>0.69723220422048726</v>
      </c>
      <c r="K468" s="119">
        <f ca="1">LOOKUP(D468,'模拟-单技能数据'!$A$2:$A$19,'模拟-单技能数据'!$J$2:$J$19)+IF(CM468,60%,0)+IF(DB467-DB468&gt;0,30%,0)+IF(OR(AND(OR(C468="赤日轮1",C468="赤日轮2",C468="赤日轮3"),CR468),AND(OR(C468="幽月轮1",C468="幽月轮2",C468="幽月轮3"),CS468)),35%,0)+CJ468</f>
        <v>0.24</v>
      </c>
      <c r="L468" s="119">
        <f ca="1">IF(AND(C468="烈日斩",模拟模式!$X$11=1),10%,0)+IF(AND(C468="驱夜断愁",AB468=1),30%,0)</f>
        <v>0.1</v>
      </c>
      <c r="M468" s="45">
        <f t="shared" ca="1" si="409"/>
        <v>0.56185145527300218</v>
      </c>
      <c r="N468" s="45">
        <f t="shared" ca="1" si="410"/>
        <v>0.38424854472699788</v>
      </c>
      <c r="O468" s="46">
        <f t="shared" ca="1" si="378"/>
        <v>0.28780351489550249</v>
      </c>
      <c r="P468" s="46" t="str">
        <f t="shared" ca="1" si="379"/>
        <v>会</v>
      </c>
      <c r="Q468" s="45">
        <f t="shared" ca="1" si="380"/>
        <v>2.2624828854998791</v>
      </c>
      <c r="R468" s="117">
        <f ca="1">模拟模式!$E$20*(1-IF(模拟模式!$J$19="有",0.15,0))*(1-IF(模拟模式!$K$19="有",0.3,0)-IF(CQ468,0.5,0))</f>
        <v>843.02999999999975</v>
      </c>
      <c r="S468" s="45">
        <f ca="1">R468/(R468+(185*模拟模式!$E$22-16800)*4.08224)</f>
        <v>8.389626085980037E-2</v>
      </c>
      <c r="T468" s="45" t="str">
        <f ca="1">LOOKUP(D468,'模拟-单技能数据'!$A$2:$A$19,'模拟-单技能数据'!$H$2:$H$19)</f>
        <v>阳</v>
      </c>
      <c r="U468" s="119">
        <f t="shared" ca="1" si="411"/>
        <v>0.2</v>
      </c>
      <c r="V468" s="47">
        <f ca="1">(1+L468)*(LOOKUP(D468,'模拟-单技能数据'!$A$2:$A$19,'模拟-单技能数据'!$D$2:$D$19)+G468*LOOKUP(D468,'模拟-单技能数据'!$A$2:$A$19,'模拟-单技能数据'!$F$2:$F$19))*(1+J468)*(1+K468)*(1-S468)*(1+U468)*Q468*LOOKUP(D468,'模拟-单技能数据'!$A$2:$A$19,'模拟-单技能数据'!$I$2:$I$20)</f>
        <v>110503.35617153208</v>
      </c>
      <c r="W468" s="47">
        <f ca="1">LOOKUP(D468,'模拟-单技能数据'!$A$2:$A$19,'模拟-单技能数据'!$G$2:$G$19)*$I$10</f>
        <v>361.51064354704795</v>
      </c>
      <c r="X468" s="47">
        <f t="shared" ca="1" si="381"/>
        <v>26475.215347313591</v>
      </c>
      <c r="Y468" s="47">
        <f t="shared" ca="1" si="412"/>
        <v>137340.08216239273</v>
      </c>
      <c r="Z468" s="49">
        <f t="shared" ca="1" si="413"/>
        <v>46208514.923507445</v>
      </c>
      <c r="AA468" s="97">
        <f t="shared" ca="1" si="414"/>
        <v>113583.97070837278</v>
      </c>
      <c r="AB468" s="115">
        <f ca="1">IF(OR(C468="赤日轮1",C468="赤日轮2",C468="赤日轮3"),IF(RAND()&lt;模拟模式!$Y$17,1,0),IF(OR(C468="幽月轮1",C468="幽月轮2",C468="幽月轮3"),IF(RAND()&lt;模拟模式!$Y$18,1,0),IF(C468="烈日斩",IF(RAND()&lt;模拟模式!$Y$19,1,0),IF(C468="银月斩",IF(RAND()&lt;模拟模式!$Y$20,1,0),IF(C468="驱夜断愁",IF(RAND()&lt;模拟模式!$Y$21,1,0),IF(C468="净世破魔击·日",IF(RAND()&lt;模拟模式!$Y$22,1,0),IF(C468="净世破魔击·月",IF(RAND()&lt;模拟模式!$Y$23,1,0),0)))))))</f>
        <v>1</v>
      </c>
      <c r="AC468" s="115" t="b">
        <f t="shared" ca="1" si="402"/>
        <v>0</v>
      </c>
      <c r="AD468" s="115" t="b">
        <f t="shared" ca="1" si="422"/>
        <v>1</v>
      </c>
      <c r="AE468" s="115">
        <f t="shared" ca="1" si="423"/>
        <v>4</v>
      </c>
      <c r="AF468" s="47">
        <f ca="1">IF(AC468,('模拟-单技能数据'!$D$20+G468*'模拟-单技能数据'!$F$20)*(1+J468)*(1+'模拟-单技能数据'!$J$20)*(1+U468),0)</f>
        <v>0</v>
      </c>
      <c r="AG468" s="61">
        <f t="shared" ca="1" si="415"/>
        <v>0.64185145527300214</v>
      </c>
      <c r="AH468" s="61">
        <f t="shared" ca="1" si="416"/>
        <v>2.2624828854998791</v>
      </c>
      <c r="AI468" s="62">
        <f t="shared" ca="1" si="382"/>
        <v>0.9847002883213678</v>
      </c>
      <c r="AJ468" s="47">
        <f ca="1">IF(AD468,IF(AI468&lt;$F$10,0,IF(AI468&lt;$F$10+$F$11,0.25,IF(AI468&lt;$F$10+$F$11+AG468,AH468,1)))*IF(AF468&gt;0,AF468,IF(AF467&gt;0,AF467,IF(AF466&gt;0,AF466,IF(AF465&gt;0,AF465,IF(AF464&gt;0,AF464,IF(AF463&gt;0,AF463,IF(AF462&gt;0,AF462,IF(AF461&gt;0,AF461,IF(AF460&gt;0,AF460,IF(AF458&gt;0,AF458,IF(AF457&gt;0,AF457,IF(AF456&gt;0,AF456,0)))))))))))),0)*(1-$S468)*'模拟-单技能数据'!$I$20</f>
        <v>4074.6980221198578</v>
      </c>
      <c r="AK468" s="115" t="b">
        <f t="shared" ca="1" si="403"/>
        <v>0</v>
      </c>
      <c r="AL468" s="115" t="b">
        <f t="shared" ca="1" si="424"/>
        <v>0</v>
      </c>
      <c r="AM468" s="115">
        <f t="shared" ca="1" si="425"/>
        <v>4</v>
      </c>
      <c r="AN468" s="47">
        <f ca="1">IF(AK468,('模拟-单技能数据'!$D$21+G468*'模拟-单技能数据'!$F$21)*(1+J468)*(1+'模拟-单技能数据'!$J$21)*(1+U468),0)</f>
        <v>0</v>
      </c>
      <c r="AO468" s="61">
        <f ca="1">IF(AN468&gt;0,M468-'模拟-单技能数据'!$K$10,AO467)</f>
        <v>0.42185145527300216</v>
      </c>
      <c r="AP468" s="61">
        <f ca="1">IF(AN468&gt;0,I468-'模拟-单技能数据'!$L$10,AP467)</f>
        <v>2.162482885499879</v>
      </c>
      <c r="AQ468" s="63">
        <f t="shared" ca="1" si="383"/>
        <v>7.1457552374552535E-2</v>
      </c>
      <c r="AR468" s="64">
        <f ca="1">IF(AL468,IF(AQ468&lt;$F$10,0,IF(AQ468&lt;$F$10+$F$11,0.25,IF(AQ468&lt;$F$10+$F$11+AO468,AP468,1)))*IF(AN468&gt;0,AN468,IF(AN467&gt;0,AN467,IF(AN466&gt;0,AN466,IF(AN465&gt;0,AN465,IF(AN464&gt;0,AN464,IF(AN463&gt;0,AN463,IF(AN462&gt;0,AN462,IF(AN461&gt;0,AN461,IF(AN460&gt;0,AN460,IF(AN458&gt;0,AN458,IF(AN457&gt;0,AN457,IF(AN456&gt;0,AN456,0)))))))))))),0)*(1-$S468)*'模拟-单技能数据'!$I$21</f>
        <v>0</v>
      </c>
      <c r="AS468" s="61">
        <f ca="1">IF(OR(C468="净世破魔击·日",C468="净世破魔击·月"),M468-'模拟-单技能数据'!$K$10,0)</f>
        <v>0</v>
      </c>
      <c r="AT468" s="61">
        <f ca="1">IF(OR(C468="净世破魔击·日",C468="净世破魔击·月"),I468-'模拟-单技能数据'!$L$10,0)</f>
        <v>0</v>
      </c>
      <c r="AU468" s="62">
        <f t="shared" ca="1" si="384"/>
        <v>0.58646197770523201</v>
      </c>
      <c r="AV468" s="64">
        <f ca="1">IF(AS468&gt;0,('模拟-单技能数据'!$D$22+G468*'模拟-单技能数据'!$F$22)*(1+J468)*(1-S468)*IF(AU468&lt;$F$10,0,IF(AU468&lt;$F$10+$F$11,0.25,IF(AU468&lt;$F$10+$F$11+AS468,AT468,1)))*(1+U468),0)*'模拟-单技能数据'!$I$22</f>
        <v>0</v>
      </c>
      <c r="AW468" s="108">
        <f t="shared" ca="1" si="385"/>
        <v>0</v>
      </c>
      <c r="AX468" s="108" t="b">
        <f ca="1">AND(模拟模式!$P$10="有",AW467=0,RAND()&lt;IF(C468="净世破魔击·月",0.1*8/3,IF(C468="净世破魔击·日",0.1*4/3,0.1*2/3)))</f>
        <v>0</v>
      </c>
      <c r="AY468" s="47">
        <f ca="1">IF(AX468,(18+G468*0.722)*(1+J468)*(1-S468)*(1+$I$4)*IF(P468="会",'模拟-全程加成'!$J$3+'模拟-全程加成'!$J$4+'模拟-全程加成'!$J$5+('模拟-全程加成'!$I$4+'模拟-全程加成'!$I$5)/系数!$B$4+BG468*10%,IF(P468="命",1,IF(P468="识",0.25,0))),0)</f>
        <v>0</v>
      </c>
      <c r="AZ468" s="108">
        <f t="shared" si="386"/>
        <v>19.077500000000001</v>
      </c>
      <c r="BA468" s="108" t="b">
        <f>AND(模拟模式!$Q$10="有",AZ467=0)</f>
        <v>1</v>
      </c>
      <c r="BB468" s="140">
        <f ca="1">IF(BA468,(0+G468*0.287)*(1+J468)*(1-S468)*(1+$I$4)*IF(P468="会",'模拟-全程加成'!$J$3+'模拟-全程加成'!$J$4+'模拟-全程加成'!$J$5+('模拟-全程加成'!$I$4+'模拟-全程加成'!$I$5)/系数!$B$4+BG468*10%,IF(P468="命",1,IF(P468="识",0.25,0))),0)</f>
        <v>22400.517325193734</v>
      </c>
      <c r="BC468" s="115" t="b">
        <f ca="1">AND(模拟模式!$R$7="伏明众生",E468=60,F468=20,DA468&lt;5,CZ467&lt;$F$4)</f>
        <v>0</v>
      </c>
      <c r="BD468" s="115">
        <f t="shared" ca="1" si="404"/>
        <v>0</v>
      </c>
      <c r="BE468" s="115" t="b">
        <f t="shared" ca="1" si="405"/>
        <v>0</v>
      </c>
      <c r="BF468" s="47">
        <f ca="1">IF(BC468,4*('模拟-单技能数据'!$D$24+G468*'模拟-单技能数据'!$F$24)*(1+J468)*(1+'模拟-单技能数据'!$J$24)*(1-S468)*(1+$I$3)*(('模拟-全程加成'!$J$3+'模拟-全程加成'!$J$4+'模拟-全程加成'!$J$5+('模拟-全程加成'!$I$4+'模拟-全程加成'!$I$5)/系数!$B$4+BG468*10%)*('模拟-全程加成'!$J$3+'模拟-全程加成'!$J$4+'模拟-全程加成'!$J$5+('模拟-全程加成'!$I$4+'模拟-全程加成'!$I$5)/系数!$B$4+BG468*10%)+(1-('模拟-全程加成'!$J$3+'模拟-全程加成'!$J$4+'模拟-全程加成'!$J$5+('模拟-全程加成'!$I$4+'模拟-全程加成'!$I$5)/系数!$B$4+BG468*10%)-$F$10-$F$11)+F454*0.25),0)*'模拟-单技能数据'!$I$24</f>
        <v>0</v>
      </c>
      <c r="BG468" s="115" t="b">
        <f ca="1">OR(AND(OR(C468="烈日斩",C468="银月斩"),模拟模式!$I$7="净身明礼"),AND(C468="净世破魔击·日",模拟模式!$J$7="洞若观火"),AND(C469="净世破魔击·月",模拟模式!$J$7="洞若观火"),AB468=1)</f>
        <v>1</v>
      </c>
      <c r="BH468" s="115" t="b">
        <f t="shared" ca="1" si="387"/>
        <v>1</v>
      </c>
      <c r="BI468" s="115">
        <f t="shared" ca="1" si="406"/>
        <v>6</v>
      </c>
      <c r="BJ468" s="115" t="b">
        <f t="shared" ca="1" si="417"/>
        <v>1</v>
      </c>
      <c r="BK468" s="115" t="b">
        <f ca="1">AND(C468="驱夜断愁",模拟模式!$P$7="天地诛戮")</f>
        <v>0</v>
      </c>
      <c r="BL468" s="57">
        <f t="shared" ca="1" si="407"/>
        <v>19.077500000000001</v>
      </c>
      <c r="BM468" s="115" t="b">
        <f t="shared" ca="1" si="418"/>
        <v>1</v>
      </c>
      <c r="BN468" s="115" t="b">
        <f ca="1">AND(OR(C468="赤日轮1",C468="赤日轮2",C468="赤日轮3",C468="幽月轮1",C468="幽月轮2",C468="幽月轮3"),AB468=1,模拟模式!$L$7="明光恒照")</f>
        <v>0</v>
      </c>
      <c r="BO468" s="117">
        <f t="shared" ca="1" si="408"/>
        <v>27.232500000000002</v>
      </c>
      <c r="BP468" s="115">
        <f t="shared" ca="1" si="388"/>
        <v>6</v>
      </c>
      <c r="BQ468" s="115" t="b">
        <f>模拟模式!$K$10="2600·水"</f>
        <v>0</v>
      </c>
      <c r="BR468" s="117">
        <f t="shared" si="389"/>
        <v>0</v>
      </c>
      <c r="BS468" s="115">
        <f t="shared" si="390"/>
        <v>0</v>
      </c>
      <c r="BT468" s="115">
        <f t="shared" ca="1" si="391"/>
        <v>0</v>
      </c>
      <c r="BU468" s="115" t="b">
        <f ca="1">AND(模拟模式!$K$10="2300·雷",BT467=0,RAND()&lt;IF(C468="净世破魔击·月",5*0.05*2/3,IF(C468="净世破魔击·日",3*0.05*2/3,0.05*2*2/3)))</f>
        <v>0</v>
      </c>
      <c r="BV468" s="115">
        <f t="shared" ca="1" si="392"/>
        <v>0</v>
      </c>
      <c r="BW468" s="115">
        <f t="shared" ca="1" si="393"/>
        <v>148.63499999999954</v>
      </c>
      <c r="BX468" s="164" t="b">
        <f t="shared" ca="1" si="394"/>
        <v>0</v>
      </c>
      <c r="BY468" s="115">
        <f t="shared" ca="1" si="395"/>
        <v>0</v>
      </c>
      <c r="BZ468" s="115">
        <f>IF(OR(模拟模式!$P$16="10人团",模拟模式!$P$16="25人团"),IF(B468/30&gt;CA467,1,0),0)</f>
        <v>0</v>
      </c>
      <c r="CA468" s="115">
        <f t="shared" si="371"/>
        <v>0</v>
      </c>
      <c r="CB468" s="115">
        <f ca="1">IF(BZ468=1,IF(模拟模式!$P$16="10人团",15,0)+IF(模拟模式!$P$16="25人团",IF(RAND()&lt;0.6,15,0)),MAX(0,CB467-$F$4))</f>
        <v>0</v>
      </c>
      <c r="CC468" s="115" t="b">
        <f t="shared" ca="1" si="419"/>
        <v>0</v>
      </c>
      <c r="CD468" s="115">
        <f>IF(模拟模式!$Q$16="1个",IF(B468/40&gt;CE467,1,0),0)</f>
        <v>0</v>
      </c>
      <c r="CE468" s="115">
        <f t="shared" si="420"/>
        <v>0</v>
      </c>
      <c r="CF468" s="115">
        <f>IF(OR(CD468=1,模拟模式!$Q$16="2个"),20,MAX(0,CF467-$F$4))</f>
        <v>0</v>
      </c>
      <c r="CG468" s="115" t="b">
        <f t="shared" si="421"/>
        <v>0</v>
      </c>
      <c r="CH468" s="115">
        <f t="shared" ca="1" si="396"/>
        <v>2.3250000000000117</v>
      </c>
      <c r="CI468" s="115" t="b">
        <f t="shared" ca="1" si="397"/>
        <v>0</v>
      </c>
      <c r="CJ468" s="119">
        <f t="shared" ca="1" si="398"/>
        <v>0</v>
      </c>
      <c r="CK468" s="115">
        <f t="shared" ca="1" si="399"/>
        <v>0</v>
      </c>
      <c r="CL468" s="115" t="b">
        <f ca="1">AND(模拟模式!$S$7="驱夷逐法",OR(AND(C468="净世破魔击·月",E467&gt;59),AND(C468="净世破魔击·日",F467&gt;59)))</f>
        <v>0</v>
      </c>
      <c r="CM468" s="115" t="b">
        <f ca="1">OR(CL468,AND(C468="净世破魔击·日",CL467,RAND()&lt;模拟模式!$U$23))</f>
        <v>0</v>
      </c>
      <c r="CN468" s="115" t="b">
        <f ca="1">IF(模拟模式!$M$7="辉耀红尘",AND(C468="净世破魔击·月",CL468,CV468=0,E467&lt;80),AND(C468="净世破魔击·月",CL468,E467&lt;100))</f>
        <v>0</v>
      </c>
      <c r="CO468" s="115" t="b">
        <f t="shared" ca="1" si="372"/>
        <v>0</v>
      </c>
      <c r="CP468" s="115" t="b">
        <f ca="1">AND(模拟模式!$O$7="用晦而明",OR(C468="净世破魔击·日",C468="净世破魔击·月",C468="驱夜断愁"),AB468)</f>
        <v>0</v>
      </c>
      <c r="CQ468" s="115" t="b">
        <f ca="1">OR(CP468,AND(CP467,RAND()&lt;模拟模式!$U$23))</f>
        <v>1</v>
      </c>
      <c r="CR468" s="115" t="b">
        <f ca="1">AND(模拟模式!$S$7="日月齐光",OR(C468="幽月轮1",C468="幽月轮2",C468="幽月轮3",CR467),NOT(OR(C468="赤日轮1",C468="赤日轮2",C468="赤日轮3")))</f>
        <v>0</v>
      </c>
      <c r="CS468" s="115" t="b">
        <f ca="1">AND(模拟模式!$S$7="日月齐光",OR(C468="赤日轮1",C468="赤日轮2",C468="赤日轮3",CS467),NOT(OR(C468="幽月轮1",C468="幽月轮2",C468="幽月轮3")))</f>
        <v>0</v>
      </c>
      <c r="CT468" s="115">
        <f t="shared" ca="1" si="400"/>
        <v>0</v>
      </c>
      <c r="CU468" s="115" t="b">
        <f ca="1">AND(模拟模式!$K$10="阴阳往极",CT467=0,RAND()&lt;IF(C468="净世破魔击·月",0.0275*7/3,IF(C468="净世破魔击·日",0.0275*3/3,0.0275*2/3)))</f>
        <v>0</v>
      </c>
      <c r="CV468" s="115">
        <f t="shared" ca="1" si="401"/>
        <v>0</v>
      </c>
      <c r="CW468" s="115">
        <f t="shared" ca="1" si="373"/>
        <v>6</v>
      </c>
      <c r="CX468" s="115">
        <f t="shared" ca="1" si="374"/>
        <v>4.1549999999999994</v>
      </c>
      <c r="CY468" s="115">
        <f ca="1">MAX(IF($C468="驱夜断愁",IF(模拟模式!$R$7="万念俱寂",6,45),CY467-$F$4),0)</f>
        <v>5.0774999999999997</v>
      </c>
      <c r="CZ468" s="115">
        <f t="shared" ca="1" si="375"/>
        <v>0</v>
      </c>
      <c r="DA468" s="115">
        <f ca="1">IF(模拟模式!$N$7="日月同辉",IF(DB467=2,0,MIN(6,IF(AND(OR(C468="赤日轮1",C468="赤日轮2",C468="赤日轮3",C468="幽月轮1",C468="幽月轮2",C468="幽月轮3"),AB468=1),DA467+1,DA467))),0)</f>
        <v>0</v>
      </c>
      <c r="DB468" s="115">
        <f t="shared" ca="1" si="376"/>
        <v>2</v>
      </c>
      <c r="DC468" s="115"/>
      <c r="DD468" s="115"/>
      <c r="DE468" s="115"/>
      <c r="DF468" s="115"/>
      <c r="DG468" s="115"/>
      <c r="DH468" s="115"/>
      <c r="DI468" s="115"/>
      <c r="DJ468" s="115"/>
      <c r="DK468" s="115"/>
      <c r="DL468" s="115"/>
      <c r="DM468" s="115"/>
    </row>
    <row r="469" spans="2:117" x14ac:dyDescent="0.2">
      <c r="B469" s="117">
        <f t="shared" si="377"/>
        <v>407.74500000000404</v>
      </c>
      <c r="C469" s="167" t="str">
        <f t="shared" ca="1" si="370"/>
        <v>幽月轮1</v>
      </c>
      <c r="D469" s="115">
        <f ca="1">IF(C469="赤日轮1",1,IF(C469="赤日轮2",2,IF(C469="赤日轮3",3,IF(C469="幽月轮1",4,IF(C469="幽月轮2",5,IF(C469="幽月轮3",6,IF(C469="烈日斩",7,IF(C469="银月斩",8,IF(C469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469="净世破魔击·月",17,IF(C469="驱夜断愁",18,0)))))))))))</f>
        <v>4</v>
      </c>
      <c r="E469" s="115">
        <f ca="1">IF(AND(CU469,OR(C469="幽月轮1",C469="幽月轮2",C469="幽月轮3",C469="银月斩",C469="驱夜断愁",C469="净世破魔击·月")),100,MIN(IF(OR(CN469,BE469),0,IF(OR($C469="赤日轮1",$C469="赤日轮2",$C469="赤日轮3"),E468+20+IF(模拟模式!$I$7="日月凌天",4,0)+IF(CR468,20,0),IF($C469="烈日斩",E468+40,IF($C469="驱夜断愁",IF(模拟模式!$R$7="万念俱寂",E468+20,E468+60),IF($C469="净世破魔击·月",IF(OR(DB468&gt;0,CV468&gt;0),100,IF(模拟模式!$M$7="辉耀红尘",E468+20,E468)),IF($C469="净世破魔击·日",E468-100,E468)))))),100))</f>
        <v>80</v>
      </c>
      <c r="F469" s="115">
        <f ca="1">IF(AND(CU469,OR(C469="赤日轮1",C469="赤日轮2",C469="赤日轮3",C469="烈日斩",C469="净世破魔击·日")),100,MIN(IF(CO469,0,IF(OR($C469="幽月轮1",$C469="幽月轮2",$C469="幽月轮3"),F468+20+IF(模拟模式!$I$7="日月凌天",4,0)+IF(CS468,20,0),IF($C469="银月斩",F468+40+IF(模拟模式!$X$12=1,5,0),IF($C469="驱夜断愁",IF(模拟模式!$R$7="万念俱寂",F468+20,F468+60),IF($C469="净世破魔击·月",IF(模拟模式!$M$7="辉耀红尘",F468-80,F468-100),IF(AND(C469="净世破魔击·日",OR(DB468&gt;0,CV468&gt;0)),100,F468)))))),100))</f>
        <v>100</v>
      </c>
      <c r="G469" s="117">
        <f ca="1">('模拟-全程加成'!$E$3+'模拟-全程加成'!$E$4+'模拟-全程加成'!$E$5+('模拟-全程加成'!$C$6-'模拟-全程加成'!$C$3)*系数!$B$9+BS469*23)*(1+'模拟-全程加成'!$F$4+'模拟-全程加成'!$F$5+BJ469*10%+BM469*20%+BP469*4%+CG469*30%)+$F$7*系数!$B$12</f>
        <v>21493.829400000002</v>
      </c>
      <c r="H469" s="45">
        <f ca="1">'模拟-全程加成'!$H$3+'模拟-全程加成'!$H$4+'模拟-全程加成'!$H$5+('模拟-全程加成'!$G$4+'模拟-全程加成'!$G$5+('模拟-全程加成'!$C$6-'模拟-全程加成'!$C$3)*系数!$B$13)/系数!$B$3+LOOKUP(D469,'模拟-单技能数据'!$A$2:$A$19,'模拟-单技能数据'!$K$2:$K$19)+BG469*10%+IF(BV469&gt;0,378,0)</f>
        <v>0.51185145527300213</v>
      </c>
      <c r="I469" s="45">
        <f ca="1">'模拟-全程加成'!$J$3+'模拟-全程加成'!$J$4+'模拟-全程加成'!$J$5+('模拟-全程加成'!$I$4+'模拟-全程加成'!$I$5)/系数!$B$4+LOOKUP(D469,'模拟-单技能数据'!$A$2:$A$19,'模拟-单技能数据'!$L$2:$L$19)+BG469*10%</f>
        <v>2.162482885499879</v>
      </c>
      <c r="J469" s="45">
        <f ca="1">(('模拟-全程加成'!$K$3+'模拟-全程加成'!$K$4+'模拟-全程加成'!$K$5+('模拟-全程加成'!$C$6-'模拟-全程加成'!$C$3)*系数!$B$10+IF(BV469&gt;0,882,0)+IF(BY469&gt;0,1831,0))*(1+'模拟-全程加成'!$L$4+'模拟-全程加成'!$L$5+CC469*20%))/系数!$B$5</f>
        <v>0.69723220422048726</v>
      </c>
      <c r="K469" s="119">
        <f ca="1">LOOKUP(D469,'模拟-单技能数据'!$A$2:$A$19,'模拟-单技能数据'!$J$2:$J$19)+IF(CM469,60%,0)+IF(DB468-DB469&gt;0,30%,0)+IF(OR(AND(OR(C469="赤日轮1",C469="赤日轮2",C469="赤日轮3"),CR469),AND(OR(C469="幽月轮1",C469="幽月轮2",C469="幽月轮3"),CS469)),35%,0)+CJ469</f>
        <v>7.0000000000000007E-2</v>
      </c>
      <c r="L469" s="119">
        <f ca="1">IF(AND(C469="烈日斩",模拟模式!$X$11=1),10%,0)+IF(AND(C469="驱夜断愁",AB469=1),30%,0)</f>
        <v>0</v>
      </c>
      <c r="M469" s="45">
        <f t="shared" ca="1" si="409"/>
        <v>0.51185145527300213</v>
      </c>
      <c r="N469" s="45">
        <f t="shared" ca="1" si="410"/>
        <v>0.43424854472699792</v>
      </c>
      <c r="O469" s="46">
        <f t="shared" ca="1" si="378"/>
        <v>0.36173997452207041</v>
      </c>
      <c r="P469" s="46" t="str">
        <f t="shared" ca="1" si="379"/>
        <v>会</v>
      </c>
      <c r="Q469" s="45">
        <f t="shared" ca="1" si="380"/>
        <v>2.162482885499879</v>
      </c>
      <c r="R469" s="117">
        <f ca="1">模拟模式!$E$20*(1-IF(模拟模式!$J$19="有",0.15,0))*(1-IF(模拟模式!$K$19="有",0.3,0)-IF(CQ469,0.5,0))</f>
        <v>2950.6049999999996</v>
      </c>
      <c r="S469" s="45">
        <f ca="1">R469/(R469+(185*模拟模式!$E$22-16800)*4.08224)</f>
        <v>0.24272716014590323</v>
      </c>
      <c r="T469" s="45" t="str">
        <f ca="1">LOOKUP(D469,'模拟-单技能数据'!$A$2:$A$19,'模拟-单技能数据'!$H$2:$H$19)</f>
        <v>阴</v>
      </c>
      <c r="U469" s="119">
        <f t="shared" ca="1" si="411"/>
        <v>0.08</v>
      </c>
      <c r="V469" s="47">
        <f ca="1">(1+L469)*(LOOKUP(D469,'模拟-单技能数据'!$A$2:$A$19,'模拟-单技能数据'!$D$2:$D$19)+G469*LOOKUP(D469,'模拟-单技能数据'!$A$2:$A$19,'模拟-单技能数据'!$F$2:$F$19))*(1+J469)*(1+K469)*(1-S469)*(1+U469)*Q469*LOOKUP(D469,'模拟-单技能数据'!$A$2:$A$19,'模拟-单技能数据'!$I$2:$I$20)</f>
        <v>36630.702053185581</v>
      </c>
      <c r="W469" s="47">
        <f ca="1">LOOKUP(D469,'模拟-单技能数据'!$A$2:$A$19,'模拟-单技能数据'!$G$2:$G$19)*$I$10</f>
        <v>361.51064354704795</v>
      </c>
      <c r="X469" s="47">
        <f t="shared" ca="1" si="381"/>
        <v>19874.713753650052</v>
      </c>
      <c r="Y469" s="47">
        <f t="shared" ca="1" si="412"/>
        <v>56866.926450382685</v>
      </c>
      <c r="Z469" s="49">
        <f t="shared" ca="1" si="413"/>
        <v>46265381.849957824</v>
      </c>
      <c r="AA469" s="97">
        <f t="shared" ca="1" si="414"/>
        <v>113466.46028757523</v>
      </c>
      <c r="AB469" s="115">
        <f ca="1">IF(OR(C469="赤日轮1",C469="赤日轮2",C469="赤日轮3"),IF(RAND()&lt;模拟模式!$Y$17,1,0),IF(OR(C469="幽月轮1",C469="幽月轮2",C469="幽月轮3"),IF(RAND()&lt;模拟模式!$Y$18,1,0),IF(C469="烈日斩",IF(RAND()&lt;模拟模式!$Y$19,1,0),IF(C469="银月斩",IF(RAND()&lt;模拟模式!$Y$20,1,0),IF(C469="驱夜断愁",IF(RAND()&lt;模拟模式!$Y$21,1,0),IF(C469="净世破魔击·日",IF(RAND()&lt;模拟模式!$Y$22,1,0),IF(C469="净世破魔击·月",IF(RAND()&lt;模拟模式!$Y$23,1,0),0)))))))</f>
        <v>1</v>
      </c>
      <c r="AC469" s="115" t="b">
        <f t="shared" ca="1" si="402"/>
        <v>0</v>
      </c>
      <c r="AD469" s="115" t="b">
        <f t="shared" ca="1" si="422"/>
        <v>0</v>
      </c>
      <c r="AE469" s="115">
        <f t="shared" ca="1" si="423"/>
        <v>4</v>
      </c>
      <c r="AF469" s="47">
        <f ca="1">IF(AC469,('模拟-单技能数据'!$D$20+G469*'模拟-单技能数据'!$F$20)*(1+J469)*(1+'模拟-单技能数据'!$J$20)*(1+U469),0)</f>
        <v>0</v>
      </c>
      <c r="AG469" s="61">
        <f t="shared" ca="1" si="415"/>
        <v>0.64185145527300214</v>
      </c>
      <c r="AH469" s="61">
        <f t="shared" ca="1" si="416"/>
        <v>2.2624828854998791</v>
      </c>
      <c r="AI469" s="62">
        <f t="shared" ca="1" si="382"/>
        <v>0.6997398199009347</v>
      </c>
      <c r="AJ469" s="47">
        <f ca="1">IF(AD469,IF(AI469&lt;$F$10,0,IF(AI469&lt;$F$10+$F$11,0.25,IF(AI469&lt;$F$10+$F$11+AG469,AH469,1)))*IF(AF469&gt;0,AF469,IF(AF468&gt;0,AF468,IF(AF467&gt;0,AF467,IF(AF466&gt;0,AF466,IF(AF465&gt;0,AF465,IF(AF464&gt;0,AF464,IF(AF463&gt;0,AF463,IF(AF462&gt;0,AF462,IF(AF461&gt;0,AF461,IF(AF459&gt;0,AF459,IF(AF458&gt;0,AF458,IF(AF457&gt;0,AF457,0)))))))))))),0)*(1-$S469)*'模拟-单技能数据'!$I$20</f>
        <v>0</v>
      </c>
      <c r="AK469" s="115" t="b">
        <f t="shared" ca="1" si="403"/>
        <v>0</v>
      </c>
      <c r="AL469" s="115" t="b">
        <f t="shared" ca="1" si="424"/>
        <v>1</v>
      </c>
      <c r="AM469" s="115">
        <f t="shared" ca="1" si="425"/>
        <v>3</v>
      </c>
      <c r="AN469" s="47">
        <f ca="1">IF(AK469,('模拟-单技能数据'!$D$21+G469*'模拟-单技能数据'!$F$21)*(1+J469)*(1+'模拟-单技能数据'!$J$21)*(1+U469),0)</f>
        <v>0</v>
      </c>
      <c r="AO469" s="61">
        <f ca="1">IF(AN469&gt;0,M469-'模拟-单技能数据'!$K$10,AO468)</f>
        <v>0.42185145527300216</v>
      </c>
      <c r="AP469" s="61">
        <f ca="1">IF(AN469&gt;0,I469-'模拟-单技能数据'!$L$10,AP468)</f>
        <v>2.162482885499879</v>
      </c>
      <c r="AQ469" s="63">
        <f t="shared" ca="1" si="383"/>
        <v>0.37527458969171501</v>
      </c>
      <c r="AR469" s="64">
        <f ca="1">IF(AL469,IF(AQ469&lt;$F$10,0,IF(AQ469&lt;$F$10+$F$11,0.25,IF(AQ469&lt;$F$10+$F$11+AO469,AP469,1)))*IF(AN469&gt;0,AN469,IF(AN468&gt;0,AN468,IF(AN467&gt;0,AN467,IF(AN466&gt;0,AN466,IF(AN465&gt;0,AN465,IF(AN464&gt;0,AN464,IF(AN463&gt;0,AN463,IF(AN462&gt;0,AN462,IF(AN461&gt;0,AN461,IF(AN459&gt;0,AN459,IF(AN458&gt;0,AN458,IF(AN457&gt;0,AN457,0)))))))))))),0)*(1-$S469)*'模拟-单技能数据'!$I$21</f>
        <v>19874.713753650052</v>
      </c>
      <c r="AS469" s="61">
        <f ca="1">IF(OR(C469="净世破魔击·日",C469="净世破魔击·月"),M469-'模拟-单技能数据'!$K$10,0)</f>
        <v>0</v>
      </c>
      <c r="AT469" s="61">
        <f ca="1">IF(OR(C469="净世破魔击·日",C469="净世破魔击·月"),I469-'模拟-单技能数据'!$L$10,0)</f>
        <v>0</v>
      </c>
      <c r="AU469" s="62">
        <f t="shared" ca="1" si="384"/>
        <v>0.8434414492974347</v>
      </c>
      <c r="AV469" s="64">
        <f ca="1">IF(AS469&gt;0,('模拟-单技能数据'!$D$22+G469*'模拟-单技能数据'!$F$22)*(1+J469)*(1-S469)*IF(AU469&lt;$F$10,0,IF(AU469&lt;$F$10+$F$11,0.25,IF(AU469&lt;$F$10+$F$11+AS469,AT469,1)))*(1+U469),0)*'模拟-单技能数据'!$I$22</f>
        <v>0</v>
      </c>
      <c r="AW469" s="108">
        <f t="shared" ca="1" si="385"/>
        <v>0</v>
      </c>
      <c r="AX469" s="108" t="b">
        <f ca="1">AND(模拟模式!$P$10="有",AW468=0,RAND()&lt;IF(C469="净世破魔击·月",0.1*8/3,IF(C469="净世破魔击·日",0.1*4/3,0.1*2/3)))</f>
        <v>0</v>
      </c>
      <c r="AY469" s="47">
        <f ca="1">IF(AX469,(18+G469*0.722)*(1+J469)*(1-S469)*(1+$I$4)*IF(P469="会",'模拟-全程加成'!$J$3+'模拟-全程加成'!$J$4+'模拟-全程加成'!$J$5+('模拟-全程加成'!$I$4+'模拟-全程加成'!$I$5)/系数!$B$4+BG469*10%,IF(P469="命",1,IF(P469="识",0.25,0))),0)</f>
        <v>0</v>
      </c>
      <c r="AZ469" s="108">
        <f t="shared" si="386"/>
        <v>18.155000000000001</v>
      </c>
      <c r="BA469" s="108" t="b">
        <f>AND(模拟模式!$Q$10="有",AZ468=0)</f>
        <v>0</v>
      </c>
      <c r="BB469" s="140">
        <f>IF(BA469,(0+G469*0.287)*(1+J469)*(1-S469)*(1+$I$4)*IF(P469="会",'模拟-全程加成'!$J$3+'模拟-全程加成'!$J$4+'模拟-全程加成'!$J$5+('模拟-全程加成'!$I$4+'模拟-全程加成'!$I$5)/系数!$B$4+BG469*10%,IF(P469="命",1,IF(P469="识",0.25,0))),0)</f>
        <v>0</v>
      </c>
      <c r="BC469" s="115" t="b">
        <f ca="1">AND(模拟模式!$R$7="伏明众生",E469=60,F469=20,DA469&lt;5,CZ468&lt;$F$4)</f>
        <v>0</v>
      </c>
      <c r="BD469" s="115">
        <f t="shared" ca="1" si="404"/>
        <v>0</v>
      </c>
      <c r="BE469" s="115" t="b">
        <f t="shared" ca="1" si="405"/>
        <v>0</v>
      </c>
      <c r="BF469" s="47">
        <f ca="1">IF(BC469,4*('模拟-单技能数据'!$D$24+G469*'模拟-单技能数据'!$F$24)*(1+J469)*(1+'模拟-单技能数据'!$J$24)*(1-S469)*(1+$I$3)*(('模拟-全程加成'!$J$3+'模拟-全程加成'!$J$4+'模拟-全程加成'!$J$5+('模拟-全程加成'!$I$4+'模拟-全程加成'!$I$5)/系数!$B$4+BG469*10%)*('模拟-全程加成'!$J$3+'模拟-全程加成'!$J$4+'模拟-全程加成'!$J$5+('模拟-全程加成'!$I$4+'模拟-全程加成'!$I$5)/系数!$B$4+BG469*10%)+(1-('模拟-全程加成'!$J$3+'模拟-全程加成'!$J$4+'模拟-全程加成'!$J$5+('模拟-全程加成'!$I$4+'模拟-全程加成'!$I$5)/系数!$B$4+BG469*10%)-$F$10-$F$11)+F455*0.25),0)*'模拟-单技能数据'!$I$24</f>
        <v>0</v>
      </c>
      <c r="BG469" s="115" t="b">
        <f ca="1">OR(AND(OR(C469="烈日斩",C469="银月斩"),模拟模式!$I$7="净身明礼"),AND(C469="净世破魔击·日",模拟模式!$J$7="洞若观火"),AND(C470="净世破魔击·月",模拟模式!$J$7="洞若观火"),AB469=1)</f>
        <v>1</v>
      </c>
      <c r="BH469" s="115" t="b">
        <f t="shared" ca="1" si="387"/>
        <v>0</v>
      </c>
      <c r="BI469" s="115">
        <f t="shared" ca="1" si="406"/>
        <v>5.0774999999999997</v>
      </c>
      <c r="BJ469" s="115" t="b">
        <f t="shared" ca="1" si="417"/>
        <v>1</v>
      </c>
      <c r="BK469" s="115" t="b">
        <f ca="1">AND(C469="驱夜断愁",模拟模式!$P$7="天地诛戮")</f>
        <v>0</v>
      </c>
      <c r="BL469" s="57">
        <f t="shared" ca="1" si="407"/>
        <v>18.155000000000001</v>
      </c>
      <c r="BM469" s="115" t="b">
        <f t="shared" ca="1" si="418"/>
        <v>1</v>
      </c>
      <c r="BN469" s="115" t="b">
        <f ca="1">AND(OR(C469="赤日轮1",C469="赤日轮2",C469="赤日轮3",C469="幽月轮1",C469="幽月轮2",C469="幽月轮3"),AB469=1,模拟模式!$L$7="明光恒照")</f>
        <v>1</v>
      </c>
      <c r="BO469" s="117">
        <f t="shared" ca="1" si="408"/>
        <v>30</v>
      </c>
      <c r="BP469" s="115">
        <f t="shared" ca="1" si="388"/>
        <v>6</v>
      </c>
      <c r="BQ469" s="115" t="b">
        <f>模拟模式!$K$10="2600·水"</f>
        <v>0</v>
      </c>
      <c r="BR469" s="117">
        <f t="shared" si="389"/>
        <v>0</v>
      </c>
      <c r="BS469" s="115">
        <f t="shared" si="390"/>
        <v>0</v>
      </c>
      <c r="BT469" s="115">
        <f t="shared" ca="1" si="391"/>
        <v>0</v>
      </c>
      <c r="BU469" s="115" t="b">
        <f ca="1">AND(模拟模式!$K$10="2300·雷",BT468=0,RAND()&lt;IF(C469="净世破魔击·月",5*0.05*2/3,IF(C469="净世破魔击·日",3*0.05*2/3,0.05*2*2/3)))</f>
        <v>0</v>
      </c>
      <c r="BV469" s="115">
        <f t="shared" ca="1" si="392"/>
        <v>0</v>
      </c>
      <c r="BW469" s="115">
        <f t="shared" ca="1" si="393"/>
        <v>147.71249999999952</v>
      </c>
      <c r="BX469" s="164" t="b">
        <f t="shared" ca="1" si="394"/>
        <v>0</v>
      </c>
      <c r="BY469" s="115">
        <f t="shared" ca="1" si="395"/>
        <v>0</v>
      </c>
      <c r="BZ469" s="115">
        <f>IF(OR(模拟模式!$P$16="10人团",模拟模式!$P$16="25人团"),IF(B469/30&gt;CA468,1,0),0)</f>
        <v>0</v>
      </c>
      <c r="CA469" s="115">
        <f t="shared" si="371"/>
        <v>0</v>
      </c>
      <c r="CB469" s="115">
        <f ca="1">IF(BZ469=1,IF(模拟模式!$P$16="10人团",15,0)+IF(模拟模式!$P$16="25人团",IF(RAND()&lt;0.6,15,0)),MAX(0,CB468-$F$4))</f>
        <v>0</v>
      </c>
      <c r="CC469" s="115" t="b">
        <f t="shared" ca="1" si="419"/>
        <v>0</v>
      </c>
      <c r="CD469" s="115">
        <f>IF(模拟模式!$Q$16="1个",IF(B469/40&gt;CE468,1,0),0)</f>
        <v>0</v>
      </c>
      <c r="CE469" s="115">
        <f t="shared" si="420"/>
        <v>0</v>
      </c>
      <c r="CF469" s="115">
        <f>IF(OR(CD469=1,模拟模式!$Q$16="2个"),20,MAX(0,CF468-$F$4))</f>
        <v>0</v>
      </c>
      <c r="CG469" s="115" t="b">
        <f t="shared" si="421"/>
        <v>0</v>
      </c>
      <c r="CH469" s="115">
        <f t="shared" ca="1" si="396"/>
        <v>1.4025000000000118</v>
      </c>
      <c r="CI469" s="115" t="b">
        <f t="shared" ca="1" si="397"/>
        <v>0</v>
      </c>
      <c r="CJ469" s="119">
        <f t="shared" ca="1" si="398"/>
        <v>0</v>
      </c>
      <c r="CK469" s="115">
        <f t="shared" ca="1" si="399"/>
        <v>0</v>
      </c>
      <c r="CL469" s="115" t="b">
        <f ca="1">AND(模拟模式!$S$7="驱夷逐法",OR(AND(C469="净世破魔击·月",E468&gt;59),AND(C469="净世破魔击·日",F468&gt;59)))</f>
        <v>0</v>
      </c>
      <c r="CM469" s="115" t="b">
        <f ca="1">OR(CL469,AND(C469="净世破魔击·日",CL468,RAND()&lt;模拟模式!$U$23))</f>
        <v>0</v>
      </c>
      <c r="CN469" s="115" t="b">
        <f ca="1">IF(模拟模式!$M$7="辉耀红尘",AND(C469="净世破魔击·月",CL469,CV469=0,E468&lt;80),AND(C469="净世破魔击·月",CL469,E468&lt;100))</f>
        <v>0</v>
      </c>
      <c r="CO469" s="115" t="b">
        <f t="shared" ca="1" si="372"/>
        <v>0</v>
      </c>
      <c r="CP469" s="115" t="b">
        <f ca="1">AND(模拟模式!$O$7="用晦而明",OR(C469="净世破魔击·日",C469="净世破魔击·月",C469="驱夜断愁"),AB469)</f>
        <v>0</v>
      </c>
      <c r="CQ469" s="115" t="b">
        <f ca="1">OR(CP469,AND(CP468,RAND()&lt;模拟模式!$U$23))</f>
        <v>0</v>
      </c>
      <c r="CR469" s="115" t="b">
        <f ca="1">AND(模拟模式!$S$7="日月齐光",OR(C469="幽月轮1",C469="幽月轮2",C469="幽月轮3",CR468),NOT(OR(C469="赤日轮1",C469="赤日轮2",C469="赤日轮3")))</f>
        <v>0</v>
      </c>
      <c r="CS469" s="115" t="b">
        <f ca="1">AND(模拟模式!$S$7="日月齐光",OR(C469="赤日轮1",C469="赤日轮2",C469="赤日轮3",CS468),NOT(OR(C469="幽月轮1",C469="幽月轮2",C469="幽月轮3")))</f>
        <v>0</v>
      </c>
      <c r="CT469" s="115">
        <f t="shared" ca="1" si="400"/>
        <v>0</v>
      </c>
      <c r="CU469" s="115" t="b">
        <f ca="1">AND(模拟模式!$K$10="阴阳往极",CT468=0,RAND()&lt;IF(C469="净世破魔击·月",0.0275*7/3,IF(C469="净世破魔击·日",0.0275*3/3,0.0275*2/3)))</f>
        <v>0</v>
      </c>
      <c r="CV469" s="115">
        <f t="shared" ca="1" si="401"/>
        <v>0</v>
      </c>
      <c r="CW469" s="115">
        <f t="shared" ca="1" si="373"/>
        <v>5.0774999999999997</v>
      </c>
      <c r="CX469" s="115">
        <f t="shared" ca="1" si="374"/>
        <v>3.2324999999999995</v>
      </c>
      <c r="CY469" s="115">
        <f ca="1">MAX(IF($C469="驱夜断愁",IF(模拟模式!$R$7="万念俱寂",6,45),CY468-$F$4),0)</f>
        <v>4.1549999999999994</v>
      </c>
      <c r="CZ469" s="115">
        <f t="shared" ca="1" si="375"/>
        <v>0</v>
      </c>
      <c r="DA469" s="115">
        <f ca="1">IF(模拟模式!$N$7="日月同辉",IF(DB468=2,0,MIN(6,IF(AND(OR(C469="赤日轮1",C469="赤日轮2",C469="赤日轮3",C469="幽月轮1",C469="幽月轮2",C469="幽月轮3"),AB469=1),DA468+1,DA468))),0)</f>
        <v>0</v>
      </c>
      <c r="DB469" s="115">
        <f t="shared" ca="1" si="376"/>
        <v>2</v>
      </c>
      <c r="DC469" s="115"/>
      <c r="DD469" s="115"/>
      <c r="DE469" s="115"/>
      <c r="DF469" s="115"/>
      <c r="DG469" s="115"/>
      <c r="DH469" s="115"/>
      <c r="DI469" s="115"/>
      <c r="DJ469" s="115"/>
      <c r="DK469" s="115"/>
      <c r="DL469" s="115"/>
      <c r="DM469" s="115"/>
    </row>
    <row r="470" spans="2:117" x14ac:dyDescent="0.2">
      <c r="B470" s="117">
        <f t="shared" si="377"/>
        <v>408.66750000000405</v>
      </c>
      <c r="C470" s="167" t="str">
        <f t="shared" ca="1" si="370"/>
        <v>净世破魔击·月</v>
      </c>
      <c r="D470" s="115">
        <f ca="1">IF(C470="赤日轮1",1,IF(C470="赤日轮2",2,IF(C470="赤日轮3",3,IF(C470="幽月轮1",4,IF(C470="幽月轮2",5,IF(C470="幽月轮3",6,IF(C470="烈日斩",7,IF(C470="银月斩",8,IF(C470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470="净世破魔击·月",17,IF(C470="驱夜断愁",18,0)))))))))))</f>
        <v>17</v>
      </c>
      <c r="E470" s="115">
        <f ca="1">IF(AND(CU470,OR(C470="幽月轮1",C470="幽月轮2",C470="幽月轮3",C470="银月斩",C470="驱夜断愁",C470="净世破魔击·月")),100,MIN(IF(OR(CN470,BE470),0,IF(OR($C470="赤日轮1",$C470="赤日轮2",$C470="赤日轮3"),E469+20+IF(模拟模式!$I$7="日月凌天",4,0)+IF(CR469,20,0),IF($C470="烈日斩",E469+40,IF($C470="驱夜断愁",IF(模拟模式!$R$7="万念俱寂",E469+20,E469+60),IF($C470="净世破魔击·月",IF(OR(DB469&gt;0,CV469&gt;0),100,IF(模拟模式!$M$7="辉耀红尘",E469+20,E469)),IF($C470="净世破魔击·日",E469-100,E469)))))),100))</f>
        <v>100</v>
      </c>
      <c r="F470" s="115">
        <f ca="1">IF(AND(CU470,OR(C470="赤日轮1",C470="赤日轮2",C470="赤日轮3",C470="烈日斩",C470="净世破魔击·日")),100,MIN(IF(CO470,0,IF(OR($C470="幽月轮1",$C470="幽月轮2",$C470="幽月轮3"),F469+20+IF(模拟模式!$I$7="日月凌天",4,0)+IF(CS469,20,0),IF($C470="银月斩",F469+40+IF(模拟模式!$X$12=1,5,0),IF($C470="驱夜断愁",IF(模拟模式!$R$7="万念俱寂",F469+20,F469+60),IF($C470="净世破魔击·月",IF(模拟模式!$M$7="辉耀红尘",F469-80,F469-100),IF(AND(C470="净世破魔击·日",OR(DB469&gt;0,CV469&gt;0)),100,F469)))))),100))</f>
        <v>20</v>
      </c>
      <c r="G470" s="117">
        <f ca="1">('模拟-全程加成'!$E$3+'模拟-全程加成'!$E$4+'模拟-全程加成'!$E$5+('模拟-全程加成'!$C$6-'模拟-全程加成'!$C$3)*系数!$B$9+BS470*23)*(1+'模拟-全程加成'!$F$4+'模拟-全程加成'!$F$5+BJ470*10%+BM470*20%+BP470*4%+CG470*30%)+$F$7*系数!$B$12</f>
        <v>21493.829400000002</v>
      </c>
      <c r="H470" s="45">
        <f ca="1">'模拟-全程加成'!$H$3+'模拟-全程加成'!$H$4+'模拟-全程加成'!$H$5+('模拟-全程加成'!$G$4+'模拟-全程加成'!$G$5+('模拟-全程加成'!$C$6-'模拟-全程加成'!$C$3)*系数!$B$13)/系数!$B$3+LOOKUP(D470,'模拟-单技能数据'!$A$2:$A$19,'模拟-单技能数据'!$K$2:$K$19)+BG470*10%+IF(BV470&gt;0,378,0)</f>
        <v>0.54185145527300216</v>
      </c>
      <c r="I470" s="45">
        <f ca="1">'模拟-全程加成'!$J$3+'模拟-全程加成'!$J$4+'模拟-全程加成'!$J$5+('模拟-全程加成'!$I$4+'模拟-全程加成'!$I$5)/系数!$B$4+LOOKUP(D470,'模拟-单技能数据'!$A$2:$A$19,'模拟-单技能数据'!$L$2:$L$19)+BG470*10%</f>
        <v>2.162482885499879</v>
      </c>
      <c r="J470" s="45">
        <f ca="1">(('模拟-全程加成'!$K$3+'模拟-全程加成'!$K$4+'模拟-全程加成'!$K$5+('模拟-全程加成'!$C$6-'模拟-全程加成'!$C$3)*系数!$B$10+IF(BV470&gt;0,882,0)+IF(BY470&gt;0,1831,0))*(1+'模拟-全程加成'!$L$4+'模拟-全程加成'!$L$5+CC470*20%))/系数!$B$5</f>
        <v>0.69723220422048726</v>
      </c>
      <c r="K470" s="119">
        <f ca="1">LOOKUP(D470,'模拟-单技能数据'!$A$2:$A$19,'模拟-单技能数据'!$J$2:$J$19)+IF(CM470,60%,0)+IF(DB469-DB470&gt;0,30%,0)+IF(OR(AND(OR(C470="赤日轮1",C470="赤日轮2",C470="赤日轮3"),CR470),AND(OR(C470="幽月轮1",C470="幽月轮2",C470="幽月轮3"),CS470)),35%,0)+CJ470</f>
        <v>1.1000000000000001</v>
      </c>
      <c r="L470" s="119">
        <f ca="1">IF(AND(C470="烈日斩",模拟模式!$X$11=1),10%,0)+IF(AND(C470="驱夜断愁",AB470=1),30%,0)</f>
        <v>0</v>
      </c>
      <c r="M470" s="45">
        <f t="shared" ca="1" si="409"/>
        <v>0.54185145527300216</v>
      </c>
      <c r="N470" s="45">
        <f t="shared" ca="1" si="410"/>
        <v>0.40424854472699789</v>
      </c>
      <c r="O470" s="46">
        <f t="shared" ca="1" si="378"/>
        <v>0.83333487740878154</v>
      </c>
      <c r="P470" s="46" t="str">
        <f t="shared" ca="1" si="379"/>
        <v>命</v>
      </c>
      <c r="Q470" s="45">
        <f t="shared" ca="1" si="380"/>
        <v>1</v>
      </c>
      <c r="R470" s="117">
        <f ca="1">模拟模式!$E$20*(1-IF(模拟模式!$J$19="有",0.15,0))*(1-IF(模拟模式!$K$19="有",0.3,0)-IF(CQ470,0.5,0))</f>
        <v>843.02999999999975</v>
      </c>
      <c r="S470" s="45">
        <f ca="1">R470/(R470+(185*模拟模式!$E$22-16800)*4.08224)</f>
        <v>8.389626085980037E-2</v>
      </c>
      <c r="T470" s="45" t="str">
        <f ca="1">LOOKUP(D470,'模拟-单技能数据'!$A$2:$A$19,'模拟-单技能数据'!$H$2:$H$19)</f>
        <v>阴</v>
      </c>
      <c r="U470" s="119">
        <f t="shared" ca="1" si="411"/>
        <v>0.08</v>
      </c>
      <c r="V470" s="47">
        <f ca="1">(1+L470)*(LOOKUP(D470,'模拟-单技能数据'!$A$2:$A$19,'模拟-单技能数据'!$D$2:$D$19)+G470*LOOKUP(D470,'模拟-单技能数据'!$A$2:$A$19,'模拟-单技能数据'!$F$2:$F$19))*(1+J470)*(1+K470)*(1-S470)*(1+U470)*Q470*LOOKUP(D470,'模拟-单技能数据'!$A$2:$A$19,'模拟-单技能数据'!$I$2:$I$20)</f>
        <v>98481.592340073315</v>
      </c>
      <c r="W470" s="47">
        <f ca="1">LOOKUP(D470,'模拟-单技能数据'!$A$2:$A$19,'模拟-单技能数据'!$G$2:$G$19)*$I$10</f>
        <v>361.51064354704795</v>
      </c>
      <c r="X470" s="47">
        <f t="shared" ca="1" si="381"/>
        <v>26424.10413487217</v>
      </c>
      <c r="Y470" s="47">
        <f t="shared" ca="1" si="412"/>
        <v>125267.20711849254</v>
      </c>
      <c r="Z470" s="49">
        <f t="shared" ca="1" si="413"/>
        <v>46390649.057076313</v>
      </c>
      <c r="AA470" s="97">
        <f t="shared" ca="1" si="414"/>
        <v>113516.85430594762</v>
      </c>
      <c r="AB470" s="115">
        <f ca="1">IF(OR(C470="赤日轮1",C470="赤日轮2",C470="赤日轮3"),IF(RAND()&lt;模拟模式!$Y$17,1,0),IF(OR(C470="幽月轮1",C470="幽月轮2",C470="幽月轮3"),IF(RAND()&lt;模拟模式!$Y$18,1,0),IF(C470="烈日斩",IF(RAND()&lt;模拟模式!$Y$19,1,0),IF(C470="银月斩",IF(RAND()&lt;模拟模式!$Y$20,1,0),IF(C470="驱夜断愁",IF(RAND()&lt;模拟模式!$Y$21,1,0),IF(C470="净世破魔击·日",IF(RAND()&lt;模拟模式!$Y$22,1,0),IF(C470="净世破魔击·月",IF(RAND()&lt;模拟模式!$Y$23,1,0),0)))))))</f>
        <v>1</v>
      </c>
      <c r="AC470" s="115" t="b">
        <f t="shared" ca="1" si="402"/>
        <v>0</v>
      </c>
      <c r="AD470" s="115" t="b">
        <f t="shared" ca="1" si="422"/>
        <v>1</v>
      </c>
      <c r="AE470" s="115">
        <f t="shared" ca="1" si="423"/>
        <v>3</v>
      </c>
      <c r="AF470" s="47">
        <f ca="1">IF(AC470,('模拟-单技能数据'!$D$20+G470*'模拟-单技能数据'!$F$20)*(1+J470)*(1+'模拟-单技能数据'!$J$20)*(1+U470),0)</f>
        <v>0</v>
      </c>
      <c r="AG470" s="61">
        <f t="shared" ca="1" si="415"/>
        <v>0.64185145527300214</v>
      </c>
      <c r="AH470" s="61">
        <f t="shared" ca="1" si="416"/>
        <v>2.2624828854998791</v>
      </c>
      <c r="AI470" s="62">
        <f t="shared" ca="1" si="382"/>
        <v>0.30286017920936292</v>
      </c>
      <c r="AJ470" s="47">
        <f ca="1">IF(AD470,IF(AI470&lt;$F$10,0,IF(AI470&lt;$F$10+$F$11,0.25,IF(AI470&lt;$F$10+$F$11+AG470,AH470,1)))*IF(AF470&gt;0,AF470,IF(AF469&gt;0,AF469,IF(AF468&gt;0,AF468,IF(AF467&gt;0,AF467,IF(AF466&gt;0,AF466,IF(AF465&gt;0,AF465,IF(AF464&gt;0,AF464,IF(AF463&gt;0,AF463,IF(AF462&gt;0,AF462,IF(AF460&gt;0,AF460,IF(AF459&gt;0,AF459,IF(AF458&gt;0,AF458,0)))))))))))),0)*(1-$S470)*'模拟-单技能数据'!$I$20</f>
        <v>9218.9345386263849</v>
      </c>
      <c r="AK470" s="115" t="b">
        <f t="shared" ca="1" si="403"/>
        <v>0</v>
      </c>
      <c r="AL470" s="115" t="b">
        <f t="shared" ca="1" si="424"/>
        <v>0</v>
      </c>
      <c r="AM470" s="115">
        <f t="shared" ca="1" si="425"/>
        <v>3</v>
      </c>
      <c r="AN470" s="47">
        <f ca="1">IF(AK470,('模拟-单技能数据'!$D$21+G470*'模拟-单技能数据'!$F$21)*(1+J470)*(1+'模拟-单技能数据'!$J$21)*(1+U470),0)</f>
        <v>0</v>
      </c>
      <c r="AO470" s="61">
        <f ca="1">IF(AN470&gt;0,M470-'模拟-单技能数据'!$K$10,AO469)</f>
        <v>0.42185145527300216</v>
      </c>
      <c r="AP470" s="61">
        <f ca="1">IF(AN470&gt;0,I470-'模拟-单技能数据'!$L$10,AP469)</f>
        <v>2.162482885499879</v>
      </c>
      <c r="AQ470" s="63">
        <f t="shared" ca="1" si="383"/>
        <v>0.20189581709621052</v>
      </c>
      <c r="AR470" s="64">
        <f ca="1">IF(AL470,IF(AQ470&lt;$F$10,0,IF(AQ470&lt;$F$10+$F$11,0.25,IF(AQ470&lt;$F$10+$F$11+AO470,AP470,1)))*IF(AN470&gt;0,AN470,IF(AN469&gt;0,AN469,IF(AN468&gt;0,AN468,IF(AN467&gt;0,AN467,IF(AN466&gt;0,AN466,IF(AN465&gt;0,AN465,IF(AN464&gt;0,AN464,IF(AN463&gt;0,AN463,IF(AN462&gt;0,AN462,IF(AN460&gt;0,AN460,IF(AN459&gt;0,AN459,IF(AN458&gt;0,AN458,0)))))))))))),0)*(1-$S470)*'模拟-单技能数据'!$I$21</f>
        <v>0</v>
      </c>
      <c r="AS470" s="61">
        <f ca="1">IF(OR(C470="净世破魔击·日",C470="净世破魔击·月"),M470-'模拟-单技能数据'!$K$10,0)</f>
        <v>0.42185145527300216</v>
      </c>
      <c r="AT470" s="61">
        <f ca="1">IF(OR(C470="净世破魔击·日",C470="净世破魔击·月"),I470-'模拟-单技能数据'!$L$10,0)</f>
        <v>2.162482885499879</v>
      </c>
      <c r="AU470" s="62">
        <f t="shared" ca="1" si="384"/>
        <v>0.24064716342012671</v>
      </c>
      <c r="AV470" s="64">
        <f ca="1">IF(AS470&gt;0,('模拟-单技能数据'!$D$22+G470*'模拟-单技能数据'!$F$22)*(1+J470)*(1-S470)*IF(AU470&lt;$F$10,0,IF(AU470&lt;$F$10+$F$11,0.25,IF(AU470&lt;$F$10+$F$11+AS470,AT470,1)))*(1+U470),0)*'模拟-单技能数据'!$I$22</f>
        <v>17205.169596245785</v>
      </c>
      <c r="AW470" s="108">
        <f t="shared" ca="1" si="385"/>
        <v>0</v>
      </c>
      <c r="AX470" s="108" t="b">
        <f ca="1">AND(模拟模式!$P$10="有",AW469=0,RAND()&lt;IF(C470="净世破魔击·月",0.1*8/3,IF(C470="净世破魔击·日",0.1*4/3,0.1*2/3)))</f>
        <v>0</v>
      </c>
      <c r="AY470" s="47">
        <f ca="1">IF(AX470,(18+G470*0.722)*(1+J470)*(1-S470)*(1+$I$4)*IF(P470="会",'模拟-全程加成'!$J$3+'模拟-全程加成'!$J$4+'模拟-全程加成'!$J$5+('模拟-全程加成'!$I$4+'模拟-全程加成'!$I$5)/系数!$B$4+BG470*10%,IF(P470="命",1,IF(P470="识",0.25,0))),0)</f>
        <v>0</v>
      </c>
      <c r="AZ470" s="108">
        <f t="shared" si="386"/>
        <v>17.232500000000002</v>
      </c>
      <c r="BA470" s="108" t="b">
        <f>AND(模拟模式!$Q$10="有",AZ469=0)</f>
        <v>0</v>
      </c>
      <c r="BB470" s="140">
        <f>IF(BA470,(0+G470*0.287)*(1+J470)*(1-S470)*(1+$I$4)*IF(P470="会",'模拟-全程加成'!$J$3+'模拟-全程加成'!$J$4+'模拟-全程加成'!$J$5+('模拟-全程加成'!$I$4+'模拟-全程加成'!$I$5)/系数!$B$4+BG470*10%,IF(P470="命",1,IF(P470="识",0.25,0))),0)</f>
        <v>0</v>
      </c>
      <c r="BC470" s="115" t="b">
        <f ca="1">AND(模拟模式!$R$7="伏明众生",E470=60,F470=20,DA470&lt;5,CZ469&lt;$F$4)</f>
        <v>0</v>
      </c>
      <c r="BD470" s="115">
        <f t="shared" ca="1" si="404"/>
        <v>0</v>
      </c>
      <c r="BE470" s="115" t="b">
        <f t="shared" ca="1" si="405"/>
        <v>0</v>
      </c>
      <c r="BF470" s="47">
        <f ca="1">IF(BC470,4*('模拟-单技能数据'!$D$24+G470*'模拟-单技能数据'!$F$24)*(1+J470)*(1+'模拟-单技能数据'!$J$24)*(1-S470)*(1+$I$3)*(('模拟-全程加成'!$J$3+'模拟-全程加成'!$J$4+'模拟-全程加成'!$J$5+('模拟-全程加成'!$I$4+'模拟-全程加成'!$I$5)/系数!$B$4+BG470*10%)*('模拟-全程加成'!$J$3+'模拟-全程加成'!$J$4+'模拟-全程加成'!$J$5+('模拟-全程加成'!$I$4+'模拟-全程加成'!$I$5)/系数!$B$4+BG470*10%)+(1-('模拟-全程加成'!$J$3+'模拟-全程加成'!$J$4+'模拟-全程加成'!$J$5+('模拟-全程加成'!$I$4+'模拟-全程加成'!$I$5)/系数!$B$4+BG470*10%)-$F$10-$F$11)+F456*0.25),0)*'模拟-单技能数据'!$I$24</f>
        <v>0</v>
      </c>
      <c r="BG470" s="115" t="b">
        <f ca="1">OR(AND(OR(C470="烈日斩",C470="银月斩"),模拟模式!$I$7="净身明礼"),AND(C470="净世破魔击·日",模拟模式!$J$7="洞若观火"),AND(C471="净世破魔击·月",模拟模式!$J$7="洞若观火"),AB470=1)</f>
        <v>1</v>
      </c>
      <c r="BH470" s="115" t="b">
        <f t="shared" ca="1" si="387"/>
        <v>0</v>
      </c>
      <c r="BI470" s="115">
        <f t="shared" ca="1" si="406"/>
        <v>4.1549999999999994</v>
      </c>
      <c r="BJ470" s="115" t="b">
        <f t="shared" ca="1" si="417"/>
        <v>1</v>
      </c>
      <c r="BK470" s="115" t="b">
        <f ca="1">AND(C470="驱夜断愁",模拟模式!$P$7="天地诛戮")</f>
        <v>0</v>
      </c>
      <c r="BL470" s="57">
        <f t="shared" ca="1" si="407"/>
        <v>17.232500000000002</v>
      </c>
      <c r="BM470" s="115" t="b">
        <f t="shared" ca="1" si="418"/>
        <v>1</v>
      </c>
      <c r="BN470" s="115" t="b">
        <f ca="1">AND(OR(C470="赤日轮1",C470="赤日轮2",C470="赤日轮3",C470="幽月轮1",C470="幽月轮2",C470="幽月轮3"),AB470=1,模拟模式!$L$7="明光恒照")</f>
        <v>0</v>
      </c>
      <c r="BO470" s="117">
        <f t="shared" ca="1" si="408"/>
        <v>29.077500000000001</v>
      </c>
      <c r="BP470" s="115">
        <f t="shared" ca="1" si="388"/>
        <v>6</v>
      </c>
      <c r="BQ470" s="115" t="b">
        <f>模拟模式!$K$10="2600·水"</f>
        <v>0</v>
      </c>
      <c r="BR470" s="117">
        <f t="shared" si="389"/>
        <v>0</v>
      </c>
      <c r="BS470" s="115">
        <f t="shared" si="390"/>
        <v>0</v>
      </c>
      <c r="BT470" s="115">
        <f t="shared" ca="1" si="391"/>
        <v>0</v>
      </c>
      <c r="BU470" s="115" t="b">
        <f ca="1">AND(模拟模式!$K$10="2300·雷",BT469=0,RAND()&lt;IF(C470="净世破魔击·月",5*0.05*2/3,IF(C470="净世破魔击·日",3*0.05*2/3,0.05*2*2/3)))</f>
        <v>0</v>
      </c>
      <c r="BV470" s="115">
        <f t="shared" ca="1" si="392"/>
        <v>0</v>
      </c>
      <c r="BW470" s="115">
        <f t="shared" ca="1" si="393"/>
        <v>146.78999999999951</v>
      </c>
      <c r="BX470" s="164" t="b">
        <f t="shared" ca="1" si="394"/>
        <v>0</v>
      </c>
      <c r="BY470" s="115">
        <f t="shared" ca="1" si="395"/>
        <v>0</v>
      </c>
      <c r="BZ470" s="115">
        <f>IF(OR(模拟模式!$P$16="10人团",模拟模式!$P$16="25人团"),IF(B470/30&gt;CA469,1,0),0)</f>
        <v>0</v>
      </c>
      <c r="CA470" s="115">
        <f t="shared" si="371"/>
        <v>0</v>
      </c>
      <c r="CB470" s="115">
        <f ca="1">IF(BZ470=1,IF(模拟模式!$P$16="10人团",15,0)+IF(模拟模式!$P$16="25人团",IF(RAND()&lt;0.6,15,0)),MAX(0,CB469-$F$4))</f>
        <v>0</v>
      </c>
      <c r="CC470" s="115" t="b">
        <f t="shared" ca="1" si="419"/>
        <v>0</v>
      </c>
      <c r="CD470" s="115">
        <f>IF(模拟模式!$Q$16="1个",IF(B470/40&gt;CE469,1,0),0)</f>
        <v>0</v>
      </c>
      <c r="CE470" s="115">
        <f t="shared" si="420"/>
        <v>0</v>
      </c>
      <c r="CF470" s="115">
        <f>IF(OR(CD470=1,模拟模式!$Q$16="2个"),20,MAX(0,CF469-$F$4))</f>
        <v>0</v>
      </c>
      <c r="CG470" s="115" t="b">
        <f t="shared" si="421"/>
        <v>0</v>
      </c>
      <c r="CH470" s="115">
        <f t="shared" ca="1" si="396"/>
        <v>0.48000000000001186</v>
      </c>
      <c r="CI470" s="115" t="b">
        <f t="shared" ca="1" si="397"/>
        <v>0</v>
      </c>
      <c r="CJ470" s="119">
        <f t="shared" ca="1" si="398"/>
        <v>0</v>
      </c>
      <c r="CK470" s="115">
        <f t="shared" ca="1" si="399"/>
        <v>0</v>
      </c>
      <c r="CL470" s="115" t="b">
        <f ca="1">AND(模拟模式!$S$7="驱夷逐法",OR(AND(C470="净世破魔击·月",E469&gt;59),AND(C470="净世破魔击·日",F469&gt;59)))</f>
        <v>1</v>
      </c>
      <c r="CM470" s="115" t="b">
        <f ca="1">OR(CL470,AND(C470="净世破魔击·日",CL469,RAND()&lt;模拟模式!$U$23))</f>
        <v>1</v>
      </c>
      <c r="CN470" s="115" t="b">
        <f ca="1">IF(模拟模式!$M$7="辉耀红尘",AND(C470="净世破魔击·月",CL470,CV470=0,E469&lt;80),AND(C470="净世破魔击·月",CL470,E469&lt;100))</f>
        <v>0</v>
      </c>
      <c r="CO470" s="115" t="b">
        <f t="shared" ca="1" si="372"/>
        <v>0</v>
      </c>
      <c r="CP470" s="115" t="b">
        <f ca="1">AND(模拟模式!$O$7="用晦而明",OR(C470="净世破魔击·日",C470="净世破魔击·月",C470="驱夜断愁"),AB470)</f>
        <v>1</v>
      </c>
      <c r="CQ470" s="115" t="b">
        <f ca="1">OR(CP470,AND(CP469,RAND()&lt;模拟模式!$U$23))</f>
        <v>1</v>
      </c>
      <c r="CR470" s="115" t="b">
        <f ca="1">AND(模拟模式!$S$7="日月齐光",OR(C470="幽月轮1",C470="幽月轮2",C470="幽月轮3",CR469),NOT(OR(C470="赤日轮1",C470="赤日轮2",C470="赤日轮3")))</f>
        <v>0</v>
      </c>
      <c r="CS470" s="115" t="b">
        <f ca="1">AND(模拟模式!$S$7="日月齐光",OR(C470="赤日轮1",C470="赤日轮2",C470="赤日轮3",CS469),NOT(OR(C470="幽月轮1",C470="幽月轮2",C470="幽月轮3")))</f>
        <v>0</v>
      </c>
      <c r="CT470" s="115">
        <f t="shared" ca="1" si="400"/>
        <v>0</v>
      </c>
      <c r="CU470" s="115" t="b">
        <f ca="1">AND(模拟模式!$K$10="阴阳往极",CT469=0,RAND()&lt;IF(C470="净世破魔击·月",0.0275*7/3,IF(C470="净世破魔击·日",0.0275*3/3,0.0275*2/3)))</f>
        <v>0</v>
      </c>
      <c r="CV470" s="115">
        <f t="shared" ca="1" si="401"/>
        <v>0</v>
      </c>
      <c r="CW470" s="115">
        <f t="shared" ca="1" si="373"/>
        <v>4.1549999999999994</v>
      </c>
      <c r="CX470" s="115">
        <f t="shared" ca="1" si="374"/>
        <v>2.3099999999999996</v>
      </c>
      <c r="CY470" s="115">
        <f ca="1">MAX(IF($C470="驱夜断愁",IF(模拟模式!$R$7="万念俱寂",6,45),CY469-$F$4),0)</f>
        <v>3.2324999999999995</v>
      </c>
      <c r="CZ470" s="115">
        <f t="shared" ca="1" si="375"/>
        <v>0</v>
      </c>
      <c r="DA470" s="115">
        <f ca="1">IF(模拟模式!$N$7="日月同辉",IF(DB469=2,0,MIN(6,IF(AND(OR(C470="赤日轮1",C470="赤日轮2",C470="赤日轮3",C470="幽月轮1",C470="幽月轮2",C470="幽月轮3"),AB470=1),DA469+1,DA469))),0)</f>
        <v>0</v>
      </c>
      <c r="DB470" s="115">
        <f t="shared" ca="1" si="376"/>
        <v>1</v>
      </c>
      <c r="DC470" s="115"/>
      <c r="DD470" s="115"/>
      <c r="DE470" s="115"/>
      <c r="DF470" s="115"/>
      <c r="DG470" s="115"/>
      <c r="DH470" s="115"/>
      <c r="DI470" s="115"/>
      <c r="DJ470" s="115"/>
      <c r="DK470" s="115"/>
      <c r="DL470" s="115"/>
      <c r="DM470" s="115"/>
    </row>
    <row r="471" spans="2:117" x14ac:dyDescent="0.2">
      <c r="B471" s="117">
        <f t="shared" si="377"/>
        <v>409.59000000000407</v>
      </c>
      <c r="C471" s="167" t="str">
        <f t="shared" ca="1" si="370"/>
        <v>净世破魔击·日</v>
      </c>
      <c r="D471" s="115">
        <f ca="1">IF(C471="赤日轮1",1,IF(C471="赤日轮2",2,IF(C471="赤日轮3",3,IF(C471="幽月轮1",4,IF(C471="幽月轮2",5,IF(C471="幽月轮3",6,IF(C471="烈日斩",7,IF(C471="银月斩",8,IF(C471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471="净世破魔击·月",17,IF(C471="驱夜断愁",18,0)))))))))))</f>
        <v>9</v>
      </c>
      <c r="E471" s="115">
        <f ca="1">IF(AND(CU471,OR(C471="幽月轮1",C471="幽月轮2",C471="幽月轮3",C471="银月斩",C471="驱夜断愁",C471="净世破魔击·月")),100,MIN(IF(OR(CN471,BE471),0,IF(OR($C471="赤日轮1",$C471="赤日轮2",$C471="赤日轮3"),E470+20+IF(模拟模式!$I$7="日月凌天",4,0)+IF(CR470,20,0),IF($C471="烈日斩",E470+40,IF($C471="驱夜断愁",IF(模拟模式!$R$7="万念俱寂",E470+20,E470+60),IF($C471="净世破魔击·月",IF(OR(DB470&gt;0,CV470&gt;0),100,IF(模拟模式!$M$7="辉耀红尘",E470+20,E470)),IF($C471="净世破魔击·日",E470-100,E470)))))),100))</f>
        <v>0</v>
      </c>
      <c r="F471" s="115">
        <f ca="1">IF(AND(CU471,OR(C471="赤日轮1",C471="赤日轮2",C471="赤日轮3",C471="烈日斩",C471="净世破魔击·日")),100,MIN(IF(CO471,0,IF(OR($C471="幽月轮1",$C471="幽月轮2",$C471="幽月轮3"),F470+20+IF(模拟模式!$I$7="日月凌天",4,0)+IF(CS470,20,0),IF($C471="银月斩",F470+40+IF(模拟模式!$X$12=1,5,0),IF($C471="驱夜断愁",IF(模拟模式!$R$7="万念俱寂",F470+20,F470+60),IF($C471="净世破魔击·月",IF(模拟模式!$M$7="辉耀红尘",F470-80,F470-100),IF(AND(C471="净世破魔击·日",OR(DB470&gt;0,CV470&gt;0)),100,F470)))))),100))</f>
        <v>100</v>
      </c>
      <c r="G471" s="117">
        <f ca="1">('模拟-全程加成'!$E$3+'模拟-全程加成'!$E$4+'模拟-全程加成'!$E$5+('模拟-全程加成'!$C$6-'模拟-全程加成'!$C$3)*系数!$B$9+BS471*23)*(1+'模拟-全程加成'!$F$4+'模拟-全程加成'!$F$5+BJ471*10%+BM471*20%+BP471*4%+CG471*30%)+$F$7*系数!$B$12</f>
        <v>21493.829400000002</v>
      </c>
      <c r="H471" s="45">
        <f ca="1">'模拟-全程加成'!$H$3+'模拟-全程加成'!$H$4+'模拟-全程加成'!$H$5+('模拟-全程加成'!$G$4+'模拟-全程加成'!$G$5+('模拟-全程加成'!$C$6-'模拟-全程加成'!$C$3)*系数!$B$13)/系数!$B$3+LOOKUP(D471,'模拟-单技能数据'!$A$2:$A$19,'模拟-单技能数据'!$K$2:$K$19)+BG471*10%+IF(BV471&gt;0,378,0)</f>
        <v>0.54185145527300216</v>
      </c>
      <c r="I471" s="45">
        <f ca="1">'模拟-全程加成'!$J$3+'模拟-全程加成'!$J$4+'模拟-全程加成'!$J$5+('模拟-全程加成'!$I$4+'模拟-全程加成'!$I$5)/系数!$B$4+LOOKUP(D471,'模拟-单技能数据'!$A$2:$A$19,'模拟-单技能数据'!$L$2:$L$19)+BG471*10%</f>
        <v>2.162482885499879</v>
      </c>
      <c r="J471" s="45">
        <f ca="1">(('模拟-全程加成'!$K$3+'模拟-全程加成'!$K$4+'模拟-全程加成'!$K$5+('模拟-全程加成'!$C$6-'模拟-全程加成'!$C$3)*系数!$B$10+IF(BV471&gt;0,882,0)+IF(BY471&gt;0,1831,0))*(1+'模拟-全程加成'!$L$4+'模拟-全程加成'!$L$5+CC471*20%))/系数!$B$5</f>
        <v>0.69723220422048726</v>
      </c>
      <c r="K471" s="119">
        <f ca="1">LOOKUP(D471,'模拟-单技能数据'!$A$2:$A$19,'模拟-单技能数据'!$J$2:$J$19)+IF(CM471,60%,0)+IF(DB470-DB471&gt;0,30%,0)+IF(OR(AND(OR(C471="赤日轮1",C471="赤日轮2",C471="赤日轮3"),CR471),AND(OR(C471="幽月轮1",C471="幽月轮2",C471="幽月轮3"),CS471)),35%,0)+CJ471</f>
        <v>1.1000000000000001</v>
      </c>
      <c r="L471" s="119">
        <f ca="1">IF(AND(C471="烈日斩",模拟模式!$X$11=1),10%,0)+IF(AND(C471="驱夜断愁",AB471=1),30%,0)</f>
        <v>0</v>
      </c>
      <c r="M471" s="45">
        <f t="shared" ca="1" si="409"/>
        <v>0.54185145527300216</v>
      </c>
      <c r="N471" s="45">
        <f t="shared" ca="1" si="410"/>
        <v>0.40424854472699789</v>
      </c>
      <c r="O471" s="46">
        <f t="shared" ca="1" si="378"/>
        <v>0.77363124196824307</v>
      </c>
      <c r="P471" s="46" t="str">
        <f t="shared" ca="1" si="379"/>
        <v>命</v>
      </c>
      <c r="Q471" s="45">
        <f t="shared" ca="1" si="380"/>
        <v>1</v>
      </c>
      <c r="R471" s="117">
        <f ca="1">模拟模式!$E$20*(1-IF(模拟模式!$J$19="有",0.15,0))*(1-IF(模拟模式!$K$19="有",0.3,0)-IF(CQ471,0.5,0))</f>
        <v>843.02999999999975</v>
      </c>
      <c r="S471" s="45">
        <f ca="1">R471/(R471+(185*模拟模式!$E$22-16800)*4.08224)</f>
        <v>8.389626085980037E-2</v>
      </c>
      <c r="T471" s="45" t="str">
        <f ca="1">LOOKUP(D471,'模拟-单技能数据'!$A$2:$A$19,'模拟-单技能数据'!$H$2:$H$19)</f>
        <v>阳</v>
      </c>
      <c r="U471" s="119">
        <f t="shared" ca="1" si="411"/>
        <v>0.2</v>
      </c>
      <c r="V471" s="47">
        <f ca="1">(1+L471)*(LOOKUP(D471,'模拟-单技能数据'!$A$2:$A$19,'模拟-单技能数据'!$D$2:$D$19)+G471*LOOKUP(D471,'模拟-单技能数据'!$A$2:$A$19,'模拟-单技能数据'!$F$2:$F$19))*(1+J471)*(1+K471)*(1-S471)*(1+U471)*Q471*LOOKUP(D471,'模拟-单技能数据'!$A$2:$A$19,'模拟-单技能数据'!$I$2:$I$20)</f>
        <v>110337.92595746904</v>
      </c>
      <c r="W471" s="47">
        <f ca="1">LOOKUP(D471,'模拟-单技能数据'!$A$2:$A$19,'模拟-单技能数据'!$G$2:$G$19)*$I$10</f>
        <v>723.0212870940959</v>
      </c>
      <c r="X471" s="47">
        <f t="shared" ca="1" si="381"/>
        <v>20448.126027313341</v>
      </c>
      <c r="Y471" s="47">
        <f t="shared" ca="1" si="412"/>
        <v>131509.07327187649</v>
      </c>
      <c r="Z471" s="49">
        <f t="shared" ca="1" si="413"/>
        <v>46522158.130348191</v>
      </c>
      <c r="AA471" s="97">
        <f t="shared" ca="1" si="414"/>
        <v>113582.2606273291</v>
      </c>
      <c r="AB471" s="115">
        <f ca="1">IF(OR(C471="赤日轮1",C471="赤日轮2",C471="赤日轮3"),IF(RAND()&lt;模拟模式!$Y$17,1,0),IF(OR(C471="幽月轮1",C471="幽月轮2",C471="幽月轮3"),IF(RAND()&lt;模拟模式!$Y$18,1,0),IF(C471="烈日斩",IF(RAND()&lt;模拟模式!$Y$19,1,0),IF(C471="银月斩",IF(RAND()&lt;模拟模式!$Y$20,1,0),IF(C471="驱夜断愁",IF(RAND()&lt;模拟模式!$Y$21,1,0),IF(C471="净世破魔击·日",IF(RAND()&lt;模拟模式!$Y$22,1,0),IF(C471="净世破魔击·月",IF(RAND()&lt;模拟模式!$Y$23,1,0),0)))))))</f>
        <v>1</v>
      </c>
      <c r="AC471" s="115" t="b">
        <f t="shared" ca="1" si="402"/>
        <v>0</v>
      </c>
      <c r="AD471" s="115" t="b">
        <f t="shared" ca="1" si="422"/>
        <v>0</v>
      </c>
      <c r="AE471" s="115">
        <f t="shared" ca="1" si="423"/>
        <v>3</v>
      </c>
      <c r="AF471" s="47">
        <f ca="1">IF(AC471,('模拟-单技能数据'!$D$20+G471*'模拟-单技能数据'!$F$20)*(1+J471)*(1+'模拟-单技能数据'!$J$20)*(1+U471),0)</f>
        <v>0</v>
      </c>
      <c r="AG471" s="61">
        <f t="shared" ca="1" si="415"/>
        <v>0.64185145527300214</v>
      </c>
      <c r="AH471" s="61">
        <f t="shared" ca="1" si="416"/>
        <v>2.2624828854998791</v>
      </c>
      <c r="AI471" s="62">
        <f t="shared" ca="1" si="382"/>
        <v>0.19281590917975622</v>
      </c>
      <c r="AJ471" s="47">
        <f ca="1">IF(AD471,IF(AI471&lt;$F$10,0,IF(AI471&lt;$F$10+$F$11,0.25,IF(AI471&lt;$F$10+$F$11+AG471,AH471,1)))*IF(AF471&gt;0,AF471,IF(AF470&gt;0,AF470,IF(AF469&gt;0,AF469,IF(AF468&gt;0,AF468,IF(AF467&gt;0,AF467,IF(AF466&gt;0,AF466,IF(AF465&gt;0,AF465,IF(AF464&gt;0,AF464,IF(AF463&gt;0,AF463,IF(AF461&gt;0,AF461,IF(AF460&gt;0,AF460,IF(AF459&gt;0,AF459,0)))))))))))),0)*(1-$S471)*'模拟-单技能数据'!$I$20</f>
        <v>0</v>
      </c>
      <c r="AK471" s="115" t="b">
        <f t="shared" ca="1" si="403"/>
        <v>1</v>
      </c>
      <c r="AL471" s="115" t="b">
        <f t="shared" ca="1" si="424"/>
        <v>1</v>
      </c>
      <c r="AM471" s="115">
        <f t="shared" ca="1" si="425"/>
        <v>5</v>
      </c>
      <c r="AN471" s="47">
        <f ca="1">IF(AK471,('模拟-单技能数据'!$D$21+G471*'模拟-单技能数据'!$F$21)*(1+J471)*(1+'模拟-单技能数据'!$J$21)*(1+U471),0)</f>
        <v>12670.936004857545</v>
      </c>
      <c r="AO471" s="61">
        <f ca="1">IF(AN471&gt;0,M471-'模拟-单技能数据'!$K$10,AO470)</f>
        <v>0.42185145527300216</v>
      </c>
      <c r="AP471" s="61">
        <f ca="1">IF(AN471&gt;0,I471-'模拟-单技能数据'!$L$10,AP470)</f>
        <v>2.162482885499879</v>
      </c>
      <c r="AQ471" s="63">
        <f t="shared" ca="1" si="383"/>
        <v>0.68070887635505739</v>
      </c>
      <c r="AR471" s="64">
        <f ca="1">IF(AL471,IF(AQ471&lt;$F$10,0,IF(AQ471&lt;$F$10+$F$11,0.25,IF(AQ471&lt;$F$10+$F$11+AO471,AP471,1)))*IF(AN471&gt;0,AN471,IF(AN470&gt;0,AN470,IF(AN469&gt;0,AN469,IF(AN468&gt;0,AN468,IF(AN467&gt;0,AN467,IF(AN466&gt;0,AN466,IF(AN465&gt;0,AN465,IF(AN464&gt;0,AN464,IF(AN463&gt;0,AN463,IF(AN461&gt;0,AN461,IF(AN460&gt;0,AN460,IF(AN459&gt;0,AN459,0)))))))))))),0)*(1-$S471)*'模拟-单技能数据'!$I$21</f>
        <v>11607.89185245618</v>
      </c>
      <c r="AS471" s="61">
        <f ca="1">IF(OR(C471="净世破魔击·日",C471="净世破魔击·月"),M471-'模拟-单技能数据'!$K$10,0)</f>
        <v>0.42185145527300216</v>
      </c>
      <c r="AT471" s="61">
        <f ca="1">IF(OR(C471="净世破魔击·日",C471="净世破魔击·月"),I471-'模拟-单技能数据'!$L$10,0)</f>
        <v>2.162482885499879</v>
      </c>
      <c r="AU471" s="62">
        <f t="shared" ca="1" si="384"/>
        <v>0.84092511635655665</v>
      </c>
      <c r="AV471" s="64">
        <f ca="1">IF(AS471&gt;0,('模拟-单技能数据'!$D$22+G471*'模拟-单技能数据'!$F$22)*(1+J471)*(1-S471)*IF(AU471&lt;$F$10,0,IF(AU471&lt;$F$10+$F$11,0.25,IF(AU471&lt;$F$10+$F$11+AS471,AT471,1)))*(1+U471),0)*'模拟-单技能数据'!$I$22</f>
        <v>8840.2341748571616</v>
      </c>
      <c r="AW471" s="108">
        <f t="shared" ca="1" si="385"/>
        <v>0</v>
      </c>
      <c r="AX471" s="108" t="b">
        <f ca="1">AND(模拟模式!$P$10="有",AW470=0,RAND()&lt;IF(C471="净世破魔击·月",0.1*8/3,IF(C471="净世破魔击·日",0.1*4/3,0.1*2/3)))</f>
        <v>0</v>
      </c>
      <c r="AY471" s="47">
        <f ca="1">IF(AX471,(18+G471*0.722)*(1+J471)*(1-S471)*(1+$I$4)*IF(P471="会",'模拟-全程加成'!$J$3+'模拟-全程加成'!$J$4+'模拟-全程加成'!$J$5+('模拟-全程加成'!$I$4+'模拟-全程加成'!$I$5)/系数!$B$4+BG471*10%,IF(P471="命",1,IF(P471="识",0.25,0))),0)</f>
        <v>0</v>
      </c>
      <c r="AZ471" s="108">
        <f t="shared" si="386"/>
        <v>16.310000000000002</v>
      </c>
      <c r="BA471" s="108" t="b">
        <f>AND(模拟模式!$Q$10="有",AZ470=0)</f>
        <v>0</v>
      </c>
      <c r="BB471" s="140">
        <f>IF(BA471,(0+G471*0.287)*(1+J471)*(1-S471)*(1+$I$4)*IF(P471="会",'模拟-全程加成'!$J$3+'模拟-全程加成'!$J$4+'模拟-全程加成'!$J$5+('模拟-全程加成'!$I$4+'模拟-全程加成'!$I$5)/系数!$B$4+BG471*10%,IF(P471="命",1,IF(P471="识",0.25,0))),0)</f>
        <v>0</v>
      </c>
      <c r="BC471" s="115" t="b">
        <f ca="1">AND(模拟模式!$R$7="伏明众生",E471=60,F471=20,DA471&lt;5,CZ470&lt;$F$4)</f>
        <v>0</v>
      </c>
      <c r="BD471" s="115">
        <f t="shared" ca="1" si="404"/>
        <v>0</v>
      </c>
      <c r="BE471" s="115" t="b">
        <f t="shared" ca="1" si="405"/>
        <v>0</v>
      </c>
      <c r="BF471" s="47">
        <f ca="1">IF(BC471,4*('模拟-单技能数据'!$D$24+G471*'模拟-单技能数据'!$F$24)*(1+J471)*(1+'模拟-单技能数据'!$J$24)*(1-S471)*(1+$I$3)*(('模拟-全程加成'!$J$3+'模拟-全程加成'!$J$4+'模拟-全程加成'!$J$5+('模拟-全程加成'!$I$4+'模拟-全程加成'!$I$5)/系数!$B$4+BG471*10%)*('模拟-全程加成'!$J$3+'模拟-全程加成'!$J$4+'模拟-全程加成'!$J$5+('模拟-全程加成'!$I$4+'模拟-全程加成'!$I$5)/系数!$B$4+BG471*10%)+(1-('模拟-全程加成'!$J$3+'模拟-全程加成'!$J$4+'模拟-全程加成'!$J$5+('模拟-全程加成'!$I$4+'模拟-全程加成'!$I$5)/系数!$B$4+BG471*10%)-$F$10-$F$11)+F457*0.25),0)*'模拟-单技能数据'!$I$24</f>
        <v>0</v>
      </c>
      <c r="BG471" s="115" t="b">
        <f ca="1">OR(AND(OR(C471="烈日斩",C471="银月斩"),模拟模式!$I$7="净身明礼"),AND(C471="净世破魔击·日",模拟模式!$J$7="洞若观火"),AND(C472="净世破魔击·月",模拟模式!$J$7="洞若观火"),AB471=1)</f>
        <v>1</v>
      </c>
      <c r="BH471" s="115" t="b">
        <f t="shared" ca="1" si="387"/>
        <v>0</v>
      </c>
      <c r="BI471" s="115">
        <f t="shared" ca="1" si="406"/>
        <v>3.2324999999999995</v>
      </c>
      <c r="BJ471" s="115" t="b">
        <f t="shared" ca="1" si="417"/>
        <v>1</v>
      </c>
      <c r="BK471" s="115" t="b">
        <f ca="1">AND(C471="驱夜断愁",模拟模式!$P$7="天地诛戮")</f>
        <v>0</v>
      </c>
      <c r="BL471" s="57">
        <f t="shared" ca="1" si="407"/>
        <v>16.310000000000002</v>
      </c>
      <c r="BM471" s="115" t="b">
        <f t="shared" ca="1" si="418"/>
        <v>1</v>
      </c>
      <c r="BN471" s="115" t="b">
        <f ca="1">AND(OR(C471="赤日轮1",C471="赤日轮2",C471="赤日轮3",C471="幽月轮1",C471="幽月轮2",C471="幽月轮3"),AB471=1,模拟模式!$L$7="明光恒照")</f>
        <v>0</v>
      </c>
      <c r="BO471" s="117">
        <f t="shared" ca="1" si="408"/>
        <v>28.155000000000001</v>
      </c>
      <c r="BP471" s="115">
        <f t="shared" ca="1" si="388"/>
        <v>6</v>
      </c>
      <c r="BQ471" s="115" t="b">
        <f>模拟模式!$K$10="2600·水"</f>
        <v>0</v>
      </c>
      <c r="BR471" s="117">
        <f t="shared" si="389"/>
        <v>0</v>
      </c>
      <c r="BS471" s="115">
        <f t="shared" si="390"/>
        <v>0</v>
      </c>
      <c r="BT471" s="115">
        <f t="shared" ca="1" si="391"/>
        <v>0</v>
      </c>
      <c r="BU471" s="115" t="b">
        <f ca="1">AND(模拟模式!$K$10="2300·雷",BT470=0,RAND()&lt;IF(C471="净世破魔击·月",5*0.05*2/3,IF(C471="净世破魔击·日",3*0.05*2/3,0.05*2*2/3)))</f>
        <v>0</v>
      </c>
      <c r="BV471" s="115">
        <f t="shared" ca="1" si="392"/>
        <v>0</v>
      </c>
      <c r="BW471" s="115">
        <f t="shared" ca="1" si="393"/>
        <v>145.8674999999995</v>
      </c>
      <c r="BX471" s="164" t="b">
        <f t="shared" ca="1" si="394"/>
        <v>0</v>
      </c>
      <c r="BY471" s="115">
        <f t="shared" ca="1" si="395"/>
        <v>0</v>
      </c>
      <c r="BZ471" s="115">
        <f>IF(OR(模拟模式!$P$16="10人团",模拟模式!$P$16="25人团"),IF(B471/30&gt;CA470,1,0),0)</f>
        <v>0</v>
      </c>
      <c r="CA471" s="115">
        <f t="shared" si="371"/>
        <v>0</v>
      </c>
      <c r="CB471" s="115">
        <f ca="1">IF(BZ471=1,IF(模拟模式!$P$16="10人团",15,0)+IF(模拟模式!$P$16="25人团",IF(RAND()&lt;0.6,15,0)),MAX(0,CB470-$F$4))</f>
        <v>0</v>
      </c>
      <c r="CC471" s="115" t="b">
        <f t="shared" ca="1" si="419"/>
        <v>0</v>
      </c>
      <c r="CD471" s="115">
        <f>IF(模拟模式!$Q$16="1个",IF(B471/40&gt;CE470,1,0),0)</f>
        <v>0</v>
      </c>
      <c r="CE471" s="115">
        <f t="shared" si="420"/>
        <v>0</v>
      </c>
      <c r="CF471" s="115">
        <f>IF(OR(CD471=1,模拟模式!$Q$16="2个"),20,MAX(0,CF470-$F$4))</f>
        <v>0</v>
      </c>
      <c r="CG471" s="115" t="b">
        <f t="shared" si="421"/>
        <v>0</v>
      </c>
      <c r="CH471" s="115">
        <f t="shared" ca="1" si="396"/>
        <v>0</v>
      </c>
      <c r="CI471" s="115" t="b">
        <f t="shared" ca="1" si="397"/>
        <v>0</v>
      </c>
      <c r="CJ471" s="119">
        <f t="shared" ca="1" si="398"/>
        <v>0</v>
      </c>
      <c r="CK471" s="115">
        <f t="shared" ca="1" si="399"/>
        <v>0</v>
      </c>
      <c r="CL471" s="115" t="b">
        <f ca="1">AND(模拟模式!$S$7="驱夷逐法",OR(AND(C471="净世破魔击·月",E470&gt;59),AND(C471="净世破魔击·日",F470&gt;59)))</f>
        <v>0</v>
      </c>
      <c r="CM471" s="115" t="b">
        <f ca="1">OR(CL471,AND(C471="净世破魔击·日",CL470,RAND()&lt;模拟模式!$U$23))</f>
        <v>1</v>
      </c>
      <c r="CN471" s="115" t="b">
        <f ca="1">IF(模拟模式!$M$7="辉耀红尘",AND(C471="净世破魔击·月",CL471,CV471=0,E470&lt;80),AND(C471="净世破魔击·月",CL471,E470&lt;100))</f>
        <v>0</v>
      </c>
      <c r="CO471" s="115" t="b">
        <f t="shared" ca="1" si="372"/>
        <v>0</v>
      </c>
      <c r="CP471" s="115" t="b">
        <f ca="1">AND(模拟模式!$O$7="用晦而明",OR(C471="净世破魔击·日",C471="净世破魔击·月",C471="驱夜断愁"),AB471)</f>
        <v>1</v>
      </c>
      <c r="CQ471" s="115" t="b">
        <f ca="1">OR(CP471,AND(CP470,RAND()&lt;模拟模式!$U$23))</f>
        <v>1</v>
      </c>
      <c r="CR471" s="115" t="b">
        <f ca="1">AND(模拟模式!$S$7="日月齐光",OR(C471="幽月轮1",C471="幽月轮2",C471="幽月轮3",CR470),NOT(OR(C471="赤日轮1",C471="赤日轮2",C471="赤日轮3")))</f>
        <v>0</v>
      </c>
      <c r="CS471" s="115" t="b">
        <f ca="1">AND(模拟模式!$S$7="日月齐光",OR(C471="赤日轮1",C471="赤日轮2",C471="赤日轮3",CS470),NOT(OR(C471="幽月轮1",C471="幽月轮2",C471="幽月轮3")))</f>
        <v>0</v>
      </c>
      <c r="CT471" s="115">
        <f t="shared" ca="1" si="400"/>
        <v>0</v>
      </c>
      <c r="CU471" s="115" t="b">
        <f ca="1">AND(模拟模式!$K$10="阴阳往极",CT470=0,RAND()&lt;IF(C471="净世破魔击·月",0.0275*7/3,IF(C471="净世破魔击·日",0.0275*3/3,0.0275*2/3)))</f>
        <v>0</v>
      </c>
      <c r="CV471" s="115">
        <f t="shared" ca="1" si="401"/>
        <v>0</v>
      </c>
      <c r="CW471" s="115">
        <f t="shared" ca="1" si="373"/>
        <v>3.2324999999999995</v>
      </c>
      <c r="CX471" s="115">
        <f t="shared" ca="1" si="374"/>
        <v>1.3874999999999997</v>
      </c>
      <c r="CY471" s="115">
        <f ca="1">MAX(IF($C471="驱夜断愁",IF(模拟模式!$R$7="万念俱寂",6,45),CY470-$F$4),0)</f>
        <v>2.3099999999999996</v>
      </c>
      <c r="CZ471" s="115">
        <f t="shared" ca="1" si="375"/>
        <v>0</v>
      </c>
      <c r="DA471" s="115">
        <f ca="1">IF(模拟模式!$N$7="日月同辉",IF(DB470=2,0,MIN(6,IF(AND(OR(C471="赤日轮1",C471="赤日轮2",C471="赤日轮3",C471="幽月轮1",C471="幽月轮2",C471="幽月轮3"),AB471=1),DA470+1,DA470))),0)</f>
        <v>0</v>
      </c>
      <c r="DB471" s="115">
        <f t="shared" ca="1" si="376"/>
        <v>0</v>
      </c>
      <c r="DC471" s="115"/>
      <c r="DD471" s="115"/>
      <c r="DE471" s="115"/>
      <c r="DF471" s="115"/>
      <c r="DG471" s="115"/>
      <c r="DH471" s="115"/>
      <c r="DI471" s="115"/>
      <c r="DJ471" s="115"/>
      <c r="DK471" s="115"/>
      <c r="DL471" s="115"/>
      <c r="DM471" s="115"/>
    </row>
    <row r="472" spans="2:117" x14ac:dyDescent="0.2">
      <c r="B472" s="117">
        <f t="shared" si="377"/>
        <v>410.51250000000408</v>
      </c>
      <c r="C472" s="167" t="str">
        <f t="shared" ca="1" si="370"/>
        <v>净世破魔击·月</v>
      </c>
      <c r="D472" s="115">
        <f ca="1">IF(C472="赤日轮1",1,IF(C472="赤日轮2",2,IF(C472="赤日轮3",3,IF(C472="幽月轮1",4,IF(C472="幽月轮2",5,IF(C472="幽月轮3",6,IF(C472="烈日斩",7,IF(C472="银月斩",8,IF(C472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472="净世破魔击·月",17,IF(C472="驱夜断愁",18,0)))))))))))</f>
        <v>17</v>
      </c>
      <c r="E472" s="115">
        <f ca="1">IF(AND(CU472,OR(C472="幽月轮1",C472="幽月轮2",C472="幽月轮3",C472="银月斩",C472="驱夜断愁",C472="净世破魔击·月")),100,MIN(IF(OR(CN472,BE472),0,IF(OR($C472="赤日轮1",$C472="赤日轮2",$C472="赤日轮3"),E471+20+IF(模拟模式!$I$7="日月凌天",4,0)+IF(CR471,20,0),IF($C472="烈日斩",E471+40,IF($C472="驱夜断愁",IF(模拟模式!$R$7="万念俱寂",E471+20,E471+60),IF($C472="净世破魔击·月",IF(OR(DB471&gt;0,CV471&gt;0),100,IF(模拟模式!$M$7="辉耀红尘",E471+20,E471)),IF($C472="净世破魔击·日",E471-100,E471)))))),100))</f>
        <v>20</v>
      </c>
      <c r="F472" s="115">
        <f ca="1">IF(AND(CU472,OR(C472="赤日轮1",C472="赤日轮2",C472="赤日轮3",C472="烈日斩",C472="净世破魔击·日")),100,MIN(IF(CO472,0,IF(OR($C472="幽月轮1",$C472="幽月轮2",$C472="幽月轮3"),F471+20+IF(模拟模式!$I$7="日月凌天",4,0)+IF(CS471,20,0),IF($C472="银月斩",F471+40+IF(模拟模式!$X$12=1,5,0),IF($C472="驱夜断愁",IF(模拟模式!$R$7="万念俱寂",F471+20,F471+60),IF($C472="净世破魔击·月",IF(模拟模式!$M$7="辉耀红尘",F471-80,F471-100),IF(AND(C472="净世破魔击·日",OR(DB471&gt;0,CV471&gt;0)),100,F471)))))),100))</f>
        <v>20</v>
      </c>
      <c r="G472" s="117">
        <f ca="1">('模拟-全程加成'!$E$3+'模拟-全程加成'!$E$4+'模拟-全程加成'!$E$5+('模拟-全程加成'!$C$6-'模拟-全程加成'!$C$3)*系数!$B$9+BS472*23)*(1+'模拟-全程加成'!$F$4+'模拟-全程加成'!$F$5+BJ472*10%+BM472*20%+BP472*4%+CG472*30%)+$F$7*系数!$B$12</f>
        <v>21493.829400000002</v>
      </c>
      <c r="H472" s="45">
        <f ca="1">'模拟-全程加成'!$H$3+'模拟-全程加成'!$H$4+'模拟-全程加成'!$H$5+('模拟-全程加成'!$G$4+'模拟-全程加成'!$G$5+('模拟-全程加成'!$C$6-'模拟-全程加成'!$C$3)*系数!$B$13)/系数!$B$3+LOOKUP(D472,'模拟-单技能数据'!$A$2:$A$19,'模拟-单技能数据'!$K$2:$K$19)+BG472*10%+IF(BV472&gt;0,378,0)</f>
        <v>0.54185145527300216</v>
      </c>
      <c r="I472" s="45">
        <f ca="1">'模拟-全程加成'!$J$3+'模拟-全程加成'!$J$4+'模拟-全程加成'!$J$5+('模拟-全程加成'!$I$4+'模拟-全程加成'!$I$5)/系数!$B$4+LOOKUP(D472,'模拟-单技能数据'!$A$2:$A$19,'模拟-单技能数据'!$L$2:$L$19)+BG472*10%</f>
        <v>2.162482885499879</v>
      </c>
      <c r="J472" s="45">
        <f ca="1">(('模拟-全程加成'!$K$3+'模拟-全程加成'!$K$4+'模拟-全程加成'!$K$5+('模拟-全程加成'!$C$6-'模拟-全程加成'!$C$3)*系数!$B$10+IF(BV472&gt;0,882,0)+IF(BY472&gt;0,1831,0))*(1+'模拟-全程加成'!$L$4+'模拟-全程加成'!$L$5+CC472*20%))/系数!$B$5</f>
        <v>0.69723220422048726</v>
      </c>
      <c r="K472" s="119">
        <f ca="1">LOOKUP(D472,'模拟-单技能数据'!$A$2:$A$19,'模拟-单技能数据'!$J$2:$J$19)+IF(CM472,60%,0)+IF(DB471-DB472&gt;0,30%,0)+IF(OR(AND(OR(C472="赤日轮1",C472="赤日轮2",C472="赤日轮3"),CR472),AND(OR(C472="幽月轮1",C472="幽月轮2",C472="幽月轮3"),CS472)),35%,0)+CJ472</f>
        <v>0.2</v>
      </c>
      <c r="L472" s="119">
        <f ca="1">IF(AND(C472="烈日斩",模拟模式!$X$11=1),10%,0)+IF(AND(C472="驱夜断愁",AB472=1),30%,0)</f>
        <v>0</v>
      </c>
      <c r="M472" s="45">
        <f t="shared" ca="1" si="409"/>
        <v>0.54185145527300216</v>
      </c>
      <c r="N472" s="45">
        <f t="shared" ca="1" si="410"/>
        <v>0.40424854472699789</v>
      </c>
      <c r="O472" s="46">
        <f t="shared" ca="1" si="378"/>
        <v>0.96645501249522392</v>
      </c>
      <c r="P472" s="46" t="str">
        <f t="shared" ca="1" si="379"/>
        <v>命</v>
      </c>
      <c r="Q472" s="45">
        <f t="shared" ca="1" si="380"/>
        <v>1</v>
      </c>
      <c r="R472" s="117">
        <f ca="1">模拟模式!$E$20*(1-IF(模拟模式!$J$19="有",0.15,0))*(1-IF(模拟模式!$K$19="有",0.3,0)-IF(CQ472,0.5,0))</f>
        <v>843.02999999999975</v>
      </c>
      <c r="S472" s="45">
        <f ca="1">R472/(R472+(185*模拟模式!$E$22-16800)*4.08224)</f>
        <v>8.389626085980037E-2</v>
      </c>
      <c r="T472" s="45" t="str">
        <f ca="1">LOOKUP(D472,'模拟-单技能数据'!$A$2:$A$19,'模拟-单技能数据'!$H$2:$H$19)</f>
        <v>阴</v>
      </c>
      <c r="U472" s="119">
        <f t="shared" ca="1" si="411"/>
        <v>0.08</v>
      </c>
      <c r="V472" s="47">
        <f ca="1">(1+L472)*(LOOKUP(D472,'模拟-单技能数据'!$A$2:$A$19,'模拟-单技能数据'!$D$2:$D$19)+G472*LOOKUP(D472,'模拟-单技能数据'!$A$2:$A$19,'模拟-单技能数据'!$F$2:$F$19))*(1+J472)*(1+K472)*(1-S472)*(1+U472)*Q472*LOOKUP(D472,'模拟-单技能数据'!$A$2:$A$19,'模拟-单技能数据'!$I$2:$I$20)</f>
        <v>56275.195622899046</v>
      </c>
      <c r="W472" s="47">
        <f ca="1">LOOKUP(D472,'模拟-单技能数据'!$A$2:$A$19,'模拟-单技能数据'!$G$2:$G$19)*$I$10</f>
        <v>361.51064354704795</v>
      </c>
      <c r="X472" s="47">
        <f t="shared" ca="1" si="381"/>
        <v>21279.867618365643</v>
      </c>
      <c r="Y472" s="47">
        <f t="shared" ca="1" si="412"/>
        <v>77916.573884811747</v>
      </c>
      <c r="Z472" s="49">
        <f t="shared" ca="1" si="413"/>
        <v>46600074.704233006</v>
      </c>
      <c r="AA472" s="97">
        <f t="shared" ca="1" si="414"/>
        <v>113516.82276235813</v>
      </c>
      <c r="AB472" s="115">
        <f ca="1">IF(OR(C472="赤日轮1",C472="赤日轮2",C472="赤日轮3"),IF(RAND()&lt;模拟模式!$Y$17,1,0),IF(OR(C472="幽月轮1",C472="幽月轮2",C472="幽月轮3"),IF(RAND()&lt;模拟模式!$Y$18,1,0),IF(C472="烈日斩",IF(RAND()&lt;模拟模式!$Y$19,1,0),IF(C472="银月斩",IF(RAND()&lt;模拟模式!$Y$20,1,0),IF(C472="驱夜断愁",IF(RAND()&lt;模拟模式!$Y$21,1,0),IF(C472="净世破魔击·日",IF(RAND()&lt;模拟模式!$Y$22,1,0),IF(C472="净世破魔击·月",IF(RAND()&lt;模拟模式!$Y$23,1,0),0)))))))</f>
        <v>1</v>
      </c>
      <c r="AC472" s="115" t="b">
        <f t="shared" ca="1" si="402"/>
        <v>0</v>
      </c>
      <c r="AD472" s="115" t="b">
        <f t="shared" ca="1" si="422"/>
        <v>1</v>
      </c>
      <c r="AE472" s="115">
        <f t="shared" ca="1" si="423"/>
        <v>2</v>
      </c>
      <c r="AF472" s="47">
        <f ca="1">IF(AC472,('模拟-单技能数据'!$D$20+G472*'模拟-单技能数据'!$F$20)*(1+J472)*(1+'模拟-单技能数据'!$J$20)*(1+U472),0)</f>
        <v>0</v>
      </c>
      <c r="AG472" s="61">
        <f t="shared" ca="1" si="415"/>
        <v>0.64185145527300214</v>
      </c>
      <c r="AH472" s="61">
        <f t="shared" ca="1" si="416"/>
        <v>2.2624828854998791</v>
      </c>
      <c r="AI472" s="62">
        <f t="shared" ca="1" si="382"/>
        <v>0.77218641543837785</v>
      </c>
      <c r="AJ472" s="47">
        <f ca="1">IF(AD472,IF(AI472&lt;$F$10,0,IF(AI472&lt;$F$10+$F$11,0.25,IF(AI472&lt;$F$10+$F$11+AG472,AH472,1)))*IF(AF472&gt;0,AF472,IF(AF471&gt;0,AF471,IF(AF470&gt;0,AF470,IF(AF469&gt;0,AF469,IF(AF468&gt;0,AF468,IF(AF467&gt;0,AF467,IF(AF466&gt;0,AF466,IF(AF465&gt;0,AF465,IF(AF464&gt;0,AF464,IF(AF462&gt;0,AF462,IF(AF461&gt;0,AF461,IF(AF460&gt;0,AF460,0)))))))))))),0)*(1-$S472)*'模拟-单技能数据'!$I$20</f>
        <v>4074.6980221198578</v>
      </c>
      <c r="AK472" s="115" t="b">
        <f t="shared" ca="1" si="403"/>
        <v>0</v>
      </c>
      <c r="AL472" s="115" t="b">
        <f t="shared" ca="1" si="424"/>
        <v>0</v>
      </c>
      <c r="AM472" s="115">
        <f t="shared" ca="1" si="425"/>
        <v>5</v>
      </c>
      <c r="AN472" s="47">
        <f ca="1">IF(AK472,('模拟-单技能数据'!$D$21+G472*'模拟-单技能数据'!$F$21)*(1+J472)*(1+'模拟-单技能数据'!$J$21)*(1+U472),0)</f>
        <v>0</v>
      </c>
      <c r="AO472" s="61">
        <f ca="1">IF(AN472&gt;0,M472-'模拟-单技能数据'!$K$10,AO471)</f>
        <v>0.42185145527300216</v>
      </c>
      <c r="AP472" s="61">
        <f ca="1">IF(AN472&gt;0,I472-'模拟-单技能数据'!$L$10,AP471)</f>
        <v>2.162482885499879</v>
      </c>
      <c r="AQ472" s="63">
        <f t="shared" ca="1" si="383"/>
        <v>0.95144339989311466</v>
      </c>
      <c r="AR472" s="64">
        <f ca="1">IF(AL472,IF(AQ472&lt;$F$10,0,IF(AQ472&lt;$F$10+$F$11,0.25,IF(AQ472&lt;$F$10+$F$11+AO472,AP472,1)))*IF(AN472&gt;0,AN472,IF(AN471&gt;0,AN471,IF(AN470&gt;0,AN470,IF(AN469&gt;0,AN469,IF(AN468&gt;0,AN468,IF(AN467&gt;0,AN467,IF(AN466&gt;0,AN466,IF(AN465&gt;0,AN465,IF(AN464&gt;0,AN464,IF(AN462&gt;0,AN462,IF(AN461&gt;0,AN461,IF(AN460&gt;0,AN460,0)))))))))))),0)*(1-$S472)*'模拟-单技能数据'!$I$21</f>
        <v>0</v>
      </c>
      <c r="AS472" s="61">
        <f ca="1">IF(OR(C472="净世破魔击·日",C472="净世破魔击·月"),M472-'模拟-单技能数据'!$K$10,0)</f>
        <v>0.42185145527300216</v>
      </c>
      <c r="AT472" s="61">
        <f ca="1">IF(OR(C472="净世破魔击·日",C472="净世破魔击·月"),I472-'模拟-单技能数据'!$L$10,0)</f>
        <v>2.162482885499879</v>
      </c>
      <c r="AU472" s="62">
        <f t="shared" ca="1" si="384"/>
        <v>9.7318054792272957E-2</v>
      </c>
      <c r="AV472" s="64">
        <f ca="1">IF(AS472&gt;0,('模拟-单技能数据'!$D$22+G472*'模拟-单技能数据'!$F$22)*(1+J472)*(1-S472)*IF(AU472&lt;$F$10,0,IF(AU472&lt;$F$10+$F$11,0.25,IF(AU472&lt;$F$10+$F$11+AS472,AT472,1)))*(1+U472),0)*'模拟-单技能数据'!$I$22</f>
        <v>17205.169596245785</v>
      </c>
      <c r="AW472" s="108">
        <f t="shared" ca="1" si="385"/>
        <v>0</v>
      </c>
      <c r="AX472" s="108" t="b">
        <f ca="1">AND(模拟模式!$P$10="有",AW471=0,RAND()&lt;IF(C472="净世破魔击·月",0.1*8/3,IF(C472="净世破魔击·日",0.1*4/3,0.1*2/3)))</f>
        <v>0</v>
      </c>
      <c r="AY472" s="47">
        <f ca="1">IF(AX472,(18+G472*0.722)*(1+J472)*(1-S472)*(1+$I$4)*IF(P472="会",'模拟-全程加成'!$J$3+'模拟-全程加成'!$J$4+'模拟-全程加成'!$J$5+('模拟-全程加成'!$I$4+'模拟-全程加成'!$I$5)/系数!$B$4+BG472*10%,IF(P472="命",1,IF(P472="识",0.25,0))),0)</f>
        <v>0</v>
      </c>
      <c r="AZ472" s="108">
        <f t="shared" si="386"/>
        <v>15.387500000000003</v>
      </c>
      <c r="BA472" s="108" t="b">
        <f>AND(模拟模式!$Q$10="有",AZ471=0)</f>
        <v>0</v>
      </c>
      <c r="BB472" s="140">
        <f>IF(BA472,(0+G472*0.287)*(1+J472)*(1-S472)*(1+$I$4)*IF(P472="会",'模拟-全程加成'!$J$3+'模拟-全程加成'!$J$4+'模拟-全程加成'!$J$5+('模拟-全程加成'!$I$4+'模拟-全程加成'!$I$5)/系数!$B$4+BG472*10%,IF(P472="命",1,IF(P472="识",0.25,0))),0)</f>
        <v>0</v>
      </c>
      <c r="BC472" s="115" t="b">
        <f ca="1">AND(模拟模式!$R$7="伏明众生",E472=60,F472=20,DA472&lt;5,CZ471&lt;$F$4)</f>
        <v>0</v>
      </c>
      <c r="BD472" s="115">
        <f t="shared" ca="1" si="404"/>
        <v>0</v>
      </c>
      <c r="BE472" s="115" t="b">
        <f t="shared" ca="1" si="405"/>
        <v>0</v>
      </c>
      <c r="BF472" s="47">
        <f ca="1">IF(BC472,4*('模拟-单技能数据'!$D$24+G472*'模拟-单技能数据'!$F$24)*(1+J472)*(1+'模拟-单技能数据'!$J$24)*(1-S472)*(1+$I$3)*(('模拟-全程加成'!$J$3+'模拟-全程加成'!$J$4+'模拟-全程加成'!$J$5+('模拟-全程加成'!$I$4+'模拟-全程加成'!$I$5)/系数!$B$4+BG472*10%)*('模拟-全程加成'!$J$3+'模拟-全程加成'!$J$4+'模拟-全程加成'!$J$5+('模拟-全程加成'!$I$4+'模拟-全程加成'!$I$5)/系数!$B$4+BG472*10%)+(1-('模拟-全程加成'!$J$3+'模拟-全程加成'!$J$4+'模拟-全程加成'!$J$5+('模拟-全程加成'!$I$4+'模拟-全程加成'!$I$5)/系数!$B$4+BG472*10%)-$F$10-$F$11)+F458*0.25),0)*'模拟-单技能数据'!$I$24</f>
        <v>0</v>
      </c>
      <c r="BG472" s="115" t="b">
        <f ca="1">OR(AND(OR(C472="烈日斩",C472="银月斩"),模拟模式!$I$7="净身明礼"),AND(C472="净世破魔击·日",模拟模式!$J$7="洞若观火"),AND(C473="净世破魔击·月",模拟模式!$J$7="洞若观火"),AB472=1)</f>
        <v>1</v>
      </c>
      <c r="BH472" s="115" t="b">
        <f t="shared" ca="1" si="387"/>
        <v>1</v>
      </c>
      <c r="BI472" s="115">
        <f t="shared" ca="1" si="406"/>
        <v>6</v>
      </c>
      <c r="BJ472" s="115" t="b">
        <f t="shared" ca="1" si="417"/>
        <v>1</v>
      </c>
      <c r="BK472" s="115" t="b">
        <f ca="1">AND(C472="驱夜断愁",模拟模式!$P$7="天地诛戮")</f>
        <v>0</v>
      </c>
      <c r="BL472" s="57">
        <f t="shared" ca="1" si="407"/>
        <v>15.387500000000003</v>
      </c>
      <c r="BM472" s="115" t="b">
        <f t="shared" ca="1" si="418"/>
        <v>1</v>
      </c>
      <c r="BN472" s="115" t="b">
        <f ca="1">AND(OR(C472="赤日轮1",C472="赤日轮2",C472="赤日轮3",C472="幽月轮1",C472="幽月轮2",C472="幽月轮3"),AB472=1,模拟模式!$L$7="明光恒照")</f>
        <v>0</v>
      </c>
      <c r="BO472" s="117">
        <f t="shared" ca="1" si="408"/>
        <v>27.232500000000002</v>
      </c>
      <c r="BP472" s="115">
        <f t="shared" ca="1" si="388"/>
        <v>6</v>
      </c>
      <c r="BQ472" s="115" t="b">
        <f>模拟模式!$K$10="2600·水"</f>
        <v>0</v>
      </c>
      <c r="BR472" s="117">
        <f t="shared" si="389"/>
        <v>0</v>
      </c>
      <c r="BS472" s="115">
        <f t="shared" si="390"/>
        <v>0</v>
      </c>
      <c r="BT472" s="115">
        <f t="shared" ca="1" si="391"/>
        <v>0</v>
      </c>
      <c r="BU472" s="115" t="b">
        <f ca="1">AND(模拟模式!$K$10="2300·雷",BT471=0,RAND()&lt;IF(C472="净世破魔击·月",5*0.05*2/3,IF(C472="净世破魔击·日",3*0.05*2/3,0.05*2*2/3)))</f>
        <v>0</v>
      </c>
      <c r="BV472" s="115">
        <f t="shared" ca="1" si="392"/>
        <v>0</v>
      </c>
      <c r="BW472" s="115">
        <f t="shared" ca="1" si="393"/>
        <v>144.94499999999948</v>
      </c>
      <c r="BX472" s="164" t="b">
        <f t="shared" ca="1" si="394"/>
        <v>0</v>
      </c>
      <c r="BY472" s="115">
        <f t="shared" ca="1" si="395"/>
        <v>0</v>
      </c>
      <c r="BZ472" s="115">
        <f>IF(OR(模拟模式!$P$16="10人团",模拟模式!$P$16="25人团"),IF(B472/30&gt;CA471,1,0),0)</f>
        <v>0</v>
      </c>
      <c r="CA472" s="115">
        <f t="shared" si="371"/>
        <v>0</v>
      </c>
      <c r="CB472" s="115">
        <f ca="1">IF(BZ472=1,IF(模拟模式!$P$16="10人团",15,0)+IF(模拟模式!$P$16="25人团",IF(RAND()&lt;0.6,15,0)),MAX(0,CB471-$F$4))</f>
        <v>0</v>
      </c>
      <c r="CC472" s="115" t="b">
        <f t="shared" ca="1" si="419"/>
        <v>0</v>
      </c>
      <c r="CD472" s="115">
        <f>IF(模拟模式!$Q$16="1个",IF(B472/40&gt;CE471,1,0),0)</f>
        <v>0</v>
      </c>
      <c r="CE472" s="115">
        <f t="shared" si="420"/>
        <v>0</v>
      </c>
      <c r="CF472" s="115">
        <f>IF(OR(CD472=1,模拟模式!$Q$16="2个"),20,MAX(0,CF471-$F$4))</f>
        <v>0</v>
      </c>
      <c r="CG472" s="115" t="b">
        <f t="shared" si="421"/>
        <v>0</v>
      </c>
      <c r="CH472" s="115">
        <f t="shared" ca="1" si="396"/>
        <v>0</v>
      </c>
      <c r="CI472" s="115" t="b">
        <f t="shared" ca="1" si="397"/>
        <v>0</v>
      </c>
      <c r="CJ472" s="119">
        <f t="shared" ca="1" si="398"/>
        <v>0</v>
      </c>
      <c r="CK472" s="115">
        <f t="shared" ca="1" si="399"/>
        <v>0</v>
      </c>
      <c r="CL472" s="115" t="b">
        <f ca="1">AND(模拟模式!$S$7="驱夷逐法",OR(AND(C472="净世破魔击·月",E471&gt;59),AND(C472="净世破魔击·日",F471&gt;59)))</f>
        <v>0</v>
      </c>
      <c r="CM472" s="115" t="b">
        <f ca="1">OR(CL472,AND(C472="净世破魔击·日",CL471,RAND()&lt;模拟模式!$U$23))</f>
        <v>0</v>
      </c>
      <c r="CN472" s="115" t="b">
        <f ca="1">IF(模拟模式!$M$7="辉耀红尘",AND(C472="净世破魔击·月",CL472,CV472=0,E471&lt;80),AND(C472="净世破魔击·月",CL472,E471&lt;100))</f>
        <v>0</v>
      </c>
      <c r="CO472" s="115" t="b">
        <f t="shared" ca="1" si="372"/>
        <v>0</v>
      </c>
      <c r="CP472" s="115" t="b">
        <f ca="1">AND(模拟模式!$O$7="用晦而明",OR(C472="净世破魔击·日",C472="净世破魔击·月",C472="驱夜断愁"),AB472)</f>
        <v>1</v>
      </c>
      <c r="CQ472" s="115" t="b">
        <f ca="1">OR(CP472,AND(CP471,RAND()&lt;模拟模式!$U$23))</f>
        <v>1</v>
      </c>
      <c r="CR472" s="115" t="b">
        <f ca="1">AND(模拟模式!$S$7="日月齐光",OR(C472="幽月轮1",C472="幽月轮2",C472="幽月轮3",CR471),NOT(OR(C472="赤日轮1",C472="赤日轮2",C472="赤日轮3")))</f>
        <v>0</v>
      </c>
      <c r="CS472" s="115" t="b">
        <f ca="1">AND(模拟模式!$S$7="日月齐光",OR(C472="赤日轮1",C472="赤日轮2",C472="赤日轮3",CS471),NOT(OR(C472="幽月轮1",C472="幽月轮2",C472="幽月轮3")))</f>
        <v>0</v>
      </c>
      <c r="CT472" s="115">
        <f t="shared" ca="1" si="400"/>
        <v>0</v>
      </c>
      <c r="CU472" s="115" t="b">
        <f ca="1">AND(模拟模式!$K$10="阴阳往极",CT471=0,RAND()&lt;IF(C472="净世破魔击·月",0.0275*7/3,IF(C472="净世破魔击·日",0.0275*3/3,0.0275*2/3)))</f>
        <v>0</v>
      </c>
      <c r="CV472" s="115">
        <f t="shared" ca="1" si="401"/>
        <v>0</v>
      </c>
      <c r="CW472" s="115">
        <f t="shared" ca="1" si="373"/>
        <v>2.3099999999999996</v>
      </c>
      <c r="CX472" s="115">
        <f t="shared" ca="1" si="374"/>
        <v>0.46499999999999975</v>
      </c>
      <c r="CY472" s="115">
        <f ca="1">MAX(IF($C472="驱夜断愁",IF(模拟模式!$R$7="万念俱寂",6,45),CY471-$F$4),0)</f>
        <v>1.3874999999999997</v>
      </c>
      <c r="CZ472" s="115">
        <f t="shared" ca="1" si="375"/>
        <v>0</v>
      </c>
      <c r="DA472" s="115">
        <f ca="1">IF(模拟模式!$N$7="日月同辉",IF(DB471=2,0,MIN(6,IF(AND(OR(C472="赤日轮1",C472="赤日轮2",C472="赤日轮3",C472="幽月轮1",C472="幽月轮2",C472="幽月轮3"),AB472=1),DA471+1,DA471))),0)</f>
        <v>0</v>
      </c>
      <c r="DB472" s="115">
        <f t="shared" ca="1" si="376"/>
        <v>0</v>
      </c>
      <c r="DC472" s="115"/>
      <c r="DD472" s="115"/>
      <c r="DE472" s="115"/>
      <c r="DF472" s="115"/>
      <c r="DG472" s="115"/>
      <c r="DH472" s="115"/>
      <c r="DI472" s="115"/>
      <c r="DJ472" s="115"/>
      <c r="DK472" s="115"/>
      <c r="DL472" s="115"/>
      <c r="DM472" s="115"/>
    </row>
    <row r="473" spans="2:117" x14ac:dyDescent="0.2">
      <c r="B473" s="117">
        <f t="shared" si="377"/>
        <v>411.43500000000409</v>
      </c>
      <c r="C473" s="167" t="str">
        <f t="shared" ca="1" si="370"/>
        <v>银月斩</v>
      </c>
      <c r="D473" s="115">
        <f ca="1">IF(C473="赤日轮1",1,IF(C473="赤日轮2",2,IF(C473="赤日轮3",3,IF(C473="幽月轮1",4,IF(C473="幽月轮2",5,IF(C473="幽月轮3",6,IF(C473="烈日斩",7,IF(C473="银月斩",8,IF(C473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473="净世破魔击·月",17,IF(C473="驱夜断愁",18,0)))))))))))</f>
        <v>8</v>
      </c>
      <c r="E473" s="115">
        <f ca="1">IF(AND(CU473,OR(C473="幽月轮1",C473="幽月轮2",C473="幽月轮3",C473="银月斩",C473="驱夜断愁",C473="净世破魔击·月")),100,MIN(IF(OR(CN473,BE473),0,IF(OR($C473="赤日轮1",$C473="赤日轮2",$C473="赤日轮3"),E472+20+IF(模拟模式!$I$7="日月凌天",4,0)+IF(CR472,20,0),IF($C473="烈日斩",E472+40,IF($C473="驱夜断愁",IF(模拟模式!$R$7="万念俱寂",E472+20,E472+60),IF($C473="净世破魔击·月",IF(OR(DB472&gt;0,CV472&gt;0),100,IF(模拟模式!$M$7="辉耀红尘",E472+20,E472)),IF($C473="净世破魔击·日",E472-100,E472)))))),100))</f>
        <v>20</v>
      </c>
      <c r="F473" s="115">
        <f ca="1">IF(AND(CU473,OR(C473="赤日轮1",C473="赤日轮2",C473="赤日轮3",C473="烈日斩",C473="净世破魔击·日")),100,MIN(IF(CO473,0,IF(OR($C473="幽月轮1",$C473="幽月轮2",$C473="幽月轮3"),F472+20+IF(模拟模式!$I$7="日月凌天",4,0)+IF(CS472,20,0),IF($C473="银月斩",F472+40+IF(模拟模式!$X$12=1,5,0),IF($C473="驱夜断愁",IF(模拟模式!$R$7="万念俱寂",F472+20,F472+60),IF($C473="净世破魔击·月",IF(模拟模式!$M$7="辉耀红尘",F472-80,F472-100),IF(AND(C473="净世破魔击·日",OR(DB472&gt;0,CV472&gt;0)),100,F472)))))),100))</f>
        <v>65</v>
      </c>
      <c r="G473" s="117">
        <f ca="1">('模拟-全程加成'!$E$3+'模拟-全程加成'!$E$4+'模拟-全程加成'!$E$5+('模拟-全程加成'!$C$6-'模拟-全程加成'!$C$3)*系数!$B$9+BS473*23)*(1+'模拟-全程加成'!$F$4+'模拟-全程加成'!$F$5+BJ473*10%+BM473*20%+BP473*4%+CG473*30%)+$F$7*系数!$B$12</f>
        <v>21493.829400000002</v>
      </c>
      <c r="H473" s="45">
        <f ca="1">'模拟-全程加成'!$H$3+'模拟-全程加成'!$H$4+'模拟-全程加成'!$H$5+('模拟-全程加成'!$G$4+'模拟-全程加成'!$G$5+('模拟-全程加成'!$C$6-'模拟-全程加成'!$C$3)*系数!$B$13)/系数!$B$3+LOOKUP(D473,'模拟-单技能数据'!$A$2:$A$19,'模拟-单技能数据'!$K$2:$K$19)+BG473*10%+IF(BV473&gt;0,378,0)</f>
        <v>0.64185145527300214</v>
      </c>
      <c r="I473" s="45">
        <f ca="1">'模拟-全程加成'!$J$3+'模拟-全程加成'!$J$4+'模拟-全程加成'!$J$5+('模拟-全程加成'!$I$4+'模拟-全程加成'!$I$5)/系数!$B$4+LOOKUP(D473,'模拟-单技能数据'!$A$2:$A$19,'模拟-单技能数据'!$L$2:$L$19)+BG473*10%</f>
        <v>2.2624828854998791</v>
      </c>
      <c r="J473" s="45">
        <f ca="1">(('模拟-全程加成'!$K$3+'模拟-全程加成'!$K$4+'模拟-全程加成'!$K$5+('模拟-全程加成'!$C$6-'模拟-全程加成'!$C$3)*系数!$B$10+IF(BV473&gt;0,882,0)+IF(BY473&gt;0,1831,0))*(1+'模拟-全程加成'!$L$4+'模拟-全程加成'!$L$5+CC473*20%))/系数!$B$5</f>
        <v>0.69723220422048726</v>
      </c>
      <c r="K473" s="119">
        <f ca="1">LOOKUP(D473,'模拟-单技能数据'!$A$2:$A$19,'模拟-单技能数据'!$J$2:$J$19)+IF(CM473,60%,0)+IF(DB472-DB473&gt;0,30%,0)+IF(OR(AND(OR(C473="赤日轮1",C473="赤日轮2",C473="赤日轮3"),CR473),AND(OR(C473="幽月轮1",C473="幽月轮2",C473="幽月轮3"),CS473)),35%,0)+CJ473</f>
        <v>0.15</v>
      </c>
      <c r="L473" s="119">
        <f ca="1">IF(AND(C473="烈日斩",模拟模式!$X$11=1),10%,0)+IF(AND(C473="驱夜断愁",AB473=1),30%,0)</f>
        <v>0</v>
      </c>
      <c r="M473" s="45">
        <f t="shared" ca="1" si="409"/>
        <v>0.64185145527300214</v>
      </c>
      <c r="N473" s="45">
        <f t="shared" ca="1" si="410"/>
        <v>0.30424854472699792</v>
      </c>
      <c r="O473" s="46">
        <f t="shared" ca="1" si="378"/>
        <v>0.28347096021151463</v>
      </c>
      <c r="P473" s="46" t="str">
        <f t="shared" ca="1" si="379"/>
        <v>会</v>
      </c>
      <c r="Q473" s="45">
        <f t="shared" ca="1" si="380"/>
        <v>2.2624828854998791</v>
      </c>
      <c r="R473" s="117">
        <f ca="1">模拟模式!$E$20*(1-IF(模拟模式!$J$19="有",0.15,0))*(1-IF(模拟模式!$K$19="有",0.3,0)-IF(CQ473,0.5,0))</f>
        <v>843.02999999999975</v>
      </c>
      <c r="S473" s="45">
        <f ca="1">R473/(R473+(185*模拟模式!$E$22-16800)*4.08224)</f>
        <v>8.389626085980037E-2</v>
      </c>
      <c r="T473" s="45" t="str">
        <f ca="1">LOOKUP(D473,'模拟-单技能数据'!$A$2:$A$19,'模拟-单技能数据'!$H$2:$H$19)</f>
        <v>阴</v>
      </c>
      <c r="U473" s="119">
        <f t="shared" ca="1" si="411"/>
        <v>0.08</v>
      </c>
      <c r="V473" s="47">
        <f ca="1">(1+L473)*(LOOKUP(D473,'模拟-单技能数据'!$A$2:$A$19,'模拟-单技能数据'!$D$2:$D$19)+G473*LOOKUP(D473,'模拟-单技能数据'!$A$2:$A$19,'模拟-单技能数据'!$F$2:$F$19))*(1+J473)*(1+K473)*(1-S473)*(1+U473)*Q473*LOOKUP(D473,'模拟-单技能数据'!$A$2:$A$19,'模拟-单技能数据'!$I$2:$I$20)</f>
        <v>49855.474753700611</v>
      </c>
      <c r="W473" s="47">
        <f ca="1">LOOKUP(D473,'模拟-单技能数据'!$A$2:$A$19,'模拟-单技能数据'!$G$2:$G$19)*$I$10</f>
        <v>361.51064354704795</v>
      </c>
      <c r="X473" s="47">
        <f t="shared" ca="1" si="381"/>
        <v>11607.89185245618</v>
      </c>
      <c r="Y473" s="47">
        <f t="shared" ca="1" si="412"/>
        <v>61824.877249703837</v>
      </c>
      <c r="Z473" s="49">
        <f t="shared" ca="1" si="413"/>
        <v>46661899.581482708</v>
      </c>
      <c r="AA473" s="97">
        <f t="shared" ca="1" si="414"/>
        <v>113412.56718918479</v>
      </c>
      <c r="AB473" s="115">
        <f ca="1">IF(OR(C473="赤日轮1",C473="赤日轮2",C473="赤日轮3"),IF(RAND()&lt;模拟模式!$Y$17,1,0),IF(OR(C473="幽月轮1",C473="幽月轮2",C473="幽月轮3"),IF(RAND()&lt;模拟模式!$Y$18,1,0),IF(C473="烈日斩",IF(RAND()&lt;模拟模式!$Y$19,1,0),IF(C473="银月斩",IF(RAND()&lt;模拟模式!$Y$20,1,0),IF(C473="驱夜断愁",IF(RAND()&lt;模拟模式!$Y$21,1,0),IF(C473="净世破魔击·日",IF(RAND()&lt;模拟模式!$Y$22,1,0),IF(C473="净世破魔击·月",IF(RAND()&lt;模拟模式!$Y$23,1,0),0)))))))</f>
        <v>1</v>
      </c>
      <c r="AC473" s="115" t="b">
        <f t="shared" ca="1" si="402"/>
        <v>1</v>
      </c>
      <c r="AD473" s="115" t="b">
        <f t="shared" ca="1" si="422"/>
        <v>0</v>
      </c>
      <c r="AE473" s="115">
        <f t="shared" ca="1" si="423"/>
        <v>6</v>
      </c>
      <c r="AF473" s="47">
        <f ca="1">IF(AC473,('模拟-单技能数据'!$D$20+G473*'模拟-单技能数据'!$F$20)*(1+J473)*(1+'模拟-单技能数据'!$J$20)*(1+U473),0)</f>
        <v>4639.7456468263617</v>
      </c>
      <c r="AG473" s="61">
        <f t="shared" ca="1" si="415"/>
        <v>0.64185145527300214</v>
      </c>
      <c r="AH473" s="61">
        <f t="shared" ca="1" si="416"/>
        <v>2.2624828854998791</v>
      </c>
      <c r="AI473" s="62">
        <f t="shared" ca="1" si="382"/>
        <v>0.58038254882171769</v>
      </c>
      <c r="AJ473" s="47">
        <f ca="1">IF(AD473,IF(AI473&lt;$F$10,0,IF(AI473&lt;$F$10+$F$11,0.25,IF(AI473&lt;$F$10+$F$11+AG473,AH473,1)))*IF(AF473&gt;0,AF473,IF(AF472&gt;0,AF472,IF(AF471&gt;0,AF471,IF(AF470&gt;0,AF470,IF(AF469&gt;0,AF469,IF(AF468&gt;0,AF468,IF(AF467&gt;0,AF467,IF(AF466&gt;0,AF466,IF(AF465&gt;0,AF465,IF(AF463&gt;0,AF463,IF(AF462&gt;0,AF462,IF(AF461&gt;0,AF461,0)))))))))))),0)*(1-$S473)*'模拟-单技能数据'!$I$20</f>
        <v>0</v>
      </c>
      <c r="AK473" s="115" t="b">
        <f t="shared" ca="1" si="403"/>
        <v>0</v>
      </c>
      <c r="AL473" s="115" t="b">
        <f t="shared" ca="1" si="424"/>
        <v>1</v>
      </c>
      <c r="AM473" s="115">
        <f t="shared" ca="1" si="425"/>
        <v>4</v>
      </c>
      <c r="AN473" s="47">
        <f ca="1">IF(AK473,('模拟-单技能数据'!$D$21+G473*'模拟-单技能数据'!$F$21)*(1+J473)*(1+'模拟-单技能数据'!$J$21)*(1+U473),0)</f>
        <v>0</v>
      </c>
      <c r="AO473" s="61">
        <f ca="1">IF(AN473&gt;0,M473-'模拟-单技能数据'!$K$10,AO472)</f>
        <v>0.42185145527300216</v>
      </c>
      <c r="AP473" s="61">
        <f ca="1">IF(AN473&gt;0,I473-'模拟-单技能数据'!$L$10,AP472)</f>
        <v>2.162482885499879</v>
      </c>
      <c r="AQ473" s="63">
        <f t="shared" ca="1" si="383"/>
        <v>0.59073290675525236</v>
      </c>
      <c r="AR473" s="64">
        <f ca="1">IF(AL473,IF(AQ473&lt;$F$10,0,IF(AQ473&lt;$F$10+$F$11,0.25,IF(AQ473&lt;$F$10+$F$11+AO473,AP473,1)))*IF(AN473&gt;0,AN473,IF(AN472&gt;0,AN472,IF(AN471&gt;0,AN471,IF(AN470&gt;0,AN470,IF(AN469&gt;0,AN469,IF(AN468&gt;0,AN468,IF(AN467&gt;0,AN467,IF(AN466&gt;0,AN466,IF(AN465&gt;0,AN465,IF(AN463&gt;0,AN463,IF(AN462&gt;0,AN462,IF(AN461&gt;0,AN461,0)))))))))))),0)*(1-$S473)*'模拟-单技能数据'!$I$21</f>
        <v>11607.89185245618</v>
      </c>
      <c r="AS473" s="61">
        <f ca="1">IF(OR(C473="净世破魔击·日",C473="净世破魔击·月"),M473-'模拟-单技能数据'!$K$10,0)</f>
        <v>0</v>
      </c>
      <c r="AT473" s="61">
        <f ca="1">IF(OR(C473="净世破魔击·日",C473="净世破魔击·月"),I473-'模拟-单技能数据'!$L$10,0)</f>
        <v>0</v>
      </c>
      <c r="AU473" s="62">
        <f t="shared" ca="1" si="384"/>
        <v>0.82110055954132433</v>
      </c>
      <c r="AV473" s="64">
        <f ca="1">IF(AS473&gt;0,('模拟-单技能数据'!$D$22+G473*'模拟-单技能数据'!$F$22)*(1+J473)*(1-S473)*IF(AU473&lt;$F$10,0,IF(AU473&lt;$F$10+$F$11,0.25,IF(AU473&lt;$F$10+$F$11+AS473,AT473,1)))*(1+U473),0)*'模拟-单技能数据'!$I$22</f>
        <v>0</v>
      </c>
      <c r="AW473" s="108">
        <f t="shared" ca="1" si="385"/>
        <v>0</v>
      </c>
      <c r="AX473" s="108" t="b">
        <f ca="1">AND(模拟模式!$P$10="有",AW472=0,RAND()&lt;IF(C473="净世破魔击·月",0.1*8/3,IF(C473="净世破魔击·日",0.1*4/3,0.1*2/3)))</f>
        <v>0</v>
      </c>
      <c r="AY473" s="47">
        <f ca="1">IF(AX473,(18+G473*0.722)*(1+J473)*(1-S473)*(1+$I$4)*IF(P473="会",'模拟-全程加成'!$J$3+'模拟-全程加成'!$J$4+'模拟-全程加成'!$J$5+('模拟-全程加成'!$I$4+'模拟-全程加成'!$I$5)/系数!$B$4+BG473*10%,IF(P473="命",1,IF(P473="识",0.25,0))),0)</f>
        <v>0</v>
      </c>
      <c r="AZ473" s="108">
        <f t="shared" si="386"/>
        <v>14.465000000000003</v>
      </c>
      <c r="BA473" s="108" t="b">
        <f>AND(模拟模式!$Q$10="有",AZ472=0)</f>
        <v>0</v>
      </c>
      <c r="BB473" s="140">
        <f>IF(BA473,(0+G473*0.287)*(1+J473)*(1-S473)*(1+$I$4)*IF(P473="会",'模拟-全程加成'!$J$3+'模拟-全程加成'!$J$4+'模拟-全程加成'!$J$5+('模拟-全程加成'!$I$4+'模拟-全程加成'!$I$5)/系数!$B$4+BG473*10%,IF(P473="命",1,IF(P473="识",0.25,0))),0)</f>
        <v>0</v>
      </c>
      <c r="BC473" s="115" t="b">
        <f ca="1">AND(模拟模式!$R$7="伏明众生",E473=60,F473=20,DA473&lt;5,CZ472&lt;$F$4)</f>
        <v>0</v>
      </c>
      <c r="BD473" s="115">
        <f t="shared" ca="1" si="404"/>
        <v>0</v>
      </c>
      <c r="BE473" s="115" t="b">
        <f t="shared" ca="1" si="405"/>
        <v>0</v>
      </c>
      <c r="BF473" s="47">
        <f ca="1">IF(BC473,4*('模拟-单技能数据'!$D$24+G473*'模拟-单技能数据'!$F$24)*(1+J473)*(1+'模拟-单技能数据'!$J$24)*(1-S473)*(1+$I$3)*(('模拟-全程加成'!$J$3+'模拟-全程加成'!$J$4+'模拟-全程加成'!$J$5+('模拟-全程加成'!$I$4+'模拟-全程加成'!$I$5)/系数!$B$4+BG473*10%)*('模拟-全程加成'!$J$3+'模拟-全程加成'!$J$4+'模拟-全程加成'!$J$5+('模拟-全程加成'!$I$4+'模拟-全程加成'!$I$5)/系数!$B$4+BG473*10%)+(1-('模拟-全程加成'!$J$3+'模拟-全程加成'!$J$4+'模拟-全程加成'!$J$5+('模拟-全程加成'!$I$4+'模拟-全程加成'!$I$5)/系数!$B$4+BG473*10%)-$F$10-$F$11)+F459*0.25),0)*'模拟-单技能数据'!$I$24</f>
        <v>0</v>
      </c>
      <c r="BG473" s="115" t="b">
        <f ca="1">OR(AND(OR(C473="烈日斩",C473="银月斩"),模拟模式!$I$7="净身明礼"),AND(C473="净世破魔击·日",模拟模式!$J$7="洞若观火"),AND(C474="净世破魔击·月",模拟模式!$J$7="洞若观火"),AB473=1)</f>
        <v>1</v>
      </c>
      <c r="BH473" s="115" t="b">
        <f t="shared" ca="1" si="387"/>
        <v>0</v>
      </c>
      <c r="BI473" s="115">
        <f t="shared" ca="1" si="406"/>
        <v>5.0774999999999997</v>
      </c>
      <c r="BJ473" s="115" t="b">
        <f t="shared" ca="1" si="417"/>
        <v>1</v>
      </c>
      <c r="BK473" s="115" t="b">
        <f ca="1">AND(C473="驱夜断愁",模拟模式!$P$7="天地诛戮")</f>
        <v>0</v>
      </c>
      <c r="BL473" s="57">
        <f t="shared" ca="1" si="407"/>
        <v>14.465000000000003</v>
      </c>
      <c r="BM473" s="115" t="b">
        <f t="shared" ca="1" si="418"/>
        <v>1</v>
      </c>
      <c r="BN473" s="115" t="b">
        <f ca="1">AND(OR(C473="赤日轮1",C473="赤日轮2",C473="赤日轮3",C473="幽月轮1",C473="幽月轮2",C473="幽月轮3"),AB473=1,模拟模式!$L$7="明光恒照")</f>
        <v>0</v>
      </c>
      <c r="BO473" s="117">
        <f t="shared" ca="1" si="408"/>
        <v>26.310000000000002</v>
      </c>
      <c r="BP473" s="115">
        <f t="shared" ca="1" si="388"/>
        <v>6</v>
      </c>
      <c r="BQ473" s="115" t="b">
        <f>模拟模式!$K$10="2600·水"</f>
        <v>0</v>
      </c>
      <c r="BR473" s="117">
        <f t="shared" si="389"/>
        <v>0</v>
      </c>
      <c r="BS473" s="115">
        <f t="shared" si="390"/>
        <v>0</v>
      </c>
      <c r="BT473" s="115">
        <f t="shared" ca="1" si="391"/>
        <v>0</v>
      </c>
      <c r="BU473" s="115" t="b">
        <f ca="1">AND(模拟模式!$K$10="2300·雷",BT472=0,RAND()&lt;IF(C473="净世破魔击·月",5*0.05*2/3,IF(C473="净世破魔击·日",3*0.05*2/3,0.05*2*2/3)))</f>
        <v>0</v>
      </c>
      <c r="BV473" s="115">
        <f t="shared" ca="1" si="392"/>
        <v>0</v>
      </c>
      <c r="BW473" s="115">
        <f t="shared" ca="1" si="393"/>
        <v>144.02249999999947</v>
      </c>
      <c r="BX473" s="164" t="b">
        <f t="shared" ca="1" si="394"/>
        <v>0</v>
      </c>
      <c r="BY473" s="115">
        <f t="shared" ca="1" si="395"/>
        <v>0</v>
      </c>
      <c r="BZ473" s="115">
        <f>IF(OR(模拟模式!$P$16="10人团",模拟模式!$P$16="25人团"),IF(B473/30&gt;CA472,1,0),0)</f>
        <v>0</v>
      </c>
      <c r="CA473" s="115">
        <f t="shared" si="371"/>
        <v>0</v>
      </c>
      <c r="CB473" s="115">
        <f ca="1">IF(BZ473=1,IF(模拟模式!$P$16="10人团",15,0)+IF(模拟模式!$P$16="25人团",IF(RAND()&lt;0.6,15,0)),MAX(0,CB472-$F$4))</f>
        <v>0</v>
      </c>
      <c r="CC473" s="115" t="b">
        <f t="shared" ca="1" si="419"/>
        <v>0</v>
      </c>
      <c r="CD473" s="115">
        <f>IF(模拟模式!$Q$16="1个",IF(B473/40&gt;CE472,1,0),0)</f>
        <v>0</v>
      </c>
      <c r="CE473" s="115">
        <f t="shared" si="420"/>
        <v>0</v>
      </c>
      <c r="CF473" s="115">
        <f>IF(OR(CD473=1,模拟模式!$Q$16="2个"),20,MAX(0,CF472-$F$4))</f>
        <v>0</v>
      </c>
      <c r="CG473" s="115" t="b">
        <f t="shared" si="421"/>
        <v>0</v>
      </c>
      <c r="CH473" s="115">
        <f t="shared" ca="1" si="396"/>
        <v>0</v>
      </c>
      <c r="CI473" s="115" t="b">
        <f t="shared" ca="1" si="397"/>
        <v>0</v>
      </c>
      <c r="CJ473" s="119">
        <f t="shared" ca="1" si="398"/>
        <v>0</v>
      </c>
      <c r="CK473" s="115">
        <f t="shared" ca="1" si="399"/>
        <v>0</v>
      </c>
      <c r="CL473" s="115" t="b">
        <f ca="1">AND(模拟模式!$S$7="驱夷逐法",OR(AND(C473="净世破魔击·月",E472&gt;59),AND(C473="净世破魔击·日",F472&gt;59)))</f>
        <v>0</v>
      </c>
      <c r="CM473" s="115" t="b">
        <f ca="1">OR(CL473,AND(C473="净世破魔击·日",CL472,RAND()&lt;模拟模式!$U$23))</f>
        <v>0</v>
      </c>
      <c r="CN473" s="115" t="b">
        <f ca="1">IF(模拟模式!$M$7="辉耀红尘",AND(C473="净世破魔击·月",CL473,CV473=0,E472&lt;80),AND(C473="净世破魔击·月",CL473,E472&lt;100))</f>
        <v>0</v>
      </c>
      <c r="CO473" s="115" t="b">
        <f t="shared" ca="1" si="372"/>
        <v>0</v>
      </c>
      <c r="CP473" s="115" t="b">
        <f ca="1">AND(模拟模式!$O$7="用晦而明",OR(C473="净世破魔击·日",C473="净世破魔击·月",C473="驱夜断愁"),AB473)</f>
        <v>0</v>
      </c>
      <c r="CQ473" s="115" t="b">
        <f ca="1">OR(CP473,AND(CP472,RAND()&lt;模拟模式!$U$23))</f>
        <v>1</v>
      </c>
      <c r="CR473" s="115" t="b">
        <f ca="1">AND(模拟模式!$S$7="日月齐光",OR(C473="幽月轮1",C473="幽月轮2",C473="幽月轮3",CR472),NOT(OR(C473="赤日轮1",C473="赤日轮2",C473="赤日轮3")))</f>
        <v>0</v>
      </c>
      <c r="CS473" s="115" t="b">
        <f ca="1">AND(模拟模式!$S$7="日月齐光",OR(C473="赤日轮1",C473="赤日轮2",C473="赤日轮3",CS472),NOT(OR(C473="幽月轮1",C473="幽月轮2",C473="幽月轮3")))</f>
        <v>0</v>
      </c>
      <c r="CT473" s="115">
        <f t="shared" ca="1" si="400"/>
        <v>0</v>
      </c>
      <c r="CU473" s="115" t="b">
        <f ca="1">AND(模拟模式!$K$10="阴阳往极",CT472=0,RAND()&lt;IF(C473="净世破魔击·月",0.0275*7/3,IF(C473="净世破魔击·日",0.0275*3/3,0.0275*2/3)))</f>
        <v>0</v>
      </c>
      <c r="CV473" s="115">
        <f t="shared" ca="1" si="401"/>
        <v>0</v>
      </c>
      <c r="CW473" s="115">
        <f t="shared" ca="1" si="373"/>
        <v>1.3874999999999997</v>
      </c>
      <c r="CX473" s="115">
        <f t="shared" ca="1" si="374"/>
        <v>6</v>
      </c>
      <c r="CY473" s="115">
        <f ca="1">MAX(IF($C473="驱夜断愁",IF(模拟模式!$R$7="万念俱寂",6,45),CY472-$F$4),0)</f>
        <v>0.46499999999999975</v>
      </c>
      <c r="CZ473" s="115">
        <f t="shared" ca="1" si="375"/>
        <v>0</v>
      </c>
      <c r="DA473" s="115">
        <f ca="1">IF(模拟模式!$N$7="日月同辉",IF(DB472=2,0,MIN(6,IF(AND(OR(C473="赤日轮1",C473="赤日轮2",C473="赤日轮3",C473="幽月轮1",C473="幽月轮2",C473="幽月轮3"),AB473=1),DA472+1,DA472))),0)</f>
        <v>0</v>
      </c>
      <c r="DB473" s="115">
        <f t="shared" ca="1" si="376"/>
        <v>0</v>
      </c>
      <c r="DC473" s="115"/>
      <c r="DD473" s="115"/>
      <c r="DE473" s="115"/>
      <c r="DF473" s="115"/>
      <c r="DG473" s="115"/>
      <c r="DH473" s="115"/>
      <c r="DI473" s="115"/>
      <c r="DJ473" s="115"/>
      <c r="DK473" s="115"/>
      <c r="DL473" s="115"/>
      <c r="DM473" s="115"/>
    </row>
    <row r="474" spans="2:117" x14ac:dyDescent="0.2">
      <c r="B474" s="117">
        <f t="shared" si="377"/>
        <v>412.35750000000411</v>
      </c>
      <c r="C474" s="167" t="str">
        <f t="shared" ca="1" si="370"/>
        <v>驱夜断愁</v>
      </c>
      <c r="D474" s="115">
        <f ca="1">IF(C474="赤日轮1",1,IF(C474="赤日轮2",2,IF(C474="赤日轮3",3,IF(C474="幽月轮1",4,IF(C474="幽月轮2",5,IF(C474="幽月轮3",6,IF(C474="烈日斩",7,IF(C474="银月斩",8,IF(C474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474="净世破魔击·月",17,IF(C474="驱夜断愁",18,0)))))))))))</f>
        <v>18</v>
      </c>
      <c r="E474" s="115">
        <f ca="1">IF(AND(CU474,OR(C474="幽月轮1",C474="幽月轮2",C474="幽月轮3",C474="银月斩",C474="驱夜断愁",C474="净世破魔击·月")),100,MIN(IF(OR(CN474,BE474),0,IF(OR($C474="赤日轮1",$C474="赤日轮2",$C474="赤日轮3"),E473+20+IF(模拟模式!$I$7="日月凌天",4,0)+IF(CR473,20,0),IF($C474="烈日斩",E473+40,IF($C474="驱夜断愁",IF(模拟模式!$R$7="万念俱寂",E473+20,E473+60),IF($C474="净世破魔击·月",IF(OR(DB473&gt;0,CV473&gt;0),100,IF(模拟模式!$M$7="辉耀红尘",E473+20,E473)),IF($C474="净世破魔击·日",E473-100,E473)))))),100))</f>
        <v>40</v>
      </c>
      <c r="F474" s="115">
        <f ca="1">IF(AND(CU474,OR(C474="赤日轮1",C474="赤日轮2",C474="赤日轮3",C474="烈日斩",C474="净世破魔击·日")),100,MIN(IF(CO474,0,IF(OR($C474="幽月轮1",$C474="幽月轮2",$C474="幽月轮3"),F473+20+IF(模拟模式!$I$7="日月凌天",4,0)+IF(CS473,20,0),IF($C474="银月斩",F473+40+IF(模拟模式!$X$12=1,5,0),IF($C474="驱夜断愁",IF(模拟模式!$R$7="万念俱寂",F473+20,F473+60),IF($C474="净世破魔击·月",IF(模拟模式!$M$7="辉耀红尘",F473-80,F473-100),IF(AND(C474="净世破魔击·日",OR(DB473&gt;0,CV473&gt;0)),100,F473)))))),100))</f>
        <v>85</v>
      </c>
      <c r="G474" s="117">
        <f ca="1">('模拟-全程加成'!$E$3+'模拟-全程加成'!$E$4+'模拟-全程加成'!$E$5+('模拟-全程加成'!$C$6-'模拟-全程加成'!$C$3)*系数!$B$9+BS474*23)*(1+'模拟-全程加成'!$F$4+'模拟-全程加成'!$F$5+BJ474*10%+BM474*20%+BP474*4%+CG474*30%)+$F$7*系数!$B$12</f>
        <v>21493.829400000002</v>
      </c>
      <c r="H474" s="45">
        <f ca="1">'模拟-全程加成'!$H$3+'模拟-全程加成'!$H$4+'模拟-全程加成'!$H$5+('模拟-全程加成'!$G$4+'模拟-全程加成'!$G$5+('模拟-全程加成'!$C$6-'模拟-全程加成'!$C$3)*系数!$B$13)/系数!$B$3+LOOKUP(D474,'模拟-单技能数据'!$A$2:$A$19,'模拟-单技能数据'!$K$2:$K$19)+BG474*10%+IF(BV474&gt;0,378,0)</f>
        <v>0.51185145527300213</v>
      </c>
      <c r="I474" s="45">
        <f ca="1">'模拟-全程加成'!$J$3+'模拟-全程加成'!$J$4+'模拟-全程加成'!$J$5+('模拟-全程加成'!$I$4+'模拟-全程加成'!$I$5)/系数!$B$4+LOOKUP(D474,'模拟-单技能数据'!$A$2:$A$19,'模拟-单技能数据'!$L$2:$L$19)+BG474*10%</f>
        <v>2.162482885499879</v>
      </c>
      <c r="J474" s="45">
        <f ca="1">(('模拟-全程加成'!$K$3+'模拟-全程加成'!$K$4+'模拟-全程加成'!$K$5+('模拟-全程加成'!$C$6-'模拟-全程加成'!$C$3)*系数!$B$10+IF(BV474&gt;0,882,0)+IF(BY474&gt;0,1831,0))*(1+'模拟-全程加成'!$L$4+'模拟-全程加成'!$L$5+CC474*20%))/系数!$B$5</f>
        <v>0.69723220422048726</v>
      </c>
      <c r="K474" s="119">
        <f ca="1">LOOKUP(D474,'模拟-单技能数据'!$A$2:$A$19,'模拟-单技能数据'!$J$2:$J$19)+IF(CM474,60%,0)+IF(DB473-DB474&gt;0,30%,0)+IF(OR(AND(OR(C474="赤日轮1",C474="赤日轮2",C474="赤日轮3"),CR474),AND(OR(C474="幽月轮1",C474="幽月轮2",C474="幽月轮3"),CS474)),35%,0)+CJ474</f>
        <v>0.14000000000000001</v>
      </c>
      <c r="L474" s="119">
        <f ca="1">IF(AND(C474="烈日斩",模拟模式!$X$11=1),10%,0)+IF(AND(C474="驱夜断愁",AB474=1),30%,0)</f>
        <v>0.3</v>
      </c>
      <c r="M474" s="45">
        <f t="shared" ca="1" si="409"/>
        <v>0.51185145527300213</v>
      </c>
      <c r="N474" s="45">
        <f t="shared" ca="1" si="410"/>
        <v>0.43424854472699792</v>
      </c>
      <c r="O474" s="46">
        <f t="shared" ca="1" si="378"/>
        <v>0.86179837669983117</v>
      </c>
      <c r="P474" s="46" t="str">
        <f t="shared" ca="1" si="379"/>
        <v>命</v>
      </c>
      <c r="Q474" s="45">
        <f t="shared" ca="1" si="380"/>
        <v>1</v>
      </c>
      <c r="R474" s="117">
        <f ca="1">模拟模式!$E$20*(1-IF(模拟模式!$J$19="有",0.15,0))*(1-IF(模拟模式!$K$19="有",0.3,0)-IF(CQ474,0.5,0))</f>
        <v>843.02999999999975</v>
      </c>
      <c r="S474" s="45">
        <f ca="1">R474/(R474+(185*模拟模式!$E$22-16800)*4.08224)</f>
        <v>8.389626085980037E-2</v>
      </c>
      <c r="T474" s="45" t="str">
        <f ca="1">LOOKUP(D474,'模拟-单技能数据'!$A$2:$A$19,'模拟-单技能数据'!$H$2:$H$19)</f>
        <v>阴</v>
      </c>
      <c r="U474" s="119">
        <f t="shared" ca="1" si="411"/>
        <v>0.08</v>
      </c>
      <c r="V474" s="47">
        <f ca="1">(1+L474)*(LOOKUP(D474,'模拟-单技能数据'!$A$2:$A$19,'模拟-单技能数据'!$D$2:$D$19)+G474*LOOKUP(D474,'模拟-单技能数据'!$A$2:$A$19,'模拟-单技能数据'!$F$2:$F$19))*(1+J474)*(1+K474)*(1-S474)*(1+U474)*Q474*LOOKUP(D474,'模拟-单技能数据'!$A$2:$A$19,'模拟-单技能数据'!$I$2:$I$20)</f>
        <v>61540.073489592025</v>
      </c>
      <c r="W474" s="47">
        <f ca="1">LOOKUP(D474,'模拟-单技能数据'!$A$2:$A$19,'模拟-单技能数据'!$G$2:$G$19)*$I$10</f>
        <v>723.0212870940959</v>
      </c>
      <c r="X474" s="47">
        <f t="shared" ca="1" si="381"/>
        <v>9616.6571145767884</v>
      </c>
      <c r="Y474" s="47">
        <f t="shared" ca="1" si="412"/>
        <v>71879.751891262917</v>
      </c>
      <c r="Z474" s="49">
        <f t="shared" ca="1" si="413"/>
        <v>46733779.333373971</v>
      </c>
      <c r="AA474" s="97">
        <f t="shared" ca="1" si="414"/>
        <v>113333.16196109809</v>
      </c>
      <c r="AB474" s="115">
        <f ca="1">IF(OR(C474="赤日轮1",C474="赤日轮2",C474="赤日轮3"),IF(RAND()&lt;模拟模式!$Y$17,1,0),IF(OR(C474="幽月轮1",C474="幽月轮2",C474="幽月轮3"),IF(RAND()&lt;模拟模式!$Y$18,1,0),IF(C474="烈日斩",IF(RAND()&lt;模拟模式!$Y$19,1,0),IF(C474="银月斩",IF(RAND()&lt;模拟模式!$Y$20,1,0),IF(C474="驱夜断愁",IF(RAND()&lt;模拟模式!$Y$21,1,0),IF(C474="净世破魔击·日",IF(RAND()&lt;模拟模式!$Y$22,1,0),IF(C474="净世破魔击·月",IF(RAND()&lt;模拟模式!$Y$23,1,0),0)))))))</f>
        <v>1</v>
      </c>
      <c r="AC474" s="115" t="b">
        <f t="shared" ca="1" si="402"/>
        <v>0</v>
      </c>
      <c r="AD474" s="115" t="b">
        <f t="shared" ca="1" si="422"/>
        <v>1</v>
      </c>
      <c r="AE474" s="115">
        <f t="shared" ca="1" si="423"/>
        <v>5</v>
      </c>
      <c r="AF474" s="47">
        <f ca="1">IF(AC474,('模拟-单技能数据'!$D$20+G474*'模拟-单技能数据'!$F$20)*(1+J474)*(1+'模拟-单技能数据'!$J$20)*(1+U474),0)</f>
        <v>0</v>
      </c>
      <c r="AG474" s="61">
        <f t="shared" ca="1" si="415"/>
        <v>0.64185145527300214</v>
      </c>
      <c r="AH474" s="61">
        <f t="shared" ca="1" si="416"/>
        <v>2.2624828854998791</v>
      </c>
      <c r="AI474" s="62">
        <f t="shared" ca="1" si="382"/>
        <v>0.52083499939951639</v>
      </c>
      <c r="AJ474" s="47">
        <f ca="1">IF(AD474,IF(AI474&lt;$F$10,0,IF(AI474&lt;$F$10+$F$11,0.25,IF(AI474&lt;$F$10+$F$11+AG474,AH474,1)))*IF(AF474&gt;0,AF474,IF(AF473&gt;0,AF473,IF(AF472&gt;0,AF472,IF(AF471&gt;0,AF471,IF(AF470&gt;0,AF470,IF(AF469&gt;0,AF469,IF(AF468&gt;0,AF468,IF(AF467&gt;0,AF467,IF(AF466&gt;0,AF466,IF(AF464&gt;0,AF464,IF(AF463&gt;0,AF463,IF(AF462&gt;0,AF462,0)))))))))))),0)*(1-$S474)*'模拟-单技能数据'!$I$20</f>
        <v>9616.6571145767884</v>
      </c>
      <c r="AK474" s="115" t="b">
        <f t="shared" ca="1" si="403"/>
        <v>0</v>
      </c>
      <c r="AL474" s="115" t="b">
        <f t="shared" ca="1" si="424"/>
        <v>0</v>
      </c>
      <c r="AM474" s="115">
        <f t="shared" ca="1" si="425"/>
        <v>4</v>
      </c>
      <c r="AN474" s="47">
        <f ca="1">IF(AK474,('模拟-单技能数据'!$D$21+G474*'模拟-单技能数据'!$F$21)*(1+J474)*(1+'模拟-单技能数据'!$J$21)*(1+U474),0)</f>
        <v>0</v>
      </c>
      <c r="AO474" s="61">
        <f ca="1">IF(AN474&gt;0,M474-'模拟-单技能数据'!$K$10,AO473)</f>
        <v>0.42185145527300216</v>
      </c>
      <c r="AP474" s="61">
        <f ca="1">IF(AN474&gt;0,I474-'模拟-单技能数据'!$L$10,AP473)</f>
        <v>2.162482885499879</v>
      </c>
      <c r="AQ474" s="63">
        <f t="shared" ca="1" si="383"/>
        <v>5.1926310021897737E-2</v>
      </c>
      <c r="AR474" s="64">
        <f ca="1">IF(AL474,IF(AQ474&lt;$F$10,0,IF(AQ474&lt;$F$10+$F$11,0.25,IF(AQ474&lt;$F$10+$F$11+AO474,AP474,1)))*IF(AN474&gt;0,AN474,IF(AN473&gt;0,AN473,IF(AN472&gt;0,AN472,IF(AN471&gt;0,AN471,IF(AN470&gt;0,AN470,IF(AN469&gt;0,AN469,IF(AN468&gt;0,AN468,IF(AN467&gt;0,AN467,IF(AN466&gt;0,AN466,IF(AN464&gt;0,AN464,IF(AN463&gt;0,AN463,IF(AN462&gt;0,AN462,0)))))))))))),0)*(1-$S474)*'模拟-单技能数据'!$I$21</f>
        <v>0</v>
      </c>
      <c r="AS474" s="61">
        <f ca="1">IF(OR(C474="净世破魔击·日",C474="净世破魔击·月"),M474-'模拟-单技能数据'!$K$10,0)</f>
        <v>0</v>
      </c>
      <c r="AT474" s="61">
        <f ca="1">IF(OR(C474="净世破魔击·日",C474="净世破魔击·月"),I474-'模拟-单技能数据'!$L$10,0)</f>
        <v>0</v>
      </c>
      <c r="AU474" s="62">
        <f t="shared" ca="1" si="384"/>
        <v>0.82818723554347873</v>
      </c>
      <c r="AV474" s="64">
        <f ca="1">IF(AS474&gt;0,('模拟-单技能数据'!$D$22+G474*'模拟-单技能数据'!$F$22)*(1+J474)*(1-S474)*IF(AU474&lt;$F$10,0,IF(AU474&lt;$F$10+$F$11,0.25,IF(AU474&lt;$F$10+$F$11+AS474,AT474,1)))*(1+U474),0)*'模拟-单技能数据'!$I$22</f>
        <v>0</v>
      </c>
      <c r="AW474" s="108">
        <f t="shared" ca="1" si="385"/>
        <v>0</v>
      </c>
      <c r="AX474" s="108" t="b">
        <f ca="1">AND(模拟模式!$P$10="有",AW473=0,RAND()&lt;IF(C474="净世破魔击·月",0.1*8/3,IF(C474="净世破魔击·日",0.1*4/3,0.1*2/3)))</f>
        <v>0</v>
      </c>
      <c r="AY474" s="47">
        <f ca="1">IF(AX474,(18+G474*0.722)*(1+J474)*(1-S474)*(1+$I$4)*IF(P474="会",'模拟-全程加成'!$J$3+'模拟-全程加成'!$J$4+'模拟-全程加成'!$J$5+('模拟-全程加成'!$I$4+'模拟-全程加成'!$I$5)/系数!$B$4+BG474*10%,IF(P474="命",1,IF(P474="识",0.25,0))),0)</f>
        <v>0</v>
      </c>
      <c r="AZ474" s="108">
        <f t="shared" si="386"/>
        <v>13.542500000000004</v>
      </c>
      <c r="BA474" s="108" t="b">
        <f>AND(模拟模式!$Q$10="有",AZ473=0)</f>
        <v>0</v>
      </c>
      <c r="BB474" s="140">
        <f>IF(BA474,(0+G474*0.287)*(1+J474)*(1-S474)*(1+$I$4)*IF(P474="会",'模拟-全程加成'!$J$3+'模拟-全程加成'!$J$4+'模拟-全程加成'!$J$5+('模拟-全程加成'!$I$4+'模拟-全程加成'!$I$5)/系数!$B$4+BG474*10%,IF(P474="命",1,IF(P474="识",0.25,0))),0)</f>
        <v>0</v>
      </c>
      <c r="BC474" s="115" t="b">
        <f ca="1">AND(模拟模式!$R$7="伏明众生",E474=60,F474=20,DA474&lt;5,CZ473&lt;$F$4)</f>
        <v>0</v>
      </c>
      <c r="BD474" s="115">
        <f t="shared" ca="1" si="404"/>
        <v>0</v>
      </c>
      <c r="BE474" s="115" t="b">
        <f t="shared" ca="1" si="405"/>
        <v>0</v>
      </c>
      <c r="BF474" s="47">
        <f ca="1">IF(BC474,4*('模拟-单技能数据'!$D$24+G474*'模拟-单技能数据'!$F$24)*(1+J474)*(1+'模拟-单技能数据'!$J$24)*(1-S474)*(1+$I$3)*(('模拟-全程加成'!$J$3+'模拟-全程加成'!$J$4+'模拟-全程加成'!$J$5+('模拟-全程加成'!$I$4+'模拟-全程加成'!$I$5)/系数!$B$4+BG474*10%)*('模拟-全程加成'!$J$3+'模拟-全程加成'!$J$4+'模拟-全程加成'!$J$5+('模拟-全程加成'!$I$4+'模拟-全程加成'!$I$5)/系数!$B$4+BG474*10%)+(1-('模拟-全程加成'!$J$3+'模拟-全程加成'!$J$4+'模拟-全程加成'!$J$5+('模拟-全程加成'!$I$4+'模拟-全程加成'!$I$5)/系数!$B$4+BG474*10%)-$F$10-$F$11)+F460*0.25),0)*'模拟-单技能数据'!$I$24</f>
        <v>0</v>
      </c>
      <c r="BG474" s="115" t="b">
        <f ca="1">OR(AND(OR(C474="烈日斩",C474="银月斩"),模拟模式!$I$7="净身明礼"),AND(C474="净世破魔击·日",模拟模式!$J$7="洞若观火"),AND(C475="净世破魔击·月",模拟模式!$J$7="洞若观火"),AB474=1)</f>
        <v>1</v>
      </c>
      <c r="BH474" s="115" t="b">
        <f t="shared" ca="1" si="387"/>
        <v>0</v>
      </c>
      <c r="BI474" s="115">
        <f t="shared" ca="1" si="406"/>
        <v>4.1549999999999994</v>
      </c>
      <c r="BJ474" s="115" t="b">
        <f t="shared" ca="1" si="417"/>
        <v>1</v>
      </c>
      <c r="BK474" s="115" t="b">
        <f ca="1">AND(C474="驱夜断愁",模拟模式!$P$7="天地诛戮")</f>
        <v>1</v>
      </c>
      <c r="BL474" s="57">
        <f t="shared" ca="1" si="407"/>
        <v>20</v>
      </c>
      <c r="BM474" s="115" t="b">
        <f t="shared" ca="1" si="418"/>
        <v>1</v>
      </c>
      <c r="BN474" s="115" t="b">
        <f ca="1">AND(OR(C474="赤日轮1",C474="赤日轮2",C474="赤日轮3",C474="幽月轮1",C474="幽月轮2",C474="幽月轮3"),AB474=1,模拟模式!$L$7="明光恒照")</f>
        <v>0</v>
      </c>
      <c r="BO474" s="117">
        <f t="shared" ca="1" si="408"/>
        <v>25.387500000000003</v>
      </c>
      <c r="BP474" s="115">
        <f t="shared" ca="1" si="388"/>
        <v>6</v>
      </c>
      <c r="BQ474" s="115" t="b">
        <f>模拟模式!$K$10="2600·水"</f>
        <v>0</v>
      </c>
      <c r="BR474" s="117">
        <f t="shared" si="389"/>
        <v>0</v>
      </c>
      <c r="BS474" s="115">
        <f t="shared" si="390"/>
        <v>0</v>
      </c>
      <c r="BT474" s="115">
        <f t="shared" ca="1" si="391"/>
        <v>0</v>
      </c>
      <c r="BU474" s="115" t="b">
        <f ca="1">AND(模拟模式!$K$10="2300·雷",BT473=0,RAND()&lt;IF(C474="净世破魔击·月",5*0.05*2/3,IF(C474="净世破魔击·日",3*0.05*2/3,0.05*2*2/3)))</f>
        <v>0</v>
      </c>
      <c r="BV474" s="115">
        <f t="shared" ca="1" si="392"/>
        <v>0</v>
      </c>
      <c r="BW474" s="115">
        <f t="shared" ca="1" si="393"/>
        <v>143.09999999999945</v>
      </c>
      <c r="BX474" s="164" t="b">
        <f t="shared" ca="1" si="394"/>
        <v>0</v>
      </c>
      <c r="BY474" s="115">
        <f t="shared" ca="1" si="395"/>
        <v>0</v>
      </c>
      <c r="BZ474" s="115">
        <f>IF(OR(模拟模式!$P$16="10人团",模拟模式!$P$16="25人团"),IF(B474/30&gt;CA473,1,0),0)</f>
        <v>0</v>
      </c>
      <c r="CA474" s="115">
        <f t="shared" si="371"/>
        <v>0</v>
      </c>
      <c r="CB474" s="115">
        <f ca="1">IF(BZ474=1,IF(模拟模式!$P$16="10人团",15,0)+IF(模拟模式!$P$16="25人团",IF(RAND()&lt;0.6,15,0)),MAX(0,CB473-$F$4))</f>
        <v>0</v>
      </c>
      <c r="CC474" s="115" t="b">
        <f t="shared" ca="1" si="419"/>
        <v>0</v>
      </c>
      <c r="CD474" s="115">
        <f>IF(模拟模式!$Q$16="1个",IF(B474/40&gt;CE473,1,0),0)</f>
        <v>0</v>
      </c>
      <c r="CE474" s="115">
        <f t="shared" si="420"/>
        <v>0</v>
      </c>
      <c r="CF474" s="115">
        <f>IF(OR(CD474=1,模拟模式!$Q$16="2个"),20,MAX(0,CF473-$F$4))</f>
        <v>0</v>
      </c>
      <c r="CG474" s="115" t="b">
        <f t="shared" si="421"/>
        <v>0</v>
      </c>
      <c r="CH474" s="115">
        <f t="shared" ca="1" si="396"/>
        <v>0</v>
      </c>
      <c r="CI474" s="115" t="b">
        <f t="shared" ca="1" si="397"/>
        <v>0</v>
      </c>
      <c r="CJ474" s="119">
        <f t="shared" ca="1" si="398"/>
        <v>0</v>
      </c>
      <c r="CK474" s="115">
        <f t="shared" ca="1" si="399"/>
        <v>0</v>
      </c>
      <c r="CL474" s="115" t="b">
        <f ca="1">AND(模拟模式!$S$7="驱夷逐法",OR(AND(C474="净世破魔击·月",E473&gt;59),AND(C474="净世破魔击·日",F473&gt;59)))</f>
        <v>0</v>
      </c>
      <c r="CM474" s="115" t="b">
        <f ca="1">OR(CL474,AND(C474="净世破魔击·日",CL473,RAND()&lt;模拟模式!$U$23))</f>
        <v>0</v>
      </c>
      <c r="CN474" s="115" t="b">
        <f ca="1">IF(模拟模式!$M$7="辉耀红尘",AND(C474="净世破魔击·月",CL474,CV474=0,E473&lt;80),AND(C474="净世破魔击·月",CL474,E473&lt;100))</f>
        <v>0</v>
      </c>
      <c r="CO474" s="115" t="b">
        <f t="shared" ca="1" si="372"/>
        <v>0</v>
      </c>
      <c r="CP474" s="115" t="b">
        <f ca="1">AND(模拟模式!$O$7="用晦而明",OR(C474="净世破魔击·日",C474="净世破魔击·月",C474="驱夜断愁"),AB474)</f>
        <v>1</v>
      </c>
      <c r="CQ474" s="115" t="b">
        <f ca="1">OR(CP474,AND(CP473,RAND()&lt;模拟模式!$U$23))</f>
        <v>1</v>
      </c>
      <c r="CR474" s="115" t="b">
        <f ca="1">AND(模拟模式!$S$7="日月齐光",OR(C474="幽月轮1",C474="幽月轮2",C474="幽月轮3",CR473),NOT(OR(C474="赤日轮1",C474="赤日轮2",C474="赤日轮3")))</f>
        <v>0</v>
      </c>
      <c r="CS474" s="115" t="b">
        <f ca="1">AND(模拟模式!$S$7="日月齐光",OR(C474="赤日轮1",C474="赤日轮2",C474="赤日轮3",CS473),NOT(OR(C474="幽月轮1",C474="幽月轮2",C474="幽月轮3")))</f>
        <v>0</v>
      </c>
      <c r="CT474" s="115">
        <f t="shared" ca="1" si="400"/>
        <v>0</v>
      </c>
      <c r="CU474" s="115" t="b">
        <f ca="1">AND(模拟模式!$K$10="阴阳往极",CT473=0,RAND()&lt;IF(C474="净世破魔击·月",0.0275*7/3,IF(C474="净世破魔击·日",0.0275*3/3,0.0275*2/3)))</f>
        <v>0</v>
      </c>
      <c r="CV474" s="115">
        <f t="shared" ca="1" si="401"/>
        <v>0</v>
      </c>
      <c r="CW474" s="115">
        <f t="shared" ca="1" si="373"/>
        <v>0.46499999999999975</v>
      </c>
      <c r="CX474" s="115">
        <f t="shared" ca="1" si="374"/>
        <v>5.0774999999999997</v>
      </c>
      <c r="CY474" s="115">
        <f ca="1">MAX(IF($C474="驱夜断愁",IF(模拟模式!$R$7="万念俱寂",6,45),CY473-$F$4),0)</f>
        <v>6</v>
      </c>
      <c r="CZ474" s="115">
        <f t="shared" ca="1" si="375"/>
        <v>0</v>
      </c>
      <c r="DA474" s="115">
        <f ca="1">IF(模拟模式!$N$7="日月同辉",IF(DB473=2,0,MIN(6,IF(AND(OR(C474="赤日轮1",C474="赤日轮2",C474="赤日轮3",C474="幽月轮1",C474="幽月轮2",C474="幽月轮3"),AB474=1),DA473+1,DA473))),0)</f>
        <v>0</v>
      </c>
      <c r="DB474" s="115">
        <f t="shared" ca="1" si="376"/>
        <v>0</v>
      </c>
      <c r="DC474" s="115"/>
      <c r="DD474" s="115"/>
      <c r="DE474" s="115"/>
      <c r="DF474" s="115"/>
      <c r="DG474" s="115"/>
      <c r="DH474" s="115"/>
      <c r="DI474" s="115"/>
      <c r="DJ474" s="115"/>
      <c r="DK474" s="115"/>
      <c r="DL474" s="115"/>
      <c r="DM474" s="115"/>
    </row>
    <row r="475" spans="2:117" x14ac:dyDescent="0.2">
      <c r="B475" s="117">
        <f t="shared" si="377"/>
        <v>413.28000000000412</v>
      </c>
      <c r="C475" s="167" t="str">
        <f t="shared" ca="1" si="370"/>
        <v>烈日斩</v>
      </c>
      <c r="D475" s="115">
        <f ca="1">IF(C475="赤日轮1",1,IF(C475="赤日轮2",2,IF(C475="赤日轮3",3,IF(C475="幽月轮1",4,IF(C475="幽月轮2",5,IF(C475="幽月轮3",6,IF(C475="烈日斩",7,IF(C475="银月斩",8,IF(C475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475="净世破魔击·月",17,IF(C475="驱夜断愁",18,0)))))))))))</f>
        <v>7</v>
      </c>
      <c r="E475" s="115">
        <f ca="1">IF(AND(CU475,OR(C475="幽月轮1",C475="幽月轮2",C475="幽月轮3",C475="银月斩",C475="驱夜断愁",C475="净世破魔击·月")),100,MIN(IF(OR(CN475,BE475),0,IF(OR($C475="赤日轮1",$C475="赤日轮2",$C475="赤日轮3"),E474+20+IF(模拟模式!$I$7="日月凌天",4,0)+IF(CR474,20,0),IF($C475="烈日斩",E474+40,IF($C475="驱夜断愁",IF(模拟模式!$R$7="万念俱寂",E474+20,E474+60),IF($C475="净世破魔击·月",IF(OR(DB474&gt;0,CV474&gt;0),100,IF(模拟模式!$M$7="辉耀红尘",E474+20,E474)),IF($C475="净世破魔击·日",E474-100,E474)))))),100))</f>
        <v>80</v>
      </c>
      <c r="F475" s="115">
        <f ca="1">IF(AND(CU475,OR(C475="赤日轮1",C475="赤日轮2",C475="赤日轮3",C475="烈日斩",C475="净世破魔击·日")),100,MIN(IF(CO475,0,IF(OR($C475="幽月轮1",$C475="幽月轮2",$C475="幽月轮3"),F474+20+IF(模拟模式!$I$7="日月凌天",4,0)+IF(CS474,20,0),IF($C475="银月斩",F474+40+IF(模拟模式!$X$12=1,5,0),IF($C475="驱夜断愁",IF(模拟模式!$R$7="万念俱寂",F474+20,F474+60),IF($C475="净世破魔击·月",IF(模拟模式!$M$7="辉耀红尘",F474-80,F474-100),IF(AND(C475="净世破魔击·日",OR(DB474&gt;0,CV474&gt;0)),100,F474)))))),100))</f>
        <v>100</v>
      </c>
      <c r="G475" s="117">
        <f ca="1">('模拟-全程加成'!$E$3+'模拟-全程加成'!$E$4+'模拟-全程加成'!$E$5+('模拟-全程加成'!$C$6-'模拟-全程加成'!$C$3)*系数!$B$9+BS475*23)*(1+'模拟-全程加成'!$F$4+'模拟-全程加成'!$F$5+BJ475*10%+BM475*20%+BP475*4%+CG475*30%)+$F$7*系数!$B$12</f>
        <v>21493.829400000002</v>
      </c>
      <c r="H475" s="45">
        <f ca="1">'模拟-全程加成'!$H$3+'模拟-全程加成'!$H$4+'模拟-全程加成'!$H$5+('模拟-全程加成'!$G$4+'模拟-全程加成'!$G$5+('模拟-全程加成'!$C$6-'模拟-全程加成'!$C$3)*系数!$B$13)/系数!$B$3+LOOKUP(D475,'模拟-单技能数据'!$A$2:$A$19,'模拟-单技能数据'!$K$2:$K$19)+BG475*10%+IF(BV475&gt;0,378,0)</f>
        <v>0.56185145527300218</v>
      </c>
      <c r="I475" s="45">
        <f ca="1">'模拟-全程加成'!$J$3+'模拟-全程加成'!$J$4+'模拟-全程加成'!$J$5+('模拟-全程加成'!$I$4+'模拟-全程加成'!$I$5)/系数!$B$4+LOOKUP(D475,'模拟-单技能数据'!$A$2:$A$19,'模拟-单技能数据'!$L$2:$L$19)+BG475*10%</f>
        <v>2.2624828854998791</v>
      </c>
      <c r="J475" s="45">
        <f ca="1">(('模拟-全程加成'!$K$3+'模拟-全程加成'!$K$4+'模拟-全程加成'!$K$5+('模拟-全程加成'!$C$6-'模拟-全程加成'!$C$3)*系数!$B$10+IF(BV475&gt;0,882,0)+IF(BY475&gt;0,1831,0))*(1+'模拟-全程加成'!$L$4+'模拟-全程加成'!$L$5+CC475*20%))/系数!$B$5</f>
        <v>0.69723220422048726</v>
      </c>
      <c r="K475" s="119">
        <f ca="1">LOOKUP(D475,'模拟-单技能数据'!$A$2:$A$19,'模拟-单技能数据'!$J$2:$J$19)+IF(CM475,60%,0)+IF(DB474-DB475&gt;0,30%,0)+IF(OR(AND(OR(C475="赤日轮1",C475="赤日轮2",C475="赤日轮3"),CR475),AND(OR(C475="幽月轮1",C475="幽月轮2",C475="幽月轮3"),CS475)),35%,0)+CJ475</f>
        <v>0.24</v>
      </c>
      <c r="L475" s="119">
        <f ca="1">IF(AND(C475="烈日斩",模拟模式!$X$11=1),10%,0)+IF(AND(C475="驱夜断愁",AB475=1),30%,0)</f>
        <v>0.1</v>
      </c>
      <c r="M475" s="45">
        <f t="shared" ca="1" si="409"/>
        <v>0.56185145527300218</v>
      </c>
      <c r="N475" s="45">
        <f t="shared" ca="1" si="410"/>
        <v>0.38424854472699788</v>
      </c>
      <c r="O475" s="46">
        <f t="shared" ca="1" si="378"/>
        <v>0.58482250724151896</v>
      </c>
      <c r="P475" s="46" t="str">
        <f t="shared" ca="1" si="379"/>
        <v>会</v>
      </c>
      <c r="Q475" s="45">
        <f t="shared" ca="1" si="380"/>
        <v>2.2624828854998791</v>
      </c>
      <c r="R475" s="117">
        <f ca="1">模拟模式!$E$20*(1-IF(模拟模式!$J$19="有",0.15,0))*(1-IF(模拟模式!$K$19="有",0.3,0)-IF(CQ475,0.5,0))</f>
        <v>843.02999999999975</v>
      </c>
      <c r="S475" s="45">
        <f ca="1">R475/(R475+(185*模拟模式!$E$22-16800)*4.08224)</f>
        <v>8.389626085980037E-2</v>
      </c>
      <c r="T475" s="45" t="str">
        <f ca="1">LOOKUP(D475,'模拟-单技能数据'!$A$2:$A$19,'模拟-单技能数据'!$H$2:$H$19)</f>
        <v>阳</v>
      </c>
      <c r="U475" s="119">
        <f t="shared" ca="1" si="411"/>
        <v>0.2</v>
      </c>
      <c r="V475" s="47">
        <f ca="1">(1+L475)*(LOOKUP(D475,'模拟-单技能数据'!$A$2:$A$19,'模拟-单技能数据'!$D$2:$D$19)+G475*LOOKUP(D475,'模拟-单技能数据'!$A$2:$A$19,'模拟-单技能数据'!$F$2:$F$19))*(1+J475)*(1+K475)*(1-S475)*(1+U475)*Q475*LOOKUP(D475,'模拟-单技能数据'!$A$2:$A$19,'模拟-单技能数据'!$I$2:$I$20)</f>
        <v>110503.35617153208</v>
      </c>
      <c r="W475" s="47">
        <f ca="1">LOOKUP(D475,'模拟-单技能数据'!$A$2:$A$19,'模拟-单技能数据'!$G$2:$G$19)*$I$10</f>
        <v>361.51064354704795</v>
      </c>
      <c r="X475" s="47">
        <f t="shared" ca="1" si="381"/>
        <v>25101.867467669974</v>
      </c>
      <c r="Y475" s="47">
        <f t="shared" ca="1" si="412"/>
        <v>135966.73428274912</v>
      </c>
      <c r="Z475" s="49">
        <f t="shared" ca="1" si="413"/>
        <v>46869746.067656718</v>
      </c>
      <c r="AA475" s="97">
        <f t="shared" ca="1" si="414"/>
        <v>113409.18038050777</v>
      </c>
      <c r="AB475" s="115">
        <f ca="1">IF(OR(C475="赤日轮1",C475="赤日轮2",C475="赤日轮3"),IF(RAND()&lt;模拟模式!$Y$17,1,0),IF(OR(C475="幽月轮1",C475="幽月轮2",C475="幽月轮3"),IF(RAND()&lt;模拟模式!$Y$18,1,0),IF(C475="烈日斩",IF(RAND()&lt;模拟模式!$Y$19,1,0),IF(C475="银月斩",IF(RAND()&lt;模拟模式!$Y$20,1,0),IF(C475="驱夜断愁",IF(RAND()&lt;模拟模式!$Y$21,1,0),IF(C475="净世破魔击·日",IF(RAND()&lt;模拟模式!$Y$22,1,0),IF(C475="净世破魔击·月",IF(RAND()&lt;模拟模式!$Y$23,1,0),0)))))))</f>
        <v>1</v>
      </c>
      <c r="AC475" s="115" t="b">
        <f t="shared" ca="1" si="402"/>
        <v>0</v>
      </c>
      <c r="AD475" s="115" t="b">
        <f t="shared" ca="1" si="422"/>
        <v>0</v>
      </c>
      <c r="AE475" s="115">
        <f t="shared" ca="1" si="423"/>
        <v>5</v>
      </c>
      <c r="AF475" s="47">
        <f ca="1">IF(AC475,('模拟-单技能数据'!$D$20+G475*'模拟-单技能数据'!$F$20)*(1+J475)*(1+'模拟-单技能数据'!$J$20)*(1+U475),0)</f>
        <v>0</v>
      </c>
      <c r="AG475" s="61">
        <f t="shared" ca="1" si="415"/>
        <v>0.64185145527300214</v>
      </c>
      <c r="AH475" s="61">
        <f t="shared" ca="1" si="416"/>
        <v>2.2624828854998791</v>
      </c>
      <c r="AI475" s="62">
        <f t="shared" ca="1" si="382"/>
        <v>9.91099125273599E-2</v>
      </c>
      <c r="AJ475" s="47">
        <f ca="1">IF(AD475,IF(AI475&lt;$F$10,0,IF(AI475&lt;$F$10+$F$11,0.25,IF(AI475&lt;$F$10+$F$11+AG475,AH475,1)))*IF(AF475&gt;0,AF475,IF(AF474&gt;0,AF474,IF(AF473&gt;0,AF473,IF(AF472&gt;0,AF472,IF(AF471&gt;0,AF471,IF(AF470&gt;0,AF470,IF(AF469&gt;0,AF469,IF(AF468&gt;0,AF468,IF(AF467&gt;0,AF467,IF(AF465&gt;0,AF465,IF(AF464&gt;0,AF464,IF(AF463&gt;0,AF463,0)))))))))))),0)*(1-$S475)*'模拟-单技能数据'!$I$20</f>
        <v>0</v>
      </c>
      <c r="AK475" s="115" t="b">
        <f t="shared" ca="1" si="403"/>
        <v>0</v>
      </c>
      <c r="AL475" s="115" t="b">
        <f t="shared" ca="1" si="424"/>
        <v>1</v>
      </c>
      <c r="AM475" s="115">
        <f t="shared" ca="1" si="425"/>
        <v>3</v>
      </c>
      <c r="AN475" s="47">
        <f ca="1">IF(AK475,('模拟-单技能数据'!$D$21+G475*'模拟-单技能数据'!$F$21)*(1+J475)*(1+'模拟-单技能数据'!$J$21)*(1+U475),0)</f>
        <v>0</v>
      </c>
      <c r="AO475" s="61">
        <f ca="1">IF(AN475&gt;0,M475-'模拟-单技能数据'!$K$10,AO474)</f>
        <v>0.42185145527300216</v>
      </c>
      <c r="AP475" s="61">
        <f ca="1">IF(AN475&gt;0,I475-'模拟-单技能数据'!$L$10,AP474)</f>
        <v>2.162482885499879</v>
      </c>
      <c r="AQ475" s="63">
        <f t="shared" ca="1" si="383"/>
        <v>0.34452414459362724</v>
      </c>
      <c r="AR475" s="64">
        <f ca="1">IF(AL475,IF(AQ475&lt;$F$10,0,IF(AQ475&lt;$F$10+$F$11,0.25,IF(AQ475&lt;$F$10+$F$11+AO475,AP475,1)))*IF(AN475&gt;0,AN475,IF(AN474&gt;0,AN474,IF(AN473&gt;0,AN473,IF(AN472&gt;0,AN472,IF(AN471&gt;0,AN471,IF(AN470&gt;0,AN470,IF(AN469&gt;0,AN469,IF(AN468&gt;0,AN468,IF(AN467&gt;0,AN467,IF(AN465&gt;0,AN465,IF(AN464&gt;0,AN464,IF(AN463&gt;0,AN463,0)))))))))))),0)*(1-$S475)*'模拟-单技能数据'!$I$21</f>
        <v>25101.867467669974</v>
      </c>
      <c r="AS475" s="61">
        <f ca="1">IF(OR(C475="净世破魔击·日",C475="净世破魔击·月"),M475-'模拟-单技能数据'!$K$10,0)</f>
        <v>0</v>
      </c>
      <c r="AT475" s="61">
        <f ca="1">IF(OR(C475="净世破魔击·日",C475="净世破魔击·月"),I475-'模拟-单技能数据'!$L$10,0)</f>
        <v>0</v>
      </c>
      <c r="AU475" s="62">
        <f t="shared" ca="1" si="384"/>
        <v>0.20119524251899401</v>
      </c>
      <c r="AV475" s="64">
        <f ca="1">IF(AS475&gt;0,('模拟-单技能数据'!$D$22+G475*'模拟-单技能数据'!$F$22)*(1+J475)*(1-S475)*IF(AU475&lt;$F$10,0,IF(AU475&lt;$F$10+$F$11,0.25,IF(AU475&lt;$F$10+$F$11+AS475,AT475,1)))*(1+U475),0)*'模拟-单技能数据'!$I$22</f>
        <v>0</v>
      </c>
      <c r="AW475" s="108">
        <f t="shared" ca="1" si="385"/>
        <v>0</v>
      </c>
      <c r="AX475" s="108" t="b">
        <f ca="1">AND(模拟模式!$P$10="有",AW474=0,RAND()&lt;IF(C475="净世破魔击·月",0.1*8/3,IF(C475="净世破魔击·日",0.1*4/3,0.1*2/3)))</f>
        <v>0</v>
      </c>
      <c r="AY475" s="47">
        <f ca="1">IF(AX475,(18+G475*0.722)*(1+J475)*(1-S475)*(1+$I$4)*IF(P475="会",'模拟-全程加成'!$J$3+'模拟-全程加成'!$J$4+'模拟-全程加成'!$J$5+('模拟-全程加成'!$I$4+'模拟-全程加成'!$I$5)/系数!$B$4+BG475*10%,IF(P475="命",1,IF(P475="识",0.25,0))),0)</f>
        <v>0</v>
      </c>
      <c r="AZ475" s="108">
        <f t="shared" si="386"/>
        <v>12.620000000000005</v>
      </c>
      <c r="BA475" s="108" t="b">
        <f>AND(模拟模式!$Q$10="有",AZ474=0)</f>
        <v>0</v>
      </c>
      <c r="BB475" s="140">
        <f>IF(BA475,(0+G475*0.287)*(1+J475)*(1-S475)*(1+$I$4)*IF(P475="会",'模拟-全程加成'!$J$3+'模拟-全程加成'!$J$4+'模拟-全程加成'!$J$5+('模拟-全程加成'!$I$4+'模拟-全程加成'!$I$5)/系数!$B$4+BG475*10%,IF(P475="命",1,IF(P475="识",0.25,0))),0)</f>
        <v>0</v>
      </c>
      <c r="BC475" s="115" t="b">
        <f ca="1">AND(模拟模式!$R$7="伏明众生",E475=60,F475=20,DA475&lt;5,CZ474&lt;$F$4)</f>
        <v>0</v>
      </c>
      <c r="BD475" s="115">
        <f t="shared" ca="1" si="404"/>
        <v>0</v>
      </c>
      <c r="BE475" s="115" t="b">
        <f t="shared" ca="1" si="405"/>
        <v>0</v>
      </c>
      <c r="BF475" s="47">
        <f ca="1">IF(BC475,4*('模拟-单技能数据'!$D$24+G475*'模拟-单技能数据'!$F$24)*(1+J475)*(1+'模拟-单技能数据'!$J$24)*(1-S475)*(1+$I$3)*(('模拟-全程加成'!$J$3+'模拟-全程加成'!$J$4+'模拟-全程加成'!$J$5+('模拟-全程加成'!$I$4+'模拟-全程加成'!$I$5)/系数!$B$4+BG475*10%)*('模拟-全程加成'!$J$3+'模拟-全程加成'!$J$4+'模拟-全程加成'!$J$5+('模拟-全程加成'!$I$4+'模拟-全程加成'!$I$5)/系数!$B$4+BG475*10%)+(1-('模拟-全程加成'!$J$3+'模拟-全程加成'!$J$4+'模拟-全程加成'!$J$5+('模拟-全程加成'!$I$4+'模拟-全程加成'!$I$5)/系数!$B$4+BG475*10%)-$F$10-$F$11)+F461*0.25),0)*'模拟-单技能数据'!$I$24</f>
        <v>0</v>
      </c>
      <c r="BG475" s="115" t="b">
        <f ca="1">OR(AND(OR(C475="烈日斩",C475="银月斩"),模拟模式!$I$7="净身明礼"),AND(C475="净世破魔击·日",模拟模式!$J$7="洞若观火"),AND(C476="净世破魔击·月",模拟模式!$J$7="洞若观火"),AB475=1)</f>
        <v>1</v>
      </c>
      <c r="BH475" s="115" t="b">
        <f t="shared" ca="1" si="387"/>
        <v>0</v>
      </c>
      <c r="BI475" s="115">
        <f t="shared" ca="1" si="406"/>
        <v>3.2324999999999995</v>
      </c>
      <c r="BJ475" s="115" t="b">
        <f t="shared" ca="1" si="417"/>
        <v>1</v>
      </c>
      <c r="BK475" s="115" t="b">
        <f ca="1">AND(C475="驱夜断愁",模拟模式!$P$7="天地诛戮")</f>
        <v>0</v>
      </c>
      <c r="BL475" s="57">
        <f t="shared" ca="1" si="407"/>
        <v>19.077500000000001</v>
      </c>
      <c r="BM475" s="115" t="b">
        <f t="shared" ca="1" si="418"/>
        <v>1</v>
      </c>
      <c r="BN475" s="115" t="b">
        <f ca="1">AND(OR(C475="赤日轮1",C475="赤日轮2",C475="赤日轮3",C475="幽月轮1",C475="幽月轮2",C475="幽月轮3"),AB475=1,模拟模式!$L$7="明光恒照")</f>
        <v>0</v>
      </c>
      <c r="BO475" s="117">
        <f t="shared" ca="1" si="408"/>
        <v>24.465000000000003</v>
      </c>
      <c r="BP475" s="115">
        <f t="shared" ca="1" si="388"/>
        <v>6</v>
      </c>
      <c r="BQ475" s="115" t="b">
        <f>模拟模式!$K$10="2600·水"</f>
        <v>0</v>
      </c>
      <c r="BR475" s="117">
        <f t="shared" si="389"/>
        <v>0</v>
      </c>
      <c r="BS475" s="115">
        <f t="shared" si="390"/>
        <v>0</v>
      </c>
      <c r="BT475" s="115">
        <f t="shared" ca="1" si="391"/>
        <v>0</v>
      </c>
      <c r="BU475" s="115" t="b">
        <f ca="1">AND(模拟模式!$K$10="2300·雷",BT474=0,RAND()&lt;IF(C475="净世破魔击·月",5*0.05*2/3,IF(C475="净世破魔击·日",3*0.05*2/3,0.05*2*2/3)))</f>
        <v>0</v>
      </c>
      <c r="BV475" s="115">
        <f t="shared" ca="1" si="392"/>
        <v>0</v>
      </c>
      <c r="BW475" s="115">
        <f t="shared" ca="1" si="393"/>
        <v>142.17749999999944</v>
      </c>
      <c r="BX475" s="164" t="b">
        <f t="shared" ca="1" si="394"/>
        <v>0</v>
      </c>
      <c r="BY475" s="115">
        <f t="shared" ca="1" si="395"/>
        <v>0</v>
      </c>
      <c r="BZ475" s="115">
        <f>IF(OR(模拟模式!$P$16="10人团",模拟模式!$P$16="25人团"),IF(B475/30&gt;CA474,1,0),0)</f>
        <v>0</v>
      </c>
      <c r="CA475" s="115">
        <f t="shared" si="371"/>
        <v>0</v>
      </c>
      <c r="CB475" s="115">
        <f ca="1">IF(BZ475=1,IF(模拟模式!$P$16="10人团",15,0)+IF(模拟模式!$P$16="25人团",IF(RAND()&lt;0.6,15,0)),MAX(0,CB474-$F$4))</f>
        <v>0</v>
      </c>
      <c r="CC475" s="115" t="b">
        <f t="shared" ca="1" si="419"/>
        <v>0</v>
      </c>
      <c r="CD475" s="115">
        <f>IF(模拟模式!$Q$16="1个",IF(B475/40&gt;CE474,1,0),0)</f>
        <v>0</v>
      </c>
      <c r="CE475" s="115">
        <f t="shared" si="420"/>
        <v>0</v>
      </c>
      <c r="CF475" s="115">
        <f>IF(OR(CD475=1,模拟模式!$Q$16="2个"),20,MAX(0,CF474-$F$4))</f>
        <v>0</v>
      </c>
      <c r="CG475" s="115" t="b">
        <f t="shared" si="421"/>
        <v>0</v>
      </c>
      <c r="CH475" s="115">
        <f t="shared" ca="1" si="396"/>
        <v>0</v>
      </c>
      <c r="CI475" s="115" t="b">
        <f t="shared" ca="1" si="397"/>
        <v>0</v>
      </c>
      <c r="CJ475" s="119">
        <f t="shared" ca="1" si="398"/>
        <v>0</v>
      </c>
      <c r="CK475" s="115">
        <f t="shared" ca="1" si="399"/>
        <v>0</v>
      </c>
      <c r="CL475" s="115" t="b">
        <f ca="1">AND(模拟模式!$S$7="驱夷逐法",OR(AND(C475="净世破魔击·月",E474&gt;59),AND(C475="净世破魔击·日",F474&gt;59)))</f>
        <v>0</v>
      </c>
      <c r="CM475" s="115" t="b">
        <f ca="1">OR(CL475,AND(C475="净世破魔击·日",CL474,RAND()&lt;模拟模式!$U$23))</f>
        <v>0</v>
      </c>
      <c r="CN475" s="115" t="b">
        <f ca="1">IF(模拟模式!$M$7="辉耀红尘",AND(C475="净世破魔击·月",CL475,CV475=0,E474&lt;80),AND(C475="净世破魔击·月",CL475,E474&lt;100))</f>
        <v>0</v>
      </c>
      <c r="CO475" s="115" t="b">
        <f t="shared" ca="1" si="372"/>
        <v>0</v>
      </c>
      <c r="CP475" s="115" t="b">
        <f ca="1">AND(模拟模式!$O$7="用晦而明",OR(C475="净世破魔击·日",C475="净世破魔击·月",C475="驱夜断愁"),AB475)</f>
        <v>0</v>
      </c>
      <c r="CQ475" s="115" t="b">
        <f ca="1">OR(CP475,AND(CP474,RAND()&lt;模拟模式!$U$23))</f>
        <v>1</v>
      </c>
      <c r="CR475" s="115" t="b">
        <f ca="1">AND(模拟模式!$S$7="日月齐光",OR(C475="幽月轮1",C475="幽月轮2",C475="幽月轮3",CR474),NOT(OR(C475="赤日轮1",C475="赤日轮2",C475="赤日轮3")))</f>
        <v>0</v>
      </c>
      <c r="CS475" s="115" t="b">
        <f ca="1">AND(模拟模式!$S$7="日月齐光",OR(C475="赤日轮1",C475="赤日轮2",C475="赤日轮3",CS474),NOT(OR(C475="幽月轮1",C475="幽月轮2",C475="幽月轮3")))</f>
        <v>0</v>
      </c>
      <c r="CT475" s="115">
        <f t="shared" ca="1" si="400"/>
        <v>30</v>
      </c>
      <c r="CU475" s="115" t="b">
        <f ca="1">AND(模拟模式!$K$10="阴阳往极",CT474=0,RAND()&lt;IF(C475="净世破魔击·月",0.0275*7/3,IF(C475="净世破魔击·日",0.0275*3/3,0.0275*2/3)))</f>
        <v>1</v>
      </c>
      <c r="CV475" s="115">
        <f t="shared" ca="1" si="401"/>
        <v>4.0774999999999997</v>
      </c>
      <c r="CW475" s="115">
        <f t="shared" ca="1" si="373"/>
        <v>6</v>
      </c>
      <c r="CX475" s="115">
        <f t="shared" ca="1" si="374"/>
        <v>4.1549999999999994</v>
      </c>
      <c r="CY475" s="115">
        <f ca="1">MAX(IF($C475="驱夜断愁",IF(模拟模式!$R$7="万念俱寂",6,45),CY474-$F$4),0)</f>
        <v>5.0774999999999997</v>
      </c>
      <c r="CZ475" s="115">
        <f t="shared" ca="1" si="375"/>
        <v>0</v>
      </c>
      <c r="DA475" s="115">
        <f ca="1">IF(模拟模式!$N$7="日月同辉",IF(DB474=2,0,MIN(6,IF(AND(OR(C475="赤日轮1",C475="赤日轮2",C475="赤日轮3",C475="幽月轮1",C475="幽月轮2",C475="幽月轮3"),AB475=1),DA474+1,DA474))),0)</f>
        <v>0</v>
      </c>
      <c r="DB475" s="115">
        <f t="shared" ca="1" si="376"/>
        <v>0</v>
      </c>
      <c r="DC475" s="115"/>
      <c r="DD475" s="115"/>
      <c r="DE475" s="115"/>
      <c r="DF475" s="115"/>
      <c r="DG475" s="115"/>
      <c r="DH475" s="115"/>
      <c r="DI475" s="115"/>
      <c r="DJ475" s="115"/>
      <c r="DK475" s="115"/>
      <c r="DL475" s="115"/>
      <c r="DM475" s="115"/>
    </row>
    <row r="476" spans="2:117" x14ac:dyDescent="0.2">
      <c r="B476" s="117">
        <f t="shared" si="377"/>
        <v>414.20250000000414</v>
      </c>
      <c r="C476" s="167" t="str">
        <f t="shared" ref="C476:C539" ca="1" si="426">IF(F475=100,"净世破魔击·月",IF(E475=100,"净世破魔击·日",IF(E475&lt;20,IF(C475="赤日轮1","赤日轮2",IF(C475="赤日轮2","赤日轮3","赤日轮1")),IF(AND(E475&gt;19,F475&lt;44,CX475&lt;$F$4),"银月斩",IF(AND(E475&lt;40,CY475&lt;$F$4),"驱夜断愁",IF(AND(E475&lt;60,CW475&lt;$F$4),"烈日斩",IF(C475="幽月轮1","幽月轮2",IF(C475="幽月轮2","幽月轮3","幽月轮1"))))))))</f>
        <v>净世破魔击·月</v>
      </c>
      <c r="D476" s="115">
        <f ca="1">IF(C476="赤日轮1",1,IF(C476="赤日轮2",2,IF(C476="赤日轮3",3,IF(C476="幽月轮1",4,IF(C476="幽月轮2",5,IF(C476="幽月轮3",6,IF(C476="烈日斩",7,IF(C476="银月斩",8,IF(C476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476="净世破魔击·月",17,IF(C476="驱夜断愁",18,0)))))))))))</f>
        <v>17</v>
      </c>
      <c r="E476" s="115">
        <f ca="1">IF(AND(CU476,OR(C476="幽月轮1",C476="幽月轮2",C476="幽月轮3",C476="银月斩",C476="驱夜断愁",C476="净世破魔击·月")),100,MIN(IF(OR(CN476,BE476),0,IF(OR($C476="赤日轮1",$C476="赤日轮2",$C476="赤日轮3"),E475+20+IF(模拟模式!$I$7="日月凌天",4,0)+IF(CR475,20,0),IF($C476="烈日斩",E475+40,IF($C476="驱夜断愁",IF(模拟模式!$R$7="万念俱寂",E475+20,E475+60),IF($C476="净世破魔击·月",IF(OR(DB475&gt;0,CV475&gt;0),100,IF(模拟模式!$M$7="辉耀红尘",E475+20,E475)),IF($C476="净世破魔击·日",E475-100,E475)))))),100))</f>
        <v>100</v>
      </c>
      <c r="F476" s="115">
        <f ca="1">IF(AND(CU476,OR(C476="赤日轮1",C476="赤日轮2",C476="赤日轮3",C476="烈日斩",C476="净世破魔击·日")),100,MIN(IF(CO476,0,IF(OR($C476="幽月轮1",$C476="幽月轮2",$C476="幽月轮3"),F475+20+IF(模拟模式!$I$7="日月凌天",4,0)+IF(CS475,20,0),IF($C476="银月斩",F475+40+IF(模拟模式!$X$12=1,5,0),IF($C476="驱夜断愁",IF(模拟模式!$R$7="万念俱寂",F475+20,F475+60),IF($C476="净世破魔击·月",IF(模拟模式!$M$7="辉耀红尘",F475-80,F475-100),IF(AND(C476="净世破魔击·日",OR(DB475&gt;0,CV475&gt;0)),100,F475)))))),100))</f>
        <v>20</v>
      </c>
      <c r="G476" s="117">
        <f ca="1">('模拟-全程加成'!$E$3+'模拟-全程加成'!$E$4+'模拟-全程加成'!$E$5+('模拟-全程加成'!$C$6-'模拟-全程加成'!$C$3)*系数!$B$9+BS476*23)*(1+'模拟-全程加成'!$F$4+'模拟-全程加成'!$F$5+BJ476*10%+BM476*20%+BP476*4%+CG476*30%)+$F$7*系数!$B$12</f>
        <v>21493.829400000002</v>
      </c>
      <c r="H476" s="45">
        <f ca="1">'模拟-全程加成'!$H$3+'模拟-全程加成'!$H$4+'模拟-全程加成'!$H$5+('模拟-全程加成'!$G$4+'模拟-全程加成'!$G$5+('模拟-全程加成'!$C$6-'模拟-全程加成'!$C$3)*系数!$B$13)/系数!$B$3+LOOKUP(D476,'模拟-单技能数据'!$A$2:$A$19,'模拟-单技能数据'!$K$2:$K$19)+BG476*10%+IF(BV476&gt;0,378,0)</f>
        <v>0.54185145527300216</v>
      </c>
      <c r="I476" s="45">
        <f ca="1">'模拟-全程加成'!$J$3+'模拟-全程加成'!$J$4+'模拟-全程加成'!$J$5+('模拟-全程加成'!$I$4+'模拟-全程加成'!$I$5)/系数!$B$4+LOOKUP(D476,'模拟-单技能数据'!$A$2:$A$19,'模拟-单技能数据'!$L$2:$L$19)+BG476*10%</f>
        <v>2.162482885499879</v>
      </c>
      <c r="J476" s="45">
        <f ca="1">(('模拟-全程加成'!$K$3+'模拟-全程加成'!$K$4+'模拟-全程加成'!$K$5+('模拟-全程加成'!$C$6-'模拟-全程加成'!$C$3)*系数!$B$10+IF(BV476&gt;0,882,0)+IF(BY476&gt;0,1831,0))*(1+'模拟-全程加成'!$L$4+'模拟-全程加成'!$L$5+CC476*20%))/系数!$B$5</f>
        <v>0.69723220422048726</v>
      </c>
      <c r="K476" s="119">
        <f ca="1">LOOKUP(D476,'模拟-单技能数据'!$A$2:$A$19,'模拟-单技能数据'!$J$2:$J$19)+IF(CM476,60%,0)+IF(DB475-DB476&gt;0,30%,0)+IF(OR(AND(OR(C476="赤日轮1",C476="赤日轮2",C476="赤日轮3"),CR476),AND(OR(C476="幽月轮1",C476="幽月轮2",C476="幽月轮3"),CS476)),35%,0)+CJ476</f>
        <v>0.8</v>
      </c>
      <c r="L476" s="119">
        <f ca="1">IF(AND(C476="烈日斩",模拟模式!$X$11=1),10%,0)+IF(AND(C476="驱夜断愁",AB476=1),30%,0)</f>
        <v>0</v>
      </c>
      <c r="M476" s="45">
        <f t="shared" ca="1" si="409"/>
        <v>0.54185145527300216</v>
      </c>
      <c r="N476" s="45">
        <f t="shared" ca="1" si="410"/>
        <v>0.40424854472699789</v>
      </c>
      <c r="O476" s="46">
        <f t="shared" ca="1" si="378"/>
        <v>0.98511150996746766</v>
      </c>
      <c r="P476" s="46" t="str">
        <f t="shared" ca="1" si="379"/>
        <v>命</v>
      </c>
      <c r="Q476" s="45">
        <f t="shared" ca="1" si="380"/>
        <v>1</v>
      </c>
      <c r="R476" s="117">
        <f ca="1">模拟模式!$E$20*(1-IF(模拟模式!$J$19="有",0.15,0))*(1-IF(模拟模式!$K$19="有",0.3,0)-IF(CQ476,0.5,0))</f>
        <v>843.02999999999975</v>
      </c>
      <c r="S476" s="45">
        <f ca="1">R476/(R476+(185*模拟模式!$E$22-16800)*4.08224)</f>
        <v>8.389626085980037E-2</v>
      </c>
      <c r="T476" s="45" t="str">
        <f ca="1">LOOKUP(D476,'模拟-单技能数据'!$A$2:$A$19,'模拟-单技能数据'!$H$2:$H$19)</f>
        <v>阴</v>
      </c>
      <c r="U476" s="119">
        <f t="shared" ca="1" si="411"/>
        <v>0.08</v>
      </c>
      <c r="V476" s="47">
        <f ca="1">(1+L476)*(LOOKUP(D476,'模拟-单技能数据'!$A$2:$A$19,'模拟-单技能数据'!$D$2:$D$19)+G476*LOOKUP(D476,'模拟-单技能数据'!$A$2:$A$19,'模拟-单技能数据'!$F$2:$F$19))*(1+J476)*(1+K476)*(1-S476)*(1+U476)*Q476*LOOKUP(D476,'模拟-单技能数据'!$A$2:$A$19,'模拟-单技能数据'!$I$2:$I$20)</f>
        <v>84412.793434348554</v>
      </c>
      <c r="W476" s="47">
        <f ca="1">LOOKUP(D476,'模拟-单技能数据'!$A$2:$A$19,'模拟-单技能数据'!$G$2:$G$19)*$I$10</f>
        <v>361.51064354704795</v>
      </c>
      <c r="X476" s="47">
        <f t="shared" ca="1" si="381"/>
        <v>18267.791680175058</v>
      </c>
      <c r="Y476" s="47">
        <f t="shared" ca="1" si="412"/>
        <v>103042.09575807066</v>
      </c>
      <c r="Z476" s="49">
        <f t="shared" ca="1" si="413"/>
        <v>46972788.163414791</v>
      </c>
      <c r="AA476" s="97">
        <f t="shared" ca="1" si="414"/>
        <v>113405.37095602833</v>
      </c>
      <c r="AB476" s="115">
        <f ca="1">IF(OR(C476="赤日轮1",C476="赤日轮2",C476="赤日轮3"),IF(RAND()&lt;模拟模式!$Y$17,1,0),IF(OR(C476="幽月轮1",C476="幽月轮2",C476="幽月轮3"),IF(RAND()&lt;模拟模式!$Y$18,1,0),IF(C476="烈日斩",IF(RAND()&lt;模拟模式!$Y$19,1,0),IF(C476="银月斩",IF(RAND()&lt;模拟模式!$Y$20,1,0),IF(C476="驱夜断愁",IF(RAND()&lt;模拟模式!$Y$21,1,0),IF(C476="净世破魔击·日",IF(RAND()&lt;模拟模式!$Y$22,1,0),IF(C476="净世破魔击·月",IF(RAND()&lt;模拟模式!$Y$23,1,0),0)))))))</f>
        <v>1</v>
      </c>
      <c r="AC476" s="115" t="b">
        <f t="shared" ca="1" si="402"/>
        <v>0</v>
      </c>
      <c r="AD476" s="115" t="b">
        <f t="shared" ca="1" si="422"/>
        <v>1</v>
      </c>
      <c r="AE476" s="115">
        <f t="shared" ca="1" si="423"/>
        <v>4</v>
      </c>
      <c r="AF476" s="47">
        <f ca="1">IF(AC476,('模拟-单技能数据'!$D$20+G476*'模拟-单技能数据'!$F$20)*(1+J476)*(1+'模拟-单技能数据'!$J$20)*(1+U476),0)</f>
        <v>0</v>
      </c>
      <c r="AG476" s="61">
        <f t="shared" ca="1" si="415"/>
        <v>0.64185145527300214</v>
      </c>
      <c r="AH476" s="61">
        <f t="shared" ca="1" si="416"/>
        <v>2.2624828854998791</v>
      </c>
      <c r="AI476" s="62">
        <f t="shared" ca="1" si="382"/>
        <v>4.0283505763529681E-2</v>
      </c>
      <c r="AJ476" s="47">
        <f ca="1">IF(AD476,IF(AI476&lt;$F$10,0,IF(AI476&lt;$F$10+$F$11,0.25,IF(AI476&lt;$F$10+$F$11+AG476,AH476,1)))*IF(AF476&gt;0,AF476,IF(AF475&gt;0,AF475,IF(AF474&gt;0,AF474,IF(AF473&gt;0,AF473,IF(AF472&gt;0,AF472,IF(AF471&gt;0,AF471,IF(AF470&gt;0,AF470,IF(AF469&gt;0,AF469,IF(AF468&gt;0,AF468,IF(AF466&gt;0,AF466,IF(AF465&gt;0,AF465,IF(AF464&gt;0,AF464,0)))))))))))),0)*(1-$S476)*'模拟-单技能数据'!$I$20</f>
        <v>1062.6220839292735</v>
      </c>
      <c r="AK476" s="115" t="b">
        <f t="shared" ca="1" si="403"/>
        <v>0</v>
      </c>
      <c r="AL476" s="115" t="b">
        <f t="shared" ca="1" si="424"/>
        <v>0</v>
      </c>
      <c r="AM476" s="115">
        <f t="shared" ca="1" si="425"/>
        <v>3</v>
      </c>
      <c r="AN476" s="47">
        <f ca="1">IF(AK476,('模拟-单技能数据'!$D$21+G476*'模拟-单技能数据'!$F$21)*(1+J476)*(1+'模拟-单技能数据'!$J$21)*(1+U476),0)</f>
        <v>0</v>
      </c>
      <c r="AO476" s="61">
        <f ca="1">IF(AN476&gt;0,M476-'模拟-单技能数据'!$K$10,AO475)</f>
        <v>0.42185145527300216</v>
      </c>
      <c r="AP476" s="61">
        <f ca="1">IF(AN476&gt;0,I476-'模拟-单技能数据'!$L$10,AP475)</f>
        <v>2.162482885499879</v>
      </c>
      <c r="AQ476" s="63">
        <f t="shared" ca="1" si="383"/>
        <v>0.42690175934533836</v>
      </c>
      <c r="AR476" s="64">
        <f ca="1">IF(AL476,IF(AQ476&lt;$F$10,0,IF(AQ476&lt;$F$10+$F$11,0.25,IF(AQ476&lt;$F$10+$F$11+AO476,AP476,1)))*IF(AN476&gt;0,AN476,IF(AN475&gt;0,AN475,IF(AN474&gt;0,AN474,IF(AN473&gt;0,AN473,IF(AN472&gt;0,AN472,IF(AN471&gt;0,AN471,IF(AN470&gt;0,AN470,IF(AN469&gt;0,AN469,IF(AN468&gt;0,AN468,IF(AN466&gt;0,AN466,IF(AN465&gt;0,AN465,IF(AN464&gt;0,AN464,0)))))))))))),0)*(1-$S476)*'模拟-单技能数据'!$I$21</f>
        <v>0</v>
      </c>
      <c r="AS476" s="61">
        <f ca="1">IF(OR(C476="净世破魔击·日",C476="净世破魔击·月"),M476-'模拟-单技能数据'!$K$10,0)</f>
        <v>0.42185145527300216</v>
      </c>
      <c r="AT476" s="61">
        <f ca="1">IF(OR(C476="净世破魔击·日",C476="净世破魔击·月"),I476-'模拟-单技能数据'!$L$10,0)</f>
        <v>2.162482885499879</v>
      </c>
      <c r="AU476" s="62">
        <f t="shared" ca="1" si="384"/>
        <v>0.22568881234023819</v>
      </c>
      <c r="AV476" s="64">
        <f ca="1">IF(AS476&gt;0,('模拟-单技能数据'!$D$22+G476*'模拟-单技能数据'!$F$22)*(1+J476)*(1-S476)*IF(AU476&lt;$F$10,0,IF(AU476&lt;$F$10+$F$11,0.25,IF(AU476&lt;$F$10+$F$11+AS476,AT476,1)))*(1+U476),0)*'模拟-单技能数据'!$I$22</f>
        <v>17205.169596245785</v>
      </c>
      <c r="AW476" s="108">
        <f t="shared" ca="1" si="385"/>
        <v>0</v>
      </c>
      <c r="AX476" s="108" t="b">
        <f ca="1">AND(模拟模式!$P$10="有",AW475=0,RAND()&lt;IF(C476="净世破魔击·月",0.1*8/3,IF(C476="净世破魔击·日",0.1*4/3,0.1*2/3)))</f>
        <v>0</v>
      </c>
      <c r="AY476" s="47">
        <f ca="1">IF(AX476,(18+G476*0.722)*(1+J476)*(1-S476)*(1+$I$4)*IF(P476="会",'模拟-全程加成'!$J$3+'模拟-全程加成'!$J$4+'模拟-全程加成'!$J$5+('模拟-全程加成'!$I$4+'模拟-全程加成'!$I$5)/系数!$B$4+BG476*10%,IF(P476="命",1,IF(P476="识",0.25,0))),0)</f>
        <v>0</v>
      </c>
      <c r="AZ476" s="108">
        <f t="shared" si="386"/>
        <v>11.697500000000005</v>
      </c>
      <c r="BA476" s="108" t="b">
        <f>AND(模拟模式!$Q$10="有",AZ475=0)</f>
        <v>0</v>
      </c>
      <c r="BB476" s="140">
        <f>IF(BA476,(0+G476*0.287)*(1+J476)*(1-S476)*(1+$I$4)*IF(P476="会",'模拟-全程加成'!$J$3+'模拟-全程加成'!$J$4+'模拟-全程加成'!$J$5+('模拟-全程加成'!$I$4+'模拟-全程加成'!$I$5)/系数!$B$4+BG476*10%,IF(P476="命",1,IF(P476="识",0.25,0))),0)</f>
        <v>0</v>
      </c>
      <c r="BC476" s="115" t="b">
        <f ca="1">AND(模拟模式!$R$7="伏明众生",E476=60,F476=20,DA476&lt;5,CZ475&lt;$F$4)</f>
        <v>0</v>
      </c>
      <c r="BD476" s="115">
        <f t="shared" ca="1" si="404"/>
        <v>0</v>
      </c>
      <c r="BE476" s="115" t="b">
        <f t="shared" ca="1" si="405"/>
        <v>0</v>
      </c>
      <c r="BF476" s="47">
        <f ca="1">IF(BC476,4*('模拟-单技能数据'!$D$24+G476*'模拟-单技能数据'!$F$24)*(1+J476)*(1+'模拟-单技能数据'!$J$24)*(1-S476)*(1+$I$3)*(('模拟-全程加成'!$J$3+'模拟-全程加成'!$J$4+'模拟-全程加成'!$J$5+('模拟-全程加成'!$I$4+'模拟-全程加成'!$I$5)/系数!$B$4+BG476*10%)*('模拟-全程加成'!$J$3+'模拟-全程加成'!$J$4+'模拟-全程加成'!$J$5+('模拟-全程加成'!$I$4+'模拟-全程加成'!$I$5)/系数!$B$4+BG476*10%)+(1-('模拟-全程加成'!$J$3+'模拟-全程加成'!$J$4+'模拟-全程加成'!$J$5+('模拟-全程加成'!$I$4+'模拟-全程加成'!$I$5)/系数!$B$4+BG476*10%)-$F$10-$F$11)+F462*0.25),0)*'模拟-单技能数据'!$I$24</f>
        <v>0</v>
      </c>
      <c r="BG476" s="115" t="b">
        <f ca="1">OR(AND(OR(C476="烈日斩",C476="银月斩"),模拟模式!$I$7="净身明礼"),AND(C476="净世破魔击·日",模拟模式!$J$7="洞若观火"),AND(C477="净世破魔击·月",模拟模式!$J$7="洞若观火"),AB476=1)</f>
        <v>1</v>
      </c>
      <c r="BH476" s="115" t="b">
        <f t="shared" ca="1" si="387"/>
        <v>0</v>
      </c>
      <c r="BI476" s="115">
        <f t="shared" ca="1" si="406"/>
        <v>2.3099999999999996</v>
      </c>
      <c r="BJ476" s="115" t="b">
        <f t="shared" ca="1" si="417"/>
        <v>1</v>
      </c>
      <c r="BK476" s="115" t="b">
        <f ca="1">AND(C476="驱夜断愁",模拟模式!$P$7="天地诛戮")</f>
        <v>0</v>
      </c>
      <c r="BL476" s="57">
        <f t="shared" ca="1" si="407"/>
        <v>18.155000000000001</v>
      </c>
      <c r="BM476" s="115" t="b">
        <f t="shared" ca="1" si="418"/>
        <v>1</v>
      </c>
      <c r="BN476" s="115" t="b">
        <f ca="1">AND(OR(C476="赤日轮1",C476="赤日轮2",C476="赤日轮3",C476="幽月轮1",C476="幽月轮2",C476="幽月轮3"),AB476=1,模拟模式!$L$7="明光恒照")</f>
        <v>0</v>
      </c>
      <c r="BO476" s="117">
        <f t="shared" ca="1" si="408"/>
        <v>23.542500000000004</v>
      </c>
      <c r="BP476" s="115">
        <f t="shared" ca="1" si="388"/>
        <v>6</v>
      </c>
      <c r="BQ476" s="115" t="b">
        <f>模拟模式!$K$10="2600·水"</f>
        <v>0</v>
      </c>
      <c r="BR476" s="117">
        <f t="shared" si="389"/>
        <v>0</v>
      </c>
      <c r="BS476" s="115">
        <f t="shared" si="390"/>
        <v>0</v>
      </c>
      <c r="BT476" s="115">
        <f t="shared" ca="1" si="391"/>
        <v>0</v>
      </c>
      <c r="BU476" s="115" t="b">
        <f ca="1">AND(模拟模式!$K$10="2300·雷",BT475=0,RAND()&lt;IF(C476="净世破魔击·月",5*0.05*2/3,IF(C476="净世破魔击·日",3*0.05*2/3,0.05*2*2/3)))</f>
        <v>0</v>
      </c>
      <c r="BV476" s="115">
        <f t="shared" ca="1" si="392"/>
        <v>0</v>
      </c>
      <c r="BW476" s="115">
        <f t="shared" ca="1" si="393"/>
        <v>141.25499999999943</v>
      </c>
      <c r="BX476" s="164" t="b">
        <f t="shared" ca="1" si="394"/>
        <v>0</v>
      </c>
      <c r="BY476" s="115">
        <f t="shared" ca="1" si="395"/>
        <v>0</v>
      </c>
      <c r="BZ476" s="115">
        <f>IF(OR(模拟模式!$P$16="10人团",模拟模式!$P$16="25人团"),IF(B476/30&gt;CA475,1,0),0)</f>
        <v>0</v>
      </c>
      <c r="CA476" s="115">
        <f t="shared" ref="CA476:CA539" si="427">CA475+BZ476</f>
        <v>0</v>
      </c>
      <c r="CB476" s="115">
        <f ca="1">IF(BZ476=1,IF(模拟模式!$P$16="10人团",15,0)+IF(模拟模式!$P$16="25人团",IF(RAND()&lt;0.6,15,0)),MAX(0,CB475-$F$4))</f>
        <v>0</v>
      </c>
      <c r="CC476" s="115" t="b">
        <f t="shared" ca="1" si="419"/>
        <v>0</v>
      </c>
      <c r="CD476" s="115">
        <f>IF(模拟模式!$Q$16="1个",IF(B476/40&gt;CE475,1,0),0)</f>
        <v>0</v>
      </c>
      <c r="CE476" s="115">
        <f t="shared" si="420"/>
        <v>0</v>
      </c>
      <c r="CF476" s="115">
        <f>IF(OR(CD476=1,模拟模式!$Q$16="2个"),20,MAX(0,CF475-$F$4))</f>
        <v>0</v>
      </c>
      <c r="CG476" s="115" t="b">
        <f t="shared" si="421"/>
        <v>0</v>
      </c>
      <c r="CH476" s="115">
        <f t="shared" ca="1" si="396"/>
        <v>0</v>
      </c>
      <c r="CI476" s="115" t="b">
        <f t="shared" ca="1" si="397"/>
        <v>0</v>
      </c>
      <c r="CJ476" s="119">
        <f t="shared" ca="1" si="398"/>
        <v>0</v>
      </c>
      <c r="CK476" s="115">
        <f t="shared" ca="1" si="399"/>
        <v>0</v>
      </c>
      <c r="CL476" s="115" t="b">
        <f ca="1">AND(模拟模式!$S$7="驱夷逐法",OR(AND(C476="净世破魔击·月",E475&gt;59),AND(C476="净世破魔击·日",F475&gt;59)))</f>
        <v>1</v>
      </c>
      <c r="CM476" s="115" t="b">
        <f ca="1">OR(CL476,AND(C476="净世破魔击·日",CL475,RAND()&lt;模拟模式!$U$23))</f>
        <v>1</v>
      </c>
      <c r="CN476" s="115" t="b">
        <f ca="1">IF(模拟模式!$M$7="辉耀红尘",AND(C476="净世破魔击·月",CL476,CV476=0,E475&lt;80),AND(C476="净世破魔击·月",CL476,E475&lt;100))</f>
        <v>0</v>
      </c>
      <c r="CO476" s="115" t="b">
        <f t="shared" ref="CO476:CO539" ca="1" si="428">AND(C476="净世破魔击·日",CL476,CV476=0)</f>
        <v>0</v>
      </c>
      <c r="CP476" s="115" t="b">
        <f ca="1">AND(模拟模式!$O$7="用晦而明",OR(C476="净世破魔击·日",C476="净世破魔击·月",C476="驱夜断愁"),AB476)</f>
        <v>1</v>
      </c>
      <c r="CQ476" s="115" t="b">
        <f ca="1">OR(CP476,AND(CP475,RAND()&lt;模拟模式!$U$23))</f>
        <v>1</v>
      </c>
      <c r="CR476" s="115" t="b">
        <f ca="1">AND(模拟模式!$S$7="日月齐光",OR(C476="幽月轮1",C476="幽月轮2",C476="幽月轮3",CR475),NOT(OR(C476="赤日轮1",C476="赤日轮2",C476="赤日轮3")))</f>
        <v>0</v>
      </c>
      <c r="CS476" s="115" t="b">
        <f ca="1">AND(模拟模式!$S$7="日月齐光",OR(C476="赤日轮1",C476="赤日轮2",C476="赤日轮3",CS475),NOT(OR(C476="幽月轮1",C476="幽月轮2",C476="幽月轮3")))</f>
        <v>0</v>
      </c>
      <c r="CT476" s="115">
        <f t="shared" ca="1" si="400"/>
        <v>29.077500000000001</v>
      </c>
      <c r="CU476" s="115" t="b">
        <f ca="1">AND(模拟模式!$K$10="阴阳往极",CT475=0,RAND()&lt;IF(C476="净世破魔击·月",0.0275*7/3,IF(C476="净世破魔击·日",0.0275*3/3,0.0275*2/3)))</f>
        <v>0</v>
      </c>
      <c r="CV476" s="115">
        <f t="shared" ca="1" si="401"/>
        <v>3.1549999999999998</v>
      </c>
      <c r="CW476" s="115">
        <f t="shared" ref="CW476:CW539" ca="1" si="429">MAX(IF($C476="烈日斩",6,CW475-$F$4),0)</f>
        <v>5.0774999999999997</v>
      </c>
      <c r="CX476" s="115">
        <f t="shared" ref="CX476:CX539" ca="1" si="430">MAX(IF($C476="银月斩",6,CX475-$F$4),0)</f>
        <v>3.2324999999999995</v>
      </c>
      <c r="CY476" s="115">
        <f ca="1">MAX(IF($C476="驱夜断愁",IF(模拟模式!$R$7="万念俱寂",6,45),CY475-$F$4),0)</f>
        <v>4.1549999999999994</v>
      </c>
      <c r="CZ476" s="115">
        <f t="shared" ref="CZ476:CZ539" ca="1" si="431">IF(BC476,25,MAX(0,CZ475-$F$4))</f>
        <v>0</v>
      </c>
      <c r="DA476" s="115">
        <f ca="1">IF(模拟模式!$N$7="日月同辉",IF(DB475=2,0,MIN(6,IF(AND(OR(C476="赤日轮1",C476="赤日轮2",C476="赤日轮3",C476="幽月轮1",C476="幽月轮2",C476="幽月轮3"),AB476=1),DA475+1,DA475))),0)</f>
        <v>0</v>
      </c>
      <c r="DB476" s="115">
        <f t="shared" ref="DB476:DB539" ca="1" si="432">MAX(0,IF(DA476=6,2,IF(OR(C476="净世破魔击·月",C476="净世破魔击·日"),DB475-1,DB475)))</f>
        <v>0</v>
      </c>
      <c r="DC476" s="115"/>
      <c r="DD476" s="115"/>
      <c r="DE476" s="115"/>
      <c r="DF476" s="115"/>
      <c r="DG476" s="115"/>
      <c r="DH476" s="115"/>
      <c r="DI476" s="115"/>
      <c r="DJ476" s="115"/>
      <c r="DK476" s="115"/>
      <c r="DL476" s="115"/>
      <c r="DM476" s="115"/>
    </row>
    <row r="477" spans="2:117" x14ac:dyDescent="0.2">
      <c r="B477" s="117">
        <f t="shared" ref="B477:B540" si="433">B476+$F$4</f>
        <v>415.12500000000415</v>
      </c>
      <c r="C477" s="167" t="str">
        <f t="shared" ca="1" si="426"/>
        <v>净世破魔击·日</v>
      </c>
      <c r="D477" s="115">
        <f ca="1">IF(C477="赤日轮1",1,IF(C477="赤日轮2",2,IF(C477="赤日轮3",3,IF(C477="幽月轮1",4,IF(C477="幽月轮2",5,IF(C477="幽月轮3",6,IF(C477="烈日斩",7,IF(C477="银月斩",8,IF(C477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477="净世破魔击·月",17,IF(C477="驱夜断愁",18,0)))))))))))</f>
        <v>9</v>
      </c>
      <c r="E477" s="115">
        <f ca="1">IF(AND(CU477,OR(C477="幽月轮1",C477="幽月轮2",C477="幽月轮3",C477="银月斩",C477="驱夜断愁",C477="净世破魔击·月")),100,MIN(IF(OR(CN477,BE477),0,IF(OR($C477="赤日轮1",$C477="赤日轮2",$C477="赤日轮3"),E476+20+IF(模拟模式!$I$7="日月凌天",4,0)+IF(CR476,20,0),IF($C477="烈日斩",E476+40,IF($C477="驱夜断愁",IF(模拟模式!$R$7="万念俱寂",E476+20,E476+60),IF($C477="净世破魔击·月",IF(OR(DB476&gt;0,CV476&gt;0),100,IF(模拟模式!$M$7="辉耀红尘",E476+20,E476)),IF($C477="净世破魔击·日",E476-100,E476)))))),100))</f>
        <v>0</v>
      </c>
      <c r="F477" s="115">
        <f ca="1">IF(AND(CU477,OR(C477="赤日轮1",C477="赤日轮2",C477="赤日轮3",C477="烈日斩",C477="净世破魔击·日")),100,MIN(IF(CO477,0,IF(OR($C477="幽月轮1",$C477="幽月轮2",$C477="幽月轮3"),F476+20+IF(模拟模式!$I$7="日月凌天",4,0)+IF(CS476,20,0),IF($C477="银月斩",F476+40+IF(模拟模式!$X$12=1,5,0),IF($C477="驱夜断愁",IF(模拟模式!$R$7="万念俱寂",F476+20,F476+60),IF($C477="净世破魔击·月",IF(模拟模式!$M$7="辉耀红尘",F476-80,F476-100),IF(AND(C477="净世破魔击·日",OR(DB476&gt;0,CV476&gt;0)),100,F476)))))),100))</f>
        <v>100</v>
      </c>
      <c r="G477" s="117">
        <f ca="1">('模拟-全程加成'!$E$3+'模拟-全程加成'!$E$4+'模拟-全程加成'!$E$5+('模拟-全程加成'!$C$6-'模拟-全程加成'!$C$3)*系数!$B$9+BS477*23)*(1+'模拟-全程加成'!$F$4+'模拟-全程加成'!$F$5+BJ477*10%+BM477*20%+BP477*4%+CG477*30%)+$F$7*系数!$B$12</f>
        <v>21493.829400000002</v>
      </c>
      <c r="H477" s="45">
        <f ca="1">'模拟-全程加成'!$H$3+'模拟-全程加成'!$H$4+'模拟-全程加成'!$H$5+('模拟-全程加成'!$G$4+'模拟-全程加成'!$G$5+('模拟-全程加成'!$C$6-'模拟-全程加成'!$C$3)*系数!$B$13)/系数!$B$3+LOOKUP(D477,'模拟-单技能数据'!$A$2:$A$19,'模拟-单技能数据'!$K$2:$K$19)+BG477*10%+IF(BV477&gt;0,378,0)</f>
        <v>0.54185145527300216</v>
      </c>
      <c r="I477" s="45">
        <f ca="1">'模拟-全程加成'!$J$3+'模拟-全程加成'!$J$4+'模拟-全程加成'!$J$5+('模拟-全程加成'!$I$4+'模拟-全程加成'!$I$5)/系数!$B$4+LOOKUP(D477,'模拟-单技能数据'!$A$2:$A$19,'模拟-单技能数据'!$L$2:$L$19)+BG477*10%</f>
        <v>2.162482885499879</v>
      </c>
      <c r="J477" s="45">
        <f ca="1">(('模拟-全程加成'!$K$3+'模拟-全程加成'!$K$4+'模拟-全程加成'!$K$5+('模拟-全程加成'!$C$6-'模拟-全程加成'!$C$3)*系数!$B$10+IF(BV477&gt;0,882,0)+IF(BY477&gt;0,1831,0))*(1+'模拟-全程加成'!$L$4+'模拟-全程加成'!$L$5+CC477*20%))/系数!$B$5</f>
        <v>0.69723220422048726</v>
      </c>
      <c r="K477" s="119">
        <f ca="1">LOOKUP(D477,'模拟-单技能数据'!$A$2:$A$19,'模拟-单技能数据'!$J$2:$J$19)+IF(CM477,60%,0)+IF(DB476-DB477&gt;0,30%,0)+IF(OR(AND(OR(C477="赤日轮1",C477="赤日轮2",C477="赤日轮3"),CR477),AND(OR(C477="幽月轮1",C477="幽月轮2",C477="幽月轮3"),CS477)),35%,0)+CJ477</f>
        <v>0.8</v>
      </c>
      <c r="L477" s="119">
        <f ca="1">IF(AND(C477="烈日斩",模拟模式!$X$11=1),10%,0)+IF(AND(C477="驱夜断愁",AB477=1),30%,0)</f>
        <v>0</v>
      </c>
      <c r="M477" s="45">
        <f t="shared" ca="1" si="409"/>
        <v>0.54185145527300216</v>
      </c>
      <c r="N477" s="45">
        <f t="shared" ca="1" si="410"/>
        <v>0.40424854472699789</v>
      </c>
      <c r="O477" s="46">
        <f t="shared" ref="O477:O540" ca="1" si="434">RAND()</f>
        <v>0.93594258608656378</v>
      </c>
      <c r="P477" s="46" t="str">
        <f t="shared" ref="P477:P540" ca="1" si="435">IF(O477&lt;$F$10,"偏",IF(O477&lt;$F$10+$F$11,"识",IF(O477&lt;$F$10+$F$11+H477,"会","命")))</f>
        <v>命</v>
      </c>
      <c r="Q477" s="45">
        <f t="shared" ref="Q477:Q540" ca="1" si="436">IF(P477="会",I477,IF(P477="命",1,IF(P477="识",0.25,0)))</f>
        <v>1</v>
      </c>
      <c r="R477" s="117">
        <f ca="1">模拟模式!$E$20*(1-IF(模拟模式!$J$19="有",0.15,0))*(1-IF(模拟模式!$K$19="有",0.3,0)-IF(CQ477,0.5,0))</f>
        <v>843.02999999999975</v>
      </c>
      <c r="S477" s="45">
        <f ca="1">R477/(R477+(185*模拟模式!$E$22-16800)*4.08224)</f>
        <v>8.389626085980037E-2</v>
      </c>
      <c r="T477" s="45" t="str">
        <f ca="1">LOOKUP(D477,'模拟-单技能数据'!$A$2:$A$19,'模拟-单技能数据'!$H$2:$H$19)</f>
        <v>阳</v>
      </c>
      <c r="U477" s="119">
        <f t="shared" ca="1" si="411"/>
        <v>0.2</v>
      </c>
      <c r="V477" s="47">
        <f ca="1">(1+L477)*(LOOKUP(D477,'模拟-单技能数据'!$A$2:$A$19,'模拟-单技能数据'!$D$2:$D$19)+G477*LOOKUP(D477,'模拟-单技能数据'!$A$2:$A$19,'模拟-单技能数据'!$F$2:$F$19))*(1+J477)*(1+K477)*(1-S477)*(1+U477)*Q477*LOOKUP(D477,'模拟-单技能数据'!$A$2:$A$19,'模拟-单技能数据'!$I$2:$I$20)</f>
        <v>94575.365106402023</v>
      </c>
      <c r="W477" s="47">
        <f ca="1">LOOKUP(D477,'模拟-单技能数据'!$A$2:$A$19,'模拟-单技能数据'!$G$2:$G$19)*$I$10</f>
        <v>723.0212870940959</v>
      </c>
      <c r="X477" s="47">
        <f t="shared" ref="X477:X540" ca="1" si="437">AJ477+AR477+AV477+BF477+AY477+BB477</f>
        <v>30724.746959395939</v>
      </c>
      <c r="Y477" s="47">
        <f t="shared" ca="1" si="412"/>
        <v>126023.13335289207</v>
      </c>
      <c r="Z477" s="49">
        <f t="shared" ca="1" si="413"/>
        <v>47098811.296767682</v>
      </c>
      <c r="AA477" s="97">
        <f t="shared" ca="1" si="414"/>
        <v>113456.93778203483</v>
      </c>
      <c r="AB477" s="115">
        <f ca="1">IF(OR(C477="赤日轮1",C477="赤日轮2",C477="赤日轮3"),IF(RAND()&lt;模拟模式!$Y$17,1,0),IF(OR(C477="幽月轮1",C477="幽月轮2",C477="幽月轮3"),IF(RAND()&lt;模拟模式!$Y$18,1,0),IF(C477="烈日斩",IF(RAND()&lt;模拟模式!$Y$19,1,0),IF(C477="银月斩",IF(RAND()&lt;模拟模式!$Y$20,1,0),IF(C477="驱夜断愁",IF(RAND()&lt;模拟模式!$Y$21,1,0),IF(C477="净世破魔击·日",IF(RAND()&lt;模拟模式!$Y$22,1,0),IF(C477="净世破魔击·月",IF(RAND()&lt;模拟模式!$Y$23,1,0),0)))))))</f>
        <v>1</v>
      </c>
      <c r="AC477" s="115" t="b">
        <f t="shared" ca="1" si="402"/>
        <v>0</v>
      </c>
      <c r="AD477" s="115" t="b">
        <f t="shared" ca="1" si="422"/>
        <v>0</v>
      </c>
      <c r="AE477" s="115">
        <f t="shared" ca="1" si="423"/>
        <v>4</v>
      </c>
      <c r="AF477" s="47">
        <f ca="1">IF(AC477,('模拟-单技能数据'!$D$20+G477*'模拟-单技能数据'!$F$20)*(1+J477)*(1+'模拟-单技能数据'!$J$20)*(1+U477),0)</f>
        <v>0</v>
      </c>
      <c r="AG477" s="61">
        <f t="shared" ca="1" si="415"/>
        <v>0.64185145527300214</v>
      </c>
      <c r="AH477" s="61">
        <f t="shared" ca="1" si="416"/>
        <v>2.2624828854998791</v>
      </c>
      <c r="AI477" s="62">
        <f t="shared" ref="AI477:AI540" ca="1" si="438">RAND()</f>
        <v>0.61006824077044908</v>
      </c>
      <c r="AJ477" s="47">
        <f ca="1">IF(AD477,IF(AI477&lt;$F$10,0,IF(AI477&lt;$F$10+$F$11,0.25,IF(AI477&lt;$F$10+$F$11+AG477,AH477,1)))*IF(AF477&gt;0,AF477,IF(AF476&gt;0,AF476,IF(AF475&gt;0,AF475,IF(AF474&gt;0,AF474,IF(AF473&gt;0,AF473,IF(AF472&gt;0,AF472,IF(AF471&gt;0,AF471,IF(AF470&gt;0,AF470,IF(AF469&gt;0,AF469,IF(AF467&gt;0,AF467,IF(AF466&gt;0,AF466,IF(AF465&gt;0,AF465,0)))))))))))),0)*(1-$S477)*'模拟-单技能数据'!$I$20</f>
        <v>0</v>
      </c>
      <c r="AK477" s="115" t="b">
        <f t="shared" ca="1" si="403"/>
        <v>1</v>
      </c>
      <c r="AL477" s="115" t="b">
        <f t="shared" ca="1" si="424"/>
        <v>1</v>
      </c>
      <c r="AM477" s="115">
        <f t="shared" ca="1" si="425"/>
        <v>5</v>
      </c>
      <c r="AN477" s="47">
        <f ca="1">IF(AK477,('模拟-单技能数据'!$D$21+G477*'模拟-单技能数据'!$F$21)*(1+J477)*(1+'模拟-单技能数据'!$J$21)*(1+U477),0)</f>
        <v>12670.936004857545</v>
      </c>
      <c r="AO477" s="61">
        <f ca="1">IF(AN477&gt;0,M477-'模拟-单技能数据'!$K$10,AO476)</f>
        <v>0.42185145527300216</v>
      </c>
      <c r="AP477" s="61">
        <f ca="1">IF(AN477&gt;0,I477-'模拟-单技能数据'!$L$10,AP476)</f>
        <v>2.162482885499879</v>
      </c>
      <c r="AQ477" s="63">
        <f t="shared" ref="AQ477:AQ540" ca="1" si="439">RAND()</f>
        <v>0.5638792062712229</v>
      </c>
      <c r="AR477" s="64">
        <f ca="1">IF(AL477,IF(AQ477&lt;$F$10,0,IF(AQ477&lt;$F$10+$F$11,0.25,IF(AQ477&lt;$F$10+$F$11+AO477,AP477,1)))*IF(AN477&gt;0,AN477,IF(AN476&gt;0,AN476,IF(AN475&gt;0,AN475,IF(AN474&gt;0,AN474,IF(AN473&gt;0,AN473,IF(AN472&gt;0,AN472,IF(AN471&gt;0,AN471,IF(AN470&gt;0,AN470,IF(AN469&gt;0,AN469,IF(AN467&gt;0,AN467,IF(AN466&gt;0,AN466,IF(AN465&gt;0,AN465,0)))))))))))),0)*(1-$S477)*'模拟-单技能数据'!$I$21</f>
        <v>11607.89185245618</v>
      </c>
      <c r="AS477" s="61">
        <f ca="1">IF(OR(C477="净世破魔击·日",C477="净世破魔击·月"),M477-'模拟-单技能数据'!$K$10,0)</f>
        <v>0.42185145527300216</v>
      </c>
      <c r="AT477" s="61">
        <f ca="1">IF(OR(C477="净世破魔击·日",C477="净世破魔击·月"),I477-'模拟-单技能数据'!$L$10,0)</f>
        <v>2.162482885499879</v>
      </c>
      <c r="AU477" s="62">
        <f t="shared" ref="AU477:AU540" ca="1" si="440">RAND()</f>
        <v>0.33926964898013623</v>
      </c>
      <c r="AV477" s="64">
        <f ca="1">IF(AS477&gt;0,('模拟-单技能数据'!$D$22+G477*'模拟-单技能数据'!$F$22)*(1+J477)*(1-S477)*IF(AU477&lt;$F$10,0,IF(AU477&lt;$F$10+$F$11,0.25,IF(AU477&lt;$F$10+$F$11+AS477,AT477,1)))*(1+U477),0)*'模拟-单技能数据'!$I$22</f>
        <v>19116.855106939758</v>
      </c>
      <c r="AW477" s="108">
        <f t="shared" ref="AW477:AW540" ca="1" si="441">IF(AX477,20-$F$4,MAX(AW476-$F$4,0))</f>
        <v>0</v>
      </c>
      <c r="AX477" s="108" t="b">
        <f ca="1">AND(模拟模式!$P$10="有",AW476=0,RAND()&lt;IF(C477="净世破魔击·月",0.1*8/3,IF(C477="净世破魔击·日",0.1*4/3,0.1*2/3)))</f>
        <v>0</v>
      </c>
      <c r="AY477" s="47">
        <f ca="1">IF(AX477,(18+G477*0.722)*(1+J477)*(1-S477)*(1+$I$4)*IF(P477="会",'模拟-全程加成'!$J$3+'模拟-全程加成'!$J$4+'模拟-全程加成'!$J$5+('模拟-全程加成'!$I$4+'模拟-全程加成'!$I$5)/系数!$B$4+BG477*10%,IF(P477="命",1,IF(P477="识",0.25,0))),0)</f>
        <v>0</v>
      </c>
      <c r="AZ477" s="108">
        <f t="shared" ref="AZ477:AZ540" si="442">IF(BA477,20-$F$4,MAX(AZ476-$F$4,0))</f>
        <v>10.775000000000006</v>
      </c>
      <c r="BA477" s="108" t="b">
        <f>AND(模拟模式!$Q$10="有",AZ476=0)</f>
        <v>0</v>
      </c>
      <c r="BB477" s="140">
        <f>IF(BA477,(0+G477*0.287)*(1+J477)*(1-S477)*(1+$I$4)*IF(P477="会",'模拟-全程加成'!$J$3+'模拟-全程加成'!$J$4+'模拟-全程加成'!$J$5+('模拟-全程加成'!$I$4+'模拟-全程加成'!$I$5)/系数!$B$4+BG477*10%,IF(P477="命",1,IF(P477="识",0.25,0))),0)</f>
        <v>0</v>
      </c>
      <c r="BC477" s="115" t="b">
        <f ca="1">AND(模拟模式!$R$7="伏明众生",E477=60,F477=20,DA477&lt;5,CZ476&lt;$F$4)</f>
        <v>0</v>
      </c>
      <c r="BD477" s="115">
        <f t="shared" ca="1" si="404"/>
        <v>0</v>
      </c>
      <c r="BE477" s="115" t="b">
        <f t="shared" ca="1" si="405"/>
        <v>0</v>
      </c>
      <c r="BF477" s="47">
        <f ca="1">IF(BC477,4*('模拟-单技能数据'!$D$24+G477*'模拟-单技能数据'!$F$24)*(1+J477)*(1+'模拟-单技能数据'!$J$24)*(1-S477)*(1+$I$3)*(('模拟-全程加成'!$J$3+'模拟-全程加成'!$J$4+'模拟-全程加成'!$J$5+('模拟-全程加成'!$I$4+'模拟-全程加成'!$I$5)/系数!$B$4+BG477*10%)*('模拟-全程加成'!$J$3+'模拟-全程加成'!$J$4+'模拟-全程加成'!$J$5+('模拟-全程加成'!$I$4+'模拟-全程加成'!$I$5)/系数!$B$4+BG477*10%)+(1-('模拟-全程加成'!$J$3+'模拟-全程加成'!$J$4+'模拟-全程加成'!$J$5+('模拟-全程加成'!$I$4+'模拟-全程加成'!$I$5)/系数!$B$4+BG477*10%)-$F$10-$F$11)+F463*0.25),0)*'模拟-单技能数据'!$I$24</f>
        <v>0</v>
      </c>
      <c r="BG477" s="115" t="b">
        <f ca="1">OR(AND(OR(C477="烈日斩",C477="银月斩"),模拟模式!$I$7="净身明礼"),AND(C477="净世破魔击·日",模拟模式!$J$7="洞若观火"),AND(C478="净世破魔击·月",模拟模式!$J$7="洞若观火"),AB477=1)</f>
        <v>1</v>
      </c>
      <c r="BH477" s="115" t="b">
        <f t="shared" ref="BH477:BH540" ca="1" si="443">RAND()&lt;IF(C477="净世破魔击·月",4*$I$7,IF(C477="净世破魔击·日",2*$I$7,$I$7))</f>
        <v>0</v>
      </c>
      <c r="BI477" s="115">
        <f t="shared" ca="1" si="406"/>
        <v>1.3874999999999997</v>
      </c>
      <c r="BJ477" s="115" t="b">
        <f t="shared" ca="1" si="417"/>
        <v>1</v>
      </c>
      <c r="BK477" s="115" t="b">
        <f ca="1">AND(C477="驱夜断愁",模拟模式!$P$7="天地诛戮")</f>
        <v>0</v>
      </c>
      <c r="BL477" s="57">
        <f t="shared" ca="1" si="407"/>
        <v>17.232500000000002</v>
      </c>
      <c r="BM477" s="115" t="b">
        <f t="shared" ca="1" si="418"/>
        <v>1</v>
      </c>
      <c r="BN477" s="115" t="b">
        <f ca="1">AND(OR(C477="赤日轮1",C477="赤日轮2",C477="赤日轮3",C477="幽月轮1",C477="幽月轮2",C477="幽月轮3"),AB477=1,模拟模式!$L$7="明光恒照")</f>
        <v>0</v>
      </c>
      <c r="BO477" s="117">
        <f t="shared" ca="1" si="408"/>
        <v>22.620000000000005</v>
      </c>
      <c r="BP477" s="115">
        <f t="shared" ref="BP477:BP540" ca="1" si="444">IF(BO477&gt;0,MIN(6,IF(BN477,BP476+1,BP476)),0)</f>
        <v>6</v>
      </c>
      <c r="BQ477" s="115" t="b">
        <f>模拟模式!$K$10="2600·水"</f>
        <v>0</v>
      </c>
      <c r="BR477" s="117">
        <f t="shared" ref="BR477:BR540" si="445">IF(BQ477,6,MAX(0,BR476-$F$4))</f>
        <v>0</v>
      </c>
      <c r="BS477" s="115">
        <f t="shared" ref="BS477:BS540" si="446">IF(BR477&gt;0,MIN(10,IF(BQ477,BS476+IF(C477="净世破魔击·月",4,IF(C477="净世破魔击·日",2,1)),BS476)),0)</f>
        <v>0</v>
      </c>
      <c r="BT477" s="115">
        <f t="shared" ref="BT477:BT540" ca="1" si="447">IF(BU477,60-$F$4,MAX(0,BT476-$F$4))</f>
        <v>0</v>
      </c>
      <c r="BU477" s="115" t="b">
        <f ca="1">AND(模拟模式!$K$10="2300·雷",BT476=0,RAND()&lt;IF(C477="净世破魔击·月",5*0.05*2/3,IF(C477="净世破魔击·日",3*0.05*2/3,0.05*2*2/3)))</f>
        <v>0</v>
      </c>
      <c r="BV477" s="115">
        <f t="shared" ref="BV477:BV540" ca="1" si="448">IF(BU477,15-$F$4,MAX(0,BV476-$F$4))</f>
        <v>0</v>
      </c>
      <c r="BW477" s="115">
        <f t="shared" ref="BW477:BW540" ca="1" si="449">IF(BX477,180-$F$4,MAX(0,BW476-$F$4))</f>
        <v>140.33249999999941</v>
      </c>
      <c r="BX477" s="164" t="b">
        <f t="shared" ref="BX477:BX540" ca="1" si="450">AND(BW476=0,OR(AND(E476=80,F476=100),CU477))</f>
        <v>0</v>
      </c>
      <c r="BY477" s="115">
        <f t="shared" ref="BY477:BY540" ca="1" si="451">IF(BX477,15-$F$4,MAX(0,BY476-$F$4))</f>
        <v>0</v>
      </c>
      <c r="BZ477" s="115">
        <f>IF(OR(模拟模式!$P$16="10人团",模拟模式!$P$16="25人团"),IF(B477/30&gt;CA476,1,0),0)</f>
        <v>0</v>
      </c>
      <c r="CA477" s="115">
        <f t="shared" si="427"/>
        <v>0</v>
      </c>
      <c r="CB477" s="115">
        <f ca="1">IF(BZ477=1,IF(模拟模式!$P$16="10人团",15,0)+IF(模拟模式!$P$16="25人团",IF(RAND()&lt;0.6,15,0)),MAX(0,CB476-$F$4))</f>
        <v>0</v>
      </c>
      <c r="CC477" s="115" t="b">
        <f t="shared" ca="1" si="419"/>
        <v>0</v>
      </c>
      <c r="CD477" s="115">
        <f>IF(模拟模式!$Q$16="1个",IF(B477/40&gt;CE476,1,0),0)</f>
        <v>0</v>
      </c>
      <c r="CE477" s="115">
        <f t="shared" si="420"/>
        <v>0</v>
      </c>
      <c r="CF477" s="115">
        <f>IF(OR(CD477=1,模拟模式!$Q$16="2个"),20,MAX(0,CF476-$F$4))</f>
        <v>0</v>
      </c>
      <c r="CG477" s="115" t="b">
        <f t="shared" si="421"/>
        <v>0</v>
      </c>
      <c r="CH477" s="115">
        <f t="shared" ref="CH477:CH540" ca="1" si="452">IF(CI477,30-$F$4,MAX(0,CH476-$F$4))</f>
        <v>0</v>
      </c>
      <c r="CI477" s="115" t="b">
        <f t="shared" ref="CI477:CI540" ca="1" si="453">AND(CH476=0,RAND()&lt;IF(C477="净世破魔击·月",4*0.2*2/3,IF(C477="净世破魔击·日",2*0.2*2/3,0.2*2/3)))</f>
        <v>0</v>
      </c>
      <c r="CJ477" s="119">
        <f t="shared" ref="CJ477:CJ540" ca="1" si="454">IF(CI477,IF(RAND()&lt;0.7,0.05,0.01),IF(CK477&gt;0,CJ476,0))</f>
        <v>0</v>
      </c>
      <c r="CK477" s="115">
        <f t="shared" ref="CK477:CK540" ca="1" si="455">IF(CI477,8-$F$4,MAX(0,CK476-$F$4))</f>
        <v>0</v>
      </c>
      <c r="CL477" s="115" t="b">
        <f ca="1">AND(模拟模式!$S$7="驱夷逐法",OR(AND(C477="净世破魔击·月",E476&gt;59),AND(C477="净世破魔击·日",F476&gt;59)))</f>
        <v>0</v>
      </c>
      <c r="CM477" s="115" t="b">
        <f ca="1">OR(CL477,AND(C477="净世破魔击·日",CL476,RAND()&lt;模拟模式!$U$23))</f>
        <v>1</v>
      </c>
      <c r="CN477" s="115" t="b">
        <f ca="1">IF(模拟模式!$M$7="辉耀红尘",AND(C477="净世破魔击·月",CL477,CV477=0,E476&lt;80),AND(C477="净世破魔击·月",CL477,E476&lt;100))</f>
        <v>0</v>
      </c>
      <c r="CO477" s="115" t="b">
        <f t="shared" ca="1" si="428"/>
        <v>0</v>
      </c>
      <c r="CP477" s="115" t="b">
        <f ca="1">AND(模拟模式!$O$7="用晦而明",OR(C477="净世破魔击·日",C477="净世破魔击·月",C477="驱夜断愁"),AB477)</f>
        <v>1</v>
      </c>
      <c r="CQ477" s="115" t="b">
        <f ca="1">OR(CP477,AND(CP476,RAND()&lt;模拟模式!$U$23))</f>
        <v>1</v>
      </c>
      <c r="CR477" s="115" t="b">
        <f ca="1">AND(模拟模式!$S$7="日月齐光",OR(C477="幽月轮1",C477="幽月轮2",C477="幽月轮3",CR476),NOT(OR(C477="赤日轮1",C477="赤日轮2",C477="赤日轮3")))</f>
        <v>0</v>
      </c>
      <c r="CS477" s="115" t="b">
        <f ca="1">AND(模拟模式!$S$7="日月齐光",OR(C477="赤日轮1",C477="赤日轮2",C477="赤日轮3",CS476),NOT(OR(C477="幽月轮1",C477="幽月轮2",C477="幽月轮3")))</f>
        <v>0</v>
      </c>
      <c r="CT477" s="115">
        <f t="shared" ref="CT477:CT540" ca="1" si="456">IF(CU477,30,MAX(CT476-$F$4,0))</f>
        <v>28.155000000000001</v>
      </c>
      <c r="CU477" s="115" t="b">
        <f ca="1">AND(模拟模式!$K$10="阴阳往极",CT476=0,RAND()&lt;IF(C477="净世破魔击·月",0.0275*7/3,IF(C477="净世破魔击·日",0.0275*3/3,0.0275*2/3)))</f>
        <v>0</v>
      </c>
      <c r="CV477" s="115">
        <f t="shared" ref="CV477:CV540" ca="1" si="457">IF(CU477,5-$F$4,MAX(CV476-$F$4,0))</f>
        <v>2.2324999999999999</v>
      </c>
      <c r="CW477" s="115">
        <f t="shared" ca="1" si="429"/>
        <v>4.1549999999999994</v>
      </c>
      <c r="CX477" s="115">
        <f t="shared" ca="1" si="430"/>
        <v>2.3099999999999996</v>
      </c>
      <c r="CY477" s="115">
        <f ca="1">MAX(IF($C477="驱夜断愁",IF(模拟模式!$R$7="万念俱寂",6,45),CY476-$F$4),0)</f>
        <v>3.2324999999999995</v>
      </c>
      <c r="CZ477" s="115">
        <f t="shared" ca="1" si="431"/>
        <v>0</v>
      </c>
      <c r="DA477" s="115">
        <f ca="1">IF(模拟模式!$N$7="日月同辉",IF(DB476=2,0,MIN(6,IF(AND(OR(C477="赤日轮1",C477="赤日轮2",C477="赤日轮3",C477="幽月轮1",C477="幽月轮2",C477="幽月轮3"),AB477=1),DA476+1,DA476))),0)</f>
        <v>0</v>
      </c>
      <c r="DB477" s="115">
        <f t="shared" ca="1" si="432"/>
        <v>0</v>
      </c>
      <c r="DC477" s="115"/>
      <c r="DD477" s="115"/>
      <c r="DE477" s="115"/>
      <c r="DF477" s="115"/>
      <c r="DG477" s="115"/>
      <c r="DH477" s="115"/>
      <c r="DI477" s="115"/>
      <c r="DJ477" s="115"/>
      <c r="DK477" s="115"/>
      <c r="DL477" s="115"/>
      <c r="DM477" s="115"/>
    </row>
    <row r="478" spans="2:117" x14ac:dyDescent="0.2">
      <c r="B478" s="117">
        <f t="shared" si="433"/>
        <v>416.04750000000416</v>
      </c>
      <c r="C478" s="167" t="str">
        <f t="shared" ca="1" si="426"/>
        <v>净世破魔击·月</v>
      </c>
      <c r="D478" s="115">
        <f ca="1">IF(C478="赤日轮1",1,IF(C478="赤日轮2",2,IF(C478="赤日轮3",3,IF(C478="幽月轮1",4,IF(C478="幽月轮2",5,IF(C478="幽月轮3",6,IF(C478="烈日斩",7,IF(C478="银月斩",8,IF(C478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478="净世破魔击·月",17,IF(C478="驱夜断愁",18,0)))))))))))</f>
        <v>17</v>
      </c>
      <c r="E478" s="115">
        <f ca="1">IF(AND(CU478,OR(C478="幽月轮1",C478="幽月轮2",C478="幽月轮3",C478="银月斩",C478="驱夜断愁",C478="净世破魔击·月")),100,MIN(IF(OR(CN478,BE478),0,IF(OR($C478="赤日轮1",$C478="赤日轮2",$C478="赤日轮3"),E477+20+IF(模拟模式!$I$7="日月凌天",4,0)+IF(CR477,20,0),IF($C478="烈日斩",E477+40,IF($C478="驱夜断愁",IF(模拟模式!$R$7="万念俱寂",E477+20,E477+60),IF($C478="净世破魔击·月",IF(OR(DB477&gt;0,CV477&gt;0),100,IF(模拟模式!$M$7="辉耀红尘",E477+20,E477)),IF($C478="净世破魔击·日",E477-100,E477)))))),100))</f>
        <v>100</v>
      </c>
      <c r="F478" s="115">
        <f ca="1">IF(AND(CU478,OR(C478="赤日轮1",C478="赤日轮2",C478="赤日轮3",C478="烈日斩",C478="净世破魔击·日")),100,MIN(IF(CO478,0,IF(OR($C478="幽月轮1",$C478="幽月轮2",$C478="幽月轮3"),F477+20+IF(模拟模式!$I$7="日月凌天",4,0)+IF(CS477,20,0),IF($C478="银月斩",F477+40+IF(模拟模式!$X$12=1,5,0),IF($C478="驱夜断愁",IF(模拟模式!$R$7="万念俱寂",F477+20,F477+60),IF($C478="净世破魔击·月",IF(模拟模式!$M$7="辉耀红尘",F477-80,F477-100),IF(AND(C478="净世破魔击·日",OR(DB477&gt;0,CV477&gt;0)),100,F477)))))),100))</f>
        <v>20</v>
      </c>
      <c r="G478" s="117">
        <f ca="1">('模拟-全程加成'!$E$3+'模拟-全程加成'!$E$4+'模拟-全程加成'!$E$5+('模拟-全程加成'!$C$6-'模拟-全程加成'!$C$3)*系数!$B$9+BS478*23)*(1+'模拟-全程加成'!$F$4+'模拟-全程加成'!$F$5+BJ478*10%+BM478*20%+BP478*4%+CG478*30%)+$F$7*系数!$B$12</f>
        <v>21493.829400000002</v>
      </c>
      <c r="H478" s="45">
        <f ca="1">'模拟-全程加成'!$H$3+'模拟-全程加成'!$H$4+'模拟-全程加成'!$H$5+('模拟-全程加成'!$G$4+'模拟-全程加成'!$G$5+('模拟-全程加成'!$C$6-'模拟-全程加成'!$C$3)*系数!$B$13)/系数!$B$3+LOOKUP(D478,'模拟-单技能数据'!$A$2:$A$19,'模拟-单技能数据'!$K$2:$K$19)+BG478*10%+IF(BV478&gt;0,378,0)</f>
        <v>0.54185145527300216</v>
      </c>
      <c r="I478" s="45">
        <f ca="1">'模拟-全程加成'!$J$3+'模拟-全程加成'!$J$4+'模拟-全程加成'!$J$5+('模拟-全程加成'!$I$4+'模拟-全程加成'!$I$5)/系数!$B$4+LOOKUP(D478,'模拟-单技能数据'!$A$2:$A$19,'模拟-单技能数据'!$L$2:$L$19)+BG478*10%</f>
        <v>2.162482885499879</v>
      </c>
      <c r="J478" s="45">
        <f ca="1">(('模拟-全程加成'!$K$3+'模拟-全程加成'!$K$4+'模拟-全程加成'!$K$5+('模拟-全程加成'!$C$6-'模拟-全程加成'!$C$3)*系数!$B$10+IF(BV478&gt;0,882,0)+IF(BY478&gt;0,1831,0))*(1+'模拟-全程加成'!$L$4+'模拟-全程加成'!$L$5+CC478*20%))/系数!$B$5</f>
        <v>0.69723220422048726</v>
      </c>
      <c r="K478" s="119">
        <f ca="1">LOOKUP(D478,'模拟-单技能数据'!$A$2:$A$19,'模拟-单技能数据'!$J$2:$J$19)+IF(CM478,60%,0)+IF(DB477-DB478&gt;0,30%,0)+IF(OR(AND(OR(C478="赤日轮1",C478="赤日轮2",C478="赤日轮3"),CR478),AND(OR(C478="幽月轮1",C478="幽月轮2",C478="幽月轮3"),CS478)),35%,0)+CJ478</f>
        <v>0.25</v>
      </c>
      <c r="L478" s="119">
        <f ca="1">IF(AND(C478="烈日斩",模拟模式!$X$11=1),10%,0)+IF(AND(C478="驱夜断愁",AB478=1),30%,0)</f>
        <v>0</v>
      </c>
      <c r="M478" s="45">
        <f t="shared" ca="1" si="409"/>
        <v>0.54185145527300216</v>
      </c>
      <c r="N478" s="45">
        <f t="shared" ca="1" si="410"/>
        <v>0.40424854472699789</v>
      </c>
      <c r="O478" s="46">
        <f t="shared" ca="1" si="434"/>
        <v>0.34735883347886587</v>
      </c>
      <c r="P478" s="46" t="str">
        <f t="shared" ca="1" si="435"/>
        <v>会</v>
      </c>
      <c r="Q478" s="45">
        <f t="shared" ca="1" si="436"/>
        <v>2.162482885499879</v>
      </c>
      <c r="R478" s="117">
        <f ca="1">模拟模式!$E$20*(1-IF(模拟模式!$J$19="有",0.15,0))*(1-IF(模拟模式!$K$19="有",0.3,0)-IF(CQ478,0.5,0))</f>
        <v>843.02999999999975</v>
      </c>
      <c r="S478" s="45">
        <f ca="1">R478/(R478+(185*模拟模式!$E$22-16800)*4.08224)</f>
        <v>8.389626085980037E-2</v>
      </c>
      <c r="T478" s="45" t="str">
        <f ca="1">LOOKUP(D478,'模拟-单技能数据'!$A$2:$A$19,'模拟-单技能数据'!$H$2:$H$19)</f>
        <v>阴</v>
      </c>
      <c r="U478" s="119">
        <f t="shared" ca="1" si="411"/>
        <v>0.08</v>
      </c>
      <c r="V478" s="47">
        <f ca="1">(1+L478)*(LOOKUP(D478,'模拟-单技能数据'!$A$2:$A$19,'模拟-单技能数据'!$D$2:$D$19)+G478*LOOKUP(D478,'模拟-单技能数据'!$A$2:$A$19,'模拟-单技能数据'!$F$2:$F$19))*(1+J478)*(1+K478)*(1-S478)*(1+U478)*Q478*LOOKUP(D478,'模拟-单技能数据'!$A$2:$A$19,'模拟-单技能数据'!$I$2:$I$20)</f>
        <v>126764.73688820505</v>
      </c>
      <c r="W478" s="47">
        <f ca="1">LOOKUP(D478,'模拟-单技能数据'!$A$2:$A$19,'模拟-单技能数据'!$G$2:$G$19)*$I$10</f>
        <v>361.51064354704795</v>
      </c>
      <c r="X478" s="47">
        <f t="shared" ca="1" si="437"/>
        <v>26821.826710822574</v>
      </c>
      <c r="Y478" s="47">
        <f t="shared" ca="1" si="412"/>
        <v>153948.07424257469</v>
      </c>
      <c r="Z478" s="49">
        <f t="shared" ca="1" si="413"/>
        <v>47252759.371010259</v>
      </c>
      <c r="AA478" s="97">
        <f t="shared" ca="1" si="414"/>
        <v>113575.39552817836</v>
      </c>
      <c r="AB478" s="115">
        <f ca="1">IF(OR(C478="赤日轮1",C478="赤日轮2",C478="赤日轮3"),IF(RAND()&lt;模拟模式!$Y$17,1,0),IF(OR(C478="幽月轮1",C478="幽月轮2",C478="幽月轮3"),IF(RAND()&lt;模拟模式!$Y$18,1,0),IF(C478="烈日斩",IF(RAND()&lt;模拟模式!$Y$19,1,0),IF(C478="银月斩",IF(RAND()&lt;模拟模式!$Y$20,1,0),IF(C478="驱夜断愁",IF(RAND()&lt;模拟模式!$Y$21,1,0),IF(C478="净世破魔击·日",IF(RAND()&lt;模拟模式!$Y$22,1,0),IF(C478="净世破魔击·月",IF(RAND()&lt;模拟模式!$Y$23,1,0),0)))))))</f>
        <v>1</v>
      </c>
      <c r="AC478" s="115" t="b">
        <f t="shared" ca="1" si="402"/>
        <v>0</v>
      </c>
      <c r="AD478" s="115" t="b">
        <f t="shared" ca="1" si="422"/>
        <v>1</v>
      </c>
      <c r="AE478" s="115">
        <f t="shared" ca="1" si="423"/>
        <v>3</v>
      </c>
      <c r="AF478" s="47">
        <f ca="1">IF(AC478,('模拟-单技能数据'!$D$20+G478*'模拟-单技能数据'!$F$20)*(1+J478)*(1+'模拟-单技能数据'!$J$20)*(1+U478),0)</f>
        <v>0</v>
      </c>
      <c r="AG478" s="61">
        <f t="shared" ca="1" si="415"/>
        <v>0.64185145527300214</v>
      </c>
      <c r="AH478" s="61">
        <f t="shared" ca="1" si="416"/>
        <v>2.2624828854998791</v>
      </c>
      <c r="AI478" s="62">
        <f t="shared" ca="1" si="438"/>
        <v>0.24691482267972531</v>
      </c>
      <c r="AJ478" s="47">
        <f ca="1">IF(AD478,IF(AI478&lt;$F$10,0,IF(AI478&lt;$F$10+$F$11,0.25,IF(AI478&lt;$F$10+$F$11+AG478,AH478,1)))*IF(AF478&gt;0,AF478,IF(AF477&gt;0,AF477,IF(AF476&gt;0,AF476,IF(AF475&gt;0,AF475,IF(AF474&gt;0,AF474,IF(AF473&gt;0,AF473,IF(AF472&gt;0,AF472,IF(AF471&gt;0,AF471,IF(AF470&gt;0,AF470,IF(AF468&gt;0,AF468,IF(AF467&gt;0,AF467,IF(AF466&gt;0,AF466,0)))))))))))),0)*(1-$S478)*'模拟-单技能数据'!$I$20</f>
        <v>9616.6571145767884</v>
      </c>
      <c r="AK478" s="115" t="b">
        <f t="shared" ca="1" si="403"/>
        <v>0</v>
      </c>
      <c r="AL478" s="115" t="b">
        <f t="shared" ca="1" si="424"/>
        <v>0</v>
      </c>
      <c r="AM478" s="115">
        <f t="shared" ca="1" si="425"/>
        <v>5</v>
      </c>
      <c r="AN478" s="47">
        <f ca="1">IF(AK478,('模拟-单技能数据'!$D$21+G478*'模拟-单技能数据'!$F$21)*(1+J478)*(1+'模拟-单技能数据'!$J$21)*(1+U478),0)</f>
        <v>0</v>
      </c>
      <c r="AO478" s="61">
        <f ca="1">IF(AN478&gt;0,M478-'模拟-单技能数据'!$K$10,AO477)</f>
        <v>0.42185145527300216</v>
      </c>
      <c r="AP478" s="61">
        <f ca="1">IF(AN478&gt;0,I478-'模拟-单技能数据'!$L$10,AP477)</f>
        <v>2.162482885499879</v>
      </c>
      <c r="AQ478" s="63">
        <f t="shared" ca="1" si="439"/>
        <v>0.11521872961912238</v>
      </c>
      <c r="AR478" s="64">
        <f ca="1">IF(AL478,IF(AQ478&lt;$F$10,0,IF(AQ478&lt;$F$10+$F$11,0.25,IF(AQ478&lt;$F$10+$F$11+AO478,AP478,1)))*IF(AN478&gt;0,AN478,IF(AN477&gt;0,AN477,IF(AN476&gt;0,AN476,IF(AN475&gt;0,AN475,IF(AN474&gt;0,AN474,IF(AN473&gt;0,AN473,IF(AN472&gt;0,AN472,IF(AN471&gt;0,AN471,IF(AN470&gt;0,AN470,IF(AN468&gt;0,AN468,IF(AN467&gt;0,AN467,IF(AN466&gt;0,AN466,0)))))))))))),0)*(1-$S478)*'模拟-单技能数据'!$I$21</f>
        <v>0</v>
      </c>
      <c r="AS478" s="61">
        <f ca="1">IF(OR(C478="净世破魔击·日",C478="净世破魔击·月"),M478-'模拟-单技能数据'!$K$10,0)</f>
        <v>0.42185145527300216</v>
      </c>
      <c r="AT478" s="61">
        <f ca="1">IF(OR(C478="净世破魔击·日",C478="净世破魔击·月"),I478-'模拟-单技能数据'!$L$10,0)</f>
        <v>2.162482885499879</v>
      </c>
      <c r="AU478" s="62">
        <f t="shared" ca="1" si="440"/>
        <v>0.22164513014945342</v>
      </c>
      <c r="AV478" s="64">
        <f ca="1">IF(AS478&gt;0,('模拟-单技能数据'!$D$22+G478*'模拟-单技能数据'!$F$22)*(1+J478)*(1-S478)*IF(AU478&lt;$F$10,0,IF(AU478&lt;$F$10+$F$11,0.25,IF(AU478&lt;$F$10+$F$11+AS478,AT478,1)))*(1+U478),0)*'模拟-单技能数据'!$I$22</f>
        <v>17205.169596245785</v>
      </c>
      <c r="AW478" s="108">
        <f t="shared" ca="1" si="441"/>
        <v>0</v>
      </c>
      <c r="AX478" s="108" t="b">
        <f ca="1">AND(模拟模式!$P$10="有",AW477=0,RAND()&lt;IF(C478="净世破魔击·月",0.1*8/3,IF(C478="净世破魔击·日",0.1*4/3,0.1*2/3)))</f>
        <v>0</v>
      </c>
      <c r="AY478" s="47">
        <f ca="1">IF(AX478,(18+G478*0.722)*(1+J478)*(1-S478)*(1+$I$4)*IF(P478="会",'模拟-全程加成'!$J$3+'模拟-全程加成'!$J$4+'模拟-全程加成'!$J$5+('模拟-全程加成'!$I$4+'模拟-全程加成'!$I$5)/系数!$B$4+BG478*10%,IF(P478="命",1,IF(P478="识",0.25,0))),0)</f>
        <v>0</v>
      </c>
      <c r="AZ478" s="108">
        <f t="shared" si="442"/>
        <v>9.8525000000000063</v>
      </c>
      <c r="BA478" s="108" t="b">
        <f>AND(模拟模式!$Q$10="有",AZ477=0)</f>
        <v>0</v>
      </c>
      <c r="BB478" s="140">
        <f>IF(BA478,(0+G478*0.287)*(1+J478)*(1-S478)*(1+$I$4)*IF(P478="会",'模拟-全程加成'!$J$3+'模拟-全程加成'!$J$4+'模拟-全程加成'!$J$5+('模拟-全程加成'!$I$4+'模拟-全程加成'!$I$5)/系数!$B$4+BG478*10%,IF(P478="命",1,IF(P478="识",0.25,0))),0)</f>
        <v>0</v>
      </c>
      <c r="BC478" s="115" t="b">
        <f ca="1">AND(模拟模式!$R$7="伏明众生",E478=60,F478=20,DA478&lt;5,CZ477&lt;$F$4)</f>
        <v>0</v>
      </c>
      <c r="BD478" s="115">
        <f t="shared" ca="1" si="404"/>
        <v>0</v>
      </c>
      <c r="BE478" s="115" t="b">
        <f t="shared" ca="1" si="405"/>
        <v>0</v>
      </c>
      <c r="BF478" s="47">
        <f ca="1">IF(BC478,4*('模拟-单技能数据'!$D$24+G478*'模拟-单技能数据'!$F$24)*(1+J478)*(1+'模拟-单技能数据'!$J$24)*(1-S478)*(1+$I$3)*(('模拟-全程加成'!$J$3+'模拟-全程加成'!$J$4+'模拟-全程加成'!$J$5+('模拟-全程加成'!$I$4+'模拟-全程加成'!$I$5)/系数!$B$4+BG478*10%)*('模拟-全程加成'!$J$3+'模拟-全程加成'!$J$4+'模拟-全程加成'!$J$5+('模拟-全程加成'!$I$4+'模拟-全程加成'!$I$5)/系数!$B$4+BG478*10%)+(1-('模拟-全程加成'!$J$3+'模拟-全程加成'!$J$4+'模拟-全程加成'!$J$5+('模拟-全程加成'!$I$4+'模拟-全程加成'!$I$5)/系数!$B$4+BG478*10%)-$F$10-$F$11)+F464*0.25),0)*'模拟-单技能数据'!$I$24</f>
        <v>0</v>
      </c>
      <c r="BG478" s="115" t="b">
        <f ca="1">OR(AND(OR(C478="烈日斩",C478="银月斩"),模拟模式!$I$7="净身明礼"),AND(C478="净世破魔击·日",模拟模式!$J$7="洞若观火"),AND(C479="净世破魔击·月",模拟模式!$J$7="洞若观火"),AB478=1)</f>
        <v>1</v>
      </c>
      <c r="BH478" s="115" t="b">
        <f t="shared" ca="1" si="443"/>
        <v>0</v>
      </c>
      <c r="BI478" s="115">
        <f t="shared" ca="1" si="406"/>
        <v>0.46499999999999975</v>
      </c>
      <c r="BJ478" s="115" t="b">
        <f t="shared" ca="1" si="417"/>
        <v>1</v>
      </c>
      <c r="BK478" s="115" t="b">
        <f ca="1">AND(C478="驱夜断愁",模拟模式!$P$7="天地诛戮")</f>
        <v>0</v>
      </c>
      <c r="BL478" s="57">
        <f t="shared" ca="1" si="407"/>
        <v>16.310000000000002</v>
      </c>
      <c r="BM478" s="115" t="b">
        <f t="shared" ca="1" si="418"/>
        <v>1</v>
      </c>
      <c r="BN478" s="115" t="b">
        <f ca="1">AND(OR(C478="赤日轮1",C478="赤日轮2",C478="赤日轮3",C478="幽月轮1",C478="幽月轮2",C478="幽月轮3"),AB478=1,模拟模式!$L$7="明光恒照")</f>
        <v>0</v>
      </c>
      <c r="BO478" s="117">
        <f t="shared" ca="1" si="408"/>
        <v>21.697500000000005</v>
      </c>
      <c r="BP478" s="115">
        <f t="shared" ca="1" si="444"/>
        <v>6</v>
      </c>
      <c r="BQ478" s="115" t="b">
        <f>模拟模式!$K$10="2600·水"</f>
        <v>0</v>
      </c>
      <c r="BR478" s="117">
        <f t="shared" si="445"/>
        <v>0</v>
      </c>
      <c r="BS478" s="115">
        <f t="shared" si="446"/>
        <v>0</v>
      </c>
      <c r="BT478" s="115">
        <f t="shared" ca="1" si="447"/>
        <v>0</v>
      </c>
      <c r="BU478" s="115" t="b">
        <f ca="1">AND(模拟模式!$K$10="2300·雷",BT477=0,RAND()&lt;IF(C478="净世破魔击·月",5*0.05*2/3,IF(C478="净世破魔击·日",3*0.05*2/3,0.05*2*2/3)))</f>
        <v>0</v>
      </c>
      <c r="BV478" s="115">
        <f t="shared" ca="1" si="448"/>
        <v>0</v>
      </c>
      <c r="BW478" s="115">
        <f t="shared" ca="1" si="449"/>
        <v>139.4099999999994</v>
      </c>
      <c r="BX478" s="164" t="b">
        <f t="shared" ca="1" si="450"/>
        <v>0</v>
      </c>
      <c r="BY478" s="115">
        <f t="shared" ca="1" si="451"/>
        <v>0</v>
      </c>
      <c r="BZ478" s="115">
        <f>IF(OR(模拟模式!$P$16="10人团",模拟模式!$P$16="25人团"),IF(B478/30&gt;CA477,1,0),0)</f>
        <v>0</v>
      </c>
      <c r="CA478" s="115">
        <f t="shared" si="427"/>
        <v>0</v>
      </c>
      <c r="CB478" s="115">
        <f ca="1">IF(BZ478=1,IF(模拟模式!$P$16="10人团",15,0)+IF(模拟模式!$P$16="25人团",IF(RAND()&lt;0.6,15,0)),MAX(0,CB477-$F$4))</f>
        <v>0</v>
      </c>
      <c r="CC478" s="115" t="b">
        <f t="shared" ca="1" si="419"/>
        <v>0</v>
      </c>
      <c r="CD478" s="115">
        <f>IF(模拟模式!$Q$16="1个",IF(B478/40&gt;CE477,1,0),0)</f>
        <v>0</v>
      </c>
      <c r="CE478" s="115">
        <f t="shared" si="420"/>
        <v>0</v>
      </c>
      <c r="CF478" s="115">
        <f>IF(OR(CD478=1,模拟模式!$Q$16="2个"),20,MAX(0,CF477-$F$4))</f>
        <v>0</v>
      </c>
      <c r="CG478" s="115" t="b">
        <f t="shared" si="421"/>
        <v>0</v>
      </c>
      <c r="CH478" s="115">
        <f t="shared" ca="1" si="452"/>
        <v>29.077500000000001</v>
      </c>
      <c r="CI478" s="115" t="b">
        <f t="shared" ca="1" si="453"/>
        <v>1</v>
      </c>
      <c r="CJ478" s="119">
        <f t="shared" ca="1" si="454"/>
        <v>0.05</v>
      </c>
      <c r="CK478" s="115">
        <f t="shared" ca="1" si="455"/>
        <v>7.0774999999999997</v>
      </c>
      <c r="CL478" s="115" t="b">
        <f ca="1">AND(模拟模式!$S$7="驱夷逐法",OR(AND(C478="净世破魔击·月",E477&gt;59),AND(C478="净世破魔击·日",F477&gt;59)))</f>
        <v>0</v>
      </c>
      <c r="CM478" s="115" t="b">
        <f ca="1">OR(CL478,AND(C478="净世破魔击·日",CL477,RAND()&lt;模拟模式!$U$23))</f>
        <v>0</v>
      </c>
      <c r="CN478" s="115" t="b">
        <f ca="1">IF(模拟模式!$M$7="辉耀红尘",AND(C478="净世破魔击·月",CL478,CV478=0,E477&lt;80),AND(C478="净世破魔击·月",CL478,E477&lt;100))</f>
        <v>0</v>
      </c>
      <c r="CO478" s="115" t="b">
        <f t="shared" ca="1" si="428"/>
        <v>0</v>
      </c>
      <c r="CP478" s="115" t="b">
        <f ca="1">AND(模拟模式!$O$7="用晦而明",OR(C478="净世破魔击·日",C478="净世破魔击·月",C478="驱夜断愁"),AB478)</f>
        <v>1</v>
      </c>
      <c r="CQ478" s="115" t="b">
        <f ca="1">OR(CP478,AND(CP477,RAND()&lt;模拟模式!$U$23))</f>
        <v>1</v>
      </c>
      <c r="CR478" s="115" t="b">
        <f ca="1">AND(模拟模式!$S$7="日月齐光",OR(C478="幽月轮1",C478="幽月轮2",C478="幽月轮3",CR477),NOT(OR(C478="赤日轮1",C478="赤日轮2",C478="赤日轮3")))</f>
        <v>0</v>
      </c>
      <c r="CS478" s="115" t="b">
        <f ca="1">AND(模拟模式!$S$7="日月齐光",OR(C478="赤日轮1",C478="赤日轮2",C478="赤日轮3",CS477),NOT(OR(C478="幽月轮1",C478="幽月轮2",C478="幽月轮3")))</f>
        <v>0</v>
      </c>
      <c r="CT478" s="115">
        <f t="shared" ca="1" si="456"/>
        <v>27.232500000000002</v>
      </c>
      <c r="CU478" s="115" t="b">
        <f ca="1">AND(模拟模式!$K$10="阴阳往极",CT477=0,RAND()&lt;IF(C478="净世破魔击·月",0.0275*7/3,IF(C478="净世破魔击·日",0.0275*3/3,0.0275*2/3)))</f>
        <v>0</v>
      </c>
      <c r="CV478" s="115">
        <f t="shared" ca="1" si="457"/>
        <v>1.31</v>
      </c>
      <c r="CW478" s="115">
        <f t="shared" ca="1" si="429"/>
        <v>3.2324999999999995</v>
      </c>
      <c r="CX478" s="115">
        <f t="shared" ca="1" si="430"/>
        <v>1.3874999999999997</v>
      </c>
      <c r="CY478" s="115">
        <f ca="1">MAX(IF($C478="驱夜断愁",IF(模拟模式!$R$7="万念俱寂",6,45),CY477-$F$4),0)</f>
        <v>2.3099999999999996</v>
      </c>
      <c r="CZ478" s="115">
        <f t="shared" ca="1" si="431"/>
        <v>0</v>
      </c>
      <c r="DA478" s="115">
        <f ca="1">IF(模拟模式!$N$7="日月同辉",IF(DB477=2,0,MIN(6,IF(AND(OR(C478="赤日轮1",C478="赤日轮2",C478="赤日轮3",C478="幽月轮1",C478="幽月轮2",C478="幽月轮3"),AB478=1),DA477+1,DA477))),0)</f>
        <v>0</v>
      </c>
      <c r="DB478" s="115">
        <f t="shared" ca="1" si="432"/>
        <v>0</v>
      </c>
      <c r="DC478" s="115"/>
      <c r="DD478" s="115"/>
      <c r="DE478" s="115"/>
      <c r="DF478" s="115"/>
      <c r="DG478" s="115"/>
      <c r="DH478" s="115"/>
      <c r="DI478" s="115"/>
      <c r="DJ478" s="115"/>
      <c r="DK478" s="115"/>
      <c r="DL478" s="115"/>
      <c r="DM478" s="115"/>
    </row>
    <row r="479" spans="2:117" x14ac:dyDescent="0.2">
      <c r="B479" s="117">
        <f t="shared" si="433"/>
        <v>416.97000000000418</v>
      </c>
      <c r="C479" s="167" t="str">
        <f t="shared" ca="1" si="426"/>
        <v>净世破魔击·日</v>
      </c>
      <c r="D479" s="115">
        <f ca="1">IF(C479="赤日轮1",1,IF(C479="赤日轮2",2,IF(C479="赤日轮3",3,IF(C479="幽月轮1",4,IF(C479="幽月轮2",5,IF(C479="幽月轮3",6,IF(C479="烈日斩",7,IF(C479="银月斩",8,IF(C479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479="净世破魔击·月",17,IF(C479="驱夜断愁",18,0)))))))))))</f>
        <v>9</v>
      </c>
      <c r="E479" s="115">
        <f ca="1">IF(AND(CU479,OR(C479="幽月轮1",C479="幽月轮2",C479="幽月轮3",C479="银月斩",C479="驱夜断愁",C479="净世破魔击·月")),100,MIN(IF(OR(CN479,BE479),0,IF(OR($C479="赤日轮1",$C479="赤日轮2",$C479="赤日轮3"),E478+20+IF(模拟模式!$I$7="日月凌天",4,0)+IF(CR478,20,0),IF($C479="烈日斩",E478+40,IF($C479="驱夜断愁",IF(模拟模式!$R$7="万念俱寂",E478+20,E478+60),IF($C479="净世破魔击·月",IF(OR(DB478&gt;0,CV478&gt;0),100,IF(模拟模式!$M$7="辉耀红尘",E478+20,E478)),IF($C479="净世破魔击·日",E478-100,E478)))))),100))</f>
        <v>0</v>
      </c>
      <c r="F479" s="115">
        <f ca="1">IF(AND(CU479,OR(C479="赤日轮1",C479="赤日轮2",C479="赤日轮3",C479="烈日斩",C479="净世破魔击·日")),100,MIN(IF(CO479,0,IF(OR($C479="幽月轮1",$C479="幽月轮2",$C479="幽月轮3"),F478+20+IF(模拟模式!$I$7="日月凌天",4,0)+IF(CS478,20,0),IF($C479="银月斩",F478+40+IF(模拟模式!$X$12=1,5,0),IF($C479="驱夜断愁",IF(模拟模式!$R$7="万念俱寂",F478+20,F478+60),IF($C479="净世破魔击·月",IF(模拟模式!$M$7="辉耀红尘",F478-80,F478-100),IF(AND(C479="净世破魔击·日",OR(DB478&gt;0,CV478&gt;0)),100,F478)))))),100))</f>
        <v>100</v>
      </c>
      <c r="G479" s="117">
        <f ca="1">('模拟-全程加成'!$E$3+'模拟-全程加成'!$E$4+'模拟-全程加成'!$E$5+('模拟-全程加成'!$C$6-'模拟-全程加成'!$C$3)*系数!$B$9+BS479*23)*(1+'模拟-全程加成'!$F$4+'模拟-全程加成'!$F$5+BJ479*10%+BM479*20%+BP479*4%+CG479*30%)+$F$7*系数!$B$12</f>
        <v>20583.127400000001</v>
      </c>
      <c r="H479" s="45">
        <f ca="1">'模拟-全程加成'!$H$3+'模拟-全程加成'!$H$4+'模拟-全程加成'!$H$5+('模拟-全程加成'!$G$4+'模拟-全程加成'!$G$5+('模拟-全程加成'!$C$6-'模拟-全程加成'!$C$3)*系数!$B$13)/系数!$B$3+LOOKUP(D479,'模拟-单技能数据'!$A$2:$A$19,'模拟-单技能数据'!$K$2:$K$19)+BG479*10%+IF(BV479&gt;0,378,0)</f>
        <v>0.54185145527300216</v>
      </c>
      <c r="I479" s="45">
        <f ca="1">'模拟-全程加成'!$J$3+'模拟-全程加成'!$J$4+'模拟-全程加成'!$J$5+('模拟-全程加成'!$I$4+'模拟-全程加成'!$I$5)/系数!$B$4+LOOKUP(D479,'模拟-单技能数据'!$A$2:$A$19,'模拟-单技能数据'!$L$2:$L$19)+BG479*10%</f>
        <v>2.162482885499879</v>
      </c>
      <c r="J479" s="45">
        <f ca="1">(('模拟-全程加成'!$K$3+'模拟-全程加成'!$K$4+'模拟-全程加成'!$K$5+('模拟-全程加成'!$C$6-'模拟-全程加成'!$C$3)*系数!$B$10+IF(BV479&gt;0,882,0)+IF(BY479&gt;0,1831,0))*(1+'模拟-全程加成'!$L$4+'模拟-全程加成'!$L$5+CC479*20%))/系数!$B$5</f>
        <v>0.69723220422048726</v>
      </c>
      <c r="K479" s="119">
        <f ca="1">LOOKUP(D479,'模拟-单技能数据'!$A$2:$A$19,'模拟-单技能数据'!$J$2:$J$19)+IF(CM479,60%,0)+IF(DB478-DB479&gt;0,30%,0)+IF(OR(AND(OR(C479="赤日轮1",C479="赤日轮2",C479="赤日轮3"),CR479),AND(OR(C479="幽月轮1",C479="幽月轮2",C479="幽月轮3"),CS479)),35%,0)+CJ479</f>
        <v>0.25</v>
      </c>
      <c r="L479" s="119">
        <f ca="1">IF(AND(C479="烈日斩",模拟模式!$X$11=1),10%,0)+IF(AND(C479="驱夜断愁",AB479=1),30%,0)</f>
        <v>0</v>
      </c>
      <c r="M479" s="45">
        <f t="shared" ca="1" si="409"/>
        <v>0.54185145527300216</v>
      </c>
      <c r="N479" s="45">
        <f t="shared" ca="1" si="410"/>
        <v>0.40424854472699789</v>
      </c>
      <c r="O479" s="46">
        <f t="shared" ca="1" si="434"/>
        <v>0.66732541835785375</v>
      </c>
      <c r="P479" s="46" t="str">
        <f t="shared" ca="1" si="435"/>
        <v>命</v>
      </c>
      <c r="Q479" s="45">
        <f t="shared" ca="1" si="436"/>
        <v>1</v>
      </c>
      <c r="R479" s="117">
        <f ca="1">模拟模式!$E$20*(1-IF(模拟模式!$J$19="有",0.15,0))*(1-IF(模拟模式!$K$19="有",0.3,0)-IF(CQ479,0.5,0))</f>
        <v>843.02999999999975</v>
      </c>
      <c r="S479" s="45">
        <f ca="1">R479/(R479+(185*模拟模式!$E$22-16800)*4.08224)</f>
        <v>8.389626085980037E-2</v>
      </c>
      <c r="T479" s="45" t="str">
        <f ca="1">LOOKUP(D479,'模拟-单技能数据'!$A$2:$A$19,'模拟-单技能数据'!$H$2:$H$19)</f>
        <v>阳</v>
      </c>
      <c r="U479" s="119">
        <f t="shared" ca="1" si="411"/>
        <v>0.2</v>
      </c>
      <c r="V479" s="47">
        <f ca="1">(1+L479)*(LOOKUP(D479,'模拟-单技能数据'!$A$2:$A$19,'模拟-单技能数据'!$D$2:$D$19)+G479*LOOKUP(D479,'模拟-单技能数据'!$A$2:$A$19,'模拟-单技能数据'!$F$2:$F$19))*(1+J479)*(1+K479)*(1-S479)*(1+U479)*Q479*LOOKUP(D479,'模拟-单技能数据'!$A$2:$A$19,'模拟-单技能数据'!$I$2:$I$20)</f>
        <v>62915.01779696298</v>
      </c>
      <c r="W479" s="47">
        <f ca="1">LOOKUP(D479,'模拟-单技能数据'!$A$2:$A$19,'模拟-单技能数据'!$G$2:$G$19)*$I$10</f>
        <v>723.0212870940959</v>
      </c>
      <c r="X479" s="47">
        <f t="shared" ca="1" si="437"/>
        <v>13240.423439897573</v>
      </c>
      <c r="Y479" s="47">
        <f t="shared" ca="1" si="412"/>
        <v>76878.462523954644</v>
      </c>
      <c r="Z479" s="49">
        <f t="shared" ca="1" si="413"/>
        <v>47329637.833534211</v>
      </c>
      <c r="AA479" s="97">
        <f t="shared" ca="1" si="414"/>
        <v>113508.49661494528</v>
      </c>
      <c r="AB479" s="115">
        <f ca="1">IF(OR(C479="赤日轮1",C479="赤日轮2",C479="赤日轮3"),IF(RAND()&lt;模拟模式!$Y$17,1,0),IF(OR(C479="幽月轮1",C479="幽月轮2",C479="幽月轮3"),IF(RAND()&lt;模拟模式!$Y$18,1,0),IF(C479="烈日斩",IF(RAND()&lt;模拟模式!$Y$19,1,0),IF(C479="银月斩",IF(RAND()&lt;模拟模式!$Y$20,1,0),IF(C479="驱夜断愁",IF(RAND()&lt;模拟模式!$Y$21,1,0),IF(C479="净世破魔击·日",IF(RAND()&lt;模拟模式!$Y$22,1,0),IF(C479="净世破魔击·月",IF(RAND()&lt;模拟模式!$Y$23,1,0),0)))))))</f>
        <v>1</v>
      </c>
      <c r="AC479" s="115" t="b">
        <f t="shared" ca="1" si="402"/>
        <v>0</v>
      </c>
      <c r="AD479" s="115" t="b">
        <f t="shared" ca="1" si="422"/>
        <v>0</v>
      </c>
      <c r="AE479" s="115">
        <f t="shared" ca="1" si="423"/>
        <v>3</v>
      </c>
      <c r="AF479" s="47">
        <f ca="1">IF(AC479,('模拟-单技能数据'!$D$20+G479*'模拟-单技能数据'!$F$20)*(1+J479)*(1+'模拟-单技能数据'!$J$20)*(1+U479),0)</f>
        <v>0</v>
      </c>
      <c r="AG479" s="61">
        <f t="shared" ca="1" si="415"/>
        <v>0.64185145527300214</v>
      </c>
      <c r="AH479" s="61">
        <f t="shared" ca="1" si="416"/>
        <v>2.2624828854998791</v>
      </c>
      <c r="AI479" s="62">
        <f t="shared" ca="1" si="438"/>
        <v>0.37332901030856203</v>
      </c>
      <c r="AJ479" s="47">
        <f ca="1">IF(AD479,IF(AI479&lt;$F$10,0,IF(AI479&lt;$F$10+$F$11,0.25,IF(AI479&lt;$F$10+$F$11+AG479,AH479,1)))*IF(AF479&gt;0,AF479,IF(AF478&gt;0,AF478,IF(AF477&gt;0,AF477,IF(AF476&gt;0,AF476,IF(AF475&gt;0,AF475,IF(AF474&gt;0,AF474,IF(AF473&gt;0,AF473,IF(AF472&gt;0,AF472,IF(AF471&gt;0,AF471,IF(AF469&gt;0,AF469,IF(AF468&gt;0,AF468,IF(AF467&gt;0,AF467,0)))))))))))),0)*(1-$S479)*'模拟-单技能数据'!$I$20</f>
        <v>0</v>
      </c>
      <c r="AK479" s="115" t="b">
        <f t="shared" ca="1" si="403"/>
        <v>1</v>
      </c>
      <c r="AL479" s="115" t="b">
        <f t="shared" ca="1" si="424"/>
        <v>1</v>
      </c>
      <c r="AM479" s="115">
        <f t="shared" ca="1" si="425"/>
        <v>5</v>
      </c>
      <c r="AN479" s="47">
        <f ca="1">IF(AK479,('模拟-单技能数据'!$D$21+G479*'模拟-单技能数据'!$F$21)*(1+J479)*(1+'模拟-单技能数据'!$J$21)*(1+U479),0)</f>
        <v>12136.56601728573</v>
      </c>
      <c r="AO479" s="61">
        <f ca="1">IF(AN479&gt;0,M479-'模拟-单技能数据'!$K$10,AO478)</f>
        <v>0.42185145527300216</v>
      </c>
      <c r="AP479" s="61">
        <f ca="1">IF(AN479&gt;0,I479-'模拟-单技能数据'!$L$10,AP478)</f>
        <v>2.162482885499879</v>
      </c>
      <c r="AQ479" s="63">
        <f t="shared" ca="1" si="439"/>
        <v>0.79350313062672317</v>
      </c>
      <c r="AR479" s="64">
        <f ca="1">IF(AL479,IF(AQ479&lt;$F$10,0,IF(AQ479&lt;$F$10+$F$11,0.25,IF(AQ479&lt;$F$10+$F$11+AO479,AP479,1)))*IF(AN479&gt;0,AN479,IF(AN478&gt;0,AN478,IF(AN477&gt;0,AN477,IF(AN476&gt;0,AN476,IF(AN475&gt;0,AN475,IF(AN474&gt;0,AN474,IF(AN473&gt;0,AN473,IF(AN472&gt;0,AN472,IF(AN471&gt;0,AN471,IF(AN469&gt;0,AN469,IF(AN468&gt;0,AN468,IF(AN467&gt;0,AN467,0)))))))))))),0)*(1-$S479)*'模拟-单技能数据'!$I$21</f>
        <v>11118.353508757338</v>
      </c>
      <c r="AS479" s="61">
        <f ca="1">IF(OR(C479="净世破魔击·日",C479="净世破魔击·月"),M479-'模拟-单技能数据'!$K$10,0)</f>
        <v>0.42185145527300216</v>
      </c>
      <c r="AT479" s="61">
        <f ca="1">IF(OR(C479="净世破魔击·日",C479="净世破魔击·月"),I479-'模拟-单技能数据'!$L$10,0)</f>
        <v>2.162482885499879</v>
      </c>
      <c r="AU479" s="62">
        <f t="shared" ca="1" si="440"/>
        <v>4.9548258960362856E-2</v>
      </c>
      <c r="AV479" s="64">
        <f ca="1">IF(AS479&gt;0,('模拟-单技能数据'!$D$22+G479*'模拟-单技能数据'!$F$22)*(1+J479)*(1-S479)*IF(AU479&lt;$F$10,0,IF(AU479&lt;$F$10+$F$11,0.25,IF(AU479&lt;$F$10+$F$11+AS479,AT479,1)))*(1+U479),0)*'模拟-单技能数据'!$I$22</f>
        <v>2122.0699311402354</v>
      </c>
      <c r="AW479" s="108">
        <f t="shared" ca="1" si="441"/>
        <v>0</v>
      </c>
      <c r="AX479" s="108" t="b">
        <f ca="1">AND(模拟模式!$P$10="有",AW478=0,RAND()&lt;IF(C479="净世破魔击·月",0.1*8/3,IF(C479="净世破魔击·日",0.1*4/3,0.1*2/3)))</f>
        <v>0</v>
      </c>
      <c r="AY479" s="47">
        <f ca="1">IF(AX479,(18+G479*0.722)*(1+J479)*(1-S479)*(1+$I$4)*IF(P479="会",'模拟-全程加成'!$J$3+'模拟-全程加成'!$J$4+'模拟-全程加成'!$J$5+('模拟-全程加成'!$I$4+'模拟-全程加成'!$I$5)/系数!$B$4+BG479*10%,IF(P479="命",1,IF(P479="识",0.25,0))),0)</f>
        <v>0</v>
      </c>
      <c r="AZ479" s="108">
        <f t="shared" si="442"/>
        <v>8.9300000000000068</v>
      </c>
      <c r="BA479" s="108" t="b">
        <f>AND(模拟模式!$Q$10="有",AZ478=0)</f>
        <v>0</v>
      </c>
      <c r="BB479" s="140">
        <f>IF(BA479,(0+G479*0.287)*(1+J479)*(1-S479)*(1+$I$4)*IF(P479="会",'模拟-全程加成'!$J$3+'模拟-全程加成'!$J$4+'模拟-全程加成'!$J$5+('模拟-全程加成'!$I$4+'模拟-全程加成'!$I$5)/系数!$B$4+BG479*10%,IF(P479="命",1,IF(P479="识",0.25,0))),0)</f>
        <v>0</v>
      </c>
      <c r="BC479" s="115" t="b">
        <f ca="1">AND(模拟模式!$R$7="伏明众生",E479=60,F479=20,DA479&lt;5,CZ478&lt;$F$4)</f>
        <v>0</v>
      </c>
      <c r="BD479" s="115">
        <f t="shared" ca="1" si="404"/>
        <v>0</v>
      </c>
      <c r="BE479" s="115" t="b">
        <f t="shared" ca="1" si="405"/>
        <v>0</v>
      </c>
      <c r="BF479" s="47">
        <f ca="1">IF(BC479,4*('模拟-单技能数据'!$D$24+G479*'模拟-单技能数据'!$F$24)*(1+J479)*(1+'模拟-单技能数据'!$J$24)*(1-S479)*(1+$I$3)*(('模拟-全程加成'!$J$3+'模拟-全程加成'!$J$4+'模拟-全程加成'!$J$5+('模拟-全程加成'!$I$4+'模拟-全程加成'!$I$5)/系数!$B$4+BG479*10%)*('模拟-全程加成'!$J$3+'模拟-全程加成'!$J$4+'模拟-全程加成'!$J$5+('模拟-全程加成'!$I$4+'模拟-全程加成'!$I$5)/系数!$B$4+BG479*10%)+(1-('模拟-全程加成'!$J$3+'模拟-全程加成'!$J$4+'模拟-全程加成'!$J$5+('模拟-全程加成'!$I$4+'模拟-全程加成'!$I$5)/系数!$B$4+BG479*10%)-$F$10-$F$11)+F465*0.25),0)*'模拟-单技能数据'!$I$24</f>
        <v>0</v>
      </c>
      <c r="BG479" s="115" t="b">
        <f ca="1">OR(AND(OR(C479="烈日斩",C479="银月斩"),模拟模式!$I$7="净身明礼"),AND(C479="净世破魔击·日",模拟模式!$J$7="洞若观火"),AND(C480="净世破魔击·月",模拟模式!$J$7="洞若观火"),AB479=1)</f>
        <v>1</v>
      </c>
      <c r="BH479" s="115" t="b">
        <f t="shared" ca="1" si="443"/>
        <v>0</v>
      </c>
      <c r="BI479" s="115">
        <f t="shared" ca="1" si="406"/>
        <v>0</v>
      </c>
      <c r="BJ479" s="115" t="b">
        <f t="shared" ca="1" si="417"/>
        <v>0</v>
      </c>
      <c r="BK479" s="115" t="b">
        <f ca="1">AND(C479="驱夜断愁",模拟模式!$P$7="天地诛戮")</f>
        <v>0</v>
      </c>
      <c r="BL479" s="57">
        <f t="shared" ca="1" si="407"/>
        <v>15.387500000000003</v>
      </c>
      <c r="BM479" s="115" t="b">
        <f t="shared" ca="1" si="418"/>
        <v>1</v>
      </c>
      <c r="BN479" s="115" t="b">
        <f ca="1">AND(OR(C479="赤日轮1",C479="赤日轮2",C479="赤日轮3",C479="幽月轮1",C479="幽月轮2",C479="幽月轮3"),AB479=1,模拟模式!$L$7="明光恒照")</f>
        <v>0</v>
      </c>
      <c r="BO479" s="117">
        <f t="shared" ca="1" si="408"/>
        <v>20.775000000000006</v>
      </c>
      <c r="BP479" s="115">
        <f t="shared" ca="1" si="444"/>
        <v>6</v>
      </c>
      <c r="BQ479" s="115" t="b">
        <f>模拟模式!$K$10="2600·水"</f>
        <v>0</v>
      </c>
      <c r="BR479" s="117">
        <f t="shared" si="445"/>
        <v>0</v>
      </c>
      <c r="BS479" s="115">
        <f t="shared" si="446"/>
        <v>0</v>
      </c>
      <c r="BT479" s="115">
        <f t="shared" ca="1" si="447"/>
        <v>0</v>
      </c>
      <c r="BU479" s="115" t="b">
        <f ca="1">AND(模拟模式!$K$10="2300·雷",BT478=0,RAND()&lt;IF(C479="净世破魔击·月",5*0.05*2/3,IF(C479="净世破魔击·日",3*0.05*2/3,0.05*2*2/3)))</f>
        <v>0</v>
      </c>
      <c r="BV479" s="115">
        <f t="shared" ca="1" si="448"/>
        <v>0</v>
      </c>
      <c r="BW479" s="115">
        <f t="shared" ca="1" si="449"/>
        <v>138.48749999999939</v>
      </c>
      <c r="BX479" s="164" t="b">
        <f t="shared" ca="1" si="450"/>
        <v>0</v>
      </c>
      <c r="BY479" s="115">
        <f t="shared" ca="1" si="451"/>
        <v>0</v>
      </c>
      <c r="BZ479" s="115">
        <f>IF(OR(模拟模式!$P$16="10人团",模拟模式!$P$16="25人团"),IF(B479/30&gt;CA478,1,0),0)</f>
        <v>0</v>
      </c>
      <c r="CA479" s="115">
        <f t="shared" si="427"/>
        <v>0</v>
      </c>
      <c r="CB479" s="115">
        <f ca="1">IF(BZ479=1,IF(模拟模式!$P$16="10人团",15,0)+IF(模拟模式!$P$16="25人团",IF(RAND()&lt;0.6,15,0)),MAX(0,CB478-$F$4))</f>
        <v>0</v>
      </c>
      <c r="CC479" s="115" t="b">
        <f t="shared" ca="1" si="419"/>
        <v>0</v>
      </c>
      <c r="CD479" s="115">
        <f>IF(模拟模式!$Q$16="1个",IF(B479/40&gt;CE478,1,0),0)</f>
        <v>0</v>
      </c>
      <c r="CE479" s="115">
        <f t="shared" si="420"/>
        <v>0</v>
      </c>
      <c r="CF479" s="115">
        <f>IF(OR(CD479=1,模拟模式!$Q$16="2个"),20,MAX(0,CF478-$F$4))</f>
        <v>0</v>
      </c>
      <c r="CG479" s="115" t="b">
        <f t="shared" si="421"/>
        <v>0</v>
      </c>
      <c r="CH479" s="115">
        <f t="shared" ca="1" si="452"/>
        <v>28.155000000000001</v>
      </c>
      <c r="CI479" s="115" t="b">
        <f t="shared" ca="1" si="453"/>
        <v>0</v>
      </c>
      <c r="CJ479" s="119">
        <f t="shared" ca="1" si="454"/>
        <v>0.05</v>
      </c>
      <c r="CK479" s="115">
        <f t="shared" ca="1" si="455"/>
        <v>6.1549999999999994</v>
      </c>
      <c r="CL479" s="115" t="b">
        <f ca="1">AND(模拟模式!$S$7="驱夷逐法",OR(AND(C479="净世破魔击·月",E478&gt;59),AND(C479="净世破魔击·日",F478&gt;59)))</f>
        <v>0</v>
      </c>
      <c r="CM479" s="115" t="b">
        <f ca="1">OR(CL479,AND(C479="净世破魔击·日",CL478,RAND()&lt;模拟模式!$U$23))</f>
        <v>0</v>
      </c>
      <c r="CN479" s="115" t="b">
        <f ca="1">IF(模拟模式!$M$7="辉耀红尘",AND(C479="净世破魔击·月",CL479,CV479=0,E478&lt;80),AND(C479="净世破魔击·月",CL479,E478&lt;100))</f>
        <v>0</v>
      </c>
      <c r="CO479" s="115" t="b">
        <f t="shared" ca="1" si="428"/>
        <v>0</v>
      </c>
      <c r="CP479" s="115" t="b">
        <f ca="1">AND(模拟模式!$O$7="用晦而明",OR(C479="净世破魔击·日",C479="净世破魔击·月",C479="驱夜断愁"),AB479)</f>
        <v>1</v>
      </c>
      <c r="CQ479" s="115" t="b">
        <f ca="1">OR(CP479,AND(CP478,RAND()&lt;模拟模式!$U$23))</f>
        <v>1</v>
      </c>
      <c r="CR479" s="115" t="b">
        <f ca="1">AND(模拟模式!$S$7="日月齐光",OR(C479="幽月轮1",C479="幽月轮2",C479="幽月轮3",CR478),NOT(OR(C479="赤日轮1",C479="赤日轮2",C479="赤日轮3")))</f>
        <v>0</v>
      </c>
      <c r="CS479" s="115" t="b">
        <f ca="1">AND(模拟模式!$S$7="日月齐光",OR(C479="赤日轮1",C479="赤日轮2",C479="赤日轮3",CS478),NOT(OR(C479="幽月轮1",C479="幽月轮2",C479="幽月轮3")))</f>
        <v>0</v>
      </c>
      <c r="CT479" s="115">
        <f t="shared" ca="1" si="456"/>
        <v>26.310000000000002</v>
      </c>
      <c r="CU479" s="115" t="b">
        <f ca="1">AND(模拟模式!$K$10="阴阳往极",CT478=0,RAND()&lt;IF(C479="净世破魔击·月",0.0275*7/3,IF(C479="净世破魔击·日",0.0275*3/3,0.0275*2/3)))</f>
        <v>0</v>
      </c>
      <c r="CV479" s="115">
        <f t="shared" ca="1" si="457"/>
        <v>0.38750000000000007</v>
      </c>
      <c r="CW479" s="115">
        <f t="shared" ca="1" si="429"/>
        <v>2.3099999999999996</v>
      </c>
      <c r="CX479" s="115">
        <f t="shared" ca="1" si="430"/>
        <v>0.46499999999999975</v>
      </c>
      <c r="CY479" s="115">
        <f ca="1">MAX(IF($C479="驱夜断愁",IF(模拟模式!$R$7="万念俱寂",6,45),CY478-$F$4),0)</f>
        <v>1.3874999999999997</v>
      </c>
      <c r="CZ479" s="115">
        <f t="shared" ca="1" si="431"/>
        <v>0</v>
      </c>
      <c r="DA479" s="115">
        <f ca="1">IF(模拟模式!$N$7="日月同辉",IF(DB478=2,0,MIN(6,IF(AND(OR(C479="赤日轮1",C479="赤日轮2",C479="赤日轮3",C479="幽月轮1",C479="幽月轮2",C479="幽月轮3"),AB479=1),DA478+1,DA478))),0)</f>
        <v>0</v>
      </c>
      <c r="DB479" s="115">
        <f t="shared" ca="1" si="432"/>
        <v>0</v>
      </c>
      <c r="DC479" s="115"/>
      <c r="DD479" s="115"/>
      <c r="DE479" s="115"/>
      <c r="DF479" s="115"/>
      <c r="DG479" s="115"/>
      <c r="DH479" s="115"/>
      <c r="DI479" s="115"/>
      <c r="DJ479" s="115"/>
      <c r="DK479" s="115"/>
      <c r="DL479" s="115"/>
      <c r="DM479" s="115"/>
    </row>
    <row r="480" spans="2:117" x14ac:dyDescent="0.2">
      <c r="B480" s="117">
        <f t="shared" si="433"/>
        <v>417.89250000000419</v>
      </c>
      <c r="C480" s="167" t="str">
        <f t="shared" ca="1" si="426"/>
        <v>净世破魔击·月</v>
      </c>
      <c r="D480" s="115">
        <f ca="1">IF(C480="赤日轮1",1,IF(C480="赤日轮2",2,IF(C480="赤日轮3",3,IF(C480="幽月轮1",4,IF(C480="幽月轮2",5,IF(C480="幽月轮3",6,IF(C480="烈日斩",7,IF(C480="银月斩",8,IF(C480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480="净世破魔击·月",17,IF(C480="驱夜断愁",18,0)))))))))))</f>
        <v>17</v>
      </c>
      <c r="E480" s="115">
        <f ca="1">IF(AND(CU480,OR(C480="幽月轮1",C480="幽月轮2",C480="幽月轮3",C480="银月斩",C480="驱夜断愁",C480="净世破魔击·月")),100,MIN(IF(OR(CN480,BE480),0,IF(OR($C480="赤日轮1",$C480="赤日轮2",$C480="赤日轮3"),E479+20+IF(模拟模式!$I$7="日月凌天",4,0)+IF(CR479,20,0),IF($C480="烈日斩",E479+40,IF($C480="驱夜断愁",IF(模拟模式!$R$7="万念俱寂",E479+20,E479+60),IF($C480="净世破魔击·月",IF(OR(DB479&gt;0,CV479&gt;0),100,IF(模拟模式!$M$7="辉耀红尘",E479+20,E479)),IF($C480="净世破魔击·日",E479-100,E479)))))),100))</f>
        <v>100</v>
      </c>
      <c r="F480" s="115">
        <f ca="1">IF(AND(CU480,OR(C480="赤日轮1",C480="赤日轮2",C480="赤日轮3",C480="烈日斩",C480="净世破魔击·日")),100,MIN(IF(CO480,0,IF(OR($C480="幽月轮1",$C480="幽月轮2",$C480="幽月轮3"),F479+20+IF(模拟模式!$I$7="日月凌天",4,0)+IF(CS479,20,0),IF($C480="银月斩",F479+40+IF(模拟模式!$X$12=1,5,0),IF($C480="驱夜断愁",IF(模拟模式!$R$7="万念俱寂",F479+20,F479+60),IF($C480="净世破魔击·月",IF(模拟模式!$M$7="辉耀红尘",F479-80,F479-100),IF(AND(C480="净世破魔击·日",OR(DB479&gt;0,CV479&gt;0)),100,F479)))))),100))</f>
        <v>20</v>
      </c>
      <c r="G480" s="117">
        <f ca="1">('模拟-全程加成'!$E$3+'模拟-全程加成'!$E$4+'模拟-全程加成'!$E$5+('模拟-全程加成'!$C$6-'模拟-全程加成'!$C$3)*系数!$B$9+BS480*23)*(1+'模拟-全程加成'!$F$4+'模拟-全程加成'!$F$5+BJ480*10%+BM480*20%+BP480*4%+CG480*30%)+$F$7*系数!$B$12</f>
        <v>21493.829400000002</v>
      </c>
      <c r="H480" s="45">
        <f ca="1">'模拟-全程加成'!$H$3+'模拟-全程加成'!$H$4+'模拟-全程加成'!$H$5+('模拟-全程加成'!$G$4+'模拟-全程加成'!$G$5+('模拟-全程加成'!$C$6-'模拟-全程加成'!$C$3)*系数!$B$13)/系数!$B$3+LOOKUP(D480,'模拟-单技能数据'!$A$2:$A$19,'模拟-单技能数据'!$K$2:$K$19)+BG480*10%+IF(BV480&gt;0,378,0)</f>
        <v>0.54185145527300216</v>
      </c>
      <c r="I480" s="45">
        <f ca="1">'模拟-全程加成'!$J$3+'模拟-全程加成'!$J$4+'模拟-全程加成'!$J$5+('模拟-全程加成'!$I$4+'模拟-全程加成'!$I$5)/系数!$B$4+LOOKUP(D480,'模拟-单技能数据'!$A$2:$A$19,'模拟-单技能数据'!$L$2:$L$19)+BG480*10%</f>
        <v>2.162482885499879</v>
      </c>
      <c r="J480" s="45">
        <f ca="1">(('模拟-全程加成'!$K$3+'模拟-全程加成'!$K$4+'模拟-全程加成'!$K$5+('模拟-全程加成'!$C$6-'模拟-全程加成'!$C$3)*系数!$B$10+IF(BV480&gt;0,882,0)+IF(BY480&gt;0,1831,0))*(1+'模拟-全程加成'!$L$4+'模拟-全程加成'!$L$5+CC480*20%))/系数!$B$5</f>
        <v>0.69723220422048726</v>
      </c>
      <c r="K480" s="119">
        <f ca="1">LOOKUP(D480,'模拟-单技能数据'!$A$2:$A$19,'模拟-单技能数据'!$J$2:$J$19)+IF(CM480,60%,0)+IF(DB479-DB480&gt;0,30%,0)+IF(OR(AND(OR(C480="赤日轮1",C480="赤日轮2",C480="赤日轮3"),CR480),AND(OR(C480="幽月轮1",C480="幽月轮2",C480="幽月轮3"),CS480)),35%,0)+CJ480</f>
        <v>0.25</v>
      </c>
      <c r="L480" s="119">
        <f ca="1">IF(AND(C480="烈日斩",模拟模式!$X$11=1),10%,0)+IF(AND(C480="驱夜断愁",AB480=1),30%,0)</f>
        <v>0</v>
      </c>
      <c r="M480" s="45">
        <f t="shared" ca="1" si="409"/>
        <v>0.54185145527300216</v>
      </c>
      <c r="N480" s="45">
        <f t="shared" ca="1" si="410"/>
        <v>0.40424854472699789</v>
      </c>
      <c r="O480" s="46">
        <f t="shared" ca="1" si="434"/>
        <v>0.41026738412212449</v>
      </c>
      <c r="P480" s="46" t="str">
        <f t="shared" ca="1" si="435"/>
        <v>会</v>
      </c>
      <c r="Q480" s="45">
        <f t="shared" ca="1" si="436"/>
        <v>2.162482885499879</v>
      </c>
      <c r="R480" s="117">
        <f ca="1">模拟模式!$E$20*(1-IF(模拟模式!$J$19="有",0.15,0))*(1-IF(模拟模式!$K$19="有",0.3,0)-IF(CQ480,0.5,0))</f>
        <v>843.02999999999975</v>
      </c>
      <c r="S480" s="45">
        <f ca="1">R480/(R480+(185*模拟模式!$E$22-16800)*4.08224)</f>
        <v>8.389626085980037E-2</v>
      </c>
      <c r="T480" s="45" t="str">
        <f ca="1">LOOKUP(D480,'模拟-单技能数据'!$A$2:$A$19,'模拟-单技能数据'!$H$2:$H$19)</f>
        <v>阴</v>
      </c>
      <c r="U480" s="119">
        <f t="shared" ca="1" si="411"/>
        <v>0.08</v>
      </c>
      <c r="V480" s="47">
        <f ca="1">(1+L480)*(LOOKUP(D480,'模拟-单技能数据'!$A$2:$A$19,'模拟-单技能数据'!$D$2:$D$19)+G480*LOOKUP(D480,'模拟-单技能数据'!$A$2:$A$19,'模拟-单技能数据'!$F$2:$F$19))*(1+J480)*(1+K480)*(1-S480)*(1+U480)*Q480*LOOKUP(D480,'模拟-单技能数据'!$A$2:$A$19,'模拟-单技能数据'!$I$2:$I$20)</f>
        <v>126764.73688820505</v>
      </c>
      <c r="W480" s="47">
        <f ca="1">LOOKUP(D480,'模拟-单技能数据'!$A$2:$A$19,'模拟-单技能数据'!$G$2:$G$19)*$I$10</f>
        <v>361.51064354704795</v>
      </c>
      <c r="X480" s="47">
        <f t="shared" ca="1" si="437"/>
        <v>77873.542302274262</v>
      </c>
      <c r="Y480" s="47">
        <f t="shared" ca="1" si="412"/>
        <v>204999.78983402636</v>
      </c>
      <c r="Z480" s="49">
        <f t="shared" ca="1" si="413"/>
        <v>47534637.623368241</v>
      </c>
      <c r="AA480" s="97">
        <f t="shared" ca="1" si="414"/>
        <v>113748.48226126998</v>
      </c>
      <c r="AB480" s="115">
        <f ca="1">IF(OR(C480="赤日轮1",C480="赤日轮2",C480="赤日轮3"),IF(RAND()&lt;模拟模式!$Y$17,1,0),IF(OR(C480="幽月轮1",C480="幽月轮2",C480="幽月轮3"),IF(RAND()&lt;模拟模式!$Y$18,1,0),IF(C480="烈日斩",IF(RAND()&lt;模拟模式!$Y$19,1,0),IF(C480="银月斩",IF(RAND()&lt;模拟模式!$Y$20,1,0),IF(C480="驱夜断愁",IF(RAND()&lt;模拟模式!$Y$21,1,0),IF(C480="净世破魔击·日",IF(RAND()&lt;模拟模式!$Y$22,1,0),IF(C480="净世破魔击·月",IF(RAND()&lt;模拟模式!$Y$23,1,0),0)))))))</f>
        <v>1</v>
      </c>
      <c r="AC480" s="115" t="b">
        <f t="shared" ca="1" si="402"/>
        <v>0</v>
      </c>
      <c r="AD480" s="115" t="b">
        <f t="shared" ca="1" si="422"/>
        <v>1</v>
      </c>
      <c r="AE480" s="115">
        <f t="shared" ca="1" si="423"/>
        <v>2</v>
      </c>
      <c r="AF480" s="47">
        <f ca="1">IF(AC480,('模拟-单技能数据'!$D$20+G480*'模拟-单技能数据'!$F$20)*(1+J480)*(1+'模拟-单技能数据'!$J$20)*(1+U480),0)</f>
        <v>0</v>
      </c>
      <c r="AG480" s="61">
        <f t="shared" ca="1" si="415"/>
        <v>0.64185145527300214</v>
      </c>
      <c r="AH480" s="61">
        <f t="shared" ca="1" si="416"/>
        <v>2.2624828854998791</v>
      </c>
      <c r="AI480" s="62">
        <f t="shared" ca="1" si="438"/>
        <v>0.82249685018296081</v>
      </c>
      <c r="AJ480" s="47">
        <f ca="1">IF(AD480,IF(AI480&lt;$F$10,0,IF(AI480&lt;$F$10+$F$11,0.25,IF(AI480&lt;$F$10+$F$11+AG480,AH480,1)))*IF(AF480&gt;0,AF480,IF(AF479&gt;0,AF479,IF(AF478&gt;0,AF478,IF(AF477&gt;0,AF477,IF(AF476&gt;0,AF476,IF(AF475&gt;0,AF475,IF(AF474&gt;0,AF474,IF(AF473&gt;0,AF473,IF(AF472&gt;0,AF472,IF(AF470&gt;0,AF470,IF(AF469&gt;0,AF469,IF(AF468&gt;0,AF468,0)))))))))))),0)*(1-$S480)*'模拟-单技能数据'!$I$20</f>
        <v>4250.4883357170938</v>
      </c>
      <c r="AK480" s="115" t="b">
        <f t="shared" ca="1" si="403"/>
        <v>0</v>
      </c>
      <c r="AL480" s="115" t="b">
        <f t="shared" ca="1" si="424"/>
        <v>0</v>
      </c>
      <c r="AM480" s="115">
        <f t="shared" ca="1" si="425"/>
        <v>5</v>
      </c>
      <c r="AN480" s="47">
        <f ca="1">IF(AK480,('模拟-单技能数据'!$D$21+G480*'模拟-单技能数据'!$F$21)*(1+J480)*(1+'模拟-单技能数据'!$J$21)*(1+U480),0)</f>
        <v>0</v>
      </c>
      <c r="AO480" s="61">
        <f ca="1">IF(AN480&gt;0,M480-'模拟-单技能数据'!$K$10,AO479)</f>
        <v>0.42185145527300216</v>
      </c>
      <c r="AP480" s="61">
        <f ca="1">IF(AN480&gt;0,I480-'模拟-单技能数据'!$L$10,AP479)</f>
        <v>2.162482885499879</v>
      </c>
      <c r="AQ480" s="63">
        <f t="shared" ca="1" si="439"/>
        <v>0.68233204815869219</v>
      </c>
      <c r="AR480" s="64">
        <f ca="1">IF(AL480,IF(AQ480&lt;$F$10,0,IF(AQ480&lt;$F$10+$F$11,0.25,IF(AQ480&lt;$F$10+$F$11+AO480,AP480,1)))*IF(AN480&gt;0,AN480,IF(AN479&gt;0,AN479,IF(AN478&gt;0,AN478,IF(AN477&gt;0,AN477,IF(AN476&gt;0,AN476,IF(AN475&gt;0,AN475,IF(AN474&gt;0,AN474,IF(AN473&gt;0,AN473,IF(AN472&gt;0,AN472,IF(AN470&gt;0,AN470,IF(AN469&gt;0,AN469,IF(AN468&gt;0,AN468,0)))))))))))),0)*(1-$S480)*'模拟-单技能数据'!$I$21</f>
        <v>0</v>
      </c>
      <c r="AS480" s="61">
        <f ca="1">IF(OR(C480="净世破魔击·日",C480="净世破魔击·月"),M480-'模拟-单技能数据'!$K$10,0)</f>
        <v>0.42185145527300216</v>
      </c>
      <c r="AT480" s="61">
        <f ca="1">IF(OR(C480="净世破魔击·日",C480="净世破魔击·月"),I480-'模拟-单技能数据'!$L$10,0)</f>
        <v>2.162482885499879</v>
      </c>
      <c r="AU480" s="62">
        <f t="shared" ca="1" si="440"/>
        <v>0.27002729539628856</v>
      </c>
      <c r="AV480" s="64">
        <f ca="1">IF(AS480&gt;0,('模拟-单技能数据'!$D$22+G480*'模拟-单技能数据'!$F$22)*(1+J480)*(1-S480)*IF(AU480&lt;$F$10,0,IF(AU480&lt;$F$10+$F$11,0.25,IF(AU480&lt;$F$10+$F$11+AS480,AT480,1)))*(1+U480),0)*'模拟-单技能数据'!$I$22</f>
        <v>17205.169596245785</v>
      </c>
      <c r="AW480" s="108">
        <f t="shared" ca="1" si="441"/>
        <v>19.077500000000001</v>
      </c>
      <c r="AX480" s="108" t="b">
        <f ca="1">AND(模拟模式!$P$10="有",AW479=0,RAND()&lt;IF(C480="净世破魔击·月",0.1*8/3,IF(C480="净世破魔击·日",0.1*4/3,0.1*2/3)))</f>
        <v>1</v>
      </c>
      <c r="AY480" s="47">
        <f ca="1">IF(AX480,(18+G480*0.722)*(1+J480)*(1-S480)*(1+$I$4)*IF(P480="会",'模拟-全程加成'!$J$3+'模拟-全程加成'!$J$4+'模拟-全程加成'!$J$5+('模拟-全程加成'!$I$4+'模拟-全程加成'!$I$5)/系数!$B$4+BG480*10%,IF(P480="命",1,IF(P480="识",0.25,0))),0)</f>
        <v>56417.884370311374</v>
      </c>
      <c r="AZ480" s="108">
        <f t="shared" si="442"/>
        <v>8.0075000000000074</v>
      </c>
      <c r="BA480" s="108" t="b">
        <f>AND(模拟模式!$Q$10="有",AZ479=0)</f>
        <v>0</v>
      </c>
      <c r="BB480" s="140">
        <f>IF(BA480,(0+G480*0.287)*(1+J480)*(1-S480)*(1+$I$4)*IF(P480="会",'模拟-全程加成'!$J$3+'模拟-全程加成'!$J$4+'模拟-全程加成'!$J$5+('模拟-全程加成'!$I$4+'模拟-全程加成'!$I$5)/系数!$B$4+BG480*10%,IF(P480="命",1,IF(P480="识",0.25,0))),0)</f>
        <v>0</v>
      </c>
      <c r="BC480" s="115" t="b">
        <f ca="1">AND(模拟模式!$R$7="伏明众生",E480=60,F480=20,DA480&lt;5,CZ479&lt;$F$4)</f>
        <v>0</v>
      </c>
      <c r="BD480" s="115">
        <f t="shared" ca="1" si="404"/>
        <v>0</v>
      </c>
      <c r="BE480" s="115" t="b">
        <f t="shared" ca="1" si="405"/>
        <v>0</v>
      </c>
      <c r="BF480" s="47">
        <f ca="1">IF(BC480,4*('模拟-单技能数据'!$D$24+G480*'模拟-单技能数据'!$F$24)*(1+J480)*(1+'模拟-单技能数据'!$J$24)*(1-S480)*(1+$I$3)*(('模拟-全程加成'!$J$3+'模拟-全程加成'!$J$4+'模拟-全程加成'!$J$5+('模拟-全程加成'!$I$4+'模拟-全程加成'!$I$5)/系数!$B$4+BG480*10%)*('模拟-全程加成'!$J$3+'模拟-全程加成'!$J$4+'模拟-全程加成'!$J$5+('模拟-全程加成'!$I$4+'模拟-全程加成'!$I$5)/系数!$B$4+BG480*10%)+(1-('模拟-全程加成'!$J$3+'模拟-全程加成'!$J$4+'模拟-全程加成'!$J$5+('模拟-全程加成'!$I$4+'模拟-全程加成'!$I$5)/系数!$B$4+BG480*10%)-$F$10-$F$11)+F466*0.25),0)*'模拟-单技能数据'!$I$24</f>
        <v>0</v>
      </c>
      <c r="BG480" s="115" t="b">
        <f ca="1">OR(AND(OR(C480="烈日斩",C480="银月斩"),模拟模式!$I$7="净身明礼"),AND(C480="净世破魔击·日",模拟模式!$J$7="洞若观火"),AND(C481="净世破魔击·月",模拟模式!$J$7="洞若观火"),AB480=1)</f>
        <v>1</v>
      </c>
      <c r="BH480" s="115" t="b">
        <f t="shared" ca="1" si="443"/>
        <v>1</v>
      </c>
      <c r="BI480" s="115">
        <f t="shared" ca="1" si="406"/>
        <v>6</v>
      </c>
      <c r="BJ480" s="115" t="b">
        <f t="shared" ca="1" si="417"/>
        <v>1</v>
      </c>
      <c r="BK480" s="115" t="b">
        <f ca="1">AND(C480="驱夜断愁",模拟模式!$P$7="天地诛戮")</f>
        <v>0</v>
      </c>
      <c r="BL480" s="57">
        <f t="shared" ca="1" si="407"/>
        <v>14.465000000000003</v>
      </c>
      <c r="BM480" s="115" t="b">
        <f t="shared" ca="1" si="418"/>
        <v>1</v>
      </c>
      <c r="BN480" s="115" t="b">
        <f ca="1">AND(OR(C480="赤日轮1",C480="赤日轮2",C480="赤日轮3",C480="幽月轮1",C480="幽月轮2",C480="幽月轮3"),AB480=1,模拟模式!$L$7="明光恒照")</f>
        <v>0</v>
      </c>
      <c r="BO480" s="117">
        <f t="shared" ca="1" si="408"/>
        <v>19.852500000000006</v>
      </c>
      <c r="BP480" s="115">
        <f t="shared" ca="1" si="444"/>
        <v>6</v>
      </c>
      <c r="BQ480" s="115" t="b">
        <f>模拟模式!$K$10="2600·水"</f>
        <v>0</v>
      </c>
      <c r="BR480" s="117">
        <f t="shared" si="445"/>
        <v>0</v>
      </c>
      <c r="BS480" s="115">
        <f t="shared" si="446"/>
        <v>0</v>
      </c>
      <c r="BT480" s="115">
        <f t="shared" ca="1" si="447"/>
        <v>0</v>
      </c>
      <c r="BU480" s="115" t="b">
        <f ca="1">AND(模拟模式!$K$10="2300·雷",BT479=0,RAND()&lt;IF(C480="净世破魔击·月",5*0.05*2/3,IF(C480="净世破魔击·日",3*0.05*2/3,0.05*2*2/3)))</f>
        <v>0</v>
      </c>
      <c r="BV480" s="115">
        <f t="shared" ca="1" si="448"/>
        <v>0</v>
      </c>
      <c r="BW480" s="115">
        <f t="shared" ca="1" si="449"/>
        <v>137.56499999999937</v>
      </c>
      <c r="BX480" s="164" t="b">
        <f t="shared" ca="1" si="450"/>
        <v>0</v>
      </c>
      <c r="BY480" s="115">
        <f t="shared" ca="1" si="451"/>
        <v>0</v>
      </c>
      <c r="BZ480" s="115">
        <f>IF(OR(模拟模式!$P$16="10人团",模拟模式!$P$16="25人团"),IF(B480/30&gt;CA479,1,0),0)</f>
        <v>0</v>
      </c>
      <c r="CA480" s="115">
        <f t="shared" si="427"/>
        <v>0</v>
      </c>
      <c r="CB480" s="115">
        <f ca="1">IF(BZ480=1,IF(模拟模式!$P$16="10人团",15,0)+IF(模拟模式!$P$16="25人团",IF(RAND()&lt;0.6,15,0)),MAX(0,CB479-$F$4))</f>
        <v>0</v>
      </c>
      <c r="CC480" s="115" t="b">
        <f t="shared" ca="1" si="419"/>
        <v>0</v>
      </c>
      <c r="CD480" s="115">
        <f>IF(模拟模式!$Q$16="1个",IF(B480/40&gt;CE479,1,0),0)</f>
        <v>0</v>
      </c>
      <c r="CE480" s="115">
        <f t="shared" si="420"/>
        <v>0</v>
      </c>
      <c r="CF480" s="115">
        <f>IF(OR(CD480=1,模拟模式!$Q$16="2个"),20,MAX(0,CF479-$F$4))</f>
        <v>0</v>
      </c>
      <c r="CG480" s="115" t="b">
        <f t="shared" si="421"/>
        <v>0</v>
      </c>
      <c r="CH480" s="115">
        <f t="shared" ca="1" si="452"/>
        <v>27.232500000000002</v>
      </c>
      <c r="CI480" s="115" t="b">
        <f t="shared" ca="1" si="453"/>
        <v>0</v>
      </c>
      <c r="CJ480" s="119">
        <f t="shared" ca="1" si="454"/>
        <v>0.05</v>
      </c>
      <c r="CK480" s="115">
        <f t="shared" ca="1" si="455"/>
        <v>5.232499999999999</v>
      </c>
      <c r="CL480" s="115" t="b">
        <f ca="1">AND(模拟模式!$S$7="驱夷逐法",OR(AND(C480="净世破魔击·月",E479&gt;59),AND(C480="净世破魔击·日",F479&gt;59)))</f>
        <v>0</v>
      </c>
      <c r="CM480" s="115" t="b">
        <f ca="1">OR(CL480,AND(C480="净世破魔击·日",CL479,RAND()&lt;模拟模式!$U$23))</f>
        <v>0</v>
      </c>
      <c r="CN480" s="115" t="b">
        <f ca="1">IF(模拟模式!$M$7="辉耀红尘",AND(C480="净世破魔击·月",CL480,CV480=0,E479&lt;80),AND(C480="净世破魔击·月",CL480,E479&lt;100))</f>
        <v>0</v>
      </c>
      <c r="CO480" s="115" t="b">
        <f t="shared" ca="1" si="428"/>
        <v>0</v>
      </c>
      <c r="CP480" s="115" t="b">
        <f ca="1">AND(模拟模式!$O$7="用晦而明",OR(C480="净世破魔击·日",C480="净世破魔击·月",C480="驱夜断愁"),AB480)</f>
        <v>1</v>
      </c>
      <c r="CQ480" s="115" t="b">
        <f ca="1">OR(CP480,AND(CP479,RAND()&lt;模拟模式!$U$23))</f>
        <v>1</v>
      </c>
      <c r="CR480" s="115" t="b">
        <f ca="1">AND(模拟模式!$S$7="日月齐光",OR(C480="幽月轮1",C480="幽月轮2",C480="幽月轮3",CR479),NOT(OR(C480="赤日轮1",C480="赤日轮2",C480="赤日轮3")))</f>
        <v>0</v>
      </c>
      <c r="CS480" s="115" t="b">
        <f ca="1">AND(模拟模式!$S$7="日月齐光",OR(C480="赤日轮1",C480="赤日轮2",C480="赤日轮3",CS479),NOT(OR(C480="幽月轮1",C480="幽月轮2",C480="幽月轮3")))</f>
        <v>0</v>
      </c>
      <c r="CT480" s="115">
        <f t="shared" ca="1" si="456"/>
        <v>25.387500000000003</v>
      </c>
      <c r="CU480" s="115" t="b">
        <f ca="1">AND(模拟模式!$K$10="阴阳往极",CT479=0,RAND()&lt;IF(C480="净世破魔击·月",0.0275*7/3,IF(C480="净世破魔击·日",0.0275*3/3,0.0275*2/3)))</f>
        <v>0</v>
      </c>
      <c r="CV480" s="115">
        <f t="shared" ca="1" si="457"/>
        <v>0</v>
      </c>
      <c r="CW480" s="115">
        <f t="shared" ca="1" si="429"/>
        <v>1.3874999999999997</v>
      </c>
      <c r="CX480" s="115">
        <f t="shared" ca="1" si="430"/>
        <v>0</v>
      </c>
      <c r="CY480" s="115">
        <f ca="1">MAX(IF($C480="驱夜断愁",IF(模拟模式!$R$7="万念俱寂",6,45),CY479-$F$4),0)</f>
        <v>0.46499999999999975</v>
      </c>
      <c r="CZ480" s="115">
        <f t="shared" ca="1" si="431"/>
        <v>0</v>
      </c>
      <c r="DA480" s="115">
        <f ca="1">IF(模拟模式!$N$7="日月同辉",IF(DB479=2,0,MIN(6,IF(AND(OR(C480="赤日轮1",C480="赤日轮2",C480="赤日轮3",C480="幽月轮1",C480="幽月轮2",C480="幽月轮3"),AB480=1),DA479+1,DA479))),0)</f>
        <v>0</v>
      </c>
      <c r="DB480" s="115">
        <f t="shared" ca="1" si="432"/>
        <v>0</v>
      </c>
      <c r="DC480" s="115"/>
      <c r="DD480" s="115"/>
      <c r="DE480" s="115"/>
      <c r="DF480" s="115"/>
      <c r="DG480" s="115"/>
      <c r="DH480" s="115"/>
      <c r="DI480" s="115"/>
      <c r="DJ480" s="115"/>
      <c r="DK480" s="115"/>
      <c r="DL480" s="115"/>
      <c r="DM480" s="115"/>
    </row>
    <row r="481" spans="2:117" x14ac:dyDescent="0.2">
      <c r="B481" s="117">
        <f t="shared" si="433"/>
        <v>418.8150000000042</v>
      </c>
      <c r="C481" s="167" t="str">
        <f t="shared" ca="1" si="426"/>
        <v>净世破魔击·日</v>
      </c>
      <c r="D481" s="115">
        <f ca="1">IF(C481="赤日轮1",1,IF(C481="赤日轮2",2,IF(C481="赤日轮3",3,IF(C481="幽月轮1",4,IF(C481="幽月轮2",5,IF(C481="幽月轮3",6,IF(C481="烈日斩",7,IF(C481="银月斩",8,IF(C481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481="净世破魔击·月",17,IF(C481="驱夜断愁",18,0)))))))))))</f>
        <v>9</v>
      </c>
      <c r="E481" s="115">
        <f ca="1">IF(AND(CU481,OR(C481="幽月轮1",C481="幽月轮2",C481="幽月轮3",C481="银月斩",C481="驱夜断愁",C481="净世破魔击·月")),100,MIN(IF(OR(CN481,BE481),0,IF(OR($C481="赤日轮1",$C481="赤日轮2",$C481="赤日轮3"),E480+20+IF(模拟模式!$I$7="日月凌天",4,0)+IF(CR480,20,0),IF($C481="烈日斩",E480+40,IF($C481="驱夜断愁",IF(模拟模式!$R$7="万念俱寂",E480+20,E480+60),IF($C481="净世破魔击·月",IF(OR(DB480&gt;0,CV480&gt;0),100,IF(模拟模式!$M$7="辉耀红尘",E480+20,E480)),IF($C481="净世破魔击·日",E480-100,E480)))))),100))</f>
        <v>0</v>
      </c>
      <c r="F481" s="115">
        <f ca="1">IF(AND(CU481,OR(C481="赤日轮1",C481="赤日轮2",C481="赤日轮3",C481="烈日斩",C481="净世破魔击·日")),100,MIN(IF(CO481,0,IF(OR($C481="幽月轮1",$C481="幽月轮2",$C481="幽月轮3"),F480+20+IF(模拟模式!$I$7="日月凌天",4,0)+IF(CS480,20,0),IF($C481="银月斩",F480+40+IF(模拟模式!$X$12=1,5,0),IF($C481="驱夜断愁",IF(模拟模式!$R$7="万念俱寂",F480+20,F480+60),IF($C481="净世破魔击·月",IF(模拟模式!$M$7="辉耀红尘",F480-80,F480-100),IF(AND(C481="净世破魔击·日",OR(DB480&gt;0,CV480&gt;0)),100,F480)))))),100))</f>
        <v>20</v>
      </c>
      <c r="G481" s="117">
        <f ca="1">('模拟-全程加成'!$E$3+'模拟-全程加成'!$E$4+'模拟-全程加成'!$E$5+('模拟-全程加成'!$C$6-'模拟-全程加成'!$C$3)*系数!$B$9+BS481*23)*(1+'模拟-全程加成'!$F$4+'模拟-全程加成'!$F$5+BJ481*10%+BM481*20%+BP481*4%+CG481*30%)+$F$7*系数!$B$12</f>
        <v>21493.829400000002</v>
      </c>
      <c r="H481" s="45">
        <f ca="1">'模拟-全程加成'!$H$3+'模拟-全程加成'!$H$4+'模拟-全程加成'!$H$5+('模拟-全程加成'!$G$4+'模拟-全程加成'!$G$5+('模拟-全程加成'!$C$6-'模拟-全程加成'!$C$3)*系数!$B$13)/系数!$B$3+LOOKUP(D481,'模拟-单技能数据'!$A$2:$A$19,'模拟-单技能数据'!$K$2:$K$19)+BG481*10%+IF(BV481&gt;0,378,0)</f>
        <v>0.54185145527300216</v>
      </c>
      <c r="I481" s="45">
        <f ca="1">'模拟-全程加成'!$J$3+'模拟-全程加成'!$J$4+'模拟-全程加成'!$J$5+('模拟-全程加成'!$I$4+'模拟-全程加成'!$I$5)/系数!$B$4+LOOKUP(D481,'模拟-单技能数据'!$A$2:$A$19,'模拟-单技能数据'!$L$2:$L$19)+BG481*10%</f>
        <v>2.162482885499879</v>
      </c>
      <c r="J481" s="45">
        <f ca="1">(('模拟-全程加成'!$K$3+'模拟-全程加成'!$K$4+'模拟-全程加成'!$K$5+('模拟-全程加成'!$C$6-'模拟-全程加成'!$C$3)*系数!$B$10+IF(BV481&gt;0,882,0)+IF(BY481&gt;0,1831,0))*(1+'模拟-全程加成'!$L$4+'模拟-全程加成'!$L$5+CC481*20%))/系数!$B$5</f>
        <v>0.69723220422048726</v>
      </c>
      <c r="K481" s="119">
        <f ca="1">LOOKUP(D481,'模拟-单技能数据'!$A$2:$A$19,'模拟-单技能数据'!$J$2:$J$19)+IF(CM481,60%,0)+IF(DB480-DB481&gt;0,30%,0)+IF(OR(AND(OR(C481="赤日轮1",C481="赤日轮2",C481="赤日轮3"),CR481),AND(OR(C481="幽月轮1",C481="幽月轮2",C481="幽月轮3"),CS481)),35%,0)+CJ481</f>
        <v>0.25</v>
      </c>
      <c r="L481" s="119">
        <f ca="1">IF(AND(C481="烈日斩",模拟模式!$X$11=1),10%,0)+IF(AND(C481="驱夜断愁",AB481=1),30%,0)</f>
        <v>0</v>
      </c>
      <c r="M481" s="45">
        <f t="shared" ca="1" si="409"/>
        <v>0.54185145527300216</v>
      </c>
      <c r="N481" s="45">
        <f t="shared" ca="1" si="410"/>
        <v>0.40424854472699789</v>
      </c>
      <c r="O481" s="46">
        <f t="shared" ca="1" si="434"/>
        <v>0.52825237549078907</v>
      </c>
      <c r="P481" s="46" t="str">
        <f t="shared" ca="1" si="435"/>
        <v>会</v>
      </c>
      <c r="Q481" s="45">
        <f t="shared" ca="1" si="436"/>
        <v>2.162482885499879</v>
      </c>
      <c r="R481" s="117">
        <f ca="1">模拟模式!$E$20*(1-IF(模拟模式!$J$19="有",0.15,0))*(1-IF(模拟模式!$K$19="有",0.3,0)-IF(CQ481,0.5,0))</f>
        <v>843.02999999999975</v>
      </c>
      <c r="S481" s="45">
        <f ca="1">R481/(R481+(185*模拟模式!$E$22-16800)*4.08224)</f>
        <v>8.389626085980037E-2</v>
      </c>
      <c r="T481" s="45" t="str">
        <f ca="1">LOOKUP(D481,'模拟-单技能数据'!$A$2:$A$19,'模拟-单技能数据'!$H$2:$H$19)</f>
        <v>阳</v>
      </c>
      <c r="U481" s="119">
        <f t="shared" ca="1" si="411"/>
        <v>0.2</v>
      </c>
      <c r="V481" s="47">
        <f ca="1">(1+L481)*(LOOKUP(D481,'模拟-单技能数据'!$A$2:$A$19,'模拟-单技能数据'!$D$2:$D$19)+G481*LOOKUP(D481,'模拟-单技能数据'!$A$2:$A$19,'模拟-单技能数据'!$F$2:$F$19))*(1+J481)*(1+K481)*(1-S481)*(1+U481)*Q481*LOOKUP(D481,'模拟-单技能数据'!$A$2:$A$19,'模拟-单技能数据'!$I$2:$I$20)</f>
        <v>142026.11696701168</v>
      </c>
      <c r="W481" s="47">
        <f ca="1">LOOKUP(D481,'模拟-单技能数据'!$A$2:$A$19,'模拟-单技能数据'!$G$2:$G$19)*$I$10</f>
        <v>723.0212870940959</v>
      </c>
      <c r="X481" s="47">
        <f t="shared" ca="1" si="437"/>
        <v>33942.101642527137</v>
      </c>
      <c r="Y481" s="47">
        <f t="shared" ca="1" si="412"/>
        <v>176691.23989663291</v>
      </c>
      <c r="Z481" s="49">
        <f t="shared" ca="1" si="413"/>
        <v>47711328.863264874</v>
      </c>
      <c r="AA481" s="97">
        <f t="shared" ca="1" si="414"/>
        <v>113919.81868668599</v>
      </c>
      <c r="AB481" s="115">
        <f ca="1">IF(OR(C481="赤日轮1",C481="赤日轮2",C481="赤日轮3"),IF(RAND()&lt;模拟模式!$Y$17,1,0),IF(OR(C481="幽月轮1",C481="幽月轮2",C481="幽月轮3"),IF(RAND()&lt;模拟模式!$Y$18,1,0),IF(C481="烈日斩",IF(RAND()&lt;模拟模式!$Y$19,1,0),IF(C481="银月斩",IF(RAND()&lt;模拟模式!$Y$20,1,0),IF(C481="驱夜断愁",IF(RAND()&lt;模拟模式!$Y$21,1,0),IF(C481="净世破魔击·日",IF(RAND()&lt;模拟模式!$Y$22,1,0),IF(C481="净世破魔击·月",IF(RAND()&lt;模拟模式!$Y$23,1,0),0)))))))</f>
        <v>1</v>
      </c>
      <c r="AC481" s="115" t="b">
        <f t="shared" ca="1" si="402"/>
        <v>0</v>
      </c>
      <c r="AD481" s="115" t="b">
        <f t="shared" ca="1" si="422"/>
        <v>0</v>
      </c>
      <c r="AE481" s="115">
        <f t="shared" ca="1" si="423"/>
        <v>2</v>
      </c>
      <c r="AF481" s="47">
        <f ca="1">IF(AC481,('模拟-单技能数据'!$D$20+G481*'模拟-单技能数据'!$F$20)*(1+J481)*(1+'模拟-单技能数据'!$J$20)*(1+U481),0)</f>
        <v>0</v>
      </c>
      <c r="AG481" s="61">
        <f t="shared" ca="1" si="415"/>
        <v>0.64185145527300214</v>
      </c>
      <c r="AH481" s="61">
        <f t="shared" ca="1" si="416"/>
        <v>2.2624828854998791</v>
      </c>
      <c r="AI481" s="62">
        <f t="shared" ca="1" si="438"/>
        <v>0.81455308833449691</v>
      </c>
      <c r="AJ481" s="47">
        <f ca="1">IF(AD481,IF(AI481&lt;$F$10,0,IF(AI481&lt;$F$10+$F$11,0.25,IF(AI481&lt;$F$10+$F$11+AG481,AH481,1)))*IF(AF481&gt;0,AF481,IF(AF480&gt;0,AF480,IF(AF479&gt;0,AF479,IF(AF478&gt;0,AF478,IF(AF477&gt;0,AF477,IF(AF476&gt;0,AF476,IF(AF475&gt;0,AF475,IF(AF474&gt;0,AF474,IF(AF473&gt;0,AF473,IF(AF471&gt;0,AF471,IF(AF470&gt;0,AF470,IF(AF469&gt;0,AF469,0)))))))))))),0)*(1-$S481)*'模拟-单技能数据'!$I$20</f>
        <v>0</v>
      </c>
      <c r="AK481" s="115" t="b">
        <f t="shared" ca="1" si="403"/>
        <v>1</v>
      </c>
      <c r="AL481" s="115" t="b">
        <f t="shared" ca="1" si="424"/>
        <v>1</v>
      </c>
      <c r="AM481" s="115">
        <f t="shared" ca="1" si="425"/>
        <v>5</v>
      </c>
      <c r="AN481" s="47">
        <f ca="1">IF(AK481,('模拟-单技能数据'!$D$21+G481*'模拟-单技能数据'!$F$21)*(1+J481)*(1+'模拟-单技能数据'!$J$21)*(1+U481),0)</f>
        <v>12670.936004857545</v>
      </c>
      <c r="AO481" s="61">
        <f ca="1">IF(AN481&gt;0,M481-'模拟-单技能数据'!$K$10,AO480)</f>
        <v>0.42185145527300216</v>
      </c>
      <c r="AP481" s="61">
        <f ca="1">IF(AN481&gt;0,I481-'模拟-单技能数据'!$L$10,AP480)</f>
        <v>2.162482885499879</v>
      </c>
      <c r="AQ481" s="63">
        <f t="shared" ca="1" si="439"/>
        <v>0.45636203583045754</v>
      </c>
      <c r="AR481" s="64">
        <f ca="1">IF(AL481,IF(AQ481&lt;$F$10,0,IF(AQ481&lt;$F$10+$F$11,0.25,IF(AQ481&lt;$F$10+$F$11+AO481,AP481,1)))*IF(AN481&gt;0,AN481,IF(AN480&gt;0,AN480,IF(AN479&gt;0,AN479,IF(AN478&gt;0,AN478,IF(AN477&gt;0,AN477,IF(AN476&gt;0,AN476,IF(AN475&gt;0,AN475,IF(AN474&gt;0,AN474,IF(AN473&gt;0,AN473,IF(AN471&gt;0,AN471,IF(AN470&gt;0,AN470,IF(AN469&gt;0,AN469,0)))))))))))),0)*(1-$S481)*'模拟-单技能数据'!$I$21</f>
        <v>25101.867467669974</v>
      </c>
      <c r="AS481" s="61">
        <f ca="1">IF(OR(C481="净世破魔击·日",C481="净世破魔击·月"),M481-'模拟-单技能数据'!$K$10,0)</f>
        <v>0.42185145527300216</v>
      </c>
      <c r="AT481" s="61">
        <f ca="1">IF(OR(C481="净世破魔击·日",C481="净世破魔击·月"),I481-'模拟-单技能数据'!$L$10,0)</f>
        <v>2.162482885499879</v>
      </c>
      <c r="AU481" s="62">
        <f t="shared" ca="1" si="440"/>
        <v>0.75431258847902094</v>
      </c>
      <c r="AV481" s="64">
        <f ca="1">IF(AS481&gt;0,('模拟-单技能数据'!$D$22+G481*'模拟-单技能数据'!$F$22)*(1+J481)*(1-S481)*IF(AU481&lt;$F$10,0,IF(AU481&lt;$F$10+$F$11,0.25,IF(AU481&lt;$F$10+$F$11+AS481,AT481,1)))*(1+U481),0)*'模拟-单技能数据'!$I$22</f>
        <v>8840.2341748571616</v>
      </c>
      <c r="AW481" s="108">
        <f t="shared" ca="1" si="441"/>
        <v>18.155000000000001</v>
      </c>
      <c r="AX481" s="108" t="b">
        <f ca="1">AND(模拟模式!$P$10="有",AW480=0,RAND()&lt;IF(C481="净世破魔击·月",0.1*8/3,IF(C481="净世破魔击·日",0.1*4/3,0.1*2/3)))</f>
        <v>0</v>
      </c>
      <c r="AY481" s="47">
        <f ca="1">IF(AX481,(18+G481*0.722)*(1+J481)*(1-S481)*(1+$I$4)*IF(P481="会",'模拟-全程加成'!$J$3+'模拟-全程加成'!$J$4+'模拟-全程加成'!$J$5+('模拟-全程加成'!$I$4+'模拟-全程加成'!$I$5)/系数!$B$4+BG481*10%,IF(P481="命",1,IF(P481="识",0.25,0))),0)</f>
        <v>0</v>
      </c>
      <c r="AZ481" s="108">
        <f t="shared" si="442"/>
        <v>7.0850000000000071</v>
      </c>
      <c r="BA481" s="108" t="b">
        <f>AND(模拟模式!$Q$10="有",AZ480=0)</f>
        <v>0</v>
      </c>
      <c r="BB481" s="140">
        <f>IF(BA481,(0+G481*0.287)*(1+J481)*(1-S481)*(1+$I$4)*IF(P481="会",'模拟-全程加成'!$J$3+'模拟-全程加成'!$J$4+'模拟-全程加成'!$J$5+('模拟-全程加成'!$I$4+'模拟-全程加成'!$I$5)/系数!$B$4+BG481*10%,IF(P481="命",1,IF(P481="识",0.25,0))),0)</f>
        <v>0</v>
      </c>
      <c r="BC481" s="115" t="b">
        <f ca="1">AND(模拟模式!$R$7="伏明众生",E481=60,F481=20,DA481&lt;5,CZ480&lt;$F$4)</f>
        <v>0</v>
      </c>
      <c r="BD481" s="115">
        <f t="shared" ca="1" si="404"/>
        <v>0</v>
      </c>
      <c r="BE481" s="115" t="b">
        <f t="shared" ca="1" si="405"/>
        <v>0</v>
      </c>
      <c r="BF481" s="47">
        <f ca="1">IF(BC481,4*('模拟-单技能数据'!$D$24+G481*'模拟-单技能数据'!$F$24)*(1+J481)*(1+'模拟-单技能数据'!$J$24)*(1-S481)*(1+$I$3)*(('模拟-全程加成'!$J$3+'模拟-全程加成'!$J$4+'模拟-全程加成'!$J$5+('模拟-全程加成'!$I$4+'模拟-全程加成'!$I$5)/系数!$B$4+BG481*10%)*('模拟-全程加成'!$J$3+'模拟-全程加成'!$J$4+'模拟-全程加成'!$J$5+('模拟-全程加成'!$I$4+'模拟-全程加成'!$I$5)/系数!$B$4+BG481*10%)+(1-('模拟-全程加成'!$J$3+'模拟-全程加成'!$J$4+'模拟-全程加成'!$J$5+('模拟-全程加成'!$I$4+'模拟-全程加成'!$I$5)/系数!$B$4+BG481*10%)-$F$10-$F$11)+F467*0.25),0)*'模拟-单技能数据'!$I$24</f>
        <v>0</v>
      </c>
      <c r="BG481" s="115" t="b">
        <f ca="1">OR(AND(OR(C481="烈日斩",C481="银月斩"),模拟模式!$I$7="净身明礼"),AND(C481="净世破魔击·日",模拟模式!$J$7="洞若观火"),AND(C482="净世破魔击·月",模拟模式!$J$7="洞若观火"),AB481=1)</f>
        <v>1</v>
      </c>
      <c r="BH481" s="115" t="b">
        <f t="shared" ca="1" si="443"/>
        <v>0</v>
      </c>
      <c r="BI481" s="115">
        <f t="shared" ca="1" si="406"/>
        <v>5.0774999999999997</v>
      </c>
      <c r="BJ481" s="115" t="b">
        <f t="shared" ca="1" si="417"/>
        <v>1</v>
      </c>
      <c r="BK481" s="115" t="b">
        <f ca="1">AND(C481="驱夜断愁",模拟模式!$P$7="天地诛戮")</f>
        <v>0</v>
      </c>
      <c r="BL481" s="57">
        <f t="shared" ca="1" si="407"/>
        <v>13.542500000000004</v>
      </c>
      <c r="BM481" s="115" t="b">
        <f t="shared" ca="1" si="418"/>
        <v>1</v>
      </c>
      <c r="BN481" s="115" t="b">
        <f ca="1">AND(OR(C481="赤日轮1",C481="赤日轮2",C481="赤日轮3",C481="幽月轮1",C481="幽月轮2",C481="幽月轮3"),AB481=1,模拟模式!$L$7="明光恒照")</f>
        <v>0</v>
      </c>
      <c r="BO481" s="117">
        <f t="shared" ca="1" si="408"/>
        <v>18.930000000000007</v>
      </c>
      <c r="BP481" s="115">
        <f t="shared" ca="1" si="444"/>
        <v>6</v>
      </c>
      <c r="BQ481" s="115" t="b">
        <f>模拟模式!$K$10="2600·水"</f>
        <v>0</v>
      </c>
      <c r="BR481" s="117">
        <f t="shared" si="445"/>
        <v>0</v>
      </c>
      <c r="BS481" s="115">
        <f t="shared" si="446"/>
        <v>0</v>
      </c>
      <c r="BT481" s="115">
        <f t="shared" ca="1" si="447"/>
        <v>0</v>
      </c>
      <c r="BU481" s="115" t="b">
        <f ca="1">AND(模拟模式!$K$10="2300·雷",BT480=0,RAND()&lt;IF(C481="净世破魔击·月",5*0.05*2/3,IF(C481="净世破魔击·日",3*0.05*2/3,0.05*2*2/3)))</f>
        <v>0</v>
      </c>
      <c r="BV481" s="115">
        <f t="shared" ca="1" si="448"/>
        <v>0</v>
      </c>
      <c r="BW481" s="115">
        <f t="shared" ca="1" si="449"/>
        <v>136.64249999999936</v>
      </c>
      <c r="BX481" s="164" t="b">
        <f t="shared" ca="1" si="450"/>
        <v>0</v>
      </c>
      <c r="BY481" s="115">
        <f t="shared" ca="1" si="451"/>
        <v>0</v>
      </c>
      <c r="BZ481" s="115">
        <f>IF(OR(模拟模式!$P$16="10人团",模拟模式!$P$16="25人团"),IF(B481/30&gt;CA480,1,0),0)</f>
        <v>0</v>
      </c>
      <c r="CA481" s="115">
        <f t="shared" si="427"/>
        <v>0</v>
      </c>
      <c r="CB481" s="115">
        <f ca="1">IF(BZ481=1,IF(模拟模式!$P$16="10人团",15,0)+IF(模拟模式!$P$16="25人团",IF(RAND()&lt;0.6,15,0)),MAX(0,CB480-$F$4))</f>
        <v>0</v>
      </c>
      <c r="CC481" s="115" t="b">
        <f t="shared" ca="1" si="419"/>
        <v>0</v>
      </c>
      <c r="CD481" s="115">
        <f>IF(模拟模式!$Q$16="1个",IF(B481/40&gt;CE480,1,0),0)</f>
        <v>0</v>
      </c>
      <c r="CE481" s="115">
        <f t="shared" si="420"/>
        <v>0</v>
      </c>
      <c r="CF481" s="115">
        <f>IF(OR(CD481=1,模拟模式!$Q$16="2个"),20,MAX(0,CF480-$F$4))</f>
        <v>0</v>
      </c>
      <c r="CG481" s="115" t="b">
        <f t="shared" si="421"/>
        <v>0</v>
      </c>
      <c r="CH481" s="115">
        <f t="shared" ca="1" si="452"/>
        <v>26.310000000000002</v>
      </c>
      <c r="CI481" s="115" t="b">
        <f t="shared" ca="1" si="453"/>
        <v>0</v>
      </c>
      <c r="CJ481" s="119">
        <f t="shared" ca="1" si="454"/>
        <v>0.05</v>
      </c>
      <c r="CK481" s="115">
        <f t="shared" ca="1" si="455"/>
        <v>4.3099999999999987</v>
      </c>
      <c r="CL481" s="115" t="b">
        <f ca="1">AND(模拟模式!$S$7="驱夷逐法",OR(AND(C481="净世破魔击·月",E480&gt;59),AND(C481="净世破魔击·日",F480&gt;59)))</f>
        <v>0</v>
      </c>
      <c r="CM481" s="115" t="b">
        <f ca="1">OR(CL481,AND(C481="净世破魔击·日",CL480,RAND()&lt;模拟模式!$U$23))</f>
        <v>0</v>
      </c>
      <c r="CN481" s="115" t="b">
        <f ca="1">IF(模拟模式!$M$7="辉耀红尘",AND(C481="净世破魔击·月",CL481,CV481=0,E480&lt;80),AND(C481="净世破魔击·月",CL481,E480&lt;100))</f>
        <v>0</v>
      </c>
      <c r="CO481" s="115" t="b">
        <f t="shared" ca="1" si="428"/>
        <v>0</v>
      </c>
      <c r="CP481" s="115" t="b">
        <f ca="1">AND(模拟模式!$O$7="用晦而明",OR(C481="净世破魔击·日",C481="净世破魔击·月",C481="驱夜断愁"),AB481)</f>
        <v>1</v>
      </c>
      <c r="CQ481" s="115" t="b">
        <f ca="1">OR(CP481,AND(CP480,RAND()&lt;模拟模式!$U$23))</f>
        <v>1</v>
      </c>
      <c r="CR481" s="115" t="b">
        <f ca="1">AND(模拟模式!$S$7="日月齐光",OR(C481="幽月轮1",C481="幽月轮2",C481="幽月轮3",CR480),NOT(OR(C481="赤日轮1",C481="赤日轮2",C481="赤日轮3")))</f>
        <v>0</v>
      </c>
      <c r="CS481" s="115" t="b">
        <f ca="1">AND(模拟模式!$S$7="日月齐光",OR(C481="赤日轮1",C481="赤日轮2",C481="赤日轮3",CS480),NOT(OR(C481="幽月轮1",C481="幽月轮2",C481="幽月轮3")))</f>
        <v>0</v>
      </c>
      <c r="CT481" s="115">
        <f t="shared" ca="1" si="456"/>
        <v>24.465000000000003</v>
      </c>
      <c r="CU481" s="115" t="b">
        <f ca="1">AND(模拟模式!$K$10="阴阳往极",CT480=0,RAND()&lt;IF(C481="净世破魔击·月",0.0275*7/3,IF(C481="净世破魔击·日",0.0275*3/3,0.0275*2/3)))</f>
        <v>0</v>
      </c>
      <c r="CV481" s="115">
        <f t="shared" ca="1" si="457"/>
        <v>0</v>
      </c>
      <c r="CW481" s="115">
        <f t="shared" ca="1" si="429"/>
        <v>0.46499999999999975</v>
      </c>
      <c r="CX481" s="115">
        <f t="shared" ca="1" si="430"/>
        <v>0</v>
      </c>
      <c r="CY481" s="115">
        <f ca="1">MAX(IF($C481="驱夜断愁",IF(模拟模式!$R$7="万念俱寂",6,45),CY480-$F$4),0)</f>
        <v>0</v>
      </c>
      <c r="CZ481" s="115">
        <f t="shared" ca="1" si="431"/>
        <v>0</v>
      </c>
      <c r="DA481" s="115">
        <f ca="1">IF(模拟模式!$N$7="日月同辉",IF(DB480=2,0,MIN(6,IF(AND(OR(C481="赤日轮1",C481="赤日轮2",C481="赤日轮3",C481="幽月轮1",C481="幽月轮2",C481="幽月轮3"),AB481=1),DA480+1,DA480))),0)</f>
        <v>0</v>
      </c>
      <c r="DB481" s="115">
        <f t="shared" ca="1" si="432"/>
        <v>0</v>
      </c>
      <c r="DC481" s="115"/>
      <c r="DD481" s="115"/>
      <c r="DE481" s="115"/>
      <c r="DF481" s="115"/>
      <c r="DG481" s="115"/>
      <c r="DH481" s="115"/>
      <c r="DI481" s="115"/>
      <c r="DJ481" s="115"/>
      <c r="DK481" s="115"/>
      <c r="DL481" s="115"/>
      <c r="DM481" s="115"/>
    </row>
    <row r="482" spans="2:117" x14ac:dyDescent="0.2">
      <c r="B482" s="117">
        <f t="shared" si="433"/>
        <v>419.73750000000422</v>
      </c>
      <c r="C482" s="167" t="str">
        <f t="shared" ca="1" si="426"/>
        <v>赤日轮1</v>
      </c>
      <c r="D482" s="115">
        <f ca="1">IF(C482="赤日轮1",1,IF(C482="赤日轮2",2,IF(C482="赤日轮3",3,IF(C482="幽月轮1",4,IF(C482="幽月轮2",5,IF(C482="幽月轮3",6,IF(C482="烈日斩",7,IF(C482="银月斩",8,IF(C482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482="净世破魔击·月",17,IF(C482="驱夜断愁",18,0)))))))))))</f>
        <v>1</v>
      </c>
      <c r="E482" s="115">
        <f ca="1">IF(AND(CU482,OR(C482="幽月轮1",C482="幽月轮2",C482="幽月轮3",C482="银月斩",C482="驱夜断愁",C482="净世破魔击·月")),100,MIN(IF(OR(CN482,BE482),0,IF(OR($C482="赤日轮1",$C482="赤日轮2",$C482="赤日轮3"),E481+20+IF(模拟模式!$I$7="日月凌天",4,0)+IF(CR481,20,0),IF($C482="烈日斩",E481+40,IF($C482="驱夜断愁",IF(模拟模式!$R$7="万念俱寂",E481+20,E481+60),IF($C482="净世破魔击·月",IF(OR(DB481&gt;0,CV481&gt;0),100,IF(模拟模式!$M$7="辉耀红尘",E481+20,E481)),IF($C482="净世破魔击·日",E481-100,E481)))))),100))</f>
        <v>20</v>
      </c>
      <c r="F482" s="115">
        <f ca="1">IF(AND(CU482,OR(C482="赤日轮1",C482="赤日轮2",C482="赤日轮3",C482="烈日斩",C482="净世破魔击·日")),100,MIN(IF(CO482,0,IF(OR($C482="幽月轮1",$C482="幽月轮2",$C482="幽月轮3"),F481+20+IF(模拟模式!$I$7="日月凌天",4,0)+IF(CS481,20,0),IF($C482="银月斩",F481+40+IF(模拟模式!$X$12=1,5,0),IF($C482="驱夜断愁",IF(模拟模式!$R$7="万念俱寂",F481+20,F481+60),IF($C482="净世破魔击·月",IF(模拟模式!$M$7="辉耀红尘",F481-80,F481-100),IF(AND(C482="净世破魔击·日",OR(DB481&gt;0,CV481&gt;0)),100,F481)))))),100))</f>
        <v>20</v>
      </c>
      <c r="G482" s="117">
        <f ca="1">('模拟-全程加成'!$E$3+'模拟-全程加成'!$E$4+'模拟-全程加成'!$E$5+('模拟-全程加成'!$C$6-'模拟-全程加成'!$C$3)*系数!$B$9+BS482*23)*(1+'模拟-全程加成'!$F$4+'模拟-全程加成'!$F$5+BJ482*10%+BM482*20%+BP482*4%+CG482*30%)+$F$7*系数!$B$12</f>
        <v>21493.829400000002</v>
      </c>
      <c r="H482" s="45">
        <f ca="1">'模拟-全程加成'!$H$3+'模拟-全程加成'!$H$4+'模拟-全程加成'!$H$5+('模拟-全程加成'!$G$4+'模拟-全程加成'!$G$5+('模拟-全程加成'!$C$6-'模拟-全程加成'!$C$3)*系数!$B$13)/系数!$B$3+LOOKUP(D482,'模拟-单技能数据'!$A$2:$A$19,'模拟-单技能数据'!$K$2:$K$19)+BG482*10%+IF(BV482&gt;0,378,0)</f>
        <v>0.4618514552730022</v>
      </c>
      <c r="I482" s="45">
        <f ca="1">'模拟-全程加成'!$J$3+'模拟-全程加成'!$J$4+'模拟-全程加成'!$J$5+('模拟-全程加成'!$I$4+'模拟-全程加成'!$I$5)/系数!$B$4+LOOKUP(D482,'模拟-单技能数据'!$A$2:$A$19,'模拟-单技能数据'!$L$2:$L$19)+BG482*10%</f>
        <v>2.162482885499879</v>
      </c>
      <c r="J482" s="45">
        <f ca="1">(('模拟-全程加成'!$K$3+'模拟-全程加成'!$K$4+'模拟-全程加成'!$K$5+('模拟-全程加成'!$C$6-'模拟-全程加成'!$C$3)*系数!$B$10+IF(BV482&gt;0,882,0)+IF(BY482&gt;0,1831,0))*(1+'模拟-全程加成'!$L$4+'模拟-全程加成'!$L$5+CC482*20%))/系数!$B$5</f>
        <v>0.69723220422048726</v>
      </c>
      <c r="K482" s="119">
        <f ca="1">LOOKUP(D482,'模拟-单技能数据'!$A$2:$A$19,'模拟-单技能数据'!$J$2:$J$19)+IF(CM482,60%,0)+IF(DB481-DB482&gt;0,30%,0)+IF(OR(AND(OR(C482="赤日轮1",C482="赤日轮2",C482="赤日轮3"),CR482),AND(OR(C482="幽月轮1",C482="幽月轮2",C482="幽月轮3"),CS482)),35%,0)+CJ482</f>
        <v>0.16999999999999998</v>
      </c>
      <c r="L482" s="119">
        <f ca="1">IF(AND(C482="烈日斩",模拟模式!$X$11=1),10%,0)+IF(AND(C482="驱夜断愁",AB482=1),30%,0)</f>
        <v>0</v>
      </c>
      <c r="M482" s="45">
        <f t="shared" ca="1" si="409"/>
        <v>0.4618514552730022</v>
      </c>
      <c r="N482" s="45">
        <f t="shared" ca="1" si="410"/>
        <v>0.48424854472699785</v>
      </c>
      <c r="O482" s="46">
        <f t="shared" ca="1" si="434"/>
        <v>0.86758020699654292</v>
      </c>
      <c r="P482" s="46" t="str">
        <f t="shared" ca="1" si="435"/>
        <v>命</v>
      </c>
      <c r="Q482" s="45">
        <f t="shared" ca="1" si="436"/>
        <v>1</v>
      </c>
      <c r="R482" s="117">
        <f ca="1">模拟模式!$E$20*(1-IF(模拟模式!$J$19="有",0.15,0))*(1-IF(模拟模式!$K$19="有",0.3,0)-IF(CQ482,0.5,0))</f>
        <v>843.02999999999975</v>
      </c>
      <c r="S482" s="45">
        <f ca="1">R482/(R482+(185*模拟模式!$E$22-16800)*4.08224)</f>
        <v>8.389626085980037E-2</v>
      </c>
      <c r="T482" s="45" t="str">
        <f ca="1">LOOKUP(D482,'模拟-单技能数据'!$A$2:$A$19,'模拟-单技能数据'!$H$2:$H$19)</f>
        <v>阳</v>
      </c>
      <c r="U482" s="119">
        <f t="shared" ca="1" si="411"/>
        <v>0.2</v>
      </c>
      <c r="V482" s="47">
        <f ca="1">(1+L482)*(LOOKUP(D482,'模拟-单技能数据'!$A$2:$A$19,'模拟-单技能数据'!$D$2:$D$19)+G482*LOOKUP(D482,'模拟-单技能数据'!$A$2:$A$19,'模拟-单技能数据'!$F$2:$F$19))*(1+J482)*(1+K482)*(1-S482)*(1+U482)*Q482*LOOKUP(D482,'模拟-单技能数据'!$A$2:$A$19,'模拟-单技能数据'!$I$2:$I$20)</f>
        <v>27469.690007533645</v>
      </c>
      <c r="W482" s="47">
        <f ca="1">LOOKUP(D482,'模拟-单技能数据'!$A$2:$A$19,'模拟-单技能数据'!$G$2:$G$19)*$I$10</f>
        <v>361.51064354704795</v>
      </c>
      <c r="X482" s="47">
        <f t="shared" ca="1" si="437"/>
        <v>0</v>
      </c>
      <c r="Y482" s="47">
        <f t="shared" ca="1" si="412"/>
        <v>27831.200651080693</v>
      </c>
      <c r="Z482" s="49">
        <f t="shared" ca="1" si="413"/>
        <v>47739160.063915953</v>
      </c>
      <c r="AA482" s="97">
        <f t="shared" ca="1" si="414"/>
        <v>113735.75166363614</v>
      </c>
      <c r="AB482" s="115">
        <f ca="1">IF(OR(C482="赤日轮1",C482="赤日轮2",C482="赤日轮3"),IF(RAND()&lt;模拟模式!$Y$17,1,0),IF(OR(C482="幽月轮1",C482="幽月轮2",C482="幽月轮3"),IF(RAND()&lt;模拟模式!$Y$18,1,0),IF(C482="烈日斩",IF(RAND()&lt;模拟模式!$Y$19,1,0),IF(C482="银月斩",IF(RAND()&lt;模拟模式!$Y$20,1,0),IF(C482="驱夜断愁",IF(RAND()&lt;模拟模式!$Y$21,1,0),IF(C482="净世破魔击·日",IF(RAND()&lt;模拟模式!$Y$22,1,0),IF(C482="净世破魔击·月",IF(RAND()&lt;模拟模式!$Y$23,1,0),0)))))))</f>
        <v>1</v>
      </c>
      <c r="AC482" s="115" t="b">
        <f t="shared" ca="1" si="402"/>
        <v>0</v>
      </c>
      <c r="AD482" s="115" t="b">
        <f t="shared" ca="1" si="422"/>
        <v>1</v>
      </c>
      <c r="AE482" s="115">
        <f t="shared" ca="1" si="423"/>
        <v>1</v>
      </c>
      <c r="AF482" s="47">
        <f ca="1">IF(AC482,('模拟-单技能数据'!$D$20+G482*'模拟-单技能数据'!$F$20)*(1+J482)*(1+'模拟-单技能数据'!$J$20)*(1+U482),0)</f>
        <v>0</v>
      </c>
      <c r="AG482" s="61">
        <f t="shared" ca="1" si="415"/>
        <v>0.64185145527300214</v>
      </c>
      <c r="AH482" s="61">
        <f t="shared" ca="1" si="416"/>
        <v>2.2624828854998791</v>
      </c>
      <c r="AI482" s="62">
        <f t="shared" ca="1" si="438"/>
        <v>0.80110673635793916</v>
      </c>
      <c r="AJ482" s="47">
        <f ca="1">IF(AD482,IF(AI482&lt;$F$10,0,IF(AI482&lt;$F$10+$F$11,0.25,IF(AI482&lt;$F$10+$F$11+AG482,AH482,1)))*IF(AF482&gt;0,AF482,IF(AF481&gt;0,AF481,IF(AF480&gt;0,AF480,IF(AF479&gt;0,AF479,IF(AF478&gt;0,AF478,IF(AF477&gt;0,AF477,IF(AF476&gt;0,AF476,IF(AF475&gt;0,AF475,IF(AF474&gt;0,AF474,IF(AF472&gt;0,AF472,IF(AF471&gt;0,AF471,IF(AF470&gt;0,AF470,0)))))))))))),0)*(1-$S482)*'模拟-单技能数据'!$I$20</f>
        <v>0</v>
      </c>
      <c r="AK482" s="115" t="b">
        <f t="shared" ca="1" si="403"/>
        <v>0</v>
      </c>
      <c r="AL482" s="115" t="b">
        <f t="shared" ca="1" si="424"/>
        <v>0</v>
      </c>
      <c r="AM482" s="115">
        <f t="shared" ca="1" si="425"/>
        <v>5</v>
      </c>
      <c r="AN482" s="47">
        <f ca="1">IF(AK482,('模拟-单技能数据'!$D$21+G482*'模拟-单技能数据'!$F$21)*(1+J482)*(1+'模拟-单技能数据'!$J$21)*(1+U482),0)</f>
        <v>0</v>
      </c>
      <c r="AO482" s="61">
        <f ca="1">IF(AN482&gt;0,M482-'模拟-单技能数据'!$K$10,AO481)</f>
        <v>0.42185145527300216</v>
      </c>
      <c r="AP482" s="61">
        <f ca="1">IF(AN482&gt;0,I482-'模拟-单技能数据'!$L$10,AP481)</f>
        <v>2.162482885499879</v>
      </c>
      <c r="AQ482" s="63">
        <f t="shared" ca="1" si="439"/>
        <v>0.87122414325131359</v>
      </c>
      <c r="AR482" s="64">
        <f ca="1">IF(AL482,IF(AQ482&lt;$F$10,0,IF(AQ482&lt;$F$10+$F$11,0.25,IF(AQ482&lt;$F$10+$F$11+AO482,AP482,1)))*IF(AN482&gt;0,AN482,IF(AN481&gt;0,AN481,IF(AN480&gt;0,AN480,IF(AN479&gt;0,AN479,IF(AN478&gt;0,AN478,IF(AN477&gt;0,AN477,IF(AN476&gt;0,AN476,IF(AN475&gt;0,AN475,IF(AN474&gt;0,AN474,IF(AN472&gt;0,AN472,IF(AN471&gt;0,AN471,IF(AN470&gt;0,AN470,0)))))))))))),0)*(1-$S482)*'模拟-单技能数据'!$I$21</f>
        <v>0</v>
      </c>
      <c r="AS482" s="61">
        <f ca="1">IF(OR(C482="净世破魔击·日",C482="净世破魔击·月"),M482-'模拟-单技能数据'!$K$10,0)</f>
        <v>0</v>
      </c>
      <c r="AT482" s="61">
        <f ca="1">IF(OR(C482="净世破魔击·日",C482="净世破魔击·月"),I482-'模拟-单技能数据'!$L$10,0)</f>
        <v>0</v>
      </c>
      <c r="AU482" s="62">
        <f t="shared" ca="1" si="440"/>
        <v>0.24631894738872306</v>
      </c>
      <c r="AV482" s="64">
        <f ca="1">IF(AS482&gt;0,('模拟-单技能数据'!$D$22+G482*'模拟-单技能数据'!$F$22)*(1+J482)*(1-S482)*IF(AU482&lt;$F$10,0,IF(AU482&lt;$F$10+$F$11,0.25,IF(AU482&lt;$F$10+$F$11+AS482,AT482,1)))*(1+U482),0)*'模拟-单技能数据'!$I$22</f>
        <v>0</v>
      </c>
      <c r="AW482" s="108">
        <f t="shared" ca="1" si="441"/>
        <v>17.232500000000002</v>
      </c>
      <c r="AX482" s="108" t="b">
        <f ca="1">AND(模拟模式!$P$10="有",AW481=0,RAND()&lt;IF(C482="净世破魔击·月",0.1*8/3,IF(C482="净世破魔击·日",0.1*4/3,0.1*2/3)))</f>
        <v>0</v>
      </c>
      <c r="AY482" s="47">
        <f ca="1">IF(AX482,(18+G482*0.722)*(1+J482)*(1-S482)*(1+$I$4)*IF(P482="会",'模拟-全程加成'!$J$3+'模拟-全程加成'!$J$4+'模拟-全程加成'!$J$5+('模拟-全程加成'!$I$4+'模拟-全程加成'!$I$5)/系数!$B$4+BG482*10%,IF(P482="命",1,IF(P482="识",0.25,0))),0)</f>
        <v>0</v>
      </c>
      <c r="AZ482" s="108">
        <f t="shared" si="442"/>
        <v>6.1625000000000068</v>
      </c>
      <c r="BA482" s="108" t="b">
        <f>AND(模拟模式!$Q$10="有",AZ481=0)</f>
        <v>0</v>
      </c>
      <c r="BB482" s="140">
        <f>IF(BA482,(0+G482*0.287)*(1+J482)*(1-S482)*(1+$I$4)*IF(P482="会",'模拟-全程加成'!$J$3+'模拟-全程加成'!$J$4+'模拟-全程加成'!$J$5+('模拟-全程加成'!$I$4+'模拟-全程加成'!$I$5)/系数!$B$4+BG482*10%,IF(P482="命",1,IF(P482="识",0.25,0))),0)</f>
        <v>0</v>
      </c>
      <c r="BC482" s="115" t="b">
        <f ca="1">AND(模拟模式!$R$7="伏明众生",E482=60,F482=20,DA482&lt;5,CZ481&lt;$F$4)</f>
        <v>0</v>
      </c>
      <c r="BD482" s="115">
        <f t="shared" ca="1" si="404"/>
        <v>0</v>
      </c>
      <c r="BE482" s="115" t="b">
        <f t="shared" ca="1" si="405"/>
        <v>0</v>
      </c>
      <c r="BF482" s="47">
        <f ca="1">IF(BC482,4*('模拟-单技能数据'!$D$24+G482*'模拟-单技能数据'!$F$24)*(1+J482)*(1+'模拟-单技能数据'!$J$24)*(1-S482)*(1+$I$3)*(('模拟-全程加成'!$J$3+'模拟-全程加成'!$J$4+'模拟-全程加成'!$J$5+('模拟-全程加成'!$I$4+'模拟-全程加成'!$I$5)/系数!$B$4+BG482*10%)*('模拟-全程加成'!$J$3+'模拟-全程加成'!$J$4+'模拟-全程加成'!$J$5+('模拟-全程加成'!$I$4+'模拟-全程加成'!$I$5)/系数!$B$4+BG482*10%)+(1-('模拟-全程加成'!$J$3+'模拟-全程加成'!$J$4+'模拟-全程加成'!$J$5+('模拟-全程加成'!$I$4+'模拟-全程加成'!$I$5)/系数!$B$4+BG482*10%)-$F$10-$F$11)+F468*0.25),0)*'模拟-单技能数据'!$I$24</f>
        <v>0</v>
      </c>
      <c r="BG482" s="115" t="b">
        <f ca="1">OR(AND(OR(C482="烈日斩",C482="银月斩"),模拟模式!$I$7="净身明礼"),AND(C482="净世破魔击·日",模拟模式!$J$7="洞若观火"),AND(C483="净世破魔击·月",模拟模式!$J$7="洞若观火"),AB482=1)</f>
        <v>1</v>
      </c>
      <c r="BH482" s="115" t="b">
        <f t="shared" ca="1" si="443"/>
        <v>0</v>
      </c>
      <c r="BI482" s="115">
        <f t="shared" ca="1" si="406"/>
        <v>4.1549999999999994</v>
      </c>
      <c r="BJ482" s="115" t="b">
        <f t="shared" ca="1" si="417"/>
        <v>1</v>
      </c>
      <c r="BK482" s="115" t="b">
        <f ca="1">AND(C482="驱夜断愁",模拟模式!$P$7="天地诛戮")</f>
        <v>0</v>
      </c>
      <c r="BL482" s="57">
        <f t="shared" ca="1" si="407"/>
        <v>12.620000000000005</v>
      </c>
      <c r="BM482" s="115" t="b">
        <f t="shared" ca="1" si="418"/>
        <v>1</v>
      </c>
      <c r="BN482" s="115" t="b">
        <f ca="1">AND(OR(C482="赤日轮1",C482="赤日轮2",C482="赤日轮3",C482="幽月轮1",C482="幽月轮2",C482="幽月轮3"),AB482=1,模拟模式!$L$7="明光恒照")</f>
        <v>1</v>
      </c>
      <c r="BO482" s="117">
        <f t="shared" ca="1" si="408"/>
        <v>30</v>
      </c>
      <c r="BP482" s="115">
        <f t="shared" ca="1" si="444"/>
        <v>6</v>
      </c>
      <c r="BQ482" s="115" t="b">
        <f>模拟模式!$K$10="2600·水"</f>
        <v>0</v>
      </c>
      <c r="BR482" s="117">
        <f t="shared" si="445"/>
        <v>0</v>
      </c>
      <c r="BS482" s="115">
        <f t="shared" si="446"/>
        <v>0</v>
      </c>
      <c r="BT482" s="115">
        <f t="shared" ca="1" si="447"/>
        <v>0</v>
      </c>
      <c r="BU482" s="115" t="b">
        <f ca="1">AND(模拟模式!$K$10="2300·雷",BT481=0,RAND()&lt;IF(C482="净世破魔击·月",5*0.05*2/3,IF(C482="净世破魔击·日",3*0.05*2/3,0.05*2*2/3)))</f>
        <v>0</v>
      </c>
      <c r="BV482" s="115">
        <f t="shared" ca="1" si="448"/>
        <v>0</v>
      </c>
      <c r="BW482" s="115">
        <f t="shared" ca="1" si="449"/>
        <v>135.71999999999935</v>
      </c>
      <c r="BX482" s="164" t="b">
        <f t="shared" ca="1" si="450"/>
        <v>0</v>
      </c>
      <c r="BY482" s="115">
        <f t="shared" ca="1" si="451"/>
        <v>0</v>
      </c>
      <c r="BZ482" s="115">
        <f>IF(OR(模拟模式!$P$16="10人团",模拟模式!$P$16="25人团"),IF(B482/30&gt;CA481,1,0),0)</f>
        <v>0</v>
      </c>
      <c r="CA482" s="115">
        <f t="shared" si="427"/>
        <v>0</v>
      </c>
      <c r="CB482" s="115">
        <f ca="1">IF(BZ482=1,IF(模拟模式!$P$16="10人团",15,0)+IF(模拟模式!$P$16="25人团",IF(RAND()&lt;0.6,15,0)),MAX(0,CB481-$F$4))</f>
        <v>0</v>
      </c>
      <c r="CC482" s="115" t="b">
        <f t="shared" ca="1" si="419"/>
        <v>0</v>
      </c>
      <c r="CD482" s="115">
        <f>IF(模拟模式!$Q$16="1个",IF(B482/40&gt;CE481,1,0),0)</f>
        <v>0</v>
      </c>
      <c r="CE482" s="115">
        <f t="shared" si="420"/>
        <v>0</v>
      </c>
      <c r="CF482" s="115">
        <f>IF(OR(CD482=1,模拟模式!$Q$16="2个"),20,MAX(0,CF481-$F$4))</f>
        <v>0</v>
      </c>
      <c r="CG482" s="115" t="b">
        <f t="shared" si="421"/>
        <v>0</v>
      </c>
      <c r="CH482" s="115">
        <f t="shared" ca="1" si="452"/>
        <v>25.387500000000003</v>
      </c>
      <c r="CI482" s="115" t="b">
        <f t="shared" ca="1" si="453"/>
        <v>0</v>
      </c>
      <c r="CJ482" s="119">
        <f t="shared" ca="1" si="454"/>
        <v>0.05</v>
      </c>
      <c r="CK482" s="115">
        <f t="shared" ca="1" si="455"/>
        <v>3.3874999999999988</v>
      </c>
      <c r="CL482" s="115" t="b">
        <f ca="1">AND(模拟模式!$S$7="驱夷逐法",OR(AND(C482="净世破魔击·月",E481&gt;59),AND(C482="净世破魔击·日",F481&gt;59)))</f>
        <v>0</v>
      </c>
      <c r="CM482" s="115" t="b">
        <f ca="1">OR(CL482,AND(C482="净世破魔击·日",CL481,RAND()&lt;模拟模式!$U$23))</f>
        <v>0</v>
      </c>
      <c r="CN482" s="115" t="b">
        <f ca="1">IF(模拟模式!$M$7="辉耀红尘",AND(C482="净世破魔击·月",CL482,CV482=0,E481&lt;80),AND(C482="净世破魔击·月",CL482,E481&lt;100))</f>
        <v>0</v>
      </c>
      <c r="CO482" s="115" t="b">
        <f t="shared" ca="1" si="428"/>
        <v>0</v>
      </c>
      <c r="CP482" s="115" t="b">
        <f ca="1">AND(模拟模式!$O$7="用晦而明",OR(C482="净世破魔击·日",C482="净世破魔击·月",C482="驱夜断愁"),AB482)</f>
        <v>0</v>
      </c>
      <c r="CQ482" s="115" t="b">
        <f ca="1">OR(CP482,AND(CP481,RAND()&lt;模拟模式!$U$23))</f>
        <v>1</v>
      </c>
      <c r="CR482" s="115" t="b">
        <f ca="1">AND(模拟模式!$S$7="日月齐光",OR(C482="幽月轮1",C482="幽月轮2",C482="幽月轮3",CR481),NOT(OR(C482="赤日轮1",C482="赤日轮2",C482="赤日轮3")))</f>
        <v>0</v>
      </c>
      <c r="CS482" s="115" t="b">
        <f ca="1">AND(模拟模式!$S$7="日月齐光",OR(C482="赤日轮1",C482="赤日轮2",C482="赤日轮3",CS481),NOT(OR(C482="幽月轮1",C482="幽月轮2",C482="幽月轮3")))</f>
        <v>0</v>
      </c>
      <c r="CT482" s="115">
        <f t="shared" ca="1" si="456"/>
        <v>23.542500000000004</v>
      </c>
      <c r="CU482" s="115" t="b">
        <f ca="1">AND(模拟模式!$K$10="阴阳往极",CT481=0,RAND()&lt;IF(C482="净世破魔击·月",0.0275*7/3,IF(C482="净世破魔击·日",0.0275*3/3,0.0275*2/3)))</f>
        <v>0</v>
      </c>
      <c r="CV482" s="115">
        <f t="shared" ca="1" si="457"/>
        <v>0</v>
      </c>
      <c r="CW482" s="115">
        <f t="shared" ca="1" si="429"/>
        <v>0</v>
      </c>
      <c r="CX482" s="115">
        <f t="shared" ca="1" si="430"/>
        <v>0</v>
      </c>
      <c r="CY482" s="115">
        <f ca="1">MAX(IF($C482="驱夜断愁",IF(模拟模式!$R$7="万念俱寂",6,45),CY481-$F$4),0)</f>
        <v>0</v>
      </c>
      <c r="CZ482" s="115">
        <f t="shared" ca="1" si="431"/>
        <v>0</v>
      </c>
      <c r="DA482" s="115">
        <f ca="1">IF(模拟模式!$N$7="日月同辉",IF(DB481=2,0,MIN(6,IF(AND(OR(C482="赤日轮1",C482="赤日轮2",C482="赤日轮3",C482="幽月轮1",C482="幽月轮2",C482="幽月轮3"),AB482=1),DA481+1,DA481))),0)</f>
        <v>1</v>
      </c>
      <c r="DB482" s="115">
        <f t="shared" ca="1" si="432"/>
        <v>0</v>
      </c>
      <c r="DC482" s="115"/>
      <c r="DD482" s="115"/>
      <c r="DE482" s="115"/>
      <c r="DF482" s="115"/>
      <c r="DG482" s="115"/>
      <c r="DH482" s="115"/>
      <c r="DI482" s="115"/>
      <c r="DJ482" s="115"/>
      <c r="DK482" s="115"/>
      <c r="DL482" s="115"/>
      <c r="DM482" s="115"/>
    </row>
    <row r="483" spans="2:117" x14ac:dyDescent="0.2">
      <c r="B483" s="117">
        <f t="shared" si="433"/>
        <v>420.66000000000423</v>
      </c>
      <c r="C483" s="167" t="str">
        <f t="shared" ca="1" si="426"/>
        <v>银月斩</v>
      </c>
      <c r="D483" s="115">
        <f ca="1">IF(C483="赤日轮1",1,IF(C483="赤日轮2",2,IF(C483="赤日轮3",3,IF(C483="幽月轮1",4,IF(C483="幽月轮2",5,IF(C483="幽月轮3",6,IF(C483="烈日斩",7,IF(C483="银月斩",8,IF(C483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483="净世破魔击·月",17,IF(C483="驱夜断愁",18,0)))))))))))</f>
        <v>8</v>
      </c>
      <c r="E483" s="115">
        <f ca="1">IF(AND(CU483,OR(C483="幽月轮1",C483="幽月轮2",C483="幽月轮3",C483="银月斩",C483="驱夜断愁",C483="净世破魔击·月")),100,MIN(IF(OR(CN483,BE483),0,IF(OR($C483="赤日轮1",$C483="赤日轮2",$C483="赤日轮3"),E482+20+IF(模拟模式!$I$7="日月凌天",4,0)+IF(CR482,20,0),IF($C483="烈日斩",E482+40,IF($C483="驱夜断愁",IF(模拟模式!$R$7="万念俱寂",E482+20,E482+60),IF($C483="净世破魔击·月",IF(OR(DB482&gt;0,CV482&gt;0),100,IF(模拟模式!$M$7="辉耀红尘",E482+20,E482)),IF($C483="净世破魔击·日",E482-100,E482)))))),100))</f>
        <v>20</v>
      </c>
      <c r="F483" s="115">
        <f ca="1">IF(AND(CU483,OR(C483="赤日轮1",C483="赤日轮2",C483="赤日轮3",C483="烈日斩",C483="净世破魔击·日")),100,MIN(IF(CO483,0,IF(OR($C483="幽月轮1",$C483="幽月轮2",$C483="幽月轮3"),F482+20+IF(模拟模式!$I$7="日月凌天",4,0)+IF(CS482,20,0),IF($C483="银月斩",F482+40+IF(模拟模式!$X$12=1,5,0),IF($C483="驱夜断愁",IF(模拟模式!$R$7="万念俱寂",F482+20,F482+60),IF($C483="净世破魔击·月",IF(模拟模式!$M$7="辉耀红尘",F482-80,F482-100),IF(AND(C483="净世破魔击·日",OR(DB482&gt;0,CV482&gt;0)),100,F482)))))),100))</f>
        <v>65</v>
      </c>
      <c r="G483" s="117">
        <f ca="1">('模拟-全程加成'!$E$3+'模拟-全程加成'!$E$4+'模拟-全程加成'!$E$5+('模拟-全程加成'!$C$6-'模拟-全程加成'!$C$3)*系数!$B$9+BS483*23)*(1+'模拟-全程加成'!$F$4+'模拟-全程加成'!$F$5+BJ483*10%+BM483*20%+BP483*4%+CG483*30%)+$F$7*系数!$B$12</f>
        <v>21493.829400000002</v>
      </c>
      <c r="H483" s="45">
        <f ca="1">'模拟-全程加成'!$H$3+'模拟-全程加成'!$H$4+'模拟-全程加成'!$H$5+('模拟-全程加成'!$G$4+'模拟-全程加成'!$G$5+('模拟-全程加成'!$C$6-'模拟-全程加成'!$C$3)*系数!$B$13)/系数!$B$3+LOOKUP(D483,'模拟-单技能数据'!$A$2:$A$19,'模拟-单技能数据'!$K$2:$K$19)+BG483*10%+IF(BV483&gt;0,378,0)</f>
        <v>0.64185145527300214</v>
      </c>
      <c r="I483" s="45">
        <f ca="1">'模拟-全程加成'!$J$3+'模拟-全程加成'!$J$4+'模拟-全程加成'!$J$5+('模拟-全程加成'!$I$4+'模拟-全程加成'!$I$5)/系数!$B$4+LOOKUP(D483,'模拟-单技能数据'!$A$2:$A$19,'模拟-单技能数据'!$L$2:$L$19)+BG483*10%</f>
        <v>2.2624828854998791</v>
      </c>
      <c r="J483" s="45">
        <f ca="1">(('模拟-全程加成'!$K$3+'模拟-全程加成'!$K$4+'模拟-全程加成'!$K$5+('模拟-全程加成'!$C$6-'模拟-全程加成'!$C$3)*系数!$B$10+IF(BV483&gt;0,882,0)+IF(BY483&gt;0,1831,0))*(1+'模拟-全程加成'!$L$4+'模拟-全程加成'!$L$5+CC483*20%))/系数!$B$5</f>
        <v>0.69723220422048726</v>
      </c>
      <c r="K483" s="119">
        <f ca="1">LOOKUP(D483,'模拟-单技能数据'!$A$2:$A$19,'模拟-单技能数据'!$J$2:$J$19)+IF(CM483,60%,0)+IF(DB482-DB483&gt;0,30%,0)+IF(OR(AND(OR(C483="赤日轮1",C483="赤日轮2",C483="赤日轮3"),CR483),AND(OR(C483="幽月轮1",C483="幽月轮2",C483="幽月轮3"),CS483)),35%,0)+CJ483</f>
        <v>0.2</v>
      </c>
      <c r="L483" s="119">
        <f ca="1">IF(AND(C483="烈日斩",模拟模式!$X$11=1),10%,0)+IF(AND(C483="驱夜断愁",AB483=1),30%,0)</f>
        <v>0</v>
      </c>
      <c r="M483" s="45">
        <f t="shared" ca="1" si="409"/>
        <v>0.64185145527300214</v>
      </c>
      <c r="N483" s="45">
        <f t="shared" ca="1" si="410"/>
        <v>0.30424854472699792</v>
      </c>
      <c r="O483" s="46">
        <f t="shared" ca="1" si="434"/>
        <v>0.23038560273474173</v>
      </c>
      <c r="P483" s="46" t="str">
        <f t="shared" ca="1" si="435"/>
        <v>会</v>
      </c>
      <c r="Q483" s="45">
        <f t="shared" ca="1" si="436"/>
        <v>2.2624828854998791</v>
      </c>
      <c r="R483" s="117">
        <f ca="1">模拟模式!$E$20*(1-IF(模拟模式!$J$19="有",0.15,0))*(1-IF(模拟模式!$K$19="有",0.3,0)-IF(CQ483,0.5,0))</f>
        <v>2950.6049999999996</v>
      </c>
      <c r="S483" s="45">
        <f ca="1">R483/(R483+(185*模拟模式!$E$22-16800)*4.08224)</f>
        <v>0.24272716014590323</v>
      </c>
      <c r="T483" s="45" t="str">
        <f ca="1">LOOKUP(D483,'模拟-单技能数据'!$A$2:$A$19,'模拟-单技能数据'!$H$2:$H$19)</f>
        <v>阴</v>
      </c>
      <c r="U483" s="119">
        <f t="shared" ca="1" si="411"/>
        <v>0.08</v>
      </c>
      <c r="V483" s="47">
        <f ca="1">(1+L483)*(LOOKUP(D483,'模拟-单技能数据'!$A$2:$A$19,'模拟-单技能数据'!$D$2:$D$19)+G483*LOOKUP(D483,'模拟-单技能数据'!$A$2:$A$19,'模拟-单技能数据'!$F$2:$F$19))*(1+J483)*(1+K483)*(1-S483)*(1+U483)*Q483*LOOKUP(D483,'模拟-单技能数据'!$A$2:$A$19,'模拟-单技能数据'!$I$2:$I$20)</f>
        <v>43003.518149433054</v>
      </c>
      <c r="W483" s="47">
        <f ca="1">LOOKUP(D483,'模拟-单技能数据'!$A$2:$A$19,'模拟-单技能数据'!$G$2:$G$19)*$I$10</f>
        <v>361.51064354704795</v>
      </c>
      <c r="X483" s="47">
        <f t="shared" ca="1" si="437"/>
        <v>20749.792464251139</v>
      </c>
      <c r="Y483" s="47">
        <f t="shared" ca="1" si="412"/>
        <v>64114.821257231233</v>
      </c>
      <c r="Z483" s="49">
        <f t="shared" ca="1" si="413"/>
        <v>47803274.885173187</v>
      </c>
      <c r="AA483" s="97">
        <f t="shared" ca="1" si="414"/>
        <v>113638.74598291425</v>
      </c>
      <c r="AB483" s="115">
        <f ca="1">IF(OR(C483="赤日轮1",C483="赤日轮2",C483="赤日轮3"),IF(RAND()&lt;模拟模式!$Y$17,1,0),IF(OR(C483="幽月轮1",C483="幽月轮2",C483="幽月轮3"),IF(RAND()&lt;模拟模式!$Y$18,1,0),IF(C483="烈日斩",IF(RAND()&lt;模拟模式!$Y$19,1,0),IF(C483="银月斩",IF(RAND()&lt;模拟模式!$Y$20,1,0),IF(C483="驱夜断愁",IF(RAND()&lt;模拟模式!$Y$21,1,0),IF(C483="净世破魔击·日",IF(RAND()&lt;模拟模式!$Y$22,1,0),IF(C483="净世破魔击·月",IF(RAND()&lt;模拟模式!$Y$23,1,0),0)))))))</f>
        <v>1</v>
      </c>
      <c r="AC483" s="115" t="b">
        <f t="shared" ca="1" si="402"/>
        <v>1</v>
      </c>
      <c r="AD483" s="115" t="b">
        <f t="shared" ca="1" si="422"/>
        <v>0</v>
      </c>
      <c r="AE483" s="115">
        <f t="shared" ca="1" si="423"/>
        <v>6</v>
      </c>
      <c r="AF483" s="47">
        <f ca="1">IF(AC483,('模拟-单技能数据'!$D$20+G483*'模拟-单技能数据'!$F$20)*(1+J483)*(1+'模拟-单技能数据'!$J$20)*(1+U483),0)</f>
        <v>4639.7456468263617</v>
      </c>
      <c r="AG483" s="61">
        <f t="shared" ca="1" si="415"/>
        <v>0.64185145527300214</v>
      </c>
      <c r="AH483" s="61">
        <f t="shared" ca="1" si="416"/>
        <v>2.2624828854998791</v>
      </c>
      <c r="AI483" s="62">
        <f t="shared" ca="1" si="438"/>
        <v>0.84105992215305003</v>
      </c>
      <c r="AJ483" s="47">
        <f ca="1">IF(AD483,IF(AI483&lt;$F$10,0,IF(AI483&lt;$F$10+$F$11,0.25,IF(AI483&lt;$F$10+$F$11+AG483,AH483,1)))*IF(AF483&gt;0,AF483,IF(AF482&gt;0,AF482,IF(AF481&gt;0,AF481,IF(AF480&gt;0,AF480,IF(AF479&gt;0,AF479,IF(AF478&gt;0,AF478,IF(AF477&gt;0,AF477,IF(AF476&gt;0,AF476,IF(AF475&gt;0,AF475,IF(AF473&gt;0,AF473,IF(AF472&gt;0,AF472,IF(AF471&gt;0,AF471,0)))))))))))),0)*(1-$S483)*'模拟-单技能数据'!$I$20</f>
        <v>0</v>
      </c>
      <c r="AK483" s="115" t="b">
        <f t="shared" ca="1" si="403"/>
        <v>0</v>
      </c>
      <c r="AL483" s="115" t="b">
        <f t="shared" ca="1" si="424"/>
        <v>1</v>
      </c>
      <c r="AM483" s="115">
        <f t="shared" ca="1" si="425"/>
        <v>4</v>
      </c>
      <c r="AN483" s="47">
        <f ca="1">IF(AK483,('模拟-单技能数据'!$D$21+G483*'模拟-单技能数据'!$F$21)*(1+J483)*(1+'模拟-单技能数据'!$J$21)*(1+U483),0)</f>
        <v>0</v>
      </c>
      <c r="AO483" s="61">
        <f ca="1">IF(AN483&gt;0,M483-'模拟-单技能数据'!$K$10,AO482)</f>
        <v>0.42185145527300216</v>
      </c>
      <c r="AP483" s="61">
        <f ca="1">IF(AN483&gt;0,I483-'模拟-单技能数据'!$L$10,AP482)</f>
        <v>2.162482885499879</v>
      </c>
      <c r="AQ483" s="63">
        <f t="shared" ca="1" si="439"/>
        <v>0.25078018152261128</v>
      </c>
      <c r="AR483" s="64">
        <f ca="1">IF(AL483,IF(AQ483&lt;$F$10,0,IF(AQ483&lt;$F$10+$F$11,0.25,IF(AQ483&lt;$F$10+$F$11+AO483,AP483,1)))*IF(AN483&gt;0,AN483,IF(AN482&gt;0,AN482,IF(AN481&gt;0,AN481,IF(AN480&gt;0,AN480,IF(AN479&gt;0,AN479,IF(AN478&gt;0,AN478,IF(AN477&gt;0,AN477,IF(AN476&gt;0,AN476,IF(AN475&gt;0,AN475,IF(AN473&gt;0,AN473,IF(AN472&gt;0,AN472,IF(AN471&gt;0,AN471,0)))))))))))),0)*(1-$S483)*'模拟-单技能数据'!$I$21</f>
        <v>20749.792464251139</v>
      </c>
      <c r="AS483" s="61">
        <f ca="1">IF(OR(C483="净世破魔击·日",C483="净世破魔击·月"),M483-'模拟-单技能数据'!$K$10,0)</f>
        <v>0</v>
      </c>
      <c r="AT483" s="61">
        <f ca="1">IF(OR(C483="净世破魔击·日",C483="净世破魔击·月"),I483-'模拟-单技能数据'!$L$10,0)</f>
        <v>0</v>
      </c>
      <c r="AU483" s="62">
        <f t="shared" ca="1" si="440"/>
        <v>5.0946708762478199E-4</v>
      </c>
      <c r="AV483" s="64">
        <f ca="1">IF(AS483&gt;0,('模拟-单技能数据'!$D$22+G483*'模拟-单技能数据'!$F$22)*(1+J483)*(1-S483)*IF(AU483&lt;$F$10,0,IF(AU483&lt;$F$10+$F$11,0.25,IF(AU483&lt;$F$10+$F$11+AS483,AT483,1)))*(1+U483),0)*'模拟-单技能数据'!$I$22</f>
        <v>0</v>
      </c>
      <c r="AW483" s="108">
        <f t="shared" ca="1" si="441"/>
        <v>16.310000000000002</v>
      </c>
      <c r="AX483" s="108" t="b">
        <f ca="1">AND(模拟模式!$P$10="有",AW482=0,RAND()&lt;IF(C483="净世破魔击·月",0.1*8/3,IF(C483="净世破魔击·日",0.1*4/3,0.1*2/3)))</f>
        <v>0</v>
      </c>
      <c r="AY483" s="47">
        <f ca="1">IF(AX483,(18+G483*0.722)*(1+J483)*(1-S483)*(1+$I$4)*IF(P483="会",'模拟-全程加成'!$J$3+'模拟-全程加成'!$J$4+'模拟-全程加成'!$J$5+('模拟-全程加成'!$I$4+'模拟-全程加成'!$I$5)/系数!$B$4+BG483*10%,IF(P483="命",1,IF(P483="识",0.25,0))),0)</f>
        <v>0</v>
      </c>
      <c r="AZ483" s="108">
        <f t="shared" si="442"/>
        <v>5.2400000000000064</v>
      </c>
      <c r="BA483" s="108" t="b">
        <f>AND(模拟模式!$Q$10="有",AZ482=0)</f>
        <v>0</v>
      </c>
      <c r="BB483" s="140">
        <f>IF(BA483,(0+G483*0.287)*(1+J483)*(1-S483)*(1+$I$4)*IF(P483="会",'模拟-全程加成'!$J$3+'模拟-全程加成'!$J$4+'模拟-全程加成'!$J$5+('模拟-全程加成'!$I$4+'模拟-全程加成'!$I$5)/系数!$B$4+BG483*10%,IF(P483="命",1,IF(P483="识",0.25,0))),0)</f>
        <v>0</v>
      </c>
      <c r="BC483" s="115" t="b">
        <f ca="1">AND(模拟模式!$R$7="伏明众生",E483=60,F483=20,DA483&lt;5,CZ482&lt;$F$4)</f>
        <v>0</v>
      </c>
      <c r="BD483" s="115">
        <f t="shared" ca="1" si="404"/>
        <v>0</v>
      </c>
      <c r="BE483" s="115" t="b">
        <f t="shared" ca="1" si="405"/>
        <v>0</v>
      </c>
      <c r="BF483" s="47">
        <f ca="1">IF(BC483,4*('模拟-单技能数据'!$D$24+G483*'模拟-单技能数据'!$F$24)*(1+J483)*(1+'模拟-单技能数据'!$J$24)*(1-S483)*(1+$I$3)*(('模拟-全程加成'!$J$3+'模拟-全程加成'!$J$4+'模拟-全程加成'!$J$5+('模拟-全程加成'!$I$4+'模拟-全程加成'!$I$5)/系数!$B$4+BG483*10%)*('模拟-全程加成'!$J$3+'模拟-全程加成'!$J$4+'模拟-全程加成'!$J$5+('模拟-全程加成'!$I$4+'模拟-全程加成'!$I$5)/系数!$B$4+BG483*10%)+(1-('模拟-全程加成'!$J$3+'模拟-全程加成'!$J$4+'模拟-全程加成'!$J$5+('模拟-全程加成'!$I$4+'模拟-全程加成'!$I$5)/系数!$B$4+BG483*10%)-$F$10-$F$11)+F469*0.25),0)*'模拟-单技能数据'!$I$24</f>
        <v>0</v>
      </c>
      <c r="BG483" s="115" t="b">
        <f ca="1">OR(AND(OR(C483="烈日斩",C483="银月斩"),模拟模式!$I$7="净身明礼"),AND(C483="净世破魔击·日",模拟模式!$J$7="洞若观火"),AND(C484="净世破魔击·月",模拟模式!$J$7="洞若观火"),AB483=1)</f>
        <v>1</v>
      </c>
      <c r="BH483" s="115" t="b">
        <f t="shared" ca="1" si="443"/>
        <v>0</v>
      </c>
      <c r="BI483" s="115">
        <f t="shared" ca="1" si="406"/>
        <v>3.2324999999999995</v>
      </c>
      <c r="BJ483" s="115" t="b">
        <f t="shared" ca="1" si="417"/>
        <v>1</v>
      </c>
      <c r="BK483" s="115" t="b">
        <f ca="1">AND(C483="驱夜断愁",模拟模式!$P$7="天地诛戮")</f>
        <v>0</v>
      </c>
      <c r="BL483" s="57">
        <f t="shared" ca="1" si="407"/>
        <v>11.697500000000005</v>
      </c>
      <c r="BM483" s="115" t="b">
        <f t="shared" ca="1" si="418"/>
        <v>1</v>
      </c>
      <c r="BN483" s="115" t="b">
        <f ca="1">AND(OR(C483="赤日轮1",C483="赤日轮2",C483="赤日轮3",C483="幽月轮1",C483="幽月轮2",C483="幽月轮3"),AB483=1,模拟模式!$L$7="明光恒照")</f>
        <v>0</v>
      </c>
      <c r="BO483" s="117">
        <f t="shared" ca="1" si="408"/>
        <v>29.077500000000001</v>
      </c>
      <c r="BP483" s="115">
        <f t="shared" ca="1" si="444"/>
        <v>6</v>
      </c>
      <c r="BQ483" s="115" t="b">
        <f>模拟模式!$K$10="2600·水"</f>
        <v>0</v>
      </c>
      <c r="BR483" s="117">
        <f t="shared" si="445"/>
        <v>0</v>
      </c>
      <c r="BS483" s="115">
        <f t="shared" si="446"/>
        <v>0</v>
      </c>
      <c r="BT483" s="115">
        <f t="shared" ca="1" si="447"/>
        <v>0</v>
      </c>
      <c r="BU483" s="115" t="b">
        <f ca="1">AND(模拟模式!$K$10="2300·雷",BT482=0,RAND()&lt;IF(C483="净世破魔击·月",5*0.05*2/3,IF(C483="净世破魔击·日",3*0.05*2/3,0.05*2*2/3)))</f>
        <v>0</v>
      </c>
      <c r="BV483" s="115">
        <f t="shared" ca="1" si="448"/>
        <v>0</v>
      </c>
      <c r="BW483" s="115">
        <f t="shared" ca="1" si="449"/>
        <v>134.79749999999933</v>
      </c>
      <c r="BX483" s="164" t="b">
        <f t="shared" ca="1" si="450"/>
        <v>0</v>
      </c>
      <c r="BY483" s="115">
        <f t="shared" ca="1" si="451"/>
        <v>0</v>
      </c>
      <c r="BZ483" s="115">
        <f>IF(OR(模拟模式!$P$16="10人团",模拟模式!$P$16="25人团"),IF(B483/30&gt;CA482,1,0),0)</f>
        <v>0</v>
      </c>
      <c r="CA483" s="115">
        <f t="shared" si="427"/>
        <v>0</v>
      </c>
      <c r="CB483" s="115">
        <f ca="1">IF(BZ483=1,IF(模拟模式!$P$16="10人团",15,0)+IF(模拟模式!$P$16="25人团",IF(RAND()&lt;0.6,15,0)),MAX(0,CB482-$F$4))</f>
        <v>0</v>
      </c>
      <c r="CC483" s="115" t="b">
        <f t="shared" ca="1" si="419"/>
        <v>0</v>
      </c>
      <c r="CD483" s="115">
        <f>IF(模拟模式!$Q$16="1个",IF(B483/40&gt;CE482,1,0),0)</f>
        <v>0</v>
      </c>
      <c r="CE483" s="115">
        <f t="shared" si="420"/>
        <v>0</v>
      </c>
      <c r="CF483" s="115">
        <f>IF(OR(CD483=1,模拟模式!$Q$16="2个"),20,MAX(0,CF482-$F$4))</f>
        <v>0</v>
      </c>
      <c r="CG483" s="115" t="b">
        <f t="shared" si="421"/>
        <v>0</v>
      </c>
      <c r="CH483" s="115">
        <f t="shared" ca="1" si="452"/>
        <v>24.465000000000003</v>
      </c>
      <c r="CI483" s="115" t="b">
        <f t="shared" ca="1" si="453"/>
        <v>0</v>
      </c>
      <c r="CJ483" s="119">
        <f t="shared" ca="1" si="454"/>
        <v>0.05</v>
      </c>
      <c r="CK483" s="115">
        <f t="shared" ca="1" si="455"/>
        <v>2.464999999999999</v>
      </c>
      <c r="CL483" s="115" t="b">
        <f ca="1">AND(模拟模式!$S$7="驱夷逐法",OR(AND(C483="净世破魔击·月",E482&gt;59),AND(C483="净世破魔击·日",F482&gt;59)))</f>
        <v>0</v>
      </c>
      <c r="CM483" s="115" t="b">
        <f ca="1">OR(CL483,AND(C483="净世破魔击·日",CL482,RAND()&lt;模拟模式!$U$23))</f>
        <v>0</v>
      </c>
      <c r="CN483" s="115" t="b">
        <f ca="1">IF(模拟模式!$M$7="辉耀红尘",AND(C483="净世破魔击·月",CL483,CV483=0,E482&lt;80),AND(C483="净世破魔击·月",CL483,E482&lt;100))</f>
        <v>0</v>
      </c>
      <c r="CO483" s="115" t="b">
        <f t="shared" ca="1" si="428"/>
        <v>0</v>
      </c>
      <c r="CP483" s="115" t="b">
        <f ca="1">AND(模拟模式!$O$7="用晦而明",OR(C483="净世破魔击·日",C483="净世破魔击·月",C483="驱夜断愁"),AB483)</f>
        <v>0</v>
      </c>
      <c r="CQ483" s="115" t="b">
        <f ca="1">OR(CP483,AND(CP482,RAND()&lt;模拟模式!$U$23))</f>
        <v>0</v>
      </c>
      <c r="CR483" s="115" t="b">
        <f ca="1">AND(模拟模式!$S$7="日月齐光",OR(C483="幽月轮1",C483="幽月轮2",C483="幽月轮3",CR482),NOT(OR(C483="赤日轮1",C483="赤日轮2",C483="赤日轮3")))</f>
        <v>0</v>
      </c>
      <c r="CS483" s="115" t="b">
        <f ca="1">AND(模拟模式!$S$7="日月齐光",OR(C483="赤日轮1",C483="赤日轮2",C483="赤日轮3",CS482),NOT(OR(C483="幽月轮1",C483="幽月轮2",C483="幽月轮3")))</f>
        <v>0</v>
      </c>
      <c r="CT483" s="115">
        <f t="shared" ca="1" si="456"/>
        <v>22.620000000000005</v>
      </c>
      <c r="CU483" s="115" t="b">
        <f ca="1">AND(模拟模式!$K$10="阴阳往极",CT482=0,RAND()&lt;IF(C483="净世破魔击·月",0.0275*7/3,IF(C483="净世破魔击·日",0.0275*3/3,0.0275*2/3)))</f>
        <v>0</v>
      </c>
      <c r="CV483" s="115">
        <f t="shared" ca="1" si="457"/>
        <v>0</v>
      </c>
      <c r="CW483" s="115">
        <f t="shared" ca="1" si="429"/>
        <v>0</v>
      </c>
      <c r="CX483" s="115">
        <f t="shared" ca="1" si="430"/>
        <v>6</v>
      </c>
      <c r="CY483" s="115">
        <f ca="1">MAX(IF($C483="驱夜断愁",IF(模拟模式!$R$7="万念俱寂",6,45),CY482-$F$4),0)</f>
        <v>0</v>
      </c>
      <c r="CZ483" s="115">
        <f t="shared" ca="1" si="431"/>
        <v>0</v>
      </c>
      <c r="DA483" s="115">
        <f ca="1">IF(模拟模式!$N$7="日月同辉",IF(DB482=2,0,MIN(6,IF(AND(OR(C483="赤日轮1",C483="赤日轮2",C483="赤日轮3",C483="幽月轮1",C483="幽月轮2",C483="幽月轮3"),AB483=1),DA482+1,DA482))),0)</f>
        <v>1</v>
      </c>
      <c r="DB483" s="115">
        <f t="shared" ca="1" si="432"/>
        <v>0</v>
      </c>
      <c r="DC483" s="115"/>
      <c r="DD483" s="115"/>
      <c r="DE483" s="115"/>
      <c r="DF483" s="115"/>
      <c r="DG483" s="115"/>
      <c r="DH483" s="115"/>
      <c r="DI483" s="115"/>
      <c r="DJ483" s="115"/>
      <c r="DK483" s="115"/>
      <c r="DL483" s="115"/>
      <c r="DM483" s="115"/>
    </row>
    <row r="484" spans="2:117" x14ac:dyDescent="0.2">
      <c r="B484" s="117">
        <f t="shared" si="433"/>
        <v>421.58250000000425</v>
      </c>
      <c r="C484" s="167" t="str">
        <f t="shared" ca="1" si="426"/>
        <v>驱夜断愁</v>
      </c>
      <c r="D484" s="115">
        <f ca="1">IF(C484="赤日轮1",1,IF(C484="赤日轮2",2,IF(C484="赤日轮3",3,IF(C484="幽月轮1",4,IF(C484="幽月轮2",5,IF(C484="幽月轮3",6,IF(C484="烈日斩",7,IF(C484="银月斩",8,IF(C484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484="净世破魔击·月",17,IF(C484="驱夜断愁",18,0)))))))))))</f>
        <v>18</v>
      </c>
      <c r="E484" s="115">
        <f ca="1">IF(AND(CU484,OR(C484="幽月轮1",C484="幽月轮2",C484="幽月轮3",C484="银月斩",C484="驱夜断愁",C484="净世破魔击·月")),100,MIN(IF(OR(CN484,BE484),0,IF(OR($C484="赤日轮1",$C484="赤日轮2",$C484="赤日轮3"),E483+20+IF(模拟模式!$I$7="日月凌天",4,0)+IF(CR483,20,0),IF($C484="烈日斩",E483+40,IF($C484="驱夜断愁",IF(模拟模式!$R$7="万念俱寂",E483+20,E483+60),IF($C484="净世破魔击·月",IF(OR(DB483&gt;0,CV483&gt;0),100,IF(模拟模式!$M$7="辉耀红尘",E483+20,E483)),IF($C484="净世破魔击·日",E483-100,E483)))))),100))</f>
        <v>40</v>
      </c>
      <c r="F484" s="115">
        <f ca="1">IF(AND(CU484,OR(C484="赤日轮1",C484="赤日轮2",C484="赤日轮3",C484="烈日斩",C484="净世破魔击·日")),100,MIN(IF(CO484,0,IF(OR($C484="幽月轮1",$C484="幽月轮2",$C484="幽月轮3"),F483+20+IF(模拟模式!$I$7="日月凌天",4,0)+IF(CS483,20,0),IF($C484="银月斩",F483+40+IF(模拟模式!$X$12=1,5,0),IF($C484="驱夜断愁",IF(模拟模式!$R$7="万念俱寂",F483+20,F483+60),IF($C484="净世破魔击·月",IF(模拟模式!$M$7="辉耀红尘",F483-80,F483-100),IF(AND(C484="净世破魔击·日",OR(DB483&gt;0,CV483&gt;0)),100,F483)))))),100))</f>
        <v>85</v>
      </c>
      <c r="G484" s="117">
        <f ca="1">('模拟-全程加成'!$E$3+'模拟-全程加成'!$E$4+'模拟-全程加成'!$E$5+('模拟-全程加成'!$C$6-'模拟-全程加成'!$C$3)*系数!$B$9+BS484*23)*(1+'模拟-全程加成'!$F$4+'模拟-全程加成'!$F$5+BJ484*10%+BM484*20%+BP484*4%+CG484*30%)+$F$7*系数!$B$12</f>
        <v>21493.829400000002</v>
      </c>
      <c r="H484" s="45">
        <f ca="1">'模拟-全程加成'!$H$3+'模拟-全程加成'!$H$4+'模拟-全程加成'!$H$5+('模拟-全程加成'!$G$4+'模拟-全程加成'!$G$5+('模拟-全程加成'!$C$6-'模拟-全程加成'!$C$3)*系数!$B$13)/系数!$B$3+LOOKUP(D484,'模拟-单技能数据'!$A$2:$A$19,'模拟-单技能数据'!$K$2:$K$19)+BG484*10%+IF(BV484&gt;0,378,0)</f>
        <v>0.51185145527300213</v>
      </c>
      <c r="I484" s="45">
        <f ca="1">'模拟-全程加成'!$J$3+'模拟-全程加成'!$J$4+'模拟-全程加成'!$J$5+('模拟-全程加成'!$I$4+'模拟-全程加成'!$I$5)/系数!$B$4+LOOKUP(D484,'模拟-单技能数据'!$A$2:$A$19,'模拟-单技能数据'!$L$2:$L$19)+BG484*10%</f>
        <v>2.162482885499879</v>
      </c>
      <c r="J484" s="45">
        <f ca="1">(('模拟-全程加成'!$K$3+'模拟-全程加成'!$K$4+'模拟-全程加成'!$K$5+('模拟-全程加成'!$C$6-'模拟-全程加成'!$C$3)*系数!$B$10+IF(BV484&gt;0,882,0)+IF(BY484&gt;0,1831,0))*(1+'模拟-全程加成'!$L$4+'模拟-全程加成'!$L$5+CC484*20%))/系数!$B$5</f>
        <v>0.69723220422048726</v>
      </c>
      <c r="K484" s="119">
        <f ca="1">LOOKUP(D484,'模拟-单技能数据'!$A$2:$A$19,'模拟-单技能数据'!$J$2:$J$19)+IF(CM484,60%,0)+IF(DB483-DB484&gt;0,30%,0)+IF(OR(AND(OR(C484="赤日轮1",C484="赤日轮2",C484="赤日轮3"),CR484),AND(OR(C484="幽月轮1",C484="幽月轮2",C484="幽月轮3"),CS484)),35%,0)+CJ484</f>
        <v>0.19</v>
      </c>
      <c r="L484" s="119">
        <f ca="1">IF(AND(C484="烈日斩",模拟模式!$X$11=1),10%,0)+IF(AND(C484="驱夜断愁",AB484=1),30%,0)</f>
        <v>0.3</v>
      </c>
      <c r="M484" s="45">
        <f t="shared" ca="1" si="409"/>
        <v>0.51185145527300213</v>
      </c>
      <c r="N484" s="45">
        <f t="shared" ca="1" si="410"/>
        <v>0.43424854472699792</v>
      </c>
      <c r="O484" s="46">
        <f t="shared" ca="1" si="434"/>
        <v>0.63921593806155008</v>
      </c>
      <c r="P484" s="46" t="str">
        <f t="shared" ca="1" si="435"/>
        <v>命</v>
      </c>
      <c r="Q484" s="45">
        <f t="shared" ca="1" si="436"/>
        <v>1</v>
      </c>
      <c r="R484" s="117">
        <f ca="1">模拟模式!$E$20*(1-IF(模拟模式!$J$19="有",0.15,0))*(1-IF(模拟模式!$K$19="有",0.3,0)-IF(CQ484,0.5,0))</f>
        <v>843.02999999999975</v>
      </c>
      <c r="S484" s="45">
        <f ca="1">R484/(R484+(185*模拟模式!$E$22-16800)*4.08224)</f>
        <v>8.389626085980037E-2</v>
      </c>
      <c r="T484" s="45" t="str">
        <f ca="1">LOOKUP(D484,'模拟-单技能数据'!$A$2:$A$19,'模拟-单技能数据'!$H$2:$H$19)</f>
        <v>阴</v>
      </c>
      <c r="U484" s="119">
        <f t="shared" ca="1" si="411"/>
        <v>0.08</v>
      </c>
      <c r="V484" s="47">
        <f ca="1">(1+L484)*(LOOKUP(D484,'模拟-单技能数据'!$A$2:$A$19,'模拟-单技能数据'!$D$2:$D$19)+G484*LOOKUP(D484,'模拟-单技能数据'!$A$2:$A$19,'模拟-单技能数据'!$F$2:$F$19))*(1+J484)*(1+K484)*(1-S484)*(1+U484)*Q484*LOOKUP(D484,'模拟-单技能数据'!$A$2:$A$19,'模拟-单技能数据'!$I$2:$I$20)</f>
        <v>64239.19951983729</v>
      </c>
      <c r="W484" s="47">
        <f ca="1">LOOKUP(D484,'模拟-单技能数据'!$A$2:$A$19,'模拟-单技能数据'!$G$2:$G$19)*$I$10</f>
        <v>723.0212870940959</v>
      </c>
      <c r="X484" s="47">
        <f t="shared" ca="1" si="437"/>
        <v>9616.6571145767884</v>
      </c>
      <c r="Y484" s="47">
        <f t="shared" ca="1" si="412"/>
        <v>74578.877921508174</v>
      </c>
      <c r="Z484" s="49">
        <f t="shared" ca="1" si="413"/>
        <v>47877853.763094693</v>
      </c>
      <c r="AA484" s="97">
        <f t="shared" ca="1" si="414"/>
        <v>113566.98573373945</v>
      </c>
      <c r="AB484" s="115">
        <f ca="1">IF(OR(C484="赤日轮1",C484="赤日轮2",C484="赤日轮3"),IF(RAND()&lt;模拟模式!$Y$17,1,0),IF(OR(C484="幽月轮1",C484="幽月轮2",C484="幽月轮3"),IF(RAND()&lt;模拟模式!$Y$18,1,0),IF(C484="烈日斩",IF(RAND()&lt;模拟模式!$Y$19,1,0),IF(C484="银月斩",IF(RAND()&lt;模拟模式!$Y$20,1,0),IF(C484="驱夜断愁",IF(RAND()&lt;模拟模式!$Y$21,1,0),IF(C484="净世破魔击·日",IF(RAND()&lt;模拟模式!$Y$22,1,0),IF(C484="净世破魔击·月",IF(RAND()&lt;模拟模式!$Y$23,1,0),0)))))))</f>
        <v>1</v>
      </c>
      <c r="AC484" s="115" t="b">
        <f t="shared" ca="1" si="402"/>
        <v>0</v>
      </c>
      <c r="AD484" s="115" t="b">
        <f t="shared" ca="1" si="422"/>
        <v>1</v>
      </c>
      <c r="AE484" s="115">
        <f t="shared" ca="1" si="423"/>
        <v>5</v>
      </c>
      <c r="AF484" s="47">
        <f ca="1">IF(AC484,('模拟-单技能数据'!$D$20+G484*'模拟-单技能数据'!$F$20)*(1+J484)*(1+'模拟-单技能数据'!$J$20)*(1+U484),0)</f>
        <v>0</v>
      </c>
      <c r="AG484" s="61">
        <f t="shared" ca="1" si="415"/>
        <v>0.64185145527300214</v>
      </c>
      <c r="AH484" s="61">
        <f t="shared" ca="1" si="416"/>
        <v>2.2624828854998791</v>
      </c>
      <c r="AI484" s="62">
        <f t="shared" ca="1" si="438"/>
        <v>0.34670010243176375</v>
      </c>
      <c r="AJ484" s="47">
        <f ca="1">IF(AD484,IF(AI484&lt;$F$10,0,IF(AI484&lt;$F$10+$F$11,0.25,IF(AI484&lt;$F$10+$F$11+AG484,AH484,1)))*IF(AF484&gt;0,AF484,IF(AF483&gt;0,AF483,IF(AF482&gt;0,AF482,IF(AF481&gt;0,AF481,IF(AF480&gt;0,AF480,IF(AF479&gt;0,AF479,IF(AF478&gt;0,AF478,IF(AF477&gt;0,AF477,IF(AF476&gt;0,AF476,IF(AF474&gt;0,AF474,IF(AF473&gt;0,AF473,IF(AF472&gt;0,AF472,0)))))))))))),0)*(1-$S484)*'模拟-单技能数据'!$I$20</f>
        <v>9616.6571145767884</v>
      </c>
      <c r="AK484" s="115" t="b">
        <f t="shared" ca="1" si="403"/>
        <v>0</v>
      </c>
      <c r="AL484" s="115" t="b">
        <f t="shared" ca="1" si="424"/>
        <v>0</v>
      </c>
      <c r="AM484" s="115">
        <f t="shared" ca="1" si="425"/>
        <v>4</v>
      </c>
      <c r="AN484" s="47">
        <f ca="1">IF(AK484,('模拟-单技能数据'!$D$21+G484*'模拟-单技能数据'!$F$21)*(1+J484)*(1+'模拟-单技能数据'!$J$21)*(1+U484),0)</f>
        <v>0</v>
      </c>
      <c r="AO484" s="61">
        <f ca="1">IF(AN484&gt;0,M484-'模拟-单技能数据'!$K$10,AO483)</f>
        <v>0.42185145527300216</v>
      </c>
      <c r="AP484" s="61">
        <f ca="1">IF(AN484&gt;0,I484-'模拟-单技能数据'!$L$10,AP483)</f>
        <v>2.162482885499879</v>
      </c>
      <c r="AQ484" s="63">
        <f t="shared" ca="1" si="439"/>
        <v>0.34688789966832922</v>
      </c>
      <c r="AR484" s="64">
        <f ca="1">IF(AL484,IF(AQ484&lt;$F$10,0,IF(AQ484&lt;$F$10+$F$11,0.25,IF(AQ484&lt;$F$10+$F$11+AO484,AP484,1)))*IF(AN484&gt;0,AN484,IF(AN483&gt;0,AN483,IF(AN482&gt;0,AN482,IF(AN481&gt;0,AN481,IF(AN480&gt;0,AN480,IF(AN479&gt;0,AN479,IF(AN478&gt;0,AN478,IF(AN477&gt;0,AN477,IF(AN476&gt;0,AN476,IF(AN474&gt;0,AN474,IF(AN473&gt;0,AN473,IF(AN472&gt;0,AN472,0)))))))))))),0)*(1-$S484)*'模拟-单技能数据'!$I$21</f>
        <v>0</v>
      </c>
      <c r="AS484" s="61">
        <f ca="1">IF(OR(C484="净世破魔击·日",C484="净世破魔击·月"),M484-'模拟-单技能数据'!$K$10,0)</f>
        <v>0</v>
      </c>
      <c r="AT484" s="61">
        <f ca="1">IF(OR(C484="净世破魔击·日",C484="净世破魔击·月"),I484-'模拟-单技能数据'!$L$10,0)</f>
        <v>0</v>
      </c>
      <c r="AU484" s="62">
        <f t="shared" ca="1" si="440"/>
        <v>0.35948720868459727</v>
      </c>
      <c r="AV484" s="64">
        <f ca="1">IF(AS484&gt;0,('模拟-单技能数据'!$D$22+G484*'模拟-单技能数据'!$F$22)*(1+J484)*(1-S484)*IF(AU484&lt;$F$10,0,IF(AU484&lt;$F$10+$F$11,0.25,IF(AU484&lt;$F$10+$F$11+AS484,AT484,1)))*(1+U484),0)*'模拟-单技能数据'!$I$22</f>
        <v>0</v>
      </c>
      <c r="AW484" s="108">
        <f t="shared" ca="1" si="441"/>
        <v>15.387500000000003</v>
      </c>
      <c r="AX484" s="108" t="b">
        <f ca="1">AND(模拟模式!$P$10="有",AW483=0,RAND()&lt;IF(C484="净世破魔击·月",0.1*8/3,IF(C484="净世破魔击·日",0.1*4/3,0.1*2/3)))</f>
        <v>0</v>
      </c>
      <c r="AY484" s="47">
        <f ca="1">IF(AX484,(18+G484*0.722)*(1+J484)*(1-S484)*(1+$I$4)*IF(P484="会",'模拟-全程加成'!$J$3+'模拟-全程加成'!$J$4+'模拟-全程加成'!$J$5+('模拟-全程加成'!$I$4+'模拟-全程加成'!$I$5)/系数!$B$4+BG484*10%,IF(P484="命",1,IF(P484="识",0.25,0))),0)</f>
        <v>0</v>
      </c>
      <c r="AZ484" s="108">
        <f t="shared" si="442"/>
        <v>4.3175000000000061</v>
      </c>
      <c r="BA484" s="108" t="b">
        <f>AND(模拟模式!$Q$10="有",AZ483=0)</f>
        <v>0</v>
      </c>
      <c r="BB484" s="140">
        <f>IF(BA484,(0+G484*0.287)*(1+J484)*(1-S484)*(1+$I$4)*IF(P484="会",'模拟-全程加成'!$J$3+'模拟-全程加成'!$J$4+'模拟-全程加成'!$J$5+('模拟-全程加成'!$I$4+'模拟-全程加成'!$I$5)/系数!$B$4+BG484*10%,IF(P484="命",1,IF(P484="识",0.25,0))),0)</f>
        <v>0</v>
      </c>
      <c r="BC484" s="115" t="b">
        <f ca="1">AND(模拟模式!$R$7="伏明众生",E484=60,F484=20,DA484&lt;5,CZ483&lt;$F$4)</f>
        <v>0</v>
      </c>
      <c r="BD484" s="115">
        <f t="shared" ca="1" si="404"/>
        <v>0</v>
      </c>
      <c r="BE484" s="115" t="b">
        <f t="shared" ca="1" si="405"/>
        <v>0</v>
      </c>
      <c r="BF484" s="47">
        <f ca="1">IF(BC484,4*('模拟-单技能数据'!$D$24+G484*'模拟-单技能数据'!$F$24)*(1+J484)*(1+'模拟-单技能数据'!$J$24)*(1-S484)*(1+$I$3)*(('模拟-全程加成'!$J$3+'模拟-全程加成'!$J$4+'模拟-全程加成'!$J$5+('模拟-全程加成'!$I$4+'模拟-全程加成'!$I$5)/系数!$B$4+BG484*10%)*('模拟-全程加成'!$J$3+'模拟-全程加成'!$J$4+'模拟-全程加成'!$J$5+('模拟-全程加成'!$I$4+'模拟-全程加成'!$I$5)/系数!$B$4+BG484*10%)+(1-('模拟-全程加成'!$J$3+'模拟-全程加成'!$J$4+'模拟-全程加成'!$J$5+('模拟-全程加成'!$I$4+'模拟-全程加成'!$I$5)/系数!$B$4+BG484*10%)-$F$10-$F$11)+F470*0.25),0)*'模拟-单技能数据'!$I$24</f>
        <v>0</v>
      </c>
      <c r="BG484" s="115" t="b">
        <f ca="1">OR(AND(OR(C484="烈日斩",C484="银月斩"),模拟模式!$I$7="净身明礼"),AND(C484="净世破魔击·日",模拟模式!$J$7="洞若观火"),AND(C485="净世破魔击·月",模拟模式!$J$7="洞若观火"),AB484=1)</f>
        <v>1</v>
      </c>
      <c r="BH484" s="115" t="b">
        <f t="shared" ca="1" si="443"/>
        <v>0</v>
      </c>
      <c r="BI484" s="115">
        <f t="shared" ca="1" si="406"/>
        <v>2.3099999999999996</v>
      </c>
      <c r="BJ484" s="115" t="b">
        <f t="shared" ca="1" si="417"/>
        <v>1</v>
      </c>
      <c r="BK484" s="115" t="b">
        <f ca="1">AND(C484="驱夜断愁",模拟模式!$P$7="天地诛戮")</f>
        <v>1</v>
      </c>
      <c r="BL484" s="57">
        <f t="shared" ca="1" si="407"/>
        <v>20</v>
      </c>
      <c r="BM484" s="115" t="b">
        <f t="shared" ca="1" si="418"/>
        <v>1</v>
      </c>
      <c r="BN484" s="115" t="b">
        <f ca="1">AND(OR(C484="赤日轮1",C484="赤日轮2",C484="赤日轮3",C484="幽月轮1",C484="幽月轮2",C484="幽月轮3"),AB484=1,模拟模式!$L$7="明光恒照")</f>
        <v>0</v>
      </c>
      <c r="BO484" s="117">
        <f t="shared" ca="1" si="408"/>
        <v>28.155000000000001</v>
      </c>
      <c r="BP484" s="115">
        <f t="shared" ca="1" si="444"/>
        <v>6</v>
      </c>
      <c r="BQ484" s="115" t="b">
        <f>模拟模式!$K$10="2600·水"</f>
        <v>0</v>
      </c>
      <c r="BR484" s="117">
        <f t="shared" si="445"/>
        <v>0</v>
      </c>
      <c r="BS484" s="115">
        <f t="shared" si="446"/>
        <v>0</v>
      </c>
      <c r="BT484" s="115">
        <f t="shared" ca="1" si="447"/>
        <v>0</v>
      </c>
      <c r="BU484" s="115" t="b">
        <f ca="1">AND(模拟模式!$K$10="2300·雷",BT483=0,RAND()&lt;IF(C484="净世破魔击·月",5*0.05*2/3,IF(C484="净世破魔击·日",3*0.05*2/3,0.05*2*2/3)))</f>
        <v>0</v>
      </c>
      <c r="BV484" s="115">
        <f t="shared" ca="1" si="448"/>
        <v>0</v>
      </c>
      <c r="BW484" s="115">
        <f t="shared" ca="1" si="449"/>
        <v>133.87499999999932</v>
      </c>
      <c r="BX484" s="164" t="b">
        <f t="shared" ca="1" si="450"/>
        <v>0</v>
      </c>
      <c r="BY484" s="115">
        <f t="shared" ca="1" si="451"/>
        <v>0</v>
      </c>
      <c r="BZ484" s="115">
        <f>IF(OR(模拟模式!$P$16="10人团",模拟模式!$P$16="25人团"),IF(B484/30&gt;CA483,1,0),0)</f>
        <v>0</v>
      </c>
      <c r="CA484" s="115">
        <f t="shared" si="427"/>
        <v>0</v>
      </c>
      <c r="CB484" s="115">
        <f ca="1">IF(BZ484=1,IF(模拟模式!$P$16="10人团",15,0)+IF(模拟模式!$P$16="25人团",IF(RAND()&lt;0.6,15,0)),MAX(0,CB483-$F$4))</f>
        <v>0</v>
      </c>
      <c r="CC484" s="115" t="b">
        <f t="shared" ca="1" si="419"/>
        <v>0</v>
      </c>
      <c r="CD484" s="115">
        <f>IF(模拟模式!$Q$16="1个",IF(B484/40&gt;CE483,1,0),0)</f>
        <v>0</v>
      </c>
      <c r="CE484" s="115">
        <f t="shared" si="420"/>
        <v>0</v>
      </c>
      <c r="CF484" s="115">
        <f>IF(OR(CD484=1,模拟模式!$Q$16="2个"),20,MAX(0,CF483-$F$4))</f>
        <v>0</v>
      </c>
      <c r="CG484" s="115" t="b">
        <f t="shared" si="421"/>
        <v>0</v>
      </c>
      <c r="CH484" s="115">
        <f t="shared" ca="1" si="452"/>
        <v>23.542500000000004</v>
      </c>
      <c r="CI484" s="115" t="b">
        <f t="shared" ca="1" si="453"/>
        <v>0</v>
      </c>
      <c r="CJ484" s="119">
        <f t="shared" ca="1" si="454"/>
        <v>0.05</v>
      </c>
      <c r="CK484" s="115">
        <f t="shared" ca="1" si="455"/>
        <v>1.5424999999999991</v>
      </c>
      <c r="CL484" s="115" t="b">
        <f ca="1">AND(模拟模式!$S$7="驱夷逐法",OR(AND(C484="净世破魔击·月",E483&gt;59),AND(C484="净世破魔击·日",F483&gt;59)))</f>
        <v>0</v>
      </c>
      <c r="CM484" s="115" t="b">
        <f ca="1">OR(CL484,AND(C484="净世破魔击·日",CL483,RAND()&lt;模拟模式!$U$23))</f>
        <v>0</v>
      </c>
      <c r="CN484" s="115" t="b">
        <f ca="1">IF(模拟模式!$M$7="辉耀红尘",AND(C484="净世破魔击·月",CL484,CV484=0,E483&lt;80),AND(C484="净世破魔击·月",CL484,E483&lt;100))</f>
        <v>0</v>
      </c>
      <c r="CO484" s="115" t="b">
        <f t="shared" ca="1" si="428"/>
        <v>0</v>
      </c>
      <c r="CP484" s="115" t="b">
        <f ca="1">AND(模拟模式!$O$7="用晦而明",OR(C484="净世破魔击·日",C484="净世破魔击·月",C484="驱夜断愁"),AB484)</f>
        <v>1</v>
      </c>
      <c r="CQ484" s="115" t="b">
        <f ca="1">OR(CP484,AND(CP483,RAND()&lt;模拟模式!$U$23))</f>
        <v>1</v>
      </c>
      <c r="CR484" s="115" t="b">
        <f ca="1">AND(模拟模式!$S$7="日月齐光",OR(C484="幽月轮1",C484="幽月轮2",C484="幽月轮3",CR483),NOT(OR(C484="赤日轮1",C484="赤日轮2",C484="赤日轮3")))</f>
        <v>0</v>
      </c>
      <c r="CS484" s="115" t="b">
        <f ca="1">AND(模拟模式!$S$7="日月齐光",OR(C484="赤日轮1",C484="赤日轮2",C484="赤日轮3",CS483),NOT(OR(C484="幽月轮1",C484="幽月轮2",C484="幽月轮3")))</f>
        <v>0</v>
      </c>
      <c r="CT484" s="115">
        <f t="shared" ca="1" si="456"/>
        <v>21.697500000000005</v>
      </c>
      <c r="CU484" s="115" t="b">
        <f ca="1">AND(模拟模式!$K$10="阴阳往极",CT483=0,RAND()&lt;IF(C484="净世破魔击·月",0.0275*7/3,IF(C484="净世破魔击·日",0.0275*3/3,0.0275*2/3)))</f>
        <v>0</v>
      </c>
      <c r="CV484" s="115">
        <f t="shared" ca="1" si="457"/>
        <v>0</v>
      </c>
      <c r="CW484" s="115">
        <f t="shared" ca="1" si="429"/>
        <v>0</v>
      </c>
      <c r="CX484" s="115">
        <f t="shared" ca="1" si="430"/>
        <v>5.0774999999999997</v>
      </c>
      <c r="CY484" s="115">
        <f ca="1">MAX(IF($C484="驱夜断愁",IF(模拟模式!$R$7="万念俱寂",6,45),CY483-$F$4),0)</f>
        <v>6</v>
      </c>
      <c r="CZ484" s="115">
        <f t="shared" ca="1" si="431"/>
        <v>0</v>
      </c>
      <c r="DA484" s="115">
        <f ca="1">IF(模拟模式!$N$7="日月同辉",IF(DB483=2,0,MIN(6,IF(AND(OR(C484="赤日轮1",C484="赤日轮2",C484="赤日轮3",C484="幽月轮1",C484="幽月轮2",C484="幽月轮3"),AB484=1),DA483+1,DA483))),0)</f>
        <v>1</v>
      </c>
      <c r="DB484" s="115">
        <f t="shared" ca="1" si="432"/>
        <v>0</v>
      </c>
      <c r="DC484" s="115"/>
      <c r="DD484" s="115"/>
      <c r="DE484" s="115"/>
      <c r="DF484" s="115"/>
      <c r="DG484" s="115"/>
      <c r="DH484" s="115"/>
      <c r="DI484" s="115"/>
      <c r="DJ484" s="115"/>
      <c r="DK484" s="115"/>
      <c r="DL484" s="115"/>
      <c r="DM484" s="115"/>
    </row>
    <row r="485" spans="2:117" x14ac:dyDescent="0.2">
      <c r="B485" s="117">
        <f t="shared" si="433"/>
        <v>422.50500000000426</v>
      </c>
      <c r="C485" s="167" t="str">
        <f t="shared" ca="1" si="426"/>
        <v>烈日斩</v>
      </c>
      <c r="D485" s="115">
        <f ca="1">IF(C485="赤日轮1",1,IF(C485="赤日轮2",2,IF(C485="赤日轮3",3,IF(C485="幽月轮1",4,IF(C485="幽月轮2",5,IF(C485="幽月轮3",6,IF(C485="烈日斩",7,IF(C485="银月斩",8,IF(C485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485="净世破魔击·月",17,IF(C485="驱夜断愁",18,0)))))))))))</f>
        <v>7</v>
      </c>
      <c r="E485" s="115">
        <f ca="1">IF(AND(CU485,OR(C485="幽月轮1",C485="幽月轮2",C485="幽月轮3",C485="银月斩",C485="驱夜断愁",C485="净世破魔击·月")),100,MIN(IF(OR(CN485,BE485),0,IF(OR($C485="赤日轮1",$C485="赤日轮2",$C485="赤日轮3"),E484+20+IF(模拟模式!$I$7="日月凌天",4,0)+IF(CR484,20,0),IF($C485="烈日斩",E484+40,IF($C485="驱夜断愁",IF(模拟模式!$R$7="万念俱寂",E484+20,E484+60),IF($C485="净世破魔击·月",IF(OR(DB484&gt;0,CV484&gt;0),100,IF(模拟模式!$M$7="辉耀红尘",E484+20,E484)),IF($C485="净世破魔击·日",E484-100,E484)))))),100))</f>
        <v>80</v>
      </c>
      <c r="F485" s="115">
        <f ca="1">IF(AND(CU485,OR(C485="赤日轮1",C485="赤日轮2",C485="赤日轮3",C485="烈日斩",C485="净世破魔击·日")),100,MIN(IF(CO485,0,IF(OR($C485="幽月轮1",$C485="幽月轮2",$C485="幽月轮3"),F484+20+IF(模拟模式!$I$7="日月凌天",4,0)+IF(CS484,20,0),IF($C485="银月斩",F484+40+IF(模拟模式!$X$12=1,5,0),IF($C485="驱夜断愁",IF(模拟模式!$R$7="万念俱寂",F484+20,F484+60),IF($C485="净世破魔击·月",IF(模拟模式!$M$7="辉耀红尘",F484-80,F484-100),IF(AND(C485="净世破魔击·日",OR(DB484&gt;0,CV484&gt;0)),100,F484)))))),100))</f>
        <v>85</v>
      </c>
      <c r="G485" s="117">
        <f ca="1">('模拟-全程加成'!$E$3+'模拟-全程加成'!$E$4+'模拟-全程加成'!$E$5+('模拟-全程加成'!$C$6-'模拟-全程加成'!$C$3)*系数!$B$9+BS485*23)*(1+'模拟-全程加成'!$F$4+'模拟-全程加成'!$F$5+BJ485*10%+BM485*20%+BP485*4%+CG485*30%)+$F$7*系数!$B$12</f>
        <v>21493.829400000002</v>
      </c>
      <c r="H485" s="45">
        <f ca="1">'模拟-全程加成'!$H$3+'模拟-全程加成'!$H$4+'模拟-全程加成'!$H$5+('模拟-全程加成'!$G$4+'模拟-全程加成'!$G$5+('模拟-全程加成'!$C$6-'模拟-全程加成'!$C$3)*系数!$B$13)/系数!$B$3+LOOKUP(D485,'模拟-单技能数据'!$A$2:$A$19,'模拟-单技能数据'!$K$2:$K$19)+BG485*10%+IF(BV485&gt;0,378,0)</f>
        <v>0.56185145527300218</v>
      </c>
      <c r="I485" s="45">
        <f ca="1">'模拟-全程加成'!$J$3+'模拟-全程加成'!$J$4+'模拟-全程加成'!$J$5+('模拟-全程加成'!$I$4+'模拟-全程加成'!$I$5)/系数!$B$4+LOOKUP(D485,'模拟-单技能数据'!$A$2:$A$19,'模拟-单技能数据'!$L$2:$L$19)+BG485*10%</f>
        <v>2.2624828854998791</v>
      </c>
      <c r="J485" s="45">
        <f ca="1">(('模拟-全程加成'!$K$3+'模拟-全程加成'!$K$4+'模拟-全程加成'!$K$5+('模拟-全程加成'!$C$6-'模拟-全程加成'!$C$3)*系数!$B$10+IF(BV485&gt;0,882,0)+IF(BY485&gt;0,1831,0))*(1+'模拟-全程加成'!$L$4+'模拟-全程加成'!$L$5+CC485*20%))/系数!$B$5</f>
        <v>0.69723220422048726</v>
      </c>
      <c r="K485" s="119">
        <f ca="1">LOOKUP(D485,'模拟-单技能数据'!$A$2:$A$19,'模拟-单技能数据'!$J$2:$J$19)+IF(CM485,60%,0)+IF(DB484-DB485&gt;0,30%,0)+IF(OR(AND(OR(C485="赤日轮1",C485="赤日轮2",C485="赤日轮3"),CR485),AND(OR(C485="幽月轮1",C485="幽月轮2",C485="幽月轮3"),CS485)),35%,0)+CJ485</f>
        <v>0.28999999999999998</v>
      </c>
      <c r="L485" s="119">
        <f ca="1">IF(AND(C485="烈日斩",模拟模式!$X$11=1),10%,0)+IF(AND(C485="驱夜断愁",AB485=1),30%,0)</f>
        <v>0.1</v>
      </c>
      <c r="M485" s="45">
        <f t="shared" ca="1" si="409"/>
        <v>0.56185145527300218</v>
      </c>
      <c r="N485" s="45">
        <f t="shared" ca="1" si="410"/>
        <v>0.38424854472699788</v>
      </c>
      <c r="O485" s="46">
        <f t="shared" ca="1" si="434"/>
        <v>0.63634923207488026</v>
      </c>
      <c r="P485" s="46" t="str">
        <f t="shared" ca="1" si="435"/>
        <v>命</v>
      </c>
      <c r="Q485" s="45">
        <f t="shared" ca="1" si="436"/>
        <v>1</v>
      </c>
      <c r="R485" s="117">
        <f ca="1">模拟模式!$E$20*(1-IF(模拟模式!$J$19="有",0.15,0))*(1-IF(模拟模式!$K$19="有",0.3,0)-IF(CQ485,0.5,0))</f>
        <v>843.02999999999975</v>
      </c>
      <c r="S485" s="45">
        <f ca="1">R485/(R485+(185*模拟模式!$E$22-16800)*4.08224)</f>
        <v>8.389626085980037E-2</v>
      </c>
      <c r="T485" s="45" t="str">
        <f ca="1">LOOKUP(D485,'模拟-单技能数据'!$A$2:$A$19,'模拟-单技能数据'!$H$2:$H$19)</f>
        <v>阳</v>
      </c>
      <c r="U485" s="119">
        <f t="shared" ca="1" si="411"/>
        <v>0.2</v>
      </c>
      <c r="V485" s="47">
        <f ca="1">(1+L485)*(LOOKUP(D485,'模拟-单技能数据'!$A$2:$A$19,'模拟-单技能数据'!$D$2:$D$19)+G485*LOOKUP(D485,'模拟-单技能数据'!$A$2:$A$19,'模拟-单技能数据'!$F$2:$F$19))*(1+J485)*(1+K485)*(1-S485)*(1+U485)*Q485*LOOKUP(D485,'模拟-单技能数据'!$A$2:$A$19,'模拟-单技能数据'!$I$2:$I$20)</f>
        <v>50811.052494180651</v>
      </c>
      <c r="W485" s="47">
        <f ca="1">LOOKUP(D485,'模拟-单技能数据'!$A$2:$A$19,'模拟-单技能数据'!$G$2:$G$19)*$I$10</f>
        <v>361.51064354704795</v>
      </c>
      <c r="X485" s="47">
        <f t="shared" ca="1" si="437"/>
        <v>2901.9729631140449</v>
      </c>
      <c r="Y485" s="47">
        <f t="shared" ca="1" si="412"/>
        <v>54074.536100841746</v>
      </c>
      <c r="Z485" s="49">
        <f t="shared" ca="1" si="413"/>
        <v>47931928.299195535</v>
      </c>
      <c r="AA485" s="97">
        <f t="shared" ca="1" si="414"/>
        <v>113447.00843586479</v>
      </c>
      <c r="AB485" s="115">
        <f ca="1">IF(OR(C485="赤日轮1",C485="赤日轮2",C485="赤日轮3"),IF(RAND()&lt;模拟模式!$Y$17,1,0),IF(OR(C485="幽月轮1",C485="幽月轮2",C485="幽月轮3"),IF(RAND()&lt;模拟模式!$Y$18,1,0),IF(C485="烈日斩",IF(RAND()&lt;模拟模式!$Y$19,1,0),IF(C485="银月斩",IF(RAND()&lt;模拟模式!$Y$20,1,0),IF(C485="驱夜断愁",IF(RAND()&lt;模拟模式!$Y$21,1,0),IF(C485="净世破魔击·日",IF(RAND()&lt;模拟模式!$Y$22,1,0),IF(C485="净世破魔击·月",IF(RAND()&lt;模拟模式!$Y$23,1,0),0)))))))</f>
        <v>1</v>
      </c>
      <c r="AC485" s="115" t="b">
        <f t="shared" ca="1" si="402"/>
        <v>0</v>
      </c>
      <c r="AD485" s="115" t="b">
        <f t="shared" ca="1" si="422"/>
        <v>0</v>
      </c>
      <c r="AE485" s="115">
        <f t="shared" ca="1" si="423"/>
        <v>5</v>
      </c>
      <c r="AF485" s="47">
        <f ca="1">IF(AC485,('模拟-单技能数据'!$D$20+G485*'模拟-单技能数据'!$F$20)*(1+J485)*(1+'模拟-单技能数据'!$J$20)*(1+U485),0)</f>
        <v>0</v>
      </c>
      <c r="AG485" s="61">
        <f t="shared" ca="1" si="415"/>
        <v>0.64185145527300214</v>
      </c>
      <c r="AH485" s="61">
        <f t="shared" ca="1" si="416"/>
        <v>2.2624828854998791</v>
      </c>
      <c r="AI485" s="62">
        <f t="shared" ca="1" si="438"/>
        <v>8.2598353842089356E-4</v>
      </c>
      <c r="AJ485" s="47">
        <f ca="1">IF(AD485,IF(AI485&lt;$F$10,0,IF(AI485&lt;$F$10+$F$11,0.25,IF(AI485&lt;$F$10+$F$11+AG485,AH485,1)))*IF(AF485&gt;0,AF485,IF(AF484&gt;0,AF484,IF(AF483&gt;0,AF483,IF(AF482&gt;0,AF482,IF(AF481&gt;0,AF481,IF(AF480&gt;0,AF480,IF(AF479&gt;0,AF479,IF(AF478&gt;0,AF478,IF(AF477&gt;0,AF477,IF(AF475&gt;0,AF475,IF(AF474&gt;0,AF474,IF(AF473&gt;0,AF473,0)))))))))))),0)*(1-$S485)*'模拟-单技能数据'!$I$20</f>
        <v>0</v>
      </c>
      <c r="AK485" s="115" t="b">
        <f t="shared" ca="1" si="403"/>
        <v>0</v>
      </c>
      <c r="AL485" s="115" t="b">
        <f t="shared" ca="1" si="424"/>
        <v>1</v>
      </c>
      <c r="AM485" s="115">
        <f t="shared" ca="1" si="425"/>
        <v>3</v>
      </c>
      <c r="AN485" s="47">
        <f ca="1">IF(AK485,('模拟-单技能数据'!$D$21+G485*'模拟-单技能数据'!$F$21)*(1+J485)*(1+'模拟-单技能数据'!$J$21)*(1+U485),0)</f>
        <v>0</v>
      </c>
      <c r="AO485" s="61">
        <f ca="1">IF(AN485&gt;0,M485-'模拟-单技能数据'!$K$10,AO484)</f>
        <v>0.42185145527300216</v>
      </c>
      <c r="AP485" s="61">
        <f ca="1">IF(AN485&gt;0,I485-'模拟-单技能数据'!$L$10,AP484)</f>
        <v>2.162482885499879</v>
      </c>
      <c r="AQ485" s="63">
        <f t="shared" ca="1" si="439"/>
        <v>3.9105905832769294E-2</v>
      </c>
      <c r="AR485" s="64">
        <f ca="1">IF(AL485,IF(AQ485&lt;$F$10,0,IF(AQ485&lt;$F$10+$F$11,0.25,IF(AQ485&lt;$F$10+$F$11+AO485,AP485,1)))*IF(AN485&gt;0,AN485,IF(AN484&gt;0,AN484,IF(AN483&gt;0,AN483,IF(AN482&gt;0,AN482,IF(AN481&gt;0,AN481,IF(AN480&gt;0,AN480,IF(AN479&gt;0,AN479,IF(AN478&gt;0,AN478,IF(AN477&gt;0,AN477,IF(AN475&gt;0,AN475,IF(AN474&gt;0,AN474,IF(AN473&gt;0,AN473,0)))))))))))),0)*(1-$S485)*'模拟-单技能数据'!$I$21</f>
        <v>2901.9729631140449</v>
      </c>
      <c r="AS485" s="61">
        <f ca="1">IF(OR(C485="净世破魔击·日",C485="净世破魔击·月"),M485-'模拟-单技能数据'!$K$10,0)</f>
        <v>0</v>
      </c>
      <c r="AT485" s="61">
        <f ca="1">IF(OR(C485="净世破魔击·日",C485="净世破魔击·月"),I485-'模拟-单技能数据'!$L$10,0)</f>
        <v>0</v>
      </c>
      <c r="AU485" s="62">
        <f t="shared" ca="1" si="440"/>
        <v>0.88560109295977818</v>
      </c>
      <c r="AV485" s="64">
        <f ca="1">IF(AS485&gt;0,('模拟-单技能数据'!$D$22+G485*'模拟-单技能数据'!$F$22)*(1+J485)*(1-S485)*IF(AU485&lt;$F$10,0,IF(AU485&lt;$F$10+$F$11,0.25,IF(AU485&lt;$F$10+$F$11+AS485,AT485,1)))*(1+U485),0)*'模拟-单技能数据'!$I$22</f>
        <v>0</v>
      </c>
      <c r="AW485" s="108">
        <f t="shared" ca="1" si="441"/>
        <v>14.465000000000003</v>
      </c>
      <c r="AX485" s="108" t="b">
        <f ca="1">AND(模拟模式!$P$10="有",AW484=0,RAND()&lt;IF(C485="净世破魔击·月",0.1*8/3,IF(C485="净世破魔击·日",0.1*4/3,0.1*2/3)))</f>
        <v>0</v>
      </c>
      <c r="AY485" s="47">
        <f ca="1">IF(AX485,(18+G485*0.722)*(1+J485)*(1-S485)*(1+$I$4)*IF(P485="会",'模拟-全程加成'!$J$3+'模拟-全程加成'!$J$4+'模拟-全程加成'!$J$5+('模拟-全程加成'!$I$4+'模拟-全程加成'!$I$5)/系数!$B$4+BG485*10%,IF(P485="命",1,IF(P485="识",0.25,0))),0)</f>
        <v>0</v>
      </c>
      <c r="AZ485" s="108">
        <f t="shared" si="442"/>
        <v>3.3950000000000062</v>
      </c>
      <c r="BA485" s="108" t="b">
        <f>AND(模拟模式!$Q$10="有",AZ484=0)</f>
        <v>0</v>
      </c>
      <c r="BB485" s="140">
        <f>IF(BA485,(0+G485*0.287)*(1+J485)*(1-S485)*(1+$I$4)*IF(P485="会",'模拟-全程加成'!$J$3+'模拟-全程加成'!$J$4+'模拟-全程加成'!$J$5+('模拟-全程加成'!$I$4+'模拟-全程加成'!$I$5)/系数!$B$4+BG485*10%,IF(P485="命",1,IF(P485="识",0.25,0))),0)</f>
        <v>0</v>
      </c>
      <c r="BC485" s="115" t="b">
        <f ca="1">AND(模拟模式!$R$7="伏明众生",E485=60,F485=20,DA485&lt;5,CZ484&lt;$F$4)</f>
        <v>0</v>
      </c>
      <c r="BD485" s="115">
        <f t="shared" ca="1" si="404"/>
        <v>0</v>
      </c>
      <c r="BE485" s="115" t="b">
        <f t="shared" ca="1" si="405"/>
        <v>0</v>
      </c>
      <c r="BF485" s="47">
        <f ca="1">IF(BC485,4*('模拟-单技能数据'!$D$24+G485*'模拟-单技能数据'!$F$24)*(1+J485)*(1+'模拟-单技能数据'!$J$24)*(1-S485)*(1+$I$3)*(('模拟-全程加成'!$J$3+'模拟-全程加成'!$J$4+'模拟-全程加成'!$J$5+('模拟-全程加成'!$I$4+'模拟-全程加成'!$I$5)/系数!$B$4+BG485*10%)*('模拟-全程加成'!$J$3+'模拟-全程加成'!$J$4+'模拟-全程加成'!$J$5+('模拟-全程加成'!$I$4+'模拟-全程加成'!$I$5)/系数!$B$4+BG485*10%)+(1-('模拟-全程加成'!$J$3+'模拟-全程加成'!$J$4+'模拟-全程加成'!$J$5+('模拟-全程加成'!$I$4+'模拟-全程加成'!$I$5)/系数!$B$4+BG485*10%)-$F$10-$F$11)+F471*0.25),0)*'模拟-单技能数据'!$I$24</f>
        <v>0</v>
      </c>
      <c r="BG485" s="115" t="b">
        <f ca="1">OR(AND(OR(C485="烈日斩",C485="银月斩"),模拟模式!$I$7="净身明礼"),AND(C485="净世破魔击·日",模拟模式!$J$7="洞若观火"),AND(C486="净世破魔击·月",模拟模式!$J$7="洞若观火"),AB485=1)</f>
        <v>1</v>
      </c>
      <c r="BH485" s="115" t="b">
        <f t="shared" ca="1" si="443"/>
        <v>0</v>
      </c>
      <c r="BI485" s="115">
        <f t="shared" ca="1" si="406"/>
        <v>1.3874999999999997</v>
      </c>
      <c r="BJ485" s="115" t="b">
        <f t="shared" ca="1" si="417"/>
        <v>1</v>
      </c>
      <c r="BK485" s="115" t="b">
        <f ca="1">AND(C485="驱夜断愁",模拟模式!$P$7="天地诛戮")</f>
        <v>0</v>
      </c>
      <c r="BL485" s="57">
        <f t="shared" ca="1" si="407"/>
        <v>19.077500000000001</v>
      </c>
      <c r="BM485" s="115" t="b">
        <f t="shared" ca="1" si="418"/>
        <v>1</v>
      </c>
      <c r="BN485" s="115" t="b">
        <f ca="1">AND(OR(C485="赤日轮1",C485="赤日轮2",C485="赤日轮3",C485="幽月轮1",C485="幽月轮2",C485="幽月轮3"),AB485=1,模拟模式!$L$7="明光恒照")</f>
        <v>0</v>
      </c>
      <c r="BO485" s="117">
        <f t="shared" ca="1" si="408"/>
        <v>27.232500000000002</v>
      </c>
      <c r="BP485" s="115">
        <f t="shared" ca="1" si="444"/>
        <v>6</v>
      </c>
      <c r="BQ485" s="115" t="b">
        <f>模拟模式!$K$10="2600·水"</f>
        <v>0</v>
      </c>
      <c r="BR485" s="117">
        <f t="shared" si="445"/>
        <v>0</v>
      </c>
      <c r="BS485" s="115">
        <f t="shared" si="446"/>
        <v>0</v>
      </c>
      <c r="BT485" s="115">
        <f t="shared" ca="1" si="447"/>
        <v>0</v>
      </c>
      <c r="BU485" s="115" t="b">
        <f ca="1">AND(模拟模式!$K$10="2300·雷",BT484=0,RAND()&lt;IF(C485="净世破魔击·月",5*0.05*2/3,IF(C485="净世破魔击·日",3*0.05*2/3,0.05*2*2/3)))</f>
        <v>0</v>
      </c>
      <c r="BV485" s="115">
        <f t="shared" ca="1" si="448"/>
        <v>0</v>
      </c>
      <c r="BW485" s="115">
        <f t="shared" ca="1" si="449"/>
        <v>132.9524999999993</v>
      </c>
      <c r="BX485" s="164" t="b">
        <f t="shared" ca="1" si="450"/>
        <v>0</v>
      </c>
      <c r="BY485" s="115">
        <f t="shared" ca="1" si="451"/>
        <v>0</v>
      </c>
      <c r="BZ485" s="115">
        <f>IF(OR(模拟模式!$P$16="10人团",模拟模式!$P$16="25人团"),IF(B485/30&gt;CA484,1,0),0)</f>
        <v>0</v>
      </c>
      <c r="CA485" s="115">
        <f t="shared" si="427"/>
        <v>0</v>
      </c>
      <c r="CB485" s="115">
        <f ca="1">IF(BZ485=1,IF(模拟模式!$P$16="10人团",15,0)+IF(模拟模式!$P$16="25人团",IF(RAND()&lt;0.6,15,0)),MAX(0,CB484-$F$4))</f>
        <v>0</v>
      </c>
      <c r="CC485" s="115" t="b">
        <f t="shared" ca="1" si="419"/>
        <v>0</v>
      </c>
      <c r="CD485" s="115">
        <f>IF(模拟模式!$Q$16="1个",IF(B485/40&gt;CE484,1,0),0)</f>
        <v>0</v>
      </c>
      <c r="CE485" s="115">
        <f t="shared" si="420"/>
        <v>0</v>
      </c>
      <c r="CF485" s="115">
        <f>IF(OR(CD485=1,模拟模式!$Q$16="2个"),20,MAX(0,CF484-$F$4))</f>
        <v>0</v>
      </c>
      <c r="CG485" s="115" t="b">
        <f t="shared" si="421"/>
        <v>0</v>
      </c>
      <c r="CH485" s="115">
        <f t="shared" ca="1" si="452"/>
        <v>22.620000000000005</v>
      </c>
      <c r="CI485" s="115" t="b">
        <f t="shared" ca="1" si="453"/>
        <v>0</v>
      </c>
      <c r="CJ485" s="119">
        <f t="shared" ca="1" si="454"/>
        <v>0.05</v>
      </c>
      <c r="CK485" s="115">
        <f t="shared" ca="1" si="455"/>
        <v>0.61999999999999911</v>
      </c>
      <c r="CL485" s="115" t="b">
        <f ca="1">AND(模拟模式!$S$7="驱夷逐法",OR(AND(C485="净世破魔击·月",E484&gt;59),AND(C485="净世破魔击·日",F484&gt;59)))</f>
        <v>0</v>
      </c>
      <c r="CM485" s="115" t="b">
        <f ca="1">OR(CL485,AND(C485="净世破魔击·日",CL484,RAND()&lt;模拟模式!$U$23))</f>
        <v>0</v>
      </c>
      <c r="CN485" s="115" t="b">
        <f ca="1">IF(模拟模式!$M$7="辉耀红尘",AND(C485="净世破魔击·月",CL485,CV485=0,E484&lt;80),AND(C485="净世破魔击·月",CL485,E484&lt;100))</f>
        <v>0</v>
      </c>
      <c r="CO485" s="115" t="b">
        <f t="shared" ca="1" si="428"/>
        <v>0</v>
      </c>
      <c r="CP485" s="115" t="b">
        <f ca="1">AND(模拟模式!$O$7="用晦而明",OR(C485="净世破魔击·日",C485="净世破魔击·月",C485="驱夜断愁"),AB485)</f>
        <v>0</v>
      </c>
      <c r="CQ485" s="115" t="b">
        <f ca="1">OR(CP485,AND(CP484,RAND()&lt;模拟模式!$U$23))</f>
        <v>1</v>
      </c>
      <c r="CR485" s="115" t="b">
        <f ca="1">AND(模拟模式!$S$7="日月齐光",OR(C485="幽月轮1",C485="幽月轮2",C485="幽月轮3",CR484),NOT(OR(C485="赤日轮1",C485="赤日轮2",C485="赤日轮3")))</f>
        <v>0</v>
      </c>
      <c r="CS485" s="115" t="b">
        <f ca="1">AND(模拟模式!$S$7="日月齐光",OR(C485="赤日轮1",C485="赤日轮2",C485="赤日轮3",CS484),NOT(OR(C485="幽月轮1",C485="幽月轮2",C485="幽月轮3")))</f>
        <v>0</v>
      </c>
      <c r="CT485" s="115">
        <f t="shared" ca="1" si="456"/>
        <v>20.775000000000006</v>
      </c>
      <c r="CU485" s="115" t="b">
        <f ca="1">AND(模拟模式!$K$10="阴阳往极",CT484=0,RAND()&lt;IF(C485="净世破魔击·月",0.0275*7/3,IF(C485="净世破魔击·日",0.0275*3/3,0.0275*2/3)))</f>
        <v>0</v>
      </c>
      <c r="CV485" s="115">
        <f t="shared" ca="1" si="457"/>
        <v>0</v>
      </c>
      <c r="CW485" s="115">
        <f t="shared" ca="1" si="429"/>
        <v>6</v>
      </c>
      <c r="CX485" s="115">
        <f t="shared" ca="1" si="430"/>
        <v>4.1549999999999994</v>
      </c>
      <c r="CY485" s="115">
        <f ca="1">MAX(IF($C485="驱夜断愁",IF(模拟模式!$R$7="万念俱寂",6,45),CY484-$F$4),0)</f>
        <v>5.0774999999999997</v>
      </c>
      <c r="CZ485" s="115">
        <f t="shared" ca="1" si="431"/>
        <v>0</v>
      </c>
      <c r="DA485" s="115">
        <f ca="1">IF(模拟模式!$N$7="日月同辉",IF(DB484=2,0,MIN(6,IF(AND(OR(C485="赤日轮1",C485="赤日轮2",C485="赤日轮3",C485="幽月轮1",C485="幽月轮2",C485="幽月轮3"),AB485=1),DA484+1,DA484))),0)</f>
        <v>1</v>
      </c>
      <c r="DB485" s="115">
        <f t="shared" ca="1" si="432"/>
        <v>0</v>
      </c>
      <c r="DC485" s="115"/>
      <c r="DD485" s="115"/>
      <c r="DE485" s="115"/>
      <c r="DF485" s="115"/>
      <c r="DG485" s="115"/>
      <c r="DH485" s="115"/>
      <c r="DI485" s="115"/>
      <c r="DJ485" s="115"/>
      <c r="DK485" s="115"/>
      <c r="DL485" s="115"/>
      <c r="DM485" s="115"/>
    </row>
    <row r="486" spans="2:117" x14ac:dyDescent="0.2">
      <c r="B486" s="117">
        <f t="shared" si="433"/>
        <v>423.42750000000427</v>
      </c>
      <c r="C486" s="167" t="str">
        <f t="shared" ca="1" si="426"/>
        <v>幽月轮1</v>
      </c>
      <c r="D486" s="115">
        <f ca="1">IF(C486="赤日轮1",1,IF(C486="赤日轮2",2,IF(C486="赤日轮3",3,IF(C486="幽月轮1",4,IF(C486="幽月轮2",5,IF(C486="幽月轮3",6,IF(C486="烈日斩",7,IF(C486="银月斩",8,IF(C486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486="净世破魔击·月",17,IF(C486="驱夜断愁",18,0)))))))))))</f>
        <v>4</v>
      </c>
      <c r="E486" s="115">
        <f ca="1">IF(AND(CU486,OR(C486="幽月轮1",C486="幽月轮2",C486="幽月轮3",C486="银月斩",C486="驱夜断愁",C486="净世破魔击·月")),100,MIN(IF(OR(CN486,BE486),0,IF(OR($C486="赤日轮1",$C486="赤日轮2",$C486="赤日轮3"),E485+20+IF(模拟模式!$I$7="日月凌天",4,0)+IF(CR485,20,0),IF($C486="烈日斩",E485+40,IF($C486="驱夜断愁",IF(模拟模式!$R$7="万念俱寂",E485+20,E485+60),IF($C486="净世破魔击·月",IF(OR(DB485&gt;0,CV485&gt;0),100,IF(模拟模式!$M$7="辉耀红尘",E485+20,E485)),IF($C486="净世破魔击·日",E485-100,E485)))))),100))</f>
        <v>80</v>
      </c>
      <c r="F486" s="115">
        <f ca="1">IF(AND(CU486,OR(C486="赤日轮1",C486="赤日轮2",C486="赤日轮3",C486="烈日斩",C486="净世破魔击·日")),100,MIN(IF(CO486,0,IF(OR($C486="幽月轮1",$C486="幽月轮2",$C486="幽月轮3"),F485+20+IF(模拟模式!$I$7="日月凌天",4,0)+IF(CS485,20,0),IF($C486="银月斩",F485+40+IF(模拟模式!$X$12=1,5,0),IF($C486="驱夜断愁",IF(模拟模式!$R$7="万念俱寂",F485+20,F485+60),IF($C486="净世破魔击·月",IF(模拟模式!$M$7="辉耀红尘",F485-80,F485-100),IF(AND(C486="净世破魔击·日",OR(DB485&gt;0,CV485&gt;0)),100,F485)))))),100))</f>
        <v>100</v>
      </c>
      <c r="G486" s="117">
        <f ca="1">('模拟-全程加成'!$E$3+'模拟-全程加成'!$E$4+'模拟-全程加成'!$E$5+('模拟-全程加成'!$C$6-'模拟-全程加成'!$C$3)*系数!$B$9+BS486*23)*(1+'模拟-全程加成'!$F$4+'模拟-全程加成'!$F$5+BJ486*10%+BM486*20%+BP486*4%+CG486*30%)+$F$7*系数!$B$12</f>
        <v>21493.829400000002</v>
      </c>
      <c r="H486" s="45">
        <f ca="1">'模拟-全程加成'!$H$3+'模拟-全程加成'!$H$4+'模拟-全程加成'!$H$5+('模拟-全程加成'!$G$4+'模拟-全程加成'!$G$5+('模拟-全程加成'!$C$6-'模拟-全程加成'!$C$3)*系数!$B$13)/系数!$B$3+LOOKUP(D486,'模拟-单技能数据'!$A$2:$A$19,'模拟-单技能数据'!$K$2:$K$19)+BG486*10%+IF(BV486&gt;0,378,0)</f>
        <v>0.51185145527300213</v>
      </c>
      <c r="I486" s="45">
        <f ca="1">'模拟-全程加成'!$J$3+'模拟-全程加成'!$J$4+'模拟-全程加成'!$J$5+('模拟-全程加成'!$I$4+'模拟-全程加成'!$I$5)/系数!$B$4+LOOKUP(D486,'模拟-单技能数据'!$A$2:$A$19,'模拟-单技能数据'!$L$2:$L$19)+BG486*10%</f>
        <v>2.162482885499879</v>
      </c>
      <c r="J486" s="45">
        <f ca="1">(('模拟-全程加成'!$K$3+'模拟-全程加成'!$K$4+'模拟-全程加成'!$K$5+('模拟-全程加成'!$C$6-'模拟-全程加成'!$C$3)*系数!$B$10+IF(BV486&gt;0,882,0)+IF(BY486&gt;0,1831,0))*(1+'模拟-全程加成'!$L$4+'模拟-全程加成'!$L$5+CC486*20%))/系数!$B$5</f>
        <v>0.69723220422048726</v>
      </c>
      <c r="K486" s="119">
        <f ca="1">LOOKUP(D486,'模拟-单技能数据'!$A$2:$A$19,'模拟-单技能数据'!$J$2:$J$19)+IF(CM486,60%,0)+IF(DB485-DB486&gt;0,30%,0)+IF(OR(AND(OR(C486="赤日轮1",C486="赤日轮2",C486="赤日轮3"),CR486),AND(OR(C486="幽月轮1",C486="幽月轮2",C486="幽月轮3"),CS486)),35%,0)+CJ486</f>
        <v>7.0000000000000007E-2</v>
      </c>
      <c r="L486" s="119">
        <f ca="1">IF(AND(C486="烈日斩",模拟模式!$X$11=1),10%,0)+IF(AND(C486="驱夜断愁",AB486=1),30%,0)</f>
        <v>0</v>
      </c>
      <c r="M486" s="45">
        <f t="shared" ca="1" si="409"/>
        <v>0.51185145527300213</v>
      </c>
      <c r="N486" s="45">
        <f t="shared" ca="1" si="410"/>
        <v>0.43424854472699792</v>
      </c>
      <c r="O486" s="46">
        <f t="shared" ca="1" si="434"/>
        <v>0.90408344252213169</v>
      </c>
      <c r="P486" s="46" t="str">
        <f t="shared" ca="1" si="435"/>
        <v>命</v>
      </c>
      <c r="Q486" s="45">
        <f t="shared" ca="1" si="436"/>
        <v>1</v>
      </c>
      <c r="R486" s="117">
        <f ca="1">模拟模式!$E$20*(1-IF(模拟模式!$J$19="有",0.15,0))*(1-IF(模拟模式!$K$19="有",0.3,0)-IF(CQ486,0.5,0))</f>
        <v>2950.6049999999996</v>
      </c>
      <c r="S486" s="45">
        <f ca="1">R486/(R486+(185*模拟模式!$E$22-16800)*4.08224)</f>
        <v>0.24272716014590323</v>
      </c>
      <c r="T486" s="45" t="str">
        <f ca="1">LOOKUP(D486,'模拟-单技能数据'!$A$2:$A$19,'模拟-单技能数据'!$H$2:$H$19)</f>
        <v>阴</v>
      </c>
      <c r="U486" s="119">
        <f t="shared" ca="1" si="411"/>
        <v>0.08</v>
      </c>
      <c r="V486" s="47">
        <f ca="1">(1+L486)*(LOOKUP(D486,'模拟-单技能数据'!$A$2:$A$19,'模拟-单技能数据'!$D$2:$D$19)+G486*LOOKUP(D486,'模拟-单技能数据'!$A$2:$A$19,'模拟-单技能数据'!$F$2:$F$19))*(1+J486)*(1+K486)*(1-S486)*(1+U486)*Q486*LOOKUP(D486,'模拟-单技能数据'!$A$2:$A$19,'模拟-单技能数据'!$I$2:$I$20)</f>
        <v>16939.18703301924</v>
      </c>
      <c r="W486" s="47">
        <f ca="1">LOOKUP(D486,'模拟-单技能数据'!$A$2:$A$19,'模拟-单技能数据'!$G$2:$G$19)*$I$10</f>
        <v>361.51064354704795</v>
      </c>
      <c r="X486" s="47">
        <f t="shared" ca="1" si="437"/>
        <v>7949.3543492067038</v>
      </c>
      <c r="Y486" s="47">
        <f t="shared" ca="1" si="412"/>
        <v>25250.052025772991</v>
      </c>
      <c r="Z486" s="49">
        <f t="shared" ca="1" si="413"/>
        <v>47957178.351221308</v>
      </c>
      <c r="AA486" s="97">
        <f t="shared" ca="1" si="414"/>
        <v>113259.47972491353</v>
      </c>
      <c r="AB486" s="115">
        <f ca="1">IF(OR(C486="赤日轮1",C486="赤日轮2",C486="赤日轮3"),IF(RAND()&lt;模拟模式!$Y$17,1,0),IF(OR(C486="幽月轮1",C486="幽月轮2",C486="幽月轮3"),IF(RAND()&lt;模拟模式!$Y$18,1,0),IF(C486="烈日斩",IF(RAND()&lt;模拟模式!$Y$19,1,0),IF(C486="银月斩",IF(RAND()&lt;模拟模式!$Y$20,1,0),IF(C486="驱夜断愁",IF(RAND()&lt;模拟模式!$Y$21,1,0),IF(C486="净世破魔击·日",IF(RAND()&lt;模拟模式!$Y$22,1,0),IF(C486="净世破魔击·月",IF(RAND()&lt;模拟模式!$Y$23,1,0),0)))))))</f>
        <v>1</v>
      </c>
      <c r="AC486" s="115" t="b">
        <f t="shared" ca="1" si="402"/>
        <v>0</v>
      </c>
      <c r="AD486" s="115" t="b">
        <f t="shared" ca="1" si="422"/>
        <v>1</v>
      </c>
      <c r="AE486" s="115">
        <f t="shared" ca="1" si="423"/>
        <v>4</v>
      </c>
      <c r="AF486" s="47">
        <f ca="1">IF(AC486,('模拟-单技能数据'!$D$20+G486*'模拟-单技能数据'!$F$20)*(1+J486)*(1+'模拟-单技能数据'!$J$20)*(1+U486),0)</f>
        <v>0</v>
      </c>
      <c r="AG486" s="61">
        <f t="shared" ca="1" si="415"/>
        <v>0.64185145527300214</v>
      </c>
      <c r="AH486" s="61">
        <f t="shared" ca="1" si="416"/>
        <v>2.2624828854998791</v>
      </c>
      <c r="AI486" s="62">
        <f t="shared" ca="1" si="438"/>
        <v>0.48861749046748004</v>
      </c>
      <c r="AJ486" s="47">
        <f ca="1">IF(AD486,IF(AI486&lt;$F$10,0,IF(AI486&lt;$F$10+$F$11,0.25,IF(AI486&lt;$F$10+$F$11+AG486,AH486,1)))*IF(AF486&gt;0,AF486,IF(AF485&gt;0,AF485,IF(AF484&gt;0,AF484,IF(AF483&gt;0,AF483,IF(AF482&gt;0,AF482,IF(AF481&gt;0,AF481,IF(AF480&gt;0,AF480,IF(AF479&gt;0,AF479,IF(AF478&gt;0,AF478,IF(AF476&gt;0,AF476,IF(AF475&gt;0,AF475,IF(AF474&gt;0,AF474,0)))))))))))),0)*(1-$S486)*'模拟-单技能数据'!$I$20</f>
        <v>7949.3543492067038</v>
      </c>
      <c r="AK486" s="115" t="b">
        <f t="shared" ca="1" si="403"/>
        <v>0</v>
      </c>
      <c r="AL486" s="115" t="b">
        <f t="shared" ca="1" si="424"/>
        <v>0</v>
      </c>
      <c r="AM486" s="115">
        <f t="shared" ca="1" si="425"/>
        <v>3</v>
      </c>
      <c r="AN486" s="47">
        <f ca="1">IF(AK486,('模拟-单技能数据'!$D$21+G486*'模拟-单技能数据'!$F$21)*(1+J486)*(1+'模拟-单技能数据'!$J$21)*(1+U486),0)</f>
        <v>0</v>
      </c>
      <c r="AO486" s="61">
        <f ca="1">IF(AN486&gt;0,M486-'模拟-单技能数据'!$K$10,AO485)</f>
        <v>0.42185145527300216</v>
      </c>
      <c r="AP486" s="61">
        <f ca="1">IF(AN486&gt;0,I486-'模拟-单技能数据'!$L$10,AP485)</f>
        <v>2.162482885499879</v>
      </c>
      <c r="AQ486" s="63">
        <f t="shared" ca="1" si="439"/>
        <v>0.84172957863445275</v>
      </c>
      <c r="AR486" s="64">
        <f ca="1">IF(AL486,IF(AQ486&lt;$F$10,0,IF(AQ486&lt;$F$10+$F$11,0.25,IF(AQ486&lt;$F$10+$F$11+AO486,AP486,1)))*IF(AN486&gt;0,AN486,IF(AN485&gt;0,AN485,IF(AN484&gt;0,AN484,IF(AN483&gt;0,AN483,IF(AN482&gt;0,AN482,IF(AN481&gt;0,AN481,IF(AN480&gt;0,AN480,IF(AN479&gt;0,AN479,IF(AN478&gt;0,AN478,IF(AN476&gt;0,AN476,IF(AN475&gt;0,AN475,IF(AN474&gt;0,AN474,0)))))))))))),0)*(1-$S486)*'模拟-单技能数据'!$I$21</f>
        <v>0</v>
      </c>
      <c r="AS486" s="61">
        <f ca="1">IF(OR(C486="净世破魔击·日",C486="净世破魔击·月"),M486-'模拟-单技能数据'!$K$10,0)</f>
        <v>0</v>
      </c>
      <c r="AT486" s="61">
        <f ca="1">IF(OR(C486="净世破魔击·日",C486="净世破魔击·月"),I486-'模拟-单技能数据'!$L$10,0)</f>
        <v>0</v>
      </c>
      <c r="AU486" s="62">
        <f t="shared" ca="1" si="440"/>
        <v>0.94350288161080897</v>
      </c>
      <c r="AV486" s="64">
        <f ca="1">IF(AS486&gt;0,('模拟-单技能数据'!$D$22+G486*'模拟-单技能数据'!$F$22)*(1+J486)*(1-S486)*IF(AU486&lt;$F$10,0,IF(AU486&lt;$F$10+$F$11,0.25,IF(AU486&lt;$F$10+$F$11+AS486,AT486,1)))*(1+U486),0)*'模拟-单技能数据'!$I$22</f>
        <v>0</v>
      </c>
      <c r="AW486" s="108">
        <f t="shared" ca="1" si="441"/>
        <v>13.542500000000004</v>
      </c>
      <c r="AX486" s="108" t="b">
        <f ca="1">AND(模拟模式!$P$10="有",AW485=0,RAND()&lt;IF(C486="净世破魔击·月",0.1*8/3,IF(C486="净世破魔击·日",0.1*4/3,0.1*2/3)))</f>
        <v>0</v>
      </c>
      <c r="AY486" s="47">
        <f ca="1">IF(AX486,(18+G486*0.722)*(1+J486)*(1-S486)*(1+$I$4)*IF(P486="会",'模拟-全程加成'!$J$3+'模拟-全程加成'!$J$4+'模拟-全程加成'!$J$5+('模拟-全程加成'!$I$4+'模拟-全程加成'!$I$5)/系数!$B$4+BG486*10%,IF(P486="命",1,IF(P486="识",0.25,0))),0)</f>
        <v>0</v>
      </c>
      <c r="AZ486" s="108">
        <f t="shared" si="442"/>
        <v>2.4725000000000064</v>
      </c>
      <c r="BA486" s="108" t="b">
        <f>AND(模拟模式!$Q$10="有",AZ485=0)</f>
        <v>0</v>
      </c>
      <c r="BB486" s="140">
        <f>IF(BA486,(0+G486*0.287)*(1+J486)*(1-S486)*(1+$I$4)*IF(P486="会",'模拟-全程加成'!$J$3+'模拟-全程加成'!$J$4+'模拟-全程加成'!$J$5+('模拟-全程加成'!$I$4+'模拟-全程加成'!$I$5)/系数!$B$4+BG486*10%,IF(P486="命",1,IF(P486="识",0.25,0))),0)</f>
        <v>0</v>
      </c>
      <c r="BC486" s="115" t="b">
        <f ca="1">AND(模拟模式!$R$7="伏明众生",E486=60,F486=20,DA486&lt;5,CZ485&lt;$F$4)</f>
        <v>0</v>
      </c>
      <c r="BD486" s="115">
        <f t="shared" ca="1" si="404"/>
        <v>0</v>
      </c>
      <c r="BE486" s="115" t="b">
        <f t="shared" ca="1" si="405"/>
        <v>0</v>
      </c>
      <c r="BF486" s="47">
        <f ca="1">IF(BC486,4*('模拟-单技能数据'!$D$24+G486*'模拟-单技能数据'!$F$24)*(1+J486)*(1+'模拟-单技能数据'!$J$24)*(1-S486)*(1+$I$3)*(('模拟-全程加成'!$J$3+'模拟-全程加成'!$J$4+'模拟-全程加成'!$J$5+('模拟-全程加成'!$I$4+'模拟-全程加成'!$I$5)/系数!$B$4+BG486*10%)*('模拟-全程加成'!$J$3+'模拟-全程加成'!$J$4+'模拟-全程加成'!$J$5+('模拟-全程加成'!$I$4+'模拟-全程加成'!$I$5)/系数!$B$4+BG486*10%)+(1-('模拟-全程加成'!$J$3+'模拟-全程加成'!$J$4+'模拟-全程加成'!$J$5+('模拟-全程加成'!$I$4+'模拟-全程加成'!$I$5)/系数!$B$4+BG486*10%)-$F$10-$F$11)+F472*0.25),0)*'模拟-单技能数据'!$I$24</f>
        <v>0</v>
      </c>
      <c r="BG486" s="115" t="b">
        <f ca="1">OR(AND(OR(C486="烈日斩",C486="银月斩"),模拟模式!$I$7="净身明礼"),AND(C486="净世破魔击·日",模拟模式!$J$7="洞若观火"),AND(C487="净世破魔击·月",模拟模式!$J$7="洞若观火"),AB486=1)</f>
        <v>1</v>
      </c>
      <c r="BH486" s="115" t="b">
        <f t="shared" ca="1" si="443"/>
        <v>0</v>
      </c>
      <c r="BI486" s="115">
        <f t="shared" ca="1" si="406"/>
        <v>0.46499999999999975</v>
      </c>
      <c r="BJ486" s="115" t="b">
        <f t="shared" ca="1" si="417"/>
        <v>1</v>
      </c>
      <c r="BK486" s="115" t="b">
        <f ca="1">AND(C486="驱夜断愁",模拟模式!$P$7="天地诛戮")</f>
        <v>0</v>
      </c>
      <c r="BL486" s="57">
        <f t="shared" ca="1" si="407"/>
        <v>18.155000000000001</v>
      </c>
      <c r="BM486" s="115" t="b">
        <f t="shared" ca="1" si="418"/>
        <v>1</v>
      </c>
      <c r="BN486" s="115" t="b">
        <f ca="1">AND(OR(C486="赤日轮1",C486="赤日轮2",C486="赤日轮3",C486="幽月轮1",C486="幽月轮2",C486="幽月轮3"),AB486=1,模拟模式!$L$7="明光恒照")</f>
        <v>1</v>
      </c>
      <c r="BO486" s="117">
        <f t="shared" ca="1" si="408"/>
        <v>30</v>
      </c>
      <c r="BP486" s="115">
        <f t="shared" ca="1" si="444"/>
        <v>6</v>
      </c>
      <c r="BQ486" s="115" t="b">
        <f>模拟模式!$K$10="2600·水"</f>
        <v>0</v>
      </c>
      <c r="BR486" s="117">
        <f t="shared" si="445"/>
        <v>0</v>
      </c>
      <c r="BS486" s="115">
        <f t="shared" si="446"/>
        <v>0</v>
      </c>
      <c r="BT486" s="115">
        <f t="shared" ca="1" si="447"/>
        <v>0</v>
      </c>
      <c r="BU486" s="115" t="b">
        <f ca="1">AND(模拟模式!$K$10="2300·雷",BT485=0,RAND()&lt;IF(C486="净世破魔击·月",5*0.05*2/3,IF(C486="净世破魔击·日",3*0.05*2/3,0.05*2*2/3)))</f>
        <v>0</v>
      </c>
      <c r="BV486" s="115">
        <f t="shared" ca="1" si="448"/>
        <v>0</v>
      </c>
      <c r="BW486" s="115">
        <f t="shared" ca="1" si="449"/>
        <v>132.02999999999929</v>
      </c>
      <c r="BX486" s="164" t="b">
        <f t="shared" ca="1" si="450"/>
        <v>0</v>
      </c>
      <c r="BY486" s="115">
        <f t="shared" ca="1" si="451"/>
        <v>0</v>
      </c>
      <c r="BZ486" s="115">
        <f>IF(OR(模拟模式!$P$16="10人团",模拟模式!$P$16="25人团"),IF(B486/30&gt;CA485,1,0),0)</f>
        <v>0</v>
      </c>
      <c r="CA486" s="115">
        <f t="shared" si="427"/>
        <v>0</v>
      </c>
      <c r="CB486" s="115">
        <f ca="1">IF(BZ486=1,IF(模拟模式!$P$16="10人团",15,0)+IF(模拟模式!$P$16="25人团",IF(RAND()&lt;0.6,15,0)),MAX(0,CB485-$F$4))</f>
        <v>0</v>
      </c>
      <c r="CC486" s="115" t="b">
        <f t="shared" ca="1" si="419"/>
        <v>0</v>
      </c>
      <c r="CD486" s="115">
        <f>IF(模拟模式!$Q$16="1个",IF(B486/40&gt;CE485,1,0),0)</f>
        <v>0</v>
      </c>
      <c r="CE486" s="115">
        <f t="shared" si="420"/>
        <v>0</v>
      </c>
      <c r="CF486" s="115">
        <f>IF(OR(CD486=1,模拟模式!$Q$16="2个"),20,MAX(0,CF485-$F$4))</f>
        <v>0</v>
      </c>
      <c r="CG486" s="115" t="b">
        <f t="shared" si="421"/>
        <v>0</v>
      </c>
      <c r="CH486" s="115">
        <f t="shared" ca="1" si="452"/>
        <v>21.697500000000005</v>
      </c>
      <c r="CI486" s="115" t="b">
        <f t="shared" ca="1" si="453"/>
        <v>0</v>
      </c>
      <c r="CJ486" s="119">
        <f t="shared" ca="1" si="454"/>
        <v>0</v>
      </c>
      <c r="CK486" s="115">
        <f t="shared" ca="1" si="455"/>
        <v>0</v>
      </c>
      <c r="CL486" s="115" t="b">
        <f ca="1">AND(模拟模式!$S$7="驱夷逐法",OR(AND(C486="净世破魔击·月",E485&gt;59),AND(C486="净世破魔击·日",F485&gt;59)))</f>
        <v>0</v>
      </c>
      <c r="CM486" s="115" t="b">
        <f ca="1">OR(CL486,AND(C486="净世破魔击·日",CL485,RAND()&lt;模拟模式!$U$23))</f>
        <v>0</v>
      </c>
      <c r="CN486" s="115" t="b">
        <f ca="1">IF(模拟模式!$M$7="辉耀红尘",AND(C486="净世破魔击·月",CL486,CV486=0,E485&lt;80),AND(C486="净世破魔击·月",CL486,E485&lt;100))</f>
        <v>0</v>
      </c>
      <c r="CO486" s="115" t="b">
        <f t="shared" ca="1" si="428"/>
        <v>0</v>
      </c>
      <c r="CP486" s="115" t="b">
        <f ca="1">AND(模拟模式!$O$7="用晦而明",OR(C486="净世破魔击·日",C486="净世破魔击·月",C486="驱夜断愁"),AB486)</f>
        <v>0</v>
      </c>
      <c r="CQ486" s="115" t="b">
        <f ca="1">OR(CP486,AND(CP485,RAND()&lt;模拟模式!$U$23))</f>
        <v>0</v>
      </c>
      <c r="CR486" s="115" t="b">
        <f ca="1">AND(模拟模式!$S$7="日月齐光",OR(C486="幽月轮1",C486="幽月轮2",C486="幽月轮3",CR485),NOT(OR(C486="赤日轮1",C486="赤日轮2",C486="赤日轮3")))</f>
        <v>0</v>
      </c>
      <c r="CS486" s="115" t="b">
        <f ca="1">AND(模拟模式!$S$7="日月齐光",OR(C486="赤日轮1",C486="赤日轮2",C486="赤日轮3",CS485),NOT(OR(C486="幽月轮1",C486="幽月轮2",C486="幽月轮3")))</f>
        <v>0</v>
      </c>
      <c r="CT486" s="115">
        <f t="shared" ca="1" si="456"/>
        <v>19.852500000000006</v>
      </c>
      <c r="CU486" s="115" t="b">
        <f ca="1">AND(模拟模式!$K$10="阴阳往极",CT485=0,RAND()&lt;IF(C486="净世破魔击·月",0.0275*7/3,IF(C486="净世破魔击·日",0.0275*3/3,0.0275*2/3)))</f>
        <v>0</v>
      </c>
      <c r="CV486" s="115">
        <f t="shared" ca="1" si="457"/>
        <v>0</v>
      </c>
      <c r="CW486" s="115">
        <f t="shared" ca="1" si="429"/>
        <v>5.0774999999999997</v>
      </c>
      <c r="CX486" s="115">
        <f t="shared" ca="1" si="430"/>
        <v>3.2324999999999995</v>
      </c>
      <c r="CY486" s="115">
        <f ca="1">MAX(IF($C486="驱夜断愁",IF(模拟模式!$R$7="万念俱寂",6,45),CY485-$F$4),0)</f>
        <v>4.1549999999999994</v>
      </c>
      <c r="CZ486" s="115">
        <f t="shared" ca="1" si="431"/>
        <v>0</v>
      </c>
      <c r="DA486" s="115">
        <f ca="1">IF(模拟模式!$N$7="日月同辉",IF(DB485=2,0,MIN(6,IF(AND(OR(C486="赤日轮1",C486="赤日轮2",C486="赤日轮3",C486="幽月轮1",C486="幽月轮2",C486="幽月轮3"),AB486=1),DA485+1,DA485))),0)</f>
        <v>2</v>
      </c>
      <c r="DB486" s="115">
        <f t="shared" ca="1" si="432"/>
        <v>0</v>
      </c>
      <c r="DC486" s="115"/>
      <c r="DD486" s="115"/>
      <c r="DE486" s="115"/>
      <c r="DF486" s="115"/>
      <c r="DG486" s="115"/>
      <c r="DH486" s="115"/>
      <c r="DI486" s="115"/>
      <c r="DJ486" s="115"/>
      <c r="DK486" s="115"/>
      <c r="DL486" s="115"/>
      <c r="DM486" s="115"/>
    </row>
    <row r="487" spans="2:117" x14ac:dyDescent="0.2">
      <c r="B487" s="117">
        <f t="shared" si="433"/>
        <v>424.35000000000429</v>
      </c>
      <c r="C487" s="167" t="str">
        <f t="shared" ca="1" si="426"/>
        <v>净世破魔击·月</v>
      </c>
      <c r="D487" s="115">
        <f ca="1">IF(C487="赤日轮1",1,IF(C487="赤日轮2",2,IF(C487="赤日轮3",3,IF(C487="幽月轮1",4,IF(C487="幽月轮2",5,IF(C487="幽月轮3",6,IF(C487="烈日斩",7,IF(C487="银月斩",8,IF(C487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487="净世破魔击·月",17,IF(C487="驱夜断愁",18,0)))))))))))</f>
        <v>17</v>
      </c>
      <c r="E487" s="115">
        <f ca="1">IF(AND(CU487,OR(C487="幽月轮1",C487="幽月轮2",C487="幽月轮3",C487="银月斩",C487="驱夜断愁",C487="净世破魔击·月")),100,MIN(IF(OR(CN487,BE487),0,IF(OR($C487="赤日轮1",$C487="赤日轮2",$C487="赤日轮3"),E486+20+IF(模拟模式!$I$7="日月凌天",4,0)+IF(CR486,20,0),IF($C487="烈日斩",E486+40,IF($C487="驱夜断愁",IF(模拟模式!$R$7="万念俱寂",E486+20,E486+60),IF($C487="净世破魔击·月",IF(OR(DB486&gt;0,CV486&gt;0),100,IF(模拟模式!$M$7="辉耀红尘",E486+20,E486)),IF($C487="净世破魔击·日",E486-100,E486)))))),100))</f>
        <v>100</v>
      </c>
      <c r="F487" s="115">
        <f ca="1">IF(AND(CU487,OR(C487="赤日轮1",C487="赤日轮2",C487="赤日轮3",C487="烈日斩",C487="净世破魔击·日")),100,MIN(IF(CO487,0,IF(OR($C487="幽月轮1",$C487="幽月轮2",$C487="幽月轮3"),F486+20+IF(模拟模式!$I$7="日月凌天",4,0)+IF(CS486,20,0),IF($C487="银月斩",F486+40+IF(模拟模式!$X$12=1,5,0),IF($C487="驱夜断愁",IF(模拟模式!$R$7="万念俱寂",F486+20,F486+60),IF($C487="净世破魔击·月",IF(模拟模式!$M$7="辉耀红尘",F486-80,F486-100),IF(AND(C487="净世破魔击·日",OR(DB486&gt;0,CV486&gt;0)),100,F486)))))),100))</f>
        <v>20</v>
      </c>
      <c r="G487" s="117">
        <f ca="1">('模拟-全程加成'!$E$3+'模拟-全程加成'!$E$4+'模拟-全程加成'!$E$5+('模拟-全程加成'!$C$6-'模拟-全程加成'!$C$3)*系数!$B$9+BS487*23)*(1+'模拟-全程加成'!$F$4+'模拟-全程加成'!$F$5+BJ487*10%+BM487*20%+BP487*4%+CG487*30%)+$F$7*系数!$B$12</f>
        <v>21493.829400000002</v>
      </c>
      <c r="H487" s="45">
        <f ca="1">'模拟-全程加成'!$H$3+'模拟-全程加成'!$H$4+'模拟-全程加成'!$H$5+('模拟-全程加成'!$G$4+'模拟-全程加成'!$G$5+('模拟-全程加成'!$C$6-'模拟-全程加成'!$C$3)*系数!$B$13)/系数!$B$3+LOOKUP(D487,'模拟-单技能数据'!$A$2:$A$19,'模拟-单技能数据'!$K$2:$K$19)+BG487*10%+IF(BV487&gt;0,378,0)</f>
        <v>0.54185145527300216</v>
      </c>
      <c r="I487" s="45">
        <f ca="1">'模拟-全程加成'!$J$3+'模拟-全程加成'!$J$4+'模拟-全程加成'!$J$5+('模拟-全程加成'!$I$4+'模拟-全程加成'!$I$5)/系数!$B$4+LOOKUP(D487,'模拟-单技能数据'!$A$2:$A$19,'模拟-单技能数据'!$L$2:$L$19)+BG487*10%</f>
        <v>2.162482885499879</v>
      </c>
      <c r="J487" s="45">
        <f ca="1">(('模拟-全程加成'!$K$3+'模拟-全程加成'!$K$4+'模拟-全程加成'!$K$5+('模拟-全程加成'!$C$6-'模拟-全程加成'!$C$3)*系数!$B$10+IF(BV487&gt;0,882,0)+IF(BY487&gt;0,1831,0))*(1+'模拟-全程加成'!$L$4+'模拟-全程加成'!$L$5+CC487*20%))/系数!$B$5</f>
        <v>0.69723220422048726</v>
      </c>
      <c r="K487" s="119">
        <f ca="1">LOOKUP(D487,'模拟-单技能数据'!$A$2:$A$19,'模拟-单技能数据'!$J$2:$J$19)+IF(CM487,60%,0)+IF(DB486-DB487&gt;0,30%,0)+IF(OR(AND(OR(C487="赤日轮1",C487="赤日轮2",C487="赤日轮3"),CR487),AND(OR(C487="幽月轮1",C487="幽月轮2",C487="幽月轮3"),CS487)),35%,0)+CJ487</f>
        <v>0.8</v>
      </c>
      <c r="L487" s="119">
        <f ca="1">IF(AND(C487="烈日斩",模拟模式!$X$11=1),10%,0)+IF(AND(C487="驱夜断愁",AB487=1),30%,0)</f>
        <v>0</v>
      </c>
      <c r="M487" s="45">
        <f t="shared" ca="1" si="409"/>
        <v>0.54185145527300216</v>
      </c>
      <c r="N487" s="45">
        <f t="shared" ca="1" si="410"/>
        <v>0.40424854472699789</v>
      </c>
      <c r="O487" s="46">
        <f t="shared" ca="1" si="434"/>
        <v>0.6947139320212562</v>
      </c>
      <c r="P487" s="46" t="str">
        <f t="shared" ca="1" si="435"/>
        <v>命</v>
      </c>
      <c r="Q487" s="45">
        <f t="shared" ca="1" si="436"/>
        <v>1</v>
      </c>
      <c r="R487" s="117">
        <f ca="1">模拟模式!$E$20*(1-IF(模拟模式!$J$19="有",0.15,0))*(1-IF(模拟模式!$K$19="有",0.3,0)-IF(CQ487,0.5,0))</f>
        <v>843.02999999999975</v>
      </c>
      <c r="S487" s="45">
        <f ca="1">R487/(R487+(185*模拟模式!$E$22-16800)*4.08224)</f>
        <v>8.389626085980037E-2</v>
      </c>
      <c r="T487" s="45" t="str">
        <f ca="1">LOOKUP(D487,'模拟-单技能数据'!$A$2:$A$19,'模拟-单技能数据'!$H$2:$H$19)</f>
        <v>阴</v>
      </c>
      <c r="U487" s="119">
        <f t="shared" ca="1" si="411"/>
        <v>0.08</v>
      </c>
      <c r="V487" s="47">
        <f ca="1">(1+L487)*(LOOKUP(D487,'模拟-单技能数据'!$A$2:$A$19,'模拟-单技能数据'!$D$2:$D$19)+G487*LOOKUP(D487,'模拟-单技能数据'!$A$2:$A$19,'模拟-单技能数据'!$F$2:$F$19))*(1+J487)*(1+K487)*(1-S487)*(1+U487)*Q487*LOOKUP(D487,'模拟-单技能数据'!$A$2:$A$19,'模拟-单技能数据'!$I$2:$I$20)</f>
        <v>84412.793434348554</v>
      </c>
      <c r="W487" s="47">
        <f ca="1">LOOKUP(D487,'模拟-单技能数据'!$A$2:$A$19,'模拟-单技能数据'!$G$2:$G$19)*$I$10</f>
        <v>361.51064354704795</v>
      </c>
      <c r="X487" s="47">
        <f t="shared" ca="1" si="437"/>
        <v>28813.061448701963</v>
      </c>
      <c r="Y487" s="47">
        <f t="shared" ca="1" si="412"/>
        <v>113587.36552659757</v>
      </c>
      <c r="Z487" s="49">
        <f t="shared" ca="1" si="413"/>
        <v>48070765.716747902</v>
      </c>
      <c r="AA487" s="97">
        <f t="shared" ca="1" si="414"/>
        <v>113280.93723753368</v>
      </c>
      <c r="AB487" s="115">
        <f ca="1">IF(OR(C487="赤日轮1",C487="赤日轮2",C487="赤日轮3"),IF(RAND()&lt;模拟模式!$Y$17,1,0),IF(OR(C487="幽月轮1",C487="幽月轮2",C487="幽月轮3"),IF(RAND()&lt;模拟模式!$Y$18,1,0),IF(C487="烈日斩",IF(RAND()&lt;模拟模式!$Y$19,1,0),IF(C487="银月斩",IF(RAND()&lt;模拟模式!$Y$20,1,0),IF(C487="驱夜断愁",IF(RAND()&lt;模拟模式!$Y$21,1,0),IF(C487="净世破魔击·日",IF(RAND()&lt;模拟模式!$Y$22,1,0),IF(C487="净世破魔击·月",IF(RAND()&lt;模拟模式!$Y$23,1,0),0)))))))</f>
        <v>1</v>
      </c>
      <c r="AC487" s="115" t="b">
        <f t="shared" ca="1" si="402"/>
        <v>0</v>
      </c>
      <c r="AD487" s="115" t="b">
        <f t="shared" ca="1" si="422"/>
        <v>0</v>
      </c>
      <c r="AE487" s="115">
        <f t="shared" ca="1" si="423"/>
        <v>4</v>
      </c>
      <c r="AF487" s="47">
        <f ca="1">IF(AC487,('模拟-单技能数据'!$D$20+G487*'模拟-单技能数据'!$F$20)*(1+J487)*(1+'模拟-单技能数据'!$J$20)*(1+U487),0)</f>
        <v>0</v>
      </c>
      <c r="AG487" s="61">
        <f t="shared" ca="1" si="415"/>
        <v>0.64185145527300214</v>
      </c>
      <c r="AH487" s="61">
        <f t="shared" ca="1" si="416"/>
        <v>2.2624828854998791</v>
      </c>
      <c r="AI487" s="62">
        <f t="shared" ca="1" si="438"/>
        <v>0.7525829588264531</v>
      </c>
      <c r="AJ487" s="47">
        <f ca="1">IF(AD487,IF(AI487&lt;$F$10,0,IF(AI487&lt;$F$10+$F$11,0.25,IF(AI487&lt;$F$10+$F$11+AG487,AH487,1)))*IF(AF487&gt;0,AF487,IF(AF486&gt;0,AF486,IF(AF485&gt;0,AF485,IF(AF484&gt;0,AF484,IF(AF483&gt;0,AF483,IF(AF482&gt;0,AF482,IF(AF481&gt;0,AF481,IF(AF480&gt;0,AF480,IF(AF479&gt;0,AF479,IF(AF477&gt;0,AF477,IF(AF476&gt;0,AF476,IF(AF475&gt;0,AF475,0)))))))))))),0)*(1-$S487)*'模拟-单技能数据'!$I$20</f>
        <v>0</v>
      </c>
      <c r="AK487" s="115" t="b">
        <f t="shared" ca="1" si="403"/>
        <v>0</v>
      </c>
      <c r="AL487" s="115" t="b">
        <f t="shared" ca="1" si="424"/>
        <v>1</v>
      </c>
      <c r="AM487" s="115">
        <f t="shared" ca="1" si="425"/>
        <v>2</v>
      </c>
      <c r="AN487" s="47">
        <f ca="1">IF(AK487,('模拟-单技能数据'!$D$21+G487*'模拟-单技能数据'!$F$21)*(1+J487)*(1+'模拟-单技能数据'!$J$21)*(1+U487),0)</f>
        <v>0</v>
      </c>
      <c r="AO487" s="61">
        <f ca="1">IF(AN487&gt;0,M487-'模拟-单技能数据'!$K$10,AO486)</f>
        <v>0.42185145527300216</v>
      </c>
      <c r="AP487" s="61">
        <f ca="1">IF(AN487&gt;0,I487-'模拟-单技能数据'!$L$10,AP486)</f>
        <v>2.162482885499879</v>
      </c>
      <c r="AQ487" s="63">
        <f t="shared" ca="1" si="439"/>
        <v>0.90441205319474793</v>
      </c>
      <c r="AR487" s="64">
        <f ca="1">IF(AL487,IF(AQ487&lt;$F$10,0,IF(AQ487&lt;$F$10+$F$11,0.25,IF(AQ487&lt;$F$10+$F$11+AO487,AP487,1)))*IF(AN487&gt;0,AN487,IF(AN486&gt;0,AN486,IF(AN485&gt;0,AN485,IF(AN484&gt;0,AN484,IF(AN483&gt;0,AN483,IF(AN482&gt;0,AN482,IF(AN481&gt;0,AN481,IF(AN480&gt;0,AN480,IF(AN479&gt;0,AN479,IF(AN477&gt;0,AN477,IF(AN476&gt;0,AN476,IF(AN475&gt;0,AN475,0)))))))))))),0)*(1-$S487)*'模拟-单技能数据'!$I$21</f>
        <v>11607.89185245618</v>
      </c>
      <c r="AS487" s="61">
        <f ca="1">IF(OR(C487="净世破魔击·日",C487="净世破魔击·月"),M487-'模拟-单技能数据'!$K$10,0)</f>
        <v>0.42185145527300216</v>
      </c>
      <c r="AT487" s="61">
        <f ca="1">IF(OR(C487="净世破魔击·日",C487="净世破魔击·月"),I487-'模拟-单技能数据'!$L$10,0)</f>
        <v>2.162482885499879</v>
      </c>
      <c r="AU487" s="62">
        <f t="shared" ca="1" si="440"/>
        <v>0.10785060602015817</v>
      </c>
      <c r="AV487" s="64">
        <f ca="1">IF(AS487&gt;0,('模拟-单技能数据'!$D$22+G487*'模拟-单技能数据'!$F$22)*(1+J487)*(1-S487)*IF(AU487&lt;$F$10,0,IF(AU487&lt;$F$10+$F$11,0.25,IF(AU487&lt;$F$10+$F$11+AS487,AT487,1)))*(1+U487),0)*'模拟-单技能数据'!$I$22</f>
        <v>17205.169596245785</v>
      </c>
      <c r="AW487" s="108">
        <f t="shared" ca="1" si="441"/>
        <v>12.620000000000005</v>
      </c>
      <c r="AX487" s="108" t="b">
        <f ca="1">AND(模拟模式!$P$10="有",AW486=0,RAND()&lt;IF(C487="净世破魔击·月",0.1*8/3,IF(C487="净世破魔击·日",0.1*4/3,0.1*2/3)))</f>
        <v>0</v>
      </c>
      <c r="AY487" s="47">
        <f ca="1">IF(AX487,(18+G487*0.722)*(1+J487)*(1-S487)*(1+$I$4)*IF(P487="会",'模拟-全程加成'!$J$3+'模拟-全程加成'!$J$4+'模拟-全程加成'!$J$5+('模拟-全程加成'!$I$4+'模拟-全程加成'!$I$5)/系数!$B$4+BG487*10%,IF(P487="命",1,IF(P487="识",0.25,0))),0)</f>
        <v>0</v>
      </c>
      <c r="AZ487" s="108">
        <f t="shared" si="442"/>
        <v>1.5500000000000065</v>
      </c>
      <c r="BA487" s="108" t="b">
        <f>AND(模拟模式!$Q$10="有",AZ486=0)</f>
        <v>0</v>
      </c>
      <c r="BB487" s="140">
        <f>IF(BA487,(0+G487*0.287)*(1+J487)*(1-S487)*(1+$I$4)*IF(P487="会",'模拟-全程加成'!$J$3+'模拟-全程加成'!$J$4+'模拟-全程加成'!$J$5+('模拟-全程加成'!$I$4+'模拟-全程加成'!$I$5)/系数!$B$4+BG487*10%,IF(P487="命",1,IF(P487="识",0.25,0))),0)</f>
        <v>0</v>
      </c>
      <c r="BC487" s="115" t="b">
        <f ca="1">AND(模拟模式!$R$7="伏明众生",E487=60,F487=20,DA487&lt;5,CZ486&lt;$F$4)</f>
        <v>0</v>
      </c>
      <c r="BD487" s="115">
        <f t="shared" ca="1" si="404"/>
        <v>0</v>
      </c>
      <c r="BE487" s="115" t="b">
        <f t="shared" ca="1" si="405"/>
        <v>0</v>
      </c>
      <c r="BF487" s="47">
        <f ca="1">IF(BC487,4*('模拟-单技能数据'!$D$24+G487*'模拟-单技能数据'!$F$24)*(1+J487)*(1+'模拟-单技能数据'!$J$24)*(1-S487)*(1+$I$3)*(('模拟-全程加成'!$J$3+'模拟-全程加成'!$J$4+'模拟-全程加成'!$J$5+('模拟-全程加成'!$I$4+'模拟-全程加成'!$I$5)/系数!$B$4+BG487*10%)*('模拟-全程加成'!$J$3+'模拟-全程加成'!$J$4+'模拟-全程加成'!$J$5+('模拟-全程加成'!$I$4+'模拟-全程加成'!$I$5)/系数!$B$4+BG487*10%)+(1-('模拟-全程加成'!$J$3+'模拟-全程加成'!$J$4+'模拟-全程加成'!$J$5+('模拟-全程加成'!$I$4+'模拟-全程加成'!$I$5)/系数!$B$4+BG487*10%)-$F$10-$F$11)+F473*0.25),0)*'模拟-单技能数据'!$I$24</f>
        <v>0</v>
      </c>
      <c r="BG487" s="115" t="b">
        <f ca="1">OR(AND(OR(C487="烈日斩",C487="银月斩"),模拟模式!$I$7="净身明礼"),AND(C487="净世破魔击·日",模拟模式!$J$7="洞若观火"),AND(C488="净世破魔击·月",模拟模式!$J$7="洞若观火"),AB487=1)</f>
        <v>1</v>
      </c>
      <c r="BH487" s="115" t="b">
        <f t="shared" ca="1" si="443"/>
        <v>1</v>
      </c>
      <c r="BI487" s="115">
        <f t="shared" ca="1" si="406"/>
        <v>6</v>
      </c>
      <c r="BJ487" s="115" t="b">
        <f t="shared" ca="1" si="417"/>
        <v>1</v>
      </c>
      <c r="BK487" s="115" t="b">
        <f ca="1">AND(C487="驱夜断愁",模拟模式!$P$7="天地诛戮")</f>
        <v>0</v>
      </c>
      <c r="BL487" s="57">
        <f t="shared" ca="1" si="407"/>
        <v>17.232500000000002</v>
      </c>
      <c r="BM487" s="115" t="b">
        <f t="shared" ca="1" si="418"/>
        <v>1</v>
      </c>
      <c r="BN487" s="115" t="b">
        <f ca="1">AND(OR(C487="赤日轮1",C487="赤日轮2",C487="赤日轮3",C487="幽月轮1",C487="幽月轮2",C487="幽月轮3"),AB487=1,模拟模式!$L$7="明光恒照")</f>
        <v>0</v>
      </c>
      <c r="BO487" s="117">
        <f t="shared" ca="1" si="408"/>
        <v>29.077500000000001</v>
      </c>
      <c r="BP487" s="115">
        <f t="shared" ca="1" si="444"/>
        <v>6</v>
      </c>
      <c r="BQ487" s="115" t="b">
        <f>模拟模式!$K$10="2600·水"</f>
        <v>0</v>
      </c>
      <c r="BR487" s="117">
        <f t="shared" si="445"/>
        <v>0</v>
      </c>
      <c r="BS487" s="115">
        <f t="shared" si="446"/>
        <v>0</v>
      </c>
      <c r="BT487" s="115">
        <f t="shared" ca="1" si="447"/>
        <v>0</v>
      </c>
      <c r="BU487" s="115" t="b">
        <f ca="1">AND(模拟模式!$K$10="2300·雷",BT486=0,RAND()&lt;IF(C487="净世破魔击·月",5*0.05*2/3,IF(C487="净世破魔击·日",3*0.05*2/3,0.05*2*2/3)))</f>
        <v>0</v>
      </c>
      <c r="BV487" s="115">
        <f t="shared" ca="1" si="448"/>
        <v>0</v>
      </c>
      <c r="BW487" s="115">
        <f t="shared" ca="1" si="449"/>
        <v>131.10749999999928</v>
      </c>
      <c r="BX487" s="164" t="b">
        <f t="shared" ca="1" si="450"/>
        <v>0</v>
      </c>
      <c r="BY487" s="115">
        <f t="shared" ca="1" si="451"/>
        <v>0</v>
      </c>
      <c r="BZ487" s="115">
        <f>IF(OR(模拟模式!$P$16="10人团",模拟模式!$P$16="25人团"),IF(B487/30&gt;CA486,1,0),0)</f>
        <v>0</v>
      </c>
      <c r="CA487" s="115">
        <f t="shared" si="427"/>
        <v>0</v>
      </c>
      <c r="CB487" s="115">
        <f ca="1">IF(BZ487=1,IF(模拟模式!$P$16="10人团",15,0)+IF(模拟模式!$P$16="25人团",IF(RAND()&lt;0.6,15,0)),MAX(0,CB486-$F$4))</f>
        <v>0</v>
      </c>
      <c r="CC487" s="115" t="b">
        <f t="shared" ca="1" si="419"/>
        <v>0</v>
      </c>
      <c r="CD487" s="115">
        <f>IF(模拟模式!$Q$16="1个",IF(B487/40&gt;CE486,1,0),0)</f>
        <v>0</v>
      </c>
      <c r="CE487" s="115">
        <f t="shared" si="420"/>
        <v>0</v>
      </c>
      <c r="CF487" s="115">
        <f>IF(OR(CD487=1,模拟模式!$Q$16="2个"),20,MAX(0,CF486-$F$4))</f>
        <v>0</v>
      </c>
      <c r="CG487" s="115" t="b">
        <f t="shared" si="421"/>
        <v>0</v>
      </c>
      <c r="CH487" s="115">
        <f t="shared" ca="1" si="452"/>
        <v>20.775000000000006</v>
      </c>
      <c r="CI487" s="115" t="b">
        <f t="shared" ca="1" si="453"/>
        <v>0</v>
      </c>
      <c r="CJ487" s="119">
        <f t="shared" ca="1" si="454"/>
        <v>0</v>
      </c>
      <c r="CK487" s="115">
        <f t="shared" ca="1" si="455"/>
        <v>0</v>
      </c>
      <c r="CL487" s="115" t="b">
        <f ca="1">AND(模拟模式!$S$7="驱夷逐法",OR(AND(C487="净世破魔击·月",E486&gt;59),AND(C487="净世破魔击·日",F486&gt;59)))</f>
        <v>1</v>
      </c>
      <c r="CM487" s="115" t="b">
        <f ca="1">OR(CL487,AND(C487="净世破魔击·日",CL486,RAND()&lt;模拟模式!$U$23))</f>
        <v>1</v>
      </c>
      <c r="CN487" s="115" t="b">
        <f ca="1">IF(模拟模式!$M$7="辉耀红尘",AND(C487="净世破魔击·月",CL487,CV487=0,E486&lt;80),AND(C487="净世破魔击·月",CL487,E486&lt;100))</f>
        <v>0</v>
      </c>
      <c r="CO487" s="115" t="b">
        <f t="shared" ca="1" si="428"/>
        <v>0</v>
      </c>
      <c r="CP487" s="115" t="b">
        <f ca="1">AND(模拟模式!$O$7="用晦而明",OR(C487="净世破魔击·日",C487="净世破魔击·月",C487="驱夜断愁"),AB487)</f>
        <v>1</v>
      </c>
      <c r="CQ487" s="115" t="b">
        <f ca="1">OR(CP487,AND(CP486,RAND()&lt;模拟模式!$U$23))</f>
        <v>1</v>
      </c>
      <c r="CR487" s="115" t="b">
        <f ca="1">AND(模拟模式!$S$7="日月齐光",OR(C487="幽月轮1",C487="幽月轮2",C487="幽月轮3",CR486),NOT(OR(C487="赤日轮1",C487="赤日轮2",C487="赤日轮3")))</f>
        <v>0</v>
      </c>
      <c r="CS487" s="115" t="b">
        <f ca="1">AND(模拟模式!$S$7="日月齐光",OR(C487="赤日轮1",C487="赤日轮2",C487="赤日轮3",CS486),NOT(OR(C487="幽月轮1",C487="幽月轮2",C487="幽月轮3")))</f>
        <v>0</v>
      </c>
      <c r="CT487" s="115">
        <f t="shared" ca="1" si="456"/>
        <v>18.930000000000007</v>
      </c>
      <c r="CU487" s="115" t="b">
        <f ca="1">AND(模拟模式!$K$10="阴阳往极",CT486=0,RAND()&lt;IF(C487="净世破魔击·月",0.0275*7/3,IF(C487="净世破魔击·日",0.0275*3/3,0.0275*2/3)))</f>
        <v>0</v>
      </c>
      <c r="CV487" s="115">
        <f t="shared" ca="1" si="457"/>
        <v>0</v>
      </c>
      <c r="CW487" s="115">
        <f t="shared" ca="1" si="429"/>
        <v>4.1549999999999994</v>
      </c>
      <c r="CX487" s="115">
        <f t="shared" ca="1" si="430"/>
        <v>2.3099999999999996</v>
      </c>
      <c r="CY487" s="115">
        <f ca="1">MAX(IF($C487="驱夜断愁",IF(模拟模式!$R$7="万念俱寂",6,45),CY486-$F$4),0)</f>
        <v>3.2324999999999995</v>
      </c>
      <c r="CZ487" s="115">
        <f t="shared" ca="1" si="431"/>
        <v>0</v>
      </c>
      <c r="DA487" s="115">
        <f ca="1">IF(模拟模式!$N$7="日月同辉",IF(DB486=2,0,MIN(6,IF(AND(OR(C487="赤日轮1",C487="赤日轮2",C487="赤日轮3",C487="幽月轮1",C487="幽月轮2",C487="幽月轮3"),AB487=1),DA486+1,DA486))),0)</f>
        <v>2</v>
      </c>
      <c r="DB487" s="115">
        <f t="shared" ca="1" si="432"/>
        <v>0</v>
      </c>
      <c r="DC487" s="115"/>
      <c r="DD487" s="115"/>
      <c r="DE487" s="115"/>
      <c r="DF487" s="115"/>
      <c r="DG487" s="115"/>
      <c r="DH487" s="115"/>
      <c r="DI487" s="115"/>
      <c r="DJ487" s="115"/>
      <c r="DK487" s="115"/>
      <c r="DL487" s="115"/>
      <c r="DM487" s="115"/>
    </row>
    <row r="488" spans="2:117" x14ac:dyDescent="0.2">
      <c r="B488" s="117">
        <f t="shared" si="433"/>
        <v>425.2725000000043</v>
      </c>
      <c r="C488" s="167" t="str">
        <f t="shared" ca="1" si="426"/>
        <v>净世破魔击·日</v>
      </c>
      <c r="D488" s="115">
        <f ca="1">IF(C488="赤日轮1",1,IF(C488="赤日轮2",2,IF(C488="赤日轮3",3,IF(C488="幽月轮1",4,IF(C488="幽月轮2",5,IF(C488="幽月轮3",6,IF(C488="烈日斩",7,IF(C488="银月斩",8,IF(C488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488="净世破魔击·月",17,IF(C488="驱夜断愁",18,0)))))))))))</f>
        <v>9</v>
      </c>
      <c r="E488" s="115">
        <f ca="1">IF(AND(CU488,OR(C488="幽月轮1",C488="幽月轮2",C488="幽月轮3",C488="银月斩",C488="驱夜断愁",C488="净世破魔击·月")),100,MIN(IF(OR(CN488,BE488),0,IF(OR($C488="赤日轮1",$C488="赤日轮2",$C488="赤日轮3"),E487+20+IF(模拟模式!$I$7="日月凌天",4,0)+IF(CR487,20,0),IF($C488="烈日斩",E487+40,IF($C488="驱夜断愁",IF(模拟模式!$R$7="万念俱寂",E487+20,E487+60),IF($C488="净世破魔击·月",IF(OR(DB487&gt;0,CV487&gt;0),100,IF(模拟模式!$M$7="辉耀红尘",E487+20,E487)),IF($C488="净世破魔击·日",E487-100,E487)))))),100))</f>
        <v>0</v>
      </c>
      <c r="F488" s="115">
        <f ca="1">IF(AND(CU488,OR(C488="赤日轮1",C488="赤日轮2",C488="赤日轮3",C488="烈日斩",C488="净世破魔击·日")),100,MIN(IF(CO488,0,IF(OR($C488="幽月轮1",$C488="幽月轮2",$C488="幽月轮3"),F487+20+IF(模拟模式!$I$7="日月凌天",4,0)+IF(CS487,20,0),IF($C488="银月斩",F487+40+IF(模拟模式!$X$12=1,5,0),IF($C488="驱夜断愁",IF(模拟模式!$R$7="万念俱寂",F487+20,F487+60),IF($C488="净世破魔击·月",IF(模拟模式!$M$7="辉耀红尘",F487-80,F487-100),IF(AND(C488="净世破魔击·日",OR(DB487&gt;0,CV487&gt;0)),100,F487)))))),100))</f>
        <v>20</v>
      </c>
      <c r="G488" s="117">
        <f ca="1">('模拟-全程加成'!$E$3+'模拟-全程加成'!$E$4+'模拟-全程加成'!$E$5+('模拟-全程加成'!$C$6-'模拟-全程加成'!$C$3)*系数!$B$9+BS488*23)*(1+'模拟-全程加成'!$F$4+'模拟-全程加成'!$F$5+BJ488*10%+BM488*20%+BP488*4%+CG488*30%)+$F$7*系数!$B$12</f>
        <v>21493.829400000002</v>
      </c>
      <c r="H488" s="45">
        <f ca="1">'模拟-全程加成'!$H$3+'模拟-全程加成'!$H$4+'模拟-全程加成'!$H$5+('模拟-全程加成'!$G$4+'模拟-全程加成'!$G$5+('模拟-全程加成'!$C$6-'模拟-全程加成'!$C$3)*系数!$B$13)/系数!$B$3+LOOKUP(D488,'模拟-单技能数据'!$A$2:$A$19,'模拟-单技能数据'!$K$2:$K$19)+BG488*10%+IF(BV488&gt;0,378,0)</f>
        <v>0.54185145527300216</v>
      </c>
      <c r="I488" s="45">
        <f ca="1">'模拟-全程加成'!$J$3+'模拟-全程加成'!$J$4+'模拟-全程加成'!$J$5+('模拟-全程加成'!$I$4+'模拟-全程加成'!$I$5)/系数!$B$4+LOOKUP(D488,'模拟-单技能数据'!$A$2:$A$19,'模拟-单技能数据'!$L$2:$L$19)+BG488*10%</f>
        <v>2.162482885499879</v>
      </c>
      <c r="J488" s="45">
        <f ca="1">(('模拟-全程加成'!$K$3+'模拟-全程加成'!$K$4+'模拟-全程加成'!$K$5+('模拟-全程加成'!$C$6-'模拟-全程加成'!$C$3)*系数!$B$10+IF(BV488&gt;0,882,0)+IF(BY488&gt;0,1831,0))*(1+'模拟-全程加成'!$L$4+'模拟-全程加成'!$L$5+CC488*20%))/系数!$B$5</f>
        <v>0.69723220422048726</v>
      </c>
      <c r="K488" s="119">
        <f ca="1">LOOKUP(D488,'模拟-单技能数据'!$A$2:$A$19,'模拟-单技能数据'!$J$2:$J$19)+IF(CM488,60%,0)+IF(DB487-DB488&gt;0,30%,0)+IF(OR(AND(OR(C488="赤日轮1",C488="赤日轮2",C488="赤日轮3"),CR488),AND(OR(C488="幽月轮1",C488="幽月轮2",C488="幽月轮3"),CS488)),35%,0)+CJ488</f>
        <v>0.8</v>
      </c>
      <c r="L488" s="119">
        <f ca="1">IF(AND(C488="烈日斩",模拟模式!$X$11=1),10%,0)+IF(AND(C488="驱夜断愁",AB488=1),30%,0)</f>
        <v>0</v>
      </c>
      <c r="M488" s="45">
        <f t="shared" ca="1" si="409"/>
        <v>0.54185145527300216</v>
      </c>
      <c r="N488" s="45">
        <f t="shared" ca="1" si="410"/>
        <v>0.40424854472699789</v>
      </c>
      <c r="O488" s="46">
        <f t="shared" ca="1" si="434"/>
        <v>0.10380015148758348</v>
      </c>
      <c r="P488" s="46" t="str">
        <f t="shared" ca="1" si="435"/>
        <v>会</v>
      </c>
      <c r="Q488" s="45">
        <f t="shared" ca="1" si="436"/>
        <v>2.162482885499879</v>
      </c>
      <c r="R488" s="117">
        <f ca="1">模拟模式!$E$20*(1-IF(模拟模式!$J$19="有",0.15,0))*(1-IF(模拟模式!$K$19="有",0.3,0)-IF(CQ488,0.5,0))</f>
        <v>843.02999999999975</v>
      </c>
      <c r="S488" s="45">
        <f ca="1">R488/(R488+(185*模拟模式!$E$22-16800)*4.08224)</f>
        <v>8.389626085980037E-2</v>
      </c>
      <c r="T488" s="45" t="str">
        <f ca="1">LOOKUP(D488,'模拟-单技能数据'!$A$2:$A$19,'模拟-单技能数据'!$H$2:$H$19)</f>
        <v>阳</v>
      </c>
      <c r="U488" s="119">
        <f t="shared" ca="1" si="411"/>
        <v>0.2</v>
      </c>
      <c r="V488" s="47">
        <f ca="1">(1+L488)*(LOOKUP(D488,'模拟-单技能数据'!$A$2:$A$19,'模拟-单技能数据'!$D$2:$D$19)+G488*LOOKUP(D488,'模拟-单技能数据'!$A$2:$A$19,'模拟-单技能数据'!$F$2:$F$19))*(1+J488)*(1+K488)*(1-S488)*(1+U488)*Q488*LOOKUP(D488,'模拟-单技能数据'!$A$2:$A$19,'模拟-单技能数据'!$I$2:$I$20)</f>
        <v>204517.60843249681</v>
      </c>
      <c r="W488" s="47">
        <f ca="1">LOOKUP(D488,'模拟-单技能数据'!$A$2:$A$19,'模拟-单技能数据'!$G$2:$G$19)*$I$10</f>
        <v>723.0212870940959</v>
      </c>
      <c r="X488" s="47">
        <f t="shared" ca="1" si="437"/>
        <v>23367.343442656853</v>
      </c>
      <c r="Y488" s="47">
        <f t="shared" ca="1" si="412"/>
        <v>228607.97316224777</v>
      </c>
      <c r="Z488" s="49">
        <f t="shared" ca="1" si="413"/>
        <v>48299373.689910151</v>
      </c>
      <c r="AA488" s="97">
        <f t="shared" ca="1" si="414"/>
        <v>113572.76496813141</v>
      </c>
      <c r="AB488" s="115">
        <f ca="1">IF(OR(C488="赤日轮1",C488="赤日轮2",C488="赤日轮3"),IF(RAND()&lt;模拟模式!$Y$17,1,0),IF(OR(C488="幽月轮1",C488="幽月轮2",C488="幽月轮3"),IF(RAND()&lt;模拟模式!$Y$18,1,0),IF(C488="烈日斩",IF(RAND()&lt;模拟模式!$Y$19,1,0),IF(C488="银月斩",IF(RAND()&lt;模拟模式!$Y$20,1,0),IF(C488="驱夜断愁",IF(RAND()&lt;模拟模式!$Y$21,1,0),IF(C488="净世破魔击·日",IF(RAND()&lt;模拟模式!$Y$22,1,0),IF(C488="净世破魔击·月",IF(RAND()&lt;模拟模式!$Y$23,1,0),0)))))))</f>
        <v>1</v>
      </c>
      <c r="AC488" s="115" t="b">
        <f t="shared" ca="1" si="402"/>
        <v>0</v>
      </c>
      <c r="AD488" s="115" t="b">
        <f t="shared" ca="1" si="422"/>
        <v>1</v>
      </c>
      <c r="AE488" s="115">
        <f t="shared" ca="1" si="423"/>
        <v>3</v>
      </c>
      <c r="AF488" s="47">
        <f ca="1">IF(AC488,('模拟-单技能数据'!$D$20+G488*'模拟-单技能数据'!$F$20)*(1+J488)*(1+'模拟-单技能数据'!$J$20)*(1+U488),0)</f>
        <v>0</v>
      </c>
      <c r="AG488" s="61">
        <f t="shared" ca="1" si="415"/>
        <v>0.64185145527300214</v>
      </c>
      <c r="AH488" s="61">
        <f t="shared" ca="1" si="416"/>
        <v>2.2624828854998791</v>
      </c>
      <c r="AI488" s="62">
        <f t="shared" ca="1" si="438"/>
        <v>0.94771272853458466</v>
      </c>
      <c r="AJ488" s="47">
        <f ca="1">IF(AD488,IF(AI488&lt;$F$10,0,IF(AI488&lt;$F$10+$F$11,0.25,IF(AI488&lt;$F$10+$F$11+AG488,AH488,1)))*IF(AF488&gt;0,AF488,IF(AF487&gt;0,AF487,IF(AF486&gt;0,AF486,IF(AF485&gt;0,AF485,IF(AF484&gt;0,AF484,IF(AF483&gt;0,AF483,IF(AF482&gt;0,AF482,IF(AF481&gt;0,AF481,IF(AF480&gt;0,AF480,IF(AF478&gt;0,AF478,IF(AF477&gt;0,AF477,IF(AF476&gt;0,AF476,0)))))))))))),0)*(1-$S488)*'模拟-单技能数据'!$I$20</f>
        <v>4250.4883357170938</v>
      </c>
      <c r="AK488" s="115" t="b">
        <f t="shared" ca="1" si="403"/>
        <v>1</v>
      </c>
      <c r="AL488" s="115" t="b">
        <f t="shared" ca="1" si="424"/>
        <v>0</v>
      </c>
      <c r="AM488" s="115">
        <f t="shared" ca="1" si="425"/>
        <v>6</v>
      </c>
      <c r="AN488" s="47">
        <f ca="1">IF(AK488,('模拟-单技能数据'!$D$21+G488*'模拟-单技能数据'!$F$21)*(1+J488)*(1+'模拟-单技能数据'!$J$21)*(1+U488),0)</f>
        <v>12670.936004857545</v>
      </c>
      <c r="AO488" s="61">
        <f ca="1">IF(AN488&gt;0,M488-'模拟-单技能数据'!$K$10,AO487)</f>
        <v>0.42185145527300216</v>
      </c>
      <c r="AP488" s="61">
        <f ca="1">IF(AN488&gt;0,I488-'模拟-单技能数据'!$L$10,AP487)</f>
        <v>2.162482885499879</v>
      </c>
      <c r="AQ488" s="63">
        <f t="shared" ca="1" si="439"/>
        <v>0.75319578555000488</v>
      </c>
      <c r="AR488" s="64">
        <f ca="1">IF(AL488,IF(AQ488&lt;$F$10,0,IF(AQ488&lt;$F$10+$F$11,0.25,IF(AQ488&lt;$F$10+$F$11+AO488,AP488,1)))*IF(AN488&gt;0,AN488,IF(AN487&gt;0,AN487,IF(AN486&gt;0,AN486,IF(AN485&gt;0,AN485,IF(AN484&gt;0,AN484,IF(AN483&gt;0,AN483,IF(AN482&gt;0,AN482,IF(AN481&gt;0,AN481,IF(AN480&gt;0,AN480,IF(AN478&gt;0,AN478,IF(AN477&gt;0,AN477,IF(AN476&gt;0,AN476,0)))))))))))),0)*(1-$S488)*'模拟-单技能数据'!$I$21</f>
        <v>0</v>
      </c>
      <c r="AS488" s="61">
        <f ca="1">IF(OR(C488="净世破魔击·日",C488="净世破魔击·月"),M488-'模拟-单技能数据'!$K$10,0)</f>
        <v>0.42185145527300216</v>
      </c>
      <c r="AT488" s="61">
        <f ca="1">IF(OR(C488="净世破魔击·日",C488="净世破魔击·月"),I488-'模拟-单技能数据'!$L$10,0)</f>
        <v>2.162482885499879</v>
      </c>
      <c r="AU488" s="62">
        <f t="shared" ca="1" si="440"/>
        <v>0.43879519062056194</v>
      </c>
      <c r="AV488" s="64">
        <f ca="1">IF(AS488&gt;0,('模拟-单技能数据'!$D$22+G488*'模拟-单技能数据'!$F$22)*(1+J488)*(1-S488)*IF(AU488&lt;$F$10,0,IF(AU488&lt;$F$10+$F$11,0.25,IF(AU488&lt;$F$10+$F$11+AS488,AT488,1)))*(1+U488),0)*'模拟-单技能数据'!$I$22</f>
        <v>19116.855106939758</v>
      </c>
      <c r="AW488" s="108">
        <f t="shared" ca="1" si="441"/>
        <v>11.697500000000005</v>
      </c>
      <c r="AX488" s="108" t="b">
        <f ca="1">AND(模拟模式!$P$10="有",AW487=0,RAND()&lt;IF(C488="净世破魔击·月",0.1*8/3,IF(C488="净世破魔击·日",0.1*4/3,0.1*2/3)))</f>
        <v>0</v>
      </c>
      <c r="AY488" s="47">
        <f ca="1">IF(AX488,(18+G488*0.722)*(1+J488)*(1-S488)*(1+$I$4)*IF(P488="会",'模拟-全程加成'!$J$3+'模拟-全程加成'!$J$4+'模拟-全程加成'!$J$5+('模拟-全程加成'!$I$4+'模拟-全程加成'!$I$5)/系数!$B$4+BG488*10%,IF(P488="命",1,IF(P488="识",0.25,0))),0)</f>
        <v>0</v>
      </c>
      <c r="AZ488" s="108">
        <f t="shared" si="442"/>
        <v>0.6275000000000065</v>
      </c>
      <c r="BA488" s="108" t="b">
        <f>AND(模拟模式!$Q$10="有",AZ487=0)</f>
        <v>0</v>
      </c>
      <c r="BB488" s="140">
        <f>IF(BA488,(0+G488*0.287)*(1+J488)*(1-S488)*(1+$I$4)*IF(P488="会",'模拟-全程加成'!$J$3+'模拟-全程加成'!$J$4+'模拟-全程加成'!$J$5+('模拟-全程加成'!$I$4+'模拟-全程加成'!$I$5)/系数!$B$4+BG488*10%,IF(P488="命",1,IF(P488="识",0.25,0))),0)</f>
        <v>0</v>
      </c>
      <c r="BC488" s="115" t="b">
        <f ca="1">AND(模拟模式!$R$7="伏明众生",E488=60,F488=20,DA488&lt;5,CZ487&lt;$F$4)</f>
        <v>0</v>
      </c>
      <c r="BD488" s="115">
        <f t="shared" ca="1" si="404"/>
        <v>0</v>
      </c>
      <c r="BE488" s="115" t="b">
        <f t="shared" ca="1" si="405"/>
        <v>0</v>
      </c>
      <c r="BF488" s="47">
        <f ca="1">IF(BC488,4*('模拟-单技能数据'!$D$24+G488*'模拟-单技能数据'!$F$24)*(1+J488)*(1+'模拟-单技能数据'!$J$24)*(1-S488)*(1+$I$3)*(('模拟-全程加成'!$J$3+'模拟-全程加成'!$J$4+'模拟-全程加成'!$J$5+('模拟-全程加成'!$I$4+'模拟-全程加成'!$I$5)/系数!$B$4+BG488*10%)*('模拟-全程加成'!$J$3+'模拟-全程加成'!$J$4+'模拟-全程加成'!$J$5+('模拟-全程加成'!$I$4+'模拟-全程加成'!$I$5)/系数!$B$4+BG488*10%)+(1-('模拟-全程加成'!$J$3+'模拟-全程加成'!$J$4+'模拟-全程加成'!$J$5+('模拟-全程加成'!$I$4+'模拟-全程加成'!$I$5)/系数!$B$4+BG488*10%)-$F$10-$F$11)+F474*0.25),0)*'模拟-单技能数据'!$I$24</f>
        <v>0</v>
      </c>
      <c r="BG488" s="115" t="b">
        <f ca="1">OR(AND(OR(C488="烈日斩",C488="银月斩"),模拟模式!$I$7="净身明礼"),AND(C488="净世破魔击·日",模拟模式!$J$7="洞若观火"),AND(C489="净世破魔击·月",模拟模式!$J$7="洞若观火"),AB488=1)</f>
        <v>1</v>
      </c>
      <c r="BH488" s="115" t="b">
        <f t="shared" ca="1" si="443"/>
        <v>0</v>
      </c>
      <c r="BI488" s="115">
        <f t="shared" ca="1" si="406"/>
        <v>5.0774999999999997</v>
      </c>
      <c r="BJ488" s="115" t="b">
        <f t="shared" ca="1" si="417"/>
        <v>1</v>
      </c>
      <c r="BK488" s="115" t="b">
        <f ca="1">AND(C488="驱夜断愁",模拟模式!$P$7="天地诛戮")</f>
        <v>0</v>
      </c>
      <c r="BL488" s="57">
        <f t="shared" ca="1" si="407"/>
        <v>16.310000000000002</v>
      </c>
      <c r="BM488" s="115" t="b">
        <f t="shared" ca="1" si="418"/>
        <v>1</v>
      </c>
      <c r="BN488" s="115" t="b">
        <f ca="1">AND(OR(C488="赤日轮1",C488="赤日轮2",C488="赤日轮3",C488="幽月轮1",C488="幽月轮2",C488="幽月轮3"),AB488=1,模拟模式!$L$7="明光恒照")</f>
        <v>0</v>
      </c>
      <c r="BO488" s="117">
        <f t="shared" ca="1" si="408"/>
        <v>28.155000000000001</v>
      </c>
      <c r="BP488" s="115">
        <f t="shared" ca="1" si="444"/>
        <v>6</v>
      </c>
      <c r="BQ488" s="115" t="b">
        <f>模拟模式!$K$10="2600·水"</f>
        <v>0</v>
      </c>
      <c r="BR488" s="117">
        <f t="shared" si="445"/>
        <v>0</v>
      </c>
      <c r="BS488" s="115">
        <f t="shared" si="446"/>
        <v>0</v>
      </c>
      <c r="BT488" s="115">
        <f t="shared" ca="1" si="447"/>
        <v>0</v>
      </c>
      <c r="BU488" s="115" t="b">
        <f ca="1">AND(模拟模式!$K$10="2300·雷",BT487=0,RAND()&lt;IF(C488="净世破魔击·月",5*0.05*2/3,IF(C488="净世破魔击·日",3*0.05*2/3,0.05*2*2/3)))</f>
        <v>0</v>
      </c>
      <c r="BV488" s="115">
        <f t="shared" ca="1" si="448"/>
        <v>0</v>
      </c>
      <c r="BW488" s="115">
        <f t="shared" ca="1" si="449"/>
        <v>130.18499999999926</v>
      </c>
      <c r="BX488" s="164" t="b">
        <f t="shared" ca="1" si="450"/>
        <v>0</v>
      </c>
      <c r="BY488" s="115">
        <f t="shared" ca="1" si="451"/>
        <v>0</v>
      </c>
      <c r="BZ488" s="115">
        <f>IF(OR(模拟模式!$P$16="10人团",模拟模式!$P$16="25人团"),IF(B488/30&gt;CA487,1,0),0)</f>
        <v>0</v>
      </c>
      <c r="CA488" s="115">
        <f t="shared" si="427"/>
        <v>0</v>
      </c>
      <c r="CB488" s="115">
        <f ca="1">IF(BZ488=1,IF(模拟模式!$P$16="10人团",15,0)+IF(模拟模式!$P$16="25人团",IF(RAND()&lt;0.6,15,0)),MAX(0,CB487-$F$4))</f>
        <v>0</v>
      </c>
      <c r="CC488" s="115" t="b">
        <f t="shared" ca="1" si="419"/>
        <v>0</v>
      </c>
      <c r="CD488" s="115">
        <f>IF(模拟模式!$Q$16="1个",IF(B488/40&gt;CE487,1,0),0)</f>
        <v>0</v>
      </c>
      <c r="CE488" s="115">
        <f t="shared" si="420"/>
        <v>0</v>
      </c>
      <c r="CF488" s="115">
        <f>IF(OR(CD488=1,模拟模式!$Q$16="2个"),20,MAX(0,CF487-$F$4))</f>
        <v>0</v>
      </c>
      <c r="CG488" s="115" t="b">
        <f t="shared" si="421"/>
        <v>0</v>
      </c>
      <c r="CH488" s="115">
        <f t="shared" ca="1" si="452"/>
        <v>19.852500000000006</v>
      </c>
      <c r="CI488" s="115" t="b">
        <f t="shared" ca="1" si="453"/>
        <v>0</v>
      </c>
      <c r="CJ488" s="119">
        <f t="shared" ca="1" si="454"/>
        <v>0</v>
      </c>
      <c r="CK488" s="115">
        <f t="shared" ca="1" si="455"/>
        <v>0</v>
      </c>
      <c r="CL488" s="115" t="b">
        <f ca="1">AND(模拟模式!$S$7="驱夷逐法",OR(AND(C488="净世破魔击·月",E487&gt;59),AND(C488="净世破魔击·日",F487&gt;59)))</f>
        <v>0</v>
      </c>
      <c r="CM488" s="115" t="b">
        <f ca="1">OR(CL488,AND(C488="净世破魔击·日",CL487,RAND()&lt;模拟模式!$U$23))</f>
        <v>1</v>
      </c>
      <c r="CN488" s="115" t="b">
        <f ca="1">IF(模拟模式!$M$7="辉耀红尘",AND(C488="净世破魔击·月",CL488,CV488=0,E487&lt;80),AND(C488="净世破魔击·月",CL488,E487&lt;100))</f>
        <v>0</v>
      </c>
      <c r="CO488" s="115" t="b">
        <f t="shared" ca="1" si="428"/>
        <v>0</v>
      </c>
      <c r="CP488" s="115" t="b">
        <f ca="1">AND(模拟模式!$O$7="用晦而明",OR(C488="净世破魔击·日",C488="净世破魔击·月",C488="驱夜断愁"),AB488)</f>
        <v>1</v>
      </c>
      <c r="CQ488" s="115" t="b">
        <f ca="1">OR(CP488,AND(CP487,RAND()&lt;模拟模式!$U$23))</f>
        <v>1</v>
      </c>
      <c r="CR488" s="115" t="b">
        <f ca="1">AND(模拟模式!$S$7="日月齐光",OR(C488="幽月轮1",C488="幽月轮2",C488="幽月轮3",CR487),NOT(OR(C488="赤日轮1",C488="赤日轮2",C488="赤日轮3")))</f>
        <v>0</v>
      </c>
      <c r="CS488" s="115" t="b">
        <f ca="1">AND(模拟模式!$S$7="日月齐光",OR(C488="赤日轮1",C488="赤日轮2",C488="赤日轮3",CS487),NOT(OR(C488="幽月轮1",C488="幽月轮2",C488="幽月轮3")))</f>
        <v>0</v>
      </c>
      <c r="CT488" s="115">
        <f t="shared" ca="1" si="456"/>
        <v>18.007500000000007</v>
      </c>
      <c r="CU488" s="115" t="b">
        <f ca="1">AND(模拟模式!$K$10="阴阳往极",CT487=0,RAND()&lt;IF(C488="净世破魔击·月",0.0275*7/3,IF(C488="净世破魔击·日",0.0275*3/3,0.0275*2/3)))</f>
        <v>0</v>
      </c>
      <c r="CV488" s="115">
        <f t="shared" ca="1" si="457"/>
        <v>0</v>
      </c>
      <c r="CW488" s="115">
        <f t="shared" ca="1" si="429"/>
        <v>3.2324999999999995</v>
      </c>
      <c r="CX488" s="115">
        <f t="shared" ca="1" si="430"/>
        <v>1.3874999999999997</v>
      </c>
      <c r="CY488" s="115">
        <f ca="1">MAX(IF($C488="驱夜断愁",IF(模拟模式!$R$7="万念俱寂",6,45),CY487-$F$4),0)</f>
        <v>2.3099999999999996</v>
      </c>
      <c r="CZ488" s="115">
        <f t="shared" ca="1" si="431"/>
        <v>0</v>
      </c>
      <c r="DA488" s="115">
        <f ca="1">IF(模拟模式!$N$7="日月同辉",IF(DB487=2,0,MIN(6,IF(AND(OR(C488="赤日轮1",C488="赤日轮2",C488="赤日轮3",C488="幽月轮1",C488="幽月轮2",C488="幽月轮3"),AB488=1),DA487+1,DA487))),0)</f>
        <v>2</v>
      </c>
      <c r="DB488" s="115">
        <f t="shared" ca="1" si="432"/>
        <v>0</v>
      </c>
      <c r="DC488" s="115"/>
      <c r="DD488" s="115"/>
      <c r="DE488" s="115"/>
      <c r="DF488" s="115"/>
      <c r="DG488" s="115"/>
      <c r="DH488" s="115"/>
      <c r="DI488" s="115"/>
      <c r="DJ488" s="115"/>
      <c r="DK488" s="115"/>
      <c r="DL488" s="115"/>
      <c r="DM488" s="115"/>
    </row>
    <row r="489" spans="2:117" x14ac:dyDescent="0.2">
      <c r="B489" s="117">
        <f t="shared" si="433"/>
        <v>426.19500000000431</v>
      </c>
      <c r="C489" s="167" t="str">
        <f t="shared" ca="1" si="426"/>
        <v>赤日轮1</v>
      </c>
      <c r="D489" s="115">
        <f ca="1">IF(C489="赤日轮1",1,IF(C489="赤日轮2",2,IF(C489="赤日轮3",3,IF(C489="幽月轮1",4,IF(C489="幽月轮2",5,IF(C489="幽月轮3",6,IF(C489="烈日斩",7,IF(C489="银月斩",8,IF(C489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489="净世破魔击·月",17,IF(C489="驱夜断愁",18,0)))))))))))</f>
        <v>1</v>
      </c>
      <c r="E489" s="115">
        <f ca="1">IF(AND(CU489,OR(C489="幽月轮1",C489="幽月轮2",C489="幽月轮3",C489="银月斩",C489="驱夜断愁",C489="净世破魔击·月")),100,MIN(IF(OR(CN489,BE489),0,IF(OR($C489="赤日轮1",$C489="赤日轮2",$C489="赤日轮3"),E488+20+IF(模拟模式!$I$7="日月凌天",4,0)+IF(CR488,20,0),IF($C489="烈日斩",E488+40,IF($C489="驱夜断愁",IF(模拟模式!$R$7="万念俱寂",E488+20,E488+60),IF($C489="净世破魔击·月",IF(OR(DB488&gt;0,CV488&gt;0),100,IF(模拟模式!$M$7="辉耀红尘",E488+20,E488)),IF($C489="净世破魔击·日",E488-100,E488)))))),100))</f>
        <v>20</v>
      </c>
      <c r="F489" s="115">
        <f ca="1">IF(AND(CU489,OR(C489="赤日轮1",C489="赤日轮2",C489="赤日轮3",C489="烈日斩",C489="净世破魔击·日")),100,MIN(IF(CO489,0,IF(OR($C489="幽月轮1",$C489="幽月轮2",$C489="幽月轮3"),F488+20+IF(模拟模式!$I$7="日月凌天",4,0)+IF(CS488,20,0),IF($C489="银月斩",F488+40+IF(模拟模式!$X$12=1,5,0),IF($C489="驱夜断愁",IF(模拟模式!$R$7="万念俱寂",F488+20,F488+60),IF($C489="净世破魔击·月",IF(模拟模式!$M$7="辉耀红尘",F488-80,F488-100),IF(AND(C489="净世破魔击·日",OR(DB488&gt;0,CV488&gt;0)),100,F488)))))),100))</f>
        <v>20</v>
      </c>
      <c r="G489" s="117">
        <f ca="1">('模拟-全程加成'!$E$3+'模拟-全程加成'!$E$4+'模拟-全程加成'!$E$5+('模拟-全程加成'!$C$6-'模拟-全程加成'!$C$3)*系数!$B$9+BS489*23)*(1+'模拟-全程加成'!$F$4+'模拟-全程加成'!$F$5+BJ489*10%+BM489*20%+BP489*4%+CG489*30%)+$F$7*系数!$B$12</f>
        <v>21493.829400000002</v>
      </c>
      <c r="H489" s="45">
        <f ca="1">'模拟-全程加成'!$H$3+'模拟-全程加成'!$H$4+'模拟-全程加成'!$H$5+('模拟-全程加成'!$G$4+'模拟-全程加成'!$G$5+('模拟-全程加成'!$C$6-'模拟-全程加成'!$C$3)*系数!$B$13)/系数!$B$3+LOOKUP(D489,'模拟-单技能数据'!$A$2:$A$19,'模拟-单技能数据'!$K$2:$K$19)+BG489*10%+IF(BV489&gt;0,378,0)</f>
        <v>0.4618514552730022</v>
      </c>
      <c r="I489" s="45">
        <f ca="1">'模拟-全程加成'!$J$3+'模拟-全程加成'!$J$4+'模拟-全程加成'!$J$5+('模拟-全程加成'!$I$4+'模拟-全程加成'!$I$5)/系数!$B$4+LOOKUP(D489,'模拟-单技能数据'!$A$2:$A$19,'模拟-单技能数据'!$L$2:$L$19)+BG489*10%</f>
        <v>2.162482885499879</v>
      </c>
      <c r="J489" s="45">
        <f ca="1">(('模拟-全程加成'!$K$3+'模拟-全程加成'!$K$4+'模拟-全程加成'!$K$5+('模拟-全程加成'!$C$6-'模拟-全程加成'!$C$3)*系数!$B$10+IF(BV489&gt;0,882,0)+IF(BY489&gt;0,1831,0))*(1+'模拟-全程加成'!$L$4+'模拟-全程加成'!$L$5+CC489*20%))/系数!$B$5</f>
        <v>0.69723220422048726</v>
      </c>
      <c r="K489" s="119">
        <f ca="1">LOOKUP(D489,'模拟-单技能数据'!$A$2:$A$19,'模拟-单技能数据'!$J$2:$J$19)+IF(CM489,60%,0)+IF(DB488-DB489&gt;0,30%,0)+IF(OR(AND(OR(C489="赤日轮1",C489="赤日轮2",C489="赤日轮3"),CR489),AND(OR(C489="幽月轮1",C489="幽月轮2",C489="幽月轮3"),CS489)),35%,0)+CJ489</f>
        <v>0.12</v>
      </c>
      <c r="L489" s="119">
        <f ca="1">IF(AND(C489="烈日斩",模拟模式!$X$11=1),10%,0)+IF(AND(C489="驱夜断愁",AB489=1),30%,0)</f>
        <v>0</v>
      </c>
      <c r="M489" s="45">
        <f t="shared" ca="1" si="409"/>
        <v>0.4618514552730022</v>
      </c>
      <c r="N489" s="45">
        <f t="shared" ca="1" si="410"/>
        <v>0.48424854472699785</v>
      </c>
      <c r="O489" s="46">
        <f t="shared" ca="1" si="434"/>
        <v>0.24296431943116403</v>
      </c>
      <c r="P489" s="46" t="str">
        <f t="shared" ca="1" si="435"/>
        <v>会</v>
      </c>
      <c r="Q489" s="45">
        <f t="shared" ca="1" si="436"/>
        <v>2.162482885499879</v>
      </c>
      <c r="R489" s="117">
        <f ca="1">模拟模式!$E$20*(1-IF(模拟模式!$J$19="有",0.15,0))*(1-IF(模拟模式!$K$19="有",0.3,0)-IF(CQ489,0.5,0))</f>
        <v>843.02999999999975</v>
      </c>
      <c r="S489" s="45">
        <f ca="1">R489/(R489+(185*模拟模式!$E$22-16800)*4.08224)</f>
        <v>8.389626085980037E-2</v>
      </c>
      <c r="T489" s="45" t="str">
        <f ca="1">LOOKUP(D489,'模拟-单技能数据'!$A$2:$A$19,'模拟-单技能数据'!$H$2:$H$19)</f>
        <v>阳</v>
      </c>
      <c r="U489" s="119">
        <f t="shared" ca="1" si="411"/>
        <v>0.2</v>
      </c>
      <c r="V489" s="47">
        <f ca="1">(1+L489)*(LOOKUP(D489,'模拟-单技能数据'!$A$2:$A$19,'模拟-单技能数据'!$D$2:$D$19)+G489*LOOKUP(D489,'模拟-单技能数据'!$A$2:$A$19,'模拟-单技能数据'!$F$2:$F$19))*(1+J489)*(1+K489)*(1-S489)*(1+U489)*Q489*LOOKUP(D489,'模拟-单技能数据'!$A$2:$A$19,'模拟-单技能数据'!$I$2:$I$20)</f>
        <v>56864.156113360666</v>
      </c>
      <c r="W489" s="47">
        <f ca="1">LOOKUP(D489,'模拟-单技能数据'!$A$2:$A$19,'模拟-单技能数据'!$G$2:$G$19)*$I$10</f>
        <v>361.51064354704795</v>
      </c>
      <c r="X489" s="47">
        <f t="shared" ca="1" si="437"/>
        <v>25101.867467669974</v>
      </c>
      <c r="Y489" s="47">
        <f t="shared" ca="1" si="412"/>
        <v>82327.534224577685</v>
      </c>
      <c r="Z489" s="49">
        <f t="shared" ca="1" si="413"/>
        <v>48381701.224134728</v>
      </c>
      <c r="AA489" s="97">
        <f t="shared" ca="1" si="414"/>
        <v>113520.10517282989</v>
      </c>
      <c r="AB489" s="115">
        <f ca="1">IF(OR(C489="赤日轮1",C489="赤日轮2",C489="赤日轮3"),IF(RAND()&lt;模拟模式!$Y$17,1,0),IF(OR(C489="幽月轮1",C489="幽月轮2",C489="幽月轮3"),IF(RAND()&lt;模拟模式!$Y$18,1,0),IF(C489="烈日斩",IF(RAND()&lt;模拟模式!$Y$19,1,0),IF(C489="银月斩",IF(RAND()&lt;模拟模式!$Y$20,1,0),IF(C489="驱夜断愁",IF(RAND()&lt;模拟模式!$Y$21,1,0),IF(C489="净世破魔击·日",IF(RAND()&lt;模拟模式!$Y$22,1,0),IF(C489="净世破魔击·月",IF(RAND()&lt;模拟模式!$Y$23,1,0),0)))))))</f>
        <v>1</v>
      </c>
      <c r="AC489" s="115" t="b">
        <f t="shared" ca="1" si="402"/>
        <v>0</v>
      </c>
      <c r="AD489" s="115" t="b">
        <f t="shared" ca="1" si="422"/>
        <v>0</v>
      </c>
      <c r="AE489" s="115">
        <f t="shared" ca="1" si="423"/>
        <v>3</v>
      </c>
      <c r="AF489" s="47">
        <f ca="1">IF(AC489,('模拟-单技能数据'!$D$20+G489*'模拟-单技能数据'!$F$20)*(1+J489)*(1+'模拟-单技能数据'!$J$20)*(1+U489),0)</f>
        <v>0</v>
      </c>
      <c r="AG489" s="61">
        <f t="shared" ca="1" si="415"/>
        <v>0.64185145527300214</v>
      </c>
      <c r="AH489" s="61">
        <f t="shared" ca="1" si="416"/>
        <v>2.2624828854998791</v>
      </c>
      <c r="AI489" s="62">
        <f t="shared" ca="1" si="438"/>
        <v>0.44346548051784462</v>
      </c>
      <c r="AJ489" s="47">
        <f ca="1">IF(AD489,IF(AI489&lt;$F$10,0,IF(AI489&lt;$F$10+$F$11,0.25,IF(AI489&lt;$F$10+$F$11+AG489,AH489,1)))*IF(AF489&gt;0,AF489,IF(AF488&gt;0,AF488,IF(AF487&gt;0,AF487,IF(AF486&gt;0,AF486,IF(AF485&gt;0,AF485,IF(AF484&gt;0,AF484,IF(AF483&gt;0,AF483,IF(AF482&gt;0,AF482,IF(AF481&gt;0,AF481,IF(AF479&gt;0,AF479,IF(AF478&gt;0,AF478,IF(AF477&gt;0,AF477,0)))))))))))),0)*(1-$S489)*'模拟-单技能数据'!$I$20</f>
        <v>0</v>
      </c>
      <c r="AK489" s="115" t="b">
        <f t="shared" ca="1" si="403"/>
        <v>0</v>
      </c>
      <c r="AL489" s="115" t="b">
        <f t="shared" ca="1" si="424"/>
        <v>1</v>
      </c>
      <c r="AM489" s="115">
        <f t="shared" ca="1" si="425"/>
        <v>5</v>
      </c>
      <c r="AN489" s="47">
        <f ca="1">IF(AK489,('模拟-单技能数据'!$D$21+G489*'模拟-单技能数据'!$F$21)*(1+J489)*(1+'模拟-单技能数据'!$J$21)*(1+U489),0)</f>
        <v>0</v>
      </c>
      <c r="AO489" s="61">
        <f ca="1">IF(AN489&gt;0,M489-'模拟-单技能数据'!$K$10,AO488)</f>
        <v>0.42185145527300216</v>
      </c>
      <c r="AP489" s="61">
        <f ca="1">IF(AN489&gt;0,I489-'模拟-单技能数据'!$L$10,AP488)</f>
        <v>2.162482885499879</v>
      </c>
      <c r="AQ489" s="63">
        <f t="shared" ca="1" si="439"/>
        <v>6.3743296368642288E-2</v>
      </c>
      <c r="AR489" s="64">
        <f ca="1">IF(AL489,IF(AQ489&lt;$F$10,0,IF(AQ489&lt;$F$10+$F$11,0.25,IF(AQ489&lt;$F$10+$F$11+AO489,AP489,1)))*IF(AN489&gt;0,AN489,IF(AN488&gt;0,AN488,IF(AN487&gt;0,AN487,IF(AN486&gt;0,AN486,IF(AN485&gt;0,AN485,IF(AN484&gt;0,AN484,IF(AN483&gt;0,AN483,IF(AN482&gt;0,AN482,IF(AN481&gt;0,AN481,IF(AN479&gt;0,AN479,IF(AN478&gt;0,AN478,IF(AN477&gt;0,AN477,0)))))))))))),0)*(1-$S489)*'模拟-单技能数据'!$I$21</f>
        <v>25101.867467669974</v>
      </c>
      <c r="AS489" s="61">
        <f ca="1">IF(OR(C489="净世破魔击·日",C489="净世破魔击·月"),M489-'模拟-单技能数据'!$K$10,0)</f>
        <v>0</v>
      </c>
      <c r="AT489" s="61">
        <f ca="1">IF(OR(C489="净世破魔击·日",C489="净世破魔击·月"),I489-'模拟-单技能数据'!$L$10,0)</f>
        <v>0</v>
      </c>
      <c r="AU489" s="62">
        <f t="shared" ca="1" si="440"/>
        <v>0.82901670691672946</v>
      </c>
      <c r="AV489" s="64">
        <f ca="1">IF(AS489&gt;0,('模拟-单技能数据'!$D$22+G489*'模拟-单技能数据'!$F$22)*(1+J489)*(1-S489)*IF(AU489&lt;$F$10,0,IF(AU489&lt;$F$10+$F$11,0.25,IF(AU489&lt;$F$10+$F$11+AS489,AT489,1)))*(1+U489),0)*'模拟-单技能数据'!$I$22</f>
        <v>0</v>
      </c>
      <c r="AW489" s="108">
        <f t="shared" ca="1" si="441"/>
        <v>10.775000000000006</v>
      </c>
      <c r="AX489" s="108" t="b">
        <f ca="1">AND(模拟模式!$P$10="有",AW488=0,RAND()&lt;IF(C489="净世破魔击·月",0.1*8/3,IF(C489="净世破魔击·日",0.1*4/3,0.1*2/3)))</f>
        <v>0</v>
      </c>
      <c r="AY489" s="47">
        <f ca="1">IF(AX489,(18+G489*0.722)*(1+J489)*(1-S489)*(1+$I$4)*IF(P489="会",'模拟-全程加成'!$J$3+'模拟-全程加成'!$J$4+'模拟-全程加成'!$J$5+('模拟-全程加成'!$I$4+'模拟-全程加成'!$I$5)/系数!$B$4+BG489*10%,IF(P489="命",1,IF(P489="识",0.25,0))),0)</f>
        <v>0</v>
      </c>
      <c r="AZ489" s="108">
        <f t="shared" si="442"/>
        <v>0</v>
      </c>
      <c r="BA489" s="108" t="b">
        <f>AND(模拟模式!$Q$10="有",AZ488=0)</f>
        <v>0</v>
      </c>
      <c r="BB489" s="140">
        <f>IF(BA489,(0+G489*0.287)*(1+J489)*(1-S489)*(1+$I$4)*IF(P489="会",'模拟-全程加成'!$J$3+'模拟-全程加成'!$J$4+'模拟-全程加成'!$J$5+('模拟-全程加成'!$I$4+'模拟-全程加成'!$I$5)/系数!$B$4+BG489*10%,IF(P489="命",1,IF(P489="识",0.25,0))),0)</f>
        <v>0</v>
      </c>
      <c r="BC489" s="115" t="b">
        <f ca="1">AND(模拟模式!$R$7="伏明众生",E489=60,F489=20,DA489&lt;5,CZ488&lt;$F$4)</f>
        <v>0</v>
      </c>
      <c r="BD489" s="115">
        <f t="shared" ca="1" si="404"/>
        <v>0</v>
      </c>
      <c r="BE489" s="115" t="b">
        <f t="shared" ca="1" si="405"/>
        <v>0</v>
      </c>
      <c r="BF489" s="47">
        <f ca="1">IF(BC489,4*('模拟-单技能数据'!$D$24+G489*'模拟-单技能数据'!$F$24)*(1+J489)*(1+'模拟-单技能数据'!$J$24)*(1-S489)*(1+$I$3)*(('模拟-全程加成'!$J$3+'模拟-全程加成'!$J$4+'模拟-全程加成'!$J$5+('模拟-全程加成'!$I$4+'模拟-全程加成'!$I$5)/系数!$B$4+BG489*10%)*('模拟-全程加成'!$J$3+'模拟-全程加成'!$J$4+'模拟-全程加成'!$J$5+('模拟-全程加成'!$I$4+'模拟-全程加成'!$I$5)/系数!$B$4+BG489*10%)+(1-('模拟-全程加成'!$J$3+'模拟-全程加成'!$J$4+'模拟-全程加成'!$J$5+('模拟-全程加成'!$I$4+'模拟-全程加成'!$I$5)/系数!$B$4+BG489*10%)-$F$10-$F$11)+F475*0.25),0)*'模拟-单技能数据'!$I$24</f>
        <v>0</v>
      </c>
      <c r="BG489" s="115" t="b">
        <f ca="1">OR(AND(OR(C489="烈日斩",C489="银月斩"),模拟模式!$I$7="净身明礼"),AND(C489="净世破魔击·日",模拟模式!$J$7="洞若观火"),AND(C490="净世破魔击·月",模拟模式!$J$7="洞若观火"),AB489=1)</f>
        <v>1</v>
      </c>
      <c r="BH489" s="115" t="b">
        <f t="shared" ca="1" si="443"/>
        <v>0</v>
      </c>
      <c r="BI489" s="115">
        <f t="shared" ca="1" si="406"/>
        <v>4.1549999999999994</v>
      </c>
      <c r="BJ489" s="115" t="b">
        <f t="shared" ca="1" si="417"/>
        <v>1</v>
      </c>
      <c r="BK489" s="115" t="b">
        <f ca="1">AND(C489="驱夜断愁",模拟模式!$P$7="天地诛戮")</f>
        <v>0</v>
      </c>
      <c r="BL489" s="57">
        <f t="shared" ca="1" si="407"/>
        <v>15.387500000000003</v>
      </c>
      <c r="BM489" s="115" t="b">
        <f t="shared" ca="1" si="418"/>
        <v>1</v>
      </c>
      <c r="BN489" s="115" t="b">
        <f ca="1">AND(OR(C489="赤日轮1",C489="赤日轮2",C489="赤日轮3",C489="幽月轮1",C489="幽月轮2",C489="幽月轮3"),AB489=1,模拟模式!$L$7="明光恒照")</f>
        <v>1</v>
      </c>
      <c r="BO489" s="117">
        <f t="shared" ca="1" si="408"/>
        <v>30</v>
      </c>
      <c r="BP489" s="115">
        <f t="shared" ca="1" si="444"/>
        <v>6</v>
      </c>
      <c r="BQ489" s="115" t="b">
        <f>模拟模式!$K$10="2600·水"</f>
        <v>0</v>
      </c>
      <c r="BR489" s="117">
        <f t="shared" si="445"/>
        <v>0</v>
      </c>
      <c r="BS489" s="115">
        <f t="shared" si="446"/>
        <v>0</v>
      </c>
      <c r="BT489" s="115">
        <f t="shared" ca="1" si="447"/>
        <v>0</v>
      </c>
      <c r="BU489" s="115" t="b">
        <f ca="1">AND(模拟模式!$K$10="2300·雷",BT488=0,RAND()&lt;IF(C489="净世破魔击·月",5*0.05*2/3,IF(C489="净世破魔击·日",3*0.05*2/3,0.05*2*2/3)))</f>
        <v>0</v>
      </c>
      <c r="BV489" s="115">
        <f t="shared" ca="1" si="448"/>
        <v>0</v>
      </c>
      <c r="BW489" s="115">
        <f t="shared" ca="1" si="449"/>
        <v>129.26249999999925</v>
      </c>
      <c r="BX489" s="164" t="b">
        <f t="shared" ca="1" si="450"/>
        <v>0</v>
      </c>
      <c r="BY489" s="115">
        <f t="shared" ca="1" si="451"/>
        <v>0</v>
      </c>
      <c r="BZ489" s="115">
        <f>IF(OR(模拟模式!$P$16="10人团",模拟模式!$P$16="25人团"),IF(B489/30&gt;CA488,1,0),0)</f>
        <v>0</v>
      </c>
      <c r="CA489" s="115">
        <f t="shared" si="427"/>
        <v>0</v>
      </c>
      <c r="CB489" s="115">
        <f ca="1">IF(BZ489=1,IF(模拟模式!$P$16="10人团",15,0)+IF(模拟模式!$P$16="25人团",IF(RAND()&lt;0.6,15,0)),MAX(0,CB488-$F$4))</f>
        <v>0</v>
      </c>
      <c r="CC489" s="115" t="b">
        <f t="shared" ca="1" si="419"/>
        <v>0</v>
      </c>
      <c r="CD489" s="115">
        <f>IF(模拟模式!$Q$16="1个",IF(B489/40&gt;CE488,1,0),0)</f>
        <v>0</v>
      </c>
      <c r="CE489" s="115">
        <f t="shared" si="420"/>
        <v>0</v>
      </c>
      <c r="CF489" s="115">
        <f>IF(OR(CD489=1,模拟模式!$Q$16="2个"),20,MAX(0,CF488-$F$4))</f>
        <v>0</v>
      </c>
      <c r="CG489" s="115" t="b">
        <f t="shared" si="421"/>
        <v>0</v>
      </c>
      <c r="CH489" s="115">
        <f t="shared" ca="1" si="452"/>
        <v>18.930000000000007</v>
      </c>
      <c r="CI489" s="115" t="b">
        <f t="shared" ca="1" si="453"/>
        <v>0</v>
      </c>
      <c r="CJ489" s="119">
        <f t="shared" ca="1" si="454"/>
        <v>0</v>
      </c>
      <c r="CK489" s="115">
        <f t="shared" ca="1" si="455"/>
        <v>0</v>
      </c>
      <c r="CL489" s="115" t="b">
        <f ca="1">AND(模拟模式!$S$7="驱夷逐法",OR(AND(C489="净世破魔击·月",E488&gt;59),AND(C489="净世破魔击·日",F488&gt;59)))</f>
        <v>0</v>
      </c>
      <c r="CM489" s="115" t="b">
        <f ca="1">OR(CL489,AND(C489="净世破魔击·日",CL488,RAND()&lt;模拟模式!$U$23))</f>
        <v>0</v>
      </c>
      <c r="CN489" s="115" t="b">
        <f ca="1">IF(模拟模式!$M$7="辉耀红尘",AND(C489="净世破魔击·月",CL489,CV489=0,E488&lt;80),AND(C489="净世破魔击·月",CL489,E488&lt;100))</f>
        <v>0</v>
      </c>
      <c r="CO489" s="115" t="b">
        <f t="shared" ca="1" si="428"/>
        <v>0</v>
      </c>
      <c r="CP489" s="115" t="b">
        <f ca="1">AND(模拟模式!$O$7="用晦而明",OR(C489="净世破魔击·日",C489="净世破魔击·月",C489="驱夜断愁"),AB489)</f>
        <v>0</v>
      </c>
      <c r="CQ489" s="115" t="b">
        <f ca="1">OR(CP489,AND(CP488,RAND()&lt;模拟模式!$U$23))</f>
        <v>1</v>
      </c>
      <c r="CR489" s="115" t="b">
        <f ca="1">AND(模拟模式!$S$7="日月齐光",OR(C489="幽月轮1",C489="幽月轮2",C489="幽月轮3",CR488),NOT(OR(C489="赤日轮1",C489="赤日轮2",C489="赤日轮3")))</f>
        <v>0</v>
      </c>
      <c r="CS489" s="115" t="b">
        <f ca="1">AND(模拟模式!$S$7="日月齐光",OR(C489="赤日轮1",C489="赤日轮2",C489="赤日轮3",CS488),NOT(OR(C489="幽月轮1",C489="幽月轮2",C489="幽月轮3")))</f>
        <v>0</v>
      </c>
      <c r="CT489" s="115">
        <f t="shared" ca="1" si="456"/>
        <v>17.085000000000008</v>
      </c>
      <c r="CU489" s="115" t="b">
        <f ca="1">AND(模拟模式!$K$10="阴阳往极",CT488=0,RAND()&lt;IF(C489="净世破魔击·月",0.0275*7/3,IF(C489="净世破魔击·日",0.0275*3/3,0.0275*2/3)))</f>
        <v>0</v>
      </c>
      <c r="CV489" s="115">
        <f t="shared" ca="1" si="457"/>
        <v>0</v>
      </c>
      <c r="CW489" s="115">
        <f t="shared" ca="1" si="429"/>
        <v>2.3099999999999996</v>
      </c>
      <c r="CX489" s="115">
        <f t="shared" ca="1" si="430"/>
        <v>0.46499999999999975</v>
      </c>
      <c r="CY489" s="115">
        <f ca="1">MAX(IF($C489="驱夜断愁",IF(模拟模式!$R$7="万念俱寂",6,45),CY488-$F$4),0)</f>
        <v>1.3874999999999997</v>
      </c>
      <c r="CZ489" s="115">
        <f t="shared" ca="1" si="431"/>
        <v>0</v>
      </c>
      <c r="DA489" s="115">
        <f ca="1">IF(模拟模式!$N$7="日月同辉",IF(DB488=2,0,MIN(6,IF(AND(OR(C489="赤日轮1",C489="赤日轮2",C489="赤日轮3",C489="幽月轮1",C489="幽月轮2",C489="幽月轮3"),AB489=1),DA488+1,DA488))),0)</f>
        <v>3</v>
      </c>
      <c r="DB489" s="115">
        <f t="shared" ca="1" si="432"/>
        <v>0</v>
      </c>
      <c r="DC489" s="115"/>
      <c r="DD489" s="115"/>
      <c r="DE489" s="115"/>
      <c r="DF489" s="115"/>
      <c r="DG489" s="115"/>
      <c r="DH489" s="115"/>
      <c r="DI489" s="115"/>
      <c r="DJ489" s="115"/>
      <c r="DK489" s="115"/>
      <c r="DL489" s="115"/>
      <c r="DM489" s="115"/>
    </row>
    <row r="490" spans="2:117" x14ac:dyDescent="0.2">
      <c r="B490" s="117">
        <f t="shared" si="433"/>
        <v>427.11750000000433</v>
      </c>
      <c r="C490" s="167" t="str">
        <f t="shared" ca="1" si="426"/>
        <v>银月斩</v>
      </c>
      <c r="D490" s="115">
        <f ca="1">IF(C490="赤日轮1",1,IF(C490="赤日轮2",2,IF(C490="赤日轮3",3,IF(C490="幽月轮1",4,IF(C490="幽月轮2",5,IF(C490="幽月轮3",6,IF(C490="烈日斩",7,IF(C490="银月斩",8,IF(C490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490="净世破魔击·月",17,IF(C490="驱夜断愁",18,0)))))))))))</f>
        <v>8</v>
      </c>
      <c r="E490" s="115">
        <f ca="1">IF(AND(CU490,OR(C490="幽月轮1",C490="幽月轮2",C490="幽月轮3",C490="银月斩",C490="驱夜断愁",C490="净世破魔击·月")),100,MIN(IF(OR(CN490,BE490),0,IF(OR($C490="赤日轮1",$C490="赤日轮2",$C490="赤日轮3"),E489+20+IF(模拟模式!$I$7="日月凌天",4,0)+IF(CR489,20,0),IF($C490="烈日斩",E489+40,IF($C490="驱夜断愁",IF(模拟模式!$R$7="万念俱寂",E489+20,E489+60),IF($C490="净世破魔击·月",IF(OR(DB489&gt;0,CV489&gt;0),100,IF(模拟模式!$M$7="辉耀红尘",E489+20,E489)),IF($C490="净世破魔击·日",E489-100,E489)))))),100))</f>
        <v>20</v>
      </c>
      <c r="F490" s="115">
        <f ca="1">IF(AND(CU490,OR(C490="赤日轮1",C490="赤日轮2",C490="赤日轮3",C490="烈日斩",C490="净世破魔击·日")),100,MIN(IF(CO490,0,IF(OR($C490="幽月轮1",$C490="幽月轮2",$C490="幽月轮3"),F489+20+IF(模拟模式!$I$7="日月凌天",4,0)+IF(CS489,20,0),IF($C490="银月斩",F489+40+IF(模拟模式!$X$12=1,5,0),IF($C490="驱夜断愁",IF(模拟模式!$R$7="万念俱寂",F489+20,F489+60),IF($C490="净世破魔击·月",IF(模拟模式!$M$7="辉耀红尘",F489-80,F489-100),IF(AND(C490="净世破魔击·日",OR(DB489&gt;0,CV489&gt;0)),100,F489)))))),100))</f>
        <v>65</v>
      </c>
      <c r="G490" s="117">
        <f ca="1">('模拟-全程加成'!$E$3+'模拟-全程加成'!$E$4+'模拟-全程加成'!$E$5+('模拟-全程加成'!$C$6-'模拟-全程加成'!$C$3)*系数!$B$9+BS490*23)*(1+'模拟-全程加成'!$F$4+'模拟-全程加成'!$F$5+BJ490*10%+BM490*20%+BP490*4%+CG490*30%)+$F$7*系数!$B$12</f>
        <v>21493.829400000002</v>
      </c>
      <c r="H490" s="45">
        <f ca="1">'模拟-全程加成'!$H$3+'模拟-全程加成'!$H$4+'模拟-全程加成'!$H$5+('模拟-全程加成'!$G$4+'模拟-全程加成'!$G$5+('模拟-全程加成'!$C$6-'模拟-全程加成'!$C$3)*系数!$B$13)/系数!$B$3+LOOKUP(D490,'模拟-单技能数据'!$A$2:$A$19,'模拟-单技能数据'!$K$2:$K$19)+BG490*10%+IF(BV490&gt;0,378,0)</f>
        <v>0.64185145527300214</v>
      </c>
      <c r="I490" s="45">
        <f ca="1">'模拟-全程加成'!$J$3+'模拟-全程加成'!$J$4+'模拟-全程加成'!$J$5+('模拟-全程加成'!$I$4+'模拟-全程加成'!$I$5)/系数!$B$4+LOOKUP(D490,'模拟-单技能数据'!$A$2:$A$19,'模拟-单技能数据'!$L$2:$L$19)+BG490*10%</f>
        <v>2.2624828854998791</v>
      </c>
      <c r="J490" s="45">
        <f ca="1">(('模拟-全程加成'!$K$3+'模拟-全程加成'!$K$4+'模拟-全程加成'!$K$5+('模拟-全程加成'!$C$6-'模拟-全程加成'!$C$3)*系数!$B$10+IF(BV490&gt;0,882,0)+IF(BY490&gt;0,1831,0))*(1+'模拟-全程加成'!$L$4+'模拟-全程加成'!$L$5+CC490*20%))/系数!$B$5</f>
        <v>0.69723220422048726</v>
      </c>
      <c r="K490" s="119">
        <f ca="1">LOOKUP(D490,'模拟-单技能数据'!$A$2:$A$19,'模拟-单技能数据'!$J$2:$J$19)+IF(CM490,60%,0)+IF(DB489-DB490&gt;0,30%,0)+IF(OR(AND(OR(C490="赤日轮1",C490="赤日轮2",C490="赤日轮3"),CR490),AND(OR(C490="幽月轮1",C490="幽月轮2",C490="幽月轮3"),CS490)),35%,0)+CJ490</f>
        <v>0.15</v>
      </c>
      <c r="L490" s="119">
        <f ca="1">IF(AND(C490="烈日斩",模拟模式!$X$11=1),10%,0)+IF(AND(C490="驱夜断愁",AB490=1),30%,0)</f>
        <v>0</v>
      </c>
      <c r="M490" s="45">
        <f t="shared" ca="1" si="409"/>
        <v>0.64185145527300214</v>
      </c>
      <c r="N490" s="45">
        <f t="shared" ca="1" si="410"/>
        <v>0.30424854472699792</v>
      </c>
      <c r="O490" s="46">
        <f t="shared" ca="1" si="434"/>
        <v>0.41667500302770288</v>
      </c>
      <c r="P490" s="46" t="str">
        <f t="shared" ca="1" si="435"/>
        <v>会</v>
      </c>
      <c r="Q490" s="45">
        <f t="shared" ca="1" si="436"/>
        <v>2.2624828854998791</v>
      </c>
      <c r="R490" s="117">
        <f ca="1">模拟模式!$E$20*(1-IF(模拟模式!$J$19="有",0.15,0))*(1-IF(模拟模式!$K$19="有",0.3,0)-IF(CQ490,0.5,0))</f>
        <v>2950.6049999999996</v>
      </c>
      <c r="S490" s="45">
        <f ca="1">R490/(R490+(185*模拟模式!$E$22-16800)*4.08224)</f>
        <v>0.24272716014590323</v>
      </c>
      <c r="T490" s="45" t="str">
        <f ca="1">LOOKUP(D490,'模拟-单技能数据'!$A$2:$A$19,'模拟-单技能数据'!$H$2:$H$19)</f>
        <v>阴</v>
      </c>
      <c r="U490" s="119">
        <f t="shared" ca="1" si="411"/>
        <v>0.08</v>
      </c>
      <c r="V490" s="47">
        <f ca="1">(1+L490)*(LOOKUP(D490,'模拟-单技能数据'!$A$2:$A$19,'模拟-单技能数据'!$D$2:$D$19)+G490*LOOKUP(D490,'模拟-单技能数据'!$A$2:$A$19,'模拟-单技能数据'!$F$2:$F$19))*(1+J490)*(1+K490)*(1-S490)*(1+U490)*Q490*LOOKUP(D490,'模拟-单技能数据'!$A$2:$A$19,'模拟-单技能数据'!$I$2:$I$20)</f>
        <v>41211.704893206668</v>
      </c>
      <c r="W490" s="47">
        <f ca="1">LOOKUP(D490,'模拟-单技能数据'!$A$2:$A$19,'模拟-单技能数据'!$G$2:$G$19)*$I$10</f>
        <v>361.51064354704795</v>
      </c>
      <c r="X490" s="47">
        <f t="shared" ca="1" si="437"/>
        <v>26466.147420012312</v>
      </c>
      <c r="Y490" s="47">
        <f t="shared" ca="1" si="412"/>
        <v>68039.362956766039</v>
      </c>
      <c r="Z490" s="49">
        <f t="shared" ca="1" si="413"/>
        <v>48449740.587091491</v>
      </c>
      <c r="AA490" s="97">
        <f t="shared" ca="1" si="414"/>
        <v>113434.22029556504</v>
      </c>
      <c r="AB490" s="115">
        <f ca="1">IF(OR(C490="赤日轮1",C490="赤日轮2",C490="赤日轮3"),IF(RAND()&lt;模拟模式!$Y$17,1,0),IF(OR(C490="幽月轮1",C490="幽月轮2",C490="幽月轮3"),IF(RAND()&lt;模拟模式!$Y$18,1,0),IF(C490="烈日斩",IF(RAND()&lt;模拟模式!$Y$19,1,0),IF(C490="银月斩",IF(RAND()&lt;模拟模式!$Y$20,1,0),IF(C490="驱夜断愁",IF(RAND()&lt;模拟模式!$Y$21,1,0),IF(C490="净世破魔击·日",IF(RAND()&lt;模拟模式!$Y$22,1,0),IF(C490="净世破魔击·月",IF(RAND()&lt;模拟模式!$Y$23,1,0),0)))))))</f>
        <v>1</v>
      </c>
      <c r="AC490" s="115" t="b">
        <f t="shared" ca="1" si="402"/>
        <v>1</v>
      </c>
      <c r="AD490" s="115" t="b">
        <f t="shared" ca="1" si="422"/>
        <v>1</v>
      </c>
      <c r="AE490" s="115">
        <f t="shared" ca="1" si="423"/>
        <v>5</v>
      </c>
      <c r="AF490" s="47">
        <f ca="1">IF(AC490,('模拟-单技能数据'!$D$20+G490*'模拟-单技能数据'!$F$20)*(1+J490)*(1+'模拟-单技能数据'!$J$20)*(1+U490),0)</f>
        <v>4639.7456468263617</v>
      </c>
      <c r="AG490" s="61">
        <f t="shared" ca="1" si="415"/>
        <v>0.64185145527300214</v>
      </c>
      <c r="AH490" s="61">
        <f t="shared" ca="1" si="416"/>
        <v>2.2624828854998791</v>
      </c>
      <c r="AI490" s="62">
        <f t="shared" ca="1" si="438"/>
        <v>0.52155944846703051</v>
      </c>
      <c r="AJ490" s="47">
        <f ca="1">IF(AD490,IF(AI490&lt;$F$10,0,IF(AI490&lt;$F$10+$F$11,0.25,IF(AI490&lt;$F$10+$F$11+AG490,AH490,1)))*IF(AF490&gt;0,AF490,IF(AF489&gt;0,AF489,IF(AF488&gt;0,AF488,IF(AF487&gt;0,AF487,IF(AF486&gt;0,AF486,IF(AF485&gt;0,AF485,IF(AF484&gt;0,AF484,IF(AF483&gt;0,AF483,IF(AF482&gt;0,AF482,IF(AF480&gt;0,AF480,IF(AF479&gt;0,AF479,IF(AF478&gt;0,AF478,0)))))))))))),0)*(1-$S490)*'模拟-单技能数据'!$I$20</f>
        <v>7949.3543492067038</v>
      </c>
      <c r="AK490" s="115" t="b">
        <f t="shared" ca="1" si="403"/>
        <v>0</v>
      </c>
      <c r="AL490" s="115" t="b">
        <f t="shared" ca="1" si="424"/>
        <v>0</v>
      </c>
      <c r="AM490" s="115">
        <f t="shared" ca="1" si="425"/>
        <v>5</v>
      </c>
      <c r="AN490" s="47">
        <f ca="1">IF(AK490,('模拟-单技能数据'!$D$21+G490*'模拟-单技能数据'!$F$21)*(1+J490)*(1+'模拟-单技能数据'!$J$21)*(1+U490),0)</f>
        <v>0</v>
      </c>
      <c r="AO490" s="61">
        <f ca="1">IF(AN490&gt;0,M490-'模拟-单技能数据'!$K$10,AO489)</f>
        <v>0.42185145527300216</v>
      </c>
      <c r="AP490" s="61">
        <f ca="1">IF(AN490&gt;0,I490-'模拟-单技能数据'!$L$10,AP489)</f>
        <v>2.162482885499879</v>
      </c>
      <c r="AQ490" s="63">
        <f t="shared" ca="1" si="439"/>
        <v>0.97780103922881823</v>
      </c>
      <c r="AR490" s="64">
        <f ca="1">IF(AL490,IF(AQ490&lt;$F$10,0,IF(AQ490&lt;$F$10+$F$11,0.25,IF(AQ490&lt;$F$10+$F$11+AO490,AP490,1)))*IF(AN490&gt;0,AN490,IF(AN489&gt;0,AN489,IF(AN488&gt;0,AN488,IF(AN487&gt;0,AN487,IF(AN486&gt;0,AN486,IF(AN485&gt;0,AN485,IF(AN484&gt;0,AN484,IF(AN483&gt;0,AN483,IF(AN482&gt;0,AN482,IF(AN480&gt;0,AN480,IF(AN479&gt;0,AN479,IF(AN478&gt;0,AN478,0)))))))))))),0)*(1-$S490)*'模拟-单技能数据'!$I$21</f>
        <v>0</v>
      </c>
      <c r="AS490" s="61">
        <f ca="1">IF(OR(C490="净世破魔击·日",C490="净世破魔击·月"),M490-'模拟-单技能数据'!$K$10,0)</f>
        <v>0</v>
      </c>
      <c r="AT490" s="61">
        <f ca="1">IF(OR(C490="净世破魔击·日",C490="净世破魔击·月"),I490-'模拟-单技能数据'!$L$10,0)</f>
        <v>0</v>
      </c>
      <c r="AU490" s="62">
        <f t="shared" ca="1" si="440"/>
        <v>0.40466173823204266</v>
      </c>
      <c r="AV490" s="64">
        <f ca="1">IF(AS490&gt;0,('模拟-单技能数据'!$D$22+G490*'模拟-单技能数据'!$F$22)*(1+J490)*(1-S490)*IF(AU490&lt;$F$10,0,IF(AU490&lt;$F$10+$F$11,0.25,IF(AU490&lt;$F$10+$F$11+AS490,AT490,1)))*(1+U490),0)*'模拟-单技能数据'!$I$22</f>
        <v>0</v>
      </c>
      <c r="AW490" s="108">
        <f t="shared" ca="1" si="441"/>
        <v>9.8525000000000063</v>
      </c>
      <c r="AX490" s="108" t="b">
        <f ca="1">AND(模拟模式!$P$10="有",AW489=0,RAND()&lt;IF(C490="净世破魔击·月",0.1*8/3,IF(C490="净世破魔击·日",0.1*4/3,0.1*2/3)))</f>
        <v>0</v>
      </c>
      <c r="AY490" s="47">
        <f ca="1">IF(AX490,(18+G490*0.722)*(1+J490)*(1-S490)*(1+$I$4)*IF(P490="会",'模拟-全程加成'!$J$3+'模拟-全程加成'!$J$4+'模拟-全程加成'!$J$5+('模拟-全程加成'!$I$4+'模拟-全程加成'!$I$5)/系数!$B$4+BG490*10%,IF(P490="命",1,IF(P490="识",0.25,0))),0)</f>
        <v>0</v>
      </c>
      <c r="AZ490" s="108">
        <f t="shared" si="442"/>
        <v>19.077500000000001</v>
      </c>
      <c r="BA490" s="108" t="b">
        <f>AND(模拟模式!$Q$10="有",AZ489=0)</f>
        <v>1</v>
      </c>
      <c r="BB490" s="140">
        <f ca="1">IF(BA490,(0+G490*0.287)*(1+J490)*(1-S490)*(1+$I$4)*IF(P490="会",'模拟-全程加成'!$J$3+'模拟-全程加成'!$J$4+'模拟-全程加成'!$J$5+('模拟-全程加成'!$I$4+'模拟-全程加成'!$I$5)/系数!$B$4+BG490*10%,IF(P490="命",1,IF(P490="识",0.25,0))),0)</f>
        <v>18516.793070805608</v>
      </c>
      <c r="BC490" s="115" t="b">
        <f ca="1">AND(模拟模式!$R$7="伏明众生",E490=60,F490=20,DA490&lt;5,CZ489&lt;$F$4)</f>
        <v>0</v>
      </c>
      <c r="BD490" s="115">
        <f t="shared" ca="1" si="404"/>
        <v>0</v>
      </c>
      <c r="BE490" s="115" t="b">
        <f t="shared" ca="1" si="405"/>
        <v>0</v>
      </c>
      <c r="BF490" s="47">
        <f ca="1">IF(BC490,4*('模拟-单技能数据'!$D$24+G490*'模拟-单技能数据'!$F$24)*(1+J490)*(1+'模拟-单技能数据'!$J$24)*(1-S490)*(1+$I$3)*(('模拟-全程加成'!$J$3+'模拟-全程加成'!$J$4+'模拟-全程加成'!$J$5+('模拟-全程加成'!$I$4+'模拟-全程加成'!$I$5)/系数!$B$4+BG490*10%)*('模拟-全程加成'!$J$3+'模拟-全程加成'!$J$4+'模拟-全程加成'!$J$5+('模拟-全程加成'!$I$4+'模拟-全程加成'!$I$5)/系数!$B$4+BG490*10%)+(1-('模拟-全程加成'!$J$3+'模拟-全程加成'!$J$4+'模拟-全程加成'!$J$5+('模拟-全程加成'!$I$4+'模拟-全程加成'!$I$5)/系数!$B$4+BG490*10%)-$F$10-$F$11)+F476*0.25),0)*'模拟-单技能数据'!$I$24</f>
        <v>0</v>
      </c>
      <c r="BG490" s="115" t="b">
        <f ca="1">OR(AND(OR(C490="烈日斩",C490="银月斩"),模拟模式!$I$7="净身明礼"),AND(C490="净世破魔击·日",模拟模式!$J$7="洞若观火"),AND(C491="净世破魔击·月",模拟模式!$J$7="洞若观火"),AB490=1)</f>
        <v>1</v>
      </c>
      <c r="BH490" s="115" t="b">
        <f t="shared" ca="1" si="443"/>
        <v>0</v>
      </c>
      <c r="BI490" s="115">
        <f t="shared" ca="1" si="406"/>
        <v>3.2324999999999995</v>
      </c>
      <c r="BJ490" s="115" t="b">
        <f t="shared" ca="1" si="417"/>
        <v>1</v>
      </c>
      <c r="BK490" s="115" t="b">
        <f ca="1">AND(C490="驱夜断愁",模拟模式!$P$7="天地诛戮")</f>
        <v>0</v>
      </c>
      <c r="BL490" s="57">
        <f t="shared" ca="1" si="407"/>
        <v>14.465000000000003</v>
      </c>
      <c r="BM490" s="115" t="b">
        <f t="shared" ca="1" si="418"/>
        <v>1</v>
      </c>
      <c r="BN490" s="115" t="b">
        <f ca="1">AND(OR(C490="赤日轮1",C490="赤日轮2",C490="赤日轮3",C490="幽月轮1",C490="幽月轮2",C490="幽月轮3"),AB490=1,模拟模式!$L$7="明光恒照")</f>
        <v>0</v>
      </c>
      <c r="BO490" s="117">
        <f t="shared" ca="1" si="408"/>
        <v>29.077500000000001</v>
      </c>
      <c r="BP490" s="115">
        <f t="shared" ca="1" si="444"/>
        <v>6</v>
      </c>
      <c r="BQ490" s="115" t="b">
        <f>模拟模式!$K$10="2600·水"</f>
        <v>0</v>
      </c>
      <c r="BR490" s="117">
        <f t="shared" si="445"/>
        <v>0</v>
      </c>
      <c r="BS490" s="115">
        <f t="shared" si="446"/>
        <v>0</v>
      </c>
      <c r="BT490" s="115">
        <f t="shared" ca="1" si="447"/>
        <v>0</v>
      </c>
      <c r="BU490" s="115" t="b">
        <f ca="1">AND(模拟模式!$K$10="2300·雷",BT489=0,RAND()&lt;IF(C490="净世破魔击·月",5*0.05*2/3,IF(C490="净世破魔击·日",3*0.05*2/3,0.05*2*2/3)))</f>
        <v>0</v>
      </c>
      <c r="BV490" s="115">
        <f t="shared" ca="1" si="448"/>
        <v>0</v>
      </c>
      <c r="BW490" s="115">
        <f t="shared" ca="1" si="449"/>
        <v>128.33999999999924</v>
      </c>
      <c r="BX490" s="164" t="b">
        <f t="shared" ca="1" si="450"/>
        <v>0</v>
      </c>
      <c r="BY490" s="115">
        <f t="shared" ca="1" si="451"/>
        <v>0</v>
      </c>
      <c r="BZ490" s="115">
        <f>IF(OR(模拟模式!$P$16="10人团",模拟模式!$P$16="25人团"),IF(B490/30&gt;CA489,1,0),0)</f>
        <v>0</v>
      </c>
      <c r="CA490" s="115">
        <f t="shared" si="427"/>
        <v>0</v>
      </c>
      <c r="CB490" s="115">
        <f ca="1">IF(BZ490=1,IF(模拟模式!$P$16="10人团",15,0)+IF(模拟模式!$P$16="25人团",IF(RAND()&lt;0.6,15,0)),MAX(0,CB489-$F$4))</f>
        <v>0</v>
      </c>
      <c r="CC490" s="115" t="b">
        <f t="shared" ca="1" si="419"/>
        <v>0</v>
      </c>
      <c r="CD490" s="115">
        <f>IF(模拟模式!$Q$16="1个",IF(B490/40&gt;CE489,1,0),0)</f>
        <v>0</v>
      </c>
      <c r="CE490" s="115">
        <f t="shared" si="420"/>
        <v>0</v>
      </c>
      <c r="CF490" s="115">
        <f>IF(OR(CD490=1,模拟模式!$Q$16="2个"),20,MAX(0,CF489-$F$4))</f>
        <v>0</v>
      </c>
      <c r="CG490" s="115" t="b">
        <f t="shared" si="421"/>
        <v>0</v>
      </c>
      <c r="CH490" s="115">
        <f t="shared" ca="1" si="452"/>
        <v>18.007500000000007</v>
      </c>
      <c r="CI490" s="115" t="b">
        <f t="shared" ca="1" si="453"/>
        <v>0</v>
      </c>
      <c r="CJ490" s="119">
        <f t="shared" ca="1" si="454"/>
        <v>0</v>
      </c>
      <c r="CK490" s="115">
        <f t="shared" ca="1" si="455"/>
        <v>0</v>
      </c>
      <c r="CL490" s="115" t="b">
        <f ca="1">AND(模拟模式!$S$7="驱夷逐法",OR(AND(C490="净世破魔击·月",E489&gt;59),AND(C490="净世破魔击·日",F489&gt;59)))</f>
        <v>0</v>
      </c>
      <c r="CM490" s="115" t="b">
        <f ca="1">OR(CL490,AND(C490="净世破魔击·日",CL489,RAND()&lt;模拟模式!$U$23))</f>
        <v>0</v>
      </c>
      <c r="CN490" s="115" t="b">
        <f ca="1">IF(模拟模式!$M$7="辉耀红尘",AND(C490="净世破魔击·月",CL490,CV490=0,E489&lt;80),AND(C490="净世破魔击·月",CL490,E489&lt;100))</f>
        <v>0</v>
      </c>
      <c r="CO490" s="115" t="b">
        <f t="shared" ca="1" si="428"/>
        <v>0</v>
      </c>
      <c r="CP490" s="115" t="b">
        <f ca="1">AND(模拟模式!$O$7="用晦而明",OR(C490="净世破魔击·日",C490="净世破魔击·月",C490="驱夜断愁"),AB490)</f>
        <v>0</v>
      </c>
      <c r="CQ490" s="115" t="b">
        <f ca="1">OR(CP490,AND(CP489,RAND()&lt;模拟模式!$U$23))</f>
        <v>0</v>
      </c>
      <c r="CR490" s="115" t="b">
        <f ca="1">AND(模拟模式!$S$7="日月齐光",OR(C490="幽月轮1",C490="幽月轮2",C490="幽月轮3",CR489),NOT(OR(C490="赤日轮1",C490="赤日轮2",C490="赤日轮3")))</f>
        <v>0</v>
      </c>
      <c r="CS490" s="115" t="b">
        <f ca="1">AND(模拟模式!$S$7="日月齐光",OR(C490="赤日轮1",C490="赤日轮2",C490="赤日轮3",CS489),NOT(OR(C490="幽月轮1",C490="幽月轮2",C490="幽月轮3")))</f>
        <v>0</v>
      </c>
      <c r="CT490" s="115">
        <f t="shared" ca="1" si="456"/>
        <v>16.162500000000009</v>
      </c>
      <c r="CU490" s="115" t="b">
        <f ca="1">AND(模拟模式!$K$10="阴阳往极",CT489=0,RAND()&lt;IF(C490="净世破魔击·月",0.0275*7/3,IF(C490="净世破魔击·日",0.0275*3/3,0.0275*2/3)))</f>
        <v>0</v>
      </c>
      <c r="CV490" s="115">
        <f t="shared" ca="1" si="457"/>
        <v>0</v>
      </c>
      <c r="CW490" s="115">
        <f t="shared" ca="1" si="429"/>
        <v>1.3874999999999997</v>
      </c>
      <c r="CX490" s="115">
        <f t="shared" ca="1" si="430"/>
        <v>6</v>
      </c>
      <c r="CY490" s="115">
        <f ca="1">MAX(IF($C490="驱夜断愁",IF(模拟模式!$R$7="万念俱寂",6,45),CY489-$F$4),0)</f>
        <v>0.46499999999999975</v>
      </c>
      <c r="CZ490" s="115">
        <f t="shared" ca="1" si="431"/>
        <v>0</v>
      </c>
      <c r="DA490" s="115">
        <f ca="1">IF(模拟模式!$N$7="日月同辉",IF(DB489=2,0,MIN(6,IF(AND(OR(C490="赤日轮1",C490="赤日轮2",C490="赤日轮3",C490="幽月轮1",C490="幽月轮2",C490="幽月轮3"),AB490=1),DA489+1,DA489))),0)</f>
        <v>3</v>
      </c>
      <c r="DB490" s="115">
        <f t="shared" ca="1" si="432"/>
        <v>0</v>
      </c>
      <c r="DC490" s="115"/>
      <c r="DD490" s="115"/>
      <c r="DE490" s="115"/>
      <c r="DF490" s="115"/>
      <c r="DG490" s="115"/>
      <c r="DH490" s="115"/>
      <c r="DI490" s="115"/>
      <c r="DJ490" s="115"/>
      <c r="DK490" s="115"/>
      <c r="DL490" s="115"/>
      <c r="DM490" s="115"/>
    </row>
    <row r="491" spans="2:117" x14ac:dyDescent="0.2">
      <c r="B491" s="117">
        <f t="shared" si="433"/>
        <v>428.04000000000434</v>
      </c>
      <c r="C491" s="167" t="str">
        <f t="shared" ca="1" si="426"/>
        <v>驱夜断愁</v>
      </c>
      <c r="D491" s="115">
        <f ca="1">IF(C491="赤日轮1",1,IF(C491="赤日轮2",2,IF(C491="赤日轮3",3,IF(C491="幽月轮1",4,IF(C491="幽月轮2",5,IF(C491="幽月轮3",6,IF(C491="烈日斩",7,IF(C491="银月斩",8,IF(C491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491="净世破魔击·月",17,IF(C491="驱夜断愁",18,0)))))))))))</f>
        <v>18</v>
      </c>
      <c r="E491" s="115">
        <f ca="1">IF(AND(CU491,OR(C491="幽月轮1",C491="幽月轮2",C491="幽月轮3",C491="银月斩",C491="驱夜断愁",C491="净世破魔击·月")),100,MIN(IF(OR(CN491,BE491),0,IF(OR($C491="赤日轮1",$C491="赤日轮2",$C491="赤日轮3"),E490+20+IF(模拟模式!$I$7="日月凌天",4,0)+IF(CR490,20,0),IF($C491="烈日斩",E490+40,IF($C491="驱夜断愁",IF(模拟模式!$R$7="万念俱寂",E490+20,E490+60),IF($C491="净世破魔击·月",IF(OR(DB490&gt;0,CV490&gt;0),100,IF(模拟模式!$M$7="辉耀红尘",E490+20,E490)),IF($C491="净世破魔击·日",E490-100,E490)))))),100))</f>
        <v>40</v>
      </c>
      <c r="F491" s="115">
        <f ca="1">IF(AND(CU491,OR(C491="赤日轮1",C491="赤日轮2",C491="赤日轮3",C491="烈日斩",C491="净世破魔击·日")),100,MIN(IF(CO491,0,IF(OR($C491="幽月轮1",$C491="幽月轮2",$C491="幽月轮3"),F490+20+IF(模拟模式!$I$7="日月凌天",4,0)+IF(CS490,20,0),IF($C491="银月斩",F490+40+IF(模拟模式!$X$12=1,5,0),IF($C491="驱夜断愁",IF(模拟模式!$R$7="万念俱寂",F490+20,F490+60),IF($C491="净世破魔击·月",IF(模拟模式!$M$7="辉耀红尘",F490-80,F490-100),IF(AND(C491="净世破魔击·日",OR(DB490&gt;0,CV490&gt;0)),100,F490)))))),100))</f>
        <v>85</v>
      </c>
      <c r="G491" s="117">
        <f ca="1">('模拟-全程加成'!$E$3+'模拟-全程加成'!$E$4+'模拟-全程加成'!$E$5+('模拟-全程加成'!$C$6-'模拟-全程加成'!$C$3)*系数!$B$9+BS491*23)*(1+'模拟-全程加成'!$F$4+'模拟-全程加成'!$F$5+BJ491*10%+BM491*20%+BP491*4%+CG491*30%)+$F$7*系数!$B$12</f>
        <v>21493.829400000002</v>
      </c>
      <c r="H491" s="45">
        <f ca="1">'模拟-全程加成'!$H$3+'模拟-全程加成'!$H$4+'模拟-全程加成'!$H$5+('模拟-全程加成'!$G$4+'模拟-全程加成'!$G$5+('模拟-全程加成'!$C$6-'模拟-全程加成'!$C$3)*系数!$B$13)/系数!$B$3+LOOKUP(D491,'模拟-单技能数据'!$A$2:$A$19,'模拟-单技能数据'!$K$2:$K$19)+BG491*10%+IF(BV491&gt;0,378,0)</f>
        <v>0.51185145527300213</v>
      </c>
      <c r="I491" s="45">
        <f ca="1">'模拟-全程加成'!$J$3+'模拟-全程加成'!$J$4+'模拟-全程加成'!$J$5+('模拟-全程加成'!$I$4+'模拟-全程加成'!$I$5)/系数!$B$4+LOOKUP(D491,'模拟-单技能数据'!$A$2:$A$19,'模拟-单技能数据'!$L$2:$L$19)+BG491*10%</f>
        <v>2.162482885499879</v>
      </c>
      <c r="J491" s="45">
        <f ca="1">(('模拟-全程加成'!$K$3+'模拟-全程加成'!$K$4+'模拟-全程加成'!$K$5+('模拟-全程加成'!$C$6-'模拟-全程加成'!$C$3)*系数!$B$10+IF(BV491&gt;0,882,0)+IF(BY491&gt;0,1831,0))*(1+'模拟-全程加成'!$L$4+'模拟-全程加成'!$L$5+CC491*20%))/系数!$B$5</f>
        <v>0.69723220422048726</v>
      </c>
      <c r="K491" s="119">
        <f ca="1">LOOKUP(D491,'模拟-单技能数据'!$A$2:$A$19,'模拟-单技能数据'!$J$2:$J$19)+IF(CM491,60%,0)+IF(DB490-DB491&gt;0,30%,0)+IF(OR(AND(OR(C491="赤日轮1",C491="赤日轮2",C491="赤日轮3"),CR491),AND(OR(C491="幽月轮1",C491="幽月轮2",C491="幽月轮3"),CS491)),35%,0)+CJ491</f>
        <v>0.14000000000000001</v>
      </c>
      <c r="L491" s="119">
        <f ca="1">IF(AND(C491="烈日斩",模拟模式!$X$11=1),10%,0)+IF(AND(C491="驱夜断愁",AB491=1),30%,0)</f>
        <v>0.3</v>
      </c>
      <c r="M491" s="45">
        <f t="shared" ca="1" si="409"/>
        <v>0.51185145527300213</v>
      </c>
      <c r="N491" s="45">
        <f t="shared" ca="1" si="410"/>
        <v>0.43424854472699792</v>
      </c>
      <c r="O491" s="46">
        <f t="shared" ca="1" si="434"/>
        <v>0.50132409924624455</v>
      </c>
      <c r="P491" s="46" t="str">
        <f t="shared" ca="1" si="435"/>
        <v>会</v>
      </c>
      <c r="Q491" s="45">
        <f t="shared" ca="1" si="436"/>
        <v>2.162482885499879</v>
      </c>
      <c r="R491" s="117">
        <f ca="1">模拟模式!$E$20*(1-IF(模拟模式!$J$19="有",0.15,0))*(1-IF(模拟模式!$K$19="有",0.3,0)-IF(CQ491,0.5,0))</f>
        <v>843.02999999999975</v>
      </c>
      <c r="S491" s="45">
        <f ca="1">R491/(R491+(185*模拟模式!$E$22-16800)*4.08224)</f>
        <v>8.389626085980037E-2</v>
      </c>
      <c r="T491" s="45" t="str">
        <f ca="1">LOOKUP(D491,'模拟-单技能数据'!$A$2:$A$19,'模拟-单技能数据'!$H$2:$H$19)</f>
        <v>阴</v>
      </c>
      <c r="U491" s="119">
        <f t="shared" ca="1" si="411"/>
        <v>0.08</v>
      </c>
      <c r="V491" s="47">
        <f ca="1">(1+L491)*(LOOKUP(D491,'模拟-单技能数据'!$A$2:$A$19,'模拟-单技能数据'!$D$2:$D$19)+G491*LOOKUP(D491,'模拟-单技能数据'!$A$2:$A$19,'模拟-单技能数据'!$F$2:$F$19))*(1+J491)*(1+K491)*(1-S491)*(1+U491)*Q491*LOOKUP(D491,'模拟-单技能数据'!$A$2:$A$19,'模拟-单技能数据'!$I$2:$I$20)</f>
        <v>133079.35569364758</v>
      </c>
      <c r="W491" s="47">
        <f ca="1">LOOKUP(D491,'模拟-单技能数据'!$A$2:$A$19,'模拟-单技能数据'!$G$2:$G$19)*$I$10</f>
        <v>723.0212870940959</v>
      </c>
      <c r="X491" s="47">
        <f t="shared" ca="1" si="437"/>
        <v>25101.867467669974</v>
      </c>
      <c r="Y491" s="47">
        <f t="shared" ca="1" si="412"/>
        <v>158904.24444841166</v>
      </c>
      <c r="Z491" s="49">
        <f t="shared" ca="1" si="413"/>
        <v>48608644.831539899</v>
      </c>
      <c r="AA491" s="97">
        <f t="shared" ca="1" si="414"/>
        <v>113560.98689734466</v>
      </c>
      <c r="AB491" s="115">
        <f ca="1">IF(OR(C491="赤日轮1",C491="赤日轮2",C491="赤日轮3"),IF(RAND()&lt;模拟模式!$Y$17,1,0),IF(OR(C491="幽月轮1",C491="幽月轮2",C491="幽月轮3"),IF(RAND()&lt;模拟模式!$Y$18,1,0),IF(C491="烈日斩",IF(RAND()&lt;模拟模式!$Y$19,1,0),IF(C491="银月斩",IF(RAND()&lt;模拟模式!$Y$20,1,0),IF(C491="驱夜断愁",IF(RAND()&lt;模拟模式!$Y$21,1,0),IF(C491="净世破魔击·日",IF(RAND()&lt;模拟模式!$Y$22,1,0),IF(C491="净世破魔击·月",IF(RAND()&lt;模拟模式!$Y$23,1,0),0)))))))</f>
        <v>1</v>
      </c>
      <c r="AC491" s="115" t="b">
        <f t="shared" ca="1" si="402"/>
        <v>0</v>
      </c>
      <c r="AD491" s="115" t="b">
        <f t="shared" ca="1" si="422"/>
        <v>0</v>
      </c>
      <c r="AE491" s="115">
        <f t="shared" ca="1" si="423"/>
        <v>5</v>
      </c>
      <c r="AF491" s="47">
        <f ca="1">IF(AC491,('模拟-单技能数据'!$D$20+G491*'模拟-单技能数据'!$F$20)*(1+J491)*(1+'模拟-单技能数据'!$J$20)*(1+U491),0)</f>
        <v>0</v>
      </c>
      <c r="AG491" s="61">
        <f t="shared" ca="1" si="415"/>
        <v>0.64185145527300214</v>
      </c>
      <c r="AH491" s="61">
        <f t="shared" ca="1" si="416"/>
        <v>2.2624828854998791</v>
      </c>
      <c r="AI491" s="62">
        <f t="shared" ca="1" si="438"/>
        <v>0.21629855692200439</v>
      </c>
      <c r="AJ491" s="47">
        <f ca="1">IF(AD491,IF(AI491&lt;$F$10,0,IF(AI491&lt;$F$10+$F$11,0.25,IF(AI491&lt;$F$10+$F$11+AG491,AH491,1)))*IF(AF491&gt;0,AF491,IF(AF490&gt;0,AF490,IF(AF489&gt;0,AF489,IF(AF488&gt;0,AF488,IF(AF487&gt;0,AF487,IF(AF486&gt;0,AF486,IF(AF485&gt;0,AF485,IF(AF484&gt;0,AF484,IF(AF483&gt;0,AF483,IF(AF481&gt;0,AF481,IF(AF480&gt;0,AF480,IF(AF479&gt;0,AF479,0)))))))))))),0)*(1-$S491)*'模拟-单技能数据'!$I$20</f>
        <v>0</v>
      </c>
      <c r="AK491" s="115" t="b">
        <f t="shared" ca="1" si="403"/>
        <v>0</v>
      </c>
      <c r="AL491" s="115" t="b">
        <f t="shared" ca="1" si="424"/>
        <v>1</v>
      </c>
      <c r="AM491" s="115">
        <f t="shared" ca="1" si="425"/>
        <v>4</v>
      </c>
      <c r="AN491" s="47">
        <f ca="1">IF(AK491,('模拟-单技能数据'!$D$21+G491*'模拟-单技能数据'!$F$21)*(1+J491)*(1+'模拟-单技能数据'!$J$21)*(1+U491),0)</f>
        <v>0</v>
      </c>
      <c r="AO491" s="61">
        <f ca="1">IF(AN491&gt;0,M491-'模拟-单技能数据'!$K$10,AO490)</f>
        <v>0.42185145527300216</v>
      </c>
      <c r="AP491" s="61">
        <f ca="1">IF(AN491&gt;0,I491-'模拟-单技能数据'!$L$10,AP490)</f>
        <v>2.162482885499879</v>
      </c>
      <c r="AQ491" s="63">
        <f t="shared" ca="1" si="439"/>
        <v>0.18105357792396293</v>
      </c>
      <c r="AR491" s="64">
        <f ca="1">IF(AL491,IF(AQ491&lt;$F$10,0,IF(AQ491&lt;$F$10+$F$11,0.25,IF(AQ491&lt;$F$10+$F$11+AO491,AP491,1)))*IF(AN491&gt;0,AN491,IF(AN490&gt;0,AN490,IF(AN489&gt;0,AN489,IF(AN488&gt;0,AN488,IF(AN487&gt;0,AN487,IF(AN486&gt;0,AN486,IF(AN485&gt;0,AN485,IF(AN484&gt;0,AN484,IF(AN483&gt;0,AN483,IF(AN481&gt;0,AN481,IF(AN480&gt;0,AN480,IF(AN479&gt;0,AN479,0)))))))))))),0)*(1-$S491)*'模拟-单技能数据'!$I$21</f>
        <v>25101.867467669974</v>
      </c>
      <c r="AS491" s="61">
        <f ca="1">IF(OR(C491="净世破魔击·日",C491="净世破魔击·月"),M491-'模拟-单技能数据'!$K$10,0)</f>
        <v>0</v>
      </c>
      <c r="AT491" s="61">
        <f ca="1">IF(OR(C491="净世破魔击·日",C491="净世破魔击·月"),I491-'模拟-单技能数据'!$L$10,0)</f>
        <v>0</v>
      </c>
      <c r="AU491" s="62">
        <f t="shared" ca="1" si="440"/>
        <v>0.17251243165092311</v>
      </c>
      <c r="AV491" s="64">
        <f ca="1">IF(AS491&gt;0,('模拟-单技能数据'!$D$22+G491*'模拟-单技能数据'!$F$22)*(1+J491)*(1-S491)*IF(AU491&lt;$F$10,0,IF(AU491&lt;$F$10+$F$11,0.25,IF(AU491&lt;$F$10+$F$11+AS491,AT491,1)))*(1+U491),0)*'模拟-单技能数据'!$I$22</f>
        <v>0</v>
      </c>
      <c r="AW491" s="108">
        <f t="shared" ca="1" si="441"/>
        <v>8.9300000000000068</v>
      </c>
      <c r="AX491" s="108" t="b">
        <f ca="1">AND(模拟模式!$P$10="有",AW490=0,RAND()&lt;IF(C491="净世破魔击·月",0.1*8/3,IF(C491="净世破魔击·日",0.1*4/3,0.1*2/3)))</f>
        <v>0</v>
      </c>
      <c r="AY491" s="47">
        <f ca="1">IF(AX491,(18+G491*0.722)*(1+J491)*(1-S491)*(1+$I$4)*IF(P491="会",'模拟-全程加成'!$J$3+'模拟-全程加成'!$J$4+'模拟-全程加成'!$J$5+('模拟-全程加成'!$I$4+'模拟-全程加成'!$I$5)/系数!$B$4+BG491*10%,IF(P491="命",1,IF(P491="识",0.25,0))),0)</f>
        <v>0</v>
      </c>
      <c r="AZ491" s="108">
        <f t="shared" si="442"/>
        <v>18.155000000000001</v>
      </c>
      <c r="BA491" s="108" t="b">
        <f>AND(模拟模式!$Q$10="有",AZ490=0)</f>
        <v>0</v>
      </c>
      <c r="BB491" s="140">
        <f>IF(BA491,(0+G491*0.287)*(1+J491)*(1-S491)*(1+$I$4)*IF(P491="会",'模拟-全程加成'!$J$3+'模拟-全程加成'!$J$4+'模拟-全程加成'!$J$5+('模拟-全程加成'!$I$4+'模拟-全程加成'!$I$5)/系数!$B$4+BG491*10%,IF(P491="命",1,IF(P491="识",0.25,0))),0)</f>
        <v>0</v>
      </c>
      <c r="BC491" s="115" t="b">
        <f ca="1">AND(模拟模式!$R$7="伏明众生",E491=60,F491=20,DA491&lt;5,CZ490&lt;$F$4)</f>
        <v>0</v>
      </c>
      <c r="BD491" s="115">
        <f t="shared" ca="1" si="404"/>
        <v>0</v>
      </c>
      <c r="BE491" s="115" t="b">
        <f t="shared" ca="1" si="405"/>
        <v>0</v>
      </c>
      <c r="BF491" s="47">
        <f ca="1">IF(BC491,4*('模拟-单技能数据'!$D$24+G491*'模拟-单技能数据'!$F$24)*(1+J491)*(1+'模拟-单技能数据'!$J$24)*(1-S491)*(1+$I$3)*(('模拟-全程加成'!$J$3+'模拟-全程加成'!$J$4+'模拟-全程加成'!$J$5+('模拟-全程加成'!$I$4+'模拟-全程加成'!$I$5)/系数!$B$4+BG491*10%)*('模拟-全程加成'!$J$3+'模拟-全程加成'!$J$4+'模拟-全程加成'!$J$5+('模拟-全程加成'!$I$4+'模拟-全程加成'!$I$5)/系数!$B$4+BG491*10%)+(1-('模拟-全程加成'!$J$3+'模拟-全程加成'!$J$4+'模拟-全程加成'!$J$5+('模拟-全程加成'!$I$4+'模拟-全程加成'!$I$5)/系数!$B$4+BG491*10%)-$F$10-$F$11)+F477*0.25),0)*'模拟-单技能数据'!$I$24</f>
        <v>0</v>
      </c>
      <c r="BG491" s="115" t="b">
        <f ca="1">OR(AND(OR(C491="烈日斩",C491="银月斩"),模拟模式!$I$7="净身明礼"),AND(C491="净世破魔击·日",模拟模式!$J$7="洞若观火"),AND(C492="净世破魔击·月",模拟模式!$J$7="洞若观火"),AB491=1)</f>
        <v>1</v>
      </c>
      <c r="BH491" s="115" t="b">
        <f t="shared" ca="1" si="443"/>
        <v>1</v>
      </c>
      <c r="BI491" s="115">
        <f t="shared" ca="1" si="406"/>
        <v>6</v>
      </c>
      <c r="BJ491" s="115" t="b">
        <f t="shared" ca="1" si="417"/>
        <v>1</v>
      </c>
      <c r="BK491" s="115" t="b">
        <f ca="1">AND(C491="驱夜断愁",模拟模式!$P$7="天地诛戮")</f>
        <v>1</v>
      </c>
      <c r="BL491" s="57">
        <f t="shared" ca="1" si="407"/>
        <v>20</v>
      </c>
      <c r="BM491" s="115" t="b">
        <f t="shared" ca="1" si="418"/>
        <v>1</v>
      </c>
      <c r="BN491" s="115" t="b">
        <f ca="1">AND(OR(C491="赤日轮1",C491="赤日轮2",C491="赤日轮3",C491="幽月轮1",C491="幽月轮2",C491="幽月轮3"),AB491=1,模拟模式!$L$7="明光恒照")</f>
        <v>0</v>
      </c>
      <c r="BO491" s="117">
        <f t="shared" ca="1" si="408"/>
        <v>28.155000000000001</v>
      </c>
      <c r="BP491" s="115">
        <f t="shared" ca="1" si="444"/>
        <v>6</v>
      </c>
      <c r="BQ491" s="115" t="b">
        <f>模拟模式!$K$10="2600·水"</f>
        <v>0</v>
      </c>
      <c r="BR491" s="117">
        <f t="shared" si="445"/>
        <v>0</v>
      </c>
      <c r="BS491" s="115">
        <f t="shared" si="446"/>
        <v>0</v>
      </c>
      <c r="BT491" s="115">
        <f t="shared" ca="1" si="447"/>
        <v>0</v>
      </c>
      <c r="BU491" s="115" t="b">
        <f ca="1">AND(模拟模式!$K$10="2300·雷",BT490=0,RAND()&lt;IF(C491="净世破魔击·月",5*0.05*2/3,IF(C491="净世破魔击·日",3*0.05*2/3,0.05*2*2/3)))</f>
        <v>0</v>
      </c>
      <c r="BV491" s="115">
        <f t="shared" ca="1" si="448"/>
        <v>0</v>
      </c>
      <c r="BW491" s="115">
        <f t="shared" ca="1" si="449"/>
        <v>127.41749999999924</v>
      </c>
      <c r="BX491" s="164" t="b">
        <f t="shared" ca="1" si="450"/>
        <v>0</v>
      </c>
      <c r="BY491" s="115">
        <f t="shared" ca="1" si="451"/>
        <v>0</v>
      </c>
      <c r="BZ491" s="115">
        <f>IF(OR(模拟模式!$P$16="10人团",模拟模式!$P$16="25人团"),IF(B491/30&gt;CA490,1,0),0)</f>
        <v>0</v>
      </c>
      <c r="CA491" s="115">
        <f t="shared" si="427"/>
        <v>0</v>
      </c>
      <c r="CB491" s="115">
        <f ca="1">IF(BZ491=1,IF(模拟模式!$P$16="10人团",15,0)+IF(模拟模式!$P$16="25人团",IF(RAND()&lt;0.6,15,0)),MAX(0,CB490-$F$4))</f>
        <v>0</v>
      </c>
      <c r="CC491" s="115" t="b">
        <f t="shared" ca="1" si="419"/>
        <v>0</v>
      </c>
      <c r="CD491" s="115">
        <f>IF(模拟模式!$Q$16="1个",IF(B491/40&gt;CE490,1,0),0)</f>
        <v>0</v>
      </c>
      <c r="CE491" s="115">
        <f t="shared" si="420"/>
        <v>0</v>
      </c>
      <c r="CF491" s="115">
        <f>IF(OR(CD491=1,模拟模式!$Q$16="2个"),20,MAX(0,CF490-$F$4))</f>
        <v>0</v>
      </c>
      <c r="CG491" s="115" t="b">
        <f t="shared" si="421"/>
        <v>0</v>
      </c>
      <c r="CH491" s="115">
        <f t="shared" ca="1" si="452"/>
        <v>17.085000000000008</v>
      </c>
      <c r="CI491" s="115" t="b">
        <f t="shared" ca="1" si="453"/>
        <v>0</v>
      </c>
      <c r="CJ491" s="119">
        <f t="shared" ca="1" si="454"/>
        <v>0</v>
      </c>
      <c r="CK491" s="115">
        <f t="shared" ca="1" si="455"/>
        <v>0</v>
      </c>
      <c r="CL491" s="115" t="b">
        <f ca="1">AND(模拟模式!$S$7="驱夷逐法",OR(AND(C491="净世破魔击·月",E490&gt;59),AND(C491="净世破魔击·日",F490&gt;59)))</f>
        <v>0</v>
      </c>
      <c r="CM491" s="115" t="b">
        <f ca="1">OR(CL491,AND(C491="净世破魔击·日",CL490,RAND()&lt;模拟模式!$U$23))</f>
        <v>0</v>
      </c>
      <c r="CN491" s="115" t="b">
        <f ca="1">IF(模拟模式!$M$7="辉耀红尘",AND(C491="净世破魔击·月",CL491,CV491=0,E490&lt;80),AND(C491="净世破魔击·月",CL491,E490&lt;100))</f>
        <v>0</v>
      </c>
      <c r="CO491" s="115" t="b">
        <f t="shared" ca="1" si="428"/>
        <v>0</v>
      </c>
      <c r="CP491" s="115" t="b">
        <f ca="1">AND(模拟模式!$O$7="用晦而明",OR(C491="净世破魔击·日",C491="净世破魔击·月",C491="驱夜断愁"),AB491)</f>
        <v>1</v>
      </c>
      <c r="CQ491" s="115" t="b">
        <f ca="1">OR(CP491,AND(CP490,RAND()&lt;模拟模式!$U$23))</f>
        <v>1</v>
      </c>
      <c r="CR491" s="115" t="b">
        <f ca="1">AND(模拟模式!$S$7="日月齐光",OR(C491="幽月轮1",C491="幽月轮2",C491="幽月轮3",CR490),NOT(OR(C491="赤日轮1",C491="赤日轮2",C491="赤日轮3")))</f>
        <v>0</v>
      </c>
      <c r="CS491" s="115" t="b">
        <f ca="1">AND(模拟模式!$S$7="日月齐光",OR(C491="赤日轮1",C491="赤日轮2",C491="赤日轮3",CS490),NOT(OR(C491="幽月轮1",C491="幽月轮2",C491="幽月轮3")))</f>
        <v>0</v>
      </c>
      <c r="CT491" s="115">
        <f t="shared" ca="1" si="456"/>
        <v>15.240000000000009</v>
      </c>
      <c r="CU491" s="115" t="b">
        <f ca="1">AND(模拟模式!$K$10="阴阳往极",CT490=0,RAND()&lt;IF(C491="净世破魔击·月",0.0275*7/3,IF(C491="净世破魔击·日",0.0275*3/3,0.0275*2/3)))</f>
        <v>0</v>
      </c>
      <c r="CV491" s="115">
        <f t="shared" ca="1" si="457"/>
        <v>0</v>
      </c>
      <c r="CW491" s="115">
        <f t="shared" ca="1" si="429"/>
        <v>0.46499999999999975</v>
      </c>
      <c r="CX491" s="115">
        <f t="shared" ca="1" si="430"/>
        <v>5.0774999999999997</v>
      </c>
      <c r="CY491" s="115">
        <f ca="1">MAX(IF($C491="驱夜断愁",IF(模拟模式!$R$7="万念俱寂",6,45),CY490-$F$4),0)</f>
        <v>6</v>
      </c>
      <c r="CZ491" s="115">
        <f t="shared" ca="1" si="431"/>
        <v>0</v>
      </c>
      <c r="DA491" s="115">
        <f ca="1">IF(模拟模式!$N$7="日月同辉",IF(DB490=2,0,MIN(6,IF(AND(OR(C491="赤日轮1",C491="赤日轮2",C491="赤日轮3",C491="幽月轮1",C491="幽月轮2",C491="幽月轮3"),AB491=1),DA490+1,DA490))),0)</f>
        <v>3</v>
      </c>
      <c r="DB491" s="115">
        <f t="shared" ca="1" si="432"/>
        <v>0</v>
      </c>
      <c r="DC491" s="115"/>
      <c r="DD491" s="115"/>
      <c r="DE491" s="115"/>
      <c r="DF491" s="115"/>
      <c r="DG491" s="115"/>
      <c r="DH491" s="115"/>
      <c r="DI491" s="115"/>
      <c r="DJ491" s="115"/>
      <c r="DK491" s="115"/>
      <c r="DL491" s="115"/>
      <c r="DM491" s="115"/>
    </row>
    <row r="492" spans="2:117" x14ac:dyDescent="0.2">
      <c r="B492" s="117">
        <f t="shared" si="433"/>
        <v>428.96250000000435</v>
      </c>
      <c r="C492" s="167" t="str">
        <f t="shared" ca="1" si="426"/>
        <v>烈日斩</v>
      </c>
      <c r="D492" s="115">
        <f ca="1">IF(C492="赤日轮1",1,IF(C492="赤日轮2",2,IF(C492="赤日轮3",3,IF(C492="幽月轮1",4,IF(C492="幽月轮2",5,IF(C492="幽月轮3",6,IF(C492="烈日斩",7,IF(C492="银月斩",8,IF(C492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492="净世破魔击·月",17,IF(C492="驱夜断愁",18,0)))))))))))</f>
        <v>7</v>
      </c>
      <c r="E492" s="115">
        <f ca="1">IF(AND(CU492,OR(C492="幽月轮1",C492="幽月轮2",C492="幽月轮3",C492="银月斩",C492="驱夜断愁",C492="净世破魔击·月")),100,MIN(IF(OR(CN492,BE492),0,IF(OR($C492="赤日轮1",$C492="赤日轮2",$C492="赤日轮3"),E491+20+IF(模拟模式!$I$7="日月凌天",4,0)+IF(CR491,20,0),IF($C492="烈日斩",E491+40,IF($C492="驱夜断愁",IF(模拟模式!$R$7="万念俱寂",E491+20,E491+60),IF($C492="净世破魔击·月",IF(OR(DB491&gt;0,CV491&gt;0),100,IF(模拟模式!$M$7="辉耀红尘",E491+20,E491)),IF($C492="净世破魔击·日",E491-100,E491)))))),100))</f>
        <v>80</v>
      </c>
      <c r="F492" s="115">
        <f ca="1">IF(AND(CU492,OR(C492="赤日轮1",C492="赤日轮2",C492="赤日轮3",C492="烈日斩",C492="净世破魔击·日")),100,MIN(IF(CO492,0,IF(OR($C492="幽月轮1",$C492="幽月轮2",$C492="幽月轮3"),F491+20+IF(模拟模式!$I$7="日月凌天",4,0)+IF(CS491,20,0),IF($C492="银月斩",F491+40+IF(模拟模式!$X$12=1,5,0),IF($C492="驱夜断愁",IF(模拟模式!$R$7="万念俱寂",F491+20,F491+60),IF($C492="净世破魔击·月",IF(模拟模式!$M$7="辉耀红尘",F491-80,F491-100),IF(AND(C492="净世破魔击·日",OR(DB491&gt;0,CV491&gt;0)),100,F491)))))),100))</f>
        <v>85</v>
      </c>
      <c r="G492" s="117">
        <f ca="1">('模拟-全程加成'!$E$3+'模拟-全程加成'!$E$4+'模拟-全程加成'!$E$5+('模拟-全程加成'!$C$6-'模拟-全程加成'!$C$3)*系数!$B$9+BS492*23)*(1+'模拟-全程加成'!$F$4+'模拟-全程加成'!$F$5+BJ492*10%+BM492*20%+BP492*4%+CG492*30%)+$F$7*系数!$B$12</f>
        <v>21493.829400000002</v>
      </c>
      <c r="H492" s="45">
        <f ca="1">'模拟-全程加成'!$H$3+'模拟-全程加成'!$H$4+'模拟-全程加成'!$H$5+('模拟-全程加成'!$G$4+'模拟-全程加成'!$G$5+('模拟-全程加成'!$C$6-'模拟-全程加成'!$C$3)*系数!$B$13)/系数!$B$3+LOOKUP(D492,'模拟-单技能数据'!$A$2:$A$19,'模拟-单技能数据'!$K$2:$K$19)+BG492*10%+IF(BV492&gt;0,378,0)</f>
        <v>0.56185145527300218</v>
      </c>
      <c r="I492" s="45">
        <f ca="1">'模拟-全程加成'!$J$3+'模拟-全程加成'!$J$4+'模拟-全程加成'!$J$5+('模拟-全程加成'!$I$4+'模拟-全程加成'!$I$5)/系数!$B$4+LOOKUP(D492,'模拟-单技能数据'!$A$2:$A$19,'模拟-单技能数据'!$L$2:$L$19)+BG492*10%</f>
        <v>2.2624828854998791</v>
      </c>
      <c r="J492" s="45">
        <f ca="1">(('模拟-全程加成'!$K$3+'模拟-全程加成'!$K$4+'模拟-全程加成'!$K$5+('模拟-全程加成'!$C$6-'模拟-全程加成'!$C$3)*系数!$B$10+IF(BV492&gt;0,882,0)+IF(BY492&gt;0,1831,0))*(1+'模拟-全程加成'!$L$4+'模拟-全程加成'!$L$5+CC492*20%))/系数!$B$5</f>
        <v>0.69723220422048726</v>
      </c>
      <c r="K492" s="119">
        <f ca="1">LOOKUP(D492,'模拟-单技能数据'!$A$2:$A$19,'模拟-单技能数据'!$J$2:$J$19)+IF(CM492,60%,0)+IF(DB491-DB492&gt;0,30%,0)+IF(OR(AND(OR(C492="赤日轮1",C492="赤日轮2",C492="赤日轮3"),CR492),AND(OR(C492="幽月轮1",C492="幽月轮2",C492="幽月轮3"),CS492)),35%,0)+CJ492</f>
        <v>0.24</v>
      </c>
      <c r="L492" s="119">
        <f ca="1">IF(AND(C492="烈日斩",模拟模式!$X$11=1),10%,0)+IF(AND(C492="驱夜断愁",AB492=1),30%,0)</f>
        <v>0.1</v>
      </c>
      <c r="M492" s="45">
        <f t="shared" ca="1" si="409"/>
        <v>0.56185145527300218</v>
      </c>
      <c r="N492" s="45">
        <f t="shared" ca="1" si="410"/>
        <v>0.38424854472699788</v>
      </c>
      <c r="O492" s="46">
        <f t="shared" ca="1" si="434"/>
        <v>0.70915862094003268</v>
      </c>
      <c r="P492" s="46" t="str">
        <f t="shared" ca="1" si="435"/>
        <v>命</v>
      </c>
      <c r="Q492" s="45">
        <f t="shared" ca="1" si="436"/>
        <v>1</v>
      </c>
      <c r="R492" s="117">
        <f ca="1">模拟模式!$E$20*(1-IF(模拟模式!$J$19="有",0.15,0))*(1-IF(模拟模式!$K$19="有",0.3,0)-IF(CQ492,0.5,0))</f>
        <v>843.02999999999975</v>
      </c>
      <c r="S492" s="45">
        <f ca="1">R492/(R492+(185*模拟模式!$E$22-16800)*4.08224)</f>
        <v>8.389626085980037E-2</v>
      </c>
      <c r="T492" s="45" t="str">
        <f ca="1">LOOKUP(D492,'模拟-单技能数据'!$A$2:$A$19,'模拟-单技能数据'!$H$2:$H$19)</f>
        <v>阳</v>
      </c>
      <c r="U492" s="119">
        <f t="shared" ca="1" si="411"/>
        <v>0.2</v>
      </c>
      <c r="V492" s="47">
        <f ca="1">(1+L492)*(LOOKUP(D492,'模拟-单技能数据'!$A$2:$A$19,'模拟-单技能数据'!$D$2:$D$19)+G492*LOOKUP(D492,'模拟-单技能数据'!$A$2:$A$19,'模拟-单技能数据'!$F$2:$F$19))*(1+J492)*(1+K492)*(1-S492)*(1+U492)*Q492*LOOKUP(D492,'模拟-单技能数据'!$A$2:$A$19,'模拟-单技能数据'!$I$2:$I$20)</f>
        <v>48841.631854871324</v>
      </c>
      <c r="W492" s="47">
        <f ca="1">LOOKUP(D492,'模拟-单技能数据'!$A$2:$A$19,'模拟-单技能数据'!$G$2:$G$19)*$I$10</f>
        <v>361.51064354704795</v>
      </c>
      <c r="X492" s="47">
        <f t="shared" ca="1" si="437"/>
        <v>9616.6571145767884</v>
      </c>
      <c r="Y492" s="47">
        <f t="shared" ca="1" si="412"/>
        <v>58819.799612995157</v>
      </c>
      <c r="Z492" s="49">
        <f t="shared" ca="1" si="413"/>
        <v>48667464.631152891</v>
      </c>
      <c r="AA492" s="97">
        <f t="shared" ca="1" si="414"/>
        <v>113453.89079733635</v>
      </c>
      <c r="AB492" s="115">
        <f ca="1">IF(OR(C492="赤日轮1",C492="赤日轮2",C492="赤日轮3"),IF(RAND()&lt;模拟模式!$Y$17,1,0),IF(OR(C492="幽月轮1",C492="幽月轮2",C492="幽月轮3"),IF(RAND()&lt;模拟模式!$Y$18,1,0),IF(C492="烈日斩",IF(RAND()&lt;模拟模式!$Y$19,1,0),IF(C492="银月斩",IF(RAND()&lt;模拟模式!$Y$20,1,0),IF(C492="驱夜断愁",IF(RAND()&lt;模拟模式!$Y$21,1,0),IF(C492="净世破魔击·日",IF(RAND()&lt;模拟模式!$Y$22,1,0),IF(C492="净世破魔击·月",IF(RAND()&lt;模拟模式!$Y$23,1,0),0)))))))</f>
        <v>1</v>
      </c>
      <c r="AC492" s="115" t="b">
        <f t="shared" ca="1" si="402"/>
        <v>0</v>
      </c>
      <c r="AD492" s="115" t="b">
        <f t="shared" ca="1" si="422"/>
        <v>1</v>
      </c>
      <c r="AE492" s="115">
        <f t="shared" ca="1" si="423"/>
        <v>4</v>
      </c>
      <c r="AF492" s="47">
        <f ca="1">IF(AC492,('模拟-单技能数据'!$D$20+G492*'模拟-单技能数据'!$F$20)*(1+J492)*(1+'模拟-单技能数据'!$J$20)*(1+U492),0)</f>
        <v>0</v>
      </c>
      <c r="AG492" s="61">
        <f t="shared" ca="1" si="415"/>
        <v>0.64185145527300214</v>
      </c>
      <c r="AH492" s="61">
        <f t="shared" ca="1" si="416"/>
        <v>2.2624828854998791</v>
      </c>
      <c r="AI492" s="62">
        <f t="shared" ca="1" si="438"/>
        <v>0.6065636393134729</v>
      </c>
      <c r="AJ492" s="47">
        <f ca="1">IF(AD492,IF(AI492&lt;$F$10,0,IF(AI492&lt;$F$10+$F$11,0.25,IF(AI492&lt;$F$10+$F$11+AG492,AH492,1)))*IF(AF492&gt;0,AF492,IF(AF491&gt;0,AF491,IF(AF490&gt;0,AF490,IF(AF489&gt;0,AF489,IF(AF488&gt;0,AF488,IF(AF487&gt;0,AF487,IF(AF486&gt;0,AF486,IF(AF485&gt;0,AF485,IF(AF484&gt;0,AF484,IF(AF482&gt;0,AF482,IF(AF481&gt;0,AF481,IF(AF480&gt;0,AF480,0)))))))))))),0)*(1-$S492)*'模拟-单技能数据'!$I$20</f>
        <v>9616.6571145767884</v>
      </c>
      <c r="AK492" s="115" t="b">
        <f t="shared" ca="1" si="403"/>
        <v>0</v>
      </c>
      <c r="AL492" s="115" t="b">
        <f t="shared" ca="1" si="424"/>
        <v>0</v>
      </c>
      <c r="AM492" s="115">
        <f t="shared" ca="1" si="425"/>
        <v>4</v>
      </c>
      <c r="AN492" s="47">
        <f ca="1">IF(AK492,('模拟-单技能数据'!$D$21+G492*'模拟-单技能数据'!$F$21)*(1+J492)*(1+'模拟-单技能数据'!$J$21)*(1+U492),0)</f>
        <v>0</v>
      </c>
      <c r="AO492" s="61">
        <f ca="1">IF(AN492&gt;0,M492-'模拟-单技能数据'!$K$10,AO491)</f>
        <v>0.42185145527300216</v>
      </c>
      <c r="AP492" s="61">
        <f ca="1">IF(AN492&gt;0,I492-'模拟-单技能数据'!$L$10,AP491)</f>
        <v>2.162482885499879</v>
      </c>
      <c r="AQ492" s="63">
        <f t="shared" ca="1" si="439"/>
        <v>0.51748871106190275</v>
      </c>
      <c r="AR492" s="64">
        <f ca="1">IF(AL492,IF(AQ492&lt;$F$10,0,IF(AQ492&lt;$F$10+$F$11,0.25,IF(AQ492&lt;$F$10+$F$11+AO492,AP492,1)))*IF(AN492&gt;0,AN492,IF(AN491&gt;0,AN491,IF(AN490&gt;0,AN490,IF(AN489&gt;0,AN489,IF(AN488&gt;0,AN488,IF(AN487&gt;0,AN487,IF(AN486&gt;0,AN486,IF(AN485&gt;0,AN485,IF(AN484&gt;0,AN484,IF(AN482&gt;0,AN482,IF(AN481&gt;0,AN481,IF(AN480&gt;0,AN480,0)))))))))))),0)*(1-$S492)*'模拟-单技能数据'!$I$21</f>
        <v>0</v>
      </c>
      <c r="AS492" s="61">
        <f ca="1">IF(OR(C492="净世破魔击·日",C492="净世破魔击·月"),M492-'模拟-单技能数据'!$K$10,0)</f>
        <v>0</v>
      </c>
      <c r="AT492" s="61">
        <f ca="1">IF(OR(C492="净世破魔击·日",C492="净世破魔击·月"),I492-'模拟-单技能数据'!$L$10,0)</f>
        <v>0</v>
      </c>
      <c r="AU492" s="62">
        <f t="shared" ca="1" si="440"/>
        <v>0.53487210683536746</v>
      </c>
      <c r="AV492" s="64">
        <f ca="1">IF(AS492&gt;0,('模拟-单技能数据'!$D$22+G492*'模拟-单技能数据'!$F$22)*(1+J492)*(1-S492)*IF(AU492&lt;$F$10,0,IF(AU492&lt;$F$10+$F$11,0.25,IF(AU492&lt;$F$10+$F$11+AS492,AT492,1)))*(1+U492),0)*'模拟-单技能数据'!$I$22</f>
        <v>0</v>
      </c>
      <c r="AW492" s="108">
        <f t="shared" ca="1" si="441"/>
        <v>8.0075000000000074</v>
      </c>
      <c r="AX492" s="108" t="b">
        <f ca="1">AND(模拟模式!$P$10="有",AW491=0,RAND()&lt;IF(C492="净世破魔击·月",0.1*8/3,IF(C492="净世破魔击·日",0.1*4/3,0.1*2/3)))</f>
        <v>0</v>
      </c>
      <c r="AY492" s="47">
        <f ca="1">IF(AX492,(18+G492*0.722)*(1+J492)*(1-S492)*(1+$I$4)*IF(P492="会",'模拟-全程加成'!$J$3+'模拟-全程加成'!$J$4+'模拟-全程加成'!$J$5+('模拟-全程加成'!$I$4+'模拟-全程加成'!$I$5)/系数!$B$4+BG492*10%,IF(P492="命",1,IF(P492="识",0.25,0))),0)</f>
        <v>0</v>
      </c>
      <c r="AZ492" s="108">
        <f t="shared" si="442"/>
        <v>17.232500000000002</v>
      </c>
      <c r="BA492" s="108" t="b">
        <f>AND(模拟模式!$Q$10="有",AZ491=0)</f>
        <v>0</v>
      </c>
      <c r="BB492" s="140">
        <f>IF(BA492,(0+G492*0.287)*(1+J492)*(1-S492)*(1+$I$4)*IF(P492="会",'模拟-全程加成'!$J$3+'模拟-全程加成'!$J$4+'模拟-全程加成'!$J$5+('模拟-全程加成'!$I$4+'模拟-全程加成'!$I$5)/系数!$B$4+BG492*10%,IF(P492="命",1,IF(P492="识",0.25,0))),0)</f>
        <v>0</v>
      </c>
      <c r="BC492" s="115" t="b">
        <f ca="1">AND(模拟模式!$R$7="伏明众生",E492=60,F492=20,DA492&lt;5,CZ491&lt;$F$4)</f>
        <v>0</v>
      </c>
      <c r="BD492" s="115">
        <f t="shared" ca="1" si="404"/>
        <v>0</v>
      </c>
      <c r="BE492" s="115" t="b">
        <f t="shared" ca="1" si="405"/>
        <v>0</v>
      </c>
      <c r="BF492" s="47">
        <f ca="1">IF(BC492,4*('模拟-单技能数据'!$D$24+G492*'模拟-单技能数据'!$F$24)*(1+J492)*(1+'模拟-单技能数据'!$J$24)*(1-S492)*(1+$I$3)*(('模拟-全程加成'!$J$3+'模拟-全程加成'!$J$4+'模拟-全程加成'!$J$5+('模拟-全程加成'!$I$4+'模拟-全程加成'!$I$5)/系数!$B$4+BG492*10%)*('模拟-全程加成'!$J$3+'模拟-全程加成'!$J$4+'模拟-全程加成'!$J$5+('模拟-全程加成'!$I$4+'模拟-全程加成'!$I$5)/系数!$B$4+BG492*10%)+(1-('模拟-全程加成'!$J$3+'模拟-全程加成'!$J$4+'模拟-全程加成'!$J$5+('模拟-全程加成'!$I$4+'模拟-全程加成'!$I$5)/系数!$B$4+BG492*10%)-$F$10-$F$11)+F478*0.25),0)*'模拟-单技能数据'!$I$24</f>
        <v>0</v>
      </c>
      <c r="BG492" s="115" t="b">
        <f ca="1">OR(AND(OR(C492="烈日斩",C492="银月斩"),模拟模式!$I$7="净身明礼"),AND(C492="净世破魔击·日",模拟模式!$J$7="洞若观火"),AND(C493="净世破魔击·月",模拟模式!$J$7="洞若观火"),AB492=1)</f>
        <v>1</v>
      </c>
      <c r="BH492" s="115" t="b">
        <f t="shared" ca="1" si="443"/>
        <v>0</v>
      </c>
      <c r="BI492" s="115">
        <f t="shared" ca="1" si="406"/>
        <v>5.0774999999999997</v>
      </c>
      <c r="BJ492" s="115" t="b">
        <f t="shared" ca="1" si="417"/>
        <v>1</v>
      </c>
      <c r="BK492" s="115" t="b">
        <f ca="1">AND(C492="驱夜断愁",模拟模式!$P$7="天地诛戮")</f>
        <v>0</v>
      </c>
      <c r="BL492" s="57">
        <f t="shared" ca="1" si="407"/>
        <v>19.077500000000001</v>
      </c>
      <c r="BM492" s="115" t="b">
        <f t="shared" ca="1" si="418"/>
        <v>1</v>
      </c>
      <c r="BN492" s="115" t="b">
        <f ca="1">AND(OR(C492="赤日轮1",C492="赤日轮2",C492="赤日轮3",C492="幽月轮1",C492="幽月轮2",C492="幽月轮3"),AB492=1,模拟模式!$L$7="明光恒照")</f>
        <v>0</v>
      </c>
      <c r="BO492" s="117">
        <f t="shared" ca="1" si="408"/>
        <v>27.232500000000002</v>
      </c>
      <c r="BP492" s="115">
        <f t="shared" ca="1" si="444"/>
        <v>6</v>
      </c>
      <c r="BQ492" s="115" t="b">
        <f>模拟模式!$K$10="2600·水"</f>
        <v>0</v>
      </c>
      <c r="BR492" s="117">
        <f t="shared" si="445"/>
        <v>0</v>
      </c>
      <c r="BS492" s="115">
        <f t="shared" si="446"/>
        <v>0</v>
      </c>
      <c r="BT492" s="115">
        <f t="shared" ca="1" si="447"/>
        <v>0</v>
      </c>
      <c r="BU492" s="115" t="b">
        <f ca="1">AND(模拟模式!$K$10="2300·雷",BT491=0,RAND()&lt;IF(C492="净世破魔击·月",5*0.05*2/3,IF(C492="净世破魔击·日",3*0.05*2/3,0.05*2*2/3)))</f>
        <v>0</v>
      </c>
      <c r="BV492" s="115">
        <f t="shared" ca="1" si="448"/>
        <v>0</v>
      </c>
      <c r="BW492" s="115">
        <f t="shared" ca="1" si="449"/>
        <v>126.49499999999924</v>
      </c>
      <c r="BX492" s="164" t="b">
        <f t="shared" ca="1" si="450"/>
        <v>0</v>
      </c>
      <c r="BY492" s="115">
        <f t="shared" ca="1" si="451"/>
        <v>0</v>
      </c>
      <c r="BZ492" s="115">
        <f>IF(OR(模拟模式!$P$16="10人团",模拟模式!$P$16="25人团"),IF(B492/30&gt;CA491,1,0),0)</f>
        <v>0</v>
      </c>
      <c r="CA492" s="115">
        <f t="shared" si="427"/>
        <v>0</v>
      </c>
      <c r="CB492" s="115">
        <f ca="1">IF(BZ492=1,IF(模拟模式!$P$16="10人团",15,0)+IF(模拟模式!$P$16="25人团",IF(RAND()&lt;0.6,15,0)),MAX(0,CB491-$F$4))</f>
        <v>0</v>
      </c>
      <c r="CC492" s="115" t="b">
        <f t="shared" ca="1" si="419"/>
        <v>0</v>
      </c>
      <c r="CD492" s="115">
        <f>IF(模拟模式!$Q$16="1个",IF(B492/40&gt;CE491,1,0),0)</f>
        <v>0</v>
      </c>
      <c r="CE492" s="115">
        <f t="shared" si="420"/>
        <v>0</v>
      </c>
      <c r="CF492" s="115">
        <f>IF(OR(CD492=1,模拟模式!$Q$16="2个"),20,MAX(0,CF491-$F$4))</f>
        <v>0</v>
      </c>
      <c r="CG492" s="115" t="b">
        <f t="shared" si="421"/>
        <v>0</v>
      </c>
      <c r="CH492" s="115">
        <f t="shared" ca="1" si="452"/>
        <v>16.162500000000009</v>
      </c>
      <c r="CI492" s="115" t="b">
        <f t="shared" ca="1" si="453"/>
        <v>0</v>
      </c>
      <c r="CJ492" s="119">
        <f t="shared" ca="1" si="454"/>
        <v>0</v>
      </c>
      <c r="CK492" s="115">
        <f t="shared" ca="1" si="455"/>
        <v>0</v>
      </c>
      <c r="CL492" s="115" t="b">
        <f ca="1">AND(模拟模式!$S$7="驱夷逐法",OR(AND(C492="净世破魔击·月",E491&gt;59),AND(C492="净世破魔击·日",F491&gt;59)))</f>
        <v>0</v>
      </c>
      <c r="CM492" s="115" t="b">
        <f ca="1">OR(CL492,AND(C492="净世破魔击·日",CL491,RAND()&lt;模拟模式!$U$23))</f>
        <v>0</v>
      </c>
      <c r="CN492" s="115" t="b">
        <f ca="1">IF(模拟模式!$M$7="辉耀红尘",AND(C492="净世破魔击·月",CL492,CV492=0,E491&lt;80),AND(C492="净世破魔击·月",CL492,E491&lt;100))</f>
        <v>0</v>
      </c>
      <c r="CO492" s="115" t="b">
        <f t="shared" ca="1" si="428"/>
        <v>0</v>
      </c>
      <c r="CP492" s="115" t="b">
        <f ca="1">AND(模拟模式!$O$7="用晦而明",OR(C492="净世破魔击·日",C492="净世破魔击·月",C492="驱夜断愁"),AB492)</f>
        <v>0</v>
      </c>
      <c r="CQ492" s="115" t="b">
        <f ca="1">OR(CP492,AND(CP491,RAND()&lt;模拟模式!$U$23))</f>
        <v>1</v>
      </c>
      <c r="CR492" s="115" t="b">
        <f ca="1">AND(模拟模式!$S$7="日月齐光",OR(C492="幽月轮1",C492="幽月轮2",C492="幽月轮3",CR491),NOT(OR(C492="赤日轮1",C492="赤日轮2",C492="赤日轮3")))</f>
        <v>0</v>
      </c>
      <c r="CS492" s="115" t="b">
        <f ca="1">AND(模拟模式!$S$7="日月齐光",OR(C492="赤日轮1",C492="赤日轮2",C492="赤日轮3",CS491),NOT(OR(C492="幽月轮1",C492="幽月轮2",C492="幽月轮3")))</f>
        <v>0</v>
      </c>
      <c r="CT492" s="115">
        <f t="shared" ca="1" si="456"/>
        <v>14.31750000000001</v>
      </c>
      <c r="CU492" s="115" t="b">
        <f ca="1">AND(模拟模式!$K$10="阴阳往极",CT491=0,RAND()&lt;IF(C492="净世破魔击·月",0.0275*7/3,IF(C492="净世破魔击·日",0.0275*3/3,0.0275*2/3)))</f>
        <v>0</v>
      </c>
      <c r="CV492" s="115">
        <f t="shared" ca="1" si="457"/>
        <v>0</v>
      </c>
      <c r="CW492" s="115">
        <f t="shared" ca="1" si="429"/>
        <v>6</v>
      </c>
      <c r="CX492" s="115">
        <f t="shared" ca="1" si="430"/>
        <v>4.1549999999999994</v>
      </c>
      <c r="CY492" s="115">
        <f ca="1">MAX(IF($C492="驱夜断愁",IF(模拟模式!$R$7="万念俱寂",6,45),CY491-$F$4),0)</f>
        <v>5.0774999999999997</v>
      </c>
      <c r="CZ492" s="115">
        <f t="shared" ca="1" si="431"/>
        <v>0</v>
      </c>
      <c r="DA492" s="115">
        <f ca="1">IF(模拟模式!$N$7="日月同辉",IF(DB491=2,0,MIN(6,IF(AND(OR(C492="赤日轮1",C492="赤日轮2",C492="赤日轮3",C492="幽月轮1",C492="幽月轮2",C492="幽月轮3"),AB492=1),DA491+1,DA491))),0)</f>
        <v>3</v>
      </c>
      <c r="DB492" s="115">
        <f t="shared" ca="1" si="432"/>
        <v>0</v>
      </c>
      <c r="DC492" s="115"/>
      <c r="DD492" s="115"/>
      <c r="DE492" s="115"/>
      <c r="DF492" s="115"/>
      <c r="DG492" s="115"/>
      <c r="DH492" s="115"/>
      <c r="DI492" s="115"/>
      <c r="DJ492" s="115"/>
      <c r="DK492" s="115"/>
      <c r="DL492" s="115"/>
      <c r="DM492" s="115"/>
    </row>
    <row r="493" spans="2:117" x14ac:dyDescent="0.2">
      <c r="B493" s="117">
        <f t="shared" si="433"/>
        <v>429.88500000000437</v>
      </c>
      <c r="C493" s="167" t="str">
        <f t="shared" ca="1" si="426"/>
        <v>幽月轮1</v>
      </c>
      <c r="D493" s="115">
        <f ca="1">IF(C493="赤日轮1",1,IF(C493="赤日轮2",2,IF(C493="赤日轮3",3,IF(C493="幽月轮1",4,IF(C493="幽月轮2",5,IF(C493="幽月轮3",6,IF(C493="烈日斩",7,IF(C493="银月斩",8,IF(C493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493="净世破魔击·月",17,IF(C493="驱夜断愁",18,0)))))))))))</f>
        <v>4</v>
      </c>
      <c r="E493" s="115">
        <f ca="1">IF(AND(CU493,OR(C493="幽月轮1",C493="幽月轮2",C493="幽月轮3",C493="银月斩",C493="驱夜断愁",C493="净世破魔击·月")),100,MIN(IF(OR(CN493,BE493),0,IF(OR($C493="赤日轮1",$C493="赤日轮2",$C493="赤日轮3"),E492+20+IF(模拟模式!$I$7="日月凌天",4,0)+IF(CR492,20,0),IF($C493="烈日斩",E492+40,IF($C493="驱夜断愁",IF(模拟模式!$R$7="万念俱寂",E492+20,E492+60),IF($C493="净世破魔击·月",IF(OR(DB492&gt;0,CV492&gt;0),100,IF(模拟模式!$M$7="辉耀红尘",E492+20,E492)),IF($C493="净世破魔击·日",E492-100,E492)))))),100))</f>
        <v>80</v>
      </c>
      <c r="F493" s="115">
        <f ca="1">IF(AND(CU493,OR(C493="赤日轮1",C493="赤日轮2",C493="赤日轮3",C493="烈日斩",C493="净世破魔击·日")),100,MIN(IF(CO493,0,IF(OR($C493="幽月轮1",$C493="幽月轮2",$C493="幽月轮3"),F492+20+IF(模拟模式!$I$7="日月凌天",4,0)+IF(CS492,20,0),IF($C493="银月斩",F492+40+IF(模拟模式!$X$12=1,5,0),IF($C493="驱夜断愁",IF(模拟模式!$R$7="万念俱寂",F492+20,F492+60),IF($C493="净世破魔击·月",IF(模拟模式!$M$7="辉耀红尘",F492-80,F492-100),IF(AND(C493="净世破魔击·日",OR(DB492&gt;0,CV492&gt;0)),100,F492)))))),100))</f>
        <v>100</v>
      </c>
      <c r="G493" s="117">
        <f ca="1">('模拟-全程加成'!$E$3+'模拟-全程加成'!$E$4+'模拟-全程加成'!$E$5+('模拟-全程加成'!$C$6-'模拟-全程加成'!$C$3)*系数!$B$9+BS493*23)*(1+'模拟-全程加成'!$F$4+'模拟-全程加成'!$F$5+BJ493*10%+BM493*20%+BP493*4%+CG493*30%)+$F$7*系数!$B$12</f>
        <v>21493.829400000002</v>
      </c>
      <c r="H493" s="45">
        <f ca="1">'模拟-全程加成'!$H$3+'模拟-全程加成'!$H$4+'模拟-全程加成'!$H$5+('模拟-全程加成'!$G$4+'模拟-全程加成'!$G$5+('模拟-全程加成'!$C$6-'模拟-全程加成'!$C$3)*系数!$B$13)/系数!$B$3+LOOKUP(D493,'模拟-单技能数据'!$A$2:$A$19,'模拟-单技能数据'!$K$2:$K$19)+BG493*10%+IF(BV493&gt;0,378,0)</f>
        <v>0.51185145527300213</v>
      </c>
      <c r="I493" s="45">
        <f ca="1">'模拟-全程加成'!$J$3+'模拟-全程加成'!$J$4+'模拟-全程加成'!$J$5+('模拟-全程加成'!$I$4+'模拟-全程加成'!$I$5)/系数!$B$4+LOOKUP(D493,'模拟-单技能数据'!$A$2:$A$19,'模拟-单技能数据'!$L$2:$L$19)+BG493*10%</f>
        <v>2.162482885499879</v>
      </c>
      <c r="J493" s="45">
        <f ca="1">(('模拟-全程加成'!$K$3+'模拟-全程加成'!$K$4+'模拟-全程加成'!$K$5+('模拟-全程加成'!$C$6-'模拟-全程加成'!$C$3)*系数!$B$10+IF(BV493&gt;0,882,0)+IF(BY493&gt;0,1831,0))*(1+'模拟-全程加成'!$L$4+'模拟-全程加成'!$L$5+CC493*20%))/系数!$B$5</f>
        <v>0.69723220422048726</v>
      </c>
      <c r="K493" s="119">
        <f ca="1">LOOKUP(D493,'模拟-单技能数据'!$A$2:$A$19,'模拟-单技能数据'!$J$2:$J$19)+IF(CM493,60%,0)+IF(DB492-DB493&gt;0,30%,0)+IF(OR(AND(OR(C493="赤日轮1",C493="赤日轮2",C493="赤日轮3"),CR493),AND(OR(C493="幽月轮1",C493="幽月轮2",C493="幽月轮3"),CS493)),35%,0)+CJ493</f>
        <v>7.0000000000000007E-2</v>
      </c>
      <c r="L493" s="119">
        <f ca="1">IF(AND(C493="烈日斩",模拟模式!$X$11=1),10%,0)+IF(AND(C493="驱夜断愁",AB493=1),30%,0)</f>
        <v>0</v>
      </c>
      <c r="M493" s="45">
        <f t="shared" ca="1" si="409"/>
        <v>0.51185145527300213</v>
      </c>
      <c r="N493" s="45">
        <f t="shared" ca="1" si="410"/>
        <v>0.43424854472699792</v>
      </c>
      <c r="O493" s="46">
        <f t="shared" ca="1" si="434"/>
        <v>0.32784920794213102</v>
      </c>
      <c r="P493" s="46" t="str">
        <f t="shared" ca="1" si="435"/>
        <v>会</v>
      </c>
      <c r="Q493" s="45">
        <f t="shared" ca="1" si="436"/>
        <v>2.162482885499879</v>
      </c>
      <c r="R493" s="117">
        <f ca="1">模拟模式!$E$20*(1-IF(模拟模式!$J$19="有",0.15,0))*(1-IF(模拟模式!$K$19="有",0.3,0)-IF(CQ493,0.5,0))</f>
        <v>2950.6049999999996</v>
      </c>
      <c r="S493" s="45">
        <f ca="1">R493/(R493+(185*模拟模式!$E$22-16800)*4.08224)</f>
        <v>0.24272716014590323</v>
      </c>
      <c r="T493" s="45" t="str">
        <f ca="1">LOOKUP(D493,'模拟-单技能数据'!$A$2:$A$19,'模拟-单技能数据'!$H$2:$H$19)</f>
        <v>阴</v>
      </c>
      <c r="U493" s="119">
        <f t="shared" ca="1" si="411"/>
        <v>0.08</v>
      </c>
      <c r="V493" s="47">
        <f ca="1">(1+L493)*(LOOKUP(D493,'模拟-单技能数据'!$A$2:$A$19,'模拟-单技能数据'!$D$2:$D$19)+G493*LOOKUP(D493,'模拟-单技能数据'!$A$2:$A$19,'模拟-单技能数据'!$F$2:$F$19))*(1+J493)*(1+K493)*(1-S493)*(1+U493)*Q493*LOOKUP(D493,'模拟-单技能数据'!$A$2:$A$19,'模拟-单技能数据'!$I$2:$I$20)</f>
        <v>36630.702053185581</v>
      </c>
      <c r="W493" s="47">
        <f ca="1">LOOKUP(D493,'模拟-单技能数据'!$A$2:$A$19,'模拟-单技能数据'!$G$2:$G$19)*$I$10</f>
        <v>361.51064354704795</v>
      </c>
      <c r="X493" s="47">
        <f t="shared" ca="1" si="437"/>
        <v>20749.792464251139</v>
      </c>
      <c r="Y493" s="47">
        <f t="shared" ca="1" si="412"/>
        <v>57742.005160983768</v>
      </c>
      <c r="Z493" s="49">
        <f t="shared" ca="1" si="413"/>
        <v>48725206.636313878</v>
      </c>
      <c r="AA493" s="97">
        <f t="shared" ca="1" si="414"/>
        <v>113344.74716799466</v>
      </c>
      <c r="AB493" s="115">
        <f ca="1">IF(OR(C493="赤日轮1",C493="赤日轮2",C493="赤日轮3"),IF(RAND()&lt;模拟模式!$Y$17,1,0),IF(OR(C493="幽月轮1",C493="幽月轮2",C493="幽月轮3"),IF(RAND()&lt;模拟模式!$Y$18,1,0),IF(C493="烈日斩",IF(RAND()&lt;模拟模式!$Y$19,1,0),IF(C493="银月斩",IF(RAND()&lt;模拟模式!$Y$20,1,0),IF(C493="驱夜断愁",IF(RAND()&lt;模拟模式!$Y$21,1,0),IF(C493="净世破魔击·日",IF(RAND()&lt;模拟模式!$Y$22,1,0),IF(C493="净世破魔击·月",IF(RAND()&lt;模拟模式!$Y$23,1,0),0)))))))</f>
        <v>1</v>
      </c>
      <c r="AC493" s="115" t="b">
        <f t="shared" ca="1" si="402"/>
        <v>0</v>
      </c>
      <c r="AD493" s="115" t="b">
        <f t="shared" ca="1" si="422"/>
        <v>0</v>
      </c>
      <c r="AE493" s="115">
        <f t="shared" ca="1" si="423"/>
        <v>4</v>
      </c>
      <c r="AF493" s="47">
        <f ca="1">IF(AC493,('模拟-单技能数据'!$D$20+G493*'模拟-单技能数据'!$F$20)*(1+J493)*(1+'模拟-单技能数据'!$J$20)*(1+U493),0)</f>
        <v>0</v>
      </c>
      <c r="AG493" s="61">
        <f t="shared" ca="1" si="415"/>
        <v>0.64185145527300214</v>
      </c>
      <c r="AH493" s="61">
        <f t="shared" ca="1" si="416"/>
        <v>2.2624828854998791</v>
      </c>
      <c r="AI493" s="62">
        <f t="shared" ca="1" si="438"/>
        <v>0.23709777851206004</v>
      </c>
      <c r="AJ493" s="47">
        <f ca="1">IF(AD493,IF(AI493&lt;$F$10,0,IF(AI493&lt;$F$10+$F$11,0.25,IF(AI493&lt;$F$10+$F$11+AG493,AH493,1)))*IF(AF493&gt;0,AF493,IF(AF492&gt;0,AF492,IF(AF491&gt;0,AF491,IF(AF490&gt;0,AF490,IF(AF489&gt;0,AF489,IF(AF488&gt;0,AF488,IF(AF487&gt;0,AF487,IF(AF486&gt;0,AF486,IF(AF485&gt;0,AF485,IF(AF483&gt;0,AF483,IF(AF482&gt;0,AF482,IF(AF481&gt;0,AF481,0)))))))))))),0)*(1-$S493)*'模拟-单技能数据'!$I$20</f>
        <v>0</v>
      </c>
      <c r="AK493" s="115" t="b">
        <f t="shared" ca="1" si="403"/>
        <v>0</v>
      </c>
      <c r="AL493" s="115" t="b">
        <f t="shared" ca="1" si="424"/>
        <v>1</v>
      </c>
      <c r="AM493" s="115">
        <f t="shared" ca="1" si="425"/>
        <v>3</v>
      </c>
      <c r="AN493" s="47">
        <f ca="1">IF(AK493,('模拟-单技能数据'!$D$21+G493*'模拟-单技能数据'!$F$21)*(1+J493)*(1+'模拟-单技能数据'!$J$21)*(1+U493),0)</f>
        <v>0</v>
      </c>
      <c r="AO493" s="61">
        <f ca="1">IF(AN493&gt;0,M493-'模拟-单技能数据'!$K$10,AO492)</f>
        <v>0.42185145527300216</v>
      </c>
      <c r="AP493" s="61">
        <f ca="1">IF(AN493&gt;0,I493-'模拟-单技能数据'!$L$10,AP492)</f>
        <v>2.162482885499879</v>
      </c>
      <c r="AQ493" s="63">
        <f t="shared" ca="1" si="439"/>
        <v>5.5118497394779475E-2</v>
      </c>
      <c r="AR493" s="64">
        <f ca="1">IF(AL493,IF(AQ493&lt;$F$10,0,IF(AQ493&lt;$F$10+$F$11,0.25,IF(AQ493&lt;$F$10+$F$11+AO493,AP493,1)))*IF(AN493&gt;0,AN493,IF(AN492&gt;0,AN492,IF(AN491&gt;0,AN491,IF(AN490&gt;0,AN490,IF(AN489&gt;0,AN489,IF(AN488&gt;0,AN488,IF(AN487&gt;0,AN487,IF(AN486&gt;0,AN486,IF(AN485&gt;0,AN485,IF(AN483&gt;0,AN483,IF(AN482&gt;0,AN482,IF(AN481&gt;0,AN481,0)))))))))))),0)*(1-$S493)*'模拟-单技能数据'!$I$21</f>
        <v>20749.792464251139</v>
      </c>
      <c r="AS493" s="61">
        <f ca="1">IF(OR(C493="净世破魔击·日",C493="净世破魔击·月"),M493-'模拟-单技能数据'!$K$10,0)</f>
        <v>0</v>
      </c>
      <c r="AT493" s="61">
        <f ca="1">IF(OR(C493="净世破魔击·日",C493="净世破魔击·月"),I493-'模拟-单技能数据'!$L$10,0)</f>
        <v>0</v>
      </c>
      <c r="AU493" s="62">
        <f t="shared" ca="1" si="440"/>
        <v>0.17625197856063224</v>
      </c>
      <c r="AV493" s="64">
        <f ca="1">IF(AS493&gt;0,('模拟-单技能数据'!$D$22+G493*'模拟-单技能数据'!$F$22)*(1+J493)*(1-S493)*IF(AU493&lt;$F$10,0,IF(AU493&lt;$F$10+$F$11,0.25,IF(AU493&lt;$F$10+$F$11+AS493,AT493,1)))*(1+U493),0)*'模拟-单技能数据'!$I$22</f>
        <v>0</v>
      </c>
      <c r="AW493" s="108">
        <f t="shared" ca="1" si="441"/>
        <v>7.0850000000000071</v>
      </c>
      <c r="AX493" s="108" t="b">
        <f ca="1">AND(模拟模式!$P$10="有",AW492=0,RAND()&lt;IF(C493="净世破魔击·月",0.1*8/3,IF(C493="净世破魔击·日",0.1*4/3,0.1*2/3)))</f>
        <v>0</v>
      </c>
      <c r="AY493" s="47">
        <f ca="1">IF(AX493,(18+G493*0.722)*(1+J493)*(1-S493)*(1+$I$4)*IF(P493="会",'模拟-全程加成'!$J$3+'模拟-全程加成'!$J$4+'模拟-全程加成'!$J$5+('模拟-全程加成'!$I$4+'模拟-全程加成'!$I$5)/系数!$B$4+BG493*10%,IF(P493="命",1,IF(P493="识",0.25,0))),0)</f>
        <v>0</v>
      </c>
      <c r="AZ493" s="108">
        <f t="shared" si="442"/>
        <v>16.310000000000002</v>
      </c>
      <c r="BA493" s="108" t="b">
        <f>AND(模拟模式!$Q$10="有",AZ492=0)</f>
        <v>0</v>
      </c>
      <c r="BB493" s="140">
        <f>IF(BA493,(0+G493*0.287)*(1+J493)*(1-S493)*(1+$I$4)*IF(P493="会",'模拟-全程加成'!$J$3+'模拟-全程加成'!$J$4+'模拟-全程加成'!$J$5+('模拟-全程加成'!$I$4+'模拟-全程加成'!$I$5)/系数!$B$4+BG493*10%,IF(P493="命",1,IF(P493="识",0.25,0))),0)</f>
        <v>0</v>
      </c>
      <c r="BC493" s="115" t="b">
        <f ca="1">AND(模拟模式!$R$7="伏明众生",E493=60,F493=20,DA493&lt;5,CZ492&lt;$F$4)</f>
        <v>0</v>
      </c>
      <c r="BD493" s="115">
        <f t="shared" ca="1" si="404"/>
        <v>0</v>
      </c>
      <c r="BE493" s="115" t="b">
        <f t="shared" ca="1" si="405"/>
        <v>0</v>
      </c>
      <c r="BF493" s="47">
        <f ca="1">IF(BC493,4*('模拟-单技能数据'!$D$24+G493*'模拟-单技能数据'!$F$24)*(1+J493)*(1+'模拟-单技能数据'!$J$24)*(1-S493)*(1+$I$3)*(('模拟-全程加成'!$J$3+'模拟-全程加成'!$J$4+'模拟-全程加成'!$J$5+('模拟-全程加成'!$I$4+'模拟-全程加成'!$I$5)/系数!$B$4+BG493*10%)*('模拟-全程加成'!$J$3+'模拟-全程加成'!$J$4+'模拟-全程加成'!$J$5+('模拟-全程加成'!$I$4+'模拟-全程加成'!$I$5)/系数!$B$4+BG493*10%)+(1-('模拟-全程加成'!$J$3+'模拟-全程加成'!$J$4+'模拟-全程加成'!$J$5+('模拟-全程加成'!$I$4+'模拟-全程加成'!$I$5)/系数!$B$4+BG493*10%)-$F$10-$F$11)+F479*0.25),0)*'模拟-单技能数据'!$I$24</f>
        <v>0</v>
      </c>
      <c r="BG493" s="115" t="b">
        <f ca="1">OR(AND(OR(C493="烈日斩",C493="银月斩"),模拟模式!$I$7="净身明礼"),AND(C493="净世破魔击·日",模拟模式!$J$7="洞若观火"),AND(C494="净世破魔击·月",模拟模式!$J$7="洞若观火"),AB493=1)</f>
        <v>1</v>
      </c>
      <c r="BH493" s="115" t="b">
        <f t="shared" ca="1" si="443"/>
        <v>0</v>
      </c>
      <c r="BI493" s="115">
        <f t="shared" ca="1" si="406"/>
        <v>4.1549999999999994</v>
      </c>
      <c r="BJ493" s="115" t="b">
        <f t="shared" ca="1" si="417"/>
        <v>1</v>
      </c>
      <c r="BK493" s="115" t="b">
        <f ca="1">AND(C493="驱夜断愁",模拟模式!$P$7="天地诛戮")</f>
        <v>0</v>
      </c>
      <c r="BL493" s="57">
        <f t="shared" ca="1" si="407"/>
        <v>18.155000000000001</v>
      </c>
      <c r="BM493" s="115" t="b">
        <f t="shared" ca="1" si="418"/>
        <v>1</v>
      </c>
      <c r="BN493" s="115" t="b">
        <f ca="1">AND(OR(C493="赤日轮1",C493="赤日轮2",C493="赤日轮3",C493="幽月轮1",C493="幽月轮2",C493="幽月轮3"),AB493=1,模拟模式!$L$7="明光恒照")</f>
        <v>1</v>
      </c>
      <c r="BO493" s="117">
        <f t="shared" ca="1" si="408"/>
        <v>30</v>
      </c>
      <c r="BP493" s="115">
        <f t="shared" ca="1" si="444"/>
        <v>6</v>
      </c>
      <c r="BQ493" s="115" t="b">
        <f>模拟模式!$K$10="2600·水"</f>
        <v>0</v>
      </c>
      <c r="BR493" s="117">
        <f t="shared" si="445"/>
        <v>0</v>
      </c>
      <c r="BS493" s="115">
        <f t="shared" si="446"/>
        <v>0</v>
      </c>
      <c r="BT493" s="115">
        <f t="shared" ca="1" si="447"/>
        <v>0</v>
      </c>
      <c r="BU493" s="115" t="b">
        <f ca="1">AND(模拟模式!$K$10="2300·雷",BT492=0,RAND()&lt;IF(C493="净世破魔击·月",5*0.05*2/3,IF(C493="净世破魔击·日",3*0.05*2/3,0.05*2*2/3)))</f>
        <v>0</v>
      </c>
      <c r="BV493" s="115">
        <f t="shared" ca="1" si="448"/>
        <v>0</v>
      </c>
      <c r="BW493" s="115">
        <f t="shared" ca="1" si="449"/>
        <v>125.57249999999924</v>
      </c>
      <c r="BX493" s="164" t="b">
        <f t="shared" ca="1" si="450"/>
        <v>0</v>
      </c>
      <c r="BY493" s="115">
        <f t="shared" ca="1" si="451"/>
        <v>0</v>
      </c>
      <c r="BZ493" s="115">
        <f>IF(OR(模拟模式!$P$16="10人团",模拟模式!$P$16="25人团"),IF(B493/30&gt;CA492,1,0),0)</f>
        <v>0</v>
      </c>
      <c r="CA493" s="115">
        <f t="shared" si="427"/>
        <v>0</v>
      </c>
      <c r="CB493" s="115">
        <f ca="1">IF(BZ493=1,IF(模拟模式!$P$16="10人团",15,0)+IF(模拟模式!$P$16="25人团",IF(RAND()&lt;0.6,15,0)),MAX(0,CB492-$F$4))</f>
        <v>0</v>
      </c>
      <c r="CC493" s="115" t="b">
        <f t="shared" ca="1" si="419"/>
        <v>0</v>
      </c>
      <c r="CD493" s="115">
        <f>IF(模拟模式!$Q$16="1个",IF(B493/40&gt;CE492,1,0),0)</f>
        <v>0</v>
      </c>
      <c r="CE493" s="115">
        <f t="shared" si="420"/>
        <v>0</v>
      </c>
      <c r="CF493" s="115">
        <f>IF(OR(CD493=1,模拟模式!$Q$16="2个"),20,MAX(0,CF492-$F$4))</f>
        <v>0</v>
      </c>
      <c r="CG493" s="115" t="b">
        <f t="shared" si="421"/>
        <v>0</v>
      </c>
      <c r="CH493" s="115">
        <f t="shared" ca="1" si="452"/>
        <v>15.240000000000009</v>
      </c>
      <c r="CI493" s="115" t="b">
        <f t="shared" ca="1" si="453"/>
        <v>0</v>
      </c>
      <c r="CJ493" s="119">
        <f t="shared" ca="1" si="454"/>
        <v>0</v>
      </c>
      <c r="CK493" s="115">
        <f t="shared" ca="1" si="455"/>
        <v>0</v>
      </c>
      <c r="CL493" s="115" t="b">
        <f ca="1">AND(模拟模式!$S$7="驱夷逐法",OR(AND(C493="净世破魔击·月",E492&gt;59),AND(C493="净世破魔击·日",F492&gt;59)))</f>
        <v>0</v>
      </c>
      <c r="CM493" s="115" t="b">
        <f ca="1">OR(CL493,AND(C493="净世破魔击·日",CL492,RAND()&lt;模拟模式!$U$23))</f>
        <v>0</v>
      </c>
      <c r="CN493" s="115" t="b">
        <f ca="1">IF(模拟模式!$M$7="辉耀红尘",AND(C493="净世破魔击·月",CL493,CV493=0,E492&lt;80),AND(C493="净世破魔击·月",CL493,E492&lt;100))</f>
        <v>0</v>
      </c>
      <c r="CO493" s="115" t="b">
        <f t="shared" ca="1" si="428"/>
        <v>0</v>
      </c>
      <c r="CP493" s="115" t="b">
        <f ca="1">AND(模拟模式!$O$7="用晦而明",OR(C493="净世破魔击·日",C493="净世破魔击·月",C493="驱夜断愁"),AB493)</f>
        <v>0</v>
      </c>
      <c r="CQ493" s="115" t="b">
        <f ca="1">OR(CP493,AND(CP492,RAND()&lt;模拟模式!$U$23))</f>
        <v>0</v>
      </c>
      <c r="CR493" s="115" t="b">
        <f ca="1">AND(模拟模式!$S$7="日月齐光",OR(C493="幽月轮1",C493="幽月轮2",C493="幽月轮3",CR492),NOT(OR(C493="赤日轮1",C493="赤日轮2",C493="赤日轮3")))</f>
        <v>0</v>
      </c>
      <c r="CS493" s="115" t="b">
        <f ca="1">AND(模拟模式!$S$7="日月齐光",OR(C493="赤日轮1",C493="赤日轮2",C493="赤日轮3",CS492),NOT(OR(C493="幽月轮1",C493="幽月轮2",C493="幽月轮3")))</f>
        <v>0</v>
      </c>
      <c r="CT493" s="115">
        <f t="shared" ca="1" si="456"/>
        <v>13.39500000000001</v>
      </c>
      <c r="CU493" s="115" t="b">
        <f ca="1">AND(模拟模式!$K$10="阴阳往极",CT492=0,RAND()&lt;IF(C493="净世破魔击·月",0.0275*7/3,IF(C493="净世破魔击·日",0.0275*3/3,0.0275*2/3)))</f>
        <v>0</v>
      </c>
      <c r="CV493" s="115">
        <f t="shared" ca="1" si="457"/>
        <v>0</v>
      </c>
      <c r="CW493" s="115">
        <f t="shared" ca="1" si="429"/>
        <v>5.0774999999999997</v>
      </c>
      <c r="CX493" s="115">
        <f t="shared" ca="1" si="430"/>
        <v>3.2324999999999995</v>
      </c>
      <c r="CY493" s="115">
        <f ca="1">MAX(IF($C493="驱夜断愁",IF(模拟模式!$R$7="万念俱寂",6,45),CY492-$F$4),0)</f>
        <v>4.1549999999999994</v>
      </c>
      <c r="CZ493" s="115">
        <f t="shared" ca="1" si="431"/>
        <v>0</v>
      </c>
      <c r="DA493" s="115">
        <f ca="1">IF(模拟模式!$N$7="日月同辉",IF(DB492=2,0,MIN(6,IF(AND(OR(C493="赤日轮1",C493="赤日轮2",C493="赤日轮3",C493="幽月轮1",C493="幽月轮2",C493="幽月轮3"),AB493=1),DA492+1,DA492))),0)</f>
        <v>4</v>
      </c>
      <c r="DB493" s="115">
        <f t="shared" ca="1" si="432"/>
        <v>0</v>
      </c>
      <c r="DC493" s="115"/>
      <c r="DD493" s="115"/>
      <c r="DE493" s="115"/>
      <c r="DF493" s="115"/>
      <c r="DG493" s="115"/>
      <c r="DH493" s="115"/>
      <c r="DI493" s="115"/>
      <c r="DJ493" s="115"/>
      <c r="DK493" s="115"/>
      <c r="DL493" s="115"/>
      <c r="DM493" s="115"/>
    </row>
    <row r="494" spans="2:117" x14ac:dyDescent="0.2">
      <c r="B494" s="117">
        <f t="shared" si="433"/>
        <v>430.80750000000438</v>
      </c>
      <c r="C494" s="167" t="str">
        <f t="shared" ca="1" si="426"/>
        <v>净世破魔击·月</v>
      </c>
      <c r="D494" s="115">
        <f ca="1">IF(C494="赤日轮1",1,IF(C494="赤日轮2",2,IF(C494="赤日轮3",3,IF(C494="幽月轮1",4,IF(C494="幽月轮2",5,IF(C494="幽月轮3",6,IF(C494="烈日斩",7,IF(C494="银月斩",8,IF(C494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494="净世破魔击·月",17,IF(C494="驱夜断愁",18,0)))))))))))</f>
        <v>17</v>
      </c>
      <c r="E494" s="115">
        <f ca="1">IF(AND(CU494,OR(C494="幽月轮1",C494="幽月轮2",C494="幽月轮3",C494="银月斩",C494="驱夜断愁",C494="净世破魔击·月")),100,MIN(IF(OR(CN494,BE494),0,IF(OR($C494="赤日轮1",$C494="赤日轮2",$C494="赤日轮3"),E493+20+IF(模拟模式!$I$7="日月凌天",4,0)+IF(CR493,20,0),IF($C494="烈日斩",E493+40,IF($C494="驱夜断愁",IF(模拟模式!$R$7="万念俱寂",E493+20,E493+60),IF($C494="净世破魔击·月",IF(OR(DB493&gt;0,CV493&gt;0),100,IF(模拟模式!$M$7="辉耀红尘",E493+20,E493)),IF($C494="净世破魔击·日",E493-100,E493)))))),100))</f>
        <v>100</v>
      </c>
      <c r="F494" s="115">
        <f ca="1">IF(AND(CU494,OR(C494="赤日轮1",C494="赤日轮2",C494="赤日轮3",C494="烈日斩",C494="净世破魔击·日")),100,MIN(IF(CO494,0,IF(OR($C494="幽月轮1",$C494="幽月轮2",$C494="幽月轮3"),F493+20+IF(模拟模式!$I$7="日月凌天",4,0)+IF(CS493,20,0),IF($C494="银月斩",F493+40+IF(模拟模式!$X$12=1,5,0),IF($C494="驱夜断愁",IF(模拟模式!$R$7="万念俱寂",F493+20,F493+60),IF($C494="净世破魔击·月",IF(模拟模式!$M$7="辉耀红尘",F493-80,F493-100),IF(AND(C494="净世破魔击·日",OR(DB493&gt;0,CV493&gt;0)),100,F493)))))),100))</f>
        <v>20</v>
      </c>
      <c r="G494" s="117">
        <f ca="1">('模拟-全程加成'!$E$3+'模拟-全程加成'!$E$4+'模拟-全程加成'!$E$5+('模拟-全程加成'!$C$6-'模拟-全程加成'!$C$3)*系数!$B$9+BS494*23)*(1+'模拟-全程加成'!$F$4+'模拟-全程加成'!$F$5+BJ494*10%+BM494*20%+BP494*4%+CG494*30%)+$F$7*系数!$B$12</f>
        <v>21493.829400000002</v>
      </c>
      <c r="H494" s="45">
        <f ca="1">'模拟-全程加成'!$H$3+'模拟-全程加成'!$H$4+'模拟-全程加成'!$H$5+('模拟-全程加成'!$G$4+'模拟-全程加成'!$G$5+('模拟-全程加成'!$C$6-'模拟-全程加成'!$C$3)*系数!$B$13)/系数!$B$3+LOOKUP(D494,'模拟-单技能数据'!$A$2:$A$19,'模拟-单技能数据'!$K$2:$K$19)+BG494*10%+IF(BV494&gt;0,378,0)</f>
        <v>0.54185145527300216</v>
      </c>
      <c r="I494" s="45">
        <f ca="1">'模拟-全程加成'!$J$3+'模拟-全程加成'!$J$4+'模拟-全程加成'!$J$5+('模拟-全程加成'!$I$4+'模拟-全程加成'!$I$5)/系数!$B$4+LOOKUP(D494,'模拟-单技能数据'!$A$2:$A$19,'模拟-单技能数据'!$L$2:$L$19)+BG494*10%</f>
        <v>2.162482885499879</v>
      </c>
      <c r="J494" s="45">
        <f ca="1">(('模拟-全程加成'!$K$3+'模拟-全程加成'!$K$4+'模拟-全程加成'!$K$5+('模拟-全程加成'!$C$6-'模拟-全程加成'!$C$3)*系数!$B$10+IF(BV494&gt;0,882,0)+IF(BY494&gt;0,1831,0))*(1+'模拟-全程加成'!$L$4+'模拟-全程加成'!$L$5+CC494*20%))/系数!$B$5</f>
        <v>0.69723220422048726</v>
      </c>
      <c r="K494" s="119">
        <f ca="1">LOOKUP(D494,'模拟-单技能数据'!$A$2:$A$19,'模拟-单技能数据'!$J$2:$J$19)+IF(CM494,60%,0)+IF(DB493-DB494&gt;0,30%,0)+IF(OR(AND(OR(C494="赤日轮1",C494="赤日轮2",C494="赤日轮3"),CR494),AND(OR(C494="幽月轮1",C494="幽月轮2",C494="幽月轮3"),CS494)),35%,0)+CJ494</f>
        <v>0.8</v>
      </c>
      <c r="L494" s="119">
        <f ca="1">IF(AND(C494="烈日斩",模拟模式!$X$11=1),10%,0)+IF(AND(C494="驱夜断愁",AB494=1),30%,0)</f>
        <v>0</v>
      </c>
      <c r="M494" s="45">
        <f t="shared" ca="1" si="409"/>
        <v>0.54185145527300216</v>
      </c>
      <c r="N494" s="45">
        <f t="shared" ca="1" si="410"/>
        <v>0.40424854472699789</v>
      </c>
      <c r="O494" s="46">
        <f t="shared" ca="1" si="434"/>
        <v>0.23586639792522135</v>
      </c>
      <c r="P494" s="46" t="str">
        <f t="shared" ca="1" si="435"/>
        <v>会</v>
      </c>
      <c r="Q494" s="45">
        <f t="shared" ca="1" si="436"/>
        <v>2.162482885499879</v>
      </c>
      <c r="R494" s="117">
        <f ca="1">模拟模式!$E$20*(1-IF(模拟模式!$J$19="有",0.15,0))*(1-IF(模拟模式!$K$19="有",0.3,0)-IF(CQ494,0.5,0))</f>
        <v>843.02999999999975</v>
      </c>
      <c r="S494" s="45">
        <f ca="1">R494/(R494+(185*模拟模式!$E$22-16800)*4.08224)</f>
        <v>8.389626085980037E-2</v>
      </c>
      <c r="T494" s="45" t="str">
        <f ca="1">LOOKUP(D494,'模拟-单技能数据'!$A$2:$A$19,'模拟-单技能数据'!$H$2:$H$19)</f>
        <v>阴</v>
      </c>
      <c r="U494" s="119">
        <f t="shared" ca="1" si="411"/>
        <v>0.08</v>
      </c>
      <c r="V494" s="47">
        <f ca="1">(1+L494)*(LOOKUP(D494,'模拟-单技能数据'!$A$2:$A$19,'模拟-单技能数据'!$D$2:$D$19)+G494*LOOKUP(D494,'模拟-单技能数据'!$A$2:$A$19,'模拟-单技能数据'!$F$2:$F$19))*(1+J494)*(1+K494)*(1-S494)*(1+U494)*Q494*LOOKUP(D494,'模拟-单技能数据'!$A$2:$A$19,'模拟-单技能数据'!$I$2:$I$20)</f>
        <v>182541.2211190153</v>
      </c>
      <c r="W494" s="47">
        <f ca="1">LOOKUP(D494,'模拟-单技能数据'!$A$2:$A$19,'模拟-单技能数据'!$G$2:$G$19)*$I$10</f>
        <v>361.51064354704795</v>
      </c>
      <c r="X494" s="47">
        <f t="shared" ca="1" si="437"/>
        <v>17572.867871948234</v>
      </c>
      <c r="Y494" s="47">
        <f t="shared" ca="1" si="412"/>
        <v>200475.59963451058</v>
      </c>
      <c r="Z494" s="49">
        <f t="shared" ca="1" si="413"/>
        <v>48925682.235948391</v>
      </c>
      <c r="AA494" s="97">
        <f t="shared" ca="1" si="414"/>
        <v>113567.38737359004</v>
      </c>
      <c r="AB494" s="115">
        <f ca="1">IF(OR(C494="赤日轮1",C494="赤日轮2",C494="赤日轮3"),IF(RAND()&lt;模拟模式!$Y$17,1,0),IF(OR(C494="幽月轮1",C494="幽月轮2",C494="幽月轮3"),IF(RAND()&lt;模拟模式!$Y$18,1,0),IF(C494="烈日斩",IF(RAND()&lt;模拟模式!$Y$19,1,0),IF(C494="银月斩",IF(RAND()&lt;模拟模式!$Y$20,1,0),IF(C494="驱夜断愁",IF(RAND()&lt;模拟模式!$Y$21,1,0),IF(C494="净世破魔击·日",IF(RAND()&lt;模拟模式!$Y$22,1,0),IF(C494="净世破魔击·月",IF(RAND()&lt;模拟模式!$Y$23,1,0),0)))))))</f>
        <v>1</v>
      </c>
      <c r="AC494" s="115" t="b">
        <f t="shared" ca="1" si="402"/>
        <v>0</v>
      </c>
      <c r="AD494" s="115" t="b">
        <f t="shared" ca="1" si="422"/>
        <v>1</v>
      </c>
      <c r="AE494" s="115">
        <f t="shared" ca="1" si="423"/>
        <v>3</v>
      </c>
      <c r="AF494" s="47">
        <f ca="1">IF(AC494,('模拟-单技能数据'!$D$20+G494*'模拟-单技能数据'!$F$20)*(1+J494)*(1+'模拟-单技能数据'!$J$20)*(1+U494),0)</f>
        <v>0</v>
      </c>
      <c r="AG494" s="61">
        <f t="shared" ca="1" si="415"/>
        <v>0.64185145527300214</v>
      </c>
      <c r="AH494" s="61">
        <f t="shared" ca="1" si="416"/>
        <v>2.2624828854998791</v>
      </c>
      <c r="AI494" s="62">
        <f t="shared" ca="1" si="438"/>
        <v>0.66065322566362472</v>
      </c>
      <c r="AJ494" s="47">
        <f ca="1">IF(AD494,IF(AI494&lt;$F$10,0,IF(AI494&lt;$F$10+$F$11,0.25,IF(AI494&lt;$F$10+$F$11+AG494,AH494,1)))*IF(AF494&gt;0,AF494,IF(AF493&gt;0,AF493,IF(AF492&gt;0,AF492,IF(AF491&gt;0,AF491,IF(AF490&gt;0,AF490,IF(AF489&gt;0,AF489,IF(AF488&gt;0,AF488,IF(AF487&gt;0,AF487,IF(AF486&gt;0,AF486,IF(AF484&gt;0,AF484,IF(AF483&gt;0,AF483,IF(AF482&gt;0,AF482,0)))))))))))),0)*(1-$S494)*'模拟-单技能数据'!$I$20</f>
        <v>9616.6571145767884</v>
      </c>
      <c r="AK494" s="115" t="b">
        <f t="shared" ca="1" si="403"/>
        <v>0</v>
      </c>
      <c r="AL494" s="115" t="b">
        <f t="shared" ca="1" si="424"/>
        <v>0</v>
      </c>
      <c r="AM494" s="115">
        <f t="shared" ca="1" si="425"/>
        <v>3</v>
      </c>
      <c r="AN494" s="47">
        <f ca="1">IF(AK494,('模拟-单技能数据'!$D$21+G494*'模拟-单技能数据'!$F$21)*(1+J494)*(1+'模拟-单技能数据'!$J$21)*(1+U494),0)</f>
        <v>0</v>
      </c>
      <c r="AO494" s="61">
        <f ca="1">IF(AN494&gt;0,M494-'模拟-单技能数据'!$K$10,AO493)</f>
        <v>0.42185145527300216</v>
      </c>
      <c r="AP494" s="61">
        <f ca="1">IF(AN494&gt;0,I494-'模拟-单技能数据'!$L$10,AP493)</f>
        <v>2.162482885499879</v>
      </c>
      <c r="AQ494" s="63">
        <f t="shared" ca="1" si="439"/>
        <v>0.44667478439380404</v>
      </c>
      <c r="AR494" s="64">
        <f ca="1">IF(AL494,IF(AQ494&lt;$F$10,0,IF(AQ494&lt;$F$10+$F$11,0.25,IF(AQ494&lt;$F$10+$F$11+AO494,AP494,1)))*IF(AN494&gt;0,AN494,IF(AN493&gt;0,AN493,IF(AN492&gt;0,AN492,IF(AN491&gt;0,AN491,IF(AN490&gt;0,AN490,IF(AN489&gt;0,AN489,IF(AN488&gt;0,AN488,IF(AN487&gt;0,AN487,IF(AN486&gt;0,AN486,IF(AN484&gt;0,AN484,IF(AN483&gt;0,AN483,IF(AN482&gt;0,AN482,0)))))))))))),0)*(1-$S494)*'模拟-单技能数据'!$I$21</f>
        <v>0</v>
      </c>
      <c r="AS494" s="61">
        <f ca="1">IF(OR(C494="净世破魔击·日",C494="净世破魔击·月"),M494-'模拟-单技能数据'!$K$10,0)</f>
        <v>0.42185145527300216</v>
      </c>
      <c r="AT494" s="61">
        <f ca="1">IF(OR(C494="净世破魔击·日",C494="净世破魔击·月"),I494-'模拟-单技能数据'!$L$10,0)</f>
        <v>2.162482885499879</v>
      </c>
      <c r="AU494" s="62">
        <f t="shared" ca="1" si="440"/>
        <v>0.91505066666053847</v>
      </c>
      <c r="AV494" s="64">
        <f ca="1">IF(AS494&gt;0,('模拟-单技能数据'!$D$22+G494*'模拟-单技能数据'!$F$22)*(1+J494)*(1-S494)*IF(AU494&lt;$F$10,0,IF(AU494&lt;$F$10+$F$11,0.25,IF(AU494&lt;$F$10+$F$11+AS494,AT494,1)))*(1+U494),0)*'模拟-单技能数据'!$I$22</f>
        <v>7956.2107573714466</v>
      </c>
      <c r="AW494" s="108">
        <f t="shared" ca="1" si="441"/>
        <v>6.1625000000000068</v>
      </c>
      <c r="AX494" s="108" t="b">
        <f ca="1">AND(模拟模式!$P$10="有",AW493=0,RAND()&lt;IF(C494="净世破魔击·月",0.1*8/3,IF(C494="净世破魔击·日",0.1*4/3,0.1*2/3)))</f>
        <v>0</v>
      </c>
      <c r="AY494" s="47">
        <f ca="1">IF(AX494,(18+G494*0.722)*(1+J494)*(1-S494)*(1+$I$4)*IF(P494="会",'模拟-全程加成'!$J$3+'模拟-全程加成'!$J$4+'模拟-全程加成'!$J$5+('模拟-全程加成'!$I$4+'模拟-全程加成'!$I$5)/系数!$B$4+BG494*10%,IF(P494="命",1,IF(P494="识",0.25,0))),0)</f>
        <v>0</v>
      </c>
      <c r="AZ494" s="108">
        <f t="shared" si="442"/>
        <v>15.387500000000003</v>
      </c>
      <c r="BA494" s="108" t="b">
        <f>AND(模拟模式!$Q$10="有",AZ493=0)</f>
        <v>0</v>
      </c>
      <c r="BB494" s="140">
        <f>IF(BA494,(0+G494*0.287)*(1+J494)*(1-S494)*(1+$I$4)*IF(P494="会",'模拟-全程加成'!$J$3+'模拟-全程加成'!$J$4+'模拟-全程加成'!$J$5+('模拟-全程加成'!$I$4+'模拟-全程加成'!$I$5)/系数!$B$4+BG494*10%,IF(P494="命",1,IF(P494="识",0.25,0))),0)</f>
        <v>0</v>
      </c>
      <c r="BC494" s="115" t="b">
        <f ca="1">AND(模拟模式!$R$7="伏明众生",E494=60,F494=20,DA494&lt;5,CZ493&lt;$F$4)</f>
        <v>0</v>
      </c>
      <c r="BD494" s="115">
        <f t="shared" ca="1" si="404"/>
        <v>0</v>
      </c>
      <c r="BE494" s="115" t="b">
        <f t="shared" ca="1" si="405"/>
        <v>0</v>
      </c>
      <c r="BF494" s="47">
        <f ca="1">IF(BC494,4*('模拟-单技能数据'!$D$24+G494*'模拟-单技能数据'!$F$24)*(1+J494)*(1+'模拟-单技能数据'!$J$24)*(1-S494)*(1+$I$3)*(('模拟-全程加成'!$J$3+'模拟-全程加成'!$J$4+'模拟-全程加成'!$J$5+('模拟-全程加成'!$I$4+'模拟-全程加成'!$I$5)/系数!$B$4+BG494*10%)*('模拟-全程加成'!$J$3+'模拟-全程加成'!$J$4+'模拟-全程加成'!$J$5+('模拟-全程加成'!$I$4+'模拟-全程加成'!$I$5)/系数!$B$4+BG494*10%)+(1-('模拟-全程加成'!$J$3+'模拟-全程加成'!$J$4+'模拟-全程加成'!$J$5+('模拟-全程加成'!$I$4+'模拟-全程加成'!$I$5)/系数!$B$4+BG494*10%)-$F$10-$F$11)+F480*0.25),0)*'模拟-单技能数据'!$I$24</f>
        <v>0</v>
      </c>
      <c r="BG494" s="115" t="b">
        <f ca="1">OR(AND(OR(C494="烈日斩",C494="银月斩"),模拟模式!$I$7="净身明礼"),AND(C494="净世破魔击·日",模拟模式!$J$7="洞若观火"),AND(C495="净世破魔击·月",模拟模式!$J$7="洞若观火"),AB494=1)</f>
        <v>1</v>
      </c>
      <c r="BH494" s="115" t="b">
        <f t="shared" ca="1" si="443"/>
        <v>1</v>
      </c>
      <c r="BI494" s="115">
        <f t="shared" ca="1" si="406"/>
        <v>6</v>
      </c>
      <c r="BJ494" s="115" t="b">
        <f t="shared" ca="1" si="417"/>
        <v>1</v>
      </c>
      <c r="BK494" s="115" t="b">
        <f ca="1">AND(C494="驱夜断愁",模拟模式!$P$7="天地诛戮")</f>
        <v>0</v>
      </c>
      <c r="BL494" s="57">
        <f t="shared" ca="1" si="407"/>
        <v>17.232500000000002</v>
      </c>
      <c r="BM494" s="115" t="b">
        <f t="shared" ca="1" si="418"/>
        <v>1</v>
      </c>
      <c r="BN494" s="115" t="b">
        <f ca="1">AND(OR(C494="赤日轮1",C494="赤日轮2",C494="赤日轮3",C494="幽月轮1",C494="幽月轮2",C494="幽月轮3"),AB494=1,模拟模式!$L$7="明光恒照")</f>
        <v>0</v>
      </c>
      <c r="BO494" s="117">
        <f t="shared" ca="1" si="408"/>
        <v>29.077500000000001</v>
      </c>
      <c r="BP494" s="115">
        <f t="shared" ca="1" si="444"/>
        <v>6</v>
      </c>
      <c r="BQ494" s="115" t="b">
        <f>模拟模式!$K$10="2600·水"</f>
        <v>0</v>
      </c>
      <c r="BR494" s="117">
        <f t="shared" si="445"/>
        <v>0</v>
      </c>
      <c r="BS494" s="115">
        <f t="shared" si="446"/>
        <v>0</v>
      </c>
      <c r="BT494" s="115">
        <f t="shared" ca="1" si="447"/>
        <v>0</v>
      </c>
      <c r="BU494" s="115" t="b">
        <f ca="1">AND(模拟模式!$K$10="2300·雷",BT493=0,RAND()&lt;IF(C494="净世破魔击·月",5*0.05*2/3,IF(C494="净世破魔击·日",3*0.05*2/3,0.05*2*2/3)))</f>
        <v>0</v>
      </c>
      <c r="BV494" s="115">
        <f t="shared" ca="1" si="448"/>
        <v>0</v>
      </c>
      <c r="BW494" s="115">
        <f t="shared" ca="1" si="449"/>
        <v>124.64999999999924</v>
      </c>
      <c r="BX494" s="164" t="b">
        <f t="shared" ca="1" si="450"/>
        <v>0</v>
      </c>
      <c r="BY494" s="115">
        <f t="shared" ca="1" si="451"/>
        <v>0</v>
      </c>
      <c r="BZ494" s="115">
        <f>IF(OR(模拟模式!$P$16="10人团",模拟模式!$P$16="25人团"),IF(B494/30&gt;CA493,1,0),0)</f>
        <v>0</v>
      </c>
      <c r="CA494" s="115">
        <f t="shared" si="427"/>
        <v>0</v>
      </c>
      <c r="CB494" s="115">
        <f ca="1">IF(BZ494=1,IF(模拟模式!$P$16="10人团",15,0)+IF(模拟模式!$P$16="25人团",IF(RAND()&lt;0.6,15,0)),MAX(0,CB493-$F$4))</f>
        <v>0</v>
      </c>
      <c r="CC494" s="115" t="b">
        <f t="shared" ca="1" si="419"/>
        <v>0</v>
      </c>
      <c r="CD494" s="115">
        <f>IF(模拟模式!$Q$16="1个",IF(B494/40&gt;CE493,1,0),0)</f>
        <v>0</v>
      </c>
      <c r="CE494" s="115">
        <f t="shared" si="420"/>
        <v>0</v>
      </c>
      <c r="CF494" s="115">
        <f>IF(OR(CD494=1,模拟模式!$Q$16="2个"),20,MAX(0,CF493-$F$4))</f>
        <v>0</v>
      </c>
      <c r="CG494" s="115" t="b">
        <f t="shared" si="421"/>
        <v>0</v>
      </c>
      <c r="CH494" s="115">
        <f t="shared" ca="1" si="452"/>
        <v>14.31750000000001</v>
      </c>
      <c r="CI494" s="115" t="b">
        <f t="shared" ca="1" si="453"/>
        <v>0</v>
      </c>
      <c r="CJ494" s="119">
        <f t="shared" ca="1" si="454"/>
        <v>0</v>
      </c>
      <c r="CK494" s="115">
        <f t="shared" ca="1" si="455"/>
        <v>0</v>
      </c>
      <c r="CL494" s="115" t="b">
        <f ca="1">AND(模拟模式!$S$7="驱夷逐法",OR(AND(C494="净世破魔击·月",E493&gt;59),AND(C494="净世破魔击·日",F493&gt;59)))</f>
        <v>1</v>
      </c>
      <c r="CM494" s="115" t="b">
        <f ca="1">OR(CL494,AND(C494="净世破魔击·日",CL493,RAND()&lt;模拟模式!$U$23))</f>
        <v>1</v>
      </c>
      <c r="CN494" s="115" t="b">
        <f ca="1">IF(模拟模式!$M$7="辉耀红尘",AND(C494="净世破魔击·月",CL494,CV494=0,E493&lt;80),AND(C494="净世破魔击·月",CL494,E493&lt;100))</f>
        <v>0</v>
      </c>
      <c r="CO494" s="115" t="b">
        <f t="shared" ca="1" si="428"/>
        <v>0</v>
      </c>
      <c r="CP494" s="115" t="b">
        <f ca="1">AND(模拟模式!$O$7="用晦而明",OR(C494="净世破魔击·日",C494="净世破魔击·月",C494="驱夜断愁"),AB494)</f>
        <v>1</v>
      </c>
      <c r="CQ494" s="115" t="b">
        <f ca="1">OR(CP494,AND(CP493,RAND()&lt;模拟模式!$U$23))</f>
        <v>1</v>
      </c>
      <c r="CR494" s="115" t="b">
        <f ca="1">AND(模拟模式!$S$7="日月齐光",OR(C494="幽月轮1",C494="幽月轮2",C494="幽月轮3",CR493),NOT(OR(C494="赤日轮1",C494="赤日轮2",C494="赤日轮3")))</f>
        <v>0</v>
      </c>
      <c r="CS494" s="115" t="b">
        <f ca="1">AND(模拟模式!$S$7="日月齐光",OR(C494="赤日轮1",C494="赤日轮2",C494="赤日轮3",CS493),NOT(OR(C494="幽月轮1",C494="幽月轮2",C494="幽月轮3")))</f>
        <v>0</v>
      </c>
      <c r="CT494" s="115">
        <f t="shared" ca="1" si="456"/>
        <v>12.472500000000011</v>
      </c>
      <c r="CU494" s="115" t="b">
        <f ca="1">AND(模拟模式!$K$10="阴阳往极",CT493=0,RAND()&lt;IF(C494="净世破魔击·月",0.0275*7/3,IF(C494="净世破魔击·日",0.0275*3/3,0.0275*2/3)))</f>
        <v>0</v>
      </c>
      <c r="CV494" s="115">
        <f t="shared" ca="1" si="457"/>
        <v>0</v>
      </c>
      <c r="CW494" s="115">
        <f t="shared" ca="1" si="429"/>
        <v>4.1549999999999994</v>
      </c>
      <c r="CX494" s="115">
        <f t="shared" ca="1" si="430"/>
        <v>2.3099999999999996</v>
      </c>
      <c r="CY494" s="115">
        <f ca="1">MAX(IF($C494="驱夜断愁",IF(模拟模式!$R$7="万念俱寂",6,45),CY493-$F$4),0)</f>
        <v>3.2324999999999995</v>
      </c>
      <c r="CZ494" s="115">
        <f t="shared" ca="1" si="431"/>
        <v>0</v>
      </c>
      <c r="DA494" s="115">
        <f ca="1">IF(模拟模式!$N$7="日月同辉",IF(DB493=2,0,MIN(6,IF(AND(OR(C494="赤日轮1",C494="赤日轮2",C494="赤日轮3",C494="幽月轮1",C494="幽月轮2",C494="幽月轮3"),AB494=1),DA493+1,DA493))),0)</f>
        <v>4</v>
      </c>
      <c r="DB494" s="115">
        <f t="shared" ca="1" si="432"/>
        <v>0</v>
      </c>
      <c r="DC494" s="115"/>
      <c r="DD494" s="115"/>
      <c r="DE494" s="115"/>
      <c r="DF494" s="115"/>
      <c r="DG494" s="115"/>
      <c r="DH494" s="115"/>
      <c r="DI494" s="115"/>
      <c r="DJ494" s="115"/>
      <c r="DK494" s="115"/>
      <c r="DL494" s="115"/>
      <c r="DM494" s="115"/>
    </row>
    <row r="495" spans="2:117" x14ac:dyDescent="0.2">
      <c r="B495" s="117">
        <f t="shared" si="433"/>
        <v>431.7300000000044</v>
      </c>
      <c r="C495" s="167" t="str">
        <f t="shared" ca="1" si="426"/>
        <v>净世破魔击·日</v>
      </c>
      <c r="D495" s="115">
        <f ca="1">IF(C495="赤日轮1",1,IF(C495="赤日轮2",2,IF(C495="赤日轮3",3,IF(C495="幽月轮1",4,IF(C495="幽月轮2",5,IF(C495="幽月轮3",6,IF(C495="烈日斩",7,IF(C495="银月斩",8,IF(C495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495="净世破魔击·月",17,IF(C495="驱夜断愁",18,0)))))))))))</f>
        <v>9</v>
      </c>
      <c r="E495" s="115">
        <f ca="1">IF(AND(CU495,OR(C495="幽月轮1",C495="幽月轮2",C495="幽月轮3",C495="银月斩",C495="驱夜断愁",C495="净世破魔击·月")),100,MIN(IF(OR(CN495,BE495),0,IF(OR($C495="赤日轮1",$C495="赤日轮2",$C495="赤日轮3"),E494+20+IF(模拟模式!$I$7="日月凌天",4,0)+IF(CR494,20,0),IF($C495="烈日斩",E494+40,IF($C495="驱夜断愁",IF(模拟模式!$R$7="万念俱寂",E494+20,E494+60),IF($C495="净世破魔击·月",IF(OR(DB494&gt;0,CV494&gt;0),100,IF(模拟模式!$M$7="辉耀红尘",E494+20,E494)),IF($C495="净世破魔击·日",E494-100,E494)))))),100))</f>
        <v>0</v>
      </c>
      <c r="F495" s="115">
        <f ca="1">IF(AND(CU495,OR(C495="赤日轮1",C495="赤日轮2",C495="赤日轮3",C495="烈日斩",C495="净世破魔击·日")),100,MIN(IF(CO495,0,IF(OR($C495="幽月轮1",$C495="幽月轮2",$C495="幽月轮3"),F494+20+IF(模拟模式!$I$7="日月凌天",4,0)+IF(CS494,20,0),IF($C495="银月斩",F494+40+IF(模拟模式!$X$12=1,5,0),IF($C495="驱夜断愁",IF(模拟模式!$R$7="万念俱寂",F494+20,F494+60),IF($C495="净世破魔击·月",IF(模拟模式!$M$7="辉耀红尘",F494-80,F494-100),IF(AND(C495="净世破魔击·日",OR(DB494&gt;0,CV494&gt;0)),100,F494)))))),100))</f>
        <v>20</v>
      </c>
      <c r="G495" s="117">
        <f ca="1">('模拟-全程加成'!$E$3+'模拟-全程加成'!$E$4+'模拟-全程加成'!$E$5+('模拟-全程加成'!$C$6-'模拟-全程加成'!$C$3)*系数!$B$9+BS495*23)*(1+'模拟-全程加成'!$F$4+'模拟-全程加成'!$F$5+BJ495*10%+BM495*20%+BP495*4%+CG495*30%)+$F$7*系数!$B$12</f>
        <v>21493.829400000002</v>
      </c>
      <c r="H495" s="45">
        <f ca="1">'模拟-全程加成'!$H$3+'模拟-全程加成'!$H$4+'模拟-全程加成'!$H$5+('模拟-全程加成'!$G$4+'模拟-全程加成'!$G$5+('模拟-全程加成'!$C$6-'模拟-全程加成'!$C$3)*系数!$B$13)/系数!$B$3+LOOKUP(D495,'模拟-单技能数据'!$A$2:$A$19,'模拟-单技能数据'!$K$2:$K$19)+BG495*10%+IF(BV495&gt;0,378,0)</f>
        <v>0.54185145527300216</v>
      </c>
      <c r="I495" s="45">
        <f ca="1">'模拟-全程加成'!$J$3+'模拟-全程加成'!$J$4+'模拟-全程加成'!$J$5+('模拟-全程加成'!$I$4+'模拟-全程加成'!$I$5)/系数!$B$4+LOOKUP(D495,'模拟-单技能数据'!$A$2:$A$19,'模拟-单技能数据'!$L$2:$L$19)+BG495*10%</f>
        <v>2.162482885499879</v>
      </c>
      <c r="J495" s="45">
        <f ca="1">(('模拟-全程加成'!$K$3+'模拟-全程加成'!$K$4+'模拟-全程加成'!$K$5+('模拟-全程加成'!$C$6-'模拟-全程加成'!$C$3)*系数!$B$10+IF(BV495&gt;0,882,0)+IF(BY495&gt;0,1831,0))*(1+'模拟-全程加成'!$L$4+'模拟-全程加成'!$L$5+CC495*20%))/系数!$B$5</f>
        <v>0.69723220422048726</v>
      </c>
      <c r="K495" s="119">
        <f ca="1">LOOKUP(D495,'模拟-单技能数据'!$A$2:$A$19,'模拟-单技能数据'!$J$2:$J$19)+IF(CM495,60%,0)+IF(DB494-DB495&gt;0,30%,0)+IF(OR(AND(OR(C495="赤日轮1",C495="赤日轮2",C495="赤日轮3"),CR495),AND(OR(C495="幽月轮1",C495="幽月轮2",C495="幽月轮3"),CS495)),35%,0)+CJ495</f>
        <v>0.8</v>
      </c>
      <c r="L495" s="119">
        <f ca="1">IF(AND(C495="烈日斩",模拟模式!$X$11=1),10%,0)+IF(AND(C495="驱夜断愁",AB495=1),30%,0)</f>
        <v>0</v>
      </c>
      <c r="M495" s="45">
        <f t="shared" ca="1" si="409"/>
        <v>0.54185145527300216</v>
      </c>
      <c r="N495" s="45">
        <f t="shared" ca="1" si="410"/>
        <v>0.40424854472699789</v>
      </c>
      <c r="O495" s="46">
        <f t="shared" ca="1" si="434"/>
        <v>0.3314731733941515</v>
      </c>
      <c r="P495" s="46" t="str">
        <f t="shared" ca="1" si="435"/>
        <v>会</v>
      </c>
      <c r="Q495" s="45">
        <f t="shared" ca="1" si="436"/>
        <v>2.162482885499879</v>
      </c>
      <c r="R495" s="117">
        <f ca="1">模拟模式!$E$20*(1-IF(模拟模式!$J$19="有",0.15,0))*(1-IF(模拟模式!$K$19="有",0.3,0)-IF(CQ495,0.5,0))</f>
        <v>843.02999999999975</v>
      </c>
      <c r="S495" s="45">
        <f ca="1">R495/(R495+(185*模拟模式!$E$22-16800)*4.08224)</f>
        <v>8.389626085980037E-2</v>
      </c>
      <c r="T495" s="45" t="str">
        <f ca="1">LOOKUP(D495,'模拟-单技能数据'!$A$2:$A$19,'模拟-单技能数据'!$H$2:$H$19)</f>
        <v>阳</v>
      </c>
      <c r="U495" s="119">
        <f t="shared" ca="1" si="411"/>
        <v>0.2</v>
      </c>
      <c r="V495" s="47">
        <f ca="1">(1+L495)*(LOOKUP(D495,'模拟-单技能数据'!$A$2:$A$19,'模拟-单技能数据'!$D$2:$D$19)+G495*LOOKUP(D495,'模拟-单技能数据'!$A$2:$A$19,'模拟-单技能数据'!$F$2:$F$19))*(1+J495)*(1+K495)*(1-S495)*(1+U495)*Q495*LOOKUP(D495,'模拟-单技能数据'!$A$2:$A$19,'模拟-单技能数据'!$I$2:$I$20)</f>
        <v>204517.60843249681</v>
      </c>
      <c r="W495" s="47">
        <f ca="1">LOOKUP(D495,'模拟-单技能数据'!$A$2:$A$19,'模拟-单技能数据'!$G$2:$G$19)*$I$10</f>
        <v>723.0212870940959</v>
      </c>
      <c r="X495" s="47">
        <f t="shared" ca="1" si="437"/>
        <v>20448.126027313341</v>
      </c>
      <c r="Y495" s="47">
        <f t="shared" ca="1" si="412"/>
        <v>225688.75574690427</v>
      </c>
      <c r="Z495" s="49">
        <f t="shared" ca="1" si="413"/>
        <v>49151370.991695292</v>
      </c>
      <c r="AA495" s="97">
        <f t="shared" ca="1" si="414"/>
        <v>113847.47641279224</v>
      </c>
      <c r="AB495" s="115">
        <f ca="1">IF(OR(C495="赤日轮1",C495="赤日轮2",C495="赤日轮3"),IF(RAND()&lt;模拟模式!$Y$17,1,0),IF(OR(C495="幽月轮1",C495="幽月轮2",C495="幽月轮3"),IF(RAND()&lt;模拟模式!$Y$18,1,0),IF(C495="烈日斩",IF(RAND()&lt;模拟模式!$Y$19,1,0),IF(C495="银月斩",IF(RAND()&lt;模拟模式!$Y$20,1,0),IF(C495="驱夜断愁",IF(RAND()&lt;模拟模式!$Y$21,1,0),IF(C495="净世破魔击·日",IF(RAND()&lt;模拟模式!$Y$22,1,0),IF(C495="净世破魔击·月",IF(RAND()&lt;模拟模式!$Y$23,1,0),0)))))))</f>
        <v>1</v>
      </c>
      <c r="AC495" s="115" t="b">
        <f t="shared" ca="1" si="402"/>
        <v>0</v>
      </c>
      <c r="AD495" s="115" t="b">
        <f t="shared" ca="1" si="422"/>
        <v>0</v>
      </c>
      <c r="AE495" s="115">
        <f t="shared" ca="1" si="423"/>
        <v>3</v>
      </c>
      <c r="AF495" s="47">
        <f ca="1">IF(AC495,('模拟-单技能数据'!$D$20+G495*'模拟-单技能数据'!$F$20)*(1+J495)*(1+'模拟-单技能数据'!$J$20)*(1+U495),0)</f>
        <v>0</v>
      </c>
      <c r="AG495" s="61">
        <f t="shared" ca="1" si="415"/>
        <v>0.64185145527300214</v>
      </c>
      <c r="AH495" s="61">
        <f t="shared" ca="1" si="416"/>
        <v>2.2624828854998791</v>
      </c>
      <c r="AI495" s="62">
        <f t="shared" ca="1" si="438"/>
        <v>0.76597119325010954</v>
      </c>
      <c r="AJ495" s="47">
        <f ca="1">IF(AD495,IF(AI495&lt;$F$10,0,IF(AI495&lt;$F$10+$F$11,0.25,IF(AI495&lt;$F$10+$F$11+AG495,AH495,1)))*IF(AF495&gt;0,AF495,IF(AF494&gt;0,AF494,IF(AF493&gt;0,AF493,IF(AF492&gt;0,AF492,IF(AF491&gt;0,AF491,IF(AF490&gt;0,AF490,IF(AF489&gt;0,AF489,IF(AF488&gt;0,AF488,IF(AF487&gt;0,AF487,IF(AF485&gt;0,AF485,IF(AF484&gt;0,AF484,IF(AF483&gt;0,AF483,0)))))))))))),0)*(1-$S495)*'模拟-单技能数据'!$I$20</f>
        <v>0</v>
      </c>
      <c r="AK495" s="115" t="b">
        <f t="shared" ca="1" si="403"/>
        <v>1</v>
      </c>
      <c r="AL495" s="115" t="b">
        <f t="shared" ca="1" si="424"/>
        <v>1</v>
      </c>
      <c r="AM495" s="115">
        <f t="shared" ca="1" si="425"/>
        <v>5</v>
      </c>
      <c r="AN495" s="47">
        <f ca="1">IF(AK495,('模拟-单技能数据'!$D$21+G495*'模拟-单技能数据'!$F$21)*(1+J495)*(1+'模拟-单技能数据'!$J$21)*(1+U495),0)</f>
        <v>12670.936004857545</v>
      </c>
      <c r="AO495" s="61">
        <f ca="1">IF(AN495&gt;0,M495-'模拟-单技能数据'!$K$10,AO494)</f>
        <v>0.42185145527300216</v>
      </c>
      <c r="AP495" s="61">
        <f ca="1">IF(AN495&gt;0,I495-'模拟-单技能数据'!$L$10,AP494)</f>
        <v>2.162482885499879</v>
      </c>
      <c r="AQ495" s="63">
        <f t="shared" ca="1" si="439"/>
        <v>0.85161338698677425</v>
      </c>
      <c r="AR495" s="64">
        <f ca="1">IF(AL495,IF(AQ495&lt;$F$10,0,IF(AQ495&lt;$F$10+$F$11,0.25,IF(AQ495&lt;$F$10+$F$11+AO495,AP495,1)))*IF(AN495&gt;0,AN495,IF(AN494&gt;0,AN494,IF(AN493&gt;0,AN493,IF(AN492&gt;0,AN492,IF(AN491&gt;0,AN491,IF(AN490&gt;0,AN490,IF(AN489&gt;0,AN489,IF(AN488&gt;0,AN488,IF(AN487&gt;0,AN487,IF(AN485&gt;0,AN485,IF(AN484&gt;0,AN484,IF(AN483&gt;0,AN483,0)))))))))))),0)*(1-$S495)*'模拟-单技能数据'!$I$21</f>
        <v>11607.89185245618</v>
      </c>
      <c r="AS495" s="61">
        <f ca="1">IF(OR(C495="净世破魔击·日",C495="净世破魔击·月"),M495-'模拟-单技能数据'!$K$10,0)</f>
        <v>0.42185145527300216</v>
      </c>
      <c r="AT495" s="61">
        <f ca="1">IF(OR(C495="净世破魔击·日",C495="净世破魔击·月"),I495-'模拟-单技能数据'!$L$10,0)</f>
        <v>2.162482885499879</v>
      </c>
      <c r="AU495" s="62">
        <f t="shared" ca="1" si="440"/>
        <v>0.88575637365892657</v>
      </c>
      <c r="AV495" s="64">
        <f ca="1">IF(AS495&gt;0,('模拟-单技能数据'!$D$22+G495*'模拟-单技能数据'!$F$22)*(1+J495)*(1-S495)*IF(AU495&lt;$F$10,0,IF(AU495&lt;$F$10+$F$11,0.25,IF(AU495&lt;$F$10+$F$11+AS495,AT495,1)))*(1+U495),0)*'模拟-单技能数据'!$I$22</f>
        <v>8840.2341748571616</v>
      </c>
      <c r="AW495" s="108">
        <f t="shared" ca="1" si="441"/>
        <v>5.2400000000000064</v>
      </c>
      <c r="AX495" s="108" t="b">
        <f ca="1">AND(模拟模式!$P$10="有",AW494=0,RAND()&lt;IF(C495="净世破魔击·月",0.1*8/3,IF(C495="净世破魔击·日",0.1*4/3,0.1*2/3)))</f>
        <v>0</v>
      </c>
      <c r="AY495" s="47">
        <f ca="1">IF(AX495,(18+G495*0.722)*(1+J495)*(1-S495)*(1+$I$4)*IF(P495="会",'模拟-全程加成'!$J$3+'模拟-全程加成'!$J$4+'模拟-全程加成'!$J$5+('模拟-全程加成'!$I$4+'模拟-全程加成'!$I$5)/系数!$B$4+BG495*10%,IF(P495="命",1,IF(P495="识",0.25,0))),0)</f>
        <v>0</v>
      </c>
      <c r="AZ495" s="108">
        <f t="shared" si="442"/>
        <v>14.465000000000003</v>
      </c>
      <c r="BA495" s="108" t="b">
        <f>AND(模拟模式!$Q$10="有",AZ494=0)</f>
        <v>0</v>
      </c>
      <c r="BB495" s="140">
        <f>IF(BA495,(0+G495*0.287)*(1+J495)*(1-S495)*(1+$I$4)*IF(P495="会",'模拟-全程加成'!$J$3+'模拟-全程加成'!$J$4+'模拟-全程加成'!$J$5+('模拟-全程加成'!$I$4+'模拟-全程加成'!$I$5)/系数!$B$4+BG495*10%,IF(P495="命",1,IF(P495="识",0.25,0))),0)</f>
        <v>0</v>
      </c>
      <c r="BC495" s="115" t="b">
        <f ca="1">AND(模拟模式!$R$7="伏明众生",E495=60,F495=20,DA495&lt;5,CZ494&lt;$F$4)</f>
        <v>0</v>
      </c>
      <c r="BD495" s="115">
        <f t="shared" ca="1" si="404"/>
        <v>0</v>
      </c>
      <c r="BE495" s="115" t="b">
        <f t="shared" ca="1" si="405"/>
        <v>0</v>
      </c>
      <c r="BF495" s="47">
        <f ca="1">IF(BC495,4*('模拟-单技能数据'!$D$24+G495*'模拟-单技能数据'!$F$24)*(1+J495)*(1+'模拟-单技能数据'!$J$24)*(1-S495)*(1+$I$3)*(('模拟-全程加成'!$J$3+'模拟-全程加成'!$J$4+'模拟-全程加成'!$J$5+('模拟-全程加成'!$I$4+'模拟-全程加成'!$I$5)/系数!$B$4+BG495*10%)*('模拟-全程加成'!$J$3+'模拟-全程加成'!$J$4+'模拟-全程加成'!$J$5+('模拟-全程加成'!$I$4+'模拟-全程加成'!$I$5)/系数!$B$4+BG495*10%)+(1-('模拟-全程加成'!$J$3+'模拟-全程加成'!$J$4+'模拟-全程加成'!$J$5+('模拟-全程加成'!$I$4+'模拟-全程加成'!$I$5)/系数!$B$4+BG495*10%)-$F$10-$F$11)+F481*0.25),0)*'模拟-单技能数据'!$I$24</f>
        <v>0</v>
      </c>
      <c r="BG495" s="115" t="b">
        <f ca="1">OR(AND(OR(C495="烈日斩",C495="银月斩"),模拟模式!$I$7="净身明礼"),AND(C495="净世破魔击·日",模拟模式!$J$7="洞若观火"),AND(C496="净世破魔击·月",模拟模式!$J$7="洞若观火"),AB495=1)</f>
        <v>1</v>
      </c>
      <c r="BH495" s="115" t="b">
        <f t="shared" ca="1" si="443"/>
        <v>1</v>
      </c>
      <c r="BI495" s="115">
        <f t="shared" ca="1" si="406"/>
        <v>6</v>
      </c>
      <c r="BJ495" s="115" t="b">
        <f t="shared" ca="1" si="417"/>
        <v>1</v>
      </c>
      <c r="BK495" s="115" t="b">
        <f ca="1">AND(C495="驱夜断愁",模拟模式!$P$7="天地诛戮")</f>
        <v>0</v>
      </c>
      <c r="BL495" s="57">
        <f t="shared" ca="1" si="407"/>
        <v>16.310000000000002</v>
      </c>
      <c r="BM495" s="115" t="b">
        <f t="shared" ca="1" si="418"/>
        <v>1</v>
      </c>
      <c r="BN495" s="115" t="b">
        <f ca="1">AND(OR(C495="赤日轮1",C495="赤日轮2",C495="赤日轮3",C495="幽月轮1",C495="幽月轮2",C495="幽月轮3"),AB495=1,模拟模式!$L$7="明光恒照")</f>
        <v>0</v>
      </c>
      <c r="BO495" s="117">
        <f t="shared" ca="1" si="408"/>
        <v>28.155000000000001</v>
      </c>
      <c r="BP495" s="115">
        <f t="shared" ca="1" si="444"/>
        <v>6</v>
      </c>
      <c r="BQ495" s="115" t="b">
        <f>模拟模式!$K$10="2600·水"</f>
        <v>0</v>
      </c>
      <c r="BR495" s="117">
        <f t="shared" si="445"/>
        <v>0</v>
      </c>
      <c r="BS495" s="115">
        <f t="shared" si="446"/>
        <v>0</v>
      </c>
      <c r="BT495" s="115">
        <f t="shared" ca="1" si="447"/>
        <v>0</v>
      </c>
      <c r="BU495" s="115" t="b">
        <f ca="1">AND(模拟模式!$K$10="2300·雷",BT494=0,RAND()&lt;IF(C495="净世破魔击·月",5*0.05*2/3,IF(C495="净世破魔击·日",3*0.05*2/3,0.05*2*2/3)))</f>
        <v>0</v>
      </c>
      <c r="BV495" s="115">
        <f t="shared" ca="1" si="448"/>
        <v>0</v>
      </c>
      <c r="BW495" s="115">
        <f t="shared" ca="1" si="449"/>
        <v>123.72749999999924</v>
      </c>
      <c r="BX495" s="164" t="b">
        <f t="shared" ca="1" si="450"/>
        <v>0</v>
      </c>
      <c r="BY495" s="115">
        <f t="shared" ca="1" si="451"/>
        <v>0</v>
      </c>
      <c r="BZ495" s="115">
        <f>IF(OR(模拟模式!$P$16="10人团",模拟模式!$P$16="25人团"),IF(B495/30&gt;CA494,1,0),0)</f>
        <v>0</v>
      </c>
      <c r="CA495" s="115">
        <f t="shared" si="427"/>
        <v>0</v>
      </c>
      <c r="CB495" s="115">
        <f ca="1">IF(BZ495=1,IF(模拟模式!$P$16="10人团",15,0)+IF(模拟模式!$P$16="25人团",IF(RAND()&lt;0.6,15,0)),MAX(0,CB494-$F$4))</f>
        <v>0</v>
      </c>
      <c r="CC495" s="115" t="b">
        <f t="shared" ca="1" si="419"/>
        <v>0</v>
      </c>
      <c r="CD495" s="115">
        <f>IF(模拟模式!$Q$16="1个",IF(B495/40&gt;CE494,1,0),0)</f>
        <v>0</v>
      </c>
      <c r="CE495" s="115">
        <f t="shared" si="420"/>
        <v>0</v>
      </c>
      <c r="CF495" s="115">
        <f>IF(OR(CD495=1,模拟模式!$Q$16="2个"),20,MAX(0,CF494-$F$4))</f>
        <v>0</v>
      </c>
      <c r="CG495" s="115" t="b">
        <f t="shared" si="421"/>
        <v>0</v>
      </c>
      <c r="CH495" s="115">
        <f t="shared" ca="1" si="452"/>
        <v>13.39500000000001</v>
      </c>
      <c r="CI495" s="115" t="b">
        <f t="shared" ca="1" si="453"/>
        <v>0</v>
      </c>
      <c r="CJ495" s="119">
        <f t="shared" ca="1" si="454"/>
        <v>0</v>
      </c>
      <c r="CK495" s="115">
        <f t="shared" ca="1" si="455"/>
        <v>0</v>
      </c>
      <c r="CL495" s="115" t="b">
        <f ca="1">AND(模拟模式!$S$7="驱夷逐法",OR(AND(C495="净世破魔击·月",E494&gt;59),AND(C495="净世破魔击·日",F494&gt;59)))</f>
        <v>0</v>
      </c>
      <c r="CM495" s="115" t="b">
        <f ca="1">OR(CL495,AND(C495="净世破魔击·日",CL494,RAND()&lt;模拟模式!$U$23))</f>
        <v>1</v>
      </c>
      <c r="CN495" s="115" t="b">
        <f ca="1">IF(模拟模式!$M$7="辉耀红尘",AND(C495="净世破魔击·月",CL495,CV495=0,E494&lt;80),AND(C495="净世破魔击·月",CL495,E494&lt;100))</f>
        <v>0</v>
      </c>
      <c r="CO495" s="115" t="b">
        <f t="shared" ca="1" si="428"/>
        <v>0</v>
      </c>
      <c r="CP495" s="115" t="b">
        <f ca="1">AND(模拟模式!$O$7="用晦而明",OR(C495="净世破魔击·日",C495="净世破魔击·月",C495="驱夜断愁"),AB495)</f>
        <v>1</v>
      </c>
      <c r="CQ495" s="115" t="b">
        <f ca="1">OR(CP495,AND(CP494,RAND()&lt;模拟模式!$U$23))</f>
        <v>1</v>
      </c>
      <c r="CR495" s="115" t="b">
        <f ca="1">AND(模拟模式!$S$7="日月齐光",OR(C495="幽月轮1",C495="幽月轮2",C495="幽月轮3",CR494),NOT(OR(C495="赤日轮1",C495="赤日轮2",C495="赤日轮3")))</f>
        <v>0</v>
      </c>
      <c r="CS495" s="115" t="b">
        <f ca="1">AND(模拟模式!$S$7="日月齐光",OR(C495="赤日轮1",C495="赤日轮2",C495="赤日轮3",CS494),NOT(OR(C495="幽月轮1",C495="幽月轮2",C495="幽月轮3")))</f>
        <v>0</v>
      </c>
      <c r="CT495" s="115">
        <f t="shared" ca="1" si="456"/>
        <v>11.550000000000011</v>
      </c>
      <c r="CU495" s="115" t="b">
        <f ca="1">AND(模拟模式!$K$10="阴阳往极",CT494=0,RAND()&lt;IF(C495="净世破魔击·月",0.0275*7/3,IF(C495="净世破魔击·日",0.0275*3/3,0.0275*2/3)))</f>
        <v>0</v>
      </c>
      <c r="CV495" s="115">
        <f t="shared" ca="1" si="457"/>
        <v>0</v>
      </c>
      <c r="CW495" s="115">
        <f t="shared" ca="1" si="429"/>
        <v>3.2324999999999995</v>
      </c>
      <c r="CX495" s="115">
        <f t="shared" ca="1" si="430"/>
        <v>1.3874999999999997</v>
      </c>
      <c r="CY495" s="115">
        <f ca="1">MAX(IF($C495="驱夜断愁",IF(模拟模式!$R$7="万念俱寂",6,45),CY494-$F$4),0)</f>
        <v>2.3099999999999996</v>
      </c>
      <c r="CZ495" s="115">
        <f t="shared" ca="1" si="431"/>
        <v>0</v>
      </c>
      <c r="DA495" s="115">
        <f ca="1">IF(模拟模式!$N$7="日月同辉",IF(DB494=2,0,MIN(6,IF(AND(OR(C495="赤日轮1",C495="赤日轮2",C495="赤日轮3",C495="幽月轮1",C495="幽月轮2",C495="幽月轮3"),AB495=1),DA494+1,DA494))),0)</f>
        <v>4</v>
      </c>
      <c r="DB495" s="115">
        <f t="shared" ca="1" si="432"/>
        <v>0</v>
      </c>
      <c r="DC495" s="115"/>
      <c r="DD495" s="115"/>
      <c r="DE495" s="115"/>
      <c r="DF495" s="115"/>
      <c r="DG495" s="115"/>
      <c r="DH495" s="115"/>
      <c r="DI495" s="115"/>
      <c r="DJ495" s="115"/>
      <c r="DK495" s="115"/>
      <c r="DL495" s="115"/>
      <c r="DM495" s="115"/>
    </row>
    <row r="496" spans="2:117" x14ac:dyDescent="0.2">
      <c r="B496" s="117">
        <f t="shared" si="433"/>
        <v>432.65250000000441</v>
      </c>
      <c r="C496" s="167" t="str">
        <f t="shared" ca="1" si="426"/>
        <v>赤日轮1</v>
      </c>
      <c r="D496" s="115">
        <f ca="1">IF(C496="赤日轮1",1,IF(C496="赤日轮2",2,IF(C496="赤日轮3",3,IF(C496="幽月轮1",4,IF(C496="幽月轮2",5,IF(C496="幽月轮3",6,IF(C496="烈日斩",7,IF(C496="银月斩",8,IF(C496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496="净世破魔击·月",17,IF(C496="驱夜断愁",18,0)))))))))))</f>
        <v>1</v>
      </c>
      <c r="E496" s="115">
        <f ca="1">IF(AND(CU496,OR(C496="幽月轮1",C496="幽月轮2",C496="幽月轮3",C496="银月斩",C496="驱夜断愁",C496="净世破魔击·月")),100,MIN(IF(OR(CN496,BE496),0,IF(OR($C496="赤日轮1",$C496="赤日轮2",$C496="赤日轮3"),E495+20+IF(模拟模式!$I$7="日月凌天",4,0)+IF(CR495,20,0),IF($C496="烈日斩",E495+40,IF($C496="驱夜断愁",IF(模拟模式!$R$7="万念俱寂",E495+20,E495+60),IF($C496="净世破魔击·月",IF(OR(DB495&gt;0,CV495&gt;0),100,IF(模拟模式!$M$7="辉耀红尘",E495+20,E495)),IF($C496="净世破魔击·日",E495-100,E495)))))),100))</f>
        <v>20</v>
      </c>
      <c r="F496" s="115">
        <f ca="1">IF(AND(CU496,OR(C496="赤日轮1",C496="赤日轮2",C496="赤日轮3",C496="烈日斩",C496="净世破魔击·日")),100,MIN(IF(CO496,0,IF(OR($C496="幽月轮1",$C496="幽月轮2",$C496="幽月轮3"),F495+20+IF(模拟模式!$I$7="日月凌天",4,0)+IF(CS495,20,0),IF($C496="银月斩",F495+40+IF(模拟模式!$X$12=1,5,0),IF($C496="驱夜断愁",IF(模拟模式!$R$7="万念俱寂",F495+20,F495+60),IF($C496="净世破魔击·月",IF(模拟模式!$M$7="辉耀红尘",F495-80,F495-100),IF(AND(C496="净世破魔击·日",OR(DB495&gt;0,CV495&gt;0)),100,F495)))))),100))</f>
        <v>20</v>
      </c>
      <c r="G496" s="117">
        <f ca="1">('模拟-全程加成'!$E$3+'模拟-全程加成'!$E$4+'模拟-全程加成'!$E$5+('模拟-全程加成'!$C$6-'模拟-全程加成'!$C$3)*系数!$B$9+BS496*23)*(1+'模拟-全程加成'!$F$4+'模拟-全程加成'!$F$5+BJ496*10%+BM496*20%+BP496*4%+CG496*30%)+$F$7*系数!$B$12</f>
        <v>21493.829400000002</v>
      </c>
      <c r="H496" s="45">
        <f ca="1">'模拟-全程加成'!$H$3+'模拟-全程加成'!$H$4+'模拟-全程加成'!$H$5+('模拟-全程加成'!$G$4+'模拟-全程加成'!$G$5+('模拟-全程加成'!$C$6-'模拟-全程加成'!$C$3)*系数!$B$13)/系数!$B$3+LOOKUP(D496,'模拟-单技能数据'!$A$2:$A$19,'模拟-单技能数据'!$K$2:$K$19)+BG496*10%+IF(BV496&gt;0,378,0)</f>
        <v>0.4618514552730022</v>
      </c>
      <c r="I496" s="45">
        <f ca="1">'模拟-全程加成'!$J$3+'模拟-全程加成'!$J$4+'模拟-全程加成'!$J$5+('模拟-全程加成'!$I$4+'模拟-全程加成'!$I$5)/系数!$B$4+LOOKUP(D496,'模拟-单技能数据'!$A$2:$A$19,'模拟-单技能数据'!$L$2:$L$19)+BG496*10%</f>
        <v>2.162482885499879</v>
      </c>
      <c r="J496" s="45">
        <f ca="1">(('模拟-全程加成'!$K$3+'模拟-全程加成'!$K$4+'模拟-全程加成'!$K$5+('模拟-全程加成'!$C$6-'模拟-全程加成'!$C$3)*系数!$B$10+IF(BV496&gt;0,882,0)+IF(BY496&gt;0,1831,0))*(1+'模拟-全程加成'!$L$4+'模拟-全程加成'!$L$5+CC496*20%))/系数!$B$5</f>
        <v>0.69723220422048726</v>
      </c>
      <c r="K496" s="119">
        <f ca="1">LOOKUP(D496,'模拟-单技能数据'!$A$2:$A$19,'模拟-单技能数据'!$J$2:$J$19)+IF(CM496,60%,0)+IF(DB495-DB496&gt;0,30%,0)+IF(OR(AND(OR(C496="赤日轮1",C496="赤日轮2",C496="赤日轮3"),CR496),AND(OR(C496="幽月轮1",C496="幽月轮2",C496="幽月轮3"),CS496)),35%,0)+CJ496</f>
        <v>0.12</v>
      </c>
      <c r="L496" s="119">
        <f ca="1">IF(AND(C496="烈日斩",模拟模式!$X$11=1),10%,0)+IF(AND(C496="驱夜断愁",AB496=1),30%,0)</f>
        <v>0</v>
      </c>
      <c r="M496" s="45">
        <f t="shared" ca="1" si="409"/>
        <v>0.4618514552730022</v>
      </c>
      <c r="N496" s="45">
        <f t="shared" ca="1" si="410"/>
        <v>0.48424854472699785</v>
      </c>
      <c r="O496" s="46">
        <f t="shared" ca="1" si="434"/>
        <v>0.39118263102889295</v>
      </c>
      <c r="P496" s="46" t="str">
        <f t="shared" ca="1" si="435"/>
        <v>会</v>
      </c>
      <c r="Q496" s="45">
        <f t="shared" ca="1" si="436"/>
        <v>2.162482885499879</v>
      </c>
      <c r="R496" s="117">
        <f ca="1">模拟模式!$E$20*(1-IF(模拟模式!$J$19="有",0.15,0))*(1-IF(模拟模式!$K$19="有",0.3,0)-IF(CQ496,0.5,0))</f>
        <v>843.02999999999975</v>
      </c>
      <c r="S496" s="45">
        <f ca="1">R496/(R496+(185*模拟模式!$E$22-16800)*4.08224)</f>
        <v>8.389626085980037E-2</v>
      </c>
      <c r="T496" s="45" t="str">
        <f ca="1">LOOKUP(D496,'模拟-单技能数据'!$A$2:$A$19,'模拟-单技能数据'!$H$2:$H$19)</f>
        <v>阳</v>
      </c>
      <c r="U496" s="119">
        <f t="shared" ca="1" si="411"/>
        <v>0.2</v>
      </c>
      <c r="V496" s="47">
        <f ca="1">(1+L496)*(LOOKUP(D496,'模拟-单技能数据'!$A$2:$A$19,'模拟-单技能数据'!$D$2:$D$19)+G496*LOOKUP(D496,'模拟-单技能数据'!$A$2:$A$19,'模拟-单技能数据'!$F$2:$F$19))*(1+J496)*(1+K496)*(1-S496)*(1+U496)*Q496*LOOKUP(D496,'模拟-单技能数据'!$A$2:$A$19,'模拟-单技能数据'!$I$2:$I$20)</f>
        <v>56864.156113360666</v>
      </c>
      <c r="W496" s="47">
        <f ca="1">LOOKUP(D496,'模拟-单技能数据'!$A$2:$A$19,'模拟-单技能数据'!$G$2:$G$19)*$I$10</f>
        <v>361.51064354704795</v>
      </c>
      <c r="X496" s="47">
        <f t="shared" ca="1" si="437"/>
        <v>4250.4883357170938</v>
      </c>
      <c r="Y496" s="47">
        <f t="shared" ca="1" si="412"/>
        <v>61476.155092624802</v>
      </c>
      <c r="Z496" s="49">
        <f t="shared" ca="1" si="413"/>
        <v>49212847.146787919</v>
      </c>
      <c r="AA496" s="97">
        <f t="shared" ca="1" si="414"/>
        <v>113746.82255802848</v>
      </c>
      <c r="AB496" s="115">
        <f ca="1">IF(OR(C496="赤日轮1",C496="赤日轮2",C496="赤日轮3"),IF(RAND()&lt;模拟模式!$Y$17,1,0),IF(OR(C496="幽月轮1",C496="幽月轮2",C496="幽月轮3"),IF(RAND()&lt;模拟模式!$Y$18,1,0),IF(C496="烈日斩",IF(RAND()&lt;模拟模式!$Y$19,1,0),IF(C496="银月斩",IF(RAND()&lt;模拟模式!$Y$20,1,0),IF(C496="驱夜断愁",IF(RAND()&lt;模拟模式!$Y$21,1,0),IF(C496="净世破魔击·日",IF(RAND()&lt;模拟模式!$Y$22,1,0),IF(C496="净世破魔击·月",IF(RAND()&lt;模拟模式!$Y$23,1,0),0)))))))</f>
        <v>1</v>
      </c>
      <c r="AC496" s="115" t="b">
        <f t="shared" ca="1" si="402"/>
        <v>0</v>
      </c>
      <c r="AD496" s="115" t="b">
        <f t="shared" ca="1" si="422"/>
        <v>1</v>
      </c>
      <c r="AE496" s="115">
        <f t="shared" ca="1" si="423"/>
        <v>2</v>
      </c>
      <c r="AF496" s="47">
        <f ca="1">IF(AC496,('模拟-单技能数据'!$D$20+G496*'模拟-单技能数据'!$F$20)*(1+J496)*(1+'模拟-单技能数据'!$J$20)*(1+U496),0)</f>
        <v>0</v>
      </c>
      <c r="AG496" s="61">
        <f t="shared" ca="1" si="415"/>
        <v>0.64185145527300214</v>
      </c>
      <c r="AH496" s="61">
        <f t="shared" ca="1" si="416"/>
        <v>2.2624828854998791</v>
      </c>
      <c r="AI496" s="62">
        <f t="shared" ca="1" si="438"/>
        <v>0.83936589031438968</v>
      </c>
      <c r="AJ496" s="47">
        <f ca="1">IF(AD496,IF(AI496&lt;$F$10,0,IF(AI496&lt;$F$10+$F$11,0.25,IF(AI496&lt;$F$10+$F$11+AG496,AH496,1)))*IF(AF496&gt;0,AF496,IF(AF495&gt;0,AF495,IF(AF494&gt;0,AF494,IF(AF493&gt;0,AF493,IF(AF492&gt;0,AF492,IF(AF491&gt;0,AF491,IF(AF490&gt;0,AF490,IF(AF489&gt;0,AF489,IF(AF488&gt;0,AF488,IF(AF486&gt;0,AF486,IF(AF485&gt;0,AF485,IF(AF484&gt;0,AF484,0)))))))))))),0)*(1-$S496)*'模拟-单技能数据'!$I$20</f>
        <v>4250.4883357170938</v>
      </c>
      <c r="AK496" s="115" t="b">
        <f t="shared" ca="1" si="403"/>
        <v>0</v>
      </c>
      <c r="AL496" s="115" t="b">
        <f t="shared" ca="1" si="424"/>
        <v>0</v>
      </c>
      <c r="AM496" s="115">
        <f t="shared" ca="1" si="425"/>
        <v>5</v>
      </c>
      <c r="AN496" s="47">
        <f ca="1">IF(AK496,('模拟-单技能数据'!$D$21+G496*'模拟-单技能数据'!$F$21)*(1+J496)*(1+'模拟-单技能数据'!$J$21)*(1+U496),0)</f>
        <v>0</v>
      </c>
      <c r="AO496" s="61">
        <f ca="1">IF(AN496&gt;0,M496-'模拟-单技能数据'!$K$10,AO495)</f>
        <v>0.42185145527300216</v>
      </c>
      <c r="AP496" s="61">
        <f ca="1">IF(AN496&gt;0,I496-'模拟-单技能数据'!$L$10,AP495)</f>
        <v>2.162482885499879</v>
      </c>
      <c r="AQ496" s="63">
        <f t="shared" ca="1" si="439"/>
        <v>0.77092072492961872</v>
      </c>
      <c r="AR496" s="64">
        <f ca="1">IF(AL496,IF(AQ496&lt;$F$10,0,IF(AQ496&lt;$F$10+$F$11,0.25,IF(AQ496&lt;$F$10+$F$11+AO496,AP496,1)))*IF(AN496&gt;0,AN496,IF(AN495&gt;0,AN495,IF(AN494&gt;0,AN494,IF(AN493&gt;0,AN493,IF(AN492&gt;0,AN492,IF(AN491&gt;0,AN491,IF(AN490&gt;0,AN490,IF(AN489&gt;0,AN489,IF(AN488&gt;0,AN488,IF(AN486&gt;0,AN486,IF(AN485&gt;0,AN485,IF(AN484&gt;0,AN484,0)))))))))))),0)*(1-$S496)*'模拟-单技能数据'!$I$21</f>
        <v>0</v>
      </c>
      <c r="AS496" s="61">
        <f ca="1">IF(OR(C496="净世破魔击·日",C496="净世破魔击·月"),M496-'模拟-单技能数据'!$K$10,0)</f>
        <v>0</v>
      </c>
      <c r="AT496" s="61">
        <f ca="1">IF(OR(C496="净世破魔击·日",C496="净世破魔击·月"),I496-'模拟-单技能数据'!$L$10,0)</f>
        <v>0</v>
      </c>
      <c r="AU496" s="62">
        <f t="shared" ca="1" si="440"/>
        <v>0.90497925817824321</v>
      </c>
      <c r="AV496" s="64">
        <f ca="1">IF(AS496&gt;0,('模拟-单技能数据'!$D$22+G496*'模拟-单技能数据'!$F$22)*(1+J496)*(1-S496)*IF(AU496&lt;$F$10,0,IF(AU496&lt;$F$10+$F$11,0.25,IF(AU496&lt;$F$10+$F$11+AS496,AT496,1)))*(1+U496),0)*'模拟-单技能数据'!$I$22</f>
        <v>0</v>
      </c>
      <c r="AW496" s="108">
        <f t="shared" ca="1" si="441"/>
        <v>4.3175000000000061</v>
      </c>
      <c r="AX496" s="108" t="b">
        <f ca="1">AND(模拟模式!$P$10="有",AW495=0,RAND()&lt;IF(C496="净世破魔击·月",0.1*8/3,IF(C496="净世破魔击·日",0.1*4/3,0.1*2/3)))</f>
        <v>0</v>
      </c>
      <c r="AY496" s="47">
        <f ca="1">IF(AX496,(18+G496*0.722)*(1+J496)*(1-S496)*(1+$I$4)*IF(P496="会",'模拟-全程加成'!$J$3+'模拟-全程加成'!$J$4+'模拟-全程加成'!$J$5+('模拟-全程加成'!$I$4+'模拟-全程加成'!$I$5)/系数!$B$4+BG496*10%,IF(P496="命",1,IF(P496="识",0.25,0))),0)</f>
        <v>0</v>
      </c>
      <c r="AZ496" s="108">
        <f t="shared" si="442"/>
        <v>13.542500000000004</v>
      </c>
      <c r="BA496" s="108" t="b">
        <f>AND(模拟模式!$Q$10="有",AZ495=0)</f>
        <v>0</v>
      </c>
      <c r="BB496" s="140">
        <f>IF(BA496,(0+G496*0.287)*(1+J496)*(1-S496)*(1+$I$4)*IF(P496="会",'模拟-全程加成'!$J$3+'模拟-全程加成'!$J$4+'模拟-全程加成'!$J$5+('模拟-全程加成'!$I$4+'模拟-全程加成'!$I$5)/系数!$B$4+BG496*10%,IF(P496="命",1,IF(P496="识",0.25,0))),0)</f>
        <v>0</v>
      </c>
      <c r="BC496" s="115" t="b">
        <f ca="1">AND(模拟模式!$R$7="伏明众生",E496=60,F496=20,DA496&lt;5,CZ495&lt;$F$4)</f>
        <v>0</v>
      </c>
      <c r="BD496" s="115">
        <f t="shared" ca="1" si="404"/>
        <v>0</v>
      </c>
      <c r="BE496" s="115" t="b">
        <f t="shared" ca="1" si="405"/>
        <v>0</v>
      </c>
      <c r="BF496" s="47">
        <f ca="1">IF(BC496,4*('模拟-单技能数据'!$D$24+G496*'模拟-单技能数据'!$F$24)*(1+J496)*(1+'模拟-单技能数据'!$J$24)*(1-S496)*(1+$I$3)*(('模拟-全程加成'!$J$3+'模拟-全程加成'!$J$4+'模拟-全程加成'!$J$5+('模拟-全程加成'!$I$4+'模拟-全程加成'!$I$5)/系数!$B$4+BG496*10%)*('模拟-全程加成'!$J$3+'模拟-全程加成'!$J$4+'模拟-全程加成'!$J$5+('模拟-全程加成'!$I$4+'模拟-全程加成'!$I$5)/系数!$B$4+BG496*10%)+(1-('模拟-全程加成'!$J$3+'模拟-全程加成'!$J$4+'模拟-全程加成'!$J$5+('模拟-全程加成'!$I$4+'模拟-全程加成'!$I$5)/系数!$B$4+BG496*10%)-$F$10-$F$11)+F482*0.25),0)*'模拟-单技能数据'!$I$24</f>
        <v>0</v>
      </c>
      <c r="BG496" s="115" t="b">
        <f ca="1">OR(AND(OR(C496="烈日斩",C496="银月斩"),模拟模式!$I$7="净身明礼"),AND(C496="净世破魔击·日",模拟模式!$J$7="洞若观火"),AND(C497="净世破魔击·月",模拟模式!$J$7="洞若观火"),AB496=1)</f>
        <v>1</v>
      </c>
      <c r="BH496" s="115" t="b">
        <f t="shared" ca="1" si="443"/>
        <v>0</v>
      </c>
      <c r="BI496" s="115">
        <f t="shared" ca="1" si="406"/>
        <v>5.0774999999999997</v>
      </c>
      <c r="BJ496" s="115" t="b">
        <f t="shared" ca="1" si="417"/>
        <v>1</v>
      </c>
      <c r="BK496" s="115" t="b">
        <f ca="1">AND(C496="驱夜断愁",模拟模式!$P$7="天地诛戮")</f>
        <v>0</v>
      </c>
      <c r="BL496" s="57">
        <f t="shared" ca="1" si="407"/>
        <v>15.387500000000003</v>
      </c>
      <c r="BM496" s="115" t="b">
        <f t="shared" ca="1" si="418"/>
        <v>1</v>
      </c>
      <c r="BN496" s="115" t="b">
        <f ca="1">AND(OR(C496="赤日轮1",C496="赤日轮2",C496="赤日轮3",C496="幽月轮1",C496="幽月轮2",C496="幽月轮3"),AB496=1,模拟模式!$L$7="明光恒照")</f>
        <v>1</v>
      </c>
      <c r="BO496" s="117">
        <f t="shared" ca="1" si="408"/>
        <v>30</v>
      </c>
      <c r="BP496" s="115">
        <f t="shared" ca="1" si="444"/>
        <v>6</v>
      </c>
      <c r="BQ496" s="115" t="b">
        <f>模拟模式!$K$10="2600·水"</f>
        <v>0</v>
      </c>
      <c r="BR496" s="117">
        <f t="shared" si="445"/>
        <v>0</v>
      </c>
      <c r="BS496" s="115">
        <f t="shared" si="446"/>
        <v>0</v>
      </c>
      <c r="BT496" s="115">
        <f t="shared" ca="1" si="447"/>
        <v>0</v>
      </c>
      <c r="BU496" s="115" t="b">
        <f ca="1">AND(模拟模式!$K$10="2300·雷",BT495=0,RAND()&lt;IF(C496="净世破魔击·月",5*0.05*2/3,IF(C496="净世破魔击·日",3*0.05*2/3,0.05*2*2/3)))</f>
        <v>0</v>
      </c>
      <c r="BV496" s="115">
        <f t="shared" ca="1" si="448"/>
        <v>0</v>
      </c>
      <c r="BW496" s="115">
        <f t="shared" ca="1" si="449"/>
        <v>122.80499999999924</v>
      </c>
      <c r="BX496" s="164" t="b">
        <f t="shared" ca="1" si="450"/>
        <v>0</v>
      </c>
      <c r="BY496" s="115">
        <f t="shared" ca="1" si="451"/>
        <v>0</v>
      </c>
      <c r="BZ496" s="115">
        <f>IF(OR(模拟模式!$P$16="10人团",模拟模式!$P$16="25人团"),IF(B496/30&gt;CA495,1,0),0)</f>
        <v>0</v>
      </c>
      <c r="CA496" s="115">
        <f t="shared" si="427"/>
        <v>0</v>
      </c>
      <c r="CB496" s="115">
        <f ca="1">IF(BZ496=1,IF(模拟模式!$P$16="10人团",15,0)+IF(模拟模式!$P$16="25人团",IF(RAND()&lt;0.6,15,0)),MAX(0,CB495-$F$4))</f>
        <v>0</v>
      </c>
      <c r="CC496" s="115" t="b">
        <f t="shared" ca="1" si="419"/>
        <v>0</v>
      </c>
      <c r="CD496" s="115">
        <f>IF(模拟模式!$Q$16="1个",IF(B496/40&gt;CE495,1,0),0)</f>
        <v>0</v>
      </c>
      <c r="CE496" s="115">
        <f t="shared" si="420"/>
        <v>0</v>
      </c>
      <c r="CF496" s="115">
        <f>IF(OR(CD496=1,模拟模式!$Q$16="2个"),20,MAX(0,CF495-$F$4))</f>
        <v>0</v>
      </c>
      <c r="CG496" s="115" t="b">
        <f t="shared" si="421"/>
        <v>0</v>
      </c>
      <c r="CH496" s="115">
        <f t="shared" ca="1" si="452"/>
        <v>12.472500000000011</v>
      </c>
      <c r="CI496" s="115" t="b">
        <f t="shared" ca="1" si="453"/>
        <v>0</v>
      </c>
      <c r="CJ496" s="119">
        <f t="shared" ca="1" si="454"/>
        <v>0</v>
      </c>
      <c r="CK496" s="115">
        <f t="shared" ca="1" si="455"/>
        <v>0</v>
      </c>
      <c r="CL496" s="115" t="b">
        <f ca="1">AND(模拟模式!$S$7="驱夷逐法",OR(AND(C496="净世破魔击·月",E495&gt;59),AND(C496="净世破魔击·日",F495&gt;59)))</f>
        <v>0</v>
      </c>
      <c r="CM496" s="115" t="b">
        <f ca="1">OR(CL496,AND(C496="净世破魔击·日",CL495,RAND()&lt;模拟模式!$U$23))</f>
        <v>0</v>
      </c>
      <c r="CN496" s="115" t="b">
        <f ca="1">IF(模拟模式!$M$7="辉耀红尘",AND(C496="净世破魔击·月",CL496,CV496=0,E495&lt;80),AND(C496="净世破魔击·月",CL496,E495&lt;100))</f>
        <v>0</v>
      </c>
      <c r="CO496" s="115" t="b">
        <f t="shared" ca="1" si="428"/>
        <v>0</v>
      </c>
      <c r="CP496" s="115" t="b">
        <f ca="1">AND(模拟模式!$O$7="用晦而明",OR(C496="净世破魔击·日",C496="净世破魔击·月",C496="驱夜断愁"),AB496)</f>
        <v>0</v>
      </c>
      <c r="CQ496" s="115" t="b">
        <f ca="1">OR(CP496,AND(CP495,RAND()&lt;模拟模式!$U$23))</f>
        <v>1</v>
      </c>
      <c r="CR496" s="115" t="b">
        <f ca="1">AND(模拟模式!$S$7="日月齐光",OR(C496="幽月轮1",C496="幽月轮2",C496="幽月轮3",CR495),NOT(OR(C496="赤日轮1",C496="赤日轮2",C496="赤日轮3")))</f>
        <v>0</v>
      </c>
      <c r="CS496" s="115" t="b">
        <f ca="1">AND(模拟模式!$S$7="日月齐光",OR(C496="赤日轮1",C496="赤日轮2",C496="赤日轮3",CS495),NOT(OR(C496="幽月轮1",C496="幽月轮2",C496="幽月轮3")))</f>
        <v>0</v>
      </c>
      <c r="CT496" s="115">
        <f t="shared" ca="1" si="456"/>
        <v>10.627500000000012</v>
      </c>
      <c r="CU496" s="115" t="b">
        <f ca="1">AND(模拟模式!$K$10="阴阳往极",CT495=0,RAND()&lt;IF(C496="净世破魔击·月",0.0275*7/3,IF(C496="净世破魔击·日",0.0275*3/3,0.0275*2/3)))</f>
        <v>0</v>
      </c>
      <c r="CV496" s="115">
        <f t="shared" ca="1" si="457"/>
        <v>0</v>
      </c>
      <c r="CW496" s="115">
        <f t="shared" ca="1" si="429"/>
        <v>2.3099999999999996</v>
      </c>
      <c r="CX496" s="115">
        <f t="shared" ca="1" si="430"/>
        <v>0.46499999999999975</v>
      </c>
      <c r="CY496" s="115">
        <f ca="1">MAX(IF($C496="驱夜断愁",IF(模拟模式!$R$7="万念俱寂",6,45),CY495-$F$4),0)</f>
        <v>1.3874999999999997</v>
      </c>
      <c r="CZ496" s="115">
        <f t="shared" ca="1" si="431"/>
        <v>0</v>
      </c>
      <c r="DA496" s="115">
        <f ca="1">IF(模拟模式!$N$7="日月同辉",IF(DB495=2,0,MIN(6,IF(AND(OR(C496="赤日轮1",C496="赤日轮2",C496="赤日轮3",C496="幽月轮1",C496="幽月轮2",C496="幽月轮3"),AB496=1),DA495+1,DA495))),0)</f>
        <v>5</v>
      </c>
      <c r="DB496" s="115">
        <f t="shared" ca="1" si="432"/>
        <v>0</v>
      </c>
      <c r="DC496" s="115"/>
      <c r="DD496" s="115"/>
      <c r="DE496" s="115"/>
      <c r="DF496" s="115"/>
      <c r="DG496" s="115"/>
      <c r="DH496" s="115"/>
      <c r="DI496" s="115"/>
      <c r="DJ496" s="115"/>
      <c r="DK496" s="115"/>
      <c r="DL496" s="115"/>
      <c r="DM496" s="115"/>
    </row>
    <row r="497" spans="2:117" x14ac:dyDescent="0.2">
      <c r="B497" s="117">
        <f t="shared" si="433"/>
        <v>433.57500000000442</v>
      </c>
      <c r="C497" s="167" t="str">
        <f t="shared" ca="1" si="426"/>
        <v>银月斩</v>
      </c>
      <c r="D497" s="115">
        <f ca="1">IF(C497="赤日轮1",1,IF(C497="赤日轮2",2,IF(C497="赤日轮3",3,IF(C497="幽月轮1",4,IF(C497="幽月轮2",5,IF(C497="幽月轮3",6,IF(C497="烈日斩",7,IF(C497="银月斩",8,IF(C497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497="净世破魔击·月",17,IF(C497="驱夜断愁",18,0)))))))))))</f>
        <v>8</v>
      </c>
      <c r="E497" s="115">
        <f ca="1">IF(AND(CU497,OR(C497="幽月轮1",C497="幽月轮2",C497="幽月轮3",C497="银月斩",C497="驱夜断愁",C497="净世破魔击·月")),100,MIN(IF(OR(CN497,BE497),0,IF(OR($C497="赤日轮1",$C497="赤日轮2",$C497="赤日轮3"),E496+20+IF(模拟模式!$I$7="日月凌天",4,0)+IF(CR496,20,0),IF($C497="烈日斩",E496+40,IF($C497="驱夜断愁",IF(模拟模式!$R$7="万念俱寂",E496+20,E496+60),IF($C497="净世破魔击·月",IF(OR(DB496&gt;0,CV496&gt;0),100,IF(模拟模式!$M$7="辉耀红尘",E496+20,E496)),IF($C497="净世破魔击·日",E496-100,E496)))))),100))</f>
        <v>20</v>
      </c>
      <c r="F497" s="115">
        <f ca="1">IF(AND(CU497,OR(C497="赤日轮1",C497="赤日轮2",C497="赤日轮3",C497="烈日斩",C497="净世破魔击·日")),100,MIN(IF(CO497,0,IF(OR($C497="幽月轮1",$C497="幽月轮2",$C497="幽月轮3"),F496+20+IF(模拟模式!$I$7="日月凌天",4,0)+IF(CS496,20,0),IF($C497="银月斩",F496+40+IF(模拟模式!$X$12=1,5,0),IF($C497="驱夜断愁",IF(模拟模式!$R$7="万念俱寂",F496+20,F496+60),IF($C497="净世破魔击·月",IF(模拟模式!$M$7="辉耀红尘",F496-80,F496-100),IF(AND(C497="净世破魔击·日",OR(DB496&gt;0,CV496&gt;0)),100,F496)))))),100))</f>
        <v>65</v>
      </c>
      <c r="G497" s="117">
        <f ca="1">('模拟-全程加成'!$E$3+'模拟-全程加成'!$E$4+'模拟-全程加成'!$E$5+('模拟-全程加成'!$C$6-'模拟-全程加成'!$C$3)*系数!$B$9+BS497*23)*(1+'模拟-全程加成'!$F$4+'模拟-全程加成'!$F$5+BJ497*10%+BM497*20%+BP497*4%+CG497*30%)+$F$7*系数!$B$12</f>
        <v>21493.829400000002</v>
      </c>
      <c r="H497" s="45">
        <f ca="1">'模拟-全程加成'!$H$3+'模拟-全程加成'!$H$4+'模拟-全程加成'!$H$5+('模拟-全程加成'!$G$4+'模拟-全程加成'!$G$5+('模拟-全程加成'!$C$6-'模拟-全程加成'!$C$3)*系数!$B$13)/系数!$B$3+LOOKUP(D497,'模拟-单技能数据'!$A$2:$A$19,'模拟-单技能数据'!$K$2:$K$19)+BG497*10%+IF(BV497&gt;0,378,0)</f>
        <v>0.64185145527300214</v>
      </c>
      <c r="I497" s="45">
        <f ca="1">'模拟-全程加成'!$J$3+'模拟-全程加成'!$J$4+'模拟-全程加成'!$J$5+('模拟-全程加成'!$I$4+'模拟-全程加成'!$I$5)/系数!$B$4+LOOKUP(D497,'模拟-单技能数据'!$A$2:$A$19,'模拟-单技能数据'!$L$2:$L$19)+BG497*10%</f>
        <v>2.2624828854998791</v>
      </c>
      <c r="J497" s="45">
        <f ca="1">(('模拟-全程加成'!$K$3+'模拟-全程加成'!$K$4+'模拟-全程加成'!$K$5+('模拟-全程加成'!$C$6-'模拟-全程加成'!$C$3)*系数!$B$10+IF(BV497&gt;0,882,0)+IF(BY497&gt;0,1831,0))*(1+'模拟-全程加成'!$L$4+'模拟-全程加成'!$L$5+CC497*20%))/系数!$B$5</f>
        <v>0.69723220422048726</v>
      </c>
      <c r="K497" s="119">
        <f ca="1">LOOKUP(D497,'模拟-单技能数据'!$A$2:$A$19,'模拟-单技能数据'!$J$2:$J$19)+IF(CM497,60%,0)+IF(DB496-DB497&gt;0,30%,0)+IF(OR(AND(OR(C497="赤日轮1",C497="赤日轮2",C497="赤日轮3"),CR497),AND(OR(C497="幽月轮1",C497="幽月轮2",C497="幽月轮3"),CS497)),35%,0)+CJ497</f>
        <v>0.15</v>
      </c>
      <c r="L497" s="119">
        <f ca="1">IF(AND(C497="烈日斩",模拟模式!$X$11=1),10%,0)+IF(AND(C497="驱夜断愁",AB497=1),30%,0)</f>
        <v>0</v>
      </c>
      <c r="M497" s="45">
        <f t="shared" ca="1" si="409"/>
        <v>0.64185145527300214</v>
      </c>
      <c r="N497" s="45">
        <f t="shared" ca="1" si="410"/>
        <v>0.30424854472699792</v>
      </c>
      <c r="O497" s="46">
        <f t="shared" ca="1" si="434"/>
        <v>6.2939001883509871E-2</v>
      </c>
      <c r="P497" s="46" t="str">
        <f t="shared" ca="1" si="435"/>
        <v>会</v>
      </c>
      <c r="Q497" s="45">
        <f t="shared" ca="1" si="436"/>
        <v>2.2624828854998791</v>
      </c>
      <c r="R497" s="117">
        <f ca="1">模拟模式!$E$20*(1-IF(模拟模式!$J$19="有",0.15,0))*(1-IF(模拟模式!$K$19="有",0.3,0)-IF(CQ497,0.5,0))</f>
        <v>2950.6049999999996</v>
      </c>
      <c r="S497" s="45">
        <f ca="1">R497/(R497+(185*模拟模式!$E$22-16800)*4.08224)</f>
        <v>0.24272716014590323</v>
      </c>
      <c r="T497" s="45" t="str">
        <f ca="1">LOOKUP(D497,'模拟-单技能数据'!$A$2:$A$19,'模拟-单技能数据'!$H$2:$H$19)</f>
        <v>阴</v>
      </c>
      <c r="U497" s="119">
        <f t="shared" ca="1" si="411"/>
        <v>0.08</v>
      </c>
      <c r="V497" s="47">
        <f ca="1">(1+L497)*(LOOKUP(D497,'模拟-单技能数据'!$A$2:$A$19,'模拟-单技能数据'!$D$2:$D$19)+G497*LOOKUP(D497,'模拟-单技能数据'!$A$2:$A$19,'模拟-单技能数据'!$F$2:$F$19))*(1+J497)*(1+K497)*(1-S497)*(1+U497)*Q497*LOOKUP(D497,'模拟-单技能数据'!$A$2:$A$19,'模拟-单技能数据'!$I$2:$I$20)</f>
        <v>41211.704893206668</v>
      </c>
      <c r="W497" s="47">
        <f ca="1">LOOKUP(D497,'模拟-单技能数据'!$A$2:$A$19,'模拟-单技能数据'!$G$2:$G$19)*$I$10</f>
        <v>361.51064354704795</v>
      </c>
      <c r="X497" s="47">
        <f t="shared" ca="1" si="437"/>
        <v>9595.3556920079973</v>
      </c>
      <c r="Y497" s="47">
        <f t="shared" ca="1" si="412"/>
        <v>51168.571228761721</v>
      </c>
      <c r="Z497" s="49">
        <f t="shared" ca="1" si="413"/>
        <v>49264015.718016684</v>
      </c>
      <c r="AA497" s="97">
        <f t="shared" ca="1" si="414"/>
        <v>113622.82354383021</v>
      </c>
      <c r="AB497" s="115">
        <f ca="1">IF(OR(C497="赤日轮1",C497="赤日轮2",C497="赤日轮3"),IF(RAND()&lt;模拟模式!$Y$17,1,0),IF(OR(C497="幽月轮1",C497="幽月轮2",C497="幽月轮3"),IF(RAND()&lt;模拟模式!$Y$18,1,0),IF(C497="烈日斩",IF(RAND()&lt;模拟模式!$Y$19,1,0),IF(C497="银月斩",IF(RAND()&lt;模拟模式!$Y$20,1,0),IF(C497="驱夜断愁",IF(RAND()&lt;模拟模式!$Y$21,1,0),IF(C497="净世破魔击·日",IF(RAND()&lt;模拟模式!$Y$22,1,0),IF(C497="净世破魔击·月",IF(RAND()&lt;模拟模式!$Y$23,1,0),0)))))))</f>
        <v>1</v>
      </c>
      <c r="AC497" s="115" t="b">
        <f t="shared" ca="1" si="402"/>
        <v>1</v>
      </c>
      <c r="AD497" s="115" t="b">
        <f t="shared" ca="1" si="422"/>
        <v>0</v>
      </c>
      <c r="AE497" s="115">
        <f t="shared" ca="1" si="423"/>
        <v>6</v>
      </c>
      <c r="AF497" s="47">
        <f ca="1">IF(AC497,('模拟-单技能数据'!$D$20+G497*'模拟-单技能数据'!$F$20)*(1+J497)*(1+'模拟-单技能数据'!$J$20)*(1+U497),0)</f>
        <v>4639.7456468263617</v>
      </c>
      <c r="AG497" s="61">
        <f t="shared" ca="1" si="415"/>
        <v>0.64185145527300214</v>
      </c>
      <c r="AH497" s="61">
        <f t="shared" ca="1" si="416"/>
        <v>2.2624828854998791</v>
      </c>
      <c r="AI497" s="62">
        <f t="shared" ca="1" si="438"/>
        <v>0.94757748243242368</v>
      </c>
      <c r="AJ497" s="47">
        <f ca="1">IF(AD497,IF(AI497&lt;$F$10,0,IF(AI497&lt;$F$10+$F$11,0.25,IF(AI497&lt;$F$10+$F$11+AG497,AH497,1)))*IF(AF497&gt;0,AF497,IF(AF496&gt;0,AF496,IF(AF495&gt;0,AF495,IF(AF494&gt;0,AF494,IF(AF493&gt;0,AF493,IF(AF492&gt;0,AF492,IF(AF491&gt;0,AF491,IF(AF490&gt;0,AF490,IF(AF489&gt;0,AF489,IF(AF487&gt;0,AF487,IF(AF486&gt;0,AF486,IF(AF485&gt;0,AF485,0)))))))))))),0)*(1-$S497)*'模拟-单技能数据'!$I$20</f>
        <v>0</v>
      </c>
      <c r="AK497" s="115" t="b">
        <f t="shared" ca="1" si="403"/>
        <v>0</v>
      </c>
      <c r="AL497" s="115" t="b">
        <f t="shared" ca="1" si="424"/>
        <v>1</v>
      </c>
      <c r="AM497" s="115">
        <f t="shared" ca="1" si="425"/>
        <v>4</v>
      </c>
      <c r="AN497" s="47">
        <f ca="1">IF(AK497,('模拟-单技能数据'!$D$21+G497*'模拟-单技能数据'!$F$21)*(1+J497)*(1+'模拟-单技能数据'!$J$21)*(1+U497),0)</f>
        <v>0</v>
      </c>
      <c r="AO497" s="61">
        <f ca="1">IF(AN497&gt;0,M497-'模拟-单技能数据'!$K$10,AO496)</f>
        <v>0.42185145527300216</v>
      </c>
      <c r="AP497" s="61">
        <f ca="1">IF(AN497&gt;0,I497-'模拟-单技能数据'!$L$10,AP496)</f>
        <v>2.162482885499879</v>
      </c>
      <c r="AQ497" s="63">
        <f t="shared" ca="1" si="439"/>
        <v>0.71060944528915249</v>
      </c>
      <c r="AR497" s="64">
        <f ca="1">IF(AL497,IF(AQ497&lt;$F$10,0,IF(AQ497&lt;$F$10+$F$11,0.25,IF(AQ497&lt;$F$10+$F$11+AO497,AP497,1)))*IF(AN497&gt;0,AN497,IF(AN496&gt;0,AN496,IF(AN495&gt;0,AN495,IF(AN494&gt;0,AN494,IF(AN493&gt;0,AN493,IF(AN492&gt;0,AN492,IF(AN491&gt;0,AN491,IF(AN490&gt;0,AN490,IF(AN489&gt;0,AN489,IF(AN487&gt;0,AN487,IF(AN486&gt;0,AN486,IF(AN485&gt;0,AN485,0)))))))))))),0)*(1-$S497)*'模拟-单技能数据'!$I$21</f>
        <v>9595.3556920079973</v>
      </c>
      <c r="AS497" s="61">
        <f ca="1">IF(OR(C497="净世破魔击·日",C497="净世破魔击·月"),M497-'模拟-单技能数据'!$K$10,0)</f>
        <v>0</v>
      </c>
      <c r="AT497" s="61">
        <f ca="1">IF(OR(C497="净世破魔击·日",C497="净世破魔击·月"),I497-'模拟-单技能数据'!$L$10,0)</f>
        <v>0</v>
      </c>
      <c r="AU497" s="62">
        <f t="shared" ca="1" si="440"/>
        <v>0.70348147993846111</v>
      </c>
      <c r="AV497" s="64">
        <f ca="1">IF(AS497&gt;0,('模拟-单技能数据'!$D$22+G497*'模拟-单技能数据'!$F$22)*(1+J497)*(1-S497)*IF(AU497&lt;$F$10,0,IF(AU497&lt;$F$10+$F$11,0.25,IF(AU497&lt;$F$10+$F$11+AS497,AT497,1)))*(1+U497),0)*'模拟-单技能数据'!$I$22</f>
        <v>0</v>
      </c>
      <c r="AW497" s="108">
        <f t="shared" ca="1" si="441"/>
        <v>3.3950000000000062</v>
      </c>
      <c r="AX497" s="108" t="b">
        <f ca="1">AND(模拟模式!$P$10="有",AW496=0,RAND()&lt;IF(C497="净世破魔击·月",0.1*8/3,IF(C497="净世破魔击·日",0.1*4/3,0.1*2/3)))</f>
        <v>0</v>
      </c>
      <c r="AY497" s="47">
        <f ca="1">IF(AX497,(18+G497*0.722)*(1+J497)*(1-S497)*(1+$I$4)*IF(P497="会",'模拟-全程加成'!$J$3+'模拟-全程加成'!$J$4+'模拟-全程加成'!$J$5+('模拟-全程加成'!$I$4+'模拟-全程加成'!$I$5)/系数!$B$4+BG497*10%,IF(P497="命",1,IF(P497="识",0.25,0))),0)</f>
        <v>0</v>
      </c>
      <c r="AZ497" s="108">
        <f t="shared" si="442"/>
        <v>12.620000000000005</v>
      </c>
      <c r="BA497" s="108" t="b">
        <f>AND(模拟模式!$Q$10="有",AZ496=0)</f>
        <v>0</v>
      </c>
      <c r="BB497" s="140">
        <f>IF(BA497,(0+G497*0.287)*(1+J497)*(1-S497)*(1+$I$4)*IF(P497="会",'模拟-全程加成'!$J$3+'模拟-全程加成'!$J$4+'模拟-全程加成'!$J$5+('模拟-全程加成'!$I$4+'模拟-全程加成'!$I$5)/系数!$B$4+BG497*10%,IF(P497="命",1,IF(P497="识",0.25,0))),0)</f>
        <v>0</v>
      </c>
      <c r="BC497" s="115" t="b">
        <f ca="1">AND(模拟模式!$R$7="伏明众生",E497=60,F497=20,DA497&lt;5,CZ496&lt;$F$4)</f>
        <v>0</v>
      </c>
      <c r="BD497" s="115">
        <f t="shared" ca="1" si="404"/>
        <v>0</v>
      </c>
      <c r="BE497" s="115" t="b">
        <f t="shared" ca="1" si="405"/>
        <v>0</v>
      </c>
      <c r="BF497" s="47">
        <f ca="1">IF(BC497,4*('模拟-单技能数据'!$D$24+G497*'模拟-单技能数据'!$F$24)*(1+J497)*(1+'模拟-单技能数据'!$J$24)*(1-S497)*(1+$I$3)*(('模拟-全程加成'!$J$3+'模拟-全程加成'!$J$4+'模拟-全程加成'!$J$5+('模拟-全程加成'!$I$4+'模拟-全程加成'!$I$5)/系数!$B$4+BG497*10%)*('模拟-全程加成'!$J$3+'模拟-全程加成'!$J$4+'模拟-全程加成'!$J$5+('模拟-全程加成'!$I$4+'模拟-全程加成'!$I$5)/系数!$B$4+BG497*10%)+(1-('模拟-全程加成'!$J$3+'模拟-全程加成'!$J$4+'模拟-全程加成'!$J$5+('模拟-全程加成'!$I$4+'模拟-全程加成'!$I$5)/系数!$B$4+BG497*10%)-$F$10-$F$11)+F483*0.25),0)*'模拟-单技能数据'!$I$24</f>
        <v>0</v>
      </c>
      <c r="BG497" s="115" t="b">
        <f ca="1">OR(AND(OR(C497="烈日斩",C497="银月斩"),模拟模式!$I$7="净身明礼"),AND(C497="净世破魔击·日",模拟模式!$J$7="洞若观火"),AND(C498="净世破魔击·月",模拟模式!$J$7="洞若观火"),AB497=1)</f>
        <v>1</v>
      </c>
      <c r="BH497" s="115" t="b">
        <f t="shared" ca="1" si="443"/>
        <v>0</v>
      </c>
      <c r="BI497" s="115">
        <f t="shared" ca="1" si="406"/>
        <v>4.1549999999999994</v>
      </c>
      <c r="BJ497" s="115" t="b">
        <f t="shared" ca="1" si="417"/>
        <v>1</v>
      </c>
      <c r="BK497" s="115" t="b">
        <f ca="1">AND(C497="驱夜断愁",模拟模式!$P$7="天地诛戮")</f>
        <v>0</v>
      </c>
      <c r="BL497" s="57">
        <f t="shared" ca="1" si="407"/>
        <v>14.465000000000003</v>
      </c>
      <c r="BM497" s="115" t="b">
        <f t="shared" ca="1" si="418"/>
        <v>1</v>
      </c>
      <c r="BN497" s="115" t="b">
        <f ca="1">AND(OR(C497="赤日轮1",C497="赤日轮2",C497="赤日轮3",C497="幽月轮1",C497="幽月轮2",C497="幽月轮3"),AB497=1,模拟模式!$L$7="明光恒照")</f>
        <v>0</v>
      </c>
      <c r="BO497" s="117">
        <f t="shared" ca="1" si="408"/>
        <v>29.077500000000001</v>
      </c>
      <c r="BP497" s="115">
        <f t="shared" ca="1" si="444"/>
        <v>6</v>
      </c>
      <c r="BQ497" s="115" t="b">
        <f>模拟模式!$K$10="2600·水"</f>
        <v>0</v>
      </c>
      <c r="BR497" s="117">
        <f t="shared" si="445"/>
        <v>0</v>
      </c>
      <c r="BS497" s="115">
        <f t="shared" si="446"/>
        <v>0</v>
      </c>
      <c r="BT497" s="115">
        <f t="shared" ca="1" si="447"/>
        <v>0</v>
      </c>
      <c r="BU497" s="115" t="b">
        <f ca="1">AND(模拟模式!$K$10="2300·雷",BT496=0,RAND()&lt;IF(C497="净世破魔击·月",5*0.05*2/3,IF(C497="净世破魔击·日",3*0.05*2/3,0.05*2*2/3)))</f>
        <v>0</v>
      </c>
      <c r="BV497" s="115">
        <f t="shared" ca="1" si="448"/>
        <v>0</v>
      </c>
      <c r="BW497" s="115">
        <f t="shared" ca="1" si="449"/>
        <v>121.88249999999924</v>
      </c>
      <c r="BX497" s="164" t="b">
        <f t="shared" ca="1" si="450"/>
        <v>0</v>
      </c>
      <c r="BY497" s="115">
        <f t="shared" ca="1" si="451"/>
        <v>0</v>
      </c>
      <c r="BZ497" s="115">
        <f>IF(OR(模拟模式!$P$16="10人团",模拟模式!$P$16="25人团"),IF(B497/30&gt;CA496,1,0),0)</f>
        <v>0</v>
      </c>
      <c r="CA497" s="115">
        <f t="shared" si="427"/>
        <v>0</v>
      </c>
      <c r="CB497" s="115">
        <f ca="1">IF(BZ497=1,IF(模拟模式!$P$16="10人团",15,0)+IF(模拟模式!$P$16="25人团",IF(RAND()&lt;0.6,15,0)),MAX(0,CB496-$F$4))</f>
        <v>0</v>
      </c>
      <c r="CC497" s="115" t="b">
        <f t="shared" ca="1" si="419"/>
        <v>0</v>
      </c>
      <c r="CD497" s="115">
        <f>IF(模拟模式!$Q$16="1个",IF(B497/40&gt;CE496,1,0),0)</f>
        <v>0</v>
      </c>
      <c r="CE497" s="115">
        <f t="shared" si="420"/>
        <v>0</v>
      </c>
      <c r="CF497" s="115">
        <f>IF(OR(CD497=1,模拟模式!$Q$16="2个"),20,MAX(0,CF496-$F$4))</f>
        <v>0</v>
      </c>
      <c r="CG497" s="115" t="b">
        <f t="shared" si="421"/>
        <v>0</v>
      </c>
      <c r="CH497" s="115">
        <f t="shared" ca="1" si="452"/>
        <v>11.550000000000011</v>
      </c>
      <c r="CI497" s="115" t="b">
        <f t="shared" ca="1" si="453"/>
        <v>0</v>
      </c>
      <c r="CJ497" s="119">
        <f t="shared" ca="1" si="454"/>
        <v>0</v>
      </c>
      <c r="CK497" s="115">
        <f t="shared" ca="1" si="455"/>
        <v>0</v>
      </c>
      <c r="CL497" s="115" t="b">
        <f ca="1">AND(模拟模式!$S$7="驱夷逐法",OR(AND(C497="净世破魔击·月",E496&gt;59),AND(C497="净世破魔击·日",F496&gt;59)))</f>
        <v>0</v>
      </c>
      <c r="CM497" s="115" t="b">
        <f ca="1">OR(CL497,AND(C497="净世破魔击·日",CL496,RAND()&lt;模拟模式!$U$23))</f>
        <v>0</v>
      </c>
      <c r="CN497" s="115" t="b">
        <f ca="1">IF(模拟模式!$M$7="辉耀红尘",AND(C497="净世破魔击·月",CL497,CV497=0,E496&lt;80),AND(C497="净世破魔击·月",CL497,E496&lt;100))</f>
        <v>0</v>
      </c>
      <c r="CO497" s="115" t="b">
        <f t="shared" ca="1" si="428"/>
        <v>0</v>
      </c>
      <c r="CP497" s="115" t="b">
        <f ca="1">AND(模拟模式!$O$7="用晦而明",OR(C497="净世破魔击·日",C497="净世破魔击·月",C497="驱夜断愁"),AB497)</f>
        <v>0</v>
      </c>
      <c r="CQ497" s="115" t="b">
        <f ca="1">OR(CP497,AND(CP496,RAND()&lt;模拟模式!$U$23))</f>
        <v>0</v>
      </c>
      <c r="CR497" s="115" t="b">
        <f ca="1">AND(模拟模式!$S$7="日月齐光",OR(C497="幽月轮1",C497="幽月轮2",C497="幽月轮3",CR496),NOT(OR(C497="赤日轮1",C497="赤日轮2",C497="赤日轮3")))</f>
        <v>0</v>
      </c>
      <c r="CS497" s="115" t="b">
        <f ca="1">AND(模拟模式!$S$7="日月齐光",OR(C497="赤日轮1",C497="赤日轮2",C497="赤日轮3",CS496),NOT(OR(C497="幽月轮1",C497="幽月轮2",C497="幽月轮3")))</f>
        <v>0</v>
      </c>
      <c r="CT497" s="115">
        <f t="shared" ca="1" si="456"/>
        <v>9.7050000000000125</v>
      </c>
      <c r="CU497" s="115" t="b">
        <f ca="1">AND(模拟模式!$K$10="阴阳往极",CT496=0,RAND()&lt;IF(C497="净世破魔击·月",0.0275*7/3,IF(C497="净世破魔击·日",0.0275*3/3,0.0275*2/3)))</f>
        <v>0</v>
      </c>
      <c r="CV497" s="115">
        <f t="shared" ca="1" si="457"/>
        <v>0</v>
      </c>
      <c r="CW497" s="115">
        <f t="shared" ca="1" si="429"/>
        <v>1.3874999999999997</v>
      </c>
      <c r="CX497" s="115">
        <f t="shared" ca="1" si="430"/>
        <v>6</v>
      </c>
      <c r="CY497" s="115">
        <f ca="1">MAX(IF($C497="驱夜断愁",IF(模拟模式!$R$7="万念俱寂",6,45),CY496-$F$4),0)</f>
        <v>0.46499999999999975</v>
      </c>
      <c r="CZ497" s="115">
        <f t="shared" ca="1" si="431"/>
        <v>0</v>
      </c>
      <c r="DA497" s="115">
        <f ca="1">IF(模拟模式!$N$7="日月同辉",IF(DB496=2,0,MIN(6,IF(AND(OR(C497="赤日轮1",C497="赤日轮2",C497="赤日轮3",C497="幽月轮1",C497="幽月轮2",C497="幽月轮3"),AB497=1),DA496+1,DA496))),0)</f>
        <v>5</v>
      </c>
      <c r="DB497" s="115">
        <f t="shared" ca="1" si="432"/>
        <v>0</v>
      </c>
      <c r="DC497" s="115"/>
      <c r="DD497" s="115"/>
      <c r="DE497" s="115"/>
      <c r="DF497" s="115"/>
      <c r="DG497" s="115"/>
      <c r="DH497" s="115"/>
      <c r="DI497" s="115"/>
      <c r="DJ497" s="115"/>
      <c r="DK497" s="115"/>
      <c r="DL497" s="115"/>
      <c r="DM497" s="115"/>
    </row>
    <row r="498" spans="2:117" x14ac:dyDescent="0.2">
      <c r="B498" s="117">
        <f t="shared" si="433"/>
        <v>434.49750000000444</v>
      </c>
      <c r="C498" s="167" t="str">
        <f t="shared" ca="1" si="426"/>
        <v>驱夜断愁</v>
      </c>
      <c r="D498" s="115">
        <f ca="1">IF(C498="赤日轮1",1,IF(C498="赤日轮2",2,IF(C498="赤日轮3",3,IF(C498="幽月轮1",4,IF(C498="幽月轮2",5,IF(C498="幽月轮3",6,IF(C498="烈日斩",7,IF(C498="银月斩",8,IF(C498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498="净世破魔击·月",17,IF(C498="驱夜断愁",18,0)))))))))))</f>
        <v>18</v>
      </c>
      <c r="E498" s="115">
        <f ca="1">IF(AND(CU498,OR(C498="幽月轮1",C498="幽月轮2",C498="幽月轮3",C498="银月斩",C498="驱夜断愁",C498="净世破魔击·月")),100,MIN(IF(OR(CN498,BE498),0,IF(OR($C498="赤日轮1",$C498="赤日轮2",$C498="赤日轮3"),E497+20+IF(模拟模式!$I$7="日月凌天",4,0)+IF(CR497,20,0),IF($C498="烈日斩",E497+40,IF($C498="驱夜断愁",IF(模拟模式!$R$7="万念俱寂",E497+20,E497+60),IF($C498="净世破魔击·月",IF(OR(DB497&gt;0,CV497&gt;0),100,IF(模拟模式!$M$7="辉耀红尘",E497+20,E497)),IF($C498="净世破魔击·日",E497-100,E497)))))),100))</f>
        <v>40</v>
      </c>
      <c r="F498" s="115">
        <f ca="1">IF(AND(CU498,OR(C498="赤日轮1",C498="赤日轮2",C498="赤日轮3",C498="烈日斩",C498="净世破魔击·日")),100,MIN(IF(CO498,0,IF(OR($C498="幽月轮1",$C498="幽月轮2",$C498="幽月轮3"),F497+20+IF(模拟模式!$I$7="日月凌天",4,0)+IF(CS497,20,0),IF($C498="银月斩",F497+40+IF(模拟模式!$X$12=1,5,0),IF($C498="驱夜断愁",IF(模拟模式!$R$7="万念俱寂",F497+20,F497+60),IF($C498="净世破魔击·月",IF(模拟模式!$M$7="辉耀红尘",F497-80,F497-100),IF(AND(C498="净世破魔击·日",OR(DB497&gt;0,CV497&gt;0)),100,F497)))))),100))</f>
        <v>85</v>
      </c>
      <c r="G498" s="117">
        <f ca="1">('模拟-全程加成'!$E$3+'模拟-全程加成'!$E$4+'模拟-全程加成'!$E$5+('模拟-全程加成'!$C$6-'模拟-全程加成'!$C$3)*系数!$B$9+BS498*23)*(1+'模拟-全程加成'!$F$4+'模拟-全程加成'!$F$5+BJ498*10%+BM498*20%+BP498*4%+CG498*30%)+$F$7*系数!$B$12</f>
        <v>21493.829400000002</v>
      </c>
      <c r="H498" s="45">
        <f ca="1">'模拟-全程加成'!$H$3+'模拟-全程加成'!$H$4+'模拟-全程加成'!$H$5+('模拟-全程加成'!$G$4+'模拟-全程加成'!$G$5+('模拟-全程加成'!$C$6-'模拟-全程加成'!$C$3)*系数!$B$13)/系数!$B$3+LOOKUP(D498,'模拟-单技能数据'!$A$2:$A$19,'模拟-单技能数据'!$K$2:$K$19)+BG498*10%+IF(BV498&gt;0,378,0)</f>
        <v>0.51185145527300213</v>
      </c>
      <c r="I498" s="45">
        <f ca="1">'模拟-全程加成'!$J$3+'模拟-全程加成'!$J$4+'模拟-全程加成'!$J$5+('模拟-全程加成'!$I$4+'模拟-全程加成'!$I$5)/系数!$B$4+LOOKUP(D498,'模拟-单技能数据'!$A$2:$A$19,'模拟-单技能数据'!$L$2:$L$19)+BG498*10%</f>
        <v>2.162482885499879</v>
      </c>
      <c r="J498" s="45">
        <f ca="1">(('模拟-全程加成'!$K$3+'模拟-全程加成'!$K$4+'模拟-全程加成'!$K$5+('模拟-全程加成'!$C$6-'模拟-全程加成'!$C$3)*系数!$B$10+IF(BV498&gt;0,882,0)+IF(BY498&gt;0,1831,0))*(1+'模拟-全程加成'!$L$4+'模拟-全程加成'!$L$5+CC498*20%))/系数!$B$5</f>
        <v>0.69723220422048726</v>
      </c>
      <c r="K498" s="119">
        <f ca="1">LOOKUP(D498,'模拟-单技能数据'!$A$2:$A$19,'模拟-单技能数据'!$J$2:$J$19)+IF(CM498,60%,0)+IF(DB497-DB498&gt;0,30%,0)+IF(OR(AND(OR(C498="赤日轮1",C498="赤日轮2",C498="赤日轮3"),CR498),AND(OR(C498="幽月轮1",C498="幽月轮2",C498="幽月轮3"),CS498)),35%,0)+CJ498</f>
        <v>0.14000000000000001</v>
      </c>
      <c r="L498" s="119">
        <f ca="1">IF(AND(C498="烈日斩",模拟模式!$X$11=1),10%,0)+IF(AND(C498="驱夜断愁",AB498=1),30%,0)</f>
        <v>0.3</v>
      </c>
      <c r="M498" s="45">
        <f t="shared" ca="1" si="409"/>
        <v>0.51185145527300213</v>
      </c>
      <c r="N498" s="45">
        <f t="shared" ca="1" si="410"/>
        <v>0.43424854472699792</v>
      </c>
      <c r="O498" s="46">
        <f t="shared" ca="1" si="434"/>
        <v>2.8718545990488953E-2</v>
      </c>
      <c r="P498" s="46" t="str">
        <f t="shared" ca="1" si="435"/>
        <v>识</v>
      </c>
      <c r="Q498" s="45">
        <f t="shared" ca="1" si="436"/>
        <v>0.25</v>
      </c>
      <c r="R498" s="117">
        <f ca="1">模拟模式!$E$20*(1-IF(模拟模式!$J$19="有",0.15,0))*(1-IF(模拟模式!$K$19="有",0.3,0)-IF(CQ498,0.5,0))</f>
        <v>843.02999999999975</v>
      </c>
      <c r="S498" s="45">
        <f ca="1">R498/(R498+(185*模拟模式!$E$22-16800)*4.08224)</f>
        <v>8.389626085980037E-2</v>
      </c>
      <c r="T498" s="45" t="str">
        <f ca="1">LOOKUP(D498,'模拟-单技能数据'!$A$2:$A$19,'模拟-单技能数据'!$H$2:$H$19)</f>
        <v>阴</v>
      </c>
      <c r="U498" s="119">
        <f t="shared" ca="1" si="411"/>
        <v>0.08</v>
      </c>
      <c r="V498" s="47">
        <f ca="1">(1+L498)*(LOOKUP(D498,'模拟-单技能数据'!$A$2:$A$19,'模拟-单技能数据'!$D$2:$D$19)+G498*LOOKUP(D498,'模拟-单技能数据'!$A$2:$A$19,'模拟-单技能数据'!$F$2:$F$19))*(1+J498)*(1+K498)*(1-S498)*(1+U498)*Q498*LOOKUP(D498,'模拟-单技能数据'!$A$2:$A$19,'模拟-单技能数据'!$I$2:$I$20)</f>
        <v>15385.018372398006</v>
      </c>
      <c r="W498" s="47">
        <f ca="1">LOOKUP(D498,'模拟-单技能数据'!$A$2:$A$19,'模拟-单技能数据'!$G$2:$G$19)*$I$10</f>
        <v>723.0212870940959</v>
      </c>
      <c r="X498" s="47">
        <f t="shared" ca="1" si="437"/>
        <v>4250.4883357170938</v>
      </c>
      <c r="Y498" s="47">
        <f t="shared" ca="1" si="412"/>
        <v>20358.527995209195</v>
      </c>
      <c r="Z498" s="49">
        <f t="shared" ca="1" si="413"/>
        <v>49284374.24601189</v>
      </c>
      <c r="AA498" s="97">
        <f t="shared" ca="1" si="414"/>
        <v>113428.44146631773</v>
      </c>
      <c r="AB498" s="115">
        <f ca="1">IF(OR(C498="赤日轮1",C498="赤日轮2",C498="赤日轮3"),IF(RAND()&lt;模拟模式!$Y$17,1,0),IF(OR(C498="幽月轮1",C498="幽月轮2",C498="幽月轮3"),IF(RAND()&lt;模拟模式!$Y$18,1,0),IF(C498="烈日斩",IF(RAND()&lt;模拟模式!$Y$19,1,0),IF(C498="银月斩",IF(RAND()&lt;模拟模式!$Y$20,1,0),IF(C498="驱夜断愁",IF(RAND()&lt;模拟模式!$Y$21,1,0),IF(C498="净世破魔击·日",IF(RAND()&lt;模拟模式!$Y$22,1,0),IF(C498="净世破魔击·月",IF(RAND()&lt;模拟模式!$Y$23,1,0),0)))))))</f>
        <v>1</v>
      </c>
      <c r="AC498" s="115" t="b">
        <f t="shared" ca="1" si="402"/>
        <v>0</v>
      </c>
      <c r="AD498" s="115" t="b">
        <f t="shared" ca="1" si="422"/>
        <v>1</v>
      </c>
      <c r="AE498" s="115">
        <f t="shared" ca="1" si="423"/>
        <v>5</v>
      </c>
      <c r="AF498" s="47">
        <f ca="1">IF(AC498,('模拟-单技能数据'!$D$20+G498*'模拟-单技能数据'!$F$20)*(1+J498)*(1+'模拟-单技能数据'!$J$20)*(1+U498),0)</f>
        <v>0</v>
      </c>
      <c r="AG498" s="61">
        <f t="shared" ca="1" si="415"/>
        <v>0.64185145527300214</v>
      </c>
      <c r="AH498" s="61">
        <f t="shared" ca="1" si="416"/>
        <v>2.2624828854998791</v>
      </c>
      <c r="AI498" s="62">
        <f t="shared" ca="1" si="438"/>
        <v>0.92714491396567533</v>
      </c>
      <c r="AJ498" s="47">
        <f ca="1">IF(AD498,IF(AI498&lt;$F$10,0,IF(AI498&lt;$F$10+$F$11,0.25,IF(AI498&lt;$F$10+$F$11+AG498,AH498,1)))*IF(AF498&gt;0,AF498,IF(AF497&gt;0,AF497,IF(AF496&gt;0,AF496,IF(AF495&gt;0,AF495,IF(AF494&gt;0,AF494,IF(AF493&gt;0,AF493,IF(AF492&gt;0,AF492,IF(AF491&gt;0,AF491,IF(AF490&gt;0,AF490,IF(AF488&gt;0,AF488,IF(AF487&gt;0,AF487,IF(AF486&gt;0,AF486,0)))))))))))),0)*(1-$S498)*'模拟-单技能数据'!$I$20</f>
        <v>4250.4883357170938</v>
      </c>
      <c r="AK498" s="115" t="b">
        <f t="shared" ca="1" si="403"/>
        <v>0</v>
      </c>
      <c r="AL498" s="115" t="b">
        <f t="shared" ca="1" si="424"/>
        <v>0</v>
      </c>
      <c r="AM498" s="115">
        <f t="shared" ca="1" si="425"/>
        <v>4</v>
      </c>
      <c r="AN498" s="47">
        <f ca="1">IF(AK498,('模拟-单技能数据'!$D$21+G498*'模拟-单技能数据'!$F$21)*(1+J498)*(1+'模拟-单技能数据'!$J$21)*(1+U498),0)</f>
        <v>0</v>
      </c>
      <c r="AO498" s="61">
        <f ca="1">IF(AN498&gt;0,M498-'模拟-单技能数据'!$K$10,AO497)</f>
        <v>0.42185145527300216</v>
      </c>
      <c r="AP498" s="61">
        <f ca="1">IF(AN498&gt;0,I498-'模拟-单技能数据'!$L$10,AP497)</f>
        <v>2.162482885499879</v>
      </c>
      <c r="AQ498" s="63">
        <f t="shared" ca="1" si="439"/>
        <v>0.52703558348886104</v>
      </c>
      <c r="AR498" s="64">
        <f ca="1">IF(AL498,IF(AQ498&lt;$F$10,0,IF(AQ498&lt;$F$10+$F$11,0.25,IF(AQ498&lt;$F$10+$F$11+AO498,AP498,1)))*IF(AN498&gt;0,AN498,IF(AN497&gt;0,AN497,IF(AN496&gt;0,AN496,IF(AN495&gt;0,AN495,IF(AN494&gt;0,AN494,IF(AN493&gt;0,AN493,IF(AN492&gt;0,AN492,IF(AN491&gt;0,AN491,IF(AN490&gt;0,AN490,IF(AN488&gt;0,AN488,IF(AN487&gt;0,AN487,IF(AN486&gt;0,AN486,0)))))))))))),0)*(1-$S498)*'模拟-单技能数据'!$I$21</f>
        <v>0</v>
      </c>
      <c r="AS498" s="61">
        <f ca="1">IF(OR(C498="净世破魔击·日",C498="净世破魔击·月"),M498-'模拟-单技能数据'!$K$10,0)</f>
        <v>0</v>
      </c>
      <c r="AT498" s="61">
        <f ca="1">IF(OR(C498="净世破魔击·日",C498="净世破魔击·月"),I498-'模拟-单技能数据'!$L$10,0)</f>
        <v>0</v>
      </c>
      <c r="AU498" s="62">
        <f t="shared" ca="1" si="440"/>
        <v>0.78598770436499055</v>
      </c>
      <c r="AV498" s="64">
        <f ca="1">IF(AS498&gt;0,('模拟-单技能数据'!$D$22+G498*'模拟-单技能数据'!$F$22)*(1+J498)*(1-S498)*IF(AU498&lt;$F$10,0,IF(AU498&lt;$F$10+$F$11,0.25,IF(AU498&lt;$F$10+$F$11+AS498,AT498,1)))*(1+U498),0)*'模拟-单技能数据'!$I$22</f>
        <v>0</v>
      </c>
      <c r="AW498" s="108">
        <f t="shared" ca="1" si="441"/>
        <v>2.4725000000000064</v>
      </c>
      <c r="AX498" s="108" t="b">
        <f ca="1">AND(模拟模式!$P$10="有",AW497=0,RAND()&lt;IF(C498="净世破魔击·月",0.1*8/3,IF(C498="净世破魔击·日",0.1*4/3,0.1*2/3)))</f>
        <v>0</v>
      </c>
      <c r="AY498" s="47">
        <f ca="1">IF(AX498,(18+G498*0.722)*(1+J498)*(1-S498)*(1+$I$4)*IF(P498="会",'模拟-全程加成'!$J$3+'模拟-全程加成'!$J$4+'模拟-全程加成'!$J$5+('模拟-全程加成'!$I$4+'模拟-全程加成'!$I$5)/系数!$B$4+BG498*10%,IF(P498="命",1,IF(P498="识",0.25,0))),0)</f>
        <v>0</v>
      </c>
      <c r="AZ498" s="108">
        <f t="shared" si="442"/>
        <v>11.697500000000005</v>
      </c>
      <c r="BA498" s="108" t="b">
        <f>AND(模拟模式!$Q$10="有",AZ497=0)</f>
        <v>0</v>
      </c>
      <c r="BB498" s="140">
        <f>IF(BA498,(0+G498*0.287)*(1+J498)*(1-S498)*(1+$I$4)*IF(P498="会",'模拟-全程加成'!$J$3+'模拟-全程加成'!$J$4+'模拟-全程加成'!$J$5+('模拟-全程加成'!$I$4+'模拟-全程加成'!$I$5)/系数!$B$4+BG498*10%,IF(P498="命",1,IF(P498="识",0.25,0))),0)</f>
        <v>0</v>
      </c>
      <c r="BC498" s="115" t="b">
        <f ca="1">AND(模拟模式!$R$7="伏明众生",E498=60,F498=20,DA498&lt;5,CZ497&lt;$F$4)</f>
        <v>0</v>
      </c>
      <c r="BD498" s="115">
        <f t="shared" ca="1" si="404"/>
        <v>0</v>
      </c>
      <c r="BE498" s="115" t="b">
        <f t="shared" ca="1" si="405"/>
        <v>0</v>
      </c>
      <c r="BF498" s="47">
        <f ca="1">IF(BC498,4*('模拟-单技能数据'!$D$24+G498*'模拟-单技能数据'!$F$24)*(1+J498)*(1+'模拟-单技能数据'!$J$24)*(1-S498)*(1+$I$3)*(('模拟-全程加成'!$J$3+'模拟-全程加成'!$J$4+'模拟-全程加成'!$J$5+('模拟-全程加成'!$I$4+'模拟-全程加成'!$I$5)/系数!$B$4+BG498*10%)*('模拟-全程加成'!$J$3+'模拟-全程加成'!$J$4+'模拟-全程加成'!$J$5+('模拟-全程加成'!$I$4+'模拟-全程加成'!$I$5)/系数!$B$4+BG498*10%)+(1-('模拟-全程加成'!$J$3+'模拟-全程加成'!$J$4+'模拟-全程加成'!$J$5+('模拟-全程加成'!$I$4+'模拟-全程加成'!$I$5)/系数!$B$4+BG498*10%)-$F$10-$F$11)+F484*0.25),0)*'模拟-单技能数据'!$I$24</f>
        <v>0</v>
      </c>
      <c r="BG498" s="115" t="b">
        <f ca="1">OR(AND(OR(C498="烈日斩",C498="银月斩"),模拟模式!$I$7="净身明礼"),AND(C498="净世破魔击·日",模拟模式!$J$7="洞若观火"),AND(C499="净世破魔击·月",模拟模式!$J$7="洞若观火"),AB498=1)</f>
        <v>1</v>
      </c>
      <c r="BH498" s="115" t="b">
        <f t="shared" ca="1" si="443"/>
        <v>0</v>
      </c>
      <c r="BI498" s="115">
        <f t="shared" ca="1" si="406"/>
        <v>3.2324999999999995</v>
      </c>
      <c r="BJ498" s="115" t="b">
        <f t="shared" ca="1" si="417"/>
        <v>1</v>
      </c>
      <c r="BK498" s="115" t="b">
        <f ca="1">AND(C498="驱夜断愁",模拟模式!$P$7="天地诛戮")</f>
        <v>1</v>
      </c>
      <c r="BL498" s="57">
        <f t="shared" ca="1" si="407"/>
        <v>20</v>
      </c>
      <c r="BM498" s="115" t="b">
        <f t="shared" ca="1" si="418"/>
        <v>1</v>
      </c>
      <c r="BN498" s="115" t="b">
        <f ca="1">AND(OR(C498="赤日轮1",C498="赤日轮2",C498="赤日轮3",C498="幽月轮1",C498="幽月轮2",C498="幽月轮3"),AB498=1,模拟模式!$L$7="明光恒照")</f>
        <v>0</v>
      </c>
      <c r="BO498" s="117">
        <f t="shared" ca="1" si="408"/>
        <v>28.155000000000001</v>
      </c>
      <c r="BP498" s="115">
        <f t="shared" ca="1" si="444"/>
        <v>6</v>
      </c>
      <c r="BQ498" s="115" t="b">
        <f>模拟模式!$K$10="2600·水"</f>
        <v>0</v>
      </c>
      <c r="BR498" s="117">
        <f t="shared" si="445"/>
        <v>0</v>
      </c>
      <c r="BS498" s="115">
        <f t="shared" si="446"/>
        <v>0</v>
      </c>
      <c r="BT498" s="115">
        <f t="shared" ca="1" si="447"/>
        <v>0</v>
      </c>
      <c r="BU498" s="115" t="b">
        <f ca="1">AND(模拟模式!$K$10="2300·雷",BT497=0,RAND()&lt;IF(C498="净世破魔击·月",5*0.05*2/3,IF(C498="净世破魔击·日",3*0.05*2/3,0.05*2*2/3)))</f>
        <v>0</v>
      </c>
      <c r="BV498" s="115">
        <f t="shared" ca="1" si="448"/>
        <v>0</v>
      </c>
      <c r="BW498" s="115">
        <f t="shared" ca="1" si="449"/>
        <v>120.95999999999924</v>
      </c>
      <c r="BX498" s="164" t="b">
        <f t="shared" ca="1" si="450"/>
        <v>0</v>
      </c>
      <c r="BY498" s="115">
        <f t="shared" ca="1" si="451"/>
        <v>0</v>
      </c>
      <c r="BZ498" s="115">
        <f>IF(OR(模拟模式!$P$16="10人团",模拟模式!$P$16="25人团"),IF(B498/30&gt;CA497,1,0),0)</f>
        <v>0</v>
      </c>
      <c r="CA498" s="115">
        <f t="shared" si="427"/>
        <v>0</v>
      </c>
      <c r="CB498" s="115">
        <f ca="1">IF(BZ498=1,IF(模拟模式!$P$16="10人团",15,0)+IF(模拟模式!$P$16="25人团",IF(RAND()&lt;0.6,15,0)),MAX(0,CB497-$F$4))</f>
        <v>0</v>
      </c>
      <c r="CC498" s="115" t="b">
        <f t="shared" ca="1" si="419"/>
        <v>0</v>
      </c>
      <c r="CD498" s="115">
        <f>IF(模拟模式!$Q$16="1个",IF(B498/40&gt;CE497,1,0),0)</f>
        <v>0</v>
      </c>
      <c r="CE498" s="115">
        <f t="shared" si="420"/>
        <v>0</v>
      </c>
      <c r="CF498" s="115">
        <f>IF(OR(CD498=1,模拟模式!$Q$16="2个"),20,MAX(0,CF497-$F$4))</f>
        <v>0</v>
      </c>
      <c r="CG498" s="115" t="b">
        <f t="shared" si="421"/>
        <v>0</v>
      </c>
      <c r="CH498" s="115">
        <f t="shared" ca="1" si="452"/>
        <v>10.627500000000012</v>
      </c>
      <c r="CI498" s="115" t="b">
        <f t="shared" ca="1" si="453"/>
        <v>0</v>
      </c>
      <c r="CJ498" s="119">
        <f t="shared" ca="1" si="454"/>
        <v>0</v>
      </c>
      <c r="CK498" s="115">
        <f t="shared" ca="1" si="455"/>
        <v>0</v>
      </c>
      <c r="CL498" s="115" t="b">
        <f ca="1">AND(模拟模式!$S$7="驱夷逐法",OR(AND(C498="净世破魔击·月",E497&gt;59),AND(C498="净世破魔击·日",F497&gt;59)))</f>
        <v>0</v>
      </c>
      <c r="CM498" s="115" t="b">
        <f ca="1">OR(CL498,AND(C498="净世破魔击·日",CL497,RAND()&lt;模拟模式!$U$23))</f>
        <v>0</v>
      </c>
      <c r="CN498" s="115" t="b">
        <f ca="1">IF(模拟模式!$M$7="辉耀红尘",AND(C498="净世破魔击·月",CL498,CV498=0,E497&lt;80),AND(C498="净世破魔击·月",CL498,E497&lt;100))</f>
        <v>0</v>
      </c>
      <c r="CO498" s="115" t="b">
        <f t="shared" ca="1" si="428"/>
        <v>0</v>
      </c>
      <c r="CP498" s="115" t="b">
        <f ca="1">AND(模拟模式!$O$7="用晦而明",OR(C498="净世破魔击·日",C498="净世破魔击·月",C498="驱夜断愁"),AB498)</f>
        <v>1</v>
      </c>
      <c r="CQ498" s="115" t="b">
        <f ca="1">OR(CP498,AND(CP497,RAND()&lt;模拟模式!$U$23))</f>
        <v>1</v>
      </c>
      <c r="CR498" s="115" t="b">
        <f ca="1">AND(模拟模式!$S$7="日月齐光",OR(C498="幽月轮1",C498="幽月轮2",C498="幽月轮3",CR497),NOT(OR(C498="赤日轮1",C498="赤日轮2",C498="赤日轮3")))</f>
        <v>0</v>
      </c>
      <c r="CS498" s="115" t="b">
        <f ca="1">AND(模拟模式!$S$7="日月齐光",OR(C498="赤日轮1",C498="赤日轮2",C498="赤日轮3",CS497),NOT(OR(C498="幽月轮1",C498="幽月轮2",C498="幽月轮3")))</f>
        <v>0</v>
      </c>
      <c r="CT498" s="115">
        <f t="shared" ca="1" si="456"/>
        <v>8.7825000000000131</v>
      </c>
      <c r="CU498" s="115" t="b">
        <f ca="1">AND(模拟模式!$K$10="阴阳往极",CT497=0,RAND()&lt;IF(C498="净世破魔击·月",0.0275*7/3,IF(C498="净世破魔击·日",0.0275*3/3,0.0275*2/3)))</f>
        <v>0</v>
      </c>
      <c r="CV498" s="115">
        <f t="shared" ca="1" si="457"/>
        <v>0</v>
      </c>
      <c r="CW498" s="115">
        <f t="shared" ca="1" si="429"/>
        <v>0.46499999999999975</v>
      </c>
      <c r="CX498" s="115">
        <f t="shared" ca="1" si="430"/>
        <v>5.0774999999999997</v>
      </c>
      <c r="CY498" s="115">
        <f ca="1">MAX(IF($C498="驱夜断愁",IF(模拟模式!$R$7="万念俱寂",6,45),CY497-$F$4),0)</f>
        <v>6</v>
      </c>
      <c r="CZ498" s="115">
        <f t="shared" ca="1" si="431"/>
        <v>0</v>
      </c>
      <c r="DA498" s="115">
        <f ca="1">IF(模拟模式!$N$7="日月同辉",IF(DB497=2,0,MIN(6,IF(AND(OR(C498="赤日轮1",C498="赤日轮2",C498="赤日轮3",C498="幽月轮1",C498="幽月轮2",C498="幽月轮3"),AB498=1),DA497+1,DA497))),0)</f>
        <v>5</v>
      </c>
      <c r="DB498" s="115">
        <f t="shared" ca="1" si="432"/>
        <v>0</v>
      </c>
      <c r="DC498" s="115"/>
      <c r="DD498" s="115"/>
      <c r="DE498" s="115"/>
      <c r="DF498" s="115"/>
      <c r="DG498" s="115"/>
      <c r="DH498" s="115"/>
      <c r="DI498" s="115"/>
      <c r="DJ498" s="115"/>
      <c r="DK498" s="115"/>
      <c r="DL498" s="115"/>
      <c r="DM498" s="115"/>
    </row>
    <row r="499" spans="2:117" x14ac:dyDescent="0.2">
      <c r="B499" s="117">
        <f t="shared" si="433"/>
        <v>435.42000000000445</v>
      </c>
      <c r="C499" s="167" t="str">
        <f t="shared" ca="1" si="426"/>
        <v>烈日斩</v>
      </c>
      <c r="D499" s="115">
        <f ca="1">IF(C499="赤日轮1",1,IF(C499="赤日轮2",2,IF(C499="赤日轮3",3,IF(C499="幽月轮1",4,IF(C499="幽月轮2",5,IF(C499="幽月轮3",6,IF(C499="烈日斩",7,IF(C499="银月斩",8,IF(C499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499="净世破魔击·月",17,IF(C499="驱夜断愁",18,0)))))))))))</f>
        <v>7</v>
      </c>
      <c r="E499" s="115">
        <f ca="1">IF(AND(CU499,OR(C499="幽月轮1",C499="幽月轮2",C499="幽月轮3",C499="银月斩",C499="驱夜断愁",C499="净世破魔击·月")),100,MIN(IF(OR(CN499,BE499),0,IF(OR($C499="赤日轮1",$C499="赤日轮2",$C499="赤日轮3"),E498+20+IF(模拟模式!$I$7="日月凌天",4,0)+IF(CR498,20,0),IF($C499="烈日斩",E498+40,IF($C499="驱夜断愁",IF(模拟模式!$R$7="万念俱寂",E498+20,E498+60),IF($C499="净世破魔击·月",IF(OR(DB498&gt;0,CV498&gt;0),100,IF(模拟模式!$M$7="辉耀红尘",E498+20,E498)),IF($C499="净世破魔击·日",E498-100,E498)))))),100))</f>
        <v>80</v>
      </c>
      <c r="F499" s="115">
        <f ca="1">IF(AND(CU499,OR(C499="赤日轮1",C499="赤日轮2",C499="赤日轮3",C499="烈日斩",C499="净世破魔击·日")),100,MIN(IF(CO499,0,IF(OR($C499="幽月轮1",$C499="幽月轮2",$C499="幽月轮3"),F498+20+IF(模拟模式!$I$7="日月凌天",4,0)+IF(CS498,20,0),IF($C499="银月斩",F498+40+IF(模拟模式!$X$12=1,5,0),IF($C499="驱夜断愁",IF(模拟模式!$R$7="万念俱寂",F498+20,F498+60),IF($C499="净世破魔击·月",IF(模拟模式!$M$7="辉耀红尘",F498-80,F498-100),IF(AND(C499="净世破魔击·日",OR(DB498&gt;0,CV498&gt;0)),100,F498)))))),100))</f>
        <v>85</v>
      </c>
      <c r="G499" s="117">
        <f ca="1">('模拟-全程加成'!$E$3+'模拟-全程加成'!$E$4+'模拟-全程加成'!$E$5+('模拟-全程加成'!$C$6-'模拟-全程加成'!$C$3)*系数!$B$9+BS499*23)*(1+'模拟-全程加成'!$F$4+'模拟-全程加成'!$F$5+BJ499*10%+BM499*20%+BP499*4%+CG499*30%)+$F$7*系数!$B$12</f>
        <v>21493.829400000002</v>
      </c>
      <c r="H499" s="45">
        <f ca="1">'模拟-全程加成'!$H$3+'模拟-全程加成'!$H$4+'模拟-全程加成'!$H$5+('模拟-全程加成'!$G$4+'模拟-全程加成'!$G$5+('模拟-全程加成'!$C$6-'模拟-全程加成'!$C$3)*系数!$B$13)/系数!$B$3+LOOKUP(D499,'模拟-单技能数据'!$A$2:$A$19,'模拟-单技能数据'!$K$2:$K$19)+BG499*10%+IF(BV499&gt;0,378,0)</f>
        <v>0.56185145527300218</v>
      </c>
      <c r="I499" s="45">
        <f ca="1">'模拟-全程加成'!$J$3+'模拟-全程加成'!$J$4+'模拟-全程加成'!$J$5+('模拟-全程加成'!$I$4+'模拟-全程加成'!$I$5)/系数!$B$4+LOOKUP(D499,'模拟-单技能数据'!$A$2:$A$19,'模拟-单技能数据'!$L$2:$L$19)+BG499*10%</f>
        <v>2.2624828854998791</v>
      </c>
      <c r="J499" s="45">
        <f ca="1">(('模拟-全程加成'!$K$3+'模拟-全程加成'!$K$4+'模拟-全程加成'!$K$5+('模拟-全程加成'!$C$6-'模拟-全程加成'!$C$3)*系数!$B$10+IF(BV499&gt;0,882,0)+IF(BY499&gt;0,1831,0))*(1+'模拟-全程加成'!$L$4+'模拟-全程加成'!$L$5+CC499*20%))/系数!$B$5</f>
        <v>0.69723220422048726</v>
      </c>
      <c r="K499" s="119">
        <f ca="1">LOOKUP(D499,'模拟-单技能数据'!$A$2:$A$19,'模拟-单技能数据'!$J$2:$J$19)+IF(CM499,60%,0)+IF(DB498-DB499&gt;0,30%,0)+IF(OR(AND(OR(C499="赤日轮1",C499="赤日轮2",C499="赤日轮3"),CR499),AND(OR(C499="幽月轮1",C499="幽月轮2",C499="幽月轮3"),CS499)),35%,0)+CJ499</f>
        <v>0.24</v>
      </c>
      <c r="L499" s="119">
        <f ca="1">IF(AND(C499="烈日斩",模拟模式!$X$11=1),10%,0)+IF(AND(C499="驱夜断愁",AB499=1),30%,0)</f>
        <v>0.1</v>
      </c>
      <c r="M499" s="45">
        <f t="shared" ca="1" si="409"/>
        <v>0.56185145527300218</v>
      </c>
      <c r="N499" s="45">
        <f t="shared" ca="1" si="410"/>
        <v>0.38424854472699788</v>
      </c>
      <c r="O499" s="46">
        <f t="shared" ca="1" si="434"/>
        <v>3.1768937305252098E-3</v>
      </c>
      <c r="P499" s="46" t="str">
        <f t="shared" ca="1" si="435"/>
        <v>识</v>
      </c>
      <c r="Q499" s="45">
        <f t="shared" ca="1" si="436"/>
        <v>0.25</v>
      </c>
      <c r="R499" s="117">
        <f ca="1">模拟模式!$E$20*(1-IF(模拟模式!$J$19="有",0.15,0))*(1-IF(模拟模式!$K$19="有",0.3,0)-IF(CQ499,0.5,0))</f>
        <v>843.02999999999975</v>
      </c>
      <c r="S499" s="45">
        <f ca="1">R499/(R499+(185*模拟模式!$E$22-16800)*4.08224)</f>
        <v>8.389626085980037E-2</v>
      </c>
      <c r="T499" s="45" t="str">
        <f ca="1">LOOKUP(D499,'模拟-单技能数据'!$A$2:$A$19,'模拟-单技能数据'!$H$2:$H$19)</f>
        <v>阳</v>
      </c>
      <c r="U499" s="119">
        <f t="shared" ca="1" si="411"/>
        <v>0.2</v>
      </c>
      <c r="V499" s="47">
        <f ca="1">(1+L499)*(LOOKUP(D499,'模拟-单技能数据'!$A$2:$A$19,'模拟-单技能数据'!$D$2:$D$19)+G499*LOOKUP(D499,'模拟-单技能数据'!$A$2:$A$19,'模拟-单技能数据'!$F$2:$F$19))*(1+J499)*(1+K499)*(1-S499)*(1+U499)*Q499*LOOKUP(D499,'模拟-单技能数据'!$A$2:$A$19,'模拟-单技能数据'!$I$2:$I$20)</f>
        <v>12210.407963717831</v>
      </c>
      <c r="W499" s="47">
        <f ca="1">LOOKUP(D499,'模拟-单技能数据'!$A$2:$A$19,'模拟-单技能数据'!$G$2:$G$19)*$I$10</f>
        <v>361.51064354704795</v>
      </c>
      <c r="X499" s="47">
        <f t="shared" ca="1" si="437"/>
        <v>11607.89185245618</v>
      </c>
      <c r="Y499" s="47">
        <f t="shared" ca="1" si="412"/>
        <v>24179.810459721059</v>
      </c>
      <c r="Z499" s="49">
        <f t="shared" ca="1" si="413"/>
        <v>49308554.056471609</v>
      </c>
      <c r="AA499" s="97">
        <f t="shared" ca="1" si="414"/>
        <v>113243.65912560541</v>
      </c>
      <c r="AB499" s="115">
        <f ca="1">IF(OR(C499="赤日轮1",C499="赤日轮2",C499="赤日轮3"),IF(RAND()&lt;模拟模式!$Y$17,1,0),IF(OR(C499="幽月轮1",C499="幽月轮2",C499="幽月轮3"),IF(RAND()&lt;模拟模式!$Y$18,1,0),IF(C499="烈日斩",IF(RAND()&lt;模拟模式!$Y$19,1,0),IF(C499="银月斩",IF(RAND()&lt;模拟模式!$Y$20,1,0),IF(C499="驱夜断愁",IF(RAND()&lt;模拟模式!$Y$21,1,0),IF(C499="净世破魔击·日",IF(RAND()&lt;模拟模式!$Y$22,1,0),IF(C499="净世破魔击·月",IF(RAND()&lt;模拟模式!$Y$23,1,0),0)))))))</f>
        <v>1</v>
      </c>
      <c r="AC499" s="115" t="b">
        <f t="shared" ca="1" si="402"/>
        <v>0</v>
      </c>
      <c r="AD499" s="115" t="b">
        <f t="shared" ca="1" si="422"/>
        <v>0</v>
      </c>
      <c r="AE499" s="115">
        <f t="shared" ca="1" si="423"/>
        <v>5</v>
      </c>
      <c r="AF499" s="47">
        <f ca="1">IF(AC499,('模拟-单技能数据'!$D$20+G499*'模拟-单技能数据'!$F$20)*(1+J499)*(1+'模拟-单技能数据'!$J$20)*(1+U499),0)</f>
        <v>0</v>
      </c>
      <c r="AG499" s="61">
        <f t="shared" ca="1" si="415"/>
        <v>0.64185145527300214</v>
      </c>
      <c r="AH499" s="61">
        <f t="shared" ca="1" si="416"/>
        <v>2.2624828854998791</v>
      </c>
      <c r="AI499" s="62">
        <f t="shared" ca="1" si="438"/>
        <v>0.64303599944195322</v>
      </c>
      <c r="AJ499" s="47">
        <f ca="1">IF(AD499,IF(AI499&lt;$F$10,0,IF(AI499&lt;$F$10+$F$11,0.25,IF(AI499&lt;$F$10+$F$11+AG499,AH499,1)))*IF(AF499&gt;0,AF499,IF(AF498&gt;0,AF498,IF(AF497&gt;0,AF497,IF(AF496&gt;0,AF496,IF(AF495&gt;0,AF495,IF(AF494&gt;0,AF494,IF(AF493&gt;0,AF493,IF(AF492&gt;0,AF492,IF(AF491&gt;0,AF491,IF(AF489&gt;0,AF489,IF(AF488&gt;0,AF488,IF(AF487&gt;0,AF487,0)))))))))))),0)*(1-$S499)*'模拟-单技能数据'!$I$20</f>
        <v>0</v>
      </c>
      <c r="AK499" s="115" t="b">
        <f t="shared" ca="1" si="403"/>
        <v>0</v>
      </c>
      <c r="AL499" s="115" t="b">
        <f t="shared" ca="1" si="424"/>
        <v>1</v>
      </c>
      <c r="AM499" s="115">
        <f t="shared" ca="1" si="425"/>
        <v>3</v>
      </c>
      <c r="AN499" s="47">
        <f ca="1">IF(AK499,('模拟-单技能数据'!$D$21+G499*'模拟-单技能数据'!$F$21)*(1+J499)*(1+'模拟-单技能数据'!$J$21)*(1+U499),0)</f>
        <v>0</v>
      </c>
      <c r="AO499" s="61">
        <f ca="1">IF(AN499&gt;0,M499-'模拟-单技能数据'!$K$10,AO498)</f>
        <v>0.42185145527300216</v>
      </c>
      <c r="AP499" s="61">
        <f ca="1">IF(AN499&gt;0,I499-'模拟-单技能数据'!$L$10,AP498)</f>
        <v>2.162482885499879</v>
      </c>
      <c r="AQ499" s="63">
        <f t="shared" ca="1" si="439"/>
        <v>0.91484132239848126</v>
      </c>
      <c r="AR499" s="64">
        <f ca="1">IF(AL499,IF(AQ499&lt;$F$10,0,IF(AQ499&lt;$F$10+$F$11,0.25,IF(AQ499&lt;$F$10+$F$11+AO499,AP499,1)))*IF(AN499&gt;0,AN499,IF(AN498&gt;0,AN498,IF(AN497&gt;0,AN497,IF(AN496&gt;0,AN496,IF(AN495&gt;0,AN495,IF(AN494&gt;0,AN494,IF(AN493&gt;0,AN493,IF(AN492&gt;0,AN492,IF(AN491&gt;0,AN491,IF(AN489&gt;0,AN489,IF(AN488&gt;0,AN488,IF(AN487&gt;0,AN487,0)))))))))))),0)*(1-$S499)*'模拟-单技能数据'!$I$21</f>
        <v>11607.89185245618</v>
      </c>
      <c r="AS499" s="61">
        <f ca="1">IF(OR(C499="净世破魔击·日",C499="净世破魔击·月"),M499-'模拟-单技能数据'!$K$10,0)</f>
        <v>0</v>
      </c>
      <c r="AT499" s="61">
        <f ca="1">IF(OR(C499="净世破魔击·日",C499="净世破魔击·月"),I499-'模拟-单技能数据'!$L$10,0)</f>
        <v>0</v>
      </c>
      <c r="AU499" s="62">
        <f t="shared" ca="1" si="440"/>
        <v>0.10383868468140078</v>
      </c>
      <c r="AV499" s="64">
        <f ca="1">IF(AS499&gt;0,('模拟-单技能数据'!$D$22+G499*'模拟-单技能数据'!$F$22)*(1+J499)*(1-S499)*IF(AU499&lt;$F$10,0,IF(AU499&lt;$F$10+$F$11,0.25,IF(AU499&lt;$F$10+$F$11+AS499,AT499,1)))*(1+U499),0)*'模拟-单技能数据'!$I$22</f>
        <v>0</v>
      </c>
      <c r="AW499" s="108">
        <f t="shared" ca="1" si="441"/>
        <v>1.5500000000000065</v>
      </c>
      <c r="AX499" s="108" t="b">
        <f ca="1">AND(模拟模式!$P$10="有",AW498=0,RAND()&lt;IF(C499="净世破魔击·月",0.1*8/3,IF(C499="净世破魔击·日",0.1*4/3,0.1*2/3)))</f>
        <v>0</v>
      </c>
      <c r="AY499" s="47">
        <f ca="1">IF(AX499,(18+G499*0.722)*(1+J499)*(1-S499)*(1+$I$4)*IF(P499="会",'模拟-全程加成'!$J$3+'模拟-全程加成'!$J$4+'模拟-全程加成'!$J$5+('模拟-全程加成'!$I$4+'模拟-全程加成'!$I$5)/系数!$B$4+BG499*10%,IF(P499="命",1,IF(P499="识",0.25,0))),0)</f>
        <v>0</v>
      </c>
      <c r="AZ499" s="108">
        <f t="shared" si="442"/>
        <v>10.775000000000006</v>
      </c>
      <c r="BA499" s="108" t="b">
        <f>AND(模拟模式!$Q$10="有",AZ498=0)</f>
        <v>0</v>
      </c>
      <c r="BB499" s="140">
        <f>IF(BA499,(0+G499*0.287)*(1+J499)*(1-S499)*(1+$I$4)*IF(P499="会",'模拟-全程加成'!$J$3+'模拟-全程加成'!$J$4+'模拟-全程加成'!$J$5+('模拟-全程加成'!$I$4+'模拟-全程加成'!$I$5)/系数!$B$4+BG499*10%,IF(P499="命",1,IF(P499="识",0.25,0))),0)</f>
        <v>0</v>
      </c>
      <c r="BC499" s="115" t="b">
        <f ca="1">AND(模拟模式!$R$7="伏明众生",E499=60,F499=20,DA499&lt;5,CZ498&lt;$F$4)</f>
        <v>0</v>
      </c>
      <c r="BD499" s="115">
        <f t="shared" ca="1" si="404"/>
        <v>0</v>
      </c>
      <c r="BE499" s="115" t="b">
        <f t="shared" ca="1" si="405"/>
        <v>0</v>
      </c>
      <c r="BF499" s="47">
        <f ca="1">IF(BC499,4*('模拟-单技能数据'!$D$24+G499*'模拟-单技能数据'!$F$24)*(1+J499)*(1+'模拟-单技能数据'!$J$24)*(1-S499)*(1+$I$3)*(('模拟-全程加成'!$J$3+'模拟-全程加成'!$J$4+'模拟-全程加成'!$J$5+('模拟-全程加成'!$I$4+'模拟-全程加成'!$I$5)/系数!$B$4+BG499*10%)*('模拟-全程加成'!$J$3+'模拟-全程加成'!$J$4+'模拟-全程加成'!$J$5+('模拟-全程加成'!$I$4+'模拟-全程加成'!$I$5)/系数!$B$4+BG499*10%)+(1-('模拟-全程加成'!$J$3+'模拟-全程加成'!$J$4+'模拟-全程加成'!$J$5+('模拟-全程加成'!$I$4+'模拟-全程加成'!$I$5)/系数!$B$4+BG499*10%)-$F$10-$F$11)+F485*0.25),0)*'模拟-单技能数据'!$I$24</f>
        <v>0</v>
      </c>
      <c r="BG499" s="115" t="b">
        <f ca="1">OR(AND(OR(C499="烈日斩",C499="银月斩"),模拟模式!$I$7="净身明礼"),AND(C499="净世破魔击·日",模拟模式!$J$7="洞若观火"),AND(C500="净世破魔击·月",模拟模式!$J$7="洞若观火"),AB499=1)</f>
        <v>1</v>
      </c>
      <c r="BH499" s="115" t="b">
        <f t="shared" ca="1" si="443"/>
        <v>0</v>
      </c>
      <c r="BI499" s="115">
        <f t="shared" ca="1" si="406"/>
        <v>2.3099999999999996</v>
      </c>
      <c r="BJ499" s="115" t="b">
        <f t="shared" ca="1" si="417"/>
        <v>1</v>
      </c>
      <c r="BK499" s="115" t="b">
        <f ca="1">AND(C499="驱夜断愁",模拟模式!$P$7="天地诛戮")</f>
        <v>0</v>
      </c>
      <c r="BL499" s="57">
        <f t="shared" ca="1" si="407"/>
        <v>19.077500000000001</v>
      </c>
      <c r="BM499" s="115" t="b">
        <f t="shared" ca="1" si="418"/>
        <v>1</v>
      </c>
      <c r="BN499" s="115" t="b">
        <f ca="1">AND(OR(C499="赤日轮1",C499="赤日轮2",C499="赤日轮3",C499="幽月轮1",C499="幽月轮2",C499="幽月轮3"),AB499=1,模拟模式!$L$7="明光恒照")</f>
        <v>0</v>
      </c>
      <c r="BO499" s="117">
        <f t="shared" ca="1" si="408"/>
        <v>27.232500000000002</v>
      </c>
      <c r="BP499" s="115">
        <f t="shared" ca="1" si="444"/>
        <v>6</v>
      </c>
      <c r="BQ499" s="115" t="b">
        <f>模拟模式!$K$10="2600·水"</f>
        <v>0</v>
      </c>
      <c r="BR499" s="117">
        <f t="shared" si="445"/>
        <v>0</v>
      </c>
      <c r="BS499" s="115">
        <f t="shared" si="446"/>
        <v>0</v>
      </c>
      <c r="BT499" s="115">
        <f t="shared" ca="1" si="447"/>
        <v>0</v>
      </c>
      <c r="BU499" s="115" t="b">
        <f ca="1">AND(模拟模式!$K$10="2300·雷",BT498=0,RAND()&lt;IF(C499="净世破魔击·月",5*0.05*2/3,IF(C499="净世破魔击·日",3*0.05*2/3,0.05*2*2/3)))</f>
        <v>0</v>
      </c>
      <c r="BV499" s="115">
        <f t="shared" ca="1" si="448"/>
        <v>0</v>
      </c>
      <c r="BW499" s="115">
        <f t="shared" ca="1" si="449"/>
        <v>120.03749999999924</v>
      </c>
      <c r="BX499" s="164" t="b">
        <f t="shared" ca="1" si="450"/>
        <v>0</v>
      </c>
      <c r="BY499" s="115">
        <f t="shared" ca="1" si="451"/>
        <v>0</v>
      </c>
      <c r="BZ499" s="115">
        <f>IF(OR(模拟模式!$P$16="10人团",模拟模式!$P$16="25人团"),IF(B499/30&gt;CA498,1,0),0)</f>
        <v>0</v>
      </c>
      <c r="CA499" s="115">
        <f t="shared" si="427"/>
        <v>0</v>
      </c>
      <c r="CB499" s="115">
        <f ca="1">IF(BZ499=1,IF(模拟模式!$P$16="10人团",15,0)+IF(模拟模式!$P$16="25人团",IF(RAND()&lt;0.6,15,0)),MAX(0,CB498-$F$4))</f>
        <v>0</v>
      </c>
      <c r="CC499" s="115" t="b">
        <f t="shared" ca="1" si="419"/>
        <v>0</v>
      </c>
      <c r="CD499" s="115">
        <f>IF(模拟模式!$Q$16="1个",IF(B499/40&gt;CE498,1,0),0)</f>
        <v>0</v>
      </c>
      <c r="CE499" s="115">
        <f t="shared" si="420"/>
        <v>0</v>
      </c>
      <c r="CF499" s="115">
        <f>IF(OR(CD499=1,模拟模式!$Q$16="2个"),20,MAX(0,CF498-$F$4))</f>
        <v>0</v>
      </c>
      <c r="CG499" s="115" t="b">
        <f t="shared" si="421"/>
        <v>0</v>
      </c>
      <c r="CH499" s="115">
        <f t="shared" ca="1" si="452"/>
        <v>9.7050000000000125</v>
      </c>
      <c r="CI499" s="115" t="b">
        <f t="shared" ca="1" si="453"/>
        <v>0</v>
      </c>
      <c r="CJ499" s="119">
        <f t="shared" ca="1" si="454"/>
        <v>0</v>
      </c>
      <c r="CK499" s="115">
        <f t="shared" ca="1" si="455"/>
        <v>0</v>
      </c>
      <c r="CL499" s="115" t="b">
        <f ca="1">AND(模拟模式!$S$7="驱夷逐法",OR(AND(C499="净世破魔击·月",E498&gt;59),AND(C499="净世破魔击·日",F498&gt;59)))</f>
        <v>0</v>
      </c>
      <c r="CM499" s="115" t="b">
        <f ca="1">OR(CL499,AND(C499="净世破魔击·日",CL498,RAND()&lt;模拟模式!$U$23))</f>
        <v>0</v>
      </c>
      <c r="CN499" s="115" t="b">
        <f ca="1">IF(模拟模式!$M$7="辉耀红尘",AND(C499="净世破魔击·月",CL499,CV499=0,E498&lt;80),AND(C499="净世破魔击·月",CL499,E498&lt;100))</f>
        <v>0</v>
      </c>
      <c r="CO499" s="115" t="b">
        <f t="shared" ca="1" si="428"/>
        <v>0</v>
      </c>
      <c r="CP499" s="115" t="b">
        <f ca="1">AND(模拟模式!$O$7="用晦而明",OR(C499="净世破魔击·日",C499="净世破魔击·月",C499="驱夜断愁"),AB499)</f>
        <v>0</v>
      </c>
      <c r="CQ499" s="115" t="b">
        <f ca="1">OR(CP499,AND(CP498,RAND()&lt;模拟模式!$U$23))</f>
        <v>1</v>
      </c>
      <c r="CR499" s="115" t="b">
        <f ca="1">AND(模拟模式!$S$7="日月齐光",OR(C499="幽月轮1",C499="幽月轮2",C499="幽月轮3",CR498),NOT(OR(C499="赤日轮1",C499="赤日轮2",C499="赤日轮3")))</f>
        <v>0</v>
      </c>
      <c r="CS499" s="115" t="b">
        <f ca="1">AND(模拟模式!$S$7="日月齐光",OR(C499="赤日轮1",C499="赤日轮2",C499="赤日轮3",CS498),NOT(OR(C499="幽月轮1",C499="幽月轮2",C499="幽月轮3")))</f>
        <v>0</v>
      </c>
      <c r="CT499" s="115">
        <f t="shared" ca="1" si="456"/>
        <v>7.8600000000000128</v>
      </c>
      <c r="CU499" s="115" t="b">
        <f ca="1">AND(模拟模式!$K$10="阴阳往极",CT498=0,RAND()&lt;IF(C499="净世破魔击·月",0.0275*7/3,IF(C499="净世破魔击·日",0.0275*3/3,0.0275*2/3)))</f>
        <v>0</v>
      </c>
      <c r="CV499" s="115">
        <f t="shared" ca="1" si="457"/>
        <v>0</v>
      </c>
      <c r="CW499" s="115">
        <f t="shared" ca="1" si="429"/>
        <v>6</v>
      </c>
      <c r="CX499" s="115">
        <f t="shared" ca="1" si="430"/>
        <v>4.1549999999999994</v>
      </c>
      <c r="CY499" s="115">
        <f ca="1">MAX(IF($C499="驱夜断愁",IF(模拟模式!$R$7="万念俱寂",6,45),CY498-$F$4),0)</f>
        <v>5.0774999999999997</v>
      </c>
      <c r="CZ499" s="115">
        <f t="shared" ca="1" si="431"/>
        <v>0</v>
      </c>
      <c r="DA499" s="115">
        <f ca="1">IF(模拟模式!$N$7="日月同辉",IF(DB498=2,0,MIN(6,IF(AND(OR(C499="赤日轮1",C499="赤日轮2",C499="赤日轮3",C499="幽月轮1",C499="幽月轮2",C499="幽月轮3"),AB499=1),DA498+1,DA498))),0)</f>
        <v>5</v>
      </c>
      <c r="DB499" s="115">
        <f t="shared" ca="1" si="432"/>
        <v>0</v>
      </c>
      <c r="DC499" s="115"/>
      <c r="DD499" s="115"/>
      <c r="DE499" s="115"/>
      <c r="DF499" s="115"/>
      <c r="DG499" s="115"/>
      <c r="DH499" s="115"/>
      <c r="DI499" s="115"/>
      <c r="DJ499" s="115"/>
      <c r="DK499" s="115"/>
      <c r="DL499" s="115"/>
      <c r="DM499" s="115"/>
    </row>
    <row r="500" spans="2:117" x14ac:dyDescent="0.2">
      <c r="B500" s="117">
        <f t="shared" si="433"/>
        <v>436.34250000000446</v>
      </c>
      <c r="C500" s="167" t="str">
        <f t="shared" ca="1" si="426"/>
        <v>幽月轮1</v>
      </c>
      <c r="D500" s="115">
        <f ca="1">IF(C500="赤日轮1",1,IF(C500="赤日轮2",2,IF(C500="赤日轮3",3,IF(C500="幽月轮1",4,IF(C500="幽月轮2",5,IF(C500="幽月轮3",6,IF(C500="烈日斩",7,IF(C500="银月斩",8,IF(C500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500="净世破魔击·月",17,IF(C500="驱夜断愁",18,0)))))))))))</f>
        <v>4</v>
      </c>
      <c r="E500" s="115">
        <f ca="1">IF(AND(CU500,OR(C500="幽月轮1",C500="幽月轮2",C500="幽月轮3",C500="银月斩",C500="驱夜断愁",C500="净世破魔击·月")),100,MIN(IF(OR(CN500,BE500),0,IF(OR($C500="赤日轮1",$C500="赤日轮2",$C500="赤日轮3"),E499+20+IF(模拟模式!$I$7="日月凌天",4,0)+IF(CR499,20,0),IF($C500="烈日斩",E499+40,IF($C500="驱夜断愁",IF(模拟模式!$R$7="万念俱寂",E499+20,E499+60),IF($C500="净世破魔击·月",IF(OR(DB499&gt;0,CV499&gt;0),100,IF(模拟模式!$M$7="辉耀红尘",E499+20,E499)),IF($C500="净世破魔击·日",E499-100,E499)))))),100))</f>
        <v>80</v>
      </c>
      <c r="F500" s="115">
        <f ca="1">IF(AND(CU500,OR(C500="赤日轮1",C500="赤日轮2",C500="赤日轮3",C500="烈日斩",C500="净世破魔击·日")),100,MIN(IF(CO500,0,IF(OR($C500="幽月轮1",$C500="幽月轮2",$C500="幽月轮3"),F499+20+IF(模拟模式!$I$7="日月凌天",4,0)+IF(CS499,20,0),IF($C500="银月斩",F499+40+IF(模拟模式!$X$12=1,5,0),IF($C500="驱夜断愁",IF(模拟模式!$R$7="万念俱寂",F499+20,F499+60),IF($C500="净世破魔击·月",IF(模拟模式!$M$7="辉耀红尘",F499-80,F499-100),IF(AND(C500="净世破魔击·日",OR(DB499&gt;0,CV499&gt;0)),100,F499)))))),100))</f>
        <v>100</v>
      </c>
      <c r="G500" s="117">
        <f ca="1">('模拟-全程加成'!$E$3+'模拟-全程加成'!$E$4+'模拟-全程加成'!$E$5+('模拟-全程加成'!$C$6-'模拟-全程加成'!$C$3)*系数!$B$9+BS500*23)*(1+'模拟-全程加成'!$F$4+'模拟-全程加成'!$F$5+BJ500*10%+BM500*20%+BP500*4%+CG500*30%)+$F$7*系数!$B$12</f>
        <v>21493.829400000002</v>
      </c>
      <c r="H500" s="45">
        <f ca="1">'模拟-全程加成'!$H$3+'模拟-全程加成'!$H$4+'模拟-全程加成'!$H$5+('模拟-全程加成'!$G$4+'模拟-全程加成'!$G$5+('模拟-全程加成'!$C$6-'模拟-全程加成'!$C$3)*系数!$B$13)/系数!$B$3+LOOKUP(D500,'模拟-单技能数据'!$A$2:$A$19,'模拟-单技能数据'!$K$2:$K$19)+BG500*10%+IF(BV500&gt;0,378,0)</f>
        <v>0.51185145527300213</v>
      </c>
      <c r="I500" s="45">
        <f ca="1">'模拟-全程加成'!$J$3+'模拟-全程加成'!$J$4+'模拟-全程加成'!$J$5+('模拟-全程加成'!$I$4+'模拟-全程加成'!$I$5)/系数!$B$4+LOOKUP(D500,'模拟-单技能数据'!$A$2:$A$19,'模拟-单技能数据'!$L$2:$L$19)+BG500*10%</f>
        <v>2.162482885499879</v>
      </c>
      <c r="J500" s="45">
        <f ca="1">(('模拟-全程加成'!$K$3+'模拟-全程加成'!$K$4+'模拟-全程加成'!$K$5+('模拟-全程加成'!$C$6-'模拟-全程加成'!$C$3)*系数!$B$10+IF(BV500&gt;0,882,0)+IF(BY500&gt;0,1831,0))*(1+'模拟-全程加成'!$L$4+'模拟-全程加成'!$L$5+CC500*20%))/系数!$B$5</f>
        <v>0.69723220422048726</v>
      </c>
      <c r="K500" s="119">
        <f ca="1">LOOKUP(D500,'模拟-单技能数据'!$A$2:$A$19,'模拟-单技能数据'!$J$2:$J$19)+IF(CM500,60%,0)+IF(DB499-DB500&gt;0,30%,0)+IF(OR(AND(OR(C500="赤日轮1",C500="赤日轮2",C500="赤日轮3"),CR500),AND(OR(C500="幽月轮1",C500="幽月轮2",C500="幽月轮3"),CS500)),35%,0)+CJ500</f>
        <v>7.0000000000000007E-2</v>
      </c>
      <c r="L500" s="119">
        <f ca="1">IF(AND(C500="烈日斩",模拟模式!$X$11=1),10%,0)+IF(AND(C500="驱夜断愁",AB500=1),30%,0)</f>
        <v>0</v>
      </c>
      <c r="M500" s="45">
        <f t="shared" ca="1" si="409"/>
        <v>0.51185145527300213</v>
      </c>
      <c r="N500" s="45">
        <f t="shared" ca="1" si="410"/>
        <v>0.43424854472699792</v>
      </c>
      <c r="O500" s="46">
        <f t="shared" ca="1" si="434"/>
        <v>7.8173647799580914E-3</v>
      </c>
      <c r="P500" s="46" t="str">
        <f t="shared" ca="1" si="435"/>
        <v>识</v>
      </c>
      <c r="Q500" s="45">
        <f t="shared" ca="1" si="436"/>
        <v>0.25</v>
      </c>
      <c r="R500" s="117">
        <f ca="1">模拟模式!$E$20*(1-IF(模拟模式!$J$19="有",0.15,0))*(1-IF(模拟模式!$K$19="有",0.3,0)-IF(CQ500,0.5,0))</f>
        <v>2950.6049999999996</v>
      </c>
      <c r="S500" s="45">
        <f ca="1">R500/(R500+(185*模拟模式!$E$22-16800)*4.08224)</f>
        <v>0.24272716014590323</v>
      </c>
      <c r="T500" s="45" t="str">
        <f ca="1">LOOKUP(D500,'模拟-单技能数据'!$A$2:$A$19,'模拟-单技能数据'!$H$2:$H$19)</f>
        <v>阴</v>
      </c>
      <c r="U500" s="119">
        <f t="shared" ca="1" si="411"/>
        <v>0.08</v>
      </c>
      <c r="V500" s="47">
        <f ca="1">(1+L500)*(LOOKUP(D500,'模拟-单技能数据'!$A$2:$A$19,'模拟-单技能数据'!$D$2:$D$19)+G500*LOOKUP(D500,'模拟-单技能数据'!$A$2:$A$19,'模拟-单技能数据'!$F$2:$F$19))*(1+J500)*(1+K500)*(1-S500)*(1+U500)*Q500*LOOKUP(D500,'模拟-单技能数据'!$A$2:$A$19,'模拟-单技能数据'!$I$2:$I$20)</f>
        <v>4234.7967582548099</v>
      </c>
      <c r="W500" s="47">
        <f ca="1">LOOKUP(D500,'模拟-单技能数据'!$A$2:$A$19,'模拟-单技能数据'!$G$2:$G$19)*$I$10</f>
        <v>361.51064354704795</v>
      </c>
      <c r="X500" s="47">
        <f t="shared" ca="1" si="437"/>
        <v>7949.3543492067038</v>
      </c>
      <c r="Y500" s="47">
        <f t="shared" ca="1" si="412"/>
        <v>12545.661751008562</v>
      </c>
      <c r="Z500" s="49">
        <f t="shared" ca="1" si="413"/>
        <v>49321099.718222618</v>
      </c>
      <c r="AA500" s="97">
        <f t="shared" ca="1" si="414"/>
        <v>113032.99522329847</v>
      </c>
      <c r="AB500" s="115">
        <f ca="1">IF(OR(C500="赤日轮1",C500="赤日轮2",C500="赤日轮3"),IF(RAND()&lt;模拟模式!$Y$17,1,0),IF(OR(C500="幽月轮1",C500="幽月轮2",C500="幽月轮3"),IF(RAND()&lt;模拟模式!$Y$18,1,0),IF(C500="烈日斩",IF(RAND()&lt;模拟模式!$Y$19,1,0),IF(C500="银月斩",IF(RAND()&lt;模拟模式!$Y$20,1,0),IF(C500="驱夜断愁",IF(RAND()&lt;模拟模式!$Y$21,1,0),IF(C500="净世破魔击·日",IF(RAND()&lt;模拟模式!$Y$22,1,0),IF(C500="净世破魔击·月",IF(RAND()&lt;模拟模式!$Y$23,1,0),0)))))))</f>
        <v>1</v>
      </c>
      <c r="AC500" s="115" t="b">
        <f t="shared" ca="1" si="402"/>
        <v>0</v>
      </c>
      <c r="AD500" s="115" t="b">
        <f t="shared" ca="1" si="422"/>
        <v>1</v>
      </c>
      <c r="AE500" s="115">
        <f t="shared" ca="1" si="423"/>
        <v>4</v>
      </c>
      <c r="AF500" s="47">
        <f ca="1">IF(AC500,('模拟-单技能数据'!$D$20+G500*'模拟-单技能数据'!$F$20)*(1+J500)*(1+'模拟-单技能数据'!$J$20)*(1+U500),0)</f>
        <v>0</v>
      </c>
      <c r="AG500" s="61">
        <f t="shared" ca="1" si="415"/>
        <v>0.64185145527300214</v>
      </c>
      <c r="AH500" s="61">
        <f t="shared" ca="1" si="416"/>
        <v>2.2624828854998791</v>
      </c>
      <c r="AI500" s="62">
        <f t="shared" ca="1" si="438"/>
        <v>0.68670821666407211</v>
      </c>
      <c r="AJ500" s="47">
        <f ca="1">IF(AD500,IF(AI500&lt;$F$10,0,IF(AI500&lt;$F$10+$F$11,0.25,IF(AI500&lt;$F$10+$F$11+AG500,AH500,1)))*IF(AF500&gt;0,AF500,IF(AF499&gt;0,AF499,IF(AF498&gt;0,AF498,IF(AF497&gt;0,AF497,IF(AF496&gt;0,AF496,IF(AF495&gt;0,AF495,IF(AF494&gt;0,AF494,IF(AF493&gt;0,AF493,IF(AF492&gt;0,AF492,IF(AF490&gt;0,AF490,IF(AF489&gt;0,AF489,IF(AF488&gt;0,AF488,0)))))))))))),0)*(1-$S500)*'模拟-单技能数据'!$I$20</f>
        <v>7949.3543492067038</v>
      </c>
      <c r="AK500" s="115" t="b">
        <f t="shared" ca="1" si="403"/>
        <v>0</v>
      </c>
      <c r="AL500" s="115" t="b">
        <f t="shared" ca="1" si="424"/>
        <v>0</v>
      </c>
      <c r="AM500" s="115">
        <f t="shared" ca="1" si="425"/>
        <v>3</v>
      </c>
      <c r="AN500" s="47">
        <f ca="1">IF(AK500,('模拟-单技能数据'!$D$21+G500*'模拟-单技能数据'!$F$21)*(1+J500)*(1+'模拟-单技能数据'!$J$21)*(1+U500),0)</f>
        <v>0</v>
      </c>
      <c r="AO500" s="61">
        <f ca="1">IF(AN500&gt;0,M500-'模拟-单技能数据'!$K$10,AO499)</f>
        <v>0.42185145527300216</v>
      </c>
      <c r="AP500" s="61">
        <f ca="1">IF(AN500&gt;0,I500-'模拟-单技能数据'!$L$10,AP499)</f>
        <v>2.162482885499879</v>
      </c>
      <c r="AQ500" s="63">
        <f t="shared" ca="1" si="439"/>
        <v>0.48463187608659852</v>
      </c>
      <c r="AR500" s="64">
        <f ca="1">IF(AL500,IF(AQ500&lt;$F$10,0,IF(AQ500&lt;$F$10+$F$11,0.25,IF(AQ500&lt;$F$10+$F$11+AO500,AP500,1)))*IF(AN500&gt;0,AN500,IF(AN499&gt;0,AN499,IF(AN498&gt;0,AN498,IF(AN497&gt;0,AN497,IF(AN496&gt;0,AN496,IF(AN495&gt;0,AN495,IF(AN494&gt;0,AN494,IF(AN493&gt;0,AN493,IF(AN492&gt;0,AN492,IF(AN490&gt;0,AN490,IF(AN489&gt;0,AN489,IF(AN488&gt;0,AN488,0)))))))))))),0)*(1-$S500)*'模拟-单技能数据'!$I$21</f>
        <v>0</v>
      </c>
      <c r="AS500" s="61">
        <f ca="1">IF(OR(C500="净世破魔击·日",C500="净世破魔击·月"),M500-'模拟-单技能数据'!$K$10,0)</f>
        <v>0</v>
      </c>
      <c r="AT500" s="61">
        <f ca="1">IF(OR(C500="净世破魔击·日",C500="净世破魔击·月"),I500-'模拟-单技能数据'!$L$10,0)</f>
        <v>0</v>
      </c>
      <c r="AU500" s="62">
        <f t="shared" ca="1" si="440"/>
        <v>0.6499665582489329</v>
      </c>
      <c r="AV500" s="64">
        <f ca="1">IF(AS500&gt;0,('模拟-单技能数据'!$D$22+G500*'模拟-单技能数据'!$F$22)*(1+J500)*(1-S500)*IF(AU500&lt;$F$10,0,IF(AU500&lt;$F$10+$F$11,0.25,IF(AU500&lt;$F$10+$F$11+AS500,AT500,1)))*(1+U500),0)*'模拟-单技能数据'!$I$22</f>
        <v>0</v>
      </c>
      <c r="AW500" s="108">
        <f t="shared" ca="1" si="441"/>
        <v>0.6275000000000065</v>
      </c>
      <c r="AX500" s="108" t="b">
        <f ca="1">AND(模拟模式!$P$10="有",AW499=0,RAND()&lt;IF(C500="净世破魔击·月",0.1*8/3,IF(C500="净世破魔击·日",0.1*4/3,0.1*2/3)))</f>
        <v>0</v>
      </c>
      <c r="AY500" s="47">
        <f ca="1">IF(AX500,(18+G500*0.722)*(1+J500)*(1-S500)*(1+$I$4)*IF(P500="会",'模拟-全程加成'!$J$3+'模拟-全程加成'!$J$4+'模拟-全程加成'!$J$5+('模拟-全程加成'!$I$4+'模拟-全程加成'!$I$5)/系数!$B$4+BG500*10%,IF(P500="命",1,IF(P500="识",0.25,0))),0)</f>
        <v>0</v>
      </c>
      <c r="AZ500" s="108">
        <f t="shared" si="442"/>
        <v>9.8525000000000063</v>
      </c>
      <c r="BA500" s="108" t="b">
        <f>AND(模拟模式!$Q$10="有",AZ499=0)</f>
        <v>0</v>
      </c>
      <c r="BB500" s="140">
        <f>IF(BA500,(0+G500*0.287)*(1+J500)*(1-S500)*(1+$I$4)*IF(P500="会",'模拟-全程加成'!$J$3+'模拟-全程加成'!$J$4+'模拟-全程加成'!$J$5+('模拟-全程加成'!$I$4+'模拟-全程加成'!$I$5)/系数!$B$4+BG500*10%,IF(P500="命",1,IF(P500="识",0.25,0))),0)</f>
        <v>0</v>
      </c>
      <c r="BC500" s="115" t="b">
        <f ca="1">AND(模拟模式!$R$7="伏明众生",E500=60,F500=20,DA500&lt;5,CZ499&lt;$F$4)</f>
        <v>0</v>
      </c>
      <c r="BD500" s="115">
        <f t="shared" ca="1" si="404"/>
        <v>0</v>
      </c>
      <c r="BE500" s="115" t="b">
        <f t="shared" ca="1" si="405"/>
        <v>0</v>
      </c>
      <c r="BF500" s="47">
        <f ca="1">IF(BC500,4*('模拟-单技能数据'!$D$24+G500*'模拟-单技能数据'!$F$24)*(1+J500)*(1+'模拟-单技能数据'!$J$24)*(1-S500)*(1+$I$3)*(('模拟-全程加成'!$J$3+'模拟-全程加成'!$J$4+'模拟-全程加成'!$J$5+('模拟-全程加成'!$I$4+'模拟-全程加成'!$I$5)/系数!$B$4+BG500*10%)*('模拟-全程加成'!$J$3+'模拟-全程加成'!$J$4+'模拟-全程加成'!$J$5+('模拟-全程加成'!$I$4+'模拟-全程加成'!$I$5)/系数!$B$4+BG500*10%)+(1-('模拟-全程加成'!$J$3+'模拟-全程加成'!$J$4+'模拟-全程加成'!$J$5+('模拟-全程加成'!$I$4+'模拟-全程加成'!$I$5)/系数!$B$4+BG500*10%)-$F$10-$F$11)+F486*0.25),0)*'模拟-单技能数据'!$I$24</f>
        <v>0</v>
      </c>
      <c r="BG500" s="115" t="b">
        <f ca="1">OR(AND(OR(C500="烈日斩",C500="银月斩"),模拟模式!$I$7="净身明礼"),AND(C500="净世破魔击·日",模拟模式!$J$7="洞若观火"),AND(C501="净世破魔击·月",模拟模式!$J$7="洞若观火"),AB500=1)</f>
        <v>1</v>
      </c>
      <c r="BH500" s="115" t="b">
        <f t="shared" ca="1" si="443"/>
        <v>0</v>
      </c>
      <c r="BI500" s="115">
        <f t="shared" ca="1" si="406"/>
        <v>1.3874999999999997</v>
      </c>
      <c r="BJ500" s="115" t="b">
        <f t="shared" ca="1" si="417"/>
        <v>1</v>
      </c>
      <c r="BK500" s="115" t="b">
        <f ca="1">AND(C500="驱夜断愁",模拟模式!$P$7="天地诛戮")</f>
        <v>0</v>
      </c>
      <c r="BL500" s="57">
        <f t="shared" ca="1" si="407"/>
        <v>18.155000000000001</v>
      </c>
      <c r="BM500" s="115" t="b">
        <f t="shared" ca="1" si="418"/>
        <v>1</v>
      </c>
      <c r="BN500" s="115" t="b">
        <f ca="1">AND(OR(C500="赤日轮1",C500="赤日轮2",C500="赤日轮3",C500="幽月轮1",C500="幽月轮2",C500="幽月轮3"),AB500=1,模拟模式!$L$7="明光恒照")</f>
        <v>1</v>
      </c>
      <c r="BO500" s="117">
        <f t="shared" ca="1" si="408"/>
        <v>30</v>
      </c>
      <c r="BP500" s="115">
        <f t="shared" ca="1" si="444"/>
        <v>6</v>
      </c>
      <c r="BQ500" s="115" t="b">
        <f>模拟模式!$K$10="2600·水"</f>
        <v>0</v>
      </c>
      <c r="BR500" s="117">
        <f t="shared" si="445"/>
        <v>0</v>
      </c>
      <c r="BS500" s="115">
        <f t="shared" si="446"/>
        <v>0</v>
      </c>
      <c r="BT500" s="115">
        <f t="shared" ca="1" si="447"/>
        <v>0</v>
      </c>
      <c r="BU500" s="115" t="b">
        <f ca="1">AND(模拟模式!$K$10="2300·雷",BT499=0,RAND()&lt;IF(C500="净世破魔击·月",5*0.05*2/3,IF(C500="净世破魔击·日",3*0.05*2/3,0.05*2*2/3)))</f>
        <v>0</v>
      </c>
      <c r="BV500" s="115">
        <f t="shared" ca="1" si="448"/>
        <v>0</v>
      </c>
      <c r="BW500" s="115">
        <f t="shared" ca="1" si="449"/>
        <v>119.11499999999924</v>
      </c>
      <c r="BX500" s="164" t="b">
        <f t="shared" ca="1" si="450"/>
        <v>0</v>
      </c>
      <c r="BY500" s="115">
        <f t="shared" ca="1" si="451"/>
        <v>0</v>
      </c>
      <c r="BZ500" s="115">
        <f>IF(OR(模拟模式!$P$16="10人团",模拟模式!$P$16="25人团"),IF(B500/30&gt;CA499,1,0),0)</f>
        <v>0</v>
      </c>
      <c r="CA500" s="115">
        <f t="shared" si="427"/>
        <v>0</v>
      </c>
      <c r="CB500" s="115">
        <f ca="1">IF(BZ500=1,IF(模拟模式!$P$16="10人团",15,0)+IF(模拟模式!$P$16="25人团",IF(RAND()&lt;0.6,15,0)),MAX(0,CB499-$F$4))</f>
        <v>0</v>
      </c>
      <c r="CC500" s="115" t="b">
        <f t="shared" ca="1" si="419"/>
        <v>0</v>
      </c>
      <c r="CD500" s="115">
        <f>IF(模拟模式!$Q$16="1个",IF(B500/40&gt;CE499,1,0),0)</f>
        <v>0</v>
      </c>
      <c r="CE500" s="115">
        <f t="shared" si="420"/>
        <v>0</v>
      </c>
      <c r="CF500" s="115">
        <f>IF(OR(CD500=1,模拟模式!$Q$16="2个"),20,MAX(0,CF499-$F$4))</f>
        <v>0</v>
      </c>
      <c r="CG500" s="115" t="b">
        <f t="shared" si="421"/>
        <v>0</v>
      </c>
      <c r="CH500" s="115">
        <f t="shared" ca="1" si="452"/>
        <v>8.7825000000000131</v>
      </c>
      <c r="CI500" s="115" t="b">
        <f t="shared" ca="1" si="453"/>
        <v>0</v>
      </c>
      <c r="CJ500" s="119">
        <f t="shared" ca="1" si="454"/>
        <v>0</v>
      </c>
      <c r="CK500" s="115">
        <f t="shared" ca="1" si="455"/>
        <v>0</v>
      </c>
      <c r="CL500" s="115" t="b">
        <f ca="1">AND(模拟模式!$S$7="驱夷逐法",OR(AND(C500="净世破魔击·月",E499&gt;59),AND(C500="净世破魔击·日",F499&gt;59)))</f>
        <v>0</v>
      </c>
      <c r="CM500" s="115" t="b">
        <f ca="1">OR(CL500,AND(C500="净世破魔击·日",CL499,RAND()&lt;模拟模式!$U$23))</f>
        <v>0</v>
      </c>
      <c r="CN500" s="115" t="b">
        <f ca="1">IF(模拟模式!$M$7="辉耀红尘",AND(C500="净世破魔击·月",CL500,CV500=0,E499&lt;80),AND(C500="净世破魔击·月",CL500,E499&lt;100))</f>
        <v>0</v>
      </c>
      <c r="CO500" s="115" t="b">
        <f t="shared" ca="1" si="428"/>
        <v>0</v>
      </c>
      <c r="CP500" s="115" t="b">
        <f ca="1">AND(模拟模式!$O$7="用晦而明",OR(C500="净世破魔击·日",C500="净世破魔击·月",C500="驱夜断愁"),AB500)</f>
        <v>0</v>
      </c>
      <c r="CQ500" s="115" t="b">
        <f ca="1">OR(CP500,AND(CP499,RAND()&lt;模拟模式!$U$23))</f>
        <v>0</v>
      </c>
      <c r="CR500" s="115" t="b">
        <f ca="1">AND(模拟模式!$S$7="日月齐光",OR(C500="幽月轮1",C500="幽月轮2",C500="幽月轮3",CR499),NOT(OR(C500="赤日轮1",C500="赤日轮2",C500="赤日轮3")))</f>
        <v>0</v>
      </c>
      <c r="CS500" s="115" t="b">
        <f ca="1">AND(模拟模式!$S$7="日月齐光",OR(C500="赤日轮1",C500="赤日轮2",C500="赤日轮3",CS499),NOT(OR(C500="幽月轮1",C500="幽月轮2",C500="幽月轮3")))</f>
        <v>0</v>
      </c>
      <c r="CT500" s="115">
        <f t="shared" ca="1" si="456"/>
        <v>6.9375000000000124</v>
      </c>
      <c r="CU500" s="115" t="b">
        <f ca="1">AND(模拟模式!$K$10="阴阳往极",CT499=0,RAND()&lt;IF(C500="净世破魔击·月",0.0275*7/3,IF(C500="净世破魔击·日",0.0275*3/3,0.0275*2/3)))</f>
        <v>0</v>
      </c>
      <c r="CV500" s="115">
        <f t="shared" ca="1" si="457"/>
        <v>0</v>
      </c>
      <c r="CW500" s="115">
        <f t="shared" ca="1" si="429"/>
        <v>5.0774999999999997</v>
      </c>
      <c r="CX500" s="115">
        <f t="shared" ca="1" si="430"/>
        <v>3.2324999999999995</v>
      </c>
      <c r="CY500" s="115">
        <f ca="1">MAX(IF($C500="驱夜断愁",IF(模拟模式!$R$7="万念俱寂",6,45),CY499-$F$4),0)</f>
        <v>4.1549999999999994</v>
      </c>
      <c r="CZ500" s="115">
        <f t="shared" ca="1" si="431"/>
        <v>0</v>
      </c>
      <c r="DA500" s="115">
        <f ca="1">IF(模拟模式!$N$7="日月同辉",IF(DB499=2,0,MIN(6,IF(AND(OR(C500="赤日轮1",C500="赤日轮2",C500="赤日轮3",C500="幽月轮1",C500="幽月轮2",C500="幽月轮3"),AB500=1),DA499+1,DA499))),0)</f>
        <v>6</v>
      </c>
      <c r="DB500" s="115">
        <f t="shared" ca="1" si="432"/>
        <v>2</v>
      </c>
      <c r="DC500" s="115"/>
      <c r="DD500" s="115"/>
      <c r="DE500" s="115"/>
      <c r="DF500" s="115"/>
      <c r="DG500" s="115"/>
      <c r="DH500" s="115"/>
      <c r="DI500" s="115"/>
      <c r="DJ500" s="115"/>
      <c r="DK500" s="115"/>
      <c r="DL500" s="115"/>
      <c r="DM500" s="115"/>
    </row>
    <row r="501" spans="2:117" x14ac:dyDescent="0.2">
      <c r="B501" s="117">
        <f t="shared" si="433"/>
        <v>437.26500000000448</v>
      </c>
      <c r="C501" s="167" t="str">
        <f t="shared" ca="1" si="426"/>
        <v>净世破魔击·月</v>
      </c>
      <c r="D501" s="115">
        <f ca="1">IF(C501="赤日轮1",1,IF(C501="赤日轮2",2,IF(C501="赤日轮3",3,IF(C501="幽月轮1",4,IF(C501="幽月轮2",5,IF(C501="幽月轮3",6,IF(C501="烈日斩",7,IF(C501="银月斩",8,IF(C501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501="净世破魔击·月",17,IF(C501="驱夜断愁",18,0)))))))))))</f>
        <v>17</v>
      </c>
      <c r="E501" s="115">
        <f ca="1">IF(AND(CU501,OR(C501="幽月轮1",C501="幽月轮2",C501="幽月轮3",C501="银月斩",C501="驱夜断愁",C501="净世破魔击·月")),100,MIN(IF(OR(CN501,BE501),0,IF(OR($C501="赤日轮1",$C501="赤日轮2",$C501="赤日轮3"),E500+20+IF(模拟模式!$I$7="日月凌天",4,0)+IF(CR500,20,0),IF($C501="烈日斩",E500+40,IF($C501="驱夜断愁",IF(模拟模式!$R$7="万念俱寂",E500+20,E500+60),IF($C501="净世破魔击·月",IF(OR(DB500&gt;0,CV500&gt;0),100,IF(模拟模式!$M$7="辉耀红尘",E500+20,E500)),IF($C501="净世破魔击·日",E500-100,E500)))))),100))</f>
        <v>100</v>
      </c>
      <c r="F501" s="115">
        <f ca="1">IF(AND(CU501,OR(C501="赤日轮1",C501="赤日轮2",C501="赤日轮3",C501="烈日斩",C501="净世破魔击·日")),100,MIN(IF(CO501,0,IF(OR($C501="幽月轮1",$C501="幽月轮2",$C501="幽月轮3"),F500+20+IF(模拟模式!$I$7="日月凌天",4,0)+IF(CS500,20,0),IF($C501="银月斩",F500+40+IF(模拟模式!$X$12=1,5,0),IF($C501="驱夜断愁",IF(模拟模式!$R$7="万念俱寂",F500+20,F500+60),IF($C501="净世破魔击·月",IF(模拟模式!$M$7="辉耀红尘",F500-80,F500-100),IF(AND(C501="净世破魔击·日",OR(DB500&gt;0,CV500&gt;0)),100,F500)))))),100))</f>
        <v>20</v>
      </c>
      <c r="G501" s="117">
        <f ca="1">('模拟-全程加成'!$E$3+'模拟-全程加成'!$E$4+'模拟-全程加成'!$E$5+('模拟-全程加成'!$C$6-'模拟-全程加成'!$C$3)*系数!$B$9+BS501*23)*(1+'模拟-全程加成'!$F$4+'模拟-全程加成'!$F$5+BJ501*10%+BM501*20%+BP501*4%+CG501*30%)+$F$7*系数!$B$12</f>
        <v>21493.829400000002</v>
      </c>
      <c r="H501" s="45">
        <f ca="1">'模拟-全程加成'!$H$3+'模拟-全程加成'!$H$4+'模拟-全程加成'!$H$5+('模拟-全程加成'!$G$4+'模拟-全程加成'!$G$5+('模拟-全程加成'!$C$6-'模拟-全程加成'!$C$3)*系数!$B$13)/系数!$B$3+LOOKUP(D501,'模拟-单技能数据'!$A$2:$A$19,'模拟-单技能数据'!$K$2:$K$19)+BG501*10%+IF(BV501&gt;0,378,0)</f>
        <v>0.54185145527300216</v>
      </c>
      <c r="I501" s="45">
        <f ca="1">'模拟-全程加成'!$J$3+'模拟-全程加成'!$J$4+'模拟-全程加成'!$J$5+('模拟-全程加成'!$I$4+'模拟-全程加成'!$I$5)/系数!$B$4+LOOKUP(D501,'模拟-单技能数据'!$A$2:$A$19,'模拟-单技能数据'!$L$2:$L$19)+BG501*10%</f>
        <v>2.162482885499879</v>
      </c>
      <c r="J501" s="45">
        <f ca="1">(('模拟-全程加成'!$K$3+'模拟-全程加成'!$K$4+'模拟-全程加成'!$K$5+('模拟-全程加成'!$C$6-'模拟-全程加成'!$C$3)*系数!$B$10+IF(BV501&gt;0,882,0)+IF(BY501&gt;0,1831,0))*(1+'模拟-全程加成'!$L$4+'模拟-全程加成'!$L$5+CC501*20%))/系数!$B$5</f>
        <v>0.69723220422048726</v>
      </c>
      <c r="K501" s="119">
        <f ca="1">LOOKUP(D501,'模拟-单技能数据'!$A$2:$A$19,'模拟-单技能数据'!$J$2:$J$19)+IF(CM501,60%,0)+IF(DB500-DB501&gt;0,30%,0)+IF(OR(AND(OR(C501="赤日轮1",C501="赤日轮2",C501="赤日轮3"),CR501),AND(OR(C501="幽月轮1",C501="幽月轮2",C501="幽月轮3"),CS501)),35%,0)+CJ501</f>
        <v>1.1000000000000001</v>
      </c>
      <c r="L501" s="119">
        <f ca="1">IF(AND(C501="烈日斩",模拟模式!$X$11=1),10%,0)+IF(AND(C501="驱夜断愁",AB501=1),30%,0)</f>
        <v>0</v>
      </c>
      <c r="M501" s="45">
        <f t="shared" ca="1" si="409"/>
        <v>0.54185145527300216</v>
      </c>
      <c r="N501" s="45">
        <f t="shared" ca="1" si="410"/>
        <v>0.40424854472699789</v>
      </c>
      <c r="O501" s="46">
        <f t="shared" ca="1" si="434"/>
        <v>0.15194769903183936</v>
      </c>
      <c r="P501" s="46" t="str">
        <f t="shared" ca="1" si="435"/>
        <v>会</v>
      </c>
      <c r="Q501" s="45">
        <f t="shared" ca="1" si="436"/>
        <v>2.162482885499879</v>
      </c>
      <c r="R501" s="117">
        <f ca="1">模拟模式!$E$20*(1-IF(模拟模式!$J$19="有",0.15,0))*(1-IF(模拟模式!$K$19="有",0.3,0)-IF(CQ501,0.5,0))</f>
        <v>843.02999999999975</v>
      </c>
      <c r="S501" s="45">
        <f ca="1">R501/(R501+(185*模拟模式!$E$22-16800)*4.08224)</f>
        <v>8.389626085980037E-2</v>
      </c>
      <c r="T501" s="45" t="str">
        <f ca="1">LOOKUP(D501,'模拟-单技能数据'!$A$2:$A$19,'模拟-单技能数据'!$H$2:$H$19)</f>
        <v>阴</v>
      </c>
      <c r="U501" s="119">
        <f t="shared" ca="1" si="411"/>
        <v>0.08</v>
      </c>
      <c r="V501" s="47">
        <f ca="1">(1+L501)*(LOOKUP(D501,'模拟-单技能数据'!$A$2:$A$19,'模拟-单技能数据'!$D$2:$D$19)+G501*LOOKUP(D501,'模拟-单技能数据'!$A$2:$A$19,'模拟-单技能数据'!$F$2:$F$19))*(1+J501)*(1+K501)*(1-S501)*(1+U501)*Q501*LOOKUP(D501,'模拟-单技能数据'!$A$2:$A$19,'模拟-单技能数据'!$I$2:$I$20)</f>
        <v>212964.75797218451</v>
      </c>
      <c r="W501" s="47">
        <f ca="1">LOOKUP(D501,'模拟-单技能数据'!$A$2:$A$19,'模拟-单技能数据'!$G$2:$G$19)*$I$10</f>
        <v>361.51064354704795</v>
      </c>
      <c r="X501" s="47">
        <f t="shared" ca="1" si="437"/>
        <v>19564.102609827627</v>
      </c>
      <c r="Y501" s="47">
        <f t="shared" ca="1" si="412"/>
        <v>232890.37122555918</v>
      </c>
      <c r="Z501" s="49">
        <f t="shared" ca="1" si="413"/>
        <v>49553990.089448176</v>
      </c>
      <c r="AA501" s="97">
        <f t="shared" ca="1" si="414"/>
        <v>113327.13592317626</v>
      </c>
      <c r="AB501" s="115">
        <f ca="1">IF(OR(C501="赤日轮1",C501="赤日轮2",C501="赤日轮3"),IF(RAND()&lt;模拟模式!$Y$17,1,0),IF(OR(C501="幽月轮1",C501="幽月轮2",C501="幽月轮3"),IF(RAND()&lt;模拟模式!$Y$18,1,0),IF(C501="烈日斩",IF(RAND()&lt;模拟模式!$Y$19,1,0),IF(C501="银月斩",IF(RAND()&lt;模拟模式!$Y$20,1,0),IF(C501="驱夜断愁",IF(RAND()&lt;模拟模式!$Y$21,1,0),IF(C501="净世破魔击·日",IF(RAND()&lt;模拟模式!$Y$22,1,0),IF(C501="净世破魔击·月",IF(RAND()&lt;模拟模式!$Y$23,1,0),0)))))))</f>
        <v>1</v>
      </c>
      <c r="AC501" s="115" t="b">
        <f t="shared" ca="1" si="402"/>
        <v>0</v>
      </c>
      <c r="AD501" s="115" t="b">
        <f t="shared" ca="1" si="422"/>
        <v>0</v>
      </c>
      <c r="AE501" s="115">
        <f t="shared" ca="1" si="423"/>
        <v>4</v>
      </c>
      <c r="AF501" s="47">
        <f ca="1">IF(AC501,('模拟-单技能数据'!$D$20+G501*'模拟-单技能数据'!$F$20)*(1+J501)*(1+'模拟-单技能数据'!$J$20)*(1+U501),0)</f>
        <v>0</v>
      </c>
      <c r="AG501" s="61">
        <f t="shared" ca="1" si="415"/>
        <v>0.64185145527300214</v>
      </c>
      <c r="AH501" s="61">
        <f t="shared" ca="1" si="416"/>
        <v>2.2624828854998791</v>
      </c>
      <c r="AI501" s="62">
        <f t="shared" ca="1" si="438"/>
        <v>0.90375331078513255</v>
      </c>
      <c r="AJ501" s="47">
        <f ca="1">IF(AD501,IF(AI501&lt;$F$10,0,IF(AI501&lt;$F$10+$F$11,0.25,IF(AI501&lt;$F$10+$F$11+AG501,AH501,1)))*IF(AF501&gt;0,AF501,IF(AF500&gt;0,AF500,IF(AF499&gt;0,AF499,IF(AF498&gt;0,AF498,IF(AF497&gt;0,AF497,IF(AF496&gt;0,AF496,IF(AF495&gt;0,AF495,IF(AF494&gt;0,AF494,IF(AF493&gt;0,AF493,IF(AF491&gt;0,AF491,IF(AF490&gt;0,AF490,IF(AF489&gt;0,AF489,0)))))))))))),0)*(1-$S501)*'模拟-单技能数据'!$I$20</f>
        <v>0</v>
      </c>
      <c r="AK501" s="115" t="b">
        <f t="shared" ca="1" si="403"/>
        <v>0</v>
      </c>
      <c r="AL501" s="115" t="b">
        <f t="shared" ca="1" si="424"/>
        <v>1</v>
      </c>
      <c r="AM501" s="115">
        <f t="shared" ca="1" si="425"/>
        <v>2</v>
      </c>
      <c r="AN501" s="47">
        <f ca="1">IF(AK501,('模拟-单技能数据'!$D$21+G501*'模拟-单技能数据'!$F$21)*(1+J501)*(1+'模拟-单技能数据'!$J$21)*(1+U501),0)</f>
        <v>0</v>
      </c>
      <c r="AO501" s="61">
        <f ca="1">IF(AN501&gt;0,M501-'模拟-单技能数据'!$K$10,AO500)</f>
        <v>0.42185145527300216</v>
      </c>
      <c r="AP501" s="61">
        <f ca="1">IF(AN501&gt;0,I501-'模拟-单技能数据'!$L$10,AP500)</f>
        <v>2.162482885499879</v>
      </c>
      <c r="AQ501" s="63">
        <f t="shared" ca="1" si="439"/>
        <v>0.84773854375770441</v>
      </c>
      <c r="AR501" s="64">
        <f ca="1">IF(AL501,IF(AQ501&lt;$F$10,0,IF(AQ501&lt;$F$10+$F$11,0.25,IF(AQ501&lt;$F$10+$F$11+AO501,AP501,1)))*IF(AN501&gt;0,AN501,IF(AN500&gt;0,AN500,IF(AN499&gt;0,AN499,IF(AN498&gt;0,AN498,IF(AN497&gt;0,AN497,IF(AN496&gt;0,AN496,IF(AN495&gt;0,AN495,IF(AN494&gt;0,AN494,IF(AN493&gt;0,AN493,IF(AN491&gt;0,AN491,IF(AN490&gt;0,AN490,IF(AN489&gt;0,AN489,0)))))))))))),0)*(1-$S501)*'模拟-单技能数据'!$I$21</f>
        <v>11607.89185245618</v>
      </c>
      <c r="AS501" s="61">
        <f ca="1">IF(OR(C501="净世破魔击·日",C501="净世破魔击·月"),M501-'模拟-单技能数据'!$K$10,0)</f>
        <v>0.42185145527300216</v>
      </c>
      <c r="AT501" s="61">
        <f ca="1">IF(OR(C501="净世破魔击·日",C501="净世破魔击·月"),I501-'模拟-单技能数据'!$L$10,0)</f>
        <v>2.162482885499879</v>
      </c>
      <c r="AU501" s="62">
        <f t="shared" ca="1" si="440"/>
        <v>0.5406672646482884</v>
      </c>
      <c r="AV501" s="64">
        <f ca="1">IF(AS501&gt;0,('模拟-单技能数据'!$D$22+G501*'模拟-单技能数据'!$F$22)*(1+J501)*(1-S501)*IF(AU501&lt;$F$10,0,IF(AU501&lt;$F$10+$F$11,0.25,IF(AU501&lt;$F$10+$F$11+AS501,AT501,1)))*(1+U501),0)*'模拟-单技能数据'!$I$22</f>
        <v>7956.2107573714466</v>
      </c>
      <c r="AW501" s="108">
        <f t="shared" ca="1" si="441"/>
        <v>0</v>
      </c>
      <c r="AX501" s="108" t="b">
        <f ca="1">AND(模拟模式!$P$10="有",AW500=0,RAND()&lt;IF(C501="净世破魔击·月",0.1*8/3,IF(C501="净世破魔击·日",0.1*4/3,0.1*2/3)))</f>
        <v>0</v>
      </c>
      <c r="AY501" s="47">
        <f ca="1">IF(AX501,(18+G501*0.722)*(1+J501)*(1-S501)*(1+$I$4)*IF(P501="会",'模拟-全程加成'!$J$3+'模拟-全程加成'!$J$4+'模拟-全程加成'!$J$5+('模拟-全程加成'!$I$4+'模拟-全程加成'!$I$5)/系数!$B$4+BG501*10%,IF(P501="命",1,IF(P501="识",0.25,0))),0)</f>
        <v>0</v>
      </c>
      <c r="AZ501" s="108">
        <f t="shared" si="442"/>
        <v>8.9300000000000068</v>
      </c>
      <c r="BA501" s="108" t="b">
        <f>AND(模拟模式!$Q$10="有",AZ500=0)</f>
        <v>0</v>
      </c>
      <c r="BB501" s="140">
        <f>IF(BA501,(0+G501*0.287)*(1+J501)*(1-S501)*(1+$I$4)*IF(P501="会",'模拟-全程加成'!$J$3+'模拟-全程加成'!$J$4+'模拟-全程加成'!$J$5+('模拟-全程加成'!$I$4+'模拟-全程加成'!$I$5)/系数!$B$4+BG501*10%,IF(P501="命",1,IF(P501="识",0.25,0))),0)</f>
        <v>0</v>
      </c>
      <c r="BC501" s="115" t="b">
        <f ca="1">AND(模拟模式!$R$7="伏明众生",E501=60,F501=20,DA501&lt;5,CZ500&lt;$F$4)</f>
        <v>0</v>
      </c>
      <c r="BD501" s="115">
        <f t="shared" ca="1" si="404"/>
        <v>0</v>
      </c>
      <c r="BE501" s="115" t="b">
        <f t="shared" ca="1" si="405"/>
        <v>0</v>
      </c>
      <c r="BF501" s="47">
        <f ca="1">IF(BC501,4*('模拟-单技能数据'!$D$24+G501*'模拟-单技能数据'!$F$24)*(1+J501)*(1+'模拟-单技能数据'!$J$24)*(1-S501)*(1+$I$3)*(('模拟-全程加成'!$J$3+'模拟-全程加成'!$J$4+'模拟-全程加成'!$J$5+('模拟-全程加成'!$I$4+'模拟-全程加成'!$I$5)/系数!$B$4+BG501*10%)*('模拟-全程加成'!$J$3+'模拟-全程加成'!$J$4+'模拟-全程加成'!$J$5+('模拟-全程加成'!$I$4+'模拟-全程加成'!$I$5)/系数!$B$4+BG501*10%)+(1-('模拟-全程加成'!$J$3+'模拟-全程加成'!$J$4+'模拟-全程加成'!$J$5+('模拟-全程加成'!$I$4+'模拟-全程加成'!$I$5)/系数!$B$4+BG501*10%)-$F$10-$F$11)+F487*0.25),0)*'模拟-单技能数据'!$I$24</f>
        <v>0</v>
      </c>
      <c r="BG501" s="115" t="b">
        <f ca="1">OR(AND(OR(C501="烈日斩",C501="银月斩"),模拟模式!$I$7="净身明礼"),AND(C501="净世破魔击·日",模拟模式!$J$7="洞若观火"),AND(C502="净世破魔击·月",模拟模式!$J$7="洞若观火"),AB501=1)</f>
        <v>1</v>
      </c>
      <c r="BH501" s="115" t="b">
        <f t="shared" ca="1" si="443"/>
        <v>0</v>
      </c>
      <c r="BI501" s="115">
        <f t="shared" ca="1" si="406"/>
        <v>0.46499999999999975</v>
      </c>
      <c r="BJ501" s="115" t="b">
        <f t="shared" ca="1" si="417"/>
        <v>1</v>
      </c>
      <c r="BK501" s="115" t="b">
        <f ca="1">AND(C501="驱夜断愁",模拟模式!$P$7="天地诛戮")</f>
        <v>0</v>
      </c>
      <c r="BL501" s="57">
        <f t="shared" ca="1" si="407"/>
        <v>17.232500000000002</v>
      </c>
      <c r="BM501" s="115" t="b">
        <f t="shared" ca="1" si="418"/>
        <v>1</v>
      </c>
      <c r="BN501" s="115" t="b">
        <f ca="1">AND(OR(C501="赤日轮1",C501="赤日轮2",C501="赤日轮3",C501="幽月轮1",C501="幽月轮2",C501="幽月轮3"),AB501=1,模拟模式!$L$7="明光恒照")</f>
        <v>0</v>
      </c>
      <c r="BO501" s="117">
        <f t="shared" ca="1" si="408"/>
        <v>29.077500000000001</v>
      </c>
      <c r="BP501" s="115">
        <f t="shared" ca="1" si="444"/>
        <v>6</v>
      </c>
      <c r="BQ501" s="115" t="b">
        <f>模拟模式!$K$10="2600·水"</f>
        <v>0</v>
      </c>
      <c r="BR501" s="117">
        <f t="shared" si="445"/>
        <v>0</v>
      </c>
      <c r="BS501" s="115">
        <f t="shared" si="446"/>
        <v>0</v>
      </c>
      <c r="BT501" s="115">
        <f t="shared" ca="1" si="447"/>
        <v>0</v>
      </c>
      <c r="BU501" s="115" t="b">
        <f ca="1">AND(模拟模式!$K$10="2300·雷",BT500=0,RAND()&lt;IF(C501="净世破魔击·月",5*0.05*2/3,IF(C501="净世破魔击·日",3*0.05*2/3,0.05*2*2/3)))</f>
        <v>0</v>
      </c>
      <c r="BV501" s="115">
        <f t="shared" ca="1" si="448"/>
        <v>0</v>
      </c>
      <c r="BW501" s="115">
        <f t="shared" ca="1" si="449"/>
        <v>118.19249999999924</v>
      </c>
      <c r="BX501" s="164" t="b">
        <f t="shared" ca="1" si="450"/>
        <v>0</v>
      </c>
      <c r="BY501" s="115">
        <f t="shared" ca="1" si="451"/>
        <v>0</v>
      </c>
      <c r="BZ501" s="115">
        <f>IF(OR(模拟模式!$P$16="10人团",模拟模式!$P$16="25人团"),IF(B501/30&gt;CA500,1,0),0)</f>
        <v>0</v>
      </c>
      <c r="CA501" s="115">
        <f t="shared" si="427"/>
        <v>0</v>
      </c>
      <c r="CB501" s="115">
        <f ca="1">IF(BZ501=1,IF(模拟模式!$P$16="10人团",15,0)+IF(模拟模式!$P$16="25人团",IF(RAND()&lt;0.6,15,0)),MAX(0,CB500-$F$4))</f>
        <v>0</v>
      </c>
      <c r="CC501" s="115" t="b">
        <f t="shared" ca="1" si="419"/>
        <v>0</v>
      </c>
      <c r="CD501" s="115">
        <f>IF(模拟模式!$Q$16="1个",IF(B501/40&gt;CE500,1,0),0)</f>
        <v>0</v>
      </c>
      <c r="CE501" s="115">
        <f t="shared" si="420"/>
        <v>0</v>
      </c>
      <c r="CF501" s="115">
        <f>IF(OR(CD501=1,模拟模式!$Q$16="2个"),20,MAX(0,CF500-$F$4))</f>
        <v>0</v>
      </c>
      <c r="CG501" s="115" t="b">
        <f t="shared" si="421"/>
        <v>0</v>
      </c>
      <c r="CH501" s="115">
        <f t="shared" ca="1" si="452"/>
        <v>7.8600000000000128</v>
      </c>
      <c r="CI501" s="115" t="b">
        <f t="shared" ca="1" si="453"/>
        <v>0</v>
      </c>
      <c r="CJ501" s="119">
        <f t="shared" ca="1" si="454"/>
        <v>0</v>
      </c>
      <c r="CK501" s="115">
        <f t="shared" ca="1" si="455"/>
        <v>0</v>
      </c>
      <c r="CL501" s="115" t="b">
        <f ca="1">AND(模拟模式!$S$7="驱夷逐法",OR(AND(C501="净世破魔击·月",E500&gt;59),AND(C501="净世破魔击·日",F500&gt;59)))</f>
        <v>1</v>
      </c>
      <c r="CM501" s="115" t="b">
        <f ca="1">OR(CL501,AND(C501="净世破魔击·日",CL500,RAND()&lt;模拟模式!$U$23))</f>
        <v>1</v>
      </c>
      <c r="CN501" s="115" t="b">
        <f ca="1">IF(模拟模式!$M$7="辉耀红尘",AND(C501="净世破魔击·月",CL501,CV501=0,E500&lt;80),AND(C501="净世破魔击·月",CL501,E500&lt;100))</f>
        <v>0</v>
      </c>
      <c r="CO501" s="115" t="b">
        <f t="shared" ca="1" si="428"/>
        <v>0</v>
      </c>
      <c r="CP501" s="115" t="b">
        <f ca="1">AND(模拟模式!$O$7="用晦而明",OR(C501="净世破魔击·日",C501="净世破魔击·月",C501="驱夜断愁"),AB501)</f>
        <v>1</v>
      </c>
      <c r="CQ501" s="115" t="b">
        <f ca="1">OR(CP501,AND(CP500,RAND()&lt;模拟模式!$U$23))</f>
        <v>1</v>
      </c>
      <c r="CR501" s="115" t="b">
        <f ca="1">AND(模拟模式!$S$7="日月齐光",OR(C501="幽月轮1",C501="幽月轮2",C501="幽月轮3",CR500),NOT(OR(C501="赤日轮1",C501="赤日轮2",C501="赤日轮3")))</f>
        <v>0</v>
      </c>
      <c r="CS501" s="115" t="b">
        <f ca="1">AND(模拟模式!$S$7="日月齐光",OR(C501="赤日轮1",C501="赤日轮2",C501="赤日轮3",CS500),NOT(OR(C501="幽月轮1",C501="幽月轮2",C501="幽月轮3")))</f>
        <v>0</v>
      </c>
      <c r="CT501" s="115">
        <f t="shared" ca="1" si="456"/>
        <v>6.0150000000000121</v>
      </c>
      <c r="CU501" s="115" t="b">
        <f ca="1">AND(模拟模式!$K$10="阴阳往极",CT500=0,RAND()&lt;IF(C501="净世破魔击·月",0.0275*7/3,IF(C501="净世破魔击·日",0.0275*3/3,0.0275*2/3)))</f>
        <v>0</v>
      </c>
      <c r="CV501" s="115">
        <f t="shared" ca="1" si="457"/>
        <v>0</v>
      </c>
      <c r="CW501" s="115">
        <f t="shared" ca="1" si="429"/>
        <v>4.1549999999999994</v>
      </c>
      <c r="CX501" s="115">
        <f t="shared" ca="1" si="430"/>
        <v>2.3099999999999996</v>
      </c>
      <c r="CY501" s="115">
        <f ca="1">MAX(IF($C501="驱夜断愁",IF(模拟模式!$R$7="万念俱寂",6,45),CY500-$F$4),0)</f>
        <v>3.2324999999999995</v>
      </c>
      <c r="CZ501" s="115">
        <f t="shared" ca="1" si="431"/>
        <v>0</v>
      </c>
      <c r="DA501" s="115">
        <f ca="1">IF(模拟模式!$N$7="日月同辉",IF(DB500=2,0,MIN(6,IF(AND(OR(C501="赤日轮1",C501="赤日轮2",C501="赤日轮3",C501="幽月轮1",C501="幽月轮2",C501="幽月轮3"),AB501=1),DA500+1,DA500))),0)</f>
        <v>0</v>
      </c>
      <c r="DB501" s="115">
        <f t="shared" ca="1" si="432"/>
        <v>1</v>
      </c>
      <c r="DC501" s="115"/>
      <c r="DD501" s="115"/>
      <c r="DE501" s="115"/>
      <c r="DF501" s="115"/>
      <c r="DG501" s="115"/>
      <c r="DH501" s="115"/>
      <c r="DI501" s="115"/>
      <c r="DJ501" s="115"/>
      <c r="DK501" s="115"/>
      <c r="DL501" s="115"/>
      <c r="DM501" s="115"/>
    </row>
    <row r="502" spans="2:117" x14ac:dyDescent="0.2">
      <c r="B502" s="117">
        <f t="shared" si="433"/>
        <v>438.18750000000449</v>
      </c>
      <c r="C502" s="167" t="str">
        <f t="shared" ca="1" si="426"/>
        <v>净世破魔击·日</v>
      </c>
      <c r="D502" s="115">
        <f ca="1">IF(C502="赤日轮1",1,IF(C502="赤日轮2",2,IF(C502="赤日轮3",3,IF(C502="幽月轮1",4,IF(C502="幽月轮2",5,IF(C502="幽月轮3",6,IF(C502="烈日斩",7,IF(C502="银月斩",8,IF(C502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502="净世破魔击·月",17,IF(C502="驱夜断愁",18,0)))))))))))</f>
        <v>9</v>
      </c>
      <c r="E502" s="115">
        <f ca="1">IF(AND(CU502,OR(C502="幽月轮1",C502="幽月轮2",C502="幽月轮3",C502="银月斩",C502="驱夜断愁",C502="净世破魔击·月")),100,MIN(IF(OR(CN502,BE502),0,IF(OR($C502="赤日轮1",$C502="赤日轮2",$C502="赤日轮3"),E501+20+IF(模拟模式!$I$7="日月凌天",4,0)+IF(CR501,20,0),IF($C502="烈日斩",E501+40,IF($C502="驱夜断愁",IF(模拟模式!$R$7="万念俱寂",E501+20,E501+60),IF($C502="净世破魔击·月",IF(OR(DB501&gt;0,CV501&gt;0),100,IF(模拟模式!$M$7="辉耀红尘",E501+20,E501)),IF($C502="净世破魔击·日",E501-100,E501)))))),100))</f>
        <v>0</v>
      </c>
      <c r="F502" s="115">
        <f ca="1">IF(AND(CU502,OR(C502="赤日轮1",C502="赤日轮2",C502="赤日轮3",C502="烈日斩",C502="净世破魔击·日")),100,MIN(IF(CO502,0,IF(OR($C502="幽月轮1",$C502="幽月轮2",$C502="幽月轮3"),F501+20+IF(模拟模式!$I$7="日月凌天",4,0)+IF(CS501,20,0),IF($C502="银月斩",F501+40+IF(模拟模式!$X$12=1,5,0),IF($C502="驱夜断愁",IF(模拟模式!$R$7="万念俱寂",F501+20,F501+60),IF($C502="净世破魔击·月",IF(模拟模式!$M$7="辉耀红尘",F501-80,F501-100),IF(AND(C502="净世破魔击·日",OR(DB501&gt;0,CV501&gt;0)),100,F501)))))),100))</f>
        <v>100</v>
      </c>
      <c r="G502" s="117">
        <f ca="1">('模拟-全程加成'!$E$3+'模拟-全程加成'!$E$4+'模拟-全程加成'!$E$5+('模拟-全程加成'!$C$6-'模拟-全程加成'!$C$3)*系数!$B$9+BS502*23)*(1+'模拟-全程加成'!$F$4+'模拟-全程加成'!$F$5+BJ502*10%+BM502*20%+BP502*4%+CG502*30%)+$F$7*系数!$B$12</f>
        <v>20583.127400000001</v>
      </c>
      <c r="H502" s="45">
        <f ca="1">'模拟-全程加成'!$H$3+'模拟-全程加成'!$H$4+'模拟-全程加成'!$H$5+('模拟-全程加成'!$G$4+'模拟-全程加成'!$G$5+('模拟-全程加成'!$C$6-'模拟-全程加成'!$C$3)*系数!$B$13)/系数!$B$3+LOOKUP(D502,'模拟-单技能数据'!$A$2:$A$19,'模拟-单技能数据'!$K$2:$K$19)+BG502*10%+IF(BV502&gt;0,378,0)</f>
        <v>0.54185145527300216</v>
      </c>
      <c r="I502" s="45">
        <f ca="1">'模拟-全程加成'!$J$3+'模拟-全程加成'!$J$4+'模拟-全程加成'!$J$5+('模拟-全程加成'!$I$4+'模拟-全程加成'!$I$5)/系数!$B$4+LOOKUP(D502,'模拟-单技能数据'!$A$2:$A$19,'模拟-单技能数据'!$L$2:$L$19)+BG502*10%</f>
        <v>2.162482885499879</v>
      </c>
      <c r="J502" s="45">
        <f ca="1">(('模拟-全程加成'!$K$3+'模拟-全程加成'!$K$4+'模拟-全程加成'!$K$5+('模拟-全程加成'!$C$6-'模拟-全程加成'!$C$3)*系数!$B$10+IF(BV502&gt;0,882,0)+IF(BY502&gt;0,1831,0))*(1+'模拟-全程加成'!$L$4+'模拟-全程加成'!$L$5+CC502*20%))/系数!$B$5</f>
        <v>0.69723220422048726</v>
      </c>
      <c r="K502" s="119">
        <f ca="1">LOOKUP(D502,'模拟-单技能数据'!$A$2:$A$19,'模拟-单技能数据'!$J$2:$J$19)+IF(CM502,60%,0)+IF(DB501-DB502&gt;0,30%,0)+IF(OR(AND(OR(C502="赤日轮1",C502="赤日轮2",C502="赤日轮3"),CR502),AND(OR(C502="幽月轮1",C502="幽月轮2",C502="幽月轮3"),CS502)),35%,0)+CJ502</f>
        <v>1.1000000000000001</v>
      </c>
      <c r="L502" s="119">
        <f ca="1">IF(AND(C502="烈日斩",模拟模式!$X$11=1),10%,0)+IF(AND(C502="驱夜断愁",AB502=1),30%,0)</f>
        <v>0</v>
      </c>
      <c r="M502" s="45">
        <f t="shared" ca="1" si="409"/>
        <v>0.54185145527300216</v>
      </c>
      <c r="N502" s="45">
        <f t="shared" ca="1" si="410"/>
        <v>0.40424854472699789</v>
      </c>
      <c r="O502" s="46">
        <f t="shared" ca="1" si="434"/>
        <v>0.28387910919544257</v>
      </c>
      <c r="P502" s="46" t="str">
        <f t="shared" ca="1" si="435"/>
        <v>会</v>
      </c>
      <c r="Q502" s="45">
        <f t="shared" ca="1" si="436"/>
        <v>2.162482885499879</v>
      </c>
      <c r="R502" s="117">
        <f ca="1">模拟模式!$E$20*(1-IF(模拟模式!$J$19="有",0.15,0))*(1-IF(模拟模式!$K$19="有",0.3,0)-IF(CQ502,0.5,0))</f>
        <v>843.02999999999975</v>
      </c>
      <c r="S502" s="45">
        <f ca="1">R502/(R502+(185*模拟模式!$E$22-16800)*4.08224)</f>
        <v>8.389626085980037E-2</v>
      </c>
      <c r="T502" s="45" t="str">
        <f ca="1">LOOKUP(D502,'模拟-单技能数据'!$A$2:$A$19,'模拟-单技能数据'!$H$2:$H$19)</f>
        <v>阳</v>
      </c>
      <c r="U502" s="119">
        <f t="shared" ca="1" si="411"/>
        <v>0.2</v>
      </c>
      <c r="V502" s="47">
        <f ca="1">(1+L502)*(LOOKUP(D502,'模拟-单技能数据'!$A$2:$A$19,'模拟-单技能数据'!$D$2:$D$19)+G502*LOOKUP(D502,'模拟-单技能数据'!$A$2:$A$19,'模拟-单技能数据'!$F$2:$F$19))*(1+J502)*(1+K502)*(1-S502)*(1+U502)*Q502*LOOKUP(D502,'模拟-单技能数据'!$A$2:$A$19,'模拟-单技能数据'!$I$2:$I$20)</f>
        <v>228568.4507011126</v>
      </c>
      <c r="W502" s="47">
        <f ca="1">LOOKUP(D502,'模拟-单技能数据'!$A$2:$A$19,'模拟-单技能数据'!$G$2:$G$19)*$I$10</f>
        <v>723.0212870940959</v>
      </c>
      <c r="X502" s="47">
        <f t="shared" ca="1" si="437"/>
        <v>18104.936839137728</v>
      </c>
      <c r="Y502" s="47">
        <f t="shared" ca="1" si="412"/>
        <v>247396.40882734442</v>
      </c>
      <c r="Z502" s="49">
        <f t="shared" ca="1" si="413"/>
        <v>49801386.498275518</v>
      </c>
      <c r="AA502" s="97">
        <f t="shared" ca="1" si="414"/>
        <v>113653.14277170163</v>
      </c>
      <c r="AB502" s="115">
        <f ca="1">IF(OR(C502="赤日轮1",C502="赤日轮2",C502="赤日轮3"),IF(RAND()&lt;模拟模式!$Y$17,1,0),IF(OR(C502="幽月轮1",C502="幽月轮2",C502="幽月轮3"),IF(RAND()&lt;模拟模式!$Y$18,1,0),IF(C502="烈日斩",IF(RAND()&lt;模拟模式!$Y$19,1,0),IF(C502="银月斩",IF(RAND()&lt;模拟模式!$Y$20,1,0),IF(C502="驱夜断愁",IF(RAND()&lt;模拟模式!$Y$21,1,0),IF(C502="净世破魔击·日",IF(RAND()&lt;模拟模式!$Y$22,1,0),IF(C502="净世破魔击·月",IF(RAND()&lt;模拟模式!$Y$23,1,0),0)))))))</f>
        <v>1</v>
      </c>
      <c r="AC502" s="115" t="b">
        <f t="shared" ca="1" si="402"/>
        <v>0</v>
      </c>
      <c r="AD502" s="115" t="b">
        <f t="shared" ca="1" si="422"/>
        <v>1</v>
      </c>
      <c r="AE502" s="115">
        <f t="shared" ca="1" si="423"/>
        <v>3</v>
      </c>
      <c r="AF502" s="47">
        <f ca="1">IF(AC502,('模拟-单技能数据'!$D$20+G502*'模拟-单技能数据'!$F$20)*(1+J502)*(1+'模拟-单技能数据'!$J$20)*(1+U502),0)</f>
        <v>0</v>
      </c>
      <c r="AG502" s="61">
        <f t="shared" ca="1" si="415"/>
        <v>0.64185145527300214</v>
      </c>
      <c r="AH502" s="61">
        <f t="shared" ca="1" si="416"/>
        <v>2.2624828854998791</v>
      </c>
      <c r="AI502" s="62">
        <f t="shared" ca="1" si="438"/>
        <v>0.67763213351740925</v>
      </c>
      <c r="AJ502" s="47">
        <f ca="1">IF(AD502,IF(AI502&lt;$F$10,0,IF(AI502&lt;$F$10+$F$11,0.25,IF(AI502&lt;$F$10+$F$11+AG502,AH502,1)))*IF(AF502&gt;0,AF502,IF(AF501&gt;0,AF501,IF(AF500&gt;0,AF500,IF(AF499&gt;0,AF499,IF(AF498&gt;0,AF498,IF(AF497&gt;0,AF497,IF(AF496&gt;0,AF496,IF(AF495&gt;0,AF495,IF(AF494&gt;0,AF494,IF(AF492&gt;0,AF492,IF(AF491&gt;0,AF491,IF(AF490&gt;0,AF490,0)))))))))))),0)*(1-$S502)*'模拟-单技能数据'!$I$20</f>
        <v>9616.6571145767884</v>
      </c>
      <c r="AK502" s="115" t="b">
        <f t="shared" ca="1" si="403"/>
        <v>1</v>
      </c>
      <c r="AL502" s="115" t="b">
        <f t="shared" ca="1" si="424"/>
        <v>0</v>
      </c>
      <c r="AM502" s="115">
        <f t="shared" ca="1" si="425"/>
        <v>6</v>
      </c>
      <c r="AN502" s="47">
        <f ca="1">IF(AK502,('模拟-单技能数据'!$D$21+G502*'模拟-单技能数据'!$F$21)*(1+J502)*(1+'模拟-单技能数据'!$J$21)*(1+U502),0)</f>
        <v>12136.56601728573</v>
      </c>
      <c r="AO502" s="61">
        <f ca="1">IF(AN502&gt;0,M502-'模拟-单技能数据'!$K$10,AO501)</f>
        <v>0.42185145527300216</v>
      </c>
      <c r="AP502" s="61">
        <f ca="1">IF(AN502&gt;0,I502-'模拟-单技能数据'!$L$10,AP501)</f>
        <v>2.162482885499879</v>
      </c>
      <c r="AQ502" s="63">
        <f t="shared" ca="1" si="439"/>
        <v>0.64164955658952361</v>
      </c>
      <c r="AR502" s="64">
        <f ca="1">IF(AL502,IF(AQ502&lt;$F$10,0,IF(AQ502&lt;$F$10+$F$11,0.25,IF(AQ502&lt;$F$10+$F$11+AO502,AP502,1)))*IF(AN502&gt;0,AN502,IF(AN501&gt;0,AN501,IF(AN500&gt;0,AN500,IF(AN499&gt;0,AN499,IF(AN498&gt;0,AN498,IF(AN497&gt;0,AN497,IF(AN496&gt;0,AN496,IF(AN495&gt;0,AN495,IF(AN494&gt;0,AN494,IF(AN492&gt;0,AN492,IF(AN491&gt;0,AN491,IF(AN490&gt;0,AN490,0)))))))))))),0)*(1-$S502)*'模拟-单技能数据'!$I$21</f>
        <v>0</v>
      </c>
      <c r="AS502" s="61">
        <f ca="1">IF(OR(C502="净世破魔击·日",C502="净世破魔击·月"),M502-'模拟-单技能数据'!$K$10,0)</f>
        <v>0.42185145527300216</v>
      </c>
      <c r="AT502" s="61">
        <f ca="1">IF(OR(C502="净世破魔击·日",C502="净世破魔击·月"),I502-'模拟-单技能数据'!$L$10,0)</f>
        <v>2.162482885499879</v>
      </c>
      <c r="AU502" s="62">
        <f t="shared" ca="1" si="440"/>
        <v>0.97967538564400636</v>
      </c>
      <c r="AV502" s="64">
        <f ca="1">IF(AS502&gt;0,('模拟-单技能数据'!$D$22+G502*'模拟-单技能数据'!$F$22)*(1+J502)*(1-S502)*IF(AU502&lt;$F$10,0,IF(AU502&lt;$F$10+$F$11,0.25,IF(AU502&lt;$F$10+$F$11+AS502,AT502,1)))*(1+U502),0)*'模拟-单技能数据'!$I$22</f>
        <v>8488.2797245609418</v>
      </c>
      <c r="AW502" s="108">
        <f t="shared" ca="1" si="441"/>
        <v>0</v>
      </c>
      <c r="AX502" s="108" t="b">
        <f ca="1">AND(模拟模式!$P$10="有",AW501=0,RAND()&lt;IF(C502="净世破魔击·月",0.1*8/3,IF(C502="净世破魔击·日",0.1*4/3,0.1*2/3)))</f>
        <v>0</v>
      </c>
      <c r="AY502" s="47">
        <f ca="1">IF(AX502,(18+G502*0.722)*(1+J502)*(1-S502)*(1+$I$4)*IF(P502="会",'模拟-全程加成'!$J$3+'模拟-全程加成'!$J$4+'模拟-全程加成'!$J$5+('模拟-全程加成'!$I$4+'模拟-全程加成'!$I$5)/系数!$B$4+BG502*10%,IF(P502="命",1,IF(P502="识",0.25,0))),0)</f>
        <v>0</v>
      </c>
      <c r="AZ502" s="108">
        <f t="shared" si="442"/>
        <v>8.0075000000000074</v>
      </c>
      <c r="BA502" s="108" t="b">
        <f>AND(模拟模式!$Q$10="有",AZ501=0)</f>
        <v>0</v>
      </c>
      <c r="BB502" s="140">
        <f>IF(BA502,(0+G502*0.287)*(1+J502)*(1-S502)*(1+$I$4)*IF(P502="会",'模拟-全程加成'!$J$3+'模拟-全程加成'!$J$4+'模拟-全程加成'!$J$5+('模拟-全程加成'!$I$4+'模拟-全程加成'!$I$5)/系数!$B$4+BG502*10%,IF(P502="命",1,IF(P502="识",0.25,0))),0)</f>
        <v>0</v>
      </c>
      <c r="BC502" s="115" t="b">
        <f ca="1">AND(模拟模式!$R$7="伏明众生",E502=60,F502=20,DA502&lt;5,CZ501&lt;$F$4)</f>
        <v>0</v>
      </c>
      <c r="BD502" s="115">
        <f t="shared" ca="1" si="404"/>
        <v>0</v>
      </c>
      <c r="BE502" s="115" t="b">
        <f t="shared" ca="1" si="405"/>
        <v>0</v>
      </c>
      <c r="BF502" s="47">
        <f ca="1">IF(BC502,4*('模拟-单技能数据'!$D$24+G502*'模拟-单技能数据'!$F$24)*(1+J502)*(1+'模拟-单技能数据'!$J$24)*(1-S502)*(1+$I$3)*(('模拟-全程加成'!$J$3+'模拟-全程加成'!$J$4+'模拟-全程加成'!$J$5+('模拟-全程加成'!$I$4+'模拟-全程加成'!$I$5)/系数!$B$4+BG502*10%)*('模拟-全程加成'!$J$3+'模拟-全程加成'!$J$4+'模拟-全程加成'!$J$5+('模拟-全程加成'!$I$4+'模拟-全程加成'!$I$5)/系数!$B$4+BG502*10%)+(1-('模拟-全程加成'!$J$3+'模拟-全程加成'!$J$4+'模拟-全程加成'!$J$5+('模拟-全程加成'!$I$4+'模拟-全程加成'!$I$5)/系数!$B$4+BG502*10%)-$F$10-$F$11)+F488*0.25),0)*'模拟-单技能数据'!$I$24</f>
        <v>0</v>
      </c>
      <c r="BG502" s="115" t="b">
        <f ca="1">OR(AND(OR(C502="烈日斩",C502="银月斩"),模拟模式!$I$7="净身明礼"),AND(C502="净世破魔击·日",模拟模式!$J$7="洞若观火"),AND(C503="净世破魔击·月",模拟模式!$J$7="洞若观火"),AB502=1)</f>
        <v>1</v>
      </c>
      <c r="BH502" s="115" t="b">
        <f t="shared" ca="1" si="443"/>
        <v>0</v>
      </c>
      <c r="BI502" s="115">
        <f t="shared" ca="1" si="406"/>
        <v>0</v>
      </c>
      <c r="BJ502" s="115" t="b">
        <f t="shared" ca="1" si="417"/>
        <v>0</v>
      </c>
      <c r="BK502" s="115" t="b">
        <f ca="1">AND(C502="驱夜断愁",模拟模式!$P$7="天地诛戮")</f>
        <v>0</v>
      </c>
      <c r="BL502" s="57">
        <f t="shared" ca="1" si="407"/>
        <v>16.310000000000002</v>
      </c>
      <c r="BM502" s="115" t="b">
        <f t="shared" ca="1" si="418"/>
        <v>1</v>
      </c>
      <c r="BN502" s="115" t="b">
        <f ca="1">AND(OR(C502="赤日轮1",C502="赤日轮2",C502="赤日轮3",C502="幽月轮1",C502="幽月轮2",C502="幽月轮3"),AB502=1,模拟模式!$L$7="明光恒照")</f>
        <v>0</v>
      </c>
      <c r="BO502" s="117">
        <f t="shared" ca="1" si="408"/>
        <v>28.155000000000001</v>
      </c>
      <c r="BP502" s="115">
        <f t="shared" ca="1" si="444"/>
        <v>6</v>
      </c>
      <c r="BQ502" s="115" t="b">
        <f>模拟模式!$K$10="2600·水"</f>
        <v>0</v>
      </c>
      <c r="BR502" s="117">
        <f t="shared" si="445"/>
        <v>0</v>
      </c>
      <c r="BS502" s="115">
        <f t="shared" si="446"/>
        <v>0</v>
      </c>
      <c r="BT502" s="115">
        <f t="shared" ca="1" si="447"/>
        <v>0</v>
      </c>
      <c r="BU502" s="115" t="b">
        <f ca="1">AND(模拟模式!$K$10="2300·雷",BT501=0,RAND()&lt;IF(C502="净世破魔击·月",5*0.05*2/3,IF(C502="净世破魔击·日",3*0.05*2/3,0.05*2*2/3)))</f>
        <v>0</v>
      </c>
      <c r="BV502" s="115">
        <f t="shared" ca="1" si="448"/>
        <v>0</v>
      </c>
      <c r="BW502" s="115">
        <f t="shared" ca="1" si="449"/>
        <v>117.26999999999924</v>
      </c>
      <c r="BX502" s="164" t="b">
        <f t="shared" ca="1" si="450"/>
        <v>0</v>
      </c>
      <c r="BY502" s="115">
        <f t="shared" ca="1" si="451"/>
        <v>0</v>
      </c>
      <c r="BZ502" s="115">
        <f>IF(OR(模拟模式!$P$16="10人团",模拟模式!$P$16="25人团"),IF(B502/30&gt;CA501,1,0),0)</f>
        <v>0</v>
      </c>
      <c r="CA502" s="115">
        <f t="shared" si="427"/>
        <v>0</v>
      </c>
      <c r="CB502" s="115">
        <f ca="1">IF(BZ502=1,IF(模拟模式!$P$16="10人团",15,0)+IF(模拟模式!$P$16="25人团",IF(RAND()&lt;0.6,15,0)),MAX(0,CB501-$F$4))</f>
        <v>0</v>
      </c>
      <c r="CC502" s="115" t="b">
        <f t="shared" ca="1" si="419"/>
        <v>0</v>
      </c>
      <c r="CD502" s="115">
        <f>IF(模拟模式!$Q$16="1个",IF(B502/40&gt;CE501,1,0),0)</f>
        <v>0</v>
      </c>
      <c r="CE502" s="115">
        <f t="shared" si="420"/>
        <v>0</v>
      </c>
      <c r="CF502" s="115">
        <f>IF(OR(CD502=1,模拟模式!$Q$16="2个"),20,MAX(0,CF501-$F$4))</f>
        <v>0</v>
      </c>
      <c r="CG502" s="115" t="b">
        <f t="shared" si="421"/>
        <v>0</v>
      </c>
      <c r="CH502" s="115">
        <f t="shared" ca="1" si="452"/>
        <v>6.9375000000000124</v>
      </c>
      <c r="CI502" s="115" t="b">
        <f t="shared" ca="1" si="453"/>
        <v>0</v>
      </c>
      <c r="CJ502" s="119">
        <f t="shared" ca="1" si="454"/>
        <v>0</v>
      </c>
      <c r="CK502" s="115">
        <f t="shared" ca="1" si="455"/>
        <v>0</v>
      </c>
      <c r="CL502" s="115" t="b">
        <f ca="1">AND(模拟模式!$S$7="驱夷逐法",OR(AND(C502="净世破魔击·月",E501&gt;59),AND(C502="净世破魔击·日",F501&gt;59)))</f>
        <v>0</v>
      </c>
      <c r="CM502" s="115" t="b">
        <f ca="1">OR(CL502,AND(C502="净世破魔击·日",CL501,RAND()&lt;模拟模式!$U$23))</f>
        <v>1</v>
      </c>
      <c r="CN502" s="115" t="b">
        <f ca="1">IF(模拟模式!$M$7="辉耀红尘",AND(C502="净世破魔击·月",CL502,CV502=0,E501&lt;80),AND(C502="净世破魔击·月",CL502,E501&lt;100))</f>
        <v>0</v>
      </c>
      <c r="CO502" s="115" t="b">
        <f t="shared" ca="1" si="428"/>
        <v>0</v>
      </c>
      <c r="CP502" s="115" t="b">
        <f ca="1">AND(模拟模式!$O$7="用晦而明",OR(C502="净世破魔击·日",C502="净世破魔击·月",C502="驱夜断愁"),AB502)</f>
        <v>1</v>
      </c>
      <c r="CQ502" s="115" t="b">
        <f ca="1">OR(CP502,AND(CP501,RAND()&lt;模拟模式!$U$23))</f>
        <v>1</v>
      </c>
      <c r="CR502" s="115" t="b">
        <f ca="1">AND(模拟模式!$S$7="日月齐光",OR(C502="幽月轮1",C502="幽月轮2",C502="幽月轮3",CR501),NOT(OR(C502="赤日轮1",C502="赤日轮2",C502="赤日轮3")))</f>
        <v>0</v>
      </c>
      <c r="CS502" s="115" t="b">
        <f ca="1">AND(模拟模式!$S$7="日月齐光",OR(C502="赤日轮1",C502="赤日轮2",C502="赤日轮3",CS501),NOT(OR(C502="幽月轮1",C502="幽月轮2",C502="幽月轮3")))</f>
        <v>0</v>
      </c>
      <c r="CT502" s="115">
        <f t="shared" ca="1" si="456"/>
        <v>5.0925000000000118</v>
      </c>
      <c r="CU502" s="115" t="b">
        <f ca="1">AND(模拟模式!$K$10="阴阳往极",CT501=0,RAND()&lt;IF(C502="净世破魔击·月",0.0275*7/3,IF(C502="净世破魔击·日",0.0275*3/3,0.0275*2/3)))</f>
        <v>0</v>
      </c>
      <c r="CV502" s="115">
        <f t="shared" ca="1" si="457"/>
        <v>0</v>
      </c>
      <c r="CW502" s="115">
        <f t="shared" ca="1" si="429"/>
        <v>3.2324999999999995</v>
      </c>
      <c r="CX502" s="115">
        <f t="shared" ca="1" si="430"/>
        <v>1.3874999999999997</v>
      </c>
      <c r="CY502" s="115">
        <f ca="1">MAX(IF($C502="驱夜断愁",IF(模拟模式!$R$7="万念俱寂",6,45),CY501-$F$4),0)</f>
        <v>2.3099999999999996</v>
      </c>
      <c r="CZ502" s="115">
        <f t="shared" ca="1" si="431"/>
        <v>0</v>
      </c>
      <c r="DA502" s="115">
        <f ca="1">IF(模拟模式!$N$7="日月同辉",IF(DB501=2,0,MIN(6,IF(AND(OR(C502="赤日轮1",C502="赤日轮2",C502="赤日轮3",C502="幽月轮1",C502="幽月轮2",C502="幽月轮3"),AB502=1),DA501+1,DA501))),0)</f>
        <v>0</v>
      </c>
      <c r="DB502" s="115">
        <f t="shared" ca="1" si="432"/>
        <v>0</v>
      </c>
      <c r="DC502" s="115"/>
      <c r="DD502" s="115"/>
      <c r="DE502" s="115"/>
      <c r="DF502" s="115"/>
      <c r="DG502" s="115"/>
      <c r="DH502" s="115"/>
      <c r="DI502" s="115"/>
      <c r="DJ502" s="115"/>
      <c r="DK502" s="115"/>
      <c r="DL502" s="115"/>
      <c r="DM502" s="115"/>
    </row>
    <row r="503" spans="2:117" x14ac:dyDescent="0.2">
      <c r="B503" s="117">
        <f t="shared" si="433"/>
        <v>439.1100000000045</v>
      </c>
      <c r="C503" s="167" t="str">
        <f t="shared" ca="1" si="426"/>
        <v>净世破魔击·月</v>
      </c>
      <c r="D503" s="115">
        <f ca="1">IF(C503="赤日轮1",1,IF(C503="赤日轮2",2,IF(C503="赤日轮3",3,IF(C503="幽月轮1",4,IF(C503="幽月轮2",5,IF(C503="幽月轮3",6,IF(C503="烈日斩",7,IF(C503="银月斩",8,IF(C503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503="净世破魔击·月",17,IF(C503="驱夜断愁",18,0)))))))))))</f>
        <v>17</v>
      </c>
      <c r="E503" s="115">
        <f ca="1">IF(AND(CU503,OR(C503="幽月轮1",C503="幽月轮2",C503="幽月轮3",C503="银月斩",C503="驱夜断愁",C503="净世破魔击·月")),100,MIN(IF(OR(CN503,BE503),0,IF(OR($C503="赤日轮1",$C503="赤日轮2",$C503="赤日轮3"),E502+20+IF(模拟模式!$I$7="日月凌天",4,0)+IF(CR502,20,0),IF($C503="烈日斩",E502+40,IF($C503="驱夜断愁",IF(模拟模式!$R$7="万念俱寂",E502+20,E502+60),IF($C503="净世破魔击·月",IF(OR(DB502&gt;0,CV502&gt;0),100,IF(模拟模式!$M$7="辉耀红尘",E502+20,E502)),IF($C503="净世破魔击·日",E502-100,E502)))))),100))</f>
        <v>20</v>
      </c>
      <c r="F503" s="115">
        <f ca="1">IF(AND(CU503,OR(C503="赤日轮1",C503="赤日轮2",C503="赤日轮3",C503="烈日斩",C503="净世破魔击·日")),100,MIN(IF(CO503,0,IF(OR($C503="幽月轮1",$C503="幽月轮2",$C503="幽月轮3"),F502+20+IF(模拟模式!$I$7="日月凌天",4,0)+IF(CS502,20,0),IF($C503="银月斩",F502+40+IF(模拟模式!$X$12=1,5,0),IF($C503="驱夜断愁",IF(模拟模式!$R$7="万念俱寂",F502+20,F502+60),IF($C503="净世破魔击·月",IF(模拟模式!$M$7="辉耀红尘",F502-80,F502-100),IF(AND(C503="净世破魔击·日",OR(DB502&gt;0,CV502&gt;0)),100,F502)))))),100))</f>
        <v>20</v>
      </c>
      <c r="G503" s="117">
        <f ca="1">('模拟-全程加成'!$E$3+'模拟-全程加成'!$E$4+'模拟-全程加成'!$E$5+('模拟-全程加成'!$C$6-'模拟-全程加成'!$C$3)*系数!$B$9+BS503*23)*(1+'模拟-全程加成'!$F$4+'模拟-全程加成'!$F$5+BJ503*10%+BM503*20%+BP503*4%+CG503*30%)+$F$7*系数!$B$12</f>
        <v>20583.127400000001</v>
      </c>
      <c r="H503" s="45">
        <f ca="1">'模拟-全程加成'!$H$3+'模拟-全程加成'!$H$4+'模拟-全程加成'!$H$5+('模拟-全程加成'!$G$4+'模拟-全程加成'!$G$5+('模拟-全程加成'!$C$6-'模拟-全程加成'!$C$3)*系数!$B$13)/系数!$B$3+LOOKUP(D503,'模拟-单技能数据'!$A$2:$A$19,'模拟-单技能数据'!$K$2:$K$19)+BG503*10%+IF(BV503&gt;0,378,0)</f>
        <v>0.54185145527300216</v>
      </c>
      <c r="I503" s="45">
        <f ca="1">'模拟-全程加成'!$J$3+'模拟-全程加成'!$J$4+'模拟-全程加成'!$J$5+('模拟-全程加成'!$I$4+'模拟-全程加成'!$I$5)/系数!$B$4+LOOKUP(D503,'模拟-单技能数据'!$A$2:$A$19,'模拟-单技能数据'!$L$2:$L$19)+BG503*10%</f>
        <v>2.162482885499879</v>
      </c>
      <c r="J503" s="45">
        <f ca="1">(('模拟-全程加成'!$K$3+'模拟-全程加成'!$K$4+'模拟-全程加成'!$K$5+('模拟-全程加成'!$C$6-'模拟-全程加成'!$C$3)*系数!$B$10+IF(BV503&gt;0,882,0)+IF(BY503&gt;0,1831,0))*(1+'模拟-全程加成'!$L$4+'模拟-全程加成'!$L$5+CC503*20%))/系数!$B$5</f>
        <v>0.69723220422048726</v>
      </c>
      <c r="K503" s="119">
        <f ca="1">LOOKUP(D503,'模拟-单技能数据'!$A$2:$A$19,'模拟-单技能数据'!$J$2:$J$19)+IF(CM503,60%,0)+IF(DB502-DB503&gt;0,30%,0)+IF(OR(AND(OR(C503="赤日轮1",C503="赤日轮2",C503="赤日轮3"),CR503),AND(OR(C503="幽月轮1",C503="幽月轮2",C503="幽月轮3"),CS503)),35%,0)+CJ503</f>
        <v>0.2</v>
      </c>
      <c r="L503" s="119">
        <f ca="1">IF(AND(C503="烈日斩",模拟模式!$X$11=1),10%,0)+IF(AND(C503="驱夜断愁",AB503=1),30%,0)</f>
        <v>0</v>
      </c>
      <c r="M503" s="45">
        <f t="shared" ca="1" si="409"/>
        <v>0.54185145527300216</v>
      </c>
      <c r="N503" s="45">
        <f t="shared" ca="1" si="410"/>
        <v>0.40424854472699789</v>
      </c>
      <c r="O503" s="46">
        <f t="shared" ca="1" si="434"/>
        <v>0.26223445949373614</v>
      </c>
      <c r="P503" s="46" t="str">
        <f t="shared" ca="1" si="435"/>
        <v>会</v>
      </c>
      <c r="Q503" s="45">
        <f t="shared" ca="1" si="436"/>
        <v>2.162482885499879</v>
      </c>
      <c r="R503" s="117">
        <f ca="1">模拟模式!$E$20*(1-IF(模拟模式!$J$19="有",0.15,0))*(1-IF(模拟模式!$K$19="有",0.3,0)-IF(CQ503,0.5,0))</f>
        <v>843.02999999999975</v>
      </c>
      <c r="S503" s="45">
        <f ca="1">R503/(R503+(185*模拟模式!$E$22-16800)*4.08224)</f>
        <v>8.389626085980037E-2</v>
      </c>
      <c r="T503" s="45" t="str">
        <f ca="1">LOOKUP(D503,'模拟-单技能数据'!$A$2:$A$19,'模拟-单技能数据'!$H$2:$H$19)</f>
        <v>阴</v>
      </c>
      <c r="U503" s="119">
        <f t="shared" ca="1" si="411"/>
        <v>0.08</v>
      </c>
      <c r="V503" s="47">
        <f ca="1">(1+L503)*(LOOKUP(D503,'模拟-单技能数据'!$A$2:$A$19,'模拟-单技能数据'!$D$2:$D$19)+G503*LOOKUP(D503,'模拟-单技能数据'!$A$2:$A$19,'模拟-单技能数据'!$F$2:$F$19))*(1+J503)*(1+K503)*(1-S503)*(1+U503)*Q503*LOOKUP(D503,'模拟-单技能数据'!$A$2:$A$19,'模拟-单技能数据'!$I$2:$I$20)</f>
        <v>116578.90677476654</v>
      </c>
      <c r="W503" s="47">
        <f ca="1">LOOKUP(D503,'模拟-单技能数据'!$A$2:$A$19,'模拟-单技能数据'!$G$2:$G$19)*$I$10</f>
        <v>361.51064354704795</v>
      </c>
      <c r="X503" s="47">
        <f t="shared" ca="1" si="437"/>
        <v>81668.743085705646</v>
      </c>
      <c r="Y503" s="47">
        <f t="shared" ca="1" si="412"/>
        <v>198609.16050401924</v>
      </c>
      <c r="Z503" s="49">
        <f t="shared" ca="1" si="413"/>
        <v>49999995.658779539</v>
      </c>
      <c r="AA503" s="97">
        <f t="shared" ca="1" si="414"/>
        <v>113866.67499892744</v>
      </c>
      <c r="AB503" s="115">
        <f ca="1">IF(OR(C503="赤日轮1",C503="赤日轮2",C503="赤日轮3"),IF(RAND()&lt;模拟模式!$Y$17,1,0),IF(OR(C503="幽月轮1",C503="幽月轮2",C503="幽月轮3"),IF(RAND()&lt;模拟模式!$Y$18,1,0),IF(C503="烈日斩",IF(RAND()&lt;模拟模式!$Y$19,1,0),IF(C503="银月斩",IF(RAND()&lt;模拟模式!$Y$20,1,0),IF(C503="驱夜断愁",IF(RAND()&lt;模拟模式!$Y$21,1,0),IF(C503="净世破魔击·日",IF(RAND()&lt;模拟模式!$Y$22,1,0),IF(C503="净世破魔击·月",IF(RAND()&lt;模拟模式!$Y$23,1,0),0)))))))</f>
        <v>1</v>
      </c>
      <c r="AC503" s="115" t="b">
        <f t="shared" ca="1" si="402"/>
        <v>0</v>
      </c>
      <c r="AD503" s="115" t="b">
        <f t="shared" ca="1" si="422"/>
        <v>0</v>
      </c>
      <c r="AE503" s="115">
        <f t="shared" ca="1" si="423"/>
        <v>3</v>
      </c>
      <c r="AF503" s="47">
        <f ca="1">IF(AC503,('模拟-单技能数据'!$D$20+G503*'模拟-单技能数据'!$F$20)*(1+J503)*(1+'模拟-单技能数据'!$J$20)*(1+U503),0)</f>
        <v>0</v>
      </c>
      <c r="AG503" s="61">
        <f t="shared" ca="1" si="415"/>
        <v>0.64185145527300214</v>
      </c>
      <c r="AH503" s="61">
        <f t="shared" ca="1" si="416"/>
        <v>2.2624828854998791</v>
      </c>
      <c r="AI503" s="62">
        <f t="shared" ca="1" si="438"/>
        <v>0.45467243113566902</v>
      </c>
      <c r="AJ503" s="47">
        <f ca="1">IF(AD503,IF(AI503&lt;$F$10,0,IF(AI503&lt;$F$10+$F$11,0.25,IF(AI503&lt;$F$10+$F$11+AG503,AH503,1)))*IF(AF503&gt;0,AF503,IF(AF502&gt;0,AF502,IF(AF501&gt;0,AF501,IF(AF500&gt;0,AF500,IF(AF499&gt;0,AF499,IF(AF498&gt;0,AF498,IF(AF497&gt;0,AF497,IF(AF496&gt;0,AF496,IF(AF495&gt;0,AF495,IF(AF493&gt;0,AF493,IF(AF492&gt;0,AF492,IF(AF491&gt;0,AF491,0)))))))))))),0)*(1-$S503)*'模拟-单技能数据'!$I$20</f>
        <v>0</v>
      </c>
      <c r="AK503" s="115" t="b">
        <f t="shared" ca="1" si="403"/>
        <v>0</v>
      </c>
      <c r="AL503" s="115" t="b">
        <f t="shared" ca="1" si="424"/>
        <v>1</v>
      </c>
      <c r="AM503" s="115">
        <f t="shared" ca="1" si="425"/>
        <v>5</v>
      </c>
      <c r="AN503" s="47">
        <f ca="1">IF(AK503,('模拟-单技能数据'!$D$21+G503*'模拟-单技能数据'!$F$21)*(1+J503)*(1+'模拟-单技能数据'!$J$21)*(1+U503),0)</f>
        <v>0</v>
      </c>
      <c r="AO503" s="61">
        <f ca="1">IF(AN503&gt;0,M503-'模拟-单技能数据'!$K$10,AO502)</f>
        <v>0.42185145527300216</v>
      </c>
      <c r="AP503" s="61">
        <f ca="1">IF(AN503&gt;0,I503-'模拟-单技能数据'!$L$10,AP502)</f>
        <v>2.162482885499879</v>
      </c>
      <c r="AQ503" s="63">
        <f t="shared" ca="1" si="439"/>
        <v>0.86794559261697002</v>
      </c>
      <c r="AR503" s="64">
        <f ca="1">IF(AL503,IF(AQ503&lt;$F$10,0,IF(AQ503&lt;$F$10+$F$11,0.25,IF(AQ503&lt;$F$10+$F$11+AO503,AP503,1)))*IF(AN503&gt;0,AN503,IF(AN502&gt;0,AN502,IF(AN501&gt;0,AN501,IF(AN500&gt;0,AN500,IF(AN499&gt;0,AN499,IF(AN498&gt;0,AN498,IF(AN497&gt;0,AN497,IF(AN496&gt;0,AN496,IF(AN495&gt;0,AN495,IF(AN493&gt;0,AN493,IF(AN492&gt;0,AN492,IF(AN491&gt;0,AN491,0)))))))))))),0)*(1-$S503)*'模拟-单技能数据'!$I$21</f>
        <v>11118.353508757338</v>
      </c>
      <c r="AS503" s="61">
        <f ca="1">IF(OR(C503="净世破魔击·日",C503="净世破魔击·月"),M503-'模拟-单技能数据'!$K$10,0)</f>
        <v>0.42185145527300216</v>
      </c>
      <c r="AT503" s="61">
        <f ca="1">IF(OR(C503="净世破魔击·日",C503="净世破魔击·月"),I503-'模拟-单技能数据'!$L$10,0)</f>
        <v>2.162482885499879</v>
      </c>
      <c r="AU503" s="62">
        <f t="shared" ca="1" si="440"/>
        <v>0.21843889224903512</v>
      </c>
      <c r="AV503" s="64">
        <f ca="1">IF(AS503&gt;0,('模拟-单技能数据'!$D$22+G503*'模拟-单技能数据'!$F$22)*(1+J503)*(1-S503)*IF(AU503&lt;$F$10,0,IF(AU503&lt;$F$10+$F$11,0.25,IF(AU503&lt;$F$10+$F$11+AS503,AT503,1)))*(1+U503),0)*'模拟-单技能数据'!$I$22</f>
        <v>16520.1836685288</v>
      </c>
      <c r="AW503" s="108">
        <f t="shared" ca="1" si="441"/>
        <v>19.077500000000001</v>
      </c>
      <c r="AX503" s="108" t="b">
        <f ca="1">AND(模拟模式!$P$10="有",AW502=0,RAND()&lt;IF(C503="净世破魔击·月",0.1*8/3,IF(C503="净世破魔击·日",0.1*4/3,0.1*2/3)))</f>
        <v>1</v>
      </c>
      <c r="AY503" s="47">
        <f ca="1">IF(AX503,(18+G503*0.722)*(1+J503)*(1-S503)*(1+$I$4)*IF(P503="会",'模拟-全程加成'!$J$3+'模拟-全程加成'!$J$4+'模拟-全程加成'!$J$5+('模拟-全程加成'!$I$4+'模拟-全程加成'!$I$5)/系数!$B$4+BG503*10%,IF(P503="命",1,IF(P503="识",0.25,0))),0)</f>
        <v>54030.205908419506</v>
      </c>
      <c r="AZ503" s="108">
        <f t="shared" si="442"/>
        <v>7.0850000000000071</v>
      </c>
      <c r="BA503" s="108" t="b">
        <f>AND(模拟模式!$Q$10="有",AZ502=0)</f>
        <v>0</v>
      </c>
      <c r="BB503" s="140">
        <f>IF(BA503,(0+G503*0.287)*(1+J503)*(1-S503)*(1+$I$4)*IF(P503="会",'模拟-全程加成'!$J$3+'模拟-全程加成'!$J$4+'模拟-全程加成'!$J$5+('模拟-全程加成'!$I$4+'模拟-全程加成'!$I$5)/系数!$B$4+BG503*10%,IF(P503="命",1,IF(P503="识",0.25,0))),0)</f>
        <v>0</v>
      </c>
      <c r="BC503" s="115" t="b">
        <f ca="1">AND(模拟模式!$R$7="伏明众生",E503=60,F503=20,DA503&lt;5,CZ502&lt;$F$4)</f>
        <v>0</v>
      </c>
      <c r="BD503" s="115">
        <f t="shared" ca="1" si="404"/>
        <v>0</v>
      </c>
      <c r="BE503" s="115" t="b">
        <f t="shared" ca="1" si="405"/>
        <v>0</v>
      </c>
      <c r="BF503" s="47">
        <f ca="1">IF(BC503,4*('模拟-单技能数据'!$D$24+G503*'模拟-单技能数据'!$F$24)*(1+J503)*(1+'模拟-单技能数据'!$J$24)*(1-S503)*(1+$I$3)*(('模拟-全程加成'!$J$3+'模拟-全程加成'!$J$4+'模拟-全程加成'!$J$5+('模拟-全程加成'!$I$4+'模拟-全程加成'!$I$5)/系数!$B$4+BG503*10%)*('模拟-全程加成'!$J$3+'模拟-全程加成'!$J$4+'模拟-全程加成'!$J$5+('模拟-全程加成'!$I$4+'模拟-全程加成'!$I$5)/系数!$B$4+BG503*10%)+(1-('模拟-全程加成'!$J$3+'模拟-全程加成'!$J$4+'模拟-全程加成'!$J$5+('模拟-全程加成'!$I$4+'模拟-全程加成'!$I$5)/系数!$B$4+BG503*10%)-$F$10-$F$11)+F489*0.25),0)*'模拟-单技能数据'!$I$24</f>
        <v>0</v>
      </c>
      <c r="BG503" s="115" t="b">
        <f ca="1">OR(AND(OR(C503="烈日斩",C503="银月斩"),模拟模式!$I$7="净身明礼"),AND(C503="净世破魔击·日",模拟模式!$J$7="洞若观火"),AND(C504="净世破魔击·月",模拟模式!$J$7="洞若观火"),AB503=1)</f>
        <v>1</v>
      </c>
      <c r="BH503" s="115" t="b">
        <f t="shared" ca="1" si="443"/>
        <v>0</v>
      </c>
      <c r="BI503" s="115">
        <f t="shared" ca="1" si="406"/>
        <v>0</v>
      </c>
      <c r="BJ503" s="115" t="b">
        <f t="shared" ca="1" si="417"/>
        <v>0</v>
      </c>
      <c r="BK503" s="115" t="b">
        <f ca="1">AND(C503="驱夜断愁",模拟模式!$P$7="天地诛戮")</f>
        <v>0</v>
      </c>
      <c r="BL503" s="57">
        <f t="shared" ca="1" si="407"/>
        <v>15.387500000000003</v>
      </c>
      <c r="BM503" s="115" t="b">
        <f t="shared" ca="1" si="418"/>
        <v>1</v>
      </c>
      <c r="BN503" s="115" t="b">
        <f ca="1">AND(OR(C503="赤日轮1",C503="赤日轮2",C503="赤日轮3",C503="幽月轮1",C503="幽月轮2",C503="幽月轮3"),AB503=1,模拟模式!$L$7="明光恒照")</f>
        <v>0</v>
      </c>
      <c r="BO503" s="117">
        <f t="shared" ca="1" si="408"/>
        <v>27.232500000000002</v>
      </c>
      <c r="BP503" s="115">
        <f t="shared" ca="1" si="444"/>
        <v>6</v>
      </c>
      <c r="BQ503" s="115" t="b">
        <f>模拟模式!$K$10="2600·水"</f>
        <v>0</v>
      </c>
      <c r="BR503" s="117">
        <f t="shared" si="445"/>
        <v>0</v>
      </c>
      <c r="BS503" s="115">
        <f t="shared" si="446"/>
        <v>0</v>
      </c>
      <c r="BT503" s="115">
        <f t="shared" ca="1" si="447"/>
        <v>0</v>
      </c>
      <c r="BU503" s="115" t="b">
        <f ca="1">AND(模拟模式!$K$10="2300·雷",BT502=0,RAND()&lt;IF(C503="净世破魔击·月",5*0.05*2/3,IF(C503="净世破魔击·日",3*0.05*2/3,0.05*2*2/3)))</f>
        <v>0</v>
      </c>
      <c r="BV503" s="115">
        <f t="shared" ca="1" si="448"/>
        <v>0</v>
      </c>
      <c r="BW503" s="115">
        <f t="shared" ca="1" si="449"/>
        <v>116.34749999999924</v>
      </c>
      <c r="BX503" s="164" t="b">
        <f t="shared" ca="1" si="450"/>
        <v>0</v>
      </c>
      <c r="BY503" s="115">
        <f t="shared" ca="1" si="451"/>
        <v>0</v>
      </c>
      <c r="BZ503" s="115">
        <f>IF(OR(模拟模式!$P$16="10人团",模拟模式!$P$16="25人团"),IF(B503/30&gt;CA502,1,0),0)</f>
        <v>0</v>
      </c>
      <c r="CA503" s="115">
        <f t="shared" si="427"/>
        <v>0</v>
      </c>
      <c r="CB503" s="115">
        <f ca="1">IF(BZ503=1,IF(模拟模式!$P$16="10人团",15,0)+IF(模拟模式!$P$16="25人团",IF(RAND()&lt;0.6,15,0)),MAX(0,CB502-$F$4))</f>
        <v>0</v>
      </c>
      <c r="CC503" s="115" t="b">
        <f t="shared" ca="1" si="419"/>
        <v>0</v>
      </c>
      <c r="CD503" s="115">
        <f>IF(模拟模式!$Q$16="1个",IF(B503/40&gt;CE502,1,0),0)</f>
        <v>0</v>
      </c>
      <c r="CE503" s="115">
        <f t="shared" si="420"/>
        <v>0</v>
      </c>
      <c r="CF503" s="115">
        <f>IF(OR(CD503=1,模拟模式!$Q$16="2个"),20,MAX(0,CF502-$F$4))</f>
        <v>0</v>
      </c>
      <c r="CG503" s="115" t="b">
        <f t="shared" si="421"/>
        <v>0</v>
      </c>
      <c r="CH503" s="115">
        <f t="shared" ca="1" si="452"/>
        <v>6.0150000000000121</v>
      </c>
      <c r="CI503" s="115" t="b">
        <f t="shared" ca="1" si="453"/>
        <v>0</v>
      </c>
      <c r="CJ503" s="119">
        <f t="shared" ca="1" si="454"/>
        <v>0</v>
      </c>
      <c r="CK503" s="115">
        <f t="shared" ca="1" si="455"/>
        <v>0</v>
      </c>
      <c r="CL503" s="115" t="b">
        <f ca="1">AND(模拟模式!$S$7="驱夷逐法",OR(AND(C503="净世破魔击·月",E502&gt;59),AND(C503="净世破魔击·日",F502&gt;59)))</f>
        <v>0</v>
      </c>
      <c r="CM503" s="115" t="b">
        <f ca="1">OR(CL503,AND(C503="净世破魔击·日",CL502,RAND()&lt;模拟模式!$U$23))</f>
        <v>0</v>
      </c>
      <c r="CN503" s="115" t="b">
        <f ca="1">IF(模拟模式!$M$7="辉耀红尘",AND(C503="净世破魔击·月",CL503,CV503=0,E502&lt;80),AND(C503="净世破魔击·月",CL503,E502&lt;100))</f>
        <v>0</v>
      </c>
      <c r="CO503" s="115" t="b">
        <f t="shared" ca="1" si="428"/>
        <v>0</v>
      </c>
      <c r="CP503" s="115" t="b">
        <f ca="1">AND(模拟模式!$O$7="用晦而明",OR(C503="净世破魔击·日",C503="净世破魔击·月",C503="驱夜断愁"),AB503)</f>
        <v>1</v>
      </c>
      <c r="CQ503" s="115" t="b">
        <f ca="1">OR(CP503,AND(CP502,RAND()&lt;模拟模式!$U$23))</f>
        <v>1</v>
      </c>
      <c r="CR503" s="115" t="b">
        <f ca="1">AND(模拟模式!$S$7="日月齐光",OR(C503="幽月轮1",C503="幽月轮2",C503="幽月轮3",CR502),NOT(OR(C503="赤日轮1",C503="赤日轮2",C503="赤日轮3")))</f>
        <v>0</v>
      </c>
      <c r="CS503" s="115" t="b">
        <f ca="1">AND(模拟模式!$S$7="日月齐光",OR(C503="赤日轮1",C503="赤日轮2",C503="赤日轮3",CS502),NOT(OR(C503="幽月轮1",C503="幽月轮2",C503="幽月轮3")))</f>
        <v>0</v>
      </c>
      <c r="CT503" s="115">
        <f t="shared" ca="1" si="456"/>
        <v>4.1700000000000115</v>
      </c>
      <c r="CU503" s="115" t="b">
        <f ca="1">AND(模拟模式!$K$10="阴阳往极",CT502=0,RAND()&lt;IF(C503="净世破魔击·月",0.0275*7/3,IF(C503="净世破魔击·日",0.0275*3/3,0.0275*2/3)))</f>
        <v>0</v>
      </c>
      <c r="CV503" s="115">
        <f t="shared" ca="1" si="457"/>
        <v>0</v>
      </c>
      <c r="CW503" s="115">
        <f t="shared" ca="1" si="429"/>
        <v>2.3099999999999996</v>
      </c>
      <c r="CX503" s="115">
        <f t="shared" ca="1" si="430"/>
        <v>0.46499999999999975</v>
      </c>
      <c r="CY503" s="115">
        <f ca="1">MAX(IF($C503="驱夜断愁",IF(模拟模式!$R$7="万念俱寂",6,45),CY502-$F$4),0)</f>
        <v>1.3874999999999997</v>
      </c>
      <c r="CZ503" s="115">
        <f t="shared" ca="1" si="431"/>
        <v>0</v>
      </c>
      <c r="DA503" s="115">
        <f ca="1">IF(模拟模式!$N$7="日月同辉",IF(DB502=2,0,MIN(6,IF(AND(OR(C503="赤日轮1",C503="赤日轮2",C503="赤日轮3",C503="幽月轮1",C503="幽月轮2",C503="幽月轮3"),AB503=1),DA502+1,DA502))),0)</f>
        <v>0</v>
      </c>
      <c r="DB503" s="115">
        <f t="shared" ca="1" si="432"/>
        <v>0</v>
      </c>
      <c r="DC503" s="115"/>
      <c r="DD503" s="115"/>
      <c r="DE503" s="115"/>
      <c r="DF503" s="115"/>
      <c r="DG503" s="115"/>
      <c r="DH503" s="115"/>
      <c r="DI503" s="115"/>
      <c r="DJ503" s="115"/>
      <c r="DK503" s="115"/>
      <c r="DL503" s="115"/>
      <c r="DM503" s="115"/>
    </row>
    <row r="504" spans="2:117" x14ac:dyDescent="0.2">
      <c r="B504" s="117">
        <f t="shared" si="433"/>
        <v>440.03250000000452</v>
      </c>
      <c r="C504" s="167" t="str">
        <f t="shared" ca="1" si="426"/>
        <v>银月斩</v>
      </c>
      <c r="D504" s="115">
        <f ca="1">IF(C504="赤日轮1",1,IF(C504="赤日轮2",2,IF(C504="赤日轮3",3,IF(C504="幽月轮1",4,IF(C504="幽月轮2",5,IF(C504="幽月轮3",6,IF(C504="烈日斩",7,IF(C504="银月斩",8,IF(C504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504="净世破魔击·月",17,IF(C504="驱夜断愁",18,0)))))))))))</f>
        <v>8</v>
      </c>
      <c r="E504" s="115">
        <f ca="1">IF(AND(CU504,OR(C504="幽月轮1",C504="幽月轮2",C504="幽月轮3",C504="银月斩",C504="驱夜断愁",C504="净世破魔击·月")),100,MIN(IF(OR(CN504,BE504),0,IF(OR($C504="赤日轮1",$C504="赤日轮2",$C504="赤日轮3"),E503+20+IF(模拟模式!$I$7="日月凌天",4,0)+IF(CR503,20,0),IF($C504="烈日斩",E503+40,IF($C504="驱夜断愁",IF(模拟模式!$R$7="万念俱寂",E503+20,E503+60),IF($C504="净世破魔击·月",IF(OR(DB503&gt;0,CV503&gt;0),100,IF(模拟模式!$M$7="辉耀红尘",E503+20,E503)),IF($C504="净世破魔击·日",E503-100,E503)))))),100))</f>
        <v>20</v>
      </c>
      <c r="F504" s="115">
        <f ca="1">IF(AND(CU504,OR(C504="赤日轮1",C504="赤日轮2",C504="赤日轮3",C504="烈日斩",C504="净世破魔击·日")),100,MIN(IF(CO504,0,IF(OR($C504="幽月轮1",$C504="幽月轮2",$C504="幽月轮3"),F503+20+IF(模拟模式!$I$7="日月凌天",4,0)+IF(CS503,20,0),IF($C504="银月斩",F503+40+IF(模拟模式!$X$12=1,5,0),IF($C504="驱夜断愁",IF(模拟模式!$R$7="万念俱寂",F503+20,F503+60),IF($C504="净世破魔击·月",IF(模拟模式!$M$7="辉耀红尘",F503-80,F503-100),IF(AND(C504="净世破魔击·日",OR(DB503&gt;0,CV503&gt;0)),100,F503)))))),100))</f>
        <v>65</v>
      </c>
      <c r="G504" s="117">
        <f ca="1">('模拟-全程加成'!$E$3+'模拟-全程加成'!$E$4+'模拟-全程加成'!$E$5+('模拟-全程加成'!$C$6-'模拟-全程加成'!$C$3)*系数!$B$9+BS504*23)*(1+'模拟-全程加成'!$F$4+'模拟-全程加成'!$F$5+BJ504*10%+BM504*20%+BP504*4%+CG504*30%)+$F$7*系数!$B$12</f>
        <v>20583.127400000001</v>
      </c>
      <c r="H504" s="45">
        <f ca="1">'模拟-全程加成'!$H$3+'模拟-全程加成'!$H$4+'模拟-全程加成'!$H$5+('模拟-全程加成'!$G$4+'模拟-全程加成'!$G$5+('模拟-全程加成'!$C$6-'模拟-全程加成'!$C$3)*系数!$B$13)/系数!$B$3+LOOKUP(D504,'模拟-单技能数据'!$A$2:$A$19,'模拟-单技能数据'!$K$2:$K$19)+BG504*10%+IF(BV504&gt;0,378,0)</f>
        <v>0.64185145527300214</v>
      </c>
      <c r="I504" s="45">
        <f ca="1">'模拟-全程加成'!$J$3+'模拟-全程加成'!$J$4+'模拟-全程加成'!$J$5+('模拟-全程加成'!$I$4+'模拟-全程加成'!$I$5)/系数!$B$4+LOOKUP(D504,'模拟-单技能数据'!$A$2:$A$19,'模拟-单技能数据'!$L$2:$L$19)+BG504*10%</f>
        <v>2.2624828854998791</v>
      </c>
      <c r="J504" s="45">
        <f ca="1">(('模拟-全程加成'!$K$3+'模拟-全程加成'!$K$4+'模拟-全程加成'!$K$5+('模拟-全程加成'!$C$6-'模拟-全程加成'!$C$3)*系数!$B$10+IF(BV504&gt;0,882,0)+IF(BY504&gt;0,1831,0))*(1+'模拟-全程加成'!$L$4+'模拟-全程加成'!$L$5+CC504*20%))/系数!$B$5</f>
        <v>0.69723220422048726</v>
      </c>
      <c r="K504" s="119">
        <f ca="1">LOOKUP(D504,'模拟-单技能数据'!$A$2:$A$19,'模拟-单技能数据'!$J$2:$J$19)+IF(CM504,60%,0)+IF(DB503-DB504&gt;0,30%,0)+IF(OR(AND(OR(C504="赤日轮1",C504="赤日轮2",C504="赤日轮3"),CR504),AND(OR(C504="幽月轮1",C504="幽月轮2",C504="幽月轮3"),CS504)),35%,0)+CJ504</f>
        <v>0.15</v>
      </c>
      <c r="L504" s="119">
        <f ca="1">IF(AND(C504="烈日斩",模拟模式!$X$11=1),10%,0)+IF(AND(C504="驱夜断愁",AB504=1),30%,0)</f>
        <v>0</v>
      </c>
      <c r="M504" s="45">
        <f t="shared" ca="1" si="409"/>
        <v>0.64185145527300214</v>
      </c>
      <c r="N504" s="45">
        <f t="shared" ca="1" si="410"/>
        <v>0.30424854472699792</v>
      </c>
      <c r="O504" s="46">
        <f t="shared" ca="1" si="434"/>
        <v>0.42308157032803773</v>
      </c>
      <c r="P504" s="46" t="str">
        <f t="shared" ca="1" si="435"/>
        <v>会</v>
      </c>
      <c r="Q504" s="45">
        <f t="shared" ca="1" si="436"/>
        <v>2.2624828854998791</v>
      </c>
      <c r="R504" s="117">
        <f ca="1">模拟模式!$E$20*(1-IF(模拟模式!$J$19="有",0.15,0))*(1-IF(模拟模式!$K$19="有",0.3,0)-IF(CQ504,0.5,0))</f>
        <v>843.02999999999975</v>
      </c>
      <c r="S504" s="45">
        <f ca="1">R504/(R504+(185*模拟模式!$E$22-16800)*4.08224)</f>
        <v>8.389626085980037E-2</v>
      </c>
      <c r="T504" s="45" t="str">
        <f ca="1">LOOKUP(D504,'模拟-单技能数据'!$A$2:$A$19,'模拟-单技能数据'!$H$2:$H$19)</f>
        <v>阴</v>
      </c>
      <c r="U504" s="119">
        <f t="shared" ca="1" si="411"/>
        <v>0.08</v>
      </c>
      <c r="V504" s="47">
        <f ca="1">(1+L504)*(LOOKUP(D504,'模拟-单技能数据'!$A$2:$A$19,'模拟-单技能数据'!$D$2:$D$19)+G504*LOOKUP(D504,'模拟-单技能数据'!$A$2:$A$19,'模拟-单技能数据'!$F$2:$F$19))*(1+J504)*(1+K504)*(1-S504)*(1+U504)*Q504*LOOKUP(D504,'模拟-单技能数据'!$A$2:$A$19,'模拟-单技能数据'!$I$2:$I$20)</f>
        <v>47762.146138749486</v>
      </c>
      <c r="W504" s="47">
        <f ca="1">LOOKUP(D504,'模拟-单技能数据'!$A$2:$A$19,'模拟-单技能数据'!$G$2:$G$19)*$I$10</f>
        <v>361.51064354704795</v>
      </c>
      <c r="X504" s="47">
        <f t="shared" ca="1" si="437"/>
        <v>9218.9345386263849</v>
      </c>
      <c r="Y504" s="47">
        <f t="shared" ca="1" si="412"/>
        <v>57342.591320922918</v>
      </c>
      <c r="Z504" s="49">
        <f t="shared" ca="1" si="413"/>
        <v>50057338.250100464</v>
      </c>
      <c r="AA504" s="97">
        <f t="shared" ca="1" si="414"/>
        <v>113758.27524126048</v>
      </c>
      <c r="AB504" s="115">
        <f ca="1">IF(OR(C504="赤日轮1",C504="赤日轮2",C504="赤日轮3"),IF(RAND()&lt;模拟模式!$Y$17,1,0),IF(OR(C504="幽月轮1",C504="幽月轮2",C504="幽月轮3"),IF(RAND()&lt;模拟模式!$Y$18,1,0),IF(C504="烈日斩",IF(RAND()&lt;模拟模式!$Y$19,1,0),IF(C504="银月斩",IF(RAND()&lt;模拟模式!$Y$20,1,0),IF(C504="驱夜断愁",IF(RAND()&lt;模拟模式!$Y$21,1,0),IF(C504="净世破魔击·日",IF(RAND()&lt;模拟模式!$Y$22,1,0),IF(C504="净世破魔击·月",IF(RAND()&lt;模拟模式!$Y$23,1,0),0)))))))</f>
        <v>1</v>
      </c>
      <c r="AC504" s="115" t="b">
        <f t="shared" ca="1" si="402"/>
        <v>1</v>
      </c>
      <c r="AD504" s="115" t="b">
        <f t="shared" ca="1" si="422"/>
        <v>1</v>
      </c>
      <c r="AE504" s="115">
        <f t="shared" ca="1" si="423"/>
        <v>5</v>
      </c>
      <c r="AF504" s="47">
        <f ca="1">IF(AC504,('模拟-单技能数据'!$D$20+G504*'模拟-单技能数据'!$F$20)*(1+J504)*(1+'模拟-单技能数据'!$J$20)*(1+U504),0)</f>
        <v>4447.8565560098323</v>
      </c>
      <c r="AG504" s="61">
        <f t="shared" ca="1" si="415"/>
        <v>0.64185145527300214</v>
      </c>
      <c r="AH504" s="61">
        <f t="shared" ca="1" si="416"/>
        <v>2.2624828854998791</v>
      </c>
      <c r="AI504" s="62">
        <f t="shared" ca="1" si="438"/>
        <v>0.42407199121715711</v>
      </c>
      <c r="AJ504" s="47">
        <f ca="1">IF(AD504,IF(AI504&lt;$F$10,0,IF(AI504&lt;$F$10+$F$11,0.25,IF(AI504&lt;$F$10+$F$11+AG504,AH504,1)))*IF(AF504&gt;0,AF504,IF(AF503&gt;0,AF503,IF(AF502&gt;0,AF502,IF(AF501&gt;0,AF501,IF(AF500&gt;0,AF500,IF(AF499&gt;0,AF499,IF(AF498&gt;0,AF498,IF(AF497&gt;0,AF497,IF(AF496&gt;0,AF496,IF(AF494&gt;0,AF494,IF(AF493&gt;0,AF493,IF(AF492&gt;0,AF492,0)))))))))))),0)*(1-$S504)*'模拟-单技能数据'!$I$20</f>
        <v>9218.9345386263849</v>
      </c>
      <c r="AK504" s="115" t="b">
        <f t="shared" ca="1" si="403"/>
        <v>0</v>
      </c>
      <c r="AL504" s="115" t="b">
        <f t="shared" ca="1" si="424"/>
        <v>0</v>
      </c>
      <c r="AM504" s="115">
        <f t="shared" ca="1" si="425"/>
        <v>5</v>
      </c>
      <c r="AN504" s="47">
        <f ca="1">IF(AK504,('模拟-单技能数据'!$D$21+G504*'模拟-单技能数据'!$F$21)*(1+J504)*(1+'模拟-单技能数据'!$J$21)*(1+U504),0)</f>
        <v>0</v>
      </c>
      <c r="AO504" s="61">
        <f ca="1">IF(AN504&gt;0,M504-'模拟-单技能数据'!$K$10,AO503)</f>
        <v>0.42185145527300216</v>
      </c>
      <c r="AP504" s="61">
        <f ca="1">IF(AN504&gt;0,I504-'模拟-单技能数据'!$L$10,AP503)</f>
        <v>2.162482885499879</v>
      </c>
      <c r="AQ504" s="63">
        <f t="shared" ca="1" si="439"/>
        <v>9.2479958324166667E-2</v>
      </c>
      <c r="AR504" s="64">
        <f ca="1">IF(AL504,IF(AQ504&lt;$F$10,0,IF(AQ504&lt;$F$10+$F$11,0.25,IF(AQ504&lt;$F$10+$F$11+AO504,AP504,1)))*IF(AN504&gt;0,AN504,IF(AN503&gt;0,AN503,IF(AN502&gt;0,AN502,IF(AN501&gt;0,AN501,IF(AN500&gt;0,AN500,IF(AN499&gt;0,AN499,IF(AN498&gt;0,AN498,IF(AN497&gt;0,AN497,IF(AN496&gt;0,AN496,IF(AN494&gt;0,AN494,IF(AN493&gt;0,AN493,IF(AN492&gt;0,AN492,0)))))))))))),0)*(1-$S504)*'模拟-单技能数据'!$I$21</f>
        <v>0</v>
      </c>
      <c r="AS504" s="61">
        <f ca="1">IF(OR(C504="净世破魔击·日",C504="净世破魔击·月"),M504-'模拟-单技能数据'!$K$10,0)</f>
        <v>0</v>
      </c>
      <c r="AT504" s="61">
        <f ca="1">IF(OR(C504="净世破魔击·日",C504="净世破魔击·月"),I504-'模拟-单技能数据'!$L$10,0)</f>
        <v>0</v>
      </c>
      <c r="AU504" s="62">
        <f t="shared" ca="1" si="440"/>
        <v>0.7505687163213467</v>
      </c>
      <c r="AV504" s="64">
        <f ca="1">IF(AS504&gt;0,('模拟-单技能数据'!$D$22+G504*'模拟-单技能数据'!$F$22)*(1+J504)*(1-S504)*IF(AU504&lt;$F$10,0,IF(AU504&lt;$F$10+$F$11,0.25,IF(AU504&lt;$F$10+$F$11+AS504,AT504,1)))*(1+U504),0)*'模拟-单技能数据'!$I$22</f>
        <v>0</v>
      </c>
      <c r="AW504" s="108">
        <f t="shared" ca="1" si="441"/>
        <v>18.155000000000001</v>
      </c>
      <c r="AX504" s="108" t="b">
        <f ca="1">AND(模拟模式!$P$10="有",AW503=0,RAND()&lt;IF(C504="净世破魔击·月",0.1*8/3,IF(C504="净世破魔击·日",0.1*4/3,0.1*2/3)))</f>
        <v>0</v>
      </c>
      <c r="AY504" s="47">
        <f ca="1">IF(AX504,(18+G504*0.722)*(1+J504)*(1-S504)*(1+$I$4)*IF(P504="会",'模拟-全程加成'!$J$3+'模拟-全程加成'!$J$4+'模拟-全程加成'!$J$5+('模拟-全程加成'!$I$4+'模拟-全程加成'!$I$5)/系数!$B$4+BG504*10%,IF(P504="命",1,IF(P504="识",0.25,0))),0)</f>
        <v>0</v>
      </c>
      <c r="AZ504" s="108">
        <f t="shared" si="442"/>
        <v>6.1625000000000068</v>
      </c>
      <c r="BA504" s="108" t="b">
        <f>AND(模拟模式!$Q$10="有",AZ503=0)</f>
        <v>0</v>
      </c>
      <c r="BB504" s="140">
        <f>IF(BA504,(0+G504*0.287)*(1+J504)*(1-S504)*(1+$I$4)*IF(P504="会",'模拟-全程加成'!$J$3+'模拟-全程加成'!$J$4+'模拟-全程加成'!$J$5+('模拟-全程加成'!$I$4+'模拟-全程加成'!$I$5)/系数!$B$4+BG504*10%,IF(P504="命",1,IF(P504="识",0.25,0))),0)</f>
        <v>0</v>
      </c>
      <c r="BC504" s="115" t="b">
        <f ca="1">AND(模拟模式!$R$7="伏明众生",E504=60,F504=20,DA504&lt;5,CZ503&lt;$F$4)</f>
        <v>0</v>
      </c>
      <c r="BD504" s="115">
        <f t="shared" ca="1" si="404"/>
        <v>0</v>
      </c>
      <c r="BE504" s="115" t="b">
        <f t="shared" ca="1" si="405"/>
        <v>0</v>
      </c>
      <c r="BF504" s="47">
        <f ca="1">IF(BC504,4*('模拟-单技能数据'!$D$24+G504*'模拟-单技能数据'!$F$24)*(1+J504)*(1+'模拟-单技能数据'!$J$24)*(1-S504)*(1+$I$3)*(('模拟-全程加成'!$J$3+'模拟-全程加成'!$J$4+'模拟-全程加成'!$J$5+('模拟-全程加成'!$I$4+'模拟-全程加成'!$I$5)/系数!$B$4+BG504*10%)*('模拟-全程加成'!$J$3+'模拟-全程加成'!$J$4+'模拟-全程加成'!$J$5+('模拟-全程加成'!$I$4+'模拟-全程加成'!$I$5)/系数!$B$4+BG504*10%)+(1-('模拟-全程加成'!$J$3+'模拟-全程加成'!$J$4+'模拟-全程加成'!$J$5+('模拟-全程加成'!$I$4+'模拟-全程加成'!$I$5)/系数!$B$4+BG504*10%)-$F$10-$F$11)+F490*0.25),0)*'模拟-单技能数据'!$I$24</f>
        <v>0</v>
      </c>
      <c r="BG504" s="115" t="b">
        <f ca="1">OR(AND(OR(C504="烈日斩",C504="银月斩"),模拟模式!$I$7="净身明礼"),AND(C504="净世破魔击·日",模拟模式!$J$7="洞若观火"),AND(C505="净世破魔击·月",模拟模式!$J$7="洞若观火"),AB504=1)</f>
        <v>1</v>
      </c>
      <c r="BH504" s="115" t="b">
        <f t="shared" ca="1" si="443"/>
        <v>0</v>
      </c>
      <c r="BI504" s="115">
        <f t="shared" ca="1" si="406"/>
        <v>0</v>
      </c>
      <c r="BJ504" s="115" t="b">
        <f t="shared" ca="1" si="417"/>
        <v>0</v>
      </c>
      <c r="BK504" s="115" t="b">
        <f ca="1">AND(C504="驱夜断愁",模拟模式!$P$7="天地诛戮")</f>
        <v>0</v>
      </c>
      <c r="BL504" s="57">
        <f t="shared" ca="1" si="407"/>
        <v>14.465000000000003</v>
      </c>
      <c r="BM504" s="115" t="b">
        <f t="shared" ca="1" si="418"/>
        <v>1</v>
      </c>
      <c r="BN504" s="115" t="b">
        <f ca="1">AND(OR(C504="赤日轮1",C504="赤日轮2",C504="赤日轮3",C504="幽月轮1",C504="幽月轮2",C504="幽月轮3"),AB504=1,模拟模式!$L$7="明光恒照")</f>
        <v>0</v>
      </c>
      <c r="BO504" s="117">
        <f t="shared" ca="1" si="408"/>
        <v>26.310000000000002</v>
      </c>
      <c r="BP504" s="115">
        <f t="shared" ca="1" si="444"/>
        <v>6</v>
      </c>
      <c r="BQ504" s="115" t="b">
        <f>模拟模式!$K$10="2600·水"</f>
        <v>0</v>
      </c>
      <c r="BR504" s="117">
        <f t="shared" si="445"/>
        <v>0</v>
      </c>
      <c r="BS504" s="115">
        <f t="shared" si="446"/>
        <v>0</v>
      </c>
      <c r="BT504" s="115">
        <f t="shared" ca="1" si="447"/>
        <v>0</v>
      </c>
      <c r="BU504" s="115" t="b">
        <f ca="1">AND(模拟模式!$K$10="2300·雷",BT503=0,RAND()&lt;IF(C504="净世破魔击·月",5*0.05*2/3,IF(C504="净世破魔击·日",3*0.05*2/3,0.05*2*2/3)))</f>
        <v>0</v>
      </c>
      <c r="BV504" s="115">
        <f t="shared" ca="1" si="448"/>
        <v>0</v>
      </c>
      <c r="BW504" s="115">
        <f t="shared" ca="1" si="449"/>
        <v>115.42499999999924</v>
      </c>
      <c r="BX504" s="164" t="b">
        <f t="shared" ca="1" si="450"/>
        <v>0</v>
      </c>
      <c r="BY504" s="115">
        <f t="shared" ca="1" si="451"/>
        <v>0</v>
      </c>
      <c r="BZ504" s="115">
        <f>IF(OR(模拟模式!$P$16="10人团",模拟模式!$P$16="25人团"),IF(B504/30&gt;CA503,1,0),0)</f>
        <v>0</v>
      </c>
      <c r="CA504" s="115">
        <f t="shared" si="427"/>
        <v>0</v>
      </c>
      <c r="CB504" s="115">
        <f ca="1">IF(BZ504=1,IF(模拟模式!$P$16="10人团",15,0)+IF(模拟模式!$P$16="25人团",IF(RAND()&lt;0.6,15,0)),MAX(0,CB503-$F$4))</f>
        <v>0</v>
      </c>
      <c r="CC504" s="115" t="b">
        <f t="shared" ca="1" si="419"/>
        <v>0</v>
      </c>
      <c r="CD504" s="115">
        <f>IF(模拟模式!$Q$16="1个",IF(B504/40&gt;CE503,1,0),0)</f>
        <v>0</v>
      </c>
      <c r="CE504" s="115">
        <f t="shared" si="420"/>
        <v>0</v>
      </c>
      <c r="CF504" s="115">
        <f>IF(OR(CD504=1,模拟模式!$Q$16="2个"),20,MAX(0,CF503-$F$4))</f>
        <v>0</v>
      </c>
      <c r="CG504" s="115" t="b">
        <f t="shared" si="421"/>
        <v>0</v>
      </c>
      <c r="CH504" s="115">
        <f t="shared" ca="1" si="452"/>
        <v>5.0925000000000118</v>
      </c>
      <c r="CI504" s="115" t="b">
        <f t="shared" ca="1" si="453"/>
        <v>0</v>
      </c>
      <c r="CJ504" s="119">
        <f t="shared" ca="1" si="454"/>
        <v>0</v>
      </c>
      <c r="CK504" s="115">
        <f t="shared" ca="1" si="455"/>
        <v>0</v>
      </c>
      <c r="CL504" s="115" t="b">
        <f ca="1">AND(模拟模式!$S$7="驱夷逐法",OR(AND(C504="净世破魔击·月",E503&gt;59),AND(C504="净世破魔击·日",F503&gt;59)))</f>
        <v>0</v>
      </c>
      <c r="CM504" s="115" t="b">
        <f ca="1">OR(CL504,AND(C504="净世破魔击·日",CL503,RAND()&lt;模拟模式!$U$23))</f>
        <v>0</v>
      </c>
      <c r="CN504" s="115" t="b">
        <f ca="1">IF(模拟模式!$M$7="辉耀红尘",AND(C504="净世破魔击·月",CL504,CV504=0,E503&lt;80),AND(C504="净世破魔击·月",CL504,E503&lt;100))</f>
        <v>0</v>
      </c>
      <c r="CO504" s="115" t="b">
        <f t="shared" ca="1" si="428"/>
        <v>0</v>
      </c>
      <c r="CP504" s="115" t="b">
        <f ca="1">AND(模拟模式!$O$7="用晦而明",OR(C504="净世破魔击·日",C504="净世破魔击·月",C504="驱夜断愁"),AB504)</f>
        <v>0</v>
      </c>
      <c r="CQ504" s="115" t="b">
        <f ca="1">OR(CP504,AND(CP503,RAND()&lt;模拟模式!$U$23))</f>
        <v>1</v>
      </c>
      <c r="CR504" s="115" t="b">
        <f ca="1">AND(模拟模式!$S$7="日月齐光",OR(C504="幽月轮1",C504="幽月轮2",C504="幽月轮3",CR503),NOT(OR(C504="赤日轮1",C504="赤日轮2",C504="赤日轮3")))</f>
        <v>0</v>
      </c>
      <c r="CS504" s="115" t="b">
        <f ca="1">AND(模拟模式!$S$7="日月齐光",OR(C504="赤日轮1",C504="赤日轮2",C504="赤日轮3",CS503),NOT(OR(C504="幽月轮1",C504="幽月轮2",C504="幽月轮3")))</f>
        <v>0</v>
      </c>
      <c r="CT504" s="115">
        <f t="shared" ca="1" si="456"/>
        <v>3.2475000000000116</v>
      </c>
      <c r="CU504" s="115" t="b">
        <f ca="1">AND(模拟模式!$K$10="阴阳往极",CT503=0,RAND()&lt;IF(C504="净世破魔击·月",0.0275*7/3,IF(C504="净世破魔击·日",0.0275*3/3,0.0275*2/3)))</f>
        <v>0</v>
      </c>
      <c r="CV504" s="115">
        <f t="shared" ca="1" si="457"/>
        <v>0</v>
      </c>
      <c r="CW504" s="115">
        <f t="shared" ca="1" si="429"/>
        <v>1.3874999999999997</v>
      </c>
      <c r="CX504" s="115">
        <f t="shared" ca="1" si="430"/>
        <v>6</v>
      </c>
      <c r="CY504" s="115">
        <f ca="1">MAX(IF($C504="驱夜断愁",IF(模拟模式!$R$7="万念俱寂",6,45),CY503-$F$4),0)</f>
        <v>0.46499999999999975</v>
      </c>
      <c r="CZ504" s="115">
        <f t="shared" ca="1" si="431"/>
        <v>0</v>
      </c>
      <c r="DA504" s="115">
        <f ca="1">IF(模拟模式!$N$7="日月同辉",IF(DB503=2,0,MIN(6,IF(AND(OR(C504="赤日轮1",C504="赤日轮2",C504="赤日轮3",C504="幽月轮1",C504="幽月轮2",C504="幽月轮3"),AB504=1),DA503+1,DA503))),0)</f>
        <v>0</v>
      </c>
      <c r="DB504" s="115">
        <f t="shared" ca="1" si="432"/>
        <v>0</v>
      </c>
      <c r="DC504" s="115"/>
      <c r="DD504" s="115"/>
      <c r="DE504" s="115"/>
      <c r="DF504" s="115"/>
      <c r="DG504" s="115"/>
      <c r="DH504" s="115"/>
      <c r="DI504" s="115"/>
      <c r="DJ504" s="115"/>
      <c r="DK504" s="115"/>
      <c r="DL504" s="115"/>
      <c r="DM504" s="115"/>
    </row>
    <row r="505" spans="2:117" x14ac:dyDescent="0.2">
      <c r="B505" s="117">
        <f t="shared" si="433"/>
        <v>440.95500000000453</v>
      </c>
      <c r="C505" s="167" t="str">
        <f t="shared" ca="1" si="426"/>
        <v>驱夜断愁</v>
      </c>
      <c r="D505" s="115">
        <f ca="1">IF(C505="赤日轮1",1,IF(C505="赤日轮2",2,IF(C505="赤日轮3",3,IF(C505="幽月轮1",4,IF(C505="幽月轮2",5,IF(C505="幽月轮3",6,IF(C505="烈日斩",7,IF(C505="银月斩",8,IF(C505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505="净世破魔击·月",17,IF(C505="驱夜断愁",18,0)))))))))))</f>
        <v>18</v>
      </c>
      <c r="E505" s="115">
        <f ca="1">IF(AND(CU505,OR(C505="幽月轮1",C505="幽月轮2",C505="幽月轮3",C505="银月斩",C505="驱夜断愁",C505="净世破魔击·月")),100,MIN(IF(OR(CN505,BE505),0,IF(OR($C505="赤日轮1",$C505="赤日轮2",$C505="赤日轮3"),E504+20+IF(模拟模式!$I$7="日月凌天",4,0)+IF(CR504,20,0),IF($C505="烈日斩",E504+40,IF($C505="驱夜断愁",IF(模拟模式!$R$7="万念俱寂",E504+20,E504+60),IF($C505="净世破魔击·月",IF(OR(DB504&gt;0,CV504&gt;0),100,IF(模拟模式!$M$7="辉耀红尘",E504+20,E504)),IF($C505="净世破魔击·日",E504-100,E504)))))),100))</f>
        <v>40</v>
      </c>
      <c r="F505" s="115">
        <f ca="1">IF(AND(CU505,OR(C505="赤日轮1",C505="赤日轮2",C505="赤日轮3",C505="烈日斩",C505="净世破魔击·日")),100,MIN(IF(CO505,0,IF(OR($C505="幽月轮1",$C505="幽月轮2",$C505="幽月轮3"),F504+20+IF(模拟模式!$I$7="日月凌天",4,0)+IF(CS504,20,0),IF($C505="银月斩",F504+40+IF(模拟模式!$X$12=1,5,0),IF($C505="驱夜断愁",IF(模拟模式!$R$7="万念俱寂",F504+20,F504+60),IF($C505="净世破魔击·月",IF(模拟模式!$M$7="辉耀红尘",F504-80,F504-100),IF(AND(C505="净世破魔击·日",OR(DB504&gt;0,CV504&gt;0)),100,F504)))))),100))</f>
        <v>85</v>
      </c>
      <c r="G505" s="117">
        <f ca="1">('模拟-全程加成'!$E$3+'模拟-全程加成'!$E$4+'模拟-全程加成'!$E$5+('模拟-全程加成'!$C$6-'模拟-全程加成'!$C$3)*系数!$B$9+BS505*23)*(1+'模拟-全程加成'!$F$4+'模拟-全程加成'!$F$5+BJ505*10%+BM505*20%+BP505*4%+CG505*30%)+$F$7*系数!$B$12</f>
        <v>20583.127400000001</v>
      </c>
      <c r="H505" s="45">
        <f ca="1">'模拟-全程加成'!$H$3+'模拟-全程加成'!$H$4+'模拟-全程加成'!$H$5+('模拟-全程加成'!$G$4+'模拟-全程加成'!$G$5+('模拟-全程加成'!$C$6-'模拟-全程加成'!$C$3)*系数!$B$13)/系数!$B$3+LOOKUP(D505,'模拟-单技能数据'!$A$2:$A$19,'模拟-单技能数据'!$K$2:$K$19)+BG505*10%+IF(BV505&gt;0,378,0)</f>
        <v>0.51185145527300213</v>
      </c>
      <c r="I505" s="45">
        <f ca="1">'模拟-全程加成'!$J$3+'模拟-全程加成'!$J$4+'模拟-全程加成'!$J$5+('模拟-全程加成'!$I$4+'模拟-全程加成'!$I$5)/系数!$B$4+LOOKUP(D505,'模拟-单技能数据'!$A$2:$A$19,'模拟-单技能数据'!$L$2:$L$19)+BG505*10%</f>
        <v>2.162482885499879</v>
      </c>
      <c r="J505" s="45">
        <f ca="1">(('模拟-全程加成'!$K$3+'模拟-全程加成'!$K$4+'模拟-全程加成'!$K$5+('模拟-全程加成'!$C$6-'模拟-全程加成'!$C$3)*系数!$B$10+IF(BV505&gt;0,882,0)+IF(BY505&gt;0,1831,0))*(1+'模拟-全程加成'!$L$4+'模拟-全程加成'!$L$5+CC505*20%))/系数!$B$5</f>
        <v>0.69723220422048726</v>
      </c>
      <c r="K505" s="119">
        <f ca="1">LOOKUP(D505,'模拟-单技能数据'!$A$2:$A$19,'模拟-单技能数据'!$J$2:$J$19)+IF(CM505,60%,0)+IF(DB504-DB505&gt;0,30%,0)+IF(OR(AND(OR(C505="赤日轮1",C505="赤日轮2",C505="赤日轮3"),CR505),AND(OR(C505="幽月轮1",C505="幽月轮2",C505="幽月轮3"),CS505)),35%,0)+CJ505</f>
        <v>0.14000000000000001</v>
      </c>
      <c r="L505" s="119">
        <f ca="1">IF(AND(C505="烈日斩",模拟模式!$X$11=1),10%,0)+IF(AND(C505="驱夜断愁",AB505=1),30%,0)</f>
        <v>0.3</v>
      </c>
      <c r="M505" s="45">
        <f t="shared" ca="1" si="409"/>
        <v>0.51185145527300213</v>
      </c>
      <c r="N505" s="45">
        <f t="shared" ca="1" si="410"/>
        <v>0.43424854472699792</v>
      </c>
      <c r="O505" s="46">
        <f t="shared" ca="1" si="434"/>
        <v>0.73224350768016144</v>
      </c>
      <c r="P505" s="46" t="str">
        <f t="shared" ca="1" si="435"/>
        <v>命</v>
      </c>
      <c r="Q505" s="45">
        <f t="shared" ca="1" si="436"/>
        <v>1</v>
      </c>
      <c r="R505" s="117">
        <f ca="1">模拟模式!$E$20*(1-IF(模拟模式!$J$19="有",0.15,0))*(1-IF(模拟模式!$K$19="有",0.3,0)-IF(CQ505,0.5,0))</f>
        <v>843.02999999999975</v>
      </c>
      <c r="S505" s="45">
        <f ca="1">R505/(R505+(185*模拟模式!$E$22-16800)*4.08224)</f>
        <v>8.389626085980037E-2</v>
      </c>
      <c r="T505" s="45" t="str">
        <f ca="1">LOOKUP(D505,'模拟-单技能数据'!$A$2:$A$19,'模拟-单技能数据'!$H$2:$H$19)</f>
        <v>阴</v>
      </c>
      <c r="U505" s="119">
        <f t="shared" ca="1" si="411"/>
        <v>0.08</v>
      </c>
      <c r="V505" s="47">
        <f ca="1">(1+L505)*(LOOKUP(D505,'模拟-单技能数据'!$A$2:$A$19,'模拟-单技能数据'!$D$2:$D$19)+G505*LOOKUP(D505,'模拟-单技能数据'!$A$2:$A$19,'模拟-单技能数据'!$F$2:$F$19))*(1+J505)*(1+K505)*(1-S505)*(1+U505)*Q505*LOOKUP(D505,'模拟-单技能数据'!$A$2:$A$19,'模拟-单技能数据'!$I$2:$I$20)</f>
        <v>58943.088028757353</v>
      </c>
      <c r="W505" s="47">
        <f ca="1">LOOKUP(D505,'模拟-单技能数据'!$A$2:$A$19,'模拟-单技能数据'!$G$2:$G$19)*$I$10</f>
        <v>723.0212870940959</v>
      </c>
      <c r="X505" s="47">
        <f t="shared" ca="1" si="437"/>
        <v>11118.353508757338</v>
      </c>
      <c r="Y505" s="47">
        <f t="shared" ca="1" si="412"/>
        <v>70784.462824608781</v>
      </c>
      <c r="Z505" s="49">
        <f t="shared" ca="1" si="413"/>
        <v>50128122.712925069</v>
      </c>
      <c r="AA505" s="97">
        <f t="shared" ca="1" si="414"/>
        <v>113680.81258387944</v>
      </c>
      <c r="AB505" s="115">
        <f ca="1">IF(OR(C505="赤日轮1",C505="赤日轮2",C505="赤日轮3"),IF(RAND()&lt;模拟模式!$Y$17,1,0),IF(OR(C505="幽月轮1",C505="幽月轮2",C505="幽月轮3"),IF(RAND()&lt;模拟模式!$Y$18,1,0),IF(C505="烈日斩",IF(RAND()&lt;模拟模式!$Y$19,1,0),IF(C505="银月斩",IF(RAND()&lt;模拟模式!$Y$20,1,0),IF(C505="驱夜断愁",IF(RAND()&lt;模拟模式!$Y$21,1,0),IF(C505="净世破魔击·日",IF(RAND()&lt;模拟模式!$Y$22,1,0),IF(C505="净世破魔击·月",IF(RAND()&lt;模拟模式!$Y$23,1,0),0)))))))</f>
        <v>1</v>
      </c>
      <c r="AC505" s="115" t="b">
        <f t="shared" ca="1" si="402"/>
        <v>0</v>
      </c>
      <c r="AD505" s="115" t="b">
        <f t="shared" ca="1" si="422"/>
        <v>0</v>
      </c>
      <c r="AE505" s="115">
        <f t="shared" ca="1" si="423"/>
        <v>5</v>
      </c>
      <c r="AF505" s="47">
        <f ca="1">IF(AC505,('模拟-单技能数据'!$D$20+G505*'模拟-单技能数据'!$F$20)*(1+J505)*(1+'模拟-单技能数据'!$J$20)*(1+U505),0)</f>
        <v>0</v>
      </c>
      <c r="AG505" s="61">
        <f t="shared" ca="1" si="415"/>
        <v>0.64185145527300214</v>
      </c>
      <c r="AH505" s="61">
        <f t="shared" ca="1" si="416"/>
        <v>2.2624828854998791</v>
      </c>
      <c r="AI505" s="62">
        <f t="shared" ca="1" si="438"/>
        <v>0.41243476748782604</v>
      </c>
      <c r="AJ505" s="47">
        <f ca="1">IF(AD505,IF(AI505&lt;$F$10,0,IF(AI505&lt;$F$10+$F$11,0.25,IF(AI505&lt;$F$10+$F$11+AG505,AH505,1)))*IF(AF505&gt;0,AF505,IF(AF504&gt;0,AF504,IF(AF503&gt;0,AF503,IF(AF502&gt;0,AF502,IF(AF501&gt;0,AF501,IF(AF500&gt;0,AF500,IF(AF499&gt;0,AF499,IF(AF498&gt;0,AF498,IF(AF497&gt;0,AF497,IF(AF495&gt;0,AF495,IF(AF494&gt;0,AF494,IF(AF493&gt;0,AF493,0)))))))))))),0)*(1-$S505)*'模拟-单技能数据'!$I$20</f>
        <v>0</v>
      </c>
      <c r="AK505" s="115" t="b">
        <f t="shared" ca="1" si="403"/>
        <v>0</v>
      </c>
      <c r="AL505" s="115" t="b">
        <f t="shared" ca="1" si="424"/>
        <v>1</v>
      </c>
      <c r="AM505" s="115">
        <f t="shared" ca="1" si="425"/>
        <v>4</v>
      </c>
      <c r="AN505" s="47">
        <f ca="1">IF(AK505,('模拟-单技能数据'!$D$21+G505*'模拟-单技能数据'!$F$21)*(1+J505)*(1+'模拟-单技能数据'!$J$21)*(1+U505),0)</f>
        <v>0</v>
      </c>
      <c r="AO505" s="61">
        <f ca="1">IF(AN505&gt;0,M505-'模拟-单技能数据'!$K$10,AO504)</f>
        <v>0.42185145527300216</v>
      </c>
      <c r="AP505" s="61">
        <f ca="1">IF(AN505&gt;0,I505-'模拟-单技能数据'!$L$10,AP504)</f>
        <v>2.162482885499879</v>
      </c>
      <c r="AQ505" s="63">
        <f t="shared" ca="1" si="439"/>
        <v>0.98224447391164005</v>
      </c>
      <c r="AR505" s="64">
        <f ca="1">IF(AL505,IF(AQ505&lt;$F$10,0,IF(AQ505&lt;$F$10+$F$11,0.25,IF(AQ505&lt;$F$10+$F$11+AO505,AP505,1)))*IF(AN505&gt;0,AN505,IF(AN504&gt;0,AN504,IF(AN503&gt;0,AN503,IF(AN502&gt;0,AN502,IF(AN501&gt;0,AN501,IF(AN500&gt;0,AN500,IF(AN499&gt;0,AN499,IF(AN498&gt;0,AN498,IF(AN497&gt;0,AN497,IF(AN495&gt;0,AN495,IF(AN494&gt;0,AN494,IF(AN493&gt;0,AN493,0)))))))))))),0)*(1-$S505)*'模拟-单技能数据'!$I$21</f>
        <v>11118.353508757338</v>
      </c>
      <c r="AS505" s="61">
        <f ca="1">IF(OR(C505="净世破魔击·日",C505="净世破魔击·月"),M505-'模拟-单技能数据'!$K$10,0)</f>
        <v>0</v>
      </c>
      <c r="AT505" s="61">
        <f ca="1">IF(OR(C505="净世破魔击·日",C505="净世破魔击·月"),I505-'模拟-单技能数据'!$L$10,0)</f>
        <v>0</v>
      </c>
      <c r="AU505" s="62">
        <f t="shared" ca="1" si="440"/>
        <v>0.56936717889615418</v>
      </c>
      <c r="AV505" s="64">
        <f ca="1">IF(AS505&gt;0,('模拟-单技能数据'!$D$22+G505*'模拟-单技能数据'!$F$22)*(1+J505)*(1-S505)*IF(AU505&lt;$F$10,0,IF(AU505&lt;$F$10+$F$11,0.25,IF(AU505&lt;$F$10+$F$11+AS505,AT505,1)))*(1+U505),0)*'模拟-单技能数据'!$I$22</f>
        <v>0</v>
      </c>
      <c r="AW505" s="108">
        <f t="shared" ca="1" si="441"/>
        <v>17.232500000000002</v>
      </c>
      <c r="AX505" s="108" t="b">
        <f ca="1">AND(模拟模式!$P$10="有",AW504=0,RAND()&lt;IF(C505="净世破魔击·月",0.1*8/3,IF(C505="净世破魔击·日",0.1*4/3,0.1*2/3)))</f>
        <v>0</v>
      </c>
      <c r="AY505" s="47">
        <f ca="1">IF(AX505,(18+G505*0.722)*(1+J505)*(1-S505)*(1+$I$4)*IF(P505="会",'模拟-全程加成'!$J$3+'模拟-全程加成'!$J$4+'模拟-全程加成'!$J$5+('模拟-全程加成'!$I$4+'模拟-全程加成'!$I$5)/系数!$B$4+BG505*10%,IF(P505="命",1,IF(P505="识",0.25,0))),0)</f>
        <v>0</v>
      </c>
      <c r="AZ505" s="108">
        <f t="shared" si="442"/>
        <v>5.2400000000000064</v>
      </c>
      <c r="BA505" s="108" t="b">
        <f>AND(模拟模式!$Q$10="有",AZ504=0)</f>
        <v>0</v>
      </c>
      <c r="BB505" s="140">
        <f>IF(BA505,(0+G505*0.287)*(1+J505)*(1-S505)*(1+$I$4)*IF(P505="会",'模拟-全程加成'!$J$3+'模拟-全程加成'!$J$4+'模拟-全程加成'!$J$5+('模拟-全程加成'!$I$4+'模拟-全程加成'!$I$5)/系数!$B$4+BG505*10%,IF(P505="命",1,IF(P505="识",0.25,0))),0)</f>
        <v>0</v>
      </c>
      <c r="BC505" s="115" t="b">
        <f ca="1">AND(模拟模式!$R$7="伏明众生",E505=60,F505=20,DA505&lt;5,CZ504&lt;$F$4)</f>
        <v>0</v>
      </c>
      <c r="BD505" s="115">
        <f t="shared" ca="1" si="404"/>
        <v>0</v>
      </c>
      <c r="BE505" s="115" t="b">
        <f t="shared" ca="1" si="405"/>
        <v>0</v>
      </c>
      <c r="BF505" s="47">
        <f ca="1">IF(BC505,4*('模拟-单技能数据'!$D$24+G505*'模拟-单技能数据'!$F$24)*(1+J505)*(1+'模拟-单技能数据'!$J$24)*(1-S505)*(1+$I$3)*(('模拟-全程加成'!$J$3+'模拟-全程加成'!$J$4+'模拟-全程加成'!$J$5+('模拟-全程加成'!$I$4+'模拟-全程加成'!$I$5)/系数!$B$4+BG505*10%)*('模拟-全程加成'!$J$3+'模拟-全程加成'!$J$4+'模拟-全程加成'!$J$5+('模拟-全程加成'!$I$4+'模拟-全程加成'!$I$5)/系数!$B$4+BG505*10%)+(1-('模拟-全程加成'!$J$3+'模拟-全程加成'!$J$4+'模拟-全程加成'!$J$5+('模拟-全程加成'!$I$4+'模拟-全程加成'!$I$5)/系数!$B$4+BG505*10%)-$F$10-$F$11)+F491*0.25),0)*'模拟-单技能数据'!$I$24</f>
        <v>0</v>
      </c>
      <c r="BG505" s="115" t="b">
        <f ca="1">OR(AND(OR(C505="烈日斩",C505="银月斩"),模拟模式!$I$7="净身明礼"),AND(C505="净世破魔击·日",模拟模式!$J$7="洞若观火"),AND(C506="净世破魔击·月",模拟模式!$J$7="洞若观火"),AB505=1)</f>
        <v>1</v>
      </c>
      <c r="BH505" s="115" t="b">
        <f t="shared" ca="1" si="443"/>
        <v>0</v>
      </c>
      <c r="BI505" s="115">
        <f t="shared" ca="1" si="406"/>
        <v>0</v>
      </c>
      <c r="BJ505" s="115" t="b">
        <f t="shared" ca="1" si="417"/>
        <v>0</v>
      </c>
      <c r="BK505" s="115" t="b">
        <f ca="1">AND(C505="驱夜断愁",模拟模式!$P$7="天地诛戮")</f>
        <v>1</v>
      </c>
      <c r="BL505" s="57">
        <f t="shared" ca="1" si="407"/>
        <v>20</v>
      </c>
      <c r="BM505" s="115" t="b">
        <f t="shared" ca="1" si="418"/>
        <v>1</v>
      </c>
      <c r="BN505" s="115" t="b">
        <f ca="1">AND(OR(C505="赤日轮1",C505="赤日轮2",C505="赤日轮3",C505="幽月轮1",C505="幽月轮2",C505="幽月轮3"),AB505=1,模拟模式!$L$7="明光恒照")</f>
        <v>0</v>
      </c>
      <c r="BO505" s="117">
        <f t="shared" ca="1" si="408"/>
        <v>25.387500000000003</v>
      </c>
      <c r="BP505" s="115">
        <f t="shared" ca="1" si="444"/>
        <v>6</v>
      </c>
      <c r="BQ505" s="115" t="b">
        <f>模拟模式!$K$10="2600·水"</f>
        <v>0</v>
      </c>
      <c r="BR505" s="117">
        <f t="shared" si="445"/>
        <v>0</v>
      </c>
      <c r="BS505" s="115">
        <f t="shared" si="446"/>
        <v>0</v>
      </c>
      <c r="BT505" s="115">
        <f t="shared" ca="1" si="447"/>
        <v>0</v>
      </c>
      <c r="BU505" s="115" t="b">
        <f ca="1">AND(模拟模式!$K$10="2300·雷",BT504=0,RAND()&lt;IF(C505="净世破魔击·月",5*0.05*2/3,IF(C505="净世破魔击·日",3*0.05*2/3,0.05*2*2/3)))</f>
        <v>0</v>
      </c>
      <c r="BV505" s="115">
        <f t="shared" ca="1" si="448"/>
        <v>0</v>
      </c>
      <c r="BW505" s="115">
        <f t="shared" ca="1" si="449"/>
        <v>114.50249999999924</v>
      </c>
      <c r="BX505" s="164" t="b">
        <f t="shared" ca="1" si="450"/>
        <v>0</v>
      </c>
      <c r="BY505" s="115">
        <f t="shared" ca="1" si="451"/>
        <v>0</v>
      </c>
      <c r="BZ505" s="115">
        <f>IF(OR(模拟模式!$P$16="10人团",模拟模式!$P$16="25人团"),IF(B505/30&gt;CA504,1,0),0)</f>
        <v>0</v>
      </c>
      <c r="CA505" s="115">
        <f t="shared" si="427"/>
        <v>0</v>
      </c>
      <c r="CB505" s="115">
        <f ca="1">IF(BZ505=1,IF(模拟模式!$P$16="10人团",15,0)+IF(模拟模式!$P$16="25人团",IF(RAND()&lt;0.6,15,0)),MAX(0,CB504-$F$4))</f>
        <v>0</v>
      </c>
      <c r="CC505" s="115" t="b">
        <f t="shared" ca="1" si="419"/>
        <v>0</v>
      </c>
      <c r="CD505" s="115">
        <f>IF(模拟模式!$Q$16="1个",IF(B505/40&gt;CE504,1,0),0)</f>
        <v>0</v>
      </c>
      <c r="CE505" s="115">
        <f t="shared" si="420"/>
        <v>0</v>
      </c>
      <c r="CF505" s="115">
        <f>IF(OR(CD505=1,模拟模式!$Q$16="2个"),20,MAX(0,CF504-$F$4))</f>
        <v>0</v>
      </c>
      <c r="CG505" s="115" t="b">
        <f t="shared" si="421"/>
        <v>0</v>
      </c>
      <c r="CH505" s="115">
        <f t="shared" ca="1" si="452"/>
        <v>4.1700000000000115</v>
      </c>
      <c r="CI505" s="115" t="b">
        <f t="shared" ca="1" si="453"/>
        <v>0</v>
      </c>
      <c r="CJ505" s="119">
        <f t="shared" ca="1" si="454"/>
        <v>0</v>
      </c>
      <c r="CK505" s="115">
        <f t="shared" ca="1" si="455"/>
        <v>0</v>
      </c>
      <c r="CL505" s="115" t="b">
        <f ca="1">AND(模拟模式!$S$7="驱夷逐法",OR(AND(C505="净世破魔击·月",E504&gt;59),AND(C505="净世破魔击·日",F504&gt;59)))</f>
        <v>0</v>
      </c>
      <c r="CM505" s="115" t="b">
        <f ca="1">OR(CL505,AND(C505="净世破魔击·日",CL504,RAND()&lt;模拟模式!$U$23))</f>
        <v>0</v>
      </c>
      <c r="CN505" s="115" t="b">
        <f ca="1">IF(模拟模式!$M$7="辉耀红尘",AND(C505="净世破魔击·月",CL505,CV505=0,E504&lt;80),AND(C505="净世破魔击·月",CL505,E504&lt;100))</f>
        <v>0</v>
      </c>
      <c r="CO505" s="115" t="b">
        <f t="shared" ca="1" si="428"/>
        <v>0</v>
      </c>
      <c r="CP505" s="115" t="b">
        <f ca="1">AND(模拟模式!$O$7="用晦而明",OR(C505="净世破魔击·日",C505="净世破魔击·月",C505="驱夜断愁"),AB505)</f>
        <v>1</v>
      </c>
      <c r="CQ505" s="115" t="b">
        <f ca="1">OR(CP505,AND(CP504,RAND()&lt;模拟模式!$U$23))</f>
        <v>1</v>
      </c>
      <c r="CR505" s="115" t="b">
        <f ca="1">AND(模拟模式!$S$7="日月齐光",OR(C505="幽月轮1",C505="幽月轮2",C505="幽月轮3",CR504),NOT(OR(C505="赤日轮1",C505="赤日轮2",C505="赤日轮3")))</f>
        <v>0</v>
      </c>
      <c r="CS505" s="115" t="b">
        <f ca="1">AND(模拟模式!$S$7="日月齐光",OR(C505="赤日轮1",C505="赤日轮2",C505="赤日轮3",CS504),NOT(OR(C505="幽月轮1",C505="幽月轮2",C505="幽月轮3")))</f>
        <v>0</v>
      </c>
      <c r="CT505" s="115">
        <f t="shared" ca="1" si="456"/>
        <v>2.3250000000000117</v>
      </c>
      <c r="CU505" s="115" t="b">
        <f ca="1">AND(模拟模式!$K$10="阴阳往极",CT504=0,RAND()&lt;IF(C505="净世破魔击·月",0.0275*7/3,IF(C505="净世破魔击·日",0.0275*3/3,0.0275*2/3)))</f>
        <v>0</v>
      </c>
      <c r="CV505" s="115">
        <f t="shared" ca="1" si="457"/>
        <v>0</v>
      </c>
      <c r="CW505" s="115">
        <f t="shared" ca="1" si="429"/>
        <v>0.46499999999999975</v>
      </c>
      <c r="CX505" s="115">
        <f t="shared" ca="1" si="430"/>
        <v>5.0774999999999997</v>
      </c>
      <c r="CY505" s="115">
        <f ca="1">MAX(IF($C505="驱夜断愁",IF(模拟模式!$R$7="万念俱寂",6,45),CY504-$F$4),0)</f>
        <v>6</v>
      </c>
      <c r="CZ505" s="115">
        <f t="shared" ca="1" si="431"/>
        <v>0</v>
      </c>
      <c r="DA505" s="115">
        <f ca="1">IF(模拟模式!$N$7="日月同辉",IF(DB504=2,0,MIN(6,IF(AND(OR(C505="赤日轮1",C505="赤日轮2",C505="赤日轮3",C505="幽月轮1",C505="幽月轮2",C505="幽月轮3"),AB505=1),DA504+1,DA504))),0)</f>
        <v>0</v>
      </c>
      <c r="DB505" s="115">
        <f t="shared" ca="1" si="432"/>
        <v>0</v>
      </c>
      <c r="DC505" s="115"/>
      <c r="DD505" s="115"/>
      <c r="DE505" s="115"/>
      <c r="DF505" s="115"/>
      <c r="DG505" s="115"/>
      <c r="DH505" s="115"/>
      <c r="DI505" s="115"/>
      <c r="DJ505" s="115"/>
      <c r="DK505" s="115"/>
      <c r="DL505" s="115"/>
      <c r="DM505" s="115"/>
    </row>
    <row r="506" spans="2:117" x14ac:dyDescent="0.2">
      <c r="B506" s="117">
        <f t="shared" si="433"/>
        <v>441.87750000000455</v>
      </c>
      <c r="C506" s="167" t="str">
        <f t="shared" ca="1" si="426"/>
        <v>烈日斩</v>
      </c>
      <c r="D506" s="115">
        <f ca="1">IF(C506="赤日轮1",1,IF(C506="赤日轮2",2,IF(C506="赤日轮3",3,IF(C506="幽月轮1",4,IF(C506="幽月轮2",5,IF(C506="幽月轮3",6,IF(C506="烈日斩",7,IF(C506="银月斩",8,IF(C506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506="净世破魔击·月",17,IF(C506="驱夜断愁",18,0)))))))))))</f>
        <v>7</v>
      </c>
      <c r="E506" s="115">
        <f ca="1">IF(AND(CU506,OR(C506="幽月轮1",C506="幽月轮2",C506="幽月轮3",C506="银月斩",C506="驱夜断愁",C506="净世破魔击·月")),100,MIN(IF(OR(CN506,BE506),0,IF(OR($C506="赤日轮1",$C506="赤日轮2",$C506="赤日轮3"),E505+20+IF(模拟模式!$I$7="日月凌天",4,0)+IF(CR505,20,0),IF($C506="烈日斩",E505+40,IF($C506="驱夜断愁",IF(模拟模式!$R$7="万念俱寂",E505+20,E505+60),IF($C506="净世破魔击·月",IF(OR(DB505&gt;0,CV505&gt;0),100,IF(模拟模式!$M$7="辉耀红尘",E505+20,E505)),IF($C506="净世破魔击·日",E505-100,E505)))))),100))</f>
        <v>80</v>
      </c>
      <c r="F506" s="115">
        <f ca="1">IF(AND(CU506,OR(C506="赤日轮1",C506="赤日轮2",C506="赤日轮3",C506="烈日斩",C506="净世破魔击·日")),100,MIN(IF(CO506,0,IF(OR($C506="幽月轮1",$C506="幽月轮2",$C506="幽月轮3"),F505+20+IF(模拟模式!$I$7="日月凌天",4,0)+IF(CS505,20,0),IF($C506="银月斩",F505+40+IF(模拟模式!$X$12=1,5,0),IF($C506="驱夜断愁",IF(模拟模式!$R$7="万念俱寂",F505+20,F505+60),IF($C506="净世破魔击·月",IF(模拟模式!$M$7="辉耀红尘",F505-80,F505-100),IF(AND(C506="净世破魔击·日",OR(DB505&gt;0,CV505&gt;0)),100,F505)))))),100))</f>
        <v>85</v>
      </c>
      <c r="G506" s="117">
        <f ca="1">('模拟-全程加成'!$E$3+'模拟-全程加成'!$E$4+'模拟-全程加成'!$E$5+('模拟-全程加成'!$C$6-'模拟-全程加成'!$C$3)*系数!$B$9+BS506*23)*(1+'模拟-全程加成'!$F$4+'模拟-全程加成'!$F$5+BJ506*10%+BM506*20%+BP506*4%+CG506*30%)+$F$7*系数!$B$12</f>
        <v>20583.127400000001</v>
      </c>
      <c r="H506" s="45">
        <f ca="1">'模拟-全程加成'!$H$3+'模拟-全程加成'!$H$4+'模拟-全程加成'!$H$5+('模拟-全程加成'!$G$4+'模拟-全程加成'!$G$5+('模拟-全程加成'!$C$6-'模拟-全程加成'!$C$3)*系数!$B$13)/系数!$B$3+LOOKUP(D506,'模拟-单技能数据'!$A$2:$A$19,'模拟-单技能数据'!$K$2:$K$19)+BG506*10%+IF(BV506&gt;0,378,0)</f>
        <v>0.56185145527300218</v>
      </c>
      <c r="I506" s="45">
        <f ca="1">'模拟-全程加成'!$J$3+'模拟-全程加成'!$J$4+'模拟-全程加成'!$J$5+('模拟-全程加成'!$I$4+'模拟-全程加成'!$I$5)/系数!$B$4+LOOKUP(D506,'模拟-单技能数据'!$A$2:$A$19,'模拟-单技能数据'!$L$2:$L$19)+BG506*10%</f>
        <v>2.2624828854998791</v>
      </c>
      <c r="J506" s="45">
        <f ca="1">(('模拟-全程加成'!$K$3+'模拟-全程加成'!$K$4+'模拟-全程加成'!$K$5+('模拟-全程加成'!$C$6-'模拟-全程加成'!$C$3)*系数!$B$10+IF(BV506&gt;0,882,0)+IF(BY506&gt;0,1831,0))*(1+'模拟-全程加成'!$L$4+'模拟-全程加成'!$L$5+CC506*20%))/系数!$B$5</f>
        <v>0.69723220422048726</v>
      </c>
      <c r="K506" s="119">
        <f ca="1">LOOKUP(D506,'模拟-单技能数据'!$A$2:$A$19,'模拟-单技能数据'!$J$2:$J$19)+IF(CM506,60%,0)+IF(DB505-DB506&gt;0,30%,0)+IF(OR(AND(OR(C506="赤日轮1",C506="赤日轮2",C506="赤日轮3"),CR506),AND(OR(C506="幽月轮1",C506="幽月轮2",C506="幽月轮3"),CS506)),35%,0)+CJ506</f>
        <v>0.24</v>
      </c>
      <c r="L506" s="119">
        <f ca="1">IF(AND(C506="烈日斩",模拟模式!$X$11=1),10%,0)+IF(AND(C506="驱夜断愁",AB506=1),30%,0)</f>
        <v>0.1</v>
      </c>
      <c r="M506" s="45">
        <f t="shared" ca="1" si="409"/>
        <v>0.56185145527300218</v>
      </c>
      <c r="N506" s="45">
        <f t="shared" ca="1" si="410"/>
        <v>0.38424854472699788</v>
      </c>
      <c r="O506" s="46">
        <f t="shared" ca="1" si="434"/>
        <v>0.44878202452790783</v>
      </c>
      <c r="P506" s="46" t="str">
        <f t="shared" ca="1" si="435"/>
        <v>会</v>
      </c>
      <c r="Q506" s="45">
        <f t="shared" ca="1" si="436"/>
        <v>2.2624828854998791</v>
      </c>
      <c r="R506" s="117">
        <f ca="1">模拟模式!$E$20*(1-IF(模拟模式!$J$19="有",0.15,0))*(1-IF(模拟模式!$K$19="有",0.3,0)-IF(CQ506,0.5,0))</f>
        <v>843.02999999999975</v>
      </c>
      <c r="S506" s="45">
        <f ca="1">R506/(R506+(185*模拟模式!$E$22-16800)*4.08224)</f>
        <v>8.389626085980037E-2</v>
      </c>
      <c r="T506" s="45" t="str">
        <f ca="1">LOOKUP(D506,'模拟-单技能数据'!$A$2:$A$19,'模拟-单技能数据'!$H$2:$H$19)</f>
        <v>阳</v>
      </c>
      <c r="U506" s="119">
        <f t="shared" ca="1" si="411"/>
        <v>0.2</v>
      </c>
      <c r="V506" s="47">
        <f ca="1">(1+L506)*(LOOKUP(D506,'模拟-单技能数据'!$A$2:$A$19,'模拟-单技能数据'!$D$2:$D$19)+G506*LOOKUP(D506,'模拟-单技能数据'!$A$2:$A$19,'模拟-单技能数据'!$F$2:$F$19))*(1+J506)*(1+K506)*(1-S506)*(1+U506)*Q506*LOOKUP(D506,'模拟-单技能数据'!$A$2:$A$19,'模拟-单技能数据'!$I$2:$I$20)</f>
        <v>105861.05199666526</v>
      </c>
      <c r="W506" s="47">
        <f ca="1">LOOKUP(D506,'模拟-单技能数据'!$A$2:$A$19,'模拟-单技能数据'!$G$2:$G$19)*$I$10</f>
        <v>361.51064354704795</v>
      </c>
      <c r="X506" s="47">
        <f t="shared" ca="1" si="437"/>
        <v>9218.9345386263849</v>
      </c>
      <c r="Y506" s="47">
        <f t="shared" ca="1" si="412"/>
        <v>115441.4971788387</v>
      </c>
      <c r="Z506" s="49">
        <f t="shared" ca="1" si="413"/>
        <v>50243564.210103907</v>
      </c>
      <c r="AA506" s="97">
        <f t="shared" ca="1" si="414"/>
        <v>113704.73538504085</v>
      </c>
      <c r="AB506" s="115">
        <f ca="1">IF(OR(C506="赤日轮1",C506="赤日轮2",C506="赤日轮3"),IF(RAND()&lt;模拟模式!$Y$17,1,0),IF(OR(C506="幽月轮1",C506="幽月轮2",C506="幽月轮3"),IF(RAND()&lt;模拟模式!$Y$18,1,0),IF(C506="烈日斩",IF(RAND()&lt;模拟模式!$Y$19,1,0),IF(C506="银月斩",IF(RAND()&lt;模拟模式!$Y$20,1,0),IF(C506="驱夜断愁",IF(RAND()&lt;模拟模式!$Y$21,1,0),IF(C506="净世破魔击·日",IF(RAND()&lt;模拟模式!$Y$22,1,0),IF(C506="净世破魔击·月",IF(RAND()&lt;模拟模式!$Y$23,1,0),0)))))))</f>
        <v>1</v>
      </c>
      <c r="AC506" s="115" t="b">
        <f t="shared" ca="1" si="402"/>
        <v>0</v>
      </c>
      <c r="AD506" s="115" t="b">
        <f t="shared" ca="1" si="422"/>
        <v>1</v>
      </c>
      <c r="AE506" s="115">
        <f t="shared" ca="1" si="423"/>
        <v>4</v>
      </c>
      <c r="AF506" s="47">
        <f ca="1">IF(AC506,('模拟-单技能数据'!$D$20+G506*'模拟-单技能数据'!$F$20)*(1+J506)*(1+'模拟-单技能数据'!$J$20)*(1+U506),0)</f>
        <v>0</v>
      </c>
      <c r="AG506" s="61">
        <f t="shared" ca="1" si="415"/>
        <v>0.64185145527300214</v>
      </c>
      <c r="AH506" s="61">
        <f t="shared" ca="1" si="416"/>
        <v>2.2624828854998791</v>
      </c>
      <c r="AI506" s="62">
        <f t="shared" ca="1" si="438"/>
        <v>0.60372383418529252</v>
      </c>
      <c r="AJ506" s="47">
        <f ca="1">IF(AD506,IF(AI506&lt;$F$10,0,IF(AI506&lt;$F$10+$F$11,0.25,IF(AI506&lt;$F$10+$F$11+AG506,AH506,1)))*IF(AF506&gt;0,AF506,IF(AF505&gt;0,AF505,IF(AF504&gt;0,AF504,IF(AF503&gt;0,AF503,IF(AF502&gt;0,AF502,IF(AF501&gt;0,AF501,IF(AF500&gt;0,AF500,IF(AF499&gt;0,AF499,IF(AF498&gt;0,AF498,IF(AF496&gt;0,AF496,IF(AF495&gt;0,AF495,IF(AF494&gt;0,AF494,0)))))))))))),0)*(1-$S506)*'模拟-单技能数据'!$I$20</f>
        <v>9218.9345386263849</v>
      </c>
      <c r="AK506" s="115" t="b">
        <f t="shared" ca="1" si="403"/>
        <v>0</v>
      </c>
      <c r="AL506" s="115" t="b">
        <f t="shared" ca="1" si="424"/>
        <v>0</v>
      </c>
      <c r="AM506" s="115">
        <f t="shared" ca="1" si="425"/>
        <v>4</v>
      </c>
      <c r="AN506" s="47">
        <f ca="1">IF(AK506,('模拟-单技能数据'!$D$21+G506*'模拟-单技能数据'!$F$21)*(1+J506)*(1+'模拟-单技能数据'!$J$21)*(1+U506),0)</f>
        <v>0</v>
      </c>
      <c r="AO506" s="61">
        <f ca="1">IF(AN506&gt;0,M506-'模拟-单技能数据'!$K$10,AO505)</f>
        <v>0.42185145527300216</v>
      </c>
      <c r="AP506" s="61">
        <f ca="1">IF(AN506&gt;0,I506-'模拟-单技能数据'!$L$10,AP505)</f>
        <v>2.162482885499879</v>
      </c>
      <c r="AQ506" s="63">
        <f t="shared" ca="1" si="439"/>
        <v>0.44604000039627445</v>
      </c>
      <c r="AR506" s="64">
        <f ca="1">IF(AL506,IF(AQ506&lt;$F$10,0,IF(AQ506&lt;$F$10+$F$11,0.25,IF(AQ506&lt;$F$10+$F$11+AO506,AP506,1)))*IF(AN506&gt;0,AN506,IF(AN505&gt;0,AN505,IF(AN504&gt;0,AN504,IF(AN503&gt;0,AN503,IF(AN502&gt;0,AN502,IF(AN501&gt;0,AN501,IF(AN500&gt;0,AN500,IF(AN499&gt;0,AN499,IF(AN498&gt;0,AN498,IF(AN496&gt;0,AN496,IF(AN495&gt;0,AN495,IF(AN494&gt;0,AN494,0)))))))))))),0)*(1-$S506)*'模拟-单技能数据'!$I$21</f>
        <v>0</v>
      </c>
      <c r="AS506" s="61">
        <f ca="1">IF(OR(C506="净世破魔击·日",C506="净世破魔击·月"),M506-'模拟-单技能数据'!$K$10,0)</f>
        <v>0</v>
      </c>
      <c r="AT506" s="61">
        <f ca="1">IF(OR(C506="净世破魔击·日",C506="净世破魔击·月"),I506-'模拟-单技能数据'!$L$10,0)</f>
        <v>0</v>
      </c>
      <c r="AU506" s="62">
        <f t="shared" ca="1" si="440"/>
        <v>0.80846636050893406</v>
      </c>
      <c r="AV506" s="64">
        <f ca="1">IF(AS506&gt;0,('模拟-单技能数据'!$D$22+G506*'模拟-单技能数据'!$F$22)*(1+J506)*(1-S506)*IF(AU506&lt;$F$10,0,IF(AU506&lt;$F$10+$F$11,0.25,IF(AU506&lt;$F$10+$F$11+AS506,AT506,1)))*(1+U506),0)*'模拟-单技能数据'!$I$22</f>
        <v>0</v>
      </c>
      <c r="AW506" s="108">
        <f t="shared" ca="1" si="441"/>
        <v>16.310000000000002</v>
      </c>
      <c r="AX506" s="108" t="b">
        <f ca="1">AND(模拟模式!$P$10="有",AW505=0,RAND()&lt;IF(C506="净世破魔击·月",0.1*8/3,IF(C506="净世破魔击·日",0.1*4/3,0.1*2/3)))</f>
        <v>0</v>
      </c>
      <c r="AY506" s="47">
        <f ca="1">IF(AX506,(18+G506*0.722)*(1+J506)*(1-S506)*(1+$I$4)*IF(P506="会",'模拟-全程加成'!$J$3+'模拟-全程加成'!$J$4+'模拟-全程加成'!$J$5+('模拟-全程加成'!$I$4+'模拟-全程加成'!$I$5)/系数!$B$4+BG506*10%,IF(P506="命",1,IF(P506="识",0.25,0))),0)</f>
        <v>0</v>
      </c>
      <c r="AZ506" s="108">
        <f t="shared" si="442"/>
        <v>4.3175000000000061</v>
      </c>
      <c r="BA506" s="108" t="b">
        <f>AND(模拟模式!$Q$10="有",AZ505=0)</f>
        <v>0</v>
      </c>
      <c r="BB506" s="140">
        <f>IF(BA506,(0+G506*0.287)*(1+J506)*(1-S506)*(1+$I$4)*IF(P506="会",'模拟-全程加成'!$J$3+'模拟-全程加成'!$J$4+'模拟-全程加成'!$J$5+('模拟-全程加成'!$I$4+'模拟-全程加成'!$I$5)/系数!$B$4+BG506*10%,IF(P506="命",1,IF(P506="识",0.25,0))),0)</f>
        <v>0</v>
      </c>
      <c r="BC506" s="115" t="b">
        <f ca="1">AND(模拟模式!$R$7="伏明众生",E506=60,F506=20,DA506&lt;5,CZ505&lt;$F$4)</f>
        <v>0</v>
      </c>
      <c r="BD506" s="115">
        <f t="shared" ca="1" si="404"/>
        <v>0</v>
      </c>
      <c r="BE506" s="115" t="b">
        <f t="shared" ca="1" si="405"/>
        <v>0</v>
      </c>
      <c r="BF506" s="47">
        <f ca="1">IF(BC506,4*('模拟-单技能数据'!$D$24+G506*'模拟-单技能数据'!$F$24)*(1+J506)*(1+'模拟-单技能数据'!$J$24)*(1-S506)*(1+$I$3)*(('模拟-全程加成'!$J$3+'模拟-全程加成'!$J$4+'模拟-全程加成'!$J$5+('模拟-全程加成'!$I$4+'模拟-全程加成'!$I$5)/系数!$B$4+BG506*10%)*('模拟-全程加成'!$J$3+'模拟-全程加成'!$J$4+'模拟-全程加成'!$J$5+('模拟-全程加成'!$I$4+'模拟-全程加成'!$I$5)/系数!$B$4+BG506*10%)+(1-('模拟-全程加成'!$J$3+'模拟-全程加成'!$J$4+'模拟-全程加成'!$J$5+('模拟-全程加成'!$I$4+'模拟-全程加成'!$I$5)/系数!$B$4+BG506*10%)-$F$10-$F$11)+F492*0.25),0)*'模拟-单技能数据'!$I$24</f>
        <v>0</v>
      </c>
      <c r="BG506" s="115" t="b">
        <f ca="1">OR(AND(OR(C506="烈日斩",C506="银月斩"),模拟模式!$I$7="净身明礼"),AND(C506="净世破魔击·日",模拟模式!$J$7="洞若观火"),AND(C507="净世破魔击·月",模拟模式!$J$7="洞若观火"),AB506=1)</f>
        <v>1</v>
      </c>
      <c r="BH506" s="115" t="b">
        <f t="shared" ca="1" si="443"/>
        <v>0</v>
      </c>
      <c r="BI506" s="115">
        <f t="shared" ca="1" si="406"/>
        <v>0</v>
      </c>
      <c r="BJ506" s="115" t="b">
        <f t="shared" ca="1" si="417"/>
        <v>0</v>
      </c>
      <c r="BK506" s="115" t="b">
        <f ca="1">AND(C506="驱夜断愁",模拟模式!$P$7="天地诛戮")</f>
        <v>0</v>
      </c>
      <c r="BL506" s="57">
        <f t="shared" ca="1" si="407"/>
        <v>19.077500000000001</v>
      </c>
      <c r="BM506" s="115" t="b">
        <f t="shared" ca="1" si="418"/>
        <v>1</v>
      </c>
      <c r="BN506" s="115" t="b">
        <f ca="1">AND(OR(C506="赤日轮1",C506="赤日轮2",C506="赤日轮3",C506="幽月轮1",C506="幽月轮2",C506="幽月轮3"),AB506=1,模拟模式!$L$7="明光恒照")</f>
        <v>0</v>
      </c>
      <c r="BO506" s="117">
        <f t="shared" ca="1" si="408"/>
        <v>24.465000000000003</v>
      </c>
      <c r="BP506" s="115">
        <f t="shared" ca="1" si="444"/>
        <v>6</v>
      </c>
      <c r="BQ506" s="115" t="b">
        <f>模拟模式!$K$10="2600·水"</f>
        <v>0</v>
      </c>
      <c r="BR506" s="117">
        <f t="shared" si="445"/>
        <v>0</v>
      </c>
      <c r="BS506" s="115">
        <f t="shared" si="446"/>
        <v>0</v>
      </c>
      <c r="BT506" s="115">
        <f t="shared" ca="1" si="447"/>
        <v>0</v>
      </c>
      <c r="BU506" s="115" t="b">
        <f ca="1">AND(模拟模式!$K$10="2300·雷",BT505=0,RAND()&lt;IF(C506="净世破魔击·月",5*0.05*2/3,IF(C506="净世破魔击·日",3*0.05*2/3,0.05*2*2/3)))</f>
        <v>0</v>
      </c>
      <c r="BV506" s="115">
        <f t="shared" ca="1" si="448"/>
        <v>0</v>
      </c>
      <c r="BW506" s="115">
        <f t="shared" ca="1" si="449"/>
        <v>113.57999999999925</v>
      </c>
      <c r="BX506" s="164" t="b">
        <f t="shared" ca="1" si="450"/>
        <v>0</v>
      </c>
      <c r="BY506" s="115">
        <f t="shared" ca="1" si="451"/>
        <v>0</v>
      </c>
      <c r="BZ506" s="115">
        <f>IF(OR(模拟模式!$P$16="10人团",模拟模式!$P$16="25人团"),IF(B506/30&gt;CA505,1,0),0)</f>
        <v>0</v>
      </c>
      <c r="CA506" s="115">
        <f t="shared" si="427"/>
        <v>0</v>
      </c>
      <c r="CB506" s="115">
        <f ca="1">IF(BZ506=1,IF(模拟模式!$P$16="10人团",15,0)+IF(模拟模式!$P$16="25人团",IF(RAND()&lt;0.6,15,0)),MAX(0,CB505-$F$4))</f>
        <v>0</v>
      </c>
      <c r="CC506" s="115" t="b">
        <f t="shared" ca="1" si="419"/>
        <v>0</v>
      </c>
      <c r="CD506" s="115">
        <f>IF(模拟模式!$Q$16="1个",IF(B506/40&gt;CE505,1,0),0)</f>
        <v>0</v>
      </c>
      <c r="CE506" s="115">
        <f t="shared" si="420"/>
        <v>0</v>
      </c>
      <c r="CF506" s="115">
        <f>IF(OR(CD506=1,模拟模式!$Q$16="2个"),20,MAX(0,CF505-$F$4))</f>
        <v>0</v>
      </c>
      <c r="CG506" s="115" t="b">
        <f t="shared" si="421"/>
        <v>0</v>
      </c>
      <c r="CH506" s="115">
        <f t="shared" ca="1" si="452"/>
        <v>3.2475000000000116</v>
      </c>
      <c r="CI506" s="115" t="b">
        <f t="shared" ca="1" si="453"/>
        <v>0</v>
      </c>
      <c r="CJ506" s="119">
        <f t="shared" ca="1" si="454"/>
        <v>0</v>
      </c>
      <c r="CK506" s="115">
        <f t="shared" ca="1" si="455"/>
        <v>0</v>
      </c>
      <c r="CL506" s="115" t="b">
        <f ca="1">AND(模拟模式!$S$7="驱夷逐法",OR(AND(C506="净世破魔击·月",E505&gt;59),AND(C506="净世破魔击·日",F505&gt;59)))</f>
        <v>0</v>
      </c>
      <c r="CM506" s="115" t="b">
        <f ca="1">OR(CL506,AND(C506="净世破魔击·日",CL505,RAND()&lt;模拟模式!$U$23))</f>
        <v>0</v>
      </c>
      <c r="CN506" s="115" t="b">
        <f ca="1">IF(模拟模式!$M$7="辉耀红尘",AND(C506="净世破魔击·月",CL506,CV506=0,E505&lt;80),AND(C506="净世破魔击·月",CL506,E505&lt;100))</f>
        <v>0</v>
      </c>
      <c r="CO506" s="115" t="b">
        <f t="shared" ca="1" si="428"/>
        <v>0</v>
      </c>
      <c r="CP506" s="115" t="b">
        <f ca="1">AND(模拟模式!$O$7="用晦而明",OR(C506="净世破魔击·日",C506="净世破魔击·月",C506="驱夜断愁"),AB506)</f>
        <v>0</v>
      </c>
      <c r="CQ506" s="115" t="b">
        <f ca="1">OR(CP506,AND(CP505,RAND()&lt;模拟模式!$U$23))</f>
        <v>1</v>
      </c>
      <c r="CR506" s="115" t="b">
        <f ca="1">AND(模拟模式!$S$7="日月齐光",OR(C506="幽月轮1",C506="幽月轮2",C506="幽月轮3",CR505),NOT(OR(C506="赤日轮1",C506="赤日轮2",C506="赤日轮3")))</f>
        <v>0</v>
      </c>
      <c r="CS506" s="115" t="b">
        <f ca="1">AND(模拟模式!$S$7="日月齐光",OR(C506="赤日轮1",C506="赤日轮2",C506="赤日轮3",CS505),NOT(OR(C506="幽月轮1",C506="幽月轮2",C506="幽月轮3")))</f>
        <v>0</v>
      </c>
      <c r="CT506" s="115">
        <f t="shared" ca="1" si="456"/>
        <v>1.4025000000000118</v>
      </c>
      <c r="CU506" s="115" t="b">
        <f ca="1">AND(模拟模式!$K$10="阴阳往极",CT505=0,RAND()&lt;IF(C506="净世破魔击·月",0.0275*7/3,IF(C506="净世破魔击·日",0.0275*3/3,0.0275*2/3)))</f>
        <v>0</v>
      </c>
      <c r="CV506" s="115">
        <f t="shared" ca="1" si="457"/>
        <v>0</v>
      </c>
      <c r="CW506" s="115">
        <f t="shared" ca="1" si="429"/>
        <v>6</v>
      </c>
      <c r="CX506" s="115">
        <f t="shared" ca="1" si="430"/>
        <v>4.1549999999999994</v>
      </c>
      <c r="CY506" s="115">
        <f ca="1">MAX(IF($C506="驱夜断愁",IF(模拟模式!$R$7="万念俱寂",6,45),CY505-$F$4),0)</f>
        <v>5.0774999999999997</v>
      </c>
      <c r="CZ506" s="115">
        <f t="shared" ca="1" si="431"/>
        <v>0</v>
      </c>
      <c r="DA506" s="115">
        <f ca="1">IF(模拟模式!$N$7="日月同辉",IF(DB505=2,0,MIN(6,IF(AND(OR(C506="赤日轮1",C506="赤日轮2",C506="赤日轮3",C506="幽月轮1",C506="幽月轮2",C506="幽月轮3"),AB506=1),DA505+1,DA505))),0)</f>
        <v>0</v>
      </c>
      <c r="DB506" s="115">
        <f t="shared" ca="1" si="432"/>
        <v>0</v>
      </c>
      <c r="DC506" s="115"/>
      <c r="DD506" s="115"/>
      <c r="DE506" s="115"/>
      <c r="DF506" s="115"/>
      <c r="DG506" s="115"/>
      <c r="DH506" s="115"/>
      <c r="DI506" s="115"/>
      <c r="DJ506" s="115"/>
      <c r="DK506" s="115"/>
      <c r="DL506" s="115"/>
      <c r="DM506" s="115"/>
    </row>
    <row r="507" spans="2:117" x14ac:dyDescent="0.2">
      <c r="B507" s="117">
        <f t="shared" si="433"/>
        <v>442.80000000000456</v>
      </c>
      <c r="C507" s="167" t="str">
        <f t="shared" ca="1" si="426"/>
        <v>幽月轮1</v>
      </c>
      <c r="D507" s="115">
        <f ca="1">IF(C507="赤日轮1",1,IF(C507="赤日轮2",2,IF(C507="赤日轮3",3,IF(C507="幽月轮1",4,IF(C507="幽月轮2",5,IF(C507="幽月轮3",6,IF(C507="烈日斩",7,IF(C507="银月斩",8,IF(C507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507="净世破魔击·月",17,IF(C507="驱夜断愁",18,0)))))))))))</f>
        <v>4</v>
      </c>
      <c r="E507" s="115">
        <f ca="1">IF(AND(CU507,OR(C507="幽月轮1",C507="幽月轮2",C507="幽月轮3",C507="银月斩",C507="驱夜断愁",C507="净世破魔击·月")),100,MIN(IF(OR(CN507,BE507),0,IF(OR($C507="赤日轮1",$C507="赤日轮2",$C507="赤日轮3"),E506+20+IF(模拟模式!$I$7="日月凌天",4,0)+IF(CR506,20,0),IF($C507="烈日斩",E506+40,IF($C507="驱夜断愁",IF(模拟模式!$R$7="万念俱寂",E506+20,E506+60),IF($C507="净世破魔击·月",IF(OR(DB506&gt;0,CV506&gt;0),100,IF(模拟模式!$M$7="辉耀红尘",E506+20,E506)),IF($C507="净世破魔击·日",E506-100,E506)))))),100))</f>
        <v>80</v>
      </c>
      <c r="F507" s="115">
        <f ca="1">IF(AND(CU507,OR(C507="赤日轮1",C507="赤日轮2",C507="赤日轮3",C507="烈日斩",C507="净世破魔击·日")),100,MIN(IF(CO507,0,IF(OR($C507="幽月轮1",$C507="幽月轮2",$C507="幽月轮3"),F506+20+IF(模拟模式!$I$7="日月凌天",4,0)+IF(CS506,20,0),IF($C507="银月斩",F506+40+IF(模拟模式!$X$12=1,5,0),IF($C507="驱夜断愁",IF(模拟模式!$R$7="万念俱寂",F506+20,F506+60),IF($C507="净世破魔击·月",IF(模拟模式!$M$7="辉耀红尘",F506-80,F506-100),IF(AND(C507="净世破魔击·日",OR(DB506&gt;0,CV506&gt;0)),100,F506)))))),100))</f>
        <v>100</v>
      </c>
      <c r="G507" s="117">
        <f ca="1">('模拟-全程加成'!$E$3+'模拟-全程加成'!$E$4+'模拟-全程加成'!$E$5+('模拟-全程加成'!$C$6-'模拟-全程加成'!$C$3)*系数!$B$9+BS507*23)*(1+'模拟-全程加成'!$F$4+'模拟-全程加成'!$F$5+BJ507*10%+BM507*20%+BP507*4%+CG507*30%)+$F$7*系数!$B$12</f>
        <v>20583.127400000001</v>
      </c>
      <c r="H507" s="45">
        <f ca="1">'模拟-全程加成'!$H$3+'模拟-全程加成'!$H$4+'模拟-全程加成'!$H$5+('模拟-全程加成'!$G$4+'模拟-全程加成'!$G$5+('模拟-全程加成'!$C$6-'模拟-全程加成'!$C$3)*系数!$B$13)/系数!$B$3+LOOKUP(D507,'模拟-单技能数据'!$A$2:$A$19,'模拟-单技能数据'!$K$2:$K$19)+BG507*10%+IF(BV507&gt;0,378,0)</f>
        <v>0.51185145527300213</v>
      </c>
      <c r="I507" s="45">
        <f ca="1">'模拟-全程加成'!$J$3+'模拟-全程加成'!$J$4+'模拟-全程加成'!$J$5+('模拟-全程加成'!$I$4+'模拟-全程加成'!$I$5)/系数!$B$4+LOOKUP(D507,'模拟-单技能数据'!$A$2:$A$19,'模拟-单技能数据'!$L$2:$L$19)+BG507*10%</f>
        <v>2.162482885499879</v>
      </c>
      <c r="J507" s="45">
        <f ca="1">(('模拟-全程加成'!$K$3+'模拟-全程加成'!$K$4+'模拟-全程加成'!$K$5+('模拟-全程加成'!$C$6-'模拟-全程加成'!$C$3)*系数!$B$10+IF(BV507&gt;0,882,0)+IF(BY507&gt;0,1831,0))*(1+'模拟-全程加成'!$L$4+'模拟-全程加成'!$L$5+CC507*20%))/系数!$B$5</f>
        <v>0.69723220422048726</v>
      </c>
      <c r="K507" s="119">
        <f ca="1">LOOKUP(D507,'模拟-单技能数据'!$A$2:$A$19,'模拟-单技能数据'!$J$2:$J$19)+IF(CM507,60%,0)+IF(DB506-DB507&gt;0,30%,0)+IF(OR(AND(OR(C507="赤日轮1",C507="赤日轮2",C507="赤日轮3"),CR507),AND(OR(C507="幽月轮1",C507="幽月轮2",C507="幽月轮3"),CS507)),35%,0)+CJ507</f>
        <v>7.0000000000000007E-2</v>
      </c>
      <c r="L507" s="119">
        <f ca="1">IF(AND(C507="烈日斩",模拟模式!$X$11=1),10%,0)+IF(AND(C507="驱夜断愁",AB507=1),30%,0)</f>
        <v>0</v>
      </c>
      <c r="M507" s="45">
        <f t="shared" ca="1" si="409"/>
        <v>0.51185145527300213</v>
      </c>
      <c r="N507" s="45">
        <f t="shared" ca="1" si="410"/>
        <v>0.43424854472699792</v>
      </c>
      <c r="O507" s="46">
        <f t="shared" ca="1" si="434"/>
        <v>0.16719907787659993</v>
      </c>
      <c r="P507" s="46" t="str">
        <f t="shared" ca="1" si="435"/>
        <v>会</v>
      </c>
      <c r="Q507" s="45">
        <f t="shared" ca="1" si="436"/>
        <v>2.162482885499879</v>
      </c>
      <c r="R507" s="117">
        <f ca="1">模拟模式!$E$20*(1-IF(模拟模式!$J$19="有",0.15,0))*(1-IF(模拟模式!$K$19="有",0.3,0)-IF(CQ507,0.5,0))</f>
        <v>2950.6049999999996</v>
      </c>
      <c r="S507" s="45">
        <f ca="1">R507/(R507+(185*模拟模式!$E$22-16800)*4.08224)</f>
        <v>0.24272716014590323</v>
      </c>
      <c r="T507" s="45" t="str">
        <f ca="1">LOOKUP(D507,'模拟-单技能数据'!$A$2:$A$19,'模拟-单技能数据'!$H$2:$H$19)</f>
        <v>阴</v>
      </c>
      <c r="U507" s="119">
        <f t="shared" ca="1" si="411"/>
        <v>0.08</v>
      </c>
      <c r="V507" s="47">
        <f ca="1">(1+L507)*(LOOKUP(D507,'模拟-单技能数据'!$A$2:$A$19,'模拟-单技能数据'!$D$2:$D$19)+G507*LOOKUP(D507,'模拟-单技能数据'!$A$2:$A$19,'模拟-单技能数据'!$F$2:$F$19))*(1+J507)*(1+K507)*(1-S507)*(1+U507)*Q507*LOOKUP(D507,'模拟-单技能数据'!$A$2:$A$19,'模拟-单技能数据'!$I$2:$I$20)</f>
        <v>35088.919370823241</v>
      </c>
      <c r="W507" s="47">
        <f ca="1">LOOKUP(D507,'模拟-单技能数据'!$A$2:$A$19,'模拟-单技能数据'!$G$2:$G$19)*$I$10</f>
        <v>361.51064354704795</v>
      </c>
      <c r="X507" s="47">
        <f t="shared" ca="1" si="437"/>
        <v>9190.6918139866902</v>
      </c>
      <c r="Y507" s="47">
        <f t="shared" ca="1" si="412"/>
        <v>44641.121828356976</v>
      </c>
      <c r="Z507" s="49">
        <f t="shared" ca="1" si="413"/>
        <v>50288205.331932262</v>
      </c>
      <c r="AA507" s="97">
        <f t="shared" ca="1" si="414"/>
        <v>113568.66606127314</v>
      </c>
      <c r="AB507" s="115">
        <f ca="1">IF(OR(C507="赤日轮1",C507="赤日轮2",C507="赤日轮3"),IF(RAND()&lt;模拟模式!$Y$17,1,0),IF(OR(C507="幽月轮1",C507="幽月轮2",C507="幽月轮3"),IF(RAND()&lt;模拟模式!$Y$18,1,0),IF(C507="烈日斩",IF(RAND()&lt;模拟模式!$Y$19,1,0),IF(C507="银月斩",IF(RAND()&lt;模拟模式!$Y$20,1,0),IF(C507="驱夜断愁",IF(RAND()&lt;模拟模式!$Y$21,1,0),IF(C507="净世破魔击·日",IF(RAND()&lt;模拟模式!$Y$22,1,0),IF(C507="净世破魔击·月",IF(RAND()&lt;模拟模式!$Y$23,1,0),0)))))))</f>
        <v>1</v>
      </c>
      <c r="AC507" s="115" t="b">
        <f t="shared" ca="1" si="402"/>
        <v>0</v>
      </c>
      <c r="AD507" s="115" t="b">
        <f t="shared" ca="1" si="422"/>
        <v>0</v>
      </c>
      <c r="AE507" s="115">
        <f t="shared" ca="1" si="423"/>
        <v>4</v>
      </c>
      <c r="AF507" s="47">
        <f ca="1">IF(AC507,('模拟-单技能数据'!$D$20+G507*'模拟-单技能数据'!$F$20)*(1+J507)*(1+'模拟-单技能数据'!$J$20)*(1+U507),0)</f>
        <v>0</v>
      </c>
      <c r="AG507" s="61">
        <f t="shared" ca="1" si="415"/>
        <v>0.64185145527300214</v>
      </c>
      <c r="AH507" s="61">
        <f t="shared" ca="1" si="416"/>
        <v>2.2624828854998791</v>
      </c>
      <c r="AI507" s="62">
        <f t="shared" ca="1" si="438"/>
        <v>0.59747106528208893</v>
      </c>
      <c r="AJ507" s="47">
        <f ca="1">IF(AD507,IF(AI507&lt;$F$10,0,IF(AI507&lt;$F$10+$F$11,0.25,IF(AI507&lt;$F$10+$F$11+AG507,AH507,1)))*IF(AF507&gt;0,AF507,IF(AF506&gt;0,AF506,IF(AF505&gt;0,AF505,IF(AF504&gt;0,AF504,IF(AF503&gt;0,AF503,IF(AF502&gt;0,AF502,IF(AF501&gt;0,AF501,IF(AF500&gt;0,AF500,IF(AF499&gt;0,AF499,IF(AF497&gt;0,AF497,IF(AF496&gt;0,AF496,IF(AF495&gt;0,AF495,0)))))))))))),0)*(1-$S507)*'模拟-单技能数据'!$I$20</f>
        <v>0</v>
      </c>
      <c r="AK507" s="115" t="b">
        <f t="shared" ca="1" si="403"/>
        <v>0</v>
      </c>
      <c r="AL507" s="115" t="b">
        <f t="shared" ca="1" si="424"/>
        <v>1</v>
      </c>
      <c r="AM507" s="115">
        <f t="shared" ca="1" si="425"/>
        <v>3</v>
      </c>
      <c r="AN507" s="47">
        <f ca="1">IF(AK507,('模拟-单技能数据'!$D$21+G507*'模拟-单技能数据'!$F$21)*(1+J507)*(1+'模拟-单技能数据'!$J$21)*(1+U507),0)</f>
        <v>0</v>
      </c>
      <c r="AO507" s="61">
        <f ca="1">IF(AN507&gt;0,M507-'模拟-单技能数据'!$K$10,AO506)</f>
        <v>0.42185145527300216</v>
      </c>
      <c r="AP507" s="61">
        <f ca="1">IF(AN507&gt;0,I507-'模拟-单技能数据'!$L$10,AP506)</f>
        <v>2.162482885499879</v>
      </c>
      <c r="AQ507" s="63">
        <f t="shared" ca="1" si="439"/>
        <v>0.60408676024766883</v>
      </c>
      <c r="AR507" s="64">
        <f ca="1">IF(AL507,IF(AQ507&lt;$F$10,0,IF(AQ507&lt;$F$10+$F$11,0.25,IF(AQ507&lt;$F$10+$F$11+AO507,AP507,1)))*IF(AN507&gt;0,AN507,IF(AN506&gt;0,AN506,IF(AN505&gt;0,AN505,IF(AN504&gt;0,AN504,IF(AN503&gt;0,AN503,IF(AN502&gt;0,AN502,IF(AN501&gt;0,AN501,IF(AN500&gt;0,AN500,IF(AN499&gt;0,AN499,IF(AN497&gt;0,AN497,IF(AN496&gt;0,AN496,IF(AN495&gt;0,AN495,0)))))))))))),0)*(1-$S507)*'模拟-单技能数据'!$I$21</f>
        <v>9190.6918139866902</v>
      </c>
      <c r="AS507" s="61">
        <f ca="1">IF(OR(C507="净世破魔击·日",C507="净世破魔击·月"),M507-'模拟-单技能数据'!$K$10,0)</f>
        <v>0</v>
      </c>
      <c r="AT507" s="61">
        <f ca="1">IF(OR(C507="净世破魔击·日",C507="净世破魔击·月"),I507-'模拟-单技能数据'!$L$10,0)</f>
        <v>0</v>
      </c>
      <c r="AU507" s="62">
        <f t="shared" ca="1" si="440"/>
        <v>0.29826030416751392</v>
      </c>
      <c r="AV507" s="64">
        <f ca="1">IF(AS507&gt;0,('模拟-单技能数据'!$D$22+G507*'模拟-单技能数据'!$F$22)*(1+J507)*(1-S507)*IF(AU507&lt;$F$10,0,IF(AU507&lt;$F$10+$F$11,0.25,IF(AU507&lt;$F$10+$F$11+AS507,AT507,1)))*(1+U507),0)*'模拟-单技能数据'!$I$22</f>
        <v>0</v>
      </c>
      <c r="AW507" s="108">
        <f t="shared" ca="1" si="441"/>
        <v>15.387500000000003</v>
      </c>
      <c r="AX507" s="108" t="b">
        <f ca="1">AND(模拟模式!$P$10="有",AW506=0,RAND()&lt;IF(C507="净世破魔击·月",0.1*8/3,IF(C507="净世破魔击·日",0.1*4/3,0.1*2/3)))</f>
        <v>0</v>
      </c>
      <c r="AY507" s="47">
        <f ca="1">IF(AX507,(18+G507*0.722)*(1+J507)*(1-S507)*(1+$I$4)*IF(P507="会",'模拟-全程加成'!$J$3+'模拟-全程加成'!$J$4+'模拟-全程加成'!$J$5+('模拟-全程加成'!$I$4+'模拟-全程加成'!$I$5)/系数!$B$4+BG507*10%,IF(P507="命",1,IF(P507="识",0.25,0))),0)</f>
        <v>0</v>
      </c>
      <c r="AZ507" s="108">
        <f t="shared" si="442"/>
        <v>3.3950000000000062</v>
      </c>
      <c r="BA507" s="108" t="b">
        <f>AND(模拟模式!$Q$10="有",AZ506=0)</f>
        <v>0</v>
      </c>
      <c r="BB507" s="140">
        <f>IF(BA507,(0+G507*0.287)*(1+J507)*(1-S507)*(1+$I$4)*IF(P507="会",'模拟-全程加成'!$J$3+'模拟-全程加成'!$J$4+'模拟-全程加成'!$J$5+('模拟-全程加成'!$I$4+'模拟-全程加成'!$I$5)/系数!$B$4+BG507*10%,IF(P507="命",1,IF(P507="识",0.25,0))),0)</f>
        <v>0</v>
      </c>
      <c r="BC507" s="115" t="b">
        <f ca="1">AND(模拟模式!$R$7="伏明众生",E507=60,F507=20,DA507&lt;5,CZ506&lt;$F$4)</f>
        <v>0</v>
      </c>
      <c r="BD507" s="115">
        <f t="shared" ca="1" si="404"/>
        <v>0</v>
      </c>
      <c r="BE507" s="115" t="b">
        <f t="shared" ca="1" si="405"/>
        <v>0</v>
      </c>
      <c r="BF507" s="47">
        <f ca="1">IF(BC507,4*('模拟-单技能数据'!$D$24+G507*'模拟-单技能数据'!$F$24)*(1+J507)*(1+'模拟-单技能数据'!$J$24)*(1-S507)*(1+$I$3)*(('模拟-全程加成'!$J$3+'模拟-全程加成'!$J$4+'模拟-全程加成'!$J$5+('模拟-全程加成'!$I$4+'模拟-全程加成'!$I$5)/系数!$B$4+BG507*10%)*('模拟-全程加成'!$J$3+'模拟-全程加成'!$J$4+'模拟-全程加成'!$J$5+('模拟-全程加成'!$I$4+'模拟-全程加成'!$I$5)/系数!$B$4+BG507*10%)+(1-('模拟-全程加成'!$J$3+'模拟-全程加成'!$J$4+'模拟-全程加成'!$J$5+('模拟-全程加成'!$I$4+'模拟-全程加成'!$I$5)/系数!$B$4+BG507*10%)-$F$10-$F$11)+F493*0.25),0)*'模拟-单技能数据'!$I$24</f>
        <v>0</v>
      </c>
      <c r="BG507" s="115" t="b">
        <f ca="1">OR(AND(OR(C507="烈日斩",C507="银月斩"),模拟模式!$I$7="净身明礼"),AND(C507="净世破魔击·日",模拟模式!$J$7="洞若观火"),AND(C508="净世破魔击·月",模拟模式!$J$7="洞若观火"),AB507=1)</f>
        <v>1</v>
      </c>
      <c r="BH507" s="115" t="b">
        <f t="shared" ca="1" si="443"/>
        <v>0</v>
      </c>
      <c r="BI507" s="115">
        <f t="shared" ca="1" si="406"/>
        <v>0</v>
      </c>
      <c r="BJ507" s="115" t="b">
        <f t="shared" ca="1" si="417"/>
        <v>0</v>
      </c>
      <c r="BK507" s="115" t="b">
        <f ca="1">AND(C507="驱夜断愁",模拟模式!$P$7="天地诛戮")</f>
        <v>0</v>
      </c>
      <c r="BL507" s="57">
        <f t="shared" ca="1" si="407"/>
        <v>18.155000000000001</v>
      </c>
      <c r="BM507" s="115" t="b">
        <f t="shared" ca="1" si="418"/>
        <v>1</v>
      </c>
      <c r="BN507" s="115" t="b">
        <f ca="1">AND(OR(C507="赤日轮1",C507="赤日轮2",C507="赤日轮3",C507="幽月轮1",C507="幽月轮2",C507="幽月轮3"),AB507=1,模拟模式!$L$7="明光恒照")</f>
        <v>1</v>
      </c>
      <c r="BO507" s="117">
        <f t="shared" ca="1" si="408"/>
        <v>30</v>
      </c>
      <c r="BP507" s="115">
        <f t="shared" ca="1" si="444"/>
        <v>6</v>
      </c>
      <c r="BQ507" s="115" t="b">
        <f>模拟模式!$K$10="2600·水"</f>
        <v>0</v>
      </c>
      <c r="BR507" s="117">
        <f t="shared" si="445"/>
        <v>0</v>
      </c>
      <c r="BS507" s="115">
        <f t="shared" si="446"/>
        <v>0</v>
      </c>
      <c r="BT507" s="115">
        <f t="shared" ca="1" si="447"/>
        <v>0</v>
      </c>
      <c r="BU507" s="115" t="b">
        <f ca="1">AND(模拟模式!$K$10="2300·雷",BT506=0,RAND()&lt;IF(C507="净世破魔击·月",5*0.05*2/3,IF(C507="净世破魔击·日",3*0.05*2/3,0.05*2*2/3)))</f>
        <v>0</v>
      </c>
      <c r="BV507" s="115">
        <f t="shared" ca="1" si="448"/>
        <v>0</v>
      </c>
      <c r="BW507" s="115">
        <f t="shared" ca="1" si="449"/>
        <v>112.65749999999925</v>
      </c>
      <c r="BX507" s="164" t="b">
        <f t="shared" ca="1" si="450"/>
        <v>0</v>
      </c>
      <c r="BY507" s="115">
        <f t="shared" ca="1" si="451"/>
        <v>0</v>
      </c>
      <c r="BZ507" s="115">
        <f>IF(OR(模拟模式!$P$16="10人团",模拟模式!$P$16="25人团"),IF(B507/30&gt;CA506,1,0),0)</f>
        <v>0</v>
      </c>
      <c r="CA507" s="115">
        <f t="shared" si="427"/>
        <v>0</v>
      </c>
      <c r="CB507" s="115">
        <f ca="1">IF(BZ507=1,IF(模拟模式!$P$16="10人团",15,0)+IF(模拟模式!$P$16="25人团",IF(RAND()&lt;0.6,15,0)),MAX(0,CB506-$F$4))</f>
        <v>0</v>
      </c>
      <c r="CC507" s="115" t="b">
        <f t="shared" ca="1" si="419"/>
        <v>0</v>
      </c>
      <c r="CD507" s="115">
        <f>IF(模拟模式!$Q$16="1个",IF(B507/40&gt;CE506,1,0),0)</f>
        <v>0</v>
      </c>
      <c r="CE507" s="115">
        <f t="shared" si="420"/>
        <v>0</v>
      </c>
      <c r="CF507" s="115">
        <f>IF(OR(CD507=1,模拟模式!$Q$16="2个"),20,MAX(0,CF506-$F$4))</f>
        <v>0</v>
      </c>
      <c r="CG507" s="115" t="b">
        <f t="shared" si="421"/>
        <v>0</v>
      </c>
      <c r="CH507" s="115">
        <f t="shared" ca="1" si="452"/>
        <v>2.3250000000000117</v>
      </c>
      <c r="CI507" s="115" t="b">
        <f t="shared" ca="1" si="453"/>
        <v>0</v>
      </c>
      <c r="CJ507" s="119">
        <f t="shared" ca="1" si="454"/>
        <v>0</v>
      </c>
      <c r="CK507" s="115">
        <f t="shared" ca="1" si="455"/>
        <v>0</v>
      </c>
      <c r="CL507" s="115" t="b">
        <f ca="1">AND(模拟模式!$S$7="驱夷逐法",OR(AND(C507="净世破魔击·月",E506&gt;59),AND(C507="净世破魔击·日",F506&gt;59)))</f>
        <v>0</v>
      </c>
      <c r="CM507" s="115" t="b">
        <f ca="1">OR(CL507,AND(C507="净世破魔击·日",CL506,RAND()&lt;模拟模式!$U$23))</f>
        <v>0</v>
      </c>
      <c r="CN507" s="115" t="b">
        <f ca="1">IF(模拟模式!$M$7="辉耀红尘",AND(C507="净世破魔击·月",CL507,CV507=0,E506&lt;80),AND(C507="净世破魔击·月",CL507,E506&lt;100))</f>
        <v>0</v>
      </c>
      <c r="CO507" s="115" t="b">
        <f t="shared" ca="1" si="428"/>
        <v>0</v>
      </c>
      <c r="CP507" s="115" t="b">
        <f ca="1">AND(模拟模式!$O$7="用晦而明",OR(C507="净世破魔击·日",C507="净世破魔击·月",C507="驱夜断愁"),AB507)</f>
        <v>0</v>
      </c>
      <c r="CQ507" s="115" t="b">
        <f ca="1">OR(CP507,AND(CP506,RAND()&lt;模拟模式!$U$23))</f>
        <v>0</v>
      </c>
      <c r="CR507" s="115" t="b">
        <f ca="1">AND(模拟模式!$S$7="日月齐光",OR(C507="幽月轮1",C507="幽月轮2",C507="幽月轮3",CR506),NOT(OR(C507="赤日轮1",C507="赤日轮2",C507="赤日轮3")))</f>
        <v>0</v>
      </c>
      <c r="CS507" s="115" t="b">
        <f ca="1">AND(模拟模式!$S$7="日月齐光",OR(C507="赤日轮1",C507="赤日轮2",C507="赤日轮3",CS506),NOT(OR(C507="幽月轮1",C507="幽月轮2",C507="幽月轮3")))</f>
        <v>0</v>
      </c>
      <c r="CT507" s="115">
        <f t="shared" ca="1" si="456"/>
        <v>0.48000000000001186</v>
      </c>
      <c r="CU507" s="115" t="b">
        <f ca="1">AND(模拟模式!$K$10="阴阳往极",CT506=0,RAND()&lt;IF(C507="净世破魔击·月",0.0275*7/3,IF(C507="净世破魔击·日",0.0275*3/3,0.0275*2/3)))</f>
        <v>0</v>
      </c>
      <c r="CV507" s="115">
        <f t="shared" ca="1" si="457"/>
        <v>0</v>
      </c>
      <c r="CW507" s="115">
        <f t="shared" ca="1" si="429"/>
        <v>5.0774999999999997</v>
      </c>
      <c r="CX507" s="115">
        <f t="shared" ca="1" si="430"/>
        <v>3.2324999999999995</v>
      </c>
      <c r="CY507" s="115">
        <f ca="1">MAX(IF($C507="驱夜断愁",IF(模拟模式!$R$7="万念俱寂",6,45),CY506-$F$4),0)</f>
        <v>4.1549999999999994</v>
      </c>
      <c r="CZ507" s="115">
        <f t="shared" ca="1" si="431"/>
        <v>0</v>
      </c>
      <c r="DA507" s="115">
        <f ca="1">IF(模拟模式!$N$7="日月同辉",IF(DB506=2,0,MIN(6,IF(AND(OR(C507="赤日轮1",C507="赤日轮2",C507="赤日轮3",C507="幽月轮1",C507="幽月轮2",C507="幽月轮3"),AB507=1),DA506+1,DA506))),0)</f>
        <v>1</v>
      </c>
      <c r="DB507" s="115">
        <f t="shared" ca="1" si="432"/>
        <v>0</v>
      </c>
      <c r="DC507" s="115"/>
      <c r="DD507" s="115"/>
      <c r="DE507" s="115"/>
      <c r="DF507" s="115"/>
      <c r="DG507" s="115"/>
      <c r="DH507" s="115"/>
      <c r="DI507" s="115"/>
      <c r="DJ507" s="115"/>
      <c r="DK507" s="115"/>
      <c r="DL507" s="115"/>
      <c r="DM507" s="115"/>
    </row>
    <row r="508" spans="2:117" x14ac:dyDescent="0.2">
      <c r="B508" s="117">
        <f t="shared" si="433"/>
        <v>443.72250000000457</v>
      </c>
      <c r="C508" s="167" t="str">
        <f t="shared" ca="1" si="426"/>
        <v>净世破魔击·月</v>
      </c>
      <c r="D508" s="115">
        <f ca="1">IF(C508="赤日轮1",1,IF(C508="赤日轮2",2,IF(C508="赤日轮3",3,IF(C508="幽月轮1",4,IF(C508="幽月轮2",5,IF(C508="幽月轮3",6,IF(C508="烈日斩",7,IF(C508="银月斩",8,IF(C508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508="净世破魔击·月",17,IF(C508="驱夜断愁",18,0)))))))))))</f>
        <v>17</v>
      </c>
      <c r="E508" s="115">
        <f ca="1">IF(AND(CU508,OR(C508="幽月轮1",C508="幽月轮2",C508="幽月轮3",C508="银月斩",C508="驱夜断愁",C508="净世破魔击·月")),100,MIN(IF(OR(CN508,BE508),0,IF(OR($C508="赤日轮1",$C508="赤日轮2",$C508="赤日轮3"),E507+20+IF(模拟模式!$I$7="日月凌天",4,0)+IF(CR507,20,0),IF($C508="烈日斩",E507+40,IF($C508="驱夜断愁",IF(模拟模式!$R$7="万念俱寂",E507+20,E507+60),IF($C508="净世破魔击·月",IF(OR(DB507&gt;0,CV507&gt;0),100,IF(模拟模式!$M$7="辉耀红尘",E507+20,E507)),IF($C508="净世破魔击·日",E507-100,E507)))))),100))</f>
        <v>100</v>
      </c>
      <c r="F508" s="115">
        <f ca="1">IF(AND(CU508,OR(C508="赤日轮1",C508="赤日轮2",C508="赤日轮3",C508="烈日斩",C508="净世破魔击·日")),100,MIN(IF(CO508,0,IF(OR($C508="幽月轮1",$C508="幽月轮2",$C508="幽月轮3"),F507+20+IF(模拟模式!$I$7="日月凌天",4,0)+IF(CS507,20,0),IF($C508="银月斩",F507+40+IF(模拟模式!$X$12=1,5,0),IF($C508="驱夜断愁",IF(模拟模式!$R$7="万念俱寂",F507+20,F507+60),IF($C508="净世破魔击·月",IF(模拟模式!$M$7="辉耀红尘",F507-80,F507-100),IF(AND(C508="净世破魔击·日",OR(DB507&gt;0,CV507&gt;0)),100,F507)))))),100))</f>
        <v>20</v>
      </c>
      <c r="G508" s="117">
        <f ca="1">('模拟-全程加成'!$E$3+'模拟-全程加成'!$E$4+'模拟-全程加成'!$E$5+('模拟-全程加成'!$C$6-'模拟-全程加成'!$C$3)*系数!$B$9+BS508*23)*(1+'模拟-全程加成'!$F$4+'模拟-全程加成'!$F$5+BJ508*10%+BM508*20%+BP508*4%+CG508*30%)+$F$7*系数!$B$12</f>
        <v>20583.127400000001</v>
      </c>
      <c r="H508" s="45">
        <f ca="1">'模拟-全程加成'!$H$3+'模拟-全程加成'!$H$4+'模拟-全程加成'!$H$5+('模拟-全程加成'!$G$4+'模拟-全程加成'!$G$5+('模拟-全程加成'!$C$6-'模拟-全程加成'!$C$3)*系数!$B$13)/系数!$B$3+LOOKUP(D508,'模拟-单技能数据'!$A$2:$A$19,'模拟-单技能数据'!$K$2:$K$19)+BG508*10%+IF(BV508&gt;0,378,0)</f>
        <v>0.54185145527300216</v>
      </c>
      <c r="I508" s="45">
        <f ca="1">'模拟-全程加成'!$J$3+'模拟-全程加成'!$J$4+'模拟-全程加成'!$J$5+('模拟-全程加成'!$I$4+'模拟-全程加成'!$I$5)/系数!$B$4+LOOKUP(D508,'模拟-单技能数据'!$A$2:$A$19,'模拟-单技能数据'!$L$2:$L$19)+BG508*10%</f>
        <v>2.162482885499879</v>
      </c>
      <c r="J508" s="45">
        <f ca="1">(('模拟-全程加成'!$K$3+'模拟-全程加成'!$K$4+'模拟-全程加成'!$K$5+('模拟-全程加成'!$C$6-'模拟-全程加成'!$C$3)*系数!$B$10+IF(BV508&gt;0,882,0)+IF(BY508&gt;0,1831,0))*(1+'模拟-全程加成'!$L$4+'模拟-全程加成'!$L$5+CC508*20%))/系数!$B$5</f>
        <v>0.69723220422048726</v>
      </c>
      <c r="K508" s="119">
        <f ca="1">LOOKUP(D508,'模拟-单技能数据'!$A$2:$A$19,'模拟-单技能数据'!$J$2:$J$19)+IF(CM508,60%,0)+IF(DB507-DB508&gt;0,30%,0)+IF(OR(AND(OR(C508="赤日轮1",C508="赤日轮2",C508="赤日轮3"),CR508),AND(OR(C508="幽月轮1",C508="幽月轮2",C508="幽月轮3"),CS508)),35%,0)+CJ508</f>
        <v>0.8</v>
      </c>
      <c r="L508" s="119">
        <f ca="1">IF(AND(C508="烈日斩",模拟模式!$X$11=1),10%,0)+IF(AND(C508="驱夜断愁",AB508=1),30%,0)</f>
        <v>0</v>
      </c>
      <c r="M508" s="45">
        <f t="shared" ca="1" si="409"/>
        <v>0.54185145527300216</v>
      </c>
      <c r="N508" s="45">
        <f t="shared" ca="1" si="410"/>
        <v>0.40424854472699789</v>
      </c>
      <c r="O508" s="46">
        <f t="shared" ca="1" si="434"/>
        <v>0.64616852918133549</v>
      </c>
      <c r="P508" s="46" t="str">
        <f t="shared" ca="1" si="435"/>
        <v>命</v>
      </c>
      <c r="Q508" s="45">
        <f t="shared" ca="1" si="436"/>
        <v>1</v>
      </c>
      <c r="R508" s="117">
        <f ca="1">模拟模式!$E$20*(1-IF(模拟模式!$J$19="有",0.15,0))*(1-IF(模拟模式!$K$19="有",0.3,0)-IF(CQ508,0.5,0))</f>
        <v>843.02999999999975</v>
      </c>
      <c r="S508" s="45">
        <f ca="1">R508/(R508+(185*模拟模式!$E$22-16800)*4.08224)</f>
        <v>8.389626085980037E-2</v>
      </c>
      <c r="T508" s="45" t="str">
        <f ca="1">LOOKUP(D508,'模拟-单技能数据'!$A$2:$A$19,'模拟-单技能数据'!$H$2:$H$19)</f>
        <v>阴</v>
      </c>
      <c r="U508" s="119">
        <f t="shared" ca="1" si="411"/>
        <v>0.08</v>
      </c>
      <c r="V508" s="47">
        <f ca="1">(1+L508)*(LOOKUP(D508,'模拟-单技能数据'!$A$2:$A$19,'模拟-单技能数据'!$D$2:$D$19)+G508*LOOKUP(D508,'模拟-单技能数据'!$A$2:$A$19,'模拟-单技能数据'!$F$2:$F$19))*(1+J508)*(1+K508)*(1-S508)*(1+U508)*Q508*LOOKUP(D508,'模拟-单技能数据'!$A$2:$A$19,'模拟-单技能数据'!$I$2:$I$20)</f>
        <v>80864.621558254468</v>
      </c>
      <c r="W508" s="47">
        <f ca="1">LOOKUP(D508,'模拟-单技能数据'!$A$2:$A$19,'模拟-单技能数据'!$G$2:$G$19)*$I$10</f>
        <v>361.51064354704795</v>
      </c>
      <c r="X508" s="47">
        <f t="shared" ca="1" si="437"/>
        <v>16858.386290731236</v>
      </c>
      <c r="Y508" s="47">
        <f t="shared" ca="1" si="412"/>
        <v>98084.518492532748</v>
      </c>
      <c r="Z508" s="49">
        <f t="shared" ca="1" si="413"/>
        <v>50386289.850424796</v>
      </c>
      <c r="AA508" s="97">
        <f t="shared" ca="1" si="414"/>
        <v>113553.60580187905</v>
      </c>
      <c r="AB508" s="115">
        <f ca="1">IF(OR(C508="赤日轮1",C508="赤日轮2",C508="赤日轮3"),IF(RAND()&lt;模拟模式!$Y$17,1,0),IF(OR(C508="幽月轮1",C508="幽月轮2",C508="幽月轮3"),IF(RAND()&lt;模拟模式!$Y$18,1,0),IF(C508="烈日斩",IF(RAND()&lt;模拟模式!$Y$19,1,0),IF(C508="银月斩",IF(RAND()&lt;模拟模式!$Y$20,1,0),IF(C508="驱夜断愁",IF(RAND()&lt;模拟模式!$Y$21,1,0),IF(C508="净世破魔击·日",IF(RAND()&lt;模拟模式!$Y$22,1,0),IF(C508="净世破魔击·月",IF(RAND()&lt;模拟模式!$Y$23,1,0),0)))))))</f>
        <v>1</v>
      </c>
      <c r="AC508" s="115" t="b">
        <f t="shared" ca="1" si="402"/>
        <v>0</v>
      </c>
      <c r="AD508" s="115" t="b">
        <f t="shared" ca="1" si="422"/>
        <v>1</v>
      </c>
      <c r="AE508" s="115">
        <f t="shared" ca="1" si="423"/>
        <v>3</v>
      </c>
      <c r="AF508" s="47">
        <f ca="1">IF(AC508,('模拟-单技能数据'!$D$20+G508*'模拟-单技能数据'!$F$20)*(1+J508)*(1+'模拟-单技能数据'!$J$20)*(1+U508),0)</f>
        <v>0</v>
      </c>
      <c r="AG508" s="61">
        <f t="shared" ca="1" si="415"/>
        <v>0.64185145527300214</v>
      </c>
      <c r="AH508" s="61">
        <f t="shared" ca="1" si="416"/>
        <v>2.2624828854998791</v>
      </c>
      <c r="AI508" s="62">
        <f t="shared" ca="1" si="438"/>
        <v>0.29332472576181712</v>
      </c>
      <c r="AJ508" s="47">
        <f ca="1">IF(AD508,IF(AI508&lt;$F$10,0,IF(AI508&lt;$F$10+$F$11,0.25,IF(AI508&lt;$F$10+$F$11+AG508,AH508,1)))*IF(AF508&gt;0,AF508,IF(AF507&gt;0,AF507,IF(AF506&gt;0,AF506,IF(AF505&gt;0,AF505,IF(AF504&gt;0,AF504,IF(AF503&gt;0,AF503,IF(AF502&gt;0,AF502,IF(AF501&gt;0,AF501,IF(AF500&gt;0,AF500,IF(AF498&gt;0,AF498,IF(AF497&gt;0,AF497,IF(AF496&gt;0,AF496,0)))))))))))),0)*(1-$S508)*'模拟-单技能数据'!$I$20</f>
        <v>9218.9345386263849</v>
      </c>
      <c r="AK508" s="115" t="b">
        <f t="shared" ca="1" si="403"/>
        <v>0</v>
      </c>
      <c r="AL508" s="115" t="b">
        <f t="shared" ca="1" si="424"/>
        <v>0</v>
      </c>
      <c r="AM508" s="115">
        <f t="shared" ca="1" si="425"/>
        <v>3</v>
      </c>
      <c r="AN508" s="47">
        <f ca="1">IF(AK508,('模拟-单技能数据'!$D$21+G508*'模拟-单技能数据'!$F$21)*(1+J508)*(1+'模拟-单技能数据'!$J$21)*(1+U508),0)</f>
        <v>0</v>
      </c>
      <c r="AO508" s="61">
        <f ca="1">IF(AN508&gt;0,M508-'模拟-单技能数据'!$K$10,AO507)</f>
        <v>0.42185145527300216</v>
      </c>
      <c r="AP508" s="61">
        <f ca="1">IF(AN508&gt;0,I508-'模拟-单技能数据'!$L$10,AP507)</f>
        <v>2.162482885499879</v>
      </c>
      <c r="AQ508" s="63">
        <f t="shared" ca="1" si="439"/>
        <v>0.93001118135044569</v>
      </c>
      <c r="AR508" s="64">
        <f ca="1">IF(AL508,IF(AQ508&lt;$F$10,0,IF(AQ508&lt;$F$10+$F$11,0.25,IF(AQ508&lt;$F$10+$F$11+AO508,AP508,1)))*IF(AN508&gt;0,AN508,IF(AN507&gt;0,AN507,IF(AN506&gt;0,AN506,IF(AN505&gt;0,AN505,IF(AN504&gt;0,AN504,IF(AN503&gt;0,AN503,IF(AN502&gt;0,AN502,IF(AN501&gt;0,AN501,IF(AN500&gt;0,AN500,IF(AN498&gt;0,AN498,IF(AN497&gt;0,AN497,IF(AN496&gt;0,AN496,0)))))))))))),0)*(1-$S508)*'模拟-单技能数据'!$I$21</f>
        <v>0</v>
      </c>
      <c r="AS508" s="61">
        <f ca="1">IF(OR(C508="净世破魔击·日",C508="净世破魔击·月"),M508-'模拟-单技能数据'!$K$10,0)</f>
        <v>0.42185145527300216</v>
      </c>
      <c r="AT508" s="61">
        <f ca="1">IF(OR(C508="净世破魔击·日",C508="净世破魔击·月"),I508-'模拟-单技能数据'!$L$10,0)</f>
        <v>2.162482885499879</v>
      </c>
      <c r="AU508" s="62">
        <f t="shared" ca="1" si="440"/>
        <v>0.99419888638322873</v>
      </c>
      <c r="AV508" s="64">
        <f ca="1">IF(AS508&gt;0,('模拟-单技能数据'!$D$22+G508*'模拟-单技能数据'!$F$22)*(1+J508)*(1-S508)*IF(AU508&lt;$F$10,0,IF(AU508&lt;$F$10+$F$11,0.25,IF(AU508&lt;$F$10+$F$11+AS508,AT508,1)))*(1+U508),0)*'模拟-单技能数据'!$I$22</f>
        <v>7639.4517521048492</v>
      </c>
      <c r="AW508" s="108">
        <f t="shared" ca="1" si="441"/>
        <v>14.465000000000003</v>
      </c>
      <c r="AX508" s="108" t="b">
        <f ca="1">AND(模拟模式!$P$10="有",AW507=0,RAND()&lt;IF(C508="净世破魔击·月",0.1*8/3,IF(C508="净世破魔击·日",0.1*4/3,0.1*2/3)))</f>
        <v>0</v>
      </c>
      <c r="AY508" s="47">
        <f ca="1">IF(AX508,(18+G508*0.722)*(1+J508)*(1-S508)*(1+$I$4)*IF(P508="会",'模拟-全程加成'!$J$3+'模拟-全程加成'!$J$4+'模拟-全程加成'!$J$5+('模拟-全程加成'!$I$4+'模拟-全程加成'!$I$5)/系数!$B$4+BG508*10%,IF(P508="命",1,IF(P508="识",0.25,0))),0)</f>
        <v>0</v>
      </c>
      <c r="AZ508" s="108">
        <f t="shared" si="442"/>
        <v>2.4725000000000064</v>
      </c>
      <c r="BA508" s="108" t="b">
        <f>AND(模拟模式!$Q$10="有",AZ507=0)</f>
        <v>0</v>
      </c>
      <c r="BB508" s="140">
        <f>IF(BA508,(0+G508*0.287)*(1+J508)*(1-S508)*(1+$I$4)*IF(P508="会",'模拟-全程加成'!$J$3+'模拟-全程加成'!$J$4+'模拟-全程加成'!$J$5+('模拟-全程加成'!$I$4+'模拟-全程加成'!$I$5)/系数!$B$4+BG508*10%,IF(P508="命",1,IF(P508="识",0.25,0))),0)</f>
        <v>0</v>
      </c>
      <c r="BC508" s="115" t="b">
        <f ca="1">AND(模拟模式!$R$7="伏明众生",E508=60,F508=20,DA508&lt;5,CZ507&lt;$F$4)</f>
        <v>0</v>
      </c>
      <c r="BD508" s="115">
        <f t="shared" ca="1" si="404"/>
        <v>0</v>
      </c>
      <c r="BE508" s="115" t="b">
        <f t="shared" ca="1" si="405"/>
        <v>0</v>
      </c>
      <c r="BF508" s="47">
        <f ca="1">IF(BC508,4*('模拟-单技能数据'!$D$24+G508*'模拟-单技能数据'!$F$24)*(1+J508)*(1+'模拟-单技能数据'!$J$24)*(1-S508)*(1+$I$3)*(('模拟-全程加成'!$J$3+'模拟-全程加成'!$J$4+'模拟-全程加成'!$J$5+('模拟-全程加成'!$I$4+'模拟-全程加成'!$I$5)/系数!$B$4+BG508*10%)*('模拟-全程加成'!$J$3+'模拟-全程加成'!$J$4+'模拟-全程加成'!$J$5+('模拟-全程加成'!$I$4+'模拟-全程加成'!$I$5)/系数!$B$4+BG508*10%)+(1-('模拟-全程加成'!$J$3+'模拟-全程加成'!$J$4+'模拟-全程加成'!$J$5+('模拟-全程加成'!$I$4+'模拟-全程加成'!$I$5)/系数!$B$4+BG508*10%)-$F$10-$F$11)+F494*0.25),0)*'模拟-单技能数据'!$I$24</f>
        <v>0</v>
      </c>
      <c r="BG508" s="115" t="b">
        <f ca="1">OR(AND(OR(C508="烈日斩",C508="银月斩"),模拟模式!$I$7="净身明礼"),AND(C508="净世破魔击·日",模拟模式!$J$7="洞若观火"),AND(C509="净世破魔击·月",模拟模式!$J$7="洞若观火"),AB508=1)</f>
        <v>1</v>
      </c>
      <c r="BH508" s="115" t="b">
        <f t="shared" ca="1" si="443"/>
        <v>0</v>
      </c>
      <c r="BI508" s="115">
        <f t="shared" ca="1" si="406"/>
        <v>0</v>
      </c>
      <c r="BJ508" s="115" t="b">
        <f t="shared" ca="1" si="417"/>
        <v>0</v>
      </c>
      <c r="BK508" s="115" t="b">
        <f ca="1">AND(C508="驱夜断愁",模拟模式!$P$7="天地诛戮")</f>
        <v>0</v>
      </c>
      <c r="BL508" s="57">
        <f t="shared" ca="1" si="407"/>
        <v>17.232500000000002</v>
      </c>
      <c r="BM508" s="115" t="b">
        <f t="shared" ca="1" si="418"/>
        <v>1</v>
      </c>
      <c r="BN508" s="115" t="b">
        <f ca="1">AND(OR(C508="赤日轮1",C508="赤日轮2",C508="赤日轮3",C508="幽月轮1",C508="幽月轮2",C508="幽月轮3"),AB508=1,模拟模式!$L$7="明光恒照")</f>
        <v>0</v>
      </c>
      <c r="BO508" s="117">
        <f t="shared" ca="1" si="408"/>
        <v>29.077500000000001</v>
      </c>
      <c r="BP508" s="115">
        <f t="shared" ca="1" si="444"/>
        <v>6</v>
      </c>
      <c r="BQ508" s="115" t="b">
        <f>模拟模式!$K$10="2600·水"</f>
        <v>0</v>
      </c>
      <c r="BR508" s="117">
        <f t="shared" si="445"/>
        <v>0</v>
      </c>
      <c r="BS508" s="115">
        <f t="shared" si="446"/>
        <v>0</v>
      </c>
      <c r="BT508" s="115">
        <f t="shared" ca="1" si="447"/>
        <v>0</v>
      </c>
      <c r="BU508" s="115" t="b">
        <f ca="1">AND(模拟模式!$K$10="2300·雷",BT507=0,RAND()&lt;IF(C508="净世破魔击·月",5*0.05*2/3,IF(C508="净世破魔击·日",3*0.05*2/3,0.05*2*2/3)))</f>
        <v>0</v>
      </c>
      <c r="BV508" s="115">
        <f t="shared" ca="1" si="448"/>
        <v>0</v>
      </c>
      <c r="BW508" s="115">
        <f t="shared" ca="1" si="449"/>
        <v>111.73499999999925</v>
      </c>
      <c r="BX508" s="164" t="b">
        <f t="shared" ca="1" si="450"/>
        <v>0</v>
      </c>
      <c r="BY508" s="115">
        <f t="shared" ca="1" si="451"/>
        <v>0</v>
      </c>
      <c r="BZ508" s="115">
        <f>IF(OR(模拟模式!$P$16="10人团",模拟模式!$P$16="25人团"),IF(B508/30&gt;CA507,1,0),0)</f>
        <v>0</v>
      </c>
      <c r="CA508" s="115">
        <f t="shared" si="427"/>
        <v>0</v>
      </c>
      <c r="CB508" s="115">
        <f ca="1">IF(BZ508=1,IF(模拟模式!$P$16="10人团",15,0)+IF(模拟模式!$P$16="25人团",IF(RAND()&lt;0.6,15,0)),MAX(0,CB507-$F$4))</f>
        <v>0</v>
      </c>
      <c r="CC508" s="115" t="b">
        <f t="shared" ca="1" si="419"/>
        <v>0</v>
      </c>
      <c r="CD508" s="115">
        <f>IF(模拟模式!$Q$16="1个",IF(B508/40&gt;CE507,1,0),0)</f>
        <v>0</v>
      </c>
      <c r="CE508" s="115">
        <f t="shared" si="420"/>
        <v>0</v>
      </c>
      <c r="CF508" s="115">
        <f>IF(OR(CD508=1,模拟模式!$Q$16="2个"),20,MAX(0,CF507-$F$4))</f>
        <v>0</v>
      </c>
      <c r="CG508" s="115" t="b">
        <f t="shared" si="421"/>
        <v>0</v>
      </c>
      <c r="CH508" s="115">
        <f t="shared" ca="1" si="452"/>
        <v>1.4025000000000118</v>
      </c>
      <c r="CI508" s="115" t="b">
        <f t="shared" ca="1" si="453"/>
        <v>0</v>
      </c>
      <c r="CJ508" s="119">
        <f t="shared" ca="1" si="454"/>
        <v>0</v>
      </c>
      <c r="CK508" s="115">
        <f t="shared" ca="1" si="455"/>
        <v>0</v>
      </c>
      <c r="CL508" s="115" t="b">
        <f ca="1">AND(模拟模式!$S$7="驱夷逐法",OR(AND(C508="净世破魔击·月",E507&gt;59),AND(C508="净世破魔击·日",F507&gt;59)))</f>
        <v>1</v>
      </c>
      <c r="CM508" s="115" t="b">
        <f ca="1">OR(CL508,AND(C508="净世破魔击·日",CL507,RAND()&lt;模拟模式!$U$23))</f>
        <v>1</v>
      </c>
      <c r="CN508" s="115" t="b">
        <f ca="1">IF(模拟模式!$M$7="辉耀红尘",AND(C508="净世破魔击·月",CL508,CV508=0,E507&lt;80),AND(C508="净世破魔击·月",CL508,E507&lt;100))</f>
        <v>0</v>
      </c>
      <c r="CO508" s="115" t="b">
        <f t="shared" ca="1" si="428"/>
        <v>0</v>
      </c>
      <c r="CP508" s="115" t="b">
        <f ca="1">AND(模拟模式!$O$7="用晦而明",OR(C508="净世破魔击·日",C508="净世破魔击·月",C508="驱夜断愁"),AB508)</f>
        <v>1</v>
      </c>
      <c r="CQ508" s="115" t="b">
        <f ca="1">OR(CP508,AND(CP507,RAND()&lt;模拟模式!$U$23))</f>
        <v>1</v>
      </c>
      <c r="CR508" s="115" t="b">
        <f ca="1">AND(模拟模式!$S$7="日月齐光",OR(C508="幽月轮1",C508="幽月轮2",C508="幽月轮3",CR507),NOT(OR(C508="赤日轮1",C508="赤日轮2",C508="赤日轮3")))</f>
        <v>0</v>
      </c>
      <c r="CS508" s="115" t="b">
        <f ca="1">AND(模拟模式!$S$7="日月齐光",OR(C508="赤日轮1",C508="赤日轮2",C508="赤日轮3",CS507),NOT(OR(C508="幽月轮1",C508="幽月轮2",C508="幽月轮3")))</f>
        <v>0</v>
      </c>
      <c r="CT508" s="115">
        <f t="shared" ca="1" si="456"/>
        <v>0</v>
      </c>
      <c r="CU508" s="115" t="b">
        <f ca="1">AND(模拟模式!$K$10="阴阳往极",CT507=0,RAND()&lt;IF(C508="净世破魔击·月",0.0275*7/3,IF(C508="净世破魔击·日",0.0275*3/3,0.0275*2/3)))</f>
        <v>0</v>
      </c>
      <c r="CV508" s="115">
        <f t="shared" ca="1" si="457"/>
        <v>0</v>
      </c>
      <c r="CW508" s="115">
        <f t="shared" ca="1" si="429"/>
        <v>4.1549999999999994</v>
      </c>
      <c r="CX508" s="115">
        <f t="shared" ca="1" si="430"/>
        <v>2.3099999999999996</v>
      </c>
      <c r="CY508" s="115">
        <f ca="1">MAX(IF($C508="驱夜断愁",IF(模拟模式!$R$7="万念俱寂",6,45),CY507-$F$4),0)</f>
        <v>3.2324999999999995</v>
      </c>
      <c r="CZ508" s="115">
        <f t="shared" ca="1" si="431"/>
        <v>0</v>
      </c>
      <c r="DA508" s="115">
        <f ca="1">IF(模拟模式!$N$7="日月同辉",IF(DB507=2,0,MIN(6,IF(AND(OR(C508="赤日轮1",C508="赤日轮2",C508="赤日轮3",C508="幽月轮1",C508="幽月轮2",C508="幽月轮3"),AB508=1),DA507+1,DA507))),0)</f>
        <v>1</v>
      </c>
      <c r="DB508" s="115">
        <f t="shared" ca="1" si="432"/>
        <v>0</v>
      </c>
      <c r="DC508" s="115"/>
      <c r="DD508" s="115"/>
      <c r="DE508" s="115"/>
      <c r="DF508" s="115"/>
      <c r="DG508" s="115"/>
      <c r="DH508" s="115"/>
      <c r="DI508" s="115"/>
      <c r="DJ508" s="115"/>
      <c r="DK508" s="115"/>
      <c r="DL508" s="115"/>
      <c r="DM508" s="115"/>
    </row>
    <row r="509" spans="2:117" x14ac:dyDescent="0.2">
      <c r="B509" s="117">
        <f t="shared" si="433"/>
        <v>444.64500000000459</v>
      </c>
      <c r="C509" s="167" t="str">
        <f t="shared" ca="1" si="426"/>
        <v>净世破魔击·日</v>
      </c>
      <c r="D509" s="115">
        <f ca="1">IF(C509="赤日轮1",1,IF(C509="赤日轮2",2,IF(C509="赤日轮3",3,IF(C509="幽月轮1",4,IF(C509="幽月轮2",5,IF(C509="幽月轮3",6,IF(C509="烈日斩",7,IF(C509="银月斩",8,IF(C509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509="净世破魔击·月",17,IF(C509="驱夜断愁",18,0)))))))))))</f>
        <v>9</v>
      </c>
      <c r="E509" s="115">
        <f ca="1">IF(AND(CU509,OR(C509="幽月轮1",C509="幽月轮2",C509="幽月轮3",C509="银月斩",C509="驱夜断愁",C509="净世破魔击·月")),100,MIN(IF(OR(CN509,BE509),0,IF(OR($C509="赤日轮1",$C509="赤日轮2",$C509="赤日轮3"),E508+20+IF(模拟模式!$I$7="日月凌天",4,0)+IF(CR508,20,0),IF($C509="烈日斩",E508+40,IF($C509="驱夜断愁",IF(模拟模式!$R$7="万念俱寂",E508+20,E508+60),IF($C509="净世破魔击·月",IF(OR(DB508&gt;0,CV508&gt;0),100,IF(模拟模式!$M$7="辉耀红尘",E508+20,E508)),IF($C509="净世破魔击·日",E508-100,E508)))))),100))</f>
        <v>0</v>
      </c>
      <c r="F509" s="115">
        <f ca="1">IF(AND(CU509,OR(C509="赤日轮1",C509="赤日轮2",C509="赤日轮3",C509="烈日斩",C509="净世破魔击·日")),100,MIN(IF(CO509,0,IF(OR($C509="幽月轮1",$C509="幽月轮2",$C509="幽月轮3"),F508+20+IF(模拟模式!$I$7="日月凌天",4,0)+IF(CS508,20,0),IF($C509="银月斩",F508+40+IF(模拟模式!$X$12=1,5,0),IF($C509="驱夜断愁",IF(模拟模式!$R$7="万念俱寂",F508+20,F508+60),IF($C509="净世破魔击·月",IF(模拟模式!$M$7="辉耀红尘",F508-80,F508-100),IF(AND(C509="净世破魔击·日",OR(DB508&gt;0,CV508&gt;0)),100,F508)))))),100))</f>
        <v>20</v>
      </c>
      <c r="G509" s="117">
        <f ca="1">('模拟-全程加成'!$E$3+'模拟-全程加成'!$E$4+'模拟-全程加成'!$E$5+('模拟-全程加成'!$C$6-'模拟-全程加成'!$C$3)*系数!$B$9+BS509*23)*(1+'模拟-全程加成'!$F$4+'模拟-全程加成'!$F$5+BJ509*10%+BM509*20%+BP509*4%+CG509*30%)+$F$7*系数!$B$12</f>
        <v>20583.127400000001</v>
      </c>
      <c r="H509" s="45">
        <f ca="1">'模拟-全程加成'!$H$3+'模拟-全程加成'!$H$4+'模拟-全程加成'!$H$5+('模拟-全程加成'!$G$4+'模拟-全程加成'!$G$5+('模拟-全程加成'!$C$6-'模拟-全程加成'!$C$3)*系数!$B$13)/系数!$B$3+LOOKUP(D509,'模拟-单技能数据'!$A$2:$A$19,'模拟-单技能数据'!$K$2:$K$19)+BG509*10%+IF(BV509&gt;0,378,0)</f>
        <v>0.54185145527300216</v>
      </c>
      <c r="I509" s="45">
        <f ca="1">'模拟-全程加成'!$J$3+'模拟-全程加成'!$J$4+'模拟-全程加成'!$J$5+('模拟-全程加成'!$I$4+'模拟-全程加成'!$I$5)/系数!$B$4+LOOKUP(D509,'模拟-单技能数据'!$A$2:$A$19,'模拟-单技能数据'!$L$2:$L$19)+BG509*10%</f>
        <v>2.162482885499879</v>
      </c>
      <c r="J509" s="45">
        <f ca="1">(('模拟-全程加成'!$K$3+'模拟-全程加成'!$K$4+'模拟-全程加成'!$K$5+('模拟-全程加成'!$C$6-'模拟-全程加成'!$C$3)*系数!$B$10+IF(BV509&gt;0,882,0)+IF(BY509&gt;0,1831,0))*(1+'模拟-全程加成'!$L$4+'模拟-全程加成'!$L$5+CC509*20%))/系数!$B$5</f>
        <v>0.69723220422048726</v>
      </c>
      <c r="K509" s="119">
        <f ca="1">LOOKUP(D509,'模拟-单技能数据'!$A$2:$A$19,'模拟-单技能数据'!$J$2:$J$19)+IF(CM509,60%,0)+IF(DB508-DB509&gt;0,30%,0)+IF(OR(AND(OR(C509="赤日轮1",C509="赤日轮2",C509="赤日轮3"),CR509),AND(OR(C509="幽月轮1",C509="幽月轮2",C509="幽月轮3"),CS509)),35%,0)+CJ509</f>
        <v>0.8</v>
      </c>
      <c r="L509" s="119">
        <f ca="1">IF(AND(C509="烈日斩",模拟模式!$X$11=1),10%,0)+IF(AND(C509="驱夜断愁",AB509=1),30%,0)</f>
        <v>0</v>
      </c>
      <c r="M509" s="45">
        <f t="shared" ca="1" si="409"/>
        <v>0.54185145527300216</v>
      </c>
      <c r="N509" s="45">
        <f t="shared" ca="1" si="410"/>
        <v>0.40424854472699789</v>
      </c>
      <c r="O509" s="46">
        <f t="shared" ca="1" si="434"/>
        <v>0.40277266592169247</v>
      </c>
      <c r="P509" s="46" t="str">
        <f t="shared" ca="1" si="435"/>
        <v>会</v>
      </c>
      <c r="Q509" s="45">
        <f t="shared" ca="1" si="436"/>
        <v>2.162482885499879</v>
      </c>
      <c r="R509" s="117">
        <f ca="1">模拟模式!$E$20*(1-IF(模拟模式!$J$19="有",0.15,0))*(1-IF(模拟模式!$K$19="有",0.3,0)-IF(CQ509,0.5,0))</f>
        <v>843.02999999999975</v>
      </c>
      <c r="S509" s="45">
        <f ca="1">R509/(R509+(185*模拟模式!$E$22-16800)*4.08224)</f>
        <v>8.389626085980037E-2</v>
      </c>
      <c r="T509" s="45" t="str">
        <f ca="1">LOOKUP(D509,'模拟-单技能数据'!$A$2:$A$19,'模拟-单技能数据'!$H$2:$H$19)</f>
        <v>阳</v>
      </c>
      <c r="U509" s="119">
        <f t="shared" ca="1" si="411"/>
        <v>0.2</v>
      </c>
      <c r="V509" s="47">
        <f ca="1">(1+L509)*(LOOKUP(D509,'模拟-单技能数据'!$A$2:$A$19,'模拟-单技能数据'!$D$2:$D$19)+G509*LOOKUP(D509,'模拟-单技能数据'!$A$2:$A$19,'模拟-单技能数据'!$F$2:$F$19))*(1+J509)*(1+K509)*(1-S509)*(1+U509)*Q509*LOOKUP(D509,'模拟-单技能数据'!$A$2:$A$19,'模拟-单技能数据'!$I$2:$I$20)</f>
        <v>195915.814886668</v>
      </c>
      <c r="W509" s="47">
        <f ca="1">LOOKUP(D509,'模拟-单技能数据'!$A$2:$A$19,'模拟-单技能数据'!$G$2:$G$19)*$I$10</f>
        <v>723.0212870940959</v>
      </c>
      <c r="X509" s="47">
        <f t="shared" ca="1" si="437"/>
        <v>19606.63323331828</v>
      </c>
      <c r="Y509" s="47">
        <f t="shared" ca="1" si="412"/>
        <v>216245.46940708038</v>
      </c>
      <c r="Z509" s="49">
        <f t="shared" ca="1" si="413"/>
        <v>50602535.319831878</v>
      </c>
      <c r="AA509" s="97">
        <f t="shared" ca="1" si="414"/>
        <v>113804.35025656727</v>
      </c>
      <c r="AB509" s="115">
        <f ca="1">IF(OR(C509="赤日轮1",C509="赤日轮2",C509="赤日轮3"),IF(RAND()&lt;模拟模式!$Y$17,1,0),IF(OR(C509="幽月轮1",C509="幽月轮2",C509="幽月轮3"),IF(RAND()&lt;模拟模式!$Y$18,1,0),IF(C509="烈日斩",IF(RAND()&lt;模拟模式!$Y$19,1,0),IF(C509="银月斩",IF(RAND()&lt;模拟模式!$Y$20,1,0),IF(C509="驱夜断愁",IF(RAND()&lt;模拟模式!$Y$21,1,0),IF(C509="净世破魔击·日",IF(RAND()&lt;模拟模式!$Y$22,1,0),IF(C509="净世破魔击·月",IF(RAND()&lt;模拟模式!$Y$23,1,0),0)))))))</f>
        <v>1</v>
      </c>
      <c r="AC509" s="115" t="b">
        <f t="shared" ca="1" si="402"/>
        <v>0</v>
      </c>
      <c r="AD509" s="115" t="b">
        <f t="shared" ca="1" si="422"/>
        <v>0</v>
      </c>
      <c r="AE509" s="115">
        <f t="shared" ca="1" si="423"/>
        <v>3</v>
      </c>
      <c r="AF509" s="47">
        <f ca="1">IF(AC509,('模拟-单技能数据'!$D$20+G509*'模拟-单技能数据'!$F$20)*(1+J509)*(1+'模拟-单技能数据'!$J$20)*(1+U509),0)</f>
        <v>0</v>
      </c>
      <c r="AG509" s="61">
        <f t="shared" ca="1" si="415"/>
        <v>0.64185145527300214</v>
      </c>
      <c r="AH509" s="61">
        <f t="shared" ca="1" si="416"/>
        <v>2.2624828854998791</v>
      </c>
      <c r="AI509" s="62">
        <f t="shared" ca="1" si="438"/>
        <v>0.92624487563927249</v>
      </c>
      <c r="AJ509" s="47">
        <f ca="1">IF(AD509,IF(AI509&lt;$F$10,0,IF(AI509&lt;$F$10+$F$11,0.25,IF(AI509&lt;$F$10+$F$11+AG509,AH509,1)))*IF(AF509&gt;0,AF509,IF(AF508&gt;0,AF508,IF(AF507&gt;0,AF507,IF(AF506&gt;0,AF506,IF(AF505&gt;0,AF505,IF(AF504&gt;0,AF504,IF(AF503&gt;0,AF503,IF(AF502&gt;0,AF502,IF(AF501&gt;0,AF501,IF(AF499&gt;0,AF499,IF(AF498&gt;0,AF498,IF(AF497&gt;0,AF497,0)))))))))))),0)*(1-$S509)*'模拟-单技能数据'!$I$20</f>
        <v>0</v>
      </c>
      <c r="AK509" s="115" t="b">
        <f t="shared" ca="1" si="403"/>
        <v>1</v>
      </c>
      <c r="AL509" s="115" t="b">
        <f t="shared" ca="1" si="424"/>
        <v>1</v>
      </c>
      <c r="AM509" s="115">
        <f t="shared" ca="1" si="425"/>
        <v>5</v>
      </c>
      <c r="AN509" s="47">
        <f ca="1">IF(AK509,('模拟-单技能数据'!$D$21+G509*'模拟-单技能数据'!$F$21)*(1+J509)*(1+'模拟-单技能数据'!$J$21)*(1+U509),0)</f>
        <v>12136.56601728573</v>
      </c>
      <c r="AO509" s="61">
        <f ca="1">IF(AN509&gt;0,M509-'模拟-单技能数据'!$K$10,AO508)</f>
        <v>0.42185145527300216</v>
      </c>
      <c r="AP509" s="61">
        <f ca="1">IF(AN509&gt;0,I509-'模拟-单技能数据'!$L$10,AP508)</f>
        <v>2.162482885499879</v>
      </c>
      <c r="AQ509" s="63">
        <f t="shared" ca="1" si="439"/>
        <v>0.66899543305671827</v>
      </c>
      <c r="AR509" s="64">
        <f ca="1">IF(AL509,IF(AQ509&lt;$F$10,0,IF(AQ509&lt;$F$10+$F$11,0.25,IF(AQ509&lt;$F$10+$F$11+AO509,AP509,1)))*IF(AN509&gt;0,AN509,IF(AN508&gt;0,AN508,IF(AN507&gt;0,AN507,IF(AN506&gt;0,AN506,IF(AN505&gt;0,AN505,IF(AN504&gt;0,AN504,IF(AN503&gt;0,AN503,IF(AN502&gt;0,AN502,IF(AN501&gt;0,AN501,IF(AN499&gt;0,AN499,IF(AN498&gt;0,AN498,IF(AN497&gt;0,AN497,0)))))))))))),0)*(1-$S509)*'模拟-单技能数据'!$I$21</f>
        <v>11118.353508757338</v>
      </c>
      <c r="AS509" s="61">
        <f ca="1">IF(OR(C509="净世破魔击·日",C509="净世破魔击·月"),M509-'模拟-单技能数据'!$K$10,0)</f>
        <v>0.42185145527300216</v>
      </c>
      <c r="AT509" s="61">
        <f ca="1">IF(OR(C509="净世破魔击·日",C509="净世破魔击·月"),I509-'模拟-单技能数据'!$L$10,0)</f>
        <v>2.162482885499879</v>
      </c>
      <c r="AU509" s="62">
        <f t="shared" ca="1" si="440"/>
        <v>0.56594906401712164</v>
      </c>
      <c r="AV509" s="64">
        <f ca="1">IF(AS509&gt;0,('模拟-单技能数据'!$D$22+G509*'模拟-单技能数据'!$F$22)*(1+J509)*(1-S509)*IF(AU509&lt;$F$10,0,IF(AU509&lt;$F$10+$F$11,0.25,IF(AU509&lt;$F$10+$F$11+AS509,AT509,1)))*(1+U509),0)*'模拟-单技能数据'!$I$22</f>
        <v>8488.2797245609418</v>
      </c>
      <c r="AW509" s="108">
        <f t="shared" ca="1" si="441"/>
        <v>13.542500000000004</v>
      </c>
      <c r="AX509" s="108" t="b">
        <f ca="1">AND(模拟模式!$P$10="有",AW508=0,RAND()&lt;IF(C509="净世破魔击·月",0.1*8/3,IF(C509="净世破魔击·日",0.1*4/3,0.1*2/3)))</f>
        <v>0</v>
      </c>
      <c r="AY509" s="47">
        <f ca="1">IF(AX509,(18+G509*0.722)*(1+J509)*(1-S509)*(1+$I$4)*IF(P509="会",'模拟-全程加成'!$J$3+'模拟-全程加成'!$J$4+'模拟-全程加成'!$J$5+('模拟-全程加成'!$I$4+'模拟-全程加成'!$I$5)/系数!$B$4+BG509*10%,IF(P509="命",1,IF(P509="识",0.25,0))),0)</f>
        <v>0</v>
      </c>
      <c r="AZ509" s="108">
        <f t="shared" si="442"/>
        <v>1.5500000000000065</v>
      </c>
      <c r="BA509" s="108" t="b">
        <f>AND(模拟模式!$Q$10="有",AZ508=0)</f>
        <v>0</v>
      </c>
      <c r="BB509" s="140">
        <f>IF(BA509,(0+G509*0.287)*(1+J509)*(1-S509)*(1+$I$4)*IF(P509="会",'模拟-全程加成'!$J$3+'模拟-全程加成'!$J$4+'模拟-全程加成'!$J$5+('模拟-全程加成'!$I$4+'模拟-全程加成'!$I$5)/系数!$B$4+BG509*10%,IF(P509="命",1,IF(P509="识",0.25,0))),0)</f>
        <v>0</v>
      </c>
      <c r="BC509" s="115" t="b">
        <f ca="1">AND(模拟模式!$R$7="伏明众生",E509=60,F509=20,DA509&lt;5,CZ508&lt;$F$4)</f>
        <v>0</v>
      </c>
      <c r="BD509" s="115">
        <f t="shared" ca="1" si="404"/>
        <v>0</v>
      </c>
      <c r="BE509" s="115" t="b">
        <f t="shared" ca="1" si="405"/>
        <v>0</v>
      </c>
      <c r="BF509" s="47">
        <f ca="1">IF(BC509,4*('模拟-单技能数据'!$D$24+G509*'模拟-单技能数据'!$F$24)*(1+J509)*(1+'模拟-单技能数据'!$J$24)*(1-S509)*(1+$I$3)*(('模拟-全程加成'!$J$3+'模拟-全程加成'!$J$4+'模拟-全程加成'!$J$5+('模拟-全程加成'!$I$4+'模拟-全程加成'!$I$5)/系数!$B$4+BG509*10%)*('模拟-全程加成'!$J$3+'模拟-全程加成'!$J$4+'模拟-全程加成'!$J$5+('模拟-全程加成'!$I$4+'模拟-全程加成'!$I$5)/系数!$B$4+BG509*10%)+(1-('模拟-全程加成'!$J$3+'模拟-全程加成'!$J$4+'模拟-全程加成'!$J$5+('模拟-全程加成'!$I$4+'模拟-全程加成'!$I$5)/系数!$B$4+BG509*10%)-$F$10-$F$11)+F495*0.25),0)*'模拟-单技能数据'!$I$24</f>
        <v>0</v>
      </c>
      <c r="BG509" s="115" t="b">
        <f ca="1">OR(AND(OR(C509="烈日斩",C509="银月斩"),模拟模式!$I$7="净身明礼"),AND(C509="净世破魔击·日",模拟模式!$J$7="洞若观火"),AND(C510="净世破魔击·月",模拟模式!$J$7="洞若观火"),AB509=1)</f>
        <v>1</v>
      </c>
      <c r="BH509" s="115" t="b">
        <f t="shared" ca="1" si="443"/>
        <v>0</v>
      </c>
      <c r="BI509" s="115">
        <f t="shared" ca="1" si="406"/>
        <v>0</v>
      </c>
      <c r="BJ509" s="115" t="b">
        <f t="shared" ca="1" si="417"/>
        <v>0</v>
      </c>
      <c r="BK509" s="115" t="b">
        <f ca="1">AND(C509="驱夜断愁",模拟模式!$P$7="天地诛戮")</f>
        <v>0</v>
      </c>
      <c r="BL509" s="57">
        <f t="shared" ca="1" si="407"/>
        <v>16.310000000000002</v>
      </c>
      <c r="BM509" s="115" t="b">
        <f t="shared" ca="1" si="418"/>
        <v>1</v>
      </c>
      <c r="BN509" s="115" t="b">
        <f ca="1">AND(OR(C509="赤日轮1",C509="赤日轮2",C509="赤日轮3",C509="幽月轮1",C509="幽月轮2",C509="幽月轮3"),AB509=1,模拟模式!$L$7="明光恒照")</f>
        <v>0</v>
      </c>
      <c r="BO509" s="117">
        <f t="shared" ca="1" si="408"/>
        <v>28.155000000000001</v>
      </c>
      <c r="BP509" s="115">
        <f t="shared" ca="1" si="444"/>
        <v>6</v>
      </c>
      <c r="BQ509" s="115" t="b">
        <f>模拟模式!$K$10="2600·水"</f>
        <v>0</v>
      </c>
      <c r="BR509" s="117">
        <f t="shared" si="445"/>
        <v>0</v>
      </c>
      <c r="BS509" s="115">
        <f t="shared" si="446"/>
        <v>0</v>
      </c>
      <c r="BT509" s="115">
        <f t="shared" ca="1" si="447"/>
        <v>0</v>
      </c>
      <c r="BU509" s="115" t="b">
        <f ca="1">AND(模拟模式!$K$10="2300·雷",BT508=0,RAND()&lt;IF(C509="净世破魔击·月",5*0.05*2/3,IF(C509="净世破魔击·日",3*0.05*2/3,0.05*2*2/3)))</f>
        <v>0</v>
      </c>
      <c r="BV509" s="115">
        <f t="shared" ca="1" si="448"/>
        <v>0</v>
      </c>
      <c r="BW509" s="115">
        <f t="shared" ca="1" si="449"/>
        <v>110.81249999999925</v>
      </c>
      <c r="BX509" s="164" t="b">
        <f t="shared" ca="1" si="450"/>
        <v>0</v>
      </c>
      <c r="BY509" s="115">
        <f t="shared" ca="1" si="451"/>
        <v>0</v>
      </c>
      <c r="BZ509" s="115">
        <f>IF(OR(模拟模式!$P$16="10人团",模拟模式!$P$16="25人团"),IF(B509/30&gt;CA508,1,0),0)</f>
        <v>0</v>
      </c>
      <c r="CA509" s="115">
        <f t="shared" si="427"/>
        <v>0</v>
      </c>
      <c r="CB509" s="115">
        <f ca="1">IF(BZ509=1,IF(模拟模式!$P$16="10人团",15,0)+IF(模拟模式!$P$16="25人团",IF(RAND()&lt;0.6,15,0)),MAX(0,CB508-$F$4))</f>
        <v>0</v>
      </c>
      <c r="CC509" s="115" t="b">
        <f t="shared" ca="1" si="419"/>
        <v>0</v>
      </c>
      <c r="CD509" s="115">
        <f>IF(模拟模式!$Q$16="1个",IF(B509/40&gt;CE508,1,0),0)</f>
        <v>0</v>
      </c>
      <c r="CE509" s="115">
        <f t="shared" si="420"/>
        <v>0</v>
      </c>
      <c r="CF509" s="115">
        <f>IF(OR(CD509=1,模拟模式!$Q$16="2个"),20,MAX(0,CF508-$F$4))</f>
        <v>0</v>
      </c>
      <c r="CG509" s="115" t="b">
        <f t="shared" si="421"/>
        <v>0</v>
      </c>
      <c r="CH509" s="115">
        <f t="shared" ca="1" si="452"/>
        <v>0.48000000000001186</v>
      </c>
      <c r="CI509" s="115" t="b">
        <f t="shared" ca="1" si="453"/>
        <v>0</v>
      </c>
      <c r="CJ509" s="119">
        <f t="shared" ca="1" si="454"/>
        <v>0</v>
      </c>
      <c r="CK509" s="115">
        <f t="shared" ca="1" si="455"/>
        <v>0</v>
      </c>
      <c r="CL509" s="115" t="b">
        <f ca="1">AND(模拟模式!$S$7="驱夷逐法",OR(AND(C509="净世破魔击·月",E508&gt;59),AND(C509="净世破魔击·日",F508&gt;59)))</f>
        <v>0</v>
      </c>
      <c r="CM509" s="115" t="b">
        <f ca="1">OR(CL509,AND(C509="净世破魔击·日",CL508,RAND()&lt;模拟模式!$U$23))</f>
        <v>1</v>
      </c>
      <c r="CN509" s="115" t="b">
        <f ca="1">IF(模拟模式!$M$7="辉耀红尘",AND(C509="净世破魔击·月",CL509,CV509=0,E508&lt;80),AND(C509="净世破魔击·月",CL509,E508&lt;100))</f>
        <v>0</v>
      </c>
      <c r="CO509" s="115" t="b">
        <f t="shared" ca="1" si="428"/>
        <v>0</v>
      </c>
      <c r="CP509" s="115" t="b">
        <f ca="1">AND(模拟模式!$O$7="用晦而明",OR(C509="净世破魔击·日",C509="净世破魔击·月",C509="驱夜断愁"),AB509)</f>
        <v>1</v>
      </c>
      <c r="CQ509" s="115" t="b">
        <f ca="1">OR(CP509,AND(CP508,RAND()&lt;模拟模式!$U$23))</f>
        <v>1</v>
      </c>
      <c r="CR509" s="115" t="b">
        <f ca="1">AND(模拟模式!$S$7="日月齐光",OR(C509="幽月轮1",C509="幽月轮2",C509="幽月轮3",CR508),NOT(OR(C509="赤日轮1",C509="赤日轮2",C509="赤日轮3")))</f>
        <v>0</v>
      </c>
      <c r="CS509" s="115" t="b">
        <f ca="1">AND(模拟模式!$S$7="日月齐光",OR(C509="赤日轮1",C509="赤日轮2",C509="赤日轮3",CS508),NOT(OR(C509="幽月轮1",C509="幽月轮2",C509="幽月轮3")))</f>
        <v>0</v>
      </c>
      <c r="CT509" s="115">
        <f t="shared" ca="1" si="456"/>
        <v>0</v>
      </c>
      <c r="CU509" s="115" t="b">
        <f ca="1">AND(模拟模式!$K$10="阴阳往极",CT508=0,RAND()&lt;IF(C509="净世破魔击·月",0.0275*7/3,IF(C509="净世破魔击·日",0.0275*3/3,0.0275*2/3)))</f>
        <v>0</v>
      </c>
      <c r="CV509" s="115">
        <f t="shared" ca="1" si="457"/>
        <v>0</v>
      </c>
      <c r="CW509" s="115">
        <f t="shared" ca="1" si="429"/>
        <v>3.2324999999999995</v>
      </c>
      <c r="CX509" s="115">
        <f t="shared" ca="1" si="430"/>
        <v>1.3874999999999997</v>
      </c>
      <c r="CY509" s="115">
        <f ca="1">MAX(IF($C509="驱夜断愁",IF(模拟模式!$R$7="万念俱寂",6,45),CY508-$F$4),0)</f>
        <v>2.3099999999999996</v>
      </c>
      <c r="CZ509" s="115">
        <f t="shared" ca="1" si="431"/>
        <v>0</v>
      </c>
      <c r="DA509" s="115">
        <f ca="1">IF(模拟模式!$N$7="日月同辉",IF(DB508=2,0,MIN(6,IF(AND(OR(C509="赤日轮1",C509="赤日轮2",C509="赤日轮3",C509="幽月轮1",C509="幽月轮2",C509="幽月轮3"),AB509=1),DA508+1,DA508))),0)</f>
        <v>1</v>
      </c>
      <c r="DB509" s="115">
        <f t="shared" ca="1" si="432"/>
        <v>0</v>
      </c>
      <c r="DC509" s="115"/>
      <c r="DD509" s="115"/>
      <c r="DE509" s="115"/>
      <c r="DF509" s="115"/>
      <c r="DG509" s="115"/>
      <c r="DH509" s="115"/>
      <c r="DI509" s="115"/>
      <c r="DJ509" s="115"/>
      <c r="DK509" s="115"/>
      <c r="DL509" s="115"/>
      <c r="DM509" s="115"/>
    </row>
    <row r="510" spans="2:117" x14ac:dyDescent="0.2">
      <c r="B510" s="117">
        <f t="shared" si="433"/>
        <v>445.5675000000046</v>
      </c>
      <c r="C510" s="167" t="str">
        <f t="shared" ca="1" si="426"/>
        <v>赤日轮1</v>
      </c>
      <c r="D510" s="115">
        <f ca="1">IF(C510="赤日轮1",1,IF(C510="赤日轮2",2,IF(C510="赤日轮3",3,IF(C510="幽月轮1",4,IF(C510="幽月轮2",5,IF(C510="幽月轮3",6,IF(C510="烈日斩",7,IF(C510="银月斩",8,IF(C510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510="净世破魔击·月",17,IF(C510="驱夜断愁",18,0)))))))))))</f>
        <v>1</v>
      </c>
      <c r="E510" s="115">
        <f ca="1">IF(AND(CU510,OR(C510="幽月轮1",C510="幽月轮2",C510="幽月轮3",C510="银月斩",C510="驱夜断愁",C510="净世破魔击·月")),100,MIN(IF(OR(CN510,BE510),0,IF(OR($C510="赤日轮1",$C510="赤日轮2",$C510="赤日轮3"),E509+20+IF(模拟模式!$I$7="日月凌天",4,0)+IF(CR509,20,0),IF($C510="烈日斩",E509+40,IF($C510="驱夜断愁",IF(模拟模式!$R$7="万念俱寂",E509+20,E509+60),IF($C510="净世破魔击·月",IF(OR(DB509&gt;0,CV509&gt;0),100,IF(模拟模式!$M$7="辉耀红尘",E509+20,E509)),IF($C510="净世破魔击·日",E509-100,E509)))))),100))</f>
        <v>20</v>
      </c>
      <c r="F510" s="115">
        <f ca="1">IF(AND(CU510,OR(C510="赤日轮1",C510="赤日轮2",C510="赤日轮3",C510="烈日斩",C510="净世破魔击·日")),100,MIN(IF(CO510,0,IF(OR($C510="幽月轮1",$C510="幽月轮2",$C510="幽月轮3"),F509+20+IF(模拟模式!$I$7="日月凌天",4,0)+IF(CS509,20,0),IF($C510="银月斩",F509+40+IF(模拟模式!$X$12=1,5,0),IF($C510="驱夜断愁",IF(模拟模式!$R$7="万念俱寂",F509+20,F509+60),IF($C510="净世破魔击·月",IF(模拟模式!$M$7="辉耀红尘",F509-80,F509-100),IF(AND(C510="净世破魔击·日",OR(DB509&gt;0,CV509&gt;0)),100,F509)))))),100))</f>
        <v>20</v>
      </c>
      <c r="G510" s="117">
        <f ca="1">('模拟-全程加成'!$E$3+'模拟-全程加成'!$E$4+'模拟-全程加成'!$E$5+('模拟-全程加成'!$C$6-'模拟-全程加成'!$C$3)*系数!$B$9+BS510*23)*(1+'模拟-全程加成'!$F$4+'模拟-全程加成'!$F$5+BJ510*10%+BM510*20%+BP510*4%+CG510*30%)+$F$7*系数!$B$12</f>
        <v>20583.127400000001</v>
      </c>
      <c r="H510" s="45">
        <f ca="1">'模拟-全程加成'!$H$3+'模拟-全程加成'!$H$4+'模拟-全程加成'!$H$5+('模拟-全程加成'!$G$4+'模拟-全程加成'!$G$5+('模拟-全程加成'!$C$6-'模拟-全程加成'!$C$3)*系数!$B$13)/系数!$B$3+LOOKUP(D510,'模拟-单技能数据'!$A$2:$A$19,'模拟-单技能数据'!$K$2:$K$19)+BG510*10%+IF(BV510&gt;0,378,0)</f>
        <v>0.4618514552730022</v>
      </c>
      <c r="I510" s="45">
        <f ca="1">'模拟-全程加成'!$J$3+'模拟-全程加成'!$J$4+'模拟-全程加成'!$J$5+('模拟-全程加成'!$I$4+'模拟-全程加成'!$I$5)/系数!$B$4+LOOKUP(D510,'模拟-单技能数据'!$A$2:$A$19,'模拟-单技能数据'!$L$2:$L$19)+BG510*10%</f>
        <v>2.162482885499879</v>
      </c>
      <c r="J510" s="45">
        <f ca="1">(('模拟-全程加成'!$K$3+'模拟-全程加成'!$K$4+'模拟-全程加成'!$K$5+('模拟-全程加成'!$C$6-'模拟-全程加成'!$C$3)*系数!$B$10+IF(BV510&gt;0,882,0)+IF(BY510&gt;0,1831,0))*(1+'模拟-全程加成'!$L$4+'模拟-全程加成'!$L$5+CC510*20%))/系数!$B$5</f>
        <v>0.69723220422048726</v>
      </c>
      <c r="K510" s="119">
        <f ca="1">LOOKUP(D510,'模拟-单技能数据'!$A$2:$A$19,'模拟-单技能数据'!$J$2:$J$19)+IF(CM510,60%,0)+IF(DB509-DB510&gt;0,30%,0)+IF(OR(AND(OR(C510="赤日轮1",C510="赤日轮2",C510="赤日轮3"),CR510),AND(OR(C510="幽月轮1",C510="幽月轮2",C510="幽月轮3"),CS510)),35%,0)+CJ510</f>
        <v>0.12</v>
      </c>
      <c r="L510" s="119">
        <f ca="1">IF(AND(C510="烈日斩",模拟模式!$X$11=1),10%,0)+IF(AND(C510="驱夜断愁",AB510=1),30%,0)</f>
        <v>0</v>
      </c>
      <c r="M510" s="45">
        <f t="shared" ca="1" si="409"/>
        <v>0.4618514552730022</v>
      </c>
      <c r="N510" s="45">
        <f t="shared" ca="1" si="410"/>
        <v>0.48424854472699785</v>
      </c>
      <c r="O510" s="46">
        <f t="shared" ca="1" si="434"/>
        <v>0.76659750602751209</v>
      </c>
      <c r="P510" s="46" t="str">
        <f t="shared" ca="1" si="435"/>
        <v>命</v>
      </c>
      <c r="Q510" s="45">
        <f t="shared" ca="1" si="436"/>
        <v>1</v>
      </c>
      <c r="R510" s="117">
        <f ca="1">模拟模式!$E$20*(1-IF(模拟模式!$J$19="有",0.15,0))*(1-IF(模拟模式!$K$19="有",0.3,0)-IF(CQ510,0.5,0))</f>
        <v>843.02999999999975</v>
      </c>
      <c r="S510" s="45">
        <f ca="1">R510/(R510+(185*模拟模式!$E$22-16800)*4.08224)</f>
        <v>8.389626085980037E-2</v>
      </c>
      <c r="T510" s="45" t="str">
        <f ca="1">LOOKUP(D510,'模拟-单技能数据'!$A$2:$A$19,'模拟-单技能数据'!$H$2:$H$19)</f>
        <v>阳</v>
      </c>
      <c r="U510" s="119">
        <f t="shared" ca="1" si="411"/>
        <v>0.2</v>
      </c>
      <c r="V510" s="47">
        <f ca="1">(1+L510)*(LOOKUP(D510,'模拟-单技能数据'!$A$2:$A$19,'模拟-单技能数据'!$D$2:$D$19)+G510*LOOKUP(D510,'模拟-单技能数据'!$A$2:$A$19,'模拟-单技能数据'!$F$2:$F$19))*(1+J510)*(1+K510)*(1-S510)*(1+U510)*Q510*LOOKUP(D510,'模拟-单技能数据'!$A$2:$A$19,'模拟-单技能数据'!$I$2:$I$20)</f>
        <v>25194.44799269021</v>
      </c>
      <c r="W510" s="47">
        <f ca="1">LOOKUP(D510,'模拟-单技能数据'!$A$2:$A$19,'模拟-单技能数据'!$G$2:$G$19)*$I$10</f>
        <v>361.51064354704795</v>
      </c>
      <c r="X510" s="47">
        <f t="shared" ca="1" si="437"/>
        <v>4074.6980221198578</v>
      </c>
      <c r="Y510" s="47">
        <f t="shared" ca="1" si="412"/>
        <v>29630.656658357115</v>
      </c>
      <c r="Z510" s="49">
        <f t="shared" ca="1" si="413"/>
        <v>50632165.976490237</v>
      </c>
      <c r="AA510" s="97">
        <f t="shared" ca="1" si="414"/>
        <v>113635.23142170314</v>
      </c>
      <c r="AB510" s="115">
        <f ca="1">IF(OR(C510="赤日轮1",C510="赤日轮2",C510="赤日轮3"),IF(RAND()&lt;模拟模式!$Y$17,1,0),IF(OR(C510="幽月轮1",C510="幽月轮2",C510="幽月轮3"),IF(RAND()&lt;模拟模式!$Y$18,1,0),IF(C510="烈日斩",IF(RAND()&lt;模拟模式!$Y$19,1,0),IF(C510="银月斩",IF(RAND()&lt;模拟模式!$Y$20,1,0),IF(C510="驱夜断愁",IF(RAND()&lt;模拟模式!$Y$21,1,0),IF(C510="净世破魔击·日",IF(RAND()&lt;模拟模式!$Y$22,1,0),IF(C510="净世破魔击·月",IF(RAND()&lt;模拟模式!$Y$23,1,0),0)))))))</f>
        <v>1</v>
      </c>
      <c r="AC510" s="115" t="b">
        <f t="shared" ca="1" si="402"/>
        <v>0</v>
      </c>
      <c r="AD510" s="115" t="b">
        <f t="shared" ca="1" si="422"/>
        <v>1</v>
      </c>
      <c r="AE510" s="115">
        <f t="shared" ca="1" si="423"/>
        <v>2</v>
      </c>
      <c r="AF510" s="47">
        <f ca="1">IF(AC510,('模拟-单技能数据'!$D$20+G510*'模拟-单技能数据'!$F$20)*(1+J510)*(1+'模拟-单技能数据'!$J$20)*(1+U510),0)</f>
        <v>0</v>
      </c>
      <c r="AG510" s="61">
        <f t="shared" ca="1" si="415"/>
        <v>0.64185145527300214</v>
      </c>
      <c r="AH510" s="61">
        <f t="shared" ca="1" si="416"/>
        <v>2.2624828854998791</v>
      </c>
      <c r="AI510" s="62">
        <f t="shared" ca="1" si="438"/>
        <v>0.8766043460919638</v>
      </c>
      <c r="AJ510" s="47">
        <f ca="1">IF(AD510,IF(AI510&lt;$F$10,0,IF(AI510&lt;$F$10+$F$11,0.25,IF(AI510&lt;$F$10+$F$11+AG510,AH510,1)))*IF(AF510&gt;0,AF510,IF(AF509&gt;0,AF509,IF(AF508&gt;0,AF508,IF(AF507&gt;0,AF507,IF(AF506&gt;0,AF506,IF(AF505&gt;0,AF505,IF(AF504&gt;0,AF504,IF(AF503&gt;0,AF503,IF(AF502&gt;0,AF502,IF(AF500&gt;0,AF500,IF(AF499&gt;0,AF499,IF(AF498&gt;0,AF498,0)))))))))))),0)*(1-$S510)*'模拟-单技能数据'!$I$20</f>
        <v>4074.6980221198578</v>
      </c>
      <c r="AK510" s="115" t="b">
        <f t="shared" ca="1" si="403"/>
        <v>0</v>
      </c>
      <c r="AL510" s="115" t="b">
        <f t="shared" ca="1" si="424"/>
        <v>0</v>
      </c>
      <c r="AM510" s="115">
        <f t="shared" ca="1" si="425"/>
        <v>5</v>
      </c>
      <c r="AN510" s="47">
        <f ca="1">IF(AK510,('模拟-单技能数据'!$D$21+G510*'模拟-单技能数据'!$F$21)*(1+J510)*(1+'模拟-单技能数据'!$J$21)*(1+U510),0)</f>
        <v>0</v>
      </c>
      <c r="AO510" s="61">
        <f ca="1">IF(AN510&gt;0,M510-'模拟-单技能数据'!$K$10,AO509)</f>
        <v>0.42185145527300216</v>
      </c>
      <c r="AP510" s="61">
        <f ca="1">IF(AN510&gt;0,I510-'模拟-单技能数据'!$L$10,AP509)</f>
        <v>2.162482885499879</v>
      </c>
      <c r="AQ510" s="63">
        <f t="shared" ca="1" si="439"/>
        <v>0.41515724596359205</v>
      </c>
      <c r="AR510" s="64">
        <f ca="1">IF(AL510,IF(AQ510&lt;$F$10,0,IF(AQ510&lt;$F$10+$F$11,0.25,IF(AQ510&lt;$F$10+$F$11+AO510,AP510,1)))*IF(AN510&gt;0,AN510,IF(AN509&gt;0,AN509,IF(AN508&gt;0,AN508,IF(AN507&gt;0,AN507,IF(AN506&gt;0,AN506,IF(AN505&gt;0,AN505,IF(AN504&gt;0,AN504,IF(AN503&gt;0,AN503,IF(AN502&gt;0,AN502,IF(AN500&gt;0,AN500,IF(AN499&gt;0,AN499,IF(AN498&gt;0,AN498,0)))))))))))),0)*(1-$S510)*'模拟-单技能数据'!$I$21</f>
        <v>0</v>
      </c>
      <c r="AS510" s="61">
        <f ca="1">IF(OR(C510="净世破魔击·日",C510="净世破魔击·月"),M510-'模拟-单技能数据'!$K$10,0)</f>
        <v>0</v>
      </c>
      <c r="AT510" s="61">
        <f ca="1">IF(OR(C510="净世破魔击·日",C510="净世破魔击·月"),I510-'模拟-单技能数据'!$L$10,0)</f>
        <v>0</v>
      </c>
      <c r="AU510" s="62">
        <f t="shared" ca="1" si="440"/>
        <v>0.19117325548282893</v>
      </c>
      <c r="AV510" s="64">
        <f ca="1">IF(AS510&gt;0,('模拟-单技能数据'!$D$22+G510*'模拟-单技能数据'!$F$22)*(1+J510)*(1-S510)*IF(AU510&lt;$F$10,0,IF(AU510&lt;$F$10+$F$11,0.25,IF(AU510&lt;$F$10+$F$11+AS510,AT510,1)))*(1+U510),0)*'模拟-单技能数据'!$I$22</f>
        <v>0</v>
      </c>
      <c r="AW510" s="108">
        <f t="shared" ca="1" si="441"/>
        <v>12.620000000000005</v>
      </c>
      <c r="AX510" s="108" t="b">
        <f ca="1">AND(模拟模式!$P$10="有",AW509=0,RAND()&lt;IF(C510="净世破魔击·月",0.1*8/3,IF(C510="净世破魔击·日",0.1*4/3,0.1*2/3)))</f>
        <v>0</v>
      </c>
      <c r="AY510" s="47">
        <f ca="1">IF(AX510,(18+G510*0.722)*(1+J510)*(1-S510)*(1+$I$4)*IF(P510="会",'模拟-全程加成'!$J$3+'模拟-全程加成'!$J$4+'模拟-全程加成'!$J$5+('模拟-全程加成'!$I$4+'模拟-全程加成'!$I$5)/系数!$B$4+BG510*10%,IF(P510="命",1,IF(P510="识",0.25,0))),0)</f>
        <v>0</v>
      </c>
      <c r="AZ510" s="108">
        <f t="shared" si="442"/>
        <v>0.6275000000000065</v>
      </c>
      <c r="BA510" s="108" t="b">
        <f>AND(模拟模式!$Q$10="有",AZ509=0)</f>
        <v>0</v>
      </c>
      <c r="BB510" s="140">
        <f>IF(BA510,(0+G510*0.287)*(1+J510)*(1-S510)*(1+$I$4)*IF(P510="会",'模拟-全程加成'!$J$3+'模拟-全程加成'!$J$4+'模拟-全程加成'!$J$5+('模拟-全程加成'!$I$4+'模拟-全程加成'!$I$5)/系数!$B$4+BG510*10%,IF(P510="命",1,IF(P510="识",0.25,0))),0)</f>
        <v>0</v>
      </c>
      <c r="BC510" s="115" t="b">
        <f ca="1">AND(模拟模式!$R$7="伏明众生",E510=60,F510=20,DA510&lt;5,CZ509&lt;$F$4)</f>
        <v>0</v>
      </c>
      <c r="BD510" s="115">
        <f t="shared" ca="1" si="404"/>
        <v>0</v>
      </c>
      <c r="BE510" s="115" t="b">
        <f t="shared" ca="1" si="405"/>
        <v>0</v>
      </c>
      <c r="BF510" s="47">
        <f ca="1">IF(BC510,4*('模拟-单技能数据'!$D$24+G510*'模拟-单技能数据'!$F$24)*(1+J510)*(1+'模拟-单技能数据'!$J$24)*(1-S510)*(1+$I$3)*(('模拟-全程加成'!$J$3+'模拟-全程加成'!$J$4+'模拟-全程加成'!$J$5+('模拟-全程加成'!$I$4+'模拟-全程加成'!$I$5)/系数!$B$4+BG510*10%)*('模拟-全程加成'!$J$3+'模拟-全程加成'!$J$4+'模拟-全程加成'!$J$5+('模拟-全程加成'!$I$4+'模拟-全程加成'!$I$5)/系数!$B$4+BG510*10%)+(1-('模拟-全程加成'!$J$3+'模拟-全程加成'!$J$4+'模拟-全程加成'!$J$5+('模拟-全程加成'!$I$4+'模拟-全程加成'!$I$5)/系数!$B$4+BG510*10%)-$F$10-$F$11)+F496*0.25),0)*'模拟-单技能数据'!$I$24</f>
        <v>0</v>
      </c>
      <c r="BG510" s="115" t="b">
        <f ca="1">OR(AND(OR(C510="烈日斩",C510="银月斩"),模拟模式!$I$7="净身明礼"),AND(C510="净世破魔击·日",模拟模式!$J$7="洞若观火"),AND(C511="净世破魔击·月",模拟模式!$J$7="洞若观火"),AB510=1)</f>
        <v>1</v>
      </c>
      <c r="BH510" s="115" t="b">
        <f t="shared" ca="1" si="443"/>
        <v>0</v>
      </c>
      <c r="BI510" s="115">
        <f t="shared" ca="1" si="406"/>
        <v>0</v>
      </c>
      <c r="BJ510" s="115" t="b">
        <f t="shared" ca="1" si="417"/>
        <v>0</v>
      </c>
      <c r="BK510" s="115" t="b">
        <f ca="1">AND(C510="驱夜断愁",模拟模式!$P$7="天地诛戮")</f>
        <v>0</v>
      </c>
      <c r="BL510" s="57">
        <f t="shared" ca="1" si="407"/>
        <v>15.387500000000003</v>
      </c>
      <c r="BM510" s="115" t="b">
        <f t="shared" ca="1" si="418"/>
        <v>1</v>
      </c>
      <c r="BN510" s="115" t="b">
        <f ca="1">AND(OR(C510="赤日轮1",C510="赤日轮2",C510="赤日轮3",C510="幽月轮1",C510="幽月轮2",C510="幽月轮3"),AB510=1,模拟模式!$L$7="明光恒照")</f>
        <v>1</v>
      </c>
      <c r="BO510" s="117">
        <f t="shared" ca="1" si="408"/>
        <v>30</v>
      </c>
      <c r="BP510" s="115">
        <f t="shared" ca="1" si="444"/>
        <v>6</v>
      </c>
      <c r="BQ510" s="115" t="b">
        <f>模拟模式!$K$10="2600·水"</f>
        <v>0</v>
      </c>
      <c r="BR510" s="117">
        <f t="shared" si="445"/>
        <v>0</v>
      </c>
      <c r="BS510" s="115">
        <f t="shared" si="446"/>
        <v>0</v>
      </c>
      <c r="BT510" s="115">
        <f t="shared" ca="1" si="447"/>
        <v>0</v>
      </c>
      <c r="BU510" s="115" t="b">
        <f ca="1">AND(模拟模式!$K$10="2300·雷",BT509=0,RAND()&lt;IF(C510="净世破魔击·月",5*0.05*2/3,IF(C510="净世破魔击·日",3*0.05*2/3,0.05*2*2/3)))</f>
        <v>0</v>
      </c>
      <c r="BV510" s="115">
        <f t="shared" ca="1" si="448"/>
        <v>0</v>
      </c>
      <c r="BW510" s="115">
        <f t="shared" ca="1" si="449"/>
        <v>109.88999999999925</v>
      </c>
      <c r="BX510" s="164" t="b">
        <f t="shared" ca="1" si="450"/>
        <v>0</v>
      </c>
      <c r="BY510" s="115">
        <f t="shared" ca="1" si="451"/>
        <v>0</v>
      </c>
      <c r="BZ510" s="115">
        <f>IF(OR(模拟模式!$P$16="10人团",模拟模式!$P$16="25人团"),IF(B510/30&gt;CA509,1,0),0)</f>
        <v>0</v>
      </c>
      <c r="CA510" s="115">
        <f t="shared" si="427"/>
        <v>0</v>
      </c>
      <c r="CB510" s="115">
        <f ca="1">IF(BZ510=1,IF(模拟模式!$P$16="10人团",15,0)+IF(模拟模式!$P$16="25人团",IF(RAND()&lt;0.6,15,0)),MAX(0,CB509-$F$4))</f>
        <v>0</v>
      </c>
      <c r="CC510" s="115" t="b">
        <f t="shared" ca="1" si="419"/>
        <v>0</v>
      </c>
      <c r="CD510" s="115">
        <f>IF(模拟模式!$Q$16="1个",IF(B510/40&gt;CE509,1,0),0)</f>
        <v>0</v>
      </c>
      <c r="CE510" s="115">
        <f t="shared" si="420"/>
        <v>0</v>
      </c>
      <c r="CF510" s="115">
        <f>IF(OR(CD510=1,模拟模式!$Q$16="2个"),20,MAX(0,CF509-$F$4))</f>
        <v>0</v>
      </c>
      <c r="CG510" s="115" t="b">
        <f t="shared" si="421"/>
        <v>0</v>
      </c>
      <c r="CH510" s="115">
        <f t="shared" ca="1" si="452"/>
        <v>0</v>
      </c>
      <c r="CI510" s="115" t="b">
        <f t="shared" ca="1" si="453"/>
        <v>0</v>
      </c>
      <c r="CJ510" s="119">
        <f t="shared" ca="1" si="454"/>
        <v>0</v>
      </c>
      <c r="CK510" s="115">
        <f t="shared" ca="1" si="455"/>
        <v>0</v>
      </c>
      <c r="CL510" s="115" t="b">
        <f ca="1">AND(模拟模式!$S$7="驱夷逐法",OR(AND(C510="净世破魔击·月",E509&gt;59),AND(C510="净世破魔击·日",F509&gt;59)))</f>
        <v>0</v>
      </c>
      <c r="CM510" s="115" t="b">
        <f ca="1">OR(CL510,AND(C510="净世破魔击·日",CL509,RAND()&lt;模拟模式!$U$23))</f>
        <v>0</v>
      </c>
      <c r="CN510" s="115" t="b">
        <f ca="1">IF(模拟模式!$M$7="辉耀红尘",AND(C510="净世破魔击·月",CL510,CV510=0,E509&lt;80),AND(C510="净世破魔击·月",CL510,E509&lt;100))</f>
        <v>0</v>
      </c>
      <c r="CO510" s="115" t="b">
        <f t="shared" ca="1" si="428"/>
        <v>0</v>
      </c>
      <c r="CP510" s="115" t="b">
        <f ca="1">AND(模拟模式!$O$7="用晦而明",OR(C510="净世破魔击·日",C510="净世破魔击·月",C510="驱夜断愁"),AB510)</f>
        <v>0</v>
      </c>
      <c r="CQ510" s="115" t="b">
        <f ca="1">OR(CP510,AND(CP509,RAND()&lt;模拟模式!$U$23))</f>
        <v>1</v>
      </c>
      <c r="CR510" s="115" t="b">
        <f ca="1">AND(模拟模式!$S$7="日月齐光",OR(C510="幽月轮1",C510="幽月轮2",C510="幽月轮3",CR509),NOT(OR(C510="赤日轮1",C510="赤日轮2",C510="赤日轮3")))</f>
        <v>0</v>
      </c>
      <c r="CS510" s="115" t="b">
        <f ca="1">AND(模拟模式!$S$7="日月齐光",OR(C510="赤日轮1",C510="赤日轮2",C510="赤日轮3",CS509),NOT(OR(C510="幽月轮1",C510="幽月轮2",C510="幽月轮3")))</f>
        <v>0</v>
      </c>
      <c r="CT510" s="115">
        <f t="shared" ca="1" si="456"/>
        <v>0</v>
      </c>
      <c r="CU510" s="115" t="b">
        <f ca="1">AND(模拟模式!$K$10="阴阳往极",CT509=0,RAND()&lt;IF(C510="净世破魔击·月",0.0275*7/3,IF(C510="净世破魔击·日",0.0275*3/3,0.0275*2/3)))</f>
        <v>0</v>
      </c>
      <c r="CV510" s="115">
        <f t="shared" ca="1" si="457"/>
        <v>0</v>
      </c>
      <c r="CW510" s="115">
        <f t="shared" ca="1" si="429"/>
        <v>2.3099999999999996</v>
      </c>
      <c r="CX510" s="115">
        <f t="shared" ca="1" si="430"/>
        <v>0.46499999999999975</v>
      </c>
      <c r="CY510" s="115">
        <f ca="1">MAX(IF($C510="驱夜断愁",IF(模拟模式!$R$7="万念俱寂",6,45),CY509-$F$4),0)</f>
        <v>1.3874999999999997</v>
      </c>
      <c r="CZ510" s="115">
        <f t="shared" ca="1" si="431"/>
        <v>0</v>
      </c>
      <c r="DA510" s="115">
        <f ca="1">IF(模拟模式!$N$7="日月同辉",IF(DB509=2,0,MIN(6,IF(AND(OR(C510="赤日轮1",C510="赤日轮2",C510="赤日轮3",C510="幽月轮1",C510="幽月轮2",C510="幽月轮3"),AB510=1),DA509+1,DA509))),0)</f>
        <v>2</v>
      </c>
      <c r="DB510" s="115">
        <f t="shared" ca="1" si="432"/>
        <v>0</v>
      </c>
      <c r="DC510" s="115"/>
      <c r="DD510" s="115"/>
      <c r="DE510" s="115"/>
      <c r="DF510" s="115"/>
      <c r="DG510" s="115"/>
      <c r="DH510" s="115"/>
      <c r="DI510" s="115"/>
      <c r="DJ510" s="115"/>
      <c r="DK510" s="115"/>
      <c r="DL510" s="115"/>
      <c r="DM510" s="115"/>
    </row>
    <row r="511" spans="2:117" x14ac:dyDescent="0.2">
      <c r="B511" s="117">
        <f t="shared" si="433"/>
        <v>446.49000000000461</v>
      </c>
      <c r="C511" s="167" t="str">
        <f t="shared" ca="1" si="426"/>
        <v>银月斩</v>
      </c>
      <c r="D511" s="115">
        <f ca="1">IF(C511="赤日轮1",1,IF(C511="赤日轮2",2,IF(C511="赤日轮3",3,IF(C511="幽月轮1",4,IF(C511="幽月轮2",5,IF(C511="幽月轮3",6,IF(C511="烈日斩",7,IF(C511="银月斩",8,IF(C511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511="净世破魔击·月",17,IF(C511="驱夜断愁",18,0)))))))))))</f>
        <v>8</v>
      </c>
      <c r="E511" s="115">
        <f ca="1">IF(AND(CU511,OR(C511="幽月轮1",C511="幽月轮2",C511="幽月轮3",C511="银月斩",C511="驱夜断愁",C511="净世破魔击·月")),100,MIN(IF(OR(CN511,BE511),0,IF(OR($C511="赤日轮1",$C511="赤日轮2",$C511="赤日轮3"),E510+20+IF(模拟模式!$I$7="日月凌天",4,0)+IF(CR510,20,0),IF($C511="烈日斩",E510+40,IF($C511="驱夜断愁",IF(模拟模式!$R$7="万念俱寂",E510+20,E510+60),IF($C511="净世破魔击·月",IF(OR(DB510&gt;0,CV510&gt;0),100,IF(模拟模式!$M$7="辉耀红尘",E510+20,E510)),IF($C511="净世破魔击·日",E510-100,E510)))))),100))</f>
        <v>20</v>
      </c>
      <c r="F511" s="115">
        <f ca="1">IF(AND(CU511,OR(C511="赤日轮1",C511="赤日轮2",C511="赤日轮3",C511="烈日斩",C511="净世破魔击·日")),100,MIN(IF(CO511,0,IF(OR($C511="幽月轮1",$C511="幽月轮2",$C511="幽月轮3"),F510+20+IF(模拟模式!$I$7="日月凌天",4,0)+IF(CS510,20,0),IF($C511="银月斩",F510+40+IF(模拟模式!$X$12=1,5,0),IF($C511="驱夜断愁",IF(模拟模式!$R$7="万念俱寂",F510+20,F510+60),IF($C511="净世破魔击·月",IF(模拟模式!$M$7="辉耀红尘",F510-80,F510-100),IF(AND(C511="净世破魔击·日",OR(DB510&gt;0,CV510&gt;0)),100,F510)))))),100))</f>
        <v>65</v>
      </c>
      <c r="G511" s="117">
        <f ca="1">('模拟-全程加成'!$E$3+'模拟-全程加成'!$E$4+'模拟-全程加成'!$E$5+('模拟-全程加成'!$C$6-'模拟-全程加成'!$C$3)*系数!$B$9+BS511*23)*(1+'模拟-全程加成'!$F$4+'模拟-全程加成'!$F$5+BJ511*10%+BM511*20%+BP511*4%+CG511*30%)+$F$7*系数!$B$12</f>
        <v>20583.127400000001</v>
      </c>
      <c r="H511" s="45">
        <f ca="1">'模拟-全程加成'!$H$3+'模拟-全程加成'!$H$4+'模拟-全程加成'!$H$5+('模拟-全程加成'!$G$4+'模拟-全程加成'!$G$5+('模拟-全程加成'!$C$6-'模拟-全程加成'!$C$3)*系数!$B$13)/系数!$B$3+LOOKUP(D511,'模拟-单技能数据'!$A$2:$A$19,'模拟-单技能数据'!$K$2:$K$19)+BG511*10%+IF(BV511&gt;0,378,0)</f>
        <v>0.64185145527300214</v>
      </c>
      <c r="I511" s="45">
        <f ca="1">'模拟-全程加成'!$J$3+'模拟-全程加成'!$J$4+'模拟-全程加成'!$J$5+('模拟-全程加成'!$I$4+'模拟-全程加成'!$I$5)/系数!$B$4+LOOKUP(D511,'模拟-单技能数据'!$A$2:$A$19,'模拟-单技能数据'!$L$2:$L$19)+BG511*10%</f>
        <v>2.2624828854998791</v>
      </c>
      <c r="J511" s="45">
        <f ca="1">(('模拟-全程加成'!$K$3+'模拟-全程加成'!$K$4+'模拟-全程加成'!$K$5+('模拟-全程加成'!$C$6-'模拟-全程加成'!$C$3)*系数!$B$10+IF(BV511&gt;0,882,0)+IF(BY511&gt;0,1831,0))*(1+'模拟-全程加成'!$L$4+'模拟-全程加成'!$L$5+CC511*20%))/系数!$B$5</f>
        <v>0.69723220422048726</v>
      </c>
      <c r="K511" s="119">
        <f ca="1">LOOKUP(D511,'模拟-单技能数据'!$A$2:$A$19,'模拟-单技能数据'!$J$2:$J$19)+IF(CM511,60%,0)+IF(DB510-DB511&gt;0,30%,0)+IF(OR(AND(OR(C511="赤日轮1",C511="赤日轮2",C511="赤日轮3"),CR511),AND(OR(C511="幽月轮1",C511="幽月轮2",C511="幽月轮3"),CS511)),35%,0)+CJ511</f>
        <v>0.15</v>
      </c>
      <c r="L511" s="119">
        <f ca="1">IF(AND(C511="烈日斩",模拟模式!$X$11=1),10%,0)+IF(AND(C511="驱夜断愁",AB511=1),30%,0)</f>
        <v>0</v>
      </c>
      <c r="M511" s="45">
        <f t="shared" ca="1" si="409"/>
        <v>0.64185145527300214</v>
      </c>
      <c r="N511" s="45">
        <f t="shared" ca="1" si="410"/>
        <v>0.30424854472699792</v>
      </c>
      <c r="O511" s="46">
        <f t="shared" ca="1" si="434"/>
        <v>0.92191836415260708</v>
      </c>
      <c r="P511" s="46" t="str">
        <f t="shared" ca="1" si="435"/>
        <v>命</v>
      </c>
      <c r="Q511" s="45">
        <f t="shared" ca="1" si="436"/>
        <v>1</v>
      </c>
      <c r="R511" s="117">
        <f ca="1">模拟模式!$E$20*(1-IF(模拟模式!$J$19="有",0.15,0))*(1-IF(模拟模式!$K$19="有",0.3,0)-IF(CQ511,0.5,0))</f>
        <v>2950.6049999999996</v>
      </c>
      <c r="S511" s="45">
        <f ca="1">R511/(R511+(185*模拟模式!$E$22-16800)*4.08224)</f>
        <v>0.24272716014590323</v>
      </c>
      <c r="T511" s="45" t="str">
        <f ca="1">LOOKUP(D511,'模拟-单技能数据'!$A$2:$A$19,'模拟-单技能数据'!$H$2:$H$19)</f>
        <v>阴</v>
      </c>
      <c r="U511" s="119">
        <f t="shared" ca="1" si="411"/>
        <v>0.08</v>
      </c>
      <c r="V511" s="47">
        <f ca="1">(1+L511)*(LOOKUP(D511,'模拟-单技能数据'!$A$2:$A$19,'模拟-单技能数据'!$D$2:$D$19)+G511*LOOKUP(D511,'模拟-单技能数据'!$A$2:$A$19,'模拟-单技能数据'!$F$2:$F$19))*(1+J511)*(1+K511)*(1-S511)*(1+U511)*Q511*LOOKUP(D511,'模拟-单技能数据'!$A$2:$A$19,'模拟-单技能数据'!$I$2:$I$20)</f>
        <v>17450.434922549593</v>
      </c>
      <c r="W511" s="47">
        <f ca="1">LOOKUP(D511,'模拟-单技能数据'!$A$2:$A$19,'模拟-单技能数据'!$G$2:$G$19)*$I$10</f>
        <v>361.51064354704795</v>
      </c>
      <c r="X511" s="47">
        <f t="shared" ca="1" si="437"/>
        <v>19874.713753650052</v>
      </c>
      <c r="Y511" s="47">
        <f t="shared" ca="1" si="412"/>
        <v>37686.659319746694</v>
      </c>
      <c r="Z511" s="49">
        <f t="shared" ca="1" si="413"/>
        <v>50669852.63580998</v>
      </c>
      <c r="AA511" s="97">
        <f t="shared" ca="1" si="414"/>
        <v>113484.85438824935</v>
      </c>
      <c r="AB511" s="115">
        <f ca="1">IF(OR(C511="赤日轮1",C511="赤日轮2",C511="赤日轮3"),IF(RAND()&lt;模拟模式!$Y$17,1,0),IF(OR(C511="幽月轮1",C511="幽月轮2",C511="幽月轮3"),IF(RAND()&lt;模拟模式!$Y$18,1,0),IF(C511="烈日斩",IF(RAND()&lt;模拟模式!$Y$19,1,0),IF(C511="银月斩",IF(RAND()&lt;模拟模式!$Y$20,1,0),IF(C511="驱夜断愁",IF(RAND()&lt;模拟模式!$Y$21,1,0),IF(C511="净世破魔击·日",IF(RAND()&lt;模拟模式!$Y$22,1,0),IF(C511="净世破魔击·月",IF(RAND()&lt;模拟模式!$Y$23,1,0),0)))))))</f>
        <v>1</v>
      </c>
      <c r="AC511" s="115" t="b">
        <f t="shared" ca="1" si="402"/>
        <v>1</v>
      </c>
      <c r="AD511" s="115" t="b">
        <f t="shared" ca="1" si="422"/>
        <v>0</v>
      </c>
      <c r="AE511" s="115">
        <f t="shared" ca="1" si="423"/>
        <v>6</v>
      </c>
      <c r="AF511" s="47">
        <f ca="1">IF(AC511,('模拟-单技能数据'!$D$20+G511*'模拟-单技能数据'!$F$20)*(1+J511)*(1+'模拟-单技能数据'!$J$20)*(1+U511),0)</f>
        <v>4447.8565560098323</v>
      </c>
      <c r="AG511" s="61">
        <f t="shared" ca="1" si="415"/>
        <v>0.64185145527300214</v>
      </c>
      <c r="AH511" s="61">
        <f t="shared" ca="1" si="416"/>
        <v>2.2624828854998791</v>
      </c>
      <c r="AI511" s="62">
        <f t="shared" ca="1" si="438"/>
        <v>0.34007813849643065</v>
      </c>
      <c r="AJ511" s="47">
        <f ca="1">IF(AD511,IF(AI511&lt;$F$10,0,IF(AI511&lt;$F$10+$F$11,0.25,IF(AI511&lt;$F$10+$F$11+AG511,AH511,1)))*IF(AF511&gt;0,AF511,IF(AF510&gt;0,AF510,IF(AF509&gt;0,AF509,IF(AF508&gt;0,AF508,IF(AF507&gt;0,AF507,IF(AF506&gt;0,AF506,IF(AF505&gt;0,AF505,IF(AF504&gt;0,AF504,IF(AF503&gt;0,AF503,IF(AF501&gt;0,AF501,IF(AF500&gt;0,AF500,IF(AF499&gt;0,AF499,0)))))))))))),0)*(1-$S511)*'模拟-单技能数据'!$I$20</f>
        <v>0</v>
      </c>
      <c r="AK511" s="115" t="b">
        <f t="shared" ca="1" si="403"/>
        <v>0</v>
      </c>
      <c r="AL511" s="115" t="b">
        <f t="shared" ca="1" si="424"/>
        <v>1</v>
      </c>
      <c r="AM511" s="115">
        <f t="shared" ca="1" si="425"/>
        <v>4</v>
      </c>
      <c r="AN511" s="47">
        <f ca="1">IF(AK511,('模拟-单技能数据'!$D$21+G511*'模拟-单技能数据'!$F$21)*(1+J511)*(1+'模拟-单技能数据'!$J$21)*(1+U511),0)</f>
        <v>0</v>
      </c>
      <c r="AO511" s="61">
        <f ca="1">IF(AN511&gt;0,M511-'模拟-单技能数据'!$K$10,AO510)</f>
        <v>0.42185145527300216</v>
      </c>
      <c r="AP511" s="61">
        <f ca="1">IF(AN511&gt;0,I511-'模拟-单技能数据'!$L$10,AP510)</f>
        <v>2.162482885499879</v>
      </c>
      <c r="AQ511" s="63">
        <f t="shared" ca="1" si="439"/>
        <v>6.4794577681533516E-2</v>
      </c>
      <c r="AR511" s="64">
        <f ca="1">IF(AL511,IF(AQ511&lt;$F$10,0,IF(AQ511&lt;$F$10+$F$11,0.25,IF(AQ511&lt;$F$10+$F$11+AO511,AP511,1)))*IF(AN511&gt;0,AN511,IF(AN510&gt;0,AN510,IF(AN509&gt;0,AN509,IF(AN508&gt;0,AN508,IF(AN507&gt;0,AN507,IF(AN506&gt;0,AN506,IF(AN505&gt;0,AN505,IF(AN504&gt;0,AN504,IF(AN503&gt;0,AN503,IF(AN501&gt;0,AN501,IF(AN500&gt;0,AN500,IF(AN499&gt;0,AN499,0)))))))))))),0)*(1-$S511)*'模拟-单技能数据'!$I$21</f>
        <v>19874.713753650052</v>
      </c>
      <c r="AS511" s="61">
        <f ca="1">IF(OR(C511="净世破魔击·日",C511="净世破魔击·月"),M511-'模拟-单技能数据'!$K$10,0)</f>
        <v>0</v>
      </c>
      <c r="AT511" s="61">
        <f ca="1">IF(OR(C511="净世破魔击·日",C511="净世破魔击·月"),I511-'模拟-单技能数据'!$L$10,0)</f>
        <v>0</v>
      </c>
      <c r="AU511" s="62">
        <f t="shared" ca="1" si="440"/>
        <v>0.299976033484191</v>
      </c>
      <c r="AV511" s="64">
        <f ca="1">IF(AS511&gt;0,('模拟-单技能数据'!$D$22+G511*'模拟-单技能数据'!$F$22)*(1+J511)*(1-S511)*IF(AU511&lt;$F$10,0,IF(AU511&lt;$F$10+$F$11,0.25,IF(AU511&lt;$F$10+$F$11+AS511,AT511,1)))*(1+U511),0)*'模拟-单技能数据'!$I$22</f>
        <v>0</v>
      </c>
      <c r="AW511" s="108">
        <f t="shared" ca="1" si="441"/>
        <v>11.697500000000005</v>
      </c>
      <c r="AX511" s="108" t="b">
        <f ca="1">AND(模拟模式!$P$10="有",AW510=0,RAND()&lt;IF(C511="净世破魔击·月",0.1*8/3,IF(C511="净世破魔击·日",0.1*4/3,0.1*2/3)))</f>
        <v>0</v>
      </c>
      <c r="AY511" s="47">
        <f ca="1">IF(AX511,(18+G511*0.722)*(1+J511)*(1-S511)*(1+$I$4)*IF(P511="会",'模拟-全程加成'!$J$3+'模拟-全程加成'!$J$4+'模拟-全程加成'!$J$5+('模拟-全程加成'!$I$4+'模拟-全程加成'!$I$5)/系数!$B$4+BG511*10%,IF(P511="命",1,IF(P511="识",0.25,0))),0)</f>
        <v>0</v>
      </c>
      <c r="AZ511" s="108">
        <f t="shared" si="442"/>
        <v>0</v>
      </c>
      <c r="BA511" s="108" t="b">
        <f>AND(模拟模式!$Q$10="有",AZ510=0)</f>
        <v>0</v>
      </c>
      <c r="BB511" s="140">
        <f>IF(BA511,(0+G511*0.287)*(1+J511)*(1-S511)*(1+$I$4)*IF(P511="会",'模拟-全程加成'!$J$3+'模拟-全程加成'!$J$4+'模拟-全程加成'!$J$5+('模拟-全程加成'!$I$4+'模拟-全程加成'!$I$5)/系数!$B$4+BG511*10%,IF(P511="命",1,IF(P511="识",0.25,0))),0)</f>
        <v>0</v>
      </c>
      <c r="BC511" s="115" t="b">
        <f ca="1">AND(模拟模式!$R$7="伏明众生",E511=60,F511=20,DA511&lt;5,CZ510&lt;$F$4)</f>
        <v>0</v>
      </c>
      <c r="BD511" s="115">
        <f t="shared" ca="1" si="404"/>
        <v>0</v>
      </c>
      <c r="BE511" s="115" t="b">
        <f t="shared" ca="1" si="405"/>
        <v>0</v>
      </c>
      <c r="BF511" s="47">
        <f ca="1">IF(BC511,4*('模拟-单技能数据'!$D$24+G511*'模拟-单技能数据'!$F$24)*(1+J511)*(1+'模拟-单技能数据'!$J$24)*(1-S511)*(1+$I$3)*(('模拟-全程加成'!$J$3+'模拟-全程加成'!$J$4+'模拟-全程加成'!$J$5+('模拟-全程加成'!$I$4+'模拟-全程加成'!$I$5)/系数!$B$4+BG511*10%)*('模拟-全程加成'!$J$3+'模拟-全程加成'!$J$4+'模拟-全程加成'!$J$5+('模拟-全程加成'!$I$4+'模拟-全程加成'!$I$5)/系数!$B$4+BG511*10%)+(1-('模拟-全程加成'!$J$3+'模拟-全程加成'!$J$4+'模拟-全程加成'!$J$5+('模拟-全程加成'!$I$4+'模拟-全程加成'!$I$5)/系数!$B$4+BG511*10%)-$F$10-$F$11)+F497*0.25),0)*'模拟-单技能数据'!$I$24</f>
        <v>0</v>
      </c>
      <c r="BG511" s="115" t="b">
        <f ca="1">OR(AND(OR(C511="烈日斩",C511="银月斩"),模拟模式!$I$7="净身明礼"),AND(C511="净世破魔击·日",模拟模式!$J$7="洞若观火"),AND(C512="净世破魔击·月",模拟模式!$J$7="洞若观火"),AB511=1)</f>
        <v>1</v>
      </c>
      <c r="BH511" s="115" t="b">
        <f t="shared" ca="1" si="443"/>
        <v>0</v>
      </c>
      <c r="BI511" s="115">
        <f t="shared" ca="1" si="406"/>
        <v>0</v>
      </c>
      <c r="BJ511" s="115" t="b">
        <f t="shared" ca="1" si="417"/>
        <v>0</v>
      </c>
      <c r="BK511" s="115" t="b">
        <f ca="1">AND(C511="驱夜断愁",模拟模式!$P$7="天地诛戮")</f>
        <v>0</v>
      </c>
      <c r="BL511" s="57">
        <f t="shared" ca="1" si="407"/>
        <v>14.465000000000003</v>
      </c>
      <c r="BM511" s="115" t="b">
        <f t="shared" ca="1" si="418"/>
        <v>1</v>
      </c>
      <c r="BN511" s="115" t="b">
        <f ca="1">AND(OR(C511="赤日轮1",C511="赤日轮2",C511="赤日轮3",C511="幽月轮1",C511="幽月轮2",C511="幽月轮3"),AB511=1,模拟模式!$L$7="明光恒照")</f>
        <v>0</v>
      </c>
      <c r="BO511" s="117">
        <f t="shared" ca="1" si="408"/>
        <v>29.077500000000001</v>
      </c>
      <c r="BP511" s="115">
        <f t="shared" ca="1" si="444"/>
        <v>6</v>
      </c>
      <c r="BQ511" s="115" t="b">
        <f>模拟模式!$K$10="2600·水"</f>
        <v>0</v>
      </c>
      <c r="BR511" s="117">
        <f t="shared" si="445"/>
        <v>0</v>
      </c>
      <c r="BS511" s="115">
        <f t="shared" si="446"/>
        <v>0</v>
      </c>
      <c r="BT511" s="115">
        <f t="shared" ca="1" si="447"/>
        <v>0</v>
      </c>
      <c r="BU511" s="115" t="b">
        <f ca="1">AND(模拟模式!$K$10="2300·雷",BT510=0,RAND()&lt;IF(C511="净世破魔击·月",5*0.05*2/3,IF(C511="净世破魔击·日",3*0.05*2/3,0.05*2*2/3)))</f>
        <v>0</v>
      </c>
      <c r="BV511" s="115">
        <f t="shared" ca="1" si="448"/>
        <v>0</v>
      </c>
      <c r="BW511" s="115">
        <f t="shared" ca="1" si="449"/>
        <v>108.96749999999925</v>
      </c>
      <c r="BX511" s="164" t="b">
        <f t="shared" ca="1" si="450"/>
        <v>0</v>
      </c>
      <c r="BY511" s="115">
        <f t="shared" ca="1" si="451"/>
        <v>0</v>
      </c>
      <c r="BZ511" s="115">
        <f>IF(OR(模拟模式!$P$16="10人团",模拟模式!$P$16="25人团"),IF(B511/30&gt;CA510,1,0),0)</f>
        <v>0</v>
      </c>
      <c r="CA511" s="115">
        <f t="shared" si="427"/>
        <v>0</v>
      </c>
      <c r="CB511" s="115">
        <f ca="1">IF(BZ511=1,IF(模拟模式!$P$16="10人团",15,0)+IF(模拟模式!$P$16="25人团",IF(RAND()&lt;0.6,15,0)),MAX(0,CB510-$F$4))</f>
        <v>0</v>
      </c>
      <c r="CC511" s="115" t="b">
        <f t="shared" ca="1" si="419"/>
        <v>0</v>
      </c>
      <c r="CD511" s="115">
        <f>IF(模拟模式!$Q$16="1个",IF(B511/40&gt;CE510,1,0),0)</f>
        <v>0</v>
      </c>
      <c r="CE511" s="115">
        <f t="shared" si="420"/>
        <v>0</v>
      </c>
      <c r="CF511" s="115">
        <f>IF(OR(CD511=1,模拟模式!$Q$16="2个"),20,MAX(0,CF510-$F$4))</f>
        <v>0</v>
      </c>
      <c r="CG511" s="115" t="b">
        <f t="shared" si="421"/>
        <v>0</v>
      </c>
      <c r="CH511" s="115">
        <f t="shared" ca="1" si="452"/>
        <v>0</v>
      </c>
      <c r="CI511" s="115" t="b">
        <f t="shared" ca="1" si="453"/>
        <v>0</v>
      </c>
      <c r="CJ511" s="119">
        <f t="shared" ca="1" si="454"/>
        <v>0</v>
      </c>
      <c r="CK511" s="115">
        <f t="shared" ca="1" si="455"/>
        <v>0</v>
      </c>
      <c r="CL511" s="115" t="b">
        <f ca="1">AND(模拟模式!$S$7="驱夷逐法",OR(AND(C511="净世破魔击·月",E510&gt;59),AND(C511="净世破魔击·日",F510&gt;59)))</f>
        <v>0</v>
      </c>
      <c r="CM511" s="115" t="b">
        <f ca="1">OR(CL511,AND(C511="净世破魔击·日",CL510,RAND()&lt;模拟模式!$U$23))</f>
        <v>0</v>
      </c>
      <c r="CN511" s="115" t="b">
        <f ca="1">IF(模拟模式!$M$7="辉耀红尘",AND(C511="净世破魔击·月",CL511,CV511=0,E510&lt;80),AND(C511="净世破魔击·月",CL511,E510&lt;100))</f>
        <v>0</v>
      </c>
      <c r="CO511" s="115" t="b">
        <f t="shared" ca="1" si="428"/>
        <v>0</v>
      </c>
      <c r="CP511" s="115" t="b">
        <f ca="1">AND(模拟模式!$O$7="用晦而明",OR(C511="净世破魔击·日",C511="净世破魔击·月",C511="驱夜断愁"),AB511)</f>
        <v>0</v>
      </c>
      <c r="CQ511" s="115" t="b">
        <f ca="1">OR(CP511,AND(CP510,RAND()&lt;模拟模式!$U$23))</f>
        <v>0</v>
      </c>
      <c r="CR511" s="115" t="b">
        <f ca="1">AND(模拟模式!$S$7="日月齐光",OR(C511="幽月轮1",C511="幽月轮2",C511="幽月轮3",CR510),NOT(OR(C511="赤日轮1",C511="赤日轮2",C511="赤日轮3")))</f>
        <v>0</v>
      </c>
      <c r="CS511" s="115" t="b">
        <f ca="1">AND(模拟模式!$S$7="日月齐光",OR(C511="赤日轮1",C511="赤日轮2",C511="赤日轮3",CS510),NOT(OR(C511="幽月轮1",C511="幽月轮2",C511="幽月轮3")))</f>
        <v>0</v>
      </c>
      <c r="CT511" s="115">
        <f t="shared" ca="1" si="456"/>
        <v>0</v>
      </c>
      <c r="CU511" s="115" t="b">
        <f ca="1">AND(模拟模式!$K$10="阴阳往极",CT510=0,RAND()&lt;IF(C511="净世破魔击·月",0.0275*7/3,IF(C511="净世破魔击·日",0.0275*3/3,0.0275*2/3)))</f>
        <v>0</v>
      </c>
      <c r="CV511" s="115">
        <f t="shared" ca="1" si="457"/>
        <v>0</v>
      </c>
      <c r="CW511" s="115">
        <f t="shared" ca="1" si="429"/>
        <v>1.3874999999999997</v>
      </c>
      <c r="CX511" s="115">
        <f t="shared" ca="1" si="430"/>
        <v>6</v>
      </c>
      <c r="CY511" s="115">
        <f ca="1">MAX(IF($C511="驱夜断愁",IF(模拟模式!$R$7="万念俱寂",6,45),CY510-$F$4),0)</f>
        <v>0.46499999999999975</v>
      </c>
      <c r="CZ511" s="115">
        <f t="shared" ca="1" si="431"/>
        <v>0</v>
      </c>
      <c r="DA511" s="115">
        <f ca="1">IF(模拟模式!$N$7="日月同辉",IF(DB510=2,0,MIN(6,IF(AND(OR(C511="赤日轮1",C511="赤日轮2",C511="赤日轮3",C511="幽月轮1",C511="幽月轮2",C511="幽月轮3"),AB511=1),DA510+1,DA510))),0)</f>
        <v>2</v>
      </c>
      <c r="DB511" s="115">
        <f t="shared" ca="1" si="432"/>
        <v>0</v>
      </c>
      <c r="DC511" s="115"/>
      <c r="DD511" s="115"/>
      <c r="DE511" s="115"/>
      <c r="DF511" s="115"/>
      <c r="DG511" s="115"/>
      <c r="DH511" s="115"/>
      <c r="DI511" s="115"/>
      <c r="DJ511" s="115"/>
      <c r="DK511" s="115"/>
      <c r="DL511" s="115"/>
      <c r="DM511" s="115"/>
    </row>
    <row r="512" spans="2:117" x14ac:dyDescent="0.2">
      <c r="B512" s="117">
        <f t="shared" si="433"/>
        <v>447.41250000000463</v>
      </c>
      <c r="C512" s="167" t="str">
        <f t="shared" ca="1" si="426"/>
        <v>驱夜断愁</v>
      </c>
      <c r="D512" s="115">
        <f ca="1">IF(C512="赤日轮1",1,IF(C512="赤日轮2",2,IF(C512="赤日轮3",3,IF(C512="幽月轮1",4,IF(C512="幽月轮2",5,IF(C512="幽月轮3",6,IF(C512="烈日斩",7,IF(C512="银月斩",8,IF(C512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512="净世破魔击·月",17,IF(C512="驱夜断愁",18,0)))))))))))</f>
        <v>18</v>
      </c>
      <c r="E512" s="115">
        <f ca="1">IF(AND(CU512,OR(C512="幽月轮1",C512="幽月轮2",C512="幽月轮3",C512="银月斩",C512="驱夜断愁",C512="净世破魔击·月")),100,MIN(IF(OR(CN512,BE512),0,IF(OR($C512="赤日轮1",$C512="赤日轮2",$C512="赤日轮3"),E511+20+IF(模拟模式!$I$7="日月凌天",4,0)+IF(CR511,20,0),IF($C512="烈日斩",E511+40,IF($C512="驱夜断愁",IF(模拟模式!$R$7="万念俱寂",E511+20,E511+60),IF($C512="净世破魔击·月",IF(OR(DB511&gt;0,CV511&gt;0),100,IF(模拟模式!$M$7="辉耀红尘",E511+20,E511)),IF($C512="净世破魔击·日",E511-100,E511)))))),100))</f>
        <v>40</v>
      </c>
      <c r="F512" s="115">
        <f ca="1">IF(AND(CU512,OR(C512="赤日轮1",C512="赤日轮2",C512="赤日轮3",C512="烈日斩",C512="净世破魔击·日")),100,MIN(IF(CO512,0,IF(OR($C512="幽月轮1",$C512="幽月轮2",$C512="幽月轮3"),F511+20+IF(模拟模式!$I$7="日月凌天",4,0)+IF(CS511,20,0),IF($C512="银月斩",F511+40+IF(模拟模式!$X$12=1,5,0),IF($C512="驱夜断愁",IF(模拟模式!$R$7="万念俱寂",F511+20,F511+60),IF($C512="净世破魔击·月",IF(模拟模式!$M$7="辉耀红尘",F511-80,F511-100),IF(AND(C512="净世破魔击·日",OR(DB511&gt;0,CV511&gt;0)),100,F511)))))),100))</f>
        <v>85</v>
      </c>
      <c r="G512" s="117">
        <f ca="1">('模拟-全程加成'!$E$3+'模拟-全程加成'!$E$4+'模拟-全程加成'!$E$5+('模拟-全程加成'!$C$6-'模拟-全程加成'!$C$3)*系数!$B$9+BS512*23)*(1+'模拟-全程加成'!$F$4+'模拟-全程加成'!$F$5+BJ512*10%+BM512*20%+BP512*4%+CG512*30%)+$F$7*系数!$B$12</f>
        <v>20583.127400000001</v>
      </c>
      <c r="H512" s="45">
        <f ca="1">'模拟-全程加成'!$H$3+'模拟-全程加成'!$H$4+'模拟-全程加成'!$H$5+('模拟-全程加成'!$G$4+'模拟-全程加成'!$G$5+('模拟-全程加成'!$C$6-'模拟-全程加成'!$C$3)*系数!$B$13)/系数!$B$3+LOOKUP(D512,'模拟-单技能数据'!$A$2:$A$19,'模拟-单技能数据'!$K$2:$K$19)+BG512*10%+IF(BV512&gt;0,378,0)</f>
        <v>0.51185145527300213</v>
      </c>
      <c r="I512" s="45">
        <f ca="1">'模拟-全程加成'!$J$3+'模拟-全程加成'!$J$4+'模拟-全程加成'!$J$5+('模拟-全程加成'!$I$4+'模拟-全程加成'!$I$5)/系数!$B$4+LOOKUP(D512,'模拟-单技能数据'!$A$2:$A$19,'模拟-单技能数据'!$L$2:$L$19)+BG512*10%</f>
        <v>2.162482885499879</v>
      </c>
      <c r="J512" s="45">
        <f ca="1">(('模拟-全程加成'!$K$3+'模拟-全程加成'!$K$4+'模拟-全程加成'!$K$5+('模拟-全程加成'!$C$6-'模拟-全程加成'!$C$3)*系数!$B$10+IF(BV512&gt;0,882,0)+IF(BY512&gt;0,1831,0))*(1+'模拟-全程加成'!$L$4+'模拟-全程加成'!$L$5+CC512*20%))/系数!$B$5</f>
        <v>0.69723220422048726</v>
      </c>
      <c r="K512" s="119">
        <f ca="1">LOOKUP(D512,'模拟-单技能数据'!$A$2:$A$19,'模拟-单技能数据'!$J$2:$J$19)+IF(CM512,60%,0)+IF(DB511-DB512&gt;0,30%,0)+IF(OR(AND(OR(C512="赤日轮1",C512="赤日轮2",C512="赤日轮3"),CR512),AND(OR(C512="幽月轮1",C512="幽月轮2",C512="幽月轮3"),CS512)),35%,0)+CJ512</f>
        <v>0.19</v>
      </c>
      <c r="L512" s="119">
        <f ca="1">IF(AND(C512="烈日斩",模拟模式!$X$11=1),10%,0)+IF(AND(C512="驱夜断愁",AB512=1),30%,0)</f>
        <v>0.3</v>
      </c>
      <c r="M512" s="45">
        <f t="shared" ca="1" si="409"/>
        <v>0.51185145527300213</v>
      </c>
      <c r="N512" s="45">
        <f t="shared" ca="1" si="410"/>
        <v>0.43424854472699792</v>
      </c>
      <c r="O512" s="46">
        <f t="shared" ca="1" si="434"/>
        <v>1.8676608405761019E-2</v>
      </c>
      <c r="P512" s="46" t="str">
        <f t="shared" ca="1" si="435"/>
        <v>识</v>
      </c>
      <c r="Q512" s="45">
        <f t="shared" ca="1" si="436"/>
        <v>0.25</v>
      </c>
      <c r="R512" s="117">
        <f ca="1">模拟模式!$E$20*(1-IF(模拟模式!$J$19="有",0.15,0))*(1-IF(模拟模式!$K$19="有",0.3,0)-IF(CQ512,0.5,0))</f>
        <v>843.02999999999975</v>
      </c>
      <c r="S512" s="45">
        <f ca="1">R512/(R512+(185*模拟模式!$E$22-16800)*4.08224)</f>
        <v>8.389626085980037E-2</v>
      </c>
      <c r="T512" s="45" t="str">
        <f ca="1">LOOKUP(D512,'模拟-单技能数据'!$A$2:$A$19,'模拟-单技能数据'!$H$2:$H$19)</f>
        <v>阴</v>
      </c>
      <c r="U512" s="119">
        <f t="shared" ca="1" si="411"/>
        <v>0.08</v>
      </c>
      <c r="V512" s="47">
        <f ca="1">(1+L512)*(LOOKUP(D512,'模拟-单技能数据'!$A$2:$A$19,'模拟-单技能数据'!$D$2:$D$19)+G512*LOOKUP(D512,'模拟-单技能数据'!$A$2:$A$19,'模拟-单技能数据'!$F$2:$F$19))*(1+J512)*(1+K512)*(1-S512)*(1+U512)*Q512*LOOKUP(D512,'模拟-单技能数据'!$A$2:$A$19,'模拟-单技能数据'!$I$2:$I$20)</f>
        <v>15382.077796978341</v>
      </c>
      <c r="W512" s="47">
        <f ca="1">LOOKUP(D512,'模拟-单技能数据'!$A$2:$A$19,'模拟-单技能数据'!$G$2:$G$19)*$I$10</f>
        <v>723.0212870940959</v>
      </c>
      <c r="X512" s="47">
        <f t="shared" ca="1" si="437"/>
        <v>11698.884639649221</v>
      </c>
      <c r="Y512" s="47">
        <f t="shared" ca="1" si="412"/>
        <v>27803.983723721656</v>
      </c>
      <c r="Z512" s="49">
        <f t="shared" ca="1" si="413"/>
        <v>50697656.619533703</v>
      </c>
      <c r="AA512" s="97">
        <f t="shared" ca="1" si="414"/>
        <v>113313.00895601526</v>
      </c>
      <c r="AB512" s="115">
        <f ca="1">IF(OR(C512="赤日轮1",C512="赤日轮2",C512="赤日轮3"),IF(RAND()&lt;模拟模式!$Y$17,1,0),IF(OR(C512="幽月轮1",C512="幽月轮2",C512="幽月轮3"),IF(RAND()&lt;模拟模式!$Y$18,1,0),IF(C512="烈日斩",IF(RAND()&lt;模拟模式!$Y$19,1,0),IF(C512="银月斩",IF(RAND()&lt;模拟模式!$Y$20,1,0),IF(C512="驱夜断愁",IF(RAND()&lt;模拟模式!$Y$21,1,0),IF(C512="净世破魔击·日",IF(RAND()&lt;模拟模式!$Y$22,1,0),IF(C512="净世破魔击·月",IF(RAND()&lt;模拟模式!$Y$23,1,0),0)))))))</f>
        <v>1</v>
      </c>
      <c r="AC512" s="115" t="b">
        <f t="shared" ca="1" si="402"/>
        <v>0</v>
      </c>
      <c r="AD512" s="115" t="b">
        <f t="shared" ca="1" si="422"/>
        <v>1</v>
      </c>
      <c r="AE512" s="115">
        <f t="shared" ca="1" si="423"/>
        <v>5</v>
      </c>
      <c r="AF512" s="47">
        <f ca="1">IF(AC512,('模拟-单技能数据'!$D$20+G512*'模拟-单技能数据'!$F$20)*(1+J512)*(1+'模拟-单技能数据'!$J$20)*(1+U512),0)</f>
        <v>0</v>
      </c>
      <c r="AG512" s="61">
        <f t="shared" ca="1" si="415"/>
        <v>0.64185145527300214</v>
      </c>
      <c r="AH512" s="61">
        <f t="shared" ca="1" si="416"/>
        <v>2.2624828854998791</v>
      </c>
      <c r="AI512" s="62">
        <f t="shared" ca="1" si="438"/>
        <v>0.25532760816866495</v>
      </c>
      <c r="AJ512" s="47">
        <f ca="1">IF(AD512,IF(AI512&lt;$F$10,0,IF(AI512&lt;$F$10+$F$11,0.25,IF(AI512&lt;$F$10+$F$11+AG512,AH512,1)))*IF(AF512&gt;0,AF512,IF(AF511&gt;0,AF511,IF(AF510&gt;0,AF510,IF(AF509&gt;0,AF509,IF(AF508&gt;0,AF508,IF(AF507&gt;0,AF507,IF(AF506&gt;0,AF506,IF(AF505&gt;0,AF505,IF(AF504&gt;0,AF504,IF(AF502&gt;0,AF502,IF(AF501&gt;0,AF501,IF(AF500&gt;0,AF500,0)))))))))))),0)*(1-$S512)*'模拟-单技能数据'!$I$20</f>
        <v>9218.9345386263849</v>
      </c>
      <c r="AK512" s="115" t="b">
        <f t="shared" ca="1" si="403"/>
        <v>0</v>
      </c>
      <c r="AL512" s="115" t="b">
        <f t="shared" ca="1" si="424"/>
        <v>0</v>
      </c>
      <c r="AM512" s="115">
        <f t="shared" ca="1" si="425"/>
        <v>4</v>
      </c>
      <c r="AN512" s="47">
        <f ca="1">IF(AK512,('模拟-单技能数据'!$D$21+G512*'模拟-单技能数据'!$F$21)*(1+J512)*(1+'模拟-单技能数据'!$J$21)*(1+U512),0)</f>
        <v>0</v>
      </c>
      <c r="AO512" s="61">
        <f ca="1">IF(AN512&gt;0,M512-'模拟-单技能数据'!$K$10,AO511)</f>
        <v>0.42185145527300216</v>
      </c>
      <c r="AP512" s="61">
        <f ca="1">IF(AN512&gt;0,I512-'模拟-单技能数据'!$L$10,AP511)</f>
        <v>2.162482885499879</v>
      </c>
      <c r="AQ512" s="63">
        <f t="shared" ca="1" si="439"/>
        <v>0.35121826715235405</v>
      </c>
      <c r="AR512" s="64">
        <f ca="1">IF(AL512,IF(AQ512&lt;$F$10,0,IF(AQ512&lt;$F$10+$F$11,0.25,IF(AQ512&lt;$F$10+$F$11+AO512,AP512,1)))*IF(AN512&gt;0,AN512,IF(AN511&gt;0,AN511,IF(AN510&gt;0,AN510,IF(AN509&gt;0,AN509,IF(AN508&gt;0,AN508,IF(AN507&gt;0,AN507,IF(AN506&gt;0,AN506,IF(AN505&gt;0,AN505,IF(AN504&gt;0,AN504,IF(AN502&gt;0,AN502,IF(AN501&gt;0,AN501,IF(AN500&gt;0,AN500,0)))))))))))),0)*(1-$S512)*'模拟-单技能数据'!$I$21</f>
        <v>0</v>
      </c>
      <c r="AS512" s="61">
        <f ca="1">IF(OR(C512="净世破魔击·日",C512="净世破魔击·月"),M512-'模拟-单技能数据'!$K$10,0)</f>
        <v>0</v>
      </c>
      <c r="AT512" s="61">
        <f ca="1">IF(OR(C512="净世破魔击·日",C512="净世破魔击·月"),I512-'模拟-单技能数据'!$L$10,0)</f>
        <v>0</v>
      </c>
      <c r="AU512" s="62">
        <f t="shared" ca="1" si="440"/>
        <v>0.7036062434161664</v>
      </c>
      <c r="AV512" s="64">
        <f ca="1">IF(AS512&gt;0,('模拟-单技能数据'!$D$22+G512*'模拟-单技能数据'!$F$22)*(1+J512)*(1-S512)*IF(AU512&lt;$F$10,0,IF(AU512&lt;$F$10+$F$11,0.25,IF(AU512&lt;$F$10+$F$11+AS512,AT512,1)))*(1+U512),0)*'模拟-单技能数据'!$I$22</f>
        <v>0</v>
      </c>
      <c r="AW512" s="108">
        <f t="shared" ca="1" si="441"/>
        <v>10.775000000000006</v>
      </c>
      <c r="AX512" s="108" t="b">
        <f ca="1">AND(模拟模式!$P$10="有",AW511=0,RAND()&lt;IF(C512="净世破魔击·月",0.1*8/3,IF(C512="净世破魔击·日",0.1*4/3,0.1*2/3)))</f>
        <v>0</v>
      </c>
      <c r="AY512" s="47">
        <f ca="1">IF(AX512,(18+G512*0.722)*(1+J512)*(1-S512)*(1+$I$4)*IF(P512="会",'模拟-全程加成'!$J$3+'模拟-全程加成'!$J$4+'模拟-全程加成'!$J$5+('模拟-全程加成'!$I$4+'模拟-全程加成'!$I$5)/系数!$B$4+BG512*10%,IF(P512="命",1,IF(P512="识",0.25,0))),0)</f>
        <v>0</v>
      </c>
      <c r="AZ512" s="108">
        <f t="shared" si="442"/>
        <v>19.077500000000001</v>
      </c>
      <c r="BA512" s="108" t="b">
        <f>AND(模拟模式!$Q$10="有",AZ511=0)</f>
        <v>1</v>
      </c>
      <c r="BB512" s="140">
        <f ca="1">IF(BA512,(0+G512*0.287)*(1+J512)*(1-S512)*(1+$I$4)*IF(P512="会",'模拟-全程加成'!$J$3+'模拟-全程加成'!$J$4+'模拟-全程加成'!$J$5+('模拟-全程加成'!$I$4+'模拟-全程加成'!$I$5)/系数!$B$4+BG512*10%,IF(P512="命",1,IF(P512="识",0.25,0))),0)</f>
        <v>2479.9501010228364</v>
      </c>
      <c r="BC512" s="115" t="b">
        <f ca="1">AND(模拟模式!$R$7="伏明众生",E512=60,F512=20,DA512&lt;5,CZ511&lt;$F$4)</f>
        <v>0</v>
      </c>
      <c r="BD512" s="115">
        <f t="shared" ca="1" si="404"/>
        <v>0</v>
      </c>
      <c r="BE512" s="115" t="b">
        <f t="shared" ca="1" si="405"/>
        <v>0</v>
      </c>
      <c r="BF512" s="47">
        <f ca="1">IF(BC512,4*('模拟-单技能数据'!$D$24+G512*'模拟-单技能数据'!$F$24)*(1+J512)*(1+'模拟-单技能数据'!$J$24)*(1-S512)*(1+$I$3)*(('模拟-全程加成'!$J$3+'模拟-全程加成'!$J$4+'模拟-全程加成'!$J$5+('模拟-全程加成'!$I$4+'模拟-全程加成'!$I$5)/系数!$B$4+BG512*10%)*('模拟-全程加成'!$J$3+'模拟-全程加成'!$J$4+'模拟-全程加成'!$J$5+('模拟-全程加成'!$I$4+'模拟-全程加成'!$I$5)/系数!$B$4+BG512*10%)+(1-('模拟-全程加成'!$J$3+'模拟-全程加成'!$J$4+'模拟-全程加成'!$J$5+('模拟-全程加成'!$I$4+'模拟-全程加成'!$I$5)/系数!$B$4+BG512*10%)-$F$10-$F$11)+F498*0.25),0)*'模拟-单技能数据'!$I$24</f>
        <v>0</v>
      </c>
      <c r="BG512" s="115" t="b">
        <f ca="1">OR(AND(OR(C512="烈日斩",C512="银月斩"),模拟模式!$I$7="净身明礼"),AND(C512="净世破魔击·日",模拟模式!$J$7="洞若观火"),AND(C513="净世破魔击·月",模拟模式!$J$7="洞若观火"),AB512=1)</f>
        <v>1</v>
      </c>
      <c r="BH512" s="115" t="b">
        <f t="shared" ca="1" si="443"/>
        <v>0</v>
      </c>
      <c r="BI512" s="115">
        <f t="shared" ca="1" si="406"/>
        <v>0</v>
      </c>
      <c r="BJ512" s="115" t="b">
        <f t="shared" ca="1" si="417"/>
        <v>0</v>
      </c>
      <c r="BK512" s="115" t="b">
        <f ca="1">AND(C512="驱夜断愁",模拟模式!$P$7="天地诛戮")</f>
        <v>1</v>
      </c>
      <c r="BL512" s="57">
        <f t="shared" ca="1" si="407"/>
        <v>20</v>
      </c>
      <c r="BM512" s="115" t="b">
        <f t="shared" ca="1" si="418"/>
        <v>1</v>
      </c>
      <c r="BN512" s="115" t="b">
        <f ca="1">AND(OR(C512="赤日轮1",C512="赤日轮2",C512="赤日轮3",C512="幽月轮1",C512="幽月轮2",C512="幽月轮3"),AB512=1,模拟模式!$L$7="明光恒照")</f>
        <v>0</v>
      </c>
      <c r="BO512" s="117">
        <f t="shared" ca="1" si="408"/>
        <v>28.155000000000001</v>
      </c>
      <c r="BP512" s="115">
        <f t="shared" ca="1" si="444"/>
        <v>6</v>
      </c>
      <c r="BQ512" s="115" t="b">
        <f>模拟模式!$K$10="2600·水"</f>
        <v>0</v>
      </c>
      <c r="BR512" s="117">
        <f t="shared" si="445"/>
        <v>0</v>
      </c>
      <c r="BS512" s="115">
        <f t="shared" si="446"/>
        <v>0</v>
      </c>
      <c r="BT512" s="115">
        <f t="shared" ca="1" si="447"/>
        <v>0</v>
      </c>
      <c r="BU512" s="115" t="b">
        <f ca="1">AND(模拟模式!$K$10="2300·雷",BT511=0,RAND()&lt;IF(C512="净世破魔击·月",5*0.05*2/3,IF(C512="净世破魔击·日",3*0.05*2/3,0.05*2*2/3)))</f>
        <v>0</v>
      </c>
      <c r="BV512" s="115">
        <f t="shared" ca="1" si="448"/>
        <v>0</v>
      </c>
      <c r="BW512" s="115">
        <f t="shared" ca="1" si="449"/>
        <v>108.04499999999925</v>
      </c>
      <c r="BX512" s="164" t="b">
        <f t="shared" ca="1" si="450"/>
        <v>0</v>
      </c>
      <c r="BY512" s="115">
        <f t="shared" ca="1" si="451"/>
        <v>0</v>
      </c>
      <c r="BZ512" s="115">
        <f>IF(OR(模拟模式!$P$16="10人团",模拟模式!$P$16="25人团"),IF(B512/30&gt;CA511,1,0),0)</f>
        <v>0</v>
      </c>
      <c r="CA512" s="115">
        <f t="shared" si="427"/>
        <v>0</v>
      </c>
      <c r="CB512" s="115">
        <f ca="1">IF(BZ512=1,IF(模拟模式!$P$16="10人团",15,0)+IF(模拟模式!$P$16="25人团",IF(RAND()&lt;0.6,15,0)),MAX(0,CB511-$F$4))</f>
        <v>0</v>
      </c>
      <c r="CC512" s="115" t="b">
        <f t="shared" ca="1" si="419"/>
        <v>0</v>
      </c>
      <c r="CD512" s="115">
        <f>IF(模拟模式!$Q$16="1个",IF(B512/40&gt;CE511,1,0),0)</f>
        <v>0</v>
      </c>
      <c r="CE512" s="115">
        <f t="shared" si="420"/>
        <v>0</v>
      </c>
      <c r="CF512" s="115">
        <f>IF(OR(CD512=1,模拟模式!$Q$16="2个"),20,MAX(0,CF511-$F$4))</f>
        <v>0</v>
      </c>
      <c r="CG512" s="115" t="b">
        <f t="shared" si="421"/>
        <v>0</v>
      </c>
      <c r="CH512" s="115">
        <f t="shared" ca="1" si="452"/>
        <v>29.077500000000001</v>
      </c>
      <c r="CI512" s="115" t="b">
        <f t="shared" ca="1" si="453"/>
        <v>1</v>
      </c>
      <c r="CJ512" s="119">
        <f t="shared" ca="1" si="454"/>
        <v>0.05</v>
      </c>
      <c r="CK512" s="115">
        <f t="shared" ca="1" si="455"/>
        <v>7.0774999999999997</v>
      </c>
      <c r="CL512" s="115" t="b">
        <f ca="1">AND(模拟模式!$S$7="驱夷逐法",OR(AND(C512="净世破魔击·月",E511&gt;59),AND(C512="净世破魔击·日",F511&gt;59)))</f>
        <v>0</v>
      </c>
      <c r="CM512" s="115" t="b">
        <f ca="1">OR(CL512,AND(C512="净世破魔击·日",CL511,RAND()&lt;模拟模式!$U$23))</f>
        <v>0</v>
      </c>
      <c r="CN512" s="115" t="b">
        <f ca="1">IF(模拟模式!$M$7="辉耀红尘",AND(C512="净世破魔击·月",CL512,CV512=0,E511&lt;80),AND(C512="净世破魔击·月",CL512,E511&lt;100))</f>
        <v>0</v>
      </c>
      <c r="CO512" s="115" t="b">
        <f t="shared" ca="1" si="428"/>
        <v>0</v>
      </c>
      <c r="CP512" s="115" t="b">
        <f ca="1">AND(模拟模式!$O$7="用晦而明",OR(C512="净世破魔击·日",C512="净世破魔击·月",C512="驱夜断愁"),AB512)</f>
        <v>1</v>
      </c>
      <c r="CQ512" s="115" t="b">
        <f ca="1">OR(CP512,AND(CP511,RAND()&lt;模拟模式!$U$23))</f>
        <v>1</v>
      </c>
      <c r="CR512" s="115" t="b">
        <f ca="1">AND(模拟模式!$S$7="日月齐光",OR(C512="幽月轮1",C512="幽月轮2",C512="幽月轮3",CR511),NOT(OR(C512="赤日轮1",C512="赤日轮2",C512="赤日轮3")))</f>
        <v>0</v>
      </c>
      <c r="CS512" s="115" t="b">
        <f ca="1">AND(模拟模式!$S$7="日月齐光",OR(C512="赤日轮1",C512="赤日轮2",C512="赤日轮3",CS511),NOT(OR(C512="幽月轮1",C512="幽月轮2",C512="幽月轮3")))</f>
        <v>0</v>
      </c>
      <c r="CT512" s="115">
        <f t="shared" ca="1" si="456"/>
        <v>0</v>
      </c>
      <c r="CU512" s="115" t="b">
        <f ca="1">AND(模拟模式!$K$10="阴阳往极",CT511=0,RAND()&lt;IF(C512="净世破魔击·月",0.0275*7/3,IF(C512="净世破魔击·日",0.0275*3/3,0.0275*2/3)))</f>
        <v>0</v>
      </c>
      <c r="CV512" s="115">
        <f t="shared" ca="1" si="457"/>
        <v>0</v>
      </c>
      <c r="CW512" s="115">
        <f t="shared" ca="1" si="429"/>
        <v>0.46499999999999975</v>
      </c>
      <c r="CX512" s="115">
        <f t="shared" ca="1" si="430"/>
        <v>5.0774999999999997</v>
      </c>
      <c r="CY512" s="115">
        <f ca="1">MAX(IF($C512="驱夜断愁",IF(模拟模式!$R$7="万念俱寂",6,45),CY511-$F$4),0)</f>
        <v>6</v>
      </c>
      <c r="CZ512" s="115">
        <f t="shared" ca="1" si="431"/>
        <v>0</v>
      </c>
      <c r="DA512" s="115">
        <f ca="1">IF(模拟模式!$N$7="日月同辉",IF(DB511=2,0,MIN(6,IF(AND(OR(C512="赤日轮1",C512="赤日轮2",C512="赤日轮3",C512="幽月轮1",C512="幽月轮2",C512="幽月轮3"),AB512=1),DA511+1,DA511))),0)</f>
        <v>2</v>
      </c>
      <c r="DB512" s="115">
        <f t="shared" ca="1" si="432"/>
        <v>0</v>
      </c>
      <c r="DC512" s="115"/>
      <c r="DD512" s="115"/>
      <c r="DE512" s="115"/>
      <c r="DF512" s="115"/>
      <c r="DG512" s="115"/>
      <c r="DH512" s="115"/>
      <c r="DI512" s="115"/>
      <c r="DJ512" s="115"/>
      <c r="DK512" s="115"/>
      <c r="DL512" s="115"/>
      <c r="DM512" s="115"/>
    </row>
    <row r="513" spans="2:117" x14ac:dyDescent="0.2">
      <c r="B513" s="117">
        <f t="shared" si="433"/>
        <v>448.33500000000464</v>
      </c>
      <c r="C513" s="167" t="str">
        <f t="shared" ca="1" si="426"/>
        <v>烈日斩</v>
      </c>
      <c r="D513" s="115">
        <f ca="1">IF(C513="赤日轮1",1,IF(C513="赤日轮2",2,IF(C513="赤日轮3",3,IF(C513="幽月轮1",4,IF(C513="幽月轮2",5,IF(C513="幽月轮3",6,IF(C513="烈日斩",7,IF(C513="银月斩",8,IF(C513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513="净世破魔击·月",17,IF(C513="驱夜断愁",18,0)))))))))))</f>
        <v>7</v>
      </c>
      <c r="E513" s="115">
        <f ca="1">IF(AND(CU513,OR(C513="幽月轮1",C513="幽月轮2",C513="幽月轮3",C513="银月斩",C513="驱夜断愁",C513="净世破魔击·月")),100,MIN(IF(OR(CN513,BE513),0,IF(OR($C513="赤日轮1",$C513="赤日轮2",$C513="赤日轮3"),E512+20+IF(模拟模式!$I$7="日月凌天",4,0)+IF(CR512,20,0),IF($C513="烈日斩",E512+40,IF($C513="驱夜断愁",IF(模拟模式!$R$7="万念俱寂",E512+20,E512+60),IF($C513="净世破魔击·月",IF(OR(DB512&gt;0,CV512&gt;0),100,IF(模拟模式!$M$7="辉耀红尘",E512+20,E512)),IF($C513="净世破魔击·日",E512-100,E512)))))),100))</f>
        <v>80</v>
      </c>
      <c r="F513" s="115">
        <f ca="1">IF(AND(CU513,OR(C513="赤日轮1",C513="赤日轮2",C513="赤日轮3",C513="烈日斩",C513="净世破魔击·日")),100,MIN(IF(CO513,0,IF(OR($C513="幽月轮1",$C513="幽月轮2",$C513="幽月轮3"),F512+20+IF(模拟模式!$I$7="日月凌天",4,0)+IF(CS512,20,0),IF($C513="银月斩",F512+40+IF(模拟模式!$X$12=1,5,0),IF($C513="驱夜断愁",IF(模拟模式!$R$7="万念俱寂",F512+20,F512+60),IF($C513="净世破魔击·月",IF(模拟模式!$M$7="辉耀红尘",F512-80,F512-100),IF(AND(C513="净世破魔击·日",OR(DB512&gt;0,CV512&gt;0)),100,F512)))))),100))</f>
        <v>85</v>
      </c>
      <c r="G513" s="117">
        <f ca="1">('模拟-全程加成'!$E$3+'模拟-全程加成'!$E$4+'模拟-全程加成'!$E$5+('模拟-全程加成'!$C$6-'模拟-全程加成'!$C$3)*系数!$B$9+BS513*23)*(1+'模拟-全程加成'!$F$4+'模拟-全程加成'!$F$5+BJ513*10%+BM513*20%+BP513*4%+CG513*30%)+$F$7*系数!$B$12</f>
        <v>20583.127400000001</v>
      </c>
      <c r="H513" s="45">
        <f ca="1">'模拟-全程加成'!$H$3+'模拟-全程加成'!$H$4+'模拟-全程加成'!$H$5+('模拟-全程加成'!$G$4+'模拟-全程加成'!$G$5+('模拟-全程加成'!$C$6-'模拟-全程加成'!$C$3)*系数!$B$13)/系数!$B$3+LOOKUP(D513,'模拟-单技能数据'!$A$2:$A$19,'模拟-单技能数据'!$K$2:$K$19)+BG513*10%+IF(BV513&gt;0,378,0)</f>
        <v>0.56185145527300218</v>
      </c>
      <c r="I513" s="45">
        <f ca="1">'模拟-全程加成'!$J$3+'模拟-全程加成'!$J$4+'模拟-全程加成'!$J$5+('模拟-全程加成'!$I$4+'模拟-全程加成'!$I$5)/系数!$B$4+LOOKUP(D513,'模拟-单技能数据'!$A$2:$A$19,'模拟-单技能数据'!$L$2:$L$19)+BG513*10%</f>
        <v>2.2624828854998791</v>
      </c>
      <c r="J513" s="45">
        <f ca="1">(('模拟-全程加成'!$K$3+'模拟-全程加成'!$K$4+'模拟-全程加成'!$K$5+('模拟-全程加成'!$C$6-'模拟-全程加成'!$C$3)*系数!$B$10+IF(BV513&gt;0,882,0)+IF(BY513&gt;0,1831,0))*(1+'模拟-全程加成'!$L$4+'模拟-全程加成'!$L$5+CC513*20%))/系数!$B$5</f>
        <v>0.69723220422048726</v>
      </c>
      <c r="K513" s="119">
        <f ca="1">LOOKUP(D513,'模拟-单技能数据'!$A$2:$A$19,'模拟-单技能数据'!$J$2:$J$19)+IF(CM513,60%,0)+IF(DB512-DB513&gt;0,30%,0)+IF(OR(AND(OR(C513="赤日轮1",C513="赤日轮2",C513="赤日轮3"),CR513),AND(OR(C513="幽月轮1",C513="幽月轮2",C513="幽月轮3"),CS513)),35%,0)+CJ513</f>
        <v>0.28999999999999998</v>
      </c>
      <c r="L513" s="119">
        <f ca="1">IF(AND(C513="烈日斩",模拟模式!$X$11=1),10%,0)+IF(AND(C513="驱夜断愁",AB513=1),30%,0)</f>
        <v>0.1</v>
      </c>
      <c r="M513" s="45">
        <f t="shared" ca="1" si="409"/>
        <v>0.56185145527300218</v>
      </c>
      <c r="N513" s="45">
        <f t="shared" ca="1" si="410"/>
        <v>0.38424854472699788</v>
      </c>
      <c r="O513" s="46">
        <f t="shared" ca="1" si="434"/>
        <v>0.45496806438314197</v>
      </c>
      <c r="P513" s="46" t="str">
        <f t="shared" ca="1" si="435"/>
        <v>会</v>
      </c>
      <c r="Q513" s="45">
        <f t="shared" ca="1" si="436"/>
        <v>2.2624828854998791</v>
      </c>
      <c r="R513" s="117">
        <f ca="1">模拟模式!$E$20*(1-IF(模拟模式!$J$19="有",0.15,0))*(1-IF(模拟模式!$K$19="有",0.3,0)-IF(CQ513,0.5,0))</f>
        <v>843.02999999999975</v>
      </c>
      <c r="S513" s="45">
        <f ca="1">R513/(R513+(185*模拟模式!$E$22-16800)*4.08224)</f>
        <v>8.389626085980037E-2</v>
      </c>
      <c r="T513" s="45" t="str">
        <f ca="1">LOOKUP(D513,'模拟-单技能数据'!$A$2:$A$19,'模拟-单技能数据'!$H$2:$H$19)</f>
        <v>阳</v>
      </c>
      <c r="U513" s="119">
        <f t="shared" ca="1" si="411"/>
        <v>0.2</v>
      </c>
      <c r="V513" s="47">
        <f ca="1">(1+L513)*(LOOKUP(D513,'模拟-单技能数据'!$A$2:$A$19,'模拟-单技能数据'!$D$2:$D$19)+G513*LOOKUP(D513,'模拟-单技能数据'!$A$2:$A$19,'模拟-单技能数据'!$F$2:$F$19))*(1+J513)*(1+K513)*(1-S513)*(1+U513)*Q513*LOOKUP(D513,'模拟-单技能数据'!$A$2:$A$19,'模拟-单技能数据'!$I$2:$I$20)</f>
        <v>110129.64280298242</v>
      </c>
      <c r="W513" s="47">
        <f ca="1">LOOKUP(D513,'模拟-单技能数据'!$A$2:$A$19,'模拟-单技能数据'!$G$2:$G$19)*$I$10</f>
        <v>361.51064354704795</v>
      </c>
      <c r="X513" s="47">
        <f t="shared" ca="1" si="437"/>
        <v>11118.353508757338</v>
      </c>
      <c r="Y513" s="47">
        <f t="shared" ca="1" si="412"/>
        <v>121609.50695528681</v>
      </c>
      <c r="Z513" s="49">
        <f t="shared" ca="1" si="413"/>
        <v>50819266.126488991</v>
      </c>
      <c r="AA513" s="97">
        <f t="shared" ca="1" si="414"/>
        <v>113351.10157915056</v>
      </c>
      <c r="AB513" s="115">
        <f ca="1">IF(OR(C513="赤日轮1",C513="赤日轮2",C513="赤日轮3"),IF(RAND()&lt;模拟模式!$Y$17,1,0),IF(OR(C513="幽月轮1",C513="幽月轮2",C513="幽月轮3"),IF(RAND()&lt;模拟模式!$Y$18,1,0),IF(C513="烈日斩",IF(RAND()&lt;模拟模式!$Y$19,1,0),IF(C513="银月斩",IF(RAND()&lt;模拟模式!$Y$20,1,0),IF(C513="驱夜断愁",IF(RAND()&lt;模拟模式!$Y$21,1,0),IF(C513="净世破魔击·日",IF(RAND()&lt;模拟模式!$Y$22,1,0),IF(C513="净世破魔击·月",IF(RAND()&lt;模拟模式!$Y$23,1,0),0)))))))</f>
        <v>1</v>
      </c>
      <c r="AC513" s="115" t="b">
        <f t="shared" ca="1" si="402"/>
        <v>0</v>
      </c>
      <c r="AD513" s="115" t="b">
        <f t="shared" ca="1" si="422"/>
        <v>0</v>
      </c>
      <c r="AE513" s="115">
        <f t="shared" ca="1" si="423"/>
        <v>5</v>
      </c>
      <c r="AF513" s="47">
        <f ca="1">IF(AC513,('模拟-单技能数据'!$D$20+G513*'模拟-单技能数据'!$F$20)*(1+J513)*(1+'模拟-单技能数据'!$J$20)*(1+U513),0)</f>
        <v>0</v>
      </c>
      <c r="AG513" s="61">
        <f t="shared" ca="1" si="415"/>
        <v>0.64185145527300214</v>
      </c>
      <c r="AH513" s="61">
        <f t="shared" ca="1" si="416"/>
        <v>2.2624828854998791</v>
      </c>
      <c r="AI513" s="62">
        <f t="shared" ca="1" si="438"/>
        <v>0.76147914227848801</v>
      </c>
      <c r="AJ513" s="47">
        <f ca="1">IF(AD513,IF(AI513&lt;$F$10,0,IF(AI513&lt;$F$10+$F$11,0.25,IF(AI513&lt;$F$10+$F$11+AG513,AH513,1)))*IF(AF513&gt;0,AF513,IF(AF512&gt;0,AF512,IF(AF511&gt;0,AF511,IF(AF510&gt;0,AF510,IF(AF509&gt;0,AF509,IF(AF508&gt;0,AF508,IF(AF507&gt;0,AF507,IF(AF506&gt;0,AF506,IF(AF505&gt;0,AF505,IF(AF503&gt;0,AF503,IF(AF502&gt;0,AF502,IF(AF501&gt;0,AF501,0)))))))))))),0)*(1-$S513)*'模拟-单技能数据'!$I$20</f>
        <v>0</v>
      </c>
      <c r="AK513" s="115" t="b">
        <f t="shared" ca="1" si="403"/>
        <v>0</v>
      </c>
      <c r="AL513" s="115" t="b">
        <f t="shared" ca="1" si="424"/>
        <v>1</v>
      </c>
      <c r="AM513" s="115">
        <f t="shared" ca="1" si="425"/>
        <v>3</v>
      </c>
      <c r="AN513" s="47">
        <f ca="1">IF(AK513,('模拟-单技能数据'!$D$21+G513*'模拟-单技能数据'!$F$21)*(1+J513)*(1+'模拟-单技能数据'!$J$21)*(1+U513),0)</f>
        <v>0</v>
      </c>
      <c r="AO513" s="61">
        <f ca="1">IF(AN513&gt;0,M513-'模拟-单技能数据'!$K$10,AO512)</f>
        <v>0.42185145527300216</v>
      </c>
      <c r="AP513" s="61">
        <f ca="1">IF(AN513&gt;0,I513-'模拟-单技能数据'!$L$10,AP512)</f>
        <v>2.162482885499879</v>
      </c>
      <c r="AQ513" s="63">
        <f t="shared" ca="1" si="439"/>
        <v>0.55702345308254964</v>
      </c>
      <c r="AR513" s="64">
        <f ca="1">IF(AL513,IF(AQ513&lt;$F$10,0,IF(AQ513&lt;$F$10+$F$11,0.25,IF(AQ513&lt;$F$10+$F$11+AO513,AP513,1)))*IF(AN513&gt;0,AN513,IF(AN512&gt;0,AN512,IF(AN511&gt;0,AN511,IF(AN510&gt;0,AN510,IF(AN509&gt;0,AN509,IF(AN508&gt;0,AN508,IF(AN507&gt;0,AN507,IF(AN506&gt;0,AN506,IF(AN505&gt;0,AN505,IF(AN503&gt;0,AN503,IF(AN502&gt;0,AN502,IF(AN501&gt;0,AN501,0)))))))))))),0)*(1-$S513)*'模拟-单技能数据'!$I$21</f>
        <v>11118.353508757338</v>
      </c>
      <c r="AS513" s="61">
        <f ca="1">IF(OR(C513="净世破魔击·日",C513="净世破魔击·月"),M513-'模拟-单技能数据'!$K$10,0)</f>
        <v>0</v>
      </c>
      <c r="AT513" s="61">
        <f ca="1">IF(OR(C513="净世破魔击·日",C513="净世破魔击·月"),I513-'模拟-单技能数据'!$L$10,0)</f>
        <v>0</v>
      </c>
      <c r="AU513" s="62">
        <f t="shared" ca="1" si="440"/>
        <v>0.44716409401198243</v>
      </c>
      <c r="AV513" s="64">
        <f ca="1">IF(AS513&gt;0,('模拟-单技能数据'!$D$22+G513*'模拟-单技能数据'!$F$22)*(1+J513)*(1-S513)*IF(AU513&lt;$F$10,0,IF(AU513&lt;$F$10+$F$11,0.25,IF(AU513&lt;$F$10+$F$11+AS513,AT513,1)))*(1+U513),0)*'模拟-单技能数据'!$I$22</f>
        <v>0</v>
      </c>
      <c r="AW513" s="108">
        <f t="shared" ca="1" si="441"/>
        <v>9.8525000000000063</v>
      </c>
      <c r="AX513" s="108" t="b">
        <f ca="1">AND(模拟模式!$P$10="有",AW512=0,RAND()&lt;IF(C513="净世破魔击·月",0.1*8/3,IF(C513="净世破魔击·日",0.1*4/3,0.1*2/3)))</f>
        <v>0</v>
      </c>
      <c r="AY513" s="47">
        <f ca="1">IF(AX513,(18+G513*0.722)*(1+J513)*(1-S513)*(1+$I$4)*IF(P513="会",'模拟-全程加成'!$J$3+'模拟-全程加成'!$J$4+'模拟-全程加成'!$J$5+('模拟-全程加成'!$I$4+'模拟-全程加成'!$I$5)/系数!$B$4+BG513*10%,IF(P513="命",1,IF(P513="识",0.25,0))),0)</f>
        <v>0</v>
      </c>
      <c r="AZ513" s="108">
        <f t="shared" si="442"/>
        <v>18.155000000000001</v>
      </c>
      <c r="BA513" s="108" t="b">
        <f>AND(模拟模式!$Q$10="有",AZ512=0)</f>
        <v>0</v>
      </c>
      <c r="BB513" s="140">
        <f>IF(BA513,(0+G513*0.287)*(1+J513)*(1-S513)*(1+$I$4)*IF(P513="会",'模拟-全程加成'!$J$3+'模拟-全程加成'!$J$4+'模拟-全程加成'!$J$5+('模拟-全程加成'!$I$4+'模拟-全程加成'!$I$5)/系数!$B$4+BG513*10%,IF(P513="命",1,IF(P513="识",0.25,0))),0)</f>
        <v>0</v>
      </c>
      <c r="BC513" s="115" t="b">
        <f ca="1">AND(模拟模式!$R$7="伏明众生",E513=60,F513=20,DA513&lt;5,CZ512&lt;$F$4)</f>
        <v>0</v>
      </c>
      <c r="BD513" s="115">
        <f t="shared" ca="1" si="404"/>
        <v>0</v>
      </c>
      <c r="BE513" s="115" t="b">
        <f t="shared" ca="1" si="405"/>
        <v>0</v>
      </c>
      <c r="BF513" s="47">
        <f ca="1">IF(BC513,4*('模拟-单技能数据'!$D$24+G513*'模拟-单技能数据'!$F$24)*(1+J513)*(1+'模拟-单技能数据'!$J$24)*(1-S513)*(1+$I$3)*(('模拟-全程加成'!$J$3+'模拟-全程加成'!$J$4+'模拟-全程加成'!$J$5+('模拟-全程加成'!$I$4+'模拟-全程加成'!$I$5)/系数!$B$4+BG513*10%)*('模拟-全程加成'!$J$3+'模拟-全程加成'!$J$4+'模拟-全程加成'!$J$5+('模拟-全程加成'!$I$4+'模拟-全程加成'!$I$5)/系数!$B$4+BG513*10%)+(1-('模拟-全程加成'!$J$3+'模拟-全程加成'!$J$4+'模拟-全程加成'!$J$5+('模拟-全程加成'!$I$4+'模拟-全程加成'!$I$5)/系数!$B$4+BG513*10%)-$F$10-$F$11)+F499*0.25),0)*'模拟-单技能数据'!$I$24</f>
        <v>0</v>
      </c>
      <c r="BG513" s="115" t="b">
        <f ca="1">OR(AND(OR(C513="烈日斩",C513="银月斩"),模拟模式!$I$7="净身明礼"),AND(C513="净世破魔击·日",模拟模式!$J$7="洞若观火"),AND(C514="净世破魔击·月",模拟模式!$J$7="洞若观火"),AB513=1)</f>
        <v>1</v>
      </c>
      <c r="BH513" s="115" t="b">
        <f t="shared" ca="1" si="443"/>
        <v>0</v>
      </c>
      <c r="BI513" s="115">
        <f t="shared" ca="1" si="406"/>
        <v>0</v>
      </c>
      <c r="BJ513" s="115" t="b">
        <f t="shared" ca="1" si="417"/>
        <v>0</v>
      </c>
      <c r="BK513" s="115" t="b">
        <f ca="1">AND(C513="驱夜断愁",模拟模式!$P$7="天地诛戮")</f>
        <v>0</v>
      </c>
      <c r="BL513" s="57">
        <f t="shared" ca="1" si="407"/>
        <v>19.077500000000001</v>
      </c>
      <c r="BM513" s="115" t="b">
        <f t="shared" ca="1" si="418"/>
        <v>1</v>
      </c>
      <c r="BN513" s="115" t="b">
        <f ca="1">AND(OR(C513="赤日轮1",C513="赤日轮2",C513="赤日轮3",C513="幽月轮1",C513="幽月轮2",C513="幽月轮3"),AB513=1,模拟模式!$L$7="明光恒照")</f>
        <v>0</v>
      </c>
      <c r="BO513" s="117">
        <f t="shared" ca="1" si="408"/>
        <v>27.232500000000002</v>
      </c>
      <c r="BP513" s="115">
        <f t="shared" ca="1" si="444"/>
        <v>6</v>
      </c>
      <c r="BQ513" s="115" t="b">
        <f>模拟模式!$K$10="2600·水"</f>
        <v>0</v>
      </c>
      <c r="BR513" s="117">
        <f t="shared" si="445"/>
        <v>0</v>
      </c>
      <c r="BS513" s="115">
        <f t="shared" si="446"/>
        <v>0</v>
      </c>
      <c r="BT513" s="115">
        <f t="shared" ca="1" si="447"/>
        <v>0</v>
      </c>
      <c r="BU513" s="115" t="b">
        <f ca="1">AND(模拟模式!$K$10="2300·雷",BT512=0,RAND()&lt;IF(C513="净世破魔击·月",5*0.05*2/3,IF(C513="净世破魔击·日",3*0.05*2/3,0.05*2*2/3)))</f>
        <v>0</v>
      </c>
      <c r="BV513" s="115">
        <f t="shared" ca="1" si="448"/>
        <v>0</v>
      </c>
      <c r="BW513" s="115">
        <f t="shared" ca="1" si="449"/>
        <v>107.12249999999925</v>
      </c>
      <c r="BX513" s="164" t="b">
        <f t="shared" ca="1" si="450"/>
        <v>0</v>
      </c>
      <c r="BY513" s="115">
        <f t="shared" ca="1" si="451"/>
        <v>0</v>
      </c>
      <c r="BZ513" s="115">
        <f>IF(OR(模拟模式!$P$16="10人团",模拟模式!$P$16="25人团"),IF(B513/30&gt;CA512,1,0),0)</f>
        <v>0</v>
      </c>
      <c r="CA513" s="115">
        <f t="shared" si="427"/>
        <v>0</v>
      </c>
      <c r="CB513" s="115">
        <f ca="1">IF(BZ513=1,IF(模拟模式!$P$16="10人团",15,0)+IF(模拟模式!$P$16="25人团",IF(RAND()&lt;0.6,15,0)),MAX(0,CB512-$F$4))</f>
        <v>0</v>
      </c>
      <c r="CC513" s="115" t="b">
        <f t="shared" ca="1" si="419"/>
        <v>0</v>
      </c>
      <c r="CD513" s="115">
        <f>IF(模拟模式!$Q$16="1个",IF(B513/40&gt;CE512,1,0),0)</f>
        <v>0</v>
      </c>
      <c r="CE513" s="115">
        <f t="shared" si="420"/>
        <v>0</v>
      </c>
      <c r="CF513" s="115">
        <f>IF(OR(CD513=1,模拟模式!$Q$16="2个"),20,MAX(0,CF512-$F$4))</f>
        <v>0</v>
      </c>
      <c r="CG513" s="115" t="b">
        <f t="shared" si="421"/>
        <v>0</v>
      </c>
      <c r="CH513" s="115">
        <f t="shared" ca="1" si="452"/>
        <v>28.155000000000001</v>
      </c>
      <c r="CI513" s="115" t="b">
        <f t="shared" ca="1" si="453"/>
        <v>0</v>
      </c>
      <c r="CJ513" s="119">
        <f t="shared" ca="1" si="454"/>
        <v>0.05</v>
      </c>
      <c r="CK513" s="115">
        <f t="shared" ca="1" si="455"/>
        <v>6.1549999999999994</v>
      </c>
      <c r="CL513" s="115" t="b">
        <f ca="1">AND(模拟模式!$S$7="驱夷逐法",OR(AND(C513="净世破魔击·月",E512&gt;59),AND(C513="净世破魔击·日",F512&gt;59)))</f>
        <v>0</v>
      </c>
      <c r="CM513" s="115" t="b">
        <f ca="1">OR(CL513,AND(C513="净世破魔击·日",CL512,RAND()&lt;模拟模式!$U$23))</f>
        <v>0</v>
      </c>
      <c r="CN513" s="115" t="b">
        <f ca="1">IF(模拟模式!$M$7="辉耀红尘",AND(C513="净世破魔击·月",CL513,CV513=0,E512&lt;80),AND(C513="净世破魔击·月",CL513,E512&lt;100))</f>
        <v>0</v>
      </c>
      <c r="CO513" s="115" t="b">
        <f t="shared" ca="1" si="428"/>
        <v>0</v>
      </c>
      <c r="CP513" s="115" t="b">
        <f ca="1">AND(模拟模式!$O$7="用晦而明",OR(C513="净世破魔击·日",C513="净世破魔击·月",C513="驱夜断愁"),AB513)</f>
        <v>0</v>
      </c>
      <c r="CQ513" s="115" t="b">
        <f ca="1">OR(CP513,AND(CP512,RAND()&lt;模拟模式!$U$23))</f>
        <v>1</v>
      </c>
      <c r="CR513" s="115" t="b">
        <f ca="1">AND(模拟模式!$S$7="日月齐光",OR(C513="幽月轮1",C513="幽月轮2",C513="幽月轮3",CR512),NOT(OR(C513="赤日轮1",C513="赤日轮2",C513="赤日轮3")))</f>
        <v>0</v>
      </c>
      <c r="CS513" s="115" t="b">
        <f ca="1">AND(模拟模式!$S$7="日月齐光",OR(C513="赤日轮1",C513="赤日轮2",C513="赤日轮3",CS512),NOT(OR(C513="幽月轮1",C513="幽月轮2",C513="幽月轮3")))</f>
        <v>0</v>
      </c>
      <c r="CT513" s="115">
        <f t="shared" ca="1" si="456"/>
        <v>0</v>
      </c>
      <c r="CU513" s="115" t="b">
        <f ca="1">AND(模拟模式!$K$10="阴阳往极",CT512=0,RAND()&lt;IF(C513="净世破魔击·月",0.0275*7/3,IF(C513="净世破魔击·日",0.0275*3/3,0.0275*2/3)))</f>
        <v>0</v>
      </c>
      <c r="CV513" s="115">
        <f t="shared" ca="1" si="457"/>
        <v>0</v>
      </c>
      <c r="CW513" s="115">
        <f t="shared" ca="1" si="429"/>
        <v>6</v>
      </c>
      <c r="CX513" s="115">
        <f t="shared" ca="1" si="430"/>
        <v>4.1549999999999994</v>
      </c>
      <c r="CY513" s="115">
        <f ca="1">MAX(IF($C513="驱夜断愁",IF(模拟模式!$R$7="万念俱寂",6,45),CY512-$F$4),0)</f>
        <v>5.0774999999999997</v>
      </c>
      <c r="CZ513" s="115">
        <f t="shared" ca="1" si="431"/>
        <v>0</v>
      </c>
      <c r="DA513" s="115">
        <f ca="1">IF(模拟模式!$N$7="日月同辉",IF(DB512=2,0,MIN(6,IF(AND(OR(C513="赤日轮1",C513="赤日轮2",C513="赤日轮3",C513="幽月轮1",C513="幽月轮2",C513="幽月轮3"),AB513=1),DA512+1,DA512))),0)</f>
        <v>2</v>
      </c>
      <c r="DB513" s="115">
        <f t="shared" ca="1" si="432"/>
        <v>0</v>
      </c>
      <c r="DC513" s="115"/>
      <c r="DD513" s="115"/>
      <c r="DE513" s="115"/>
      <c r="DF513" s="115"/>
      <c r="DG513" s="115"/>
      <c r="DH513" s="115"/>
      <c r="DI513" s="115"/>
      <c r="DJ513" s="115"/>
      <c r="DK513" s="115"/>
      <c r="DL513" s="115"/>
      <c r="DM513" s="115"/>
    </row>
    <row r="514" spans="2:117" x14ac:dyDescent="0.2">
      <c r="B514" s="117">
        <f t="shared" si="433"/>
        <v>449.25750000000465</v>
      </c>
      <c r="C514" s="167" t="str">
        <f t="shared" ca="1" si="426"/>
        <v>幽月轮1</v>
      </c>
      <c r="D514" s="115">
        <f ca="1">IF(C514="赤日轮1",1,IF(C514="赤日轮2",2,IF(C514="赤日轮3",3,IF(C514="幽月轮1",4,IF(C514="幽月轮2",5,IF(C514="幽月轮3",6,IF(C514="烈日斩",7,IF(C514="银月斩",8,IF(C514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514="净世破魔击·月",17,IF(C514="驱夜断愁",18,0)))))))))))</f>
        <v>4</v>
      </c>
      <c r="E514" s="115">
        <f ca="1">IF(AND(CU514,OR(C514="幽月轮1",C514="幽月轮2",C514="幽月轮3",C514="银月斩",C514="驱夜断愁",C514="净世破魔击·月")),100,MIN(IF(OR(CN514,BE514),0,IF(OR($C514="赤日轮1",$C514="赤日轮2",$C514="赤日轮3"),E513+20+IF(模拟模式!$I$7="日月凌天",4,0)+IF(CR513,20,0),IF($C514="烈日斩",E513+40,IF($C514="驱夜断愁",IF(模拟模式!$R$7="万念俱寂",E513+20,E513+60),IF($C514="净世破魔击·月",IF(OR(DB513&gt;0,CV513&gt;0),100,IF(模拟模式!$M$7="辉耀红尘",E513+20,E513)),IF($C514="净世破魔击·日",E513-100,E513)))))),100))</f>
        <v>80</v>
      </c>
      <c r="F514" s="115">
        <f ca="1">IF(AND(CU514,OR(C514="赤日轮1",C514="赤日轮2",C514="赤日轮3",C514="烈日斩",C514="净世破魔击·日")),100,MIN(IF(CO514,0,IF(OR($C514="幽月轮1",$C514="幽月轮2",$C514="幽月轮3"),F513+20+IF(模拟模式!$I$7="日月凌天",4,0)+IF(CS513,20,0),IF($C514="银月斩",F513+40+IF(模拟模式!$X$12=1,5,0),IF($C514="驱夜断愁",IF(模拟模式!$R$7="万念俱寂",F513+20,F513+60),IF($C514="净世破魔击·月",IF(模拟模式!$M$7="辉耀红尘",F513-80,F513-100),IF(AND(C514="净世破魔击·日",OR(DB513&gt;0,CV513&gt;0)),100,F513)))))),100))</f>
        <v>100</v>
      </c>
      <c r="G514" s="117">
        <f ca="1">('模拟-全程加成'!$E$3+'模拟-全程加成'!$E$4+'模拟-全程加成'!$E$5+('模拟-全程加成'!$C$6-'模拟-全程加成'!$C$3)*系数!$B$9+BS514*23)*(1+'模拟-全程加成'!$F$4+'模拟-全程加成'!$F$5+BJ514*10%+BM514*20%+BP514*4%+CG514*30%)+$F$7*系数!$B$12</f>
        <v>20583.127400000001</v>
      </c>
      <c r="H514" s="45">
        <f ca="1">'模拟-全程加成'!$H$3+'模拟-全程加成'!$H$4+'模拟-全程加成'!$H$5+('模拟-全程加成'!$G$4+'模拟-全程加成'!$G$5+('模拟-全程加成'!$C$6-'模拟-全程加成'!$C$3)*系数!$B$13)/系数!$B$3+LOOKUP(D514,'模拟-单技能数据'!$A$2:$A$19,'模拟-单技能数据'!$K$2:$K$19)+BG514*10%+IF(BV514&gt;0,378,0)</f>
        <v>0.51185145527300213</v>
      </c>
      <c r="I514" s="45">
        <f ca="1">'模拟-全程加成'!$J$3+'模拟-全程加成'!$J$4+'模拟-全程加成'!$J$5+('模拟-全程加成'!$I$4+'模拟-全程加成'!$I$5)/系数!$B$4+LOOKUP(D514,'模拟-单技能数据'!$A$2:$A$19,'模拟-单技能数据'!$L$2:$L$19)+BG514*10%</f>
        <v>2.162482885499879</v>
      </c>
      <c r="J514" s="45">
        <f ca="1">(('模拟-全程加成'!$K$3+'模拟-全程加成'!$K$4+'模拟-全程加成'!$K$5+('模拟-全程加成'!$C$6-'模拟-全程加成'!$C$3)*系数!$B$10+IF(BV514&gt;0,882,0)+IF(BY514&gt;0,1831,0))*(1+'模拟-全程加成'!$L$4+'模拟-全程加成'!$L$5+CC514*20%))/系数!$B$5</f>
        <v>0.69723220422048726</v>
      </c>
      <c r="K514" s="119">
        <f ca="1">LOOKUP(D514,'模拟-单技能数据'!$A$2:$A$19,'模拟-单技能数据'!$J$2:$J$19)+IF(CM514,60%,0)+IF(DB513-DB514&gt;0,30%,0)+IF(OR(AND(OR(C514="赤日轮1",C514="赤日轮2",C514="赤日轮3"),CR514),AND(OR(C514="幽月轮1",C514="幽月轮2",C514="幽月轮3"),CS514)),35%,0)+CJ514</f>
        <v>0.12000000000000001</v>
      </c>
      <c r="L514" s="119">
        <f ca="1">IF(AND(C514="烈日斩",模拟模式!$X$11=1),10%,0)+IF(AND(C514="驱夜断愁",AB514=1),30%,0)</f>
        <v>0</v>
      </c>
      <c r="M514" s="45">
        <f t="shared" ca="1" si="409"/>
        <v>0.51185145527300213</v>
      </c>
      <c r="N514" s="45">
        <f t="shared" ca="1" si="410"/>
        <v>0.43424854472699792</v>
      </c>
      <c r="O514" s="46">
        <f t="shared" ca="1" si="434"/>
        <v>0.87990720175293546</v>
      </c>
      <c r="P514" s="46" t="str">
        <f t="shared" ca="1" si="435"/>
        <v>命</v>
      </c>
      <c r="Q514" s="45">
        <f t="shared" ca="1" si="436"/>
        <v>1</v>
      </c>
      <c r="R514" s="117">
        <f ca="1">模拟模式!$E$20*(1-IF(模拟模式!$J$19="有",0.15,0))*(1-IF(模拟模式!$K$19="有",0.3,0)-IF(CQ514,0.5,0))</f>
        <v>2950.6049999999996</v>
      </c>
      <c r="S514" s="45">
        <f ca="1">R514/(R514+(185*模拟模式!$E$22-16800)*4.08224)</f>
        <v>0.24272716014590323</v>
      </c>
      <c r="T514" s="45" t="str">
        <f ca="1">LOOKUP(D514,'模拟-单技能数据'!$A$2:$A$19,'模拟-单技能数据'!$H$2:$H$19)</f>
        <v>阴</v>
      </c>
      <c r="U514" s="119">
        <f t="shared" ca="1" si="411"/>
        <v>0.08</v>
      </c>
      <c r="V514" s="47">
        <f ca="1">(1+L514)*(LOOKUP(D514,'模拟-单技能数据'!$A$2:$A$19,'模拟-单技能数据'!$D$2:$D$19)+G514*LOOKUP(D514,'模拟-单技能数据'!$A$2:$A$19,'模拟-单技能数据'!$F$2:$F$19))*(1+J514)*(1+K514)*(1-S514)*(1+U514)*Q514*LOOKUP(D514,'模拟-单技能数据'!$A$2:$A$19,'模拟-单技能数据'!$I$2:$I$20)</f>
        <v>16984.452800333162</v>
      </c>
      <c r="W514" s="47">
        <f ca="1">LOOKUP(D514,'模拟-单技能数据'!$A$2:$A$19,'模拟-单技能数据'!$G$2:$G$19)*$I$10</f>
        <v>361.51064354704795</v>
      </c>
      <c r="X514" s="47">
        <f t="shared" ca="1" si="437"/>
        <v>7620.5875385322679</v>
      </c>
      <c r="Y514" s="47">
        <f t="shared" ca="1" si="412"/>
        <v>24966.550982412478</v>
      </c>
      <c r="Z514" s="49">
        <f t="shared" ca="1" si="413"/>
        <v>50844232.677471407</v>
      </c>
      <c r="AA514" s="97">
        <f t="shared" ca="1" si="414"/>
        <v>113173.92069686289</v>
      </c>
      <c r="AB514" s="115">
        <f ca="1">IF(OR(C514="赤日轮1",C514="赤日轮2",C514="赤日轮3"),IF(RAND()&lt;模拟模式!$Y$17,1,0),IF(OR(C514="幽月轮1",C514="幽月轮2",C514="幽月轮3"),IF(RAND()&lt;模拟模式!$Y$18,1,0),IF(C514="烈日斩",IF(RAND()&lt;模拟模式!$Y$19,1,0),IF(C514="银月斩",IF(RAND()&lt;模拟模式!$Y$20,1,0),IF(C514="驱夜断愁",IF(RAND()&lt;模拟模式!$Y$21,1,0),IF(C514="净世破魔击·日",IF(RAND()&lt;模拟模式!$Y$22,1,0),IF(C514="净世破魔击·月",IF(RAND()&lt;模拟模式!$Y$23,1,0),0)))))))</f>
        <v>1</v>
      </c>
      <c r="AC514" s="115" t="b">
        <f t="shared" ref="AC514:AC577" ca="1" si="458">C514="银月斩"</f>
        <v>0</v>
      </c>
      <c r="AD514" s="115" t="b">
        <f t="shared" ca="1" si="422"/>
        <v>1</v>
      </c>
      <c r="AE514" s="115">
        <f t="shared" ca="1" si="423"/>
        <v>4</v>
      </c>
      <c r="AF514" s="47">
        <f ca="1">IF(AC514,('模拟-单技能数据'!$D$20+G514*'模拟-单技能数据'!$F$20)*(1+J514)*(1+'模拟-单技能数据'!$J$20)*(1+U514),0)</f>
        <v>0</v>
      </c>
      <c r="AG514" s="61">
        <f t="shared" ca="1" si="415"/>
        <v>0.64185145527300214</v>
      </c>
      <c r="AH514" s="61">
        <f t="shared" ca="1" si="416"/>
        <v>2.2624828854998791</v>
      </c>
      <c r="AI514" s="62">
        <f t="shared" ca="1" si="438"/>
        <v>0.56912972695746156</v>
      </c>
      <c r="AJ514" s="47">
        <f ca="1">IF(AD514,IF(AI514&lt;$F$10,0,IF(AI514&lt;$F$10+$F$11,0.25,IF(AI514&lt;$F$10+$F$11+AG514,AH514,1)))*IF(AF514&gt;0,AF514,IF(AF513&gt;0,AF513,IF(AF512&gt;0,AF512,IF(AF511&gt;0,AF511,IF(AF510&gt;0,AF510,IF(AF509&gt;0,AF509,IF(AF508&gt;0,AF508,IF(AF507&gt;0,AF507,IF(AF506&gt;0,AF506,IF(AF504&gt;0,AF504,IF(AF503&gt;0,AF503,IF(AF502&gt;0,AF502,0)))))))))))),0)*(1-$S514)*'模拟-单技能数据'!$I$20</f>
        <v>7620.5875385322679</v>
      </c>
      <c r="AK514" s="115" t="b">
        <f t="shared" ref="AK514:AK577" ca="1" si="459">C514="净世破魔击·日"</f>
        <v>0</v>
      </c>
      <c r="AL514" s="115" t="b">
        <f t="shared" ca="1" si="424"/>
        <v>0</v>
      </c>
      <c r="AM514" s="115">
        <f t="shared" ca="1" si="425"/>
        <v>3</v>
      </c>
      <c r="AN514" s="47">
        <f ca="1">IF(AK514,('模拟-单技能数据'!$D$21+G514*'模拟-单技能数据'!$F$21)*(1+J514)*(1+'模拟-单技能数据'!$J$21)*(1+U514),0)</f>
        <v>0</v>
      </c>
      <c r="AO514" s="61">
        <f ca="1">IF(AN514&gt;0,M514-'模拟-单技能数据'!$K$10,AO513)</f>
        <v>0.42185145527300216</v>
      </c>
      <c r="AP514" s="61">
        <f ca="1">IF(AN514&gt;0,I514-'模拟-单技能数据'!$L$10,AP513)</f>
        <v>2.162482885499879</v>
      </c>
      <c r="AQ514" s="63">
        <f t="shared" ca="1" si="439"/>
        <v>0.80865871805545186</v>
      </c>
      <c r="AR514" s="64">
        <f ca="1">IF(AL514,IF(AQ514&lt;$F$10,0,IF(AQ514&lt;$F$10+$F$11,0.25,IF(AQ514&lt;$F$10+$F$11+AO514,AP514,1)))*IF(AN514&gt;0,AN514,IF(AN513&gt;0,AN513,IF(AN512&gt;0,AN512,IF(AN511&gt;0,AN511,IF(AN510&gt;0,AN510,IF(AN509&gt;0,AN509,IF(AN508&gt;0,AN508,IF(AN507&gt;0,AN507,IF(AN506&gt;0,AN506,IF(AN504&gt;0,AN504,IF(AN503&gt;0,AN503,IF(AN502&gt;0,AN502,0)))))))))))),0)*(1-$S514)*'模拟-单技能数据'!$I$21</f>
        <v>0</v>
      </c>
      <c r="AS514" s="61">
        <f ca="1">IF(OR(C514="净世破魔击·日",C514="净世破魔击·月"),M514-'模拟-单技能数据'!$K$10,0)</f>
        <v>0</v>
      </c>
      <c r="AT514" s="61">
        <f ca="1">IF(OR(C514="净世破魔击·日",C514="净世破魔击·月"),I514-'模拟-单技能数据'!$L$10,0)</f>
        <v>0</v>
      </c>
      <c r="AU514" s="62">
        <f t="shared" ca="1" si="440"/>
        <v>6.5616135153312105E-2</v>
      </c>
      <c r="AV514" s="64">
        <f ca="1">IF(AS514&gt;0,('模拟-单技能数据'!$D$22+G514*'模拟-单技能数据'!$F$22)*(1+J514)*(1-S514)*IF(AU514&lt;$F$10,0,IF(AU514&lt;$F$10+$F$11,0.25,IF(AU514&lt;$F$10+$F$11+AS514,AT514,1)))*(1+U514),0)*'模拟-单技能数据'!$I$22</f>
        <v>0</v>
      </c>
      <c r="AW514" s="108">
        <f t="shared" ca="1" si="441"/>
        <v>8.9300000000000068</v>
      </c>
      <c r="AX514" s="108" t="b">
        <f ca="1">AND(模拟模式!$P$10="有",AW513=0,RAND()&lt;IF(C514="净世破魔击·月",0.1*8/3,IF(C514="净世破魔击·日",0.1*4/3,0.1*2/3)))</f>
        <v>0</v>
      </c>
      <c r="AY514" s="47">
        <f ca="1">IF(AX514,(18+G514*0.722)*(1+J514)*(1-S514)*(1+$I$4)*IF(P514="会",'模拟-全程加成'!$J$3+'模拟-全程加成'!$J$4+'模拟-全程加成'!$J$5+('模拟-全程加成'!$I$4+'模拟-全程加成'!$I$5)/系数!$B$4+BG514*10%,IF(P514="命",1,IF(P514="识",0.25,0))),0)</f>
        <v>0</v>
      </c>
      <c r="AZ514" s="108">
        <f t="shared" si="442"/>
        <v>17.232500000000002</v>
      </c>
      <c r="BA514" s="108" t="b">
        <f>AND(模拟模式!$Q$10="有",AZ513=0)</f>
        <v>0</v>
      </c>
      <c r="BB514" s="140">
        <f>IF(BA514,(0+G514*0.287)*(1+J514)*(1-S514)*(1+$I$4)*IF(P514="会",'模拟-全程加成'!$J$3+'模拟-全程加成'!$J$4+'模拟-全程加成'!$J$5+('模拟-全程加成'!$I$4+'模拟-全程加成'!$I$5)/系数!$B$4+BG514*10%,IF(P514="命",1,IF(P514="识",0.25,0))),0)</f>
        <v>0</v>
      </c>
      <c r="BC514" s="115" t="b">
        <f ca="1">AND(模拟模式!$R$7="伏明众生",E514=60,F514=20,DA514&lt;5,CZ513&lt;$F$4)</f>
        <v>0</v>
      </c>
      <c r="BD514" s="115">
        <f t="shared" ref="BD514:BD577" ca="1" si="460">IF(BC514,6-$F$4,MAX(0,BD513-$F$4))</f>
        <v>0</v>
      </c>
      <c r="BE514" s="115" t="b">
        <f t="shared" ref="BE514:BE577" ca="1" si="461">AND(BD513&gt;0,BD513-$F$4&lt;0)</f>
        <v>0</v>
      </c>
      <c r="BF514" s="47">
        <f ca="1">IF(BC514,4*('模拟-单技能数据'!$D$24+G514*'模拟-单技能数据'!$F$24)*(1+J514)*(1+'模拟-单技能数据'!$J$24)*(1-S514)*(1+$I$3)*(('模拟-全程加成'!$J$3+'模拟-全程加成'!$J$4+'模拟-全程加成'!$J$5+('模拟-全程加成'!$I$4+'模拟-全程加成'!$I$5)/系数!$B$4+BG514*10%)*('模拟-全程加成'!$J$3+'模拟-全程加成'!$J$4+'模拟-全程加成'!$J$5+('模拟-全程加成'!$I$4+'模拟-全程加成'!$I$5)/系数!$B$4+BG514*10%)+(1-('模拟-全程加成'!$J$3+'模拟-全程加成'!$J$4+'模拟-全程加成'!$J$5+('模拟-全程加成'!$I$4+'模拟-全程加成'!$I$5)/系数!$B$4+BG514*10%)-$F$10-$F$11)+F500*0.25),0)*'模拟-单技能数据'!$I$24</f>
        <v>0</v>
      </c>
      <c r="BG514" s="115" t="b">
        <f ca="1">OR(AND(OR(C514="烈日斩",C514="银月斩"),模拟模式!$I$7="净身明礼"),AND(C514="净世破魔击·日",模拟模式!$J$7="洞若观火"),AND(C515="净世破魔击·月",模拟模式!$J$7="洞若观火"),AB514=1)</f>
        <v>1</v>
      </c>
      <c r="BH514" s="115" t="b">
        <f t="shared" ca="1" si="443"/>
        <v>0</v>
      </c>
      <c r="BI514" s="115">
        <f t="shared" ref="BI514:BI577" ca="1" si="462">IF(BH514,6,MAX(0,BI513-$F$4))</f>
        <v>0</v>
      </c>
      <c r="BJ514" s="115" t="b">
        <f t="shared" ca="1" si="417"/>
        <v>0</v>
      </c>
      <c r="BK514" s="115" t="b">
        <f ca="1">AND(C514="驱夜断愁",模拟模式!$P$7="天地诛戮")</f>
        <v>0</v>
      </c>
      <c r="BL514" s="57">
        <f t="shared" ref="BL514:BL577" ca="1" si="463">IF(BK514,20,MAX(0,BL513-$F$4))</f>
        <v>18.155000000000001</v>
      </c>
      <c r="BM514" s="115" t="b">
        <f t="shared" ca="1" si="418"/>
        <v>1</v>
      </c>
      <c r="BN514" s="115" t="b">
        <f ca="1">AND(OR(C514="赤日轮1",C514="赤日轮2",C514="赤日轮3",C514="幽月轮1",C514="幽月轮2",C514="幽月轮3"),AB514=1,模拟模式!$L$7="明光恒照")</f>
        <v>1</v>
      </c>
      <c r="BO514" s="117">
        <f t="shared" ref="BO514:BO577" ca="1" si="464">IF(BN514,30,MAX(0,BO513-$F$4))</f>
        <v>30</v>
      </c>
      <c r="BP514" s="115">
        <f t="shared" ca="1" si="444"/>
        <v>6</v>
      </c>
      <c r="BQ514" s="115" t="b">
        <f>模拟模式!$K$10="2600·水"</f>
        <v>0</v>
      </c>
      <c r="BR514" s="117">
        <f t="shared" si="445"/>
        <v>0</v>
      </c>
      <c r="BS514" s="115">
        <f t="shared" si="446"/>
        <v>0</v>
      </c>
      <c r="BT514" s="115">
        <f t="shared" ca="1" si="447"/>
        <v>0</v>
      </c>
      <c r="BU514" s="115" t="b">
        <f ca="1">AND(模拟模式!$K$10="2300·雷",BT513=0,RAND()&lt;IF(C514="净世破魔击·月",5*0.05*2/3,IF(C514="净世破魔击·日",3*0.05*2/3,0.05*2*2/3)))</f>
        <v>0</v>
      </c>
      <c r="BV514" s="115">
        <f t="shared" ca="1" si="448"/>
        <v>0</v>
      </c>
      <c r="BW514" s="115">
        <f t="shared" ca="1" si="449"/>
        <v>106.19999999999925</v>
      </c>
      <c r="BX514" s="164" t="b">
        <f t="shared" ca="1" si="450"/>
        <v>0</v>
      </c>
      <c r="BY514" s="115">
        <f t="shared" ca="1" si="451"/>
        <v>0</v>
      </c>
      <c r="BZ514" s="115">
        <f>IF(OR(模拟模式!$P$16="10人团",模拟模式!$P$16="25人团"),IF(B514/30&gt;CA513,1,0),0)</f>
        <v>0</v>
      </c>
      <c r="CA514" s="115">
        <f t="shared" si="427"/>
        <v>0</v>
      </c>
      <c r="CB514" s="115">
        <f ca="1">IF(BZ514=1,IF(模拟模式!$P$16="10人团",15,0)+IF(模拟模式!$P$16="25人团",IF(RAND()&lt;0.6,15,0)),MAX(0,CB513-$F$4))</f>
        <v>0</v>
      </c>
      <c r="CC514" s="115" t="b">
        <f t="shared" ca="1" si="419"/>
        <v>0</v>
      </c>
      <c r="CD514" s="115">
        <f>IF(模拟模式!$Q$16="1个",IF(B514/40&gt;CE513,1,0),0)</f>
        <v>0</v>
      </c>
      <c r="CE514" s="115">
        <f t="shared" si="420"/>
        <v>0</v>
      </c>
      <c r="CF514" s="115">
        <f>IF(OR(CD514=1,模拟模式!$Q$16="2个"),20,MAX(0,CF513-$F$4))</f>
        <v>0</v>
      </c>
      <c r="CG514" s="115" t="b">
        <f t="shared" si="421"/>
        <v>0</v>
      </c>
      <c r="CH514" s="115">
        <f t="shared" ca="1" si="452"/>
        <v>27.232500000000002</v>
      </c>
      <c r="CI514" s="115" t="b">
        <f t="shared" ca="1" si="453"/>
        <v>0</v>
      </c>
      <c r="CJ514" s="119">
        <f t="shared" ca="1" si="454"/>
        <v>0.05</v>
      </c>
      <c r="CK514" s="115">
        <f t="shared" ca="1" si="455"/>
        <v>5.232499999999999</v>
      </c>
      <c r="CL514" s="115" t="b">
        <f ca="1">AND(模拟模式!$S$7="驱夷逐法",OR(AND(C514="净世破魔击·月",E513&gt;59),AND(C514="净世破魔击·日",F513&gt;59)))</f>
        <v>0</v>
      </c>
      <c r="CM514" s="115" t="b">
        <f ca="1">OR(CL514,AND(C514="净世破魔击·日",CL513,RAND()&lt;模拟模式!$U$23))</f>
        <v>0</v>
      </c>
      <c r="CN514" s="115" t="b">
        <f ca="1">IF(模拟模式!$M$7="辉耀红尘",AND(C514="净世破魔击·月",CL514,CV514=0,E513&lt;80),AND(C514="净世破魔击·月",CL514,E513&lt;100))</f>
        <v>0</v>
      </c>
      <c r="CO514" s="115" t="b">
        <f t="shared" ca="1" si="428"/>
        <v>0</v>
      </c>
      <c r="CP514" s="115" t="b">
        <f ca="1">AND(模拟模式!$O$7="用晦而明",OR(C514="净世破魔击·日",C514="净世破魔击·月",C514="驱夜断愁"),AB514)</f>
        <v>0</v>
      </c>
      <c r="CQ514" s="115" t="b">
        <f ca="1">OR(CP514,AND(CP513,RAND()&lt;模拟模式!$U$23))</f>
        <v>0</v>
      </c>
      <c r="CR514" s="115" t="b">
        <f ca="1">AND(模拟模式!$S$7="日月齐光",OR(C514="幽月轮1",C514="幽月轮2",C514="幽月轮3",CR513),NOT(OR(C514="赤日轮1",C514="赤日轮2",C514="赤日轮3")))</f>
        <v>0</v>
      </c>
      <c r="CS514" s="115" t="b">
        <f ca="1">AND(模拟模式!$S$7="日月齐光",OR(C514="赤日轮1",C514="赤日轮2",C514="赤日轮3",CS513),NOT(OR(C514="幽月轮1",C514="幽月轮2",C514="幽月轮3")))</f>
        <v>0</v>
      </c>
      <c r="CT514" s="115">
        <f t="shared" ca="1" si="456"/>
        <v>0</v>
      </c>
      <c r="CU514" s="115" t="b">
        <f ca="1">AND(模拟模式!$K$10="阴阳往极",CT513=0,RAND()&lt;IF(C514="净世破魔击·月",0.0275*7/3,IF(C514="净世破魔击·日",0.0275*3/3,0.0275*2/3)))</f>
        <v>0</v>
      </c>
      <c r="CV514" s="115">
        <f t="shared" ca="1" si="457"/>
        <v>0</v>
      </c>
      <c r="CW514" s="115">
        <f t="shared" ca="1" si="429"/>
        <v>5.0774999999999997</v>
      </c>
      <c r="CX514" s="115">
        <f t="shared" ca="1" si="430"/>
        <v>3.2324999999999995</v>
      </c>
      <c r="CY514" s="115">
        <f ca="1">MAX(IF($C514="驱夜断愁",IF(模拟模式!$R$7="万念俱寂",6,45),CY513-$F$4),0)</f>
        <v>4.1549999999999994</v>
      </c>
      <c r="CZ514" s="115">
        <f t="shared" ca="1" si="431"/>
        <v>0</v>
      </c>
      <c r="DA514" s="115">
        <f ca="1">IF(模拟模式!$N$7="日月同辉",IF(DB513=2,0,MIN(6,IF(AND(OR(C514="赤日轮1",C514="赤日轮2",C514="赤日轮3",C514="幽月轮1",C514="幽月轮2",C514="幽月轮3"),AB514=1),DA513+1,DA513))),0)</f>
        <v>3</v>
      </c>
      <c r="DB514" s="115">
        <f t="shared" ca="1" si="432"/>
        <v>0</v>
      </c>
      <c r="DC514" s="115"/>
      <c r="DD514" s="115"/>
      <c r="DE514" s="115"/>
      <c r="DF514" s="115"/>
      <c r="DG514" s="115"/>
      <c r="DH514" s="115"/>
      <c r="DI514" s="115"/>
      <c r="DJ514" s="115"/>
      <c r="DK514" s="115"/>
      <c r="DL514" s="115"/>
      <c r="DM514" s="115"/>
    </row>
    <row r="515" spans="2:117" x14ac:dyDescent="0.2">
      <c r="B515" s="117">
        <f t="shared" si="433"/>
        <v>450.18000000000467</v>
      </c>
      <c r="C515" s="167" t="str">
        <f t="shared" ca="1" si="426"/>
        <v>净世破魔击·月</v>
      </c>
      <c r="D515" s="115">
        <f ca="1">IF(C515="赤日轮1",1,IF(C515="赤日轮2",2,IF(C515="赤日轮3",3,IF(C515="幽月轮1",4,IF(C515="幽月轮2",5,IF(C515="幽月轮3",6,IF(C515="烈日斩",7,IF(C515="银月斩",8,IF(C515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515="净世破魔击·月",17,IF(C515="驱夜断愁",18,0)))))))))))</f>
        <v>17</v>
      </c>
      <c r="E515" s="115">
        <f ca="1">IF(AND(CU515,OR(C515="幽月轮1",C515="幽月轮2",C515="幽月轮3",C515="银月斩",C515="驱夜断愁",C515="净世破魔击·月")),100,MIN(IF(OR(CN515,BE515),0,IF(OR($C515="赤日轮1",$C515="赤日轮2",$C515="赤日轮3"),E514+20+IF(模拟模式!$I$7="日月凌天",4,0)+IF(CR514,20,0),IF($C515="烈日斩",E514+40,IF($C515="驱夜断愁",IF(模拟模式!$R$7="万念俱寂",E514+20,E514+60),IF($C515="净世破魔击·月",IF(OR(DB514&gt;0,CV514&gt;0),100,IF(模拟模式!$M$7="辉耀红尘",E514+20,E514)),IF($C515="净世破魔击·日",E514-100,E514)))))),100))</f>
        <v>100</v>
      </c>
      <c r="F515" s="115">
        <f ca="1">IF(AND(CU515,OR(C515="赤日轮1",C515="赤日轮2",C515="赤日轮3",C515="烈日斩",C515="净世破魔击·日")),100,MIN(IF(CO515,0,IF(OR($C515="幽月轮1",$C515="幽月轮2",$C515="幽月轮3"),F514+20+IF(模拟模式!$I$7="日月凌天",4,0)+IF(CS514,20,0),IF($C515="银月斩",F514+40+IF(模拟模式!$X$12=1,5,0),IF($C515="驱夜断愁",IF(模拟模式!$R$7="万念俱寂",F514+20,F514+60),IF($C515="净世破魔击·月",IF(模拟模式!$M$7="辉耀红尘",F514-80,F514-100),IF(AND(C515="净世破魔击·日",OR(DB514&gt;0,CV514&gt;0)),100,F514)))))),100))</f>
        <v>20</v>
      </c>
      <c r="G515" s="117">
        <f ca="1">('模拟-全程加成'!$E$3+'模拟-全程加成'!$E$4+'模拟-全程加成'!$E$5+('模拟-全程加成'!$C$6-'模拟-全程加成'!$C$3)*系数!$B$9+BS515*23)*(1+'模拟-全程加成'!$F$4+'模拟-全程加成'!$F$5+BJ515*10%+BM515*20%+BP515*4%+CG515*30%)+$F$7*系数!$B$12</f>
        <v>20583.127400000001</v>
      </c>
      <c r="H515" s="45">
        <f ca="1">'模拟-全程加成'!$H$3+'模拟-全程加成'!$H$4+'模拟-全程加成'!$H$5+('模拟-全程加成'!$G$4+'模拟-全程加成'!$G$5+('模拟-全程加成'!$C$6-'模拟-全程加成'!$C$3)*系数!$B$13)/系数!$B$3+LOOKUP(D515,'模拟-单技能数据'!$A$2:$A$19,'模拟-单技能数据'!$K$2:$K$19)+BG515*10%+IF(BV515&gt;0,378,0)</f>
        <v>0.54185145527300216</v>
      </c>
      <c r="I515" s="45">
        <f ca="1">'模拟-全程加成'!$J$3+'模拟-全程加成'!$J$4+'模拟-全程加成'!$J$5+('模拟-全程加成'!$I$4+'模拟-全程加成'!$I$5)/系数!$B$4+LOOKUP(D515,'模拟-单技能数据'!$A$2:$A$19,'模拟-单技能数据'!$L$2:$L$19)+BG515*10%</f>
        <v>2.162482885499879</v>
      </c>
      <c r="J515" s="45">
        <f ca="1">(('模拟-全程加成'!$K$3+'模拟-全程加成'!$K$4+'模拟-全程加成'!$K$5+('模拟-全程加成'!$C$6-'模拟-全程加成'!$C$3)*系数!$B$10+IF(BV515&gt;0,882,0)+IF(BY515&gt;0,1831,0))*(1+'模拟-全程加成'!$L$4+'模拟-全程加成'!$L$5+CC515*20%))/系数!$B$5</f>
        <v>0.69723220422048726</v>
      </c>
      <c r="K515" s="119">
        <f ca="1">LOOKUP(D515,'模拟-单技能数据'!$A$2:$A$19,'模拟-单技能数据'!$J$2:$J$19)+IF(CM515,60%,0)+IF(DB514-DB515&gt;0,30%,0)+IF(OR(AND(OR(C515="赤日轮1",C515="赤日轮2",C515="赤日轮3"),CR515),AND(OR(C515="幽月轮1",C515="幽月轮2",C515="幽月轮3"),CS515)),35%,0)+CJ515</f>
        <v>0.85000000000000009</v>
      </c>
      <c r="L515" s="119">
        <f ca="1">IF(AND(C515="烈日斩",模拟模式!$X$11=1),10%,0)+IF(AND(C515="驱夜断愁",AB515=1),30%,0)</f>
        <v>0</v>
      </c>
      <c r="M515" s="45">
        <f t="shared" ref="M515:M578" ca="1" si="465">MIN(H515,1-$F$10-$F$11)</f>
        <v>0.54185145527300216</v>
      </c>
      <c r="N515" s="45">
        <f t="shared" ref="N515:N578" ca="1" si="466">1-$F$10-$F$11-M515</f>
        <v>0.40424854472699789</v>
      </c>
      <c r="O515" s="46">
        <f t="shared" ca="1" si="434"/>
        <v>0.1216288578764978</v>
      </c>
      <c r="P515" s="46" t="str">
        <f t="shared" ca="1" si="435"/>
        <v>会</v>
      </c>
      <c r="Q515" s="45">
        <f t="shared" ca="1" si="436"/>
        <v>2.162482885499879</v>
      </c>
      <c r="R515" s="117">
        <f ca="1">模拟模式!$E$20*(1-IF(模拟模式!$J$19="有",0.15,0))*(1-IF(模拟模式!$K$19="有",0.3,0)-IF(CQ515,0.5,0))</f>
        <v>843.02999999999975</v>
      </c>
      <c r="S515" s="45">
        <f ca="1">R515/(R515+(185*模拟模式!$E$22-16800)*4.08224)</f>
        <v>8.389626085980037E-2</v>
      </c>
      <c r="T515" s="45" t="str">
        <f ca="1">LOOKUP(D515,'模拟-单技能数据'!$A$2:$A$19,'模拟-单技能数据'!$H$2:$H$19)</f>
        <v>阴</v>
      </c>
      <c r="U515" s="119">
        <f t="shared" ref="U515:U578" ca="1" si="467">IF(T515="阳",$I$3,IF(T515="阴",$I$4,0))</f>
        <v>0.08</v>
      </c>
      <c r="V515" s="47">
        <f ca="1">(1+L515)*(LOOKUP(D515,'模拟-单技能数据'!$A$2:$A$19,'模拟-单技能数据'!$D$2:$D$19)+G515*LOOKUP(D515,'模拟-单技能数据'!$A$2:$A$19,'模拟-单技能数据'!$F$2:$F$19))*(1+J515)*(1+K515)*(1-S515)*(1+U515)*Q515*LOOKUP(D515,'模拟-单技能数据'!$A$2:$A$19,'模拟-单技能数据'!$I$2:$I$20)</f>
        <v>179725.81461109844</v>
      </c>
      <c r="W515" s="47">
        <f ca="1">LOOKUP(D515,'模拟-单技能数据'!$A$2:$A$19,'模拟-单技能数据'!$G$2:$G$19)*$I$10</f>
        <v>361.51064354704795</v>
      </c>
      <c r="X515" s="47">
        <f t="shared" ca="1" si="437"/>
        <v>10419.040129294184</v>
      </c>
      <c r="Y515" s="47">
        <f t="shared" ref="Y515:Y578" ca="1" si="468">V515+W515+X515</f>
        <v>190506.36538393967</v>
      </c>
      <c r="Z515" s="49">
        <f t="shared" ref="Z515:Z578" ca="1" si="469">Z514+Y515</f>
        <v>51034739.042855345</v>
      </c>
      <c r="AA515" s="97">
        <f t="shared" ref="AA515:AA578" ca="1" si="470">Z515/B515</f>
        <v>113365.18513229112</v>
      </c>
      <c r="AB515" s="115">
        <f ca="1">IF(OR(C515="赤日轮1",C515="赤日轮2",C515="赤日轮3"),IF(RAND()&lt;模拟模式!$Y$17,1,0),IF(OR(C515="幽月轮1",C515="幽月轮2",C515="幽月轮3"),IF(RAND()&lt;模拟模式!$Y$18,1,0),IF(C515="烈日斩",IF(RAND()&lt;模拟模式!$Y$19,1,0),IF(C515="银月斩",IF(RAND()&lt;模拟模式!$Y$20,1,0),IF(C515="驱夜断愁",IF(RAND()&lt;模拟模式!$Y$21,1,0),IF(C515="净世破魔击·日",IF(RAND()&lt;模拟模式!$Y$22,1,0),IF(C515="净世破魔击·月",IF(RAND()&lt;模拟模式!$Y$23,1,0),0)))))))</f>
        <v>1</v>
      </c>
      <c r="AC515" s="115" t="b">
        <f t="shared" ca="1" si="458"/>
        <v>0</v>
      </c>
      <c r="AD515" s="115" t="b">
        <f t="shared" ca="1" si="422"/>
        <v>0</v>
      </c>
      <c r="AE515" s="115">
        <f t="shared" ca="1" si="423"/>
        <v>4</v>
      </c>
      <c r="AF515" s="47">
        <f ca="1">IF(AC515,('模拟-单技能数据'!$D$20+G515*'模拟-单技能数据'!$F$20)*(1+J515)*(1+'模拟-单技能数据'!$J$20)*(1+U515),0)</f>
        <v>0</v>
      </c>
      <c r="AG515" s="61">
        <f t="shared" ref="AG515:AG578" ca="1" si="471">IF(AF515&gt;0,M515,AG514)</f>
        <v>0.64185145527300214</v>
      </c>
      <c r="AH515" s="61">
        <f t="shared" ref="AH515:AH578" ca="1" si="472">IF(AF515&gt;0,I515,AH514)</f>
        <v>2.2624828854998791</v>
      </c>
      <c r="AI515" s="62">
        <f t="shared" ca="1" si="438"/>
        <v>0.2751691820977944</v>
      </c>
      <c r="AJ515" s="47">
        <f ca="1">IF(AD515,IF(AI515&lt;$F$10,0,IF(AI515&lt;$F$10+$F$11,0.25,IF(AI515&lt;$F$10+$F$11+AG515,AH515,1)))*IF(AF515&gt;0,AF515,IF(AF514&gt;0,AF514,IF(AF513&gt;0,AF513,IF(AF512&gt;0,AF512,IF(AF511&gt;0,AF511,IF(AF510&gt;0,AF510,IF(AF509&gt;0,AF509,IF(AF508&gt;0,AF508,IF(AF507&gt;0,AF507,IF(AF505&gt;0,AF505,IF(AF504&gt;0,AF504,IF(AF503&gt;0,AF503,0)))))))))))),0)*(1-$S515)*'模拟-单技能数据'!$I$20</f>
        <v>0</v>
      </c>
      <c r="AK515" s="115" t="b">
        <f t="shared" ca="1" si="459"/>
        <v>0</v>
      </c>
      <c r="AL515" s="115" t="b">
        <f t="shared" ca="1" si="424"/>
        <v>1</v>
      </c>
      <c r="AM515" s="115">
        <f t="shared" ca="1" si="425"/>
        <v>2</v>
      </c>
      <c r="AN515" s="47">
        <f ca="1">IF(AK515,('模拟-单技能数据'!$D$21+G515*'模拟-单技能数据'!$F$21)*(1+J515)*(1+'模拟-单技能数据'!$J$21)*(1+U515),0)</f>
        <v>0</v>
      </c>
      <c r="AO515" s="61">
        <f ca="1">IF(AN515&gt;0,M515-'模拟-单技能数据'!$K$10,AO514)</f>
        <v>0.42185145527300216</v>
      </c>
      <c r="AP515" s="61">
        <f ca="1">IF(AN515&gt;0,I515-'模拟-单技能数据'!$L$10,AP514)</f>
        <v>2.162482885499879</v>
      </c>
      <c r="AQ515" s="63">
        <f t="shared" ca="1" si="439"/>
        <v>2.6128487262603306E-3</v>
      </c>
      <c r="AR515" s="64">
        <f ca="1">IF(AL515,IF(AQ515&lt;$F$10,0,IF(AQ515&lt;$F$10+$F$11,0.25,IF(AQ515&lt;$F$10+$F$11+AO515,AP515,1)))*IF(AN515&gt;0,AN515,IF(AN514&gt;0,AN514,IF(AN513&gt;0,AN513,IF(AN512&gt;0,AN512,IF(AN511&gt;0,AN511,IF(AN510&gt;0,AN510,IF(AN509&gt;0,AN509,IF(AN508&gt;0,AN508,IF(AN507&gt;0,AN507,IF(AN505&gt;0,AN505,IF(AN504&gt;0,AN504,IF(AN503&gt;0,AN503,0)))))))))))),0)*(1-$S515)*'模拟-单技能数据'!$I$21</f>
        <v>2779.5883771893346</v>
      </c>
      <c r="AS515" s="61">
        <f ca="1">IF(OR(C515="净世破魔击·日",C515="净世破魔击·月"),M515-'模拟-单技能数据'!$K$10,0)</f>
        <v>0.42185145527300216</v>
      </c>
      <c r="AT515" s="61">
        <f ca="1">IF(OR(C515="净世破魔击·日",C515="净世破魔击·月"),I515-'模拟-单技能数据'!$L$10,0)</f>
        <v>2.162482885499879</v>
      </c>
      <c r="AU515" s="62">
        <f t="shared" ca="1" si="440"/>
        <v>0.58955817031944957</v>
      </c>
      <c r="AV515" s="64">
        <f ca="1">IF(AS515&gt;0,('模拟-单技能数据'!$D$22+G515*'模拟-单技能数据'!$F$22)*(1+J515)*(1-S515)*IF(AU515&lt;$F$10,0,IF(AU515&lt;$F$10+$F$11,0.25,IF(AU515&lt;$F$10+$F$11+AS515,AT515,1)))*(1+U515),0)*'模拟-单技能数据'!$I$22</f>
        <v>7639.4517521048492</v>
      </c>
      <c r="AW515" s="108">
        <f t="shared" ca="1" si="441"/>
        <v>8.0075000000000074</v>
      </c>
      <c r="AX515" s="108" t="b">
        <f ca="1">AND(模拟模式!$P$10="有",AW514=0,RAND()&lt;IF(C515="净世破魔击·月",0.1*8/3,IF(C515="净世破魔击·日",0.1*4/3,0.1*2/3)))</f>
        <v>0</v>
      </c>
      <c r="AY515" s="47">
        <f ca="1">IF(AX515,(18+G515*0.722)*(1+J515)*(1-S515)*(1+$I$4)*IF(P515="会",'模拟-全程加成'!$J$3+'模拟-全程加成'!$J$4+'模拟-全程加成'!$J$5+('模拟-全程加成'!$I$4+'模拟-全程加成'!$I$5)/系数!$B$4+BG515*10%,IF(P515="命",1,IF(P515="识",0.25,0))),0)</f>
        <v>0</v>
      </c>
      <c r="AZ515" s="108">
        <f t="shared" si="442"/>
        <v>16.310000000000002</v>
      </c>
      <c r="BA515" s="108" t="b">
        <f>AND(模拟模式!$Q$10="有",AZ514=0)</f>
        <v>0</v>
      </c>
      <c r="BB515" s="140">
        <f>IF(BA515,(0+G515*0.287)*(1+J515)*(1-S515)*(1+$I$4)*IF(P515="会",'模拟-全程加成'!$J$3+'模拟-全程加成'!$J$4+'模拟-全程加成'!$J$5+('模拟-全程加成'!$I$4+'模拟-全程加成'!$I$5)/系数!$B$4+BG515*10%,IF(P515="命",1,IF(P515="识",0.25,0))),0)</f>
        <v>0</v>
      </c>
      <c r="BC515" s="115" t="b">
        <f ca="1">AND(模拟模式!$R$7="伏明众生",E515=60,F515=20,DA515&lt;5,CZ514&lt;$F$4)</f>
        <v>0</v>
      </c>
      <c r="BD515" s="115">
        <f t="shared" ca="1" si="460"/>
        <v>0</v>
      </c>
      <c r="BE515" s="115" t="b">
        <f t="shared" ca="1" si="461"/>
        <v>0</v>
      </c>
      <c r="BF515" s="47">
        <f ca="1">IF(BC515,4*('模拟-单技能数据'!$D$24+G515*'模拟-单技能数据'!$F$24)*(1+J515)*(1+'模拟-单技能数据'!$J$24)*(1-S515)*(1+$I$3)*(('模拟-全程加成'!$J$3+'模拟-全程加成'!$J$4+'模拟-全程加成'!$J$5+('模拟-全程加成'!$I$4+'模拟-全程加成'!$I$5)/系数!$B$4+BG515*10%)*('模拟-全程加成'!$J$3+'模拟-全程加成'!$J$4+'模拟-全程加成'!$J$5+('模拟-全程加成'!$I$4+'模拟-全程加成'!$I$5)/系数!$B$4+BG515*10%)+(1-('模拟-全程加成'!$J$3+'模拟-全程加成'!$J$4+'模拟-全程加成'!$J$5+('模拟-全程加成'!$I$4+'模拟-全程加成'!$I$5)/系数!$B$4+BG515*10%)-$F$10-$F$11)+F501*0.25),0)*'模拟-单技能数据'!$I$24</f>
        <v>0</v>
      </c>
      <c r="BG515" s="115" t="b">
        <f ca="1">OR(AND(OR(C515="烈日斩",C515="银月斩"),模拟模式!$I$7="净身明礼"),AND(C515="净世破魔击·日",模拟模式!$J$7="洞若观火"),AND(C516="净世破魔击·月",模拟模式!$J$7="洞若观火"),AB515=1)</f>
        <v>1</v>
      </c>
      <c r="BH515" s="115" t="b">
        <f t="shared" ca="1" si="443"/>
        <v>0</v>
      </c>
      <c r="BI515" s="115">
        <f t="shared" ca="1" si="462"/>
        <v>0</v>
      </c>
      <c r="BJ515" s="115" t="b">
        <f t="shared" ref="BJ515:BJ578" ca="1" si="473">BI515&gt;0</f>
        <v>0</v>
      </c>
      <c r="BK515" s="115" t="b">
        <f ca="1">AND(C515="驱夜断愁",模拟模式!$P$7="天地诛戮")</f>
        <v>0</v>
      </c>
      <c r="BL515" s="57">
        <f t="shared" ca="1" si="463"/>
        <v>17.232500000000002</v>
      </c>
      <c r="BM515" s="115" t="b">
        <f t="shared" ref="BM515:BM578" ca="1" si="474">BL515&gt;0</f>
        <v>1</v>
      </c>
      <c r="BN515" s="115" t="b">
        <f ca="1">AND(OR(C515="赤日轮1",C515="赤日轮2",C515="赤日轮3",C515="幽月轮1",C515="幽月轮2",C515="幽月轮3"),AB515=1,模拟模式!$L$7="明光恒照")</f>
        <v>0</v>
      </c>
      <c r="BO515" s="117">
        <f t="shared" ca="1" si="464"/>
        <v>29.077500000000001</v>
      </c>
      <c r="BP515" s="115">
        <f t="shared" ca="1" si="444"/>
        <v>6</v>
      </c>
      <c r="BQ515" s="115" t="b">
        <f>模拟模式!$K$10="2600·水"</f>
        <v>0</v>
      </c>
      <c r="BR515" s="117">
        <f t="shared" si="445"/>
        <v>0</v>
      </c>
      <c r="BS515" s="115">
        <f t="shared" si="446"/>
        <v>0</v>
      </c>
      <c r="BT515" s="115">
        <f t="shared" ca="1" si="447"/>
        <v>0</v>
      </c>
      <c r="BU515" s="115" t="b">
        <f ca="1">AND(模拟模式!$K$10="2300·雷",BT514=0,RAND()&lt;IF(C515="净世破魔击·月",5*0.05*2/3,IF(C515="净世破魔击·日",3*0.05*2/3,0.05*2*2/3)))</f>
        <v>0</v>
      </c>
      <c r="BV515" s="115">
        <f t="shared" ca="1" si="448"/>
        <v>0</v>
      </c>
      <c r="BW515" s="115">
        <f t="shared" ca="1" si="449"/>
        <v>105.27749999999925</v>
      </c>
      <c r="BX515" s="164" t="b">
        <f t="shared" ca="1" si="450"/>
        <v>0</v>
      </c>
      <c r="BY515" s="115">
        <f t="shared" ca="1" si="451"/>
        <v>0</v>
      </c>
      <c r="BZ515" s="115">
        <f>IF(OR(模拟模式!$P$16="10人团",模拟模式!$P$16="25人团"),IF(B515/30&gt;CA514,1,0),0)</f>
        <v>0</v>
      </c>
      <c r="CA515" s="115">
        <f t="shared" si="427"/>
        <v>0</v>
      </c>
      <c r="CB515" s="115">
        <f ca="1">IF(BZ515=1,IF(模拟模式!$P$16="10人团",15,0)+IF(模拟模式!$P$16="25人团",IF(RAND()&lt;0.6,15,0)),MAX(0,CB514-$F$4))</f>
        <v>0</v>
      </c>
      <c r="CC515" s="115" t="b">
        <f t="shared" ref="CC515:CC578" ca="1" si="475">CB515&gt;0</f>
        <v>0</v>
      </c>
      <c r="CD515" s="115">
        <f>IF(模拟模式!$Q$16="1个",IF(B515/40&gt;CE514,1,0),0)</f>
        <v>0</v>
      </c>
      <c r="CE515" s="115">
        <f t="shared" ref="CE515:CE578" si="476">CE514+CD515</f>
        <v>0</v>
      </c>
      <c r="CF515" s="115">
        <f>IF(OR(CD515=1,模拟模式!$Q$16="2个"),20,MAX(0,CF514-$F$4))</f>
        <v>0</v>
      </c>
      <c r="CG515" s="115" t="b">
        <f t="shared" ref="CG515:CG578" si="477">CF515&gt;0</f>
        <v>0</v>
      </c>
      <c r="CH515" s="115">
        <f t="shared" ca="1" si="452"/>
        <v>26.310000000000002</v>
      </c>
      <c r="CI515" s="115" t="b">
        <f t="shared" ca="1" si="453"/>
        <v>0</v>
      </c>
      <c r="CJ515" s="119">
        <f t="shared" ca="1" si="454"/>
        <v>0.05</v>
      </c>
      <c r="CK515" s="115">
        <f t="shared" ca="1" si="455"/>
        <v>4.3099999999999987</v>
      </c>
      <c r="CL515" s="115" t="b">
        <f ca="1">AND(模拟模式!$S$7="驱夷逐法",OR(AND(C515="净世破魔击·月",E514&gt;59),AND(C515="净世破魔击·日",F514&gt;59)))</f>
        <v>1</v>
      </c>
      <c r="CM515" s="115" t="b">
        <f ca="1">OR(CL515,AND(C515="净世破魔击·日",CL514,RAND()&lt;模拟模式!$U$23))</f>
        <v>1</v>
      </c>
      <c r="CN515" s="115" t="b">
        <f ca="1">IF(模拟模式!$M$7="辉耀红尘",AND(C515="净世破魔击·月",CL515,CV515=0,E514&lt;80),AND(C515="净世破魔击·月",CL515,E514&lt;100))</f>
        <v>0</v>
      </c>
      <c r="CO515" s="115" t="b">
        <f t="shared" ca="1" si="428"/>
        <v>0</v>
      </c>
      <c r="CP515" s="115" t="b">
        <f ca="1">AND(模拟模式!$O$7="用晦而明",OR(C515="净世破魔击·日",C515="净世破魔击·月",C515="驱夜断愁"),AB515)</f>
        <v>1</v>
      </c>
      <c r="CQ515" s="115" t="b">
        <f ca="1">OR(CP515,AND(CP514,RAND()&lt;模拟模式!$U$23))</f>
        <v>1</v>
      </c>
      <c r="CR515" s="115" t="b">
        <f ca="1">AND(模拟模式!$S$7="日月齐光",OR(C515="幽月轮1",C515="幽月轮2",C515="幽月轮3",CR514),NOT(OR(C515="赤日轮1",C515="赤日轮2",C515="赤日轮3")))</f>
        <v>0</v>
      </c>
      <c r="CS515" s="115" t="b">
        <f ca="1">AND(模拟模式!$S$7="日月齐光",OR(C515="赤日轮1",C515="赤日轮2",C515="赤日轮3",CS514),NOT(OR(C515="幽月轮1",C515="幽月轮2",C515="幽月轮3")))</f>
        <v>0</v>
      </c>
      <c r="CT515" s="115">
        <f t="shared" ca="1" si="456"/>
        <v>0</v>
      </c>
      <c r="CU515" s="115" t="b">
        <f ca="1">AND(模拟模式!$K$10="阴阳往极",CT514=0,RAND()&lt;IF(C515="净世破魔击·月",0.0275*7/3,IF(C515="净世破魔击·日",0.0275*3/3,0.0275*2/3)))</f>
        <v>0</v>
      </c>
      <c r="CV515" s="115">
        <f t="shared" ca="1" si="457"/>
        <v>0</v>
      </c>
      <c r="CW515" s="115">
        <f t="shared" ca="1" si="429"/>
        <v>4.1549999999999994</v>
      </c>
      <c r="CX515" s="115">
        <f t="shared" ca="1" si="430"/>
        <v>2.3099999999999996</v>
      </c>
      <c r="CY515" s="115">
        <f ca="1">MAX(IF($C515="驱夜断愁",IF(模拟模式!$R$7="万念俱寂",6,45),CY514-$F$4),0)</f>
        <v>3.2324999999999995</v>
      </c>
      <c r="CZ515" s="115">
        <f t="shared" ca="1" si="431"/>
        <v>0</v>
      </c>
      <c r="DA515" s="115">
        <f ca="1">IF(模拟模式!$N$7="日月同辉",IF(DB514=2,0,MIN(6,IF(AND(OR(C515="赤日轮1",C515="赤日轮2",C515="赤日轮3",C515="幽月轮1",C515="幽月轮2",C515="幽月轮3"),AB515=1),DA514+1,DA514))),0)</f>
        <v>3</v>
      </c>
      <c r="DB515" s="115">
        <f t="shared" ca="1" si="432"/>
        <v>0</v>
      </c>
      <c r="DC515" s="115"/>
      <c r="DD515" s="115"/>
      <c r="DE515" s="115"/>
      <c r="DF515" s="115"/>
      <c r="DG515" s="115"/>
      <c r="DH515" s="115"/>
      <c r="DI515" s="115"/>
      <c r="DJ515" s="115"/>
      <c r="DK515" s="115"/>
      <c r="DL515" s="115"/>
      <c r="DM515" s="115"/>
    </row>
    <row r="516" spans="2:117" x14ac:dyDescent="0.2">
      <c r="B516" s="117">
        <f t="shared" si="433"/>
        <v>451.10250000000468</v>
      </c>
      <c r="C516" s="167" t="str">
        <f t="shared" ca="1" si="426"/>
        <v>净世破魔击·日</v>
      </c>
      <c r="D516" s="115">
        <f ca="1">IF(C516="赤日轮1",1,IF(C516="赤日轮2",2,IF(C516="赤日轮3",3,IF(C516="幽月轮1",4,IF(C516="幽月轮2",5,IF(C516="幽月轮3",6,IF(C516="烈日斩",7,IF(C516="银月斩",8,IF(C516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516="净世破魔击·月",17,IF(C516="驱夜断愁",18,0)))))))))))</f>
        <v>9</v>
      </c>
      <c r="E516" s="115">
        <f ca="1">IF(AND(CU516,OR(C516="幽月轮1",C516="幽月轮2",C516="幽月轮3",C516="银月斩",C516="驱夜断愁",C516="净世破魔击·月")),100,MIN(IF(OR(CN516,BE516),0,IF(OR($C516="赤日轮1",$C516="赤日轮2",$C516="赤日轮3"),E515+20+IF(模拟模式!$I$7="日月凌天",4,0)+IF(CR515,20,0),IF($C516="烈日斩",E515+40,IF($C516="驱夜断愁",IF(模拟模式!$R$7="万念俱寂",E515+20,E515+60),IF($C516="净世破魔击·月",IF(OR(DB515&gt;0,CV515&gt;0),100,IF(模拟模式!$M$7="辉耀红尘",E515+20,E515)),IF($C516="净世破魔击·日",E515-100,E515)))))),100))</f>
        <v>0</v>
      </c>
      <c r="F516" s="115">
        <f ca="1">IF(AND(CU516,OR(C516="赤日轮1",C516="赤日轮2",C516="赤日轮3",C516="烈日斩",C516="净世破魔击·日")),100,MIN(IF(CO516,0,IF(OR($C516="幽月轮1",$C516="幽月轮2",$C516="幽月轮3"),F515+20+IF(模拟模式!$I$7="日月凌天",4,0)+IF(CS515,20,0),IF($C516="银月斩",F515+40+IF(模拟模式!$X$12=1,5,0),IF($C516="驱夜断愁",IF(模拟模式!$R$7="万念俱寂",F515+20,F515+60),IF($C516="净世破魔击·月",IF(模拟模式!$M$7="辉耀红尘",F515-80,F515-100),IF(AND(C516="净世破魔击·日",OR(DB515&gt;0,CV515&gt;0)),100,F515)))))),100))</f>
        <v>20</v>
      </c>
      <c r="G516" s="117">
        <f ca="1">('模拟-全程加成'!$E$3+'模拟-全程加成'!$E$4+'模拟-全程加成'!$E$5+('模拟-全程加成'!$C$6-'模拟-全程加成'!$C$3)*系数!$B$9+BS516*23)*(1+'模拟-全程加成'!$F$4+'模拟-全程加成'!$F$5+BJ516*10%+BM516*20%+BP516*4%+CG516*30%)+$F$7*系数!$B$12</f>
        <v>20583.127400000001</v>
      </c>
      <c r="H516" s="45">
        <f ca="1">'模拟-全程加成'!$H$3+'模拟-全程加成'!$H$4+'模拟-全程加成'!$H$5+('模拟-全程加成'!$G$4+'模拟-全程加成'!$G$5+('模拟-全程加成'!$C$6-'模拟-全程加成'!$C$3)*系数!$B$13)/系数!$B$3+LOOKUP(D516,'模拟-单技能数据'!$A$2:$A$19,'模拟-单技能数据'!$K$2:$K$19)+BG516*10%+IF(BV516&gt;0,378,0)</f>
        <v>0.54185145527300216</v>
      </c>
      <c r="I516" s="45">
        <f ca="1">'模拟-全程加成'!$J$3+'模拟-全程加成'!$J$4+'模拟-全程加成'!$J$5+('模拟-全程加成'!$I$4+'模拟-全程加成'!$I$5)/系数!$B$4+LOOKUP(D516,'模拟-单技能数据'!$A$2:$A$19,'模拟-单技能数据'!$L$2:$L$19)+BG516*10%</f>
        <v>2.162482885499879</v>
      </c>
      <c r="J516" s="45">
        <f ca="1">(('模拟-全程加成'!$K$3+'模拟-全程加成'!$K$4+'模拟-全程加成'!$K$5+('模拟-全程加成'!$C$6-'模拟-全程加成'!$C$3)*系数!$B$10+IF(BV516&gt;0,882,0)+IF(BY516&gt;0,1831,0))*(1+'模拟-全程加成'!$L$4+'模拟-全程加成'!$L$5+CC516*20%))/系数!$B$5</f>
        <v>0.69723220422048726</v>
      </c>
      <c r="K516" s="119">
        <f ca="1">LOOKUP(D516,'模拟-单技能数据'!$A$2:$A$19,'模拟-单技能数据'!$J$2:$J$19)+IF(CM516,60%,0)+IF(DB515-DB516&gt;0,30%,0)+IF(OR(AND(OR(C516="赤日轮1",C516="赤日轮2",C516="赤日轮3"),CR516),AND(OR(C516="幽月轮1",C516="幽月轮2",C516="幽月轮3"),CS516)),35%,0)+CJ516</f>
        <v>0.85000000000000009</v>
      </c>
      <c r="L516" s="119">
        <f ca="1">IF(AND(C516="烈日斩",模拟模式!$X$11=1),10%,0)+IF(AND(C516="驱夜断愁",AB516=1),30%,0)</f>
        <v>0</v>
      </c>
      <c r="M516" s="45">
        <f t="shared" ca="1" si="465"/>
        <v>0.54185145527300216</v>
      </c>
      <c r="N516" s="45">
        <f t="shared" ca="1" si="466"/>
        <v>0.40424854472699789</v>
      </c>
      <c r="O516" s="46">
        <f t="shared" ca="1" si="434"/>
        <v>0.17332529391661899</v>
      </c>
      <c r="P516" s="46" t="str">
        <f t="shared" ca="1" si="435"/>
        <v>会</v>
      </c>
      <c r="Q516" s="45">
        <f t="shared" ca="1" si="436"/>
        <v>2.162482885499879</v>
      </c>
      <c r="R516" s="117">
        <f ca="1">模拟模式!$E$20*(1-IF(模拟模式!$J$19="有",0.15,0))*(1-IF(模拟模式!$K$19="有",0.3,0)-IF(CQ516,0.5,0))</f>
        <v>843.02999999999975</v>
      </c>
      <c r="S516" s="45">
        <f ca="1">R516/(R516+(185*模拟模式!$E$22-16800)*4.08224)</f>
        <v>8.389626085980037E-2</v>
      </c>
      <c r="T516" s="45" t="str">
        <f ca="1">LOOKUP(D516,'模拟-单技能数据'!$A$2:$A$19,'模拟-单技能数据'!$H$2:$H$19)</f>
        <v>阳</v>
      </c>
      <c r="U516" s="119">
        <f t="shared" ca="1" si="467"/>
        <v>0.2</v>
      </c>
      <c r="V516" s="47">
        <f ca="1">(1+L516)*(LOOKUP(D516,'模拟-单技能数据'!$A$2:$A$19,'模拟-单技能数据'!$D$2:$D$19)+G516*LOOKUP(D516,'模拟-单技能数据'!$A$2:$A$19,'模拟-单技能数据'!$F$2:$F$19))*(1+J516)*(1+K516)*(1-S516)*(1+U516)*Q516*LOOKUP(D516,'模拟-单技能数据'!$A$2:$A$19,'模拟-单技能数据'!$I$2:$I$20)</f>
        <v>201357.92085574206</v>
      </c>
      <c r="W516" s="47">
        <f ca="1">LOOKUP(D516,'模拟-单技能数据'!$A$2:$A$19,'模拟-单技能数据'!$G$2:$G$19)*$I$10</f>
        <v>723.0212870940959</v>
      </c>
      <c r="X516" s="47">
        <f t="shared" ca="1" si="437"/>
        <v>27574.694170325052</v>
      </c>
      <c r="Y516" s="47">
        <f t="shared" ca="1" si="468"/>
        <v>229655.63631316123</v>
      </c>
      <c r="Z516" s="49">
        <f t="shared" ca="1" si="469"/>
        <v>51264394.679168507</v>
      </c>
      <c r="AA516" s="97">
        <f t="shared" ca="1" si="470"/>
        <v>113642.45305483339</v>
      </c>
      <c r="AB516" s="115">
        <f ca="1">IF(OR(C516="赤日轮1",C516="赤日轮2",C516="赤日轮3"),IF(RAND()&lt;模拟模式!$Y$17,1,0),IF(OR(C516="幽月轮1",C516="幽月轮2",C516="幽月轮3"),IF(RAND()&lt;模拟模式!$Y$18,1,0),IF(C516="烈日斩",IF(RAND()&lt;模拟模式!$Y$19,1,0),IF(C516="银月斩",IF(RAND()&lt;模拟模式!$Y$20,1,0),IF(C516="驱夜断愁",IF(RAND()&lt;模拟模式!$Y$21,1,0),IF(C516="净世破魔击·日",IF(RAND()&lt;模拟模式!$Y$22,1,0),IF(C516="净世破魔击·月",IF(RAND()&lt;模拟模式!$Y$23,1,0),0)))))))</f>
        <v>1</v>
      </c>
      <c r="AC516" s="115" t="b">
        <f t="shared" ca="1" si="458"/>
        <v>0</v>
      </c>
      <c r="AD516" s="115" t="b">
        <f t="shared" ref="AD516:AD579" ca="1" si="478">IF(AD515+AD514=1,IF(AE515&gt;0,NOT(AD515),FALSE),AC516)</f>
        <v>1</v>
      </c>
      <c r="AE516" s="115">
        <f t="shared" ref="AE516:AE579" ca="1" si="479">IF(AC516,IF(AD514+AD515=0,6,6-AD516),AE515-AD516)</f>
        <v>3</v>
      </c>
      <c r="AF516" s="47">
        <f ca="1">IF(AC516,('模拟-单技能数据'!$D$20+G516*'模拟-单技能数据'!$F$20)*(1+J516)*(1+'模拟-单技能数据'!$J$20)*(1+U516),0)</f>
        <v>0</v>
      </c>
      <c r="AG516" s="61">
        <f t="shared" ca="1" si="471"/>
        <v>0.64185145527300214</v>
      </c>
      <c r="AH516" s="61">
        <f t="shared" ca="1" si="472"/>
        <v>2.2624828854998791</v>
      </c>
      <c r="AI516" s="62">
        <f t="shared" ca="1" si="438"/>
        <v>0.50865986869411306</v>
      </c>
      <c r="AJ516" s="47">
        <f ca="1">IF(AD516,IF(AI516&lt;$F$10,0,IF(AI516&lt;$F$10+$F$11,0.25,IF(AI516&lt;$F$10+$F$11+AG516,AH516,1)))*IF(AF516&gt;0,AF516,IF(AF515&gt;0,AF515,IF(AF514&gt;0,AF514,IF(AF513&gt;0,AF513,IF(AF512&gt;0,AF512,IF(AF511&gt;0,AF511,IF(AF510&gt;0,AF510,IF(AF509&gt;0,AF509,IF(AF508&gt;0,AF508,IF(AF506&gt;0,AF506,IF(AF505&gt;0,AF505,IF(AF504&gt;0,AF504,0)))))))))))),0)*(1-$S516)*'模拟-单技能数据'!$I$20</f>
        <v>9218.9345386263849</v>
      </c>
      <c r="AK516" s="115" t="b">
        <f t="shared" ca="1" si="459"/>
        <v>1</v>
      </c>
      <c r="AL516" s="115" t="b">
        <f t="shared" ref="AL516:AL579" ca="1" si="480">IF(AL515+AL514=1,IF(AM515&gt;0,NOT(AL515),FALSE),AK516)</f>
        <v>0</v>
      </c>
      <c r="AM516" s="115">
        <f t="shared" ref="AM516:AM579" ca="1" si="481">IF(AK516,IF(AL514+AL515=0,6,6-AL516),AM515-AL516)</f>
        <v>6</v>
      </c>
      <c r="AN516" s="47">
        <f ca="1">IF(AK516,('模拟-单技能数据'!$D$21+G516*'模拟-单技能数据'!$F$21)*(1+J516)*(1+'模拟-单技能数据'!$J$21)*(1+U516),0)</f>
        <v>12136.56601728573</v>
      </c>
      <c r="AO516" s="61">
        <f ca="1">IF(AN516&gt;0,M516-'模拟-单技能数据'!$K$10,AO515)</f>
        <v>0.42185145527300216</v>
      </c>
      <c r="AP516" s="61">
        <f ca="1">IF(AN516&gt;0,I516-'模拟-单技能数据'!$L$10,AP515)</f>
        <v>2.162482885499879</v>
      </c>
      <c r="AQ516" s="63">
        <f t="shared" ca="1" si="439"/>
        <v>0.17609850462241849</v>
      </c>
      <c r="AR516" s="64">
        <f ca="1">IF(AL516,IF(AQ516&lt;$F$10,0,IF(AQ516&lt;$F$10+$F$11,0.25,IF(AQ516&lt;$F$10+$F$11+AO516,AP516,1)))*IF(AN516&gt;0,AN516,IF(AN515&gt;0,AN515,IF(AN514&gt;0,AN514,IF(AN513&gt;0,AN513,IF(AN512&gt;0,AN512,IF(AN511&gt;0,AN511,IF(AN510&gt;0,AN510,IF(AN509&gt;0,AN509,IF(AN508&gt;0,AN508,IF(AN506&gt;0,AN506,IF(AN505&gt;0,AN505,IF(AN504&gt;0,AN504,0)))))))))))),0)*(1-$S516)*'模拟-单技能数据'!$I$21</f>
        <v>0</v>
      </c>
      <c r="AS516" s="61">
        <f ca="1">IF(OR(C516="净世破魔击·日",C516="净世破魔击·月"),M516-'模拟-单技能数据'!$K$10,0)</f>
        <v>0.42185145527300216</v>
      </c>
      <c r="AT516" s="61">
        <f ca="1">IF(OR(C516="净世破魔击·日",C516="净世破魔击·月"),I516-'模拟-单技能数据'!$L$10,0)</f>
        <v>2.162482885499879</v>
      </c>
      <c r="AU516" s="62">
        <f t="shared" ca="1" si="440"/>
        <v>0.47005216815516426</v>
      </c>
      <c r="AV516" s="64">
        <f ca="1">IF(AS516&gt;0,('模拟-单技能数据'!$D$22+G516*'模拟-单技能数据'!$F$22)*(1+J516)*(1-S516)*IF(AU516&lt;$F$10,0,IF(AU516&lt;$F$10+$F$11,0.25,IF(AU516&lt;$F$10+$F$11+AS516,AT516,1)))*(1+U516),0)*'模拟-单技能数据'!$I$22</f>
        <v>18355.759631698667</v>
      </c>
      <c r="AW516" s="108">
        <f t="shared" ca="1" si="441"/>
        <v>7.0850000000000071</v>
      </c>
      <c r="AX516" s="108" t="b">
        <f ca="1">AND(模拟模式!$P$10="有",AW515=0,RAND()&lt;IF(C516="净世破魔击·月",0.1*8/3,IF(C516="净世破魔击·日",0.1*4/3,0.1*2/3)))</f>
        <v>0</v>
      </c>
      <c r="AY516" s="47">
        <f ca="1">IF(AX516,(18+G516*0.722)*(1+J516)*(1-S516)*(1+$I$4)*IF(P516="会",'模拟-全程加成'!$J$3+'模拟-全程加成'!$J$4+'模拟-全程加成'!$J$5+('模拟-全程加成'!$I$4+'模拟-全程加成'!$I$5)/系数!$B$4+BG516*10%,IF(P516="命",1,IF(P516="识",0.25,0))),0)</f>
        <v>0</v>
      </c>
      <c r="AZ516" s="108">
        <f t="shared" si="442"/>
        <v>15.387500000000003</v>
      </c>
      <c r="BA516" s="108" t="b">
        <f>AND(模拟模式!$Q$10="有",AZ515=0)</f>
        <v>0</v>
      </c>
      <c r="BB516" s="140">
        <f>IF(BA516,(0+G516*0.287)*(1+J516)*(1-S516)*(1+$I$4)*IF(P516="会",'模拟-全程加成'!$J$3+'模拟-全程加成'!$J$4+'模拟-全程加成'!$J$5+('模拟-全程加成'!$I$4+'模拟-全程加成'!$I$5)/系数!$B$4+BG516*10%,IF(P516="命",1,IF(P516="识",0.25,0))),0)</f>
        <v>0</v>
      </c>
      <c r="BC516" s="115" t="b">
        <f ca="1">AND(模拟模式!$R$7="伏明众生",E516=60,F516=20,DA516&lt;5,CZ515&lt;$F$4)</f>
        <v>0</v>
      </c>
      <c r="BD516" s="115">
        <f t="shared" ca="1" si="460"/>
        <v>0</v>
      </c>
      <c r="BE516" s="115" t="b">
        <f t="shared" ca="1" si="461"/>
        <v>0</v>
      </c>
      <c r="BF516" s="47">
        <f ca="1">IF(BC516,4*('模拟-单技能数据'!$D$24+G516*'模拟-单技能数据'!$F$24)*(1+J516)*(1+'模拟-单技能数据'!$J$24)*(1-S516)*(1+$I$3)*(('模拟-全程加成'!$J$3+'模拟-全程加成'!$J$4+'模拟-全程加成'!$J$5+('模拟-全程加成'!$I$4+'模拟-全程加成'!$I$5)/系数!$B$4+BG516*10%)*('模拟-全程加成'!$J$3+'模拟-全程加成'!$J$4+'模拟-全程加成'!$J$5+('模拟-全程加成'!$I$4+'模拟-全程加成'!$I$5)/系数!$B$4+BG516*10%)+(1-('模拟-全程加成'!$J$3+'模拟-全程加成'!$J$4+'模拟-全程加成'!$J$5+('模拟-全程加成'!$I$4+'模拟-全程加成'!$I$5)/系数!$B$4+BG516*10%)-$F$10-$F$11)+F502*0.25),0)*'模拟-单技能数据'!$I$24</f>
        <v>0</v>
      </c>
      <c r="BG516" s="115" t="b">
        <f ca="1">OR(AND(OR(C516="烈日斩",C516="银月斩"),模拟模式!$I$7="净身明礼"),AND(C516="净世破魔击·日",模拟模式!$J$7="洞若观火"),AND(C517="净世破魔击·月",模拟模式!$J$7="洞若观火"),AB516=1)</f>
        <v>1</v>
      </c>
      <c r="BH516" s="115" t="b">
        <f t="shared" ca="1" si="443"/>
        <v>0</v>
      </c>
      <c r="BI516" s="115">
        <f t="shared" ca="1" si="462"/>
        <v>0</v>
      </c>
      <c r="BJ516" s="115" t="b">
        <f t="shared" ca="1" si="473"/>
        <v>0</v>
      </c>
      <c r="BK516" s="115" t="b">
        <f ca="1">AND(C516="驱夜断愁",模拟模式!$P$7="天地诛戮")</f>
        <v>0</v>
      </c>
      <c r="BL516" s="57">
        <f t="shared" ca="1" si="463"/>
        <v>16.310000000000002</v>
      </c>
      <c r="BM516" s="115" t="b">
        <f t="shared" ca="1" si="474"/>
        <v>1</v>
      </c>
      <c r="BN516" s="115" t="b">
        <f ca="1">AND(OR(C516="赤日轮1",C516="赤日轮2",C516="赤日轮3",C516="幽月轮1",C516="幽月轮2",C516="幽月轮3"),AB516=1,模拟模式!$L$7="明光恒照")</f>
        <v>0</v>
      </c>
      <c r="BO516" s="117">
        <f t="shared" ca="1" si="464"/>
        <v>28.155000000000001</v>
      </c>
      <c r="BP516" s="115">
        <f t="shared" ca="1" si="444"/>
        <v>6</v>
      </c>
      <c r="BQ516" s="115" t="b">
        <f>模拟模式!$K$10="2600·水"</f>
        <v>0</v>
      </c>
      <c r="BR516" s="117">
        <f t="shared" si="445"/>
        <v>0</v>
      </c>
      <c r="BS516" s="115">
        <f t="shared" si="446"/>
        <v>0</v>
      </c>
      <c r="BT516" s="115">
        <f t="shared" ca="1" si="447"/>
        <v>0</v>
      </c>
      <c r="BU516" s="115" t="b">
        <f ca="1">AND(模拟模式!$K$10="2300·雷",BT515=0,RAND()&lt;IF(C516="净世破魔击·月",5*0.05*2/3,IF(C516="净世破魔击·日",3*0.05*2/3,0.05*2*2/3)))</f>
        <v>0</v>
      </c>
      <c r="BV516" s="115">
        <f t="shared" ca="1" si="448"/>
        <v>0</v>
      </c>
      <c r="BW516" s="115">
        <f t="shared" ca="1" si="449"/>
        <v>104.35499999999925</v>
      </c>
      <c r="BX516" s="164" t="b">
        <f t="shared" ca="1" si="450"/>
        <v>0</v>
      </c>
      <c r="BY516" s="115">
        <f t="shared" ca="1" si="451"/>
        <v>0</v>
      </c>
      <c r="BZ516" s="115">
        <f>IF(OR(模拟模式!$P$16="10人团",模拟模式!$P$16="25人团"),IF(B516/30&gt;CA515,1,0),0)</f>
        <v>0</v>
      </c>
      <c r="CA516" s="115">
        <f t="shared" si="427"/>
        <v>0</v>
      </c>
      <c r="CB516" s="115">
        <f ca="1">IF(BZ516=1,IF(模拟模式!$P$16="10人团",15,0)+IF(模拟模式!$P$16="25人团",IF(RAND()&lt;0.6,15,0)),MAX(0,CB515-$F$4))</f>
        <v>0</v>
      </c>
      <c r="CC516" s="115" t="b">
        <f t="shared" ca="1" si="475"/>
        <v>0</v>
      </c>
      <c r="CD516" s="115">
        <f>IF(模拟模式!$Q$16="1个",IF(B516/40&gt;CE515,1,0),0)</f>
        <v>0</v>
      </c>
      <c r="CE516" s="115">
        <f t="shared" si="476"/>
        <v>0</v>
      </c>
      <c r="CF516" s="115">
        <f>IF(OR(CD516=1,模拟模式!$Q$16="2个"),20,MAX(0,CF515-$F$4))</f>
        <v>0</v>
      </c>
      <c r="CG516" s="115" t="b">
        <f t="shared" si="477"/>
        <v>0</v>
      </c>
      <c r="CH516" s="115">
        <f t="shared" ca="1" si="452"/>
        <v>25.387500000000003</v>
      </c>
      <c r="CI516" s="115" t="b">
        <f t="shared" ca="1" si="453"/>
        <v>0</v>
      </c>
      <c r="CJ516" s="119">
        <f t="shared" ca="1" si="454"/>
        <v>0.05</v>
      </c>
      <c r="CK516" s="115">
        <f t="shared" ca="1" si="455"/>
        <v>3.3874999999999988</v>
      </c>
      <c r="CL516" s="115" t="b">
        <f ca="1">AND(模拟模式!$S$7="驱夷逐法",OR(AND(C516="净世破魔击·月",E515&gt;59),AND(C516="净世破魔击·日",F515&gt;59)))</f>
        <v>0</v>
      </c>
      <c r="CM516" s="115" t="b">
        <f ca="1">OR(CL516,AND(C516="净世破魔击·日",CL515,RAND()&lt;模拟模式!$U$23))</f>
        <v>1</v>
      </c>
      <c r="CN516" s="115" t="b">
        <f ca="1">IF(模拟模式!$M$7="辉耀红尘",AND(C516="净世破魔击·月",CL516,CV516=0,E515&lt;80),AND(C516="净世破魔击·月",CL516,E515&lt;100))</f>
        <v>0</v>
      </c>
      <c r="CO516" s="115" t="b">
        <f t="shared" ca="1" si="428"/>
        <v>0</v>
      </c>
      <c r="CP516" s="115" t="b">
        <f ca="1">AND(模拟模式!$O$7="用晦而明",OR(C516="净世破魔击·日",C516="净世破魔击·月",C516="驱夜断愁"),AB516)</f>
        <v>1</v>
      </c>
      <c r="CQ516" s="115" t="b">
        <f ca="1">OR(CP516,AND(CP515,RAND()&lt;模拟模式!$U$23))</f>
        <v>1</v>
      </c>
      <c r="CR516" s="115" t="b">
        <f ca="1">AND(模拟模式!$S$7="日月齐光",OR(C516="幽月轮1",C516="幽月轮2",C516="幽月轮3",CR515),NOT(OR(C516="赤日轮1",C516="赤日轮2",C516="赤日轮3")))</f>
        <v>0</v>
      </c>
      <c r="CS516" s="115" t="b">
        <f ca="1">AND(模拟模式!$S$7="日月齐光",OR(C516="赤日轮1",C516="赤日轮2",C516="赤日轮3",CS515),NOT(OR(C516="幽月轮1",C516="幽月轮2",C516="幽月轮3")))</f>
        <v>0</v>
      </c>
      <c r="CT516" s="115">
        <f t="shared" ca="1" si="456"/>
        <v>0</v>
      </c>
      <c r="CU516" s="115" t="b">
        <f ca="1">AND(模拟模式!$K$10="阴阳往极",CT515=0,RAND()&lt;IF(C516="净世破魔击·月",0.0275*7/3,IF(C516="净世破魔击·日",0.0275*3/3,0.0275*2/3)))</f>
        <v>0</v>
      </c>
      <c r="CV516" s="115">
        <f t="shared" ca="1" si="457"/>
        <v>0</v>
      </c>
      <c r="CW516" s="115">
        <f t="shared" ca="1" si="429"/>
        <v>3.2324999999999995</v>
      </c>
      <c r="CX516" s="115">
        <f t="shared" ca="1" si="430"/>
        <v>1.3874999999999997</v>
      </c>
      <c r="CY516" s="115">
        <f ca="1">MAX(IF($C516="驱夜断愁",IF(模拟模式!$R$7="万念俱寂",6,45),CY515-$F$4),0)</f>
        <v>2.3099999999999996</v>
      </c>
      <c r="CZ516" s="115">
        <f t="shared" ca="1" si="431"/>
        <v>0</v>
      </c>
      <c r="DA516" s="115">
        <f ca="1">IF(模拟模式!$N$7="日月同辉",IF(DB515=2,0,MIN(6,IF(AND(OR(C516="赤日轮1",C516="赤日轮2",C516="赤日轮3",C516="幽月轮1",C516="幽月轮2",C516="幽月轮3"),AB516=1),DA515+1,DA515))),0)</f>
        <v>3</v>
      </c>
      <c r="DB516" s="115">
        <f t="shared" ca="1" si="432"/>
        <v>0</v>
      </c>
      <c r="DC516" s="115"/>
      <c r="DD516" s="115"/>
      <c r="DE516" s="115"/>
      <c r="DF516" s="115"/>
      <c r="DG516" s="115"/>
      <c r="DH516" s="115"/>
      <c r="DI516" s="115"/>
      <c r="DJ516" s="115"/>
      <c r="DK516" s="115"/>
      <c r="DL516" s="115"/>
      <c r="DM516" s="115"/>
    </row>
    <row r="517" spans="2:117" x14ac:dyDescent="0.2">
      <c r="B517" s="117">
        <f t="shared" si="433"/>
        <v>452.0250000000047</v>
      </c>
      <c r="C517" s="167" t="str">
        <f t="shared" ca="1" si="426"/>
        <v>赤日轮1</v>
      </c>
      <c r="D517" s="115">
        <f ca="1">IF(C517="赤日轮1",1,IF(C517="赤日轮2",2,IF(C517="赤日轮3",3,IF(C517="幽月轮1",4,IF(C517="幽月轮2",5,IF(C517="幽月轮3",6,IF(C517="烈日斩",7,IF(C517="银月斩",8,IF(C517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517="净世破魔击·月",17,IF(C517="驱夜断愁",18,0)))))))))))</f>
        <v>1</v>
      </c>
      <c r="E517" s="115">
        <f ca="1">IF(AND(CU517,OR(C517="幽月轮1",C517="幽月轮2",C517="幽月轮3",C517="银月斩",C517="驱夜断愁",C517="净世破魔击·月")),100,MIN(IF(OR(CN517,BE517),0,IF(OR($C517="赤日轮1",$C517="赤日轮2",$C517="赤日轮3"),E516+20+IF(模拟模式!$I$7="日月凌天",4,0)+IF(CR516,20,0),IF($C517="烈日斩",E516+40,IF($C517="驱夜断愁",IF(模拟模式!$R$7="万念俱寂",E516+20,E516+60),IF($C517="净世破魔击·月",IF(OR(DB516&gt;0,CV516&gt;0),100,IF(模拟模式!$M$7="辉耀红尘",E516+20,E516)),IF($C517="净世破魔击·日",E516-100,E516)))))),100))</f>
        <v>20</v>
      </c>
      <c r="F517" s="115">
        <f ca="1">IF(AND(CU517,OR(C517="赤日轮1",C517="赤日轮2",C517="赤日轮3",C517="烈日斩",C517="净世破魔击·日")),100,MIN(IF(CO517,0,IF(OR($C517="幽月轮1",$C517="幽月轮2",$C517="幽月轮3"),F516+20+IF(模拟模式!$I$7="日月凌天",4,0)+IF(CS516,20,0),IF($C517="银月斩",F516+40+IF(模拟模式!$X$12=1,5,0),IF($C517="驱夜断愁",IF(模拟模式!$R$7="万念俱寂",F516+20,F516+60),IF($C517="净世破魔击·月",IF(模拟模式!$M$7="辉耀红尘",F516-80,F516-100),IF(AND(C517="净世破魔击·日",OR(DB516&gt;0,CV516&gt;0)),100,F516)))))),100))</f>
        <v>20</v>
      </c>
      <c r="G517" s="117">
        <f ca="1">('模拟-全程加成'!$E$3+'模拟-全程加成'!$E$4+'模拟-全程加成'!$E$5+('模拟-全程加成'!$C$6-'模拟-全程加成'!$C$3)*系数!$B$9+BS517*23)*(1+'模拟-全程加成'!$F$4+'模拟-全程加成'!$F$5+BJ517*10%+BM517*20%+BP517*4%+CG517*30%)+$F$7*系数!$B$12</f>
        <v>20583.127400000001</v>
      </c>
      <c r="H517" s="45">
        <f ca="1">'模拟-全程加成'!$H$3+'模拟-全程加成'!$H$4+'模拟-全程加成'!$H$5+('模拟-全程加成'!$G$4+'模拟-全程加成'!$G$5+('模拟-全程加成'!$C$6-'模拟-全程加成'!$C$3)*系数!$B$13)/系数!$B$3+LOOKUP(D517,'模拟-单技能数据'!$A$2:$A$19,'模拟-单技能数据'!$K$2:$K$19)+BG517*10%+IF(BV517&gt;0,378,0)</f>
        <v>0.4618514552730022</v>
      </c>
      <c r="I517" s="45">
        <f ca="1">'模拟-全程加成'!$J$3+'模拟-全程加成'!$J$4+'模拟-全程加成'!$J$5+('模拟-全程加成'!$I$4+'模拟-全程加成'!$I$5)/系数!$B$4+LOOKUP(D517,'模拟-单技能数据'!$A$2:$A$19,'模拟-单技能数据'!$L$2:$L$19)+BG517*10%</f>
        <v>2.162482885499879</v>
      </c>
      <c r="J517" s="45">
        <f ca="1">(('模拟-全程加成'!$K$3+'模拟-全程加成'!$K$4+'模拟-全程加成'!$K$5+('模拟-全程加成'!$C$6-'模拟-全程加成'!$C$3)*系数!$B$10+IF(BV517&gt;0,882,0)+IF(BY517&gt;0,1831,0))*(1+'模拟-全程加成'!$L$4+'模拟-全程加成'!$L$5+CC517*20%))/系数!$B$5</f>
        <v>0.69723220422048726</v>
      </c>
      <c r="K517" s="119">
        <f ca="1">LOOKUP(D517,'模拟-单技能数据'!$A$2:$A$19,'模拟-单技能数据'!$J$2:$J$19)+IF(CM517,60%,0)+IF(DB516-DB517&gt;0,30%,0)+IF(OR(AND(OR(C517="赤日轮1",C517="赤日轮2",C517="赤日轮3"),CR517),AND(OR(C517="幽月轮1",C517="幽月轮2",C517="幽月轮3"),CS517)),35%,0)+CJ517</f>
        <v>0.16999999999999998</v>
      </c>
      <c r="L517" s="119">
        <f ca="1">IF(AND(C517="烈日斩",模拟模式!$X$11=1),10%,0)+IF(AND(C517="驱夜断愁",AB517=1),30%,0)</f>
        <v>0</v>
      </c>
      <c r="M517" s="45">
        <f t="shared" ca="1" si="465"/>
        <v>0.4618514552730022</v>
      </c>
      <c r="N517" s="45">
        <f t="shared" ca="1" si="466"/>
        <v>0.48424854472699785</v>
      </c>
      <c r="O517" s="46">
        <f t="shared" ca="1" si="434"/>
        <v>0.34265354174928941</v>
      </c>
      <c r="P517" s="46" t="str">
        <f t="shared" ca="1" si="435"/>
        <v>会</v>
      </c>
      <c r="Q517" s="45">
        <f t="shared" ca="1" si="436"/>
        <v>2.162482885499879</v>
      </c>
      <c r="R517" s="117">
        <f ca="1">模拟模式!$E$20*(1-IF(模拟模式!$J$19="有",0.15,0))*(1-IF(模拟模式!$K$19="有",0.3,0)-IF(CQ517,0.5,0))</f>
        <v>843.02999999999975</v>
      </c>
      <c r="S517" s="45">
        <f ca="1">R517/(R517+(185*模拟模式!$E$22-16800)*4.08224)</f>
        <v>8.389626085980037E-2</v>
      </c>
      <c r="T517" s="45" t="str">
        <f ca="1">LOOKUP(D517,'模拟-单技能数据'!$A$2:$A$19,'模拟-单技能数据'!$H$2:$H$19)</f>
        <v>阳</v>
      </c>
      <c r="U517" s="119">
        <f t="shared" ca="1" si="467"/>
        <v>0.2</v>
      </c>
      <c r="V517" s="47">
        <f ca="1">(1+L517)*(LOOKUP(D517,'模拟-单技能数据'!$A$2:$A$19,'模拟-单技能数据'!$D$2:$D$19)+G517*LOOKUP(D517,'模拟-单技能数据'!$A$2:$A$19,'模拟-单技能数据'!$F$2:$F$19))*(1+J517)*(1+K517)*(1-S517)*(1+U517)*Q517*LOOKUP(D517,'模拟-单技能数据'!$A$2:$A$19,'模拟-单技能数据'!$I$2:$I$20)</f>
        <v>56914.819852461565</v>
      </c>
      <c r="W517" s="47">
        <f ca="1">LOOKUP(D517,'模拟-单技能数据'!$A$2:$A$19,'模拟-单技能数据'!$G$2:$G$19)*$I$10</f>
        <v>361.51064354704795</v>
      </c>
      <c r="X517" s="47">
        <f t="shared" ca="1" si="437"/>
        <v>11118.353508757338</v>
      </c>
      <c r="Y517" s="47">
        <f t="shared" ca="1" si="468"/>
        <v>68394.68400476595</v>
      </c>
      <c r="Z517" s="49">
        <f t="shared" ca="1" si="469"/>
        <v>51332789.363173276</v>
      </c>
      <c r="AA517" s="97">
        <f t="shared" ca="1" si="470"/>
        <v>113561.83698506221</v>
      </c>
      <c r="AB517" s="115">
        <f ca="1">IF(OR(C517="赤日轮1",C517="赤日轮2",C517="赤日轮3"),IF(RAND()&lt;模拟模式!$Y$17,1,0),IF(OR(C517="幽月轮1",C517="幽月轮2",C517="幽月轮3"),IF(RAND()&lt;模拟模式!$Y$18,1,0),IF(C517="烈日斩",IF(RAND()&lt;模拟模式!$Y$19,1,0),IF(C517="银月斩",IF(RAND()&lt;模拟模式!$Y$20,1,0),IF(C517="驱夜断愁",IF(RAND()&lt;模拟模式!$Y$21,1,0),IF(C517="净世破魔击·日",IF(RAND()&lt;模拟模式!$Y$22,1,0),IF(C517="净世破魔击·月",IF(RAND()&lt;模拟模式!$Y$23,1,0),0)))))))</f>
        <v>1</v>
      </c>
      <c r="AC517" s="115" t="b">
        <f t="shared" ca="1" si="458"/>
        <v>0</v>
      </c>
      <c r="AD517" s="115" t="b">
        <f t="shared" ca="1" si="478"/>
        <v>0</v>
      </c>
      <c r="AE517" s="115">
        <f t="shared" ca="1" si="479"/>
        <v>3</v>
      </c>
      <c r="AF517" s="47">
        <f ca="1">IF(AC517,('模拟-单技能数据'!$D$20+G517*'模拟-单技能数据'!$F$20)*(1+J517)*(1+'模拟-单技能数据'!$J$20)*(1+U517),0)</f>
        <v>0</v>
      </c>
      <c r="AG517" s="61">
        <f t="shared" ca="1" si="471"/>
        <v>0.64185145527300214</v>
      </c>
      <c r="AH517" s="61">
        <f t="shared" ca="1" si="472"/>
        <v>2.2624828854998791</v>
      </c>
      <c r="AI517" s="62">
        <f t="shared" ca="1" si="438"/>
        <v>0.91940863352425262</v>
      </c>
      <c r="AJ517" s="47">
        <f ca="1">IF(AD517,IF(AI517&lt;$F$10,0,IF(AI517&lt;$F$10+$F$11,0.25,IF(AI517&lt;$F$10+$F$11+AG517,AH517,1)))*IF(AF517&gt;0,AF517,IF(AF516&gt;0,AF516,IF(AF515&gt;0,AF515,IF(AF514&gt;0,AF514,IF(AF513&gt;0,AF513,IF(AF512&gt;0,AF512,IF(AF511&gt;0,AF511,IF(AF510&gt;0,AF510,IF(AF509&gt;0,AF509,IF(AF507&gt;0,AF507,IF(AF506&gt;0,AF506,IF(AF505&gt;0,AF505,0)))))))))))),0)*(1-$S517)*'模拟-单技能数据'!$I$20</f>
        <v>0</v>
      </c>
      <c r="AK517" s="115" t="b">
        <f t="shared" ca="1" si="459"/>
        <v>0</v>
      </c>
      <c r="AL517" s="115" t="b">
        <f t="shared" ca="1" si="480"/>
        <v>1</v>
      </c>
      <c r="AM517" s="115">
        <f t="shared" ca="1" si="481"/>
        <v>5</v>
      </c>
      <c r="AN517" s="47">
        <f ca="1">IF(AK517,('模拟-单技能数据'!$D$21+G517*'模拟-单技能数据'!$F$21)*(1+J517)*(1+'模拟-单技能数据'!$J$21)*(1+U517),0)</f>
        <v>0</v>
      </c>
      <c r="AO517" s="61">
        <f ca="1">IF(AN517&gt;0,M517-'模拟-单技能数据'!$K$10,AO516)</f>
        <v>0.42185145527300216</v>
      </c>
      <c r="AP517" s="61">
        <f ca="1">IF(AN517&gt;0,I517-'模拟-单技能数据'!$L$10,AP516)</f>
        <v>2.162482885499879</v>
      </c>
      <c r="AQ517" s="63">
        <f t="shared" ca="1" si="439"/>
        <v>0.6623952588527604</v>
      </c>
      <c r="AR517" s="64">
        <f ca="1">IF(AL517,IF(AQ517&lt;$F$10,0,IF(AQ517&lt;$F$10+$F$11,0.25,IF(AQ517&lt;$F$10+$F$11+AO517,AP517,1)))*IF(AN517&gt;0,AN517,IF(AN516&gt;0,AN516,IF(AN515&gt;0,AN515,IF(AN514&gt;0,AN514,IF(AN513&gt;0,AN513,IF(AN512&gt;0,AN512,IF(AN511&gt;0,AN511,IF(AN510&gt;0,AN510,IF(AN509&gt;0,AN509,IF(AN507&gt;0,AN507,IF(AN506&gt;0,AN506,IF(AN505&gt;0,AN505,0)))))))))))),0)*(1-$S517)*'模拟-单技能数据'!$I$21</f>
        <v>11118.353508757338</v>
      </c>
      <c r="AS517" s="61">
        <f ca="1">IF(OR(C517="净世破魔击·日",C517="净世破魔击·月"),M517-'模拟-单技能数据'!$K$10,0)</f>
        <v>0</v>
      </c>
      <c r="AT517" s="61">
        <f ca="1">IF(OR(C517="净世破魔击·日",C517="净世破魔击·月"),I517-'模拟-单技能数据'!$L$10,0)</f>
        <v>0</v>
      </c>
      <c r="AU517" s="62">
        <f t="shared" ca="1" si="440"/>
        <v>0.25995191667155526</v>
      </c>
      <c r="AV517" s="64">
        <f ca="1">IF(AS517&gt;0,('模拟-单技能数据'!$D$22+G517*'模拟-单技能数据'!$F$22)*(1+J517)*(1-S517)*IF(AU517&lt;$F$10,0,IF(AU517&lt;$F$10+$F$11,0.25,IF(AU517&lt;$F$10+$F$11+AS517,AT517,1)))*(1+U517),0)*'模拟-单技能数据'!$I$22</f>
        <v>0</v>
      </c>
      <c r="AW517" s="108">
        <f t="shared" ca="1" si="441"/>
        <v>6.1625000000000068</v>
      </c>
      <c r="AX517" s="108" t="b">
        <f ca="1">AND(模拟模式!$P$10="有",AW516=0,RAND()&lt;IF(C517="净世破魔击·月",0.1*8/3,IF(C517="净世破魔击·日",0.1*4/3,0.1*2/3)))</f>
        <v>0</v>
      </c>
      <c r="AY517" s="47">
        <f ca="1">IF(AX517,(18+G517*0.722)*(1+J517)*(1-S517)*(1+$I$4)*IF(P517="会",'模拟-全程加成'!$J$3+'模拟-全程加成'!$J$4+'模拟-全程加成'!$J$5+('模拟-全程加成'!$I$4+'模拟-全程加成'!$I$5)/系数!$B$4+BG517*10%,IF(P517="命",1,IF(P517="识",0.25,0))),0)</f>
        <v>0</v>
      </c>
      <c r="AZ517" s="108">
        <f t="shared" si="442"/>
        <v>14.465000000000003</v>
      </c>
      <c r="BA517" s="108" t="b">
        <f>AND(模拟模式!$Q$10="有",AZ516=0)</f>
        <v>0</v>
      </c>
      <c r="BB517" s="140">
        <f>IF(BA517,(0+G517*0.287)*(1+J517)*(1-S517)*(1+$I$4)*IF(P517="会",'模拟-全程加成'!$J$3+'模拟-全程加成'!$J$4+'模拟-全程加成'!$J$5+('模拟-全程加成'!$I$4+'模拟-全程加成'!$I$5)/系数!$B$4+BG517*10%,IF(P517="命",1,IF(P517="识",0.25,0))),0)</f>
        <v>0</v>
      </c>
      <c r="BC517" s="115" t="b">
        <f ca="1">AND(模拟模式!$R$7="伏明众生",E517=60,F517=20,DA517&lt;5,CZ516&lt;$F$4)</f>
        <v>0</v>
      </c>
      <c r="BD517" s="115">
        <f t="shared" ca="1" si="460"/>
        <v>0</v>
      </c>
      <c r="BE517" s="115" t="b">
        <f t="shared" ca="1" si="461"/>
        <v>0</v>
      </c>
      <c r="BF517" s="47">
        <f ca="1">IF(BC517,4*('模拟-单技能数据'!$D$24+G517*'模拟-单技能数据'!$F$24)*(1+J517)*(1+'模拟-单技能数据'!$J$24)*(1-S517)*(1+$I$3)*(('模拟-全程加成'!$J$3+'模拟-全程加成'!$J$4+'模拟-全程加成'!$J$5+('模拟-全程加成'!$I$4+'模拟-全程加成'!$I$5)/系数!$B$4+BG517*10%)*('模拟-全程加成'!$J$3+'模拟-全程加成'!$J$4+'模拟-全程加成'!$J$5+('模拟-全程加成'!$I$4+'模拟-全程加成'!$I$5)/系数!$B$4+BG517*10%)+(1-('模拟-全程加成'!$J$3+'模拟-全程加成'!$J$4+'模拟-全程加成'!$J$5+('模拟-全程加成'!$I$4+'模拟-全程加成'!$I$5)/系数!$B$4+BG517*10%)-$F$10-$F$11)+F503*0.25),0)*'模拟-单技能数据'!$I$24</f>
        <v>0</v>
      </c>
      <c r="BG517" s="115" t="b">
        <f ca="1">OR(AND(OR(C517="烈日斩",C517="银月斩"),模拟模式!$I$7="净身明礼"),AND(C517="净世破魔击·日",模拟模式!$J$7="洞若观火"),AND(C518="净世破魔击·月",模拟模式!$J$7="洞若观火"),AB517=1)</f>
        <v>1</v>
      </c>
      <c r="BH517" s="115" t="b">
        <f t="shared" ca="1" si="443"/>
        <v>0</v>
      </c>
      <c r="BI517" s="115">
        <f t="shared" ca="1" si="462"/>
        <v>0</v>
      </c>
      <c r="BJ517" s="115" t="b">
        <f t="shared" ca="1" si="473"/>
        <v>0</v>
      </c>
      <c r="BK517" s="115" t="b">
        <f ca="1">AND(C517="驱夜断愁",模拟模式!$P$7="天地诛戮")</f>
        <v>0</v>
      </c>
      <c r="BL517" s="57">
        <f t="shared" ca="1" si="463"/>
        <v>15.387500000000003</v>
      </c>
      <c r="BM517" s="115" t="b">
        <f t="shared" ca="1" si="474"/>
        <v>1</v>
      </c>
      <c r="BN517" s="115" t="b">
        <f ca="1">AND(OR(C517="赤日轮1",C517="赤日轮2",C517="赤日轮3",C517="幽月轮1",C517="幽月轮2",C517="幽月轮3"),AB517=1,模拟模式!$L$7="明光恒照")</f>
        <v>1</v>
      </c>
      <c r="BO517" s="117">
        <f t="shared" ca="1" si="464"/>
        <v>30</v>
      </c>
      <c r="BP517" s="115">
        <f t="shared" ca="1" si="444"/>
        <v>6</v>
      </c>
      <c r="BQ517" s="115" t="b">
        <f>模拟模式!$K$10="2600·水"</f>
        <v>0</v>
      </c>
      <c r="BR517" s="117">
        <f t="shared" si="445"/>
        <v>0</v>
      </c>
      <c r="BS517" s="115">
        <f t="shared" si="446"/>
        <v>0</v>
      </c>
      <c r="BT517" s="115">
        <f t="shared" ca="1" si="447"/>
        <v>0</v>
      </c>
      <c r="BU517" s="115" t="b">
        <f ca="1">AND(模拟模式!$K$10="2300·雷",BT516=0,RAND()&lt;IF(C517="净世破魔击·月",5*0.05*2/3,IF(C517="净世破魔击·日",3*0.05*2/3,0.05*2*2/3)))</f>
        <v>0</v>
      </c>
      <c r="BV517" s="115">
        <f t="shared" ca="1" si="448"/>
        <v>0</v>
      </c>
      <c r="BW517" s="115">
        <f t="shared" ca="1" si="449"/>
        <v>103.43249999999925</v>
      </c>
      <c r="BX517" s="164" t="b">
        <f t="shared" ca="1" si="450"/>
        <v>0</v>
      </c>
      <c r="BY517" s="115">
        <f t="shared" ca="1" si="451"/>
        <v>0</v>
      </c>
      <c r="BZ517" s="115">
        <f>IF(OR(模拟模式!$P$16="10人团",模拟模式!$P$16="25人团"),IF(B517/30&gt;CA516,1,0),0)</f>
        <v>0</v>
      </c>
      <c r="CA517" s="115">
        <f t="shared" si="427"/>
        <v>0</v>
      </c>
      <c r="CB517" s="115">
        <f ca="1">IF(BZ517=1,IF(模拟模式!$P$16="10人团",15,0)+IF(模拟模式!$P$16="25人团",IF(RAND()&lt;0.6,15,0)),MAX(0,CB516-$F$4))</f>
        <v>0</v>
      </c>
      <c r="CC517" s="115" t="b">
        <f t="shared" ca="1" si="475"/>
        <v>0</v>
      </c>
      <c r="CD517" s="115">
        <f>IF(模拟模式!$Q$16="1个",IF(B517/40&gt;CE516,1,0),0)</f>
        <v>0</v>
      </c>
      <c r="CE517" s="115">
        <f t="shared" si="476"/>
        <v>0</v>
      </c>
      <c r="CF517" s="115">
        <f>IF(OR(CD517=1,模拟模式!$Q$16="2个"),20,MAX(0,CF516-$F$4))</f>
        <v>0</v>
      </c>
      <c r="CG517" s="115" t="b">
        <f t="shared" si="477"/>
        <v>0</v>
      </c>
      <c r="CH517" s="115">
        <f t="shared" ca="1" si="452"/>
        <v>24.465000000000003</v>
      </c>
      <c r="CI517" s="115" t="b">
        <f t="shared" ca="1" si="453"/>
        <v>0</v>
      </c>
      <c r="CJ517" s="119">
        <f t="shared" ca="1" si="454"/>
        <v>0.05</v>
      </c>
      <c r="CK517" s="115">
        <f t="shared" ca="1" si="455"/>
        <v>2.464999999999999</v>
      </c>
      <c r="CL517" s="115" t="b">
        <f ca="1">AND(模拟模式!$S$7="驱夷逐法",OR(AND(C517="净世破魔击·月",E516&gt;59),AND(C517="净世破魔击·日",F516&gt;59)))</f>
        <v>0</v>
      </c>
      <c r="CM517" s="115" t="b">
        <f ca="1">OR(CL517,AND(C517="净世破魔击·日",CL516,RAND()&lt;模拟模式!$U$23))</f>
        <v>0</v>
      </c>
      <c r="CN517" s="115" t="b">
        <f ca="1">IF(模拟模式!$M$7="辉耀红尘",AND(C517="净世破魔击·月",CL517,CV517=0,E516&lt;80),AND(C517="净世破魔击·月",CL517,E516&lt;100))</f>
        <v>0</v>
      </c>
      <c r="CO517" s="115" t="b">
        <f t="shared" ca="1" si="428"/>
        <v>0</v>
      </c>
      <c r="CP517" s="115" t="b">
        <f ca="1">AND(模拟模式!$O$7="用晦而明",OR(C517="净世破魔击·日",C517="净世破魔击·月",C517="驱夜断愁"),AB517)</f>
        <v>0</v>
      </c>
      <c r="CQ517" s="115" t="b">
        <f ca="1">OR(CP517,AND(CP516,RAND()&lt;模拟模式!$U$23))</f>
        <v>1</v>
      </c>
      <c r="CR517" s="115" t="b">
        <f ca="1">AND(模拟模式!$S$7="日月齐光",OR(C517="幽月轮1",C517="幽月轮2",C517="幽月轮3",CR516),NOT(OR(C517="赤日轮1",C517="赤日轮2",C517="赤日轮3")))</f>
        <v>0</v>
      </c>
      <c r="CS517" s="115" t="b">
        <f ca="1">AND(模拟模式!$S$7="日月齐光",OR(C517="赤日轮1",C517="赤日轮2",C517="赤日轮3",CS516),NOT(OR(C517="幽月轮1",C517="幽月轮2",C517="幽月轮3")))</f>
        <v>0</v>
      </c>
      <c r="CT517" s="115">
        <f t="shared" ca="1" si="456"/>
        <v>0</v>
      </c>
      <c r="CU517" s="115" t="b">
        <f ca="1">AND(模拟模式!$K$10="阴阳往极",CT516=0,RAND()&lt;IF(C517="净世破魔击·月",0.0275*7/3,IF(C517="净世破魔击·日",0.0275*3/3,0.0275*2/3)))</f>
        <v>0</v>
      </c>
      <c r="CV517" s="115">
        <f t="shared" ca="1" si="457"/>
        <v>0</v>
      </c>
      <c r="CW517" s="115">
        <f t="shared" ca="1" si="429"/>
        <v>2.3099999999999996</v>
      </c>
      <c r="CX517" s="115">
        <f t="shared" ca="1" si="430"/>
        <v>0.46499999999999975</v>
      </c>
      <c r="CY517" s="115">
        <f ca="1">MAX(IF($C517="驱夜断愁",IF(模拟模式!$R$7="万念俱寂",6,45),CY516-$F$4),0)</f>
        <v>1.3874999999999997</v>
      </c>
      <c r="CZ517" s="115">
        <f t="shared" ca="1" si="431"/>
        <v>0</v>
      </c>
      <c r="DA517" s="115">
        <f ca="1">IF(模拟模式!$N$7="日月同辉",IF(DB516=2,0,MIN(6,IF(AND(OR(C517="赤日轮1",C517="赤日轮2",C517="赤日轮3",C517="幽月轮1",C517="幽月轮2",C517="幽月轮3"),AB517=1),DA516+1,DA516))),0)</f>
        <v>4</v>
      </c>
      <c r="DB517" s="115">
        <f t="shared" ca="1" si="432"/>
        <v>0</v>
      </c>
      <c r="DC517" s="115"/>
      <c r="DD517" s="115"/>
      <c r="DE517" s="115"/>
      <c r="DF517" s="115"/>
      <c r="DG517" s="115"/>
      <c r="DH517" s="115"/>
      <c r="DI517" s="115"/>
      <c r="DJ517" s="115"/>
      <c r="DK517" s="115"/>
      <c r="DL517" s="115"/>
      <c r="DM517" s="115"/>
    </row>
    <row r="518" spans="2:117" x14ac:dyDescent="0.2">
      <c r="B518" s="117">
        <f t="shared" si="433"/>
        <v>452.94750000000471</v>
      </c>
      <c r="C518" s="167" t="str">
        <f t="shared" ca="1" si="426"/>
        <v>银月斩</v>
      </c>
      <c r="D518" s="115">
        <f ca="1">IF(C518="赤日轮1",1,IF(C518="赤日轮2",2,IF(C518="赤日轮3",3,IF(C518="幽月轮1",4,IF(C518="幽月轮2",5,IF(C518="幽月轮3",6,IF(C518="烈日斩",7,IF(C518="银月斩",8,IF(C518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518="净世破魔击·月",17,IF(C518="驱夜断愁",18,0)))))))))))</f>
        <v>8</v>
      </c>
      <c r="E518" s="115">
        <f ca="1">IF(AND(CU518,OR(C518="幽月轮1",C518="幽月轮2",C518="幽月轮3",C518="银月斩",C518="驱夜断愁",C518="净世破魔击·月")),100,MIN(IF(OR(CN518,BE518),0,IF(OR($C518="赤日轮1",$C518="赤日轮2",$C518="赤日轮3"),E517+20+IF(模拟模式!$I$7="日月凌天",4,0)+IF(CR517,20,0),IF($C518="烈日斩",E517+40,IF($C518="驱夜断愁",IF(模拟模式!$R$7="万念俱寂",E517+20,E517+60),IF($C518="净世破魔击·月",IF(OR(DB517&gt;0,CV517&gt;0),100,IF(模拟模式!$M$7="辉耀红尘",E517+20,E517)),IF($C518="净世破魔击·日",E517-100,E517)))))),100))</f>
        <v>20</v>
      </c>
      <c r="F518" s="115">
        <f ca="1">IF(AND(CU518,OR(C518="赤日轮1",C518="赤日轮2",C518="赤日轮3",C518="烈日斩",C518="净世破魔击·日")),100,MIN(IF(CO518,0,IF(OR($C518="幽月轮1",$C518="幽月轮2",$C518="幽月轮3"),F517+20+IF(模拟模式!$I$7="日月凌天",4,0)+IF(CS517,20,0),IF($C518="银月斩",F517+40+IF(模拟模式!$X$12=1,5,0),IF($C518="驱夜断愁",IF(模拟模式!$R$7="万念俱寂",F517+20,F517+60),IF($C518="净世破魔击·月",IF(模拟模式!$M$7="辉耀红尘",F517-80,F517-100),IF(AND(C518="净世破魔击·日",OR(DB517&gt;0,CV517&gt;0)),100,F517)))))),100))</f>
        <v>65</v>
      </c>
      <c r="G518" s="117">
        <f ca="1">('模拟-全程加成'!$E$3+'模拟-全程加成'!$E$4+'模拟-全程加成'!$E$5+('模拟-全程加成'!$C$6-'模拟-全程加成'!$C$3)*系数!$B$9+BS518*23)*(1+'模拟-全程加成'!$F$4+'模拟-全程加成'!$F$5+BJ518*10%+BM518*20%+BP518*4%+CG518*30%)+$F$7*系数!$B$12</f>
        <v>20583.127400000001</v>
      </c>
      <c r="H518" s="45">
        <f ca="1">'模拟-全程加成'!$H$3+'模拟-全程加成'!$H$4+'模拟-全程加成'!$H$5+('模拟-全程加成'!$G$4+'模拟-全程加成'!$G$5+('模拟-全程加成'!$C$6-'模拟-全程加成'!$C$3)*系数!$B$13)/系数!$B$3+LOOKUP(D518,'模拟-单技能数据'!$A$2:$A$19,'模拟-单技能数据'!$K$2:$K$19)+BG518*10%+IF(BV518&gt;0,378,0)</f>
        <v>0.64185145527300214</v>
      </c>
      <c r="I518" s="45">
        <f ca="1">'模拟-全程加成'!$J$3+'模拟-全程加成'!$J$4+'模拟-全程加成'!$J$5+('模拟-全程加成'!$I$4+'模拟-全程加成'!$I$5)/系数!$B$4+LOOKUP(D518,'模拟-单技能数据'!$A$2:$A$19,'模拟-单技能数据'!$L$2:$L$19)+BG518*10%</f>
        <v>2.2624828854998791</v>
      </c>
      <c r="J518" s="45">
        <f ca="1">(('模拟-全程加成'!$K$3+'模拟-全程加成'!$K$4+'模拟-全程加成'!$K$5+('模拟-全程加成'!$C$6-'模拟-全程加成'!$C$3)*系数!$B$10+IF(BV518&gt;0,882,0)+IF(BY518&gt;0,1831,0))*(1+'模拟-全程加成'!$L$4+'模拟-全程加成'!$L$5+CC518*20%))/系数!$B$5</f>
        <v>0.69723220422048726</v>
      </c>
      <c r="K518" s="119">
        <f ca="1">LOOKUP(D518,'模拟-单技能数据'!$A$2:$A$19,'模拟-单技能数据'!$J$2:$J$19)+IF(CM518,60%,0)+IF(DB517-DB518&gt;0,30%,0)+IF(OR(AND(OR(C518="赤日轮1",C518="赤日轮2",C518="赤日轮3"),CR518),AND(OR(C518="幽月轮1",C518="幽月轮2",C518="幽月轮3"),CS518)),35%,0)+CJ518</f>
        <v>0.2</v>
      </c>
      <c r="L518" s="119">
        <f ca="1">IF(AND(C518="烈日斩",模拟模式!$X$11=1),10%,0)+IF(AND(C518="驱夜断愁",AB518=1),30%,0)</f>
        <v>0</v>
      </c>
      <c r="M518" s="45">
        <f t="shared" ca="1" si="465"/>
        <v>0.64185145527300214</v>
      </c>
      <c r="N518" s="45">
        <f t="shared" ca="1" si="466"/>
        <v>0.30424854472699792</v>
      </c>
      <c r="O518" s="46">
        <f t="shared" ca="1" si="434"/>
        <v>0.77906561702180266</v>
      </c>
      <c r="P518" s="46" t="str">
        <f t="shared" ca="1" si="435"/>
        <v>命</v>
      </c>
      <c r="Q518" s="45">
        <f t="shared" ca="1" si="436"/>
        <v>1</v>
      </c>
      <c r="R518" s="117">
        <f ca="1">模拟模式!$E$20*(1-IF(模拟模式!$J$19="有",0.15,0))*(1-IF(模拟模式!$K$19="有",0.3,0)-IF(CQ518,0.5,0))</f>
        <v>2950.6049999999996</v>
      </c>
      <c r="S518" s="45">
        <f ca="1">R518/(R518+(185*模拟模式!$E$22-16800)*4.08224)</f>
        <v>0.24272716014590323</v>
      </c>
      <c r="T518" s="45" t="str">
        <f ca="1">LOOKUP(D518,'模拟-单技能数据'!$A$2:$A$19,'模拟-单技能数据'!$H$2:$H$19)</f>
        <v>阴</v>
      </c>
      <c r="U518" s="119">
        <f t="shared" ca="1" si="467"/>
        <v>0.08</v>
      </c>
      <c r="V518" s="47">
        <f ca="1">(1+L518)*(LOOKUP(D518,'模拟-单技能数据'!$A$2:$A$19,'模拟-单技能数据'!$D$2:$D$19)+G518*LOOKUP(D518,'模拟-单技能数据'!$A$2:$A$19,'模拟-单技能数据'!$F$2:$F$19))*(1+J518)*(1+K518)*(1-S518)*(1+U518)*Q518*LOOKUP(D518,'模拟-单技能数据'!$A$2:$A$19,'模拟-单技能数据'!$I$2:$I$20)</f>
        <v>18209.149484399575</v>
      </c>
      <c r="W518" s="47">
        <f ca="1">LOOKUP(D518,'模拟-单技能数据'!$A$2:$A$19,'模拟-单技能数据'!$G$2:$G$19)*$I$10</f>
        <v>361.51064354704795</v>
      </c>
      <c r="X518" s="47">
        <f t="shared" ca="1" si="437"/>
        <v>7620.5875385322679</v>
      </c>
      <c r="Y518" s="47">
        <f t="shared" ca="1" si="468"/>
        <v>26191.247666478892</v>
      </c>
      <c r="Z518" s="49">
        <f t="shared" ca="1" si="469"/>
        <v>51358980.610839754</v>
      </c>
      <c r="AA518" s="97">
        <f t="shared" ca="1" si="470"/>
        <v>113388.37417325235</v>
      </c>
      <c r="AB518" s="115">
        <f ca="1">IF(OR(C518="赤日轮1",C518="赤日轮2",C518="赤日轮3"),IF(RAND()&lt;模拟模式!$Y$17,1,0),IF(OR(C518="幽月轮1",C518="幽月轮2",C518="幽月轮3"),IF(RAND()&lt;模拟模式!$Y$18,1,0),IF(C518="烈日斩",IF(RAND()&lt;模拟模式!$Y$19,1,0),IF(C518="银月斩",IF(RAND()&lt;模拟模式!$Y$20,1,0),IF(C518="驱夜断愁",IF(RAND()&lt;模拟模式!$Y$21,1,0),IF(C518="净世破魔击·日",IF(RAND()&lt;模拟模式!$Y$22,1,0),IF(C518="净世破魔击·月",IF(RAND()&lt;模拟模式!$Y$23,1,0),0)))))))</f>
        <v>1</v>
      </c>
      <c r="AC518" s="115" t="b">
        <f t="shared" ca="1" si="458"/>
        <v>1</v>
      </c>
      <c r="AD518" s="115" t="b">
        <f t="shared" ca="1" si="478"/>
        <v>1</v>
      </c>
      <c r="AE518" s="115">
        <f t="shared" ca="1" si="479"/>
        <v>5</v>
      </c>
      <c r="AF518" s="47">
        <f ca="1">IF(AC518,('模拟-单技能数据'!$D$20+G518*'模拟-单技能数据'!$F$20)*(1+J518)*(1+'模拟-单技能数据'!$J$20)*(1+U518),0)</f>
        <v>4447.8565560098323</v>
      </c>
      <c r="AG518" s="61">
        <f t="shared" ca="1" si="471"/>
        <v>0.64185145527300214</v>
      </c>
      <c r="AH518" s="61">
        <f t="shared" ca="1" si="472"/>
        <v>2.2624828854998791</v>
      </c>
      <c r="AI518" s="62">
        <f t="shared" ca="1" si="438"/>
        <v>0.38678398372026468</v>
      </c>
      <c r="AJ518" s="47">
        <f ca="1">IF(AD518,IF(AI518&lt;$F$10,0,IF(AI518&lt;$F$10+$F$11,0.25,IF(AI518&lt;$F$10+$F$11+AG518,AH518,1)))*IF(AF518&gt;0,AF518,IF(AF517&gt;0,AF517,IF(AF516&gt;0,AF516,IF(AF515&gt;0,AF515,IF(AF514&gt;0,AF514,IF(AF513&gt;0,AF513,IF(AF512&gt;0,AF512,IF(AF511&gt;0,AF511,IF(AF510&gt;0,AF510,IF(AF508&gt;0,AF508,IF(AF507&gt;0,AF507,IF(AF506&gt;0,AF506,0)))))))))))),0)*(1-$S518)*'模拟-单技能数据'!$I$20</f>
        <v>7620.5875385322679</v>
      </c>
      <c r="AK518" s="115" t="b">
        <f t="shared" ca="1" si="459"/>
        <v>0</v>
      </c>
      <c r="AL518" s="115" t="b">
        <f t="shared" ca="1" si="480"/>
        <v>0</v>
      </c>
      <c r="AM518" s="115">
        <f t="shared" ca="1" si="481"/>
        <v>5</v>
      </c>
      <c r="AN518" s="47">
        <f ca="1">IF(AK518,('模拟-单技能数据'!$D$21+G518*'模拟-单技能数据'!$F$21)*(1+J518)*(1+'模拟-单技能数据'!$J$21)*(1+U518),0)</f>
        <v>0</v>
      </c>
      <c r="AO518" s="61">
        <f ca="1">IF(AN518&gt;0,M518-'模拟-单技能数据'!$K$10,AO517)</f>
        <v>0.42185145527300216</v>
      </c>
      <c r="AP518" s="61">
        <f ca="1">IF(AN518&gt;0,I518-'模拟-单技能数据'!$L$10,AP517)</f>
        <v>2.162482885499879</v>
      </c>
      <c r="AQ518" s="63">
        <f t="shared" ca="1" si="439"/>
        <v>0.97190723817584446</v>
      </c>
      <c r="AR518" s="64">
        <f ca="1">IF(AL518,IF(AQ518&lt;$F$10,0,IF(AQ518&lt;$F$10+$F$11,0.25,IF(AQ518&lt;$F$10+$F$11+AO518,AP518,1)))*IF(AN518&gt;0,AN518,IF(AN517&gt;0,AN517,IF(AN516&gt;0,AN516,IF(AN515&gt;0,AN515,IF(AN514&gt;0,AN514,IF(AN513&gt;0,AN513,IF(AN512&gt;0,AN512,IF(AN511&gt;0,AN511,IF(AN510&gt;0,AN510,IF(AN508&gt;0,AN508,IF(AN507&gt;0,AN507,IF(AN506&gt;0,AN506,0)))))))))))),0)*(1-$S518)*'模拟-单技能数据'!$I$21</f>
        <v>0</v>
      </c>
      <c r="AS518" s="61">
        <f ca="1">IF(OR(C518="净世破魔击·日",C518="净世破魔击·月"),M518-'模拟-单技能数据'!$K$10,0)</f>
        <v>0</v>
      </c>
      <c r="AT518" s="61">
        <f ca="1">IF(OR(C518="净世破魔击·日",C518="净世破魔击·月"),I518-'模拟-单技能数据'!$L$10,0)</f>
        <v>0</v>
      </c>
      <c r="AU518" s="62">
        <f t="shared" ca="1" si="440"/>
        <v>0.13017635916932657</v>
      </c>
      <c r="AV518" s="64">
        <f ca="1">IF(AS518&gt;0,('模拟-单技能数据'!$D$22+G518*'模拟-单技能数据'!$F$22)*(1+J518)*(1-S518)*IF(AU518&lt;$F$10,0,IF(AU518&lt;$F$10+$F$11,0.25,IF(AU518&lt;$F$10+$F$11+AS518,AT518,1)))*(1+U518),0)*'模拟-单技能数据'!$I$22</f>
        <v>0</v>
      </c>
      <c r="AW518" s="108">
        <f t="shared" ca="1" si="441"/>
        <v>5.2400000000000064</v>
      </c>
      <c r="AX518" s="108" t="b">
        <f ca="1">AND(模拟模式!$P$10="有",AW517=0,RAND()&lt;IF(C518="净世破魔击·月",0.1*8/3,IF(C518="净世破魔击·日",0.1*4/3,0.1*2/3)))</f>
        <v>0</v>
      </c>
      <c r="AY518" s="47">
        <f ca="1">IF(AX518,(18+G518*0.722)*(1+J518)*(1-S518)*(1+$I$4)*IF(P518="会",'模拟-全程加成'!$J$3+'模拟-全程加成'!$J$4+'模拟-全程加成'!$J$5+('模拟-全程加成'!$I$4+'模拟-全程加成'!$I$5)/系数!$B$4+BG518*10%,IF(P518="命",1,IF(P518="识",0.25,0))),0)</f>
        <v>0</v>
      </c>
      <c r="AZ518" s="108">
        <f t="shared" si="442"/>
        <v>13.542500000000004</v>
      </c>
      <c r="BA518" s="108" t="b">
        <f>AND(模拟模式!$Q$10="有",AZ517=0)</f>
        <v>0</v>
      </c>
      <c r="BB518" s="140">
        <f>IF(BA518,(0+G518*0.287)*(1+J518)*(1-S518)*(1+$I$4)*IF(P518="会",'模拟-全程加成'!$J$3+'模拟-全程加成'!$J$4+'模拟-全程加成'!$J$5+('模拟-全程加成'!$I$4+'模拟-全程加成'!$I$5)/系数!$B$4+BG518*10%,IF(P518="命",1,IF(P518="识",0.25,0))),0)</f>
        <v>0</v>
      </c>
      <c r="BC518" s="115" t="b">
        <f ca="1">AND(模拟模式!$R$7="伏明众生",E518=60,F518=20,DA518&lt;5,CZ517&lt;$F$4)</f>
        <v>0</v>
      </c>
      <c r="BD518" s="115">
        <f t="shared" ca="1" si="460"/>
        <v>0</v>
      </c>
      <c r="BE518" s="115" t="b">
        <f t="shared" ca="1" si="461"/>
        <v>0</v>
      </c>
      <c r="BF518" s="47">
        <f ca="1">IF(BC518,4*('模拟-单技能数据'!$D$24+G518*'模拟-单技能数据'!$F$24)*(1+J518)*(1+'模拟-单技能数据'!$J$24)*(1-S518)*(1+$I$3)*(('模拟-全程加成'!$J$3+'模拟-全程加成'!$J$4+'模拟-全程加成'!$J$5+('模拟-全程加成'!$I$4+'模拟-全程加成'!$I$5)/系数!$B$4+BG518*10%)*('模拟-全程加成'!$J$3+'模拟-全程加成'!$J$4+'模拟-全程加成'!$J$5+('模拟-全程加成'!$I$4+'模拟-全程加成'!$I$5)/系数!$B$4+BG518*10%)+(1-('模拟-全程加成'!$J$3+'模拟-全程加成'!$J$4+'模拟-全程加成'!$J$5+('模拟-全程加成'!$I$4+'模拟-全程加成'!$I$5)/系数!$B$4+BG518*10%)-$F$10-$F$11)+F504*0.25),0)*'模拟-单技能数据'!$I$24</f>
        <v>0</v>
      </c>
      <c r="BG518" s="115" t="b">
        <f ca="1">OR(AND(OR(C518="烈日斩",C518="银月斩"),模拟模式!$I$7="净身明礼"),AND(C518="净世破魔击·日",模拟模式!$J$7="洞若观火"),AND(C519="净世破魔击·月",模拟模式!$J$7="洞若观火"),AB518=1)</f>
        <v>1</v>
      </c>
      <c r="BH518" s="115" t="b">
        <f t="shared" ca="1" si="443"/>
        <v>0</v>
      </c>
      <c r="BI518" s="115">
        <f t="shared" ca="1" si="462"/>
        <v>0</v>
      </c>
      <c r="BJ518" s="115" t="b">
        <f t="shared" ca="1" si="473"/>
        <v>0</v>
      </c>
      <c r="BK518" s="115" t="b">
        <f ca="1">AND(C518="驱夜断愁",模拟模式!$P$7="天地诛戮")</f>
        <v>0</v>
      </c>
      <c r="BL518" s="57">
        <f t="shared" ca="1" si="463"/>
        <v>14.465000000000003</v>
      </c>
      <c r="BM518" s="115" t="b">
        <f t="shared" ca="1" si="474"/>
        <v>1</v>
      </c>
      <c r="BN518" s="115" t="b">
        <f ca="1">AND(OR(C518="赤日轮1",C518="赤日轮2",C518="赤日轮3",C518="幽月轮1",C518="幽月轮2",C518="幽月轮3"),AB518=1,模拟模式!$L$7="明光恒照")</f>
        <v>0</v>
      </c>
      <c r="BO518" s="117">
        <f t="shared" ca="1" si="464"/>
        <v>29.077500000000001</v>
      </c>
      <c r="BP518" s="115">
        <f t="shared" ca="1" si="444"/>
        <v>6</v>
      </c>
      <c r="BQ518" s="115" t="b">
        <f>模拟模式!$K$10="2600·水"</f>
        <v>0</v>
      </c>
      <c r="BR518" s="117">
        <f t="shared" si="445"/>
        <v>0</v>
      </c>
      <c r="BS518" s="115">
        <f t="shared" si="446"/>
        <v>0</v>
      </c>
      <c r="BT518" s="115">
        <f t="shared" ca="1" si="447"/>
        <v>0</v>
      </c>
      <c r="BU518" s="115" t="b">
        <f ca="1">AND(模拟模式!$K$10="2300·雷",BT517=0,RAND()&lt;IF(C518="净世破魔击·月",5*0.05*2/3,IF(C518="净世破魔击·日",3*0.05*2/3,0.05*2*2/3)))</f>
        <v>0</v>
      </c>
      <c r="BV518" s="115">
        <f t="shared" ca="1" si="448"/>
        <v>0</v>
      </c>
      <c r="BW518" s="115">
        <f t="shared" ca="1" si="449"/>
        <v>102.50999999999925</v>
      </c>
      <c r="BX518" s="164" t="b">
        <f t="shared" ca="1" si="450"/>
        <v>0</v>
      </c>
      <c r="BY518" s="115">
        <f t="shared" ca="1" si="451"/>
        <v>0</v>
      </c>
      <c r="BZ518" s="115">
        <f>IF(OR(模拟模式!$P$16="10人团",模拟模式!$P$16="25人团"),IF(B518/30&gt;CA517,1,0),0)</f>
        <v>0</v>
      </c>
      <c r="CA518" s="115">
        <f t="shared" si="427"/>
        <v>0</v>
      </c>
      <c r="CB518" s="115">
        <f ca="1">IF(BZ518=1,IF(模拟模式!$P$16="10人团",15,0)+IF(模拟模式!$P$16="25人团",IF(RAND()&lt;0.6,15,0)),MAX(0,CB517-$F$4))</f>
        <v>0</v>
      </c>
      <c r="CC518" s="115" t="b">
        <f t="shared" ca="1" si="475"/>
        <v>0</v>
      </c>
      <c r="CD518" s="115">
        <f>IF(模拟模式!$Q$16="1个",IF(B518/40&gt;CE517,1,0),0)</f>
        <v>0</v>
      </c>
      <c r="CE518" s="115">
        <f t="shared" si="476"/>
        <v>0</v>
      </c>
      <c r="CF518" s="115">
        <f>IF(OR(CD518=1,模拟模式!$Q$16="2个"),20,MAX(0,CF517-$F$4))</f>
        <v>0</v>
      </c>
      <c r="CG518" s="115" t="b">
        <f t="shared" si="477"/>
        <v>0</v>
      </c>
      <c r="CH518" s="115">
        <f t="shared" ca="1" si="452"/>
        <v>23.542500000000004</v>
      </c>
      <c r="CI518" s="115" t="b">
        <f t="shared" ca="1" si="453"/>
        <v>0</v>
      </c>
      <c r="CJ518" s="119">
        <f t="shared" ca="1" si="454"/>
        <v>0.05</v>
      </c>
      <c r="CK518" s="115">
        <f t="shared" ca="1" si="455"/>
        <v>1.5424999999999991</v>
      </c>
      <c r="CL518" s="115" t="b">
        <f ca="1">AND(模拟模式!$S$7="驱夷逐法",OR(AND(C518="净世破魔击·月",E517&gt;59),AND(C518="净世破魔击·日",F517&gt;59)))</f>
        <v>0</v>
      </c>
      <c r="CM518" s="115" t="b">
        <f ca="1">OR(CL518,AND(C518="净世破魔击·日",CL517,RAND()&lt;模拟模式!$U$23))</f>
        <v>0</v>
      </c>
      <c r="CN518" s="115" t="b">
        <f ca="1">IF(模拟模式!$M$7="辉耀红尘",AND(C518="净世破魔击·月",CL518,CV518=0,E517&lt;80),AND(C518="净世破魔击·月",CL518,E517&lt;100))</f>
        <v>0</v>
      </c>
      <c r="CO518" s="115" t="b">
        <f t="shared" ca="1" si="428"/>
        <v>0</v>
      </c>
      <c r="CP518" s="115" t="b">
        <f ca="1">AND(模拟模式!$O$7="用晦而明",OR(C518="净世破魔击·日",C518="净世破魔击·月",C518="驱夜断愁"),AB518)</f>
        <v>0</v>
      </c>
      <c r="CQ518" s="115" t="b">
        <f ca="1">OR(CP518,AND(CP517,RAND()&lt;模拟模式!$U$23))</f>
        <v>0</v>
      </c>
      <c r="CR518" s="115" t="b">
        <f ca="1">AND(模拟模式!$S$7="日月齐光",OR(C518="幽月轮1",C518="幽月轮2",C518="幽月轮3",CR517),NOT(OR(C518="赤日轮1",C518="赤日轮2",C518="赤日轮3")))</f>
        <v>0</v>
      </c>
      <c r="CS518" s="115" t="b">
        <f ca="1">AND(模拟模式!$S$7="日月齐光",OR(C518="赤日轮1",C518="赤日轮2",C518="赤日轮3",CS517),NOT(OR(C518="幽月轮1",C518="幽月轮2",C518="幽月轮3")))</f>
        <v>0</v>
      </c>
      <c r="CT518" s="115">
        <f t="shared" ca="1" si="456"/>
        <v>0</v>
      </c>
      <c r="CU518" s="115" t="b">
        <f ca="1">AND(模拟模式!$K$10="阴阳往极",CT517=0,RAND()&lt;IF(C518="净世破魔击·月",0.0275*7/3,IF(C518="净世破魔击·日",0.0275*3/3,0.0275*2/3)))</f>
        <v>0</v>
      </c>
      <c r="CV518" s="115">
        <f t="shared" ca="1" si="457"/>
        <v>0</v>
      </c>
      <c r="CW518" s="115">
        <f t="shared" ca="1" si="429"/>
        <v>1.3874999999999997</v>
      </c>
      <c r="CX518" s="115">
        <f t="shared" ca="1" si="430"/>
        <v>6</v>
      </c>
      <c r="CY518" s="115">
        <f ca="1">MAX(IF($C518="驱夜断愁",IF(模拟模式!$R$7="万念俱寂",6,45),CY517-$F$4),0)</f>
        <v>0.46499999999999975</v>
      </c>
      <c r="CZ518" s="115">
        <f t="shared" ca="1" si="431"/>
        <v>0</v>
      </c>
      <c r="DA518" s="115">
        <f ca="1">IF(模拟模式!$N$7="日月同辉",IF(DB517=2,0,MIN(6,IF(AND(OR(C518="赤日轮1",C518="赤日轮2",C518="赤日轮3",C518="幽月轮1",C518="幽月轮2",C518="幽月轮3"),AB518=1),DA517+1,DA517))),0)</f>
        <v>4</v>
      </c>
      <c r="DB518" s="115">
        <f t="shared" ca="1" si="432"/>
        <v>0</v>
      </c>
      <c r="DC518" s="115"/>
      <c r="DD518" s="115"/>
      <c r="DE518" s="115"/>
      <c r="DF518" s="115"/>
      <c r="DG518" s="115"/>
      <c r="DH518" s="115"/>
      <c r="DI518" s="115"/>
      <c r="DJ518" s="115"/>
      <c r="DK518" s="115"/>
      <c r="DL518" s="115"/>
      <c r="DM518" s="115"/>
    </row>
    <row r="519" spans="2:117" x14ac:dyDescent="0.2">
      <c r="B519" s="117">
        <f t="shared" si="433"/>
        <v>453.87000000000472</v>
      </c>
      <c r="C519" s="167" t="str">
        <f t="shared" ca="1" si="426"/>
        <v>驱夜断愁</v>
      </c>
      <c r="D519" s="115">
        <f ca="1">IF(C519="赤日轮1",1,IF(C519="赤日轮2",2,IF(C519="赤日轮3",3,IF(C519="幽月轮1",4,IF(C519="幽月轮2",5,IF(C519="幽月轮3",6,IF(C519="烈日斩",7,IF(C519="银月斩",8,IF(C519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519="净世破魔击·月",17,IF(C519="驱夜断愁",18,0)))))))))))</f>
        <v>18</v>
      </c>
      <c r="E519" s="115">
        <f ca="1">IF(AND(CU519,OR(C519="幽月轮1",C519="幽月轮2",C519="幽月轮3",C519="银月斩",C519="驱夜断愁",C519="净世破魔击·月")),100,MIN(IF(OR(CN519,BE519),0,IF(OR($C519="赤日轮1",$C519="赤日轮2",$C519="赤日轮3"),E518+20+IF(模拟模式!$I$7="日月凌天",4,0)+IF(CR518,20,0),IF($C519="烈日斩",E518+40,IF($C519="驱夜断愁",IF(模拟模式!$R$7="万念俱寂",E518+20,E518+60),IF($C519="净世破魔击·月",IF(OR(DB518&gt;0,CV518&gt;0),100,IF(模拟模式!$M$7="辉耀红尘",E518+20,E518)),IF($C519="净世破魔击·日",E518-100,E518)))))),100))</f>
        <v>40</v>
      </c>
      <c r="F519" s="115">
        <f ca="1">IF(AND(CU519,OR(C519="赤日轮1",C519="赤日轮2",C519="赤日轮3",C519="烈日斩",C519="净世破魔击·日")),100,MIN(IF(CO519,0,IF(OR($C519="幽月轮1",$C519="幽月轮2",$C519="幽月轮3"),F518+20+IF(模拟模式!$I$7="日月凌天",4,0)+IF(CS518,20,0),IF($C519="银月斩",F518+40+IF(模拟模式!$X$12=1,5,0),IF($C519="驱夜断愁",IF(模拟模式!$R$7="万念俱寂",F518+20,F518+60),IF($C519="净世破魔击·月",IF(模拟模式!$M$7="辉耀红尘",F518-80,F518-100),IF(AND(C519="净世破魔击·日",OR(DB518&gt;0,CV518&gt;0)),100,F518)))))),100))</f>
        <v>85</v>
      </c>
      <c r="G519" s="117">
        <f ca="1">('模拟-全程加成'!$E$3+'模拟-全程加成'!$E$4+'模拟-全程加成'!$E$5+('模拟-全程加成'!$C$6-'模拟-全程加成'!$C$3)*系数!$B$9+BS519*23)*(1+'模拟-全程加成'!$F$4+'模拟-全程加成'!$F$5+BJ519*10%+BM519*20%+BP519*4%+CG519*30%)+$F$7*系数!$B$12</f>
        <v>20583.127400000001</v>
      </c>
      <c r="H519" s="45">
        <f ca="1">'模拟-全程加成'!$H$3+'模拟-全程加成'!$H$4+'模拟-全程加成'!$H$5+('模拟-全程加成'!$G$4+'模拟-全程加成'!$G$5+('模拟-全程加成'!$C$6-'模拟-全程加成'!$C$3)*系数!$B$13)/系数!$B$3+LOOKUP(D519,'模拟-单技能数据'!$A$2:$A$19,'模拟-单技能数据'!$K$2:$K$19)+BG519*10%+IF(BV519&gt;0,378,0)</f>
        <v>0.51185145527300213</v>
      </c>
      <c r="I519" s="45">
        <f ca="1">'模拟-全程加成'!$J$3+'模拟-全程加成'!$J$4+'模拟-全程加成'!$J$5+('模拟-全程加成'!$I$4+'模拟-全程加成'!$I$5)/系数!$B$4+LOOKUP(D519,'模拟-单技能数据'!$A$2:$A$19,'模拟-单技能数据'!$L$2:$L$19)+BG519*10%</f>
        <v>2.162482885499879</v>
      </c>
      <c r="J519" s="45">
        <f ca="1">(('模拟-全程加成'!$K$3+'模拟-全程加成'!$K$4+'模拟-全程加成'!$K$5+('模拟-全程加成'!$C$6-'模拟-全程加成'!$C$3)*系数!$B$10+IF(BV519&gt;0,882,0)+IF(BY519&gt;0,1831,0))*(1+'模拟-全程加成'!$L$4+'模拟-全程加成'!$L$5+CC519*20%))/系数!$B$5</f>
        <v>0.69723220422048726</v>
      </c>
      <c r="K519" s="119">
        <f ca="1">LOOKUP(D519,'模拟-单技能数据'!$A$2:$A$19,'模拟-单技能数据'!$J$2:$J$19)+IF(CM519,60%,0)+IF(DB518-DB519&gt;0,30%,0)+IF(OR(AND(OR(C519="赤日轮1",C519="赤日轮2",C519="赤日轮3"),CR519),AND(OR(C519="幽月轮1",C519="幽月轮2",C519="幽月轮3"),CS519)),35%,0)+CJ519</f>
        <v>0.19</v>
      </c>
      <c r="L519" s="119">
        <f ca="1">IF(AND(C519="烈日斩",模拟模式!$X$11=1),10%,0)+IF(AND(C519="驱夜断愁",AB519=1),30%,0)</f>
        <v>0.3</v>
      </c>
      <c r="M519" s="45">
        <f t="shared" ca="1" si="465"/>
        <v>0.51185145527300213</v>
      </c>
      <c r="N519" s="45">
        <f t="shared" ca="1" si="466"/>
        <v>0.43424854472699792</v>
      </c>
      <c r="O519" s="46">
        <f t="shared" ca="1" si="434"/>
        <v>0.23319554335416981</v>
      </c>
      <c r="P519" s="46" t="str">
        <f t="shared" ca="1" si="435"/>
        <v>会</v>
      </c>
      <c r="Q519" s="45">
        <f t="shared" ca="1" si="436"/>
        <v>2.162482885499879</v>
      </c>
      <c r="R519" s="117">
        <f ca="1">模拟模式!$E$20*(1-IF(模拟模式!$J$19="有",0.15,0))*(1-IF(模拟模式!$K$19="有",0.3,0)-IF(CQ519,0.5,0))</f>
        <v>843.02999999999975</v>
      </c>
      <c r="S519" s="45">
        <f ca="1">R519/(R519+(185*模拟模式!$E$22-16800)*4.08224)</f>
        <v>8.389626085980037E-2</v>
      </c>
      <c r="T519" s="45" t="str">
        <f ca="1">LOOKUP(D519,'模拟-单技能数据'!$A$2:$A$19,'模拟-单技能数据'!$H$2:$H$19)</f>
        <v>阴</v>
      </c>
      <c r="U519" s="119">
        <f t="shared" ca="1" si="467"/>
        <v>0.08</v>
      </c>
      <c r="V519" s="47">
        <f ca="1">(1+L519)*(LOOKUP(D519,'模拟-单技能数据'!$A$2:$A$19,'模拟-单技能数据'!$D$2:$D$19)+G519*LOOKUP(D519,'模拟-单技能数据'!$A$2:$A$19,'模拟-单技能数据'!$F$2:$F$19))*(1+J519)*(1+K519)*(1-S519)*(1+U519)*Q519*LOOKUP(D519,'模拟-单技能数据'!$A$2:$A$19,'模拟-单技能数据'!$I$2:$I$20)</f>
        <v>133053.91991757337</v>
      </c>
      <c r="W519" s="47">
        <f ca="1">LOOKUP(D519,'模拟-单技能数据'!$A$2:$A$19,'模拟-单技能数据'!$G$2:$G$19)*$I$10</f>
        <v>723.0212870940959</v>
      </c>
      <c r="X519" s="47">
        <f t="shared" ca="1" si="437"/>
        <v>24043.249177625272</v>
      </c>
      <c r="Y519" s="47">
        <f t="shared" ca="1" si="468"/>
        <v>157820.19038229273</v>
      </c>
      <c r="Z519" s="49">
        <f t="shared" ca="1" si="469"/>
        <v>51516800.801222049</v>
      </c>
      <c r="AA519" s="97">
        <f t="shared" ca="1" si="470"/>
        <v>113505.63113054732</v>
      </c>
      <c r="AB519" s="115">
        <f ca="1">IF(OR(C519="赤日轮1",C519="赤日轮2",C519="赤日轮3"),IF(RAND()&lt;模拟模式!$Y$17,1,0),IF(OR(C519="幽月轮1",C519="幽月轮2",C519="幽月轮3"),IF(RAND()&lt;模拟模式!$Y$18,1,0),IF(C519="烈日斩",IF(RAND()&lt;模拟模式!$Y$19,1,0),IF(C519="银月斩",IF(RAND()&lt;模拟模式!$Y$20,1,0),IF(C519="驱夜断愁",IF(RAND()&lt;模拟模式!$Y$21,1,0),IF(C519="净世破魔击·日",IF(RAND()&lt;模拟模式!$Y$22,1,0),IF(C519="净世破魔击·月",IF(RAND()&lt;模拟模式!$Y$23,1,0),0)))))))</f>
        <v>1</v>
      </c>
      <c r="AC519" s="115" t="b">
        <f t="shared" ca="1" si="458"/>
        <v>0</v>
      </c>
      <c r="AD519" s="115" t="b">
        <f t="shared" ca="1" si="478"/>
        <v>0</v>
      </c>
      <c r="AE519" s="115">
        <f t="shared" ca="1" si="479"/>
        <v>5</v>
      </c>
      <c r="AF519" s="47">
        <f ca="1">IF(AC519,('模拟-单技能数据'!$D$20+G519*'模拟-单技能数据'!$F$20)*(1+J519)*(1+'模拟-单技能数据'!$J$20)*(1+U519),0)</f>
        <v>0</v>
      </c>
      <c r="AG519" s="61">
        <f t="shared" ca="1" si="471"/>
        <v>0.64185145527300214</v>
      </c>
      <c r="AH519" s="61">
        <f t="shared" ca="1" si="472"/>
        <v>2.2624828854998791</v>
      </c>
      <c r="AI519" s="62">
        <f t="shared" ca="1" si="438"/>
        <v>0.34386378703016196</v>
      </c>
      <c r="AJ519" s="47">
        <f ca="1">IF(AD519,IF(AI519&lt;$F$10,0,IF(AI519&lt;$F$10+$F$11,0.25,IF(AI519&lt;$F$10+$F$11+AG519,AH519,1)))*IF(AF519&gt;0,AF519,IF(AF518&gt;0,AF518,IF(AF517&gt;0,AF517,IF(AF516&gt;0,AF516,IF(AF515&gt;0,AF515,IF(AF514&gt;0,AF514,IF(AF513&gt;0,AF513,IF(AF512&gt;0,AF512,IF(AF511&gt;0,AF511,IF(AF509&gt;0,AF509,IF(AF508&gt;0,AF508,IF(AF507&gt;0,AF507,0)))))))))))),0)*(1-$S519)*'模拟-单技能数据'!$I$20</f>
        <v>0</v>
      </c>
      <c r="AK519" s="115" t="b">
        <f t="shared" ca="1" si="459"/>
        <v>0</v>
      </c>
      <c r="AL519" s="115" t="b">
        <f t="shared" ca="1" si="480"/>
        <v>1</v>
      </c>
      <c r="AM519" s="115">
        <f t="shared" ca="1" si="481"/>
        <v>4</v>
      </c>
      <c r="AN519" s="47">
        <f ca="1">IF(AK519,('模拟-单技能数据'!$D$21+G519*'模拟-单技能数据'!$F$21)*(1+J519)*(1+'模拟-单技能数据'!$J$21)*(1+U519),0)</f>
        <v>0</v>
      </c>
      <c r="AO519" s="61">
        <f ca="1">IF(AN519&gt;0,M519-'模拟-单技能数据'!$K$10,AO518)</f>
        <v>0.42185145527300216</v>
      </c>
      <c r="AP519" s="61">
        <f ca="1">IF(AN519&gt;0,I519-'模拟-单技能数据'!$L$10,AP518)</f>
        <v>2.162482885499879</v>
      </c>
      <c r="AQ519" s="63">
        <f t="shared" ca="1" si="439"/>
        <v>0.38954663333576733</v>
      </c>
      <c r="AR519" s="64">
        <f ca="1">IF(AL519,IF(AQ519&lt;$F$10,0,IF(AQ519&lt;$F$10+$F$11,0.25,IF(AQ519&lt;$F$10+$F$11+AO519,AP519,1)))*IF(AN519&gt;0,AN519,IF(AN518&gt;0,AN518,IF(AN517&gt;0,AN517,IF(AN516&gt;0,AN516,IF(AN515&gt;0,AN515,IF(AN514&gt;0,AN514,IF(AN513&gt;0,AN513,IF(AN512&gt;0,AN512,IF(AN511&gt;0,AN511,IF(AN509&gt;0,AN509,IF(AN508&gt;0,AN508,IF(AN507&gt;0,AN507,0)))))))))))),0)*(1-$S519)*'模拟-单技能数据'!$I$21</f>
        <v>24043.249177625272</v>
      </c>
      <c r="AS519" s="61">
        <f ca="1">IF(OR(C519="净世破魔击·日",C519="净世破魔击·月"),M519-'模拟-单技能数据'!$K$10,0)</f>
        <v>0</v>
      </c>
      <c r="AT519" s="61">
        <f ca="1">IF(OR(C519="净世破魔击·日",C519="净世破魔击·月"),I519-'模拟-单技能数据'!$L$10,0)</f>
        <v>0</v>
      </c>
      <c r="AU519" s="62">
        <f t="shared" ca="1" si="440"/>
        <v>4.3405755303294047E-4</v>
      </c>
      <c r="AV519" s="64">
        <f ca="1">IF(AS519&gt;0,('模拟-单技能数据'!$D$22+G519*'模拟-单技能数据'!$F$22)*(1+J519)*(1-S519)*IF(AU519&lt;$F$10,0,IF(AU519&lt;$F$10+$F$11,0.25,IF(AU519&lt;$F$10+$F$11+AS519,AT519,1)))*(1+U519),0)*'模拟-单技能数据'!$I$22</f>
        <v>0</v>
      </c>
      <c r="AW519" s="108">
        <f t="shared" ca="1" si="441"/>
        <v>4.3175000000000061</v>
      </c>
      <c r="AX519" s="108" t="b">
        <f ca="1">AND(模拟模式!$P$10="有",AW518=0,RAND()&lt;IF(C519="净世破魔击·月",0.1*8/3,IF(C519="净世破魔击·日",0.1*4/3,0.1*2/3)))</f>
        <v>0</v>
      </c>
      <c r="AY519" s="47">
        <f ca="1">IF(AX519,(18+G519*0.722)*(1+J519)*(1-S519)*(1+$I$4)*IF(P519="会",'模拟-全程加成'!$J$3+'模拟-全程加成'!$J$4+'模拟-全程加成'!$J$5+('模拟-全程加成'!$I$4+'模拟-全程加成'!$I$5)/系数!$B$4+BG519*10%,IF(P519="命",1,IF(P519="识",0.25,0))),0)</f>
        <v>0</v>
      </c>
      <c r="AZ519" s="108">
        <f t="shared" si="442"/>
        <v>12.620000000000005</v>
      </c>
      <c r="BA519" s="108" t="b">
        <f>AND(模拟模式!$Q$10="有",AZ518=0)</f>
        <v>0</v>
      </c>
      <c r="BB519" s="140">
        <f>IF(BA519,(0+G519*0.287)*(1+J519)*(1-S519)*(1+$I$4)*IF(P519="会",'模拟-全程加成'!$J$3+'模拟-全程加成'!$J$4+'模拟-全程加成'!$J$5+('模拟-全程加成'!$I$4+'模拟-全程加成'!$I$5)/系数!$B$4+BG519*10%,IF(P519="命",1,IF(P519="识",0.25,0))),0)</f>
        <v>0</v>
      </c>
      <c r="BC519" s="115" t="b">
        <f ca="1">AND(模拟模式!$R$7="伏明众生",E519=60,F519=20,DA519&lt;5,CZ518&lt;$F$4)</f>
        <v>0</v>
      </c>
      <c r="BD519" s="115">
        <f t="shared" ca="1" si="460"/>
        <v>0</v>
      </c>
      <c r="BE519" s="115" t="b">
        <f t="shared" ca="1" si="461"/>
        <v>0</v>
      </c>
      <c r="BF519" s="47">
        <f ca="1">IF(BC519,4*('模拟-单技能数据'!$D$24+G519*'模拟-单技能数据'!$F$24)*(1+J519)*(1+'模拟-单技能数据'!$J$24)*(1-S519)*(1+$I$3)*(('模拟-全程加成'!$J$3+'模拟-全程加成'!$J$4+'模拟-全程加成'!$J$5+('模拟-全程加成'!$I$4+'模拟-全程加成'!$I$5)/系数!$B$4+BG519*10%)*('模拟-全程加成'!$J$3+'模拟-全程加成'!$J$4+'模拟-全程加成'!$J$5+('模拟-全程加成'!$I$4+'模拟-全程加成'!$I$5)/系数!$B$4+BG519*10%)+(1-('模拟-全程加成'!$J$3+'模拟-全程加成'!$J$4+'模拟-全程加成'!$J$5+('模拟-全程加成'!$I$4+'模拟-全程加成'!$I$5)/系数!$B$4+BG519*10%)-$F$10-$F$11)+F505*0.25),0)*'模拟-单技能数据'!$I$24</f>
        <v>0</v>
      </c>
      <c r="BG519" s="115" t="b">
        <f ca="1">OR(AND(OR(C519="烈日斩",C519="银月斩"),模拟模式!$I$7="净身明礼"),AND(C519="净世破魔击·日",模拟模式!$J$7="洞若观火"),AND(C520="净世破魔击·月",模拟模式!$J$7="洞若观火"),AB519=1)</f>
        <v>1</v>
      </c>
      <c r="BH519" s="115" t="b">
        <f t="shared" ca="1" si="443"/>
        <v>0</v>
      </c>
      <c r="BI519" s="115">
        <f t="shared" ca="1" si="462"/>
        <v>0</v>
      </c>
      <c r="BJ519" s="115" t="b">
        <f t="shared" ca="1" si="473"/>
        <v>0</v>
      </c>
      <c r="BK519" s="115" t="b">
        <f ca="1">AND(C519="驱夜断愁",模拟模式!$P$7="天地诛戮")</f>
        <v>1</v>
      </c>
      <c r="BL519" s="57">
        <f t="shared" ca="1" si="463"/>
        <v>20</v>
      </c>
      <c r="BM519" s="115" t="b">
        <f t="shared" ca="1" si="474"/>
        <v>1</v>
      </c>
      <c r="BN519" s="115" t="b">
        <f ca="1">AND(OR(C519="赤日轮1",C519="赤日轮2",C519="赤日轮3",C519="幽月轮1",C519="幽月轮2",C519="幽月轮3"),AB519=1,模拟模式!$L$7="明光恒照")</f>
        <v>0</v>
      </c>
      <c r="BO519" s="117">
        <f t="shared" ca="1" si="464"/>
        <v>28.155000000000001</v>
      </c>
      <c r="BP519" s="115">
        <f t="shared" ca="1" si="444"/>
        <v>6</v>
      </c>
      <c r="BQ519" s="115" t="b">
        <f>模拟模式!$K$10="2600·水"</f>
        <v>0</v>
      </c>
      <c r="BR519" s="117">
        <f t="shared" si="445"/>
        <v>0</v>
      </c>
      <c r="BS519" s="115">
        <f t="shared" si="446"/>
        <v>0</v>
      </c>
      <c r="BT519" s="115">
        <f t="shared" ca="1" si="447"/>
        <v>0</v>
      </c>
      <c r="BU519" s="115" t="b">
        <f ca="1">AND(模拟模式!$K$10="2300·雷",BT518=0,RAND()&lt;IF(C519="净世破魔击·月",5*0.05*2/3,IF(C519="净世破魔击·日",3*0.05*2/3,0.05*2*2/3)))</f>
        <v>0</v>
      </c>
      <c r="BV519" s="115">
        <f t="shared" ca="1" si="448"/>
        <v>0</v>
      </c>
      <c r="BW519" s="115">
        <f t="shared" ca="1" si="449"/>
        <v>101.58749999999925</v>
      </c>
      <c r="BX519" s="164" t="b">
        <f t="shared" ca="1" si="450"/>
        <v>0</v>
      </c>
      <c r="BY519" s="115">
        <f t="shared" ca="1" si="451"/>
        <v>0</v>
      </c>
      <c r="BZ519" s="115">
        <f>IF(OR(模拟模式!$P$16="10人团",模拟模式!$P$16="25人团"),IF(B519/30&gt;CA518,1,0),0)</f>
        <v>0</v>
      </c>
      <c r="CA519" s="115">
        <f t="shared" si="427"/>
        <v>0</v>
      </c>
      <c r="CB519" s="115">
        <f ca="1">IF(BZ519=1,IF(模拟模式!$P$16="10人团",15,0)+IF(模拟模式!$P$16="25人团",IF(RAND()&lt;0.6,15,0)),MAX(0,CB518-$F$4))</f>
        <v>0</v>
      </c>
      <c r="CC519" s="115" t="b">
        <f t="shared" ca="1" si="475"/>
        <v>0</v>
      </c>
      <c r="CD519" s="115">
        <f>IF(模拟模式!$Q$16="1个",IF(B519/40&gt;CE518,1,0),0)</f>
        <v>0</v>
      </c>
      <c r="CE519" s="115">
        <f t="shared" si="476"/>
        <v>0</v>
      </c>
      <c r="CF519" s="115">
        <f>IF(OR(CD519=1,模拟模式!$Q$16="2个"),20,MAX(0,CF518-$F$4))</f>
        <v>0</v>
      </c>
      <c r="CG519" s="115" t="b">
        <f t="shared" si="477"/>
        <v>0</v>
      </c>
      <c r="CH519" s="115">
        <f t="shared" ca="1" si="452"/>
        <v>22.620000000000005</v>
      </c>
      <c r="CI519" s="115" t="b">
        <f t="shared" ca="1" si="453"/>
        <v>0</v>
      </c>
      <c r="CJ519" s="119">
        <f t="shared" ca="1" si="454"/>
        <v>0.05</v>
      </c>
      <c r="CK519" s="115">
        <f t="shared" ca="1" si="455"/>
        <v>0.61999999999999911</v>
      </c>
      <c r="CL519" s="115" t="b">
        <f ca="1">AND(模拟模式!$S$7="驱夷逐法",OR(AND(C519="净世破魔击·月",E518&gt;59),AND(C519="净世破魔击·日",F518&gt;59)))</f>
        <v>0</v>
      </c>
      <c r="CM519" s="115" t="b">
        <f ca="1">OR(CL519,AND(C519="净世破魔击·日",CL518,RAND()&lt;模拟模式!$U$23))</f>
        <v>0</v>
      </c>
      <c r="CN519" s="115" t="b">
        <f ca="1">IF(模拟模式!$M$7="辉耀红尘",AND(C519="净世破魔击·月",CL519,CV519=0,E518&lt;80),AND(C519="净世破魔击·月",CL519,E518&lt;100))</f>
        <v>0</v>
      </c>
      <c r="CO519" s="115" t="b">
        <f t="shared" ca="1" si="428"/>
        <v>0</v>
      </c>
      <c r="CP519" s="115" t="b">
        <f ca="1">AND(模拟模式!$O$7="用晦而明",OR(C519="净世破魔击·日",C519="净世破魔击·月",C519="驱夜断愁"),AB519)</f>
        <v>1</v>
      </c>
      <c r="CQ519" s="115" t="b">
        <f ca="1">OR(CP519,AND(CP518,RAND()&lt;模拟模式!$U$23))</f>
        <v>1</v>
      </c>
      <c r="CR519" s="115" t="b">
        <f ca="1">AND(模拟模式!$S$7="日月齐光",OR(C519="幽月轮1",C519="幽月轮2",C519="幽月轮3",CR518),NOT(OR(C519="赤日轮1",C519="赤日轮2",C519="赤日轮3")))</f>
        <v>0</v>
      </c>
      <c r="CS519" s="115" t="b">
        <f ca="1">AND(模拟模式!$S$7="日月齐光",OR(C519="赤日轮1",C519="赤日轮2",C519="赤日轮3",CS518),NOT(OR(C519="幽月轮1",C519="幽月轮2",C519="幽月轮3")))</f>
        <v>0</v>
      </c>
      <c r="CT519" s="115">
        <f t="shared" ca="1" si="456"/>
        <v>0</v>
      </c>
      <c r="CU519" s="115" t="b">
        <f ca="1">AND(模拟模式!$K$10="阴阳往极",CT518=0,RAND()&lt;IF(C519="净世破魔击·月",0.0275*7/3,IF(C519="净世破魔击·日",0.0275*3/3,0.0275*2/3)))</f>
        <v>0</v>
      </c>
      <c r="CV519" s="115">
        <f t="shared" ca="1" si="457"/>
        <v>0</v>
      </c>
      <c r="CW519" s="115">
        <f t="shared" ca="1" si="429"/>
        <v>0.46499999999999975</v>
      </c>
      <c r="CX519" s="115">
        <f t="shared" ca="1" si="430"/>
        <v>5.0774999999999997</v>
      </c>
      <c r="CY519" s="115">
        <f ca="1">MAX(IF($C519="驱夜断愁",IF(模拟模式!$R$7="万念俱寂",6,45),CY518-$F$4),0)</f>
        <v>6</v>
      </c>
      <c r="CZ519" s="115">
        <f t="shared" ca="1" si="431"/>
        <v>0</v>
      </c>
      <c r="DA519" s="115">
        <f ca="1">IF(模拟模式!$N$7="日月同辉",IF(DB518=2,0,MIN(6,IF(AND(OR(C519="赤日轮1",C519="赤日轮2",C519="赤日轮3",C519="幽月轮1",C519="幽月轮2",C519="幽月轮3"),AB519=1),DA518+1,DA518))),0)</f>
        <v>4</v>
      </c>
      <c r="DB519" s="115">
        <f t="shared" ca="1" si="432"/>
        <v>0</v>
      </c>
      <c r="DC519" s="115"/>
      <c r="DD519" s="115"/>
      <c r="DE519" s="115"/>
      <c r="DF519" s="115"/>
      <c r="DG519" s="115"/>
      <c r="DH519" s="115"/>
      <c r="DI519" s="115"/>
      <c r="DJ519" s="115"/>
      <c r="DK519" s="115"/>
      <c r="DL519" s="115"/>
      <c r="DM519" s="115"/>
    </row>
    <row r="520" spans="2:117" x14ac:dyDescent="0.2">
      <c r="B520" s="117">
        <f t="shared" si="433"/>
        <v>454.79250000000474</v>
      </c>
      <c r="C520" s="167" t="str">
        <f t="shared" ca="1" si="426"/>
        <v>烈日斩</v>
      </c>
      <c r="D520" s="115">
        <f ca="1">IF(C520="赤日轮1",1,IF(C520="赤日轮2",2,IF(C520="赤日轮3",3,IF(C520="幽月轮1",4,IF(C520="幽月轮2",5,IF(C520="幽月轮3",6,IF(C520="烈日斩",7,IF(C520="银月斩",8,IF(C520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520="净世破魔击·月",17,IF(C520="驱夜断愁",18,0)))))))))))</f>
        <v>7</v>
      </c>
      <c r="E520" s="115">
        <f ca="1">IF(AND(CU520,OR(C520="幽月轮1",C520="幽月轮2",C520="幽月轮3",C520="银月斩",C520="驱夜断愁",C520="净世破魔击·月")),100,MIN(IF(OR(CN520,BE520),0,IF(OR($C520="赤日轮1",$C520="赤日轮2",$C520="赤日轮3"),E519+20+IF(模拟模式!$I$7="日月凌天",4,0)+IF(CR519,20,0),IF($C520="烈日斩",E519+40,IF($C520="驱夜断愁",IF(模拟模式!$R$7="万念俱寂",E519+20,E519+60),IF($C520="净世破魔击·月",IF(OR(DB519&gt;0,CV519&gt;0),100,IF(模拟模式!$M$7="辉耀红尘",E519+20,E519)),IF($C520="净世破魔击·日",E519-100,E519)))))),100))</f>
        <v>80</v>
      </c>
      <c r="F520" s="115">
        <f ca="1">IF(AND(CU520,OR(C520="赤日轮1",C520="赤日轮2",C520="赤日轮3",C520="烈日斩",C520="净世破魔击·日")),100,MIN(IF(CO520,0,IF(OR($C520="幽月轮1",$C520="幽月轮2",$C520="幽月轮3"),F519+20+IF(模拟模式!$I$7="日月凌天",4,0)+IF(CS519,20,0),IF($C520="银月斩",F519+40+IF(模拟模式!$X$12=1,5,0),IF($C520="驱夜断愁",IF(模拟模式!$R$7="万念俱寂",F519+20,F519+60),IF($C520="净世破魔击·月",IF(模拟模式!$M$7="辉耀红尘",F519-80,F519-100),IF(AND(C520="净世破魔击·日",OR(DB519&gt;0,CV519&gt;0)),100,F519)))))),100))</f>
        <v>85</v>
      </c>
      <c r="G520" s="117">
        <f ca="1">('模拟-全程加成'!$E$3+'模拟-全程加成'!$E$4+'模拟-全程加成'!$E$5+('模拟-全程加成'!$C$6-'模拟-全程加成'!$C$3)*系数!$B$9+BS520*23)*(1+'模拟-全程加成'!$F$4+'模拟-全程加成'!$F$5+BJ520*10%+BM520*20%+BP520*4%+CG520*30%)+$F$7*系数!$B$12</f>
        <v>20583.127400000001</v>
      </c>
      <c r="H520" s="45">
        <f ca="1">'模拟-全程加成'!$H$3+'模拟-全程加成'!$H$4+'模拟-全程加成'!$H$5+('模拟-全程加成'!$G$4+'模拟-全程加成'!$G$5+('模拟-全程加成'!$C$6-'模拟-全程加成'!$C$3)*系数!$B$13)/系数!$B$3+LOOKUP(D520,'模拟-单技能数据'!$A$2:$A$19,'模拟-单技能数据'!$K$2:$K$19)+BG520*10%+IF(BV520&gt;0,378,0)</f>
        <v>0.56185145527300218</v>
      </c>
      <c r="I520" s="45">
        <f ca="1">'模拟-全程加成'!$J$3+'模拟-全程加成'!$J$4+'模拟-全程加成'!$J$5+('模拟-全程加成'!$I$4+'模拟-全程加成'!$I$5)/系数!$B$4+LOOKUP(D520,'模拟-单技能数据'!$A$2:$A$19,'模拟-单技能数据'!$L$2:$L$19)+BG520*10%</f>
        <v>2.2624828854998791</v>
      </c>
      <c r="J520" s="45">
        <f ca="1">(('模拟-全程加成'!$K$3+'模拟-全程加成'!$K$4+'模拟-全程加成'!$K$5+('模拟-全程加成'!$C$6-'模拟-全程加成'!$C$3)*系数!$B$10+IF(BV520&gt;0,882,0)+IF(BY520&gt;0,1831,0))*(1+'模拟-全程加成'!$L$4+'模拟-全程加成'!$L$5+CC520*20%))/系数!$B$5</f>
        <v>0.69723220422048726</v>
      </c>
      <c r="K520" s="119">
        <f ca="1">LOOKUP(D520,'模拟-单技能数据'!$A$2:$A$19,'模拟-单技能数据'!$J$2:$J$19)+IF(CM520,60%,0)+IF(DB519-DB520&gt;0,30%,0)+IF(OR(AND(OR(C520="赤日轮1",C520="赤日轮2",C520="赤日轮3"),CR520),AND(OR(C520="幽月轮1",C520="幽月轮2",C520="幽月轮3"),CS520)),35%,0)+CJ520</f>
        <v>0.24</v>
      </c>
      <c r="L520" s="119">
        <f ca="1">IF(AND(C520="烈日斩",模拟模式!$X$11=1),10%,0)+IF(AND(C520="驱夜断愁",AB520=1),30%,0)</f>
        <v>0.1</v>
      </c>
      <c r="M520" s="45">
        <f t="shared" ca="1" si="465"/>
        <v>0.56185145527300218</v>
      </c>
      <c r="N520" s="45">
        <f t="shared" ca="1" si="466"/>
        <v>0.38424854472699788</v>
      </c>
      <c r="O520" s="46">
        <f t="shared" ca="1" si="434"/>
        <v>0.77413055637200845</v>
      </c>
      <c r="P520" s="46" t="str">
        <f t="shared" ca="1" si="435"/>
        <v>命</v>
      </c>
      <c r="Q520" s="45">
        <f t="shared" ca="1" si="436"/>
        <v>1</v>
      </c>
      <c r="R520" s="117">
        <f ca="1">模拟模式!$E$20*(1-IF(模拟模式!$J$19="有",0.15,0))*(1-IF(模拟模式!$K$19="有",0.3,0)-IF(CQ520,0.5,0))</f>
        <v>843.02999999999975</v>
      </c>
      <c r="S520" s="45">
        <f ca="1">R520/(R520+(185*模拟模式!$E$22-16800)*4.08224)</f>
        <v>8.389626085980037E-2</v>
      </c>
      <c r="T520" s="45" t="str">
        <f ca="1">LOOKUP(D520,'模拟-单技能数据'!$A$2:$A$19,'模拟-单技能数据'!$H$2:$H$19)</f>
        <v>阳</v>
      </c>
      <c r="U520" s="119">
        <f t="shared" ca="1" si="467"/>
        <v>0.2</v>
      </c>
      <c r="V520" s="47">
        <f ca="1">(1+L520)*(LOOKUP(D520,'模拟-单技能数据'!$A$2:$A$19,'模拟-单技能数据'!$D$2:$D$19)+G520*LOOKUP(D520,'模拟-单技能数据'!$A$2:$A$19,'模拟-单技能数据'!$F$2:$F$19))*(1+J520)*(1+K520)*(1-S520)*(1+U520)*Q520*LOOKUP(D520,'模拟-单技能数据'!$A$2:$A$19,'模拟-单技能数据'!$I$2:$I$20)</f>
        <v>46789.769184608012</v>
      </c>
      <c r="W520" s="47">
        <f ca="1">LOOKUP(D520,'模拟-单技能数据'!$A$2:$A$19,'模拟-单技能数据'!$G$2:$G$19)*$I$10</f>
        <v>361.51064354704795</v>
      </c>
      <c r="X520" s="47">
        <f t="shared" ca="1" si="437"/>
        <v>9218.9345386263849</v>
      </c>
      <c r="Y520" s="47">
        <f t="shared" ca="1" si="468"/>
        <v>56370.214366781453</v>
      </c>
      <c r="Z520" s="49">
        <f t="shared" ca="1" si="469"/>
        <v>51573171.015588827</v>
      </c>
      <c r="AA520" s="97">
        <f t="shared" ca="1" si="470"/>
        <v>113399.34369099818</v>
      </c>
      <c r="AB520" s="115">
        <f ca="1">IF(OR(C520="赤日轮1",C520="赤日轮2",C520="赤日轮3"),IF(RAND()&lt;模拟模式!$Y$17,1,0),IF(OR(C520="幽月轮1",C520="幽月轮2",C520="幽月轮3"),IF(RAND()&lt;模拟模式!$Y$18,1,0),IF(C520="烈日斩",IF(RAND()&lt;模拟模式!$Y$19,1,0),IF(C520="银月斩",IF(RAND()&lt;模拟模式!$Y$20,1,0),IF(C520="驱夜断愁",IF(RAND()&lt;模拟模式!$Y$21,1,0),IF(C520="净世破魔击·日",IF(RAND()&lt;模拟模式!$Y$22,1,0),IF(C520="净世破魔击·月",IF(RAND()&lt;模拟模式!$Y$23,1,0),0)))))))</f>
        <v>1</v>
      </c>
      <c r="AC520" s="115" t="b">
        <f t="shared" ca="1" si="458"/>
        <v>0</v>
      </c>
      <c r="AD520" s="115" t="b">
        <f t="shared" ca="1" si="478"/>
        <v>1</v>
      </c>
      <c r="AE520" s="115">
        <f t="shared" ca="1" si="479"/>
        <v>4</v>
      </c>
      <c r="AF520" s="47">
        <f ca="1">IF(AC520,('模拟-单技能数据'!$D$20+G520*'模拟-单技能数据'!$F$20)*(1+J520)*(1+'模拟-单技能数据'!$J$20)*(1+U520),0)</f>
        <v>0</v>
      </c>
      <c r="AG520" s="61">
        <f t="shared" ca="1" si="471"/>
        <v>0.64185145527300214</v>
      </c>
      <c r="AH520" s="61">
        <f t="shared" ca="1" si="472"/>
        <v>2.2624828854998791</v>
      </c>
      <c r="AI520" s="62">
        <f t="shared" ca="1" si="438"/>
        <v>0.23460181921214884</v>
      </c>
      <c r="AJ520" s="47">
        <f ca="1">IF(AD520,IF(AI520&lt;$F$10,0,IF(AI520&lt;$F$10+$F$11,0.25,IF(AI520&lt;$F$10+$F$11+AG520,AH520,1)))*IF(AF520&gt;0,AF520,IF(AF519&gt;0,AF519,IF(AF518&gt;0,AF518,IF(AF517&gt;0,AF517,IF(AF516&gt;0,AF516,IF(AF515&gt;0,AF515,IF(AF514&gt;0,AF514,IF(AF513&gt;0,AF513,IF(AF512&gt;0,AF512,IF(AF510&gt;0,AF510,IF(AF509&gt;0,AF509,IF(AF508&gt;0,AF508,0)))))))))))),0)*(1-$S520)*'模拟-单技能数据'!$I$20</f>
        <v>9218.9345386263849</v>
      </c>
      <c r="AK520" s="115" t="b">
        <f t="shared" ca="1" si="459"/>
        <v>0</v>
      </c>
      <c r="AL520" s="115" t="b">
        <f t="shared" ca="1" si="480"/>
        <v>0</v>
      </c>
      <c r="AM520" s="115">
        <f t="shared" ca="1" si="481"/>
        <v>4</v>
      </c>
      <c r="AN520" s="47">
        <f ca="1">IF(AK520,('模拟-单技能数据'!$D$21+G520*'模拟-单技能数据'!$F$21)*(1+J520)*(1+'模拟-单技能数据'!$J$21)*(1+U520),0)</f>
        <v>0</v>
      </c>
      <c r="AO520" s="61">
        <f ca="1">IF(AN520&gt;0,M520-'模拟-单技能数据'!$K$10,AO519)</f>
        <v>0.42185145527300216</v>
      </c>
      <c r="AP520" s="61">
        <f ca="1">IF(AN520&gt;0,I520-'模拟-单技能数据'!$L$10,AP519)</f>
        <v>2.162482885499879</v>
      </c>
      <c r="AQ520" s="63">
        <f t="shared" ca="1" si="439"/>
        <v>0.6857855820057801</v>
      </c>
      <c r="AR520" s="64">
        <f ca="1">IF(AL520,IF(AQ520&lt;$F$10,0,IF(AQ520&lt;$F$10+$F$11,0.25,IF(AQ520&lt;$F$10+$F$11+AO520,AP520,1)))*IF(AN520&gt;0,AN520,IF(AN519&gt;0,AN519,IF(AN518&gt;0,AN518,IF(AN517&gt;0,AN517,IF(AN516&gt;0,AN516,IF(AN515&gt;0,AN515,IF(AN514&gt;0,AN514,IF(AN513&gt;0,AN513,IF(AN512&gt;0,AN512,IF(AN510&gt;0,AN510,IF(AN509&gt;0,AN509,IF(AN508&gt;0,AN508,0)))))))))))),0)*(1-$S520)*'模拟-单技能数据'!$I$21</f>
        <v>0</v>
      </c>
      <c r="AS520" s="61">
        <f ca="1">IF(OR(C520="净世破魔击·日",C520="净世破魔击·月"),M520-'模拟-单技能数据'!$K$10,0)</f>
        <v>0</v>
      </c>
      <c r="AT520" s="61">
        <f ca="1">IF(OR(C520="净世破魔击·日",C520="净世破魔击·月"),I520-'模拟-单技能数据'!$L$10,0)</f>
        <v>0</v>
      </c>
      <c r="AU520" s="62">
        <f t="shared" ca="1" si="440"/>
        <v>0.89420186982135907</v>
      </c>
      <c r="AV520" s="64">
        <f ca="1">IF(AS520&gt;0,('模拟-单技能数据'!$D$22+G520*'模拟-单技能数据'!$F$22)*(1+J520)*(1-S520)*IF(AU520&lt;$F$10,0,IF(AU520&lt;$F$10+$F$11,0.25,IF(AU520&lt;$F$10+$F$11+AS520,AT520,1)))*(1+U520),0)*'模拟-单技能数据'!$I$22</f>
        <v>0</v>
      </c>
      <c r="AW520" s="108">
        <f t="shared" ca="1" si="441"/>
        <v>3.3950000000000062</v>
      </c>
      <c r="AX520" s="108" t="b">
        <f ca="1">AND(模拟模式!$P$10="有",AW519=0,RAND()&lt;IF(C520="净世破魔击·月",0.1*8/3,IF(C520="净世破魔击·日",0.1*4/3,0.1*2/3)))</f>
        <v>0</v>
      </c>
      <c r="AY520" s="47">
        <f ca="1">IF(AX520,(18+G520*0.722)*(1+J520)*(1-S520)*(1+$I$4)*IF(P520="会",'模拟-全程加成'!$J$3+'模拟-全程加成'!$J$4+'模拟-全程加成'!$J$5+('模拟-全程加成'!$I$4+'模拟-全程加成'!$I$5)/系数!$B$4+BG520*10%,IF(P520="命",1,IF(P520="识",0.25,0))),0)</f>
        <v>0</v>
      </c>
      <c r="AZ520" s="108">
        <f t="shared" si="442"/>
        <v>11.697500000000005</v>
      </c>
      <c r="BA520" s="108" t="b">
        <f>AND(模拟模式!$Q$10="有",AZ519=0)</f>
        <v>0</v>
      </c>
      <c r="BB520" s="140">
        <f>IF(BA520,(0+G520*0.287)*(1+J520)*(1-S520)*(1+$I$4)*IF(P520="会",'模拟-全程加成'!$J$3+'模拟-全程加成'!$J$4+'模拟-全程加成'!$J$5+('模拟-全程加成'!$I$4+'模拟-全程加成'!$I$5)/系数!$B$4+BG520*10%,IF(P520="命",1,IF(P520="识",0.25,0))),0)</f>
        <v>0</v>
      </c>
      <c r="BC520" s="115" t="b">
        <f ca="1">AND(模拟模式!$R$7="伏明众生",E520=60,F520=20,DA520&lt;5,CZ519&lt;$F$4)</f>
        <v>0</v>
      </c>
      <c r="BD520" s="115">
        <f t="shared" ca="1" si="460"/>
        <v>0</v>
      </c>
      <c r="BE520" s="115" t="b">
        <f t="shared" ca="1" si="461"/>
        <v>0</v>
      </c>
      <c r="BF520" s="47">
        <f ca="1">IF(BC520,4*('模拟-单技能数据'!$D$24+G520*'模拟-单技能数据'!$F$24)*(1+J520)*(1+'模拟-单技能数据'!$J$24)*(1-S520)*(1+$I$3)*(('模拟-全程加成'!$J$3+'模拟-全程加成'!$J$4+'模拟-全程加成'!$J$5+('模拟-全程加成'!$I$4+'模拟-全程加成'!$I$5)/系数!$B$4+BG520*10%)*('模拟-全程加成'!$J$3+'模拟-全程加成'!$J$4+'模拟-全程加成'!$J$5+('模拟-全程加成'!$I$4+'模拟-全程加成'!$I$5)/系数!$B$4+BG520*10%)+(1-('模拟-全程加成'!$J$3+'模拟-全程加成'!$J$4+'模拟-全程加成'!$J$5+('模拟-全程加成'!$I$4+'模拟-全程加成'!$I$5)/系数!$B$4+BG520*10%)-$F$10-$F$11)+F506*0.25),0)*'模拟-单技能数据'!$I$24</f>
        <v>0</v>
      </c>
      <c r="BG520" s="115" t="b">
        <f ca="1">OR(AND(OR(C520="烈日斩",C520="银月斩"),模拟模式!$I$7="净身明礼"),AND(C520="净世破魔击·日",模拟模式!$J$7="洞若观火"),AND(C521="净世破魔击·月",模拟模式!$J$7="洞若观火"),AB520=1)</f>
        <v>1</v>
      </c>
      <c r="BH520" s="115" t="b">
        <f t="shared" ca="1" si="443"/>
        <v>0</v>
      </c>
      <c r="BI520" s="115">
        <f t="shared" ca="1" si="462"/>
        <v>0</v>
      </c>
      <c r="BJ520" s="115" t="b">
        <f t="shared" ca="1" si="473"/>
        <v>0</v>
      </c>
      <c r="BK520" s="115" t="b">
        <f ca="1">AND(C520="驱夜断愁",模拟模式!$P$7="天地诛戮")</f>
        <v>0</v>
      </c>
      <c r="BL520" s="57">
        <f t="shared" ca="1" si="463"/>
        <v>19.077500000000001</v>
      </c>
      <c r="BM520" s="115" t="b">
        <f t="shared" ca="1" si="474"/>
        <v>1</v>
      </c>
      <c r="BN520" s="115" t="b">
        <f ca="1">AND(OR(C520="赤日轮1",C520="赤日轮2",C520="赤日轮3",C520="幽月轮1",C520="幽月轮2",C520="幽月轮3"),AB520=1,模拟模式!$L$7="明光恒照")</f>
        <v>0</v>
      </c>
      <c r="BO520" s="117">
        <f t="shared" ca="1" si="464"/>
        <v>27.232500000000002</v>
      </c>
      <c r="BP520" s="115">
        <f t="shared" ca="1" si="444"/>
        <v>6</v>
      </c>
      <c r="BQ520" s="115" t="b">
        <f>模拟模式!$K$10="2600·水"</f>
        <v>0</v>
      </c>
      <c r="BR520" s="117">
        <f t="shared" si="445"/>
        <v>0</v>
      </c>
      <c r="BS520" s="115">
        <f t="shared" si="446"/>
        <v>0</v>
      </c>
      <c r="BT520" s="115">
        <f t="shared" ca="1" si="447"/>
        <v>0</v>
      </c>
      <c r="BU520" s="115" t="b">
        <f ca="1">AND(模拟模式!$K$10="2300·雷",BT519=0,RAND()&lt;IF(C520="净世破魔击·月",5*0.05*2/3,IF(C520="净世破魔击·日",3*0.05*2/3,0.05*2*2/3)))</f>
        <v>0</v>
      </c>
      <c r="BV520" s="115">
        <f t="shared" ca="1" si="448"/>
        <v>0</v>
      </c>
      <c r="BW520" s="115">
        <f t="shared" ca="1" si="449"/>
        <v>100.66499999999925</v>
      </c>
      <c r="BX520" s="164" t="b">
        <f t="shared" ca="1" si="450"/>
        <v>0</v>
      </c>
      <c r="BY520" s="115">
        <f t="shared" ca="1" si="451"/>
        <v>0</v>
      </c>
      <c r="BZ520" s="115">
        <f>IF(OR(模拟模式!$P$16="10人团",模拟模式!$P$16="25人团"),IF(B520/30&gt;CA519,1,0),0)</f>
        <v>0</v>
      </c>
      <c r="CA520" s="115">
        <f t="shared" si="427"/>
        <v>0</v>
      </c>
      <c r="CB520" s="115">
        <f ca="1">IF(BZ520=1,IF(模拟模式!$P$16="10人团",15,0)+IF(模拟模式!$P$16="25人团",IF(RAND()&lt;0.6,15,0)),MAX(0,CB519-$F$4))</f>
        <v>0</v>
      </c>
      <c r="CC520" s="115" t="b">
        <f t="shared" ca="1" si="475"/>
        <v>0</v>
      </c>
      <c r="CD520" s="115">
        <f>IF(模拟模式!$Q$16="1个",IF(B520/40&gt;CE519,1,0),0)</f>
        <v>0</v>
      </c>
      <c r="CE520" s="115">
        <f t="shared" si="476"/>
        <v>0</v>
      </c>
      <c r="CF520" s="115">
        <f>IF(OR(CD520=1,模拟模式!$Q$16="2个"),20,MAX(0,CF519-$F$4))</f>
        <v>0</v>
      </c>
      <c r="CG520" s="115" t="b">
        <f t="shared" si="477"/>
        <v>0</v>
      </c>
      <c r="CH520" s="115">
        <f t="shared" ca="1" si="452"/>
        <v>21.697500000000005</v>
      </c>
      <c r="CI520" s="115" t="b">
        <f t="shared" ca="1" si="453"/>
        <v>0</v>
      </c>
      <c r="CJ520" s="119">
        <f t="shared" ca="1" si="454"/>
        <v>0</v>
      </c>
      <c r="CK520" s="115">
        <f t="shared" ca="1" si="455"/>
        <v>0</v>
      </c>
      <c r="CL520" s="115" t="b">
        <f ca="1">AND(模拟模式!$S$7="驱夷逐法",OR(AND(C520="净世破魔击·月",E519&gt;59),AND(C520="净世破魔击·日",F519&gt;59)))</f>
        <v>0</v>
      </c>
      <c r="CM520" s="115" t="b">
        <f ca="1">OR(CL520,AND(C520="净世破魔击·日",CL519,RAND()&lt;模拟模式!$U$23))</f>
        <v>0</v>
      </c>
      <c r="CN520" s="115" t="b">
        <f ca="1">IF(模拟模式!$M$7="辉耀红尘",AND(C520="净世破魔击·月",CL520,CV520=0,E519&lt;80),AND(C520="净世破魔击·月",CL520,E519&lt;100))</f>
        <v>0</v>
      </c>
      <c r="CO520" s="115" t="b">
        <f t="shared" ca="1" si="428"/>
        <v>0</v>
      </c>
      <c r="CP520" s="115" t="b">
        <f ca="1">AND(模拟模式!$O$7="用晦而明",OR(C520="净世破魔击·日",C520="净世破魔击·月",C520="驱夜断愁"),AB520)</f>
        <v>0</v>
      </c>
      <c r="CQ520" s="115" t="b">
        <f ca="1">OR(CP520,AND(CP519,RAND()&lt;模拟模式!$U$23))</f>
        <v>1</v>
      </c>
      <c r="CR520" s="115" t="b">
        <f ca="1">AND(模拟模式!$S$7="日月齐光",OR(C520="幽月轮1",C520="幽月轮2",C520="幽月轮3",CR519),NOT(OR(C520="赤日轮1",C520="赤日轮2",C520="赤日轮3")))</f>
        <v>0</v>
      </c>
      <c r="CS520" s="115" t="b">
        <f ca="1">AND(模拟模式!$S$7="日月齐光",OR(C520="赤日轮1",C520="赤日轮2",C520="赤日轮3",CS519),NOT(OR(C520="幽月轮1",C520="幽月轮2",C520="幽月轮3")))</f>
        <v>0</v>
      </c>
      <c r="CT520" s="115">
        <f t="shared" ca="1" si="456"/>
        <v>0</v>
      </c>
      <c r="CU520" s="115" t="b">
        <f ca="1">AND(模拟模式!$K$10="阴阳往极",CT519=0,RAND()&lt;IF(C520="净世破魔击·月",0.0275*7/3,IF(C520="净世破魔击·日",0.0275*3/3,0.0275*2/3)))</f>
        <v>0</v>
      </c>
      <c r="CV520" s="115">
        <f t="shared" ca="1" si="457"/>
        <v>0</v>
      </c>
      <c r="CW520" s="115">
        <f t="shared" ca="1" si="429"/>
        <v>6</v>
      </c>
      <c r="CX520" s="115">
        <f t="shared" ca="1" si="430"/>
        <v>4.1549999999999994</v>
      </c>
      <c r="CY520" s="115">
        <f ca="1">MAX(IF($C520="驱夜断愁",IF(模拟模式!$R$7="万念俱寂",6,45),CY519-$F$4),0)</f>
        <v>5.0774999999999997</v>
      </c>
      <c r="CZ520" s="115">
        <f t="shared" ca="1" si="431"/>
        <v>0</v>
      </c>
      <c r="DA520" s="115">
        <f ca="1">IF(模拟模式!$N$7="日月同辉",IF(DB519=2,0,MIN(6,IF(AND(OR(C520="赤日轮1",C520="赤日轮2",C520="赤日轮3",C520="幽月轮1",C520="幽月轮2",C520="幽月轮3"),AB520=1),DA519+1,DA519))),0)</f>
        <v>4</v>
      </c>
      <c r="DB520" s="115">
        <f t="shared" ca="1" si="432"/>
        <v>0</v>
      </c>
      <c r="DC520" s="115"/>
      <c r="DD520" s="115"/>
      <c r="DE520" s="115"/>
      <c r="DF520" s="115"/>
      <c r="DG520" s="115"/>
      <c r="DH520" s="115"/>
      <c r="DI520" s="115"/>
      <c r="DJ520" s="115"/>
      <c r="DK520" s="115"/>
      <c r="DL520" s="115"/>
      <c r="DM520" s="115"/>
    </row>
    <row r="521" spans="2:117" x14ac:dyDescent="0.2">
      <c r="B521" s="117">
        <f t="shared" si="433"/>
        <v>455.71500000000475</v>
      </c>
      <c r="C521" s="167" t="str">
        <f t="shared" ca="1" si="426"/>
        <v>幽月轮1</v>
      </c>
      <c r="D521" s="115">
        <f ca="1">IF(C521="赤日轮1",1,IF(C521="赤日轮2",2,IF(C521="赤日轮3",3,IF(C521="幽月轮1",4,IF(C521="幽月轮2",5,IF(C521="幽月轮3",6,IF(C521="烈日斩",7,IF(C521="银月斩",8,IF(C521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521="净世破魔击·月",17,IF(C521="驱夜断愁",18,0)))))))))))</f>
        <v>4</v>
      </c>
      <c r="E521" s="115">
        <f ca="1">IF(AND(CU521,OR(C521="幽月轮1",C521="幽月轮2",C521="幽月轮3",C521="银月斩",C521="驱夜断愁",C521="净世破魔击·月")),100,MIN(IF(OR(CN521,BE521),0,IF(OR($C521="赤日轮1",$C521="赤日轮2",$C521="赤日轮3"),E520+20+IF(模拟模式!$I$7="日月凌天",4,0)+IF(CR520,20,0),IF($C521="烈日斩",E520+40,IF($C521="驱夜断愁",IF(模拟模式!$R$7="万念俱寂",E520+20,E520+60),IF($C521="净世破魔击·月",IF(OR(DB520&gt;0,CV520&gt;0),100,IF(模拟模式!$M$7="辉耀红尘",E520+20,E520)),IF($C521="净世破魔击·日",E520-100,E520)))))),100))</f>
        <v>80</v>
      </c>
      <c r="F521" s="115">
        <f ca="1">IF(AND(CU521,OR(C521="赤日轮1",C521="赤日轮2",C521="赤日轮3",C521="烈日斩",C521="净世破魔击·日")),100,MIN(IF(CO521,0,IF(OR($C521="幽月轮1",$C521="幽月轮2",$C521="幽月轮3"),F520+20+IF(模拟模式!$I$7="日月凌天",4,0)+IF(CS520,20,0),IF($C521="银月斩",F520+40+IF(模拟模式!$X$12=1,5,0),IF($C521="驱夜断愁",IF(模拟模式!$R$7="万念俱寂",F520+20,F520+60),IF($C521="净世破魔击·月",IF(模拟模式!$M$7="辉耀红尘",F520-80,F520-100),IF(AND(C521="净世破魔击·日",OR(DB520&gt;0,CV520&gt;0)),100,F520)))))),100))</f>
        <v>100</v>
      </c>
      <c r="G521" s="117">
        <f ca="1">('模拟-全程加成'!$E$3+'模拟-全程加成'!$E$4+'模拟-全程加成'!$E$5+('模拟-全程加成'!$C$6-'模拟-全程加成'!$C$3)*系数!$B$9+BS521*23)*(1+'模拟-全程加成'!$F$4+'模拟-全程加成'!$F$5+BJ521*10%+BM521*20%+BP521*4%+CG521*30%)+$F$7*系数!$B$12</f>
        <v>20583.127400000001</v>
      </c>
      <c r="H521" s="45">
        <f ca="1">'模拟-全程加成'!$H$3+'模拟-全程加成'!$H$4+'模拟-全程加成'!$H$5+('模拟-全程加成'!$G$4+'模拟-全程加成'!$G$5+('模拟-全程加成'!$C$6-'模拟-全程加成'!$C$3)*系数!$B$13)/系数!$B$3+LOOKUP(D521,'模拟-单技能数据'!$A$2:$A$19,'模拟-单技能数据'!$K$2:$K$19)+BG521*10%+IF(BV521&gt;0,378,0)</f>
        <v>0.51185145527300213</v>
      </c>
      <c r="I521" s="45">
        <f ca="1">'模拟-全程加成'!$J$3+'模拟-全程加成'!$J$4+'模拟-全程加成'!$J$5+('模拟-全程加成'!$I$4+'模拟-全程加成'!$I$5)/系数!$B$4+LOOKUP(D521,'模拟-单技能数据'!$A$2:$A$19,'模拟-单技能数据'!$L$2:$L$19)+BG521*10%</f>
        <v>2.162482885499879</v>
      </c>
      <c r="J521" s="45">
        <f ca="1">(('模拟-全程加成'!$K$3+'模拟-全程加成'!$K$4+'模拟-全程加成'!$K$5+('模拟-全程加成'!$C$6-'模拟-全程加成'!$C$3)*系数!$B$10+IF(BV521&gt;0,882,0)+IF(BY521&gt;0,1831,0))*(1+'模拟-全程加成'!$L$4+'模拟-全程加成'!$L$5+CC521*20%))/系数!$B$5</f>
        <v>0.69723220422048726</v>
      </c>
      <c r="K521" s="119">
        <f ca="1">LOOKUP(D521,'模拟-单技能数据'!$A$2:$A$19,'模拟-单技能数据'!$J$2:$J$19)+IF(CM521,60%,0)+IF(DB520-DB521&gt;0,30%,0)+IF(OR(AND(OR(C521="赤日轮1",C521="赤日轮2",C521="赤日轮3"),CR521),AND(OR(C521="幽月轮1",C521="幽月轮2",C521="幽月轮3"),CS521)),35%,0)+CJ521</f>
        <v>7.0000000000000007E-2</v>
      </c>
      <c r="L521" s="119">
        <f ca="1">IF(AND(C521="烈日斩",模拟模式!$X$11=1),10%,0)+IF(AND(C521="驱夜断愁",AB521=1),30%,0)</f>
        <v>0</v>
      </c>
      <c r="M521" s="45">
        <f t="shared" ca="1" si="465"/>
        <v>0.51185145527300213</v>
      </c>
      <c r="N521" s="45">
        <f t="shared" ca="1" si="466"/>
        <v>0.43424854472699792</v>
      </c>
      <c r="O521" s="46">
        <f t="shared" ca="1" si="434"/>
        <v>0.26098164254665845</v>
      </c>
      <c r="P521" s="46" t="str">
        <f t="shared" ca="1" si="435"/>
        <v>会</v>
      </c>
      <c r="Q521" s="45">
        <f t="shared" ca="1" si="436"/>
        <v>2.162482885499879</v>
      </c>
      <c r="R521" s="117">
        <f ca="1">模拟模式!$E$20*(1-IF(模拟模式!$J$19="有",0.15,0))*(1-IF(模拟模式!$K$19="有",0.3,0)-IF(CQ521,0.5,0))</f>
        <v>2950.6049999999996</v>
      </c>
      <c r="S521" s="45">
        <f ca="1">R521/(R521+(185*模拟模式!$E$22-16800)*4.08224)</f>
        <v>0.24272716014590323</v>
      </c>
      <c r="T521" s="45" t="str">
        <f ca="1">LOOKUP(D521,'模拟-单技能数据'!$A$2:$A$19,'模拟-单技能数据'!$H$2:$H$19)</f>
        <v>阴</v>
      </c>
      <c r="U521" s="119">
        <f t="shared" ca="1" si="467"/>
        <v>0.08</v>
      </c>
      <c r="V521" s="47">
        <f ca="1">(1+L521)*(LOOKUP(D521,'模拟-单技能数据'!$A$2:$A$19,'模拟-单技能数据'!$D$2:$D$19)+G521*LOOKUP(D521,'模拟-单技能数据'!$A$2:$A$19,'模拟-单技能数据'!$F$2:$F$19))*(1+J521)*(1+K521)*(1-S521)*(1+U521)*Q521*LOOKUP(D521,'模拟-单技能数据'!$A$2:$A$19,'模拟-单技能数据'!$I$2:$I$20)</f>
        <v>35088.919370823241</v>
      </c>
      <c r="W521" s="47">
        <f ca="1">LOOKUP(D521,'模拟-单技能数据'!$A$2:$A$19,'模拟-单技能数据'!$G$2:$G$19)*$I$10</f>
        <v>361.51064354704795</v>
      </c>
      <c r="X521" s="47">
        <f t="shared" ca="1" si="437"/>
        <v>19874.713753650052</v>
      </c>
      <c r="Y521" s="47">
        <f t="shared" ca="1" si="468"/>
        <v>55325.143768020338</v>
      </c>
      <c r="Z521" s="49">
        <f t="shared" ca="1" si="469"/>
        <v>51628496.159356847</v>
      </c>
      <c r="AA521" s="97">
        <f t="shared" ca="1" si="470"/>
        <v>113291.19331019674</v>
      </c>
      <c r="AB521" s="115">
        <f ca="1">IF(OR(C521="赤日轮1",C521="赤日轮2",C521="赤日轮3"),IF(RAND()&lt;模拟模式!$Y$17,1,0),IF(OR(C521="幽月轮1",C521="幽月轮2",C521="幽月轮3"),IF(RAND()&lt;模拟模式!$Y$18,1,0),IF(C521="烈日斩",IF(RAND()&lt;模拟模式!$Y$19,1,0),IF(C521="银月斩",IF(RAND()&lt;模拟模式!$Y$20,1,0),IF(C521="驱夜断愁",IF(RAND()&lt;模拟模式!$Y$21,1,0),IF(C521="净世破魔击·日",IF(RAND()&lt;模拟模式!$Y$22,1,0),IF(C521="净世破魔击·月",IF(RAND()&lt;模拟模式!$Y$23,1,0),0)))))))</f>
        <v>1</v>
      </c>
      <c r="AC521" s="115" t="b">
        <f t="shared" ca="1" si="458"/>
        <v>0</v>
      </c>
      <c r="AD521" s="115" t="b">
        <f t="shared" ca="1" si="478"/>
        <v>0</v>
      </c>
      <c r="AE521" s="115">
        <f t="shared" ca="1" si="479"/>
        <v>4</v>
      </c>
      <c r="AF521" s="47">
        <f ca="1">IF(AC521,('模拟-单技能数据'!$D$20+G521*'模拟-单技能数据'!$F$20)*(1+J521)*(1+'模拟-单技能数据'!$J$20)*(1+U521),0)</f>
        <v>0</v>
      </c>
      <c r="AG521" s="61">
        <f t="shared" ca="1" si="471"/>
        <v>0.64185145527300214</v>
      </c>
      <c r="AH521" s="61">
        <f t="shared" ca="1" si="472"/>
        <v>2.2624828854998791</v>
      </c>
      <c r="AI521" s="62">
        <f t="shared" ca="1" si="438"/>
        <v>0.91899374149115842</v>
      </c>
      <c r="AJ521" s="47">
        <f ca="1">IF(AD521,IF(AI521&lt;$F$10,0,IF(AI521&lt;$F$10+$F$11,0.25,IF(AI521&lt;$F$10+$F$11+AG521,AH521,1)))*IF(AF521&gt;0,AF521,IF(AF520&gt;0,AF520,IF(AF519&gt;0,AF519,IF(AF518&gt;0,AF518,IF(AF517&gt;0,AF517,IF(AF516&gt;0,AF516,IF(AF515&gt;0,AF515,IF(AF514&gt;0,AF514,IF(AF513&gt;0,AF513,IF(AF511&gt;0,AF511,IF(AF510&gt;0,AF510,IF(AF509&gt;0,AF509,0)))))))))))),0)*(1-$S521)*'模拟-单技能数据'!$I$20</f>
        <v>0</v>
      </c>
      <c r="AK521" s="115" t="b">
        <f t="shared" ca="1" si="459"/>
        <v>0</v>
      </c>
      <c r="AL521" s="115" t="b">
        <f t="shared" ca="1" si="480"/>
        <v>1</v>
      </c>
      <c r="AM521" s="115">
        <f t="shared" ca="1" si="481"/>
        <v>3</v>
      </c>
      <c r="AN521" s="47">
        <f ca="1">IF(AK521,('模拟-单技能数据'!$D$21+G521*'模拟-单技能数据'!$F$21)*(1+J521)*(1+'模拟-单技能数据'!$J$21)*(1+U521),0)</f>
        <v>0</v>
      </c>
      <c r="AO521" s="61">
        <f ca="1">IF(AN521&gt;0,M521-'模拟-单技能数据'!$K$10,AO520)</f>
        <v>0.42185145527300216</v>
      </c>
      <c r="AP521" s="61">
        <f ca="1">IF(AN521&gt;0,I521-'模拟-单技能数据'!$L$10,AP520)</f>
        <v>2.162482885499879</v>
      </c>
      <c r="AQ521" s="63">
        <f t="shared" ca="1" si="439"/>
        <v>0.20533500377969283</v>
      </c>
      <c r="AR521" s="64">
        <f ca="1">IF(AL521,IF(AQ521&lt;$F$10,0,IF(AQ521&lt;$F$10+$F$11,0.25,IF(AQ521&lt;$F$10+$F$11+AO521,AP521,1)))*IF(AN521&gt;0,AN521,IF(AN520&gt;0,AN520,IF(AN519&gt;0,AN519,IF(AN518&gt;0,AN518,IF(AN517&gt;0,AN517,IF(AN516&gt;0,AN516,IF(AN515&gt;0,AN515,IF(AN514&gt;0,AN514,IF(AN513&gt;0,AN513,IF(AN511&gt;0,AN511,IF(AN510&gt;0,AN510,IF(AN509&gt;0,AN509,0)))))))))))),0)*(1-$S521)*'模拟-单技能数据'!$I$21</f>
        <v>19874.713753650052</v>
      </c>
      <c r="AS521" s="61">
        <f ca="1">IF(OR(C521="净世破魔击·日",C521="净世破魔击·月"),M521-'模拟-单技能数据'!$K$10,0)</f>
        <v>0</v>
      </c>
      <c r="AT521" s="61">
        <f ca="1">IF(OR(C521="净世破魔击·日",C521="净世破魔击·月"),I521-'模拟-单技能数据'!$L$10,0)</f>
        <v>0</v>
      </c>
      <c r="AU521" s="62">
        <f t="shared" ca="1" si="440"/>
        <v>0.84665195872014154</v>
      </c>
      <c r="AV521" s="64">
        <f ca="1">IF(AS521&gt;0,('模拟-单技能数据'!$D$22+G521*'模拟-单技能数据'!$F$22)*(1+J521)*(1-S521)*IF(AU521&lt;$F$10,0,IF(AU521&lt;$F$10+$F$11,0.25,IF(AU521&lt;$F$10+$F$11+AS521,AT521,1)))*(1+U521),0)*'模拟-单技能数据'!$I$22</f>
        <v>0</v>
      </c>
      <c r="AW521" s="108">
        <f t="shared" ca="1" si="441"/>
        <v>2.4725000000000064</v>
      </c>
      <c r="AX521" s="108" t="b">
        <f ca="1">AND(模拟模式!$P$10="有",AW520=0,RAND()&lt;IF(C521="净世破魔击·月",0.1*8/3,IF(C521="净世破魔击·日",0.1*4/3,0.1*2/3)))</f>
        <v>0</v>
      </c>
      <c r="AY521" s="47">
        <f ca="1">IF(AX521,(18+G521*0.722)*(1+J521)*(1-S521)*(1+$I$4)*IF(P521="会",'模拟-全程加成'!$J$3+'模拟-全程加成'!$J$4+'模拟-全程加成'!$J$5+('模拟-全程加成'!$I$4+'模拟-全程加成'!$I$5)/系数!$B$4+BG521*10%,IF(P521="命",1,IF(P521="识",0.25,0))),0)</f>
        <v>0</v>
      </c>
      <c r="AZ521" s="108">
        <f t="shared" si="442"/>
        <v>10.775000000000006</v>
      </c>
      <c r="BA521" s="108" t="b">
        <f>AND(模拟模式!$Q$10="有",AZ520=0)</f>
        <v>0</v>
      </c>
      <c r="BB521" s="140">
        <f>IF(BA521,(0+G521*0.287)*(1+J521)*(1-S521)*(1+$I$4)*IF(P521="会",'模拟-全程加成'!$J$3+'模拟-全程加成'!$J$4+'模拟-全程加成'!$J$5+('模拟-全程加成'!$I$4+'模拟-全程加成'!$I$5)/系数!$B$4+BG521*10%,IF(P521="命",1,IF(P521="识",0.25,0))),0)</f>
        <v>0</v>
      </c>
      <c r="BC521" s="115" t="b">
        <f ca="1">AND(模拟模式!$R$7="伏明众生",E521=60,F521=20,DA521&lt;5,CZ520&lt;$F$4)</f>
        <v>0</v>
      </c>
      <c r="BD521" s="115">
        <f t="shared" ca="1" si="460"/>
        <v>0</v>
      </c>
      <c r="BE521" s="115" t="b">
        <f t="shared" ca="1" si="461"/>
        <v>0</v>
      </c>
      <c r="BF521" s="47">
        <f ca="1">IF(BC521,4*('模拟-单技能数据'!$D$24+G521*'模拟-单技能数据'!$F$24)*(1+J521)*(1+'模拟-单技能数据'!$J$24)*(1-S521)*(1+$I$3)*(('模拟-全程加成'!$J$3+'模拟-全程加成'!$J$4+'模拟-全程加成'!$J$5+('模拟-全程加成'!$I$4+'模拟-全程加成'!$I$5)/系数!$B$4+BG521*10%)*('模拟-全程加成'!$J$3+'模拟-全程加成'!$J$4+'模拟-全程加成'!$J$5+('模拟-全程加成'!$I$4+'模拟-全程加成'!$I$5)/系数!$B$4+BG521*10%)+(1-('模拟-全程加成'!$J$3+'模拟-全程加成'!$J$4+'模拟-全程加成'!$J$5+('模拟-全程加成'!$I$4+'模拟-全程加成'!$I$5)/系数!$B$4+BG521*10%)-$F$10-$F$11)+F507*0.25),0)*'模拟-单技能数据'!$I$24</f>
        <v>0</v>
      </c>
      <c r="BG521" s="115" t="b">
        <f ca="1">OR(AND(OR(C521="烈日斩",C521="银月斩"),模拟模式!$I$7="净身明礼"),AND(C521="净世破魔击·日",模拟模式!$J$7="洞若观火"),AND(C522="净世破魔击·月",模拟模式!$J$7="洞若观火"),AB521=1)</f>
        <v>1</v>
      </c>
      <c r="BH521" s="115" t="b">
        <f t="shared" ca="1" si="443"/>
        <v>0</v>
      </c>
      <c r="BI521" s="115">
        <f t="shared" ca="1" si="462"/>
        <v>0</v>
      </c>
      <c r="BJ521" s="115" t="b">
        <f t="shared" ca="1" si="473"/>
        <v>0</v>
      </c>
      <c r="BK521" s="115" t="b">
        <f ca="1">AND(C521="驱夜断愁",模拟模式!$P$7="天地诛戮")</f>
        <v>0</v>
      </c>
      <c r="BL521" s="57">
        <f t="shared" ca="1" si="463"/>
        <v>18.155000000000001</v>
      </c>
      <c r="BM521" s="115" t="b">
        <f t="shared" ca="1" si="474"/>
        <v>1</v>
      </c>
      <c r="BN521" s="115" t="b">
        <f ca="1">AND(OR(C521="赤日轮1",C521="赤日轮2",C521="赤日轮3",C521="幽月轮1",C521="幽月轮2",C521="幽月轮3"),AB521=1,模拟模式!$L$7="明光恒照")</f>
        <v>1</v>
      </c>
      <c r="BO521" s="117">
        <f t="shared" ca="1" si="464"/>
        <v>30</v>
      </c>
      <c r="BP521" s="115">
        <f t="shared" ca="1" si="444"/>
        <v>6</v>
      </c>
      <c r="BQ521" s="115" t="b">
        <f>模拟模式!$K$10="2600·水"</f>
        <v>0</v>
      </c>
      <c r="BR521" s="117">
        <f t="shared" si="445"/>
        <v>0</v>
      </c>
      <c r="BS521" s="115">
        <f t="shared" si="446"/>
        <v>0</v>
      </c>
      <c r="BT521" s="115">
        <f t="shared" ca="1" si="447"/>
        <v>0</v>
      </c>
      <c r="BU521" s="115" t="b">
        <f ca="1">AND(模拟模式!$K$10="2300·雷",BT520=0,RAND()&lt;IF(C521="净世破魔击·月",5*0.05*2/3,IF(C521="净世破魔击·日",3*0.05*2/3,0.05*2*2/3)))</f>
        <v>0</v>
      </c>
      <c r="BV521" s="115">
        <f t="shared" ca="1" si="448"/>
        <v>0</v>
      </c>
      <c r="BW521" s="115">
        <f t="shared" ca="1" si="449"/>
        <v>99.742499999999254</v>
      </c>
      <c r="BX521" s="164" t="b">
        <f t="shared" ca="1" si="450"/>
        <v>0</v>
      </c>
      <c r="BY521" s="115">
        <f t="shared" ca="1" si="451"/>
        <v>0</v>
      </c>
      <c r="BZ521" s="115">
        <f>IF(OR(模拟模式!$P$16="10人团",模拟模式!$P$16="25人团"),IF(B521/30&gt;CA520,1,0),0)</f>
        <v>0</v>
      </c>
      <c r="CA521" s="115">
        <f t="shared" si="427"/>
        <v>0</v>
      </c>
      <c r="CB521" s="115">
        <f ca="1">IF(BZ521=1,IF(模拟模式!$P$16="10人团",15,0)+IF(模拟模式!$P$16="25人团",IF(RAND()&lt;0.6,15,0)),MAX(0,CB520-$F$4))</f>
        <v>0</v>
      </c>
      <c r="CC521" s="115" t="b">
        <f t="shared" ca="1" si="475"/>
        <v>0</v>
      </c>
      <c r="CD521" s="115">
        <f>IF(模拟模式!$Q$16="1个",IF(B521/40&gt;CE520,1,0),0)</f>
        <v>0</v>
      </c>
      <c r="CE521" s="115">
        <f t="shared" si="476"/>
        <v>0</v>
      </c>
      <c r="CF521" s="115">
        <f>IF(OR(CD521=1,模拟模式!$Q$16="2个"),20,MAX(0,CF520-$F$4))</f>
        <v>0</v>
      </c>
      <c r="CG521" s="115" t="b">
        <f t="shared" si="477"/>
        <v>0</v>
      </c>
      <c r="CH521" s="115">
        <f t="shared" ca="1" si="452"/>
        <v>20.775000000000006</v>
      </c>
      <c r="CI521" s="115" t="b">
        <f t="shared" ca="1" si="453"/>
        <v>0</v>
      </c>
      <c r="CJ521" s="119">
        <f t="shared" ca="1" si="454"/>
        <v>0</v>
      </c>
      <c r="CK521" s="115">
        <f t="shared" ca="1" si="455"/>
        <v>0</v>
      </c>
      <c r="CL521" s="115" t="b">
        <f ca="1">AND(模拟模式!$S$7="驱夷逐法",OR(AND(C521="净世破魔击·月",E520&gt;59),AND(C521="净世破魔击·日",F520&gt;59)))</f>
        <v>0</v>
      </c>
      <c r="CM521" s="115" t="b">
        <f ca="1">OR(CL521,AND(C521="净世破魔击·日",CL520,RAND()&lt;模拟模式!$U$23))</f>
        <v>0</v>
      </c>
      <c r="CN521" s="115" t="b">
        <f ca="1">IF(模拟模式!$M$7="辉耀红尘",AND(C521="净世破魔击·月",CL521,CV521=0,E520&lt;80),AND(C521="净世破魔击·月",CL521,E520&lt;100))</f>
        <v>0</v>
      </c>
      <c r="CO521" s="115" t="b">
        <f t="shared" ca="1" si="428"/>
        <v>0</v>
      </c>
      <c r="CP521" s="115" t="b">
        <f ca="1">AND(模拟模式!$O$7="用晦而明",OR(C521="净世破魔击·日",C521="净世破魔击·月",C521="驱夜断愁"),AB521)</f>
        <v>0</v>
      </c>
      <c r="CQ521" s="115" t="b">
        <f ca="1">OR(CP521,AND(CP520,RAND()&lt;模拟模式!$U$23))</f>
        <v>0</v>
      </c>
      <c r="CR521" s="115" t="b">
        <f ca="1">AND(模拟模式!$S$7="日月齐光",OR(C521="幽月轮1",C521="幽月轮2",C521="幽月轮3",CR520),NOT(OR(C521="赤日轮1",C521="赤日轮2",C521="赤日轮3")))</f>
        <v>0</v>
      </c>
      <c r="CS521" s="115" t="b">
        <f ca="1">AND(模拟模式!$S$7="日月齐光",OR(C521="赤日轮1",C521="赤日轮2",C521="赤日轮3",CS520),NOT(OR(C521="幽月轮1",C521="幽月轮2",C521="幽月轮3")))</f>
        <v>0</v>
      </c>
      <c r="CT521" s="115">
        <f t="shared" ca="1" si="456"/>
        <v>0</v>
      </c>
      <c r="CU521" s="115" t="b">
        <f ca="1">AND(模拟模式!$K$10="阴阳往极",CT520=0,RAND()&lt;IF(C521="净世破魔击·月",0.0275*7/3,IF(C521="净世破魔击·日",0.0275*3/3,0.0275*2/3)))</f>
        <v>0</v>
      </c>
      <c r="CV521" s="115">
        <f t="shared" ca="1" si="457"/>
        <v>0</v>
      </c>
      <c r="CW521" s="115">
        <f t="shared" ca="1" si="429"/>
        <v>5.0774999999999997</v>
      </c>
      <c r="CX521" s="115">
        <f t="shared" ca="1" si="430"/>
        <v>3.2324999999999995</v>
      </c>
      <c r="CY521" s="115">
        <f ca="1">MAX(IF($C521="驱夜断愁",IF(模拟模式!$R$7="万念俱寂",6,45),CY520-$F$4),0)</f>
        <v>4.1549999999999994</v>
      </c>
      <c r="CZ521" s="115">
        <f t="shared" ca="1" si="431"/>
        <v>0</v>
      </c>
      <c r="DA521" s="115">
        <f ca="1">IF(模拟模式!$N$7="日月同辉",IF(DB520=2,0,MIN(6,IF(AND(OR(C521="赤日轮1",C521="赤日轮2",C521="赤日轮3",C521="幽月轮1",C521="幽月轮2",C521="幽月轮3"),AB521=1),DA520+1,DA520))),0)</f>
        <v>5</v>
      </c>
      <c r="DB521" s="115">
        <f t="shared" ca="1" si="432"/>
        <v>0</v>
      </c>
      <c r="DC521" s="115"/>
      <c r="DD521" s="115"/>
      <c r="DE521" s="115"/>
      <c r="DF521" s="115"/>
      <c r="DG521" s="115"/>
      <c r="DH521" s="115"/>
      <c r="DI521" s="115"/>
      <c r="DJ521" s="115"/>
      <c r="DK521" s="115"/>
      <c r="DL521" s="115"/>
      <c r="DM521" s="115"/>
    </row>
    <row r="522" spans="2:117" x14ac:dyDescent="0.2">
      <c r="B522" s="117">
        <f t="shared" si="433"/>
        <v>456.63750000000476</v>
      </c>
      <c r="C522" s="167" t="str">
        <f t="shared" ca="1" si="426"/>
        <v>净世破魔击·月</v>
      </c>
      <c r="D522" s="115">
        <f ca="1">IF(C522="赤日轮1",1,IF(C522="赤日轮2",2,IF(C522="赤日轮3",3,IF(C522="幽月轮1",4,IF(C522="幽月轮2",5,IF(C522="幽月轮3",6,IF(C522="烈日斩",7,IF(C522="银月斩",8,IF(C522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522="净世破魔击·月",17,IF(C522="驱夜断愁",18,0)))))))))))</f>
        <v>17</v>
      </c>
      <c r="E522" s="115">
        <f ca="1">IF(AND(CU522,OR(C522="幽月轮1",C522="幽月轮2",C522="幽月轮3",C522="银月斩",C522="驱夜断愁",C522="净世破魔击·月")),100,MIN(IF(OR(CN522,BE522),0,IF(OR($C522="赤日轮1",$C522="赤日轮2",$C522="赤日轮3"),E521+20+IF(模拟模式!$I$7="日月凌天",4,0)+IF(CR521,20,0),IF($C522="烈日斩",E521+40,IF($C522="驱夜断愁",IF(模拟模式!$R$7="万念俱寂",E521+20,E521+60),IF($C522="净世破魔击·月",IF(OR(DB521&gt;0,CV521&gt;0),100,IF(模拟模式!$M$7="辉耀红尘",E521+20,E521)),IF($C522="净世破魔击·日",E521-100,E521)))))),100))</f>
        <v>100</v>
      </c>
      <c r="F522" s="115">
        <f ca="1">IF(AND(CU522,OR(C522="赤日轮1",C522="赤日轮2",C522="赤日轮3",C522="烈日斩",C522="净世破魔击·日")),100,MIN(IF(CO522,0,IF(OR($C522="幽月轮1",$C522="幽月轮2",$C522="幽月轮3"),F521+20+IF(模拟模式!$I$7="日月凌天",4,0)+IF(CS521,20,0),IF($C522="银月斩",F521+40+IF(模拟模式!$X$12=1,5,0),IF($C522="驱夜断愁",IF(模拟模式!$R$7="万念俱寂",F521+20,F521+60),IF($C522="净世破魔击·月",IF(模拟模式!$M$7="辉耀红尘",F521-80,F521-100),IF(AND(C522="净世破魔击·日",OR(DB521&gt;0,CV521&gt;0)),100,F521)))))),100))</f>
        <v>20</v>
      </c>
      <c r="G522" s="117">
        <f ca="1">('模拟-全程加成'!$E$3+'模拟-全程加成'!$E$4+'模拟-全程加成'!$E$5+('模拟-全程加成'!$C$6-'模拟-全程加成'!$C$3)*系数!$B$9+BS522*23)*(1+'模拟-全程加成'!$F$4+'模拟-全程加成'!$F$5+BJ522*10%+BM522*20%+BP522*4%+CG522*30%)+$F$7*系数!$B$12</f>
        <v>20583.127400000001</v>
      </c>
      <c r="H522" s="45">
        <f ca="1">'模拟-全程加成'!$H$3+'模拟-全程加成'!$H$4+'模拟-全程加成'!$H$5+('模拟-全程加成'!$G$4+'模拟-全程加成'!$G$5+('模拟-全程加成'!$C$6-'模拟-全程加成'!$C$3)*系数!$B$13)/系数!$B$3+LOOKUP(D522,'模拟-单技能数据'!$A$2:$A$19,'模拟-单技能数据'!$K$2:$K$19)+BG522*10%+IF(BV522&gt;0,378,0)</f>
        <v>0.54185145527300216</v>
      </c>
      <c r="I522" s="45">
        <f ca="1">'模拟-全程加成'!$J$3+'模拟-全程加成'!$J$4+'模拟-全程加成'!$J$5+('模拟-全程加成'!$I$4+'模拟-全程加成'!$I$5)/系数!$B$4+LOOKUP(D522,'模拟-单技能数据'!$A$2:$A$19,'模拟-单技能数据'!$L$2:$L$19)+BG522*10%</f>
        <v>2.162482885499879</v>
      </c>
      <c r="J522" s="45">
        <f ca="1">(('模拟-全程加成'!$K$3+'模拟-全程加成'!$K$4+'模拟-全程加成'!$K$5+('模拟-全程加成'!$C$6-'模拟-全程加成'!$C$3)*系数!$B$10+IF(BV522&gt;0,882,0)+IF(BY522&gt;0,1831,0))*(1+'模拟-全程加成'!$L$4+'模拟-全程加成'!$L$5+CC522*20%))/系数!$B$5</f>
        <v>0.69723220422048726</v>
      </c>
      <c r="K522" s="119">
        <f ca="1">LOOKUP(D522,'模拟-单技能数据'!$A$2:$A$19,'模拟-单技能数据'!$J$2:$J$19)+IF(CM522,60%,0)+IF(DB521-DB522&gt;0,30%,0)+IF(OR(AND(OR(C522="赤日轮1",C522="赤日轮2",C522="赤日轮3"),CR522),AND(OR(C522="幽月轮1",C522="幽月轮2",C522="幽月轮3"),CS522)),35%,0)+CJ522</f>
        <v>0.8</v>
      </c>
      <c r="L522" s="119">
        <f ca="1">IF(AND(C522="烈日斩",模拟模式!$X$11=1),10%,0)+IF(AND(C522="驱夜断愁",AB522=1),30%,0)</f>
        <v>0</v>
      </c>
      <c r="M522" s="45">
        <f t="shared" ca="1" si="465"/>
        <v>0.54185145527300216</v>
      </c>
      <c r="N522" s="45">
        <f t="shared" ca="1" si="466"/>
        <v>0.40424854472699789</v>
      </c>
      <c r="O522" s="46">
        <f t="shared" ca="1" si="434"/>
        <v>0.19855796228280842</v>
      </c>
      <c r="P522" s="46" t="str">
        <f t="shared" ca="1" si="435"/>
        <v>会</v>
      </c>
      <c r="Q522" s="45">
        <f t="shared" ca="1" si="436"/>
        <v>2.162482885499879</v>
      </c>
      <c r="R522" s="117">
        <f ca="1">模拟模式!$E$20*(1-IF(模拟模式!$J$19="有",0.15,0))*(1-IF(模拟模式!$K$19="有",0.3,0)-IF(CQ522,0.5,0))</f>
        <v>843.02999999999975</v>
      </c>
      <c r="S522" s="45">
        <f ca="1">R522/(R522+(185*模拟模式!$E$22-16800)*4.08224)</f>
        <v>8.389626085980037E-2</v>
      </c>
      <c r="T522" s="45" t="str">
        <f ca="1">LOOKUP(D522,'模拟-单技能数据'!$A$2:$A$19,'模拟-单技能数据'!$H$2:$H$19)</f>
        <v>阴</v>
      </c>
      <c r="U522" s="119">
        <f t="shared" ca="1" si="467"/>
        <v>0.08</v>
      </c>
      <c r="V522" s="47">
        <f ca="1">(1+L522)*(LOOKUP(D522,'模拟-单技能数据'!$A$2:$A$19,'模拟-单技能数据'!$D$2:$D$19)+G522*LOOKUP(D522,'模拟-单技能数据'!$A$2:$A$19,'模拟-单技能数据'!$F$2:$F$19))*(1+J522)*(1+K522)*(1-S522)*(1+U522)*Q522*LOOKUP(D522,'模拟-单技能数据'!$A$2:$A$19,'模拟-单技能数据'!$I$2:$I$20)</f>
        <v>174868.36016214982</v>
      </c>
      <c r="W522" s="47">
        <f ca="1">LOOKUP(D522,'模拟-单技能数据'!$A$2:$A$19,'模拟-单技能数据'!$G$2:$G$19)*$I$10</f>
        <v>361.51064354704795</v>
      </c>
      <c r="X522" s="47">
        <f t="shared" ca="1" si="437"/>
        <v>16858.386290731236</v>
      </c>
      <c r="Y522" s="47">
        <f t="shared" ca="1" si="468"/>
        <v>192088.2570964281</v>
      </c>
      <c r="Z522" s="49">
        <f t="shared" ca="1" si="469"/>
        <v>51820584.416453272</v>
      </c>
      <c r="AA522" s="97">
        <f t="shared" ca="1" si="470"/>
        <v>113482.98029936817</v>
      </c>
      <c r="AB522" s="115">
        <f ca="1">IF(OR(C522="赤日轮1",C522="赤日轮2",C522="赤日轮3"),IF(RAND()&lt;模拟模式!$Y$17,1,0),IF(OR(C522="幽月轮1",C522="幽月轮2",C522="幽月轮3"),IF(RAND()&lt;模拟模式!$Y$18,1,0),IF(C522="烈日斩",IF(RAND()&lt;模拟模式!$Y$19,1,0),IF(C522="银月斩",IF(RAND()&lt;模拟模式!$Y$20,1,0),IF(C522="驱夜断愁",IF(RAND()&lt;模拟模式!$Y$21,1,0),IF(C522="净世破魔击·日",IF(RAND()&lt;模拟模式!$Y$22,1,0),IF(C522="净世破魔击·月",IF(RAND()&lt;模拟模式!$Y$23,1,0),0)))))))</f>
        <v>1</v>
      </c>
      <c r="AC522" s="115" t="b">
        <f t="shared" ca="1" si="458"/>
        <v>0</v>
      </c>
      <c r="AD522" s="115" t="b">
        <f t="shared" ca="1" si="478"/>
        <v>1</v>
      </c>
      <c r="AE522" s="115">
        <f t="shared" ca="1" si="479"/>
        <v>3</v>
      </c>
      <c r="AF522" s="47">
        <f ca="1">IF(AC522,('模拟-单技能数据'!$D$20+G522*'模拟-单技能数据'!$F$20)*(1+J522)*(1+'模拟-单技能数据'!$J$20)*(1+U522),0)</f>
        <v>0</v>
      </c>
      <c r="AG522" s="61">
        <f t="shared" ca="1" si="471"/>
        <v>0.64185145527300214</v>
      </c>
      <c r="AH522" s="61">
        <f t="shared" ca="1" si="472"/>
        <v>2.2624828854998791</v>
      </c>
      <c r="AI522" s="62">
        <f t="shared" ca="1" si="438"/>
        <v>8.7904370918477692E-2</v>
      </c>
      <c r="AJ522" s="47">
        <f ca="1">IF(AD522,IF(AI522&lt;$F$10,0,IF(AI522&lt;$F$10+$F$11,0.25,IF(AI522&lt;$F$10+$F$11+AG522,AH522,1)))*IF(AF522&gt;0,AF522,IF(AF521&gt;0,AF521,IF(AF520&gt;0,AF520,IF(AF519&gt;0,AF519,IF(AF518&gt;0,AF518,IF(AF517&gt;0,AF517,IF(AF516&gt;0,AF516,IF(AF515&gt;0,AF515,IF(AF514&gt;0,AF514,IF(AF512&gt;0,AF512,IF(AF511&gt;0,AF511,IF(AF510&gt;0,AF510,0)))))))))))),0)*(1-$S522)*'模拟-单技能数据'!$I$20</f>
        <v>9218.9345386263849</v>
      </c>
      <c r="AK522" s="115" t="b">
        <f t="shared" ca="1" si="459"/>
        <v>0</v>
      </c>
      <c r="AL522" s="115" t="b">
        <f t="shared" ca="1" si="480"/>
        <v>0</v>
      </c>
      <c r="AM522" s="115">
        <f t="shared" ca="1" si="481"/>
        <v>3</v>
      </c>
      <c r="AN522" s="47">
        <f ca="1">IF(AK522,('模拟-单技能数据'!$D$21+G522*'模拟-单技能数据'!$F$21)*(1+J522)*(1+'模拟-单技能数据'!$J$21)*(1+U522),0)</f>
        <v>0</v>
      </c>
      <c r="AO522" s="61">
        <f ca="1">IF(AN522&gt;0,M522-'模拟-单技能数据'!$K$10,AO521)</f>
        <v>0.42185145527300216</v>
      </c>
      <c r="AP522" s="61">
        <f ca="1">IF(AN522&gt;0,I522-'模拟-单技能数据'!$L$10,AP521)</f>
        <v>2.162482885499879</v>
      </c>
      <c r="AQ522" s="63">
        <f t="shared" ca="1" si="439"/>
        <v>0.13711417712461171</v>
      </c>
      <c r="AR522" s="64">
        <f ca="1">IF(AL522,IF(AQ522&lt;$F$10,0,IF(AQ522&lt;$F$10+$F$11,0.25,IF(AQ522&lt;$F$10+$F$11+AO522,AP522,1)))*IF(AN522&gt;0,AN522,IF(AN521&gt;0,AN521,IF(AN520&gt;0,AN520,IF(AN519&gt;0,AN519,IF(AN518&gt;0,AN518,IF(AN517&gt;0,AN517,IF(AN516&gt;0,AN516,IF(AN515&gt;0,AN515,IF(AN514&gt;0,AN514,IF(AN512&gt;0,AN512,IF(AN511&gt;0,AN511,IF(AN510&gt;0,AN510,0)))))))))))),0)*(1-$S522)*'模拟-单技能数据'!$I$21</f>
        <v>0</v>
      </c>
      <c r="AS522" s="61">
        <f ca="1">IF(OR(C522="净世破魔击·日",C522="净世破魔击·月"),M522-'模拟-单技能数据'!$K$10,0)</f>
        <v>0.42185145527300216</v>
      </c>
      <c r="AT522" s="61">
        <f ca="1">IF(OR(C522="净世破魔击·日",C522="净世破魔击·月"),I522-'模拟-单技能数据'!$L$10,0)</f>
        <v>2.162482885499879</v>
      </c>
      <c r="AU522" s="62">
        <f t="shared" ca="1" si="440"/>
        <v>0.80432902692642561</v>
      </c>
      <c r="AV522" s="64">
        <f ca="1">IF(AS522&gt;0,('模拟-单技能数据'!$D$22+G522*'模拟-单技能数据'!$F$22)*(1+J522)*(1-S522)*IF(AU522&lt;$F$10,0,IF(AU522&lt;$F$10+$F$11,0.25,IF(AU522&lt;$F$10+$F$11+AS522,AT522,1)))*(1+U522),0)*'模拟-单技能数据'!$I$22</f>
        <v>7639.4517521048492</v>
      </c>
      <c r="AW522" s="108">
        <f t="shared" ca="1" si="441"/>
        <v>1.5500000000000065</v>
      </c>
      <c r="AX522" s="108" t="b">
        <f ca="1">AND(模拟模式!$P$10="有",AW521=0,RAND()&lt;IF(C522="净世破魔击·月",0.1*8/3,IF(C522="净世破魔击·日",0.1*4/3,0.1*2/3)))</f>
        <v>0</v>
      </c>
      <c r="AY522" s="47">
        <f ca="1">IF(AX522,(18+G522*0.722)*(1+J522)*(1-S522)*(1+$I$4)*IF(P522="会",'模拟-全程加成'!$J$3+'模拟-全程加成'!$J$4+'模拟-全程加成'!$J$5+('模拟-全程加成'!$I$4+'模拟-全程加成'!$I$5)/系数!$B$4+BG522*10%,IF(P522="命",1,IF(P522="识",0.25,0))),0)</f>
        <v>0</v>
      </c>
      <c r="AZ522" s="108">
        <f t="shared" si="442"/>
        <v>9.8525000000000063</v>
      </c>
      <c r="BA522" s="108" t="b">
        <f>AND(模拟模式!$Q$10="有",AZ521=0)</f>
        <v>0</v>
      </c>
      <c r="BB522" s="140">
        <f>IF(BA522,(0+G522*0.287)*(1+J522)*(1-S522)*(1+$I$4)*IF(P522="会",'模拟-全程加成'!$J$3+'模拟-全程加成'!$J$4+'模拟-全程加成'!$J$5+('模拟-全程加成'!$I$4+'模拟-全程加成'!$I$5)/系数!$B$4+BG522*10%,IF(P522="命",1,IF(P522="识",0.25,0))),0)</f>
        <v>0</v>
      </c>
      <c r="BC522" s="115" t="b">
        <f ca="1">AND(模拟模式!$R$7="伏明众生",E522=60,F522=20,DA522&lt;5,CZ521&lt;$F$4)</f>
        <v>0</v>
      </c>
      <c r="BD522" s="115">
        <f t="shared" ca="1" si="460"/>
        <v>0</v>
      </c>
      <c r="BE522" s="115" t="b">
        <f t="shared" ca="1" si="461"/>
        <v>0</v>
      </c>
      <c r="BF522" s="47">
        <f ca="1">IF(BC522,4*('模拟-单技能数据'!$D$24+G522*'模拟-单技能数据'!$F$24)*(1+J522)*(1+'模拟-单技能数据'!$J$24)*(1-S522)*(1+$I$3)*(('模拟-全程加成'!$J$3+'模拟-全程加成'!$J$4+'模拟-全程加成'!$J$5+('模拟-全程加成'!$I$4+'模拟-全程加成'!$I$5)/系数!$B$4+BG522*10%)*('模拟-全程加成'!$J$3+'模拟-全程加成'!$J$4+'模拟-全程加成'!$J$5+('模拟-全程加成'!$I$4+'模拟-全程加成'!$I$5)/系数!$B$4+BG522*10%)+(1-('模拟-全程加成'!$J$3+'模拟-全程加成'!$J$4+'模拟-全程加成'!$J$5+('模拟-全程加成'!$I$4+'模拟-全程加成'!$I$5)/系数!$B$4+BG522*10%)-$F$10-$F$11)+F508*0.25),0)*'模拟-单技能数据'!$I$24</f>
        <v>0</v>
      </c>
      <c r="BG522" s="115" t="b">
        <f ca="1">OR(AND(OR(C522="烈日斩",C522="银月斩"),模拟模式!$I$7="净身明礼"),AND(C522="净世破魔击·日",模拟模式!$J$7="洞若观火"),AND(C523="净世破魔击·月",模拟模式!$J$7="洞若观火"),AB522=1)</f>
        <v>1</v>
      </c>
      <c r="BH522" s="115" t="b">
        <f t="shared" ca="1" si="443"/>
        <v>0</v>
      </c>
      <c r="BI522" s="115">
        <f t="shared" ca="1" si="462"/>
        <v>0</v>
      </c>
      <c r="BJ522" s="115" t="b">
        <f t="shared" ca="1" si="473"/>
        <v>0</v>
      </c>
      <c r="BK522" s="115" t="b">
        <f ca="1">AND(C522="驱夜断愁",模拟模式!$P$7="天地诛戮")</f>
        <v>0</v>
      </c>
      <c r="BL522" s="57">
        <f t="shared" ca="1" si="463"/>
        <v>17.232500000000002</v>
      </c>
      <c r="BM522" s="115" t="b">
        <f t="shared" ca="1" si="474"/>
        <v>1</v>
      </c>
      <c r="BN522" s="115" t="b">
        <f ca="1">AND(OR(C522="赤日轮1",C522="赤日轮2",C522="赤日轮3",C522="幽月轮1",C522="幽月轮2",C522="幽月轮3"),AB522=1,模拟模式!$L$7="明光恒照")</f>
        <v>0</v>
      </c>
      <c r="BO522" s="117">
        <f t="shared" ca="1" si="464"/>
        <v>29.077500000000001</v>
      </c>
      <c r="BP522" s="115">
        <f t="shared" ca="1" si="444"/>
        <v>6</v>
      </c>
      <c r="BQ522" s="115" t="b">
        <f>模拟模式!$K$10="2600·水"</f>
        <v>0</v>
      </c>
      <c r="BR522" s="117">
        <f t="shared" si="445"/>
        <v>0</v>
      </c>
      <c r="BS522" s="115">
        <f t="shared" si="446"/>
        <v>0</v>
      </c>
      <c r="BT522" s="115">
        <f t="shared" ca="1" si="447"/>
        <v>0</v>
      </c>
      <c r="BU522" s="115" t="b">
        <f ca="1">AND(模拟模式!$K$10="2300·雷",BT521=0,RAND()&lt;IF(C522="净世破魔击·月",5*0.05*2/3,IF(C522="净世破魔击·日",3*0.05*2/3,0.05*2*2/3)))</f>
        <v>0</v>
      </c>
      <c r="BV522" s="115">
        <f t="shared" ca="1" si="448"/>
        <v>0</v>
      </c>
      <c r="BW522" s="115">
        <f t="shared" ca="1" si="449"/>
        <v>98.819999999999254</v>
      </c>
      <c r="BX522" s="164" t="b">
        <f t="shared" ca="1" si="450"/>
        <v>0</v>
      </c>
      <c r="BY522" s="115">
        <f t="shared" ca="1" si="451"/>
        <v>0</v>
      </c>
      <c r="BZ522" s="115">
        <f>IF(OR(模拟模式!$P$16="10人团",模拟模式!$P$16="25人团"),IF(B522/30&gt;CA521,1,0),0)</f>
        <v>0</v>
      </c>
      <c r="CA522" s="115">
        <f t="shared" si="427"/>
        <v>0</v>
      </c>
      <c r="CB522" s="115">
        <f ca="1">IF(BZ522=1,IF(模拟模式!$P$16="10人团",15,0)+IF(模拟模式!$P$16="25人团",IF(RAND()&lt;0.6,15,0)),MAX(0,CB521-$F$4))</f>
        <v>0</v>
      </c>
      <c r="CC522" s="115" t="b">
        <f t="shared" ca="1" si="475"/>
        <v>0</v>
      </c>
      <c r="CD522" s="115">
        <f>IF(模拟模式!$Q$16="1个",IF(B522/40&gt;CE521,1,0),0)</f>
        <v>0</v>
      </c>
      <c r="CE522" s="115">
        <f t="shared" si="476"/>
        <v>0</v>
      </c>
      <c r="CF522" s="115">
        <f>IF(OR(CD522=1,模拟模式!$Q$16="2个"),20,MAX(0,CF521-$F$4))</f>
        <v>0</v>
      </c>
      <c r="CG522" s="115" t="b">
        <f t="shared" si="477"/>
        <v>0</v>
      </c>
      <c r="CH522" s="115">
        <f t="shared" ca="1" si="452"/>
        <v>19.852500000000006</v>
      </c>
      <c r="CI522" s="115" t="b">
        <f t="shared" ca="1" si="453"/>
        <v>0</v>
      </c>
      <c r="CJ522" s="119">
        <f t="shared" ca="1" si="454"/>
        <v>0</v>
      </c>
      <c r="CK522" s="115">
        <f t="shared" ca="1" si="455"/>
        <v>0</v>
      </c>
      <c r="CL522" s="115" t="b">
        <f ca="1">AND(模拟模式!$S$7="驱夷逐法",OR(AND(C522="净世破魔击·月",E521&gt;59),AND(C522="净世破魔击·日",F521&gt;59)))</f>
        <v>1</v>
      </c>
      <c r="CM522" s="115" t="b">
        <f ca="1">OR(CL522,AND(C522="净世破魔击·日",CL521,RAND()&lt;模拟模式!$U$23))</f>
        <v>1</v>
      </c>
      <c r="CN522" s="115" t="b">
        <f ca="1">IF(模拟模式!$M$7="辉耀红尘",AND(C522="净世破魔击·月",CL522,CV522=0,E521&lt;80),AND(C522="净世破魔击·月",CL522,E521&lt;100))</f>
        <v>0</v>
      </c>
      <c r="CO522" s="115" t="b">
        <f t="shared" ca="1" si="428"/>
        <v>0</v>
      </c>
      <c r="CP522" s="115" t="b">
        <f ca="1">AND(模拟模式!$O$7="用晦而明",OR(C522="净世破魔击·日",C522="净世破魔击·月",C522="驱夜断愁"),AB522)</f>
        <v>1</v>
      </c>
      <c r="CQ522" s="115" t="b">
        <f ca="1">OR(CP522,AND(CP521,RAND()&lt;模拟模式!$U$23))</f>
        <v>1</v>
      </c>
      <c r="CR522" s="115" t="b">
        <f ca="1">AND(模拟模式!$S$7="日月齐光",OR(C522="幽月轮1",C522="幽月轮2",C522="幽月轮3",CR521),NOT(OR(C522="赤日轮1",C522="赤日轮2",C522="赤日轮3")))</f>
        <v>0</v>
      </c>
      <c r="CS522" s="115" t="b">
        <f ca="1">AND(模拟模式!$S$7="日月齐光",OR(C522="赤日轮1",C522="赤日轮2",C522="赤日轮3",CS521),NOT(OR(C522="幽月轮1",C522="幽月轮2",C522="幽月轮3")))</f>
        <v>0</v>
      </c>
      <c r="CT522" s="115">
        <f t="shared" ca="1" si="456"/>
        <v>0</v>
      </c>
      <c r="CU522" s="115" t="b">
        <f ca="1">AND(模拟模式!$K$10="阴阳往极",CT521=0,RAND()&lt;IF(C522="净世破魔击·月",0.0275*7/3,IF(C522="净世破魔击·日",0.0275*3/3,0.0275*2/3)))</f>
        <v>0</v>
      </c>
      <c r="CV522" s="115">
        <f t="shared" ca="1" si="457"/>
        <v>0</v>
      </c>
      <c r="CW522" s="115">
        <f t="shared" ca="1" si="429"/>
        <v>4.1549999999999994</v>
      </c>
      <c r="CX522" s="115">
        <f t="shared" ca="1" si="430"/>
        <v>2.3099999999999996</v>
      </c>
      <c r="CY522" s="115">
        <f ca="1">MAX(IF($C522="驱夜断愁",IF(模拟模式!$R$7="万念俱寂",6,45),CY521-$F$4),0)</f>
        <v>3.2324999999999995</v>
      </c>
      <c r="CZ522" s="115">
        <f t="shared" ca="1" si="431"/>
        <v>0</v>
      </c>
      <c r="DA522" s="115">
        <f ca="1">IF(模拟模式!$N$7="日月同辉",IF(DB521=2,0,MIN(6,IF(AND(OR(C522="赤日轮1",C522="赤日轮2",C522="赤日轮3",C522="幽月轮1",C522="幽月轮2",C522="幽月轮3"),AB522=1),DA521+1,DA521))),0)</f>
        <v>5</v>
      </c>
      <c r="DB522" s="115">
        <f t="shared" ca="1" si="432"/>
        <v>0</v>
      </c>
      <c r="DC522" s="115"/>
      <c r="DD522" s="115"/>
      <c r="DE522" s="115"/>
      <c r="DF522" s="115"/>
      <c r="DG522" s="115"/>
      <c r="DH522" s="115"/>
      <c r="DI522" s="115"/>
      <c r="DJ522" s="115"/>
      <c r="DK522" s="115"/>
      <c r="DL522" s="115"/>
      <c r="DM522" s="115"/>
    </row>
    <row r="523" spans="2:117" x14ac:dyDescent="0.2">
      <c r="B523" s="117">
        <f t="shared" si="433"/>
        <v>457.56000000000478</v>
      </c>
      <c r="C523" s="167" t="str">
        <f t="shared" ca="1" si="426"/>
        <v>净世破魔击·日</v>
      </c>
      <c r="D523" s="115">
        <f ca="1">IF(C523="赤日轮1",1,IF(C523="赤日轮2",2,IF(C523="赤日轮3",3,IF(C523="幽月轮1",4,IF(C523="幽月轮2",5,IF(C523="幽月轮3",6,IF(C523="烈日斩",7,IF(C523="银月斩",8,IF(C523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523="净世破魔击·月",17,IF(C523="驱夜断愁",18,0)))))))))))</f>
        <v>9</v>
      </c>
      <c r="E523" s="115">
        <f ca="1">IF(AND(CU523,OR(C523="幽月轮1",C523="幽月轮2",C523="幽月轮3",C523="银月斩",C523="驱夜断愁",C523="净世破魔击·月")),100,MIN(IF(OR(CN523,BE523),0,IF(OR($C523="赤日轮1",$C523="赤日轮2",$C523="赤日轮3"),E522+20+IF(模拟模式!$I$7="日月凌天",4,0)+IF(CR522,20,0),IF($C523="烈日斩",E522+40,IF($C523="驱夜断愁",IF(模拟模式!$R$7="万念俱寂",E522+20,E522+60),IF($C523="净世破魔击·月",IF(OR(DB522&gt;0,CV522&gt;0),100,IF(模拟模式!$M$7="辉耀红尘",E522+20,E522)),IF($C523="净世破魔击·日",E522-100,E522)))))),100))</f>
        <v>0</v>
      </c>
      <c r="F523" s="115">
        <f ca="1">IF(AND(CU523,OR(C523="赤日轮1",C523="赤日轮2",C523="赤日轮3",C523="烈日斩",C523="净世破魔击·日")),100,MIN(IF(CO523,0,IF(OR($C523="幽月轮1",$C523="幽月轮2",$C523="幽月轮3"),F522+20+IF(模拟模式!$I$7="日月凌天",4,0)+IF(CS522,20,0),IF($C523="银月斩",F522+40+IF(模拟模式!$X$12=1,5,0),IF($C523="驱夜断愁",IF(模拟模式!$R$7="万念俱寂",F522+20,F522+60),IF($C523="净世破魔击·月",IF(模拟模式!$M$7="辉耀红尘",F522-80,F522-100),IF(AND(C523="净世破魔击·日",OR(DB522&gt;0,CV522&gt;0)),100,F522)))))),100))</f>
        <v>20</v>
      </c>
      <c r="G523" s="117">
        <f ca="1">('模拟-全程加成'!$E$3+'模拟-全程加成'!$E$4+'模拟-全程加成'!$E$5+('模拟-全程加成'!$C$6-'模拟-全程加成'!$C$3)*系数!$B$9+BS523*23)*(1+'模拟-全程加成'!$F$4+'模拟-全程加成'!$F$5+BJ523*10%+BM523*20%+BP523*4%+CG523*30%)+$F$7*系数!$B$12</f>
        <v>20583.127400000001</v>
      </c>
      <c r="H523" s="45">
        <f ca="1">'模拟-全程加成'!$H$3+'模拟-全程加成'!$H$4+'模拟-全程加成'!$H$5+('模拟-全程加成'!$G$4+'模拟-全程加成'!$G$5+('模拟-全程加成'!$C$6-'模拟-全程加成'!$C$3)*系数!$B$13)/系数!$B$3+LOOKUP(D523,'模拟-单技能数据'!$A$2:$A$19,'模拟-单技能数据'!$K$2:$K$19)+BG523*10%+IF(BV523&gt;0,378,0)</f>
        <v>0.54185145527300216</v>
      </c>
      <c r="I523" s="45">
        <f ca="1">'模拟-全程加成'!$J$3+'模拟-全程加成'!$J$4+'模拟-全程加成'!$J$5+('模拟-全程加成'!$I$4+'模拟-全程加成'!$I$5)/系数!$B$4+LOOKUP(D523,'模拟-单技能数据'!$A$2:$A$19,'模拟-单技能数据'!$L$2:$L$19)+BG523*10%</f>
        <v>2.162482885499879</v>
      </c>
      <c r="J523" s="45">
        <f ca="1">(('模拟-全程加成'!$K$3+'模拟-全程加成'!$K$4+'模拟-全程加成'!$K$5+('模拟-全程加成'!$C$6-'模拟-全程加成'!$C$3)*系数!$B$10+IF(BV523&gt;0,882,0)+IF(BY523&gt;0,1831,0))*(1+'模拟-全程加成'!$L$4+'模拟-全程加成'!$L$5+CC523*20%))/系数!$B$5</f>
        <v>0.69723220422048726</v>
      </c>
      <c r="K523" s="119">
        <f ca="1">LOOKUP(D523,'模拟-单技能数据'!$A$2:$A$19,'模拟-单技能数据'!$J$2:$J$19)+IF(CM523,60%,0)+IF(DB522-DB523&gt;0,30%,0)+IF(OR(AND(OR(C523="赤日轮1",C523="赤日轮2",C523="赤日轮3"),CR523),AND(OR(C523="幽月轮1",C523="幽月轮2",C523="幽月轮3"),CS523)),35%,0)+CJ523</f>
        <v>0.8</v>
      </c>
      <c r="L523" s="119">
        <f ca="1">IF(AND(C523="烈日斩",模拟模式!$X$11=1),10%,0)+IF(AND(C523="驱夜断愁",AB523=1),30%,0)</f>
        <v>0</v>
      </c>
      <c r="M523" s="45">
        <f t="shared" ca="1" si="465"/>
        <v>0.54185145527300216</v>
      </c>
      <c r="N523" s="45">
        <f t="shared" ca="1" si="466"/>
        <v>0.40424854472699789</v>
      </c>
      <c r="O523" s="46">
        <f t="shared" ca="1" si="434"/>
        <v>0.82815291790888057</v>
      </c>
      <c r="P523" s="46" t="str">
        <f t="shared" ca="1" si="435"/>
        <v>命</v>
      </c>
      <c r="Q523" s="45">
        <f t="shared" ca="1" si="436"/>
        <v>1</v>
      </c>
      <c r="R523" s="117">
        <f ca="1">模拟模式!$E$20*(1-IF(模拟模式!$J$19="有",0.15,0))*(1-IF(模拟模式!$K$19="有",0.3,0)-IF(CQ523,0.5,0))</f>
        <v>843.02999999999975</v>
      </c>
      <c r="S523" s="45">
        <f ca="1">R523/(R523+(185*模拟模式!$E$22-16800)*4.08224)</f>
        <v>8.389626085980037E-2</v>
      </c>
      <c r="T523" s="45" t="str">
        <f ca="1">LOOKUP(D523,'模拟-单技能数据'!$A$2:$A$19,'模拟-单技能数据'!$H$2:$H$19)</f>
        <v>阳</v>
      </c>
      <c r="U523" s="119">
        <f t="shared" ca="1" si="467"/>
        <v>0.2</v>
      </c>
      <c r="V523" s="47">
        <f ca="1">(1+L523)*(LOOKUP(D523,'模拟-单技能数据'!$A$2:$A$19,'模拟-单技能数据'!$D$2:$D$19)+G523*LOOKUP(D523,'模拟-单技能数据'!$A$2:$A$19,'模拟-单技能数据'!$F$2:$F$19))*(1+J523)*(1+K523)*(1-S523)*(1+U523)*Q523*LOOKUP(D523,'模拟-单技能数据'!$A$2:$A$19,'模拟-单技能数据'!$I$2:$I$20)</f>
        <v>90597.625627626709</v>
      </c>
      <c r="W523" s="47">
        <f ca="1">LOOKUP(D523,'模拟-单技能数据'!$A$2:$A$19,'模拟-单技能数据'!$G$2:$G$19)*$I$10</f>
        <v>723.0212870940959</v>
      </c>
      <c r="X523" s="47">
        <f t="shared" ca="1" si="437"/>
        <v>42399.008809323939</v>
      </c>
      <c r="Y523" s="47">
        <f t="shared" ca="1" si="468"/>
        <v>133719.65572404474</v>
      </c>
      <c r="Z523" s="49">
        <f t="shared" ca="1" si="469"/>
        <v>51954304.072177313</v>
      </c>
      <c r="AA523" s="97">
        <f t="shared" ca="1" si="470"/>
        <v>113546.42904138642</v>
      </c>
      <c r="AB523" s="115">
        <f ca="1">IF(OR(C523="赤日轮1",C523="赤日轮2",C523="赤日轮3"),IF(RAND()&lt;模拟模式!$Y$17,1,0),IF(OR(C523="幽月轮1",C523="幽月轮2",C523="幽月轮3"),IF(RAND()&lt;模拟模式!$Y$18,1,0),IF(C523="烈日斩",IF(RAND()&lt;模拟模式!$Y$19,1,0),IF(C523="银月斩",IF(RAND()&lt;模拟模式!$Y$20,1,0),IF(C523="驱夜断愁",IF(RAND()&lt;模拟模式!$Y$21,1,0),IF(C523="净世破魔击·日",IF(RAND()&lt;模拟模式!$Y$22,1,0),IF(C523="净世破魔击·月",IF(RAND()&lt;模拟模式!$Y$23,1,0),0)))))))</f>
        <v>1</v>
      </c>
      <c r="AC523" s="115" t="b">
        <f t="shared" ca="1" si="458"/>
        <v>0</v>
      </c>
      <c r="AD523" s="115" t="b">
        <f t="shared" ca="1" si="478"/>
        <v>0</v>
      </c>
      <c r="AE523" s="115">
        <f t="shared" ca="1" si="479"/>
        <v>3</v>
      </c>
      <c r="AF523" s="47">
        <f ca="1">IF(AC523,('模拟-单技能数据'!$D$20+G523*'模拟-单技能数据'!$F$20)*(1+J523)*(1+'模拟-单技能数据'!$J$20)*(1+U523),0)</f>
        <v>0</v>
      </c>
      <c r="AG523" s="61">
        <f t="shared" ca="1" si="471"/>
        <v>0.64185145527300214</v>
      </c>
      <c r="AH523" s="61">
        <f t="shared" ca="1" si="472"/>
        <v>2.2624828854998791</v>
      </c>
      <c r="AI523" s="62">
        <f t="shared" ca="1" si="438"/>
        <v>0.53221050124221037</v>
      </c>
      <c r="AJ523" s="47">
        <f ca="1">IF(AD523,IF(AI523&lt;$F$10,0,IF(AI523&lt;$F$10+$F$11,0.25,IF(AI523&lt;$F$10+$F$11+AG523,AH523,1)))*IF(AF523&gt;0,AF523,IF(AF522&gt;0,AF522,IF(AF521&gt;0,AF521,IF(AF520&gt;0,AF520,IF(AF519&gt;0,AF519,IF(AF518&gt;0,AF518,IF(AF517&gt;0,AF517,IF(AF516&gt;0,AF516,IF(AF515&gt;0,AF515,IF(AF513&gt;0,AF513,IF(AF512&gt;0,AF512,IF(AF511&gt;0,AF511,0)))))))))))),0)*(1-$S523)*'模拟-单技能数据'!$I$20</f>
        <v>0</v>
      </c>
      <c r="AK523" s="115" t="b">
        <f t="shared" ca="1" si="459"/>
        <v>1</v>
      </c>
      <c r="AL523" s="115" t="b">
        <f t="shared" ca="1" si="480"/>
        <v>1</v>
      </c>
      <c r="AM523" s="115">
        <f t="shared" ca="1" si="481"/>
        <v>5</v>
      </c>
      <c r="AN523" s="47">
        <f ca="1">IF(AK523,('模拟-单技能数据'!$D$21+G523*'模拟-单技能数据'!$F$21)*(1+J523)*(1+'模拟-单技能数据'!$J$21)*(1+U523),0)</f>
        <v>12136.56601728573</v>
      </c>
      <c r="AO523" s="61">
        <f ca="1">IF(AN523&gt;0,M523-'模拟-单技能数据'!$K$10,AO522)</f>
        <v>0.42185145527300216</v>
      </c>
      <c r="AP523" s="61">
        <f ca="1">IF(AN523&gt;0,I523-'模拟-单技能数据'!$L$10,AP522)</f>
        <v>2.162482885499879</v>
      </c>
      <c r="AQ523" s="63">
        <f t="shared" ca="1" si="439"/>
        <v>0.41293629899042827</v>
      </c>
      <c r="AR523" s="64">
        <f ca="1">IF(AL523,IF(AQ523&lt;$F$10,0,IF(AQ523&lt;$F$10+$F$11,0.25,IF(AQ523&lt;$F$10+$F$11+AO523,AP523,1)))*IF(AN523&gt;0,AN523,IF(AN522&gt;0,AN522,IF(AN521&gt;0,AN521,IF(AN520&gt;0,AN520,IF(AN519&gt;0,AN519,IF(AN518&gt;0,AN518,IF(AN517&gt;0,AN517,IF(AN516&gt;0,AN516,IF(AN515&gt;0,AN515,IF(AN513&gt;0,AN513,IF(AN512&gt;0,AN512,IF(AN511&gt;0,AN511,0)))))))))))),0)*(1-$S523)*'模拟-单技能数据'!$I$21</f>
        <v>24043.249177625272</v>
      </c>
      <c r="AS523" s="61">
        <f ca="1">IF(OR(C523="净世破魔击·日",C523="净世破魔击·月"),M523-'模拟-单技能数据'!$K$10,0)</f>
        <v>0.42185145527300216</v>
      </c>
      <c r="AT523" s="61">
        <f ca="1">IF(OR(C523="净世破魔击·日",C523="净世破魔击·月"),I523-'模拟-单技能数据'!$L$10,0)</f>
        <v>2.162482885499879</v>
      </c>
      <c r="AU523" s="62">
        <f t="shared" ca="1" si="440"/>
        <v>0.36740435808301619</v>
      </c>
      <c r="AV523" s="64">
        <f ca="1">IF(AS523&gt;0,('模拟-单技能数据'!$D$22+G523*'模拟-单技能数据'!$F$22)*(1+J523)*(1-S523)*IF(AU523&lt;$F$10,0,IF(AU523&lt;$F$10+$F$11,0.25,IF(AU523&lt;$F$10+$F$11+AS523,AT523,1)))*(1+U523),0)*'模拟-单技能数据'!$I$22</f>
        <v>18355.759631698667</v>
      </c>
      <c r="AW523" s="108">
        <f t="shared" ca="1" si="441"/>
        <v>0.6275000000000065</v>
      </c>
      <c r="AX523" s="108" t="b">
        <f ca="1">AND(模拟模式!$P$10="有",AW522=0,RAND()&lt;IF(C523="净世破魔击·月",0.1*8/3,IF(C523="净世破魔击·日",0.1*4/3,0.1*2/3)))</f>
        <v>0</v>
      </c>
      <c r="AY523" s="47">
        <f ca="1">IF(AX523,(18+G523*0.722)*(1+J523)*(1-S523)*(1+$I$4)*IF(P523="会",'模拟-全程加成'!$J$3+'模拟-全程加成'!$J$4+'模拟-全程加成'!$J$5+('模拟-全程加成'!$I$4+'模拟-全程加成'!$I$5)/系数!$B$4+BG523*10%,IF(P523="命",1,IF(P523="识",0.25,0))),0)</f>
        <v>0</v>
      </c>
      <c r="AZ523" s="108">
        <f t="shared" si="442"/>
        <v>8.9300000000000068</v>
      </c>
      <c r="BA523" s="108" t="b">
        <f>AND(模拟模式!$Q$10="有",AZ522=0)</f>
        <v>0</v>
      </c>
      <c r="BB523" s="140">
        <f>IF(BA523,(0+G523*0.287)*(1+J523)*(1-S523)*(1+$I$4)*IF(P523="会",'模拟-全程加成'!$J$3+'模拟-全程加成'!$J$4+'模拟-全程加成'!$J$5+('模拟-全程加成'!$I$4+'模拟-全程加成'!$I$5)/系数!$B$4+BG523*10%,IF(P523="命",1,IF(P523="识",0.25,0))),0)</f>
        <v>0</v>
      </c>
      <c r="BC523" s="115" t="b">
        <f ca="1">AND(模拟模式!$R$7="伏明众生",E523=60,F523=20,DA523&lt;5,CZ522&lt;$F$4)</f>
        <v>0</v>
      </c>
      <c r="BD523" s="115">
        <f t="shared" ca="1" si="460"/>
        <v>0</v>
      </c>
      <c r="BE523" s="115" t="b">
        <f t="shared" ca="1" si="461"/>
        <v>0</v>
      </c>
      <c r="BF523" s="47">
        <f ca="1">IF(BC523,4*('模拟-单技能数据'!$D$24+G523*'模拟-单技能数据'!$F$24)*(1+J523)*(1+'模拟-单技能数据'!$J$24)*(1-S523)*(1+$I$3)*(('模拟-全程加成'!$J$3+'模拟-全程加成'!$J$4+'模拟-全程加成'!$J$5+('模拟-全程加成'!$I$4+'模拟-全程加成'!$I$5)/系数!$B$4+BG523*10%)*('模拟-全程加成'!$J$3+'模拟-全程加成'!$J$4+'模拟-全程加成'!$J$5+('模拟-全程加成'!$I$4+'模拟-全程加成'!$I$5)/系数!$B$4+BG523*10%)+(1-('模拟-全程加成'!$J$3+'模拟-全程加成'!$J$4+'模拟-全程加成'!$J$5+('模拟-全程加成'!$I$4+'模拟-全程加成'!$I$5)/系数!$B$4+BG523*10%)-$F$10-$F$11)+F509*0.25),0)*'模拟-单技能数据'!$I$24</f>
        <v>0</v>
      </c>
      <c r="BG523" s="115" t="b">
        <f ca="1">OR(AND(OR(C523="烈日斩",C523="银月斩"),模拟模式!$I$7="净身明礼"),AND(C523="净世破魔击·日",模拟模式!$J$7="洞若观火"),AND(C524="净世破魔击·月",模拟模式!$J$7="洞若观火"),AB523=1)</f>
        <v>1</v>
      </c>
      <c r="BH523" s="115" t="b">
        <f t="shared" ca="1" si="443"/>
        <v>0</v>
      </c>
      <c r="BI523" s="115">
        <f t="shared" ca="1" si="462"/>
        <v>0</v>
      </c>
      <c r="BJ523" s="115" t="b">
        <f t="shared" ca="1" si="473"/>
        <v>0</v>
      </c>
      <c r="BK523" s="115" t="b">
        <f ca="1">AND(C523="驱夜断愁",模拟模式!$P$7="天地诛戮")</f>
        <v>0</v>
      </c>
      <c r="BL523" s="57">
        <f t="shared" ca="1" si="463"/>
        <v>16.310000000000002</v>
      </c>
      <c r="BM523" s="115" t="b">
        <f t="shared" ca="1" si="474"/>
        <v>1</v>
      </c>
      <c r="BN523" s="115" t="b">
        <f ca="1">AND(OR(C523="赤日轮1",C523="赤日轮2",C523="赤日轮3",C523="幽月轮1",C523="幽月轮2",C523="幽月轮3"),AB523=1,模拟模式!$L$7="明光恒照")</f>
        <v>0</v>
      </c>
      <c r="BO523" s="117">
        <f t="shared" ca="1" si="464"/>
        <v>28.155000000000001</v>
      </c>
      <c r="BP523" s="115">
        <f t="shared" ca="1" si="444"/>
        <v>6</v>
      </c>
      <c r="BQ523" s="115" t="b">
        <f>模拟模式!$K$10="2600·水"</f>
        <v>0</v>
      </c>
      <c r="BR523" s="117">
        <f t="shared" si="445"/>
        <v>0</v>
      </c>
      <c r="BS523" s="115">
        <f t="shared" si="446"/>
        <v>0</v>
      </c>
      <c r="BT523" s="115">
        <f t="shared" ca="1" si="447"/>
        <v>0</v>
      </c>
      <c r="BU523" s="115" t="b">
        <f ca="1">AND(模拟模式!$K$10="2300·雷",BT522=0,RAND()&lt;IF(C523="净世破魔击·月",5*0.05*2/3,IF(C523="净世破魔击·日",3*0.05*2/3,0.05*2*2/3)))</f>
        <v>0</v>
      </c>
      <c r="BV523" s="115">
        <f t="shared" ca="1" si="448"/>
        <v>0</v>
      </c>
      <c r="BW523" s="115">
        <f t="shared" ca="1" si="449"/>
        <v>97.897499999999255</v>
      </c>
      <c r="BX523" s="164" t="b">
        <f t="shared" ca="1" si="450"/>
        <v>0</v>
      </c>
      <c r="BY523" s="115">
        <f t="shared" ca="1" si="451"/>
        <v>0</v>
      </c>
      <c r="BZ523" s="115">
        <f>IF(OR(模拟模式!$P$16="10人团",模拟模式!$P$16="25人团"),IF(B523/30&gt;CA522,1,0),0)</f>
        <v>0</v>
      </c>
      <c r="CA523" s="115">
        <f t="shared" si="427"/>
        <v>0</v>
      </c>
      <c r="CB523" s="115">
        <f ca="1">IF(BZ523=1,IF(模拟模式!$P$16="10人团",15,0)+IF(模拟模式!$P$16="25人团",IF(RAND()&lt;0.6,15,0)),MAX(0,CB522-$F$4))</f>
        <v>0</v>
      </c>
      <c r="CC523" s="115" t="b">
        <f t="shared" ca="1" si="475"/>
        <v>0</v>
      </c>
      <c r="CD523" s="115">
        <f>IF(模拟模式!$Q$16="1个",IF(B523/40&gt;CE522,1,0),0)</f>
        <v>0</v>
      </c>
      <c r="CE523" s="115">
        <f t="shared" si="476"/>
        <v>0</v>
      </c>
      <c r="CF523" s="115">
        <f>IF(OR(CD523=1,模拟模式!$Q$16="2个"),20,MAX(0,CF522-$F$4))</f>
        <v>0</v>
      </c>
      <c r="CG523" s="115" t="b">
        <f t="shared" si="477"/>
        <v>0</v>
      </c>
      <c r="CH523" s="115">
        <f t="shared" ca="1" si="452"/>
        <v>18.930000000000007</v>
      </c>
      <c r="CI523" s="115" t="b">
        <f t="shared" ca="1" si="453"/>
        <v>0</v>
      </c>
      <c r="CJ523" s="119">
        <f t="shared" ca="1" si="454"/>
        <v>0</v>
      </c>
      <c r="CK523" s="115">
        <f t="shared" ca="1" si="455"/>
        <v>0</v>
      </c>
      <c r="CL523" s="115" t="b">
        <f ca="1">AND(模拟模式!$S$7="驱夷逐法",OR(AND(C523="净世破魔击·月",E522&gt;59),AND(C523="净世破魔击·日",F522&gt;59)))</f>
        <v>0</v>
      </c>
      <c r="CM523" s="115" t="b">
        <f ca="1">OR(CL523,AND(C523="净世破魔击·日",CL522,RAND()&lt;模拟模式!$U$23))</f>
        <v>1</v>
      </c>
      <c r="CN523" s="115" t="b">
        <f ca="1">IF(模拟模式!$M$7="辉耀红尘",AND(C523="净世破魔击·月",CL523,CV523=0,E522&lt;80),AND(C523="净世破魔击·月",CL523,E522&lt;100))</f>
        <v>0</v>
      </c>
      <c r="CO523" s="115" t="b">
        <f t="shared" ca="1" si="428"/>
        <v>0</v>
      </c>
      <c r="CP523" s="115" t="b">
        <f ca="1">AND(模拟模式!$O$7="用晦而明",OR(C523="净世破魔击·日",C523="净世破魔击·月",C523="驱夜断愁"),AB523)</f>
        <v>1</v>
      </c>
      <c r="CQ523" s="115" t="b">
        <f ca="1">OR(CP523,AND(CP522,RAND()&lt;模拟模式!$U$23))</f>
        <v>1</v>
      </c>
      <c r="CR523" s="115" t="b">
        <f ca="1">AND(模拟模式!$S$7="日月齐光",OR(C523="幽月轮1",C523="幽月轮2",C523="幽月轮3",CR522),NOT(OR(C523="赤日轮1",C523="赤日轮2",C523="赤日轮3")))</f>
        <v>0</v>
      </c>
      <c r="CS523" s="115" t="b">
        <f ca="1">AND(模拟模式!$S$7="日月齐光",OR(C523="赤日轮1",C523="赤日轮2",C523="赤日轮3",CS522),NOT(OR(C523="幽月轮1",C523="幽月轮2",C523="幽月轮3")))</f>
        <v>0</v>
      </c>
      <c r="CT523" s="115">
        <f t="shared" ca="1" si="456"/>
        <v>0</v>
      </c>
      <c r="CU523" s="115" t="b">
        <f ca="1">AND(模拟模式!$K$10="阴阳往极",CT522=0,RAND()&lt;IF(C523="净世破魔击·月",0.0275*7/3,IF(C523="净世破魔击·日",0.0275*3/3,0.0275*2/3)))</f>
        <v>0</v>
      </c>
      <c r="CV523" s="115">
        <f t="shared" ca="1" si="457"/>
        <v>0</v>
      </c>
      <c r="CW523" s="115">
        <f t="shared" ca="1" si="429"/>
        <v>3.2324999999999995</v>
      </c>
      <c r="CX523" s="115">
        <f t="shared" ca="1" si="430"/>
        <v>1.3874999999999997</v>
      </c>
      <c r="CY523" s="115">
        <f ca="1">MAX(IF($C523="驱夜断愁",IF(模拟模式!$R$7="万念俱寂",6,45),CY522-$F$4),0)</f>
        <v>2.3099999999999996</v>
      </c>
      <c r="CZ523" s="115">
        <f t="shared" ca="1" si="431"/>
        <v>0</v>
      </c>
      <c r="DA523" s="115">
        <f ca="1">IF(模拟模式!$N$7="日月同辉",IF(DB522=2,0,MIN(6,IF(AND(OR(C523="赤日轮1",C523="赤日轮2",C523="赤日轮3",C523="幽月轮1",C523="幽月轮2",C523="幽月轮3"),AB523=1),DA522+1,DA522))),0)</f>
        <v>5</v>
      </c>
      <c r="DB523" s="115">
        <f t="shared" ca="1" si="432"/>
        <v>0</v>
      </c>
      <c r="DC523" s="115"/>
      <c r="DD523" s="115"/>
      <c r="DE523" s="115"/>
      <c r="DF523" s="115"/>
      <c r="DG523" s="115"/>
      <c r="DH523" s="115"/>
      <c r="DI523" s="115"/>
      <c r="DJ523" s="115"/>
      <c r="DK523" s="115"/>
      <c r="DL523" s="115"/>
      <c r="DM523" s="115"/>
    </row>
    <row r="524" spans="2:117" x14ac:dyDescent="0.2">
      <c r="B524" s="117">
        <f t="shared" si="433"/>
        <v>458.48250000000479</v>
      </c>
      <c r="C524" s="167" t="str">
        <f t="shared" ca="1" si="426"/>
        <v>赤日轮1</v>
      </c>
      <c r="D524" s="115">
        <f ca="1">IF(C524="赤日轮1",1,IF(C524="赤日轮2",2,IF(C524="赤日轮3",3,IF(C524="幽月轮1",4,IF(C524="幽月轮2",5,IF(C524="幽月轮3",6,IF(C524="烈日斩",7,IF(C524="银月斩",8,IF(C524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524="净世破魔击·月",17,IF(C524="驱夜断愁",18,0)))))))))))</f>
        <v>1</v>
      </c>
      <c r="E524" s="115">
        <f ca="1">IF(AND(CU524,OR(C524="幽月轮1",C524="幽月轮2",C524="幽月轮3",C524="银月斩",C524="驱夜断愁",C524="净世破魔击·月")),100,MIN(IF(OR(CN524,BE524),0,IF(OR($C524="赤日轮1",$C524="赤日轮2",$C524="赤日轮3"),E523+20+IF(模拟模式!$I$7="日月凌天",4,0)+IF(CR523,20,0),IF($C524="烈日斩",E523+40,IF($C524="驱夜断愁",IF(模拟模式!$R$7="万念俱寂",E523+20,E523+60),IF($C524="净世破魔击·月",IF(OR(DB523&gt;0,CV523&gt;0),100,IF(模拟模式!$M$7="辉耀红尘",E523+20,E523)),IF($C524="净世破魔击·日",E523-100,E523)))))),100))</f>
        <v>20</v>
      </c>
      <c r="F524" s="115">
        <f ca="1">IF(AND(CU524,OR(C524="赤日轮1",C524="赤日轮2",C524="赤日轮3",C524="烈日斩",C524="净世破魔击·日")),100,MIN(IF(CO524,0,IF(OR($C524="幽月轮1",$C524="幽月轮2",$C524="幽月轮3"),F523+20+IF(模拟模式!$I$7="日月凌天",4,0)+IF(CS523,20,0),IF($C524="银月斩",F523+40+IF(模拟模式!$X$12=1,5,0),IF($C524="驱夜断愁",IF(模拟模式!$R$7="万念俱寂",F523+20,F523+60),IF($C524="净世破魔击·月",IF(模拟模式!$M$7="辉耀红尘",F523-80,F523-100),IF(AND(C524="净世破魔击·日",OR(DB523&gt;0,CV523&gt;0)),100,F523)))))),100))</f>
        <v>20</v>
      </c>
      <c r="G524" s="117">
        <f ca="1">('模拟-全程加成'!$E$3+'模拟-全程加成'!$E$4+'模拟-全程加成'!$E$5+('模拟-全程加成'!$C$6-'模拟-全程加成'!$C$3)*系数!$B$9+BS524*23)*(1+'模拟-全程加成'!$F$4+'模拟-全程加成'!$F$5+BJ524*10%+BM524*20%+BP524*4%+CG524*30%)+$F$7*系数!$B$12</f>
        <v>20583.127400000001</v>
      </c>
      <c r="H524" s="45">
        <f ca="1">'模拟-全程加成'!$H$3+'模拟-全程加成'!$H$4+'模拟-全程加成'!$H$5+('模拟-全程加成'!$G$4+'模拟-全程加成'!$G$5+('模拟-全程加成'!$C$6-'模拟-全程加成'!$C$3)*系数!$B$13)/系数!$B$3+LOOKUP(D524,'模拟-单技能数据'!$A$2:$A$19,'模拟-单技能数据'!$K$2:$K$19)+BG524*10%+IF(BV524&gt;0,378,0)</f>
        <v>0.4618514552730022</v>
      </c>
      <c r="I524" s="45">
        <f ca="1">'模拟-全程加成'!$J$3+'模拟-全程加成'!$J$4+'模拟-全程加成'!$J$5+('模拟-全程加成'!$I$4+'模拟-全程加成'!$I$5)/系数!$B$4+LOOKUP(D524,'模拟-单技能数据'!$A$2:$A$19,'模拟-单技能数据'!$L$2:$L$19)+BG524*10%</f>
        <v>2.162482885499879</v>
      </c>
      <c r="J524" s="45">
        <f ca="1">(('模拟-全程加成'!$K$3+'模拟-全程加成'!$K$4+'模拟-全程加成'!$K$5+('模拟-全程加成'!$C$6-'模拟-全程加成'!$C$3)*系数!$B$10+IF(BV524&gt;0,882,0)+IF(BY524&gt;0,1831,0))*(1+'模拟-全程加成'!$L$4+'模拟-全程加成'!$L$5+CC524*20%))/系数!$B$5</f>
        <v>0.69723220422048726</v>
      </c>
      <c r="K524" s="119">
        <f ca="1">LOOKUP(D524,'模拟-单技能数据'!$A$2:$A$19,'模拟-单技能数据'!$J$2:$J$19)+IF(CM524,60%,0)+IF(DB523-DB524&gt;0,30%,0)+IF(OR(AND(OR(C524="赤日轮1",C524="赤日轮2",C524="赤日轮3"),CR524),AND(OR(C524="幽月轮1",C524="幽月轮2",C524="幽月轮3"),CS524)),35%,0)+CJ524</f>
        <v>0.12</v>
      </c>
      <c r="L524" s="119">
        <f ca="1">IF(AND(C524="烈日斩",模拟模式!$X$11=1),10%,0)+IF(AND(C524="驱夜断愁",AB524=1),30%,0)</f>
        <v>0</v>
      </c>
      <c r="M524" s="45">
        <f t="shared" ca="1" si="465"/>
        <v>0.4618514552730022</v>
      </c>
      <c r="N524" s="45">
        <f t="shared" ca="1" si="466"/>
        <v>0.48424854472699785</v>
      </c>
      <c r="O524" s="46">
        <f t="shared" ca="1" si="434"/>
        <v>0.75646272177177032</v>
      </c>
      <c r="P524" s="46" t="str">
        <f t="shared" ca="1" si="435"/>
        <v>命</v>
      </c>
      <c r="Q524" s="45">
        <f t="shared" ca="1" si="436"/>
        <v>1</v>
      </c>
      <c r="R524" s="117">
        <f ca="1">模拟模式!$E$20*(1-IF(模拟模式!$J$19="有",0.15,0))*(1-IF(模拟模式!$K$19="有",0.3,0)-IF(CQ524,0.5,0))</f>
        <v>843.02999999999975</v>
      </c>
      <c r="S524" s="45">
        <f ca="1">R524/(R524+(185*模拟模式!$E$22-16800)*4.08224)</f>
        <v>8.389626085980037E-2</v>
      </c>
      <c r="T524" s="45" t="str">
        <f ca="1">LOOKUP(D524,'模拟-单技能数据'!$A$2:$A$19,'模拟-单技能数据'!$H$2:$H$19)</f>
        <v>阳</v>
      </c>
      <c r="U524" s="119">
        <f t="shared" ca="1" si="467"/>
        <v>0.2</v>
      </c>
      <c r="V524" s="47">
        <f ca="1">(1+L524)*(LOOKUP(D524,'模拟-单技能数据'!$A$2:$A$19,'模拟-单技能数据'!$D$2:$D$19)+G524*LOOKUP(D524,'模拟-单技能数据'!$A$2:$A$19,'模拟-单技能数据'!$F$2:$F$19))*(1+J524)*(1+K524)*(1-S524)*(1+U524)*Q524*LOOKUP(D524,'模拟-单技能数据'!$A$2:$A$19,'模拟-单技能数据'!$I$2:$I$20)</f>
        <v>25194.44799269021</v>
      </c>
      <c r="W524" s="47">
        <f ca="1">LOOKUP(D524,'模拟-单技能数据'!$A$2:$A$19,'模拟-单技能数据'!$G$2:$G$19)*$I$10</f>
        <v>361.51064354704795</v>
      </c>
      <c r="X524" s="47">
        <f t="shared" ca="1" si="437"/>
        <v>9218.9345386263849</v>
      </c>
      <c r="Y524" s="47">
        <f t="shared" ca="1" si="468"/>
        <v>34774.893174863639</v>
      </c>
      <c r="Z524" s="49">
        <f t="shared" ca="1" si="469"/>
        <v>51989078.965352178</v>
      </c>
      <c r="AA524" s="97">
        <f t="shared" ca="1" si="470"/>
        <v>113393.81321064956</v>
      </c>
      <c r="AB524" s="115">
        <f ca="1">IF(OR(C524="赤日轮1",C524="赤日轮2",C524="赤日轮3"),IF(RAND()&lt;模拟模式!$Y$17,1,0),IF(OR(C524="幽月轮1",C524="幽月轮2",C524="幽月轮3"),IF(RAND()&lt;模拟模式!$Y$18,1,0),IF(C524="烈日斩",IF(RAND()&lt;模拟模式!$Y$19,1,0),IF(C524="银月斩",IF(RAND()&lt;模拟模式!$Y$20,1,0),IF(C524="驱夜断愁",IF(RAND()&lt;模拟模式!$Y$21,1,0),IF(C524="净世破魔击·日",IF(RAND()&lt;模拟模式!$Y$22,1,0),IF(C524="净世破魔击·月",IF(RAND()&lt;模拟模式!$Y$23,1,0),0)))))))</f>
        <v>1</v>
      </c>
      <c r="AC524" s="115" t="b">
        <f t="shared" ca="1" si="458"/>
        <v>0</v>
      </c>
      <c r="AD524" s="115" t="b">
        <f t="shared" ca="1" si="478"/>
        <v>1</v>
      </c>
      <c r="AE524" s="115">
        <f t="shared" ca="1" si="479"/>
        <v>2</v>
      </c>
      <c r="AF524" s="47">
        <f ca="1">IF(AC524,('模拟-单技能数据'!$D$20+G524*'模拟-单技能数据'!$F$20)*(1+J524)*(1+'模拟-单技能数据'!$J$20)*(1+U524),0)</f>
        <v>0</v>
      </c>
      <c r="AG524" s="61">
        <f t="shared" ca="1" si="471"/>
        <v>0.64185145527300214</v>
      </c>
      <c r="AH524" s="61">
        <f t="shared" ca="1" si="472"/>
        <v>2.2624828854998791</v>
      </c>
      <c r="AI524" s="62">
        <f t="shared" ca="1" si="438"/>
        <v>0.52100713417922184</v>
      </c>
      <c r="AJ524" s="47">
        <f ca="1">IF(AD524,IF(AI524&lt;$F$10,0,IF(AI524&lt;$F$10+$F$11,0.25,IF(AI524&lt;$F$10+$F$11+AG524,AH524,1)))*IF(AF524&gt;0,AF524,IF(AF523&gt;0,AF523,IF(AF522&gt;0,AF522,IF(AF521&gt;0,AF521,IF(AF520&gt;0,AF520,IF(AF519&gt;0,AF519,IF(AF518&gt;0,AF518,IF(AF517&gt;0,AF517,IF(AF516&gt;0,AF516,IF(AF514&gt;0,AF514,IF(AF513&gt;0,AF513,IF(AF512&gt;0,AF512,0)))))))))))),0)*(1-$S524)*'模拟-单技能数据'!$I$20</f>
        <v>9218.9345386263849</v>
      </c>
      <c r="AK524" s="115" t="b">
        <f t="shared" ca="1" si="459"/>
        <v>0</v>
      </c>
      <c r="AL524" s="115" t="b">
        <f t="shared" ca="1" si="480"/>
        <v>0</v>
      </c>
      <c r="AM524" s="115">
        <f t="shared" ca="1" si="481"/>
        <v>5</v>
      </c>
      <c r="AN524" s="47">
        <f ca="1">IF(AK524,('模拟-单技能数据'!$D$21+G524*'模拟-单技能数据'!$F$21)*(1+J524)*(1+'模拟-单技能数据'!$J$21)*(1+U524),0)</f>
        <v>0</v>
      </c>
      <c r="AO524" s="61">
        <f ca="1">IF(AN524&gt;0,M524-'模拟-单技能数据'!$K$10,AO523)</f>
        <v>0.42185145527300216</v>
      </c>
      <c r="AP524" s="61">
        <f ca="1">IF(AN524&gt;0,I524-'模拟-单技能数据'!$L$10,AP523)</f>
        <v>2.162482885499879</v>
      </c>
      <c r="AQ524" s="63">
        <f t="shared" ca="1" si="439"/>
        <v>0.61633484257919513</v>
      </c>
      <c r="AR524" s="64">
        <f ca="1">IF(AL524,IF(AQ524&lt;$F$10,0,IF(AQ524&lt;$F$10+$F$11,0.25,IF(AQ524&lt;$F$10+$F$11+AO524,AP524,1)))*IF(AN524&gt;0,AN524,IF(AN523&gt;0,AN523,IF(AN522&gt;0,AN522,IF(AN521&gt;0,AN521,IF(AN520&gt;0,AN520,IF(AN519&gt;0,AN519,IF(AN518&gt;0,AN518,IF(AN517&gt;0,AN517,IF(AN516&gt;0,AN516,IF(AN514&gt;0,AN514,IF(AN513&gt;0,AN513,IF(AN512&gt;0,AN512,0)))))))))))),0)*(1-$S524)*'模拟-单技能数据'!$I$21</f>
        <v>0</v>
      </c>
      <c r="AS524" s="61">
        <f ca="1">IF(OR(C524="净世破魔击·日",C524="净世破魔击·月"),M524-'模拟-单技能数据'!$K$10,0)</f>
        <v>0</v>
      </c>
      <c r="AT524" s="61">
        <f ca="1">IF(OR(C524="净世破魔击·日",C524="净世破魔击·月"),I524-'模拟-单技能数据'!$L$10,0)</f>
        <v>0</v>
      </c>
      <c r="AU524" s="62">
        <f t="shared" ca="1" si="440"/>
        <v>8.6494056640500805E-2</v>
      </c>
      <c r="AV524" s="64">
        <f ca="1">IF(AS524&gt;0,('模拟-单技能数据'!$D$22+G524*'模拟-单技能数据'!$F$22)*(1+J524)*(1-S524)*IF(AU524&lt;$F$10,0,IF(AU524&lt;$F$10+$F$11,0.25,IF(AU524&lt;$F$10+$F$11+AS524,AT524,1)))*(1+U524),0)*'模拟-单技能数据'!$I$22</f>
        <v>0</v>
      </c>
      <c r="AW524" s="108">
        <f t="shared" ca="1" si="441"/>
        <v>0</v>
      </c>
      <c r="AX524" s="108" t="b">
        <f ca="1">AND(模拟模式!$P$10="有",AW523=0,RAND()&lt;IF(C524="净世破魔击·月",0.1*8/3,IF(C524="净世破魔击·日",0.1*4/3,0.1*2/3)))</f>
        <v>0</v>
      </c>
      <c r="AY524" s="47">
        <f ca="1">IF(AX524,(18+G524*0.722)*(1+J524)*(1-S524)*(1+$I$4)*IF(P524="会",'模拟-全程加成'!$J$3+'模拟-全程加成'!$J$4+'模拟-全程加成'!$J$5+('模拟-全程加成'!$I$4+'模拟-全程加成'!$I$5)/系数!$B$4+BG524*10%,IF(P524="命",1,IF(P524="识",0.25,0))),0)</f>
        <v>0</v>
      </c>
      <c r="AZ524" s="108">
        <f t="shared" si="442"/>
        <v>8.0075000000000074</v>
      </c>
      <c r="BA524" s="108" t="b">
        <f>AND(模拟模式!$Q$10="有",AZ523=0)</f>
        <v>0</v>
      </c>
      <c r="BB524" s="140">
        <f>IF(BA524,(0+G524*0.287)*(1+J524)*(1-S524)*(1+$I$4)*IF(P524="会",'模拟-全程加成'!$J$3+'模拟-全程加成'!$J$4+'模拟-全程加成'!$J$5+('模拟-全程加成'!$I$4+'模拟-全程加成'!$I$5)/系数!$B$4+BG524*10%,IF(P524="命",1,IF(P524="识",0.25,0))),0)</f>
        <v>0</v>
      </c>
      <c r="BC524" s="115" t="b">
        <f ca="1">AND(模拟模式!$R$7="伏明众生",E524=60,F524=20,DA524&lt;5,CZ523&lt;$F$4)</f>
        <v>0</v>
      </c>
      <c r="BD524" s="115">
        <f t="shared" ca="1" si="460"/>
        <v>0</v>
      </c>
      <c r="BE524" s="115" t="b">
        <f t="shared" ca="1" si="461"/>
        <v>0</v>
      </c>
      <c r="BF524" s="47">
        <f ca="1">IF(BC524,4*('模拟-单技能数据'!$D$24+G524*'模拟-单技能数据'!$F$24)*(1+J524)*(1+'模拟-单技能数据'!$J$24)*(1-S524)*(1+$I$3)*(('模拟-全程加成'!$J$3+'模拟-全程加成'!$J$4+'模拟-全程加成'!$J$5+('模拟-全程加成'!$I$4+'模拟-全程加成'!$I$5)/系数!$B$4+BG524*10%)*('模拟-全程加成'!$J$3+'模拟-全程加成'!$J$4+'模拟-全程加成'!$J$5+('模拟-全程加成'!$I$4+'模拟-全程加成'!$I$5)/系数!$B$4+BG524*10%)+(1-('模拟-全程加成'!$J$3+'模拟-全程加成'!$J$4+'模拟-全程加成'!$J$5+('模拟-全程加成'!$I$4+'模拟-全程加成'!$I$5)/系数!$B$4+BG524*10%)-$F$10-$F$11)+F510*0.25),0)*'模拟-单技能数据'!$I$24</f>
        <v>0</v>
      </c>
      <c r="BG524" s="115" t="b">
        <f ca="1">OR(AND(OR(C524="烈日斩",C524="银月斩"),模拟模式!$I$7="净身明礼"),AND(C524="净世破魔击·日",模拟模式!$J$7="洞若观火"),AND(C525="净世破魔击·月",模拟模式!$J$7="洞若观火"),AB524=1)</f>
        <v>1</v>
      </c>
      <c r="BH524" s="115" t="b">
        <f t="shared" ca="1" si="443"/>
        <v>0</v>
      </c>
      <c r="BI524" s="115">
        <f t="shared" ca="1" si="462"/>
        <v>0</v>
      </c>
      <c r="BJ524" s="115" t="b">
        <f t="shared" ca="1" si="473"/>
        <v>0</v>
      </c>
      <c r="BK524" s="115" t="b">
        <f ca="1">AND(C524="驱夜断愁",模拟模式!$P$7="天地诛戮")</f>
        <v>0</v>
      </c>
      <c r="BL524" s="57">
        <f t="shared" ca="1" si="463"/>
        <v>15.387500000000003</v>
      </c>
      <c r="BM524" s="115" t="b">
        <f t="shared" ca="1" si="474"/>
        <v>1</v>
      </c>
      <c r="BN524" s="115" t="b">
        <f ca="1">AND(OR(C524="赤日轮1",C524="赤日轮2",C524="赤日轮3",C524="幽月轮1",C524="幽月轮2",C524="幽月轮3"),AB524=1,模拟模式!$L$7="明光恒照")</f>
        <v>1</v>
      </c>
      <c r="BO524" s="117">
        <f t="shared" ca="1" si="464"/>
        <v>30</v>
      </c>
      <c r="BP524" s="115">
        <f t="shared" ca="1" si="444"/>
        <v>6</v>
      </c>
      <c r="BQ524" s="115" t="b">
        <f>模拟模式!$K$10="2600·水"</f>
        <v>0</v>
      </c>
      <c r="BR524" s="117">
        <f t="shared" si="445"/>
        <v>0</v>
      </c>
      <c r="BS524" s="115">
        <f t="shared" si="446"/>
        <v>0</v>
      </c>
      <c r="BT524" s="115">
        <f t="shared" ca="1" si="447"/>
        <v>0</v>
      </c>
      <c r="BU524" s="115" t="b">
        <f ca="1">AND(模拟模式!$K$10="2300·雷",BT523=0,RAND()&lt;IF(C524="净世破魔击·月",5*0.05*2/3,IF(C524="净世破魔击·日",3*0.05*2/3,0.05*2*2/3)))</f>
        <v>0</v>
      </c>
      <c r="BV524" s="115">
        <f t="shared" ca="1" si="448"/>
        <v>0</v>
      </c>
      <c r="BW524" s="115">
        <f t="shared" ca="1" si="449"/>
        <v>96.974999999999255</v>
      </c>
      <c r="BX524" s="164" t="b">
        <f t="shared" ca="1" si="450"/>
        <v>0</v>
      </c>
      <c r="BY524" s="115">
        <f t="shared" ca="1" si="451"/>
        <v>0</v>
      </c>
      <c r="BZ524" s="115">
        <f>IF(OR(模拟模式!$P$16="10人团",模拟模式!$P$16="25人团"),IF(B524/30&gt;CA523,1,0),0)</f>
        <v>0</v>
      </c>
      <c r="CA524" s="115">
        <f t="shared" si="427"/>
        <v>0</v>
      </c>
      <c r="CB524" s="115">
        <f ca="1">IF(BZ524=1,IF(模拟模式!$P$16="10人团",15,0)+IF(模拟模式!$P$16="25人团",IF(RAND()&lt;0.6,15,0)),MAX(0,CB523-$F$4))</f>
        <v>0</v>
      </c>
      <c r="CC524" s="115" t="b">
        <f t="shared" ca="1" si="475"/>
        <v>0</v>
      </c>
      <c r="CD524" s="115">
        <f>IF(模拟模式!$Q$16="1个",IF(B524/40&gt;CE523,1,0),0)</f>
        <v>0</v>
      </c>
      <c r="CE524" s="115">
        <f t="shared" si="476"/>
        <v>0</v>
      </c>
      <c r="CF524" s="115">
        <f>IF(OR(CD524=1,模拟模式!$Q$16="2个"),20,MAX(0,CF523-$F$4))</f>
        <v>0</v>
      </c>
      <c r="CG524" s="115" t="b">
        <f t="shared" si="477"/>
        <v>0</v>
      </c>
      <c r="CH524" s="115">
        <f t="shared" ca="1" si="452"/>
        <v>18.007500000000007</v>
      </c>
      <c r="CI524" s="115" t="b">
        <f t="shared" ca="1" si="453"/>
        <v>0</v>
      </c>
      <c r="CJ524" s="119">
        <f t="shared" ca="1" si="454"/>
        <v>0</v>
      </c>
      <c r="CK524" s="115">
        <f t="shared" ca="1" si="455"/>
        <v>0</v>
      </c>
      <c r="CL524" s="115" t="b">
        <f ca="1">AND(模拟模式!$S$7="驱夷逐法",OR(AND(C524="净世破魔击·月",E523&gt;59),AND(C524="净世破魔击·日",F523&gt;59)))</f>
        <v>0</v>
      </c>
      <c r="CM524" s="115" t="b">
        <f ca="1">OR(CL524,AND(C524="净世破魔击·日",CL523,RAND()&lt;模拟模式!$U$23))</f>
        <v>0</v>
      </c>
      <c r="CN524" s="115" t="b">
        <f ca="1">IF(模拟模式!$M$7="辉耀红尘",AND(C524="净世破魔击·月",CL524,CV524=0,E523&lt;80),AND(C524="净世破魔击·月",CL524,E523&lt;100))</f>
        <v>0</v>
      </c>
      <c r="CO524" s="115" t="b">
        <f t="shared" ca="1" si="428"/>
        <v>0</v>
      </c>
      <c r="CP524" s="115" t="b">
        <f ca="1">AND(模拟模式!$O$7="用晦而明",OR(C524="净世破魔击·日",C524="净世破魔击·月",C524="驱夜断愁"),AB524)</f>
        <v>0</v>
      </c>
      <c r="CQ524" s="115" t="b">
        <f ca="1">OR(CP524,AND(CP523,RAND()&lt;模拟模式!$U$23))</f>
        <v>1</v>
      </c>
      <c r="CR524" s="115" t="b">
        <f ca="1">AND(模拟模式!$S$7="日月齐光",OR(C524="幽月轮1",C524="幽月轮2",C524="幽月轮3",CR523),NOT(OR(C524="赤日轮1",C524="赤日轮2",C524="赤日轮3")))</f>
        <v>0</v>
      </c>
      <c r="CS524" s="115" t="b">
        <f ca="1">AND(模拟模式!$S$7="日月齐光",OR(C524="赤日轮1",C524="赤日轮2",C524="赤日轮3",CS523),NOT(OR(C524="幽月轮1",C524="幽月轮2",C524="幽月轮3")))</f>
        <v>0</v>
      </c>
      <c r="CT524" s="115">
        <f t="shared" ca="1" si="456"/>
        <v>0</v>
      </c>
      <c r="CU524" s="115" t="b">
        <f ca="1">AND(模拟模式!$K$10="阴阳往极",CT523=0,RAND()&lt;IF(C524="净世破魔击·月",0.0275*7/3,IF(C524="净世破魔击·日",0.0275*3/3,0.0275*2/3)))</f>
        <v>0</v>
      </c>
      <c r="CV524" s="115">
        <f t="shared" ca="1" si="457"/>
        <v>0</v>
      </c>
      <c r="CW524" s="115">
        <f t="shared" ca="1" si="429"/>
        <v>2.3099999999999996</v>
      </c>
      <c r="CX524" s="115">
        <f t="shared" ca="1" si="430"/>
        <v>0.46499999999999975</v>
      </c>
      <c r="CY524" s="115">
        <f ca="1">MAX(IF($C524="驱夜断愁",IF(模拟模式!$R$7="万念俱寂",6,45),CY523-$F$4),0)</f>
        <v>1.3874999999999997</v>
      </c>
      <c r="CZ524" s="115">
        <f t="shared" ca="1" si="431"/>
        <v>0</v>
      </c>
      <c r="DA524" s="115">
        <f ca="1">IF(模拟模式!$N$7="日月同辉",IF(DB523=2,0,MIN(6,IF(AND(OR(C524="赤日轮1",C524="赤日轮2",C524="赤日轮3",C524="幽月轮1",C524="幽月轮2",C524="幽月轮3"),AB524=1),DA523+1,DA523))),0)</f>
        <v>6</v>
      </c>
      <c r="DB524" s="115">
        <f t="shared" ca="1" si="432"/>
        <v>2</v>
      </c>
      <c r="DC524" s="115"/>
      <c r="DD524" s="115"/>
      <c r="DE524" s="115"/>
      <c r="DF524" s="115"/>
      <c r="DG524" s="115"/>
      <c r="DH524" s="115"/>
      <c r="DI524" s="115"/>
      <c r="DJ524" s="115"/>
      <c r="DK524" s="115"/>
      <c r="DL524" s="115"/>
      <c r="DM524" s="115"/>
    </row>
    <row r="525" spans="2:117" x14ac:dyDescent="0.2">
      <c r="B525" s="117">
        <f t="shared" si="433"/>
        <v>459.4050000000048</v>
      </c>
      <c r="C525" s="167" t="str">
        <f t="shared" ca="1" si="426"/>
        <v>银月斩</v>
      </c>
      <c r="D525" s="115">
        <f ca="1">IF(C525="赤日轮1",1,IF(C525="赤日轮2",2,IF(C525="赤日轮3",3,IF(C525="幽月轮1",4,IF(C525="幽月轮2",5,IF(C525="幽月轮3",6,IF(C525="烈日斩",7,IF(C525="银月斩",8,IF(C525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525="净世破魔击·月",17,IF(C525="驱夜断愁",18,0)))))))))))</f>
        <v>8</v>
      </c>
      <c r="E525" s="115">
        <f ca="1">IF(AND(CU525,OR(C525="幽月轮1",C525="幽月轮2",C525="幽月轮3",C525="银月斩",C525="驱夜断愁",C525="净世破魔击·月")),100,MIN(IF(OR(CN525,BE525),0,IF(OR($C525="赤日轮1",$C525="赤日轮2",$C525="赤日轮3"),E524+20+IF(模拟模式!$I$7="日月凌天",4,0)+IF(CR524,20,0),IF($C525="烈日斩",E524+40,IF($C525="驱夜断愁",IF(模拟模式!$R$7="万念俱寂",E524+20,E524+60),IF($C525="净世破魔击·月",IF(OR(DB524&gt;0,CV524&gt;0),100,IF(模拟模式!$M$7="辉耀红尘",E524+20,E524)),IF($C525="净世破魔击·日",E524-100,E524)))))),100))</f>
        <v>20</v>
      </c>
      <c r="F525" s="115">
        <f ca="1">IF(AND(CU525,OR(C525="赤日轮1",C525="赤日轮2",C525="赤日轮3",C525="烈日斩",C525="净世破魔击·日")),100,MIN(IF(CO525,0,IF(OR($C525="幽月轮1",$C525="幽月轮2",$C525="幽月轮3"),F524+20+IF(模拟模式!$I$7="日月凌天",4,0)+IF(CS524,20,0),IF($C525="银月斩",F524+40+IF(模拟模式!$X$12=1,5,0),IF($C525="驱夜断愁",IF(模拟模式!$R$7="万念俱寂",F524+20,F524+60),IF($C525="净世破魔击·月",IF(模拟模式!$M$7="辉耀红尘",F524-80,F524-100),IF(AND(C525="净世破魔击·日",OR(DB524&gt;0,CV524&gt;0)),100,F524)))))),100))</f>
        <v>65</v>
      </c>
      <c r="G525" s="117">
        <f ca="1">('模拟-全程加成'!$E$3+'模拟-全程加成'!$E$4+'模拟-全程加成'!$E$5+('模拟-全程加成'!$C$6-'模拟-全程加成'!$C$3)*系数!$B$9+BS525*23)*(1+'模拟-全程加成'!$F$4+'模拟-全程加成'!$F$5+BJ525*10%+BM525*20%+BP525*4%+CG525*30%)+$F$7*系数!$B$12</f>
        <v>20583.127400000001</v>
      </c>
      <c r="H525" s="45">
        <f ca="1">'模拟-全程加成'!$H$3+'模拟-全程加成'!$H$4+'模拟-全程加成'!$H$5+('模拟-全程加成'!$G$4+'模拟-全程加成'!$G$5+('模拟-全程加成'!$C$6-'模拟-全程加成'!$C$3)*系数!$B$13)/系数!$B$3+LOOKUP(D525,'模拟-单技能数据'!$A$2:$A$19,'模拟-单技能数据'!$K$2:$K$19)+BG525*10%+IF(BV525&gt;0,378,0)</f>
        <v>0.64185145527300214</v>
      </c>
      <c r="I525" s="45">
        <f ca="1">'模拟-全程加成'!$J$3+'模拟-全程加成'!$J$4+'模拟-全程加成'!$J$5+('模拟-全程加成'!$I$4+'模拟-全程加成'!$I$5)/系数!$B$4+LOOKUP(D525,'模拟-单技能数据'!$A$2:$A$19,'模拟-单技能数据'!$L$2:$L$19)+BG525*10%</f>
        <v>2.2624828854998791</v>
      </c>
      <c r="J525" s="45">
        <f ca="1">(('模拟-全程加成'!$K$3+'模拟-全程加成'!$K$4+'模拟-全程加成'!$K$5+('模拟-全程加成'!$C$6-'模拟-全程加成'!$C$3)*系数!$B$10+IF(BV525&gt;0,882,0)+IF(BY525&gt;0,1831,0))*(1+'模拟-全程加成'!$L$4+'模拟-全程加成'!$L$5+CC525*20%))/系数!$B$5</f>
        <v>0.69723220422048726</v>
      </c>
      <c r="K525" s="119">
        <f ca="1">LOOKUP(D525,'模拟-单技能数据'!$A$2:$A$19,'模拟-单技能数据'!$J$2:$J$19)+IF(CM525,60%,0)+IF(DB524-DB525&gt;0,30%,0)+IF(OR(AND(OR(C525="赤日轮1",C525="赤日轮2",C525="赤日轮3"),CR525),AND(OR(C525="幽月轮1",C525="幽月轮2",C525="幽月轮3"),CS525)),35%,0)+CJ525</f>
        <v>0.15</v>
      </c>
      <c r="L525" s="119">
        <f ca="1">IF(AND(C525="烈日斩",模拟模式!$X$11=1),10%,0)+IF(AND(C525="驱夜断愁",AB525=1),30%,0)</f>
        <v>0</v>
      </c>
      <c r="M525" s="45">
        <f t="shared" ca="1" si="465"/>
        <v>0.64185145527300214</v>
      </c>
      <c r="N525" s="45">
        <f t="shared" ca="1" si="466"/>
        <v>0.30424854472699792</v>
      </c>
      <c r="O525" s="46">
        <f t="shared" ca="1" si="434"/>
        <v>0.49015080898172048</v>
      </c>
      <c r="P525" s="46" t="str">
        <f t="shared" ca="1" si="435"/>
        <v>会</v>
      </c>
      <c r="Q525" s="45">
        <f t="shared" ca="1" si="436"/>
        <v>2.2624828854998791</v>
      </c>
      <c r="R525" s="117">
        <f ca="1">模拟模式!$E$20*(1-IF(模拟模式!$J$19="有",0.15,0))*(1-IF(模拟模式!$K$19="有",0.3,0)-IF(CQ525,0.5,0))</f>
        <v>2950.6049999999996</v>
      </c>
      <c r="S525" s="45">
        <f ca="1">R525/(R525+(185*模拟模式!$E$22-16800)*4.08224)</f>
        <v>0.24272716014590323</v>
      </c>
      <c r="T525" s="45" t="str">
        <f ca="1">LOOKUP(D525,'模拟-单技能数据'!$A$2:$A$19,'模拟-单技能数据'!$H$2:$H$19)</f>
        <v>阴</v>
      </c>
      <c r="U525" s="119">
        <f t="shared" ca="1" si="467"/>
        <v>0.08</v>
      </c>
      <c r="V525" s="47">
        <f ca="1">(1+L525)*(LOOKUP(D525,'模拟-单技能数据'!$A$2:$A$19,'模拟-单技能数据'!$D$2:$D$19)+G525*LOOKUP(D525,'模拟-单技能数据'!$A$2:$A$19,'模拟-单技能数据'!$F$2:$F$19))*(1+J525)*(1+K525)*(1-S525)*(1+U525)*Q525*LOOKUP(D525,'模拟-单技能数据'!$A$2:$A$19,'模拟-单技能数据'!$I$2:$I$20)</f>
        <v>39481.310356797861</v>
      </c>
      <c r="W525" s="47">
        <f ca="1">LOOKUP(D525,'模拟-单技能数据'!$A$2:$A$19,'模拟-单技能数据'!$G$2:$G$19)*$I$10</f>
        <v>361.51064354704795</v>
      </c>
      <c r="X525" s="47">
        <f t="shared" ca="1" si="437"/>
        <v>9190.6918139866902</v>
      </c>
      <c r="Y525" s="47">
        <f t="shared" ca="1" si="468"/>
        <v>49033.512814331596</v>
      </c>
      <c r="Z525" s="49">
        <f t="shared" ca="1" si="469"/>
        <v>52038112.478166506</v>
      </c>
      <c r="AA525" s="97">
        <f t="shared" ca="1" si="470"/>
        <v>113272.84743998424</v>
      </c>
      <c r="AB525" s="115">
        <f ca="1">IF(OR(C525="赤日轮1",C525="赤日轮2",C525="赤日轮3"),IF(RAND()&lt;模拟模式!$Y$17,1,0),IF(OR(C525="幽月轮1",C525="幽月轮2",C525="幽月轮3"),IF(RAND()&lt;模拟模式!$Y$18,1,0),IF(C525="烈日斩",IF(RAND()&lt;模拟模式!$Y$19,1,0),IF(C525="银月斩",IF(RAND()&lt;模拟模式!$Y$20,1,0),IF(C525="驱夜断愁",IF(RAND()&lt;模拟模式!$Y$21,1,0),IF(C525="净世破魔击·日",IF(RAND()&lt;模拟模式!$Y$22,1,0),IF(C525="净世破魔击·月",IF(RAND()&lt;模拟模式!$Y$23,1,0),0)))))))</f>
        <v>1</v>
      </c>
      <c r="AC525" s="115" t="b">
        <f t="shared" ca="1" si="458"/>
        <v>1</v>
      </c>
      <c r="AD525" s="115" t="b">
        <f t="shared" ca="1" si="478"/>
        <v>0</v>
      </c>
      <c r="AE525" s="115">
        <f t="shared" ca="1" si="479"/>
        <v>6</v>
      </c>
      <c r="AF525" s="47">
        <f ca="1">IF(AC525,('模拟-单技能数据'!$D$20+G525*'模拟-单技能数据'!$F$20)*(1+J525)*(1+'模拟-单技能数据'!$J$20)*(1+U525),0)</f>
        <v>4447.8565560098323</v>
      </c>
      <c r="AG525" s="61">
        <f t="shared" ca="1" si="471"/>
        <v>0.64185145527300214</v>
      </c>
      <c r="AH525" s="61">
        <f t="shared" ca="1" si="472"/>
        <v>2.2624828854998791</v>
      </c>
      <c r="AI525" s="62">
        <f t="shared" ca="1" si="438"/>
        <v>0.71880834391764048</v>
      </c>
      <c r="AJ525" s="47">
        <f ca="1">IF(AD525,IF(AI525&lt;$F$10,0,IF(AI525&lt;$F$10+$F$11,0.25,IF(AI525&lt;$F$10+$F$11+AG525,AH525,1)))*IF(AF525&gt;0,AF525,IF(AF524&gt;0,AF524,IF(AF523&gt;0,AF523,IF(AF522&gt;0,AF522,IF(AF521&gt;0,AF521,IF(AF520&gt;0,AF520,IF(AF519&gt;0,AF519,IF(AF518&gt;0,AF518,IF(AF517&gt;0,AF517,IF(AF515&gt;0,AF515,IF(AF514&gt;0,AF514,IF(AF513&gt;0,AF513,0)))))))))))),0)*(1-$S525)*'模拟-单技能数据'!$I$20</f>
        <v>0</v>
      </c>
      <c r="AK525" s="115" t="b">
        <f t="shared" ca="1" si="459"/>
        <v>0</v>
      </c>
      <c r="AL525" s="115" t="b">
        <f t="shared" ca="1" si="480"/>
        <v>1</v>
      </c>
      <c r="AM525" s="115">
        <f t="shared" ca="1" si="481"/>
        <v>4</v>
      </c>
      <c r="AN525" s="47">
        <f ca="1">IF(AK525,('模拟-单技能数据'!$D$21+G525*'模拟-单技能数据'!$F$21)*(1+J525)*(1+'模拟-单技能数据'!$J$21)*(1+U525),0)</f>
        <v>0</v>
      </c>
      <c r="AO525" s="61">
        <f ca="1">IF(AN525&gt;0,M525-'模拟-单技能数据'!$K$10,AO524)</f>
        <v>0.42185145527300216</v>
      </c>
      <c r="AP525" s="61">
        <f ca="1">IF(AN525&gt;0,I525-'模拟-单技能数据'!$L$10,AP524)</f>
        <v>2.162482885499879</v>
      </c>
      <c r="AQ525" s="63">
        <f t="shared" ca="1" si="439"/>
        <v>0.51176919751845695</v>
      </c>
      <c r="AR525" s="64">
        <f ca="1">IF(AL525,IF(AQ525&lt;$F$10,0,IF(AQ525&lt;$F$10+$F$11,0.25,IF(AQ525&lt;$F$10+$F$11+AO525,AP525,1)))*IF(AN525&gt;0,AN525,IF(AN524&gt;0,AN524,IF(AN523&gt;0,AN523,IF(AN522&gt;0,AN522,IF(AN521&gt;0,AN521,IF(AN520&gt;0,AN520,IF(AN519&gt;0,AN519,IF(AN518&gt;0,AN518,IF(AN517&gt;0,AN517,IF(AN515&gt;0,AN515,IF(AN514&gt;0,AN514,IF(AN513&gt;0,AN513,0)))))))))))),0)*(1-$S525)*'模拟-单技能数据'!$I$21</f>
        <v>9190.6918139866902</v>
      </c>
      <c r="AS525" s="61">
        <f ca="1">IF(OR(C525="净世破魔击·日",C525="净世破魔击·月"),M525-'模拟-单技能数据'!$K$10,0)</f>
        <v>0</v>
      </c>
      <c r="AT525" s="61">
        <f ca="1">IF(OR(C525="净世破魔击·日",C525="净世破魔击·月"),I525-'模拟-单技能数据'!$L$10,0)</f>
        <v>0</v>
      </c>
      <c r="AU525" s="62">
        <f t="shared" ca="1" si="440"/>
        <v>0.10463559733045413</v>
      </c>
      <c r="AV525" s="64">
        <f ca="1">IF(AS525&gt;0,('模拟-单技能数据'!$D$22+G525*'模拟-单技能数据'!$F$22)*(1+J525)*(1-S525)*IF(AU525&lt;$F$10,0,IF(AU525&lt;$F$10+$F$11,0.25,IF(AU525&lt;$F$10+$F$11+AS525,AT525,1)))*(1+U525),0)*'模拟-单技能数据'!$I$22</f>
        <v>0</v>
      </c>
      <c r="AW525" s="108">
        <f t="shared" ca="1" si="441"/>
        <v>0</v>
      </c>
      <c r="AX525" s="108" t="b">
        <f ca="1">AND(模拟模式!$P$10="有",AW524=0,RAND()&lt;IF(C525="净世破魔击·月",0.1*8/3,IF(C525="净世破魔击·日",0.1*4/3,0.1*2/3)))</f>
        <v>0</v>
      </c>
      <c r="AY525" s="47">
        <f ca="1">IF(AX525,(18+G525*0.722)*(1+J525)*(1-S525)*(1+$I$4)*IF(P525="会",'模拟-全程加成'!$J$3+'模拟-全程加成'!$J$4+'模拟-全程加成'!$J$5+('模拟-全程加成'!$I$4+'模拟-全程加成'!$I$5)/系数!$B$4+BG525*10%,IF(P525="命",1,IF(P525="识",0.25,0))),0)</f>
        <v>0</v>
      </c>
      <c r="AZ525" s="108">
        <f t="shared" si="442"/>
        <v>7.0850000000000071</v>
      </c>
      <c r="BA525" s="108" t="b">
        <f>AND(模拟模式!$Q$10="有",AZ524=0)</f>
        <v>0</v>
      </c>
      <c r="BB525" s="140">
        <f>IF(BA525,(0+G525*0.287)*(1+J525)*(1-S525)*(1+$I$4)*IF(P525="会",'模拟-全程加成'!$J$3+'模拟-全程加成'!$J$4+'模拟-全程加成'!$J$5+('模拟-全程加成'!$I$4+'模拟-全程加成'!$I$5)/系数!$B$4+BG525*10%,IF(P525="命",1,IF(P525="识",0.25,0))),0)</f>
        <v>0</v>
      </c>
      <c r="BC525" s="115" t="b">
        <f ca="1">AND(模拟模式!$R$7="伏明众生",E525=60,F525=20,DA525&lt;5,CZ524&lt;$F$4)</f>
        <v>0</v>
      </c>
      <c r="BD525" s="115">
        <f t="shared" ca="1" si="460"/>
        <v>0</v>
      </c>
      <c r="BE525" s="115" t="b">
        <f t="shared" ca="1" si="461"/>
        <v>0</v>
      </c>
      <c r="BF525" s="47">
        <f ca="1">IF(BC525,4*('模拟-单技能数据'!$D$24+G525*'模拟-单技能数据'!$F$24)*(1+J525)*(1+'模拟-单技能数据'!$J$24)*(1-S525)*(1+$I$3)*(('模拟-全程加成'!$J$3+'模拟-全程加成'!$J$4+'模拟-全程加成'!$J$5+('模拟-全程加成'!$I$4+'模拟-全程加成'!$I$5)/系数!$B$4+BG525*10%)*('模拟-全程加成'!$J$3+'模拟-全程加成'!$J$4+'模拟-全程加成'!$J$5+('模拟-全程加成'!$I$4+'模拟-全程加成'!$I$5)/系数!$B$4+BG525*10%)+(1-('模拟-全程加成'!$J$3+'模拟-全程加成'!$J$4+'模拟-全程加成'!$J$5+('模拟-全程加成'!$I$4+'模拟-全程加成'!$I$5)/系数!$B$4+BG525*10%)-$F$10-$F$11)+F511*0.25),0)*'模拟-单技能数据'!$I$24</f>
        <v>0</v>
      </c>
      <c r="BG525" s="115" t="b">
        <f ca="1">OR(AND(OR(C525="烈日斩",C525="银月斩"),模拟模式!$I$7="净身明礼"),AND(C525="净世破魔击·日",模拟模式!$J$7="洞若观火"),AND(C526="净世破魔击·月",模拟模式!$J$7="洞若观火"),AB525=1)</f>
        <v>1</v>
      </c>
      <c r="BH525" s="115" t="b">
        <f t="shared" ca="1" si="443"/>
        <v>0</v>
      </c>
      <c r="BI525" s="115">
        <f t="shared" ca="1" si="462"/>
        <v>0</v>
      </c>
      <c r="BJ525" s="115" t="b">
        <f t="shared" ca="1" si="473"/>
        <v>0</v>
      </c>
      <c r="BK525" s="115" t="b">
        <f ca="1">AND(C525="驱夜断愁",模拟模式!$P$7="天地诛戮")</f>
        <v>0</v>
      </c>
      <c r="BL525" s="57">
        <f t="shared" ca="1" si="463"/>
        <v>14.465000000000003</v>
      </c>
      <c r="BM525" s="115" t="b">
        <f t="shared" ca="1" si="474"/>
        <v>1</v>
      </c>
      <c r="BN525" s="115" t="b">
        <f ca="1">AND(OR(C525="赤日轮1",C525="赤日轮2",C525="赤日轮3",C525="幽月轮1",C525="幽月轮2",C525="幽月轮3"),AB525=1,模拟模式!$L$7="明光恒照")</f>
        <v>0</v>
      </c>
      <c r="BO525" s="117">
        <f t="shared" ca="1" si="464"/>
        <v>29.077500000000001</v>
      </c>
      <c r="BP525" s="115">
        <f t="shared" ca="1" si="444"/>
        <v>6</v>
      </c>
      <c r="BQ525" s="115" t="b">
        <f>模拟模式!$K$10="2600·水"</f>
        <v>0</v>
      </c>
      <c r="BR525" s="117">
        <f t="shared" si="445"/>
        <v>0</v>
      </c>
      <c r="BS525" s="115">
        <f t="shared" si="446"/>
        <v>0</v>
      </c>
      <c r="BT525" s="115">
        <f t="shared" ca="1" si="447"/>
        <v>0</v>
      </c>
      <c r="BU525" s="115" t="b">
        <f ca="1">AND(模拟模式!$K$10="2300·雷",BT524=0,RAND()&lt;IF(C525="净世破魔击·月",5*0.05*2/3,IF(C525="净世破魔击·日",3*0.05*2/3,0.05*2*2/3)))</f>
        <v>0</v>
      </c>
      <c r="BV525" s="115">
        <f t="shared" ca="1" si="448"/>
        <v>0</v>
      </c>
      <c r="BW525" s="115">
        <f t="shared" ca="1" si="449"/>
        <v>96.052499999999256</v>
      </c>
      <c r="BX525" s="164" t="b">
        <f t="shared" ca="1" si="450"/>
        <v>0</v>
      </c>
      <c r="BY525" s="115">
        <f t="shared" ca="1" si="451"/>
        <v>0</v>
      </c>
      <c r="BZ525" s="115">
        <f>IF(OR(模拟模式!$P$16="10人团",模拟模式!$P$16="25人团"),IF(B525/30&gt;CA524,1,0),0)</f>
        <v>0</v>
      </c>
      <c r="CA525" s="115">
        <f t="shared" si="427"/>
        <v>0</v>
      </c>
      <c r="CB525" s="115">
        <f ca="1">IF(BZ525=1,IF(模拟模式!$P$16="10人团",15,0)+IF(模拟模式!$P$16="25人团",IF(RAND()&lt;0.6,15,0)),MAX(0,CB524-$F$4))</f>
        <v>0</v>
      </c>
      <c r="CC525" s="115" t="b">
        <f t="shared" ca="1" si="475"/>
        <v>0</v>
      </c>
      <c r="CD525" s="115">
        <f>IF(模拟模式!$Q$16="1个",IF(B525/40&gt;CE524,1,0),0)</f>
        <v>0</v>
      </c>
      <c r="CE525" s="115">
        <f t="shared" si="476"/>
        <v>0</v>
      </c>
      <c r="CF525" s="115">
        <f>IF(OR(CD525=1,模拟模式!$Q$16="2个"),20,MAX(0,CF524-$F$4))</f>
        <v>0</v>
      </c>
      <c r="CG525" s="115" t="b">
        <f t="shared" si="477"/>
        <v>0</v>
      </c>
      <c r="CH525" s="115">
        <f t="shared" ca="1" si="452"/>
        <v>17.085000000000008</v>
      </c>
      <c r="CI525" s="115" t="b">
        <f t="shared" ca="1" si="453"/>
        <v>0</v>
      </c>
      <c r="CJ525" s="119">
        <f t="shared" ca="1" si="454"/>
        <v>0</v>
      </c>
      <c r="CK525" s="115">
        <f t="shared" ca="1" si="455"/>
        <v>0</v>
      </c>
      <c r="CL525" s="115" t="b">
        <f ca="1">AND(模拟模式!$S$7="驱夷逐法",OR(AND(C525="净世破魔击·月",E524&gt;59),AND(C525="净世破魔击·日",F524&gt;59)))</f>
        <v>0</v>
      </c>
      <c r="CM525" s="115" t="b">
        <f ca="1">OR(CL525,AND(C525="净世破魔击·日",CL524,RAND()&lt;模拟模式!$U$23))</f>
        <v>0</v>
      </c>
      <c r="CN525" s="115" t="b">
        <f ca="1">IF(模拟模式!$M$7="辉耀红尘",AND(C525="净世破魔击·月",CL525,CV525=0,E524&lt;80),AND(C525="净世破魔击·月",CL525,E524&lt;100))</f>
        <v>0</v>
      </c>
      <c r="CO525" s="115" t="b">
        <f t="shared" ca="1" si="428"/>
        <v>0</v>
      </c>
      <c r="CP525" s="115" t="b">
        <f ca="1">AND(模拟模式!$O$7="用晦而明",OR(C525="净世破魔击·日",C525="净世破魔击·月",C525="驱夜断愁"),AB525)</f>
        <v>0</v>
      </c>
      <c r="CQ525" s="115" t="b">
        <f ca="1">OR(CP525,AND(CP524,RAND()&lt;模拟模式!$U$23))</f>
        <v>0</v>
      </c>
      <c r="CR525" s="115" t="b">
        <f ca="1">AND(模拟模式!$S$7="日月齐光",OR(C525="幽月轮1",C525="幽月轮2",C525="幽月轮3",CR524),NOT(OR(C525="赤日轮1",C525="赤日轮2",C525="赤日轮3")))</f>
        <v>0</v>
      </c>
      <c r="CS525" s="115" t="b">
        <f ca="1">AND(模拟模式!$S$7="日月齐光",OR(C525="赤日轮1",C525="赤日轮2",C525="赤日轮3",CS524),NOT(OR(C525="幽月轮1",C525="幽月轮2",C525="幽月轮3")))</f>
        <v>0</v>
      </c>
      <c r="CT525" s="115">
        <f t="shared" ca="1" si="456"/>
        <v>0</v>
      </c>
      <c r="CU525" s="115" t="b">
        <f ca="1">AND(模拟模式!$K$10="阴阳往极",CT524=0,RAND()&lt;IF(C525="净世破魔击·月",0.0275*7/3,IF(C525="净世破魔击·日",0.0275*3/3,0.0275*2/3)))</f>
        <v>0</v>
      </c>
      <c r="CV525" s="115">
        <f t="shared" ca="1" si="457"/>
        <v>0</v>
      </c>
      <c r="CW525" s="115">
        <f t="shared" ca="1" si="429"/>
        <v>1.3874999999999997</v>
      </c>
      <c r="CX525" s="115">
        <f t="shared" ca="1" si="430"/>
        <v>6</v>
      </c>
      <c r="CY525" s="115">
        <f ca="1">MAX(IF($C525="驱夜断愁",IF(模拟模式!$R$7="万念俱寂",6,45),CY524-$F$4),0)</f>
        <v>0.46499999999999975</v>
      </c>
      <c r="CZ525" s="115">
        <f t="shared" ca="1" si="431"/>
        <v>0</v>
      </c>
      <c r="DA525" s="115">
        <f ca="1">IF(模拟模式!$N$7="日月同辉",IF(DB524=2,0,MIN(6,IF(AND(OR(C525="赤日轮1",C525="赤日轮2",C525="赤日轮3",C525="幽月轮1",C525="幽月轮2",C525="幽月轮3"),AB525=1),DA524+1,DA524))),0)</f>
        <v>0</v>
      </c>
      <c r="DB525" s="115">
        <f t="shared" ca="1" si="432"/>
        <v>2</v>
      </c>
      <c r="DC525" s="115"/>
      <c r="DD525" s="115"/>
      <c r="DE525" s="115"/>
      <c r="DF525" s="115"/>
      <c r="DG525" s="115"/>
      <c r="DH525" s="115"/>
      <c r="DI525" s="115"/>
      <c r="DJ525" s="115"/>
      <c r="DK525" s="115"/>
      <c r="DL525" s="115"/>
      <c r="DM525" s="115"/>
    </row>
    <row r="526" spans="2:117" x14ac:dyDescent="0.2">
      <c r="B526" s="117">
        <f t="shared" si="433"/>
        <v>460.32750000000482</v>
      </c>
      <c r="C526" s="167" t="str">
        <f t="shared" ca="1" si="426"/>
        <v>驱夜断愁</v>
      </c>
      <c r="D526" s="115">
        <f ca="1">IF(C526="赤日轮1",1,IF(C526="赤日轮2",2,IF(C526="赤日轮3",3,IF(C526="幽月轮1",4,IF(C526="幽月轮2",5,IF(C526="幽月轮3",6,IF(C526="烈日斩",7,IF(C526="银月斩",8,IF(C526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526="净世破魔击·月",17,IF(C526="驱夜断愁",18,0)))))))))))</f>
        <v>18</v>
      </c>
      <c r="E526" s="115">
        <f ca="1">IF(AND(CU526,OR(C526="幽月轮1",C526="幽月轮2",C526="幽月轮3",C526="银月斩",C526="驱夜断愁",C526="净世破魔击·月")),100,MIN(IF(OR(CN526,BE526),0,IF(OR($C526="赤日轮1",$C526="赤日轮2",$C526="赤日轮3"),E525+20+IF(模拟模式!$I$7="日月凌天",4,0)+IF(CR525,20,0),IF($C526="烈日斩",E525+40,IF($C526="驱夜断愁",IF(模拟模式!$R$7="万念俱寂",E525+20,E525+60),IF($C526="净世破魔击·月",IF(OR(DB525&gt;0,CV525&gt;0),100,IF(模拟模式!$M$7="辉耀红尘",E525+20,E525)),IF($C526="净世破魔击·日",E525-100,E525)))))),100))</f>
        <v>40</v>
      </c>
      <c r="F526" s="115">
        <f ca="1">IF(AND(CU526,OR(C526="赤日轮1",C526="赤日轮2",C526="赤日轮3",C526="烈日斩",C526="净世破魔击·日")),100,MIN(IF(CO526,0,IF(OR($C526="幽月轮1",$C526="幽月轮2",$C526="幽月轮3"),F525+20+IF(模拟模式!$I$7="日月凌天",4,0)+IF(CS525,20,0),IF($C526="银月斩",F525+40+IF(模拟模式!$X$12=1,5,0),IF($C526="驱夜断愁",IF(模拟模式!$R$7="万念俱寂",F525+20,F525+60),IF($C526="净世破魔击·月",IF(模拟模式!$M$7="辉耀红尘",F525-80,F525-100),IF(AND(C526="净世破魔击·日",OR(DB525&gt;0,CV525&gt;0)),100,F525)))))),100))</f>
        <v>85</v>
      </c>
      <c r="G526" s="117">
        <f ca="1">('模拟-全程加成'!$E$3+'模拟-全程加成'!$E$4+'模拟-全程加成'!$E$5+('模拟-全程加成'!$C$6-'模拟-全程加成'!$C$3)*系数!$B$9+BS526*23)*(1+'模拟-全程加成'!$F$4+'模拟-全程加成'!$F$5+BJ526*10%+BM526*20%+BP526*4%+CG526*30%)+$F$7*系数!$B$12</f>
        <v>21493.829400000002</v>
      </c>
      <c r="H526" s="45">
        <f ca="1">'模拟-全程加成'!$H$3+'模拟-全程加成'!$H$4+'模拟-全程加成'!$H$5+('模拟-全程加成'!$G$4+'模拟-全程加成'!$G$5+('模拟-全程加成'!$C$6-'模拟-全程加成'!$C$3)*系数!$B$13)/系数!$B$3+LOOKUP(D526,'模拟-单技能数据'!$A$2:$A$19,'模拟-单技能数据'!$K$2:$K$19)+BG526*10%+IF(BV526&gt;0,378,0)</f>
        <v>0.51185145527300213</v>
      </c>
      <c r="I526" s="45">
        <f ca="1">'模拟-全程加成'!$J$3+'模拟-全程加成'!$J$4+'模拟-全程加成'!$J$5+('模拟-全程加成'!$I$4+'模拟-全程加成'!$I$5)/系数!$B$4+LOOKUP(D526,'模拟-单技能数据'!$A$2:$A$19,'模拟-单技能数据'!$L$2:$L$19)+BG526*10%</f>
        <v>2.162482885499879</v>
      </c>
      <c r="J526" s="45">
        <f ca="1">(('模拟-全程加成'!$K$3+'模拟-全程加成'!$K$4+'模拟-全程加成'!$K$5+('模拟-全程加成'!$C$6-'模拟-全程加成'!$C$3)*系数!$B$10+IF(BV526&gt;0,882,0)+IF(BY526&gt;0,1831,0))*(1+'模拟-全程加成'!$L$4+'模拟-全程加成'!$L$5+CC526*20%))/系数!$B$5</f>
        <v>0.69723220422048726</v>
      </c>
      <c r="K526" s="119">
        <f ca="1">LOOKUP(D526,'模拟-单技能数据'!$A$2:$A$19,'模拟-单技能数据'!$J$2:$J$19)+IF(CM526,60%,0)+IF(DB525-DB526&gt;0,30%,0)+IF(OR(AND(OR(C526="赤日轮1",C526="赤日轮2",C526="赤日轮3"),CR526),AND(OR(C526="幽月轮1",C526="幽月轮2",C526="幽月轮3"),CS526)),35%,0)+CJ526</f>
        <v>0.14000000000000001</v>
      </c>
      <c r="L526" s="119">
        <f ca="1">IF(AND(C526="烈日斩",模拟模式!$X$11=1),10%,0)+IF(AND(C526="驱夜断愁",AB526=1),30%,0)</f>
        <v>0.3</v>
      </c>
      <c r="M526" s="45">
        <f t="shared" ca="1" si="465"/>
        <v>0.51185145527300213</v>
      </c>
      <c r="N526" s="45">
        <f t="shared" ca="1" si="466"/>
        <v>0.43424854472699792</v>
      </c>
      <c r="O526" s="46">
        <f t="shared" ca="1" si="434"/>
        <v>0.65105628526390324</v>
      </c>
      <c r="P526" s="46" t="str">
        <f t="shared" ca="1" si="435"/>
        <v>命</v>
      </c>
      <c r="Q526" s="45">
        <f t="shared" ca="1" si="436"/>
        <v>1</v>
      </c>
      <c r="R526" s="117">
        <f ca="1">模拟模式!$E$20*(1-IF(模拟模式!$J$19="有",0.15,0))*(1-IF(模拟模式!$K$19="有",0.3,0)-IF(CQ526,0.5,0))</f>
        <v>843.02999999999975</v>
      </c>
      <c r="S526" s="45">
        <f ca="1">R526/(R526+(185*模拟模式!$E$22-16800)*4.08224)</f>
        <v>8.389626085980037E-2</v>
      </c>
      <c r="T526" s="45" t="str">
        <f ca="1">LOOKUP(D526,'模拟-单技能数据'!$A$2:$A$19,'模拟-单技能数据'!$H$2:$H$19)</f>
        <v>阴</v>
      </c>
      <c r="U526" s="119">
        <f t="shared" ca="1" si="467"/>
        <v>0.08</v>
      </c>
      <c r="V526" s="47">
        <f ca="1">(1+L526)*(LOOKUP(D526,'模拟-单技能数据'!$A$2:$A$19,'模拟-单技能数据'!$D$2:$D$19)+G526*LOOKUP(D526,'模拟-单技能数据'!$A$2:$A$19,'模拟-单技能数据'!$F$2:$F$19))*(1+J526)*(1+K526)*(1-S526)*(1+U526)*Q526*LOOKUP(D526,'模拟-单技能数据'!$A$2:$A$19,'模拟-单技能数据'!$I$2:$I$20)</f>
        <v>61540.073489592025</v>
      </c>
      <c r="W526" s="47">
        <f ca="1">LOOKUP(D526,'模拟-单技能数据'!$A$2:$A$19,'模拟-单技能数据'!$G$2:$G$19)*$I$10</f>
        <v>723.0212870940959</v>
      </c>
      <c r="X526" s="47">
        <f t="shared" ca="1" si="437"/>
        <v>9218.9345386263849</v>
      </c>
      <c r="Y526" s="47">
        <f t="shared" ca="1" si="468"/>
        <v>71482.029315312509</v>
      </c>
      <c r="Z526" s="49">
        <f t="shared" ca="1" si="469"/>
        <v>52109594.507481821</v>
      </c>
      <c r="AA526" s="97">
        <f t="shared" ca="1" si="470"/>
        <v>113201.13290533648</v>
      </c>
      <c r="AB526" s="115">
        <f ca="1">IF(OR(C526="赤日轮1",C526="赤日轮2",C526="赤日轮3"),IF(RAND()&lt;模拟模式!$Y$17,1,0),IF(OR(C526="幽月轮1",C526="幽月轮2",C526="幽月轮3"),IF(RAND()&lt;模拟模式!$Y$18,1,0),IF(C526="烈日斩",IF(RAND()&lt;模拟模式!$Y$19,1,0),IF(C526="银月斩",IF(RAND()&lt;模拟模式!$Y$20,1,0),IF(C526="驱夜断愁",IF(RAND()&lt;模拟模式!$Y$21,1,0),IF(C526="净世破魔击·日",IF(RAND()&lt;模拟模式!$Y$22,1,0),IF(C526="净世破魔击·月",IF(RAND()&lt;模拟模式!$Y$23,1,0),0)))))))</f>
        <v>1</v>
      </c>
      <c r="AC526" s="115" t="b">
        <f t="shared" ca="1" si="458"/>
        <v>0</v>
      </c>
      <c r="AD526" s="115" t="b">
        <f t="shared" ca="1" si="478"/>
        <v>1</v>
      </c>
      <c r="AE526" s="115">
        <f t="shared" ca="1" si="479"/>
        <v>5</v>
      </c>
      <c r="AF526" s="47">
        <f ca="1">IF(AC526,('模拟-单技能数据'!$D$20+G526*'模拟-单技能数据'!$F$20)*(1+J526)*(1+'模拟-单技能数据'!$J$20)*(1+U526),0)</f>
        <v>0</v>
      </c>
      <c r="AG526" s="61">
        <f t="shared" ca="1" si="471"/>
        <v>0.64185145527300214</v>
      </c>
      <c r="AH526" s="61">
        <f t="shared" ca="1" si="472"/>
        <v>2.2624828854998791</v>
      </c>
      <c r="AI526" s="62">
        <f t="shared" ca="1" si="438"/>
        <v>0.57725810007667389</v>
      </c>
      <c r="AJ526" s="47">
        <f ca="1">IF(AD526,IF(AI526&lt;$F$10,0,IF(AI526&lt;$F$10+$F$11,0.25,IF(AI526&lt;$F$10+$F$11+AG526,AH526,1)))*IF(AF526&gt;0,AF526,IF(AF525&gt;0,AF525,IF(AF524&gt;0,AF524,IF(AF523&gt;0,AF523,IF(AF522&gt;0,AF522,IF(AF521&gt;0,AF521,IF(AF520&gt;0,AF520,IF(AF519&gt;0,AF519,IF(AF518&gt;0,AF518,IF(AF516&gt;0,AF516,IF(AF515&gt;0,AF515,IF(AF514&gt;0,AF514,0)))))))))))),0)*(1-$S526)*'模拟-单技能数据'!$I$20</f>
        <v>9218.9345386263849</v>
      </c>
      <c r="AK526" s="115" t="b">
        <f t="shared" ca="1" si="459"/>
        <v>0</v>
      </c>
      <c r="AL526" s="115" t="b">
        <f t="shared" ca="1" si="480"/>
        <v>0</v>
      </c>
      <c r="AM526" s="115">
        <f t="shared" ca="1" si="481"/>
        <v>4</v>
      </c>
      <c r="AN526" s="47">
        <f ca="1">IF(AK526,('模拟-单技能数据'!$D$21+G526*'模拟-单技能数据'!$F$21)*(1+J526)*(1+'模拟-单技能数据'!$J$21)*(1+U526),0)</f>
        <v>0</v>
      </c>
      <c r="AO526" s="61">
        <f ca="1">IF(AN526&gt;0,M526-'模拟-单技能数据'!$K$10,AO525)</f>
        <v>0.42185145527300216</v>
      </c>
      <c r="AP526" s="61">
        <f ca="1">IF(AN526&gt;0,I526-'模拟-单技能数据'!$L$10,AP525)</f>
        <v>2.162482885499879</v>
      </c>
      <c r="AQ526" s="63">
        <f t="shared" ca="1" si="439"/>
        <v>3.3602669580401701E-2</v>
      </c>
      <c r="AR526" s="64">
        <f ca="1">IF(AL526,IF(AQ526&lt;$F$10,0,IF(AQ526&lt;$F$10+$F$11,0.25,IF(AQ526&lt;$F$10+$F$11+AO526,AP526,1)))*IF(AN526&gt;0,AN526,IF(AN525&gt;0,AN525,IF(AN524&gt;0,AN524,IF(AN523&gt;0,AN523,IF(AN522&gt;0,AN522,IF(AN521&gt;0,AN521,IF(AN520&gt;0,AN520,IF(AN519&gt;0,AN519,IF(AN518&gt;0,AN518,IF(AN516&gt;0,AN516,IF(AN515&gt;0,AN515,IF(AN514&gt;0,AN514,0)))))))))))),0)*(1-$S526)*'模拟-单技能数据'!$I$21</f>
        <v>0</v>
      </c>
      <c r="AS526" s="61">
        <f ca="1">IF(OR(C526="净世破魔击·日",C526="净世破魔击·月"),M526-'模拟-单技能数据'!$K$10,0)</f>
        <v>0</v>
      </c>
      <c r="AT526" s="61">
        <f ca="1">IF(OR(C526="净世破魔击·日",C526="净世破魔击·月"),I526-'模拟-单技能数据'!$L$10,0)</f>
        <v>0</v>
      </c>
      <c r="AU526" s="62">
        <f t="shared" ca="1" si="440"/>
        <v>8.8896502704452374E-2</v>
      </c>
      <c r="AV526" s="64">
        <f ca="1">IF(AS526&gt;0,('模拟-单技能数据'!$D$22+G526*'模拟-单技能数据'!$F$22)*(1+J526)*(1-S526)*IF(AU526&lt;$F$10,0,IF(AU526&lt;$F$10+$F$11,0.25,IF(AU526&lt;$F$10+$F$11+AS526,AT526,1)))*(1+U526),0)*'模拟-单技能数据'!$I$22</f>
        <v>0</v>
      </c>
      <c r="AW526" s="108">
        <f t="shared" ca="1" si="441"/>
        <v>0</v>
      </c>
      <c r="AX526" s="108" t="b">
        <f ca="1">AND(模拟模式!$P$10="有",AW525=0,RAND()&lt;IF(C526="净世破魔击·月",0.1*8/3,IF(C526="净世破魔击·日",0.1*4/3,0.1*2/3)))</f>
        <v>0</v>
      </c>
      <c r="AY526" s="47">
        <f ca="1">IF(AX526,(18+G526*0.722)*(1+J526)*(1-S526)*(1+$I$4)*IF(P526="会",'模拟-全程加成'!$J$3+'模拟-全程加成'!$J$4+'模拟-全程加成'!$J$5+('模拟-全程加成'!$I$4+'模拟-全程加成'!$I$5)/系数!$B$4+BG526*10%,IF(P526="命",1,IF(P526="识",0.25,0))),0)</f>
        <v>0</v>
      </c>
      <c r="AZ526" s="108">
        <f t="shared" si="442"/>
        <v>6.1625000000000068</v>
      </c>
      <c r="BA526" s="108" t="b">
        <f>AND(模拟模式!$Q$10="有",AZ525=0)</f>
        <v>0</v>
      </c>
      <c r="BB526" s="140">
        <f>IF(BA526,(0+G526*0.287)*(1+J526)*(1-S526)*(1+$I$4)*IF(P526="会",'模拟-全程加成'!$J$3+'模拟-全程加成'!$J$4+'模拟-全程加成'!$J$5+('模拟-全程加成'!$I$4+'模拟-全程加成'!$I$5)/系数!$B$4+BG526*10%,IF(P526="命",1,IF(P526="识",0.25,0))),0)</f>
        <v>0</v>
      </c>
      <c r="BC526" s="115" t="b">
        <f ca="1">AND(模拟模式!$R$7="伏明众生",E526=60,F526=20,DA526&lt;5,CZ525&lt;$F$4)</f>
        <v>0</v>
      </c>
      <c r="BD526" s="115">
        <f t="shared" ca="1" si="460"/>
        <v>0</v>
      </c>
      <c r="BE526" s="115" t="b">
        <f t="shared" ca="1" si="461"/>
        <v>0</v>
      </c>
      <c r="BF526" s="47">
        <f ca="1">IF(BC526,4*('模拟-单技能数据'!$D$24+G526*'模拟-单技能数据'!$F$24)*(1+J526)*(1+'模拟-单技能数据'!$J$24)*(1-S526)*(1+$I$3)*(('模拟-全程加成'!$J$3+'模拟-全程加成'!$J$4+'模拟-全程加成'!$J$5+('模拟-全程加成'!$I$4+'模拟-全程加成'!$I$5)/系数!$B$4+BG526*10%)*('模拟-全程加成'!$J$3+'模拟-全程加成'!$J$4+'模拟-全程加成'!$J$5+('模拟-全程加成'!$I$4+'模拟-全程加成'!$I$5)/系数!$B$4+BG526*10%)+(1-('模拟-全程加成'!$J$3+'模拟-全程加成'!$J$4+'模拟-全程加成'!$J$5+('模拟-全程加成'!$I$4+'模拟-全程加成'!$I$5)/系数!$B$4+BG526*10%)-$F$10-$F$11)+F512*0.25),0)*'模拟-单技能数据'!$I$24</f>
        <v>0</v>
      </c>
      <c r="BG526" s="115" t="b">
        <f ca="1">OR(AND(OR(C526="烈日斩",C526="银月斩"),模拟模式!$I$7="净身明礼"),AND(C526="净世破魔击·日",模拟模式!$J$7="洞若观火"),AND(C527="净世破魔击·月",模拟模式!$J$7="洞若观火"),AB526=1)</f>
        <v>1</v>
      </c>
      <c r="BH526" s="115" t="b">
        <f t="shared" ca="1" si="443"/>
        <v>1</v>
      </c>
      <c r="BI526" s="115">
        <f t="shared" ca="1" si="462"/>
        <v>6</v>
      </c>
      <c r="BJ526" s="115" t="b">
        <f t="shared" ca="1" si="473"/>
        <v>1</v>
      </c>
      <c r="BK526" s="115" t="b">
        <f ca="1">AND(C526="驱夜断愁",模拟模式!$P$7="天地诛戮")</f>
        <v>1</v>
      </c>
      <c r="BL526" s="57">
        <f t="shared" ca="1" si="463"/>
        <v>20</v>
      </c>
      <c r="BM526" s="115" t="b">
        <f t="shared" ca="1" si="474"/>
        <v>1</v>
      </c>
      <c r="BN526" s="115" t="b">
        <f ca="1">AND(OR(C526="赤日轮1",C526="赤日轮2",C526="赤日轮3",C526="幽月轮1",C526="幽月轮2",C526="幽月轮3"),AB526=1,模拟模式!$L$7="明光恒照")</f>
        <v>0</v>
      </c>
      <c r="BO526" s="117">
        <f t="shared" ca="1" si="464"/>
        <v>28.155000000000001</v>
      </c>
      <c r="BP526" s="115">
        <f t="shared" ca="1" si="444"/>
        <v>6</v>
      </c>
      <c r="BQ526" s="115" t="b">
        <f>模拟模式!$K$10="2600·水"</f>
        <v>0</v>
      </c>
      <c r="BR526" s="117">
        <f t="shared" si="445"/>
        <v>0</v>
      </c>
      <c r="BS526" s="115">
        <f t="shared" si="446"/>
        <v>0</v>
      </c>
      <c r="BT526" s="115">
        <f t="shared" ca="1" si="447"/>
        <v>0</v>
      </c>
      <c r="BU526" s="115" t="b">
        <f ca="1">AND(模拟模式!$K$10="2300·雷",BT525=0,RAND()&lt;IF(C526="净世破魔击·月",5*0.05*2/3,IF(C526="净世破魔击·日",3*0.05*2/3,0.05*2*2/3)))</f>
        <v>0</v>
      </c>
      <c r="BV526" s="115">
        <f t="shared" ca="1" si="448"/>
        <v>0</v>
      </c>
      <c r="BW526" s="115">
        <f t="shared" ca="1" si="449"/>
        <v>95.129999999999256</v>
      </c>
      <c r="BX526" s="164" t="b">
        <f t="shared" ca="1" si="450"/>
        <v>0</v>
      </c>
      <c r="BY526" s="115">
        <f t="shared" ca="1" si="451"/>
        <v>0</v>
      </c>
      <c r="BZ526" s="115">
        <f>IF(OR(模拟模式!$P$16="10人团",模拟模式!$P$16="25人团"),IF(B526/30&gt;CA525,1,0),0)</f>
        <v>0</v>
      </c>
      <c r="CA526" s="115">
        <f t="shared" si="427"/>
        <v>0</v>
      </c>
      <c r="CB526" s="115">
        <f ca="1">IF(BZ526=1,IF(模拟模式!$P$16="10人团",15,0)+IF(模拟模式!$P$16="25人团",IF(RAND()&lt;0.6,15,0)),MAX(0,CB525-$F$4))</f>
        <v>0</v>
      </c>
      <c r="CC526" s="115" t="b">
        <f t="shared" ca="1" si="475"/>
        <v>0</v>
      </c>
      <c r="CD526" s="115">
        <f>IF(模拟模式!$Q$16="1个",IF(B526/40&gt;CE525,1,0),0)</f>
        <v>0</v>
      </c>
      <c r="CE526" s="115">
        <f t="shared" si="476"/>
        <v>0</v>
      </c>
      <c r="CF526" s="115">
        <f>IF(OR(CD526=1,模拟模式!$Q$16="2个"),20,MAX(0,CF525-$F$4))</f>
        <v>0</v>
      </c>
      <c r="CG526" s="115" t="b">
        <f t="shared" si="477"/>
        <v>0</v>
      </c>
      <c r="CH526" s="115">
        <f t="shared" ca="1" si="452"/>
        <v>16.162500000000009</v>
      </c>
      <c r="CI526" s="115" t="b">
        <f t="shared" ca="1" si="453"/>
        <v>0</v>
      </c>
      <c r="CJ526" s="119">
        <f t="shared" ca="1" si="454"/>
        <v>0</v>
      </c>
      <c r="CK526" s="115">
        <f t="shared" ca="1" si="455"/>
        <v>0</v>
      </c>
      <c r="CL526" s="115" t="b">
        <f ca="1">AND(模拟模式!$S$7="驱夷逐法",OR(AND(C526="净世破魔击·月",E525&gt;59),AND(C526="净世破魔击·日",F525&gt;59)))</f>
        <v>0</v>
      </c>
      <c r="CM526" s="115" t="b">
        <f ca="1">OR(CL526,AND(C526="净世破魔击·日",CL525,RAND()&lt;模拟模式!$U$23))</f>
        <v>0</v>
      </c>
      <c r="CN526" s="115" t="b">
        <f ca="1">IF(模拟模式!$M$7="辉耀红尘",AND(C526="净世破魔击·月",CL526,CV526=0,E525&lt;80),AND(C526="净世破魔击·月",CL526,E525&lt;100))</f>
        <v>0</v>
      </c>
      <c r="CO526" s="115" t="b">
        <f t="shared" ca="1" si="428"/>
        <v>0</v>
      </c>
      <c r="CP526" s="115" t="b">
        <f ca="1">AND(模拟模式!$O$7="用晦而明",OR(C526="净世破魔击·日",C526="净世破魔击·月",C526="驱夜断愁"),AB526)</f>
        <v>1</v>
      </c>
      <c r="CQ526" s="115" t="b">
        <f ca="1">OR(CP526,AND(CP525,RAND()&lt;模拟模式!$U$23))</f>
        <v>1</v>
      </c>
      <c r="CR526" s="115" t="b">
        <f ca="1">AND(模拟模式!$S$7="日月齐光",OR(C526="幽月轮1",C526="幽月轮2",C526="幽月轮3",CR525),NOT(OR(C526="赤日轮1",C526="赤日轮2",C526="赤日轮3")))</f>
        <v>0</v>
      </c>
      <c r="CS526" s="115" t="b">
        <f ca="1">AND(模拟模式!$S$7="日月齐光",OR(C526="赤日轮1",C526="赤日轮2",C526="赤日轮3",CS525),NOT(OR(C526="幽月轮1",C526="幽月轮2",C526="幽月轮3")))</f>
        <v>0</v>
      </c>
      <c r="CT526" s="115">
        <f t="shared" ca="1" si="456"/>
        <v>0</v>
      </c>
      <c r="CU526" s="115" t="b">
        <f ca="1">AND(模拟模式!$K$10="阴阳往极",CT525=0,RAND()&lt;IF(C526="净世破魔击·月",0.0275*7/3,IF(C526="净世破魔击·日",0.0275*3/3,0.0275*2/3)))</f>
        <v>0</v>
      </c>
      <c r="CV526" s="115">
        <f t="shared" ca="1" si="457"/>
        <v>0</v>
      </c>
      <c r="CW526" s="115">
        <f t="shared" ca="1" si="429"/>
        <v>0.46499999999999975</v>
      </c>
      <c r="CX526" s="115">
        <f t="shared" ca="1" si="430"/>
        <v>5.0774999999999997</v>
      </c>
      <c r="CY526" s="115">
        <f ca="1">MAX(IF($C526="驱夜断愁",IF(模拟模式!$R$7="万念俱寂",6,45),CY525-$F$4),0)</f>
        <v>6</v>
      </c>
      <c r="CZ526" s="115">
        <f t="shared" ca="1" si="431"/>
        <v>0</v>
      </c>
      <c r="DA526" s="115">
        <f ca="1">IF(模拟模式!$N$7="日月同辉",IF(DB525=2,0,MIN(6,IF(AND(OR(C526="赤日轮1",C526="赤日轮2",C526="赤日轮3",C526="幽月轮1",C526="幽月轮2",C526="幽月轮3"),AB526=1),DA525+1,DA525))),0)</f>
        <v>0</v>
      </c>
      <c r="DB526" s="115">
        <f t="shared" ca="1" si="432"/>
        <v>2</v>
      </c>
      <c r="DC526" s="115"/>
      <c r="DD526" s="115"/>
      <c r="DE526" s="115"/>
      <c r="DF526" s="115"/>
      <c r="DG526" s="115"/>
      <c r="DH526" s="115"/>
      <c r="DI526" s="115"/>
      <c r="DJ526" s="115"/>
      <c r="DK526" s="115"/>
      <c r="DL526" s="115"/>
      <c r="DM526" s="115"/>
    </row>
    <row r="527" spans="2:117" x14ac:dyDescent="0.2">
      <c r="B527" s="117">
        <f t="shared" si="433"/>
        <v>461.25000000000483</v>
      </c>
      <c r="C527" s="167" t="str">
        <f t="shared" ca="1" si="426"/>
        <v>烈日斩</v>
      </c>
      <c r="D527" s="115">
        <f ca="1">IF(C527="赤日轮1",1,IF(C527="赤日轮2",2,IF(C527="赤日轮3",3,IF(C527="幽月轮1",4,IF(C527="幽月轮2",5,IF(C527="幽月轮3",6,IF(C527="烈日斩",7,IF(C527="银月斩",8,IF(C527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527="净世破魔击·月",17,IF(C527="驱夜断愁",18,0)))))))))))</f>
        <v>7</v>
      </c>
      <c r="E527" s="115">
        <f ca="1">IF(AND(CU527,OR(C527="幽月轮1",C527="幽月轮2",C527="幽月轮3",C527="银月斩",C527="驱夜断愁",C527="净世破魔击·月")),100,MIN(IF(OR(CN527,BE527),0,IF(OR($C527="赤日轮1",$C527="赤日轮2",$C527="赤日轮3"),E526+20+IF(模拟模式!$I$7="日月凌天",4,0)+IF(CR526,20,0),IF($C527="烈日斩",E526+40,IF($C527="驱夜断愁",IF(模拟模式!$R$7="万念俱寂",E526+20,E526+60),IF($C527="净世破魔击·月",IF(OR(DB526&gt;0,CV526&gt;0),100,IF(模拟模式!$M$7="辉耀红尘",E526+20,E526)),IF($C527="净世破魔击·日",E526-100,E526)))))),100))</f>
        <v>80</v>
      </c>
      <c r="F527" s="115">
        <f ca="1">IF(AND(CU527,OR(C527="赤日轮1",C527="赤日轮2",C527="赤日轮3",C527="烈日斩",C527="净世破魔击·日")),100,MIN(IF(CO527,0,IF(OR($C527="幽月轮1",$C527="幽月轮2",$C527="幽月轮3"),F526+20+IF(模拟模式!$I$7="日月凌天",4,0)+IF(CS526,20,0),IF($C527="银月斩",F526+40+IF(模拟模式!$X$12=1,5,0),IF($C527="驱夜断愁",IF(模拟模式!$R$7="万念俱寂",F526+20,F526+60),IF($C527="净世破魔击·月",IF(模拟模式!$M$7="辉耀红尘",F526-80,F526-100),IF(AND(C527="净世破魔击·日",OR(DB526&gt;0,CV526&gt;0)),100,F526)))))),100))</f>
        <v>85</v>
      </c>
      <c r="G527" s="117">
        <f ca="1">('模拟-全程加成'!$E$3+'模拟-全程加成'!$E$4+'模拟-全程加成'!$E$5+('模拟-全程加成'!$C$6-'模拟-全程加成'!$C$3)*系数!$B$9+BS527*23)*(1+'模拟-全程加成'!$F$4+'模拟-全程加成'!$F$5+BJ527*10%+BM527*20%+BP527*4%+CG527*30%)+$F$7*系数!$B$12</f>
        <v>21493.829400000002</v>
      </c>
      <c r="H527" s="45">
        <f ca="1">'模拟-全程加成'!$H$3+'模拟-全程加成'!$H$4+'模拟-全程加成'!$H$5+('模拟-全程加成'!$G$4+'模拟-全程加成'!$G$5+('模拟-全程加成'!$C$6-'模拟-全程加成'!$C$3)*系数!$B$13)/系数!$B$3+LOOKUP(D527,'模拟-单技能数据'!$A$2:$A$19,'模拟-单技能数据'!$K$2:$K$19)+BG527*10%+IF(BV527&gt;0,378,0)</f>
        <v>0.56185145527300218</v>
      </c>
      <c r="I527" s="45">
        <f ca="1">'模拟-全程加成'!$J$3+'模拟-全程加成'!$J$4+'模拟-全程加成'!$J$5+('模拟-全程加成'!$I$4+'模拟-全程加成'!$I$5)/系数!$B$4+LOOKUP(D527,'模拟-单技能数据'!$A$2:$A$19,'模拟-单技能数据'!$L$2:$L$19)+BG527*10%</f>
        <v>2.2624828854998791</v>
      </c>
      <c r="J527" s="45">
        <f ca="1">(('模拟-全程加成'!$K$3+'模拟-全程加成'!$K$4+'模拟-全程加成'!$K$5+('模拟-全程加成'!$C$6-'模拟-全程加成'!$C$3)*系数!$B$10+IF(BV527&gt;0,882,0)+IF(BY527&gt;0,1831,0))*(1+'模拟-全程加成'!$L$4+'模拟-全程加成'!$L$5+CC527*20%))/系数!$B$5</f>
        <v>0.69723220422048726</v>
      </c>
      <c r="K527" s="119">
        <f ca="1">LOOKUP(D527,'模拟-单技能数据'!$A$2:$A$19,'模拟-单技能数据'!$J$2:$J$19)+IF(CM527,60%,0)+IF(DB526-DB527&gt;0,30%,0)+IF(OR(AND(OR(C527="赤日轮1",C527="赤日轮2",C527="赤日轮3"),CR527),AND(OR(C527="幽月轮1",C527="幽月轮2",C527="幽月轮3"),CS527)),35%,0)+CJ527</f>
        <v>0.24</v>
      </c>
      <c r="L527" s="119">
        <f ca="1">IF(AND(C527="烈日斩",模拟模式!$X$11=1),10%,0)+IF(AND(C527="驱夜断愁",AB527=1),30%,0)</f>
        <v>0.1</v>
      </c>
      <c r="M527" s="45">
        <f t="shared" ca="1" si="465"/>
        <v>0.56185145527300218</v>
      </c>
      <c r="N527" s="45">
        <f t="shared" ca="1" si="466"/>
        <v>0.38424854472699788</v>
      </c>
      <c r="O527" s="46">
        <f t="shared" ca="1" si="434"/>
        <v>0.29760956715267373</v>
      </c>
      <c r="P527" s="46" t="str">
        <f t="shared" ca="1" si="435"/>
        <v>会</v>
      </c>
      <c r="Q527" s="45">
        <f t="shared" ca="1" si="436"/>
        <v>2.2624828854998791</v>
      </c>
      <c r="R527" s="117">
        <f ca="1">模拟模式!$E$20*(1-IF(模拟模式!$J$19="有",0.15,0))*(1-IF(模拟模式!$K$19="有",0.3,0)-IF(CQ527,0.5,0))</f>
        <v>843.02999999999975</v>
      </c>
      <c r="S527" s="45">
        <f ca="1">R527/(R527+(185*模拟模式!$E$22-16800)*4.08224)</f>
        <v>8.389626085980037E-2</v>
      </c>
      <c r="T527" s="45" t="str">
        <f ca="1">LOOKUP(D527,'模拟-单技能数据'!$A$2:$A$19,'模拟-单技能数据'!$H$2:$H$19)</f>
        <v>阳</v>
      </c>
      <c r="U527" s="119">
        <f t="shared" ca="1" si="467"/>
        <v>0.2</v>
      </c>
      <c r="V527" s="47">
        <f ca="1">(1+L527)*(LOOKUP(D527,'模拟-单技能数据'!$A$2:$A$19,'模拟-单技能数据'!$D$2:$D$19)+G527*LOOKUP(D527,'模拟-单技能数据'!$A$2:$A$19,'模拟-单技能数据'!$F$2:$F$19))*(1+J527)*(1+K527)*(1-S527)*(1+U527)*Q527*LOOKUP(D527,'模拟-单技能数据'!$A$2:$A$19,'模拟-单技能数据'!$I$2:$I$20)</f>
        <v>110503.35617153208</v>
      </c>
      <c r="W527" s="47">
        <f ca="1">LOOKUP(D527,'模拟-单技能数据'!$A$2:$A$19,'模拟-单技能数据'!$G$2:$G$19)*$I$10</f>
        <v>361.51064354704795</v>
      </c>
      <c r="X527" s="47">
        <f t="shared" ca="1" si="437"/>
        <v>11118.353508757338</v>
      </c>
      <c r="Y527" s="47">
        <f t="shared" ca="1" si="468"/>
        <v>121983.22032383647</v>
      </c>
      <c r="Z527" s="49">
        <f t="shared" ca="1" si="469"/>
        <v>52231577.727805659</v>
      </c>
      <c r="AA527" s="97">
        <f t="shared" ca="1" si="470"/>
        <v>113239.19290581055</v>
      </c>
      <c r="AB527" s="115">
        <f ca="1">IF(OR(C527="赤日轮1",C527="赤日轮2",C527="赤日轮3"),IF(RAND()&lt;模拟模式!$Y$17,1,0),IF(OR(C527="幽月轮1",C527="幽月轮2",C527="幽月轮3"),IF(RAND()&lt;模拟模式!$Y$18,1,0),IF(C527="烈日斩",IF(RAND()&lt;模拟模式!$Y$19,1,0),IF(C527="银月斩",IF(RAND()&lt;模拟模式!$Y$20,1,0),IF(C527="驱夜断愁",IF(RAND()&lt;模拟模式!$Y$21,1,0),IF(C527="净世破魔击·日",IF(RAND()&lt;模拟模式!$Y$22,1,0),IF(C527="净世破魔击·月",IF(RAND()&lt;模拟模式!$Y$23,1,0),0)))))))</f>
        <v>1</v>
      </c>
      <c r="AC527" s="115" t="b">
        <f t="shared" ca="1" si="458"/>
        <v>0</v>
      </c>
      <c r="AD527" s="115" t="b">
        <f t="shared" ca="1" si="478"/>
        <v>0</v>
      </c>
      <c r="AE527" s="115">
        <f t="shared" ca="1" si="479"/>
        <v>5</v>
      </c>
      <c r="AF527" s="47">
        <f ca="1">IF(AC527,('模拟-单技能数据'!$D$20+G527*'模拟-单技能数据'!$F$20)*(1+J527)*(1+'模拟-单技能数据'!$J$20)*(1+U527),0)</f>
        <v>0</v>
      </c>
      <c r="AG527" s="61">
        <f t="shared" ca="1" si="471"/>
        <v>0.64185145527300214</v>
      </c>
      <c r="AH527" s="61">
        <f t="shared" ca="1" si="472"/>
        <v>2.2624828854998791</v>
      </c>
      <c r="AI527" s="62">
        <f t="shared" ca="1" si="438"/>
        <v>0.24597875594272878</v>
      </c>
      <c r="AJ527" s="47">
        <f ca="1">IF(AD527,IF(AI527&lt;$F$10,0,IF(AI527&lt;$F$10+$F$11,0.25,IF(AI527&lt;$F$10+$F$11+AG527,AH527,1)))*IF(AF527&gt;0,AF527,IF(AF526&gt;0,AF526,IF(AF525&gt;0,AF525,IF(AF524&gt;0,AF524,IF(AF523&gt;0,AF523,IF(AF522&gt;0,AF522,IF(AF521&gt;0,AF521,IF(AF520&gt;0,AF520,IF(AF519&gt;0,AF519,IF(AF517&gt;0,AF517,IF(AF516&gt;0,AF516,IF(AF515&gt;0,AF515,0)))))))))))),0)*(1-$S527)*'模拟-单技能数据'!$I$20</f>
        <v>0</v>
      </c>
      <c r="AK527" s="115" t="b">
        <f t="shared" ca="1" si="459"/>
        <v>0</v>
      </c>
      <c r="AL527" s="115" t="b">
        <f t="shared" ca="1" si="480"/>
        <v>1</v>
      </c>
      <c r="AM527" s="115">
        <f t="shared" ca="1" si="481"/>
        <v>3</v>
      </c>
      <c r="AN527" s="47">
        <f ca="1">IF(AK527,('模拟-单技能数据'!$D$21+G527*'模拟-单技能数据'!$F$21)*(1+J527)*(1+'模拟-单技能数据'!$J$21)*(1+U527),0)</f>
        <v>0</v>
      </c>
      <c r="AO527" s="61">
        <f ca="1">IF(AN527&gt;0,M527-'模拟-单技能数据'!$K$10,AO526)</f>
        <v>0.42185145527300216</v>
      </c>
      <c r="AP527" s="61">
        <f ca="1">IF(AN527&gt;0,I527-'模拟-单技能数据'!$L$10,AP526)</f>
        <v>2.162482885499879</v>
      </c>
      <c r="AQ527" s="63">
        <f t="shared" ca="1" si="439"/>
        <v>0.94208247638347142</v>
      </c>
      <c r="AR527" s="64">
        <f ca="1">IF(AL527,IF(AQ527&lt;$F$10,0,IF(AQ527&lt;$F$10+$F$11,0.25,IF(AQ527&lt;$F$10+$F$11+AO527,AP527,1)))*IF(AN527&gt;0,AN527,IF(AN526&gt;0,AN526,IF(AN525&gt;0,AN525,IF(AN524&gt;0,AN524,IF(AN523&gt;0,AN523,IF(AN522&gt;0,AN522,IF(AN521&gt;0,AN521,IF(AN520&gt;0,AN520,IF(AN519&gt;0,AN519,IF(AN517&gt;0,AN517,IF(AN516&gt;0,AN516,IF(AN515&gt;0,AN515,0)))))))))))),0)*(1-$S527)*'模拟-单技能数据'!$I$21</f>
        <v>11118.353508757338</v>
      </c>
      <c r="AS527" s="61">
        <f ca="1">IF(OR(C527="净世破魔击·日",C527="净世破魔击·月"),M527-'模拟-单技能数据'!$K$10,0)</f>
        <v>0</v>
      </c>
      <c r="AT527" s="61">
        <f ca="1">IF(OR(C527="净世破魔击·日",C527="净世破魔击·月"),I527-'模拟-单技能数据'!$L$10,0)</f>
        <v>0</v>
      </c>
      <c r="AU527" s="62">
        <f t="shared" ca="1" si="440"/>
        <v>0.72730167775083687</v>
      </c>
      <c r="AV527" s="64">
        <f ca="1">IF(AS527&gt;0,('模拟-单技能数据'!$D$22+G527*'模拟-单技能数据'!$F$22)*(1+J527)*(1-S527)*IF(AU527&lt;$F$10,0,IF(AU527&lt;$F$10+$F$11,0.25,IF(AU527&lt;$F$10+$F$11+AS527,AT527,1)))*(1+U527),0)*'模拟-单技能数据'!$I$22</f>
        <v>0</v>
      </c>
      <c r="AW527" s="108">
        <f t="shared" ca="1" si="441"/>
        <v>0</v>
      </c>
      <c r="AX527" s="108" t="b">
        <f ca="1">AND(模拟模式!$P$10="有",AW526=0,RAND()&lt;IF(C527="净世破魔击·月",0.1*8/3,IF(C527="净世破魔击·日",0.1*4/3,0.1*2/3)))</f>
        <v>0</v>
      </c>
      <c r="AY527" s="47">
        <f ca="1">IF(AX527,(18+G527*0.722)*(1+J527)*(1-S527)*(1+$I$4)*IF(P527="会",'模拟-全程加成'!$J$3+'模拟-全程加成'!$J$4+'模拟-全程加成'!$J$5+('模拟-全程加成'!$I$4+'模拟-全程加成'!$I$5)/系数!$B$4+BG527*10%,IF(P527="命",1,IF(P527="识",0.25,0))),0)</f>
        <v>0</v>
      </c>
      <c r="AZ527" s="108">
        <f t="shared" si="442"/>
        <v>5.2400000000000064</v>
      </c>
      <c r="BA527" s="108" t="b">
        <f>AND(模拟模式!$Q$10="有",AZ526=0)</f>
        <v>0</v>
      </c>
      <c r="BB527" s="140">
        <f>IF(BA527,(0+G527*0.287)*(1+J527)*(1-S527)*(1+$I$4)*IF(P527="会",'模拟-全程加成'!$J$3+'模拟-全程加成'!$J$4+'模拟-全程加成'!$J$5+('模拟-全程加成'!$I$4+'模拟-全程加成'!$I$5)/系数!$B$4+BG527*10%,IF(P527="命",1,IF(P527="识",0.25,0))),0)</f>
        <v>0</v>
      </c>
      <c r="BC527" s="115" t="b">
        <f ca="1">AND(模拟模式!$R$7="伏明众生",E527=60,F527=20,DA527&lt;5,CZ526&lt;$F$4)</f>
        <v>0</v>
      </c>
      <c r="BD527" s="115">
        <f t="shared" ca="1" si="460"/>
        <v>0</v>
      </c>
      <c r="BE527" s="115" t="b">
        <f t="shared" ca="1" si="461"/>
        <v>0</v>
      </c>
      <c r="BF527" s="47">
        <f ca="1">IF(BC527,4*('模拟-单技能数据'!$D$24+G527*'模拟-单技能数据'!$F$24)*(1+J527)*(1+'模拟-单技能数据'!$J$24)*(1-S527)*(1+$I$3)*(('模拟-全程加成'!$J$3+'模拟-全程加成'!$J$4+'模拟-全程加成'!$J$5+('模拟-全程加成'!$I$4+'模拟-全程加成'!$I$5)/系数!$B$4+BG527*10%)*('模拟-全程加成'!$J$3+'模拟-全程加成'!$J$4+'模拟-全程加成'!$J$5+('模拟-全程加成'!$I$4+'模拟-全程加成'!$I$5)/系数!$B$4+BG527*10%)+(1-('模拟-全程加成'!$J$3+'模拟-全程加成'!$J$4+'模拟-全程加成'!$J$5+('模拟-全程加成'!$I$4+'模拟-全程加成'!$I$5)/系数!$B$4+BG527*10%)-$F$10-$F$11)+F513*0.25),0)*'模拟-单技能数据'!$I$24</f>
        <v>0</v>
      </c>
      <c r="BG527" s="115" t="b">
        <f ca="1">OR(AND(OR(C527="烈日斩",C527="银月斩"),模拟模式!$I$7="净身明礼"),AND(C527="净世破魔击·日",模拟模式!$J$7="洞若观火"),AND(C528="净世破魔击·月",模拟模式!$J$7="洞若观火"),AB527=1)</f>
        <v>1</v>
      </c>
      <c r="BH527" s="115" t="b">
        <f t="shared" ca="1" si="443"/>
        <v>0</v>
      </c>
      <c r="BI527" s="115">
        <f t="shared" ca="1" si="462"/>
        <v>5.0774999999999997</v>
      </c>
      <c r="BJ527" s="115" t="b">
        <f t="shared" ca="1" si="473"/>
        <v>1</v>
      </c>
      <c r="BK527" s="115" t="b">
        <f ca="1">AND(C527="驱夜断愁",模拟模式!$P$7="天地诛戮")</f>
        <v>0</v>
      </c>
      <c r="BL527" s="57">
        <f t="shared" ca="1" si="463"/>
        <v>19.077500000000001</v>
      </c>
      <c r="BM527" s="115" t="b">
        <f t="shared" ca="1" si="474"/>
        <v>1</v>
      </c>
      <c r="BN527" s="115" t="b">
        <f ca="1">AND(OR(C527="赤日轮1",C527="赤日轮2",C527="赤日轮3",C527="幽月轮1",C527="幽月轮2",C527="幽月轮3"),AB527=1,模拟模式!$L$7="明光恒照")</f>
        <v>0</v>
      </c>
      <c r="BO527" s="117">
        <f t="shared" ca="1" si="464"/>
        <v>27.232500000000002</v>
      </c>
      <c r="BP527" s="115">
        <f t="shared" ca="1" si="444"/>
        <v>6</v>
      </c>
      <c r="BQ527" s="115" t="b">
        <f>模拟模式!$K$10="2600·水"</f>
        <v>0</v>
      </c>
      <c r="BR527" s="117">
        <f t="shared" si="445"/>
        <v>0</v>
      </c>
      <c r="BS527" s="115">
        <f t="shared" si="446"/>
        <v>0</v>
      </c>
      <c r="BT527" s="115">
        <f t="shared" ca="1" si="447"/>
        <v>0</v>
      </c>
      <c r="BU527" s="115" t="b">
        <f ca="1">AND(模拟模式!$K$10="2300·雷",BT526=0,RAND()&lt;IF(C527="净世破魔击·月",5*0.05*2/3,IF(C527="净世破魔击·日",3*0.05*2/3,0.05*2*2/3)))</f>
        <v>0</v>
      </c>
      <c r="BV527" s="115">
        <f t="shared" ca="1" si="448"/>
        <v>0</v>
      </c>
      <c r="BW527" s="115">
        <f t="shared" ca="1" si="449"/>
        <v>94.207499999999257</v>
      </c>
      <c r="BX527" s="164" t="b">
        <f t="shared" ca="1" si="450"/>
        <v>0</v>
      </c>
      <c r="BY527" s="115">
        <f t="shared" ca="1" si="451"/>
        <v>0</v>
      </c>
      <c r="BZ527" s="115">
        <f>IF(OR(模拟模式!$P$16="10人团",模拟模式!$P$16="25人团"),IF(B527/30&gt;CA526,1,0),0)</f>
        <v>0</v>
      </c>
      <c r="CA527" s="115">
        <f t="shared" si="427"/>
        <v>0</v>
      </c>
      <c r="CB527" s="115">
        <f ca="1">IF(BZ527=1,IF(模拟模式!$P$16="10人团",15,0)+IF(模拟模式!$P$16="25人团",IF(RAND()&lt;0.6,15,0)),MAX(0,CB526-$F$4))</f>
        <v>0</v>
      </c>
      <c r="CC527" s="115" t="b">
        <f t="shared" ca="1" si="475"/>
        <v>0</v>
      </c>
      <c r="CD527" s="115">
        <f>IF(模拟模式!$Q$16="1个",IF(B527/40&gt;CE526,1,0),0)</f>
        <v>0</v>
      </c>
      <c r="CE527" s="115">
        <f t="shared" si="476"/>
        <v>0</v>
      </c>
      <c r="CF527" s="115">
        <f>IF(OR(CD527=1,模拟模式!$Q$16="2个"),20,MAX(0,CF526-$F$4))</f>
        <v>0</v>
      </c>
      <c r="CG527" s="115" t="b">
        <f t="shared" si="477"/>
        <v>0</v>
      </c>
      <c r="CH527" s="115">
        <f t="shared" ca="1" si="452"/>
        <v>15.240000000000009</v>
      </c>
      <c r="CI527" s="115" t="b">
        <f t="shared" ca="1" si="453"/>
        <v>0</v>
      </c>
      <c r="CJ527" s="119">
        <f t="shared" ca="1" si="454"/>
        <v>0</v>
      </c>
      <c r="CK527" s="115">
        <f t="shared" ca="1" si="455"/>
        <v>0</v>
      </c>
      <c r="CL527" s="115" t="b">
        <f ca="1">AND(模拟模式!$S$7="驱夷逐法",OR(AND(C527="净世破魔击·月",E526&gt;59),AND(C527="净世破魔击·日",F526&gt;59)))</f>
        <v>0</v>
      </c>
      <c r="CM527" s="115" t="b">
        <f ca="1">OR(CL527,AND(C527="净世破魔击·日",CL526,RAND()&lt;模拟模式!$U$23))</f>
        <v>0</v>
      </c>
      <c r="CN527" s="115" t="b">
        <f ca="1">IF(模拟模式!$M$7="辉耀红尘",AND(C527="净世破魔击·月",CL527,CV527=0,E526&lt;80),AND(C527="净世破魔击·月",CL527,E526&lt;100))</f>
        <v>0</v>
      </c>
      <c r="CO527" s="115" t="b">
        <f t="shared" ca="1" si="428"/>
        <v>0</v>
      </c>
      <c r="CP527" s="115" t="b">
        <f ca="1">AND(模拟模式!$O$7="用晦而明",OR(C527="净世破魔击·日",C527="净世破魔击·月",C527="驱夜断愁"),AB527)</f>
        <v>0</v>
      </c>
      <c r="CQ527" s="115" t="b">
        <f ca="1">OR(CP527,AND(CP526,RAND()&lt;模拟模式!$U$23))</f>
        <v>1</v>
      </c>
      <c r="CR527" s="115" t="b">
        <f ca="1">AND(模拟模式!$S$7="日月齐光",OR(C527="幽月轮1",C527="幽月轮2",C527="幽月轮3",CR526),NOT(OR(C527="赤日轮1",C527="赤日轮2",C527="赤日轮3")))</f>
        <v>0</v>
      </c>
      <c r="CS527" s="115" t="b">
        <f ca="1">AND(模拟模式!$S$7="日月齐光",OR(C527="赤日轮1",C527="赤日轮2",C527="赤日轮3",CS526),NOT(OR(C527="幽月轮1",C527="幽月轮2",C527="幽月轮3")))</f>
        <v>0</v>
      </c>
      <c r="CT527" s="115">
        <f t="shared" ca="1" si="456"/>
        <v>0</v>
      </c>
      <c r="CU527" s="115" t="b">
        <f ca="1">AND(模拟模式!$K$10="阴阳往极",CT526=0,RAND()&lt;IF(C527="净世破魔击·月",0.0275*7/3,IF(C527="净世破魔击·日",0.0275*3/3,0.0275*2/3)))</f>
        <v>0</v>
      </c>
      <c r="CV527" s="115">
        <f t="shared" ca="1" si="457"/>
        <v>0</v>
      </c>
      <c r="CW527" s="115">
        <f t="shared" ca="1" si="429"/>
        <v>6</v>
      </c>
      <c r="CX527" s="115">
        <f t="shared" ca="1" si="430"/>
        <v>4.1549999999999994</v>
      </c>
      <c r="CY527" s="115">
        <f ca="1">MAX(IF($C527="驱夜断愁",IF(模拟模式!$R$7="万念俱寂",6,45),CY526-$F$4),0)</f>
        <v>5.0774999999999997</v>
      </c>
      <c r="CZ527" s="115">
        <f t="shared" ca="1" si="431"/>
        <v>0</v>
      </c>
      <c r="DA527" s="115">
        <f ca="1">IF(模拟模式!$N$7="日月同辉",IF(DB526=2,0,MIN(6,IF(AND(OR(C527="赤日轮1",C527="赤日轮2",C527="赤日轮3",C527="幽月轮1",C527="幽月轮2",C527="幽月轮3"),AB527=1),DA526+1,DA526))),0)</f>
        <v>0</v>
      </c>
      <c r="DB527" s="115">
        <f t="shared" ca="1" si="432"/>
        <v>2</v>
      </c>
      <c r="DC527" s="115"/>
      <c r="DD527" s="115"/>
      <c r="DE527" s="115"/>
      <c r="DF527" s="115"/>
      <c r="DG527" s="115"/>
      <c r="DH527" s="115"/>
      <c r="DI527" s="115"/>
      <c r="DJ527" s="115"/>
      <c r="DK527" s="115"/>
      <c r="DL527" s="115"/>
      <c r="DM527" s="115"/>
    </row>
    <row r="528" spans="2:117" x14ac:dyDescent="0.2">
      <c r="B528" s="117">
        <f t="shared" si="433"/>
        <v>462.17250000000485</v>
      </c>
      <c r="C528" s="167" t="str">
        <f t="shared" ca="1" si="426"/>
        <v>幽月轮1</v>
      </c>
      <c r="D528" s="115">
        <f ca="1">IF(C528="赤日轮1",1,IF(C528="赤日轮2",2,IF(C528="赤日轮3",3,IF(C528="幽月轮1",4,IF(C528="幽月轮2",5,IF(C528="幽月轮3",6,IF(C528="烈日斩",7,IF(C528="银月斩",8,IF(C528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528="净世破魔击·月",17,IF(C528="驱夜断愁",18,0)))))))))))</f>
        <v>4</v>
      </c>
      <c r="E528" s="115">
        <f ca="1">IF(AND(CU528,OR(C528="幽月轮1",C528="幽月轮2",C528="幽月轮3",C528="银月斩",C528="驱夜断愁",C528="净世破魔击·月")),100,MIN(IF(OR(CN528,BE528),0,IF(OR($C528="赤日轮1",$C528="赤日轮2",$C528="赤日轮3"),E527+20+IF(模拟模式!$I$7="日月凌天",4,0)+IF(CR527,20,0),IF($C528="烈日斩",E527+40,IF($C528="驱夜断愁",IF(模拟模式!$R$7="万念俱寂",E527+20,E527+60),IF($C528="净世破魔击·月",IF(OR(DB527&gt;0,CV527&gt;0),100,IF(模拟模式!$M$7="辉耀红尘",E527+20,E527)),IF($C528="净世破魔击·日",E527-100,E527)))))),100))</f>
        <v>80</v>
      </c>
      <c r="F528" s="115">
        <f ca="1">IF(AND(CU528,OR(C528="赤日轮1",C528="赤日轮2",C528="赤日轮3",C528="烈日斩",C528="净世破魔击·日")),100,MIN(IF(CO528,0,IF(OR($C528="幽月轮1",$C528="幽月轮2",$C528="幽月轮3"),F527+20+IF(模拟模式!$I$7="日月凌天",4,0)+IF(CS527,20,0),IF($C528="银月斩",F527+40+IF(模拟模式!$X$12=1,5,0),IF($C528="驱夜断愁",IF(模拟模式!$R$7="万念俱寂",F527+20,F527+60),IF($C528="净世破魔击·月",IF(模拟模式!$M$7="辉耀红尘",F527-80,F527-100),IF(AND(C528="净世破魔击·日",OR(DB527&gt;0,CV527&gt;0)),100,F527)))))),100))</f>
        <v>100</v>
      </c>
      <c r="G528" s="117">
        <f ca="1">('模拟-全程加成'!$E$3+'模拟-全程加成'!$E$4+'模拟-全程加成'!$E$5+('模拟-全程加成'!$C$6-'模拟-全程加成'!$C$3)*系数!$B$9+BS528*23)*(1+'模拟-全程加成'!$F$4+'模拟-全程加成'!$F$5+BJ528*10%+BM528*20%+BP528*4%+CG528*30%)+$F$7*系数!$B$12</f>
        <v>21493.829400000002</v>
      </c>
      <c r="H528" s="45">
        <f ca="1">'模拟-全程加成'!$H$3+'模拟-全程加成'!$H$4+'模拟-全程加成'!$H$5+('模拟-全程加成'!$G$4+'模拟-全程加成'!$G$5+('模拟-全程加成'!$C$6-'模拟-全程加成'!$C$3)*系数!$B$13)/系数!$B$3+LOOKUP(D528,'模拟-单技能数据'!$A$2:$A$19,'模拟-单技能数据'!$K$2:$K$19)+BG528*10%+IF(BV528&gt;0,378,0)</f>
        <v>0.51185145527300213</v>
      </c>
      <c r="I528" s="45">
        <f ca="1">'模拟-全程加成'!$J$3+'模拟-全程加成'!$J$4+'模拟-全程加成'!$J$5+('模拟-全程加成'!$I$4+'模拟-全程加成'!$I$5)/系数!$B$4+LOOKUP(D528,'模拟-单技能数据'!$A$2:$A$19,'模拟-单技能数据'!$L$2:$L$19)+BG528*10%</f>
        <v>2.162482885499879</v>
      </c>
      <c r="J528" s="45">
        <f ca="1">(('模拟-全程加成'!$K$3+'模拟-全程加成'!$K$4+'模拟-全程加成'!$K$5+('模拟-全程加成'!$C$6-'模拟-全程加成'!$C$3)*系数!$B$10+IF(BV528&gt;0,882,0)+IF(BY528&gt;0,1831,0))*(1+'模拟-全程加成'!$L$4+'模拟-全程加成'!$L$5+CC528*20%))/系数!$B$5</f>
        <v>0.69723220422048726</v>
      </c>
      <c r="K528" s="119">
        <f ca="1">LOOKUP(D528,'模拟-单技能数据'!$A$2:$A$19,'模拟-单技能数据'!$J$2:$J$19)+IF(CM528,60%,0)+IF(DB527-DB528&gt;0,30%,0)+IF(OR(AND(OR(C528="赤日轮1",C528="赤日轮2",C528="赤日轮3"),CR528),AND(OR(C528="幽月轮1",C528="幽月轮2",C528="幽月轮3"),CS528)),35%,0)+CJ528</f>
        <v>7.0000000000000007E-2</v>
      </c>
      <c r="L528" s="119">
        <f ca="1">IF(AND(C528="烈日斩",模拟模式!$X$11=1),10%,0)+IF(AND(C528="驱夜断愁",AB528=1),30%,0)</f>
        <v>0</v>
      </c>
      <c r="M528" s="45">
        <f t="shared" ca="1" si="465"/>
        <v>0.51185145527300213</v>
      </c>
      <c r="N528" s="45">
        <f t="shared" ca="1" si="466"/>
        <v>0.43424854472699792</v>
      </c>
      <c r="O528" s="46">
        <f t="shared" ca="1" si="434"/>
        <v>0.87929803377665139</v>
      </c>
      <c r="P528" s="46" t="str">
        <f t="shared" ca="1" si="435"/>
        <v>命</v>
      </c>
      <c r="Q528" s="45">
        <f t="shared" ca="1" si="436"/>
        <v>1</v>
      </c>
      <c r="R528" s="117">
        <f ca="1">模拟模式!$E$20*(1-IF(模拟模式!$J$19="有",0.15,0))*(1-IF(模拟模式!$K$19="有",0.3,0)-IF(CQ528,0.5,0))</f>
        <v>2950.6049999999996</v>
      </c>
      <c r="S528" s="45">
        <f ca="1">R528/(R528+(185*模拟模式!$E$22-16800)*4.08224)</f>
        <v>0.24272716014590323</v>
      </c>
      <c r="T528" s="45" t="str">
        <f ca="1">LOOKUP(D528,'模拟-单技能数据'!$A$2:$A$19,'模拟-单技能数据'!$H$2:$H$19)</f>
        <v>阴</v>
      </c>
      <c r="U528" s="119">
        <f t="shared" ca="1" si="467"/>
        <v>0.08</v>
      </c>
      <c r="V528" s="47">
        <f ca="1">(1+L528)*(LOOKUP(D528,'模拟-单技能数据'!$A$2:$A$19,'模拟-单技能数据'!$D$2:$D$19)+G528*LOOKUP(D528,'模拟-单技能数据'!$A$2:$A$19,'模拟-单技能数据'!$F$2:$F$19))*(1+J528)*(1+K528)*(1-S528)*(1+U528)*Q528*LOOKUP(D528,'模拟-单技能数据'!$A$2:$A$19,'模拟-单技能数据'!$I$2:$I$20)</f>
        <v>16939.18703301924</v>
      </c>
      <c r="W528" s="47">
        <f ca="1">LOOKUP(D528,'模拟-单技能数据'!$A$2:$A$19,'模拟-单技能数据'!$G$2:$G$19)*$I$10</f>
        <v>361.51064354704795</v>
      </c>
      <c r="X528" s="47">
        <f t="shared" ca="1" si="437"/>
        <v>3368.2409654332282</v>
      </c>
      <c r="Y528" s="47">
        <f t="shared" ca="1" si="468"/>
        <v>20668.938641999517</v>
      </c>
      <c r="Z528" s="49">
        <f t="shared" ca="1" si="469"/>
        <v>52252246.666447662</v>
      </c>
      <c r="AA528" s="97">
        <f t="shared" ca="1" si="470"/>
        <v>113057.88783721904</v>
      </c>
      <c r="AB528" s="115">
        <f ca="1">IF(OR(C528="赤日轮1",C528="赤日轮2",C528="赤日轮3"),IF(RAND()&lt;模拟模式!$Y$17,1,0),IF(OR(C528="幽月轮1",C528="幽月轮2",C528="幽月轮3"),IF(RAND()&lt;模拟模式!$Y$18,1,0),IF(C528="烈日斩",IF(RAND()&lt;模拟模式!$Y$19,1,0),IF(C528="银月斩",IF(RAND()&lt;模拟模式!$Y$20,1,0),IF(C528="驱夜断愁",IF(RAND()&lt;模拟模式!$Y$21,1,0),IF(C528="净世破魔击·日",IF(RAND()&lt;模拟模式!$Y$22,1,0),IF(C528="净世破魔击·月",IF(RAND()&lt;模拟模式!$Y$23,1,0),0)))))))</f>
        <v>1</v>
      </c>
      <c r="AC528" s="115" t="b">
        <f t="shared" ca="1" si="458"/>
        <v>0</v>
      </c>
      <c r="AD528" s="115" t="b">
        <f t="shared" ca="1" si="478"/>
        <v>1</v>
      </c>
      <c r="AE528" s="115">
        <f t="shared" ca="1" si="479"/>
        <v>4</v>
      </c>
      <c r="AF528" s="47">
        <f ca="1">IF(AC528,('模拟-单技能数据'!$D$20+G528*'模拟-单技能数据'!$F$20)*(1+J528)*(1+'模拟-单技能数据'!$J$20)*(1+U528),0)</f>
        <v>0</v>
      </c>
      <c r="AG528" s="61">
        <f t="shared" ca="1" si="471"/>
        <v>0.64185145527300214</v>
      </c>
      <c r="AH528" s="61">
        <f t="shared" ca="1" si="472"/>
        <v>2.2624828854998791</v>
      </c>
      <c r="AI528" s="62">
        <f t="shared" ca="1" si="438"/>
        <v>0.73606983504357892</v>
      </c>
      <c r="AJ528" s="47">
        <f ca="1">IF(AD528,IF(AI528&lt;$F$10,0,IF(AI528&lt;$F$10+$F$11,0.25,IF(AI528&lt;$F$10+$F$11+AG528,AH528,1)))*IF(AF528&gt;0,AF528,IF(AF527&gt;0,AF527,IF(AF526&gt;0,AF526,IF(AF525&gt;0,AF525,IF(AF524&gt;0,AF524,IF(AF523&gt;0,AF523,IF(AF522&gt;0,AF522,IF(AF521&gt;0,AF521,IF(AF520&gt;0,AF520,IF(AF518&gt;0,AF518,IF(AF517&gt;0,AF517,IF(AF516&gt;0,AF516,0)))))))))))),0)*(1-$S528)*'模拟-单技能数据'!$I$20</f>
        <v>3368.2409654332282</v>
      </c>
      <c r="AK528" s="115" t="b">
        <f t="shared" ca="1" si="459"/>
        <v>0</v>
      </c>
      <c r="AL528" s="115" t="b">
        <f t="shared" ca="1" si="480"/>
        <v>0</v>
      </c>
      <c r="AM528" s="115">
        <f t="shared" ca="1" si="481"/>
        <v>3</v>
      </c>
      <c r="AN528" s="47">
        <f ca="1">IF(AK528,('模拟-单技能数据'!$D$21+G528*'模拟-单技能数据'!$F$21)*(1+J528)*(1+'模拟-单技能数据'!$J$21)*(1+U528),0)</f>
        <v>0</v>
      </c>
      <c r="AO528" s="61">
        <f ca="1">IF(AN528&gt;0,M528-'模拟-单技能数据'!$K$10,AO527)</f>
        <v>0.42185145527300216</v>
      </c>
      <c r="AP528" s="61">
        <f ca="1">IF(AN528&gt;0,I528-'模拟-单技能数据'!$L$10,AP527)</f>
        <v>2.162482885499879</v>
      </c>
      <c r="AQ528" s="63">
        <f t="shared" ca="1" si="439"/>
        <v>0.75723476129669265</v>
      </c>
      <c r="AR528" s="64">
        <f ca="1">IF(AL528,IF(AQ528&lt;$F$10,0,IF(AQ528&lt;$F$10+$F$11,0.25,IF(AQ528&lt;$F$10+$F$11+AO528,AP528,1)))*IF(AN528&gt;0,AN528,IF(AN527&gt;0,AN527,IF(AN526&gt;0,AN526,IF(AN525&gt;0,AN525,IF(AN524&gt;0,AN524,IF(AN523&gt;0,AN523,IF(AN522&gt;0,AN522,IF(AN521&gt;0,AN521,IF(AN520&gt;0,AN520,IF(AN518&gt;0,AN518,IF(AN517&gt;0,AN517,IF(AN516&gt;0,AN516,0)))))))))))),0)*(1-$S528)*'模拟-单技能数据'!$I$21</f>
        <v>0</v>
      </c>
      <c r="AS528" s="61">
        <f ca="1">IF(OR(C528="净世破魔击·日",C528="净世破魔击·月"),M528-'模拟-单技能数据'!$K$10,0)</f>
        <v>0</v>
      </c>
      <c r="AT528" s="61">
        <f ca="1">IF(OR(C528="净世破魔击·日",C528="净世破魔击·月"),I528-'模拟-单技能数据'!$L$10,0)</f>
        <v>0</v>
      </c>
      <c r="AU528" s="62">
        <f t="shared" ca="1" si="440"/>
        <v>0.64225840697855086</v>
      </c>
      <c r="AV528" s="64">
        <f ca="1">IF(AS528&gt;0,('模拟-单技能数据'!$D$22+G528*'模拟-单技能数据'!$F$22)*(1+J528)*(1-S528)*IF(AU528&lt;$F$10,0,IF(AU528&lt;$F$10+$F$11,0.25,IF(AU528&lt;$F$10+$F$11+AS528,AT528,1)))*(1+U528),0)*'模拟-单技能数据'!$I$22</f>
        <v>0</v>
      </c>
      <c r="AW528" s="108">
        <f t="shared" ca="1" si="441"/>
        <v>0</v>
      </c>
      <c r="AX528" s="108" t="b">
        <f ca="1">AND(模拟模式!$P$10="有",AW527=0,RAND()&lt;IF(C528="净世破魔击·月",0.1*8/3,IF(C528="净世破魔击·日",0.1*4/3,0.1*2/3)))</f>
        <v>0</v>
      </c>
      <c r="AY528" s="47">
        <f ca="1">IF(AX528,(18+G528*0.722)*(1+J528)*(1-S528)*(1+$I$4)*IF(P528="会",'模拟-全程加成'!$J$3+'模拟-全程加成'!$J$4+'模拟-全程加成'!$J$5+('模拟-全程加成'!$I$4+'模拟-全程加成'!$I$5)/系数!$B$4+BG528*10%,IF(P528="命",1,IF(P528="识",0.25,0))),0)</f>
        <v>0</v>
      </c>
      <c r="AZ528" s="108">
        <f t="shared" si="442"/>
        <v>4.3175000000000061</v>
      </c>
      <c r="BA528" s="108" t="b">
        <f>AND(模拟模式!$Q$10="有",AZ527=0)</f>
        <v>0</v>
      </c>
      <c r="BB528" s="140">
        <f>IF(BA528,(0+G528*0.287)*(1+J528)*(1-S528)*(1+$I$4)*IF(P528="会",'模拟-全程加成'!$J$3+'模拟-全程加成'!$J$4+'模拟-全程加成'!$J$5+('模拟-全程加成'!$I$4+'模拟-全程加成'!$I$5)/系数!$B$4+BG528*10%,IF(P528="命",1,IF(P528="识",0.25,0))),0)</f>
        <v>0</v>
      </c>
      <c r="BC528" s="115" t="b">
        <f ca="1">AND(模拟模式!$R$7="伏明众生",E528=60,F528=20,DA528&lt;5,CZ527&lt;$F$4)</f>
        <v>0</v>
      </c>
      <c r="BD528" s="115">
        <f t="shared" ca="1" si="460"/>
        <v>0</v>
      </c>
      <c r="BE528" s="115" t="b">
        <f t="shared" ca="1" si="461"/>
        <v>0</v>
      </c>
      <c r="BF528" s="47">
        <f ca="1">IF(BC528,4*('模拟-单技能数据'!$D$24+G528*'模拟-单技能数据'!$F$24)*(1+J528)*(1+'模拟-单技能数据'!$J$24)*(1-S528)*(1+$I$3)*(('模拟-全程加成'!$J$3+'模拟-全程加成'!$J$4+'模拟-全程加成'!$J$5+('模拟-全程加成'!$I$4+'模拟-全程加成'!$I$5)/系数!$B$4+BG528*10%)*('模拟-全程加成'!$J$3+'模拟-全程加成'!$J$4+'模拟-全程加成'!$J$5+('模拟-全程加成'!$I$4+'模拟-全程加成'!$I$5)/系数!$B$4+BG528*10%)+(1-('模拟-全程加成'!$J$3+'模拟-全程加成'!$J$4+'模拟-全程加成'!$J$5+('模拟-全程加成'!$I$4+'模拟-全程加成'!$I$5)/系数!$B$4+BG528*10%)-$F$10-$F$11)+F514*0.25),0)*'模拟-单技能数据'!$I$24</f>
        <v>0</v>
      </c>
      <c r="BG528" s="115" t="b">
        <f ca="1">OR(AND(OR(C528="烈日斩",C528="银月斩"),模拟模式!$I$7="净身明礼"),AND(C528="净世破魔击·日",模拟模式!$J$7="洞若观火"),AND(C529="净世破魔击·月",模拟模式!$J$7="洞若观火"),AB528=1)</f>
        <v>1</v>
      </c>
      <c r="BH528" s="115" t="b">
        <f t="shared" ca="1" si="443"/>
        <v>0</v>
      </c>
      <c r="BI528" s="115">
        <f t="shared" ca="1" si="462"/>
        <v>4.1549999999999994</v>
      </c>
      <c r="BJ528" s="115" t="b">
        <f t="shared" ca="1" si="473"/>
        <v>1</v>
      </c>
      <c r="BK528" s="115" t="b">
        <f ca="1">AND(C528="驱夜断愁",模拟模式!$P$7="天地诛戮")</f>
        <v>0</v>
      </c>
      <c r="BL528" s="57">
        <f t="shared" ca="1" si="463"/>
        <v>18.155000000000001</v>
      </c>
      <c r="BM528" s="115" t="b">
        <f t="shared" ca="1" si="474"/>
        <v>1</v>
      </c>
      <c r="BN528" s="115" t="b">
        <f ca="1">AND(OR(C528="赤日轮1",C528="赤日轮2",C528="赤日轮3",C528="幽月轮1",C528="幽月轮2",C528="幽月轮3"),AB528=1,模拟模式!$L$7="明光恒照")</f>
        <v>1</v>
      </c>
      <c r="BO528" s="117">
        <f t="shared" ca="1" si="464"/>
        <v>30</v>
      </c>
      <c r="BP528" s="115">
        <f t="shared" ca="1" si="444"/>
        <v>6</v>
      </c>
      <c r="BQ528" s="115" t="b">
        <f>模拟模式!$K$10="2600·水"</f>
        <v>0</v>
      </c>
      <c r="BR528" s="117">
        <f t="shared" si="445"/>
        <v>0</v>
      </c>
      <c r="BS528" s="115">
        <f t="shared" si="446"/>
        <v>0</v>
      </c>
      <c r="BT528" s="115">
        <f t="shared" ca="1" si="447"/>
        <v>0</v>
      </c>
      <c r="BU528" s="115" t="b">
        <f ca="1">AND(模拟模式!$K$10="2300·雷",BT527=0,RAND()&lt;IF(C528="净世破魔击·月",5*0.05*2/3,IF(C528="净世破魔击·日",3*0.05*2/3,0.05*2*2/3)))</f>
        <v>0</v>
      </c>
      <c r="BV528" s="115">
        <f t="shared" ca="1" si="448"/>
        <v>0</v>
      </c>
      <c r="BW528" s="115">
        <f t="shared" ca="1" si="449"/>
        <v>93.284999999999258</v>
      </c>
      <c r="BX528" s="164" t="b">
        <f t="shared" ca="1" si="450"/>
        <v>0</v>
      </c>
      <c r="BY528" s="115">
        <f t="shared" ca="1" si="451"/>
        <v>0</v>
      </c>
      <c r="BZ528" s="115">
        <f>IF(OR(模拟模式!$P$16="10人团",模拟模式!$P$16="25人团"),IF(B528/30&gt;CA527,1,0),0)</f>
        <v>0</v>
      </c>
      <c r="CA528" s="115">
        <f t="shared" si="427"/>
        <v>0</v>
      </c>
      <c r="CB528" s="115">
        <f ca="1">IF(BZ528=1,IF(模拟模式!$P$16="10人团",15,0)+IF(模拟模式!$P$16="25人团",IF(RAND()&lt;0.6,15,0)),MAX(0,CB527-$F$4))</f>
        <v>0</v>
      </c>
      <c r="CC528" s="115" t="b">
        <f t="shared" ca="1" si="475"/>
        <v>0</v>
      </c>
      <c r="CD528" s="115">
        <f>IF(模拟模式!$Q$16="1个",IF(B528/40&gt;CE527,1,0),0)</f>
        <v>0</v>
      </c>
      <c r="CE528" s="115">
        <f t="shared" si="476"/>
        <v>0</v>
      </c>
      <c r="CF528" s="115">
        <f>IF(OR(CD528=1,模拟模式!$Q$16="2个"),20,MAX(0,CF527-$F$4))</f>
        <v>0</v>
      </c>
      <c r="CG528" s="115" t="b">
        <f t="shared" si="477"/>
        <v>0</v>
      </c>
      <c r="CH528" s="115">
        <f t="shared" ca="1" si="452"/>
        <v>14.31750000000001</v>
      </c>
      <c r="CI528" s="115" t="b">
        <f t="shared" ca="1" si="453"/>
        <v>0</v>
      </c>
      <c r="CJ528" s="119">
        <f t="shared" ca="1" si="454"/>
        <v>0</v>
      </c>
      <c r="CK528" s="115">
        <f t="shared" ca="1" si="455"/>
        <v>0</v>
      </c>
      <c r="CL528" s="115" t="b">
        <f ca="1">AND(模拟模式!$S$7="驱夷逐法",OR(AND(C528="净世破魔击·月",E527&gt;59),AND(C528="净世破魔击·日",F527&gt;59)))</f>
        <v>0</v>
      </c>
      <c r="CM528" s="115" t="b">
        <f ca="1">OR(CL528,AND(C528="净世破魔击·日",CL527,RAND()&lt;模拟模式!$U$23))</f>
        <v>0</v>
      </c>
      <c r="CN528" s="115" t="b">
        <f ca="1">IF(模拟模式!$M$7="辉耀红尘",AND(C528="净世破魔击·月",CL528,CV528=0,E527&lt;80),AND(C528="净世破魔击·月",CL528,E527&lt;100))</f>
        <v>0</v>
      </c>
      <c r="CO528" s="115" t="b">
        <f t="shared" ca="1" si="428"/>
        <v>0</v>
      </c>
      <c r="CP528" s="115" t="b">
        <f ca="1">AND(模拟模式!$O$7="用晦而明",OR(C528="净世破魔击·日",C528="净世破魔击·月",C528="驱夜断愁"),AB528)</f>
        <v>0</v>
      </c>
      <c r="CQ528" s="115" t="b">
        <f ca="1">OR(CP528,AND(CP527,RAND()&lt;模拟模式!$U$23))</f>
        <v>0</v>
      </c>
      <c r="CR528" s="115" t="b">
        <f ca="1">AND(模拟模式!$S$7="日月齐光",OR(C528="幽月轮1",C528="幽月轮2",C528="幽月轮3",CR527),NOT(OR(C528="赤日轮1",C528="赤日轮2",C528="赤日轮3")))</f>
        <v>0</v>
      </c>
      <c r="CS528" s="115" t="b">
        <f ca="1">AND(模拟模式!$S$7="日月齐光",OR(C528="赤日轮1",C528="赤日轮2",C528="赤日轮3",CS527),NOT(OR(C528="幽月轮1",C528="幽月轮2",C528="幽月轮3")))</f>
        <v>0</v>
      </c>
      <c r="CT528" s="115">
        <f t="shared" ca="1" si="456"/>
        <v>0</v>
      </c>
      <c r="CU528" s="115" t="b">
        <f ca="1">AND(模拟模式!$K$10="阴阳往极",CT527=0,RAND()&lt;IF(C528="净世破魔击·月",0.0275*7/3,IF(C528="净世破魔击·日",0.0275*3/3,0.0275*2/3)))</f>
        <v>0</v>
      </c>
      <c r="CV528" s="115">
        <f t="shared" ca="1" si="457"/>
        <v>0</v>
      </c>
      <c r="CW528" s="115">
        <f t="shared" ca="1" si="429"/>
        <v>5.0774999999999997</v>
      </c>
      <c r="CX528" s="115">
        <f t="shared" ca="1" si="430"/>
        <v>3.2324999999999995</v>
      </c>
      <c r="CY528" s="115">
        <f ca="1">MAX(IF($C528="驱夜断愁",IF(模拟模式!$R$7="万念俱寂",6,45),CY527-$F$4),0)</f>
        <v>4.1549999999999994</v>
      </c>
      <c r="CZ528" s="115">
        <f t="shared" ca="1" si="431"/>
        <v>0</v>
      </c>
      <c r="DA528" s="115">
        <f ca="1">IF(模拟模式!$N$7="日月同辉",IF(DB527=2,0,MIN(6,IF(AND(OR(C528="赤日轮1",C528="赤日轮2",C528="赤日轮3",C528="幽月轮1",C528="幽月轮2",C528="幽月轮3"),AB528=1),DA527+1,DA527))),0)</f>
        <v>0</v>
      </c>
      <c r="DB528" s="115">
        <f t="shared" ca="1" si="432"/>
        <v>2</v>
      </c>
      <c r="DC528" s="115"/>
      <c r="DD528" s="115"/>
      <c r="DE528" s="115"/>
      <c r="DF528" s="115"/>
      <c r="DG528" s="115"/>
      <c r="DH528" s="115"/>
      <c r="DI528" s="115"/>
      <c r="DJ528" s="115"/>
      <c r="DK528" s="115"/>
      <c r="DL528" s="115"/>
      <c r="DM528" s="115"/>
    </row>
    <row r="529" spans="2:117" x14ac:dyDescent="0.2">
      <c r="B529" s="117">
        <f t="shared" si="433"/>
        <v>463.09500000000486</v>
      </c>
      <c r="C529" s="167" t="str">
        <f t="shared" ca="1" si="426"/>
        <v>净世破魔击·月</v>
      </c>
      <c r="D529" s="115">
        <f ca="1">IF(C529="赤日轮1",1,IF(C529="赤日轮2",2,IF(C529="赤日轮3",3,IF(C529="幽月轮1",4,IF(C529="幽月轮2",5,IF(C529="幽月轮3",6,IF(C529="烈日斩",7,IF(C529="银月斩",8,IF(C529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529="净世破魔击·月",17,IF(C529="驱夜断愁",18,0)))))))))))</f>
        <v>17</v>
      </c>
      <c r="E529" s="115">
        <f ca="1">IF(AND(CU529,OR(C529="幽月轮1",C529="幽月轮2",C529="幽月轮3",C529="银月斩",C529="驱夜断愁",C529="净世破魔击·月")),100,MIN(IF(OR(CN529,BE529),0,IF(OR($C529="赤日轮1",$C529="赤日轮2",$C529="赤日轮3"),E528+20+IF(模拟模式!$I$7="日月凌天",4,0)+IF(CR528,20,0),IF($C529="烈日斩",E528+40,IF($C529="驱夜断愁",IF(模拟模式!$R$7="万念俱寂",E528+20,E528+60),IF($C529="净世破魔击·月",IF(OR(DB528&gt;0,CV528&gt;0),100,IF(模拟模式!$M$7="辉耀红尘",E528+20,E528)),IF($C529="净世破魔击·日",E528-100,E528)))))),100))</f>
        <v>100</v>
      </c>
      <c r="F529" s="115">
        <f ca="1">IF(AND(CU529,OR(C529="赤日轮1",C529="赤日轮2",C529="赤日轮3",C529="烈日斩",C529="净世破魔击·日")),100,MIN(IF(CO529,0,IF(OR($C529="幽月轮1",$C529="幽月轮2",$C529="幽月轮3"),F528+20+IF(模拟模式!$I$7="日月凌天",4,0)+IF(CS528,20,0),IF($C529="银月斩",F528+40+IF(模拟模式!$X$12=1,5,0),IF($C529="驱夜断愁",IF(模拟模式!$R$7="万念俱寂",F528+20,F528+60),IF($C529="净世破魔击·月",IF(模拟模式!$M$7="辉耀红尘",F528-80,F528-100),IF(AND(C529="净世破魔击·日",OR(DB528&gt;0,CV528&gt;0)),100,F528)))))),100))</f>
        <v>20</v>
      </c>
      <c r="G529" s="117">
        <f ca="1">('模拟-全程加成'!$E$3+'模拟-全程加成'!$E$4+'模拟-全程加成'!$E$5+('模拟-全程加成'!$C$6-'模拟-全程加成'!$C$3)*系数!$B$9+BS529*23)*(1+'模拟-全程加成'!$F$4+'模拟-全程加成'!$F$5+BJ529*10%+BM529*20%+BP529*4%+CG529*30%)+$F$7*系数!$B$12</f>
        <v>21493.829400000002</v>
      </c>
      <c r="H529" s="45">
        <f ca="1">'模拟-全程加成'!$H$3+'模拟-全程加成'!$H$4+'模拟-全程加成'!$H$5+('模拟-全程加成'!$G$4+'模拟-全程加成'!$G$5+('模拟-全程加成'!$C$6-'模拟-全程加成'!$C$3)*系数!$B$13)/系数!$B$3+LOOKUP(D529,'模拟-单技能数据'!$A$2:$A$19,'模拟-单技能数据'!$K$2:$K$19)+BG529*10%+IF(BV529&gt;0,378,0)</f>
        <v>0.54185145527300216</v>
      </c>
      <c r="I529" s="45">
        <f ca="1">'模拟-全程加成'!$J$3+'模拟-全程加成'!$J$4+'模拟-全程加成'!$J$5+('模拟-全程加成'!$I$4+'模拟-全程加成'!$I$5)/系数!$B$4+LOOKUP(D529,'模拟-单技能数据'!$A$2:$A$19,'模拟-单技能数据'!$L$2:$L$19)+BG529*10%</f>
        <v>2.162482885499879</v>
      </c>
      <c r="J529" s="45">
        <f ca="1">(('模拟-全程加成'!$K$3+'模拟-全程加成'!$K$4+'模拟-全程加成'!$K$5+('模拟-全程加成'!$C$6-'模拟-全程加成'!$C$3)*系数!$B$10+IF(BV529&gt;0,882,0)+IF(BY529&gt;0,1831,0))*(1+'模拟-全程加成'!$L$4+'模拟-全程加成'!$L$5+CC529*20%))/系数!$B$5</f>
        <v>0.69723220422048726</v>
      </c>
      <c r="K529" s="119">
        <f ca="1">LOOKUP(D529,'模拟-单技能数据'!$A$2:$A$19,'模拟-单技能数据'!$J$2:$J$19)+IF(CM529,60%,0)+IF(DB528-DB529&gt;0,30%,0)+IF(OR(AND(OR(C529="赤日轮1",C529="赤日轮2",C529="赤日轮3"),CR529),AND(OR(C529="幽月轮1",C529="幽月轮2",C529="幽月轮3"),CS529)),35%,0)+CJ529</f>
        <v>1.1000000000000001</v>
      </c>
      <c r="L529" s="119">
        <f ca="1">IF(AND(C529="烈日斩",模拟模式!$X$11=1),10%,0)+IF(AND(C529="驱夜断愁",AB529=1),30%,0)</f>
        <v>0</v>
      </c>
      <c r="M529" s="45">
        <f t="shared" ca="1" si="465"/>
        <v>0.54185145527300216</v>
      </c>
      <c r="N529" s="45">
        <f t="shared" ca="1" si="466"/>
        <v>0.40424854472699789</v>
      </c>
      <c r="O529" s="46">
        <f t="shared" ca="1" si="434"/>
        <v>0.88946756251322101</v>
      </c>
      <c r="P529" s="46" t="str">
        <f t="shared" ca="1" si="435"/>
        <v>命</v>
      </c>
      <c r="Q529" s="45">
        <f t="shared" ca="1" si="436"/>
        <v>1</v>
      </c>
      <c r="R529" s="117">
        <f ca="1">模拟模式!$E$20*(1-IF(模拟模式!$J$19="有",0.15,0))*(1-IF(模拟模式!$K$19="有",0.3,0)-IF(CQ529,0.5,0))</f>
        <v>843.02999999999975</v>
      </c>
      <c r="S529" s="45">
        <f ca="1">R529/(R529+(185*模拟模式!$E$22-16800)*4.08224)</f>
        <v>8.389626085980037E-2</v>
      </c>
      <c r="T529" s="45" t="str">
        <f ca="1">LOOKUP(D529,'模拟-单技能数据'!$A$2:$A$19,'模拟-单技能数据'!$H$2:$H$19)</f>
        <v>阴</v>
      </c>
      <c r="U529" s="119">
        <f t="shared" ca="1" si="467"/>
        <v>0.08</v>
      </c>
      <c r="V529" s="47">
        <f ca="1">(1+L529)*(LOOKUP(D529,'模拟-单技能数据'!$A$2:$A$19,'模拟-单技能数据'!$D$2:$D$19)+G529*LOOKUP(D529,'模拟-单技能数据'!$A$2:$A$19,'模拟-单技能数据'!$F$2:$F$19))*(1+J529)*(1+K529)*(1-S529)*(1+U529)*Q529*LOOKUP(D529,'模拟-单技能数据'!$A$2:$A$19,'模拟-单技能数据'!$I$2:$I$20)</f>
        <v>98481.592340073315</v>
      </c>
      <c r="W529" s="47">
        <f ca="1">LOOKUP(D529,'模拟-单技能数据'!$A$2:$A$19,'模拟-单技能数据'!$G$2:$G$19)*$I$10</f>
        <v>361.51064354704795</v>
      </c>
      <c r="X529" s="47">
        <f t="shared" ca="1" si="437"/>
        <v>31999.459934996717</v>
      </c>
      <c r="Y529" s="47">
        <f t="shared" ca="1" si="468"/>
        <v>130842.56291861708</v>
      </c>
      <c r="Z529" s="49">
        <f t="shared" ca="1" si="469"/>
        <v>52383089.22936628</v>
      </c>
      <c r="AA529" s="97">
        <f t="shared" ca="1" si="470"/>
        <v>113115.2122768886</v>
      </c>
      <c r="AB529" s="115">
        <f ca="1">IF(OR(C529="赤日轮1",C529="赤日轮2",C529="赤日轮3"),IF(RAND()&lt;模拟模式!$Y$17,1,0),IF(OR(C529="幽月轮1",C529="幽月轮2",C529="幽月轮3"),IF(RAND()&lt;模拟模式!$Y$18,1,0),IF(C529="烈日斩",IF(RAND()&lt;模拟模式!$Y$19,1,0),IF(C529="银月斩",IF(RAND()&lt;模拟模式!$Y$20,1,0),IF(C529="驱夜断愁",IF(RAND()&lt;模拟模式!$Y$21,1,0),IF(C529="净世破魔击·日",IF(RAND()&lt;模拟模式!$Y$22,1,0),IF(C529="净世破魔击·月",IF(RAND()&lt;模拟模式!$Y$23,1,0),0)))))))</f>
        <v>1</v>
      </c>
      <c r="AC529" s="115" t="b">
        <f t="shared" ca="1" si="458"/>
        <v>0</v>
      </c>
      <c r="AD529" s="115" t="b">
        <f t="shared" ca="1" si="478"/>
        <v>0</v>
      </c>
      <c r="AE529" s="115">
        <f t="shared" ca="1" si="479"/>
        <v>4</v>
      </c>
      <c r="AF529" s="47">
        <f ca="1">IF(AC529,('模拟-单技能数据'!$D$20+G529*'模拟-单技能数据'!$F$20)*(1+J529)*(1+'模拟-单技能数据'!$J$20)*(1+U529),0)</f>
        <v>0</v>
      </c>
      <c r="AG529" s="61">
        <f t="shared" ca="1" si="471"/>
        <v>0.64185145527300214</v>
      </c>
      <c r="AH529" s="61">
        <f t="shared" ca="1" si="472"/>
        <v>2.2624828854998791</v>
      </c>
      <c r="AI529" s="62">
        <f t="shared" ca="1" si="438"/>
        <v>0.79889367673959599</v>
      </c>
      <c r="AJ529" s="47">
        <f ca="1">IF(AD529,IF(AI529&lt;$F$10,0,IF(AI529&lt;$F$10+$F$11,0.25,IF(AI529&lt;$F$10+$F$11+AG529,AH529,1)))*IF(AF529&gt;0,AF529,IF(AF528&gt;0,AF528,IF(AF527&gt;0,AF527,IF(AF526&gt;0,AF526,IF(AF525&gt;0,AF525,IF(AF524&gt;0,AF524,IF(AF523&gt;0,AF523,IF(AF522&gt;0,AF522,IF(AF521&gt;0,AF521,IF(AF519&gt;0,AF519,IF(AF518&gt;0,AF518,IF(AF517&gt;0,AF517,0)))))))))))),0)*(1-$S529)*'模拟-单技能数据'!$I$20</f>
        <v>0</v>
      </c>
      <c r="AK529" s="115" t="b">
        <f t="shared" ca="1" si="459"/>
        <v>0</v>
      </c>
      <c r="AL529" s="115" t="b">
        <f t="shared" ca="1" si="480"/>
        <v>1</v>
      </c>
      <c r="AM529" s="115">
        <f t="shared" ca="1" si="481"/>
        <v>2</v>
      </c>
      <c r="AN529" s="47">
        <f ca="1">IF(AK529,('模拟-单技能数据'!$D$21+G529*'模拟-单技能数据'!$F$21)*(1+J529)*(1+'模拟-单技能数据'!$J$21)*(1+U529),0)</f>
        <v>0</v>
      </c>
      <c r="AO529" s="61">
        <f ca="1">IF(AN529&gt;0,M529-'模拟-单技能数据'!$K$10,AO528)</f>
        <v>0.42185145527300216</v>
      </c>
      <c r="AP529" s="61">
        <f ca="1">IF(AN529&gt;0,I529-'模拟-单技能数据'!$L$10,AP528)</f>
        <v>2.162482885499879</v>
      </c>
      <c r="AQ529" s="63">
        <f t="shared" ca="1" si="439"/>
        <v>9.4706124017501669E-2</v>
      </c>
      <c r="AR529" s="64">
        <f ca="1">IF(AL529,IF(AQ529&lt;$F$10,0,IF(AQ529&lt;$F$10+$F$11,0.25,IF(AQ529&lt;$F$10+$F$11+AO529,AP529,1)))*IF(AN529&gt;0,AN529,IF(AN528&gt;0,AN528,IF(AN527&gt;0,AN527,IF(AN526&gt;0,AN526,IF(AN525&gt;0,AN525,IF(AN524&gt;0,AN524,IF(AN523&gt;0,AN523,IF(AN522&gt;0,AN522,IF(AN521&gt;0,AN521,IF(AN519&gt;0,AN519,IF(AN518&gt;0,AN518,IF(AN517&gt;0,AN517,0)))))))))))),0)*(1-$S529)*'模拟-单技能数据'!$I$21</f>
        <v>24043.249177625272</v>
      </c>
      <c r="AS529" s="61">
        <f ca="1">IF(OR(C529="净世破魔击·日",C529="净世破魔击·月"),M529-'模拟-单技能数据'!$K$10,0)</f>
        <v>0.42185145527300216</v>
      </c>
      <c r="AT529" s="61">
        <f ca="1">IF(OR(C529="净世破魔击·日",C529="净世破魔击·月"),I529-'模拟-单技能数据'!$L$10,0)</f>
        <v>2.162482885499879</v>
      </c>
      <c r="AU529" s="62">
        <f t="shared" ca="1" si="440"/>
        <v>0.6232685066796082</v>
      </c>
      <c r="AV529" s="64">
        <f ca="1">IF(AS529&gt;0,('模拟-单技能数据'!$D$22+G529*'模拟-单技能数据'!$F$22)*(1+J529)*(1-S529)*IF(AU529&lt;$F$10,0,IF(AU529&lt;$F$10+$F$11,0.25,IF(AU529&lt;$F$10+$F$11+AS529,AT529,1)))*(1+U529),0)*'模拟-单技能数据'!$I$22</f>
        <v>7956.2107573714466</v>
      </c>
      <c r="AW529" s="108">
        <f t="shared" ca="1" si="441"/>
        <v>0</v>
      </c>
      <c r="AX529" s="108" t="b">
        <f ca="1">AND(模拟模式!$P$10="有",AW528=0,RAND()&lt;IF(C529="净世破魔击·月",0.1*8/3,IF(C529="净世破魔击·日",0.1*4/3,0.1*2/3)))</f>
        <v>0</v>
      </c>
      <c r="AY529" s="47">
        <f ca="1">IF(AX529,(18+G529*0.722)*(1+J529)*(1-S529)*(1+$I$4)*IF(P529="会",'模拟-全程加成'!$J$3+'模拟-全程加成'!$J$4+'模拟-全程加成'!$J$5+('模拟-全程加成'!$I$4+'模拟-全程加成'!$I$5)/系数!$B$4+BG529*10%,IF(P529="命",1,IF(P529="识",0.25,0))),0)</f>
        <v>0</v>
      </c>
      <c r="AZ529" s="108">
        <f t="shared" si="442"/>
        <v>3.3950000000000062</v>
      </c>
      <c r="BA529" s="108" t="b">
        <f>AND(模拟模式!$Q$10="有",AZ528=0)</f>
        <v>0</v>
      </c>
      <c r="BB529" s="140">
        <f>IF(BA529,(0+G529*0.287)*(1+J529)*(1-S529)*(1+$I$4)*IF(P529="会",'模拟-全程加成'!$J$3+'模拟-全程加成'!$J$4+'模拟-全程加成'!$J$5+('模拟-全程加成'!$I$4+'模拟-全程加成'!$I$5)/系数!$B$4+BG529*10%,IF(P529="命",1,IF(P529="识",0.25,0))),0)</f>
        <v>0</v>
      </c>
      <c r="BC529" s="115" t="b">
        <f ca="1">AND(模拟模式!$R$7="伏明众生",E529=60,F529=20,DA529&lt;5,CZ528&lt;$F$4)</f>
        <v>0</v>
      </c>
      <c r="BD529" s="115">
        <f t="shared" ca="1" si="460"/>
        <v>0</v>
      </c>
      <c r="BE529" s="115" t="b">
        <f t="shared" ca="1" si="461"/>
        <v>0</v>
      </c>
      <c r="BF529" s="47">
        <f ca="1">IF(BC529,4*('模拟-单技能数据'!$D$24+G529*'模拟-单技能数据'!$F$24)*(1+J529)*(1+'模拟-单技能数据'!$J$24)*(1-S529)*(1+$I$3)*(('模拟-全程加成'!$J$3+'模拟-全程加成'!$J$4+'模拟-全程加成'!$J$5+('模拟-全程加成'!$I$4+'模拟-全程加成'!$I$5)/系数!$B$4+BG529*10%)*('模拟-全程加成'!$J$3+'模拟-全程加成'!$J$4+'模拟-全程加成'!$J$5+('模拟-全程加成'!$I$4+'模拟-全程加成'!$I$5)/系数!$B$4+BG529*10%)+(1-('模拟-全程加成'!$J$3+'模拟-全程加成'!$J$4+'模拟-全程加成'!$J$5+('模拟-全程加成'!$I$4+'模拟-全程加成'!$I$5)/系数!$B$4+BG529*10%)-$F$10-$F$11)+F515*0.25),0)*'模拟-单技能数据'!$I$24</f>
        <v>0</v>
      </c>
      <c r="BG529" s="115" t="b">
        <f ca="1">OR(AND(OR(C529="烈日斩",C529="银月斩"),模拟模式!$I$7="净身明礼"),AND(C529="净世破魔击·日",模拟模式!$J$7="洞若观火"),AND(C530="净世破魔击·月",模拟模式!$J$7="洞若观火"),AB529=1)</f>
        <v>1</v>
      </c>
      <c r="BH529" s="115" t="b">
        <f t="shared" ca="1" si="443"/>
        <v>0</v>
      </c>
      <c r="BI529" s="115">
        <f t="shared" ca="1" si="462"/>
        <v>3.2324999999999995</v>
      </c>
      <c r="BJ529" s="115" t="b">
        <f t="shared" ca="1" si="473"/>
        <v>1</v>
      </c>
      <c r="BK529" s="115" t="b">
        <f ca="1">AND(C529="驱夜断愁",模拟模式!$P$7="天地诛戮")</f>
        <v>0</v>
      </c>
      <c r="BL529" s="57">
        <f t="shared" ca="1" si="463"/>
        <v>17.232500000000002</v>
      </c>
      <c r="BM529" s="115" t="b">
        <f t="shared" ca="1" si="474"/>
        <v>1</v>
      </c>
      <c r="BN529" s="115" t="b">
        <f ca="1">AND(OR(C529="赤日轮1",C529="赤日轮2",C529="赤日轮3",C529="幽月轮1",C529="幽月轮2",C529="幽月轮3"),AB529=1,模拟模式!$L$7="明光恒照")</f>
        <v>0</v>
      </c>
      <c r="BO529" s="117">
        <f t="shared" ca="1" si="464"/>
        <v>29.077500000000001</v>
      </c>
      <c r="BP529" s="115">
        <f t="shared" ca="1" si="444"/>
        <v>6</v>
      </c>
      <c r="BQ529" s="115" t="b">
        <f>模拟模式!$K$10="2600·水"</f>
        <v>0</v>
      </c>
      <c r="BR529" s="117">
        <f t="shared" si="445"/>
        <v>0</v>
      </c>
      <c r="BS529" s="115">
        <f t="shared" si="446"/>
        <v>0</v>
      </c>
      <c r="BT529" s="115">
        <f t="shared" ca="1" si="447"/>
        <v>0</v>
      </c>
      <c r="BU529" s="115" t="b">
        <f ca="1">AND(模拟模式!$K$10="2300·雷",BT528=0,RAND()&lt;IF(C529="净世破魔击·月",5*0.05*2/3,IF(C529="净世破魔击·日",3*0.05*2/3,0.05*2*2/3)))</f>
        <v>0</v>
      </c>
      <c r="BV529" s="115">
        <f t="shared" ca="1" si="448"/>
        <v>0</v>
      </c>
      <c r="BW529" s="115">
        <f t="shared" ca="1" si="449"/>
        <v>92.362499999999258</v>
      </c>
      <c r="BX529" s="164" t="b">
        <f t="shared" ca="1" si="450"/>
        <v>0</v>
      </c>
      <c r="BY529" s="115">
        <f t="shared" ca="1" si="451"/>
        <v>0</v>
      </c>
      <c r="BZ529" s="115">
        <f>IF(OR(模拟模式!$P$16="10人团",模拟模式!$P$16="25人团"),IF(B529/30&gt;CA528,1,0),0)</f>
        <v>0</v>
      </c>
      <c r="CA529" s="115">
        <f t="shared" si="427"/>
        <v>0</v>
      </c>
      <c r="CB529" s="115">
        <f ca="1">IF(BZ529=1,IF(模拟模式!$P$16="10人团",15,0)+IF(模拟模式!$P$16="25人团",IF(RAND()&lt;0.6,15,0)),MAX(0,CB528-$F$4))</f>
        <v>0</v>
      </c>
      <c r="CC529" s="115" t="b">
        <f t="shared" ca="1" si="475"/>
        <v>0</v>
      </c>
      <c r="CD529" s="115">
        <f>IF(模拟模式!$Q$16="1个",IF(B529/40&gt;CE528,1,0),0)</f>
        <v>0</v>
      </c>
      <c r="CE529" s="115">
        <f t="shared" si="476"/>
        <v>0</v>
      </c>
      <c r="CF529" s="115">
        <f>IF(OR(CD529=1,模拟模式!$Q$16="2个"),20,MAX(0,CF528-$F$4))</f>
        <v>0</v>
      </c>
      <c r="CG529" s="115" t="b">
        <f t="shared" si="477"/>
        <v>0</v>
      </c>
      <c r="CH529" s="115">
        <f t="shared" ca="1" si="452"/>
        <v>13.39500000000001</v>
      </c>
      <c r="CI529" s="115" t="b">
        <f t="shared" ca="1" si="453"/>
        <v>0</v>
      </c>
      <c r="CJ529" s="119">
        <f t="shared" ca="1" si="454"/>
        <v>0</v>
      </c>
      <c r="CK529" s="115">
        <f t="shared" ca="1" si="455"/>
        <v>0</v>
      </c>
      <c r="CL529" s="115" t="b">
        <f ca="1">AND(模拟模式!$S$7="驱夷逐法",OR(AND(C529="净世破魔击·月",E528&gt;59),AND(C529="净世破魔击·日",F528&gt;59)))</f>
        <v>1</v>
      </c>
      <c r="CM529" s="115" t="b">
        <f ca="1">OR(CL529,AND(C529="净世破魔击·日",CL528,RAND()&lt;模拟模式!$U$23))</f>
        <v>1</v>
      </c>
      <c r="CN529" s="115" t="b">
        <f ca="1">IF(模拟模式!$M$7="辉耀红尘",AND(C529="净世破魔击·月",CL529,CV529=0,E528&lt;80),AND(C529="净世破魔击·月",CL529,E528&lt;100))</f>
        <v>0</v>
      </c>
      <c r="CO529" s="115" t="b">
        <f t="shared" ca="1" si="428"/>
        <v>0</v>
      </c>
      <c r="CP529" s="115" t="b">
        <f ca="1">AND(模拟模式!$O$7="用晦而明",OR(C529="净世破魔击·日",C529="净世破魔击·月",C529="驱夜断愁"),AB529)</f>
        <v>1</v>
      </c>
      <c r="CQ529" s="115" t="b">
        <f ca="1">OR(CP529,AND(CP528,RAND()&lt;模拟模式!$U$23))</f>
        <v>1</v>
      </c>
      <c r="CR529" s="115" t="b">
        <f ca="1">AND(模拟模式!$S$7="日月齐光",OR(C529="幽月轮1",C529="幽月轮2",C529="幽月轮3",CR528),NOT(OR(C529="赤日轮1",C529="赤日轮2",C529="赤日轮3")))</f>
        <v>0</v>
      </c>
      <c r="CS529" s="115" t="b">
        <f ca="1">AND(模拟模式!$S$7="日月齐光",OR(C529="赤日轮1",C529="赤日轮2",C529="赤日轮3",CS528),NOT(OR(C529="幽月轮1",C529="幽月轮2",C529="幽月轮3")))</f>
        <v>0</v>
      </c>
      <c r="CT529" s="115">
        <f t="shared" ca="1" si="456"/>
        <v>0</v>
      </c>
      <c r="CU529" s="115" t="b">
        <f ca="1">AND(模拟模式!$K$10="阴阳往极",CT528=0,RAND()&lt;IF(C529="净世破魔击·月",0.0275*7/3,IF(C529="净世破魔击·日",0.0275*3/3,0.0275*2/3)))</f>
        <v>0</v>
      </c>
      <c r="CV529" s="115">
        <f t="shared" ca="1" si="457"/>
        <v>0</v>
      </c>
      <c r="CW529" s="115">
        <f t="shared" ca="1" si="429"/>
        <v>4.1549999999999994</v>
      </c>
      <c r="CX529" s="115">
        <f t="shared" ca="1" si="430"/>
        <v>2.3099999999999996</v>
      </c>
      <c r="CY529" s="115">
        <f ca="1">MAX(IF($C529="驱夜断愁",IF(模拟模式!$R$7="万念俱寂",6,45),CY528-$F$4),0)</f>
        <v>3.2324999999999995</v>
      </c>
      <c r="CZ529" s="115">
        <f t="shared" ca="1" si="431"/>
        <v>0</v>
      </c>
      <c r="DA529" s="115">
        <f ca="1">IF(模拟模式!$N$7="日月同辉",IF(DB528=2,0,MIN(6,IF(AND(OR(C529="赤日轮1",C529="赤日轮2",C529="赤日轮3",C529="幽月轮1",C529="幽月轮2",C529="幽月轮3"),AB529=1),DA528+1,DA528))),0)</f>
        <v>0</v>
      </c>
      <c r="DB529" s="115">
        <f t="shared" ca="1" si="432"/>
        <v>1</v>
      </c>
      <c r="DC529" s="115"/>
      <c r="DD529" s="115"/>
      <c r="DE529" s="115"/>
      <c r="DF529" s="115"/>
      <c r="DG529" s="115"/>
      <c r="DH529" s="115"/>
      <c r="DI529" s="115"/>
      <c r="DJ529" s="115"/>
      <c r="DK529" s="115"/>
      <c r="DL529" s="115"/>
      <c r="DM529" s="115"/>
    </row>
    <row r="530" spans="2:117" x14ac:dyDescent="0.2">
      <c r="B530" s="117">
        <f t="shared" si="433"/>
        <v>464.01750000000487</v>
      </c>
      <c r="C530" s="167" t="str">
        <f t="shared" ca="1" si="426"/>
        <v>净世破魔击·日</v>
      </c>
      <c r="D530" s="115">
        <f ca="1">IF(C530="赤日轮1",1,IF(C530="赤日轮2",2,IF(C530="赤日轮3",3,IF(C530="幽月轮1",4,IF(C530="幽月轮2",5,IF(C530="幽月轮3",6,IF(C530="烈日斩",7,IF(C530="银月斩",8,IF(C530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530="净世破魔击·月",17,IF(C530="驱夜断愁",18,0)))))))))))</f>
        <v>9</v>
      </c>
      <c r="E530" s="115">
        <f ca="1">IF(AND(CU530,OR(C530="幽月轮1",C530="幽月轮2",C530="幽月轮3",C530="银月斩",C530="驱夜断愁",C530="净世破魔击·月")),100,MIN(IF(OR(CN530,BE530),0,IF(OR($C530="赤日轮1",$C530="赤日轮2",$C530="赤日轮3"),E529+20+IF(模拟模式!$I$7="日月凌天",4,0)+IF(CR529,20,0),IF($C530="烈日斩",E529+40,IF($C530="驱夜断愁",IF(模拟模式!$R$7="万念俱寂",E529+20,E529+60),IF($C530="净世破魔击·月",IF(OR(DB529&gt;0,CV529&gt;0),100,IF(模拟模式!$M$7="辉耀红尘",E529+20,E529)),IF($C530="净世破魔击·日",E529-100,E529)))))),100))</f>
        <v>0</v>
      </c>
      <c r="F530" s="115">
        <f ca="1">IF(AND(CU530,OR(C530="赤日轮1",C530="赤日轮2",C530="赤日轮3",C530="烈日斩",C530="净世破魔击·日")),100,MIN(IF(CO530,0,IF(OR($C530="幽月轮1",$C530="幽月轮2",$C530="幽月轮3"),F529+20+IF(模拟模式!$I$7="日月凌天",4,0)+IF(CS529,20,0),IF($C530="银月斩",F529+40+IF(模拟模式!$X$12=1,5,0),IF($C530="驱夜断愁",IF(模拟模式!$R$7="万念俱寂",F529+20,F529+60),IF($C530="净世破魔击·月",IF(模拟模式!$M$7="辉耀红尘",F529-80,F529-100),IF(AND(C530="净世破魔击·日",OR(DB529&gt;0,CV529&gt;0)),100,F529)))))),100))</f>
        <v>100</v>
      </c>
      <c r="G530" s="117">
        <f ca="1">('模拟-全程加成'!$E$3+'模拟-全程加成'!$E$4+'模拟-全程加成'!$E$5+('模拟-全程加成'!$C$6-'模拟-全程加成'!$C$3)*系数!$B$9+BS530*23)*(1+'模拟-全程加成'!$F$4+'模拟-全程加成'!$F$5+BJ530*10%+BM530*20%+BP530*4%+CG530*30%)+$F$7*系数!$B$12</f>
        <v>21493.829400000002</v>
      </c>
      <c r="H530" s="45">
        <f ca="1">'模拟-全程加成'!$H$3+'模拟-全程加成'!$H$4+'模拟-全程加成'!$H$5+('模拟-全程加成'!$G$4+'模拟-全程加成'!$G$5+('模拟-全程加成'!$C$6-'模拟-全程加成'!$C$3)*系数!$B$13)/系数!$B$3+LOOKUP(D530,'模拟-单技能数据'!$A$2:$A$19,'模拟-单技能数据'!$K$2:$K$19)+BG530*10%+IF(BV530&gt;0,378,0)</f>
        <v>0.54185145527300216</v>
      </c>
      <c r="I530" s="45">
        <f ca="1">'模拟-全程加成'!$J$3+'模拟-全程加成'!$J$4+'模拟-全程加成'!$J$5+('模拟-全程加成'!$I$4+'模拟-全程加成'!$I$5)/系数!$B$4+LOOKUP(D530,'模拟-单技能数据'!$A$2:$A$19,'模拟-单技能数据'!$L$2:$L$19)+BG530*10%</f>
        <v>2.162482885499879</v>
      </c>
      <c r="J530" s="45">
        <f ca="1">(('模拟-全程加成'!$K$3+'模拟-全程加成'!$K$4+'模拟-全程加成'!$K$5+('模拟-全程加成'!$C$6-'模拟-全程加成'!$C$3)*系数!$B$10+IF(BV530&gt;0,882,0)+IF(BY530&gt;0,1831,0))*(1+'模拟-全程加成'!$L$4+'模拟-全程加成'!$L$5+CC530*20%))/系数!$B$5</f>
        <v>0.69723220422048726</v>
      </c>
      <c r="K530" s="119">
        <f ca="1">LOOKUP(D530,'模拟-单技能数据'!$A$2:$A$19,'模拟-单技能数据'!$J$2:$J$19)+IF(CM530,60%,0)+IF(DB529-DB530&gt;0,30%,0)+IF(OR(AND(OR(C530="赤日轮1",C530="赤日轮2",C530="赤日轮3"),CR530),AND(OR(C530="幽月轮1",C530="幽月轮2",C530="幽月轮3"),CS530)),35%,0)+CJ530</f>
        <v>1.1000000000000001</v>
      </c>
      <c r="L530" s="119">
        <f ca="1">IF(AND(C530="烈日斩",模拟模式!$X$11=1),10%,0)+IF(AND(C530="驱夜断愁",AB530=1),30%,0)</f>
        <v>0</v>
      </c>
      <c r="M530" s="45">
        <f t="shared" ca="1" si="465"/>
        <v>0.54185145527300216</v>
      </c>
      <c r="N530" s="45">
        <f t="shared" ca="1" si="466"/>
        <v>0.40424854472699789</v>
      </c>
      <c r="O530" s="46">
        <f t="shared" ca="1" si="434"/>
        <v>0.17898964615719892</v>
      </c>
      <c r="P530" s="46" t="str">
        <f t="shared" ca="1" si="435"/>
        <v>会</v>
      </c>
      <c r="Q530" s="45">
        <f t="shared" ca="1" si="436"/>
        <v>2.162482885499879</v>
      </c>
      <c r="R530" s="117">
        <f ca="1">模拟模式!$E$20*(1-IF(模拟模式!$J$19="有",0.15,0))*(1-IF(模拟模式!$K$19="有",0.3,0)-IF(CQ530,0.5,0))</f>
        <v>843.02999999999975</v>
      </c>
      <c r="S530" s="45">
        <f ca="1">R530/(R530+(185*模拟模式!$E$22-16800)*4.08224)</f>
        <v>8.389626085980037E-2</v>
      </c>
      <c r="T530" s="45" t="str">
        <f ca="1">LOOKUP(D530,'模拟-单技能数据'!$A$2:$A$19,'模拟-单技能数据'!$H$2:$H$19)</f>
        <v>阳</v>
      </c>
      <c r="U530" s="119">
        <f t="shared" ca="1" si="467"/>
        <v>0.2</v>
      </c>
      <c r="V530" s="47">
        <f ca="1">(1+L530)*(LOOKUP(D530,'模拟-单技能数据'!$A$2:$A$19,'模拟-单技能数据'!$D$2:$D$19)+G530*LOOKUP(D530,'模拟-单技能数据'!$A$2:$A$19,'模拟-单技能数据'!$F$2:$F$19))*(1+J530)*(1+K530)*(1-S530)*(1+U530)*Q530*LOOKUP(D530,'模拟-单技能数据'!$A$2:$A$19,'模拟-单技能数据'!$I$2:$I$20)</f>
        <v>238603.87650457965</v>
      </c>
      <c r="W530" s="47">
        <f ca="1">LOOKUP(D530,'模拟-单技能数据'!$A$2:$A$19,'模拟-单技能数据'!$G$2:$G$19)*$I$10</f>
        <v>723.0212870940959</v>
      </c>
      <c r="X530" s="47">
        <f t="shared" ca="1" si="437"/>
        <v>18059.168713483545</v>
      </c>
      <c r="Y530" s="47">
        <f t="shared" ca="1" si="468"/>
        <v>257386.0665051573</v>
      </c>
      <c r="Z530" s="49">
        <f t="shared" ca="1" si="469"/>
        <v>52640475.295871437</v>
      </c>
      <c r="AA530" s="97">
        <f t="shared" ca="1" si="470"/>
        <v>113445.02156895136</v>
      </c>
      <c r="AB530" s="115">
        <f ca="1">IF(OR(C530="赤日轮1",C530="赤日轮2",C530="赤日轮3"),IF(RAND()&lt;模拟模式!$Y$17,1,0),IF(OR(C530="幽月轮1",C530="幽月轮2",C530="幽月轮3"),IF(RAND()&lt;模拟模式!$Y$18,1,0),IF(C530="烈日斩",IF(RAND()&lt;模拟模式!$Y$19,1,0),IF(C530="银月斩",IF(RAND()&lt;模拟模式!$Y$20,1,0),IF(C530="驱夜断愁",IF(RAND()&lt;模拟模式!$Y$21,1,0),IF(C530="净世破魔击·日",IF(RAND()&lt;模拟模式!$Y$22,1,0),IF(C530="净世破魔击·月",IF(RAND()&lt;模拟模式!$Y$23,1,0),0)))))))</f>
        <v>1</v>
      </c>
      <c r="AC530" s="115" t="b">
        <f t="shared" ca="1" si="458"/>
        <v>0</v>
      </c>
      <c r="AD530" s="115" t="b">
        <f t="shared" ca="1" si="478"/>
        <v>1</v>
      </c>
      <c r="AE530" s="115">
        <f t="shared" ca="1" si="479"/>
        <v>3</v>
      </c>
      <c r="AF530" s="47">
        <f ca="1">IF(AC530,('模拟-单技能数据'!$D$20+G530*'模拟-单技能数据'!$F$20)*(1+J530)*(1+'模拟-单技能数据'!$J$20)*(1+U530),0)</f>
        <v>0</v>
      </c>
      <c r="AG530" s="61">
        <f t="shared" ca="1" si="471"/>
        <v>0.64185145527300214</v>
      </c>
      <c r="AH530" s="61">
        <f t="shared" ca="1" si="472"/>
        <v>2.2624828854998791</v>
      </c>
      <c r="AI530" s="62">
        <f t="shared" ca="1" si="438"/>
        <v>0.11860057770793087</v>
      </c>
      <c r="AJ530" s="47">
        <f ca="1">IF(AD530,IF(AI530&lt;$F$10,0,IF(AI530&lt;$F$10+$F$11,0.25,IF(AI530&lt;$F$10+$F$11+AG530,AH530,1)))*IF(AF530&gt;0,AF530,IF(AF529&gt;0,AF529,IF(AF528&gt;0,AF528,IF(AF527&gt;0,AF527,IF(AF526&gt;0,AF526,IF(AF525&gt;0,AF525,IF(AF524&gt;0,AF524,IF(AF523&gt;0,AF523,IF(AF522&gt;0,AF522,IF(AF520&gt;0,AF520,IF(AF519&gt;0,AF519,IF(AF518&gt;0,AF518,0)))))))))))),0)*(1-$S530)*'模拟-单技能数据'!$I$20</f>
        <v>9218.9345386263849</v>
      </c>
      <c r="AK530" s="115" t="b">
        <f t="shared" ca="1" si="459"/>
        <v>1</v>
      </c>
      <c r="AL530" s="115" t="b">
        <f t="shared" ca="1" si="480"/>
        <v>0</v>
      </c>
      <c r="AM530" s="115">
        <f t="shared" ca="1" si="481"/>
        <v>6</v>
      </c>
      <c r="AN530" s="47">
        <f ca="1">IF(AK530,('模拟-单技能数据'!$D$21+G530*'模拟-单技能数据'!$F$21)*(1+J530)*(1+'模拟-单技能数据'!$J$21)*(1+U530),0)</f>
        <v>12670.936004857545</v>
      </c>
      <c r="AO530" s="61">
        <f ca="1">IF(AN530&gt;0,M530-'模拟-单技能数据'!$K$10,AO529)</f>
        <v>0.42185145527300216</v>
      </c>
      <c r="AP530" s="61">
        <f ca="1">IF(AN530&gt;0,I530-'模拟-单技能数据'!$L$10,AP529)</f>
        <v>2.162482885499879</v>
      </c>
      <c r="AQ530" s="63">
        <f t="shared" ca="1" si="439"/>
        <v>0.25667142781399455</v>
      </c>
      <c r="AR530" s="64">
        <f ca="1">IF(AL530,IF(AQ530&lt;$F$10,0,IF(AQ530&lt;$F$10+$F$11,0.25,IF(AQ530&lt;$F$10+$F$11+AO530,AP530,1)))*IF(AN530&gt;0,AN530,IF(AN529&gt;0,AN529,IF(AN528&gt;0,AN528,IF(AN527&gt;0,AN527,IF(AN526&gt;0,AN526,IF(AN525&gt;0,AN525,IF(AN524&gt;0,AN524,IF(AN523&gt;0,AN523,IF(AN522&gt;0,AN522,IF(AN520&gt;0,AN520,IF(AN519&gt;0,AN519,IF(AN518&gt;0,AN518,0)))))))))))),0)*(1-$S530)*'模拟-单技能数据'!$I$21</f>
        <v>0</v>
      </c>
      <c r="AS530" s="61">
        <f ca="1">IF(OR(C530="净世破魔击·日",C530="净世破魔击·月"),M530-'模拟-单技能数据'!$K$10,0)</f>
        <v>0.42185145527300216</v>
      </c>
      <c r="AT530" s="61">
        <f ca="1">IF(OR(C530="净世破魔击·日",C530="净世破魔击·月"),I530-'模拟-单技能数据'!$L$10,0)</f>
        <v>2.162482885499879</v>
      </c>
      <c r="AU530" s="62">
        <f t="shared" ca="1" si="440"/>
        <v>0.77882823982274896</v>
      </c>
      <c r="AV530" s="64">
        <f ca="1">IF(AS530&gt;0,('模拟-单技能数据'!$D$22+G530*'模拟-单技能数据'!$F$22)*(1+J530)*(1-S530)*IF(AU530&lt;$F$10,0,IF(AU530&lt;$F$10+$F$11,0.25,IF(AU530&lt;$F$10+$F$11+AS530,AT530,1)))*(1+U530),0)*'模拟-单技能数据'!$I$22</f>
        <v>8840.2341748571616</v>
      </c>
      <c r="AW530" s="108">
        <f t="shared" ca="1" si="441"/>
        <v>0</v>
      </c>
      <c r="AX530" s="108" t="b">
        <f ca="1">AND(模拟模式!$P$10="有",AW529=0,RAND()&lt;IF(C530="净世破魔击·月",0.1*8/3,IF(C530="净世破魔击·日",0.1*4/3,0.1*2/3)))</f>
        <v>0</v>
      </c>
      <c r="AY530" s="47">
        <f ca="1">IF(AX530,(18+G530*0.722)*(1+J530)*(1-S530)*(1+$I$4)*IF(P530="会",'模拟-全程加成'!$J$3+'模拟-全程加成'!$J$4+'模拟-全程加成'!$J$5+('模拟-全程加成'!$I$4+'模拟-全程加成'!$I$5)/系数!$B$4+BG530*10%,IF(P530="命",1,IF(P530="识",0.25,0))),0)</f>
        <v>0</v>
      </c>
      <c r="AZ530" s="108">
        <f t="shared" si="442"/>
        <v>2.4725000000000064</v>
      </c>
      <c r="BA530" s="108" t="b">
        <f>AND(模拟模式!$Q$10="有",AZ529=0)</f>
        <v>0</v>
      </c>
      <c r="BB530" s="140">
        <f>IF(BA530,(0+G530*0.287)*(1+J530)*(1-S530)*(1+$I$4)*IF(P530="会",'模拟-全程加成'!$J$3+'模拟-全程加成'!$J$4+'模拟-全程加成'!$J$5+('模拟-全程加成'!$I$4+'模拟-全程加成'!$I$5)/系数!$B$4+BG530*10%,IF(P530="命",1,IF(P530="识",0.25,0))),0)</f>
        <v>0</v>
      </c>
      <c r="BC530" s="115" t="b">
        <f ca="1">AND(模拟模式!$R$7="伏明众生",E530=60,F530=20,DA530&lt;5,CZ529&lt;$F$4)</f>
        <v>0</v>
      </c>
      <c r="BD530" s="115">
        <f t="shared" ca="1" si="460"/>
        <v>0</v>
      </c>
      <c r="BE530" s="115" t="b">
        <f t="shared" ca="1" si="461"/>
        <v>0</v>
      </c>
      <c r="BF530" s="47">
        <f ca="1">IF(BC530,4*('模拟-单技能数据'!$D$24+G530*'模拟-单技能数据'!$F$24)*(1+J530)*(1+'模拟-单技能数据'!$J$24)*(1-S530)*(1+$I$3)*(('模拟-全程加成'!$J$3+'模拟-全程加成'!$J$4+'模拟-全程加成'!$J$5+('模拟-全程加成'!$I$4+'模拟-全程加成'!$I$5)/系数!$B$4+BG530*10%)*('模拟-全程加成'!$J$3+'模拟-全程加成'!$J$4+'模拟-全程加成'!$J$5+('模拟-全程加成'!$I$4+'模拟-全程加成'!$I$5)/系数!$B$4+BG530*10%)+(1-('模拟-全程加成'!$J$3+'模拟-全程加成'!$J$4+'模拟-全程加成'!$J$5+('模拟-全程加成'!$I$4+'模拟-全程加成'!$I$5)/系数!$B$4+BG530*10%)-$F$10-$F$11)+F516*0.25),0)*'模拟-单技能数据'!$I$24</f>
        <v>0</v>
      </c>
      <c r="BG530" s="115" t="b">
        <f ca="1">OR(AND(OR(C530="烈日斩",C530="银月斩"),模拟模式!$I$7="净身明礼"),AND(C530="净世破魔击·日",模拟模式!$J$7="洞若观火"),AND(C531="净世破魔击·月",模拟模式!$J$7="洞若观火"),AB530=1)</f>
        <v>1</v>
      </c>
      <c r="BH530" s="115" t="b">
        <f t="shared" ca="1" si="443"/>
        <v>0</v>
      </c>
      <c r="BI530" s="115">
        <f t="shared" ca="1" si="462"/>
        <v>2.3099999999999996</v>
      </c>
      <c r="BJ530" s="115" t="b">
        <f t="shared" ca="1" si="473"/>
        <v>1</v>
      </c>
      <c r="BK530" s="115" t="b">
        <f ca="1">AND(C530="驱夜断愁",模拟模式!$P$7="天地诛戮")</f>
        <v>0</v>
      </c>
      <c r="BL530" s="57">
        <f t="shared" ca="1" si="463"/>
        <v>16.310000000000002</v>
      </c>
      <c r="BM530" s="115" t="b">
        <f t="shared" ca="1" si="474"/>
        <v>1</v>
      </c>
      <c r="BN530" s="115" t="b">
        <f ca="1">AND(OR(C530="赤日轮1",C530="赤日轮2",C530="赤日轮3",C530="幽月轮1",C530="幽月轮2",C530="幽月轮3"),AB530=1,模拟模式!$L$7="明光恒照")</f>
        <v>0</v>
      </c>
      <c r="BO530" s="117">
        <f t="shared" ca="1" si="464"/>
        <v>28.155000000000001</v>
      </c>
      <c r="BP530" s="115">
        <f t="shared" ca="1" si="444"/>
        <v>6</v>
      </c>
      <c r="BQ530" s="115" t="b">
        <f>模拟模式!$K$10="2600·水"</f>
        <v>0</v>
      </c>
      <c r="BR530" s="117">
        <f t="shared" si="445"/>
        <v>0</v>
      </c>
      <c r="BS530" s="115">
        <f t="shared" si="446"/>
        <v>0</v>
      </c>
      <c r="BT530" s="115">
        <f t="shared" ca="1" si="447"/>
        <v>0</v>
      </c>
      <c r="BU530" s="115" t="b">
        <f ca="1">AND(模拟模式!$K$10="2300·雷",BT529=0,RAND()&lt;IF(C530="净世破魔击·月",5*0.05*2/3,IF(C530="净世破魔击·日",3*0.05*2/3,0.05*2*2/3)))</f>
        <v>0</v>
      </c>
      <c r="BV530" s="115">
        <f t="shared" ca="1" si="448"/>
        <v>0</v>
      </c>
      <c r="BW530" s="115">
        <f t="shared" ca="1" si="449"/>
        <v>91.439999999999259</v>
      </c>
      <c r="BX530" s="164" t="b">
        <f t="shared" ca="1" si="450"/>
        <v>0</v>
      </c>
      <c r="BY530" s="115">
        <f t="shared" ca="1" si="451"/>
        <v>0</v>
      </c>
      <c r="BZ530" s="115">
        <f>IF(OR(模拟模式!$P$16="10人团",模拟模式!$P$16="25人团"),IF(B530/30&gt;CA529,1,0),0)</f>
        <v>0</v>
      </c>
      <c r="CA530" s="115">
        <f t="shared" si="427"/>
        <v>0</v>
      </c>
      <c r="CB530" s="115">
        <f ca="1">IF(BZ530=1,IF(模拟模式!$P$16="10人团",15,0)+IF(模拟模式!$P$16="25人团",IF(RAND()&lt;0.6,15,0)),MAX(0,CB529-$F$4))</f>
        <v>0</v>
      </c>
      <c r="CC530" s="115" t="b">
        <f t="shared" ca="1" si="475"/>
        <v>0</v>
      </c>
      <c r="CD530" s="115">
        <f>IF(模拟模式!$Q$16="1个",IF(B530/40&gt;CE529,1,0),0)</f>
        <v>0</v>
      </c>
      <c r="CE530" s="115">
        <f t="shared" si="476"/>
        <v>0</v>
      </c>
      <c r="CF530" s="115">
        <f>IF(OR(CD530=1,模拟模式!$Q$16="2个"),20,MAX(0,CF529-$F$4))</f>
        <v>0</v>
      </c>
      <c r="CG530" s="115" t="b">
        <f t="shared" si="477"/>
        <v>0</v>
      </c>
      <c r="CH530" s="115">
        <f t="shared" ca="1" si="452"/>
        <v>12.472500000000011</v>
      </c>
      <c r="CI530" s="115" t="b">
        <f t="shared" ca="1" si="453"/>
        <v>0</v>
      </c>
      <c r="CJ530" s="119">
        <f t="shared" ca="1" si="454"/>
        <v>0</v>
      </c>
      <c r="CK530" s="115">
        <f t="shared" ca="1" si="455"/>
        <v>0</v>
      </c>
      <c r="CL530" s="115" t="b">
        <f ca="1">AND(模拟模式!$S$7="驱夷逐法",OR(AND(C530="净世破魔击·月",E529&gt;59),AND(C530="净世破魔击·日",F529&gt;59)))</f>
        <v>0</v>
      </c>
      <c r="CM530" s="115" t="b">
        <f ca="1">OR(CL530,AND(C530="净世破魔击·日",CL529,RAND()&lt;模拟模式!$U$23))</f>
        <v>1</v>
      </c>
      <c r="CN530" s="115" t="b">
        <f ca="1">IF(模拟模式!$M$7="辉耀红尘",AND(C530="净世破魔击·月",CL530,CV530=0,E529&lt;80),AND(C530="净世破魔击·月",CL530,E529&lt;100))</f>
        <v>0</v>
      </c>
      <c r="CO530" s="115" t="b">
        <f t="shared" ca="1" si="428"/>
        <v>0</v>
      </c>
      <c r="CP530" s="115" t="b">
        <f ca="1">AND(模拟模式!$O$7="用晦而明",OR(C530="净世破魔击·日",C530="净世破魔击·月",C530="驱夜断愁"),AB530)</f>
        <v>1</v>
      </c>
      <c r="CQ530" s="115" t="b">
        <f ca="1">OR(CP530,AND(CP529,RAND()&lt;模拟模式!$U$23))</f>
        <v>1</v>
      </c>
      <c r="CR530" s="115" t="b">
        <f ca="1">AND(模拟模式!$S$7="日月齐光",OR(C530="幽月轮1",C530="幽月轮2",C530="幽月轮3",CR529),NOT(OR(C530="赤日轮1",C530="赤日轮2",C530="赤日轮3")))</f>
        <v>0</v>
      </c>
      <c r="CS530" s="115" t="b">
        <f ca="1">AND(模拟模式!$S$7="日月齐光",OR(C530="赤日轮1",C530="赤日轮2",C530="赤日轮3",CS529),NOT(OR(C530="幽月轮1",C530="幽月轮2",C530="幽月轮3")))</f>
        <v>0</v>
      </c>
      <c r="CT530" s="115">
        <f t="shared" ca="1" si="456"/>
        <v>0</v>
      </c>
      <c r="CU530" s="115" t="b">
        <f ca="1">AND(模拟模式!$K$10="阴阳往极",CT529=0,RAND()&lt;IF(C530="净世破魔击·月",0.0275*7/3,IF(C530="净世破魔击·日",0.0275*3/3,0.0275*2/3)))</f>
        <v>0</v>
      </c>
      <c r="CV530" s="115">
        <f t="shared" ca="1" si="457"/>
        <v>0</v>
      </c>
      <c r="CW530" s="115">
        <f t="shared" ca="1" si="429"/>
        <v>3.2324999999999995</v>
      </c>
      <c r="CX530" s="115">
        <f t="shared" ca="1" si="430"/>
        <v>1.3874999999999997</v>
      </c>
      <c r="CY530" s="115">
        <f ca="1">MAX(IF($C530="驱夜断愁",IF(模拟模式!$R$7="万念俱寂",6,45),CY529-$F$4),0)</f>
        <v>2.3099999999999996</v>
      </c>
      <c r="CZ530" s="115">
        <f t="shared" ca="1" si="431"/>
        <v>0</v>
      </c>
      <c r="DA530" s="115">
        <f ca="1">IF(模拟模式!$N$7="日月同辉",IF(DB529=2,0,MIN(6,IF(AND(OR(C530="赤日轮1",C530="赤日轮2",C530="赤日轮3",C530="幽月轮1",C530="幽月轮2",C530="幽月轮3"),AB530=1),DA529+1,DA529))),0)</f>
        <v>0</v>
      </c>
      <c r="DB530" s="115">
        <f t="shared" ca="1" si="432"/>
        <v>0</v>
      </c>
      <c r="DC530" s="115"/>
      <c r="DD530" s="115"/>
      <c r="DE530" s="115"/>
      <c r="DF530" s="115"/>
      <c r="DG530" s="115"/>
      <c r="DH530" s="115"/>
      <c r="DI530" s="115"/>
      <c r="DJ530" s="115"/>
      <c r="DK530" s="115"/>
      <c r="DL530" s="115"/>
      <c r="DM530" s="115"/>
    </row>
    <row r="531" spans="2:117" x14ac:dyDescent="0.2">
      <c r="B531" s="117">
        <f t="shared" si="433"/>
        <v>464.94000000000489</v>
      </c>
      <c r="C531" s="167" t="str">
        <f t="shared" ca="1" si="426"/>
        <v>净世破魔击·月</v>
      </c>
      <c r="D531" s="115">
        <f ca="1">IF(C531="赤日轮1",1,IF(C531="赤日轮2",2,IF(C531="赤日轮3",3,IF(C531="幽月轮1",4,IF(C531="幽月轮2",5,IF(C531="幽月轮3",6,IF(C531="烈日斩",7,IF(C531="银月斩",8,IF(C531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531="净世破魔击·月",17,IF(C531="驱夜断愁",18,0)))))))))))</f>
        <v>17</v>
      </c>
      <c r="E531" s="115">
        <f ca="1">IF(AND(CU531,OR(C531="幽月轮1",C531="幽月轮2",C531="幽月轮3",C531="银月斩",C531="驱夜断愁",C531="净世破魔击·月")),100,MIN(IF(OR(CN531,BE531),0,IF(OR($C531="赤日轮1",$C531="赤日轮2",$C531="赤日轮3"),E530+20+IF(模拟模式!$I$7="日月凌天",4,0)+IF(CR530,20,0),IF($C531="烈日斩",E530+40,IF($C531="驱夜断愁",IF(模拟模式!$R$7="万念俱寂",E530+20,E530+60),IF($C531="净世破魔击·月",IF(OR(DB530&gt;0,CV530&gt;0),100,IF(模拟模式!$M$7="辉耀红尘",E530+20,E530)),IF($C531="净世破魔击·日",E530-100,E530)))))),100))</f>
        <v>20</v>
      </c>
      <c r="F531" s="115">
        <f ca="1">IF(AND(CU531,OR(C531="赤日轮1",C531="赤日轮2",C531="赤日轮3",C531="烈日斩",C531="净世破魔击·日")),100,MIN(IF(CO531,0,IF(OR($C531="幽月轮1",$C531="幽月轮2",$C531="幽月轮3"),F530+20+IF(模拟模式!$I$7="日月凌天",4,0)+IF(CS530,20,0),IF($C531="银月斩",F530+40+IF(模拟模式!$X$12=1,5,0),IF($C531="驱夜断愁",IF(模拟模式!$R$7="万念俱寂",F530+20,F530+60),IF($C531="净世破魔击·月",IF(模拟模式!$M$7="辉耀红尘",F530-80,F530-100),IF(AND(C531="净世破魔击·日",OR(DB530&gt;0,CV530&gt;0)),100,F530)))))),100))</f>
        <v>20</v>
      </c>
      <c r="G531" s="117">
        <f ca="1">('模拟-全程加成'!$E$3+'模拟-全程加成'!$E$4+'模拟-全程加成'!$E$5+('模拟-全程加成'!$C$6-'模拟-全程加成'!$C$3)*系数!$B$9+BS531*23)*(1+'模拟-全程加成'!$F$4+'模拟-全程加成'!$F$5+BJ531*10%+BM531*20%+BP531*4%+CG531*30%)+$F$7*系数!$B$12</f>
        <v>21493.829400000002</v>
      </c>
      <c r="H531" s="45">
        <f ca="1">'模拟-全程加成'!$H$3+'模拟-全程加成'!$H$4+'模拟-全程加成'!$H$5+('模拟-全程加成'!$G$4+'模拟-全程加成'!$G$5+('模拟-全程加成'!$C$6-'模拟-全程加成'!$C$3)*系数!$B$13)/系数!$B$3+LOOKUP(D531,'模拟-单技能数据'!$A$2:$A$19,'模拟-单技能数据'!$K$2:$K$19)+BG531*10%+IF(BV531&gt;0,378,0)</f>
        <v>0.54185145527300216</v>
      </c>
      <c r="I531" s="45">
        <f ca="1">'模拟-全程加成'!$J$3+'模拟-全程加成'!$J$4+'模拟-全程加成'!$J$5+('模拟-全程加成'!$I$4+'模拟-全程加成'!$I$5)/系数!$B$4+LOOKUP(D531,'模拟-单技能数据'!$A$2:$A$19,'模拟-单技能数据'!$L$2:$L$19)+BG531*10%</f>
        <v>2.162482885499879</v>
      </c>
      <c r="J531" s="45">
        <f ca="1">(('模拟-全程加成'!$K$3+'模拟-全程加成'!$K$4+'模拟-全程加成'!$K$5+('模拟-全程加成'!$C$6-'模拟-全程加成'!$C$3)*系数!$B$10+IF(BV531&gt;0,882,0)+IF(BY531&gt;0,1831,0))*(1+'模拟-全程加成'!$L$4+'模拟-全程加成'!$L$5+CC531*20%))/系数!$B$5</f>
        <v>0.69723220422048726</v>
      </c>
      <c r="K531" s="119">
        <f ca="1">LOOKUP(D531,'模拟-单技能数据'!$A$2:$A$19,'模拟-单技能数据'!$J$2:$J$19)+IF(CM531,60%,0)+IF(DB530-DB531&gt;0,30%,0)+IF(OR(AND(OR(C531="赤日轮1",C531="赤日轮2",C531="赤日轮3"),CR531),AND(OR(C531="幽月轮1",C531="幽月轮2",C531="幽月轮3"),CS531)),35%,0)+CJ531</f>
        <v>0.2</v>
      </c>
      <c r="L531" s="119">
        <f ca="1">IF(AND(C531="烈日斩",模拟模式!$X$11=1),10%,0)+IF(AND(C531="驱夜断愁",AB531=1),30%,0)</f>
        <v>0</v>
      </c>
      <c r="M531" s="45">
        <f t="shared" ca="1" si="465"/>
        <v>0.54185145527300216</v>
      </c>
      <c r="N531" s="45">
        <f t="shared" ca="1" si="466"/>
        <v>0.40424854472699789</v>
      </c>
      <c r="O531" s="46">
        <f t="shared" ca="1" si="434"/>
        <v>0.55233757930210681</v>
      </c>
      <c r="P531" s="46" t="str">
        <f t="shared" ca="1" si="435"/>
        <v>会</v>
      </c>
      <c r="Q531" s="45">
        <f t="shared" ca="1" si="436"/>
        <v>2.162482885499879</v>
      </c>
      <c r="R531" s="117">
        <f ca="1">模拟模式!$E$20*(1-IF(模拟模式!$J$19="有",0.15,0))*(1-IF(模拟模式!$K$19="有",0.3,0)-IF(CQ531,0.5,0))</f>
        <v>843.02999999999975</v>
      </c>
      <c r="S531" s="45">
        <f ca="1">R531/(R531+(185*模拟模式!$E$22-16800)*4.08224)</f>
        <v>8.389626085980037E-2</v>
      </c>
      <c r="T531" s="45" t="str">
        <f ca="1">LOOKUP(D531,'模拟-单技能数据'!$A$2:$A$19,'模拟-单技能数据'!$H$2:$H$19)</f>
        <v>阴</v>
      </c>
      <c r="U531" s="119">
        <f t="shared" ca="1" si="467"/>
        <v>0.08</v>
      </c>
      <c r="V531" s="47">
        <f ca="1">(1+L531)*(LOOKUP(D531,'模拟-单技能数据'!$A$2:$A$19,'模拟-单技能数据'!$D$2:$D$19)+G531*LOOKUP(D531,'模拟-单技能数据'!$A$2:$A$19,'模拟-单技能数据'!$F$2:$F$19))*(1+J531)*(1+K531)*(1-S531)*(1+U531)*Q531*LOOKUP(D531,'模拟-单技能数据'!$A$2:$A$19,'模拟-单技能数据'!$I$2:$I$20)</f>
        <v>121694.14741267689</v>
      </c>
      <c r="W531" s="47">
        <f ca="1">LOOKUP(D531,'模拟-单技能数据'!$A$2:$A$19,'模拟-单技能数据'!$G$2:$G$19)*$I$10</f>
        <v>361.51064354704795</v>
      </c>
      <c r="X531" s="47">
        <f t="shared" ca="1" si="437"/>
        <v>19564.102609827627</v>
      </c>
      <c r="Y531" s="47">
        <f t="shared" ca="1" si="468"/>
        <v>141619.76066605156</v>
      </c>
      <c r="Z531" s="49">
        <f t="shared" ca="1" si="469"/>
        <v>52782095.056537487</v>
      </c>
      <c r="AA531" s="97">
        <f t="shared" ca="1" si="470"/>
        <v>113524.53016848826</v>
      </c>
      <c r="AB531" s="115">
        <f ca="1">IF(OR(C531="赤日轮1",C531="赤日轮2",C531="赤日轮3"),IF(RAND()&lt;模拟模式!$Y$17,1,0),IF(OR(C531="幽月轮1",C531="幽月轮2",C531="幽月轮3"),IF(RAND()&lt;模拟模式!$Y$18,1,0),IF(C531="烈日斩",IF(RAND()&lt;模拟模式!$Y$19,1,0),IF(C531="银月斩",IF(RAND()&lt;模拟模式!$Y$20,1,0),IF(C531="驱夜断愁",IF(RAND()&lt;模拟模式!$Y$21,1,0),IF(C531="净世破魔击·日",IF(RAND()&lt;模拟模式!$Y$22,1,0),IF(C531="净世破魔击·月",IF(RAND()&lt;模拟模式!$Y$23,1,0),0)))))))</f>
        <v>1</v>
      </c>
      <c r="AC531" s="115" t="b">
        <f t="shared" ca="1" si="458"/>
        <v>0</v>
      </c>
      <c r="AD531" s="115" t="b">
        <f t="shared" ca="1" si="478"/>
        <v>0</v>
      </c>
      <c r="AE531" s="115">
        <f t="shared" ca="1" si="479"/>
        <v>3</v>
      </c>
      <c r="AF531" s="47">
        <f ca="1">IF(AC531,('模拟-单技能数据'!$D$20+G531*'模拟-单技能数据'!$F$20)*(1+J531)*(1+'模拟-单技能数据'!$J$20)*(1+U531),0)</f>
        <v>0</v>
      </c>
      <c r="AG531" s="61">
        <f t="shared" ca="1" si="471"/>
        <v>0.64185145527300214</v>
      </c>
      <c r="AH531" s="61">
        <f t="shared" ca="1" si="472"/>
        <v>2.2624828854998791</v>
      </c>
      <c r="AI531" s="62">
        <f t="shared" ca="1" si="438"/>
        <v>1.0618818703184818E-2</v>
      </c>
      <c r="AJ531" s="47">
        <f ca="1">IF(AD531,IF(AI531&lt;$F$10,0,IF(AI531&lt;$F$10+$F$11,0.25,IF(AI531&lt;$F$10+$F$11+AG531,AH531,1)))*IF(AF531&gt;0,AF531,IF(AF530&gt;0,AF530,IF(AF529&gt;0,AF529,IF(AF528&gt;0,AF528,IF(AF527&gt;0,AF527,IF(AF526&gt;0,AF526,IF(AF525&gt;0,AF525,IF(AF524&gt;0,AF524,IF(AF523&gt;0,AF523,IF(AF521&gt;0,AF521,IF(AF520&gt;0,AF520,IF(AF519&gt;0,AF519,0)))))))))))),0)*(1-$S531)*'模拟-单技能数据'!$I$20</f>
        <v>0</v>
      </c>
      <c r="AK531" s="115" t="b">
        <f t="shared" ca="1" si="459"/>
        <v>0</v>
      </c>
      <c r="AL531" s="115" t="b">
        <f t="shared" ca="1" si="480"/>
        <v>1</v>
      </c>
      <c r="AM531" s="115">
        <f t="shared" ca="1" si="481"/>
        <v>5</v>
      </c>
      <c r="AN531" s="47">
        <f ca="1">IF(AK531,('模拟-单技能数据'!$D$21+G531*'模拟-单技能数据'!$F$21)*(1+J531)*(1+'模拟-单技能数据'!$J$21)*(1+U531),0)</f>
        <v>0</v>
      </c>
      <c r="AO531" s="61">
        <f ca="1">IF(AN531&gt;0,M531-'模拟-单技能数据'!$K$10,AO530)</f>
        <v>0.42185145527300216</v>
      </c>
      <c r="AP531" s="61">
        <f ca="1">IF(AN531&gt;0,I531-'模拟-单技能数据'!$L$10,AP530)</f>
        <v>2.162482885499879</v>
      </c>
      <c r="AQ531" s="63">
        <f t="shared" ca="1" si="439"/>
        <v>0.76410109436018259</v>
      </c>
      <c r="AR531" s="64">
        <f ca="1">IF(AL531,IF(AQ531&lt;$F$10,0,IF(AQ531&lt;$F$10+$F$11,0.25,IF(AQ531&lt;$F$10+$F$11+AO531,AP531,1)))*IF(AN531&gt;0,AN531,IF(AN530&gt;0,AN530,IF(AN529&gt;0,AN529,IF(AN528&gt;0,AN528,IF(AN527&gt;0,AN527,IF(AN526&gt;0,AN526,IF(AN525&gt;0,AN525,IF(AN524&gt;0,AN524,IF(AN523&gt;0,AN523,IF(AN521&gt;0,AN521,IF(AN520&gt;0,AN520,IF(AN519&gt;0,AN519,0)))))))))))),0)*(1-$S531)*'模拟-单技能数据'!$I$21</f>
        <v>11607.89185245618</v>
      </c>
      <c r="AS531" s="61">
        <f ca="1">IF(OR(C531="净世破魔击·日",C531="净世破魔击·月"),M531-'模拟-单技能数据'!$K$10,0)</f>
        <v>0.42185145527300216</v>
      </c>
      <c r="AT531" s="61">
        <f ca="1">IF(OR(C531="净世破魔击·日",C531="净世破魔击·月"),I531-'模拟-单技能数据'!$L$10,0)</f>
        <v>2.162482885499879</v>
      </c>
      <c r="AU531" s="62">
        <f t="shared" ca="1" si="440"/>
        <v>0.51151595059630561</v>
      </c>
      <c r="AV531" s="64">
        <f ca="1">IF(AS531&gt;0,('模拟-单技能数据'!$D$22+G531*'模拟-单技能数据'!$F$22)*(1+J531)*(1-S531)*IF(AU531&lt;$F$10,0,IF(AU531&lt;$F$10+$F$11,0.25,IF(AU531&lt;$F$10+$F$11+AS531,AT531,1)))*(1+U531),0)*'模拟-单技能数据'!$I$22</f>
        <v>7956.2107573714466</v>
      </c>
      <c r="AW531" s="108">
        <f t="shared" ca="1" si="441"/>
        <v>0</v>
      </c>
      <c r="AX531" s="108" t="b">
        <f ca="1">AND(模拟模式!$P$10="有",AW530=0,RAND()&lt;IF(C531="净世破魔击·月",0.1*8/3,IF(C531="净世破魔击·日",0.1*4/3,0.1*2/3)))</f>
        <v>0</v>
      </c>
      <c r="AY531" s="47">
        <f ca="1">IF(AX531,(18+G531*0.722)*(1+J531)*(1-S531)*(1+$I$4)*IF(P531="会",'模拟-全程加成'!$J$3+'模拟-全程加成'!$J$4+'模拟-全程加成'!$J$5+('模拟-全程加成'!$I$4+'模拟-全程加成'!$I$5)/系数!$B$4+BG531*10%,IF(P531="命",1,IF(P531="识",0.25,0))),0)</f>
        <v>0</v>
      </c>
      <c r="AZ531" s="108">
        <f t="shared" si="442"/>
        <v>1.5500000000000065</v>
      </c>
      <c r="BA531" s="108" t="b">
        <f>AND(模拟模式!$Q$10="有",AZ530=0)</f>
        <v>0</v>
      </c>
      <c r="BB531" s="140">
        <f>IF(BA531,(0+G531*0.287)*(1+J531)*(1-S531)*(1+$I$4)*IF(P531="会",'模拟-全程加成'!$J$3+'模拟-全程加成'!$J$4+'模拟-全程加成'!$J$5+('模拟-全程加成'!$I$4+'模拟-全程加成'!$I$5)/系数!$B$4+BG531*10%,IF(P531="命",1,IF(P531="识",0.25,0))),0)</f>
        <v>0</v>
      </c>
      <c r="BC531" s="115" t="b">
        <f ca="1">AND(模拟模式!$R$7="伏明众生",E531=60,F531=20,DA531&lt;5,CZ530&lt;$F$4)</f>
        <v>0</v>
      </c>
      <c r="BD531" s="115">
        <f t="shared" ca="1" si="460"/>
        <v>0</v>
      </c>
      <c r="BE531" s="115" t="b">
        <f t="shared" ca="1" si="461"/>
        <v>0</v>
      </c>
      <c r="BF531" s="47">
        <f ca="1">IF(BC531,4*('模拟-单技能数据'!$D$24+G531*'模拟-单技能数据'!$F$24)*(1+J531)*(1+'模拟-单技能数据'!$J$24)*(1-S531)*(1+$I$3)*(('模拟-全程加成'!$J$3+'模拟-全程加成'!$J$4+'模拟-全程加成'!$J$5+('模拟-全程加成'!$I$4+'模拟-全程加成'!$I$5)/系数!$B$4+BG531*10%)*('模拟-全程加成'!$J$3+'模拟-全程加成'!$J$4+'模拟-全程加成'!$J$5+('模拟-全程加成'!$I$4+'模拟-全程加成'!$I$5)/系数!$B$4+BG531*10%)+(1-('模拟-全程加成'!$J$3+'模拟-全程加成'!$J$4+'模拟-全程加成'!$J$5+('模拟-全程加成'!$I$4+'模拟-全程加成'!$I$5)/系数!$B$4+BG531*10%)-$F$10-$F$11)+F517*0.25),0)*'模拟-单技能数据'!$I$24</f>
        <v>0</v>
      </c>
      <c r="BG531" s="115" t="b">
        <f ca="1">OR(AND(OR(C531="烈日斩",C531="银月斩"),模拟模式!$I$7="净身明礼"),AND(C531="净世破魔击·日",模拟模式!$J$7="洞若观火"),AND(C532="净世破魔击·月",模拟模式!$J$7="洞若观火"),AB531=1)</f>
        <v>1</v>
      </c>
      <c r="BH531" s="115" t="b">
        <f t="shared" ca="1" si="443"/>
        <v>0</v>
      </c>
      <c r="BI531" s="115">
        <f t="shared" ca="1" si="462"/>
        <v>1.3874999999999997</v>
      </c>
      <c r="BJ531" s="115" t="b">
        <f t="shared" ca="1" si="473"/>
        <v>1</v>
      </c>
      <c r="BK531" s="115" t="b">
        <f ca="1">AND(C531="驱夜断愁",模拟模式!$P$7="天地诛戮")</f>
        <v>0</v>
      </c>
      <c r="BL531" s="57">
        <f t="shared" ca="1" si="463"/>
        <v>15.387500000000003</v>
      </c>
      <c r="BM531" s="115" t="b">
        <f t="shared" ca="1" si="474"/>
        <v>1</v>
      </c>
      <c r="BN531" s="115" t="b">
        <f ca="1">AND(OR(C531="赤日轮1",C531="赤日轮2",C531="赤日轮3",C531="幽月轮1",C531="幽月轮2",C531="幽月轮3"),AB531=1,模拟模式!$L$7="明光恒照")</f>
        <v>0</v>
      </c>
      <c r="BO531" s="117">
        <f t="shared" ca="1" si="464"/>
        <v>27.232500000000002</v>
      </c>
      <c r="BP531" s="115">
        <f t="shared" ca="1" si="444"/>
        <v>6</v>
      </c>
      <c r="BQ531" s="115" t="b">
        <f>模拟模式!$K$10="2600·水"</f>
        <v>0</v>
      </c>
      <c r="BR531" s="117">
        <f t="shared" si="445"/>
        <v>0</v>
      </c>
      <c r="BS531" s="115">
        <f t="shared" si="446"/>
        <v>0</v>
      </c>
      <c r="BT531" s="115">
        <f t="shared" ca="1" si="447"/>
        <v>0</v>
      </c>
      <c r="BU531" s="115" t="b">
        <f ca="1">AND(模拟模式!$K$10="2300·雷",BT530=0,RAND()&lt;IF(C531="净世破魔击·月",5*0.05*2/3,IF(C531="净世破魔击·日",3*0.05*2/3,0.05*2*2/3)))</f>
        <v>0</v>
      </c>
      <c r="BV531" s="115">
        <f t="shared" ca="1" si="448"/>
        <v>0</v>
      </c>
      <c r="BW531" s="115">
        <f t="shared" ca="1" si="449"/>
        <v>90.517499999999259</v>
      </c>
      <c r="BX531" s="164" t="b">
        <f t="shared" ca="1" si="450"/>
        <v>0</v>
      </c>
      <c r="BY531" s="115">
        <f t="shared" ca="1" si="451"/>
        <v>0</v>
      </c>
      <c r="BZ531" s="115">
        <f>IF(OR(模拟模式!$P$16="10人团",模拟模式!$P$16="25人团"),IF(B531/30&gt;CA530,1,0),0)</f>
        <v>0</v>
      </c>
      <c r="CA531" s="115">
        <f t="shared" si="427"/>
        <v>0</v>
      </c>
      <c r="CB531" s="115">
        <f ca="1">IF(BZ531=1,IF(模拟模式!$P$16="10人团",15,0)+IF(模拟模式!$P$16="25人团",IF(RAND()&lt;0.6,15,0)),MAX(0,CB530-$F$4))</f>
        <v>0</v>
      </c>
      <c r="CC531" s="115" t="b">
        <f t="shared" ca="1" si="475"/>
        <v>0</v>
      </c>
      <c r="CD531" s="115">
        <f>IF(模拟模式!$Q$16="1个",IF(B531/40&gt;CE530,1,0),0)</f>
        <v>0</v>
      </c>
      <c r="CE531" s="115">
        <f t="shared" si="476"/>
        <v>0</v>
      </c>
      <c r="CF531" s="115">
        <f>IF(OR(CD531=1,模拟模式!$Q$16="2个"),20,MAX(0,CF530-$F$4))</f>
        <v>0</v>
      </c>
      <c r="CG531" s="115" t="b">
        <f t="shared" si="477"/>
        <v>0</v>
      </c>
      <c r="CH531" s="115">
        <f t="shared" ca="1" si="452"/>
        <v>11.550000000000011</v>
      </c>
      <c r="CI531" s="115" t="b">
        <f t="shared" ca="1" si="453"/>
        <v>0</v>
      </c>
      <c r="CJ531" s="119">
        <f t="shared" ca="1" si="454"/>
        <v>0</v>
      </c>
      <c r="CK531" s="115">
        <f t="shared" ca="1" si="455"/>
        <v>0</v>
      </c>
      <c r="CL531" s="115" t="b">
        <f ca="1">AND(模拟模式!$S$7="驱夷逐法",OR(AND(C531="净世破魔击·月",E530&gt;59),AND(C531="净世破魔击·日",F530&gt;59)))</f>
        <v>0</v>
      </c>
      <c r="CM531" s="115" t="b">
        <f ca="1">OR(CL531,AND(C531="净世破魔击·日",CL530,RAND()&lt;模拟模式!$U$23))</f>
        <v>0</v>
      </c>
      <c r="CN531" s="115" t="b">
        <f ca="1">IF(模拟模式!$M$7="辉耀红尘",AND(C531="净世破魔击·月",CL531,CV531=0,E530&lt;80),AND(C531="净世破魔击·月",CL531,E530&lt;100))</f>
        <v>0</v>
      </c>
      <c r="CO531" s="115" t="b">
        <f t="shared" ca="1" si="428"/>
        <v>0</v>
      </c>
      <c r="CP531" s="115" t="b">
        <f ca="1">AND(模拟模式!$O$7="用晦而明",OR(C531="净世破魔击·日",C531="净世破魔击·月",C531="驱夜断愁"),AB531)</f>
        <v>1</v>
      </c>
      <c r="CQ531" s="115" t="b">
        <f ca="1">OR(CP531,AND(CP530,RAND()&lt;模拟模式!$U$23))</f>
        <v>1</v>
      </c>
      <c r="CR531" s="115" t="b">
        <f ca="1">AND(模拟模式!$S$7="日月齐光",OR(C531="幽月轮1",C531="幽月轮2",C531="幽月轮3",CR530),NOT(OR(C531="赤日轮1",C531="赤日轮2",C531="赤日轮3")))</f>
        <v>0</v>
      </c>
      <c r="CS531" s="115" t="b">
        <f ca="1">AND(模拟模式!$S$7="日月齐光",OR(C531="赤日轮1",C531="赤日轮2",C531="赤日轮3",CS530),NOT(OR(C531="幽月轮1",C531="幽月轮2",C531="幽月轮3")))</f>
        <v>0</v>
      </c>
      <c r="CT531" s="115">
        <f t="shared" ca="1" si="456"/>
        <v>0</v>
      </c>
      <c r="CU531" s="115" t="b">
        <f ca="1">AND(模拟模式!$K$10="阴阳往极",CT530=0,RAND()&lt;IF(C531="净世破魔击·月",0.0275*7/3,IF(C531="净世破魔击·日",0.0275*3/3,0.0275*2/3)))</f>
        <v>0</v>
      </c>
      <c r="CV531" s="115">
        <f t="shared" ca="1" si="457"/>
        <v>0</v>
      </c>
      <c r="CW531" s="115">
        <f t="shared" ca="1" si="429"/>
        <v>2.3099999999999996</v>
      </c>
      <c r="CX531" s="115">
        <f t="shared" ca="1" si="430"/>
        <v>0.46499999999999975</v>
      </c>
      <c r="CY531" s="115">
        <f ca="1">MAX(IF($C531="驱夜断愁",IF(模拟模式!$R$7="万念俱寂",6,45),CY530-$F$4),0)</f>
        <v>1.3874999999999997</v>
      </c>
      <c r="CZ531" s="115">
        <f t="shared" ca="1" si="431"/>
        <v>0</v>
      </c>
      <c r="DA531" s="115">
        <f ca="1">IF(模拟模式!$N$7="日月同辉",IF(DB530=2,0,MIN(6,IF(AND(OR(C531="赤日轮1",C531="赤日轮2",C531="赤日轮3",C531="幽月轮1",C531="幽月轮2",C531="幽月轮3"),AB531=1),DA530+1,DA530))),0)</f>
        <v>0</v>
      </c>
      <c r="DB531" s="115">
        <f t="shared" ca="1" si="432"/>
        <v>0</v>
      </c>
      <c r="DC531" s="115"/>
      <c r="DD531" s="115"/>
      <c r="DE531" s="115"/>
      <c r="DF531" s="115"/>
      <c r="DG531" s="115"/>
      <c r="DH531" s="115"/>
      <c r="DI531" s="115"/>
      <c r="DJ531" s="115"/>
      <c r="DK531" s="115"/>
      <c r="DL531" s="115"/>
      <c r="DM531" s="115"/>
    </row>
    <row r="532" spans="2:117" x14ac:dyDescent="0.2">
      <c r="B532" s="117">
        <f t="shared" si="433"/>
        <v>465.8625000000049</v>
      </c>
      <c r="C532" s="167" t="str">
        <f t="shared" ca="1" si="426"/>
        <v>银月斩</v>
      </c>
      <c r="D532" s="115">
        <f ca="1">IF(C532="赤日轮1",1,IF(C532="赤日轮2",2,IF(C532="赤日轮3",3,IF(C532="幽月轮1",4,IF(C532="幽月轮2",5,IF(C532="幽月轮3",6,IF(C532="烈日斩",7,IF(C532="银月斩",8,IF(C532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532="净世破魔击·月",17,IF(C532="驱夜断愁",18,0)))))))))))</f>
        <v>8</v>
      </c>
      <c r="E532" s="115">
        <f ca="1">IF(AND(CU532,OR(C532="幽月轮1",C532="幽月轮2",C532="幽月轮3",C532="银月斩",C532="驱夜断愁",C532="净世破魔击·月")),100,MIN(IF(OR(CN532,BE532),0,IF(OR($C532="赤日轮1",$C532="赤日轮2",$C532="赤日轮3"),E531+20+IF(模拟模式!$I$7="日月凌天",4,0)+IF(CR531,20,0),IF($C532="烈日斩",E531+40,IF($C532="驱夜断愁",IF(模拟模式!$R$7="万念俱寂",E531+20,E531+60),IF($C532="净世破魔击·月",IF(OR(DB531&gt;0,CV531&gt;0),100,IF(模拟模式!$M$7="辉耀红尘",E531+20,E531)),IF($C532="净世破魔击·日",E531-100,E531)))))),100))</f>
        <v>20</v>
      </c>
      <c r="F532" s="115">
        <f ca="1">IF(AND(CU532,OR(C532="赤日轮1",C532="赤日轮2",C532="赤日轮3",C532="烈日斩",C532="净世破魔击·日")),100,MIN(IF(CO532,0,IF(OR($C532="幽月轮1",$C532="幽月轮2",$C532="幽月轮3"),F531+20+IF(模拟模式!$I$7="日月凌天",4,0)+IF(CS531,20,0),IF($C532="银月斩",F531+40+IF(模拟模式!$X$12=1,5,0),IF($C532="驱夜断愁",IF(模拟模式!$R$7="万念俱寂",F531+20,F531+60),IF($C532="净世破魔击·月",IF(模拟模式!$M$7="辉耀红尘",F531-80,F531-100),IF(AND(C532="净世破魔击·日",OR(DB531&gt;0,CV531&gt;0)),100,F531)))))),100))</f>
        <v>65</v>
      </c>
      <c r="G532" s="117">
        <f ca="1">('模拟-全程加成'!$E$3+'模拟-全程加成'!$E$4+'模拟-全程加成'!$E$5+('模拟-全程加成'!$C$6-'模拟-全程加成'!$C$3)*系数!$B$9+BS532*23)*(1+'模拟-全程加成'!$F$4+'模拟-全程加成'!$F$5+BJ532*10%+BM532*20%+BP532*4%+CG532*30%)+$F$7*系数!$B$12</f>
        <v>21493.829400000002</v>
      </c>
      <c r="H532" s="45">
        <f ca="1">'模拟-全程加成'!$H$3+'模拟-全程加成'!$H$4+'模拟-全程加成'!$H$5+('模拟-全程加成'!$G$4+'模拟-全程加成'!$G$5+('模拟-全程加成'!$C$6-'模拟-全程加成'!$C$3)*系数!$B$13)/系数!$B$3+LOOKUP(D532,'模拟-单技能数据'!$A$2:$A$19,'模拟-单技能数据'!$K$2:$K$19)+BG532*10%+IF(BV532&gt;0,378,0)</f>
        <v>0.64185145527300214</v>
      </c>
      <c r="I532" s="45">
        <f ca="1">'模拟-全程加成'!$J$3+'模拟-全程加成'!$J$4+'模拟-全程加成'!$J$5+('模拟-全程加成'!$I$4+'模拟-全程加成'!$I$5)/系数!$B$4+LOOKUP(D532,'模拟-单技能数据'!$A$2:$A$19,'模拟-单技能数据'!$L$2:$L$19)+BG532*10%</f>
        <v>2.2624828854998791</v>
      </c>
      <c r="J532" s="45">
        <f ca="1">(('模拟-全程加成'!$K$3+'模拟-全程加成'!$K$4+'模拟-全程加成'!$K$5+('模拟-全程加成'!$C$6-'模拟-全程加成'!$C$3)*系数!$B$10+IF(BV532&gt;0,882,0)+IF(BY532&gt;0,1831,0))*(1+'模拟-全程加成'!$L$4+'模拟-全程加成'!$L$5+CC532*20%))/系数!$B$5</f>
        <v>0.69723220422048726</v>
      </c>
      <c r="K532" s="119">
        <f ca="1">LOOKUP(D532,'模拟-单技能数据'!$A$2:$A$19,'模拟-单技能数据'!$J$2:$J$19)+IF(CM532,60%,0)+IF(DB531-DB532&gt;0,30%,0)+IF(OR(AND(OR(C532="赤日轮1",C532="赤日轮2",C532="赤日轮3"),CR532),AND(OR(C532="幽月轮1",C532="幽月轮2",C532="幽月轮3"),CS532)),35%,0)+CJ532</f>
        <v>0.15</v>
      </c>
      <c r="L532" s="119">
        <f ca="1">IF(AND(C532="烈日斩",模拟模式!$X$11=1),10%,0)+IF(AND(C532="驱夜断愁",AB532=1),30%,0)</f>
        <v>0</v>
      </c>
      <c r="M532" s="45">
        <f t="shared" ca="1" si="465"/>
        <v>0.64185145527300214</v>
      </c>
      <c r="N532" s="45">
        <f t="shared" ca="1" si="466"/>
        <v>0.30424854472699792</v>
      </c>
      <c r="O532" s="46">
        <f t="shared" ca="1" si="434"/>
        <v>0.11498875058133939</v>
      </c>
      <c r="P532" s="46" t="str">
        <f t="shared" ca="1" si="435"/>
        <v>会</v>
      </c>
      <c r="Q532" s="45">
        <f t="shared" ca="1" si="436"/>
        <v>2.2624828854998791</v>
      </c>
      <c r="R532" s="117">
        <f ca="1">模拟模式!$E$20*(1-IF(模拟模式!$J$19="有",0.15,0))*(1-IF(模拟模式!$K$19="有",0.3,0)-IF(CQ532,0.5,0))</f>
        <v>843.02999999999975</v>
      </c>
      <c r="S532" s="45">
        <f ca="1">R532/(R532+(185*模拟模式!$E$22-16800)*4.08224)</f>
        <v>8.389626085980037E-2</v>
      </c>
      <c r="T532" s="45" t="str">
        <f ca="1">LOOKUP(D532,'模拟-单技能数据'!$A$2:$A$19,'模拟-单技能数据'!$H$2:$H$19)</f>
        <v>阴</v>
      </c>
      <c r="U532" s="119">
        <f t="shared" ca="1" si="467"/>
        <v>0.08</v>
      </c>
      <c r="V532" s="47">
        <f ca="1">(1+L532)*(LOOKUP(D532,'模拟-单技能数据'!$A$2:$A$19,'模拟-单技能数据'!$D$2:$D$19)+G532*LOOKUP(D532,'模拟-单技能数据'!$A$2:$A$19,'模拟-单技能数据'!$F$2:$F$19))*(1+J532)*(1+K532)*(1-S532)*(1+U532)*Q532*LOOKUP(D532,'模拟-单技能数据'!$A$2:$A$19,'模拟-单技能数据'!$I$2:$I$20)</f>
        <v>49855.474753700611</v>
      </c>
      <c r="W532" s="47">
        <f ca="1">LOOKUP(D532,'模拟-单技能数据'!$A$2:$A$19,'模拟-单技能数据'!$G$2:$G$19)*$I$10</f>
        <v>361.51064354704795</v>
      </c>
      <c r="X532" s="47">
        <f t="shared" ca="1" si="437"/>
        <v>9616.6571145767884</v>
      </c>
      <c r="Y532" s="47">
        <f t="shared" ca="1" si="468"/>
        <v>59833.642511824444</v>
      </c>
      <c r="Z532" s="49">
        <f t="shared" ca="1" si="469"/>
        <v>52841928.699049309</v>
      </c>
      <c r="AA532" s="97">
        <f t="shared" ca="1" si="470"/>
        <v>113428.16539010707</v>
      </c>
      <c r="AB532" s="115">
        <f ca="1">IF(OR(C532="赤日轮1",C532="赤日轮2",C532="赤日轮3"),IF(RAND()&lt;模拟模式!$Y$17,1,0),IF(OR(C532="幽月轮1",C532="幽月轮2",C532="幽月轮3"),IF(RAND()&lt;模拟模式!$Y$18,1,0),IF(C532="烈日斩",IF(RAND()&lt;模拟模式!$Y$19,1,0),IF(C532="银月斩",IF(RAND()&lt;模拟模式!$Y$20,1,0),IF(C532="驱夜断愁",IF(RAND()&lt;模拟模式!$Y$21,1,0),IF(C532="净世破魔击·日",IF(RAND()&lt;模拟模式!$Y$22,1,0),IF(C532="净世破魔击·月",IF(RAND()&lt;模拟模式!$Y$23,1,0),0)))))))</f>
        <v>1</v>
      </c>
      <c r="AC532" s="115" t="b">
        <f t="shared" ca="1" si="458"/>
        <v>1</v>
      </c>
      <c r="AD532" s="115" t="b">
        <f t="shared" ca="1" si="478"/>
        <v>1</v>
      </c>
      <c r="AE532" s="115">
        <f t="shared" ca="1" si="479"/>
        <v>5</v>
      </c>
      <c r="AF532" s="47">
        <f ca="1">IF(AC532,('模拟-单技能数据'!$D$20+G532*'模拟-单技能数据'!$F$20)*(1+J532)*(1+'模拟-单技能数据'!$J$20)*(1+U532),0)</f>
        <v>4639.7456468263617</v>
      </c>
      <c r="AG532" s="61">
        <f t="shared" ca="1" si="471"/>
        <v>0.64185145527300214</v>
      </c>
      <c r="AH532" s="61">
        <f t="shared" ca="1" si="472"/>
        <v>2.2624828854998791</v>
      </c>
      <c r="AI532" s="62">
        <f t="shared" ca="1" si="438"/>
        <v>0.50508785296935488</v>
      </c>
      <c r="AJ532" s="47">
        <f ca="1">IF(AD532,IF(AI532&lt;$F$10,0,IF(AI532&lt;$F$10+$F$11,0.25,IF(AI532&lt;$F$10+$F$11+AG532,AH532,1)))*IF(AF532&gt;0,AF532,IF(AF531&gt;0,AF531,IF(AF530&gt;0,AF530,IF(AF529&gt;0,AF529,IF(AF528&gt;0,AF528,IF(AF527&gt;0,AF527,IF(AF526&gt;0,AF526,IF(AF525&gt;0,AF525,IF(AF524&gt;0,AF524,IF(AF522&gt;0,AF522,IF(AF521&gt;0,AF521,IF(AF520&gt;0,AF520,0)))))))))))),0)*(1-$S532)*'模拟-单技能数据'!$I$20</f>
        <v>9616.6571145767884</v>
      </c>
      <c r="AK532" s="115" t="b">
        <f t="shared" ca="1" si="459"/>
        <v>0</v>
      </c>
      <c r="AL532" s="115" t="b">
        <f t="shared" ca="1" si="480"/>
        <v>0</v>
      </c>
      <c r="AM532" s="115">
        <f t="shared" ca="1" si="481"/>
        <v>5</v>
      </c>
      <c r="AN532" s="47">
        <f ca="1">IF(AK532,('模拟-单技能数据'!$D$21+G532*'模拟-单技能数据'!$F$21)*(1+J532)*(1+'模拟-单技能数据'!$J$21)*(1+U532),0)</f>
        <v>0</v>
      </c>
      <c r="AO532" s="61">
        <f ca="1">IF(AN532&gt;0,M532-'模拟-单技能数据'!$K$10,AO531)</f>
        <v>0.42185145527300216</v>
      </c>
      <c r="AP532" s="61">
        <f ca="1">IF(AN532&gt;0,I532-'模拟-单技能数据'!$L$10,AP531)</f>
        <v>2.162482885499879</v>
      </c>
      <c r="AQ532" s="63">
        <f t="shared" ca="1" si="439"/>
        <v>0.76744444290902047</v>
      </c>
      <c r="AR532" s="64">
        <f ca="1">IF(AL532,IF(AQ532&lt;$F$10,0,IF(AQ532&lt;$F$10+$F$11,0.25,IF(AQ532&lt;$F$10+$F$11+AO532,AP532,1)))*IF(AN532&gt;0,AN532,IF(AN531&gt;0,AN531,IF(AN530&gt;0,AN530,IF(AN529&gt;0,AN529,IF(AN528&gt;0,AN528,IF(AN527&gt;0,AN527,IF(AN526&gt;0,AN526,IF(AN525&gt;0,AN525,IF(AN524&gt;0,AN524,IF(AN522&gt;0,AN522,IF(AN521&gt;0,AN521,IF(AN520&gt;0,AN520,0)))))))))))),0)*(1-$S532)*'模拟-单技能数据'!$I$21</f>
        <v>0</v>
      </c>
      <c r="AS532" s="61">
        <f ca="1">IF(OR(C532="净世破魔击·日",C532="净世破魔击·月"),M532-'模拟-单技能数据'!$K$10,0)</f>
        <v>0</v>
      </c>
      <c r="AT532" s="61">
        <f ca="1">IF(OR(C532="净世破魔击·日",C532="净世破魔击·月"),I532-'模拟-单技能数据'!$L$10,0)</f>
        <v>0</v>
      </c>
      <c r="AU532" s="62">
        <f t="shared" ca="1" si="440"/>
        <v>0.26485931368090643</v>
      </c>
      <c r="AV532" s="64">
        <f ca="1">IF(AS532&gt;0,('模拟-单技能数据'!$D$22+G532*'模拟-单技能数据'!$F$22)*(1+J532)*(1-S532)*IF(AU532&lt;$F$10,0,IF(AU532&lt;$F$10+$F$11,0.25,IF(AU532&lt;$F$10+$F$11+AS532,AT532,1)))*(1+U532),0)*'模拟-单技能数据'!$I$22</f>
        <v>0</v>
      </c>
      <c r="AW532" s="108">
        <f t="shared" ca="1" si="441"/>
        <v>0</v>
      </c>
      <c r="AX532" s="108" t="b">
        <f ca="1">AND(模拟模式!$P$10="有",AW531=0,RAND()&lt;IF(C532="净世破魔击·月",0.1*8/3,IF(C532="净世破魔击·日",0.1*4/3,0.1*2/3)))</f>
        <v>0</v>
      </c>
      <c r="AY532" s="47">
        <f ca="1">IF(AX532,(18+G532*0.722)*(1+J532)*(1-S532)*(1+$I$4)*IF(P532="会",'模拟-全程加成'!$J$3+'模拟-全程加成'!$J$4+'模拟-全程加成'!$J$5+('模拟-全程加成'!$I$4+'模拟-全程加成'!$I$5)/系数!$B$4+BG532*10%,IF(P532="命",1,IF(P532="识",0.25,0))),0)</f>
        <v>0</v>
      </c>
      <c r="AZ532" s="108">
        <f t="shared" si="442"/>
        <v>0.6275000000000065</v>
      </c>
      <c r="BA532" s="108" t="b">
        <f>AND(模拟模式!$Q$10="有",AZ531=0)</f>
        <v>0</v>
      </c>
      <c r="BB532" s="140">
        <f>IF(BA532,(0+G532*0.287)*(1+J532)*(1-S532)*(1+$I$4)*IF(P532="会",'模拟-全程加成'!$J$3+'模拟-全程加成'!$J$4+'模拟-全程加成'!$J$5+('模拟-全程加成'!$I$4+'模拟-全程加成'!$I$5)/系数!$B$4+BG532*10%,IF(P532="命",1,IF(P532="识",0.25,0))),0)</f>
        <v>0</v>
      </c>
      <c r="BC532" s="115" t="b">
        <f ca="1">AND(模拟模式!$R$7="伏明众生",E532=60,F532=20,DA532&lt;5,CZ531&lt;$F$4)</f>
        <v>0</v>
      </c>
      <c r="BD532" s="115">
        <f t="shared" ca="1" si="460"/>
        <v>0</v>
      </c>
      <c r="BE532" s="115" t="b">
        <f t="shared" ca="1" si="461"/>
        <v>0</v>
      </c>
      <c r="BF532" s="47">
        <f ca="1">IF(BC532,4*('模拟-单技能数据'!$D$24+G532*'模拟-单技能数据'!$F$24)*(1+J532)*(1+'模拟-单技能数据'!$J$24)*(1-S532)*(1+$I$3)*(('模拟-全程加成'!$J$3+'模拟-全程加成'!$J$4+'模拟-全程加成'!$J$5+('模拟-全程加成'!$I$4+'模拟-全程加成'!$I$5)/系数!$B$4+BG532*10%)*('模拟-全程加成'!$J$3+'模拟-全程加成'!$J$4+'模拟-全程加成'!$J$5+('模拟-全程加成'!$I$4+'模拟-全程加成'!$I$5)/系数!$B$4+BG532*10%)+(1-('模拟-全程加成'!$J$3+'模拟-全程加成'!$J$4+'模拟-全程加成'!$J$5+('模拟-全程加成'!$I$4+'模拟-全程加成'!$I$5)/系数!$B$4+BG532*10%)-$F$10-$F$11)+F518*0.25),0)*'模拟-单技能数据'!$I$24</f>
        <v>0</v>
      </c>
      <c r="BG532" s="115" t="b">
        <f ca="1">OR(AND(OR(C532="烈日斩",C532="银月斩"),模拟模式!$I$7="净身明礼"),AND(C532="净世破魔击·日",模拟模式!$J$7="洞若观火"),AND(C533="净世破魔击·月",模拟模式!$J$7="洞若观火"),AB532=1)</f>
        <v>1</v>
      </c>
      <c r="BH532" s="115" t="b">
        <f t="shared" ca="1" si="443"/>
        <v>0</v>
      </c>
      <c r="BI532" s="115">
        <f t="shared" ca="1" si="462"/>
        <v>0.46499999999999975</v>
      </c>
      <c r="BJ532" s="115" t="b">
        <f t="shared" ca="1" si="473"/>
        <v>1</v>
      </c>
      <c r="BK532" s="115" t="b">
        <f ca="1">AND(C532="驱夜断愁",模拟模式!$P$7="天地诛戮")</f>
        <v>0</v>
      </c>
      <c r="BL532" s="57">
        <f t="shared" ca="1" si="463"/>
        <v>14.465000000000003</v>
      </c>
      <c r="BM532" s="115" t="b">
        <f t="shared" ca="1" si="474"/>
        <v>1</v>
      </c>
      <c r="BN532" s="115" t="b">
        <f ca="1">AND(OR(C532="赤日轮1",C532="赤日轮2",C532="赤日轮3",C532="幽月轮1",C532="幽月轮2",C532="幽月轮3"),AB532=1,模拟模式!$L$7="明光恒照")</f>
        <v>0</v>
      </c>
      <c r="BO532" s="117">
        <f t="shared" ca="1" si="464"/>
        <v>26.310000000000002</v>
      </c>
      <c r="BP532" s="115">
        <f t="shared" ca="1" si="444"/>
        <v>6</v>
      </c>
      <c r="BQ532" s="115" t="b">
        <f>模拟模式!$K$10="2600·水"</f>
        <v>0</v>
      </c>
      <c r="BR532" s="117">
        <f t="shared" si="445"/>
        <v>0</v>
      </c>
      <c r="BS532" s="115">
        <f t="shared" si="446"/>
        <v>0</v>
      </c>
      <c r="BT532" s="115">
        <f t="shared" ca="1" si="447"/>
        <v>0</v>
      </c>
      <c r="BU532" s="115" t="b">
        <f ca="1">AND(模拟模式!$K$10="2300·雷",BT531=0,RAND()&lt;IF(C532="净世破魔击·月",5*0.05*2/3,IF(C532="净世破魔击·日",3*0.05*2/3,0.05*2*2/3)))</f>
        <v>0</v>
      </c>
      <c r="BV532" s="115">
        <f t="shared" ca="1" si="448"/>
        <v>0</v>
      </c>
      <c r="BW532" s="115">
        <f t="shared" ca="1" si="449"/>
        <v>89.59499999999926</v>
      </c>
      <c r="BX532" s="164" t="b">
        <f t="shared" ca="1" si="450"/>
        <v>0</v>
      </c>
      <c r="BY532" s="115">
        <f t="shared" ca="1" si="451"/>
        <v>0</v>
      </c>
      <c r="BZ532" s="115">
        <f>IF(OR(模拟模式!$P$16="10人团",模拟模式!$P$16="25人团"),IF(B532/30&gt;CA531,1,0),0)</f>
        <v>0</v>
      </c>
      <c r="CA532" s="115">
        <f t="shared" si="427"/>
        <v>0</v>
      </c>
      <c r="CB532" s="115">
        <f ca="1">IF(BZ532=1,IF(模拟模式!$P$16="10人团",15,0)+IF(模拟模式!$P$16="25人团",IF(RAND()&lt;0.6,15,0)),MAX(0,CB531-$F$4))</f>
        <v>0</v>
      </c>
      <c r="CC532" s="115" t="b">
        <f t="shared" ca="1" si="475"/>
        <v>0</v>
      </c>
      <c r="CD532" s="115">
        <f>IF(模拟模式!$Q$16="1个",IF(B532/40&gt;CE531,1,0),0)</f>
        <v>0</v>
      </c>
      <c r="CE532" s="115">
        <f t="shared" si="476"/>
        <v>0</v>
      </c>
      <c r="CF532" s="115">
        <f>IF(OR(CD532=1,模拟模式!$Q$16="2个"),20,MAX(0,CF531-$F$4))</f>
        <v>0</v>
      </c>
      <c r="CG532" s="115" t="b">
        <f t="shared" si="477"/>
        <v>0</v>
      </c>
      <c r="CH532" s="115">
        <f t="shared" ca="1" si="452"/>
        <v>10.627500000000012</v>
      </c>
      <c r="CI532" s="115" t="b">
        <f t="shared" ca="1" si="453"/>
        <v>0</v>
      </c>
      <c r="CJ532" s="119">
        <f t="shared" ca="1" si="454"/>
        <v>0</v>
      </c>
      <c r="CK532" s="115">
        <f t="shared" ca="1" si="455"/>
        <v>0</v>
      </c>
      <c r="CL532" s="115" t="b">
        <f ca="1">AND(模拟模式!$S$7="驱夷逐法",OR(AND(C532="净世破魔击·月",E531&gt;59),AND(C532="净世破魔击·日",F531&gt;59)))</f>
        <v>0</v>
      </c>
      <c r="CM532" s="115" t="b">
        <f ca="1">OR(CL532,AND(C532="净世破魔击·日",CL531,RAND()&lt;模拟模式!$U$23))</f>
        <v>0</v>
      </c>
      <c r="CN532" s="115" t="b">
        <f ca="1">IF(模拟模式!$M$7="辉耀红尘",AND(C532="净世破魔击·月",CL532,CV532=0,E531&lt;80),AND(C532="净世破魔击·月",CL532,E531&lt;100))</f>
        <v>0</v>
      </c>
      <c r="CO532" s="115" t="b">
        <f t="shared" ca="1" si="428"/>
        <v>0</v>
      </c>
      <c r="CP532" s="115" t="b">
        <f ca="1">AND(模拟模式!$O$7="用晦而明",OR(C532="净世破魔击·日",C532="净世破魔击·月",C532="驱夜断愁"),AB532)</f>
        <v>0</v>
      </c>
      <c r="CQ532" s="115" t="b">
        <f ca="1">OR(CP532,AND(CP531,RAND()&lt;模拟模式!$U$23))</f>
        <v>1</v>
      </c>
      <c r="CR532" s="115" t="b">
        <f ca="1">AND(模拟模式!$S$7="日月齐光",OR(C532="幽月轮1",C532="幽月轮2",C532="幽月轮3",CR531),NOT(OR(C532="赤日轮1",C532="赤日轮2",C532="赤日轮3")))</f>
        <v>0</v>
      </c>
      <c r="CS532" s="115" t="b">
        <f ca="1">AND(模拟模式!$S$7="日月齐光",OR(C532="赤日轮1",C532="赤日轮2",C532="赤日轮3",CS531),NOT(OR(C532="幽月轮1",C532="幽月轮2",C532="幽月轮3")))</f>
        <v>0</v>
      </c>
      <c r="CT532" s="115">
        <f t="shared" ca="1" si="456"/>
        <v>0</v>
      </c>
      <c r="CU532" s="115" t="b">
        <f ca="1">AND(模拟模式!$K$10="阴阳往极",CT531=0,RAND()&lt;IF(C532="净世破魔击·月",0.0275*7/3,IF(C532="净世破魔击·日",0.0275*3/3,0.0275*2/3)))</f>
        <v>0</v>
      </c>
      <c r="CV532" s="115">
        <f t="shared" ca="1" si="457"/>
        <v>0</v>
      </c>
      <c r="CW532" s="115">
        <f t="shared" ca="1" si="429"/>
        <v>1.3874999999999997</v>
      </c>
      <c r="CX532" s="115">
        <f t="shared" ca="1" si="430"/>
        <v>6</v>
      </c>
      <c r="CY532" s="115">
        <f ca="1">MAX(IF($C532="驱夜断愁",IF(模拟模式!$R$7="万念俱寂",6,45),CY531-$F$4),0)</f>
        <v>0.46499999999999975</v>
      </c>
      <c r="CZ532" s="115">
        <f t="shared" ca="1" si="431"/>
        <v>0</v>
      </c>
      <c r="DA532" s="115">
        <f ca="1">IF(模拟模式!$N$7="日月同辉",IF(DB531=2,0,MIN(6,IF(AND(OR(C532="赤日轮1",C532="赤日轮2",C532="赤日轮3",C532="幽月轮1",C532="幽月轮2",C532="幽月轮3"),AB532=1),DA531+1,DA531))),0)</f>
        <v>0</v>
      </c>
      <c r="DB532" s="115">
        <f t="shared" ca="1" si="432"/>
        <v>0</v>
      </c>
      <c r="DC532" s="115"/>
      <c r="DD532" s="115"/>
      <c r="DE532" s="115"/>
      <c r="DF532" s="115"/>
      <c r="DG532" s="115"/>
      <c r="DH532" s="115"/>
      <c r="DI532" s="115"/>
      <c r="DJ532" s="115"/>
      <c r="DK532" s="115"/>
      <c r="DL532" s="115"/>
      <c r="DM532" s="115"/>
    </row>
    <row r="533" spans="2:117" x14ac:dyDescent="0.2">
      <c r="B533" s="117">
        <f t="shared" si="433"/>
        <v>466.78500000000491</v>
      </c>
      <c r="C533" s="167" t="str">
        <f t="shared" ca="1" si="426"/>
        <v>驱夜断愁</v>
      </c>
      <c r="D533" s="115">
        <f ca="1">IF(C533="赤日轮1",1,IF(C533="赤日轮2",2,IF(C533="赤日轮3",3,IF(C533="幽月轮1",4,IF(C533="幽月轮2",5,IF(C533="幽月轮3",6,IF(C533="烈日斩",7,IF(C533="银月斩",8,IF(C533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533="净世破魔击·月",17,IF(C533="驱夜断愁",18,0)))))))))))</f>
        <v>18</v>
      </c>
      <c r="E533" s="115">
        <f ca="1">IF(AND(CU533,OR(C533="幽月轮1",C533="幽月轮2",C533="幽月轮3",C533="银月斩",C533="驱夜断愁",C533="净世破魔击·月")),100,MIN(IF(OR(CN533,BE533),0,IF(OR($C533="赤日轮1",$C533="赤日轮2",$C533="赤日轮3"),E532+20+IF(模拟模式!$I$7="日月凌天",4,0)+IF(CR532,20,0),IF($C533="烈日斩",E532+40,IF($C533="驱夜断愁",IF(模拟模式!$R$7="万念俱寂",E532+20,E532+60),IF($C533="净世破魔击·月",IF(OR(DB532&gt;0,CV532&gt;0),100,IF(模拟模式!$M$7="辉耀红尘",E532+20,E532)),IF($C533="净世破魔击·日",E532-100,E532)))))),100))</f>
        <v>40</v>
      </c>
      <c r="F533" s="115">
        <f ca="1">IF(AND(CU533,OR(C533="赤日轮1",C533="赤日轮2",C533="赤日轮3",C533="烈日斩",C533="净世破魔击·日")),100,MIN(IF(CO533,0,IF(OR($C533="幽月轮1",$C533="幽月轮2",$C533="幽月轮3"),F532+20+IF(模拟模式!$I$7="日月凌天",4,0)+IF(CS532,20,0),IF($C533="银月斩",F532+40+IF(模拟模式!$X$12=1,5,0),IF($C533="驱夜断愁",IF(模拟模式!$R$7="万念俱寂",F532+20,F532+60),IF($C533="净世破魔击·月",IF(模拟模式!$M$7="辉耀红尘",F532-80,F532-100),IF(AND(C533="净世破魔击·日",OR(DB532&gt;0,CV532&gt;0)),100,F532)))))),100))</f>
        <v>85</v>
      </c>
      <c r="G533" s="117">
        <f ca="1">('模拟-全程加成'!$E$3+'模拟-全程加成'!$E$4+'模拟-全程加成'!$E$5+('模拟-全程加成'!$C$6-'模拟-全程加成'!$C$3)*系数!$B$9+BS533*23)*(1+'模拟-全程加成'!$F$4+'模拟-全程加成'!$F$5+BJ533*10%+BM533*20%+BP533*4%+CG533*30%)+$F$7*系数!$B$12</f>
        <v>20583.127400000001</v>
      </c>
      <c r="H533" s="45">
        <f ca="1">'模拟-全程加成'!$H$3+'模拟-全程加成'!$H$4+'模拟-全程加成'!$H$5+('模拟-全程加成'!$G$4+'模拟-全程加成'!$G$5+('模拟-全程加成'!$C$6-'模拟-全程加成'!$C$3)*系数!$B$13)/系数!$B$3+LOOKUP(D533,'模拟-单技能数据'!$A$2:$A$19,'模拟-单技能数据'!$K$2:$K$19)+BG533*10%+IF(BV533&gt;0,378,0)</f>
        <v>0.51185145527300213</v>
      </c>
      <c r="I533" s="45">
        <f ca="1">'模拟-全程加成'!$J$3+'模拟-全程加成'!$J$4+'模拟-全程加成'!$J$5+('模拟-全程加成'!$I$4+'模拟-全程加成'!$I$5)/系数!$B$4+LOOKUP(D533,'模拟-单技能数据'!$A$2:$A$19,'模拟-单技能数据'!$L$2:$L$19)+BG533*10%</f>
        <v>2.162482885499879</v>
      </c>
      <c r="J533" s="45">
        <f ca="1">(('模拟-全程加成'!$K$3+'模拟-全程加成'!$K$4+'模拟-全程加成'!$K$5+('模拟-全程加成'!$C$6-'模拟-全程加成'!$C$3)*系数!$B$10+IF(BV533&gt;0,882,0)+IF(BY533&gt;0,1831,0))*(1+'模拟-全程加成'!$L$4+'模拟-全程加成'!$L$5+CC533*20%))/系数!$B$5</f>
        <v>0.69723220422048726</v>
      </c>
      <c r="K533" s="119">
        <f ca="1">LOOKUP(D533,'模拟-单技能数据'!$A$2:$A$19,'模拟-单技能数据'!$J$2:$J$19)+IF(CM533,60%,0)+IF(DB532-DB533&gt;0,30%,0)+IF(OR(AND(OR(C533="赤日轮1",C533="赤日轮2",C533="赤日轮3"),CR533),AND(OR(C533="幽月轮1",C533="幽月轮2",C533="幽月轮3"),CS533)),35%,0)+CJ533</f>
        <v>0.14000000000000001</v>
      </c>
      <c r="L533" s="119">
        <f ca="1">IF(AND(C533="烈日斩",模拟模式!$X$11=1),10%,0)+IF(AND(C533="驱夜断愁",AB533=1),30%,0)</f>
        <v>0.3</v>
      </c>
      <c r="M533" s="45">
        <f t="shared" ca="1" si="465"/>
        <v>0.51185145527300213</v>
      </c>
      <c r="N533" s="45">
        <f t="shared" ca="1" si="466"/>
        <v>0.43424854472699792</v>
      </c>
      <c r="O533" s="46">
        <f t="shared" ca="1" si="434"/>
        <v>0.33328984585961463</v>
      </c>
      <c r="P533" s="46" t="str">
        <f t="shared" ca="1" si="435"/>
        <v>会</v>
      </c>
      <c r="Q533" s="45">
        <f t="shared" ca="1" si="436"/>
        <v>2.162482885499879</v>
      </c>
      <c r="R533" s="117">
        <f ca="1">模拟模式!$E$20*(1-IF(模拟模式!$J$19="有",0.15,0))*(1-IF(模拟模式!$K$19="有",0.3,0)-IF(CQ533,0.5,0))</f>
        <v>843.02999999999975</v>
      </c>
      <c r="S533" s="45">
        <f ca="1">R533/(R533+(185*模拟模式!$E$22-16800)*4.08224)</f>
        <v>8.389626085980037E-2</v>
      </c>
      <c r="T533" s="45" t="str">
        <f ca="1">LOOKUP(D533,'模拟-单技能数据'!$A$2:$A$19,'模拟-单技能数据'!$H$2:$H$19)</f>
        <v>阴</v>
      </c>
      <c r="U533" s="119">
        <f t="shared" ca="1" si="467"/>
        <v>0.08</v>
      </c>
      <c r="V533" s="47">
        <f ca="1">(1+L533)*(LOOKUP(D533,'模拟-单技能数据'!$A$2:$A$19,'模拟-单技能数据'!$D$2:$D$19)+G533*LOOKUP(D533,'模拟-单技能数据'!$A$2:$A$19,'模拟-单技能数据'!$F$2:$F$19))*(1+J533)*(1+K533)*(1-S533)*(1+U533)*Q533*LOOKUP(D533,'模拟-单技能数据'!$A$2:$A$19,'模拟-单技能数据'!$I$2:$I$20)</f>
        <v>127463.41908070058</v>
      </c>
      <c r="W533" s="47">
        <f ca="1">LOOKUP(D533,'模拟-单技能数据'!$A$2:$A$19,'模拟-单技能数据'!$G$2:$G$19)*$I$10</f>
        <v>723.0212870940959</v>
      </c>
      <c r="X533" s="47">
        <f t="shared" ca="1" si="437"/>
        <v>25101.867467669974</v>
      </c>
      <c r="Y533" s="47">
        <f t="shared" ca="1" si="468"/>
        <v>153288.30783546466</v>
      </c>
      <c r="Z533" s="49">
        <f t="shared" ca="1" si="469"/>
        <v>52995217.006884776</v>
      </c>
      <c r="AA533" s="97">
        <f t="shared" ca="1" si="470"/>
        <v>113532.39072995966</v>
      </c>
      <c r="AB533" s="115">
        <f ca="1">IF(OR(C533="赤日轮1",C533="赤日轮2",C533="赤日轮3"),IF(RAND()&lt;模拟模式!$Y$17,1,0),IF(OR(C533="幽月轮1",C533="幽月轮2",C533="幽月轮3"),IF(RAND()&lt;模拟模式!$Y$18,1,0),IF(C533="烈日斩",IF(RAND()&lt;模拟模式!$Y$19,1,0),IF(C533="银月斩",IF(RAND()&lt;模拟模式!$Y$20,1,0),IF(C533="驱夜断愁",IF(RAND()&lt;模拟模式!$Y$21,1,0),IF(C533="净世破魔击·日",IF(RAND()&lt;模拟模式!$Y$22,1,0),IF(C533="净世破魔击·月",IF(RAND()&lt;模拟模式!$Y$23,1,0),0)))))))</f>
        <v>1</v>
      </c>
      <c r="AC533" s="115" t="b">
        <f t="shared" ca="1" si="458"/>
        <v>0</v>
      </c>
      <c r="AD533" s="115" t="b">
        <f t="shared" ca="1" si="478"/>
        <v>0</v>
      </c>
      <c r="AE533" s="115">
        <f t="shared" ca="1" si="479"/>
        <v>5</v>
      </c>
      <c r="AF533" s="47">
        <f ca="1">IF(AC533,('模拟-单技能数据'!$D$20+G533*'模拟-单技能数据'!$F$20)*(1+J533)*(1+'模拟-单技能数据'!$J$20)*(1+U533),0)</f>
        <v>0</v>
      </c>
      <c r="AG533" s="61">
        <f t="shared" ca="1" si="471"/>
        <v>0.64185145527300214</v>
      </c>
      <c r="AH533" s="61">
        <f t="shared" ca="1" si="472"/>
        <v>2.2624828854998791</v>
      </c>
      <c r="AI533" s="62">
        <f t="shared" ca="1" si="438"/>
        <v>9.6591532559435866E-2</v>
      </c>
      <c r="AJ533" s="47">
        <f ca="1">IF(AD533,IF(AI533&lt;$F$10,0,IF(AI533&lt;$F$10+$F$11,0.25,IF(AI533&lt;$F$10+$F$11+AG533,AH533,1)))*IF(AF533&gt;0,AF533,IF(AF532&gt;0,AF532,IF(AF531&gt;0,AF531,IF(AF530&gt;0,AF530,IF(AF529&gt;0,AF529,IF(AF528&gt;0,AF528,IF(AF527&gt;0,AF527,IF(AF526&gt;0,AF526,IF(AF525&gt;0,AF525,IF(AF523&gt;0,AF523,IF(AF522&gt;0,AF522,IF(AF521&gt;0,AF521,0)))))))))))),0)*(1-$S533)*'模拟-单技能数据'!$I$20</f>
        <v>0</v>
      </c>
      <c r="AK533" s="115" t="b">
        <f t="shared" ca="1" si="459"/>
        <v>0</v>
      </c>
      <c r="AL533" s="115" t="b">
        <f t="shared" ca="1" si="480"/>
        <v>1</v>
      </c>
      <c r="AM533" s="115">
        <f t="shared" ca="1" si="481"/>
        <v>4</v>
      </c>
      <c r="AN533" s="47">
        <f ca="1">IF(AK533,('模拟-单技能数据'!$D$21+G533*'模拟-单技能数据'!$F$21)*(1+J533)*(1+'模拟-单技能数据'!$J$21)*(1+U533),0)</f>
        <v>0</v>
      </c>
      <c r="AO533" s="61">
        <f ca="1">IF(AN533&gt;0,M533-'模拟-单技能数据'!$K$10,AO532)</f>
        <v>0.42185145527300216</v>
      </c>
      <c r="AP533" s="61">
        <f ca="1">IF(AN533&gt;0,I533-'模拟-单技能数据'!$L$10,AP532)</f>
        <v>2.162482885499879</v>
      </c>
      <c r="AQ533" s="63">
        <f t="shared" ca="1" si="439"/>
        <v>0.27195267196853579</v>
      </c>
      <c r="AR533" s="64">
        <f ca="1">IF(AL533,IF(AQ533&lt;$F$10,0,IF(AQ533&lt;$F$10+$F$11,0.25,IF(AQ533&lt;$F$10+$F$11+AO533,AP533,1)))*IF(AN533&gt;0,AN533,IF(AN532&gt;0,AN532,IF(AN531&gt;0,AN531,IF(AN530&gt;0,AN530,IF(AN529&gt;0,AN529,IF(AN528&gt;0,AN528,IF(AN527&gt;0,AN527,IF(AN526&gt;0,AN526,IF(AN525&gt;0,AN525,IF(AN523&gt;0,AN523,IF(AN522&gt;0,AN522,IF(AN521&gt;0,AN521,0)))))))))))),0)*(1-$S533)*'模拟-单技能数据'!$I$21</f>
        <v>25101.867467669974</v>
      </c>
      <c r="AS533" s="61">
        <f ca="1">IF(OR(C533="净世破魔击·日",C533="净世破魔击·月"),M533-'模拟-单技能数据'!$K$10,0)</f>
        <v>0</v>
      </c>
      <c r="AT533" s="61">
        <f ca="1">IF(OR(C533="净世破魔击·日",C533="净世破魔击·月"),I533-'模拟-单技能数据'!$L$10,0)</f>
        <v>0</v>
      </c>
      <c r="AU533" s="62">
        <f t="shared" ca="1" si="440"/>
        <v>2.7251873319657172E-2</v>
      </c>
      <c r="AV533" s="64">
        <f ca="1">IF(AS533&gt;0,('模拟-单技能数据'!$D$22+G533*'模拟-单技能数据'!$F$22)*(1+J533)*(1-S533)*IF(AU533&lt;$F$10,0,IF(AU533&lt;$F$10+$F$11,0.25,IF(AU533&lt;$F$10+$F$11+AS533,AT533,1)))*(1+U533),0)*'模拟-单技能数据'!$I$22</f>
        <v>0</v>
      </c>
      <c r="AW533" s="108">
        <f t="shared" ca="1" si="441"/>
        <v>0</v>
      </c>
      <c r="AX533" s="108" t="b">
        <f ca="1">AND(模拟模式!$P$10="有",AW532=0,RAND()&lt;IF(C533="净世破魔击·月",0.1*8/3,IF(C533="净世破魔击·日",0.1*4/3,0.1*2/3)))</f>
        <v>0</v>
      </c>
      <c r="AY533" s="47">
        <f ca="1">IF(AX533,(18+G533*0.722)*(1+J533)*(1-S533)*(1+$I$4)*IF(P533="会",'模拟-全程加成'!$J$3+'模拟-全程加成'!$J$4+'模拟-全程加成'!$J$5+('模拟-全程加成'!$I$4+'模拟-全程加成'!$I$5)/系数!$B$4+BG533*10%,IF(P533="命",1,IF(P533="识",0.25,0))),0)</f>
        <v>0</v>
      </c>
      <c r="AZ533" s="108">
        <f t="shared" si="442"/>
        <v>0</v>
      </c>
      <c r="BA533" s="108" t="b">
        <f>AND(模拟模式!$Q$10="有",AZ532=0)</f>
        <v>0</v>
      </c>
      <c r="BB533" s="140">
        <f>IF(BA533,(0+G533*0.287)*(1+J533)*(1-S533)*(1+$I$4)*IF(P533="会",'模拟-全程加成'!$J$3+'模拟-全程加成'!$J$4+'模拟-全程加成'!$J$5+('模拟-全程加成'!$I$4+'模拟-全程加成'!$I$5)/系数!$B$4+BG533*10%,IF(P533="命",1,IF(P533="识",0.25,0))),0)</f>
        <v>0</v>
      </c>
      <c r="BC533" s="115" t="b">
        <f ca="1">AND(模拟模式!$R$7="伏明众生",E533=60,F533=20,DA533&lt;5,CZ532&lt;$F$4)</f>
        <v>0</v>
      </c>
      <c r="BD533" s="115">
        <f t="shared" ca="1" si="460"/>
        <v>0</v>
      </c>
      <c r="BE533" s="115" t="b">
        <f t="shared" ca="1" si="461"/>
        <v>0</v>
      </c>
      <c r="BF533" s="47">
        <f ca="1">IF(BC533,4*('模拟-单技能数据'!$D$24+G533*'模拟-单技能数据'!$F$24)*(1+J533)*(1+'模拟-单技能数据'!$J$24)*(1-S533)*(1+$I$3)*(('模拟-全程加成'!$J$3+'模拟-全程加成'!$J$4+'模拟-全程加成'!$J$5+('模拟-全程加成'!$I$4+'模拟-全程加成'!$I$5)/系数!$B$4+BG533*10%)*('模拟-全程加成'!$J$3+'模拟-全程加成'!$J$4+'模拟-全程加成'!$J$5+('模拟-全程加成'!$I$4+'模拟-全程加成'!$I$5)/系数!$B$4+BG533*10%)+(1-('模拟-全程加成'!$J$3+'模拟-全程加成'!$J$4+'模拟-全程加成'!$J$5+('模拟-全程加成'!$I$4+'模拟-全程加成'!$I$5)/系数!$B$4+BG533*10%)-$F$10-$F$11)+F519*0.25),0)*'模拟-单技能数据'!$I$24</f>
        <v>0</v>
      </c>
      <c r="BG533" s="115" t="b">
        <f ca="1">OR(AND(OR(C533="烈日斩",C533="银月斩"),模拟模式!$I$7="净身明礼"),AND(C533="净世破魔击·日",模拟模式!$J$7="洞若观火"),AND(C534="净世破魔击·月",模拟模式!$J$7="洞若观火"),AB533=1)</f>
        <v>1</v>
      </c>
      <c r="BH533" s="115" t="b">
        <f t="shared" ca="1" si="443"/>
        <v>0</v>
      </c>
      <c r="BI533" s="115">
        <f t="shared" ca="1" si="462"/>
        <v>0</v>
      </c>
      <c r="BJ533" s="115" t="b">
        <f t="shared" ca="1" si="473"/>
        <v>0</v>
      </c>
      <c r="BK533" s="115" t="b">
        <f ca="1">AND(C533="驱夜断愁",模拟模式!$P$7="天地诛戮")</f>
        <v>1</v>
      </c>
      <c r="BL533" s="57">
        <f t="shared" ca="1" si="463"/>
        <v>20</v>
      </c>
      <c r="BM533" s="115" t="b">
        <f t="shared" ca="1" si="474"/>
        <v>1</v>
      </c>
      <c r="BN533" s="115" t="b">
        <f ca="1">AND(OR(C533="赤日轮1",C533="赤日轮2",C533="赤日轮3",C533="幽月轮1",C533="幽月轮2",C533="幽月轮3"),AB533=1,模拟模式!$L$7="明光恒照")</f>
        <v>0</v>
      </c>
      <c r="BO533" s="117">
        <f t="shared" ca="1" si="464"/>
        <v>25.387500000000003</v>
      </c>
      <c r="BP533" s="115">
        <f t="shared" ca="1" si="444"/>
        <v>6</v>
      </c>
      <c r="BQ533" s="115" t="b">
        <f>模拟模式!$K$10="2600·水"</f>
        <v>0</v>
      </c>
      <c r="BR533" s="117">
        <f t="shared" si="445"/>
        <v>0</v>
      </c>
      <c r="BS533" s="115">
        <f t="shared" si="446"/>
        <v>0</v>
      </c>
      <c r="BT533" s="115">
        <f t="shared" ca="1" si="447"/>
        <v>0</v>
      </c>
      <c r="BU533" s="115" t="b">
        <f ca="1">AND(模拟模式!$K$10="2300·雷",BT532=0,RAND()&lt;IF(C533="净世破魔击·月",5*0.05*2/3,IF(C533="净世破魔击·日",3*0.05*2/3,0.05*2*2/3)))</f>
        <v>0</v>
      </c>
      <c r="BV533" s="115">
        <f t="shared" ca="1" si="448"/>
        <v>0</v>
      </c>
      <c r="BW533" s="115">
        <f t="shared" ca="1" si="449"/>
        <v>88.67249999999926</v>
      </c>
      <c r="BX533" s="164" t="b">
        <f t="shared" ca="1" si="450"/>
        <v>0</v>
      </c>
      <c r="BY533" s="115">
        <f t="shared" ca="1" si="451"/>
        <v>0</v>
      </c>
      <c r="BZ533" s="115">
        <f>IF(OR(模拟模式!$P$16="10人团",模拟模式!$P$16="25人团"),IF(B533/30&gt;CA532,1,0),0)</f>
        <v>0</v>
      </c>
      <c r="CA533" s="115">
        <f t="shared" si="427"/>
        <v>0</v>
      </c>
      <c r="CB533" s="115">
        <f ca="1">IF(BZ533=1,IF(模拟模式!$P$16="10人团",15,0)+IF(模拟模式!$P$16="25人团",IF(RAND()&lt;0.6,15,0)),MAX(0,CB532-$F$4))</f>
        <v>0</v>
      </c>
      <c r="CC533" s="115" t="b">
        <f t="shared" ca="1" si="475"/>
        <v>0</v>
      </c>
      <c r="CD533" s="115">
        <f>IF(模拟模式!$Q$16="1个",IF(B533/40&gt;CE532,1,0),0)</f>
        <v>0</v>
      </c>
      <c r="CE533" s="115">
        <f t="shared" si="476"/>
        <v>0</v>
      </c>
      <c r="CF533" s="115">
        <f>IF(OR(CD533=1,模拟模式!$Q$16="2个"),20,MAX(0,CF532-$F$4))</f>
        <v>0</v>
      </c>
      <c r="CG533" s="115" t="b">
        <f t="shared" si="477"/>
        <v>0</v>
      </c>
      <c r="CH533" s="115">
        <f t="shared" ca="1" si="452"/>
        <v>9.7050000000000125</v>
      </c>
      <c r="CI533" s="115" t="b">
        <f t="shared" ca="1" si="453"/>
        <v>0</v>
      </c>
      <c r="CJ533" s="119">
        <f t="shared" ca="1" si="454"/>
        <v>0</v>
      </c>
      <c r="CK533" s="115">
        <f t="shared" ca="1" si="455"/>
        <v>0</v>
      </c>
      <c r="CL533" s="115" t="b">
        <f ca="1">AND(模拟模式!$S$7="驱夷逐法",OR(AND(C533="净世破魔击·月",E532&gt;59),AND(C533="净世破魔击·日",F532&gt;59)))</f>
        <v>0</v>
      </c>
      <c r="CM533" s="115" t="b">
        <f ca="1">OR(CL533,AND(C533="净世破魔击·日",CL532,RAND()&lt;模拟模式!$U$23))</f>
        <v>0</v>
      </c>
      <c r="CN533" s="115" t="b">
        <f ca="1">IF(模拟模式!$M$7="辉耀红尘",AND(C533="净世破魔击·月",CL533,CV533=0,E532&lt;80),AND(C533="净世破魔击·月",CL533,E532&lt;100))</f>
        <v>0</v>
      </c>
      <c r="CO533" s="115" t="b">
        <f t="shared" ca="1" si="428"/>
        <v>0</v>
      </c>
      <c r="CP533" s="115" t="b">
        <f ca="1">AND(模拟模式!$O$7="用晦而明",OR(C533="净世破魔击·日",C533="净世破魔击·月",C533="驱夜断愁"),AB533)</f>
        <v>1</v>
      </c>
      <c r="CQ533" s="115" t="b">
        <f ca="1">OR(CP533,AND(CP532,RAND()&lt;模拟模式!$U$23))</f>
        <v>1</v>
      </c>
      <c r="CR533" s="115" t="b">
        <f ca="1">AND(模拟模式!$S$7="日月齐光",OR(C533="幽月轮1",C533="幽月轮2",C533="幽月轮3",CR532),NOT(OR(C533="赤日轮1",C533="赤日轮2",C533="赤日轮3")))</f>
        <v>0</v>
      </c>
      <c r="CS533" s="115" t="b">
        <f ca="1">AND(模拟模式!$S$7="日月齐光",OR(C533="赤日轮1",C533="赤日轮2",C533="赤日轮3",CS532),NOT(OR(C533="幽月轮1",C533="幽月轮2",C533="幽月轮3")))</f>
        <v>0</v>
      </c>
      <c r="CT533" s="115">
        <f t="shared" ca="1" si="456"/>
        <v>0</v>
      </c>
      <c r="CU533" s="115" t="b">
        <f ca="1">AND(模拟模式!$K$10="阴阳往极",CT532=0,RAND()&lt;IF(C533="净世破魔击·月",0.0275*7/3,IF(C533="净世破魔击·日",0.0275*3/3,0.0275*2/3)))</f>
        <v>0</v>
      </c>
      <c r="CV533" s="115">
        <f t="shared" ca="1" si="457"/>
        <v>0</v>
      </c>
      <c r="CW533" s="115">
        <f t="shared" ca="1" si="429"/>
        <v>0.46499999999999975</v>
      </c>
      <c r="CX533" s="115">
        <f t="shared" ca="1" si="430"/>
        <v>5.0774999999999997</v>
      </c>
      <c r="CY533" s="115">
        <f ca="1">MAX(IF($C533="驱夜断愁",IF(模拟模式!$R$7="万念俱寂",6,45),CY532-$F$4),0)</f>
        <v>6</v>
      </c>
      <c r="CZ533" s="115">
        <f t="shared" ca="1" si="431"/>
        <v>0</v>
      </c>
      <c r="DA533" s="115">
        <f ca="1">IF(模拟模式!$N$7="日月同辉",IF(DB532=2,0,MIN(6,IF(AND(OR(C533="赤日轮1",C533="赤日轮2",C533="赤日轮3",C533="幽月轮1",C533="幽月轮2",C533="幽月轮3"),AB533=1),DA532+1,DA532))),0)</f>
        <v>0</v>
      </c>
      <c r="DB533" s="115">
        <f t="shared" ca="1" si="432"/>
        <v>0</v>
      </c>
      <c r="DC533" s="115"/>
      <c r="DD533" s="115"/>
      <c r="DE533" s="115"/>
      <c r="DF533" s="115"/>
      <c r="DG533" s="115"/>
      <c r="DH533" s="115"/>
      <c r="DI533" s="115"/>
      <c r="DJ533" s="115"/>
      <c r="DK533" s="115"/>
      <c r="DL533" s="115"/>
      <c r="DM533" s="115"/>
    </row>
    <row r="534" spans="2:117" x14ac:dyDescent="0.2">
      <c r="B534" s="117">
        <f t="shared" si="433"/>
        <v>467.70750000000493</v>
      </c>
      <c r="C534" s="167" t="str">
        <f t="shared" ca="1" si="426"/>
        <v>烈日斩</v>
      </c>
      <c r="D534" s="115">
        <f ca="1">IF(C534="赤日轮1",1,IF(C534="赤日轮2",2,IF(C534="赤日轮3",3,IF(C534="幽月轮1",4,IF(C534="幽月轮2",5,IF(C534="幽月轮3",6,IF(C534="烈日斩",7,IF(C534="银月斩",8,IF(C534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534="净世破魔击·月",17,IF(C534="驱夜断愁",18,0)))))))))))</f>
        <v>7</v>
      </c>
      <c r="E534" s="115">
        <f ca="1">IF(AND(CU534,OR(C534="幽月轮1",C534="幽月轮2",C534="幽月轮3",C534="银月斩",C534="驱夜断愁",C534="净世破魔击·月")),100,MIN(IF(OR(CN534,BE534),0,IF(OR($C534="赤日轮1",$C534="赤日轮2",$C534="赤日轮3"),E533+20+IF(模拟模式!$I$7="日月凌天",4,0)+IF(CR533,20,0),IF($C534="烈日斩",E533+40,IF($C534="驱夜断愁",IF(模拟模式!$R$7="万念俱寂",E533+20,E533+60),IF($C534="净世破魔击·月",IF(OR(DB533&gt;0,CV533&gt;0),100,IF(模拟模式!$M$7="辉耀红尘",E533+20,E533)),IF($C534="净世破魔击·日",E533-100,E533)))))),100))</f>
        <v>80</v>
      </c>
      <c r="F534" s="115">
        <f ca="1">IF(AND(CU534,OR(C534="赤日轮1",C534="赤日轮2",C534="赤日轮3",C534="烈日斩",C534="净世破魔击·日")),100,MIN(IF(CO534,0,IF(OR($C534="幽月轮1",$C534="幽月轮2",$C534="幽月轮3"),F533+20+IF(模拟模式!$I$7="日月凌天",4,0)+IF(CS533,20,0),IF($C534="银月斩",F533+40+IF(模拟模式!$X$12=1,5,0),IF($C534="驱夜断愁",IF(模拟模式!$R$7="万念俱寂",F533+20,F533+60),IF($C534="净世破魔击·月",IF(模拟模式!$M$7="辉耀红尘",F533-80,F533-100),IF(AND(C534="净世破魔击·日",OR(DB533&gt;0,CV533&gt;0)),100,F533)))))),100))</f>
        <v>85</v>
      </c>
      <c r="G534" s="117">
        <f ca="1">('模拟-全程加成'!$E$3+'模拟-全程加成'!$E$4+'模拟-全程加成'!$E$5+('模拟-全程加成'!$C$6-'模拟-全程加成'!$C$3)*系数!$B$9+BS534*23)*(1+'模拟-全程加成'!$F$4+'模拟-全程加成'!$F$5+BJ534*10%+BM534*20%+BP534*4%+CG534*30%)+$F$7*系数!$B$12</f>
        <v>21493.829400000002</v>
      </c>
      <c r="H534" s="45">
        <f ca="1">'模拟-全程加成'!$H$3+'模拟-全程加成'!$H$4+'模拟-全程加成'!$H$5+('模拟-全程加成'!$G$4+'模拟-全程加成'!$G$5+('模拟-全程加成'!$C$6-'模拟-全程加成'!$C$3)*系数!$B$13)/系数!$B$3+LOOKUP(D534,'模拟-单技能数据'!$A$2:$A$19,'模拟-单技能数据'!$K$2:$K$19)+BG534*10%+IF(BV534&gt;0,378,0)</f>
        <v>0.56185145527300218</v>
      </c>
      <c r="I534" s="45">
        <f ca="1">'模拟-全程加成'!$J$3+'模拟-全程加成'!$J$4+'模拟-全程加成'!$J$5+('模拟-全程加成'!$I$4+'模拟-全程加成'!$I$5)/系数!$B$4+LOOKUP(D534,'模拟-单技能数据'!$A$2:$A$19,'模拟-单技能数据'!$L$2:$L$19)+BG534*10%</f>
        <v>2.2624828854998791</v>
      </c>
      <c r="J534" s="45">
        <f ca="1">(('模拟-全程加成'!$K$3+'模拟-全程加成'!$K$4+'模拟-全程加成'!$K$5+('模拟-全程加成'!$C$6-'模拟-全程加成'!$C$3)*系数!$B$10+IF(BV534&gt;0,882,0)+IF(BY534&gt;0,1831,0))*(1+'模拟-全程加成'!$L$4+'模拟-全程加成'!$L$5+CC534*20%))/系数!$B$5</f>
        <v>0.69723220422048726</v>
      </c>
      <c r="K534" s="119">
        <f ca="1">LOOKUP(D534,'模拟-单技能数据'!$A$2:$A$19,'模拟-单技能数据'!$J$2:$J$19)+IF(CM534,60%,0)+IF(DB533-DB534&gt;0,30%,0)+IF(OR(AND(OR(C534="赤日轮1",C534="赤日轮2",C534="赤日轮3"),CR534),AND(OR(C534="幽月轮1",C534="幽月轮2",C534="幽月轮3"),CS534)),35%,0)+CJ534</f>
        <v>0.24</v>
      </c>
      <c r="L534" s="119">
        <f ca="1">IF(AND(C534="烈日斩",模拟模式!$X$11=1),10%,0)+IF(AND(C534="驱夜断愁",AB534=1),30%,0)</f>
        <v>0.1</v>
      </c>
      <c r="M534" s="45">
        <f t="shared" ca="1" si="465"/>
        <v>0.56185145527300218</v>
      </c>
      <c r="N534" s="45">
        <f t="shared" ca="1" si="466"/>
        <v>0.38424854472699788</v>
      </c>
      <c r="O534" s="46">
        <f t="shared" ca="1" si="434"/>
        <v>0.93806046904039553</v>
      </c>
      <c r="P534" s="46" t="str">
        <f t="shared" ca="1" si="435"/>
        <v>命</v>
      </c>
      <c r="Q534" s="45">
        <f t="shared" ca="1" si="436"/>
        <v>1</v>
      </c>
      <c r="R534" s="117">
        <f ca="1">模拟模式!$E$20*(1-IF(模拟模式!$J$19="有",0.15,0))*(1-IF(模拟模式!$K$19="有",0.3,0)-IF(CQ534,0.5,0))</f>
        <v>843.02999999999975</v>
      </c>
      <c r="S534" s="45">
        <f ca="1">R534/(R534+(185*模拟模式!$E$22-16800)*4.08224)</f>
        <v>8.389626085980037E-2</v>
      </c>
      <c r="T534" s="45" t="str">
        <f ca="1">LOOKUP(D534,'模拟-单技能数据'!$A$2:$A$19,'模拟-单技能数据'!$H$2:$H$19)</f>
        <v>阳</v>
      </c>
      <c r="U534" s="119">
        <f t="shared" ca="1" si="467"/>
        <v>0.2</v>
      </c>
      <c r="V534" s="47">
        <f ca="1">(1+L534)*(LOOKUP(D534,'模拟-单技能数据'!$A$2:$A$19,'模拟-单技能数据'!$D$2:$D$19)+G534*LOOKUP(D534,'模拟-单技能数据'!$A$2:$A$19,'模拟-单技能数据'!$F$2:$F$19))*(1+J534)*(1+K534)*(1-S534)*(1+U534)*Q534*LOOKUP(D534,'模拟-单技能数据'!$A$2:$A$19,'模拟-单技能数据'!$I$2:$I$20)</f>
        <v>48841.631854871324</v>
      </c>
      <c r="W534" s="47">
        <f ca="1">LOOKUP(D534,'模拟-单技能数据'!$A$2:$A$19,'模拟-单技能数据'!$G$2:$G$19)*$I$10</f>
        <v>361.51064354704795</v>
      </c>
      <c r="X534" s="47">
        <f t="shared" ca="1" si="437"/>
        <v>19975.35982403922</v>
      </c>
      <c r="Y534" s="47">
        <f t="shared" ca="1" si="468"/>
        <v>69178.502322457585</v>
      </c>
      <c r="Z534" s="49">
        <f t="shared" ca="1" si="469"/>
        <v>53064395.509207234</v>
      </c>
      <c r="AA534" s="97">
        <f t="shared" ca="1" si="470"/>
        <v>113456.37072145876</v>
      </c>
      <c r="AB534" s="115">
        <f ca="1">IF(OR(C534="赤日轮1",C534="赤日轮2",C534="赤日轮3"),IF(RAND()&lt;模拟模式!$Y$17,1,0),IF(OR(C534="幽月轮1",C534="幽月轮2",C534="幽月轮3"),IF(RAND()&lt;模拟模式!$Y$18,1,0),IF(C534="烈日斩",IF(RAND()&lt;模拟模式!$Y$19,1,0),IF(C534="银月斩",IF(RAND()&lt;模拟模式!$Y$20,1,0),IF(C534="驱夜断愁",IF(RAND()&lt;模拟模式!$Y$21,1,0),IF(C534="净世破魔击·日",IF(RAND()&lt;模拟模式!$Y$22,1,0),IF(C534="净世破魔击·月",IF(RAND()&lt;模拟模式!$Y$23,1,0),0)))))))</f>
        <v>1</v>
      </c>
      <c r="AC534" s="115" t="b">
        <f t="shared" ca="1" si="458"/>
        <v>0</v>
      </c>
      <c r="AD534" s="115" t="b">
        <f t="shared" ca="1" si="478"/>
        <v>1</v>
      </c>
      <c r="AE534" s="115">
        <f t="shared" ca="1" si="479"/>
        <v>4</v>
      </c>
      <c r="AF534" s="47">
        <f ca="1">IF(AC534,('模拟-单技能数据'!$D$20+G534*'模拟-单技能数据'!$F$20)*(1+J534)*(1+'模拟-单技能数据'!$J$20)*(1+U534),0)</f>
        <v>0</v>
      </c>
      <c r="AG534" s="61">
        <f t="shared" ca="1" si="471"/>
        <v>0.64185145527300214</v>
      </c>
      <c r="AH534" s="61">
        <f t="shared" ca="1" si="472"/>
        <v>2.2624828854998791</v>
      </c>
      <c r="AI534" s="62">
        <f t="shared" ca="1" si="438"/>
        <v>9.3488816991433188E-2</v>
      </c>
      <c r="AJ534" s="47">
        <f ca="1">IF(AD534,IF(AI534&lt;$F$10,0,IF(AI534&lt;$F$10+$F$11,0.25,IF(AI534&lt;$F$10+$F$11+AG534,AH534,1)))*IF(AF534&gt;0,AF534,IF(AF533&gt;0,AF533,IF(AF532&gt;0,AF532,IF(AF531&gt;0,AF531,IF(AF530&gt;0,AF530,IF(AF529&gt;0,AF529,IF(AF528&gt;0,AF528,IF(AF527&gt;0,AF527,IF(AF526&gt;0,AF526,IF(AF524&gt;0,AF524,IF(AF523&gt;0,AF523,IF(AF522&gt;0,AF522,0)))))))))))),0)*(1-$S534)*'模拟-单技能数据'!$I$20</f>
        <v>9616.6571145767884</v>
      </c>
      <c r="AK534" s="115" t="b">
        <f t="shared" ca="1" si="459"/>
        <v>0</v>
      </c>
      <c r="AL534" s="115" t="b">
        <f t="shared" ca="1" si="480"/>
        <v>0</v>
      </c>
      <c r="AM534" s="115">
        <f t="shared" ca="1" si="481"/>
        <v>4</v>
      </c>
      <c r="AN534" s="47">
        <f ca="1">IF(AK534,('模拟-单技能数据'!$D$21+G534*'模拟-单技能数据'!$F$21)*(1+J534)*(1+'模拟-单技能数据'!$J$21)*(1+U534),0)</f>
        <v>0</v>
      </c>
      <c r="AO534" s="61">
        <f ca="1">IF(AN534&gt;0,M534-'模拟-单技能数据'!$K$10,AO533)</f>
        <v>0.42185145527300216</v>
      </c>
      <c r="AP534" s="61">
        <f ca="1">IF(AN534&gt;0,I534-'模拟-单技能数据'!$L$10,AP533)</f>
        <v>2.162482885499879</v>
      </c>
      <c r="AQ534" s="63">
        <f t="shared" ca="1" si="439"/>
        <v>0.71144406353832823</v>
      </c>
      <c r="AR534" s="64">
        <f ca="1">IF(AL534,IF(AQ534&lt;$F$10,0,IF(AQ534&lt;$F$10+$F$11,0.25,IF(AQ534&lt;$F$10+$F$11+AO534,AP534,1)))*IF(AN534&gt;0,AN534,IF(AN533&gt;0,AN533,IF(AN532&gt;0,AN532,IF(AN531&gt;0,AN531,IF(AN530&gt;0,AN530,IF(AN529&gt;0,AN529,IF(AN528&gt;0,AN528,IF(AN527&gt;0,AN527,IF(AN526&gt;0,AN526,IF(AN524&gt;0,AN524,IF(AN523&gt;0,AN523,IF(AN522&gt;0,AN522,0)))))))))))),0)*(1-$S534)*'模拟-单技能数据'!$I$21</f>
        <v>0</v>
      </c>
      <c r="AS534" s="61">
        <f ca="1">IF(OR(C534="净世破魔击·日",C534="净世破魔击·月"),M534-'模拟-单技能数据'!$K$10,0)</f>
        <v>0</v>
      </c>
      <c r="AT534" s="61">
        <f ca="1">IF(OR(C534="净世破魔击·日",C534="净世破魔击·月"),I534-'模拟-单技能数据'!$L$10,0)</f>
        <v>0</v>
      </c>
      <c r="AU534" s="62">
        <f t="shared" ca="1" si="440"/>
        <v>1.7256431037596665E-2</v>
      </c>
      <c r="AV534" s="64">
        <f ca="1">IF(AS534&gt;0,('模拟-单技能数据'!$D$22+G534*'模拟-单技能数据'!$F$22)*(1+J534)*(1-S534)*IF(AU534&lt;$F$10,0,IF(AU534&lt;$F$10+$F$11,0.25,IF(AU534&lt;$F$10+$F$11+AS534,AT534,1)))*(1+U534),0)*'模拟-单技能数据'!$I$22</f>
        <v>0</v>
      </c>
      <c r="AW534" s="108">
        <f t="shared" ca="1" si="441"/>
        <v>0</v>
      </c>
      <c r="AX534" s="108" t="b">
        <f ca="1">AND(模拟模式!$P$10="有",AW533=0,RAND()&lt;IF(C534="净世破魔击·月",0.1*8/3,IF(C534="净世破魔击·日",0.1*4/3,0.1*2/3)))</f>
        <v>0</v>
      </c>
      <c r="AY534" s="47">
        <f ca="1">IF(AX534,(18+G534*0.722)*(1+J534)*(1-S534)*(1+$I$4)*IF(P534="会",'模拟-全程加成'!$J$3+'模拟-全程加成'!$J$4+'模拟-全程加成'!$J$5+('模拟-全程加成'!$I$4+'模拟-全程加成'!$I$5)/系数!$B$4+BG534*10%,IF(P534="命",1,IF(P534="识",0.25,0))),0)</f>
        <v>0</v>
      </c>
      <c r="AZ534" s="108">
        <f t="shared" si="442"/>
        <v>19.077500000000001</v>
      </c>
      <c r="BA534" s="108" t="b">
        <f>AND(模拟模式!$Q$10="有",AZ533=0)</f>
        <v>1</v>
      </c>
      <c r="BB534" s="140">
        <f ca="1">IF(BA534,(0+G534*0.287)*(1+J534)*(1-S534)*(1+$I$4)*IF(P534="会",'模拟-全程加成'!$J$3+'模拟-全程加成'!$J$4+'模拟-全程加成'!$J$5+('模拟-全程加成'!$I$4+'模拟-全程加成'!$I$5)/系数!$B$4+BG534*10%,IF(P534="命",1,IF(P534="识",0.25,0))),0)</f>
        <v>10358.702709462432</v>
      </c>
      <c r="BC534" s="115" t="b">
        <f ca="1">AND(模拟模式!$R$7="伏明众生",E534=60,F534=20,DA534&lt;5,CZ533&lt;$F$4)</f>
        <v>0</v>
      </c>
      <c r="BD534" s="115">
        <f t="shared" ca="1" si="460"/>
        <v>0</v>
      </c>
      <c r="BE534" s="115" t="b">
        <f t="shared" ca="1" si="461"/>
        <v>0</v>
      </c>
      <c r="BF534" s="47">
        <f ca="1">IF(BC534,4*('模拟-单技能数据'!$D$24+G534*'模拟-单技能数据'!$F$24)*(1+J534)*(1+'模拟-单技能数据'!$J$24)*(1-S534)*(1+$I$3)*(('模拟-全程加成'!$J$3+'模拟-全程加成'!$J$4+'模拟-全程加成'!$J$5+('模拟-全程加成'!$I$4+'模拟-全程加成'!$I$5)/系数!$B$4+BG534*10%)*('模拟-全程加成'!$J$3+'模拟-全程加成'!$J$4+'模拟-全程加成'!$J$5+('模拟-全程加成'!$I$4+'模拟-全程加成'!$I$5)/系数!$B$4+BG534*10%)+(1-('模拟-全程加成'!$J$3+'模拟-全程加成'!$J$4+'模拟-全程加成'!$J$5+('模拟-全程加成'!$I$4+'模拟-全程加成'!$I$5)/系数!$B$4+BG534*10%)-$F$10-$F$11)+F520*0.25),0)*'模拟-单技能数据'!$I$24</f>
        <v>0</v>
      </c>
      <c r="BG534" s="115" t="b">
        <f ca="1">OR(AND(OR(C534="烈日斩",C534="银月斩"),模拟模式!$I$7="净身明礼"),AND(C534="净世破魔击·日",模拟模式!$J$7="洞若观火"),AND(C535="净世破魔击·月",模拟模式!$J$7="洞若观火"),AB534=1)</f>
        <v>1</v>
      </c>
      <c r="BH534" s="115" t="b">
        <f t="shared" ca="1" si="443"/>
        <v>1</v>
      </c>
      <c r="BI534" s="115">
        <f t="shared" ca="1" si="462"/>
        <v>6</v>
      </c>
      <c r="BJ534" s="115" t="b">
        <f t="shared" ca="1" si="473"/>
        <v>1</v>
      </c>
      <c r="BK534" s="115" t="b">
        <f ca="1">AND(C534="驱夜断愁",模拟模式!$P$7="天地诛戮")</f>
        <v>0</v>
      </c>
      <c r="BL534" s="57">
        <f t="shared" ca="1" si="463"/>
        <v>19.077500000000001</v>
      </c>
      <c r="BM534" s="115" t="b">
        <f t="shared" ca="1" si="474"/>
        <v>1</v>
      </c>
      <c r="BN534" s="115" t="b">
        <f ca="1">AND(OR(C534="赤日轮1",C534="赤日轮2",C534="赤日轮3",C534="幽月轮1",C534="幽月轮2",C534="幽月轮3"),AB534=1,模拟模式!$L$7="明光恒照")</f>
        <v>0</v>
      </c>
      <c r="BO534" s="117">
        <f t="shared" ca="1" si="464"/>
        <v>24.465000000000003</v>
      </c>
      <c r="BP534" s="115">
        <f t="shared" ca="1" si="444"/>
        <v>6</v>
      </c>
      <c r="BQ534" s="115" t="b">
        <f>模拟模式!$K$10="2600·水"</f>
        <v>0</v>
      </c>
      <c r="BR534" s="117">
        <f t="shared" si="445"/>
        <v>0</v>
      </c>
      <c r="BS534" s="115">
        <f t="shared" si="446"/>
        <v>0</v>
      </c>
      <c r="BT534" s="115">
        <f t="shared" ca="1" si="447"/>
        <v>0</v>
      </c>
      <c r="BU534" s="115" t="b">
        <f ca="1">AND(模拟模式!$K$10="2300·雷",BT533=0,RAND()&lt;IF(C534="净世破魔击·月",5*0.05*2/3,IF(C534="净世破魔击·日",3*0.05*2/3,0.05*2*2/3)))</f>
        <v>0</v>
      </c>
      <c r="BV534" s="115">
        <f t="shared" ca="1" si="448"/>
        <v>0</v>
      </c>
      <c r="BW534" s="115">
        <f t="shared" ca="1" si="449"/>
        <v>87.749999999999261</v>
      </c>
      <c r="BX534" s="164" t="b">
        <f t="shared" ca="1" si="450"/>
        <v>0</v>
      </c>
      <c r="BY534" s="115">
        <f t="shared" ca="1" si="451"/>
        <v>0</v>
      </c>
      <c r="BZ534" s="115">
        <f>IF(OR(模拟模式!$P$16="10人团",模拟模式!$P$16="25人团"),IF(B534/30&gt;CA533,1,0),0)</f>
        <v>0</v>
      </c>
      <c r="CA534" s="115">
        <f t="shared" si="427"/>
        <v>0</v>
      </c>
      <c r="CB534" s="115">
        <f ca="1">IF(BZ534=1,IF(模拟模式!$P$16="10人团",15,0)+IF(模拟模式!$P$16="25人团",IF(RAND()&lt;0.6,15,0)),MAX(0,CB533-$F$4))</f>
        <v>0</v>
      </c>
      <c r="CC534" s="115" t="b">
        <f t="shared" ca="1" si="475"/>
        <v>0</v>
      </c>
      <c r="CD534" s="115">
        <f>IF(模拟模式!$Q$16="1个",IF(B534/40&gt;CE533,1,0),0)</f>
        <v>0</v>
      </c>
      <c r="CE534" s="115">
        <f t="shared" si="476"/>
        <v>0</v>
      </c>
      <c r="CF534" s="115">
        <f>IF(OR(CD534=1,模拟模式!$Q$16="2个"),20,MAX(0,CF533-$F$4))</f>
        <v>0</v>
      </c>
      <c r="CG534" s="115" t="b">
        <f t="shared" si="477"/>
        <v>0</v>
      </c>
      <c r="CH534" s="115">
        <f t="shared" ca="1" si="452"/>
        <v>8.7825000000000131</v>
      </c>
      <c r="CI534" s="115" t="b">
        <f t="shared" ca="1" si="453"/>
        <v>0</v>
      </c>
      <c r="CJ534" s="119">
        <f t="shared" ca="1" si="454"/>
        <v>0</v>
      </c>
      <c r="CK534" s="115">
        <f t="shared" ca="1" si="455"/>
        <v>0</v>
      </c>
      <c r="CL534" s="115" t="b">
        <f ca="1">AND(模拟模式!$S$7="驱夷逐法",OR(AND(C534="净世破魔击·月",E533&gt;59),AND(C534="净世破魔击·日",F533&gt;59)))</f>
        <v>0</v>
      </c>
      <c r="CM534" s="115" t="b">
        <f ca="1">OR(CL534,AND(C534="净世破魔击·日",CL533,RAND()&lt;模拟模式!$U$23))</f>
        <v>0</v>
      </c>
      <c r="CN534" s="115" t="b">
        <f ca="1">IF(模拟模式!$M$7="辉耀红尘",AND(C534="净世破魔击·月",CL534,CV534=0,E533&lt;80),AND(C534="净世破魔击·月",CL534,E533&lt;100))</f>
        <v>0</v>
      </c>
      <c r="CO534" s="115" t="b">
        <f t="shared" ca="1" si="428"/>
        <v>0</v>
      </c>
      <c r="CP534" s="115" t="b">
        <f ca="1">AND(模拟模式!$O$7="用晦而明",OR(C534="净世破魔击·日",C534="净世破魔击·月",C534="驱夜断愁"),AB534)</f>
        <v>0</v>
      </c>
      <c r="CQ534" s="115" t="b">
        <f ca="1">OR(CP534,AND(CP533,RAND()&lt;模拟模式!$U$23))</f>
        <v>1</v>
      </c>
      <c r="CR534" s="115" t="b">
        <f ca="1">AND(模拟模式!$S$7="日月齐光",OR(C534="幽月轮1",C534="幽月轮2",C534="幽月轮3",CR533),NOT(OR(C534="赤日轮1",C534="赤日轮2",C534="赤日轮3")))</f>
        <v>0</v>
      </c>
      <c r="CS534" s="115" t="b">
        <f ca="1">AND(模拟模式!$S$7="日月齐光",OR(C534="赤日轮1",C534="赤日轮2",C534="赤日轮3",CS533),NOT(OR(C534="幽月轮1",C534="幽月轮2",C534="幽月轮3")))</f>
        <v>0</v>
      </c>
      <c r="CT534" s="115">
        <f t="shared" ca="1" si="456"/>
        <v>0</v>
      </c>
      <c r="CU534" s="115" t="b">
        <f ca="1">AND(模拟模式!$K$10="阴阳往极",CT533=0,RAND()&lt;IF(C534="净世破魔击·月",0.0275*7/3,IF(C534="净世破魔击·日",0.0275*3/3,0.0275*2/3)))</f>
        <v>0</v>
      </c>
      <c r="CV534" s="115">
        <f t="shared" ca="1" si="457"/>
        <v>0</v>
      </c>
      <c r="CW534" s="115">
        <f t="shared" ca="1" si="429"/>
        <v>6</v>
      </c>
      <c r="CX534" s="115">
        <f t="shared" ca="1" si="430"/>
        <v>4.1549999999999994</v>
      </c>
      <c r="CY534" s="115">
        <f ca="1">MAX(IF($C534="驱夜断愁",IF(模拟模式!$R$7="万念俱寂",6,45),CY533-$F$4),0)</f>
        <v>5.0774999999999997</v>
      </c>
      <c r="CZ534" s="115">
        <f t="shared" ca="1" si="431"/>
        <v>0</v>
      </c>
      <c r="DA534" s="115">
        <f ca="1">IF(模拟模式!$N$7="日月同辉",IF(DB533=2,0,MIN(6,IF(AND(OR(C534="赤日轮1",C534="赤日轮2",C534="赤日轮3",C534="幽月轮1",C534="幽月轮2",C534="幽月轮3"),AB534=1),DA533+1,DA533))),0)</f>
        <v>0</v>
      </c>
      <c r="DB534" s="115">
        <f t="shared" ca="1" si="432"/>
        <v>0</v>
      </c>
      <c r="DC534" s="115"/>
      <c r="DD534" s="115"/>
      <c r="DE534" s="115"/>
      <c r="DF534" s="115"/>
      <c r="DG534" s="115"/>
      <c r="DH534" s="115"/>
      <c r="DI534" s="115"/>
      <c r="DJ534" s="115"/>
      <c r="DK534" s="115"/>
      <c r="DL534" s="115"/>
      <c r="DM534" s="115"/>
    </row>
    <row r="535" spans="2:117" x14ac:dyDescent="0.2">
      <c r="B535" s="117">
        <f t="shared" si="433"/>
        <v>468.63000000000494</v>
      </c>
      <c r="C535" s="167" t="str">
        <f t="shared" ca="1" si="426"/>
        <v>幽月轮1</v>
      </c>
      <c r="D535" s="115">
        <f ca="1">IF(C535="赤日轮1",1,IF(C535="赤日轮2",2,IF(C535="赤日轮3",3,IF(C535="幽月轮1",4,IF(C535="幽月轮2",5,IF(C535="幽月轮3",6,IF(C535="烈日斩",7,IF(C535="银月斩",8,IF(C535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535="净世破魔击·月",17,IF(C535="驱夜断愁",18,0)))))))))))</f>
        <v>4</v>
      </c>
      <c r="E535" s="115">
        <f ca="1">IF(AND(CU535,OR(C535="幽月轮1",C535="幽月轮2",C535="幽月轮3",C535="银月斩",C535="驱夜断愁",C535="净世破魔击·月")),100,MIN(IF(OR(CN535,BE535),0,IF(OR($C535="赤日轮1",$C535="赤日轮2",$C535="赤日轮3"),E534+20+IF(模拟模式!$I$7="日月凌天",4,0)+IF(CR534,20,0),IF($C535="烈日斩",E534+40,IF($C535="驱夜断愁",IF(模拟模式!$R$7="万念俱寂",E534+20,E534+60),IF($C535="净世破魔击·月",IF(OR(DB534&gt;0,CV534&gt;0),100,IF(模拟模式!$M$7="辉耀红尘",E534+20,E534)),IF($C535="净世破魔击·日",E534-100,E534)))))),100))</f>
        <v>80</v>
      </c>
      <c r="F535" s="115">
        <f ca="1">IF(AND(CU535,OR(C535="赤日轮1",C535="赤日轮2",C535="赤日轮3",C535="烈日斩",C535="净世破魔击·日")),100,MIN(IF(CO535,0,IF(OR($C535="幽月轮1",$C535="幽月轮2",$C535="幽月轮3"),F534+20+IF(模拟模式!$I$7="日月凌天",4,0)+IF(CS534,20,0),IF($C535="银月斩",F534+40+IF(模拟模式!$X$12=1,5,0),IF($C535="驱夜断愁",IF(模拟模式!$R$7="万念俱寂",F534+20,F534+60),IF($C535="净世破魔击·月",IF(模拟模式!$M$7="辉耀红尘",F534-80,F534-100),IF(AND(C535="净世破魔击·日",OR(DB534&gt;0,CV534&gt;0)),100,F534)))))),100))</f>
        <v>100</v>
      </c>
      <c r="G535" s="117">
        <f ca="1">('模拟-全程加成'!$E$3+'模拟-全程加成'!$E$4+'模拟-全程加成'!$E$5+('模拟-全程加成'!$C$6-'模拟-全程加成'!$C$3)*系数!$B$9+BS535*23)*(1+'模拟-全程加成'!$F$4+'模拟-全程加成'!$F$5+BJ535*10%+BM535*20%+BP535*4%+CG535*30%)+$F$7*系数!$B$12</f>
        <v>21493.829400000002</v>
      </c>
      <c r="H535" s="45">
        <f ca="1">'模拟-全程加成'!$H$3+'模拟-全程加成'!$H$4+'模拟-全程加成'!$H$5+('模拟-全程加成'!$G$4+'模拟-全程加成'!$G$5+('模拟-全程加成'!$C$6-'模拟-全程加成'!$C$3)*系数!$B$13)/系数!$B$3+LOOKUP(D535,'模拟-单技能数据'!$A$2:$A$19,'模拟-单技能数据'!$K$2:$K$19)+BG535*10%+IF(BV535&gt;0,378,0)</f>
        <v>0.51185145527300213</v>
      </c>
      <c r="I535" s="45">
        <f ca="1">'模拟-全程加成'!$J$3+'模拟-全程加成'!$J$4+'模拟-全程加成'!$J$5+('模拟-全程加成'!$I$4+'模拟-全程加成'!$I$5)/系数!$B$4+LOOKUP(D535,'模拟-单技能数据'!$A$2:$A$19,'模拟-单技能数据'!$L$2:$L$19)+BG535*10%</f>
        <v>2.162482885499879</v>
      </c>
      <c r="J535" s="45">
        <f ca="1">(('模拟-全程加成'!$K$3+'模拟-全程加成'!$K$4+'模拟-全程加成'!$K$5+('模拟-全程加成'!$C$6-'模拟-全程加成'!$C$3)*系数!$B$10+IF(BV535&gt;0,882,0)+IF(BY535&gt;0,1831,0))*(1+'模拟-全程加成'!$L$4+'模拟-全程加成'!$L$5+CC535*20%))/系数!$B$5</f>
        <v>0.69723220422048726</v>
      </c>
      <c r="K535" s="119">
        <f ca="1">LOOKUP(D535,'模拟-单技能数据'!$A$2:$A$19,'模拟-单技能数据'!$J$2:$J$19)+IF(CM535,60%,0)+IF(DB534-DB535&gt;0,30%,0)+IF(OR(AND(OR(C535="赤日轮1",C535="赤日轮2",C535="赤日轮3"),CR535),AND(OR(C535="幽月轮1",C535="幽月轮2",C535="幽月轮3"),CS535)),35%,0)+CJ535</f>
        <v>7.0000000000000007E-2</v>
      </c>
      <c r="L535" s="119">
        <f ca="1">IF(AND(C535="烈日斩",模拟模式!$X$11=1),10%,0)+IF(AND(C535="驱夜断愁",AB535=1),30%,0)</f>
        <v>0</v>
      </c>
      <c r="M535" s="45">
        <f t="shared" ca="1" si="465"/>
        <v>0.51185145527300213</v>
      </c>
      <c r="N535" s="45">
        <f t="shared" ca="1" si="466"/>
        <v>0.43424854472699792</v>
      </c>
      <c r="O535" s="46">
        <f t="shared" ca="1" si="434"/>
        <v>0.76088967501773697</v>
      </c>
      <c r="P535" s="46" t="str">
        <f t="shared" ca="1" si="435"/>
        <v>命</v>
      </c>
      <c r="Q535" s="45">
        <f t="shared" ca="1" si="436"/>
        <v>1</v>
      </c>
      <c r="R535" s="117">
        <f ca="1">模拟模式!$E$20*(1-IF(模拟模式!$J$19="有",0.15,0))*(1-IF(模拟模式!$K$19="有",0.3,0)-IF(CQ535,0.5,0))</f>
        <v>2950.6049999999996</v>
      </c>
      <c r="S535" s="45">
        <f ca="1">R535/(R535+(185*模拟模式!$E$22-16800)*4.08224)</f>
        <v>0.24272716014590323</v>
      </c>
      <c r="T535" s="45" t="str">
        <f ca="1">LOOKUP(D535,'模拟-单技能数据'!$A$2:$A$19,'模拟-单技能数据'!$H$2:$H$19)</f>
        <v>阴</v>
      </c>
      <c r="U535" s="119">
        <f t="shared" ca="1" si="467"/>
        <v>0.08</v>
      </c>
      <c r="V535" s="47">
        <f ca="1">(1+L535)*(LOOKUP(D535,'模拟-单技能数据'!$A$2:$A$19,'模拟-单技能数据'!$D$2:$D$19)+G535*LOOKUP(D535,'模拟-单技能数据'!$A$2:$A$19,'模拟-单技能数据'!$F$2:$F$19))*(1+J535)*(1+K535)*(1-S535)*(1+U535)*Q535*LOOKUP(D535,'模拟-单技能数据'!$A$2:$A$19,'模拟-单技能数据'!$I$2:$I$20)</f>
        <v>16939.18703301924</v>
      </c>
      <c r="W535" s="47">
        <f ca="1">LOOKUP(D535,'模拟-单技能数据'!$A$2:$A$19,'模拟-单技能数据'!$G$2:$G$19)*$I$10</f>
        <v>361.51064354704795</v>
      </c>
      <c r="X535" s="47">
        <f t="shared" ca="1" si="437"/>
        <v>9595.3556920079973</v>
      </c>
      <c r="Y535" s="47">
        <f t="shared" ca="1" si="468"/>
        <v>26896.053368574285</v>
      </c>
      <c r="Z535" s="49">
        <f t="shared" ca="1" si="469"/>
        <v>53091291.56257581</v>
      </c>
      <c r="AA535" s="97">
        <f t="shared" ca="1" si="470"/>
        <v>113290.42434879382</v>
      </c>
      <c r="AB535" s="115">
        <f ca="1">IF(OR(C535="赤日轮1",C535="赤日轮2",C535="赤日轮3"),IF(RAND()&lt;模拟模式!$Y$17,1,0),IF(OR(C535="幽月轮1",C535="幽月轮2",C535="幽月轮3"),IF(RAND()&lt;模拟模式!$Y$18,1,0),IF(C535="烈日斩",IF(RAND()&lt;模拟模式!$Y$19,1,0),IF(C535="银月斩",IF(RAND()&lt;模拟模式!$Y$20,1,0),IF(C535="驱夜断愁",IF(RAND()&lt;模拟模式!$Y$21,1,0),IF(C535="净世破魔击·日",IF(RAND()&lt;模拟模式!$Y$22,1,0),IF(C535="净世破魔击·月",IF(RAND()&lt;模拟模式!$Y$23,1,0),0)))))))</f>
        <v>1</v>
      </c>
      <c r="AC535" s="115" t="b">
        <f t="shared" ca="1" si="458"/>
        <v>0</v>
      </c>
      <c r="AD535" s="115" t="b">
        <f t="shared" ca="1" si="478"/>
        <v>0</v>
      </c>
      <c r="AE535" s="115">
        <f t="shared" ca="1" si="479"/>
        <v>4</v>
      </c>
      <c r="AF535" s="47">
        <f ca="1">IF(AC535,('模拟-单技能数据'!$D$20+G535*'模拟-单技能数据'!$F$20)*(1+J535)*(1+'模拟-单技能数据'!$J$20)*(1+U535),0)</f>
        <v>0</v>
      </c>
      <c r="AG535" s="61">
        <f t="shared" ca="1" si="471"/>
        <v>0.64185145527300214</v>
      </c>
      <c r="AH535" s="61">
        <f t="shared" ca="1" si="472"/>
        <v>2.2624828854998791</v>
      </c>
      <c r="AI535" s="62">
        <f t="shared" ca="1" si="438"/>
        <v>0.34078934269188765</v>
      </c>
      <c r="AJ535" s="47">
        <f ca="1">IF(AD535,IF(AI535&lt;$F$10,0,IF(AI535&lt;$F$10+$F$11,0.25,IF(AI535&lt;$F$10+$F$11+AG535,AH535,1)))*IF(AF535&gt;0,AF535,IF(AF534&gt;0,AF534,IF(AF533&gt;0,AF533,IF(AF532&gt;0,AF532,IF(AF531&gt;0,AF531,IF(AF530&gt;0,AF530,IF(AF529&gt;0,AF529,IF(AF528&gt;0,AF528,IF(AF527&gt;0,AF527,IF(AF525&gt;0,AF525,IF(AF524&gt;0,AF524,IF(AF523&gt;0,AF523,0)))))))))))),0)*(1-$S535)*'模拟-单技能数据'!$I$20</f>
        <v>0</v>
      </c>
      <c r="AK535" s="115" t="b">
        <f t="shared" ca="1" si="459"/>
        <v>0</v>
      </c>
      <c r="AL535" s="115" t="b">
        <f t="shared" ca="1" si="480"/>
        <v>1</v>
      </c>
      <c r="AM535" s="115">
        <f t="shared" ca="1" si="481"/>
        <v>3</v>
      </c>
      <c r="AN535" s="47">
        <f ca="1">IF(AK535,('模拟-单技能数据'!$D$21+G535*'模拟-单技能数据'!$F$21)*(1+J535)*(1+'模拟-单技能数据'!$J$21)*(1+U535),0)</f>
        <v>0</v>
      </c>
      <c r="AO535" s="61">
        <f ca="1">IF(AN535&gt;0,M535-'模拟-单技能数据'!$K$10,AO534)</f>
        <v>0.42185145527300216</v>
      </c>
      <c r="AP535" s="61">
        <f ca="1">IF(AN535&gt;0,I535-'模拟-单技能数据'!$L$10,AP534)</f>
        <v>2.162482885499879</v>
      </c>
      <c r="AQ535" s="63">
        <f t="shared" ca="1" si="439"/>
        <v>0.96283281901265383</v>
      </c>
      <c r="AR535" s="64">
        <f ca="1">IF(AL535,IF(AQ535&lt;$F$10,0,IF(AQ535&lt;$F$10+$F$11,0.25,IF(AQ535&lt;$F$10+$F$11+AO535,AP535,1)))*IF(AN535&gt;0,AN535,IF(AN534&gt;0,AN534,IF(AN533&gt;0,AN533,IF(AN532&gt;0,AN532,IF(AN531&gt;0,AN531,IF(AN530&gt;0,AN530,IF(AN529&gt;0,AN529,IF(AN528&gt;0,AN528,IF(AN527&gt;0,AN527,IF(AN525&gt;0,AN525,IF(AN524&gt;0,AN524,IF(AN523&gt;0,AN523,0)))))))))))),0)*(1-$S535)*'模拟-单技能数据'!$I$21</f>
        <v>9595.3556920079973</v>
      </c>
      <c r="AS535" s="61">
        <f ca="1">IF(OR(C535="净世破魔击·日",C535="净世破魔击·月"),M535-'模拟-单技能数据'!$K$10,0)</f>
        <v>0</v>
      </c>
      <c r="AT535" s="61">
        <f ca="1">IF(OR(C535="净世破魔击·日",C535="净世破魔击·月"),I535-'模拟-单技能数据'!$L$10,0)</f>
        <v>0</v>
      </c>
      <c r="AU535" s="62">
        <f t="shared" ca="1" si="440"/>
        <v>0.47260798790398317</v>
      </c>
      <c r="AV535" s="64">
        <f ca="1">IF(AS535&gt;0,('模拟-单技能数据'!$D$22+G535*'模拟-单技能数据'!$F$22)*(1+J535)*(1-S535)*IF(AU535&lt;$F$10,0,IF(AU535&lt;$F$10+$F$11,0.25,IF(AU535&lt;$F$10+$F$11+AS535,AT535,1)))*(1+U535),0)*'模拟-单技能数据'!$I$22</f>
        <v>0</v>
      </c>
      <c r="AW535" s="108">
        <f t="shared" ca="1" si="441"/>
        <v>0</v>
      </c>
      <c r="AX535" s="108" t="b">
        <f ca="1">AND(模拟模式!$P$10="有",AW534=0,RAND()&lt;IF(C535="净世破魔击·月",0.1*8/3,IF(C535="净世破魔击·日",0.1*4/3,0.1*2/3)))</f>
        <v>0</v>
      </c>
      <c r="AY535" s="47">
        <f ca="1">IF(AX535,(18+G535*0.722)*(1+J535)*(1-S535)*(1+$I$4)*IF(P535="会",'模拟-全程加成'!$J$3+'模拟-全程加成'!$J$4+'模拟-全程加成'!$J$5+('模拟-全程加成'!$I$4+'模拟-全程加成'!$I$5)/系数!$B$4+BG535*10%,IF(P535="命",1,IF(P535="识",0.25,0))),0)</f>
        <v>0</v>
      </c>
      <c r="AZ535" s="108">
        <f t="shared" si="442"/>
        <v>18.155000000000001</v>
      </c>
      <c r="BA535" s="108" t="b">
        <f>AND(模拟模式!$Q$10="有",AZ534=0)</f>
        <v>0</v>
      </c>
      <c r="BB535" s="140">
        <f>IF(BA535,(0+G535*0.287)*(1+J535)*(1-S535)*(1+$I$4)*IF(P535="会",'模拟-全程加成'!$J$3+'模拟-全程加成'!$J$4+'模拟-全程加成'!$J$5+('模拟-全程加成'!$I$4+'模拟-全程加成'!$I$5)/系数!$B$4+BG535*10%,IF(P535="命",1,IF(P535="识",0.25,0))),0)</f>
        <v>0</v>
      </c>
      <c r="BC535" s="115" t="b">
        <f ca="1">AND(模拟模式!$R$7="伏明众生",E535=60,F535=20,DA535&lt;5,CZ534&lt;$F$4)</f>
        <v>0</v>
      </c>
      <c r="BD535" s="115">
        <f t="shared" ca="1" si="460"/>
        <v>0</v>
      </c>
      <c r="BE535" s="115" t="b">
        <f t="shared" ca="1" si="461"/>
        <v>0</v>
      </c>
      <c r="BF535" s="47">
        <f ca="1">IF(BC535,4*('模拟-单技能数据'!$D$24+G535*'模拟-单技能数据'!$F$24)*(1+J535)*(1+'模拟-单技能数据'!$J$24)*(1-S535)*(1+$I$3)*(('模拟-全程加成'!$J$3+'模拟-全程加成'!$J$4+'模拟-全程加成'!$J$5+('模拟-全程加成'!$I$4+'模拟-全程加成'!$I$5)/系数!$B$4+BG535*10%)*('模拟-全程加成'!$J$3+'模拟-全程加成'!$J$4+'模拟-全程加成'!$J$5+('模拟-全程加成'!$I$4+'模拟-全程加成'!$I$5)/系数!$B$4+BG535*10%)+(1-('模拟-全程加成'!$J$3+'模拟-全程加成'!$J$4+'模拟-全程加成'!$J$5+('模拟-全程加成'!$I$4+'模拟-全程加成'!$I$5)/系数!$B$4+BG535*10%)-$F$10-$F$11)+F521*0.25),0)*'模拟-单技能数据'!$I$24</f>
        <v>0</v>
      </c>
      <c r="BG535" s="115" t="b">
        <f ca="1">OR(AND(OR(C535="烈日斩",C535="银月斩"),模拟模式!$I$7="净身明礼"),AND(C535="净世破魔击·日",模拟模式!$J$7="洞若观火"),AND(C536="净世破魔击·月",模拟模式!$J$7="洞若观火"),AB535=1)</f>
        <v>1</v>
      </c>
      <c r="BH535" s="115" t="b">
        <f t="shared" ca="1" si="443"/>
        <v>0</v>
      </c>
      <c r="BI535" s="115">
        <f t="shared" ca="1" si="462"/>
        <v>5.0774999999999997</v>
      </c>
      <c r="BJ535" s="115" t="b">
        <f t="shared" ca="1" si="473"/>
        <v>1</v>
      </c>
      <c r="BK535" s="115" t="b">
        <f ca="1">AND(C535="驱夜断愁",模拟模式!$P$7="天地诛戮")</f>
        <v>0</v>
      </c>
      <c r="BL535" s="57">
        <f t="shared" ca="1" si="463"/>
        <v>18.155000000000001</v>
      </c>
      <c r="BM535" s="115" t="b">
        <f t="shared" ca="1" si="474"/>
        <v>1</v>
      </c>
      <c r="BN535" s="115" t="b">
        <f ca="1">AND(OR(C535="赤日轮1",C535="赤日轮2",C535="赤日轮3",C535="幽月轮1",C535="幽月轮2",C535="幽月轮3"),AB535=1,模拟模式!$L$7="明光恒照")</f>
        <v>1</v>
      </c>
      <c r="BO535" s="117">
        <f t="shared" ca="1" si="464"/>
        <v>30</v>
      </c>
      <c r="BP535" s="115">
        <f t="shared" ca="1" si="444"/>
        <v>6</v>
      </c>
      <c r="BQ535" s="115" t="b">
        <f>模拟模式!$K$10="2600·水"</f>
        <v>0</v>
      </c>
      <c r="BR535" s="117">
        <f t="shared" si="445"/>
        <v>0</v>
      </c>
      <c r="BS535" s="115">
        <f t="shared" si="446"/>
        <v>0</v>
      </c>
      <c r="BT535" s="115">
        <f t="shared" ca="1" si="447"/>
        <v>0</v>
      </c>
      <c r="BU535" s="115" t="b">
        <f ca="1">AND(模拟模式!$K$10="2300·雷",BT534=0,RAND()&lt;IF(C535="净世破魔击·月",5*0.05*2/3,IF(C535="净世破魔击·日",3*0.05*2/3,0.05*2*2/3)))</f>
        <v>0</v>
      </c>
      <c r="BV535" s="115">
        <f t="shared" ca="1" si="448"/>
        <v>0</v>
      </c>
      <c r="BW535" s="115">
        <f t="shared" ca="1" si="449"/>
        <v>86.827499999999262</v>
      </c>
      <c r="BX535" s="164" t="b">
        <f t="shared" ca="1" si="450"/>
        <v>0</v>
      </c>
      <c r="BY535" s="115">
        <f t="shared" ca="1" si="451"/>
        <v>0</v>
      </c>
      <c r="BZ535" s="115">
        <f>IF(OR(模拟模式!$P$16="10人团",模拟模式!$P$16="25人团"),IF(B535/30&gt;CA534,1,0),0)</f>
        <v>0</v>
      </c>
      <c r="CA535" s="115">
        <f t="shared" si="427"/>
        <v>0</v>
      </c>
      <c r="CB535" s="115">
        <f ca="1">IF(BZ535=1,IF(模拟模式!$P$16="10人团",15,0)+IF(模拟模式!$P$16="25人团",IF(RAND()&lt;0.6,15,0)),MAX(0,CB534-$F$4))</f>
        <v>0</v>
      </c>
      <c r="CC535" s="115" t="b">
        <f t="shared" ca="1" si="475"/>
        <v>0</v>
      </c>
      <c r="CD535" s="115">
        <f>IF(模拟模式!$Q$16="1个",IF(B535/40&gt;CE534,1,0),0)</f>
        <v>0</v>
      </c>
      <c r="CE535" s="115">
        <f t="shared" si="476"/>
        <v>0</v>
      </c>
      <c r="CF535" s="115">
        <f>IF(OR(CD535=1,模拟模式!$Q$16="2个"),20,MAX(0,CF534-$F$4))</f>
        <v>0</v>
      </c>
      <c r="CG535" s="115" t="b">
        <f t="shared" si="477"/>
        <v>0</v>
      </c>
      <c r="CH535" s="115">
        <f t="shared" ca="1" si="452"/>
        <v>7.8600000000000128</v>
      </c>
      <c r="CI535" s="115" t="b">
        <f t="shared" ca="1" si="453"/>
        <v>0</v>
      </c>
      <c r="CJ535" s="119">
        <f t="shared" ca="1" si="454"/>
        <v>0</v>
      </c>
      <c r="CK535" s="115">
        <f t="shared" ca="1" si="455"/>
        <v>0</v>
      </c>
      <c r="CL535" s="115" t="b">
        <f ca="1">AND(模拟模式!$S$7="驱夷逐法",OR(AND(C535="净世破魔击·月",E534&gt;59),AND(C535="净世破魔击·日",F534&gt;59)))</f>
        <v>0</v>
      </c>
      <c r="CM535" s="115" t="b">
        <f ca="1">OR(CL535,AND(C535="净世破魔击·日",CL534,RAND()&lt;模拟模式!$U$23))</f>
        <v>0</v>
      </c>
      <c r="CN535" s="115" t="b">
        <f ca="1">IF(模拟模式!$M$7="辉耀红尘",AND(C535="净世破魔击·月",CL535,CV535=0,E534&lt;80),AND(C535="净世破魔击·月",CL535,E534&lt;100))</f>
        <v>0</v>
      </c>
      <c r="CO535" s="115" t="b">
        <f t="shared" ca="1" si="428"/>
        <v>0</v>
      </c>
      <c r="CP535" s="115" t="b">
        <f ca="1">AND(模拟模式!$O$7="用晦而明",OR(C535="净世破魔击·日",C535="净世破魔击·月",C535="驱夜断愁"),AB535)</f>
        <v>0</v>
      </c>
      <c r="CQ535" s="115" t="b">
        <f ca="1">OR(CP535,AND(CP534,RAND()&lt;模拟模式!$U$23))</f>
        <v>0</v>
      </c>
      <c r="CR535" s="115" t="b">
        <f ca="1">AND(模拟模式!$S$7="日月齐光",OR(C535="幽月轮1",C535="幽月轮2",C535="幽月轮3",CR534),NOT(OR(C535="赤日轮1",C535="赤日轮2",C535="赤日轮3")))</f>
        <v>0</v>
      </c>
      <c r="CS535" s="115" t="b">
        <f ca="1">AND(模拟模式!$S$7="日月齐光",OR(C535="赤日轮1",C535="赤日轮2",C535="赤日轮3",CS534),NOT(OR(C535="幽月轮1",C535="幽月轮2",C535="幽月轮3")))</f>
        <v>0</v>
      </c>
      <c r="CT535" s="115">
        <f t="shared" ca="1" si="456"/>
        <v>0</v>
      </c>
      <c r="CU535" s="115" t="b">
        <f ca="1">AND(模拟模式!$K$10="阴阳往极",CT534=0,RAND()&lt;IF(C535="净世破魔击·月",0.0275*7/3,IF(C535="净世破魔击·日",0.0275*3/3,0.0275*2/3)))</f>
        <v>0</v>
      </c>
      <c r="CV535" s="115">
        <f t="shared" ca="1" si="457"/>
        <v>0</v>
      </c>
      <c r="CW535" s="115">
        <f t="shared" ca="1" si="429"/>
        <v>5.0774999999999997</v>
      </c>
      <c r="CX535" s="115">
        <f t="shared" ca="1" si="430"/>
        <v>3.2324999999999995</v>
      </c>
      <c r="CY535" s="115">
        <f ca="1">MAX(IF($C535="驱夜断愁",IF(模拟模式!$R$7="万念俱寂",6,45),CY534-$F$4),0)</f>
        <v>4.1549999999999994</v>
      </c>
      <c r="CZ535" s="115">
        <f t="shared" ca="1" si="431"/>
        <v>0</v>
      </c>
      <c r="DA535" s="115">
        <f ca="1">IF(模拟模式!$N$7="日月同辉",IF(DB534=2,0,MIN(6,IF(AND(OR(C535="赤日轮1",C535="赤日轮2",C535="赤日轮3",C535="幽月轮1",C535="幽月轮2",C535="幽月轮3"),AB535=1),DA534+1,DA534))),0)</f>
        <v>1</v>
      </c>
      <c r="DB535" s="115">
        <f t="shared" ca="1" si="432"/>
        <v>0</v>
      </c>
      <c r="DC535" s="115"/>
      <c r="DD535" s="115"/>
      <c r="DE535" s="115"/>
      <c r="DF535" s="115"/>
      <c r="DG535" s="115"/>
      <c r="DH535" s="115"/>
      <c r="DI535" s="115"/>
      <c r="DJ535" s="115"/>
      <c r="DK535" s="115"/>
      <c r="DL535" s="115"/>
      <c r="DM535" s="115"/>
    </row>
    <row r="536" spans="2:117" x14ac:dyDescent="0.2">
      <c r="B536" s="117">
        <f t="shared" si="433"/>
        <v>469.55250000000495</v>
      </c>
      <c r="C536" s="167" t="str">
        <f t="shared" ca="1" si="426"/>
        <v>净世破魔击·月</v>
      </c>
      <c r="D536" s="115">
        <f ca="1">IF(C536="赤日轮1",1,IF(C536="赤日轮2",2,IF(C536="赤日轮3",3,IF(C536="幽月轮1",4,IF(C536="幽月轮2",5,IF(C536="幽月轮3",6,IF(C536="烈日斩",7,IF(C536="银月斩",8,IF(C536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536="净世破魔击·月",17,IF(C536="驱夜断愁",18,0)))))))))))</f>
        <v>17</v>
      </c>
      <c r="E536" s="115">
        <f ca="1">IF(AND(CU536,OR(C536="幽月轮1",C536="幽月轮2",C536="幽月轮3",C536="银月斩",C536="驱夜断愁",C536="净世破魔击·月")),100,MIN(IF(OR(CN536,BE536),0,IF(OR($C536="赤日轮1",$C536="赤日轮2",$C536="赤日轮3"),E535+20+IF(模拟模式!$I$7="日月凌天",4,0)+IF(CR535,20,0),IF($C536="烈日斩",E535+40,IF($C536="驱夜断愁",IF(模拟模式!$R$7="万念俱寂",E535+20,E535+60),IF($C536="净世破魔击·月",IF(OR(DB535&gt;0,CV535&gt;0),100,IF(模拟模式!$M$7="辉耀红尘",E535+20,E535)),IF($C536="净世破魔击·日",E535-100,E535)))))),100))</f>
        <v>100</v>
      </c>
      <c r="F536" s="115">
        <f ca="1">IF(AND(CU536,OR(C536="赤日轮1",C536="赤日轮2",C536="赤日轮3",C536="烈日斩",C536="净世破魔击·日")),100,MIN(IF(CO536,0,IF(OR($C536="幽月轮1",$C536="幽月轮2",$C536="幽月轮3"),F535+20+IF(模拟模式!$I$7="日月凌天",4,0)+IF(CS535,20,0),IF($C536="银月斩",F535+40+IF(模拟模式!$X$12=1,5,0),IF($C536="驱夜断愁",IF(模拟模式!$R$7="万念俱寂",F535+20,F535+60),IF($C536="净世破魔击·月",IF(模拟模式!$M$7="辉耀红尘",F535-80,F535-100),IF(AND(C536="净世破魔击·日",OR(DB535&gt;0,CV535&gt;0)),100,F535)))))),100))</f>
        <v>20</v>
      </c>
      <c r="G536" s="117">
        <f ca="1">('模拟-全程加成'!$E$3+'模拟-全程加成'!$E$4+'模拟-全程加成'!$E$5+('模拟-全程加成'!$C$6-'模拟-全程加成'!$C$3)*系数!$B$9+BS536*23)*(1+'模拟-全程加成'!$F$4+'模拟-全程加成'!$F$5+BJ536*10%+BM536*20%+BP536*4%+CG536*30%)+$F$7*系数!$B$12</f>
        <v>21493.829400000002</v>
      </c>
      <c r="H536" s="45">
        <f ca="1">'模拟-全程加成'!$H$3+'模拟-全程加成'!$H$4+'模拟-全程加成'!$H$5+('模拟-全程加成'!$G$4+'模拟-全程加成'!$G$5+('模拟-全程加成'!$C$6-'模拟-全程加成'!$C$3)*系数!$B$13)/系数!$B$3+LOOKUP(D536,'模拟-单技能数据'!$A$2:$A$19,'模拟-单技能数据'!$K$2:$K$19)+BG536*10%+IF(BV536&gt;0,378,0)</f>
        <v>0.54185145527300216</v>
      </c>
      <c r="I536" s="45">
        <f ca="1">'模拟-全程加成'!$J$3+'模拟-全程加成'!$J$4+'模拟-全程加成'!$J$5+('模拟-全程加成'!$I$4+'模拟-全程加成'!$I$5)/系数!$B$4+LOOKUP(D536,'模拟-单技能数据'!$A$2:$A$19,'模拟-单技能数据'!$L$2:$L$19)+BG536*10%</f>
        <v>2.162482885499879</v>
      </c>
      <c r="J536" s="45">
        <f ca="1">(('模拟-全程加成'!$K$3+'模拟-全程加成'!$K$4+'模拟-全程加成'!$K$5+('模拟-全程加成'!$C$6-'模拟-全程加成'!$C$3)*系数!$B$10+IF(BV536&gt;0,882,0)+IF(BY536&gt;0,1831,0))*(1+'模拟-全程加成'!$L$4+'模拟-全程加成'!$L$5+CC536*20%))/系数!$B$5</f>
        <v>0.69723220422048726</v>
      </c>
      <c r="K536" s="119">
        <f ca="1">LOOKUP(D536,'模拟-单技能数据'!$A$2:$A$19,'模拟-单技能数据'!$J$2:$J$19)+IF(CM536,60%,0)+IF(DB535-DB536&gt;0,30%,0)+IF(OR(AND(OR(C536="赤日轮1",C536="赤日轮2",C536="赤日轮3"),CR536),AND(OR(C536="幽月轮1",C536="幽月轮2",C536="幽月轮3"),CS536)),35%,0)+CJ536</f>
        <v>0.8</v>
      </c>
      <c r="L536" s="119">
        <f ca="1">IF(AND(C536="烈日斩",模拟模式!$X$11=1),10%,0)+IF(AND(C536="驱夜断愁",AB536=1),30%,0)</f>
        <v>0</v>
      </c>
      <c r="M536" s="45">
        <f t="shared" ca="1" si="465"/>
        <v>0.54185145527300216</v>
      </c>
      <c r="N536" s="45">
        <f t="shared" ca="1" si="466"/>
        <v>0.40424854472699789</v>
      </c>
      <c r="O536" s="46">
        <f t="shared" ca="1" si="434"/>
        <v>0.67728353503758798</v>
      </c>
      <c r="P536" s="46" t="str">
        <f t="shared" ca="1" si="435"/>
        <v>命</v>
      </c>
      <c r="Q536" s="45">
        <f t="shared" ca="1" si="436"/>
        <v>1</v>
      </c>
      <c r="R536" s="117">
        <f ca="1">模拟模式!$E$20*(1-IF(模拟模式!$J$19="有",0.15,0))*(1-IF(模拟模式!$K$19="有",0.3,0)-IF(CQ536,0.5,0))</f>
        <v>843.02999999999975</v>
      </c>
      <c r="S536" s="45">
        <f ca="1">R536/(R536+(185*模拟模式!$E$22-16800)*4.08224)</f>
        <v>8.389626085980037E-2</v>
      </c>
      <c r="T536" s="45" t="str">
        <f ca="1">LOOKUP(D536,'模拟-单技能数据'!$A$2:$A$19,'模拟-单技能数据'!$H$2:$H$19)</f>
        <v>阴</v>
      </c>
      <c r="U536" s="119">
        <f t="shared" ca="1" si="467"/>
        <v>0.08</v>
      </c>
      <c r="V536" s="47">
        <f ca="1">(1+L536)*(LOOKUP(D536,'模拟-单技能数据'!$A$2:$A$19,'模拟-单技能数据'!$D$2:$D$19)+G536*LOOKUP(D536,'模拟-单技能数据'!$A$2:$A$19,'模拟-单技能数据'!$F$2:$F$19))*(1+J536)*(1+K536)*(1-S536)*(1+U536)*Q536*LOOKUP(D536,'模拟-单技能数据'!$A$2:$A$19,'模拟-单技能数据'!$I$2:$I$20)</f>
        <v>84412.793434348554</v>
      </c>
      <c r="W536" s="47">
        <f ca="1">LOOKUP(D536,'模拟-单技能数据'!$A$2:$A$19,'模拟-单技能数据'!$G$2:$G$19)*$I$10</f>
        <v>361.51064354704795</v>
      </c>
      <c r="X536" s="47">
        <f t="shared" ca="1" si="437"/>
        <v>26821.826710822574</v>
      </c>
      <c r="Y536" s="47">
        <f t="shared" ca="1" si="468"/>
        <v>111596.13078871818</v>
      </c>
      <c r="Z536" s="49">
        <f t="shared" ca="1" si="469"/>
        <v>53202887.693364531</v>
      </c>
      <c r="AA536" s="97">
        <f t="shared" ca="1" si="470"/>
        <v>113305.51470466875</v>
      </c>
      <c r="AB536" s="115">
        <f ca="1">IF(OR(C536="赤日轮1",C536="赤日轮2",C536="赤日轮3"),IF(RAND()&lt;模拟模式!$Y$17,1,0),IF(OR(C536="幽月轮1",C536="幽月轮2",C536="幽月轮3"),IF(RAND()&lt;模拟模式!$Y$18,1,0),IF(C536="烈日斩",IF(RAND()&lt;模拟模式!$Y$19,1,0),IF(C536="银月斩",IF(RAND()&lt;模拟模式!$Y$20,1,0),IF(C536="驱夜断愁",IF(RAND()&lt;模拟模式!$Y$21,1,0),IF(C536="净世破魔击·日",IF(RAND()&lt;模拟模式!$Y$22,1,0),IF(C536="净世破魔击·月",IF(RAND()&lt;模拟模式!$Y$23,1,0),0)))))))</f>
        <v>1</v>
      </c>
      <c r="AC536" s="115" t="b">
        <f t="shared" ca="1" si="458"/>
        <v>0</v>
      </c>
      <c r="AD536" s="115" t="b">
        <f t="shared" ca="1" si="478"/>
        <v>1</v>
      </c>
      <c r="AE536" s="115">
        <f t="shared" ca="1" si="479"/>
        <v>3</v>
      </c>
      <c r="AF536" s="47">
        <f ca="1">IF(AC536,('模拟-单技能数据'!$D$20+G536*'模拟-单技能数据'!$F$20)*(1+J536)*(1+'模拟-单技能数据'!$J$20)*(1+U536),0)</f>
        <v>0</v>
      </c>
      <c r="AG536" s="61">
        <f t="shared" ca="1" si="471"/>
        <v>0.64185145527300214</v>
      </c>
      <c r="AH536" s="61">
        <f t="shared" ca="1" si="472"/>
        <v>2.2624828854998791</v>
      </c>
      <c r="AI536" s="62">
        <f t="shared" ca="1" si="438"/>
        <v>0.62012365168542993</v>
      </c>
      <c r="AJ536" s="47">
        <f ca="1">IF(AD536,IF(AI536&lt;$F$10,0,IF(AI536&lt;$F$10+$F$11,0.25,IF(AI536&lt;$F$10+$F$11+AG536,AH536,1)))*IF(AF536&gt;0,AF536,IF(AF535&gt;0,AF535,IF(AF534&gt;0,AF534,IF(AF533&gt;0,AF533,IF(AF532&gt;0,AF532,IF(AF531&gt;0,AF531,IF(AF530&gt;0,AF530,IF(AF529&gt;0,AF529,IF(AF528&gt;0,AF528,IF(AF526&gt;0,AF526,IF(AF525&gt;0,AF525,IF(AF524&gt;0,AF524,0)))))))))))),0)*(1-$S536)*'模拟-单技能数据'!$I$20</f>
        <v>9616.6571145767884</v>
      </c>
      <c r="AK536" s="115" t="b">
        <f t="shared" ca="1" si="459"/>
        <v>0</v>
      </c>
      <c r="AL536" s="115" t="b">
        <f t="shared" ca="1" si="480"/>
        <v>0</v>
      </c>
      <c r="AM536" s="115">
        <f t="shared" ca="1" si="481"/>
        <v>3</v>
      </c>
      <c r="AN536" s="47">
        <f ca="1">IF(AK536,('模拟-单技能数据'!$D$21+G536*'模拟-单技能数据'!$F$21)*(1+J536)*(1+'模拟-单技能数据'!$J$21)*(1+U536),0)</f>
        <v>0</v>
      </c>
      <c r="AO536" s="61">
        <f ca="1">IF(AN536&gt;0,M536-'模拟-单技能数据'!$K$10,AO535)</f>
        <v>0.42185145527300216</v>
      </c>
      <c r="AP536" s="61">
        <f ca="1">IF(AN536&gt;0,I536-'模拟-单技能数据'!$L$10,AP535)</f>
        <v>2.162482885499879</v>
      </c>
      <c r="AQ536" s="63">
        <f t="shared" ca="1" si="439"/>
        <v>0.22782426979767612</v>
      </c>
      <c r="AR536" s="64">
        <f ca="1">IF(AL536,IF(AQ536&lt;$F$10,0,IF(AQ536&lt;$F$10+$F$11,0.25,IF(AQ536&lt;$F$10+$F$11+AO536,AP536,1)))*IF(AN536&gt;0,AN536,IF(AN535&gt;0,AN535,IF(AN534&gt;0,AN534,IF(AN533&gt;0,AN533,IF(AN532&gt;0,AN532,IF(AN531&gt;0,AN531,IF(AN530&gt;0,AN530,IF(AN529&gt;0,AN529,IF(AN528&gt;0,AN528,IF(AN526&gt;0,AN526,IF(AN525&gt;0,AN525,IF(AN524&gt;0,AN524,0)))))))))))),0)*(1-$S536)*'模拟-单技能数据'!$I$21</f>
        <v>0</v>
      </c>
      <c r="AS536" s="61">
        <f ca="1">IF(OR(C536="净世破魔击·日",C536="净世破魔击·月"),M536-'模拟-单技能数据'!$K$10,0)</f>
        <v>0.42185145527300216</v>
      </c>
      <c r="AT536" s="61">
        <f ca="1">IF(OR(C536="净世破魔击·日",C536="净世破魔击·月"),I536-'模拟-单技能数据'!$L$10,0)</f>
        <v>2.162482885499879</v>
      </c>
      <c r="AU536" s="62">
        <f t="shared" ca="1" si="440"/>
        <v>0.24986302527812365</v>
      </c>
      <c r="AV536" s="64">
        <f ca="1">IF(AS536&gt;0,('模拟-单技能数据'!$D$22+G536*'模拟-单技能数据'!$F$22)*(1+J536)*(1-S536)*IF(AU536&lt;$F$10,0,IF(AU536&lt;$F$10+$F$11,0.25,IF(AU536&lt;$F$10+$F$11+AS536,AT536,1)))*(1+U536),0)*'模拟-单技能数据'!$I$22</f>
        <v>17205.169596245785</v>
      </c>
      <c r="AW536" s="108">
        <f t="shared" ca="1" si="441"/>
        <v>0</v>
      </c>
      <c r="AX536" s="108" t="b">
        <f ca="1">AND(模拟模式!$P$10="有",AW535=0,RAND()&lt;IF(C536="净世破魔击·月",0.1*8/3,IF(C536="净世破魔击·日",0.1*4/3,0.1*2/3)))</f>
        <v>0</v>
      </c>
      <c r="AY536" s="47">
        <f ca="1">IF(AX536,(18+G536*0.722)*(1+J536)*(1-S536)*(1+$I$4)*IF(P536="会",'模拟-全程加成'!$J$3+'模拟-全程加成'!$J$4+'模拟-全程加成'!$J$5+('模拟-全程加成'!$I$4+'模拟-全程加成'!$I$5)/系数!$B$4+BG536*10%,IF(P536="命",1,IF(P536="识",0.25,0))),0)</f>
        <v>0</v>
      </c>
      <c r="AZ536" s="108">
        <f t="shared" si="442"/>
        <v>17.232500000000002</v>
      </c>
      <c r="BA536" s="108" t="b">
        <f>AND(模拟模式!$Q$10="有",AZ535=0)</f>
        <v>0</v>
      </c>
      <c r="BB536" s="140">
        <f>IF(BA536,(0+G536*0.287)*(1+J536)*(1-S536)*(1+$I$4)*IF(P536="会",'模拟-全程加成'!$J$3+'模拟-全程加成'!$J$4+'模拟-全程加成'!$J$5+('模拟-全程加成'!$I$4+'模拟-全程加成'!$I$5)/系数!$B$4+BG536*10%,IF(P536="命",1,IF(P536="识",0.25,0))),0)</f>
        <v>0</v>
      </c>
      <c r="BC536" s="115" t="b">
        <f ca="1">AND(模拟模式!$R$7="伏明众生",E536=60,F536=20,DA536&lt;5,CZ535&lt;$F$4)</f>
        <v>0</v>
      </c>
      <c r="BD536" s="115">
        <f t="shared" ca="1" si="460"/>
        <v>0</v>
      </c>
      <c r="BE536" s="115" t="b">
        <f t="shared" ca="1" si="461"/>
        <v>0</v>
      </c>
      <c r="BF536" s="47">
        <f ca="1">IF(BC536,4*('模拟-单技能数据'!$D$24+G536*'模拟-单技能数据'!$F$24)*(1+J536)*(1+'模拟-单技能数据'!$J$24)*(1-S536)*(1+$I$3)*(('模拟-全程加成'!$J$3+'模拟-全程加成'!$J$4+'模拟-全程加成'!$J$5+('模拟-全程加成'!$I$4+'模拟-全程加成'!$I$5)/系数!$B$4+BG536*10%)*('模拟-全程加成'!$J$3+'模拟-全程加成'!$J$4+'模拟-全程加成'!$J$5+('模拟-全程加成'!$I$4+'模拟-全程加成'!$I$5)/系数!$B$4+BG536*10%)+(1-('模拟-全程加成'!$J$3+'模拟-全程加成'!$J$4+'模拟-全程加成'!$J$5+('模拟-全程加成'!$I$4+'模拟-全程加成'!$I$5)/系数!$B$4+BG536*10%)-$F$10-$F$11)+F522*0.25),0)*'模拟-单技能数据'!$I$24</f>
        <v>0</v>
      </c>
      <c r="BG536" s="115" t="b">
        <f ca="1">OR(AND(OR(C536="烈日斩",C536="银月斩"),模拟模式!$I$7="净身明礼"),AND(C536="净世破魔击·日",模拟模式!$J$7="洞若观火"),AND(C537="净世破魔击·月",模拟模式!$J$7="洞若观火"),AB536=1)</f>
        <v>1</v>
      </c>
      <c r="BH536" s="115" t="b">
        <f t="shared" ca="1" si="443"/>
        <v>1</v>
      </c>
      <c r="BI536" s="115">
        <f t="shared" ca="1" si="462"/>
        <v>6</v>
      </c>
      <c r="BJ536" s="115" t="b">
        <f t="shared" ca="1" si="473"/>
        <v>1</v>
      </c>
      <c r="BK536" s="115" t="b">
        <f ca="1">AND(C536="驱夜断愁",模拟模式!$P$7="天地诛戮")</f>
        <v>0</v>
      </c>
      <c r="BL536" s="57">
        <f t="shared" ca="1" si="463"/>
        <v>17.232500000000002</v>
      </c>
      <c r="BM536" s="115" t="b">
        <f t="shared" ca="1" si="474"/>
        <v>1</v>
      </c>
      <c r="BN536" s="115" t="b">
        <f ca="1">AND(OR(C536="赤日轮1",C536="赤日轮2",C536="赤日轮3",C536="幽月轮1",C536="幽月轮2",C536="幽月轮3"),AB536=1,模拟模式!$L$7="明光恒照")</f>
        <v>0</v>
      </c>
      <c r="BO536" s="117">
        <f t="shared" ca="1" si="464"/>
        <v>29.077500000000001</v>
      </c>
      <c r="BP536" s="115">
        <f t="shared" ca="1" si="444"/>
        <v>6</v>
      </c>
      <c r="BQ536" s="115" t="b">
        <f>模拟模式!$K$10="2600·水"</f>
        <v>0</v>
      </c>
      <c r="BR536" s="117">
        <f t="shared" si="445"/>
        <v>0</v>
      </c>
      <c r="BS536" s="115">
        <f t="shared" si="446"/>
        <v>0</v>
      </c>
      <c r="BT536" s="115">
        <f t="shared" ca="1" si="447"/>
        <v>0</v>
      </c>
      <c r="BU536" s="115" t="b">
        <f ca="1">AND(模拟模式!$K$10="2300·雷",BT535=0,RAND()&lt;IF(C536="净世破魔击·月",5*0.05*2/3,IF(C536="净世破魔击·日",3*0.05*2/3,0.05*2*2/3)))</f>
        <v>0</v>
      </c>
      <c r="BV536" s="115">
        <f t="shared" ca="1" si="448"/>
        <v>0</v>
      </c>
      <c r="BW536" s="115">
        <f t="shared" ca="1" si="449"/>
        <v>85.904999999999262</v>
      </c>
      <c r="BX536" s="164" t="b">
        <f t="shared" ca="1" si="450"/>
        <v>0</v>
      </c>
      <c r="BY536" s="115">
        <f t="shared" ca="1" si="451"/>
        <v>0</v>
      </c>
      <c r="BZ536" s="115">
        <f>IF(OR(模拟模式!$P$16="10人团",模拟模式!$P$16="25人团"),IF(B536/30&gt;CA535,1,0),0)</f>
        <v>0</v>
      </c>
      <c r="CA536" s="115">
        <f t="shared" si="427"/>
        <v>0</v>
      </c>
      <c r="CB536" s="115">
        <f ca="1">IF(BZ536=1,IF(模拟模式!$P$16="10人团",15,0)+IF(模拟模式!$P$16="25人团",IF(RAND()&lt;0.6,15,0)),MAX(0,CB535-$F$4))</f>
        <v>0</v>
      </c>
      <c r="CC536" s="115" t="b">
        <f t="shared" ca="1" si="475"/>
        <v>0</v>
      </c>
      <c r="CD536" s="115">
        <f>IF(模拟模式!$Q$16="1个",IF(B536/40&gt;CE535,1,0),0)</f>
        <v>0</v>
      </c>
      <c r="CE536" s="115">
        <f t="shared" si="476"/>
        <v>0</v>
      </c>
      <c r="CF536" s="115">
        <f>IF(OR(CD536=1,模拟模式!$Q$16="2个"),20,MAX(0,CF535-$F$4))</f>
        <v>0</v>
      </c>
      <c r="CG536" s="115" t="b">
        <f t="shared" si="477"/>
        <v>0</v>
      </c>
      <c r="CH536" s="115">
        <f t="shared" ca="1" si="452"/>
        <v>6.9375000000000124</v>
      </c>
      <c r="CI536" s="115" t="b">
        <f t="shared" ca="1" si="453"/>
        <v>0</v>
      </c>
      <c r="CJ536" s="119">
        <f t="shared" ca="1" si="454"/>
        <v>0</v>
      </c>
      <c r="CK536" s="115">
        <f t="shared" ca="1" si="455"/>
        <v>0</v>
      </c>
      <c r="CL536" s="115" t="b">
        <f ca="1">AND(模拟模式!$S$7="驱夷逐法",OR(AND(C536="净世破魔击·月",E535&gt;59),AND(C536="净世破魔击·日",F535&gt;59)))</f>
        <v>1</v>
      </c>
      <c r="CM536" s="115" t="b">
        <f ca="1">OR(CL536,AND(C536="净世破魔击·日",CL535,RAND()&lt;模拟模式!$U$23))</f>
        <v>1</v>
      </c>
      <c r="CN536" s="115" t="b">
        <f ca="1">IF(模拟模式!$M$7="辉耀红尘",AND(C536="净世破魔击·月",CL536,CV536=0,E535&lt;80),AND(C536="净世破魔击·月",CL536,E535&lt;100))</f>
        <v>0</v>
      </c>
      <c r="CO536" s="115" t="b">
        <f t="shared" ca="1" si="428"/>
        <v>0</v>
      </c>
      <c r="CP536" s="115" t="b">
        <f ca="1">AND(模拟模式!$O$7="用晦而明",OR(C536="净世破魔击·日",C536="净世破魔击·月",C536="驱夜断愁"),AB536)</f>
        <v>1</v>
      </c>
      <c r="CQ536" s="115" t="b">
        <f ca="1">OR(CP536,AND(CP535,RAND()&lt;模拟模式!$U$23))</f>
        <v>1</v>
      </c>
      <c r="CR536" s="115" t="b">
        <f ca="1">AND(模拟模式!$S$7="日月齐光",OR(C536="幽月轮1",C536="幽月轮2",C536="幽月轮3",CR535),NOT(OR(C536="赤日轮1",C536="赤日轮2",C536="赤日轮3")))</f>
        <v>0</v>
      </c>
      <c r="CS536" s="115" t="b">
        <f ca="1">AND(模拟模式!$S$7="日月齐光",OR(C536="赤日轮1",C536="赤日轮2",C536="赤日轮3",CS535),NOT(OR(C536="幽月轮1",C536="幽月轮2",C536="幽月轮3")))</f>
        <v>0</v>
      </c>
      <c r="CT536" s="115">
        <f t="shared" ca="1" si="456"/>
        <v>0</v>
      </c>
      <c r="CU536" s="115" t="b">
        <f ca="1">AND(模拟模式!$K$10="阴阳往极",CT535=0,RAND()&lt;IF(C536="净世破魔击·月",0.0275*7/3,IF(C536="净世破魔击·日",0.0275*3/3,0.0275*2/3)))</f>
        <v>0</v>
      </c>
      <c r="CV536" s="115">
        <f t="shared" ca="1" si="457"/>
        <v>0</v>
      </c>
      <c r="CW536" s="115">
        <f t="shared" ca="1" si="429"/>
        <v>4.1549999999999994</v>
      </c>
      <c r="CX536" s="115">
        <f t="shared" ca="1" si="430"/>
        <v>2.3099999999999996</v>
      </c>
      <c r="CY536" s="115">
        <f ca="1">MAX(IF($C536="驱夜断愁",IF(模拟模式!$R$7="万念俱寂",6,45),CY535-$F$4),0)</f>
        <v>3.2324999999999995</v>
      </c>
      <c r="CZ536" s="115">
        <f t="shared" ca="1" si="431"/>
        <v>0</v>
      </c>
      <c r="DA536" s="115">
        <f ca="1">IF(模拟模式!$N$7="日月同辉",IF(DB535=2,0,MIN(6,IF(AND(OR(C536="赤日轮1",C536="赤日轮2",C536="赤日轮3",C536="幽月轮1",C536="幽月轮2",C536="幽月轮3"),AB536=1),DA535+1,DA535))),0)</f>
        <v>1</v>
      </c>
      <c r="DB536" s="115">
        <f t="shared" ca="1" si="432"/>
        <v>0</v>
      </c>
      <c r="DC536" s="115"/>
      <c r="DD536" s="115"/>
      <c r="DE536" s="115"/>
      <c r="DF536" s="115"/>
      <c r="DG536" s="115"/>
      <c r="DH536" s="115"/>
      <c r="DI536" s="115"/>
      <c r="DJ536" s="115"/>
      <c r="DK536" s="115"/>
      <c r="DL536" s="115"/>
      <c r="DM536" s="115"/>
    </row>
    <row r="537" spans="2:117" x14ac:dyDescent="0.2">
      <c r="B537" s="117">
        <f t="shared" si="433"/>
        <v>470.47500000000497</v>
      </c>
      <c r="C537" s="167" t="str">
        <f t="shared" ca="1" si="426"/>
        <v>净世破魔击·日</v>
      </c>
      <c r="D537" s="115">
        <f ca="1">IF(C537="赤日轮1",1,IF(C537="赤日轮2",2,IF(C537="赤日轮3",3,IF(C537="幽月轮1",4,IF(C537="幽月轮2",5,IF(C537="幽月轮3",6,IF(C537="烈日斩",7,IF(C537="银月斩",8,IF(C537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537="净世破魔击·月",17,IF(C537="驱夜断愁",18,0)))))))))))</f>
        <v>9</v>
      </c>
      <c r="E537" s="115">
        <f ca="1">IF(AND(CU537,OR(C537="幽月轮1",C537="幽月轮2",C537="幽月轮3",C537="银月斩",C537="驱夜断愁",C537="净世破魔击·月")),100,MIN(IF(OR(CN537,BE537),0,IF(OR($C537="赤日轮1",$C537="赤日轮2",$C537="赤日轮3"),E536+20+IF(模拟模式!$I$7="日月凌天",4,0)+IF(CR536,20,0),IF($C537="烈日斩",E536+40,IF($C537="驱夜断愁",IF(模拟模式!$R$7="万念俱寂",E536+20,E536+60),IF($C537="净世破魔击·月",IF(OR(DB536&gt;0,CV536&gt;0),100,IF(模拟模式!$M$7="辉耀红尘",E536+20,E536)),IF($C537="净世破魔击·日",E536-100,E536)))))),100))</f>
        <v>0</v>
      </c>
      <c r="F537" s="115">
        <f ca="1">IF(AND(CU537,OR(C537="赤日轮1",C537="赤日轮2",C537="赤日轮3",C537="烈日斩",C537="净世破魔击·日")),100,MIN(IF(CO537,0,IF(OR($C537="幽月轮1",$C537="幽月轮2",$C537="幽月轮3"),F536+20+IF(模拟模式!$I$7="日月凌天",4,0)+IF(CS536,20,0),IF($C537="银月斩",F536+40+IF(模拟模式!$X$12=1,5,0),IF($C537="驱夜断愁",IF(模拟模式!$R$7="万念俱寂",F536+20,F536+60),IF($C537="净世破魔击·月",IF(模拟模式!$M$7="辉耀红尘",F536-80,F536-100),IF(AND(C537="净世破魔击·日",OR(DB536&gt;0,CV536&gt;0)),100,F536)))))),100))</f>
        <v>20</v>
      </c>
      <c r="G537" s="117">
        <f ca="1">('模拟-全程加成'!$E$3+'模拟-全程加成'!$E$4+'模拟-全程加成'!$E$5+('模拟-全程加成'!$C$6-'模拟-全程加成'!$C$3)*系数!$B$9+BS537*23)*(1+'模拟-全程加成'!$F$4+'模拟-全程加成'!$F$5+BJ537*10%+BM537*20%+BP537*4%+CG537*30%)+$F$7*系数!$B$12</f>
        <v>21493.829400000002</v>
      </c>
      <c r="H537" s="45">
        <f ca="1">'模拟-全程加成'!$H$3+'模拟-全程加成'!$H$4+'模拟-全程加成'!$H$5+('模拟-全程加成'!$G$4+'模拟-全程加成'!$G$5+('模拟-全程加成'!$C$6-'模拟-全程加成'!$C$3)*系数!$B$13)/系数!$B$3+LOOKUP(D537,'模拟-单技能数据'!$A$2:$A$19,'模拟-单技能数据'!$K$2:$K$19)+BG537*10%+IF(BV537&gt;0,378,0)</f>
        <v>0.54185145527300216</v>
      </c>
      <c r="I537" s="45">
        <f ca="1">'模拟-全程加成'!$J$3+'模拟-全程加成'!$J$4+'模拟-全程加成'!$J$5+('模拟-全程加成'!$I$4+'模拟-全程加成'!$I$5)/系数!$B$4+LOOKUP(D537,'模拟-单技能数据'!$A$2:$A$19,'模拟-单技能数据'!$L$2:$L$19)+BG537*10%</f>
        <v>2.162482885499879</v>
      </c>
      <c r="J537" s="45">
        <f ca="1">(('模拟-全程加成'!$K$3+'模拟-全程加成'!$K$4+'模拟-全程加成'!$K$5+('模拟-全程加成'!$C$6-'模拟-全程加成'!$C$3)*系数!$B$10+IF(BV537&gt;0,882,0)+IF(BY537&gt;0,1831,0))*(1+'模拟-全程加成'!$L$4+'模拟-全程加成'!$L$5+CC537*20%))/系数!$B$5</f>
        <v>0.69723220422048726</v>
      </c>
      <c r="K537" s="119">
        <f ca="1">LOOKUP(D537,'模拟-单技能数据'!$A$2:$A$19,'模拟-单技能数据'!$J$2:$J$19)+IF(CM537,60%,0)+IF(DB536-DB537&gt;0,30%,0)+IF(OR(AND(OR(C537="赤日轮1",C537="赤日轮2",C537="赤日轮3"),CR537),AND(OR(C537="幽月轮1",C537="幽月轮2",C537="幽月轮3"),CS537)),35%,0)+CJ537</f>
        <v>0.8</v>
      </c>
      <c r="L537" s="119">
        <f ca="1">IF(AND(C537="烈日斩",模拟模式!$X$11=1),10%,0)+IF(AND(C537="驱夜断愁",AB537=1),30%,0)</f>
        <v>0</v>
      </c>
      <c r="M537" s="45">
        <f t="shared" ca="1" si="465"/>
        <v>0.54185145527300216</v>
      </c>
      <c r="N537" s="45">
        <f t="shared" ca="1" si="466"/>
        <v>0.40424854472699789</v>
      </c>
      <c r="O537" s="46">
        <f t="shared" ca="1" si="434"/>
        <v>0.77141125125616727</v>
      </c>
      <c r="P537" s="46" t="str">
        <f t="shared" ca="1" si="435"/>
        <v>命</v>
      </c>
      <c r="Q537" s="45">
        <f t="shared" ca="1" si="436"/>
        <v>1</v>
      </c>
      <c r="R537" s="117">
        <f ca="1">模拟模式!$E$20*(1-IF(模拟模式!$J$19="有",0.15,0))*(1-IF(模拟模式!$K$19="有",0.3,0)-IF(CQ537,0.5,0))</f>
        <v>843.02999999999975</v>
      </c>
      <c r="S537" s="45">
        <f ca="1">R537/(R537+(185*模拟模式!$E$22-16800)*4.08224)</f>
        <v>8.389626085980037E-2</v>
      </c>
      <c r="T537" s="45" t="str">
        <f ca="1">LOOKUP(D537,'模拟-单技能数据'!$A$2:$A$19,'模拟-单技能数据'!$H$2:$H$19)</f>
        <v>阳</v>
      </c>
      <c r="U537" s="119">
        <f t="shared" ca="1" si="467"/>
        <v>0.2</v>
      </c>
      <c r="V537" s="47">
        <f ca="1">(1+L537)*(LOOKUP(D537,'模拟-单技能数据'!$A$2:$A$19,'模拟-单技能数据'!$D$2:$D$19)+G537*LOOKUP(D537,'模拟-单技能数据'!$A$2:$A$19,'模拟-单技能数据'!$F$2:$F$19))*(1+J537)*(1+K537)*(1-S537)*(1+U537)*Q537*LOOKUP(D537,'模拟-单技能数据'!$A$2:$A$19,'模拟-单技能数据'!$I$2:$I$20)</f>
        <v>94575.365106402023</v>
      </c>
      <c r="W537" s="47">
        <f ca="1">LOOKUP(D537,'模拟-单技能数据'!$A$2:$A$19,'模拟-单技能数据'!$G$2:$G$19)*$I$10</f>
        <v>723.0212870940959</v>
      </c>
      <c r="X537" s="47">
        <f t="shared" ca="1" si="437"/>
        <v>20448.126027313341</v>
      </c>
      <c r="Y537" s="47">
        <f t="shared" ca="1" si="468"/>
        <v>115746.51242080946</v>
      </c>
      <c r="Z537" s="49">
        <f t="shared" ca="1" si="469"/>
        <v>53318634.205785342</v>
      </c>
      <c r="AA537" s="97">
        <f t="shared" ca="1" si="470"/>
        <v>113329.3675663633</v>
      </c>
      <c r="AB537" s="115">
        <f ca="1">IF(OR(C537="赤日轮1",C537="赤日轮2",C537="赤日轮3"),IF(RAND()&lt;模拟模式!$Y$17,1,0),IF(OR(C537="幽月轮1",C537="幽月轮2",C537="幽月轮3"),IF(RAND()&lt;模拟模式!$Y$18,1,0),IF(C537="烈日斩",IF(RAND()&lt;模拟模式!$Y$19,1,0),IF(C537="银月斩",IF(RAND()&lt;模拟模式!$Y$20,1,0),IF(C537="驱夜断愁",IF(RAND()&lt;模拟模式!$Y$21,1,0),IF(C537="净世破魔击·日",IF(RAND()&lt;模拟模式!$Y$22,1,0),IF(C537="净世破魔击·月",IF(RAND()&lt;模拟模式!$Y$23,1,0),0)))))))</f>
        <v>1</v>
      </c>
      <c r="AC537" s="115" t="b">
        <f t="shared" ca="1" si="458"/>
        <v>0</v>
      </c>
      <c r="AD537" s="115" t="b">
        <f t="shared" ca="1" si="478"/>
        <v>0</v>
      </c>
      <c r="AE537" s="115">
        <f t="shared" ca="1" si="479"/>
        <v>3</v>
      </c>
      <c r="AF537" s="47">
        <f ca="1">IF(AC537,('模拟-单技能数据'!$D$20+G537*'模拟-单技能数据'!$F$20)*(1+J537)*(1+'模拟-单技能数据'!$J$20)*(1+U537),0)</f>
        <v>0</v>
      </c>
      <c r="AG537" s="61">
        <f t="shared" ca="1" si="471"/>
        <v>0.64185145527300214</v>
      </c>
      <c r="AH537" s="61">
        <f t="shared" ca="1" si="472"/>
        <v>2.2624828854998791</v>
      </c>
      <c r="AI537" s="62">
        <f t="shared" ca="1" si="438"/>
        <v>0.85517257219150311</v>
      </c>
      <c r="AJ537" s="47">
        <f ca="1">IF(AD537,IF(AI537&lt;$F$10,0,IF(AI537&lt;$F$10+$F$11,0.25,IF(AI537&lt;$F$10+$F$11+AG537,AH537,1)))*IF(AF537&gt;0,AF537,IF(AF536&gt;0,AF536,IF(AF535&gt;0,AF535,IF(AF534&gt;0,AF534,IF(AF533&gt;0,AF533,IF(AF532&gt;0,AF532,IF(AF531&gt;0,AF531,IF(AF530&gt;0,AF530,IF(AF529&gt;0,AF529,IF(AF527&gt;0,AF527,IF(AF526&gt;0,AF526,IF(AF525&gt;0,AF525,0)))))))))))),0)*(1-$S537)*'模拟-单技能数据'!$I$20</f>
        <v>0</v>
      </c>
      <c r="AK537" s="115" t="b">
        <f t="shared" ca="1" si="459"/>
        <v>1</v>
      </c>
      <c r="AL537" s="115" t="b">
        <f t="shared" ca="1" si="480"/>
        <v>1</v>
      </c>
      <c r="AM537" s="115">
        <f t="shared" ca="1" si="481"/>
        <v>5</v>
      </c>
      <c r="AN537" s="47">
        <f ca="1">IF(AK537,('模拟-单技能数据'!$D$21+G537*'模拟-单技能数据'!$F$21)*(1+J537)*(1+'模拟-单技能数据'!$J$21)*(1+U537),0)</f>
        <v>12670.936004857545</v>
      </c>
      <c r="AO537" s="61">
        <f ca="1">IF(AN537&gt;0,M537-'模拟-单技能数据'!$K$10,AO536)</f>
        <v>0.42185145527300216</v>
      </c>
      <c r="AP537" s="61">
        <f ca="1">IF(AN537&gt;0,I537-'模拟-单技能数据'!$L$10,AP536)</f>
        <v>2.162482885499879</v>
      </c>
      <c r="AQ537" s="63">
        <f t="shared" ca="1" si="439"/>
        <v>0.50990145914462315</v>
      </c>
      <c r="AR537" s="64">
        <f ca="1">IF(AL537,IF(AQ537&lt;$F$10,0,IF(AQ537&lt;$F$10+$F$11,0.25,IF(AQ537&lt;$F$10+$F$11+AO537,AP537,1)))*IF(AN537&gt;0,AN537,IF(AN536&gt;0,AN536,IF(AN535&gt;0,AN535,IF(AN534&gt;0,AN534,IF(AN533&gt;0,AN533,IF(AN532&gt;0,AN532,IF(AN531&gt;0,AN531,IF(AN530&gt;0,AN530,IF(AN529&gt;0,AN529,IF(AN527&gt;0,AN527,IF(AN526&gt;0,AN526,IF(AN525&gt;0,AN525,0)))))))))))),0)*(1-$S537)*'模拟-单技能数据'!$I$21</f>
        <v>11607.89185245618</v>
      </c>
      <c r="AS537" s="61">
        <f ca="1">IF(OR(C537="净世破魔击·日",C537="净世破魔击·月"),M537-'模拟-单技能数据'!$K$10,0)</f>
        <v>0.42185145527300216</v>
      </c>
      <c r="AT537" s="61">
        <f ca="1">IF(OR(C537="净世破魔击·日",C537="净世破魔击·月"),I537-'模拟-单技能数据'!$L$10,0)</f>
        <v>2.162482885499879</v>
      </c>
      <c r="AU537" s="62">
        <f t="shared" ca="1" si="440"/>
        <v>0.56828064085948315</v>
      </c>
      <c r="AV537" s="64">
        <f ca="1">IF(AS537&gt;0,('模拟-单技能数据'!$D$22+G537*'模拟-单技能数据'!$F$22)*(1+J537)*(1-S537)*IF(AU537&lt;$F$10,0,IF(AU537&lt;$F$10+$F$11,0.25,IF(AU537&lt;$F$10+$F$11+AS537,AT537,1)))*(1+U537),0)*'模拟-单技能数据'!$I$22</f>
        <v>8840.2341748571616</v>
      </c>
      <c r="AW537" s="108">
        <f t="shared" ca="1" si="441"/>
        <v>0</v>
      </c>
      <c r="AX537" s="108" t="b">
        <f ca="1">AND(模拟模式!$P$10="有",AW536=0,RAND()&lt;IF(C537="净世破魔击·月",0.1*8/3,IF(C537="净世破魔击·日",0.1*4/3,0.1*2/3)))</f>
        <v>0</v>
      </c>
      <c r="AY537" s="47">
        <f ca="1">IF(AX537,(18+G537*0.722)*(1+J537)*(1-S537)*(1+$I$4)*IF(P537="会",'模拟-全程加成'!$J$3+'模拟-全程加成'!$J$4+'模拟-全程加成'!$J$5+('模拟-全程加成'!$I$4+'模拟-全程加成'!$I$5)/系数!$B$4+BG537*10%,IF(P537="命",1,IF(P537="识",0.25,0))),0)</f>
        <v>0</v>
      </c>
      <c r="AZ537" s="108">
        <f t="shared" si="442"/>
        <v>16.310000000000002</v>
      </c>
      <c r="BA537" s="108" t="b">
        <f>AND(模拟模式!$Q$10="有",AZ536=0)</f>
        <v>0</v>
      </c>
      <c r="BB537" s="140">
        <f>IF(BA537,(0+G537*0.287)*(1+J537)*(1-S537)*(1+$I$4)*IF(P537="会",'模拟-全程加成'!$J$3+'模拟-全程加成'!$J$4+'模拟-全程加成'!$J$5+('模拟-全程加成'!$I$4+'模拟-全程加成'!$I$5)/系数!$B$4+BG537*10%,IF(P537="命",1,IF(P537="识",0.25,0))),0)</f>
        <v>0</v>
      </c>
      <c r="BC537" s="115" t="b">
        <f ca="1">AND(模拟模式!$R$7="伏明众生",E537=60,F537=20,DA537&lt;5,CZ536&lt;$F$4)</f>
        <v>0</v>
      </c>
      <c r="BD537" s="115">
        <f t="shared" ca="1" si="460"/>
        <v>0</v>
      </c>
      <c r="BE537" s="115" t="b">
        <f t="shared" ca="1" si="461"/>
        <v>0</v>
      </c>
      <c r="BF537" s="47">
        <f ca="1">IF(BC537,4*('模拟-单技能数据'!$D$24+G537*'模拟-单技能数据'!$F$24)*(1+J537)*(1+'模拟-单技能数据'!$J$24)*(1-S537)*(1+$I$3)*(('模拟-全程加成'!$J$3+'模拟-全程加成'!$J$4+'模拟-全程加成'!$J$5+('模拟-全程加成'!$I$4+'模拟-全程加成'!$I$5)/系数!$B$4+BG537*10%)*('模拟-全程加成'!$J$3+'模拟-全程加成'!$J$4+'模拟-全程加成'!$J$5+('模拟-全程加成'!$I$4+'模拟-全程加成'!$I$5)/系数!$B$4+BG537*10%)+(1-('模拟-全程加成'!$J$3+'模拟-全程加成'!$J$4+'模拟-全程加成'!$J$5+('模拟-全程加成'!$I$4+'模拟-全程加成'!$I$5)/系数!$B$4+BG537*10%)-$F$10-$F$11)+F523*0.25),0)*'模拟-单技能数据'!$I$24</f>
        <v>0</v>
      </c>
      <c r="BG537" s="115" t="b">
        <f ca="1">OR(AND(OR(C537="烈日斩",C537="银月斩"),模拟模式!$I$7="净身明礼"),AND(C537="净世破魔击·日",模拟模式!$J$7="洞若观火"),AND(C538="净世破魔击·月",模拟模式!$J$7="洞若观火"),AB537=1)</f>
        <v>1</v>
      </c>
      <c r="BH537" s="115" t="b">
        <f t="shared" ca="1" si="443"/>
        <v>0</v>
      </c>
      <c r="BI537" s="115">
        <f t="shared" ca="1" si="462"/>
        <v>5.0774999999999997</v>
      </c>
      <c r="BJ537" s="115" t="b">
        <f t="shared" ca="1" si="473"/>
        <v>1</v>
      </c>
      <c r="BK537" s="115" t="b">
        <f ca="1">AND(C537="驱夜断愁",模拟模式!$P$7="天地诛戮")</f>
        <v>0</v>
      </c>
      <c r="BL537" s="57">
        <f t="shared" ca="1" si="463"/>
        <v>16.310000000000002</v>
      </c>
      <c r="BM537" s="115" t="b">
        <f t="shared" ca="1" si="474"/>
        <v>1</v>
      </c>
      <c r="BN537" s="115" t="b">
        <f ca="1">AND(OR(C537="赤日轮1",C537="赤日轮2",C537="赤日轮3",C537="幽月轮1",C537="幽月轮2",C537="幽月轮3"),AB537=1,模拟模式!$L$7="明光恒照")</f>
        <v>0</v>
      </c>
      <c r="BO537" s="117">
        <f t="shared" ca="1" si="464"/>
        <v>28.155000000000001</v>
      </c>
      <c r="BP537" s="115">
        <f t="shared" ca="1" si="444"/>
        <v>6</v>
      </c>
      <c r="BQ537" s="115" t="b">
        <f>模拟模式!$K$10="2600·水"</f>
        <v>0</v>
      </c>
      <c r="BR537" s="117">
        <f t="shared" si="445"/>
        <v>0</v>
      </c>
      <c r="BS537" s="115">
        <f t="shared" si="446"/>
        <v>0</v>
      </c>
      <c r="BT537" s="115">
        <f t="shared" ca="1" si="447"/>
        <v>0</v>
      </c>
      <c r="BU537" s="115" t="b">
        <f ca="1">AND(模拟模式!$K$10="2300·雷",BT536=0,RAND()&lt;IF(C537="净世破魔击·月",5*0.05*2/3,IF(C537="净世破魔击·日",3*0.05*2/3,0.05*2*2/3)))</f>
        <v>0</v>
      </c>
      <c r="BV537" s="115">
        <f t="shared" ca="1" si="448"/>
        <v>0</v>
      </c>
      <c r="BW537" s="115">
        <f t="shared" ca="1" si="449"/>
        <v>84.982499999999263</v>
      </c>
      <c r="BX537" s="164" t="b">
        <f t="shared" ca="1" si="450"/>
        <v>0</v>
      </c>
      <c r="BY537" s="115">
        <f t="shared" ca="1" si="451"/>
        <v>0</v>
      </c>
      <c r="BZ537" s="115">
        <f>IF(OR(模拟模式!$P$16="10人团",模拟模式!$P$16="25人团"),IF(B537/30&gt;CA536,1,0),0)</f>
        <v>0</v>
      </c>
      <c r="CA537" s="115">
        <f t="shared" si="427"/>
        <v>0</v>
      </c>
      <c r="CB537" s="115">
        <f ca="1">IF(BZ537=1,IF(模拟模式!$P$16="10人团",15,0)+IF(模拟模式!$P$16="25人团",IF(RAND()&lt;0.6,15,0)),MAX(0,CB536-$F$4))</f>
        <v>0</v>
      </c>
      <c r="CC537" s="115" t="b">
        <f t="shared" ca="1" si="475"/>
        <v>0</v>
      </c>
      <c r="CD537" s="115">
        <f>IF(模拟模式!$Q$16="1个",IF(B537/40&gt;CE536,1,0),0)</f>
        <v>0</v>
      </c>
      <c r="CE537" s="115">
        <f t="shared" si="476"/>
        <v>0</v>
      </c>
      <c r="CF537" s="115">
        <f>IF(OR(CD537=1,模拟模式!$Q$16="2个"),20,MAX(0,CF536-$F$4))</f>
        <v>0</v>
      </c>
      <c r="CG537" s="115" t="b">
        <f t="shared" si="477"/>
        <v>0</v>
      </c>
      <c r="CH537" s="115">
        <f t="shared" ca="1" si="452"/>
        <v>6.0150000000000121</v>
      </c>
      <c r="CI537" s="115" t="b">
        <f t="shared" ca="1" si="453"/>
        <v>0</v>
      </c>
      <c r="CJ537" s="119">
        <f t="shared" ca="1" si="454"/>
        <v>0</v>
      </c>
      <c r="CK537" s="115">
        <f t="shared" ca="1" si="455"/>
        <v>0</v>
      </c>
      <c r="CL537" s="115" t="b">
        <f ca="1">AND(模拟模式!$S$7="驱夷逐法",OR(AND(C537="净世破魔击·月",E536&gt;59),AND(C537="净世破魔击·日",F536&gt;59)))</f>
        <v>0</v>
      </c>
      <c r="CM537" s="115" t="b">
        <f ca="1">OR(CL537,AND(C537="净世破魔击·日",CL536,RAND()&lt;模拟模式!$U$23))</f>
        <v>1</v>
      </c>
      <c r="CN537" s="115" t="b">
        <f ca="1">IF(模拟模式!$M$7="辉耀红尘",AND(C537="净世破魔击·月",CL537,CV537=0,E536&lt;80),AND(C537="净世破魔击·月",CL537,E536&lt;100))</f>
        <v>0</v>
      </c>
      <c r="CO537" s="115" t="b">
        <f t="shared" ca="1" si="428"/>
        <v>0</v>
      </c>
      <c r="CP537" s="115" t="b">
        <f ca="1">AND(模拟模式!$O$7="用晦而明",OR(C537="净世破魔击·日",C537="净世破魔击·月",C537="驱夜断愁"),AB537)</f>
        <v>1</v>
      </c>
      <c r="CQ537" s="115" t="b">
        <f ca="1">OR(CP537,AND(CP536,RAND()&lt;模拟模式!$U$23))</f>
        <v>1</v>
      </c>
      <c r="CR537" s="115" t="b">
        <f ca="1">AND(模拟模式!$S$7="日月齐光",OR(C537="幽月轮1",C537="幽月轮2",C537="幽月轮3",CR536),NOT(OR(C537="赤日轮1",C537="赤日轮2",C537="赤日轮3")))</f>
        <v>0</v>
      </c>
      <c r="CS537" s="115" t="b">
        <f ca="1">AND(模拟模式!$S$7="日月齐光",OR(C537="赤日轮1",C537="赤日轮2",C537="赤日轮3",CS536),NOT(OR(C537="幽月轮1",C537="幽月轮2",C537="幽月轮3")))</f>
        <v>0</v>
      </c>
      <c r="CT537" s="115">
        <f t="shared" ca="1" si="456"/>
        <v>0</v>
      </c>
      <c r="CU537" s="115" t="b">
        <f ca="1">AND(模拟模式!$K$10="阴阳往极",CT536=0,RAND()&lt;IF(C537="净世破魔击·月",0.0275*7/3,IF(C537="净世破魔击·日",0.0275*3/3,0.0275*2/3)))</f>
        <v>0</v>
      </c>
      <c r="CV537" s="115">
        <f t="shared" ca="1" si="457"/>
        <v>0</v>
      </c>
      <c r="CW537" s="115">
        <f t="shared" ca="1" si="429"/>
        <v>3.2324999999999995</v>
      </c>
      <c r="CX537" s="115">
        <f t="shared" ca="1" si="430"/>
        <v>1.3874999999999997</v>
      </c>
      <c r="CY537" s="115">
        <f ca="1">MAX(IF($C537="驱夜断愁",IF(模拟模式!$R$7="万念俱寂",6,45),CY536-$F$4),0)</f>
        <v>2.3099999999999996</v>
      </c>
      <c r="CZ537" s="115">
        <f t="shared" ca="1" si="431"/>
        <v>0</v>
      </c>
      <c r="DA537" s="115">
        <f ca="1">IF(模拟模式!$N$7="日月同辉",IF(DB536=2,0,MIN(6,IF(AND(OR(C537="赤日轮1",C537="赤日轮2",C537="赤日轮3",C537="幽月轮1",C537="幽月轮2",C537="幽月轮3"),AB537=1),DA536+1,DA536))),0)</f>
        <v>1</v>
      </c>
      <c r="DB537" s="115">
        <f t="shared" ca="1" si="432"/>
        <v>0</v>
      </c>
      <c r="DC537" s="115"/>
      <c r="DD537" s="115"/>
      <c r="DE537" s="115"/>
      <c r="DF537" s="115"/>
      <c r="DG537" s="115"/>
      <c r="DH537" s="115"/>
      <c r="DI537" s="115"/>
      <c r="DJ537" s="115"/>
      <c r="DK537" s="115"/>
      <c r="DL537" s="115"/>
      <c r="DM537" s="115"/>
    </row>
    <row r="538" spans="2:117" x14ac:dyDescent="0.2">
      <c r="B538" s="117">
        <f t="shared" si="433"/>
        <v>471.39750000000498</v>
      </c>
      <c r="C538" s="167" t="str">
        <f t="shared" ca="1" si="426"/>
        <v>赤日轮1</v>
      </c>
      <c r="D538" s="115">
        <f ca="1">IF(C538="赤日轮1",1,IF(C538="赤日轮2",2,IF(C538="赤日轮3",3,IF(C538="幽月轮1",4,IF(C538="幽月轮2",5,IF(C538="幽月轮3",6,IF(C538="烈日斩",7,IF(C538="银月斩",8,IF(C538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538="净世破魔击·月",17,IF(C538="驱夜断愁",18,0)))))))))))</f>
        <v>1</v>
      </c>
      <c r="E538" s="115">
        <f ca="1">IF(AND(CU538,OR(C538="幽月轮1",C538="幽月轮2",C538="幽月轮3",C538="银月斩",C538="驱夜断愁",C538="净世破魔击·月")),100,MIN(IF(OR(CN538,BE538),0,IF(OR($C538="赤日轮1",$C538="赤日轮2",$C538="赤日轮3"),E537+20+IF(模拟模式!$I$7="日月凌天",4,0)+IF(CR537,20,0),IF($C538="烈日斩",E537+40,IF($C538="驱夜断愁",IF(模拟模式!$R$7="万念俱寂",E537+20,E537+60),IF($C538="净世破魔击·月",IF(OR(DB537&gt;0,CV537&gt;0),100,IF(模拟模式!$M$7="辉耀红尘",E537+20,E537)),IF($C538="净世破魔击·日",E537-100,E537)))))),100))</f>
        <v>20</v>
      </c>
      <c r="F538" s="115">
        <f ca="1">IF(AND(CU538,OR(C538="赤日轮1",C538="赤日轮2",C538="赤日轮3",C538="烈日斩",C538="净世破魔击·日")),100,MIN(IF(CO538,0,IF(OR($C538="幽月轮1",$C538="幽月轮2",$C538="幽月轮3"),F537+20+IF(模拟模式!$I$7="日月凌天",4,0)+IF(CS537,20,0),IF($C538="银月斩",F537+40+IF(模拟模式!$X$12=1,5,0),IF($C538="驱夜断愁",IF(模拟模式!$R$7="万念俱寂",F537+20,F537+60),IF($C538="净世破魔击·月",IF(模拟模式!$M$7="辉耀红尘",F537-80,F537-100),IF(AND(C538="净世破魔击·日",OR(DB537&gt;0,CV537&gt;0)),100,F537)))))),100))</f>
        <v>20</v>
      </c>
      <c r="G538" s="117">
        <f ca="1">('模拟-全程加成'!$E$3+'模拟-全程加成'!$E$4+'模拟-全程加成'!$E$5+('模拟-全程加成'!$C$6-'模拟-全程加成'!$C$3)*系数!$B$9+BS538*23)*(1+'模拟-全程加成'!$F$4+'模拟-全程加成'!$F$5+BJ538*10%+BM538*20%+BP538*4%+CG538*30%)+$F$7*系数!$B$12</f>
        <v>21493.829400000002</v>
      </c>
      <c r="H538" s="45">
        <f ca="1">'模拟-全程加成'!$H$3+'模拟-全程加成'!$H$4+'模拟-全程加成'!$H$5+('模拟-全程加成'!$G$4+'模拟-全程加成'!$G$5+('模拟-全程加成'!$C$6-'模拟-全程加成'!$C$3)*系数!$B$13)/系数!$B$3+LOOKUP(D538,'模拟-单技能数据'!$A$2:$A$19,'模拟-单技能数据'!$K$2:$K$19)+BG538*10%+IF(BV538&gt;0,378,0)</f>
        <v>0.4618514552730022</v>
      </c>
      <c r="I538" s="45">
        <f ca="1">'模拟-全程加成'!$J$3+'模拟-全程加成'!$J$4+'模拟-全程加成'!$J$5+('模拟-全程加成'!$I$4+'模拟-全程加成'!$I$5)/系数!$B$4+LOOKUP(D538,'模拟-单技能数据'!$A$2:$A$19,'模拟-单技能数据'!$L$2:$L$19)+BG538*10%</f>
        <v>2.162482885499879</v>
      </c>
      <c r="J538" s="45">
        <f ca="1">(('模拟-全程加成'!$K$3+'模拟-全程加成'!$K$4+'模拟-全程加成'!$K$5+('模拟-全程加成'!$C$6-'模拟-全程加成'!$C$3)*系数!$B$10+IF(BV538&gt;0,882,0)+IF(BY538&gt;0,1831,0))*(1+'模拟-全程加成'!$L$4+'模拟-全程加成'!$L$5+CC538*20%))/系数!$B$5</f>
        <v>0.69723220422048726</v>
      </c>
      <c r="K538" s="119">
        <f ca="1">LOOKUP(D538,'模拟-单技能数据'!$A$2:$A$19,'模拟-单技能数据'!$J$2:$J$19)+IF(CM538,60%,0)+IF(DB537-DB538&gt;0,30%,0)+IF(OR(AND(OR(C538="赤日轮1",C538="赤日轮2",C538="赤日轮3"),CR538),AND(OR(C538="幽月轮1",C538="幽月轮2",C538="幽月轮3"),CS538)),35%,0)+CJ538</f>
        <v>0.12</v>
      </c>
      <c r="L538" s="119">
        <f ca="1">IF(AND(C538="烈日斩",模拟模式!$X$11=1),10%,0)+IF(AND(C538="驱夜断愁",AB538=1),30%,0)</f>
        <v>0</v>
      </c>
      <c r="M538" s="45">
        <f t="shared" ca="1" si="465"/>
        <v>0.4618514552730022</v>
      </c>
      <c r="N538" s="45">
        <f t="shared" ca="1" si="466"/>
        <v>0.48424854472699785</v>
      </c>
      <c r="O538" s="46">
        <f t="shared" ca="1" si="434"/>
        <v>0.44933121461020209</v>
      </c>
      <c r="P538" s="46" t="str">
        <f t="shared" ca="1" si="435"/>
        <v>会</v>
      </c>
      <c r="Q538" s="45">
        <f t="shared" ca="1" si="436"/>
        <v>2.162482885499879</v>
      </c>
      <c r="R538" s="117">
        <f ca="1">模拟模式!$E$20*(1-IF(模拟模式!$J$19="有",0.15,0))*(1-IF(模拟模式!$K$19="有",0.3,0)-IF(CQ538,0.5,0))</f>
        <v>843.02999999999975</v>
      </c>
      <c r="S538" s="45">
        <f ca="1">R538/(R538+(185*模拟模式!$E$22-16800)*4.08224)</f>
        <v>8.389626085980037E-2</v>
      </c>
      <c r="T538" s="45" t="str">
        <f ca="1">LOOKUP(D538,'模拟-单技能数据'!$A$2:$A$19,'模拟-单技能数据'!$H$2:$H$19)</f>
        <v>阳</v>
      </c>
      <c r="U538" s="119">
        <f t="shared" ca="1" si="467"/>
        <v>0.2</v>
      </c>
      <c r="V538" s="47">
        <f ca="1">(1+L538)*(LOOKUP(D538,'模拟-单技能数据'!$A$2:$A$19,'模拟-单技能数据'!$D$2:$D$19)+G538*LOOKUP(D538,'模拟-单技能数据'!$A$2:$A$19,'模拟-单技能数据'!$F$2:$F$19))*(1+J538)*(1+K538)*(1-S538)*(1+U538)*Q538*LOOKUP(D538,'模拟-单技能数据'!$A$2:$A$19,'模拟-单技能数据'!$I$2:$I$20)</f>
        <v>56864.156113360666</v>
      </c>
      <c r="W538" s="47">
        <f ca="1">LOOKUP(D538,'模拟-单技能数据'!$A$2:$A$19,'模拟-单技能数据'!$G$2:$G$19)*$I$10</f>
        <v>361.51064354704795</v>
      </c>
      <c r="X538" s="47">
        <f t="shared" ca="1" si="437"/>
        <v>9616.6571145767884</v>
      </c>
      <c r="Y538" s="47">
        <f t="shared" ca="1" si="468"/>
        <v>66842.323871484492</v>
      </c>
      <c r="Z538" s="49">
        <f t="shared" ca="1" si="469"/>
        <v>53385476.529656827</v>
      </c>
      <c r="AA538" s="97">
        <f t="shared" ca="1" si="470"/>
        <v>113249.38407534249</v>
      </c>
      <c r="AB538" s="115">
        <f ca="1">IF(OR(C538="赤日轮1",C538="赤日轮2",C538="赤日轮3"),IF(RAND()&lt;模拟模式!$Y$17,1,0),IF(OR(C538="幽月轮1",C538="幽月轮2",C538="幽月轮3"),IF(RAND()&lt;模拟模式!$Y$18,1,0),IF(C538="烈日斩",IF(RAND()&lt;模拟模式!$Y$19,1,0),IF(C538="银月斩",IF(RAND()&lt;模拟模式!$Y$20,1,0),IF(C538="驱夜断愁",IF(RAND()&lt;模拟模式!$Y$21,1,0),IF(C538="净世破魔击·日",IF(RAND()&lt;模拟模式!$Y$22,1,0),IF(C538="净世破魔击·月",IF(RAND()&lt;模拟模式!$Y$23,1,0),0)))))))</f>
        <v>1</v>
      </c>
      <c r="AC538" s="115" t="b">
        <f t="shared" ca="1" si="458"/>
        <v>0</v>
      </c>
      <c r="AD538" s="115" t="b">
        <f t="shared" ca="1" si="478"/>
        <v>1</v>
      </c>
      <c r="AE538" s="115">
        <f t="shared" ca="1" si="479"/>
        <v>2</v>
      </c>
      <c r="AF538" s="47">
        <f ca="1">IF(AC538,('模拟-单技能数据'!$D$20+G538*'模拟-单技能数据'!$F$20)*(1+J538)*(1+'模拟-单技能数据'!$J$20)*(1+U538),0)</f>
        <v>0</v>
      </c>
      <c r="AG538" s="61">
        <f t="shared" ca="1" si="471"/>
        <v>0.64185145527300214</v>
      </c>
      <c r="AH538" s="61">
        <f t="shared" ca="1" si="472"/>
        <v>2.2624828854998791</v>
      </c>
      <c r="AI538" s="62">
        <f t="shared" ca="1" si="438"/>
        <v>0.21376968309981503</v>
      </c>
      <c r="AJ538" s="47">
        <f ca="1">IF(AD538,IF(AI538&lt;$F$10,0,IF(AI538&lt;$F$10+$F$11,0.25,IF(AI538&lt;$F$10+$F$11+AG538,AH538,1)))*IF(AF538&gt;0,AF538,IF(AF537&gt;0,AF537,IF(AF536&gt;0,AF536,IF(AF535&gt;0,AF535,IF(AF534&gt;0,AF534,IF(AF533&gt;0,AF533,IF(AF532&gt;0,AF532,IF(AF531&gt;0,AF531,IF(AF530&gt;0,AF530,IF(AF528&gt;0,AF528,IF(AF527&gt;0,AF527,IF(AF526&gt;0,AF526,0)))))))))))),0)*(1-$S538)*'模拟-单技能数据'!$I$20</f>
        <v>9616.6571145767884</v>
      </c>
      <c r="AK538" s="115" t="b">
        <f t="shared" ca="1" si="459"/>
        <v>0</v>
      </c>
      <c r="AL538" s="115" t="b">
        <f t="shared" ca="1" si="480"/>
        <v>0</v>
      </c>
      <c r="AM538" s="115">
        <f t="shared" ca="1" si="481"/>
        <v>5</v>
      </c>
      <c r="AN538" s="47">
        <f ca="1">IF(AK538,('模拟-单技能数据'!$D$21+G538*'模拟-单技能数据'!$F$21)*(1+J538)*(1+'模拟-单技能数据'!$J$21)*(1+U538),0)</f>
        <v>0</v>
      </c>
      <c r="AO538" s="61">
        <f ca="1">IF(AN538&gt;0,M538-'模拟-单技能数据'!$K$10,AO537)</f>
        <v>0.42185145527300216</v>
      </c>
      <c r="AP538" s="61">
        <f ca="1">IF(AN538&gt;0,I538-'模拟-单技能数据'!$L$10,AP537)</f>
        <v>2.162482885499879</v>
      </c>
      <c r="AQ538" s="63">
        <f t="shared" ca="1" si="439"/>
        <v>1.6443155559001776E-2</v>
      </c>
      <c r="AR538" s="64">
        <f ca="1">IF(AL538,IF(AQ538&lt;$F$10,0,IF(AQ538&lt;$F$10+$F$11,0.25,IF(AQ538&lt;$F$10+$F$11+AO538,AP538,1)))*IF(AN538&gt;0,AN538,IF(AN537&gt;0,AN537,IF(AN536&gt;0,AN536,IF(AN535&gt;0,AN535,IF(AN534&gt;0,AN534,IF(AN533&gt;0,AN533,IF(AN532&gt;0,AN532,IF(AN531&gt;0,AN531,IF(AN530&gt;0,AN530,IF(AN528&gt;0,AN528,IF(AN527&gt;0,AN527,IF(AN526&gt;0,AN526,0)))))))))))),0)*(1-$S538)*'模拟-单技能数据'!$I$21</f>
        <v>0</v>
      </c>
      <c r="AS538" s="61">
        <f ca="1">IF(OR(C538="净世破魔击·日",C538="净世破魔击·月"),M538-'模拟-单技能数据'!$K$10,0)</f>
        <v>0</v>
      </c>
      <c r="AT538" s="61">
        <f ca="1">IF(OR(C538="净世破魔击·日",C538="净世破魔击·月"),I538-'模拟-单技能数据'!$L$10,0)</f>
        <v>0</v>
      </c>
      <c r="AU538" s="62">
        <f t="shared" ca="1" si="440"/>
        <v>0.94657187862053682</v>
      </c>
      <c r="AV538" s="64">
        <f ca="1">IF(AS538&gt;0,('模拟-单技能数据'!$D$22+G538*'模拟-单技能数据'!$F$22)*(1+J538)*(1-S538)*IF(AU538&lt;$F$10,0,IF(AU538&lt;$F$10+$F$11,0.25,IF(AU538&lt;$F$10+$F$11+AS538,AT538,1)))*(1+U538),0)*'模拟-单技能数据'!$I$22</f>
        <v>0</v>
      </c>
      <c r="AW538" s="108">
        <f t="shared" ca="1" si="441"/>
        <v>0</v>
      </c>
      <c r="AX538" s="108" t="b">
        <f ca="1">AND(模拟模式!$P$10="有",AW537=0,RAND()&lt;IF(C538="净世破魔击·月",0.1*8/3,IF(C538="净世破魔击·日",0.1*4/3,0.1*2/3)))</f>
        <v>0</v>
      </c>
      <c r="AY538" s="47">
        <f ca="1">IF(AX538,(18+G538*0.722)*(1+J538)*(1-S538)*(1+$I$4)*IF(P538="会",'模拟-全程加成'!$J$3+'模拟-全程加成'!$J$4+'模拟-全程加成'!$J$5+('模拟-全程加成'!$I$4+'模拟-全程加成'!$I$5)/系数!$B$4+BG538*10%,IF(P538="命",1,IF(P538="识",0.25,0))),0)</f>
        <v>0</v>
      </c>
      <c r="AZ538" s="108">
        <f t="shared" si="442"/>
        <v>15.387500000000003</v>
      </c>
      <c r="BA538" s="108" t="b">
        <f>AND(模拟模式!$Q$10="有",AZ537=0)</f>
        <v>0</v>
      </c>
      <c r="BB538" s="140">
        <f>IF(BA538,(0+G538*0.287)*(1+J538)*(1-S538)*(1+$I$4)*IF(P538="会",'模拟-全程加成'!$J$3+'模拟-全程加成'!$J$4+'模拟-全程加成'!$J$5+('模拟-全程加成'!$I$4+'模拟-全程加成'!$I$5)/系数!$B$4+BG538*10%,IF(P538="命",1,IF(P538="识",0.25,0))),0)</f>
        <v>0</v>
      </c>
      <c r="BC538" s="115" t="b">
        <f ca="1">AND(模拟模式!$R$7="伏明众生",E538=60,F538=20,DA538&lt;5,CZ537&lt;$F$4)</f>
        <v>0</v>
      </c>
      <c r="BD538" s="115">
        <f t="shared" ca="1" si="460"/>
        <v>0</v>
      </c>
      <c r="BE538" s="115" t="b">
        <f t="shared" ca="1" si="461"/>
        <v>0</v>
      </c>
      <c r="BF538" s="47">
        <f ca="1">IF(BC538,4*('模拟-单技能数据'!$D$24+G538*'模拟-单技能数据'!$F$24)*(1+J538)*(1+'模拟-单技能数据'!$J$24)*(1-S538)*(1+$I$3)*(('模拟-全程加成'!$J$3+'模拟-全程加成'!$J$4+'模拟-全程加成'!$J$5+('模拟-全程加成'!$I$4+'模拟-全程加成'!$I$5)/系数!$B$4+BG538*10%)*('模拟-全程加成'!$J$3+'模拟-全程加成'!$J$4+'模拟-全程加成'!$J$5+('模拟-全程加成'!$I$4+'模拟-全程加成'!$I$5)/系数!$B$4+BG538*10%)+(1-('模拟-全程加成'!$J$3+'模拟-全程加成'!$J$4+'模拟-全程加成'!$J$5+('模拟-全程加成'!$I$4+'模拟-全程加成'!$I$5)/系数!$B$4+BG538*10%)-$F$10-$F$11)+F524*0.25),0)*'模拟-单技能数据'!$I$24</f>
        <v>0</v>
      </c>
      <c r="BG538" s="115" t="b">
        <f ca="1">OR(AND(OR(C538="烈日斩",C538="银月斩"),模拟模式!$I$7="净身明礼"),AND(C538="净世破魔击·日",模拟模式!$J$7="洞若观火"),AND(C539="净世破魔击·月",模拟模式!$J$7="洞若观火"),AB538=1)</f>
        <v>1</v>
      </c>
      <c r="BH538" s="115" t="b">
        <f t="shared" ca="1" si="443"/>
        <v>0</v>
      </c>
      <c r="BI538" s="115">
        <f t="shared" ca="1" si="462"/>
        <v>4.1549999999999994</v>
      </c>
      <c r="BJ538" s="115" t="b">
        <f t="shared" ca="1" si="473"/>
        <v>1</v>
      </c>
      <c r="BK538" s="115" t="b">
        <f ca="1">AND(C538="驱夜断愁",模拟模式!$P$7="天地诛戮")</f>
        <v>0</v>
      </c>
      <c r="BL538" s="57">
        <f t="shared" ca="1" si="463"/>
        <v>15.387500000000003</v>
      </c>
      <c r="BM538" s="115" t="b">
        <f t="shared" ca="1" si="474"/>
        <v>1</v>
      </c>
      <c r="BN538" s="115" t="b">
        <f ca="1">AND(OR(C538="赤日轮1",C538="赤日轮2",C538="赤日轮3",C538="幽月轮1",C538="幽月轮2",C538="幽月轮3"),AB538=1,模拟模式!$L$7="明光恒照")</f>
        <v>1</v>
      </c>
      <c r="BO538" s="117">
        <f t="shared" ca="1" si="464"/>
        <v>30</v>
      </c>
      <c r="BP538" s="115">
        <f t="shared" ca="1" si="444"/>
        <v>6</v>
      </c>
      <c r="BQ538" s="115" t="b">
        <f>模拟模式!$K$10="2600·水"</f>
        <v>0</v>
      </c>
      <c r="BR538" s="117">
        <f t="shared" si="445"/>
        <v>0</v>
      </c>
      <c r="BS538" s="115">
        <f t="shared" si="446"/>
        <v>0</v>
      </c>
      <c r="BT538" s="115">
        <f t="shared" ca="1" si="447"/>
        <v>0</v>
      </c>
      <c r="BU538" s="115" t="b">
        <f ca="1">AND(模拟模式!$K$10="2300·雷",BT537=0,RAND()&lt;IF(C538="净世破魔击·月",5*0.05*2/3,IF(C538="净世破魔击·日",3*0.05*2/3,0.05*2*2/3)))</f>
        <v>0</v>
      </c>
      <c r="BV538" s="115">
        <f t="shared" ca="1" si="448"/>
        <v>0</v>
      </c>
      <c r="BW538" s="115">
        <f t="shared" ca="1" si="449"/>
        <v>84.059999999999263</v>
      </c>
      <c r="BX538" s="164" t="b">
        <f t="shared" ca="1" si="450"/>
        <v>0</v>
      </c>
      <c r="BY538" s="115">
        <f t="shared" ca="1" si="451"/>
        <v>0</v>
      </c>
      <c r="BZ538" s="115">
        <f>IF(OR(模拟模式!$P$16="10人团",模拟模式!$P$16="25人团"),IF(B538/30&gt;CA537,1,0),0)</f>
        <v>0</v>
      </c>
      <c r="CA538" s="115">
        <f t="shared" si="427"/>
        <v>0</v>
      </c>
      <c r="CB538" s="115">
        <f ca="1">IF(BZ538=1,IF(模拟模式!$P$16="10人团",15,0)+IF(模拟模式!$P$16="25人团",IF(RAND()&lt;0.6,15,0)),MAX(0,CB537-$F$4))</f>
        <v>0</v>
      </c>
      <c r="CC538" s="115" t="b">
        <f t="shared" ca="1" si="475"/>
        <v>0</v>
      </c>
      <c r="CD538" s="115">
        <f>IF(模拟模式!$Q$16="1个",IF(B538/40&gt;CE537,1,0),0)</f>
        <v>0</v>
      </c>
      <c r="CE538" s="115">
        <f t="shared" si="476"/>
        <v>0</v>
      </c>
      <c r="CF538" s="115">
        <f>IF(OR(CD538=1,模拟模式!$Q$16="2个"),20,MAX(0,CF537-$F$4))</f>
        <v>0</v>
      </c>
      <c r="CG538" s="115" t="b">
        <f t="shared" si="477"/>
        <v>0</v>
      </c>
      <c r="CH538" s="115">
        <f t="shared" ca="1" si="452"/>
        <v>5.0925000000000118</v>
      </c>
      <c r="CI538" s="115" t="b">
        <f t="shared" ca="1" si="453"/>
        <v>0</v>
      </c>
      <c r="CJ538" s="119">
        <f t="shared" ca="1" si="454"/>
        <v>0</v>
      </c>
      <c r="CK538" s="115">
        <f t="shared" ca="1" si="455"/>
        <v>0</v>
      </c>
      <c r="CL538" s="115" t="b">
        <f ca="1">AND(模拟模式!$S$7="驱夷逐法",OR(AND(C538="净世破魔击·月",E537&gt;59),AND(C538="净世破魔击·日",F537&gt;59)))</f>
        <v>0</v>
      </c>
      <c r="CM538" s="115" t="b">
        <f ca="1">OR(CL538,AND(C538="净世破魔击·日",CL537,RAND()&lt;模拟模式!$U$23))</f>
        <v>0</v>
      </c>
      <c r="CN538" s="115" t="b">
        <f ca="1">IF(模拟模式!$M$7="辉耀红尘",AND(C538="净世破魔击·月",CL538,CV538=0,E537&lt;80),AND(C538="净世破魔击·月",CL538,E537&lt;100))</f>
        <v>0</v>
      </c>
      <c r="CO538" s="115" t="b">
        <f t="shared" ca="1" si="428"/>
        <v>0</v>
      </c>
      <c r="CP538" s="115" t="b">
        <f ca="1">AND(模拟模式!$O$7="用晦而明",OR(C538="净世破魔击·日",C538="净世破魔击·月",C538="驱夜断愁"),AB538)</f>
        <v>0</v>
      </c>
      <c r="CQ538" s="115" t="b">
        <f ca="1">OR(CP538,AND(CP537,RAND()&lt;模拟模式!$U$23))</f>
        <v>1</v>
      </c>
      <c r="CR538" s="115" t="b">
        <f ca="1">AND(模拟模式!$S$7="日月齐光",OR(C538="幽月轮1",C538="幽月轮2",C538="幽月轮3",CR537),NOT(OR(C538="赤日轮1",C538="赤日轮2",C538="赤日轮3")))</f>
        <v>0</v>
      </c>
      <c r="CS538" s="115" t="b">
        <f ca="1">AND(模拟模式!$S$7="日月齐光",OR(C538="赤日轮1",C538="赤日轮2",C538="赤日轮3",CS537),NOT(OR(C538="幽月轮1",C538="幽月轮2",C538="幽月轮3")))</f>
        <v>0</v>
      </c>
      <c r="CT538" s="115">
        <f t="shared" ca="1" si="456"/>
        <v>0</v>
      </c>
      <c r="CU538" s="115" t="b">
        <f ca="1">AND(模拟模式!$K$10="阴阳往极",CT537=0,RAND()&lt;IF(C538="净世破魔击·月",0.0275*7/3,IF(C538="净世破魔击·日",0.0275*3/3,0.0275*2/3)))</f>
        <v>0</v>
      </c>
      <c r="CV538" s="115">
        <f t="shared" ca="1" si="457"/>
        <v>0</v>
      </c>
      <c r="CW538" s="115">
        <f t="shared" ca="1" si="429"/>
        <v>2.3099999999999996</v>
      </c>
      <c r="CX538" s="115">
        <f t="shared" ca="1" si="430"/>
        <v>0.46499999999999975</v>
      </c>
      <c r="CY538" s="115">
        <f ca="1">MAX(IF($C538="驱夜断愁",IF(模拟模式!$R$7="万念俱寂",6,45),CY537-$F$4),0)</f>
        <v>1.3874999999999997</v>
      </c>
      <c r="CZ538" s="115">
        <f t="shared" ca="1" si="431"/>
        <v>0</v>
      </c>
      <c r="DA538" s="115">
        <f ca="1">IF(模拟模式!$N$7="日月同辉",IF(DB537=2,0,MIN(6,IF(AND(OR(C538="赤日轮1",C538="赤日轮2",C538="赤日轮3",C538="幽月轮1",C538="幽月轮2",C538="幽月轮3"),AB538=1),DA537+1,DA537))),0)</f>
        <v>2</v>
      </c>
      <c r="DB538" s="115">
        <f t="shared" ca="1" si="432"/>
        <v>0</v>
      </c>
      <c r="DC538" s="115"/>
      <c r="DD538" s="115"/>
      <c r="DE538" s="115"/>
      <c r="DF538" s="115"/>
      <c r="DG538" s="115"/>
      <c r="DH538" s="115"/>
      <c r="DI538" s="115"/>
      <c r="DJ538" s="115"/>
      <c r="DK538" s="115"/>
      <c r="DL538" s="115"/>
      <c r="DM538" s="115"/>
    </row>
    <row r="539" spans="2:117" x14ac:dyDescent="0.2">
      <c r="B539" s="117">
        <f t="shared" si="433"/>
        <v>472.320000000005</v>
      </c>
      <c r="C539" s="167" t="str">
        <f t="shared" ca="1" si="426"/>
        <v>银月斩</v>
      </c>
      <c r="D539" s="115">
        <f ca="1">IF(C539="赤日轮1",1,IF(C539="赤日轮2",2,IF(C539="赤日轮3",3,IF(C539="幽月轮1",4,IF(C539="幽月轮2",5,IF(C539="幽月轮3",6,IF(C539="烈日斩",7,IF(C539="银月斩",8,IF(C539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539="净世破魔击·月",17,IF(C539="驱夜断愁",18,0)))))))))))</f>
        <v>8</v>
      </c>
      <c r="E539" s="115">
        <f ca="1">IF(AND(CU539,OR(C539="幽月轮1",C539="幽月轮2",C539="幽月轮3",C539="银月斩",C539="驱夜断愁",C539="净世破魔击·月")),100,MIN(IF(OR(CN539,BE539),0,IF(OR($C539="赤日轮1",$C539="赤日轮2",$C539="赤日轮3"),E538+20+IF(模拟模式!$I$7="日月凌天",4,0)+IF(CR538,20,0),IF($C539="烈日斩",E538+40,IF($C539="驱夜断愁",IF(模拟模式!$R$7="万念俱寂",E538+20,E538+60),IF($C539="净世破魔击·月",IF(OR(DB538&gt;0,CV538&gt;0),100,IF(模拟模式!$M$7="辉耀红尘",E538+20,E538)),IF($C539="净世破魔击·日",E538-100,E538)))))),100))</f>
        <v>20</v>
      </c>
      <c r="F539" s="115">
        <f ca="1">IF(AND(CU539,OR(C539="赤日轮1",C539="赤日轮2",C539="赤日轮3",C539="烈日斩",C539="净世破魔击·日")),100,MIN(IF(CO539,0,IF(OR($C539="幽月轮1",$C539="幽月轮2",$C539="幽月轮3"),F538+20+IF(模拟模式!$I$7="日月凌天",4,0)+IF(CS538,20,0),IF($C539="银月斩",F538+40+IF(模拟模式!$X$12=1,5,0),IF($C539="驱夜断愁",IF(模拟模式!$R$7="万念俱寂",F538+20,F538+60),IF($C539="净世破魔击·月",IF(模拟模式!$M$7="辉耀红尘",F538-80,F538-100),IF(AND(C539="净世破魔击·日",OR(DB538&gt;0,CV538&gt;0)),100,F538)))))),100))</f>
        <v>65</v>
      </c>
      <c r="G539" s="117">
        <f ca="1">('模拟-全程加成'!$E$3+'模拟-全程加成'!$E$4+'模拟-全程加成'!$E$5+('模拟-全程加成'!$C$6-'模拟-全程加成'!$C$3)*系数!$B$9+BS539*23)*(1+'模拟-全程加成'!$F$4+'模拟-全程加成'!$F$5+BJ539*10%+BM539*20%+BP539*4%+CG539*30%)+$F$7*系数!$B$12</f>
        <v>21493.829400000002</v>
      </c>
      <c r="H539" s="45">
        <f ca="1">'模拟-全程加成'!$H$3+'模拟-全程加成'!$H$4+'模拟-全程加成'!$H$5+('模拟-全程加成'!$G$4+'模拟-全程加成'!$G$5+('模拟-全程加成'!$C$6-'模拟-全程加成'!$C$3)*系数!$B$13)/系数!$B$3+LOOKUP(D539,'模拟-单技能数据'!$A$2:$A$19,'模拟-单技能数据'!$K$2:$K$19)+BG539*10%+IF(BV539&gt;0,378,0)</f>
        <v>0.64185145527300214</v>
      </c>
      <c r="I539" s="45">
        <f ca="1">'模拟-全程加成'!$J$3+'模拟-全程加成'!$J$4+'模拟-全程加成'!$J$5+('模拟-全程加成'!$I$4+'模拟-全程加成'!$I$5)/系数!$B$4+LOOKUP(D539,'模拟-单技能数据'!$A$2:$A$19,'模拟-单技能数据'!$L$2:$L$19)+BG539*10%</f>
        <v>2.2624828854998791</v>
      </c>
      <c r="J539" s="45">
        <f ca="1">(('模拟-全程加成'!$K$3+'模拟-全程加成'!$K$4+'模拟-全程加成'!$K$5+('模拟-全程加成'!$C$6-'模拟-全程加成'!$C$3)*系数!$B$10+IF(BV539&gt;0,882,0)+IF(BY539&gt;0,1831,0))*(1+'模拟-全程加成'!$L$4+'模拟-全程加成'!$L$5+CC539*20%))/系数!$B$5</f>
        <v>0.69723220422048726</v>
      </c>
      <c r="K539" s="119">
        <f ca="1">LOOKUP(D539,'模拟-单技能数据'!$A$2:$A$19,'模拟-单技能数据'!$J$2:$J$19)+IF(CM539,60%,0)+IF(DB538-DB539&gt;0,30%,0)+IF(OR(AND(OR(C539="赤日轮1",C539="赤日轮2",C539="赤日轮3"),CR539),AND(OR(C539="幽月轮1",C539="幽月轮2",C539="幽月轮3"),CS539)),35%,0)+CJ539</f>
        <v>0.15</v>
      </c>
      <c r="L539" s="119">
        <f ca="1">IF(AND(C539="烈日斩",模拟模式!$X$11=1),10%,0)+IF(AND(C539="驱夜断愁",AB539=1),30%,0)</f>
        <v>0</v>
      </c>
      <c r="M539" s="45">
        <f t="shared" ca="1" si="465"/>
        <v>0.64185145527300214</v>
      </c>
      <c r="N539" s="45">
        <f t="shared" ca="1" si="466"/>
        <v>0.30424854472699792</v>
      </c>
      <c r="O539" s="46">
        <f t="shared" ca="1" si="434"/>
        <v>0.2798886094931109</v>
      </c>
      <c r="P539" s="46" t="str">
        <f t="shared" ca="1" si="435"/>
        <v>会</v>
      </c>
      <c r="Q539" s="45">
        <f t="shared" ca="1" si="436"/>
        <v>2.2624828854998791</v>
      </c>
      <c r="R539" s="117">
        <f ca="1">模拟模式!$E$20*(1-IF(模拟模式!$J$19="有",0.15,0))*(1-IF(模拟模式!$K$19="有",0.3,0)-IF(CQ539,0.5,0))</f>
        <v>2950.6049999999996</v>
      </c>
      <c r="S539" s="45">
        <f ca="1">R539/(R539+(185*模拟模式!$E$22-16800)*4.08224)</f>
        <v>0.24272716014590323</v>
      </c>
      <c r="T539" s="45" t="str">
        <f ca="1">LOOKUP(D539,'模拟-单技能数据'!$A$2:$A$19,'模拟-单技能数据'!$H$2:$H$19)</f>
        <v>阴</v>
      </c>
      <c r="U539" s="119">
        <f t="shared" ca="1" si="467"/>
        <v>0.08</v>
      </c>
      <c r="V539" s="47">
        <f ca="1">(1+L539)*(LOOKUP(D539,'模拟-单技能数据'!$A$2:$A$19,'模拟-单技能数据'!$D$2:$D$19)+G539*LOOKUP(D539,'模拟-单技能数据'!$A$2:$A$19,'模拟-单技能数据'!$F$2:$F$19))*(1+J539)*(1+K539)*(1-S539)*(1+U539)*Q539*LOOKUP(D539,'模拟-单技能数据'!$A$2:$A$19,'模拟-单技能数据'!$I$2:$I$20)</f>
        <v>41211.704893206668</v>
      </c>
      <c r="W539" s="47">
        <f ca="1">LOOKUP(D539,'模拟-单技能数据'!$A$2:$A$19,'模拟-单技能数据'!$G$2:$G$19)*$I$10</f>
        <v>361.51064354704795</v>
      </c>
      <c r="X539" s="47">
        <f t="shared" ca="1" si="437"/>
        <v>20749.792464251139</v>
      </c>
      <c r="Y539" s="47">
        <f t="shared" ca="1" si="468"/>
        <v>62323.008001004855</v>
      </c>
      <c r="Z539" s="49">
        <f t="shared" ca="1" si="469"/>
        <v>53447799.537657835</v>
      </c>
      <c r="AA539" s="97">
        <f t="shared" ca="1" si="470"/>
        <v>113160.1446850806</v>
      </c>
      <c r="AB539" s="115">
        <f ca="1">IF(OR(C539="赤日轮1",C539="赤日轮2",C539="赤日轮3"),IF(RAND()&lt;模拟模式!$Y$17,1,0),IF(OR(C539="幽月轮1",C539="幽月轮2",C539="幽月轮3"),IF(RAND()&lt;模拟模式!$Y$18,1,0),IF(C539="烈日斩",IF(RAND()&lt;模拟模式!$Y$19,1,0),IF(C539="银月斩",IF(RAND()&lt;模拟模式!$Y$20,1,0),IF(C539="驱夜断愁",IF(RAND()&lt;模拟模式!$Y$21,1,0),IF(C539="净世破魔击·日",IF(RAND()&lt;模拟模式!$Y$22,1,0),IF(C539="净世破魔击·月",IF(RAND()&lt;模拟模式!$Y$23,1,0),0)))))))</f>
        <v>1</v>
      </c>
      <c r="AC539" s="115" t="b">
        <f t="shared" ca="1" si="458"/>
        <v>1</v>
      </c>
      <c r="AD539" s="115" t="b">
        <f t="shared" ca="1" si="478"/>
        <v>0</v>
      </c>
      <c r="AE539" s="115">
        <f t="shared" ca="1" si="479"/>
        <v>6</v>
      </c>
      <c r="AF539" s="47">
        <f ca="1">IF(AC539,('模拟-单技能数据'!$D$20+G539*'模拟-单技能数据'!$F$20)*(1+J539)*(1+'模拟-单技能数据'!$J$20)*(1+U539),0)</f>
        <v>4639.7456468263617</v>
      </c>
      <c r="AG539" s="61">
        <f t="shared" ca="1" si="471"/>
        <v>0.64185145527300214</v>
      </c>
      <c r="AH539" s="61">
        <f t="shared" ca="1" si="472"/>
        <v>2.2624828854998791</v>
      </c>
      <c r="AI539" s="62">
        <f t="shared" ca="1" si="438"/>
        <v>0.21088336240389727</v>
      </c>
      <c r="AJ539" s="47">
        <f ca="1">IF(AD539,IF(AI539&lt;$F$10,0,IF(AI539&lt;$F$10+$F$11,0.25,IF(AI539&lt;$F$10+$F$11+AG539,AH539,1)))*IF(AF539&gt;0,AF539,IF(AF538&gt;0,AF538,IF(AF537&gt;0,AF537,IF(AF536&gt;0,AF536,IF(AF535&gt;0,AF535,IF(AF534&gt;0,AF534,IF(AF533&gt;0,AF533,IF(AF532&gt;0,AF532,IF(AF531&gt;0,AF531,IF(AF529&gt;0,AF529,IF(AF528&gt;0,AF528,IF(AF527&gt;0,AF527,0)))))))))))),0)*(1-$S539)*'模拟-单技能数据'!$I$20</f>
        <v>0</v>
      </c>
      <c r="AK539" s="115" t="b">
        <f t="shared" ca="1" si="459"/>
        <v>0</v>
      </c>
      <c r="AL539" s="115" t="b">
        <f t="shared" ca="1" si="480"/>
        <v>1</v>
      </c>
      <c r="AM539" s="115">
        <f t="shared" ca="1" si="481"/>
        <v>4</v>
      </c>
      <c r="AN539" s="47">
        <f ca="1">IF(AK539,('模拟-单技能数据'!$D$21+G539*'模拟-单技能数据'!$F$21)*(1+J539)*(1+'模拟-单技能数据'!$J$21)*(1+U539),0)</f>
        <v>0</v>
      </c>
      <c r="AO539" s="61">
        <f ca="1">IF(AN539&gt;0,M539-'模拟-单技能数据'!$K$10,AO538)</f>
        <v>0.42185145527300216</v>
      </c>
      <c r="AP539" s="61">
        <f ca="1">IF(AN539&gt;0,I539-'模拟-单技能数据'!$L$10,AP538)</f>
        <v>2.162482885499879</v>
      </c>
      <c r="AQ539" s="63">
        <f t="shared" ca="1" si="439"/>
        <v>0.35840584906536221</v>
      </c>
      <c r="AR539" s="64">
        <f ca="1">IF(AL539,IF(AQ539&lt;$F$10,0,IF(AQ539&lt;$F$10+$F$11,0.25,IF(AQ539&lt;$F$10+$F$11+AO539,AP539,1)))*IF(AN539&gt;0,AN539,IF(AN538&gt;0,AN538,IF(AN537&gt;0,AN537,IF(AN536&gt;0,AN536,IF(AN535&gt;0,AN535,IF(AN534&gt;0,AN534,IF(AN533&gt;0,AN533,IF(AN532&gt;0,AN532,IF(AN531&gt;0,AN531,IF(AN529&gt;0,AN529,IF(AN528&gt;0,AN528,IF(AN527&gt;0,AN527,0)))))))))))),0)*(1-$S539)*'模拟-单技能数据'!$I$21</f>
        <v>20749.792464251139</v>
      </c>
      <c r="AS539" s="61">
        <f ca="1">IF(OR(C539="净世破魔击·日",C539="净世破魔击·月"),M539-'模拟-单技能数据'!$K$10,0)</f>
        <v>0</v>
      </c>
      <c r="AT539" s="61">
        <f ca="1">IF(OR(C539="净世破魔击·日",C539="净世破魔击·月"),I539-'模拟-单技能数据'!$L$10,0)</f>
        <v>0</v>
      </c>
      <c r="AU539" s="62">
        <f t="shared" ca="1" si="440"/>
        <v>0.93738857760501182</v>
      </c>
      <c r="AV539" s="64">
        <f ca="1">IF(AS539&gt;0,('模拟-单技能数据'!$D$22+G539*'模拟-单技能数据'!$F$22)*(1+J539)*(1-S539)*IF(AU539&lt;$F$10,0,IF(AU539&lt;$F$10+$F$11,0.25,IF(AU539&lt;$F$10+$F$11+AS539,AT539,1)))*(1+U539),0)*'模拟-单技能数据'!$I$22</f>
        <v>0</v>
      </c>
      <c r="AW539" s="108">
        <f t="shared" ca="1" si="441"/>
        <v>0</v>
      </c>
      <c r="AX539" s="108" t="b">
        <f ca="1">AND(模拟模式!$P$10="有",AW538=0,RAND()&lt;IF(C539="净世破魔击·月",0.1*8/3,IF(C539="净世破魔击·日",0.1*4/3,0.1*2/3)))</f>
        <v>0</v>
      </c>
      <c r="AY539" s="47">
        <f ca="1">IF(AX539,(18+G539*0.722)*(1+J539)*(1-S539)*(1+$I$4)*IF(P539="会",'模拟-全程加成'!$J$3+'模拟-全程加成'!$J$4+'模拟-全程加成'!$J$5+('模拟-全程加成'!$I$4+'模拟-全程加成'!$I$5)/系数!$B$4+BG539*10%,IF(P539="命",1,IF(P539="识",0.25,0))),0)</f>
        <v>0</v>
      </c>
      <c r="AZ539" s="108">
        <f t="shared" si="442"/>
        <v>14.465000000000003</v>
      </c>
      <c r="BA539" s="108" t="b">
        <f>AND(模拟模式!$Q$10="有",AZ538=0)</f>
        <v>0</v>
      </c>
      <c r="BB539" s="140">
        <f>IF(BA539,(0+G539*0.287)*(1+J539)*(1-S539)*(1+$I$4)*IF(P539="会",'模拟-全程加成'!$J$3+'模拟-全程加成'!$J$4+'模拟-全程加成'!$J$5+('模拟-全程加成'!$I$4+'模拟-全程加成'!$I$5)/系数!$B$4+BG539*10%,IF(P539="命",1,IF(P539="识",0.25,0))),0)</f>
        <v>0</v>
      </c>
      <c r="BC539" s="115" t="b">
        <f ca="1">AND(模拟模式!$R$7="伏明众生",E539=60,F539=20,DA539&lt;5,CZ538&lt;$F$4)</f>
        <v>0</v>
      </c>
      <c r="BD539" s="115">
        <f t="shared" ca="1" si="460"/>
        <v>0</v>
      </c>
      <c r="BE539" s="115" t="b">
        <f t="shared" ca="1" si="461"/>
        <v>0</v>
      </c>
      <c r="BF539" s="47">
        <f ca="1">IF(BC539,4*('模拟-单技能数据'!$D$24+G539*'模拟-单技能数据'!$F$24)*(1+J539)*(1+'模拟-单技能数据'!$J$24)*(1-S539)*(1+$I$3)*(('模拟-全程加成'!$J$3+'模拟-全程加成'!$J$4+'模拟-全程加成'!$J$5+('模拟-全程加成'!$I$4+'模拟-全程加成'!$I$5)/系数!$B$4+BG539*10%)*('模拟-全程加成'!$J$3+'模拟-全程加成'!$J$4+'模拟-全程加成'!$J$5+('模拟-全程加成'!$I$4+'模拟-全程加成'!$I$5)/系数!$B$4+BG539*10%)+(1-('模拟-全程加成'!$J$3+'模拟-全程加成'!$J$4+'模拟-全程加成'!$J$5+('模拟-全程加成'!$I$4+'模拟-全程加成'!$I$5)/系数!$B$4+BG539*10%)-$F$10-$F$11)+F525*0.25),0)*'模拟-单技能数据'!$I$24</f>
        <v>0</v>
      </c>
      <c r="BG539" s="115" t="b">
        <f ca="1">OR(AND(OR(C539="烈日斩",C539="银月斩"),模拟模式!$I$7="净身明礼"),AND(C539="净世破魔击·日",模拟模式!$J$7="洞若观火"),AND(C540="净世破魔击·月",模拟模式!$J$7="洞若观火"),AB539=1)</f>
        <v>1</v>
      </c>
      <c r="BH539" s="115" t="b">
        <f t="shared" ca="1" si="443"/>
        <v>0</v>
      </c>
      <c r="BI539" s="115">
        <f t="shared" ca="1" si="462"/>
        <v>3.2324999999999995</v>
      </c>
      <c r="BJ539" s="115" t="b">
        <f t="shared" ca="1" si="473"/>
        <v>1</v>
      </c>
      <c r="BK539" s="115" t="b">
        <f ca="1">AND(C539="驱夜断愁",模拟模式!$P$7="天地诛戮")</f>
        <v>0</v>
      </c>
      <c r="BL539" s="57">
        <f t="shared" ca="1" si="463"/>
        <v>14.465000000000003</v>
      </c>
      <c r="BM539" s="115" t="b">
        <f t="shared" ca="1" si="474"/>
        <v>1</v>
      </c>
      <c r="BN539" s="115" t="b">
        <f ca="1">AND(OR(C539="赤日轮1",C539="赤日轮2",C539="赤日轮3",C539="幽月轮1",C539="幽月轮2",C539="幽月轮3"),AB539=1,模拟模式!$L$7="明光恒照")</f>
        <v>0</v>
      </c>
      <c r="BO539" s="117">
        <f t="shared" ca="1" si="464"/>
        <v>29.077500000000001</v>
      </c>
      <c r="BP539" s="115">
        <f t="shared" ca="1" si="444"/>
        <v>6</v>
      </c>
      <c r="BQ539" s="115" t="b">
        <f>模拟模式!$K$10="2600·水"</f>
        <v>0</v>
      </c>
      <c r="BR539" s="117">
        <f t="shared" si="445"/>
        <v>0</v>
      </c>
      <c r="BS539" s="115">
        <f t="shared" si="446"/>
        <v>0</v>
      </c>
      <c r="BT539" s="115">
        <f t="shared" ca="1" si="447"/>
        <v>0</v>
      </c>
      <c r="BU539" s="115" t="b">
        <f ca="1">AND(模拟模式!$K$10="2300·雷",BT538=0,RAND()&lt;IF(C539="净世破魔击·月",5*0.05*2/3,IF(C539="净世破魔击·日",3*0.05*2/3,0.05*2*2/3)))</f>
        <v>0</v>
      </c>
      <c r="BV539" s="115">
        <f t="shared" ca="1" si="448"/>
        <v>0</v>
      </c>
      <c r="BW539" s="115">
        <f t="shared" ca="1" si="449"/>
        <v>83.137499999999264</v>
      </c>
      <c r="BX539" s="164" t="b">
        <f t="shared" ca="1" si="450"/>
        <v>0</v>
      </c>
      <c r="BY539" s="115">
        <f t="shared" ca="1" si="451"/>
        <v>0</v>
      </c>
      <c r="BZ539" s="115">
        <f>IF(OR(模拟模式!$P$16="10人团",模拟模式!$P$16="25人团"),IF(B539/30&gt;CA538,1,0),0)</f>
        <v>0</v>
      </c>
      <c r="CA539" s="115">
        <f t="shared" si="427"/>
        <v>0</v>
      </c>
      <c r="CB539" s="115">
        <f ca="1">IF(BZ539=1,IF(模拟模式!$P$16="10人团",15,0)+IF(模拟模式!$P$16="25人团",IF(RAND()&lt;0.6,15,0)),MAX(0,CB538-$F$4))</f>
        <v>0</v>
      </c>
      <c r="CC539" s="115" t="b">
        <f t="shared" ca="1" si="475"/>
        <v>0</v>
      </c>
      <c r="CD539" s="115">
        <f>IF(模拟模式!$Q$16="1个",IF(B539/40&gt;CE538,1,0),0)</f>
        <v>0</v>
      </c>
      <c r="CE539" s="115">
        <f t="shared" si="476"/>
        <v>0</v>
      </c>
      <c r="CF539" s="115">
        <f>IF(OR(CD539=1,模拟模式!$Q$16="2个"),20,MAX(0,CF538-$F$4))</f>
        <v>0</v>
      </c>
      <c r="CG539" s="115" t="b">
        <f t="shared" si="477"/>
        <v>0</v>
      </c>
      <c r="CH539" s="115">
        <f t="shared" ca="1" si="452"/>
        <v>4.1700000000000115</v>
      </c>
      <c r="CI539" s="115" t="b">
        <f t="shared" ca="1" si="453"/>
        <v>0</v>
      </c>
      <c r="CJ539" s="119">
        <f t="shared" ca="1" si="454"/>
        <v>0</v>
      </c>
      <c r="CK539" s="115">
        <f t="shared" ca="1" si="455"/>
        <v>0</v>
      </c>
      <c r="CL539" s="115" t="b">
        <f ca="1">AND(模拟模式!$S$7="驱夷逐法",OR(AND(C539="净世破魔击·月",E538&gt;59),AND(C539="净世破魔击·日",F538&gt;59)))</f>
        <v>0</v>
      </c>
      <c r="CM539" s="115" t="b">
        <f ca="1">OR(CL539,AND(C539="净世破魔击·日",CL538,RAND()&lt;模拟模式!$U$23))</f>
        <v>0</v>
      </c>
      <c r="CN539" s="115" t="b">
        <f ca="1">IF(模拟模式!$M$7="辉耀红尘",AND(C539="净世破魔击·月",CL539,CV539=0,E538&lt;80),AND(C539="净世破魔击·月",CL539,E538&lt;100))</f>
        <v>0</v>
      </c>
      <c r="CO539" s="115" t="b">
        <f t="shared" ca="1" si="428"/>
        <v>0</v>
      </c>
      <c r="CP539" s="115" t="b">
        <f ca="1">AND(模拟模式!$O$7="用晦而明",OR(C539="净世破魔击·日",C539="净世破魔击·月",C539="驱夜断愁"),AB539)</f>
        <v>0</v>
      </c>
      <c r="CQ539" s="115" t="b">
        <f ca="1">OR(CP539,AND(CP538,RAND()&lt;模拟模式!$U$23))</f>
        <v>0</v>
      </c>
      <c r="CR539" s="115" t="b">
        <f ca="1">AND(模拟模式!$S$7="日月齐光",OR(C539="幽月轮1",C539="幽月轮2",C539="幽月轮3",CR538),NOT(OR(C539="赤日轮1",C539="赤日轮2",C539="赤日轮3")))</f>
        <v>0</v>
      </c>
      <c r="CS539" s="115" t="b">
        <f ca="1">AND(模拟模式!$S$7="日月齐光",OR(C539="赤日轮1",C539="赤日轮2",C539="赤日轮3",CS538),NOT(OR(C539="幽月轮1",C539="幽月轮2",C539="幽月轮3")))</f>
        <v>0</v>
      </c>
      <c r="CT539" s="115">
        <f t="shared" ca="1" si="456"/>
        <v>0</v>
      </c>
      <c r="CU539" s="115" t="b">
        <f ca="1">AND(模拟模式!$K$10="阴阳往极",CT538=0,RAND()&lt;IF(C539="净世破魔击·月",0.0275*7/3,IF(C539="净世破魔击·日",0.0275*3/3,0.0275*2/3)))</f>
        <v>0</v>
      </c>
      <c r="CV539" s="115">
        <f t="shared" ca="1" si="457"/>
        <v>0</v>
      </c>
      <c r="CW539" s="115">
        <f t="shared" ca="1" si="429"/>
        <v>1.3874999999999997</v>
      </c>
      <c r="CX539" s="115">
        <f t="shared" ca="1" si="430"/>
        <v>6</v>
      </c>
      <c r="CY539" s="115">
        <f ca="1">MAX(IF($C539="驱夜断愁",IF(模拟模式!$R$7="万念俱寂",6,45),CY538-$F$4),0)</f>
        <v>0.46499999999999975</v>
      </c>
      <c r="CZ539" s="115">
        <f t="shared" ca="1" si="431"/>
        <v>0</v>
      </c>
      <c r="DA539" s="115">
        <f ca="1">IF(模拟模式!$N$7="日月同辉",IF(DB538=2,0,MIN(6,IF(AND(OR(C539="赤日轮1",C539="赤日轮2",C539="赤日轮3",C539="幽月轮1",C539="幽月轮2",C539="幽月轮3"),AB539=1),DA538+1,DA538))),0)</f>
        <v>2</v>
      </c>
      <c r="DB539" s="115">
        <f t="shared" ca="1" si="432"/>
        <v>0</v>
      </c>
      <c r="DC539" s="115"/>
      <c r="DD539" s="115"/>
      <c r="DE539" s="115"/>
      <c r="DF539" s="115"/>
      <c r="DG539" s="115"/>
      <c r="DH539" s="115"/>
      <c r="DI539" s="115"/>
      <c r="DJ539" s="115"/>
      <c r="DK539" s="115"/>
      <c r="DL539" s="115"/>
      <c r="DM539" s="115"/>
    </row>
    <row r="540" spans="2:117" x14ac:dyDescent="0.2">
      <c r="B540" s="117">
        <f t="shared" si="433"/>
        <v>473.24250000000501</v>
      </c>
      <c r="C540" s="167" t="str">
        <f t="shared" ref="C540:C603" ca="1" si="482">IF(F539=100,"净世破魔击·月",IF(E539=100,"净世破魔击·日",IF(E539&lt;20,IF(C539="赤日轮1","赤日轮2",IF(C539="赤日轮2","赤日轮3","赤日轮1")),IF(AND(E539&gt;19,F539&lt;44,CX539&lt;$F$4),"银月斩",IF(AND(E539&lt;40,CY539&lt;$F$4),"驱夜断愁",IF(AND(E539&lt;60,CW539&lt;$F$4),"烈日斩",IF(C539="幽月轮1","幽月轮2",IF(C539="幽月轮2","幽月轮3","幽月轮1"))))))))</f>
        <v>驱夜断愁</v>
      </c>
      <c r="D540" s="115">
        <f ca="1">IF(C540="赤日轮1",1,IF(C540="赤日轮2",2,IF(C540="赤日轮3",3,IF(C540="幽月轮1",4,IF(C540="幽月轮2",5,IF(C540="幽月轮3",6,IF(C540="烈日斩",7,IF(C540="银月斩",8,IF(C540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540="净世破魔击·月",17,IF(C540="驱夜断愁",18,0)))))))))))</f>
        <v>18</v>
      </c>
      <c r="E540" s="115">
        <f ca="1">IF(AND(CU540,OR(C540="幽月轮1",C540="幽月轮2",C540="幽月轮3",C540="银月斩",C540="驱夜断愁",C540="净世破魔击·月")),100,MIN(IF(OR(CN540,BE540),0,IF(OR($C540="赤日轮1",$C540="赤日轮2",$C540="赤日轮3"),E539+20+IF(模拟模式!$I$7="日月凌天",4,0)+IF(CR539,20,0),IF($C540="烈日斩",E539+40,IF($C540="驱夜断愁",IF(模拟模式!$R$7="万念俱寂",E539+20,E539+60),IF($C540="净世破魔击·月",IF(OR(DB539&gt;0,CV539&gt;0),100,IF(模拟模式!$M$7="辉耀红尘",E539+20,E539)),IF($C540="净世破魔击·日",E539-100,E539)))))),100))</f>
        <v>100</v>
      </c>
      <c r="F540" s="115">
        <f ca="1">IF(AND(CU540,OR(C540="赤日轮1",C540="赤日轮2",C540="赤日轮3",C540="烈日斩",C540="净世破魔击·日")),100,MIN(IF(CO540,0,IF(OR($C540="幽月轮1",$C540="幽月轮2",$C540="幽月轮3"),F539+20+IF(模拟模式!$I$7="日月凌天",4,0)+IF(CS539,20,0),IF($C540="银月斩",F539+40+IF(模拟模式!$X$12=1,5,0),IF($C540="驱夜断愁",IF(模拟模式!$R$7="万念俱寂",F539+20,F539+60),IF($C540="净世破魔击·月",IF(模拟模式!$M$7="辉耀红尘",F539-80,F539-100),IF(AND(C540="净世破魔击·日",OR(DB539&gt;0,CV539&gt;0)),100,F539)))))),100))</f>
        <v>85</v>
      </c>
      <c r="G540" s="117">
        <f ca="1">('模拟-全程加成'!$E$3+'模拟-全程加成'!$E$4+'模拟-全程加成'!$E$5+('模拟-全程加成'!$C$6-'模拟-全程加成'!$C$3)*系数!$B$9+BS540*23)*(1+'模拟-全程加成'!$F$4+'模拟-全程加成'!$F$5+BJ540*10%+BM540*20%+BP540*4%+CG540*30%)+$F$7*系数!$B$12</f>
        <v>21493.829400000002</v>
      </c>
      <c r="H540" s="45">
        <f ca="1">'模拟-全程加成'!$H$3+'模拟-全程加成'!$H$4+'模拟-全程加成'!$H$5+('模拟-全程加成'!$G$4+'模拟-全程加成'!$G$5+('模拟-全程加成'!$C$6-'模拟-全程加成'!$C$3)*系数!$B$13)/系数!$B$3+LOOKUP(D540,'模拟-单技能数据'!$A$2:$A$19,'模拟-单技能数据'!$K$2:$K$19)+BG540*10%+IF(BV540&gt;0,378,0)</f>
        <v>0.51185145527300213</v>
      </c>
      <c r="I540" s="45">
        <f ca="1">'模拟-全程加成'!$J$3+'模拟-全程加成'!$J$4+'模拟-全程加成'!$J$5+('模拟-全程加成'!$I$4+'模拟-全程加成'!$I$5)/系数!$B$4+LOOKUP(D540,'模拟-单技能数据'!$A$2:$A$19,'模拟-单技能数据'!$L$2:$L$19)+BG540*10%</f>
        <v>2.162482885499879</v>
      </c>
      <c r="J540" s="45">
        <f ca="1">(('模拟-全程加成'!$K$3+'模拟-全程加成'!$K$4+'模拟-全程加成'!$K$5+('模拟-全程加成'!$C$6-'模拟-全程加成'!$C$3)*系数!$B$10+IF(BV540&gt;0,882,0)+IF(BY540&gt;0,1831,0))*(1+'模拟-全程加成'!$L$4+'模拟-全程加成'!$L$5+CC540*20%))/系数!$B$5</f>
        <v>0.69723220422048726</v>
      </c>
      <c r="K540" s="119">
        <f ca="1">LOOKUP(D540,'模拟-单技能数据'!$A$2:$A$19,'模拟-单技能数据'!$J$2:$J$19)+IF(CM540,60%,0)+IF(DB539-DB540&gt;0,30%,0)+IF(OR(AND(OR(C540="赤日轮1",C540="赤日轮2",C540="赤日轮3"),CR540),AND(OR(C540="幽月轮1",C540="幽月轮2",C540="幽月轮3"),CS540)),35%,0)+CJ540</f>
        <v>0.14000000000000001</v>
      </c>
      <c r="L540" s="119">
        <f ca="1">IF(AND(C540="烈日斩",模拟模式!$X$11=1),10%,0)+IF(AND(C540="驱夜断愁",AB540=1),30%,0)</f>
        <v>0.3</v>
      </c>
      <c r="M540" s="45">
        <f t="shared" ca="1" si="465"/>
        <v>0.51185145527300213</v>
      </c>
      <c r="N540" s="45">
        <f t="shared" ca="1" si="466"/>
        <v>0.43424854472699792</v>
      </c>
      <c r="O540" s="46">
        <f t="shared" ca="1" si="434"/>
        <v>4.6733105346568049E-3</v>
      </c>
      <c r="P540" s="46" t="str">
        <f t="shared" ca="1" si="435"/>
        <v>识</v>
      </c>
      <c r="Q540" s="45">
        <f t="shared" ca="1" si="436"/>
        <v>0.25</v>
      </c>
      <c r="R540" s="117">
        <f ca="1">模拟模式!$E$20*(1-IF(模拟模式!$J$19="有",0.15,0))*(1-IF(模拟模式!$K$19="有",0.3,0)-IF(CQ540,0.5,0))</f>
        <v>843.02999999999975</v>
      </c>
      <c r="S540" s="45">
        <f ca="1">R540/(R540+(185*模拟模式!$E$22-16800)*4.08224)</f>
        <v>8.389626085980037E-2</v>
      </c>
      <c r="T540" s="45" t="str">
        <f ca="1">LOOKUP(D540,'模拟-单技能数据'!$A$2:$A$19,'模拟-单技能数据'!$H$2:$H$19)</f>
        <v>阴</v>
      </c>
      <c r="U540" s="119">
        <f t="shared" ca="1" si="467"/>
        <v>0.08</v>
      </c>
      <c r="V540" s="47">
        <f ca="1">(1+L540)*(LOOKUP(D540,'模拟-单技能数据'!$A$2:$A$19,'模拟-单技能数据'!$D$2:$D$19)+G540*LOOKUP(D540,'模拟-单技能数据'!$A$2:$A$19,'模拟-单技能数据'!$F$2:$F$19))*(1+J540)*(1+K540)*(1-S540)*(1+U540)*Q540*LOOKUP(D540,'模拟-单技能数据'!$A$2:$A$19,'模拟-单技能数据'!$I$2:$I$20)</f>
        <v>15385.018372398006</v>
      </c>
      <c r="W540" s="47">
        <f ca="1">LOOKUP(D540,'模拟-单技能数据'!$A$2:$A$19,'模拟-单技能数据'!$G$2:$G$19)*$I$10</f>
        <v>723.0212870940959</v>
      </c>
      <c r="X540" s="47">
        <f t="shared" ca="1" si="437"/>
        <v>9616.6571145767884</v>
      </c>
      <c r="Y540" s="47">
        <f t="shared" ca="1" si="468"/>
        <v>25724.696774068892</v>
      </c>
      <c r="Z540" s="49">
        <f t="shared" ca="1" si="469"/>
        <v>53473524.2344319</v>
      </c>
      <c r="AA540" s="97">
        <f t="shared" ca="1" si="470"/>
        <v>112993.91799010303</v>
      </c>
      <c r="AB540" s="115">
        <f ca="1">IF(OR(C540="赤日轮1",C540="赤日轮2",C540="赤日轮3"),IF(RAND()&lt;模拟模式!$Y$17,1,0),IF(OR(C540="幽月轮1",C540="幽月轮2",C540="幽月轮3"),IF(RAND()&lt;模拟模式!$Y$18,1,0),IF(C540="烈日斩",IF(RAND()&lt;模拟模式!$Y$19,1,0),IF(C540="银月斩",IF(RAND()&lt;模拟模式!$Y$20,1,0),IF(C540="驱夜断愁",IF(RAND()&lt;模拟模式!$Y$21,1,0),IF(C540="净世破魔击·日",IF(RAND()&lt;模拟模式!$Y$22,1,0),IF(C540="净世破魔击·月",IF(RAND()&lt;模拟模式!$Y$23,1,0),0)))))))</f>
        <v>1</v>
      </c>
      <c r="AC540" s="115" t="b">
        <f t="shared" ca="1" si="458"/>
        <v>0</v>
      </c>
      <c r="AD540" s="115" t="b">
        <f t="shared" ca="1" si="478"/>
        <v>1</v>
      </c>
      <c r="AE540" s="115">
        <f t="shared" ca="1" si="479"/>
        <v>5</v>
      </c>
      <c r="AF540" s="47">
        <f ca="1">IF(AC540,('模拟-单技能数据'!$D$20+G540*'模拟-单技能数据'!$F$20)*(1+J540)*(1+'模拟-单技能数据'!$J$20)*(1+U540),0)</f>
        <v>0</v>
      </c>
      <c r="AG540" s="61">
        <f t="shared" ca="1" si="471"/>
        <v>0.64185145527300214</v>
      </c>
      <c r="AH540" s="61">
        <f t="shared" ca="1" si="472"/>
        <v>2.2624828854998791</v>
      </c>
      <c r="AI540" s="62">
        <f t="shared" ca="1" si="438"/>
        <v>0.3091845178083702</v>
      </c>
      <c r="AJ540" s="47">
        <f ca="1">IF(AD540,IF(AI540&lt;$F$10,0,IF(AI540&lt;$F$10+$F$11,0.25,IF(AI540&lt;$F$10+$F$11+AG540,AH540,1)))*IF(AF540&gt;0,AF540,IF(AF539&gt;0,AF539,IF(AF538&gt;0,AF538,IF(AF537&gt;0,AF537,IF(AF536&gt;0,AF536,IF(AF535&gt;0,AF535,IF(AF534&gt;0,AF534,IF(AF533&gt;0,AF533,IF(AF532&gt;0,AF532,IF(AF530&gt;0,AF530,IF(AF529&gt;0,AF529,IF(AF528&gt;0,AF528,0)))))))))))),0)*(1-$S540)*'模拟-单技能数据'!$I$20</f>
        <v>9616.6571145767884</v>
      </c>
      <c r="AK540" s="115" t="b">
        <f t="shared" ca="1" si="459"/>
        <v>0</v>
      </c>
      <c r="AL540" s="115" t="b">
        <f t="shared" ca="1" si="480"/>
        <v>0</v>
      </c>
      <c r="AM540" s="115">
        <f t="shared" ca="1" si="481"/>
        <v>4</v>
      </c>
      <c r="AN540" s="47">
        <f ca="1">IF(AK540,('模拟-单技能数据'!$D$21+G540*'模拟-单技能数据'!$F$21)*(1+J540)*(1+'模拟-单技能数据'!$J$21)*(1+U540),0)</f>
        <v>0</v>
      </c>
      <c r="AO540" s="61">
        <f ca="1">IF(AN540&gt;0,M540-'模拟-单技能数据'!$K$10,AO539)</f>
        <v>0.42185145527300216</v>
      </c>
      <c r="AP540" s="61">
        <f ca="1">IF(AN540&gt;0,I540-'模拟-单技能数据'!$L$10,AP539)</f>
        <v>2.162482885499879</v>
      </c>
      <c r="AQ540" s="63">
        <f t="shared" ca="1" si="439"/>
        <v>0.79190249181777672</v>
      </c>
      <c r="AR540" s="64">
        <f ca="1">IF(AL540,IF(AQ540&lt;$F$10,0,IF(AQ540&lt;$F$10+$F$11,0.25,IF(AQ540&lt;$F$10+$F$11+AO540,AP540,1)))*IF(AN540&gt;0,AN540,IF(AN539&gt;0,AN539,IF(AN538&gt;0,AN538,IF(AN537&gt;0,AN537,IF(AN536&gt;0,AN536,IF(AN535&gt;0,AN535,IF(AN534&gt;0,AN534,IF(AN533&gt;0,AN533,IF(AN532&gt;0,AN532,IF(AN530&gt;0,AN530,IF(AN529&gt;0,AN529,IF(AN528&gt;0,AN528,0)))))))))))),0)*(1-$S540)*'模拟-单技能数据'!$I$21</f>
        <v>0</v>
      </c>
      <c r="AS540" s="61">
        <f ca="1">IF(OR(C540="净世破魔击·日",C540="净世破魔击·月"),M540-'模拟-单技能数据'!$K$10,0)</f>
        <v>0</v>
      </c>
      <c r="AT540" s="61">
        <f ca="1">IF(OR(C540="净世破魔击·日",C540="净世破魔击·月"),I540-'模拟-单技能数据'!$L$10,0)</f>
        <v>0</v>
      </c>
      <c r="AU540" s="62">
        <f t="shared" ca="1" si="440"/>
        <v>0.61442325198066405</v>
      </c>
      <c r="AV540" s="64">
        <f ca="1">IF(AS540&gt;0,('模拟-单技能数据'!$D$22+G540*'模拟-单技能数据'!$F$22)*(1+J540)*(1-S540)*IF(AU540&lt;$F$10,0,IF(AU540&lt;$F$10+$F$11,0.25,IF(AU540&lt;$F$10+$F$11+AS540,AT540,1)))*(1+U540),0)*'模拟-单技能数据'!$I$22</f>
        <v>0</v>
      </c>
      <c r="AW540" s="108">
        <f t="shared" ca="1" si="441"/>
        <v>0</v>
      </c>
      <c r="AX540" s="108" t="b">
        <f ca="1">AND(模拟模式!$P$10="有",AW539=0,RAND()&lt;IF(C540="净世破魔击·月",0.1*8/3,IF(C540="净世破魔击·日",0.1*4/3,0.1*2/3)))</f>
        <v>0</v>
      </c>
      <c r="AY540" s="47">
        <f ca="1">IF(AX540,(18+G540*0.722)*(1+J540)*(1-S540)*(1+$I$4)*IF(P540="会",'模拟-全程加成'!$J$3+'模拟-全程加成'!$J$4+'模拟-全程加成'!$J$5+('模拟-全程加成'!$I$4+'模拟-全程加成'!$I$5)/系数!$B$4+BG540*10%,IF(P540="命",1,IF(P540="识",0.25,0))),0)</f>
        <v>0</v>
      </c>
      <c r="AZ540" s="108">
        <f t="shared" si="442"/>
        <v>13.542500000000004</v>
      </c>
      <c r="BA540" s="108" t="b">
        <f>AND(模拟模式!$Q$10="有",AZ539=0)</f>
        <v>0</v>
      </c>
      <c r="BB540" s="140">
        <f>IF(BA540,(0+G540*0.287)*(1+J540)*(1-S540)*(1+$I$4)*IF(P540="会",'模拟-全程加成'!$J$3+'模拟-全程加成'!$J$4+'模拟-全程加成'!$J$5+('模拟-全程加成'!$I$4+'模拟-全程加成'!$I$5)/系数!$B$4+BG540*10%,IF(P540="命",1,IF(P540="识",0.25,0))),0)</f>
        <v>0</v>
      </c>
      <c r="BC540" s="115" t="b">
        <f ca="1">AND(模拟模式!$R$7="伏明众生",E540=60,F540=20,DA540&lt;5,CZ539&lt;$F$4)</f>
        <v>0</v>
      </c>
      <c r="BD540" s="115">
        <f t="shared" ca="1" si="460"/>
        <v>0</v>
      </c>
      <c r="BE540" s="115" t="b">
        <f t="shared" ca="1" si="461"/>
        <v>0</v>
      </c>
      <c r="BF540" s="47">
        <f ca="1">IF(BC540,4*('模拟-单技能数据'!$D$24+G540*'模拟-单技能数据'!$F$24)*(1+J540)*(1+'模拟-单技能数据'!$J$24)*(1-S540)*(1+$I$3)*(('模拟-全程加成'!$J$3+'模拟-全程加成'!$J$4+'模拟-全程加成'!$J$5+('模拟-全程加成'!$I$4+'模拟-全程加成'!$I$5)/系数!$B$4+BG540*10%)*('模拟-全程加成'!$J$3+'模拟-全程加成'!$J$4+'模拟-全程加成'!$J$5+('模拟-全程加成'!$I$4+'模拟-全程加成'!$I$5)/系数!$B$4+BG540*10%)+(1-('模拟-全程加成'!$J$3+'模拟-全程加成'!$J$4+'模拟-全程加成'!$J$5+('模拟-全程加成'!$I$4+'模拟-全程加成'!$I$5)/系数!$B$4+BG540*10%)-$F$10-$F$11)+F526*0.25),0)*'模拟-单技能数据'!$I$24</f>
        <v>0</v>
      </c>
      <c r="BG540" s="115" t="b">
        <f ca="1">OR(AND(OR(C540="烈日斩",C540="银月斩"),模拟模式!$I$7="净身明礼"),AND(C540="净世破魔击·日",模拟模式!$J$7="洞若观火"),AND(C541="净世破魔击·月",模拟模式!$J$7="洞若观火"),AB540=1)</f>
        <v>1</v>
      </c>
      <c r="BH540" s="115" t="b">
        <f t="shared" ca="1" si="443"/>
        <v>0</v>
      </c>
      <c r="BI540" s="115">
        <f t="shared" ca="1" si="462"/>
        <v>2.3099999999999996</v>
      </c>
      <c r="BJ540" s="115" t="b">
        <f t="shared" ca="1" si="473"/>
        <v>1</v>
      </c>
      <c r="BK540" s="115" t="b">
        <f ca="1">AND(C540="驱夜断愁",模拟模式!$P$7="天地诛戮")</f>
        <v>1</v>
      </c>
      <c r="BL540" s="57">
        <f t="shared" ca="1" si="463"/>
        <v>20</v>
      </c>
      <c r="BM540" s="115" t="b">
        <f t="shared" ca="1" si="474"/>
        <v>1</v>
      </c>
      <c r="BN540" s="115" t="b">
        <f ca="1">AND(OR(C540="赤日轮1",C540="赤日轮2",C540="赤日轮3",C540="幽月轮1",C540="幽月轮2",C540="幽月轮3"),AB540=1,模拟模式!$L$7="明光恒照")</f>
        <v>0</v>
      </c>
      <c r="BO540" s="117">
        <f t="shared" ca="1" si="464"/>
        <v>28.155000000000001</v>
      </c>
      <c r="BP540" s="115">
        <f t="shared" ca="1" si="444"/>
        <v>6</v>
      </c>
      <c r="BQ540" s="115" t="b">
        <f>模拟模式!$K$10="2600·水"</f>
        <v>0</v>
      </c>
      <c r="BR540" s="117">
        <f t="shared" si="445"/>
        <v>0</v>
      </c>
      <c r="BS540" s="115">
        <f t="shared" si="446"/>
        <v>0</v>
      </c>
      <c r="BT540" s="115">
        <f t="shared" ca="1" si="447"/>
        <v>0</v>
      </c>
      <c r="BU540" s="115" t="b">
        <f ca="1">AND(模拟模式!$K$10="2300·雷",BT539=0,RAND()&lt;IF(C540="净世破魔击·月",5*0.05*2/3,IF(C540="净世破魔击·日",3*0.05*2/3,0.05*2*2/3)))</f>
        <v>0</v>
      </c>
      <c r="BV540" s="115">
        <f t="shared" ca="1" si="448"/>
        <v>0</v>
      </c>
      <c r="BW540" s="115">
        <f t="shared" ca="1" si="449"/>
        <v>82.214999999999264</v>
      </c>
      <c r="BX540" s="164" t="b">
        <f t="shared" ca="1" si="450"/>
        <v>0</v>
      </c>
      <c r="BY540" s="115">
        <f t="shared" ca="1" si="451"/>
        <v>0</v>
      </c>
      <c r="BZ540" s="115">
        <f>IF(OR(模拟模式!$P$16="10人团",模拟模式!$P$16="25人团"),IF(B540/30&gt;CA539,1,0),0)</f>
        <v>0</v>
      </c>
      <c r="CA540" s="115">
        <f t="shared" ref="CA540:CA603" si="483">CA539+BZ540</f>
        <v>0</v>
      </c>
      <c r="CB540" s="115">
        <f ca="1">IF(BZ540=1,IF(模拟模式!$P$16="10人团",15,0)+IF(模拟模式!$P$16="25人团",IF(RAND()&lt;0.6,15,0)),MAX(0,CB539-$F$4))</f>
        <v>0</v>
      </c>
      <c r="CC540" s="115" t="b">
        <f t="shared" ca="1" si="475"/>
        <v>0</v>
      </c>
      <c r="CD540" s="115">
        <f>IF(模拟模式!$Q$16="1个",IF(B540/40&gt;CE539,1,0),0)</f>
        <v>0</v>
      </c>
      <c r="CE540" s="115">
        <f t="shared" si="476"/>
        <v>0</v>
      </c>
      <c r="CF540" s="115">
        <f>IF(OR(CD540=1,模拟模式!$Q$16="2个"),20,MAX(0,CF539-$F$4))</f>
        <v>0</v>
      </c>
      <c r="CG540" s="115" t="b">
        <f t="shared" si="477"/>
        <v>0</v>
      </c>
      <c r="CH540" s="115">
        <f t="shared" ca="1" si="452"/>
        <v>3.2475000000000116</v>
      </c>
      <c r="CI540" s="115" t="b">
        <f t="shared" ca="1" si="453"/>
        <v>0</v>
      </c>
      <c r="CJ540" s="119">
        <f t="shared" ca="1" si="454"/>
        <v>0</v>
      </c>
      <c r="CK540" s="115">
        <f t="shared" ca="1" si="455"/>
        <v>0</v>
      </c>
      <c r="CL540" s="115" t="b">
        <f ca="1">AND(模拟模式!$S$7="驱夷逐法",OR(AND(C540="净世破魔击·月",E539&gt;59),AND(C540="净世破魔击·日",F539&gt;59)))</f>
        <v>0</v>
      </c>
      <c r="CM540" s="115" t="b">
        <f ca="1">OR(CL540,AND(C540="净世破魔击·日",CL539,RAND()&lt;模拟模式!$U$23))</f>
        <v>0</v>
      </c>
      <c r="CN540" s="115" t="b">
        <f ca="1">IF(模拟模式!$M$7="辉耀红尘",AND(C540="净世破魔击·月",CL540,CV540=0,E539&lt;80),AND(C540="净世破魔击·月",CL540,E539&lt;100))</f>
        <v>0</v>
      </c>
      <c r="CO540" s="115" t="b">
        <f t="shared" ref="CO540:CO603" ca="1" si="484">AND(C540="净世破魔击·日",CL540,CV540=0)</f>
        <v>0</v>
      </c>
      <c r="CP540" s="115" t="b">
        <f ca="1">AND(模拟模式!$O$7="用晦而明",OR(C540="净世破魔击·日",C540="净世破魔击·月",C540="驱夜断愁"),AB540)</f>
        <v>1</v>
      </c>
      <c r="CQ540" s="115" t="b">
        <f ca="1">OR(CP540,AND(CP539,RAND()&lt;模拟模式!$U$23))</f>
        <v>1</v>
      </c>
      <c r="CR540" s="115" t="b">
        <f ca="1">AND(模拟模式!$S$7="日月齐光",OR(C540="幽月轮1",C540="幽月轮2",C540="幽月轮3",CR539),NOT(OR(C540="赤日轮1",C540="赤日轮2",C540="赤日轮3")))</f>
        <v>0</v>
      </c>
      <c r="CS540" s="115" t="b">
        <f ca="1">AND(模拟模式!$S$7="日月齐光",OR(C540="赤日轮1",C540="赤日轮2",C540="赤日轮3",CS539),NOT(OR(C540="幽月轮1",C540="幽月轮2",C540="幽月轮3")))</f>
        <v>0</v>
      </c>
      <c r="CT540" s="115">
        <f t="shared" ca="1" si="456"/>
        <v>30</v>
      </c>
      <c r="CU540" s="115" t="b">
        <f ca="1">AND(模拟模式!$K$10="阴阳往极",CT539=0,RAND()&lt;IF(C540="净世破魔击·月",0.0275*7/3,IF(C540="净世破魔击·日",0.0275*3/3,0.0275*2/3)))</f>
        <v>1</v>
      </c>
      <c r="CV540" s="115">
        <f t="shared" ca="1" si="457"/>
        <v>4.0774999999999997</v>
      </c>
      <c r="CW540" s="115">
        <f t="shared" ref="CW540:CW604" ca="1" si="485">MAX(IF($C540="烈日斩",6,CW539-$F$4),0)</f>
        <v>0.46499999999999975</v>
      </c>
      <c r="CX540" s="115">
        <f t="shared" ref="CX540:CX604" ca="1" si="486">MAX(IF($C540="银月斩",6,CX539-$F$4),0)</f>
        <v>5.0774999999999997</v>
      </c>
      <c r="CY540" s="115">
        <f ca="1">MAX(IF($C540="驱夜断愁",IF(模拟模式!$R$7="万念俱寂",6,45),CY539-$F$4),0)</f>
        <v>6</v>
      </c>
      <c r="CZ540" s="115">
        <f t="shared" ref="CZ540:CZ603" ca="1" si="487">IF(BC540,25,MAX(0,CZ539-$F$4))</f>
        <v>0</v>
      </c>
      <c r="DA540" s="115">
        <f ca="1">IF(模拟模式!$N$7="日月同辉",IF(DB539=2,0,MIN(6,IF(AND(OR(C540="赤日轮1",C540="赤日轮2",C540="赤日轮3",C540="幽月轮1",C540="幽月轮2",C540="幽月轮3"),AB540=1),DA539+1,DA539))),0)</f>
        <v>2</v>
      </c>
      <c r="DB540" s="115">
        <f t="shared" ref="DB540:DB603" ca="1" si="488">MAX(0,IF(DA540=6,2,IF(OR(C540="净世破魔击·月",C540="净世破魔击·日"),DB539-1,DB539)))</f>
        <v>0</v>
      </c>
      <c r="DC540" s="115"/>
      <c r="DD540" s="115"/>
      <c r="DE540" s="115"/>
      <c r="DF540" s="115"/>
      <c r="DG540" s="115"/>
      <c r="DH540" s="115"/>
      <c r="DI540" s="115"/>
      <c r="DJ540" s="115"/>
      <c r="DK540" s="115"/>
      <c r="DL540" s="115"/>
      <c r="DM540" s="115"/>
    </row>
    <row r="541" spans="2:117" x14ac:dyDescent="0.2">
      <c r="B541" s="117">
        <f t="shared" ref="B541:B604" si="489">B540+$F$4</f>
        <v>474.16500000000502</v>
      </c>
      <c r="C541" s="167" t="str">
        <f t="shared" ca="1" si="482"/>
        <v>净世破魔击·日</v>
      </c>
      <c r="D541" s="115">
        <f ca="1">IF(C541="赤日轮1",1,IF(C541="赤日轮2",2,IF(C541="赤日轮3",3,IF(C541="幽月轮1",4,IF(C541="幽月轮2",5,IF(C541="幽月轮3",6,IF(C541="烈日斩",7,IF(C541="银月斩",8,IF(C541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541="净世破魔击·月",17,IF(C541="驱夜断愁",18,0)))))))))))</f>
        <v>9</v>
      </c>
      <c r="E541" s="115">
        <f ca="1">IF(AND(CU541,OR(C541="幽月轮1",C541="幽月轮2",C541="幽月轮3",C541="银月斩",C541="驱夜断愁",C541="净世破魔击·月")),100,MIN(IF(OR(CN541,BE541),0,IF(OR($C541="赤日轮1",$C541="赤日轮2",$C541="赤日轮3"),E540+20+IF(模拟模式!$I$7="日月凌天",4,0)+IF(CR540,20,0),IF($C541="烈日斩",E540+40,IF($C541="驱夜断愁",IF(模拟模式!$R$7="万念俱寂",E540+20,E540+60),IF($C541="净世破魔击·月",IF(OR(DB540&gt;0,CV540&gt;0),100,IF(模拟模式!$M$7="辉耀红尘",E540+20,E540)),IF($C541="净世破魔击·日",E540-100,E540)))))),100))</f>
        <v>0</v>
      </c>
      <c r="F541" s="115">
        <f ca="1">IF(AND(CU541,OR(C541="赤日轮1",C541="赤日轮2",C541="赤日轮3",C541="烈日斩",C541="净世破魔击·日")),100,MIN(IF(CO541,0,IF(OR($C541="幽月轮1",$C541="幽月轮2",$C541="幽月轮3"),F540+20+IF(模拟模式!$I$7="日月凌天",4,0)+IF(CS540,20,0),IF($C541="银月斩",F540+40+IF(模拟模式!$X$12=1,5,0),IF($C541="驱夜断愁",IF(模拟模式!$R$7="万念俱寂",F540+20,F540+60),IF($C541="净世破魔击·月",IF(模拟模式!$M$7="辉耀红尘",F540-80,F540-100),IF(AND(C541="净世破魔击·日",OR(DB540&gt;0,CV540&gt;0)),100,F540)))))),100))</f>
        <v>100</v>
      </c>
      <c r="G541" s="117">
        <f ca="1">('模拟-全程加成'!$E$3+'模拟-全程加成'!$E$4+'模拟-全程加成'!$E$5+('模拟-全程加成'!$C$6-'模拟-全程加成'!$C$3)*系数!$B$9+BS541*23)*(1+'模拟-全程加成'!$F$4+'模拟-全程加成'!$F$5+BJ541*10%+BM541*20%+BP541*4%+CG541*30%)+$F$7*系数!$B$12</f>
        <v>21493.829400000002</v>
      </c>
      <c r="H541" s="45">
        <f ca="1">'模拟-全程加成'!$H$3+'模拟-全程加成'!$H$4+'模拟-全程加成'!$H$5+('模拟-全程加成'!$G$4+'模拟-全程加成'!$G$5+('模拟-全程加成'!$C$6-'模拟-全程加成'!$C$3)*系数!$B$13)/系数!$B$3+LOOKUP(D541,'模拟-单技能数据'!$A$2:$A$19,'模拟-单技能数据'!$K$2:$K$19)+BG541*10%+IF(BV541&gt;0,378,0)</f>
        <v>0.54185145527300216</v>
      </c>
      <c r="I541" s="45">
        <f ca="1">'模拟-全程加成'!$J$3+'模拟-全程加成'!$J$4+'模拟-全程加成'!$J$5+('模拟-全程加成'!$I$4+'模拟-全程加成'!$I$5)/系数!$B$4+LOOKUP(D541,'模拟-单技能数据'!$A$2:$A$19,'模拟-单技能数据'!$L$2:$L$19)+BG541*10%</f>
        <v>2.162482885499879</v>
      </c>
      <c r="J541" s="45">
        <f ca="1">(('模拟-全程加成'!$K$3+'模拟-全程加成'!$K$4+'模拟-全程加成'!$K$5+('模拟-全程加成'!$C$6-'模拟-全程加成'!$C$3)*系数!$B$10+IF(BV541&gt;0,882,0)+IF(BY541&gt;0,1831,0))*(1+'模拟-全程加成'!$L$4+'模拟-全程加成'!$L$5+CC541*20%))/系数!$B$5</f>
        <v>0.69723220422048726</v>
      </c>
      <c r="K541" s="119">
        <f ca="1">LOOKUP(D541,'模拟-单技能数据'!$A$2:$A$19,'模拟-单技能数据'!$J$2:$J$19)+IF(CM541,60%,0)+IF(DB540-DB541&gt;0,30%,0)+IF(OR(AND(OR(C541="赤日轮1",C541="赤日轮2",C541="赤日轮3"),CR541),AND(OR(C541="幽月轮1",C541="幽月轮2",C541="幽月轮3"),CS541)),35%,0)+CJ541</f>
        <v>0.8</v>
      </c>
      <c r="L541" s="119">
        <f ca="1">IF(AND(C541="烈日斩",模拟模式!$X$11=1),10%,0)+IF(AND(C541="驱夜断愁",AB541=1),30%,0)</f>
        <v>0</v>
      </c>
      <c r="M541" s="45">
        <f t="shared" ca="1" si="465"/>
        <v>0.54185145527300216</v>
      </c>
      <c r="N541" s="45">
        <f t="shared" ca="1" si="466"/>
        <v>0.40424854472699789</v>
      </c>
      <c r="O541" s="46">
        <f t="shared" ref="O541:O604" ca="1" si="490">RAND()</f>
        <v>0.53331966347622428</v>
      </c>
      <c r="P541" s="46" t="str">
        <f t="shared" ref="P541:P603" ca="1" si="491">IF(O541&lt;$F$10,"偏",IF(O541&lt;$F$10+$F$11,"识",IF(O541&lt;$F$10+$F$11+H541,"会","命")))</f>
        <v>会</v>
      </c>
      <c r="Q541" s="45">
        <f t="shared" ref="Q541:Q603" ca="1" si="492">IF(P541="会",I541,IF(P541="命",1,IF(P541="识",0.25,0)))</f>
        <v>2.162482885499879</v>
      </c>
      <c r="R541" s="117">
        <f ca="1">模拟模式!$E$20*(1-IF(模拟模式!$J$19="有",0.15,0))*(1-IF(模拟模式!$K$19="有",0.3,0)-IF(CQ541,0.5,0))</f>
        <v>843.02999999999975</v>
      </c>
      <c r="S541" s="45">
        <f ca="1">R541/(R541+(185*模拟模式!$E$22-16800)*4.08224)</f>
        <v>8.389626085980037E-2</v>
      </c>
      <c r="T541" s="45" t="str">
        <f ca="1">LOOKUP(D541,'模拟-单技能数据'!$A$2:$A$19,'模拟-单技能数据'!$H$2:$H$19)</f>
        <v>阳</v>
      </c>
      <c r="U541" s="119">
        <f t="shared" ca="1" si="467"/>
        <v>0.2</v>
      </c>
      <c r="V541" s="47">
        <f ca="1">(1+L541)*(LOOKUP(D541,'模拟-单技能数据'!$A$2:$A$19,'模拟-单技能数据'!$D$2:$D$19)+G541*LOOKUP(D541,'模拟-单技能数据'!$A$2:$A$19,'模拟-单技能数据'!$F$2:$F$19))*(1+J541)*(1+K541)*(1-S541)*(1+U541)*Q541*LOOKUP(D541,'模拟-单技能数据'!$A$2:$A$19,'模拟-单技能数据'!$I$2:$I$20)</f>
        <v>204517.60843249681</v>
      </c>
      <c r="W541" s="47">
        <f ca="1">LOOKUP(D541,'模拟-单技能数据'!$A$2:$A$19,'模拟-单技能数据'!$G$2:$G$19)*$I$10</f>
        <v>723.0212870940959</v>
      </c>
      <c r="X541" s="47">
        <f t="shared" ref="X541:X604" ca="1" si="493">AJ541+AR541+AV541+BF541+AY541+BB541</f>
        <v>70235.834766481843</v>
      </c>
      <c r="Y541" s="47">
        <f t="shared" ca="1" si="468"/>
        <v>275476.46448607277</v>
      </c>
      <c r="Z541" s="49">
        <f t="shared" ca="1" si="469"/>
        <v>53749000.69891797</v>
      </c>
      <c r="AA541" s="97">
        <f t="shared" ca="1" si="470"/>
        <v>113355.0572035418</v>
      </c>
      <c r="AB541" s="115">
        <f ca="1">IF(OR(C541="赤日轮1",C541="赤日轮2",C541="赤日轮3"),IF(RAND()&lt;模拟模式!$Y$17,1,0),IF(OR(C541="幽月轮1",C541="幽月轮2",C541="幽月轮3"),IF(RAND()&lt;模拟模式!$Y$18,1,0),IF(C541="烈日斩",IF(RAND()&lt;模拟模式!$Y$19,1,0),IF(C541="银月斩",IF(RAND()&lt;模拟模式!$Y$20,1,0),IF(C541="驱夜断愁",IF(RAND()&lt;模拟模式!$Y$21,1,0),IF(C541="净世破魔击·日",IF(RAND()&lt;模拟模式!$Y$22,1,0),IF(C541="净世破魔击·月",IF(RAND()&lt;模拟模式!$Y$23,1,0),0)))))))</f>
        <v>1</v>
      </c>
      <c r="AC541" s="115" t="b">
        <f t="shared" ca="1" si="458"/>
        <v>0</v>
      </c>
      <c r="AD541" s="115" t="b">
        <f t="shared" ca="1" si="478"/>
        <v>0</v>
      </c>
      <c r="AE541" s="115">
        <f t="shared" ca="1" si="479"/>
        <v>5</v>
      </c>
      <c r="AF541" s="47">
        <f ca="1">IF(AC541,('模拟-单技能数据'!$D$20+G541*'模拟-单技能数据'!$F$20)*(1+J541)*(1+'模拟-单技能数据'!$J$20)*(1+U541),0)</f>
        <v>0</v>
      </c>
      <c r="AG541" s="61">
        <f t="shared" ca="1" si="471"/>
        <v>0.64185145527300214</v>
      </c>
      <c r="AH541" s="61">
        <f t="shared" ca="1" si="472"/>
        <v>2.2624828854998791</v>
      </c>
      <c r="AI541" s="62">
        <f t="shared" ref="AI541:AI604" ca="1" si="494">RAND()</f>
        <v>0.99820208826684809</v>
      </c>
      <c r="AJ541" s="47">
        <f ca="1">IF(AD541,IF(AI541&lt;$F$10,0,IF(AI541&lt;$F$10+$F$11,0.25,IF(AI541&lt;$F$10+$F$11+AG541,AH541,1)))*IF(AF541&gt;0,AF541,IF(AF540&gt;0,AF540,IF(AF539&gt;0,AF539,IF(AF538&gt;0,AF538,IF(AF537&gt;0,AF537,IF(AF536&gt;0,AF536,IF(AF535&gt;0,AF535,IF(AF534&gt;0,AF534,IF(AF533&gt;0,AF533,IF(AF531&gt;0,AF531,IF(AF530&gt;0,AF530,IF(AF529&gt;0,AF529,0)))))))))))),0)*(1-$S541)*'模拟-单技能数据'!$I$20</f>
        <v>0</v>
      </c>
      <c r="AK541" s="115" t="b">
        <f t="shared" ca="1" si="459"/>
        <v>1</v>
      </c>
      <c r="AL541" s="115" t="b">
        <f t="shared" ca="1" si="480"/>
        <v>1</v>
      </c>
      <c r="AM541" s="115">
        <f t="shared" ca="1" si="481"/>
        <v>5</v>
      </c>
      <c r="AN541" s="47">
        <f ca="1">IF(AK541,('模拟-单技能数据'!$D$21+G541*'模拟-单技能数据'!$F$21)*(1+J541)*(1+'模拟-单技能数据'!$J$21)*(1+U541),0)</f>
        <v>12670.936004857545</v>
      </c>
      <c r="AO541" s="61">
        <f ca="1">IF(AN541&gt;0,M541-'模拟-单技能数据'!$K$10,AO540)</f>
        <v>0.42185145527300216</v>
      </c>
      <c r="AP541" s="61">
        <f ca="1">IF(AN541&gt;0,I541-'模拟-单技能数据'!$L$10,AP540)</f>
        <v>2.162482885499879</v>
      </c>
      <c r="AQ541" s="63">
        <f t="shared" ref="AQ541:AQ604" ca="1" si="495">RAND()</f>
        <v>0.55413951413114471</v>
      </c>
      <c r="AR541" s="64">
        <f ca="1">IF(AL541,IF(AQ541&lt;$F$10,0,IF(AQ541&lt;$F$10+$F$11,0.25,IF(AQ541&lt;$F$10+$F$11+AO541,AP541,1)))*IF(AN541&gt;0,AN541,IF(AN540&gt;0,AN540,IF(AN539&gt;0,AN539,IF(AN538&gt;0,AN538,IF(AN537&gt;0,AN537,IF(AN536&gt;0,AN536,IF(AN535&gt;0,AN535,IF(AN534&gt;0,AN534,IF(AN533&gt;0,AN533,IF(AN531&gt;0,AN531,IF(AN530&gt;0,AN530,IF(AN529&gt;0,AN529,0)))))))))))),0)*(1-$S541)*'模拟-单技能数据'!$I$21</f>
        <v>11607.89185245618</v>
      </c>
      <c r="AS541" s="61">
        <f ca="1">IF(OR(C541="净世破魔击·日",C541="净世破魔击·月"),M541-'模拟-单技能数据'!$K$10,0)</f>
        <v>0.42185145527300216</v>
      </c>
      <c r="AT541" s="61">
        <f ca="1">IF(OR(C541="净世破魔击·日",C541="净世破魔击·月"),I541-'模拟-单技能数据'!$L$10,0)</f>
        <v>2.162482885499879</v>
      </c>
      <c r="AU541" s="62">
        <f t="shared" ref="AU541:AU604" ca="1" si="496">RAND()</f>
        <v>4.4960854310330478E-2</v>
      </c>
      <c r="AV541" s="64">
        <f ca="1">IF(AS541&gt;0,('模拟-单技能数据'!$D$22+G541*'模拟-单技能数据'!$F$22)*(1+J541)*(1-S541)*IF(AU541&lt;$F$10,0,IF(AU541&lt;$F$10+$F$11,0.25,IF(AU541&lt;$F$10+$F$11+AS541,AT541,1)))*(1+U541),0)*'模拟-单技能数据'!$I$22</f>
        <v>2210.0585437142904</v>
      </c>
      <c r="AW541" s="108">
        <f t="shared" ref="AW541:AW604" ca="1" si="497">IF(AX541,20-$F$4,MAX(AW540-$F$4,0))</f>
        <v>19.077500000000001</v>
      </c>
      <c r="AX541" s="108" t="b">
        <f ca="1">AND(模拟模式!$P$10="有",AW540=0,RAND()&lt;IF(C541="净世破魔击·月",0.1*8/3,IF(C541="净世破魔击·日",0.1*4/3,0.1*2/3)))</f>
        <v>1</v>
      </c>
      <c r="AY541" s="47">
        <f ca="1">IF(AX541,(18+G541*0.722)*(1+J541)*(1-S541)*(1+$I$4)*IF(P541="会",'模拟-全程加成'!$J$3+'模拟-全程加成'!$J$4+'模拟-全程加成'!$J$5+('模拟-全程加成'!$I$4+'模拟-全程加成'!$I$5)/系数!$B$4+BG541*10%,IF(P541="命",1,IF(P541="识",0.25,0))),0)</f>
        <v>56417.884370311374</v>
      </c>
      <c r="AZ541" s="108">
        <f t="shared" ref="AZ541:AZ604" si="498">IF(BA541,20-$F$4,MAX(AZ540-$F$4,0))</f>
        <v>12.620000000000005</v>
      </c>
      <c r="BA541" s="108" t="b">
        <f>AND(模拟模式!$Q$10="有",AZ540=0)</f>
        <v>0</v>
      </c>
      <c r="BB541" s="140">
        <f>IF(BA541,(0+G541*0.287)*(1+J541)*(1-S541)*(1+$I$4)*IF(P541="会",'模拟-全程加成'!$J$3+'模拟-全程加成'!$J$4+'模拟-全程加成'!$J$5+('模拟-全程加成'!$I$4+'模拟-全程加成'!$I$5)/系数!$B$4+BG541*10%,IF(P541="命",1,IF(P541="识",0.25,0))),0)</f>
        <v>0</v>
      </c>
      <c r="BC541" s="115" t="b">
        <f ca="1">AND(模拟模式!$R$7="伏明众生",E541=60,F541=20,DA541&lt;5,CZ540&lt;$F$4)</f>
        <v>0</v>
      </c>
      <c r="BD541" s="115">
        <f t="shared" ca="1" si="460"/>
        <v>0</v>
      </c>
      <c r="BE541" s="115" t="b">
        <f t="shared" ca="1" si="461"/>
        <v>0</v>
      </c>
      <c r="BF541" s="47">
        <f ca="1">IF(BC541,4*('模拟-单技能数据'!$D$24+G541*'模拟-单技能数据'!$F$24)*(1+J541)*(1+'模拟-单技能数据'!$J$24)*(1-S541)*(1+$I$3)*(('模拟-全程加成'!$J$3+'模拟-全程加成'!$J$4+'模拟-全程加成'!$J$5+('模拟-全程加成'!$I$4+'模拟-全程加成'!$I$5)/系数!$B$4+BG541*10%)*('模拟-全程加成'!$J$3+'模拟-全程加成'!$J$4+'模拟-全程加成'!$J$5+('模拟-全程加成'!$I$4+'模拟-全程加成'!$I$5)/系数!$B$4+BG541*10%)+(1-('模拟-全程加成'!$J$3+'模拟-全程加成'!$J$4+'模拟-全程加成'!$J$5+('模拟-全程加成'!$I$4+'模拟-全程加成'!$I$5)/系数!$B$4+BG541*10%)-$F$10-$F$11)+F527*0.25),0)*'模拟-单技能数据'!$I$24</f>
        <v>0</v>
      </c>
      <c r="BG541" s="115" t="b">
        <f ca="1">OR(AND(OR(C541="烈日斩",C541="银月斩"),模拟模式!$I$7="净身明礼"),AND(C541="净世破魔击·日",模拟模式!$J$7="洞若观火"),AND(C542="净世破魔击·月",模拟模式!$J$7="洞若观火"),AB541=1)</f>
        <v>1</v>
      </c>
      <c r="BH541" s="115" t="b">
        <f t="shared" ref="BH541:BH604" ca="1" si="499">RAND()&lt;IF(C541="净世破魔击·月",4*$I$7,IF(C541="净世破魔击·日",2*$I$7,$I$7))</f>
        <v>0</v>
      </c>
      <c r="BI541" s="115">
        <f t="shared" ca="1" si="462"/>
        <v>1.3874999999999997</v>
      </c>
      <c r="BJ541" s="115" t="b">
        <f t="shared" ca="1" si="473"/>
        <v>1</v>
      </c>
      <c r="BK541" s="115" t="b">
        <f ca="1">AND(C541="驱夜断愁",模拟模式!$P$7="天地诛戮")</f>
        <v>0</v>
      </c>
      <c r="BL541" s="57">
        <f t="shared" ca="1" si="463"/>
        <v>19.077500000000001</v>
      </c>
      <c r="BM541" s="115" t="b">
        <f t="shared" ca="1" si="474"/>
        <v>1</v>
      </c>
      <c r="BN541" s="115" t="b">
        <f ca="1">AND(OR(C541="赤日轮1",C541="赤日轮2",C541="赤日轮3",C541="幽月轮1",C541="幽月轮2",C541="幽月轮3"),AB541=1,模拟模式!$L$7="明光恒照")</f>
        <v>0</v>
      </c>
      <c r="BO541" s="117">
        <f t="shared" ca="1" si="464"/>
        <v>27.232500000000002</v>
      </c>
      <c r="BP541" s="115">
        <f t="shared" ref="BP541:BP604" ca="1" si="500">IF(BO541&gt;0,MIN(6,IF(BN541,BP540+1,BP540)),0)</f>
        <v>6</v>
      </c>
      <c r="BQ541" s="115" t="b">
        <f>模拟模式!$K$10="2600·水"</f>
        <v>0</v>
      </c>
      <c r="BR541" s="117">
        <f t="shared" ref="BR541:BR604" si="501">IF(BQ541,6,MAX(0,BR540-$F$4))</f>
        <v>0</v>
      </c>
      <c r="BS541" s="115">
        <f t="shared" ref="BS541:BS604" si="502">IF(BR541&gt;0,MIN(10,IF(BQ541,BS540+IF(C541="净世破魔击·月",4,IF(C541="净世破魔击·日",2,1)),BS540)),0)</f>
        <v>0</v>
      </c>
      <c r="BT541" s="115">
        <f t="shared" ref="BT541:BT604" ca="1" si="503">IF(BU541,60-$F$4,MAX(0,BT540-$F$4))</f>
        <v>0</v>
      </c>
      <c r="BU541" s="115" t="b">
        <f ca="1">AND(模拟模式!$K$10="2300·雷",BT540=0,RAND()&lt;IF(C541="净世破魔击·月",5*0.05*2/3,IF(C541="净世破魔击·日",3*0.05*2/3,0.05*2*2/3)))</f>
        <v>0</v>
      </c>
      <c r="BV541" s="115">
        <f t="shared" ref="BV541:BV604" ca="1" si="504">IF(BU541,15-$F$4,MAX(0,BV540-$F$4))</f>
        <v>0</v>
      </c>
      <c r="BW541" s="115">
        <f t="shared" ref="BW541:BW604" ca="1" si="505">IF(BX541,180-$F$4,MAX(0,BW540-$F$4))</f>
        <v>81.292499999999265</v>
      </c>
      <c r="BX541" s="164" t="b">
        <f t="shared" ref="BX541:BX604" ca="1" si="506">AND(BW540=0,OR(AND(E540=80,F540=100),CU541))</f>
        <v>0</v>
      </c>
      <c r="BY541" s="115">
        <f t="shared" ref="BY541:BY604" ca="1" si="507">IF(BX541,15-$F$4,MAX(0,BY540-$F$4))</f>
        <v>0</v>
      </c>
      <c r="BZ541" s="115">
        <f>IF(OR(模拟模式!$P$16="10人团",模拟模式!$P$16="25人团"),IF(B541/30&gt;CA540,1,0),0)</f>
        <v>0</v>
      </c>
      <c r="CA541" s="115">
        <f t="shared" si="483"/>
        <v>0</v>
      </c>
      <c r="CB541" s="115">
        <f ca="1">IF(BZ541=1,IF(模拟模式!$P$16="10人团",15,0)+IF(模拟模式!$P$16="25人团",IF(RAND()&lt;0.6,15,0)),MAX(0,CB540-$F$4))</f>
        <v>0</v>
      </c>
      <c r="CC541" s="115" t="b">
        <f t="shared" ca="1" si="475"/>
        <v>0</v>
      </c>
      <c r="CD541" s="115">
        <f>IF(模拟模式!$Q$16="1个",IF(B541/40&gt;CE540,1,0),0)</f>
        <v>0</v>
      </c>
      <c r="CE541" s="115">
        <f t="shared" si="476"/>
        <v>0</v>
      </c>
      <c r="CF541" s="115">
        <f>IF(OR(CD541=1,模拟模式!$Q$16="2个"),20,MAX(0,CF540-$F$4))</f>
        <v>0</v>
      </c>
      <c r="CG541" s="115" t="b">
        <f t="shared" si="477"/>
        <v>0</v>
      </c>
      <c r="CH541" s="115">
        <f t="shared" ref="CH541:CH604" ca="1" si="508">IF(CI541,30-$F$4,MAX(0,CH540-$F$4))</f>
        <v>2.3250000000000117</v>
      </c>
      <c r="CI541" s="115" t="b">
        <f t="shared" ref="CI541:CI604" ca="1" si="509">AND(CH540=0,RAND()&lt;IF(C541="净世破魔击·月",4*0.2*2/3,IF(C541="净世破魔击·日",2*0.2*2/3,0.2*2/3)))</f>
        <v>0</v>
      </c>
      <c r="CJ541" s="119">
        <f t="shared" ref="CJ541:CJ604" ca="1" si="510">IF(CI541,IF(RAND()&lt;0.7,0.05,0.01),IF(CK541&gt;0,CJ540,0))</f>
        <v>0</v>
      </c>
      <c r="CK541" s="115">
        <f t="shared" ref="CK541:CK604" ca="1" si="511">IF(CI541,8-$F$4,MAX(0,CK540-$F$4))</f>
        <v>0</v>
      </c>
      <c r="CL541" s="115" t="b">
        <f ca="1">AND(模拟模式!$S$7="驱夷逐法",OR(AND(C541="净世破魔击·月",E540&gt;59),AND(C541="净世破魔击·日",F540&gt;59)))</f>
        <v>1</v>
      </c>
      <c r="CM541" s="115" t="b">
        <f ca="1">OR(CL541,AND(C541="净世破魔击·日",CL540,RAND()&lt;模拟模式!$U$23))</f>
        <v>1</v>
      </c>
      <c r="CN541" s="115" t="b">
        <f ca="1">IF(模拟模式!$M$7="辉耀红尘",AND(C541="净世破魔击·月",CL541,CV541=0,E540&lt;80),AND(C541="净世破魔击·月",CL541,E540&lt;100))</f>
        <v>0</v>
      </c>
      <c r="CO541" s="115" t="b">
        <f t="shared" ca="1" si="484"/>
        <v>0</v>
      </c>
      <c r="CP541" s="115" t="b">
        <f ca="1">AND(模拟模式!$O$7="用晦而明",OR(C541="净世破魔击·日",C541="净世破魔击·月",C541="驱夜断愁"),AB541)</f>
        <v>1</v>
      </c>
      <c r="CQ541" s="115" t="b">
        <f ca="1">OR(CP541,AND(CP540,RAND()&lt;模拟模式!$U$23))</f>
        <v>1</v>
      </c>
      <c r="CR541" s="115" t="b">
        <f ca="1">AND(模拟模式!$S$7="日月齐光",OR(C541="幽月轮1",C541="幽月轮2",C541="幽月轮3",CR540),NOT(OR(C541="赤日轮1",C541="赤日轮2",C541="赤日轮3")))</f>
        <v>0</v>
      </c>
      <c r="CS541" s="115" t="b">
        <f ca="1">AND(模拟模式!$S$7="日月齐光",OR(C541="赤日轮1",C541="赤日轮2",C541="赤日轮3",CS540),NOT(OR(C541="幽月轮1",C541="幽月轮2",C541="幽月轮3")))</f>
        <v>0</v>
      </c>
      <c r="CT541" s="115">
        <f t="shared" ref="CT541:CT604" ca="1" si="512">IF(CU541,30,MAX(CT540-$F$4,0))</f>
        <v>29.077500000000001</v>
      </c>
      <c r="CU541" s="115" t="b">
        <f ca="1">AND(模拟模式!$K$10="阴阳往极",CT540=0,RAND()&lt;IF(C541="净世破魔击·月",0.0275*7/3,IF(C541="净世破魔击·日",0.0275*3/3,0.0275*2/3)))</f>
        <v>0</v>
      </c>
      <c r="CV541" s="115">
        <f t="shared" ref="CV541:CV604" ca="1" si="513">IF(CU541,5-$F$4,MAX(CV540-$F$4,0))</f>
        <v>3.1549999999999998</v>
      </c>
      <c r="CW541" s="115">
        <f t="shared" ca="1" si="485"/>
        <v>0</v>
      </c>
      <c r="CX541" s="115">
        <f t="shared" ca="1" si="486"/>
        <v>4.1549999999999994</v>
      </c>
      <c r="CY541" s="115">
        <f ca="1">MAX(IF($C541="驱夜断愁",IF(模拟模式!$R$7="万念俱寂",6,45),CY540-$F$4),0)</f>
        <v>5.0774999999999997</v>
      </c>
      <c r="CZ541" s="115">
        <f t="shared" ca="1" si="487"/>
        <v>0</v>
      </c>
      <c r="DA541" s="115">
        <f ca="1">IF(模拟模式!$N$7="日月同辉",IF(DB540=2,0,MIN(6,IF(AND(OR(C541="赤日轮1",C541="赤日轮2",C541="赤日轮3",C541="幽月轮1",C541="幽月轮2",C541="幽月轮3"),AB541=1),DA540+1,DA540))),0)</f>
        <v>2</v>
      </c>
      <c r="DB541" s="115">
        <f t="shared" ca="1" si="488"/>
        <v>0</v>
      </c>
      <c r="DC541" s="115"/>
      <c r="DD541" s="115"/>
      <c r="DE541" s="115"/>
      <c r="DF541" s="115"/>
      <c r="DG541" s="115"/>
      <c r="DH541" s="115"/>
      <c r="DI541" s="115"/>
      <c r="DJ541" s="115"/>
      <c r="DK541" s="115"/>
      <c r="DL541" s="115"/>
      <c r="DM541" s="115"/>
    </row>
    <row r="542" spans="2:117" x14ac:dyDescent="0.2">
      <c r="B542" s="117">
        <f t="shared" si="489"/>
        <v>475.08750000000504</v>
      </c>
      <c r="C542" s="167" t="str">
        <f t="shared" ca="1" si="482"/>
        <v>净世破魔击·月</v>
      </c>
      <c r="D542" s="115">
        <f ca="1">IF(C542="赤日轮1",1,IF(C542="赤日轮2",2,IF(C542="赤日轮3",3,IF(C542="幽月轮1",4,IF(C542="幽月轮2",5,IF(C542="幽月轮3",6,IF(C542="烈日斩",7,IF(C542="银月斩",8,IF(C542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542="净世破魔击·月",17,IF(C542="驱夜断愁",18,0)))))))))))</f>
        <v>17</v>
      </c>
      <c r="E542" s="115">
        <f ca="1">IF(AND(CU542,OR(C542="幽月轮1",C542="幽月轮2",C542="幽月轮3",C542="银月斩",C542="驱夜断愁",C542="净世破魔击·月")),100,MIN(IF(OR(CN542,BE542),0,IF(OR($C542="赤日轮1",$C542="赤日轮2",$C542="赤日轮3"),E541+20+IF(模拟模式!$I$7="日月凌天",4,0)+IF(CR541,20,0),IF($C542="烈日斩",E541+40,IF($C542="驱夜断愁",IF(模拟模式!$R$7="万念俱寂",E541+20,E541+60),IF($C542="净世破魔击·月",IF(OR(DB541&gt;0,CV541&gt;0),100,IF(模拟模式!$M$7="辉耀红尘",E541+20,E541)),IF($C542="净世破魔击·日",E541-100,E541)))))),100))</f>
        <v>100</v>
      </c>
      <c r="F542" s="115">
        <f ca="1">IF(AND(CU542,OR(C542="赤日轮1",C542="赤日轮2",C542="赤日轮3",C542="烈日斩",C542="净世破魔击·日")),100,MIN(IF(CO542,0,IF(OR($C542="幽月轮1",$C542="幽月轮2",$C542="幽月轮3"),F541+20+IF(模拟模式!$I$7="日月凌天",4,0)+IF(CS541,20,0),IF($C542="银月斩",F541+40+IF(模拟模式!$X$12=1,5,0),IF($C542="驱夜断愁",IF(模拟模式!$R$7="万念俱寂",F541+20,F541+60),IF($C542="净世破魔击·月",IF(模拟模式!$M$7="辉耀红尘",F541-80,F541-100),IF(AND(C542="净世破魔击·日",OR(DB541&gt;0,CV541&gt;0)),100,F541)))))),100))</f>
        <v>20</v>
      </c>
      <c r="G542" s="117">
        <f ca="1">('模拟-全程加成'!$E$3+'模拟-全程加成'!$E$4+'模拟-全程加成'!$E$5+('模拟-全程加成'!$C$6-'模拟-全程加成'!$C$3)*系数!$B$9+BS542*23)*(1+'模拟-全程加成'!$F$4+'模拟-全程加成'!$F$5+BJ542*10%+BM542*20%+BP542*4%+CG542*30%)+$F$7*系数!$B$12</f>
        <v>21493.829400000002</v>
      </c>
      <c r="H542" s="45">
        <f ca="1">'模拟-全程加成'!$H$3+'模拟-全程加成'!$H$4+'模拟-全程加成'!$H$5+('模拟-全程加成'!$G$4+'模拟-全程加成'!$G$5+('模拟-全程加成'!$C$6-'模拟-全程加成'!$C$3)*系数!$B$13)/系数!$B$3+LOOKUP(D542,'模拟-单技能数据'!$A$2:$A$19,'模拟-单技能数据'!$K$2:$K$19)+BG542*10%+IF(BV542&gt;0,378,0)</f>
        <v>0.54185145527300216</v>
      </c>
      <c r="I542" s="45">
        <f ca="1">'模拟-全程加成'!$J$3+'模拟-全程加成'!$J$4+'模拟-全程加成'!$J$5+('模拟-全程加成'!$I$4+'模拟-全程加成'!$I$5)/系数!$B$4+LOOKUP(D542,'模拟-单技能数据'!$A$2:$A$19,'模拟-单技能数据'!$L$2:$L$19)+BG542*10%</f>
        <v>2.162482885499879</v>
      </c>
      <c r="J542" s="45">
        <f ca="1">(('模拟-全程加成'!$K$3+'模拟-全程加成'!$K$4+'模拟-全程加成'!$K$5+('模拟-全程加成'!$C$6-'模拟-全程加成'!$C$3)*系数!$B$10+IF(BV542&gt;0,882,0)+IF(BY542&gt;0,1831,0))*(1+'模拟-全程加成'!$L$4+'模拟-全程加成'!$L$5+CC542*20%))/系数!$B$5</f>
        <v>0.69723220422048726</v>
      </c>
      <c r="K542" s="119">
        <f ca="1">LOOKUP(D542,'模拟-单技能数据'!$A$2:$A$19,'模拟-单技能数据'!$J$2:$J$19)+IF(CM542,60%,0)+IF(DB541-DB542&gt;0,30%,0)+IF(OR(AND(OR(C542="赤日轮1",C542="赤日轮2",C542="赤日轮3"),CR542),AND(OR(C542="幽月轮1",C542="幽月轮2",C542="幽月轮3"),CS542)),35%,0)+CJ542</f>
        <v>0.2</v>
      </c>
      <c r="L542" s="119">
        <f ca="1">IF(AND(C542="烈日斩",模拟模式!$X$11=1),10%,0)+IF(AND(C542="驱夜断愁",AB542=1),30%,0)</f>
        <v>0</v>
      </c>
      <c r="M542" s="45">
        <f t="shared" ca="1" si="465"/>
        <v>0.54185145527300216</v>
      </c>
      <c r="N542" s="45">
        <f t="shared" ca="1" si="466"/>
        <v>0.40424854472699789</v>
      </c>
      <c r="O542" s="46">
        <f t="shared" ca="1" si="490"/>
        <v>0.55427371966824057</v>
      </c>
      <c r="P542" s="46" t="str">
        <f t="shared" ca="1" si="491"/>
        <v>会</v>
      </c>
      <c r="Q542" s="45">
        <f t="shared" ca="1" si="492"/>
        <v>2.162482885499879</v>
      </c>
      <c r="R542" s="117">
        <f ca="1">模拟模式!$E$20*(1-IF(模拟模式!$J$19="有",0.15,0))*(1-IF(模拟模式!$K$19="有",0.3,0)-IF(CQ542,0.5,0))</f>
        <v>843.02999999999975</v>
      </c>
      <c r="S542" s="45">
        <f ca="1">R542/(R542+(185*模拟模式!$E$22-16800)*4.08224)</f>
        <v>8.389626085980037E-2</v>
      </c>
      <c r="T542" s="45" t="str">
        <f ca="1">LOOKUP(D542,'模拟-单技能数据'!$A$2:$A$19,'模拟-单技能数据'!$H$2:$H$19)</f>
        <v>阴</v>
      </c>
      <c r="U542" s="119">
        <f t="shared" ca="1" si="467"/>
        <v>0.08</v>
      </c>
      <c r="V542" s="47">
        <f ca="1">(1+L542)*(LOOKUP(D542,'模拟-单技能数据'!$A$2:$A$19,'模拟-单技能数据'!$D$2:$D$19)+G542*LOOKUP(D542,'模拟-单技能数据'!$A$2:$A$19,'模拟-单技能数据'!$F$2:$F$19))*(1+J542)*(1+K542)*(1-S542)*(1+U542)*Q542*LOOKUP(D542,'模拟-单技能数据'!$A$2:$A$19,'模拟-单技能数据'!$I$2:$I$20)</f>
        <v>121694.14741267689</v>
      </c>
      <c r="W542" s="47">
        <f ca="1">LOOKUP(D542,'模拟-单技能数据'!$A$2:$A$19,'模拟-单技能数据'!$G$2:$G$19)*$I$10</f>
        <v>361.51064354704795</v>
      </c>
      <c r="X542" s="47">
        <f t="shared" ca="1" si="493"/>
        <v>6239.5410250599552</v>
      </c>
      <c r="Y542" s="47">
        <f t="shared" ca="1" si="468"/>
        <v>128295.19908128389</v>
      </c>
      <c r="Z542" s="49">
        <f t="shared" ca="1" si="469"/>
        <v>53877295.897999257</v>
      </c>
      <c r="AA542" s="97">
        <f t="shared" ca="1" si="470"/>
        <v>113404.99570710382</v>
      </c>
      <c r="AB542" s="115">
        <f ca="1">IF(OR(C542="赤日轮1",C542="赤日轮2",C542="赤日轮3"),IF(RAND()&lt;模拟模式!$Y$17,1,0),IF(OR(C542="幽月轮1",C542="幽月轮2",C542="幽月轮3"),IF(RAND()&lt;模拟模式!$Y$18,1,0),IF(C542="烈日斩",IF(RAND()&lt;模拟模式!$Y$19,1,0),IF(C542="银月斩",IF(RAND()&lt;模拟模式!$Y$20,1,0),IF(C542="驱夜断愁",IF(RAND()&lt;模拟模式!$Y$21,1,0),IF(C542="净世破魔击·日",IF(RAND()&lt;模拟模式!$Y$22,1,0),IF(C542="净世破魔击·月",IF(RAND()&lt;模拟模式!$Y$23,1,0),0)))))))</f>
        <v>1</v>
      </c>
      <c r="AC542" s="115" t="b">
        <f t="shared" ca="1" si="458"/>
        <v>0</v>
      </c>
      <c r="AD542" s="115" t="b">
        <f t="shared" ca="1" si="478"/>
        <v>1</v>
      </c>
      <c r="AE542" s="115">
        <f t="shared" ca="1" si="479"/>
        <v>4</v>
      </c>
      <c r="AF542" s="47">
        <f ca="1">IF(AC542,('模拟-单技能数据'!$D$20+G542*'模拟-单技能数据'!$F$20)*(1+J542)*(1+'模拟-单技能数据'!$J$20)*(1+U542),0)</f>
        <v>0</v>
      </c>
      <c r="AG542" s="61">
        <f t="shared" ca="1" si="471"/>
        <v>0.64185145527300214</v>
      </c>
      <c r="AH542" s="61">
        <f t="shared" ca="1" si="472"/>
        <v>2.2624828854998791</v>
      </c>
      <c r="AI542" s="62">
        <f t="shared" ca="1" si="494"/>
        <v>0.81130381885419289</v>
      </c>
      <c r="AJ542" s="47">
        <f ca="1">IF(AD542,IF(AI542&lt;$F$10,0,IF(AI542&lt;$F$10+$F$11,0.25,IF(AI542&lt;$F$10+$F$11+AG542,AH542,1)))*IF(AF542&gt;0,AF542,IF(AF541&gt;0,AF541,IF(AF540&gt;0,AF540,IF(AF539&gt;0,AF539,IF(AF538&gt;0,AF538,IF(AF537&gt;0,AF537,IF(AF536&gt;0,AF536,IF(AF535&gt;0,AF535,IF(AF534&gt;0,AF534,IF(AF532&gt;0,AF532,IF(AF531&gt;0,AF531,IF(AF530&gt;0,AF530,0)))))))))))),0)*(1-$S542)*'模拟-单技能数据'!$I$20</f>
        <v>4250.4883357170938</v>
      </c>
      <c r="AK542" s="115" t="b">
        <f t="shared" ca="1" si="459"/>
        <v>0</v>
      </c>
      <c r="AL542" s="115" t="b">
        <f t="shared" ca="1" si="480"/>
        <v>0</v>
      </c>
      <c r="AM542" s="115">
        <f t="shared" ca="1" si="481"/>
        <v>5</v>
      </c>
      <c r="AN542" s="47">
        <f ca="1">IF(AK542,('模拟-单技能数据'!$D$21+G542*'模拟-单技能数据'!$F$21)*(1+J542)*(1+'模拟-单技能数据'!$J$21)*(1+U542),0)</f>
        <v>0</v>
      </c>
      <c r="AO542" s="61">
        <f ca="1">IF(AN542&gt;0,M542-'模拟-单技能数据'!$K$10,AO541)</f>
        <v>0.42185145527300216</v>
      </c>
      <c r="AP542" s="61">
        <f ca="1">IF(AN542&gt;0,I542-'模拟-单技能数据'!$L$10,AP541)</f>
        <v>2.162482885499879</v>
      </c>
      <c r="AQ542" s="63">
        <f t="shared" ca="1" si="495"/>
        <v>0.93715975465536105</v>
      </c>
      <c r="AR542" s="64">
        <f ca="1">IF(AL542,IF(AQ542&lt;$F$10,0,IF(AQ542&lt;$F$10+$F$11,0.25,IF(AQ542&lt;$F$10+$F$11+AO542,AP542,1)))*IF(AN542&gt;0,AN542,IF(AN541&gt;0,AN541,IF(AN540&gt;0,AN540,IF(AN539&gt;0,AN539,IF(AN538&gt;0,AN538,IF(AN537&gt;0,AN537,IF(AN536&gt;0,AN536,IF(AN535&gt;0,AN535,IF(AN534&gt;0,AN534,IF(AN532&gt;0,AN532,IF(AN531&gt;0,AN531,IF(AN530&gt;0,AN530,0)))))))))))),0)*(1-$S542)*'模拟-单技能数据'!$I$21</f>
        <v>0</v>
      </c>
      <c r="AS542" s="61">
        <f ca="1">IF(OR(C542="净世破魔击·日",C542="净世破魔击·月"),M542-'模拟-单技能数据'!$K$10,0)</f>
        <v>0.42185145527300216</v>
      </c>
      <c r="AT542" s="61">
        <f ca="1">IF(OR(C542="净世破魔击·日",C542="净世破魔击·月"),I542-'模拟-单技能数据'!$L$10,0)</f>
        <v>2.162482885499879</v>
      </c>
      <c r="AU542" s="62">
        <f t="shared" ca="1" si="496"/>
        <v>3.3863597354213182E-2</v>
      </c>
      <c r="AV542" s="64">
        <f ca="1">IF(AS542&gt;0,('模拟-单技能数据'!$D$22+G542*'模拟-单技能数据'!$F$22)*(1+J542)*(1-S542)*IF(AU542&lt;$F$10,0,IF(AU542&lt;$F$10+$F$11,0.25,IF(AU542&lt;$F$10+$F$11+AS542,AT542,1)))*(1+U542),0)*'模拟-单技能数据'!$I$22</f>
        <v>1989.0526893428616</v>
      </c>
      <c r="AW542" s="108">
        <f t="shared" ca="1" si="497"/>
        <v>18.155000000000001</v>
      </c>
      <c r="AX542" s="108" t="b">
        <f ca="1">AND(模拟模式!$P$10="有",AW541=0,RAND()&lt;IF(C542="净世破魔击·月",0.1*8/3,IF(C542="净世破魔击·日",0.1*4/3,0.1*2/3)))</f>
        <v>0</v>
      </c>
      <c r="AY542" s="47">
        <f ca="1">IF(AX542,(18+G542*0.722)*(1+J542)*(1-S542)*(1+$I$4)*IF(P542="会",'模拟-全程加成'!$J$3+'模拟-全程加成'!$J$4+'模拟-全程加成'!$J$5+('模拟-全程加成'!$I$4+'模拟-全程加成'!$I$5)/系数!$B$4+BG542*10%,IF(P542="命",1,IF(P542="识",0.25,0))),0)</f>
        <v>0</v>
      </c>
      <c r="AZ542" s="108">
        <f t="shared" si="498"/>
        <v>11.697500000000005</v>
      </c>
      <c r="BA542" s="108" t="b">
        <f>AND(模拟模式!$Q$10="有",AZ541=0)</f>
        <v>0</v>
      </c>
      <c r="BB542" s="140">
        <f>IF(BA542,(0+G542*0.287)*(1+J542)*(1-S542)*(1+$I$4)*IF(P542="会",'模拟-全程加成'!$J$3+'模拟-全程加成'!$J$4+'模拟-全程加成'!$J$5+('模拟-全程加成'!$I$4+'模拟-全程加成'!$I$5)/系数!$B$4+BG542*10%,IF(P542="命",1,IF(P542="识",0.25,0))),0)</f>
        <v>0</v>
      </c>
      <c r="BC542" s="115" t="b">
        <f ca="1">AND(模拟模式!$R$7="伏明众生",E542=60,F542=20,DA542&lt;5,CZ541&lt;$F$4)</f>
        <v>0</v>
      </c>
      <c r="BD542" s="115">
        <f t="shared" ca="1" si="460"/>
        <v>0</v>
      </c>
      <c r="BE542" s="115" t="b">
        <f t="shared" ca="1" si="461"/>
        <v>0</v>
      </c>
      <c r="BF542" s="47">
        <f ca="1">IF(BC542,4*('模拟-单技能数据'!$D$24+G542*'模拟-单技能数据'!$F$24)*(1+J542)*(1+'模拟-单技能数据'!$J$24)*(1-S542)*(1+$I$3)*(('模拟-全程加成'!$J$3+'模拟-全程加成'!$J$4+'模拟-全程加成'!$J$5+('模拟-全程加成'!$I$4+'模拟-全程加成'!$I$5)/系数!$B$4+BG542*10%)*('模拟-全程加成'!$J$3+'模拟-全程加成'!$J$4+'模拟-全程加成'!$J$5+('模拟-全程加成'!$I$4+'模拟-全程加成'!$I$5)/系数!$B$4+BG542*10%)+(1-('模拟-全程加成'!$J$3+'模拟-全程加成'!$J$4+'模拟-全程加成'!$J$5+('模拟-全程加成'!$I$4+'模拟-全程加成'!$I$5)/系数!$B$4+BG542*10%)-$F$10-$F$11)+F528*0.25),0)*'模拟-单技能数据'!$I$24</f>
        <v>0</v>
      </c>
      <c r="BG542" s="115" t="b">
        <f ca="1">OR(AND(OR(C542="烈日斩",C542="银月斩"),模拟模式!$I$7="净身明礼"),AND(C542="净世破魔击·日",模拟模式!$J$7="洞若观火"),AND(C543="净世破魔击·月",模拟模式!$J$7="洞若观火"),AB542=1)</f>
        <v>1</v>
      </c>
      <c r="BH542" s="115" t="b">
        <f t="shared" ca="1" si="499"/>
        <v>0</v>
      </c>
      <c r="BI542" s="115">
        <f t="shared" ca="1" si="462"/>
        <v>0.46499999999999975</v>
      </c>
      <c r="BJ542" s="115" t="b">
        <f t="shared" ca="1" si="473"/>
        <v>1</v>
      </c>
      <c r="BK542" s="115" t="b">
        <f ca="1">AND(C542="驱夜断愁",模拟模式!$P$7="天地诛戮")</f>
        <v>0</v>
      </c>
      <c r="BL542" s="57">
        <f t="shared" ca="1" si="463"/>
        <v>18.155000000000001</v>
      </c>
      <c r="BM542" s="115" t="b">
        <f t="shared" ca="1" si="474"/>
        <v>1</v>
      </c>
      <c r="BN542" s="115" t="b">
        <f ca="1">AND(OR(C542="赤日轮1",C542="赤日轮2",C542="赤日轮3",C542="幽月轮1",C542="幽月轮2",C542="幽月轮3"),AB542=1,模拟模式!$L$7="明光恒照")</f>
        <v>0</v>
      </c>
      <c r="BO542" s="117">
        <f t="shared" ca="1" si="464"/>
        <v>26.310000000000002</v>
      </c>
      <c r="BP542" s="115">
        <f t="shared" ca="1" si="500"/>
        <v>6</v>
      </c>
      <c r="BQ542" s="115" t="b">
        <f>模拟模式!$K$10="2600·水"</f>
        <v>0</v>
      </c>
      <c r="BR542" s="117">
        <f t="shared" si="501"/>
        <v>0</v>
      </c>
      <c r="BS542" s="115">
        <f t="shared" si="502"/>
        <v>0</v>
      </c>
      <c r="BT542" s="115">
        <f t="shared" ca="1" si="503"/>
        <v>0</v>
      </c>
      <c r="BU542" s="115" t="b">
        <f ca="1">AND(模拟模式!$K$10="2300·雷",BT541=0,RAND()&lt;IF(C542="净世破魔击·月",5*0.05*2/3,IF(C542="净世破魔击·日",3*0.05*2/3,0.05*2*2/3)))</f>
        <v>0</v>
      </c>
      <c r="BV542" s="115">
        <f t="shared" ca="1" si="504"/>
        <v>0</v>
      </c>
      <c r="BW542" s="115">
        <f t="shared" ca="1" si="505"/>
        <v>80.369999999999266</v>
      </c>
      <c r="BX542" s="164" t="b">
        <f t="shared" ca="1" si="506"/>
        <v>0</v>
      </c>
      <c r="BY542" s="115">
        <f t="shared" ca="1" si="507"/>
        <v>0</v>
      </c>
      <c r="BZ542" s="115">
        <f>IF(OR(模拟模式!$P$16="10人团",模拟模式!$P$16="25人团"),IF(B542/30&gt;CA541,1,0),0)</f>
        <v>0</v>
      </c>
      <c r="CA542" s="115">
        <f t="shared" si="483"/>
        <v>0</v>
      </c>
      <c r="CB542" s="115">
        <f ca="1">IF(BZ542=1,IF(模拟模式!$P$16="10人团",15,0)+IF(模拟模式!$P$16="25人团",IF(RAND()&lt;0.6,15,0)),MAX(0,CB541-$F$4))</f>
        <v>0</v>
      </c>
      <c r="CC542" s="115" t="b">
        <f t="shared" ca="1" si="475"/>
        <v>0</v>
      </c>
      <c r="CD542" s="115">
        <f>IF(模拟模式!$Q$16="1个",IF(B542/40&gt;CE541,1,0),0)</f>
        <v>0</v>
      </c>
      <c r="CE542" s="115">
        <f t="shared" si="476"/>
        <v>0</v>
      </c>
      <c r="CF542" s="115">
        <f>IF(OR(CD542=1,模拟模式!$Q$16="2个"),20,MAX(0,CF541-$F$4))</f>
        <v>0</v>
      </c>
      <c r="CG542" s="115" t="b">
        <f t="shared" si="477"/>
        <v>0</v>
      </c>
      <c r="CH542" s="115">
        <f t="shared" ca="1" si="508"/>
        <v>1.4025000000000118</v>
      </c>
      <c r="CI542" s="115" t="b">
        <f t="shared" ca="1" si="509"/>
        <v>0</v>
      </c>
      <c r="CJ542" s="119">
        <f t="shared" ca="1" si="510"/>
        <v>0</v>
      </c>
      <c r="CK542" s="115">
        <f t="shared" ca="1" si="511"/>
        <v>0</v>
      </c>
      <c r="CL542" s="115" t="b">
        <f ca="1">AND(模拟模式!$S$7="驱夷逐法",OR(AND(C542="净世破魔击·月",E541&gt;59),AND(C542="净世破魔击·日",F541&gt;59)))</f>
        <v>0</v>
      </c>
      <c r="CM542" s="115" t="b">
        <f ca="1">OR(CL542,AND(C542="净世破魔击·日",CL541,RAND()&lt;模拟模式!$U$23))</f>
        <v>0</v>
      </c>
      <c r="CN542" s="115" t="b">
        <f ca="1">IF(模拟模式!$M$7="辉耀红尘",AND(C542="净世破魔击·月",CL542,CV542=0,E541&lt;80),AND(C542="净世破魔击·月",CL542,E541&lt;100))</f>
        <v>0</v>
      </c>
      <c r="CO542" s="115" t="b">
        <f t="shared" ca="1" si="484"/>
        <v>0</v>
      </c>
      <c r="CP542" s="115" t="b">
        <f ca="1">AND(模拟模式!$O$7="用晦而明",OR(C542="净世破魔击·日",C542="净世破魔击·月",C542="驱夜断愁"),AB542)</f>
        <v>1</v>
      </c>
      <c r="CQ542" s="115" t="b">
        <f ca="1">OR(CP542,AND(CP541,RAND()&lt;模拟模式!$U$23))</f>
        <v>1</v>
      </c>
      <c r="CR542" s="115" t="b">
        <f ca="1">AND(模拟模式!$S$7="日月齐光",OR(C542="幽月轮1",C542="幽月轮2",C542="幽月轮3",CR541),NOT(OR(C542="赤日轮1",C542="赤日轮2",C542="赤日轮3")))</f>
        <v>0</v>
      </c>
      <c r="CS542" s="115" t="b">
        <f ca="1">AND(模拟模式!$S$7="日月齐光",OR(C542="赤日轮1",C542="赤日轮2",C542="赤日轮3",CS541),NOT(OR(C542="幽月轮1",C542="幽月轮2",C542="幽月轮3")))</f>
        <v>0</v>
      </c>
      <c r="CT542" s="115">
        <f t="shared" ca="1" si="512"/>
        <v>28.155000000000001</v>
      </c>
      <c r="CU542" s="115" t="b">
        <f ca="1">AND(模拟模式!$K$10="阴阳往极",CT541=0,RAND()&lt;IF(C542="净世破魔击·月",0.0275*7/3,IF(C542="净世破魔击·日",0.0275*3/3,0.0275*2/3)))</f>
        <v>0</v>
      </c>
      <c r="CV542" s="115">
        <f t="shared" ca="1" si="513"/>
        <v>2.2324999999999999</v>
      </c>
      <c r="CW542" s="115">
        <f t="shared" ca="1" si="485"/>
        <v>0</v>
      </c>
      <c r="CX542" s="115">
        <f t="shared" ca="1" si="486"/>
        <v>3.2324999999999995</v>
      </c>
      <c r="CY542" s="115">
        <f ca="1">MAX(IF($C542="驱夜断愁",IF(模拟模式!$R$7="万念俱寂",6,45),CY541-$F$4),0)</f>
        <v>4.1549999999999994</v>
      </c>
      <c r="CZ542" s="115">
        <f t="shared" ca="1" si="487"/>
        <v>0</v>
      </c>
      <c r="DA542" s="115">
        <f ca="1">IF(模拟模式!$N$7="日月同辉",IF(DB541=2,0,MIN(6,IF(AND(OR(C542="赤日轮1",C542="赤日轮2",C542="赤日轮3",C542="幽月轮1",C542="幽月轮2",C542="幽月轮3"),AB542=1),DA541+1,DA541))),0)</f>
        <v>2</v>
      </c>
      <c r="DB542" s="115">
        <f t="shared" ca="1" si="488"/>
        <v>0</v>
      </c>
      <c r="DC542" s="115"/>
      <c r="DD542" s="115"/>
      <c r="DE542" s="115"/>
      <c r="DF542" s="115"/>
      <c r="DG542" s="115"/>
      <c r="DH542" s="115"/>
      <c r="DI542" s="115"/>
      <c r="DJ542" s="115"/>
      <c r="DK542" s="115"/>
      <c r="DL542" s="115"/>
      <c r="DM542" s="115"/>
    </row>
    <row r="543" spans="2:117" x14ac:dyDescent="0.2">
      <c r="B543" s="117">
        <f t="shared" si="489"/>
        <v>476.01000000000505</v>
      </c>
      <c r="C543" s="167" t="str">
        <f t="shared" ca="1" si="482"/>
        <v>净世破魔击·日</v>
      </c>
      <c r="D543" s="115">
        <f ca="1">IF(C543="赤日轮1",1,IF(C543="赤日轮2",2,IF(C543="赤日轮3",3,IF(C543="幽月轮1",4,IF(C543="幽月轮2",5,IF(C543="幽月轮3",6,IF(C543="烈日斩",7,IF(C543="银月斩",8,IF(C543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543="净世破魔击·月",17,IF(C543="驱夜断愁",18,0)))))))))))</f>
        <v>9</v>
      </c>
      <c r="E543" s="115">
        <f ca="1">IF(AND(CU543,OR(C543="幽月轮1",C543="幽月轮2",C543="幽月轮3",C543="银月斩",C543="驱夜断愁",C543="净世破魔击·月")),100,MIN(IF(OR(CN543,BE543),0,IF(OR($C543="赤日轮1",$C543="赤日轮2",$C543="赤日轮3"),E542+20+IF(模拟模式!$I$7="日月凌天",4,0)+IF(CR542,20,0),IF($C543="烈日斩",E542+40,IF($C543="驱夜断愁",IF(模拟模式!$R$7="万念俱寂",E542+20,E542+60),IF($C543="净世破魔击·月",IF(OR(DB542&gt;0,CV542&gt;0),100,IF(模拟模式!$M$7="辉耀红尘",E542+20,E542)),IF($C543="净世破魔击·日",E542-100,E542)))))),100))</f>
        <v>0</v>
      </c>
      <c r="F543" s="115">
        <f ca="1">IF(AND(CU543,OR(C543="赤日轮1",C543="赤日轮2",C543="赤日轮3",C543="烈日斩",C543="净世破魔击·日")),100,MIN(IF(CO543,0,IF(OR($C543="幽月轮1",$C543="幽月轮2",$C543="幽月轮3"),F542+20+IF(模拟模式!$I$7="日月凌天",4,0)+IF(CS542,20,0),IF($C543="银月斩",F542+40+IF(模拟模式!$X$12=1,5,0),IF($C543="驱夜断愁",IF(模拟模式!$R$7="万念俱寂",F542+20,F542+60),IF($C543="净世破魔击·月",IF(模拟模式!$M$7="辉耀红尘",F542-80,F542-100),IF(AND(C543="净世破魔击·日",OR(DB542&gt;0,CV542&gt;0)),100,F542)))))),100))</f>
        <v>100</v>
      </c>
      <c r="G543" s="117">
        <f ca="1">('模拟-全程加成'!$E$3+'模拟-全程加成'!$E$4+'模拟-全程加成'!$E$5+('模拟-全程加成'!$C$6-'模拟-全程加成'!$C$3)*系数!$B$9+BS543*23)*(1+'模拟-全程加成'!$F$4+'模拟-全程加成'!$F$5+BJ543*10%+BM543*20%+BP543*4%+CG543*30%)+$F$7*系数!$B$12</f>
        <v>20583.127400000001</v>
      </c>
      <c r="H543" s="45">
        <f ca="1">'模拟-全程加成'!$H$3+'模拟-全程加成'!$H$4+'模拟-全程加成'!$H$5+('模拟-全程加成'!$G$4+'模拟-全程加成'!$G$5+('模拟-全程加成'!$C$6-'模拟-全程加成'!$C$3)*系数!$B$13)/系数!$B$3+LOOKUP(D543,'模拟-单技能数据'!$A$2:$A$19,'模拟-单技能数据'!$K$2:$K$19)+BG543*10%+IF(BV543&gt;0,378,0)</f>
        <v>0.54185145527300216</v>
      </c>
      <c r="I543" s="45">
        <f ca="1">'模拟-全程加成'!$J$3+'模拟-全程加成'!$J$4+'模拟-全程加成'!$J$5+('模拟-全程加成'!$I$4+'模拟-全程加成'!$I$5)/系数!$B$4+LOOKUP(D543,'模拟-单技能数据'!$A$2:$A$19,'模拟-单技能数据'!$L$2:$L$19)+BG543*10%</f>
        <v>2.162482885499879</v>
      </c>
      <c r="J543" s="45">
        <f ca="1">(('模拟-全程加成'!$K$3+'模拟-全程加成'!$K$4+'模拟-全程加成'!$K$5+('模拟-全程加成'!$C$6-'模拟-全程加成'!$C$3)*系数!$B$10+IF(BV543&gt;0,882,0)+IF(BY543&gt;0,1831,0))*(1+'模拟-全程加成'!$L$4+'模拟-全程加成'!$L$5+CC543*20%))/系数!$B$5</f>
        <v>0.69723220422048726</v>
      </c>
      <c r="K543" s="119">
        <f ca="1">LOOKUP(D543,'模拟-单技能数据'!$A$2:$A$19,'模拟-单技能数据'!$J$2:$J$19)+IF(CM543,60%,0)+IF(DB542-DB543&gt;0,30%,0)+IF(OR(AND(OR(C543="赤日轮1",C543="赤日轮2",C543="赤日轮3"),CR543),AND(OR(C543="幽月轮1",C543="幽月轮2",C543="幽月轮3"),CS543)),35%,0)+CJ543</f>
        <v>0.2</v>
      </c>
      <c r="L543" s="119">
        <f ca="1">IF(AND(C543="烈日斩",模拟模式!$X$11=1),10%,0)+IF(AND(C543="驱夜断愁",AB543=1),30%,0)</f>
        <v>0</v>
      </c>
      <c r="M543" s="45">
        <f t="shared" ca="1" si="465"/>
        <v>0.54185145527300216</v>
      </c>
      <c r="N543" s="45">
        <f t="shared" ca="1" si="466"/>
        <v>0.40424854472699789</v>
      </c>
      <c r="O543" s="46">
        <f t="shared" ca="1" si="490"/>
        <v>0.59975549912715409</v>
      </c>
      <c r="P543" s="46" t="str">
        <f t="shared" ca="1" si="491"/>
        <v>命</v>
      </c>
      <c r="Q543" s="45">
        <f t="shared" ca="1" si="492"/>
        <v>1</v>
      </c>
      <c r="R543" s="117">
        <f ca="1">模拟模式!$E$20*(1-IF(模拟模式!$J$19="有",0.15,0))*(1-IF(模拟模式!$K$19="有",0.3,0)-IF(CQ543,0.5,0))</f>
        <v>843.02999999999975</v>
      </c>
      <c r="S543" s="45">
        <f ca="1">R543/(R543+(185*模拟模式!$E$22-16800)*4.08224)</f>
        <v>8.389626085980037E-2</v>
      </c>
      <c r="T543" s="45" t="str">
        <f ca="1">LOOKUP(D543,'模拟-单技能数据'!$A$2:$A$19,'模拟-单技能数据'!$H$2:$H$19)</f>
        <v>阳</v>
      </c>
      <c r="U543" s="119">
        <f t="shared" ca="1" si="467"/>
        <v>0.2</v>
      </c>
      <c r="V543" s="47">
        <f ca="1">(1+L543)*(LOOKUP(D543,'模拟-单技能数据'!$A$2:$A$19,'模拟-单技能数据'!$D$2:$D$19)+G543*LOOKUP(D543,'模拟-单技能数据'!$A$2:$A$19,'模拟-单技能数据'!$F$2:$F$19))*(1+J543)*(1+K543)*(1-S543)*(1+U543)*Q543*LOOKUP(D543,'模拟-单技能数据'!$A$2:$A$19,'模拟-单技能数据'!$I$2:$I$20)</f>
        <v>60398.417085084453</v>
      </c>
      <c r="W543" s="47">
        <f ca="1">LOOKUP(D543,'模拟-单技能数据'!$A$2:$A$19,'模拟-单技能数据'!$G$2:$G$19)*$I$10</f>
        <v>723.0212870940959</v>
      </c>
      <c r="X543" s="47">
        <f t="shared" ca="1" si="493"/>
        <v>32531.528902186212</v>
      </c>
      <c r="Y543" s="47">
        <f t="shared" ca="1" si="468"/>
        <v>93652.967274364753</v>
      </c>
      <c r="Z543" s="49">
        <f t="shared" ca="1" si="469"/>
        <v>53970948.865273625</v>
      </c>
      <c r="AA543" s="97">
        <f t="shared" ca="1" si="470"/>
        <v>113381.96438157403</v>
      </c>
      <c r="AB543" s="115">
        <f ca="1">IF(OR(C543="赤日轮1",C543="赤日轮2",C543="赤日轮3"),IF(RAND()&lt;模拟模式!$Y$17,1,0),IF(OR(C543="幽月轮1",C543="幽月轮2",C543="幽月轮3"),IF(RAND()&lt;模拟模式!$Y$18,1,0),IF(C543="烈日斩",IF(RAND()&lt;模拟模式!$Y$19,1,0),IF(C543="银月斩",IF(RAND()&lt;模拟模式!$Y$20,1,0),IF(C543="驱夜断愁",IF(RAND()&lt;模拟模式!$Y$21,1,0),IF(C543="净世破魔击·日",IF(RAND()&lt;模拟模式!$Y$22,1,0),IF(C543="净世破魔击·月",IF(RAND()&lt;模拟模式!$Y$23,1,0),0)))))))</f>
        <v>1</v>
      </c>
      <c r="AC543" s="115" t="b">
        <f t="shared" ca="1" si="458"/>
        <v>0</v>
      </c>
      <c r="AD543" s="115" t="b">
        <f t="shared" ca="1" si="478"/>
        <v>0</v>
      </c>
      <c r="AE543" s="115">
        <f t="shared" ca="1" si="479"/>
        <v>4</v>
      </c>
      <c r="AF543" s="47">
        <f ca="1">IF(AC543,('模拟-单技能数据'!$D$20+G543*'模拟-单技能数据'!$F$20)*(1+J543)*(1+'模拟-单技能数据'!$J$20)*(1+U543),0)</f>
        <v>0</v>
      </c>
      <c r="AG543" s="61">
        <f t="shared" ca="1" si="471"/>
        <v>0.64185145527300214</v>
      </c>
      <c r="AH543" s="61">
        <f t="shared" ca="1" si="472"/>
        <v>2.2624828854998791</v>
      </c>
      <c r="AI543" s="62">
        <f t="shared" ca="1" si="494"/>
        <v>6.0222671389954519E-2</v>
      </c>
      <c r="AJ543" s="47">
        <f ca="1">IF(AD543,IF(AI543&lt;$F$10,0,IF(AI543&lt;$F$10+$F$11,0.25,IF(AI543&lt;$F$10+$F$11+AG543,AH543,1)))*IF(AF543&gt;0,AF543,IF(AF542&gt;0,AF542,IF(AF541&gt;0,AF541,IF(AF540&gt;0,AF540,IF(AF539&gt;0,AF539,IF(AF538&gt;0,AF538,IF(AF537&gt;0,AF537,IF(AF536&gt;0,AF536,IF(AF535&gt;0,AF535,IF(AF533&gt;0,AF533,IF(AF532&gt;0,AF532,IF(AF531&gt;0,AF531,0)))))))))))),0)*(1-$S543)*'模拟-单技能数据'!$I$20</f>
        <v>0</v>
      </c>
      <c r="AK543" s="115" t="b">
        <f t="shared" ca="1" si="459"/>
        <v>1</v>
      </c>
      <c r="AL543" s="115" t="b">
        <f t="shared" ca="1" si="480"/>
        <v>1</v>
      </c>
      <c r="AM543" s="115">
        <f t="shared" ca="1" si="481"/>
        <v>5</v>
      </c>
      <c r="AN543" s="47">
        <f ca="1">IF(AK543,('模拟-单技能数据'!$D$21+G543*'模拟-单技能数据'!$F$21)*(1+J543)*(1+'模拟-单技能数据'!$J$21)*(1+U543),0)</f>
        <v>12136.56601728573</v>
      </c>
      <c r="AO543" s="61">
        <f ca="1">IF(AN543&gt;0,M543-'模拟-单技能数据'!$K$10,AO542)</f>
        <v>0.42185145527300216</v>
      </c>
      <c r="AP543" s="61">
        <f ca="1">IF(AN543&gt;0,I543-'模拟-单技能数据'!$L$10,AP542)</f>
        <v>2.162482885499879</v>
      </c>
      <c r="AQ543" s="63">
        <f t="shared" ca="1" si="495"/>
        <v>0.22745800646929726</v>
      </c>
      <c r="AR543" s="64">
        <f ca="1">IF(AL543,IF(AQ543&lt;$F$10,0,IF(AQ543&lt;$F$10+$F$11,0.25,IF(AQ543&lt;$F$10+$F$11+AO543,AP543,1)))*IF(AN543&gt;0,AN543,IF(AN542&gt;0,AN542,IF(AN541&gt;0,AN541,IF(AN540&gt;0,AN540,IF(AN539&gt;0,AN539,IF(AN538&gt;0,AN538,IF(AN537&gt;0,AN537,IF(AN536&gt;0,AN536,IF(AN535&gt;0,AN535,IF(AN533&gt;0,AN533,IF(AN532&gt;0,AN532,IF(AN531&gt;0,AN531,0)))))))))))),0)*(1-$S543)*'模拟-单技能数据'!$I$21</f>
        <v>24043.249177625272</v>
      </c>
      <c r="AS543" s="61">
        <f ca="1">IF(OR(C543="净世破魔击·日",C543="净世破魔击·月"),M543-'模拟-单技能数据'!$K$10,0)</f>
        <v>0.42185145527300216</v>
      </c>
      <c r="AT543" s="61">
        <f ca="1">IF(OR(C543="净世破魔击·日",C543="净世破魔击·月"),I543-'模拟-单技能数据'!$L$10,0)</f>
        <v>2.162482885499879</v>
      </c>
      <c r="AU543" s="62">
        <f t="shared" ca="1" si="496"/>
        <v>0.49802452209797921</v>
      </c>
      <c r="AV543" s="64">
        <f ca="1">IF(AS543&gt;0,('模拟-单技能数据'!$D$22+G543*'模拟-单技能数据'!$F$22)*(1+J543)*(1-S543)*IF(AU543&lt;$F$10,0,IF(AU543&lt;$F$10+$F$11,0.25,IF(AU543&lt;$F$10+$F$11+AS543,AT543,1)))*(1+U543),0)*'模拟-单技能数据'!$I$22</f>
        <v>8488.2797245609418</v>
      </c>
      <c r="AW543" s="108">
        <f t="shared" ca="1" si="497"/>
        <v>17.232500000000002</v>
      </c>
      <c r="AX543" s="108" t="b">
        <f ca="1">AND(模拟模式!$P$10="有",AW542=0,RAND()&lt;IF(C543="净世破魔击·月",0.1*8/3,IF(C543="净世破魔击·日",0.1*4/3,0.1*2/3)))</f>
        <v>0</v>
      </c>
      <c r="AY543" s="47">
        <f ca="1">IF(AX543,(18+G543*0.722)*(1+J543)*(1-S543)*(1+$I$4)*IF(P543="会",'模拟-全程加成'!$J$3+'模拟-全程加成'!$J$4+'模拟-全程加成'!$J$5+('模拟-全程加成'!$I$4+'模拟-全程加成'!$I$5)/系数!$B$4+BG543*10%,IF(P543="命",1,IF(P543="识",0.25,0))),0)</f>
        <v>0</v>
      </c>
      <c r="AZ543" s="108">
        <f t="shared" si="498"/>
        <v>10.775000000000006</v>
      </c>
      <c r="BA543" s="108" t="b">
        <f>AND(模拟模式!$Q$10="有",AZ542=0)</f>
        <v>0</v>
      </c>
      <c r="BB543" s="140">
        <f>IF(BA543,(0+G543*0.287)*(1+J543)*(1-S543)*(1+$I$4)*IF(P543="会",'模拟-全程加成'!$J$3+'模拟-全程加成'!$J$4+'模拟-全程加成'!$J$5+('模拟-全程加成'!$I$4+'模拟-全程加成'!$I$5)/系数!$B$4+BG543*10%,IF(P543="命",1,IF(P543="识",0.25,0))),0)</f>
        <v>0</v>
      </c>
      <c r="BC543" s="115" t="b">
        <f ca="1">AND(模拟模式!$R$7="伏明众生",E543=60,F543=20,DA543&lt;5,CZ542&lt;$F$4)</f>
        <v>0</v>
      </c>
      <c r="BD543" s="115">
        <f t="shared" ca="1" si="460"/>
        <v>0</v>
      </c>
      <c r="BE543" s="115" t="b">
        <f t="shared" ca="1" si="461"/>
        <v>0</v>
      </c>
      <c r="BF543" s="47">
        <f ca="1">IF(BC543,4*('模拟-单技能数据'!$D$24+G543*'模拟-单技能数据'!$F$24)*(1+J543)*(1+'模拟-单技能数据'!$J$24)*(1-S543)*(1+$I$3)*(('模拟-全程加成'!$J$3+'模拟-全程加成'!$J$4+'模拟-全程加成'!$J$5+('模拟-全程加成'!$I$4+'模拟-全程加成'!$I$5)/系数!$B$4+BG543*10%)*('模拟-全程加成'!$J$3+'模拟-全程加成'!$J$4+'模拟-全程加成'!$J$5+('模拟-全程加成'!$I$4+'模拟-全程加成'!$I$5)/系数!$B$4+BG543*10%)+(1-('模拟-全程加成'!$J$3+'模拟-全程加成'!$J$4+'模拟-全程加成'!$J$5+('模拟-全程加成'!$I$4+'模拟-全程加成'!$I$5)/系数!$B$4+BG543*10%)-$F$10-$F$11)+F529*0.25),0)*'模拟-单技能数据'!$I$24</f>
        <v>0</v>
      </c>
      <c r="BG543" s="115" t="b">
        <f ca="1">OR(AND(OR(C543="烈日斩",C543="银月斩"),模拟模式!$I$7="净身明礼"),AND(C543="净世破魔击·日",模拟模式!$J$7="洞若观火"),AND(C544="净世破魔击·月",模拟模式!$J$7="洞若观火"),AB543=1)</f>
        <v>1</v>
      </c>
      <c r="BH543" s="115" t="b">
        <f t="shared" ca="1" si="499"/>
        <v>0</v>
      </c>
      <c r="BI543" s="115">
        <f t="shared" ca="1" si="462"/>
        <v>0</v>
      </c>
      <c r="BJ543" s="115" t="b">
        <f t="shared" ca="1" si="473"/>
        <v>0</v>
      </c>
      <c r="BK543" s="115" t="b">
        <f ca="1">AND(C543="驱夜断愁",模拟模式!$P$7="天地诛戮")</f>
        <v>0</v>
      </c>
      <c r="BL543" s="57">
        <f t="shared" ca="1" si="463"/>
        <v>17.232500000000002</v>
      </c>
      <c r="BM543" s="115" t="b">
        <f t="shared" ca="1" si="474"/>
        <v>1</v>
      </c>
      <c r="BN543" s="115" t="b">
        <f ca="1">AND(OR(C543="赤日轮1",C543="赤日轮2",C543="赤日轮3",C543="幽月轮1",C543="幽月轮2",C543="幽月轮3"),AB543=1,模拟模式!$L$7="明光恒照")</f>
        <v>0</v>
      </c>
      <c r="BO543" s="117">
        <f t="shared" ca="1" si="464"/>
        <v>25.387500000000003</v>
      </c>
      <c r="BP543" s="115">
        <f t="shared" ca="1" si="500"/>
        <v>6</v>
      </c>
      <c r="BQ543" s="115" t="b">
        <f>模拟模式!$K$10="2600·水"</f>
        <v>0</v>
      </c>
      <c r="BR543" s="117">
        <f t="shared" si="501"/>
        <v>0</v>
      </c>
      <c r="BS543" s="115">
        <f t="shared" si="502"/>
        <v>0</v>
      </c>
      <c r="BT543" s="115">
        <f t="shared" ca="1" si="503"/>
        <v>0</v>
      </c>
      <c r="BU543" s="115" t="b">
        <f ca="1">AND(模拟模式!$K$10="2300·雷",BT542=0,RAND()&lt;IF(C543="净世破魔击·月",5*0.05*2/3,IF(C543="净世破魔击·日",3*0.05*2/3,0.05*2*2/3)))</f>
        <v>0</v>
      </c>
      <c r="BV543" s="115">
        <f t="shared" ca="1" si="504"/>
        <v>0</v>
      </c>
      <c r="BW543" s="115">
        <f t="shared" ca="1" si="505"/>
        <v>79.447499999999266</v>
      </c>
      <c r="BX543" s="164" t="b">
        <f t="shared" ca="1" si="506"/>
        <v>0</v>
      </c>
      <c r="BY543" s="115">
        <f t="shared" ca="1" si="507"/>
        <v>0</v>
      </c>
      <c r="BZ543" s="115">
        <f>IF(OR(模拟模式!$P$16="10人团",模拟模式!$P$16="25人团"),IF(B543/30&gt;CA542,1,0),0)</f>
        <v>0</v>
      </c>
      <c r="CA543" s="115">
        <f t="shared" si="483"/>
        <v>0</v>
      </c>
      <c r="CB543" s="115">
        <f ca="1">IF(BZ543=1,IF(模拟模式!$P$16="10人团",15,0)+IF(模拟模式!$P$16="25人团",IF(RAND()&lt;0.6,15,0)),MAX(0,CB542-$F$4))</f>
        <v>0</v>
      </c>
      <c r="CC543" s="115" t="b">
        <f t="shared" ca="1" si="475"/>
        <v>0</v>
      </c>
      <c r="CD543" s="115">
        <f>IF(模拟模式!$Q$16="1个",IF(B543/40&gt;CE542,1,0),0)</f>
        <v>0</v>
      </c>
      <c r="CE543" s="115">
        <f t="shared" si="476"/>
        <v>0</v>
      </c>
      <c r="CF543" s="115">
        <f>IF(OR(CD543=1,模拟模式!$Q$16="2个"),20,MAX(0,CF542-$F$4))</f>
        <v>0</v>
      </c>
      <c r="CG543" s="115" t="b">
        <f t="shared" si="477"/>
        <v>0</v>
      </c>
      <c r="CH543" s="115">
        <f t="shared" ca="1" si="508"/>
        <v>0.48000000000001186</v>
      </c>
      <c r="CI543" s="115" t="b">
        <f t="shared" ca="1" si="509"/>
        <v>0</v>
      </c>
      <c r="CJ543" s="119">
        <f t="shared" ca="1" si="510"/>
        <v>0</v>
      </c>
      <c r="CK543" s="115">
        <f t="shared" ca="1" si="511"/>
        <v>0</v>
      </c>
      <c r="CL543" s="115" t="b">
        <f ca="1">AND(模拟模式!$S$7="驱夷逐法",OR(AND(C543="净世破魔击·月",E542&gt;59),AND(C543="净世破魔击·日",F542&gt;59)))</f>
        <v>0</v>
      </c>
      <c r="CM543" s="115" t="b">
        <f ca="1">OR(CL543,AND(C543="净世破魔击·日",CL542,RAND()&lt;模拟模式!$U$23))</f>
        <v>0</v>
      </c>
      <c r="CN543" s="115" t="b">
        <f ca="1">IF(模拟模式!$M$7="辉耀红尘",AND(C543="净世破魔击·月",CL543,CV543=0,E542&lt;80),AND(C543="净世破魔击·月",CL543,E542&lt;100))</f>
        <v>0</v>
      </c>
      <c r="CO543" s="115" t="b">
        <f t="shared" ca="1" si="484"/>
        <v>0</v>
      </c>
      <c r="CP543" s="115" t="b">
        <f ca="1">AND(模拟模式!$O$7="用晦而明",OR(C543="净世破魔击·日",C543="净世破魔击·月",C543="驱夜断愁"),AB543)</f>
        <v>1</v>
      </c>
      <c r="CQ543" s="115" t="b">
        <f ca="1">OR(CP543,AND(CP542,RAND()&lt;模拟模式!$U$23))</f>
        <v>1</v>
      </c>
      <c r="CR543" s="115" t="b">
        <f ca="1">AND(模拟模式!$S$7="日月齐光",OR(C543="幽月轮1",C543="幽月轮2",C543="幽月轮3",CR542),NOT(OR(C543="赤日轮1",C543="赤日轮2",C543="赤日轮3")))</f>
        <v>0</v>
      </c>
      <c r="CS543" s="115" t="b">
        <f ca="1">AND(模拟模式!$S$7="日月齐光",OR(C543="赤日轮1",C543="赤日轮2",C543="赤日轮3",CS542),NOT(OR(C543="幽月轮1",C543="幽月轮2",C543="幽月轮3")))</f>
        <v>0</v>
      </c>
      <c r="CT543" s="115">
        <f t="shared" ca="1" si="512"/>
        <v>27.232500000000002</v>
      </c>
      <c r="CU543" s="115" t="b">
        <f ca="1">AND(模拟模式!$K$10="阴阳往极",CT542=0,RAND()&lt;IF(C543="净世破魔击·月",0.0275*7/3,IF(C543="净世破魔击·日",0.0275*3/3,0.0275*2/3)))</f>
        <v>0</v>
      </c>
      <c r="CV543" s="115">
        <f t="shared" ca="1" si="513"/>
        <v>1.31</v>
      </c>
      <c r="CW543" s="115">
        <f t="shared" ca="1" si="485"/>
        <v>0</v>
      </c>
      <c r="CX543" s="115">
        <f t="shared" ca="1" si="486"/>
        <v>2.3099999999999996</v>
      </c>
      <c r="CY543" s="115">
        <f ca="1">MAX(IF($C543="驱夜断愁",IF(模拟模式!$R$7="万念俱寂",6,45),CY542-$F$4),0)</f>
        <v>3.2324999999999995</v>
      </c>
      <c r="CZ543" s="115">
        <f t="shared" ca="1" si="487"/>
        <v>0</v>
      </c>
      <c r="DA543" s="115">
        <f ca="1">IF(模拟模式!$N$7="日月同辉",IF(DB542=2,0,MIN(6,IF(AND(OR(C543="赤日轮1",C543="赤日轮2",C543="赤日轮3",C543="幽月轮1",C543="幽月轮2",C543="幽月轮3"),AB543=1),DA542+1,DA542))),0)</f>
        <v>2</v>
      </c>
      <c r="DB543" s="115">
        <f t="shared" ca="1" si="488"/>
        <v>0</v>
      </c>
      <c r="DC543" s="115"/>
      <c r="DD543" s="115"/>
      <c r="DE543" s="115"/>
      <c r="DF543" s="115"/>
      <c r="DG543" s="115"/>
      <c r="DH543" s="115"/>
      <c r="DI543" s="115"/>
      <c r="DJ543" s="115"/>
      <c r="DK543" s="115"/>
      <c r="DL543" s="115"/>
      <c r="DM543" s="115"/>
    </row>
    <row r="544" spans="2:117" x14ac:dyDescent="0.2">
      <c r="B544" s="117">
        <f t="shared" si="489"/>
        <v>476.93250000000506</v>
      </c>
      <c r="C544" s="167" t="str">
        <f t="shared" ca="1" si="482"/>
        <v>净世破魔击·月</v>
      </c>
      <c r="D544" s="115">
        <f ca="1">IF(C544="赤日轮1",1,IF(C544="赤日轮2",2,IF(C544="赤日轮3",3,IF(C544="幽月轮1",4,IF(C544="幽月轮2",5,IF(C544="幽月轮3",6,IF(C544="烈日斩",7,IF(C544="银月斩",8,IF(C544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544="净世破魔击·月",17,IF(C544="驱夜断愁",18,0)))))))))))</f>
        <v>17</v>
      </c>
      <c r="E544" s="115">
        <f ca="1">IF(AND(CU544,OR(C544="幽月轮1",C544="幽月轮2",C544="幽月轮3",C544="银月斩",C544="驱夜断愁",C544="净世破魔击·月")),100,MIN(IF(OR(CN544,BE544),0,IF(OR($C544="赤日轮1",$C544="赤日轮2",$C544="赤日轮3"),E543+20+IF(模拟模式!$I$7="日月凌天",4,0)+IF(CR543,20,0),IF($C544="烈日斩",E543+40,IF($C544="驱夜断愁",IF(模拟模式!$R$7="万念俱寂",E543+20,E543+60),IF($C544="净世破魔击·月",IF(OR(DB543&gt;0,CV543&gt;0),100,IF(模拟模式!$M$7="辉耀红尘",E543+20,E543)),IF($C544="净世破魔击·日",E543-100,E543)))))),100))</f>
        <v>100</v>
      </c>
      <c r="F544" s="115">
        <f ca="1">IF(AND(CU544,OR(C544="赤日轮1",C544="赤日轮2",C544="赤日轮3",C544="烈日斩",C544="净世破魔击·日")),100,MIN(IF(CO544,0,IF(OR($C544="幽月轮1",$C544="幽月轮2",$C544="幽月轮3"),F543+20+IF(模拟模式!$I$7="日月凌天",4,0)+IF(CS543,20,0),IF($C544="银月斩",F543+40+IF(模拟模式!$X$12=1,5,0),IF($C544="驱夜断愁",IF(模拟模式!$R$7="万念俱寂",F543+20,F543+60),IF($C544="净世破魔击·月",IF(模拟模式!$M$7="辉耀红尘",F543-80,F543-100),IF(AND(C544="净世破魔击·日",OR(DB543&gt;0,CV543&gt;0)),100,F543)))))),100))</f>
        <v>20</v>
      </c>
      <c r="G544" s="117">
        <f ca="1">('模拟-全程加成'!$E$3+'模拟-全程加成'!$E$4+'模拟-全程加成'!$E$5+('模拟-全程加成'!$C$6-'模拟-全程加成'!$C$3)*系数!$B$9+BS544*23)*(1+'模拟-全程加成'!$F$4+'模拟-全程加成'!$F$5+BJ544*10%+BM544*20%+BP544*4%+CG544*30%)+$F$7*系数!$B$12</f>
        <v>20583.127400000001</v>
      </c>
      <c r="H544" s="45">
        <f ca="1">'模拟-全程加成'!$H$3+'模拟-全程加成'!$H$4+'模拟-全程加成'!$H$5+('模拟-全程加成'!$G$4+'模拟-全程加成'!$G$5+('模拟-全程加成'!$C$6-'模拟-全程加成'!$C$3)*系数!$B$13)/系数!$B$3+LOOKUP(D544,'模拟-单技能数据'!$A$2:$A$19,'模拟-单技能数据'!$K$2:$K$19)+BG544*10%+IF(BV544&gt;0,378,0)</f>
        <v>0.54185145527300216</v>
      </c>
      <c r="I544" s="45">
        <f ca="1">'模拟-全程加成'!$J$3+'模拟-全程加成'!$J$4+'模拟-全程加成'!$J$5+('模拟-全程加成'!$I$4+'模拟-全程加成'!$I$5)/系数!$B$4+LOOKUP(D544,'模拟-单技能数据'!$A$2:$A$19,'模拟-单技能数据'!$L$2:$L$19)+BG544*10%</f>
        <v>2.162482885499879</v>
      </c>
      <c r="J544" s="45">
        <f ca="1">(('模拟-全程加成'!$K$3+'模拟-全程加成'!$K$4+'模拟-全程加成'!$K$5+('模拟-全程加成'!$C$6-'模拟-全程加成'!$C$3)*系数!$B$10+IF(BV544&gt;0,882,0)+IF(BY544&gt;0,1831,0))*(1+'模拟-全程加成'!$L$4+'模拟-全程加成'!$L$5+CC544*20%))/系数!$B$5</f>
        <v>0.69723220422048726</v>
      </c>
      <c r="K544" s="119">
        <f ca="1">LOOKUP(D544,'模拟-单技能数据'!$A$2:$A$19,'模拟-单技能数据'!$J$2:$J$19)+IF(CM544,60%,0)+IF(DB543-DB544&gt;0,30%,0)+IF(OR(AND(OR(C544="赤日轮1",C544="赤日轮2",C544="赤日轮3"),CR544),AND(OR(C544="幽月轮1",C544="幽月轮2",C544="幽月轮3"),CS544)),35%,0)+CJ544</f>
        <v>0.2</v>
      </c>
      <c r="L544" s="119">
        <f ca="1">IF(AND(C544="烈日斩",模拟模式!$X$11=1),10%,0)+IF(AND(C544="驱夜断愁",AB544=1),30%,0)</f>
        <v>0</v>
      </c>
      <c r="M544" s="45">
        <f t="shared" ca="1" si="465"/>
        <v>0.54185145527300216</v>
      </c>
      <c r="N544" s="45">
        <f t="shared" ca="1" si="466"/>
        <v>0.40424854472699789</v>
      </c>
      <c r="O544" s="46">
        <f t="shared" ca="1" si="490"/>
        <v>0.29457028344875091</v>
      </c>
      <c r="P544" s="46" t="str">
        <f t="shared" ca="1" si="491"/>
        <v>会</v>
      </c>
      <c r="Q544" s="45">
        <f t="shared" ca="1" si="492"/>
        <v>2.162482885499879</v>
      </c>
      <c r="R544" s="117">
        <f ca="1">模拟模式!$E$20*(1-IF(模拟模式!$J$19="有",0.15,0))*(1-IF(模拟模式!$K$19="有",0.3,0)-IF(CQ544,0.5,0))</f>
        <v>843.02999999999975</v>
      </c>
      <c r="S544" s="45">
        <f ca="1">R544/(R544+(185*模拟模式!$E$22-16800)*4.08224)</f>
        <v>8.389626085980037E-2</v>
      </c>
      <c r="T544" s="45" t="str">
        <f ca="1">LOOKUP(D544,'模拟-单技能数据'!$A$2:$A$19,'模拟-单技能数据'!$H$2:$H$19)</f>
        <v>阴</v>
      </c>
      <c r="U544" s="119">
        <f t="shared" ca="1" si="467"/>
        <v>0.08</v>
      </c>
      <c r="V544" s="47">
        <f ca="1">(1+L544)*(LOOKUP(D544,'模拟-单技能数据'!$A$2:$A$19,'模拟-单技能数据'!$D$2:$D$19)+G544*LOOKUP(D544,'模拟-单技能数据'!$A$2:$A$19,'模拟-单技能数据'!$F$2:$F$19))*(1+J544)*(1+K544)*(1-S544)*(1+U544)*Q544*LOOKUP(D544,'模拟-单技能数据'!$A$2:$A$19,'模拟-单技能数据'!$I$2:$I$20)</f>
        <v>116578.90677476654</v>
      </c>
      <c r="W544" s="47">
        <f ca="1">LOOKUP(D544,'模拟-单技能数据'!$A$2:$A$19,'模拟-单技能数据'!$G$2:$G$19)*$I$10</f>
        <v>361.51064354704795</v>
      </c>
      <c r="X544" s="47">
        <f t="shared" ca="1" si="493"/>
        <v>26136.840783105588</v>
      </c>
      <c r="Y544" s="47">
        <f t="shared" ca="1" si="468"/>
        <v>143077.25820141917</v>
      </c>
      <c r="Z544" s="49">
        <f t="shared" ca="1" si="469"/>
        <v>54114026.123475045</v>
      </c>
      <c r="AA544" s="97">
        <f t="shared" ca="1" si="470"/>
        <v>113462.65168231243</v>
      </c>
      <c r="AB544" s="115">
        <f ca="1">IF(OR(C544="赤日轮1",C544="赤日轮2",C544="赤日轮3"),IF(RAND()&lt;模拟模式!$Y$17,1,0),IF(OR(C544="幽月轮1",C544="幽月轮2",C544="幽月轮3"),IF(RAND()&lt;模拟模式!$Y$18,1,0),IF(C544="烈日斩",IF(RAND()&lt;模拟模式!$Y$19,1,0),IF(C544="银月斩",IF(RAND()&lt;模拟模式!$Y$20,1,0),IF(C544="驱夜断愁",IF(RAND()&lt;模拟模式!$Y$21,1,0),IF(C544="净世破魔击·日",IF(RAND()&lt;模拟模式!$Y$22,1,0),IF(C544="净世破魔击·月",IF(RAND()&lt;模拟模式!$Y$23,1,0),0)))))))</f>
        <v>1</v>
      </c>
      <c r="AC544" s="115" t="b">
        <f t="shared" ca="1" si="458"/>
        <v>0</v>
      </c>
      <c r="AD544" s="115" t="b">
        <f t="shared" ca="1" si="478"/>
        <v>1</v>
      </c>
      <c r="AE544" s="115">
        <f t="shared" ca="1" si="479"/>
        <v>3</v>
      </c>
      <c r="AF544" s="47">
        <f ca="1">IF(AC544,('模拟-单技能数据'!$D$20+G544*'模拟-单技能数据'!$F$20)*(1+J544)*(1+'模拟-单技能数据'!$J$20)*(1+U544),0)</f>
        <v>0</v>
      </c>
      <c r="AG544" s="61">
        <f t="shared" ca="1" si="471"/>
        <v>0.64185145527300214</v>
      </c>
      <c r="AH544" s="61">
        <f t="shared" ca="1" si="472"/>
        <v>2.2624828854998791</v>
      </c>
      <c r="AI544" s="62">
        <f t="shared" ca="1" si="494"/>
        <v>0.68359593100921512</v>
      </c>
      <c r="AJ544" s="47">
        <f ca="1">IF(AD544,IF(AI544&lt;$F$10,0,IF(AI544&lt;$F$10+$F$11,0.25,IF(AI544&lt;$F$10+$F$11+AG544,AH544,1)))*IF(AF544&gt;0,AF544,IF(AF543&gt;0,AF543,IF(AF542&gt;0,AF542,IF(AF541&gt;0,AF541,IF(AF540&gt;0,AF540,IF(AF539&gt;0,AF539,IF(AF538&gt;0,AF538,IF(AF537&gt;0,AF537,IF(AF536&gt;0,AF536,IF(AF534&gt;0,AF534,IF(AF533&gt;0,AF533,IF(AF532&gt;0,AF532,0)))))))))))),0)*(1-$S544)*'模拟-单技能数据'!$I$20</f>
        <v>9616.6571145767884</v>
      </c>
      <c r="AK544" s="115" t="b">
        <f t="shared" ca="1" si="459"/>
        <v>0</v>
      </c>
      <c r="AL544" s="115" t="b">
        <f t="shared" ca="1" si="480"/>
        <v>0</v>
      </c>
      <c r="AM544" s="115">
        <f t="shared" ca="1" si="481"/>
        <v>5</v>
      </c>
      <c r="AN544" s="47">
        <f ca="1">IF(AK544,('模拟-单技能数据'!$D$21+G544*'模拟-单技能数据'!$F$21)*(1+J544)*(1+'模拟-单技能数据'!$J$21)*(1+U544),0)</f>
        <v>0</v>
      </c>
      <c r="AO544" s="61">
        <f ca="1">IF(AN544&gt;0,M544-'模拟-单技能数据'!$K$10,AO543)</f>
        <v>0.42185145527300216</v>
      </c>
      <c r="AP544" s="61">
        <f ca="1">IF(AN544&gt;0,I544-'模拟-单技能数据'!$L$10,AP543)</f>
        <v>2.162482885499879</v>
      </c>
      <c r="AQ544" s="63">
        <f t="shared" ca="1" si="495"/>
        <v>0.46294871414965821</v>
      </c>
      <c r="AR544" s="64">
        <f ca="1">IF(AL544,IF(AQ544&lt;$F$10,0,IF(AQ544&lt;$F$10+$F$11,0.25,IF(AQ544&lt;$F$10+$F$11+AO544,AP544,1)))*IF(AN544&gt;0,AN544,IF(AN543&gt;0,AN543,IF(AN542&gt;0,AN542,IF(AN541&gt;0,AN541,IF(AN540&gt;0,AN540,IF(AN539&gt;0,AN539,IF(AN538&gt;0,AN538,IF(AN537&gt;0,AN537,IF(AN536&gt;0,AN536,IF(AN534&gt;0,AN534,IF(AN533&gt;0,AN533,IF(AN532&gt;0,AN532,0)))))))))))),0)*(1-$S544)*'模拟-单技能数据'!$I$21</f>
        <v>0</v>
      </c>
      <c r="AS544" s="61">
        <f ca="1">IF(OR(C544="净世破魔击·日",C544="净世破魔击·月"),M544-'模拟-单技能数据'!$K$10,0)</f>
        <v>0.42185145527300216</v>
      </c>
      <c r="AT544" s="61">
        <f ca="1">IF(OR(C544="净世破魔击·日",C544="净世破魔击·月"),I544-'模拟-单技能数据'!$L$10,0)</f>
        <v>2.162482885499879</v>
      </c>
      <c r="AU544" s="62">
        <f t="shared" ca="1" si="496"/>
        <v>0.19321678719947966</v>
      </c>
      <c r="AV544" s="64">
        <f ca="1">IF(AS544&gt;0,('模拟-单技能数据'!$D$22+G544*'模拟-单技能数据'!$F$22)*(1+J544)*(1-S544)*IF(AU544&lt;$F$10,0,IF(AU544&lt;$F$10+$F$11,0.25,IF(AU544&lt;$F$10+$F$11+AS544,AT544,1)))*(1+U544),0)*'模拟-单技能数据'!$I$22</f>
        <v>16520.1836685288</v>
      </c>
      <c r="AW544" s="108">
        <f t="shared" ca="1" si="497"/>
        <v>16.310000000000002</v>
      </c>
      <c r="AX544" s="108" t="b">
        <f ca="1">AND(模拟模式!$P$10="有",AW543=0,RAND()&lt;IF(C544="净世破魔击·月",0.1*8/3,IF(C544="净世破魔击·日",0.1*4/3,0.1*2/3)))</f>
        <v>0</v>
      </c>
      <c r="AY544" s="47">
        <f ca="1">IF(AX544,(18+G544*0.722)*(1+J544)*(1-S544)*(1+$I$4)*IF(P544="会",'模拟-全程加成'!$J$3+'模拟-全程加成'!$J$4+'模拟-全程加成'!$J$5+('模拟-全程加成'!$I$4+'模拟-全程加成'!$I$5)/系数!$B$4+BG544*10%,IF(P544="命",1,IF(P544="识",0.25,0))),0)</f>
        <v>0</v>
      </c>
      <c r="AZ544" s="108">
        <f t="shared" si="498"/>
        <v>9.8525000000000063</v>
      </c>
      <c r="BA544" s="108" t="b">
        <f>AND(模拟模式!$Q$10="有",AZ543=0)</f>
        <v>0</v>
      </c>
      <c r="BB544" s="140">
        <f>IF(BA544,(0+G544*0.287)*(1+J544)*(1-S544)*(1+$I$4)*IF(P544="会",'模拟-全程加成'!$J$3+'模拟-全程加成'!$J$4+'模拟-全程加成'!$J$5+('模拟-全程加成'!$I$4+'模拟-全程加成'!$I$5)/系数!$B$4+BG544*10%,IF(P544="命",1,IF(P544="识",0.25,0))),0)</f>
        <v>0</v>
      </c>
      <c r="BC544" s="115" t="b">
        <f ca="1">AND(模拟模式!$R$7="伏明众生",E544=60,F544=20,DA544&lt;5,CZ543&lt;$F$4)</f>
        <v>0</v>
      </c>
      <c r="BD544" s="115">
        <f t="shared" ca="1" si="460"/>
        <v>0</v>
      </c>
      <c r="BE544" s="115" t="b">
        <f t="shared" ca="1" si="461"/>
        <v>0</v>
      </c>
      <c r="BF544" s="47">
        <f ca="1">IF(BC544,4*('模拟-单技能数据'!$D$24+G544*'模拟-单技能数据'!$F$24)*(1+J544)*(1+'模拟-单技能数据'!$J$24)*(1-S544)*(1+$I$3)*(('模拟-全程加成'!$J$3+'模拟-全程加成'!$J$4+'模拟-全程加成'!$J$5+('模拟-全程加成'!$I$4+'模拟-全程加成'!$I$5)/系数!$B$4+BG544*10%)*('模拟-全程加成'!$J$3+'模拟-全程加成'!$J$4+'模拟-全程加成'!$J$5+('模拟-全程加成'!$I$4+'模拟-全程加成'!$I$5)/系数!$B$4+BG544*10%)+(1-('模拟-全程加成'!$J$3+'模拟-全程加成'!$J$4+'模拟-全程加成'!$J$5+('模拟-全程加成'!$I$4+'模拟-全程加成'!$I$5)/系数!$B$4+BG544*10%)-$F$10-$F$11)+F530*0.25),0)*'模拟-单技能数据'!$I$24</f>
        <v>0</v>
      </c>
      <c r="BG544" s="115" t="b">
        <f ca="1">OR(AND(OR(C544="烈日斩",C544="银月斩"),模拟模式!$I$7="净身明礼"),AND(C544="净世破魔击·日",模拟模式!$J$7="洞若观火"),AND(C545="净世破魔击·月",模拟模式!$J$7="洞若观火"),AB544=1)</f>
        <v>1</v>
      </c>
      <c r="BH544" s="115" t="b">
        <f t="shared" ca="1" si="499"/>
        <v>0</v>
      </c>
      <c r="BI544" s="115">
        <f t="shared" ca="1" si="462"/>
        <v>0</v>
      </c>
      <c r="BJ544" s="115" t="b">
        <f t="shared" ca="1" si="473"/>
        <v>0</v>
      </c>
      <c r="BK544" s="115" t="b">
        <f ca="1">AND(C544="驱夜断愁",模拟模式!$P$7="天地诛戮")</f>
        <v>0</v>
      </c>
      <c r="BL544" s="57">
        <f t="shared" ca="1" si="463"/>
        <v>16.310000000000002</v>
      </c>
      <c r="BM544" s="115" t="b">
        <f t="shared" ca="1" si="474"/>
        <v>1</v>
      </c>
      <c r="BN544" s="115" t="b">
        <f ca="1">AND(OR(C544="赤日轮1",C544="赤日轮2",C544="赤日轮3",C544="幽月轮1",C544="幽月轮2",C544="幽月轮3"),AB544=1,模拟模式!$L$7="明光恒照")</f>
        <v>0</v>
      </c>
      <c r="BO544" s="117">
        <f t="shared" ca="1" si="464"/>
        <v>24.465000000000003</v>
      </c>
      <c r="BP544" s="115">
        <f t="shared" ca="1" si="500"/>
        <v>6</v>
      </c>
      <c r="BQ544" s="115" t="b">
        <f>模拟模式!$K$10="2600·水"</f>
        <v>0</v>
      </c>
      <c r="BR544" s="117">
        <f t="shared" si="501"/>
        <v>0</v>
      </c>
      <c r="BS544" s="115">
        <f t="shared" si="502"/>
        <v>0</v>
      </c>
      <c r="BT544" s="115">
        <f t="shared" ca="1" si="503"/>
        <v>0</v>
      </c>
      <c r="BU544" s="115" t="b">
        <f ca="1">AND(模拟模式!$K$10="2300·雷",BT543=0,RAND()&lt;IF(C544="净世破魔击·月",5*0.05*2/3,IF(C544="净世破魔击·日",3*0.05*2/3,0.05*2*2/3)))</f>
        <v>0</v>
      </c>
      <c r="BV544" s="115">
        <f t="shared" ca="1" si="504"/>
        <v>0</v>
      </c>
      <c r="BW544" s="115">
        <f t="shared" ca="1" si="505"/>
        <v>78.524999999999267</v>
      </c>
      <c r="BX544" s="164" t="b">
        <f t="shared" ca="1" si="506"/>
        <v>0</v>
      </c>
      <c r="BY544" s="115">
        <f t="shared" ca="1" si="507"/>
        <v>0</v>
      </c>
      <c r="BZ544" s="115">
        <f>IF(OR(模拟模式!$P$16="10人团",模拟模式!$P$16="25人团"),IF(B544/30&gt;CA543,1,0),0)</f>
        <v>0</v>
      </c>
      <c r="CA544" s="115">
        <f t="shared" si="483"/>
        <v>0</v>
      </c>
      <c r="CB544" s="115">
        <f ca="1">IF(BZ544=1,IF(模拟模式!$P$16="10人团",15,0)+IF(模拟模式!$P$16="25人团",IF(RAND()&lt;0.6,15,0)),MAX(0,CB543-$F$4))</f>
        <v>0</v>
      </c>
      <c r="CC544" s="115" t="b">
        <f t="shared" ca="1" si="475"/>
        <v>0</v>
      </c>
      <c r="CD544" s="115">
        <f>IF(模拟模式!$Q$16="1个",IF(B544/40&gt;CE543,1,0),0)</f>
        <v>0</v>
      </c>
      <c r="CE544" s="115">
        <f t="shared" si="476"/>
        <v>0</v>
      </c>
      <c r="CF544" s="115">
        <f>IF(OR(CD544=1,模拟模式!$Q$16="2个"),20,MAX(0,CF543-$F$4))</f>
        <v>0</v>
      </c>
      <c r="CG544" s="115" t="b">
        <f t="shared" si="477"/>
        <v>0</v>
      </c>
      <c r="CH544" s="115">
        <f t="shared" ca="1" si="508"/>
        <v>0</v>
      </c>
      <c r="CI544" s="115" t="b">
        <f t="shared" ca="1" si="509"/>
        <v>0</v>
      </c>
      <c r="CJ544" s="119">
        <f t="shared" ca="1" si="510"/>
        <v>0</v>
      </c>
      <c r="CK544" s="115">
        <f t="shared" ca="1" si="511"/>
        <v>0</v>
      </c>
      <c r="CL544" s="115" t="b">
        <f ca="1">AND(模拟模式!$S$7="驱夷逐法",OR(AND(C544="净世破魔击·月",E543&gt;59),AND(C544="净世破魔击·日",F543&gt;59)))</f>
        <v>0</v>
      </c>
      <c r="CM544" s="115" t="b">
        <f ca="1">OR(CL544,AND(C544="净世破魔击·日",CL543,RAND()&lt;模拟模式!$U$23))</f>
        <v>0</v>
      </c>
      <c r="CN544" s="115" t="b">
        <f ca="1">IF(模拟模式!$M$7="辉耀红尘",AND(C544="净世破魔击·月",CL544,CV544=0,E543&lt;80),AND(C544="净世破魔击·月",CL544,E543&lt;100))</f>
        <v>0</v>
      </c>
      <c r="CO544" s="115" t="b">
        <f t="shared" ca="1" si="484"/>
        <v>0</v>
      </c>
      <c r="CP544" s="115" t="b">
        <f ca="1">AND(模拟模式!$O$7="用晦而明",OR(C544="净世破魔击·日",C544="净世破魔击·月",C544="驱夜断愁"),AB544)</f>
        <v>1</v>
      </c>
      <c r="CQ544" s="115" t="b">
        <f ca="1">OR(CP544,AND(CP543,RAND()&lt;模拟模式!$U$23))</f>
        <v>1</v>
      </c>
      <c r="CR544" s="115" t="b">
        <f ca="1">AND(模拟模式!$S$7="日月齐光",OR(C544="幽月轮1",C544="幽月轮2",C544="幽月轮3",CR543),NOT(OR(C544="赤日轮1",C544="赤日轮2",C544="赤日轮3")))</f>
        <v>0</v>
      </c>
      <c r="CS544" s="115" t="b">
        <f ca="1">AND(模拟模式!$S$7="日月齐光",OR(C544="赤日轮1",C544="赤日轮2",C544="赤日轮3",CS543),NOT(OR(C544="幽月轮1",C544="幽月轮2",C544="幽月轮3")))</f>
        <v>0</v>
      </c>
      <c r="CT544" s="115">
        <f t="shared" ca="1" si="512"/>
        <v>26.310000000000002</v>
      </c>
      <c r="CU544" s="115" t="b">
        <f ca="1">AND(模拟模式!$K$10="阴阳往极",CT543=0,RAND()&lt;IF(C544="净世破魔击·月",0.0275*7/3,IF(C544="净世破魔击·日",0.0275*3/3,0.0275*2/3)))</f>
        <v>0</v>
      </c>
      <c r="CV544" s="115">
        <f t="shared" ca="1" si="513"/>
        <v>0.38750000000000007</v>
      </c>
      <c r="CW544" s="115">
        <f t="shared" ca="1" si="485"/>
        <v>0</v>
      </c>
      <c r="CX544" s="115">
        <f t="shared" ca="1" si="486"/>
        <v>1.3874999999999997</v>
      </c>
      <c r="CY544" s="115">
        <f ca="1">MAX(IF($C544="驱夜断愁",IF(模拟模式!$R$7="万念俱寂",6,45),CY543-$F$4),0)</f>
        <v>2.3099999999999996</v>
      </c>
      <c r="CZ544" s="115">
        <f t="shared" ca="1" si="487"/>
        <v>0</v>
      </c>
      <c r="DA544" s="115">
        <f ca="1">IF(模拟模式!$N$7="日月同辉",IF(DB543=2,0,MIN(6,IF(AND(OR(C544="赤日轮1",C544="赤日轮2",C544="赤日轮3",C544="幽月轮1",C544="幽月轮2",C544="幽月轮3"),AB544=1),DA543+1,DA543))),0)</f>
        <v>2</v>
      </c>
      <c r="DB544" s="115">
        <f t="shared" ca="1" si="488"/>
        <v>0</v>
      </c>
      <c r="DC544" s="115"/>
      <c r="DD544" s="115"/>
      <c r="DE544" s="115"/>
      <c r="DF544" s="115"/>
      <c r="DG544" s="115"/>
      <c r="DH544" s="115"/>
      <c r="DI544" s="115"/>
      <c r="DJ544" s="115"/>
      <c r="DK544" s="115"/>
      <c r="DL544" s="115"/>
      <c r="DM544" s="115"/>
    </row>
    <row r="545" spans="2:117" x14ac:dyDescent="0.2">
      <c r="B545" s="117">
        <f t="shared" si="489"/>
        <v>477.85500000000508</v>
      </c>
      <c r="C545" s="167" t="str">
        <f t="shared" ca="1" si="482"/>
        <v>净世破魔击·日</v>
      </c>
      <c r="D545" s="115">
        <f ca="1">IF(C545="赤日轮1",1,IF(C545="赤日轮2",2,IF(C545="赤日轮3",3,IF(C545="幽月轮1",4,IF(C545="幽月轮2",5,IF(C545="幽月轮3",6,IF(C545="烈日斩",7,IF(C545="银月斩",8,IF(C545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545="净世破魔击·月",17,IF(C545="驱夜断愁",18,0)))))))))))</f>
        <v>9</v>
      </c>
      <c r="E545" s="115">
        <f ca="1">IF(AND(CU545,OR(C545="幽月轮1",C545="幽月轮2",C545="幽月轮3",C545="银月斩",C545="驱夜断愁",C545="净世破魔击·月")),100,MIN(IF(OR(CN545,BE545),0,IF(OR($C545="赤日轮1",$C545="赤日轮2",$C545="赤日轮3"),E544+20+IF(模拟模式!$I$7="日月凌天",4,0)+IF(CR544,20,0),IF($C545="烈日斩",E544+40,IF($C545="驱夜断愁",IF(模拟模式!$R$7="万念俱寂",E544+20,E544+60),IF($C545="净世破魔击·月",IF(OR(DB544&gt;0,CV544&gt;0),100,IF(模拟模式!$M$7="辉耀红尘",E544+20,E544)),IF($C545="净世破魔击·日",E544-100,E544)))))),100))</f>
        <v>0</v>
      </c>
      <c r="F545" s="115">
        <f ca="1">IF(AND(CU545,OR(C545="赤日轮1",C545="赤日轮2",C545="赤日轮3",C545="烈日斩",C545="净世破魔击·日")),100,MIN(IF(CO545,0,IF(OR($C545="幽月轮1",$C545="幽月轮2",$C545="幽月轮3"),F544+20+IF(模拟模式!$I$7="日月凌天",4,0)+IF(CS544,20,0),IF($C545="银月斩",F544+40+IF(模拟模式!$X$12=1,5,0),IF($C545="驱夜断愁",IF(模拟模式!$R$7="万念俱寂",F544+20,F544+60),IF($C545="净世破魔击·月",IF(模拟模式!$M$7="辉耀红尘",F544-80,F544-100),IF(AND(C545="净世破魔击·日",OR(DB544&gt;0,CV544&gt;0)),100,F544)))))),100))</f>
        <v>100</v>
      </c>
      <c r="G545" s="117">
        <f ca="1">('模拟-全程加成'!$E$3+'模拟-全程加成'!$E$4+'模拟-全程加成'!$E$5+('模拟-全程加成'!$C$6-'模拟-全程加成'!$C$3)*系数!$B$9+BS545*23)*(1+'模拟-全程加成'!$F$4+'模拟-全程加成'!$F$5+BJ545*10%+BM545*20%+BP545*4%+CG545*30%)+$F$7*系数!$B$12</f>
        <v>21493.829400000002</v>
      </c>
      <c r="H545" s="45">
        <f ca="1">'模拟-全程加成'!$H$3+'模拟-全程加成'!$H$4+'模拟-全程加成'!$H$5+('模拟-全程加成'!$G$4+'模拟-全程加成'!$G$5+('模拟-全程加成'!$C$6-'模拟-全程加成'!$C$3)*系数!$B$13)/系数!$B$3+LOOKUP(D545,'模拟-单技能数据'!$A$2:$A$19,'模拟-单技能数据'!$K$2:$K$19)+BG545*10%+IF(BV545&gt;0,378,0)</f>
        <v>0.54185145527300216</v>
      </c>
      <c r="I545" s="45">
        <f ca="1">'模拟-全程加成'!$J$3+'模拟-全程加成'!$J$4+'模拟-全程加成'!$J$5+('模拟-全程加成'!$I$4+'模拟-全程加成'!$I$5)/系数!$B$4+LOOKUP(D545,'模拟-单技能数据'!$A$2:$A$19,'模拟-单技能数据'!$L$2:$L$19)+BG545*10%</f>
        <v>2.162482885499879</v>
      </c>
      <c r="J545" s="45">
        <f ca="1">(('模拟-全程加成'!$K$3+'模拟-全程加成'!$K$4+'模拟-全程加成'!$K$5+('模拟-全程加成'!$C$6-'模拟-全程加成'!$C$3)*系数!$B$10+IF(BV545&gt;0,882,0)+IF(BY545&gt;0,1831,0))*(1+'模拟-全程加成'!$L$4+'模拟-全程加成'!$L$5+CC545*20%))/系数!$B$5</f>
        <v>0.69723220422048726</v>
      </c>
      <c r="K545" s="119">
        <f ca="1">LOOKUP(D545,'模拟-单技能数据'!$A$2:$A$19,'模拟-单技能数据'!$J$2:$J$19)+IF(CM545,60%,0)+IF(DB544-DB545&gt;0,30%,0)+IF(OR(AND(OR(C545="赤日轮1",C545="赤日轮2",C545="赤日轮3"),CR545),AND(OR(C545="幽月轮1",C545="幽月轮2",C545="幽月轮3"),CS545)),35%,0)+CJ545</f>
        <v>0.21000000000000002</v>
      </c>
      <c r="L545" s="119">
        <f ca="1">IF(AND(C545="烈日斩",模拟模式!$X$11=1),10%,0)+IF(AND(C545="驱夜断愁",AB545=1),30%,0)</f>
        <v>0</v>
      </c>
      <c r="M545" s="45">
        <f t="shared" ca="1" si="465"/>
        <v>0.54185145527300216</v>
      </c>
      <c r="N545" s="45">
        <f t="shared" ca="1" si="466"/>
        <v>0.40424854472699789</v>
      </c>
      <c r="O545" s="46">
        <f t="shared" ca="1" si="490"/>
        <v>0.99764006302716812</v>
      </c>
      <c r="P545" s="46" t="str">
        <f t="shared" ca="1" si="491"/>
        <v>命</v>
      </c>
      <c r="Q545" s="45">
        <f t="shared" ca="1" si="492"/>
        <v>1</v>
      </c>
      <c r="R545" s="117">
        <f ca="1">模拟模式!$E$20*(1-IF(模拟模式!$J$19="有",0.15,0))*(1-IF(模拟模式!$K$19="有",0.3,0)-IF(CQ545,0.5,0))</f>
        <v>843.02999999999975</v>
      </c>
      <c r="S545" s="45">
        <f ca="1">R545/(R545+(185*模拟模式!$E$22-16800)*4.08224)</f>
        <v>8.389626085980037E-2</v>
      </c>
      <c r="T545" s="45" t="str">
        <f ca="1">LOOKUP(D545,'模拟-单技能数据'!$A$2:$A$19,'模拟-单技能数据'!$H$2:$H$19)</f>
        <v>阳</v>
      </c>
      <c r="U545" s="119">
        <f t="shared" ca="1" si="467"/>
        <v>0.2</v>
      </c>
      <c r="V545" s="47">
        <f ca="1">(1+L545)*(LOOKUP(D545,'模拟-单技能数据'!$A$2:$A$19,'模拟-单技能数据'!$D$2:$D$19)+G545*LOOKUP(D545,'模拟-单技能数据'!$A$2:$A$19,'模拟-单技能数据'!$F$2:$F$19))*(1+J545)*(1+K545)*(1-S545)*(1+U545)*Q545*LOOKUP(D545,'模拟-单技能数据'!$A$2:$A$19,'模拟-单技能数据'!$I$2:$I$20)</f>
        <v>63575.662099303576</v>
      </c>
      <c r="W545" s="47">
        <f ca="1">LOOKUP(D545,'模拟-单技能数据'!$A$2:$A$19,'模拟-单技能数据'!$G$2:$G$19)*$I$10</f>
        <v>723.0212870940959</v>
      </c>
      <c r="X545" s="47">
        <f t="shared" ca="1" si="493"/>
        <v>33942.101642527137</v>
      </c>
      <c r="Y545" s="47">
        <f t="shared" ca="1" si="468"/>
        <v>98240.785028924816</v>
      </c>
      <c r="Z545" s="49">
        <f t="shared" ca="1" si="469"/>
        <v>54212266.908503972</v>
      </c>
      <c r="AA545" s="97">
        <f t="shared" ca="1" si="470"/>
        <v>113449.19883333521</v>
      </c>
      <c r="AB545" s="115">
        <f ca="1">IF(OR(C545="赤日轮1",C545="赤日轮2",C545="赤日轮3"),IF(RAND()&lt;模拟模式!$Y$17,1,0),IF(OR(C545="幽月轮1",C545="幽月轮2",C545="幽月轮3"),IF(RAND()&lt;模拟模式!$Y$18,1,0),IF(C545="烈日斩",IF(RAND()&lt;模拟模式!$Y$19,1,0),IF(C545="银月斩",IF(RAND()&lt;模拟模式!$Y$20,1,0),IF(C545="驱夜断愁",IF(RAND()&lt;模拟模式!$Y$21,1,0),IF(C545="净世破魔击·日",IF(RAND()&lt;模拟模式!$Y$22,1,0),IF(C545="净世破魔击·月",IF(RAND()&lt;模拟模式!$Y$23,1,0),0)))))))</f>
        <v>1</v>
      </c>
      <c r="AC545" s="115" t="b">
        <f t="shared" ca="1" si="458"/>
        <v>0</v>
      </c>
      <c r="AD545" s="115" t="b">
        <f t="shared" ca="1" si="478"/>
        <v>0</v>
      </c>
      <c r="AE545" s="115">
        <f t="shared" ca="1" si="479"/>
        <v>3</v>
      </c>
      <c r="AF545" s="47">
        <f ca="1">IF(AC545,('模拟-单技能数据'!$D$20+G545*'模拟-单技能数据'!$F$20)*(1+J545)*(1+'模拟-单技能数据'!$J$20)*(1+U545),0)</f>
        <v>0</v>
      </c>
      <c r="AG545" s="61">
        <f t="shared" ca="1" si="471"/>
        <v>0.64185145527300214</v>
      </c>
      <c r="AH545" s="61">
        <f t="shared" ca="1" si="472"/>
        <v>2.2624828854998791</v>
      </c>
      <c r="AI545" s="62">
        <f t="shared" ca="1" si="494"/>
        <v>0.63715287211474936</v>
      </c>
      <c r="AJ545" s="47">
        <f ca="1">IF(AD545,IF(AI545&lt;$F$10,0,IF(AI545&lt;$F$10+$F$11,0.25,IF(AI545&lt;$F$10+$F$11+AG545,AH545,1)))*IF(AF545&gt;0,AF545,IF(AF544&gt;0,AF544,IF(AF543&gt;0,AF543,IF(AF542&gt;0,AF542,IF(AF541&gt;0,AF541,IF(AF540&gt;0,AF540,IF(AF539&gt;0,AF539,IF(AF538&gt;0,AF538,IF(AF537&gt;0,AF537,IF(AF535&gt;0,AF535,IF(AF534&gt;0,AF534,IF(AF533&gt;0,AF533,0)))))))))))),0)*(1-$S545)*'模拟-单技能数据'!$I$20</f>
        <v>0</v>
      </c>
      <c r="AK545" s="115" t="b">
        <f t="shared" ca="1" si="459"/>
        <v>1</v>
      </c>
      <c r="AL545" s="115" t="b">
        <f t="shared" ca="1" si="480"/>
        <v>1</v>
      </c>
      <c r="AM545" s="115">
        <f t="shared" ca="1" si="481"/>
        <v>5</v>
      </c>
      <c r="AN545" s="47">
        <f ca="1">IF(AK545,('模拟-单技能数据'!$D$21+G545*'模拟-单技能数据'!$F$21)*(1+J545)*(1+'模拟-单技能数据'!$J$21)*(1+U545),0)</f>
        <v>12670.936004857545</v>
      </c>
      <c r="AO545" s="61">
        <f ca="1">IF(AN545&gt;0,M545-'模拟-单技能数据'!$K$10,AO544)</f>
        <v>0.42185145527300216</v>
      </c>
      <c r="AP545" s="61">
        <f ca="1">IF(AN545&gt;0,I545-'模拟-单技能数据'!$L$10,AP544)</f>
        <v>2.162482885499879</v>
      </c>
      <c r="AQ545" s="63">
        <f t="shared" ca="1" si="495"/>
        <v>0.14026826951147819</v>
      </c>
      <c r="AR545" s="64">
        <f ca="1">IF(AL545,IF(AQ545&lt;$F$10,0,IF(AQ545&lt;$F$10+$F$11,0.25,IF(AQ545&lt;$F$10+$F$11+AO545,AP545,1)))*IF(AN545&gt;0,AN545,IF(AN544&gt;0,AN544,IF(AN543&gt;0,AN543,IF(AN542&gt;0,AN542,IF(AN541&gt;0,AN541,IF(AN540&gt;0,AN540,IF(AN539&gt;0,AN539,IF(AN538&gt;0,AN538,IF(AN537&gt;0,AN537,IF(AN535&gt;0,AN535,IF(AN534&gt;0,AN534,IF(AN533&gt;0,AN533,0)))))))))))),0)*(1-$S545)*'模拟-单技能数据'!$I$21</f>
        <v>25101.867467669974</v>
      </c>
      <c r="AS545" s="61">
        <f ca="1">IF(OR(C545="净世破魔击·日",C545="净世破魔击·月"),M545-'模拟-单技能数据'!$K$10,0)</f>
        <v>0.42185145527300216</v>
      </c>
      <c r="AT545" s="61">
        <f ca="1">IF(OR(C545="净世破魔击·日",C545="净世破魔击·月"),I545-'模拟-单技能数据'!$L$10,0)</f>
        <v>2.162482885499879</v>
      </c>
      <c r="AU545" s="62">
        <f t="shared" ca="1" si="496"/>
        <v>0.97533376505304359</v>
      </c>
      <c r="AV545" s="64">
        <f ca="1">IF(AS545&gt;0,('模拟-单技能数据'!$D$22+G545*'模拟-单技能数据'!$F$22)*(1+J545)*(1-S545)*IF(AU545&lt;$F$10,0,IF(AU545&lt;$F$10+$F$11,0.25,IF(AU545&lt;$F$10+$F$11+AS545,AT545,1)))*(1+U545),0)*'模拟-单技能数据'!$I$22</f>
        <v>8840.2341748571616</v>
      </c>
      <c r="AW545" s="108">
        <f t="shared" ca="1" si="497"/>
        <v>15.387500000000003</v>
      </c>
      <c r="AX545" s="108" t="b">
        <f ca="1">AND(模拟模式!$P$10="有",AW544=0,RAND()&lt;IF(C545="净世破魔击·月",0.1*8/3,IF(C545="净世破魔击·日",0.1*4/3,0.1*2/3)))</f>
        <v>0</v>
      </c>
      <c r="AY545" s="47">
        <f ca="1">IF(AX545,(18+G545*0.722)*(1+J545)*(1-S545)*(1+$I$4)*IF(P545="会",'模拟-全程加成'!$J$3+'模拟-全程加成'!$J$4+'模拟-全程加成'!$J$5+('模拟-全程加成'!$I$4+'模拟-全程加成'!$I$5)/系数!$B$4+BG545*10%,IF(P545="命",1,IF(P545="识",0.25,0))),0)</f>
        <v>0</v>
      </c>
      <c r="AZ545" s="108">
        <f t="shared" si="498"/>
        <v>8.9300000000000068</v>
      </c>
      <c r="BA545" s="108" t="b">
        <f>AND(模拟模式!$Q$10="有",AZ544=0)</f>
        <v>0</v>
      </c>
      <c r="BB545" s="140">
        <f>IF(BA545,(0+G545*0.287)*(1+J545)*(1-S545)*(1+$I$4)*IF(P545="会",'模拟-全程加成'!$J$3+'模拟-全程加成'!$J$4+'模拟-全程加成'!$J$5+('模拟-全程加成'!$I$4+'模拟-全程加成'!$I$5)/系数!$B$4+BG545*10%,IF(P545="命",1,IF(P545="识",0.25,0))),0)</f>
        <v>0</v>
      </c>
      <c r="BC545" s="115" t="b">
        <f ca="1">AND(模拟模式!$R$7="伏明众生",E545=60,F545=20,DA545&lt;5,CZ544&lt;$F$4)</f>
        <v>0</v>
      </c>
      <c r="BD545" s="115">
        <f t="shared" ca="1" si="460"/>
        <v>0</v>
      </c>
      <c r="BE545" s="115" t="b">
        <f t="shared" ca="1" si="461"/>
        <v>0</v>
      </c>
      <c r="BF545" s="47">
        <f ca="1">IF(BC545,4*('模拟-单技能数据'!$D$24+G545*'模拟-单技能数据'!$F$24)*(1+J545)*(1+'模拟-单技能数据'!$J$24)*(1-S545)*(1+$I$3)*(('模拟-全程加成'!$J$3+'模拟-全程加成'!$J$4+'模拟-全程加成'!$J$5+('模拟-全程加成'!$I$4+'模拟-全程加成'!$I$5)/系数!$B$4+BG545*10%)*('模拟-全程加成'!$J$3+'模拟-全程加成'!$J$4+'模拟-全程加成'!$J$5+('模拟-全程加成'!$I$4+'模拟-全程加成'!$I$5)/系数!$B$4+BG545*10%)+(1-('模拟-全程加成'!$J$3+'模拟-全程加成'!$J$4+'模拟-全程加成'!$J$5+('模拟-全程加成'!$I$4+'模拟-全程加成'!$I$5)/系数!$B$4+BG545*10%)-$F$10-$F$11)+F531*0.25),0)*'模拟-单技能数据'!$I$24</f>
        <v>0</v>
      </c>
      <c r="BG545" s="115" t="b">
        <f ca="1">OR(AND(OR(C545="烈日斩",C545="银月斩"),模拟模式!$I$7="净身明礼"),AND(C545="净世破魔击·日",模拟模式!$J$7="洞若观火"),AND(C546="净世破魔击·月",模拟模式!$J$7="洞若观火"),AB545=1)</f>
        <v>1</v>
      </c>
      <c r="BH545" s="115" t="b">
        <f t="shared" ca="1" si="499"/>
        <v>1</v>
      </c>
      <c r="BI545" s="115">
        <f t="shared" ca="1" si="462"/>
        <v>6</v>
      </c>
      <c r="BJ545" s="115" t="b">
        <f t="shared" ca="1" si="473"/>
        <v>1</v>
      </c>
      <c r="BK545" s="115" t="b">
        <f ca="1">AND(C545="驱夜断愁",模拟模式!$P$7="天地诛戮")</f>
        <v>0</v>
      </c>
      <c r="BL545" s="57">
        <f t="shared" ca="1" si="463"/>
        <v>15.387500000000003</v>
      </c>
      <c r="BM545" s="115" t="b">
        <f t="shared" ca="1" si="474"/>
        <v>1</v>
      </c>
      <c r="BN545" s="115" t="b">
        <f ca="1">AND(OR(C545="赤日轮1",C545="赤日轮2",C545="赤日轮3",C545="幽月轮1",C545="幽月轮2",C545="幽月轮3"),AB545=1,模拟模式!$L$7="明光恒照")</f>
        <v>0</v>
      </c>
      <c r="BO545" s="117">
        <f t="shared" ca="1" si="464"/>
        <v>23.542500000000004</v>
      </c>
      <c r="BP545" s="115">
        <f t="shared" ca="1" si="500"/>
        <v>6</v>
      </c>
      <c r="BQ545" s="115" t="b">
        <f>模拟模式!$K$10="2600·水"</f>
        <v>0</v>
      </c>
      <c r="BR545" s="117">
        <f t="shared" si="501"/>
        <v>0</v>
      </c>
      <c r="BS545" s="115">
        <f t="shared" si="502"/>
        <v>0</v>
      </c>
      <c r="BT545" s="115">
        <f t="shared" ca="1" si="503"/>
        <v>0</v>
      </c>
      <c r="BU545" s="115" t="b">
        <f ca="1">AND(模拟模式!$K$10="2300·雷",BT544=0,RAND()&lt;IF(C545="净世破魔击·月",5*0.05*2/3,IF(C545="净世破魔击·日",3*0.05*2/3,0.05*2*2/3)))</f>
        <v>0</v>
      </c>
      <c r="BV545" s="115">
        <f t="shared" ca="1" si="504"/>
        <v>0</v>
      </c>
      <c r="BW545" s="115">
        <f t="shared" ca="1" si="505"/>
        <v>77.602499999999267</v>
      </c>
      <c r="BX545" s="164" t="b">
        <f t="shared" ca="1" si="506"/>
        <v>0</v>
      </c>
      <c r="BY545" s="115">
        <f t="shared" ca="1" si="507"/>
        <v>0</v>
      </c>
      <c r="BZ545" s="115">
        <f>IF(OR(模拟模式!$P$16="10人团",模拟模式!$P$16="25人团"),IF(B545/30&gt;CA544,1,0),0)</f>
        <v>0</v>
      </c>
      <c r="CA545" s="115">
        <f t="shared" si="483"/>
        <v>0</v>
      </c>
      <c r="CB545" s="115">
        <f ca="1">IF(BZ545=1,IF(模拟模式!$P$16="10人团",15,0)+IF(模拟模式!$P$16="25人团",IF(RAND()&lt;0.6,15,0)),MAX(0,CB544-$F$4))</f>
        <v>0</v>
      </c>
      <c r="CC545" s="115" t="b">
        <f t="shared" ca="1" si="475"/>
        <v>0</v>
      </c>
      <c r="CD545" s="115">
        <f>IF(模拟模式!$Q$16="1个",IF(B545/40&gt;CE544,1,0),0)</f>
        <v>0</v>
      </c>
      <c r="CE545" s="115">
        <f t="shared" si="476"/>
        <v>0</v>
      </c>
      <c r="CF545" s="115">
        <f>IF(OR(CD545=1,模拟模式!$Q$16="2个"),20,MAX(0,CF544-$F$4))</f>
        <v>0</v>
      </c>
      <c r="CG545" s="115" t="b">
        <f t="shared" si="477"/>
        <v>0</v>
      </c>
      <c r="CH545" s="115">
        <f t="shared" ca="1" si="508"/>
        <v>29.077500000000001</v>
      </c>
      <c r="CI545" s="115" t="b">
        <f t="shared" ca="1" si="509"/>
        <v>1</v>
      </c>
      <c r="CJ545" s="119">
        <f t="shared" ca="1" si="510"/>
        <v>0.01</v>
      </c>
      <c r="CK545" s="115">
        <f t="shared" ca="1" si="511"/>
        <v>7.0774999999999997</v>
      </c>
      <c r="CL545" s="115" t="b">
        <f ca="1">AND(模拟模式!$S$7="驱夷逐法",OR(AND(C545="净世破魔击·月",E544&gt;59),AND(C545="净世破魔击·日",F544&gt;59)))</f>
        <v>0</v>
      </c>
      <c r="CM545" s="115" t="b">
        <f ca="1">OR(CL545,AND(C545="净世破魔击·日",CL544,RAND()&lt;模拟模式!$U$23))</f>
        <v>0</v>
      </c>
      <c r="CN545" s="115" t="b">
        <f ca="1">IF(模拟模式!$M$7="辉耀红尘",AND(C545="净世破魔击·月",CL545,CV545=0,E544&lt;80),AND(C545="净世破魔击·月",CL545,E544&lt;100))</f>
        <v>0</v>
      </c>
      <c r="CO545" s="115" t="b">
        <f t="shared" ca="1" si="484"/>
        <v>0</v>
      </c>
      <c r="CP545" s="115" t="b">
        <f ca="1">AND(模拟模式!$O$7="用晦而明",OR(C545="净世破魔击·日",C545="净世破魔击·月",C545="驱夜断愁"),AB545)</f>
        <v>1</v>
      </c>
      <c r="CQ545" s="115" t="b">
        <f ca="1">OR(CP545,AND(CP544,RAND()&lt;模拟模式!$U$23))</f>
        <v>1</v>
      </c>
      <c r="CR545" s="115" t="b">
        <f ca="1">AND(模拟模式!$S$7="日月齐光",OR(C545="幽月轮1",C545="幽月轮2",C545="幽月轮3",CR544),NOT(OR(C545="赤日轮1",C545="赤日轮2",C545="赤日轮3")))</f>
        <v>0</v>
      </c>
      <c r="CS545" s="115" t="b">
        <f ca="1">AND(模拟模式!$S$7="日月齐光",OR(C545="赤日轮1",C545="赤日轮2",C545="赤日轮3",CS544),NOT(OR(C545="幽月轮1",C545="幽月轮2",C545="幽月轮3")))</f>
        <v>0</v>
      </c>
      <c r="CT545" s="115">
        <f t="shared" ca="1" si="512"/>
        <v>25.387500000000003</v>
      </c>
      <c r="CU545" s="115" t="b">
        <f ca="1">AND(模拟模式!$K$10="阴阳往极",CT544=0,RAND()&lt;IF(C545="净世破魔击·月",0.0275*7/3,IF(C545="净世破魔击·日",0.0275*3/3,0.0275*2/3)))</f>
        <v>0</v>
      </c>
      <c r="CV545" s="115">
        <f t="shared" ca="1" si="513"/>
        <v>0</v>
      </c>
      <c r="CW545" s="115">
        <f t="shared" ca="1" si="485"/>
        <v>0</v>
      </c>
      <c r="CX545" s="115">
        <f t="shared" ca="1" si="486"/>
        <v>0.46499999999999975</v>
      </c>
      <c r="CY545" s="115">
        <f ca="1">MAX(IF($C545="驱夜断愁",IF(模拟模式!$R$7="万念俱寂",6,45),CY544-$F$4),0)</f>
        <v>1.3874999999999997</v>
      </c>
      <c r="CZ545" s="115">
        <f t="shared" ca="1" si="487"/>
        <v>0</v>
      </c>
      <c r="DA545" s="115">
        <f ca="1">IF(模拟模式!$N$7="日月同辉",IF(DB544=2,0,MIN(6,IF(AND(OR(C545="赤日轮1",C545="赤日轮2",C545="赤日轮3",C545="幽月轮1",C545="幽月轮2",C545="幽月轮3"),AB545=1),DA544+1,DA544))),0)</f>
        <v>2</v>
      </c>
      <c r="DB545" s="115">
        <f t="shared" ca="1" si="488"/>
        <v>0</v>
      </c>
      <c r="DC545" s="115"/>
      <c r="DD545" s="115"/>
      <c r="DE545" s="115"/>
      <c r="DF545" s="115"/>
      <c r="DG545" s="115"/>
      <c r="DH545" s="115"/>
      <c r="DI545" s="115"/>
      <c r="DJ545" s="115"/>
      <c r="DK545" s="115"/>
      <c r="DL545" s="115"/>
      <c r="DM545" s="115"/>
    </row>
    <row r="546" spans="2:117" x14ac:dyDescent="0.2">
      <c r="B546" s="117">
        <f t="shared" si="489"/>
        <v>478.77750000000509</v>
      </c>
      <c r="C546" s="167" t="str">
        <f t="shared" ca="1" si="482"/>
        <v>净世破魔击·月</v>
      </c>
      <c r="D546" s="115">
        <f ca="1">IF(C546="赤日轮1",1,IF(C546="赤日轮2",2,IF(C546="赤日轮3",3,IF(C546="幽月轮1",4,IF(C546="幽月轮2",5,IF(C546="幽月轮3",6,IF(C546="烈日斩",7,IF(C546="银月斩",8,IF(C546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546="净世破魔击·月",17,IF(C546="驱夜断愁",18,0)))))))))))</f>
        <v>17</v>
      </c>
      <c r="E546" s="115">
        <f ca="1">IF(AND(CU546,OR(C546="幽月轮1",C546="幽月轮2",C546="幽月轮3",C546="银月斩",C546="驱夜断愁",C546="净世破魔击·月")),100,MIN(IF(OR(CN546,BE546),0,IF(OR($C546="赤日轮1",$C546="赤日轮2",$C546="赤日轮3"),E545+20+IF(模拟模式!$I$7="日月凌天",4,0)+IF(CR545,20,0),IF($C546="烈日斩",E545+40,IF($C546="驱夜断愁",IF(模拟模式!$R$7="万念俱寂",E545+20,E545+60),IF($C546="净世破魔击·月",IF(OR(DB545&gt;0,CV545&gt;0),100,IF(模拟模式!$M$7="辉耀红尘",E545+20,E545)),IF($C546="净世破魔击·日",E545-100,E545)))))),100))</f>
        <v>20</v>
      </c>
      <c r="F546" s="115">
        <f ca="1">IF(AND(CU546,OR(C546="赤日轮1",C546="赤日轮2",C546="赤日轮3",C546="烈日斩",C546="净世破魔击·日")),100,MIN(IF(CO546,0,IF(OR($C546="幽月轮1",$C546="幽月轮2",$C546="幽月轮3"),F545+20+IF(模拟模式!$I$7="日月凌天",4,0)+IF(CS545,20,0),IF($C546="银月斩",F545+40+IF(模拟模式!$X$12=1,5,0),IF($C546="驱夜断愁",IF(模拟模式!$R$7="万念俱寂",F545+20,F545+60),IF($C546="净世破魔击·月",IF(模拟模式!$M$7="辉耀红尘",F545-80,F545-100),IF(AND(C546="净世破魔击·日",OR(DB545&gt;0,CV545&gt;0)),100,F545)))))),100))</f>
        <v>20</v>
      </c>
      <c r="G546" s="117">
        <f ca="1">('模拟-全程加成'!$E$3+'模拟-全程加成'!$E$4+'模拟-全程加成'!$E$5+('模拟-全程加成'!$C$6-'模拟-全程加成'!$C$3)*系数!$B$9+BS546*23)*(1+'模拟-全程加成'!$F$4+'模拟-全程加成'!$F$5+BJ546*10%+BM546*20%+BP546*4%+CG546*30%)+$F$7*系数!$B$12</f>
        <v>21493.829400000002</v>
      </c>
      <c r="H546" s="45">
        <f ca="1">'模拟-全程加成'!$H$3+'模拟-全程加成'!$H$4+'模拟-全程加成'!$H$5+('模拟-全程加成'!$G$4+'模拟-全程加成'!$G$5+('模拟-全程加成'!$C$6-'模拟-全程加成'!$C$3)*系数!$B$13)/系数!$B$3+LOOKUP(D546,'模拟-单技能数据'!$A$2:$A$19,'模拟-单技能数据'!$K$2:$K$19)+BG546*10%+IF(BV546&gt;0,378,0)</f>
        <v>0.54185145527300216</v>
      </c>
      <c r="I546" s="45">
        <f ca="1">'模拟-全程加成'!$J$3+'模拟-全程加成'!$J$4+'模拟-全程加成'!$J$5+('模拟-全程加成'!$I$4+'模拟-全程加成'!$I$5)/系数!$B$4+LOOKUP(D546,'模拟-单技能数据'!$A$2:$A$19,'模拟-单技能数据'!$L$2:$L$19)+BG546*10%</f>
        <v>2.162482885499879</v>
      </c>
      <c r="J546" s="45">
        <f ca="1">(('模拟-全程加成'!$K$3+'模拟-全程加成'!$K$4+'模拟-全程加成'!$K$5+('模拟-全程加成'!$C$6-'模拟-全程加成'!$C$3)*系数!$B$10+IF(BV546&gt;0,882,0)+IF(BY546&gt;0,1831,0))*(1+'模拟-全程加成'!$L$4+'模拟-全程加成'!$L$5+CC546*20%))/系数!$B$5</f>
        <v>0.69723220422048726</v>
      </c>
      <c r="K546" s="119">
        <f ca="1">LOOKUP(D546,'模拟-单技能数据'!$A$2:$A$19,'模拟-单技能数据'!$J$2:$J$19)+IF(CM546,60%,0)+IF(DB545-DB546&gt;0,30%,0)+IF(OR(AND(OR(C546="赤日轮1",C546="赤日轮2",C546="赤日轮3"),CR546),AND(OR(C546="幽月轮1",C546="幽月轮2",C546="幽月轮3"),CS546)),35%,0)+CJ546</f>
        <v>0.21000000000000002</v>
      </c>
      <c r="L546" s="119">
        <f ca="1">IF(AND(C546="烈日斩",模拟模式!$X$11=1),10%,0)+IF(AND(C546="驱夜断愁",AB546=1),30%,0)</f>
        <v>0</v>
      </c>
      <c r="M546" s="45">
        <f t="shared" ca="1" si="465"/>
        <v>0.54185145527300216</v>
      </c>
      <c r="N546" s="45">
        <f t="shared" ca="1" si="466"/>
        <v>0.40424854472699789</v>
      </c>
      <c r="O546" s="46">
        <f t="shared" ca="1" si="490"/>
        <v>0.1971210548532869</v>
      </c>
      <c r="P546" s="46" t="str">
        <f t="shared" ca="1" si="491"/>
        <v>会</v>
      </c>
      <c r="Q546" s="45">
        <f t="shared" ca="1" si="492"/>
        <v>2.162482885499879</v>
      </c>
      <c r="R546" s="117">
        <f ca="1">模拟模式!$E$20*(1-IF(模拟模式!$J$19="有",0.15,0))*(1-IF(模拟模式!$K$19="有",0.3,0)-IF(CQ546,0.5,0))</f>
        <v>843.02999999999975</v>
      </c>
      <c r="S546" s="45">
        <f ca="1">R546/(R546+(185*模拟模式!$E$22-16800)*4.08224)</f>
        <v>8.389626085980037E-2</v>
      </c>
      <c r="T546" s="45" t="str">
        <f ca="1">LOOKUP(D546,'模拟-单技能数据'!$A$2:$A$19,'模拟-单技能数据'!$H$2:$H$19)</f>
        <v>阴</v>
      </c>
      <c r="U546" s="119">
        <f t="shared" ca="1" si="467"/>
        <v>0.08</v>
      </c>
      <c r="V546" s="47">
        <f ca="1">(1+L546)*(LOOKUP(D546,'模拟-单技能数据'!$A$2:$A$19,'模拟-单技能数据'!$D$2:$D$19)+G546*LOOKUP(D546,'模拟-单技能数据'!$A$2:$A$19,'模拟-单技能数据'!$F$2:$F$19))*(1+J546)*(1+K546)*(1-S546)*(1+U546)*Q546*LOOKUP(D546,'模拟-单技能数据'!$A$2:$A$19,'模拟-单技能数据'!$I$2:$I$20)</f>
        <v>122708.26530778249</v>
      </c>
      <c r="W546" s="47">
        <f ca="1">LOOKUP(D546,'模拟-单技能数据'!$A$2:$A$19,'模拟-单技能数据'!$G$2:$G$19)*$I$10</f>
        <v>361.51064354704795</v>
      </c>
      <c r="X546" s="47">
        <f t="shared" ca="1" si="493"/>
        <v>21455.65793196288</v>
      </c>
      <c r="Y546" s="47">
        <f t="shared" ca="1" si="468"/>
        <v>144525.43388329243</v>
      </c>
      <c r="Z546" s="49">
        <f t="shared" ca="1" si="469"/>
        <v>54356792.342387266</v>
      </c>
      <c r="AA546" s="97">
        <f t="shared" ca="1" si="470"/>
        <v>113532.47039049807</v>
      </c>
      <c r="AB546" s="115">
        <f ca="1">IF(OR(C546="赤日轮1",C546="赤日轮2",C546="赤日轮3"),IF(RAND()&lt;模拟模式!$Y$17,1,0),IF(OR(C546="幽月轮1",C546="幽月轮2",C546="幽月轮3"),IF(RAND()&lt;模拟模式!$Y$18,1,0),IF(C546="烈日斩",IF(RAND()&lt;模拟模式!$Y$19,1,0),IF(C546="银月斩",IF(RAND()&lt;模拟模式!$Y$20,1,0),IF(C546="驱夜断愁",IF(RAND()&lt;模拟模式!$Y$21,1,0),IF(C546="净世破魔击·日",IF(RAND()&lt;模拟模式!$Y$22,1,0),IF(C546="净世破魔击·月",IF(RAND()&lt;模拟模式!$Y$23,1,0),0)))))))</f>
        <v>1</v>
      </c>
      <c r="AC546" s="115" t="b">
        <f t="shared" ca="1" si="458"/>
        <v>0</v>
      </c>
      <c r="AD546" s="115" t="b">
        <f t="shared" ca="1" si="478"/>
        <v>1</v>
      </c>
      <c r="AE546" s="115">
        <f t="shared" ca="1" si="479"/>
        <v>2</v>
      </c>
      <c r="AF546" s="47">
        <f ca="1">IF(AC546,('模拟-单技能数据'!$D$20+G546*'模拟-单技能数据'!$F$20)*(1+J546)*(1+'模拟-单技能数据'!$J$20)*(1+U546),0)</f>
        <v>0</v>
      </c>
      <c r="AG546" s="61">
        <f t="shared" ca="1" si="471"/>
        <v>0.64185145527300214</v>
      </c>
      <c r="AH546" s="61">
        <f t="shared" ca="1" si="472"/>
        <v>2.2624828854998791</v>
      </c>
      <c r="AI546" s="62">
        <f t="shared" ca="1" si="494"/>
        <v>0.70424042055264258</v>
      </c>
      <c r="AJ546" s="47">
        <f ca="1">IF(AD546,IF(AI546&lt;$F$10,0,IF(AI546&lt;$F$10+$F$11,0.25,IF(AI546&lt;$F$10+$F$11+AG546,AH546,1)))*IF(AF546&gt;0,AF546,IF(AF545&gt;0,AF545,IF(AF544&gt;0,AF544,IF(AF543&gt;0,AF543,IF(AF542&gt;0,AF542,IF(AF541&gt;0,AF541,IF(AF540&gt;0,AF540,IF(AF539&gt;0,AF539,IF(AF538&gt;0,AF538,IF(AF536&gt;0,AF536,IF(AF535&gt;0,AF535,IF(AF534&gt;0,AF534,0)))))))))))),0)*(1-$S546)*'模拟-单技能数据'!$I$20</f>
        <v>4250.4883357170938</v>
      </c>
      <c r="AK546" s="115" t="b">
        <f t="shared" ca="1" si="459"/>
        <v>0</v>
      </c>
      <c r="AL546" s="115" t="b">
        <f t="shared" ca="1" si="480"/>
        <v>0</v>
      </c>
      <c r="AM546" s="115">
        <f t="shared" ca="1" si="481"/>
        <v>5</v>
      </c>
      <c r="AN546" s="47">
        <f ca="1">IF(AK546,('模拟-单技能数据'!$D$21+G546*'模拟-单技能数据'!$F$21)*(1+J546)*(1+'模拟-单技能数据'!$J$21)*(1+U546),0)</f>
        <v>0</v>
      </c>
      <c r="AO546" s="61">
        <f ca="1">IF(AN546&gt;0,M546-'模拟-单技能数据'!$K$10,AO545)</f>
        <v>0.42185145527300216</v>
      </c>
      <c r="AP546" s="61">
        <f ca="1">IF(AN546&gt;0,I546-'模拟-单技能数据'!$L$10,AP545)</f>
        <v>2.162482885499879</v>
      </c>
      <c r="AQ546" s="63">
        <f t="shared" ca="1" si="495"/>
        <v>0.97644702961853902</v>
      </c>
      <c r="AR546" s="64">
        <f ca="1">IF(AL546,IF(AQ546&lt;$F$10,0,IF(AQ546&lt;$F$10+$F$11,0.25,IF(AQ546&lt;$F$10+$F$11+AO546,AP546,1)))*IF(AN546&gt;0,AN546,IF(AN545&gt;0,AN545,IF(AN544&gt;0,AN544,IF(AN543&gt;0,AN543,IF(AN542&gt;0,AN542,IF(AN541&gt;0,AN541,IF(AN540&gt;0,AN540,IF(AN539&gt;0,AN539,IF(AN538&gt;0,AN538,IF(AN536&gt;0,AN536,IF(AN535&gt;0,AN535,IF(AN534&gt;0,AN534,0)))))))))))),0)*(1-$S546)*'模拟-单技能数据'!$I$21</f>
        <v>0</v>
      </c>
      <c r="AS546" s="61">
        <f ca="1">IF(OR(C546="净世破魔击·日",C546="净世破魔击·月"),M546-'模拟-单技能数据'!$K$10,0)</f>
        <v>0.42185145527300216</v>
      </c>
      <c r="AT546" s="61">
        <f ca="1">IF(OR(C546="净世破魔击·日",C546="净世破魔击·月"),I546-'模拟-单技能数据'!$L$10,0)</f>
        <v>2.162482885499879</v>
      </c>
      <c r="AU546" s="62">
        <f t="shared" ca="1" si="496"/>
        <v>0.32075816366440513</v>
      </c>
      <c r="AV546" s="64">
        <f ca="1">IF(AS546&gt;0,('模拟-单技能数据'!$D$22+G546*'模拟-单技能数据'!$F$22)*(1+J546)*(1-S546)*IF(AU546&lt;$F$10,0,IF(AU546&lt;$F$10+$F$11,0.25,IF(AU546&lt;$F$10+$F$11+AS546,AT546,1)))*(1+U546),0)*'模拟-单技能数据'!$I$22</f>
        <v>17205.169596245785</v>
      </c>
      <c r="AW546" s="108">
        <f t="shared" ca="1" si="497"/>
        <v>14.465000000000003</v>
      </c>
      <c r="AX546" s="108" t="b">
        <f ca="1">AND(模拟模式!$P$10="有",AW545=0,RAND()&lt;IF(C546="净世破魔击·月",0.1*8/3,IF(C546="净世破魔击·日",0.1*4/3,0.1*2/3)))</f>
        <v>0</v>
      </c>
      <c r="AY546" s="47">
        <f ca="1">IF(AX546,(18+G546*0.722)*(1+J546)*(1-S546)*(1+$I$4)*IF(P546="会",'模拟-全程加成'!$J$3+'模拟-全程加成'!$J$4+'模拟-全程加成'!$J$5+('模拟-全程加成'!$I$4+'模拟-全程加成'!$I$5)/系数!$B$4+BG546*10%,IF(P546="命",1,IF(P546="识",0.25,0))),0)</f>
        <v>0</v>
      </c>
      <c r="AZ546" s="108">
        <f t="shared" si="498"/>
        <v>8.0075000000000074</v>
      </c>
      <c r="BA546" s="108" t="b">
        <f>AND(模拟模式!$Q$10="有",AZ545=0)</f>
        <v>0</v>
      </c>
      <c r="BB546" s="140">
        <f>IF(BA546,(0+G546*0.287)*(1+J546)*(1-S546)*(1+$I$4)*IF(P546="会",'模拟-全程加成'!$J$3+'模拟-全程加成'!$J$4+'模拟-全程加成'!$J$5+('模拟-全程加成'!$I$4+'模拟-全程加成'!$I$5)/系数!$B$4+BG546*10%,IF(P546="命",1,IF(P546="识",0.25,0))),0)</f>
        <v>0</v>
      </c>
      <c r="BC546" s="115" t="b">
        <f ca="1">AND(模拟模式!$R$7="伏明众生",E546=60,F546=20,DA546&lt;5,CZ545&lt;$F$4)</f>
        <v>0</v>
      </c>
      <c r="BD546" s="115">
        <f t="shared" ca="1" si="460"/>
        <v>0</v>
      </c>
      <c r="BE546" s="115" t="b">
        <f t="shared" ca="1" si="461"/>
        <v>0</v>
      </c>
      <c r="BF546" s="47">
        <f ca="1">IF(BC546,4*('模拟-单技能数据'!$D$24+G546*'模拟-单技能数据'!$F$24)*(1+J546)*(1+'模拟-单技能数据'!$J$24)*(1-S546)*(1+$I$3)*(('模拟-全程加成'!$J$3+'模拟-全程加成'!$J$4+'模拟-全程加成'!$J$5+('模拟-全程加成'!$I$4+'模拟-全程加成'!$I$5)/系数!$B$4+BG546*10%)*('模拟-全程加成'!$J$3+'模拟-全程加成'!$J$4+'模拟-全程加成'!$J$5+('模拟-全程加成'!$I$4+'模拟-全程加成'!$I$5)/系数!$B$4+BG546*10%)+(1-('模拟-全程加成'!$J$3+'模拟-全程加成'!$J$4+'模拟-全程加成'!$J$5+('模拟-全程加成'!$I$4+'模拟-全程加成'!$I$5)/系数!$B$4+BG546*10%)-$F$10-$F$11)+F532*0.25),0)*'模拟-单技能数据'!$I$24</f>
        <v>0</v>
      </c>
      <c r="BG546" s="115" t="b">
        <f ca="1">OR(AND(OR(C546="烈日斩",C546="银月斩"),模拟模式!$I$7="净身明礼"),AND(C546="净世破魔击·日",模拟模式!$J$7="洞若观火"),AND(C547="净世破魔击·月",模拟模式!$J$7="洞若观火"),AB546=1)</f>
        <v>1</v>
      </c>
      <c r="BH546" s="115" t="b">
        <f t="shared" ca="1" si="499"/>
        <v>0</v>
      </c>
      <c r="BI546" s="115">
        <f t="shared" ca="1" si="462"/>
        <v>5.0774999999999997</v>
      </c>
      <c r="BJ546" s="115" t="b">
        <f t="shared" ca="1" si="473"/>
        <v>1</v>
      </c>
      <c r="BK546" s="115" t="b">
        <f ca="1">AND(C546="驱夜断愁",模拟模式!$P$7="天地诛戮")</f>
        <v>0</v>
      </c>
      <c r="BL546" s="57">
        <f t="shared" ca="1" si="463"/>
        <v>14.465000000000003</v>
      </c>
      <c r="BM546" s="115" t="b">
        <f t="shared" ca="1" si="474"/>
        <v>1</v>
      </c>
      <c r="BN546" s="115" t="b">
        <f ca="1">AND(OR(C546="赤日轮1",C546="赤日轮2",C546="赤日轮3",C546="幽月轮1",C546="幽月轮2",C546="幽月轮3"),AB546=1,模拟模式!$L$7="明光恒照")</f>
        <v>0</v>
      </c>
      <c r="BO546" s="117">
        <f t="shared" ca="1" si="464"/>
        <v>22.620000000000005</v>
      </c>
      <c r="BP546" s="115">
        <f t="shared" ca="1" si="500"/>
        <v>6</v>
      </c>
      <c r="BQ546" s="115" t="b">
        <f>模拟模式!$K$10="2600·水"</f>
        <v>0</v>
      </c>
      <c r="BR546" s="117">
        <f t="shared" si="501"/>
        <v>0</v>
      </c>
      <c r="BS546" s="115">
        <f t="shared" si="502"/>
        <v>0</v>
      </c>
      <c r="BT546" s="115">
        <f t="shared" ca="1" si="503"/>
        <v>0</v>
      </c>
      <c r="BU546" s="115" t="b">
        <f ca="1">AND(模拟模式!$K$10="2300·雷",BT545=0,RAND()&lt;IF(C546="净世破魔击·月",5*0.05*2/3,IF(C546="净世破魔击·日",3*0.05*2/3,0.05*2*2/3)))</f>
        <v>0</v>
      </c>
      <c r="BV546" s="115">
        <f t="shared" ca="1" si="504"/>
        <v>0</v>
      </c>
      <c r="BW546" s="115">
        <f t="shared" ca="1" si="505"/>
        <v>76.679999999999268</v>
      </c>
      <c r="BX546" s="164" t="b">
        <f t="shared" ca="1" si="506"/>
        <v>0</v>
      </c>
      <c r="BY546" s="115">
        <f t="shared" ca="1" si="507"/>
        <v>0</v>
      </c>
      <c r="BZ546" s="115">
        <f>IF(OR(模拟模式!$P$16="10人团",模拟模式!$P$16="25人团"),IF(B546/30&gt;CA545,1,0),0)</f>
        <v>0</v>
      </c>
      <c r="CA546" s="115">
        <f t="shared" si="483"/>
        <v>0</v>
      </c>
      <c r="CB546" s="115">
        <f ca="1">IF(BZ546=1,IF(模拟模式!$P$16="10人团",15,0)+IF(模拟模式!$P$16="25人团",IF(RAND()&lt;0.6,15,0)),MAX(0,CB545-$F$4))</f>
        <v>0</v>
      </c>
      <c r="CC546" s="115" t="b">
        <f t="shared" ca="1" si="475"/>
        <v>0</v>
      </c>
      <c r="CD546" s="115">
        <f>IF(模拟模式!$Q$16="1个",IF(B546/40&gt;CE545,1,0),0)</f>
        <v>0</v>
      </c>
      <c r="CE546" s="115">
        <f t="shared" si="476"/>
        <v>0</v>
      </c>
      <c r="CF546" s="115">
        <f>IF(OR(CD546=1,模拟模式!$Q$16="2个"),20,MAX(0,CF545-$F$4))</f>
        <v>0</v>
      </c>
      <c r="CG546" s="115" t="b">
        <f t="shared" si="477"/>
        <v>0</v>
      </c>
      <c r="CH546" s="115">
        <f t="shared" ca="1" si="508"/>
        <v>28.155000000000001</v>
      </c>
      <c r="CI546" s="115" t="b">
        <f t="shared" ca="1" si="509"/>
        <v>0</v>
      </c>
      <c r="CJ546" s="119">
        <f t="shared" ca="1" si="510"/>
        <v>0.01</v>
      </c>
      <c r="CK546" s="115">
        <f t="shared" ca="1" si="511"/>
        <v>6.1549999999999994</v>
      </c>
      <c r="CL546" s="115" t="b">
        <f ca="1">AND(模拟模式!$S$7="驱夷逐法",OR(AND(C546="净世破魔击·月",E545&gt;59),AND(C546="净世破魔击·日",F545&gt;59)))</f>
        <v>0</v>
      </c>
      <c r="CM546" s="115" t="b">
        <f ca="1">OR(CL546,AND(C546="净世破魔击·日",CL545,RAND()&lt;模拟模式!$U$23))</f>
        <v>0</v>
      </c>
      <c r="CN546" s="115" t="b">
        <f ca="1">IF(模拟模式!$M$7="辉耀红尘",AND(C546="净世破魔击·月",CL546,CV546=0,E545&lt;80),AND(C546="净世破魔击·月",CL546,E545&lt;100))</f>
        <v>0</v>
      </c>
      <c r="CO546" s="115" t="b">
        <f t="shared" ca="1" si="484"/>
        <v>0</v>
      </c>
      <c r="CP546" s="115" t="b">
        <f ca="1">AND(模拟模式!$O$7="用晦而明",OR(C546="净世破魔击·日",C546="净世破魔击·月",C546="驱夜断愁"),AB546)</f>
        <v>1</v>
      </c>
      <c r="CQ546" s="115" t="b">
        <f ca="1">OR(CP546,AND(CP545,RAND()&lt;模拟模式!$U$23))</f>
        <v>1</v>
      </c>
      <c r="CR546" s="115" t="b">
        <f ca="1">AND(模拟模式!$S$7="日月齐光",OR(C546="幽月轮1",C546="幽月轮2",C546="幽月轮3",CR545),NOT(OR(C546="赤日轮1",C546="赤日轮2",C546="赤日轮3")))</f>
        <v>0</v>
      </c>
      <c r="CS546" s="115" t="b">
        <f ca="1">AND(模拟模式!$S$7="日月齐光",OR(C546="赤日轮1",C546="赤日轮2",C546="赤日轮3",CS545),NOT(OR(C546="幽月轮1",C546="幽月轮2",C546="幽月轮3")))</f>
        <v>0</v>
      </c>
      <c r="CT546" s="115">
        <f t="shared" ca="1" si="512"/>
        <v>24.465000000000003</v>
      </c>
      <c r="CU546" s="115" t="b">
        <f ca="1">AND(模拟模式!$K$10="阴阳往极",CT545=0,RAND()&lt;IF(C546="净世破魔击·月",0.0275*7/3,IF(C546="净世破魔击·日",0.0275*3/3,0.0275*2/3)))</f>
        <v>0</v>
      </c>
      <c r="CV546" s="115">
        <f t="shared" ca="1" si="513"/>
        <v>0</v>
      </c>
      <c r="CW546" s="115">
        <f t="shared" ca="1" si="485"/>
        <v>0</v>
      </c>
      <c r="CX546" s="115">
        <f t="shared" ca="1" si="486"/>
        <v>0</v>
      </c>
      <c r="CY546" s="115">
        <f ca="1">MAX(IF($C546="驱夜断愁",IF(模拟模式!$R$7="万念俱寂",6,45),CY545-$F$4),0)</f>
        <v>0.46499999999999975</v>
      </c>
      <c r="CZ546" s="115">
        <f t="shared" ca="1" si="487"/>
        <v>0</v>
      </c>
      <c r="DA546" s="115">
        <f ca="1">IF(模拟模式!$N$7="日月同辉",IF(DB545=2,0,MIN(6,IF(AND(OR(C546="赤日轮1",C546="赤日轮2",C546="赤日轮3",C546="幽月轮1",C546="幽月轮2",C546="幽月轮3"),AB546=1),DA545+1,DA545))),0)</f>
        <v>2</v>
      </c>
      <c r="DB546" s="115">
        <f t="shared" ca="1" si="488"/>
        <v>0</v>
      </c>
      <c r="DC546" s="115"/>
      <c r="DD546" s="115"/>
      <c r="DE546" s="115"/>
      <c r="DF546" s="115"/>
      <c r="DG546" s="115"/>
      <c r="DH546" s="115"/>
      <c r="DI546" s="115"/>
      <c r="DJ546" s="115"/>
      <c r="DK546" s="115"/>
      <c r="DL546" s="115"/>
      <c r="DM546" s="115"/>
    </row>
    <row r="547" spans="2:117" x14ac:dyDescent="0.2">
      <c r="B547" s="117">
        <f t="shared" si="489"/>
        <v>479.7000000000051</v>
      </c>
      <c r="C547" s="167" t="str">
        <f t="shared" ca="1" si="482"/>
        <v>银月斩</v>
      </c>
      <c r="D547" s="115">
        <f ca="1">IF(C547="赤日轮1",1,IF(C547="赤日轮2",2,IF(C547="赤日轮3",3,IF(C547="幽月轮1",4,IF(C547="幽月轮2",5,IF(C547="幽月轮3",6,IF(C547="烈日斩",7,IF(C547="银月斩",8,IF(C547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547="净世破魔击·月",17,IF(C547="驱夜断愁",18,0)))))))))))</f>
        <v>8</v>
      </c>
      <c r="E547" s="115">
        <f ca="1">IF(AND(CU547,OR(C547="幽月轮1",C547="幽月轮2",C547="幽月轮3",C547="银月斩",C547="驱夜断愁",C547="净世破魔击·月")),100,MIN(IF(OR(CN547,BE547),0,IF(OR($C547="赤日轮1",$C547="赤日轮2",$C547="赤日轮3"),E546+20+IF(模拟模式!$I$7="日月凌天",4,0)+IF(CR546,20,0),IF($C547="烈日斩",E546+40,IF($C547="驱夜断愁",IF(模拟模式!$R$7="万念俱寂",E546+20,E546+60),IF($C547="净世破魔击·月",IF(OR(DB546&gt;0,CV546&gt;0),100,IF(模拟模式!$M$7="辉耀红尘",E546+20,E546)),IF($C547="净世破魔击·日",E546-100,E546)))))),100))</f>
        <v>20</v>
      </c>
      <c r="F547" s="115">
        <f ca="1">IF(AND(CU547,OR(C547="赤日轮1",C547="赤日轮2",C547="赤日轮3",C547="烈日斩",C547="净世破魔击·日")),100,MIN(IF(CO547,0,IF(OR($C547="幽月轮1",$C547="幽月轮2",$C547="幽月轮3"),F546+20+IF(模拟模式!$I$7="日月凌天",4,0)+IF(CS546,20,0),IF($C547="银月斩",F546+40+IF(模拟模式!$X$12=1,5,0),IF($C547="驱夜断愁",IF(模拟模式!$R$7="万念俱寂",F546+20,F546+60),IF($C547="净世破魔击·月",IF(模拟模式!$M$7="辉耀红尘",F546-80,F546-100),IF(AND(C547="净世破魔击·日",OR(DB546&gt;0,CV546&gt;0)),100,F546)))))),100))</f>
        <v>65</v>
      </c>
      <c r="G547" s="117">
        <f ca="1">('模拟-全程加成'!$E$3+'模拟-全程加成'!$E$4+'模拟-全程加成'!$E$5+('模拟-全程加成'!$C$6-'模拟-全程加成'!$C$3)*系数!$B$9+BS547*23)*(1+'模拟-全程加成'!$F$4+'模拟-全程加成'!$F$5+BJ547*10%+BM547*20%+BP547*4%+CG547*30%)+$F$7*系数!$B$12</f>
        <v>21493.829400000002</v>
      </c>
      <c r="H547" s="45">
        <f ca="1">'模拟-全程加成'!$H$3+'模拟-全程加成'!$H$4+'模拟-全程加成'!$H$5+('模拟-全程加成'!$G$4+'模拟-全程加成'!$G$5+('模拟-全程加成'!$C$6-'模拟-全程加成'!$C$3)*系数!$B$13)/系数!$B$3+LOOKUP(D547,'模拟-单技能数据'!$A$2:$A$19,'模拟-单技能数据'!$K$2:$K$19)+BG547*10%+IF(BV547&gt;0,378,0)</f>
        <v>0.64185145527300214</v>
      </c>
      <c r="I547" s="45">
        <f ca="1">'模拟-全程加成'!$J$3+'模拟-全程加成'!$J$4+'模拟-全程加成'!$J$5+('模拟-全程加成'!$I$4+'模拟-全程加成'!$I$5)/系数!$B$4+LOOKUP(D547,'模拟-单技能数据'!$A$2:$A$19,'模拟-单技能数据'!$L$2:$L$19)+BG547*10%</f>
        <v>2.2624828854998791</v>
      </c>
      <c r="J547" s="45">
        <f ca="1">(('模拟-全程加成'!$K$3+'模拟-全程加成'!$K$4+'模拟-全程加成'!$K$5+('模拟-全程加成'!$C$6-'模拟-全程加成'!$C$3)*系数!$B$10+IF(BV547&gt;0,882,0)+IF(BY547&gt;0,1831,0))*(1+'模拟-全程加成'!$L$4+'模拟-全程加成'!$L$5+CC547*20%))/系数!$B$5</f>
        <v>0.69723220422048726</v>
      </c>
      <c r="K547" s="119">
        <f ca="1">LOOKUP(D547,'模拟-单技能数据'!$A$2:$A$19,'模拟-单技能数据'!$J$2:$J$19)+IF(CM547,60%,0)+IF(DB546-DB547&gt;0,30%,0)+IF(OR(AND(OR(C547="赤日轮1",C547="赤日轮2",C547="赤日轮3"),CR547),AND(OR(C547="幽月轮1",C547="幽月轮2",C547="幽月轮3"),CS547)),35%,0)+CJ547</f>
        <v>0.16</v>
      </c>
      <c r="L547" s="119">
        <f ca="1">IF(AND(C547="烈日斩",模拟模式!$X$11=1),10%,0)+IF(AND(C547="驱夜断愁",AB547=1),30%,0)</f>
        <v>0</v>
      </c>
      <c r="M547" s="45">
        <f t="shared" ca="1" si="465"/>
        <v>0.64185145527300214</v>
      </c>
      <c r="N547" s="45">
        <f t="shared" ca="1" si="466"/>
        <v>0.30424854472699792</v>
      </c>
      <c r="O547" s="46">
        <f t="shared" ca="1" si="490"/>
        <v>0.13560505947908785</v>
      </c>
      <c r="P547" s="46" t="str">
        <f t="shared" ca="1" si="491"/>
        <v>会</v>
      </c>
      <c r="Q547" s="45">
        <f t="shared" ca="1" si="492"/>
        <v>2.2624828854998791</v>
      </c>
      <c r="R547" s="117">
        <f ca="1">模拟模式!$E$20*(1-IF(模拟模式!$J$19="有",0.15,0))*(1-IF(模拟模式!$K$19="有",0.3,0)-IF(CQ547,0.5,0))</f>
        <v>843.02999999999975</v>
      </c>
      <c r="S547" s="45">
        <f ca="1">R547/(R547+(185*模拟模式!$E$22-16800)*4.08224)</f>
        <v>8.389626085980037E-2</v>
      </c>
      <c r="T547" s="45" t="str">
        <f ca="1">LOOKUP(D547,'模拟-单技能数据'!$A$2:$A$19,'模拟-单技能数据'!$H$2:$H$19)</f>
        <v>阴</v>
      </c>
      <c r="U547" s="119">
        <f t="shared" ca="1" si="467"/>
        <v>0.08</v>
      </c>
      <c r="V547" s="47">
        <f ca="1">(1+L547)*(LOOKUP(D547,'模拟-单技能数据'!$A$2:$A$19,'模拟-单技能数据'!$D$2:$D$19)+G547*LOOKUP(D547,'模拟-单技能数据'!$A$2:$A$19,'模拟-单技能数据'!$F$2:$F$19))*(1+J547)*(1+K547)*(1-S547)*(1+U547)*Q547*LOOKUP(D547,'模拟-单技能数据'!$A$2:$A$19,'模拟-单技能数据'!$I$2:$I$20)</f>
        <v>50289.000621124105</v>
      </c>
      <c r="W547" s="47">
        <f ca="1">LOOKUP(D547,'模拟-单技能数据'!$A$2:$A$19,'模拟-单技能数据'!$G$2:$G$19)*$I$10</f>
        <v>361.51064354704795</v>
      </c>
      <c r="X547" s="47">
        <f t="shared" ca="1" si="493"/>
        <v>25101.867467669974</v>
      </c>
      <c r="Y547" s="47">
        <f t="shared" ca="1" si="468"/>
        <v>75752.378732341123</v>
      </c>
      <c r="Z547" s="49">
        <f t="shared" ca="1" si="469"/>
        <v>54432544.721119605</v>
      </c>
      <c r="AA547" s="97">
        <f t="shared" ca="1" si="470"/>
        <v>113472.05486995836</v>
      </c>
      <c r="AB547" s="115">
        <f ca="1">IF(OR(C547="赤日轮1",C547="赤日轮2",C547="赤日轮3"),IF(RAND()&lt;模拟模式!$Y$17,1,0),IF(OR(C547="幽月轮1",C547="幽月轮2",C547="幽月轮3"),IF(RAND()&lt;模拟模式!$Y$18,1,0),IF(C547="烈日斩",IF(RAND()&lt;模拟模式!$Y$19,1,0),IF(C547="银月斩",IF(RAND()&lt;模拟模式!$Y$20,1,0),IF(C547="驱夜断愁",IF(RAND()&lt;模拟模式!$Y$21,1,0),IF(C547="净世破魔击·日",IF(RAND()&lt;模拟模式!$Y$22,1,0),IF(C547="净世破魔击·月",IF(RAND()&lt;模拟模式!$Y$23,1,0),0)))))))</f>
        <v>1</v>
      </c>
      <c r="AC547" s="115" t="b">
        <f t="shared" ca="1" si="458"/>
        <v>1</v>
      </c>
      <c r="AD547" s="115" t="b">
        <f t="shared" ca="1" si="478"/>
        <v>0</v>
      </c>
      <c r="AE547" s="115">
        <f t="shared" ca="1" si="479"/>
        <v>6</v>
      </c>
      <c r="AF547" s="47">
        <f ca="1">IF(AC547,('模拟-单技能数据'!$D$20+G547*'模拟-单技能数据'!$F$20)*(1+J547)*(1+'模拟-单技能数据'!$J$20)*(1+U547),0)</f>
        <v>4639.7456468263617</v>
      </c>
      <c r="AG547" s="61">
        <f t="shared" ca="1" si="471"/>
        <v>0.64185145527300214</v>
      </c>
      <c r="AH547" s="61">
        <f t="shared" ca="1" si="472"/>
        <v>2.2624828854998791</v>
      </c>
      <c r="AI547" s="62">
        <f t="shared" ca="1" si="494"/>
        <v>0.93731209795308235</v>
      </c>
      <c r="AJ547" s="47">
        <f ca="1">IF(AD547,IF(AI547&lt;$F$10,0,IF(AI547&lt;$F$10+$F$11,0.25,IF(AI547&lt;$F$10+$F$11+AG547,AH547,1)))*IF(AF547&gt;0,AF547,IF(AF546&gt;0,AF546,IF(AF545&gt;0,AF545,IF(AF544&gt;0,AF544,IF(AF543&gt;0,AF543,IF(AF542&gt;0,AF542,IF(AF541&gt;0,AF541,IF(AF540&gt;0,AF540,IF(AF539&gt;0,AF539,IF(AF537&gt;0,AF537,IF(AF536&gt;0,AF536,IF(AF535&gt;0,AF535,0)))))))))))),0)*(1-$S547)*'模拟-单技能数据'!$I$20</f>
        <v>0</v>
      </c>
      <c r="AK547" s="115" t="b">
        <f t="shared" ca="1" si="459"/>
        <v>0</v>
      </c>
      <c r="AL547" s="115" t="b">
        <f t="shared" ca="1" si="480"/>
        <v>1</v>
      </c>
      <c r="AM547" s="115">
        <f t="shared" ca="1" si="481"/>
        <v>4</v>
      </c>
      <c r="AN547" s="47">
        <f ca="1">IF(AK547,('模拟-单技能数据'!$D$21+G547*'模拟-单技能数据'!$F$21)*(1+J547)*(1+'模拟-单技能数据'!$J$21)*(1+U547),0)</f>
        <v>0</v>
      </c>
      <c r="AO547" s="61">
        <f ca="1">IF(AN547&gt;0,M547-'模拟-单技能数据'!$K$10,AO546)</f>
        <v>0.42185145527300216</v>
      </c>
      <c r="AP547" s="61">
        <f ca="1">IF(AN547&gt;0,I547-'模拟-单技能数据'!$L$10,AP546)</f>
        <v>2.162482885499879</v>
      </c>
      <c r="AQ547" s="63">
        <f t="shared" ca="1" si="495"/>
        <v>7.336706781987723E-2</v>
      </c>
      <c r="AR547" s="64">
        <f ca="1">IF(AL547,IF(AQ547&lt;$F$10,0,IF(AQ547&lt;$F$10+$F$11,0.25,IF(AQ547&lt;$F$10+$F$11+AO547,AP547,1)))*IF(AN547&gt;0,AN547,IF(AN546&gt;0,AN546,IF(AN545&gt;0,AN545,IF(AN544&gt;0,AN544,IF(AN543&gt;0,AN543,IF(AN542&gt;0,AN542,IF(AN541&gt;0,AN541,IF(AN540&gt;0,AN540,IF(AN539&gt;0,AN539,IF(AN537&gt;0,AN537,IF(AN536&gt;0,AN536,IF(AN535&gt;0,AN535,0)))))))))))),0)*(1-$S547)*'模拟-单技能数据'!$I$21</f>
        <v>25101.867467669974</v>
      </c>
      <c r="AS547" s="61">
        <f ca="1">IF(OR(C547="净世破魔击·日",C547="净世破魔击·月"),M547-'模拟-单技能数据'!$K$10,0)</f>
        <v>0</v>
      </c>
      <c r="AT547" s="61">
        <f ca="1">IF(OR(C547="净世破魔击·日",C547="净世破魔击·月"),I547-'模拟-单技能数据'!$L$10,0)</f>
        <v>0</v>
      </c>
      <c r="AU547" s="62">
        <f t="shared" ca="1" si="496"/>
        <v>0.92883065816078791</v>
      </c>
      <c r="AV547" s="64">
        <f ca="1">IF(AS547&gt;0,('模拟-单技能数据'!$D$22+G547*'模拟-单技能数据'!$F$22)*(1+J547)*(1-S547)*IF(AU547&lt;$F$10,0,IF(AU547&lt;$F$10+$F$11,0.25,IF(AU547&lt;$F$10+$F$11+AS547,AT547,1)))*(1+U547),0)*'模拟-单技能数据'!$I$22</f>
        <v>0</v>
      </c>
      <c r="AW547" s="108">
        <f t="shared" ca="1" si="497"/>
        <v>13.542500000000004</v>
      </c>
      <c r="AX547" s="108" t="b">
        <f ca="1">AND(模拟模式!$P$10="有",AW546=0,RAND()&lt;IF(C547="净世破魔击·月",0.1*8/3,IF(C547="净世破魔击·日",0.1*4/3,0.1*2/3)))</f>
        <v>0</v>
      </c>
      <c r="AY547" s="47">
        <f ca="1">IF(AX547,(18+G547*0.722)*(1+J547)*(1-S547)*(1+$I$4)*IF(P547="会",'模拟-全程加成'!$J$3+'模拟-全程加成'!$J$4+'模拟-全程加成'!$J$5+('模拟-全程加成'!$I$4+'模拟-全程加成'!$I$5)/系数!$B$4+BG547*10%,IF(P547="命",1,IF(P547="识",0.25,0))),0)</f>
        <v>0</v>
      </c>
      <c r="AZ547" s="108">
        <f t="shared" si="498"/>
        <v>7.0850000000000071</v>
      </c>
      <c r="BA547" s="108" t="b">
        <f>AND(模拟模式!$Q$10="有",AZ546=0)</f>
        <v>0</v>
      </c>
      <c r="BB547" s="140">
        <f>IF(BA547,(0+G547*0.287)*(1+J547)*(1-S547)*(1+$I$4)*IF(P547="会",'模拟-全程加成'!$J$3+'模拟-全程加成'!$J$4+'模拟-全程加成'!$J$5+('模拟-全程加成'!$I$4+'模拟-全程加成'!$I$5)/系数!$B$4+BG547*10%,IF(P547="命",1,IF(P547="识",0.25,0))),0)</f>
        <v>0</v>
      </c>
      <c r="BC547" s="115" t="b">
        <f ca="1">AND(模拟模式!$R$7="伏明众生",E547=60,F547=20,DA547&lt;5,CZ546&lt;$F$4)</f>
        <v>0</v>
      </c>
      <c r="BD547" s="115">
        <f t="shared" ca="1" si="460"/>
        <v>0</v>
      </c>
      <c r="BE547" s="115" t="b">
        <f t="shared" ca="1" si="461"/>
        <v>0</v>
      </c>
      <c r="BF547" s="47">
        <f ca="1">IF(BC547,4*('模拟-单技能数据'!$D$24+G547*'模拟-单技能数据'!$F$24)*(1+J547)*(1+'模拟-单技能数据'!$J$24)*(1-S547)*(1+$I$3)*(('模拟-全程加成'!$J$3+'模拟-全程加成'!$J$4+'模拟-全程加成'!$J$5+('模拟-全程加成'!$I$4+'模拟-全程加成'!$I$5)/系数!$B$4+BG547*10%)*('模拟-全程加成'!$J$3+'模拟-全程加成'!$J$4+'模拟-全程加成'!$J$5+('模拟-全程加成'!$I$4+'模拟-全程加成'!$I$5)/系数!$B$4+BG547*10%)+(1-('模拟-全程加成'!$J$3+'模拟-全程加成'!$J$4+'模拟-全程加成'!$J$5+('模拟-全程加成'!$I$4+'模拟-全程加成'!$I$5)/系数!$B$4+BG547*10%)-$F$10-$F$11)+F533*0.25),0)*'模拟-单技能数据'!$I$24</f>
        <v>0</v>
      </c>
      <c r="BG547" s="115" t="b">
        <f ca="1">OR(AND(OR(C547="烈日斩",C547="银月斩"),模拟模式!$I$7="净身明礼"),AND(C547="净世破魔击·日",模拟模式!$J$7="洞若观火"),AND(C548="净世破魔击·月",模拟模式!$J$7="洞若观火"),AB547=1)</f>
        <v>1</v>
      </c>
      <c r="BH547" s="115" t="b">
        <f t="shared" ca="1" si="499"/>
        <v>0</v>
      </c>
      <c r="BI547" s="115">
        <f t="shared" ca="1" si="462"/>
        <v>4.1549999999999994</v>
      </c>
      <c r="BJ547" s="115" t="b">
        <f t="shared" ca="1" si="473"/>
        <v>1</v>
      </c>
      <c r="BK547" s="115" t="b">
        <f ca="1">AND(C547="驱夜断愁",模拟模式!$P$7="天地诛戮")</f>
        <v>0</v>
      </c>
      <c r="BL547" s="57">
        <f t="shared" ca="1" si="463"/>
        <v>13.542500000000004</v>
      </c>
      <c r="BM547" s="115" t="b">
        <f t="shared" ca="1" si="474"/>
        <v>1</v>
      </c>
      <c r="BN547" s="115" t="b">
        <f ca="1">AND(OR(C547="赤日轮1",C547="赤日轮2",C547="赤日轮3",C547="幽月轮1",C547="幽月轮2",C547="幽月轮3"),AB547=1,模拟模式!$L$7="明光恒照")</f>
        <v>0</v>
      </c>
      <c r="BO547" s="117">
        <f t="shared" ca="1" si="464"/>
        <v>21.697500000000005</v>
      </c>
      <c r="BP547" s="115">
        <f t="shared" ca="1" si="500"/>
        <v>6</v>
      </c>
      <c r="BQ547" s="115" t="b">
        <f>模拟模式!$K$10="2600·水"</f>
        <v>0</v>
      </c>
      <c r="BR547" s="117">
        <f t="shared" si="501"/>
        <v>0</v>
      </c>
      <c r="BS547" s="115">
        <f t="shared" si="502"/>
        <v>0</v>
      </c>
      <c r="BT547" s="115">
        <f t="shared" ca="1" si="503"/>
        <v>0</v>
      </c>
      <c r="BU547" s="115" t="b">
        <f ca="1">AND(模拟模式!$K$10="2300·雷",BT546=0,RAND()&lt;IF(C547="净世破魔击·月",5*0.05*2/3,IF(C547="净世破魔击·日",3*0.05*2/3,0.05*2*2/3)))</f>
        <v>0</v>
      </c>
      <c r="BV547" s="115">
        <f t="shared" ca="1" si="504"/>
        <v>0</v>
      </c>
      <c r="BW547" s="115">
        <f t="shared" ca="1" si="505"/>
        <v>75.757499999999268</v>
      </c>
      <c r="BX547" s="164" t="b">
        <f t="shared" ca="1" si="506"/>
        <v>0</v>
      </c>
      <c r="BY547" s="115">
        <f t="shared" ca="1" si="507"/>
        <v>0</v>
      </c>
      <c r="BZ547" s="115">
        <f>IF(OR(模拟模式!$P$16="10人团",模拟模式!$P$16="25人团"),IF(B547/30&gt;CA546,1,0),0)</f>
        <v>0</v>
      </c>
      <c r="CA547" s="115">
        <f t="shared" si="483"/>
        <v>0</v>
      </c>
      <c r="CB547" s="115">
        <f ca="1">IF(BZ547=1,IF(模拟模式!$P$16="10人团",15,0)+IF(模拟模式!$P$16="25人团",IF(RAND()&lt;0.6,15,0)),MAX(0,CB546-$F$4))</f>
        <v>0</v>
      </c>
      <c r="CC547" s="115" t="b">
        <f t="shared" ca="1" si="475"/>
        <v>0</v>
      </c>
      <c r="CD547" s="115">
        <f>IF(模拟模式!$Q$16="1个",IF(B547/40&gt;CE546,1,0),0)</f>
        <v>0</v>
      </c>
      <c r="CE547" s="115">
        <f t="shared" si="476"/>
        <v>0</v>
      </c>
      <c r="CF547" s="115">
        <f>IF(OR(CD547=1,模拟模式!$Q$16="2个"),20,MAX(0,CF546-$F$4))</f>
        <v>0</v>
      </c>
      <c r="CG547" s="115" t="b">
        <f t="shared" si="477"/>
        <v>0</v>
      </c>
      <c r="CH547" s="115">
        <f t="shared" ca="1" si="508"/>
        <v>27.232500000000002</v>
      </c>
      <c r="CI547" s="115" t="b">
        <f t="shared" ca="1" si="509"/>
        <v>0</v>
      </c>
      <c r="CJ547" s="119">
        <f t="shared" ca="1" si="510"/>
        <v>0.01</v>
      </c>
      <c r="CK547" s="115">
        <f t="shared" ca="1" si="511"/>
        <v>5.232499999999999</v>
      </c>
      <c r="CL547" s="115" t="b">
        <f ca="1">AND(模拟模式!$S$7="驱夷逐法",OR(AND(C547="净世破魔击·月",E546&gt;59),AND(C547="净世破魔击·日",F546&gt;59)))</f>
        <v>0</v>
      </c>
      <c r="CM547" s="115" t="b">
        <f ca="1">OR(CL547,AND(C547="净世破魔击·日",CL546,RAND()&lt;模拟模式!$U$23))</f>
        <v>0</v>
      </c>
      <c r="CN547" s="115" t="b">
        <f ca="1">IF(模拟模式!$M$7="辉耀红尘",AND(C547="净世破魔击·月",CL547,CV547=0,E546&lt;80),AND(C547="净世破魔击·月",CL547,E546&lt;100))</f>
        <v>0</v>
      </c>
      <c r="CO547" s="115" t="b">
        <f t="shared" ca="1" si="484"/>
        <v>0</v>
      </c>
      <c r="CP547" s="115" t="b">
        <f ca="1">AND(模拟模式!$O$7="用晦而明",OR(C547="净世破魔击·日",C547="净世破魔击·月",C547="驱夜断愁"),AB547)</f>
        <v>0</v>
      </c>
      <c r="CQ547" s="115" t="b">
        <f ca="1">OR(CP547,AND(CP546,RAND()&lt;模拟模式!$U$23))</f>
        <v>1</v>
      </c>
      <c r="CR547" s="115" t="b">
        <f ca="1">AND(模拟模式!$S$7="日月齐光",OR(C547="幽月轮1",C547="幽月轮2",C547="幽月轮3",CR546),NOT(OR(C547="赤日轮1",C547="赤日轮2",C547="赤日轮3")))</f>
        <v>0</v>
      </c>
      <c r="CS547" s="115" t="b">
        <f ca="1">AND(模拟模式!$S$7="日月齐光",OR(C547="赤日轮1",C547="赤日轮2",C547="赤日轮3",CS546),NOT(OR(C547="幽月轮1",C547="幽月轮2",C547="幽月轮3")))</f>
        <v>0</v>
      </c>
      <c r="CT547" s="115">
        <f t="shared" ca="1" si="512"/>
        <v>23.542500000000004</v>
      </c>
      <c r="CU547" s="115" t="b">
        <f ca="1">AND(模拟模式!$K$10="阴阳往极",CT546=0,RAND()&lt;IF(C547="净世破魔击·月",0.0275*7/3,IF(C547="净世破魔击·日",0.0275*3/3,0.0275*2/3)))</f>
        <v>0</v>
      </c>
      <c r="CV547" s="115">
        <f t="shared" ca="1" si="513"/>
        <v>0</v>
      </c>
      <c r="CW547" s="115">
        <f t="shared" ca="1" si="485"/>
        <v>0</v>
      </c>
      <c r="CX547" s="115">
        <f t="shared" ca="1" si="486"/>
        <v>6</v>
      </c>
      <c r="CY547" s="115">
        <f ca="1">MAX(IF($C547="驱夜断愁",IF(模拟模式!$R$7="万念俱寂",6,45),CY546-$F$4),0)</f>
        <v>0</v>
      </c>
      <c r="CZ547" s="115">
        <f t="shared" ca="1" si="487"/>
        <v>0</v>
      </c>
      <c r="DA547" s="115">
        <f ca="1">IF(模拟模式!$N$7="日月同辉",IF(DB546=2,0,MIN(6,IF(AND(OR(C547="赤日轮1",C547="赤日轮2",C547="赤日轮3",C547="幽月轮1",C547="幽月轮2",C547="幽月轮3"),AB547=1),DA546+1,DA546))),0)</f>
        <v>2</v>
      </c>
      <c r="DB547" s="115">
        <f t="shared" ca="1" si="488"/>
        <v>0</v>
      </c>
      <c r="DC547" s="115"/>
      <c r="DD547" s="115"/>
      <c r="DE547" s="115"/>
      <c r="DF547" s="115"/>
      <c r="DG547" s="115"/>
      <c r="DH547" s="115"/>
      <c r="DI547" s="115"/>
      <c r="DJ547" s="115"/>
      <c r="DK547" s="115"/>
      <c r="DL547" s="115"/>
      <c r="DM547" s="115"/>
    </row>
    <row r="548" spans="2:117" x14ac:dyDescent="0.2">
      <c r="B548" s="117">
        <f t="shared" si="489"/>
        <v>480.62250000000512</v>
      </c>
      <c r="C548" s="167" t="str">
        <f t="shared" ca="1" si="482"/>
        <v>驱夜断愁</v>
      </c>
      <c r="D548" s="115">
        <f ca="1">IF(C548="赤日轮1",1,IF(C548="赤日轮2",2,IF(C548="赤日轮3",3,IF(C548="幽月轮1",4,IF(C548="幽月轮2",5,IF(C548="幽月轮3",6,IF(C548="烈日斩",7,IF(C548="银月斩",8,IF(C548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548="净世破魔击·月",17,IF(C548="驱夜断愁",18,0)))))))))))</f>
        <v>18</v>
      </c>
      <c r="E548" s="115">
        <f ca="1">IF(AND(CU548,OR(C548="幽月轮1",C548="幽月轮2",C548="幽月轮3",C548="银月斩",C548="驱夜断愁",C548="净世破魔击·月")),100,MIN(IF(OR(CN548,BE548),0,IF(OR($C548="赤日轮1",$C548="赤日轮2",$C548="赤日轮3"),E547+20+IF(模拟模式!$I$7="日月凌天",4,0)+IF(CR547,20,0),IF($C548="烈日斩",E547+40,IF($C548="驱夜断愁",IF(模拟模式!$R$7="万念俱寂",E547+20,E547+60),IF($C548="净世破魔击·月",IF(OR(DB547&gt;0,CV547&gt;0),100,IF(模拟模式!$M$7="辉耀红尘",E547+20,E547)),IF($C548="净世破魔击·日",E547-100,E547)))))),100))</f>
        <v>40</v>
      </c>
      <c r="F548" s="115">
        <f ca="1">IF(AND(CU548,OR(C548="赤日轮1",C548="赤日轮2",C548="赤日轮3",C548="烈日斩",C548="净世破魔击·日")),100,MIN(IF(CO548,0,IF(OR($C548="幽月轮1",$C548="幽月轮2",$C548="幽月轮3"),F547+20+IF(模拟模式!$I$7="日月凌天",4,0)+IF(CS547,20,0),IF($C548="银月斩",F547+40+IF(模拟模式!$X$12=1,5,0),IF($C548="驱夜断愁",IF(模拟模式!$R$7="万念俱寂",F547+20,F547+60),IF($C548="净世破魔击·月",IF(模拟模式!$M$7="辉耀红尘",F547-80,F547-100),IF(AND(C548="净世破魔击·日",OR(DB547&gt;0,CV547&gt;0)),100,F547)))))),100))</f>
        <v>85</v>
      </c>
      <c r="G548" s="117">
        <f ca="1">('模拟-全程加成'!$E$3+'模拟-全程加成'!$E$4+'模拟-全程加成'!$E$5+('模拟-全程加成'!$C$6-'模拟-全程加成'!$C$3)*系数!$B$9+BS548*23)*(1+'模拟-全程加成'!$F$4+'模拟-全程加成'!$F$5+BJ548*10%+BM548*20%+BP548*4%+CG548*30%)+$F$7*系数!$B$12</f>
        <v>21493.829400000002</v>
      </c>
      <c r="H548" s="45">
        <f ca="1">'模拟-全程加成'!$H$3+'模拟-全程加成'!$H$4+'模拟-全程加成'!$H$5+('模拟-全程加成'!$G$4+'模拟-全程加成'!$G$5+('模拟-全程加成'!$C$6-'模拟-全程加成'!$C$3)*系数!$B$13)/系数!$B$3+LOOKUP(D548,'模拟-单技能数据'!$A$2:$A$19,'模拟-单技能数据'!$K$2:$K$19)+BG548*10%+IF(BV548&gt;0,378,0)</f>
        <v>0.51185145527300213</v>
      </c>
      <c r="I548" s="45">
        <f ca="1">'模拟-全程加成'!$J$3+'模拟-全程加成'!$J$4+'模拟-全程加成'!$J$5+('模拟-全程加成'!$I$4+'模拟-全程加成'!$I$5)/系数!$B$4+LOOKUP(D548,'模拟-单技能数据'!$A$2:$A$19,'模拟-单技能数据'!$L$2:$L$19)+BG548*10%</f>
        <v>2.162482885499879</v>
      </c>
      <c r="J548" s="45">
        <f ca="1">(('模拟-全程加成'!$K$3+'模拟-全程加成'!$K$4+'模拟-全程加成'!$K$5+('模拟-全程加成'!$C$6-'模拟-全程加成'!$C$3)*系数!$B$10+IF(BV548&gt;0,882,0)+IF(BY548&gt;0,1831,0))*(1+'模拟-全程加成'!$L$4+'模拟-全程加成'!$L$5+CC548*20%))/系数!$B$5</f>
        <v>0.69723220422048726</v>
      </c>
      <c r="K548" s="119">
        <f ca="1">LOOKUP(D548,'模拟-单技能数据'!$A$2:$A$19,'模拟-单技能数据'!$J$2:$J$19)+IF(CM548,60%,0)+IF(DB547-DB548&gt;0,30%,0)+IF(OR(AND(OR(C548="赤日轮1",C548="赤日轮2",C548="赤日轮3"),CR548),AND(OR(C548="幽月轮1",C548="幽月轮2",C548="幽月轮3"),CS548)),35%,0)+CJ548</f>
        <v>0.15000000000000002</v>
      </c>
      <c r="L548" s="119">
        <f ca="1">IF(AND(C548="烈日斩",模拟模式!$X$11=1),10%,0)+IF(AND(C548="驱夜断愁",AB548=1),30%,0)</f>
        <v>0.3</v>
      </c>
      <c r="M548" s="45">
        <f t="shared" ca="1" si="465"/>
        <v>0.51185145527300213</v>
      </c>
      <c r="N548" s="45">
        <f t="shared" ca="1" si="466"/>
        <v>0.43424854472699792</v>
      </c>
      <c r="O548" s="46">
        <f t="shared" ca="1" si="490"/>
        <v>0.13786604614206266</v>
      </c>
      <c r="P548" s="46" t="str">
        <f t="shared" ca="1" si="491"/>
        <v>会</v>
      </c>
      <c r="Q548" s="45">
        <f t="shared" ca="1" si="492"/>
        <v>2.162482885499879</v>
      </c>
      <c r="R548" s="117">
        <f ca="1">模拟模式!$E$20*(1-IF(模拟模式!$J$19="有",0.15,0))*(1-IF(模拟模式!$K$19="有",0.3,0)-IF(CQ548,0.5,0))</f>
        <v>843.02999999999975</v>
      </c>
      <c r="S548" s="45">
        <f ca="1">R548/(R548+(185*模拟模式!$E$22-16800)*4.08224)</f>
        <v>8.389626085980037E-2</v>
      </c>
      <c r="T548" s="45" t="str">
        <f ca="1">LOOKUP(D548,'模拟-单技能数据'!$A$2:$A$19,'模拟-单技能数据'!$H$2:$H$19)</f>
        <v>阴</v>
      </c>
      <c r="U548" s="119">
        <f t="shared" ca="1" si="467"/>
        <v>0.08</v>
      </c>
      <c r="V548" s="47">
        <f ca="1">(1+L548)*(LOOKUP(D548,'模拟-单技能数据'!$A$2:$A$19,'模拟-单技能数据'!$D$2:$D$19)+G548*LOOKUP(D548,'模拟-单技能数据'!$A$2:$A$19,'模拟-单技能数据'!$F$2:$F$19))*(1+J548)*(1+K548)*(1-S548)*(1+U548)*Q548*LOOKUP(D548,'模拟-单技能数据'!$A$2:$A$19,'模拟-单技能数据'!$I$2:$I$20)</f>
        <v>134246.71846289007</v>
      </c>
      <c r="W548" s="47">
        <f ca="1">LOOKUP(D548,'模拟-单技能数据'!$A$2:$A$19,'模拟-单技能数据'!$G$2:$G$19)*$I$10</f>
        <v>723.0212870940959</v>
      </c>
      <c r="X548" s="47">
        <f t="shared" ca="1" si="493"/>
        <v>9616.6571145767884</v>
      </c>
      <c r="Y548" s="47">
        <f t="shared" ca="1" si="468"/>
        <v>144586.39686456096</v>
      </c>
      <c r="Z548" s="49">
        <f t="shared" ca="1" si="469"/>
        <v>54577131.117984168</v>
      </c>
      <c r="AA548" s="97">
        <f t="shared" ca="1" si="470"/>
        <v>113555.08973879414</v>
      </c>
      <c r="AB548" s="115">
        <f ca="1">IF(OR(C548="赤日轮1",C548="赤日轮2",C548="赤日轮3"),IF(RAND()&lt;模拟模式!$Y$17,1,0),IF(OR(C548="幽月轮1",C548="幽月轮2",C548="幽月轮3"),IF(RAND()&lt;模拟模式!$Y$18,1,0),IF(C548="烈日斩",IF(RAND()&lt;模拟模式!$Y$19,1,0),IF(C548="银月斩",IF(RAND()&lt;模拟模式!$Y$20,1,0),IF(C548="驱夜断愁",IF(RAND()&lt;模拟模式!$Y$21,1,0),IF(C548="净世破魔击·日",IF(RAND()&lt;模拟模式!$Y$22,1,0),IF(C548="净世破魔击·月",IF(RAND()&lt;模拟模式!$Y$23,1,0),0)))))))</f>
        <v>1</v>
      </c>
      <c r="AC548" s="115" t="b">
        <f t="shared" ca="1" si="458"/>
        <v>0</v>
      </c>
      <c r="AD548" s="115" t="b">
        <f t="shared" ca="1" si="478"/>
        <v>1</v>
      </c>
      <c r="AE548" s="115">
        <f t="shared" ca="1" si="479"/>
        <v>5</v>
      </c>
      <c r="AF548" s="47">
        <f ca="1">IF(AC548,('模拟-单技能数据'!$D$20+G548*'模拟-单技能数据'!$F$20)*(1+J548)*(1+'模拟-单技能数据'!$J$20)*(1+U548),0)</f>
        <v>0</v>
      </c>
      <c r="AG548" s="61">
        <f t="shared" ca="1" si="471"/>
        <v>0.64185145527300214</v>
      </c>
      <c r="AH548" s="61">
        <f t="shared" ca="1" si="472"/>
        <v>2.2624828854998791</v>
      </c>
      <c r="AI548" s="62">
        <f t="shared" ca="1" si="494"/>
        <v>0.58263426346745284</v>
      </c>
      <c r="AJ548" s="47">
        <f ca="1">IF(AD548,IF(AI548&lt;$F$10,0,IF(AI548&lt;$F$10+$F$11,0.25,IF(AI548&lt;$F$10+$F$11+AG548,AH548,1)))*IF(AF548&gt;0,AF548,IF(AF547&gt;0,AF547,IF(AF546&gt;0,AF546,IF(AF545&gt;0,AF545,IF(AF544&gt;0,AF544,IF(AF543&gt;0,AF543,IF(AF542&gt;0,AF542,IF(AF541&gt;0,AF541,IF(AF540&gt;0,AF540,IF(AF538&gt;0,AF538,IF(AF537&gt;0,AF537,IF(AF536&gt;0,AF536,0)))))))))))),0)*(1-$S548)*'模拟-单技能数据'!$I$20</f>
        <v>9616.6571145767884</v>
      </c>
      <c r="AK548" s="115" t="b">
        <f t="shared" ca="1" si="459"/>
        <v>0</v>
      </c>
      <c r="AL548" s="115" t="b">
        <f t="shared" ca="1" si="480"/>
        <v>0</v>
      </c>
      <c r="AM548" s="115">
        <f t="shared" ca="1" si="481"/>
        <v>4</v>
      </c>
      <c r="AN548" s="47">
        <f ca="1">IF(AK548,('模拟-单技能数据'!$D$21+G548*'模拟-单技能数据'!$F$21)*(1+J548)*(1+'模拟-单技能数据'!$J$21)*(1+U548),0)</f>
        <v>0</v>
      </c>
      <c r="AO548" s="61">
        <f ca="1">IF(AN548&gt;0,M548-'模拟-单技能数据'!$K$10,AO547)</f>
        <v>0.42185145527300216</v>
      </c>
      <c r="AP548" s="61">
        <f ca="1">IF(AN548&gt;0,I548-'模拟-单技能数据'!$L$10,AP547)</f>
        <v>2.162482885499879</v>
      </c>
      <c r="AQ548" s="63">
        <f t="shared" ca="1" si="495"/>
        <v>0.68429814012041223</v>
      </c>
      <c r="AR548" s="64">
        <f ca="1">IF(AL548,IF(AQ548&lt;$F$10,0,IF(AQ548&lt;$F$10+$F$11,0.25,IF(AQ548&lt;$F$10+$F$11+AO548,AP548,1)))*IF(AN548&gt;0,AN548,IF(AN547&gt;0,AN547,IF(AN546&gt;0,AN546,IF(AN545&gt;0,AN545,IF(AN544&gt;0,AN544,IF(AN543&gt;0,AN543,IF(AN542&gt;0,AN542,IF(AN541&gt;0,AN541,IF(AN540&gt;0,AN540,IF(AN538&gt;0,AN538,IF(AN537&gt;0,AN537,IF(AN536&gt;0,AN536,0)))))))))))),0)*(1-$S548)*'模拟-单技能数据'!$I$21</f>
        <v>0</v>
      </c>
      <c r="AS548" s="61">
        <f ca="1">IF(OR(C548="净世破魔击·日",C548="净世破魔击·月"),M548-'模拟-单技能数据'!$K$10,0)</f>
        <v>0</v>
      </c>
      <c r="AT548" s="61">
        <f ca="1">IF(OR(C548="净世破魔击·日",C548="净世破魔击·月"),I548-'模拟-单技能数据'!$L$10,0)</f>
        <v>0</v>
      </c>
      <c r="AU548" s="62">
        <f t="shared" ca="1" si="496"/>
        <v>0.63446409876671839</v>
      </c>
      <c r="AV548" s="64">
        <f ca="1">IF(AS548&gt;0,('模拟-单技能数据'!$D$22+G548*'模拟-单技能数据'!$F$22)*(1+J548)*(1-S548)*IF(AU548&lt;$F$10,0,IF(AU548&lt;$F$10+$F$11,0.25,IF(AU548&lt;$F$10+$F$11+AS548,AT548,1)))*(1+U548),0)*'模拟-单技能数据'!$I$22</f>
        <v>0</v>
      </c>
      <c r="AW548" s="108">
        <f t="shared" ca="1" si="497"/>
        <v>12.620000000000005</v>
      </c>
      <c r="AX548" s="108" t="b">
        <f ca="1">AND(模拟模式!$P$10="有",AW547=0,RAND()&lt;IF(C548="净世破魔击·月",0.1*8/3,IF(C548="净世破魔击·日",0.1*4/3,0.1*2/3)))</f>
        <v>0</v>
      </c>
      <c r="AY548" s="47">
        <f ca="1">IF(AX548,(18+G548*0.722)*(1+J548)*(1-S548)*(1+$I$4)*IF(P548="会",'模拟-全程加成'!$J$3+'模拟-全程加成'!$J$4+'模拟-全程加成'!$J$5+('模拟-全程加成'!$I$4+'模拟-全程加成'!$I$5)/系数!$B$4+BG548*10%,IF(P548="命",1,IF(P548="识",0.25,0))),0)</f>
        <v>0</v>
      </c>
      <c r="AZ548" s="108">
        <f t="shared" si="498"/>
        <v>6.1625000000000068</v>
      </c>
      <c r="BA548" s="108" t="b">
        <f>AND(模拟模式!$Q$10="有",AZ547=0)</f>
        <v>0</v>
      </c>
      <c r="BB548" s="140">
        <f>IF(BA548,(0+G548*0.287)*(1+J548)*(1-S548)*(1+$I$4)*IF(P548="会",'模拟-全程加成'!$J$3+'模拟-全程加成'!$J$4+'模拟-全程加成'!$J$5+('模拟-全程加成'!$I$4+'模拟-全程加成'!$I$5)/系数!$B$4+BG548*10%,IF(P548="命",1,IF(P548="识",0.25,0))),0)</f>
        <v>0</v>
      </c>
      <c r="BC548" s="115" t="b">
        <f ca="1">AND(模拟模式!$R$7="伏明众生",E548=60,F548=20,DA548&lt;5,CZ547&lt;$F$4)</f>
        <v>0</v>
      </c>
      <c r="BD548" s="115">
        <f t="shared" ca="1" si="460"/>
        <v>0</v>
      </c>
      <c r="BE548" s="115" t="b">
        <f t="shared" ca="1" si="461"/>
        <v>0</v>
      </c>
      <c r="BF548" s="47">
        <f ca="1">IF(BC548,4*('模拟-单技能数据'!$D$24+G548*'模拟-单技能数据'!$F$24)*(1+J548)*(1+'模拟-单技能数据'!$J$24)*(1-S548)*(1+$I$3)*(('模拟-全程加成'!$J$3+'模拟-全程加成'!$J$4+'模拟-全程加成'!$J$5+('模拟-全程加成'!$I$4+'模拟-全程加成'!$I$5)/系数!$B$4+BG548*10%)*('模拟-全程加成'!$J$3+'模拟-全程加成'!$J$4+'模拟-全程加成'!$J$5+('模拟-全程加成'!$I$4+'模拟-全程加成'!$I$5)/系数!$B$4+BG548*10%)+(1-('模拟-全程加成'!$J$3+'模拟-全程加成'!$J$4+'模拟-全程加成'!$J$5+('模拟-全程加成'!$I$4+'模拟-全程加成'!$I$5)/系数!$B$4+BG548*10%)-$F$10-$F$11)+F534*0.25),0)*'模拟-单技能数据'!$I$24</f>
        <v>0</v>
      </c>
      <c r="BG548" s="115" t="b">
        <f ca="1">OR(AND(OR(C548="烈日斩",C548="银月斩"),模拟模式!$I$7="净身明礼"),AND(C548="净世破魔击·日",模拟模式!$J$7="洞若观火"),AND(C549="净世破魔击·月",模拟模式!$J$7="洞若观火"),AB548=1)</f>
        <v>1</v>
      </c>
      <c r="BH548" s="115" t="b">
        <f t="shared" ca="1" si="499"/>
        <v>0</v>
      </c>
      <c r="BI548" s="115">
        <f t="shared" ca="1" si="462"/>
        <v>3.2324999999999995</v>
      </c>
      <c r="BJ548" s="115" t="b">
        <f t="shared" ca="1" si="473"/>
        <v>1</v>
      </c>
      <c r="BK548" s="115" t="b">
        <f ca="1">AND(C548="驱夜断愁",模拟模式!$P$7="天地诛戮")</f>
        <v>1</v>
      </c>
      <c r="BL548" s="57">
        <f t="shared" ca="1" si="463"/>
        <v>20</v>
      </c>
      <c r="BM548" s="115" t="b">
        <f t="shared" ca="1" si="474"/>
        <v>1</v>
      </c>
      <c r="BN548" s="115" t="b">
        <f ca="1">AND(OR(C548="赤日轮1",C548="赤日轮2",C548="赤日轮3",C548="幽月轮1",C548="幽月轮2",C548="幽月轮3"),AB548=1,模拟模式!$L$7="明光恒照")</f>
        <v>0</v>
      </c>
      <c r="BO548" s="117">
        <f t="shared" ca="1" si="464"/>
        <v>20.775000000000006</v>
      </c>
      <c r="BP548" s="115">
        <f t="shared" ca="1" si="500"/>
        <v>6</v>
      </c>
      <c r="BQ548" s="115" t="b">
        <f>模拟模式!$K$10="2600·水"</f>
        <v>0</v>
      </c>
      <c r="BR548" s="117">
        <f t="shared" si="501"/>
        <v>0</v>
      </c>
      <c r="BS548" s="115">
        <f t="shared" si="502"/>
        <v>0</v>
      </c>
      <c r="BT548" s="115">
        <f t="shared" ca="1" si="503"/>
        <v>0</v>
      </c>
      <c r="BU548" s="115" t="b">
        <f ca="1">AND(模拟模式!$K$10="2300·雷",BT547=0,RAND()&lt;IF(C548="净世破魔击·月",5*0.05*2/3,IF(C548="净世破魔击·日",3*0.05*2/3,0.05*2*2/3)))</f>
        <v>0</v>
      </c>
      <c r="BV548" s="115">
        <f t="shared" ca="1" si="504"/>
        <v>0</v>
      </c>
      <c r="BW548" s="115">
        <f t="shared" ca="1" si="505"/>
        <v>74.834999999999269</v>
      </c>
      <c r="BX548" s="164" t="b">
        <f t="shared" ca="1" si="506"/>
        <v>0</v>
      </c>
      <c r="BY548" s="115">
        <f t="shared" ca="1" si="507"/>
        <v>0</v>
      </c>
      <c r="BZ548" s="115">
        <f>IF(OR(模拟模式!$P$16="10人团",模拟模式!$P$16="25人团"),IF(B548/30&gt;CA547,1,0),0)</f>
        <v>0</v>
      </c>
      <c r="CA548" s="115">
        <f t="shared" si="483"/>
        <v>0</v>
      </c>
      <c r="CB548" s="115">
        <f ca="1">IF(BZ548=1,IF(模拟模式!$P$16="10人团",15,0)+IF(模拟模式!$P$16="25人团",IF(RAND()&lt;0.6,15,0)),MAX(0,CB547-$F$4))</f>
        <v>0</v>
      </c>
      <c r="CC548" s="115" t="b">
        <f t="shared" ca="1" si="475"/>
        <v>0</v>
      </c>
      <c r="CD548" s="115">
        <f>IF(模拟模式!$Q$16="1个",IF(B548/40&gt;CE547,1,0),0)</f>
        <v>0</v>
      </c>
      <c r="CE548" s="115">
        <f t="shared" si="476"/>
        <v>0</v>
      </c>
      <c r="CF548" s="115">
        <f>IF(OR(CD548=1,模拟模式!$Q$16="2个"),20,MAX(0,CF547-$F$4))</f>
        <v>0</v>
      </c>
      <c r="CG548" s="115" t="b">
        <f t="shared" si="477"/>
        <v>0</v>
      </c>
      <c r="CH548" s="115">
        <f t="shared" ca="1" si="508"/>
        <v>26.310000000000002</v>
      </c>
      <c r="CI548" s="115" t="b">
        <f t="shared" ca="1" si="509"/>
        <v>0</v>
      </c>
      <c r="CJ548" s="119">
        <f t="shared" ca="1" si="510"/>
        <v>0.01</v>
      </c>
      <c r="CK548" s="115">
        <f t="shared" ca="1" si="511"/>
        <v>4.3099999999999987</v>
      </c>
      <c r="CL548" s="115" t="b">
        <f ca="1">AND(模拟模式!$S$7="驱夷逐法",OR(AND(C548="净世破魔击·月",E547&gt;59),AND(C548="净世破魔击·日",F547&gt;59)))</f>
        <v>0</v>
      </c>
      <c r="CM548" s="115" t="b">
        <f ca="1">OR(CL548,AND(C548="净世破魔击·日",CL547,RAND()&lt;模拟模式!$U$23))</f>
        <v>0</v>
      </c>
      <c r="CN548" s="115" t="b">
        <f ca="1">IF(模拟模式!$M$7="辉耀红尘",AND(C548="净世破魔击·月",CL548,CV548=0,E547&lt;80),AND(C548="净世破魔击·月",CL548,E547&lt;100))</f>
        <v>0</v>
      </c>
      <c r="CO548" s="115" t="b">
        <f t="shared" ca="1" si="484"/>
        <v>0</v>
      </c>
      <c r="CP548" s="115" t="b">
        <f ca="1">AND(模拟模式!$O$7="用晦而明",OR(C548="净世破魔击·日",C548="净世破魔击·月",C548="驱夜断愁"),AB548)</f>
        <v>1</v>
      </c>
      <c r="CQ548" s="115" t="b">
        <f ca="1">OR(CP548,AND(CP547,RAND()&lt;模拟模式!$U$23))</f>
        <v>1</v>
      </c>
      <c r="CR548" s="115" t="b">
        <f ca="1">AND(模拟模式!$S$7="日月齐光",OR(C548="幽月轮1",C548="幽月轮2",C548="幽月轮3",CR547),NOT(OR(C548="赤日轮1",C548="赤日轮2",C548="赤日轮3")))</f>
        <v>0</v>
      </c>
      <c r="CS548" s="115" t="b">
        <f ca="1">AND(模拟模式!$S$7="日月齐光",OR(C548="赤日轮1",C548="赤日轮2",C548="赤日轮3",CS547),NOT(OR(C548="幽月轮1",C548="幽月轮2",C548="幽月轮3")))</f>
        <v>0</v>
      </c>
      <c r="CT548" s="115">
        <f t="shared" ca="1" si="512"/>
        <v>22.620000000000005</v>
      </c>
      <c r="CU548" s="115" t="b">
        <f ca="1">AND(模拟模式!$K$10="阴阳往极",CT547=0,RAND()&lt;IF(C548="净世破魔击·月",0.0275*7/3,IF(C548="净世破魔击·日",0.0275*3/3,0.0275*2/3)))</f>
        <v>0</v>
      </c>
      <c r="CV548" s="115">
        <f t="shared" ca="1" si="513"/>
        <v>0</v>
      </c>
      <c r="CW548" s="115">
        <f t="shared" ca="1" si="485"/>
        <v>0</v>
      </c>
      <c r="CX548" s="115">
        <f t="shared" ca="1" si="486"/>
        <v>5.0774999999999997</v>
      </c>
      <c r="CY548" s="115">
        <f ca="1">MAX(IF($C548="驱夜断愁",IF(模拟模式!$R$7="万念俱寂",6,45),CY547-$F$4),0)</f>
        <v>6</v>
      </c>
      <c r="CZ548" s="115">
        <f t="shared" ca="1" si="487"/>
        <v>0</v>
      </c>
      <c r="DA548" s="115">
        <f ca="1">IF(模拟模式!$N$7="日月同辉",IF(DB547=2,0,MIN(6,IF(AND(OR(C548="赤日轮1",C548="赤日轮2",C548="赤日轮3",C548="幽月轮1",C548="幽月轮2",C548="幽月轮3"),AB548=1),DA547+1,DA547))),0)</f>
        <v>2</v>
      </c>
      <c r="DB548" s="115">
        <f t="shared" ca="1" si="488"/>
        <v>0</v>
      </c>
      <c r="DC548" s="115"/>
      <c r="DD548" s="115"/>
      <c r="DE548" s="115"/>
      <c r="DF548" s="115"/>
      <c r="DG548" s="115"/>
      <c r="DH548" s="115"/>
      <c r="DI548" s="115"/>
      <c r="DJ548" s="115"/>
      <c r="DK548" s="115"/>
      <c r="DL548" s="115"/>
      <c r="DM548" s="115"/>
    </row>
    <row r="549" spans="2:117" x14ac:dyDescent="0.2">
      <c r="B549" s="117">
        <f t="shared" si="489"/>
        <v>481.54500000000513</v>
      </c>
      <c r="C549" s="167" t="str">
        <f t="shared" ca="1" si="482"/>
        <v>烈日斩</v>
      </c>
      <c r="D549" s="115">
        <f ca="1">IF(C549="赤日轮1",1,IF(C549="赤日轮2",2,IF(C549="赤日轮3",3,IF(C549="幽月轮1",4,IF(C549="幽月轮2",5,IF(C549="幽月轮3",6,IF(C549="烈日斩",7,IF(C549="银月斩",8,IF(C549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549="净世破魔击·月",17,IF(C549="驱夜断愁",18,0)))))))))))</f>
        <v>7</v>
      </c>
      <c r="E549" s="115">
        <f ca="1">IF(AND(CU549,OR(C549="幽月轮1",C549="幽月轮2",C549="幽月轮3",C549="银月斩",C549="驱夜断愁",C549="净世破魔击·月")),100,MIN(IF(OR(CN549,BE549),0,IF(OR($C549="赤日轮1",$C549="赤日轮2",$C549="赤日轮3"),E548+20+IF(模拟模式!$I$7="日月凌天",4,0)+IF(CR548,20,0),IF($C549="烈日斩",E548+40,IF($C549="驱夜断愁",IF(模拟模式!$R$7="万念俱寂",E548+20,E548+60),IF($C549="净世破魔击·月",IF(OR(DB548&gt;0,CV548&gt;0),100,IF(模拟模式!$M$7="辉耀红尘",E548+20,E548)),IF($C549="净世破魔击·日",E548-100,E548)))))),100))</f>
        <v>80</v>
      </c>
      <c r="F549" s="115">
        <f ca="1">IF(AND(CU549,OR(C549="赤日轮1",C549="赤日轮2",C549="赤日轮3",C549="烈日斩",C549="净世破魔击·日")),100,MIN(IF(CO549,0,IF(OR($C549="幽月轮1",$C549="幽月轮2",$C549="幽月轮3"),F548+20+IF(模拟模式!$I$7="日月凌天",4,0)+IF(CS548,20,0),IF($C549="银月斩",F548+40+IF(模拟模式!$X$12=1,5,0),IF($C549="驱夜断愁",IF(模拟模式!$R$7="万念俱寂",F548+20,F548+60),IF($C549="净世破魔击·月",IF(模拟模式!$M$7="辉耀红尘",F548-80,F548-100),IF(AND(C549="净世破魔击·日",OR(DB548&gt;0,CV548&gt;0)),100,F548)))))),100))</f>
        <v>85</v>
      </c>
      <c r="G549" s="117">
        <f ca="1">('模拟-全程加成'!$E$3+'模拟-全程加成'!$E$4+'模拟-全程加成'!$E$5+('模拟-全程加成'!$C$6-'模拟-全程加成'!$C$3)*系数!$B$9+BS549*23)*(1+'模拟-全程加成'!$F$4+'模拟-全程加成'!$F$5+BJ549*10%+BM549*20%+BP549*4%+CG549*30%)+$F$7*系数!$B$12</f>
        <v>21493.829400000002</v>
      </c>
      <c r="H549" s="45">
        <f ca="1">'模拟-全程加成'!$H$3+'模拟-全程加成'!$H$4+'模拟-全程加成'!$H$5+('模拟-全程加成'!$G$4+'模拟-全程加成'!$G$5+('模拟-全程加成'!$C$6-'模拟-全程加成'!$C$3)*系数!$B$13)/系数!$B$3+LOOKUP(D549,'模拟-单技能数据'!$A$2:$A$19,'模拟-单技能数据'!$K$2:$K$19)+BG549*10%+IF(BV549&gt;0,378,0)</f>
        <v>0.56185145527300218</v>
      </c>
      <c r="I549" s="45">
        <f ca="1">'模拟-全程加成'!$J$3+'模拟-全程加成'!$J$4+'模拟-全程加成'!$J$5+('模拟-全程加成'!$I$4+'模拟-全程加成'!$I$5)/系数!$B$4+LOOKUP(D549,'模拟-单技能数据'!$A$2:$A$19,'模拟-单技能数据'!$L$2:$L$19)+BG549*10%</f>
        <v>2.2624828854998791</v>
      </c>
      <c r="J549" s="45">
        <f ca="1">(('模拟-全程加成'!$K$3+'模拟-全程加成'!$K$4+'模拟-全程加成'!$K$5+('模拟-全程加成'!$C$6-'模拟-全程加成'!$C$3)*系数!$B$10+IF(BV549&gt;0,882,0)+IF(BY549&gt;0,1831,0))*(1+'模拟-全程加成'!$L$4+'模拟-全程加成'!$L$5+CC549*20%))/系数!$B$5</f>
        <v>0.69723220422048726</v>
      </c>
      <c r="K549" s="119">
        <f ca="1">LOOKUP(D549,'模拟-单技能数据'!$A$2:$A$19,'模拟-单技能数据'!$J$2:$J$19)+IF(CM549,60%,0)+IF(DB548-DB549&gt;0,30%,0)+IF(OR(AND(OR(C549="赤日轮1",C549="赤日轮2",C549="赤日轮3"),CR549),AND(OR(C549="幽月轮1",C549="幽月轮2",C549="幽月轮3"),CS549)),35%,0)+CJ549</f>
        <v>0.25</v>
      </c>
      <c r="L549" s="119">
        <f ca="1">IF(AND(C549="烈日斩",模拟模式!$X$11=1),10%,0)+IF(AND(C549="驱夜断愁",AB549=1),30%,0)</f>
        <v>0.1</v>
      </c>
      <c r="M549" s="45">
        <f t="shared" ca="1" si="465"/>
        <v>0.56185145527300218</v>
      </c>
      <c r="N549" s="45">
        <f t="shared" ca="1" si="466"/>
        <v>0.38424854472699788</v>
      </c>
      <c r="O549" s="46">
        <f t="shared" ca="1" si="490"/>
        <v>0.16730012765472446</v>
      </c>
      <c r="P549" s="46" t="str">
        <f t="shared" ca="1" si="491"/>
        <v>会</v>
      </c>
      <c r="Q549" s="45">
        <f t="shared" ca="1" si="492"/>
        <v>2.2624828854998791</v>
      </c>
      <c r="R549" s="117">
        <f ca="1">模拟模式!$E$20*(1-IF(模拟模式!$J$19="有",0.15,0))*(1-IF(模拟模式!$K$19="有",0.3,0)-IF(CQ549,0.5,0))</f>
        <v>843.02999999999975</v>
      </c>
      <c r="S549" s="45">
        <f ca="1">R549/(R549+(185*模拟模式!$E$22-16800)*4.08224)</f>
        <v>8.389626085980037E-2</v>
      </c>
      <c r="T549" s="45" t="str">
        <f ca="1">LOOKUP(D549,'模拟-单技能数据'!$A$2:$A$19,'模拟-单技能数据'!$H$2:$H$19)</f>
        <v>阳</v>
      </c>
      <c r="U549" s="119">
        <f t="shared" ca="1" si="467"/>
        <v>0.2</v>
      </c>
      <c r="V549" s="47">
        <f ca="1">(1+L549)*(LOOKUP(D549,'模拟-单技能数据'!$A$2:$A$19,'模拟-单技能数据'!$D$2:$D$19)+G549*LOOKUP(D549,'模拟-单技能数据'!$A$2:$A$19,'模拟-单技能数据'!$F$2:$F$19))*(1+J549)*(1+K549)*(1-S549)*(1+U549)*Q549*LOOKUP(D549,'模拟-单技能数据'!$A$2:$A$19,'模拟-单技能数据'!$I$2:$I$20)</f>
        <v>111394.5122696896</v>
      </c>
      <c r="W549" s="47">
        <f ca="1">LOOKUP(D549,'模拟-单技能数据'!$A$2:$A$19,'模拟-单技能数据'!$G$2:$G$19)*$I$10</f>
        <v>361.51064354704795</v>
      </c>
      <c r="X549" s="47">
        <f t="shared" ca="1" si="493"/>
        <v>25101.867467669974</v>
      </c>
      <c r="Y549" s="47">
        <f t="shared" ca="1" si="468"/>
        <v>136857.89038090664</v>
      </c>
      <c r="Z549" s="49">
        <f t="shared" ca="1" si="469"/>
        <v>54713989.008365072</v>
      </c>
      <c r="AA549" s="97">
        <f t="shared" ca="1" si="470"/>
        <v>113621.75707018968</v>
      </c>
      <c r="AB549" s="115">
        <f ca="1">IF(OR(C549="赤日轮1",C549="赤日轮2",C549="赤日轮3"),IF(RAND()&lt;模拟模式!$Y$17,1,0),IF(OR(C549="幽月轮1",C549="幽月轮2",C549="幽月轮3"),IF(RAND()&lt;模拟模式!$Y$18,1,0),IF(C549="烈日斩",IF(RAND()&lt;模拟模式!$Y$19,1,0),IF(C549="银月斩",IF(RAND()&lt;模拟模式!$Y$20,1,0),IF(C549="驱夜断愁",IF(RAND()&lt;模拟模式!$Y$21,1,0),IF(C549="净世破魔击·日",IF(RAND()&lt;模拟模式!$Y$22,1,0),IF(C549="净世破魔击·月",IF(RAND()&lt;模拟模式!$Y$23,1,0),0)))))))</f>
        <v>1</v>
      </c>
      <c r="AC549" s="115" t="b">
        <f t="shared" ca="1" si="458"/>
        <v>0</v>
      </c>
      <c r="AD549" s="115" t="b">
        <f t="shared" ca="1" si="478"/>
        <v>0</v>
      </c>
      <c r="AE549" s="115">
        <f t="shared" ca="1" si="479"/>
        <v>5</v>
      </c>
      <c r="AF549" s="47">
        <f ca="1">IF(AC549,('模拟-单技能数据'!$D$20+G549*'模拟-单技能数据'!$F$20)*(1+J549)*(1+'模拟-单技能数据'!$J$20)*(1+U549),0)</f>
        <v>0</v>
      </c>
      <c r="AG549" s="61">
        <f t="shared" ca="1" si="471"/>
        <v>0.64185145527300214</v>
      </c>
      <c r="AH549" s="61">
        <f t="shared" ca="1" si="472"/>
        <v>2.2624828854998791</v>
      </c>
      <c r="AI549" s="62">
        <f t="shared" ca="1" si="494"/>
        <v>0.56241788901042178</v>
      </c>
      <c r="AJ549" s="47">
        <f ca="1">IF(AD549,IF(AI549&lt;$F$10,0,IF(AI549&lt;$F$10+$F$11,0.25,IF(AI549&lt;$F$10+$F$11+AG549,AH549,1)))*IF(AF549&gt;0,AF549,IF(AF548&gt;0,AF548,IF(AF547&gt;0,AF547,IF(AF546&gt;0,AF546,IF(AF545&gt;0,AF545,IF(AF544&gt;0,AF544,IF(AF543&gt;0,AF543,IF(AF542&gt;0,AF542,IF(AF541&gt;0,AF541,IF(AF539&gt;0,AF539,IF(AF538&gt;0,AF538,IF(AF537&gt;0,AF537,0)))))))))))),0)*(1-$S549)*'模拟-单技能数据'!$I$20</f>
        <v>0</v>
      </c>
      <c r="AK549" s="115" t="b">
        <f t="shared" ca="1" si="459"/>
        <v>0</v>
      </c>
      <c r="AL549" s="115" t="b">
        <f t="shared" ca="1" si="480"/>
        <v>1</v>
      </c>
      <c r="AM549" s="115">
        <f t="shared" ca="1" si="481"/>
        <v>3</v>
      </c>
      <c r="AN549" s="47">
        <f ca="1">IF(AK549,('模拟-单技能数据'!$D$21+G549*'模拟-单技能数据'!$F$21)*(1+J549)*(1+'模拟-单技能数据'!$J$21)*(1+U549),0)</f>
        <v>0</v>
      </c>
      <c r="AO549" s="61">
        <f ca="1">IF(AN549&gt;0,M549-'模拟-单技能数据'!$K$10,AO548)</f>
        <v>0.42185145527300216</v>
      </c>
      <c r="AP549" s="61">
        <f ca="1">IF(AN549&gt;0,I549-'模拟-单技能数据'!$L$10,AP548)</f>
        <v>2.162482885499879</v>
      </c>
      <c r="AQ549" s="63">
        <f t="shared" ca="1" si="495"/>
        <v>0.15422500119584326</v>
      </c>
      <c r="AR549" s="64">
        <f ca="1">IF(AL549,IF(AQ549&lt;$F$10,0,IF(AQ549&lt;$F$10+$F$11,0.25,IF(AQ549&lt;$F$10+$F$11+AO549,AP549,1)))*IF(AN549&gt;0,AN549,IF(AN548&gt;0,AN548,IF(AN547&gt;0,AN547,IF(AN546&gt;0,AN546,IF(AN545&gt;0,AN545,IF(AN544&gt;0,AN544,IF(AN543&gt;0,AN543,IF(AN542&gt;0,AN542,IF(AN541&gt;0,AN541,IF(AN539&gt;0,AN539,IF(AN538&gt;0,AN538,IF(AN537&gt;0,AN537,0)))))))))))),0)*(1-$S549)*'模拟-单技能数据'!$I$21</f>
        <v>25101.867467669974</v>
      </c>
      <c r="AS549" s="61">
        <f ca="1">IF(OR(C549="净世破魔击·日",C549="净世破魔击·月"),M549-'模拟-单技能数据'!$K$10,0)</f>
        <v>0</v>
      </c>
      <c r="AT549" s="61">
        <f ca="1">IF(OR(C549="净世破魔击·日",C549="净世破魔击·月"),I549-'模拟-单技能数据'!$L$10,0)</f>
        <v>0</v>
      </c>
      <c r="AU549" s="62">
        <f t="shared" ca="1" si="496"/>
        <v>0.23893694581171876</v>
      </c>
      <c r="AV549" s="64">
        <f ca="1">IF(AS549&gt;0,('模拟-单技能数据'!$D$22+G549*'模拟-单技能数据'!$F$22)*(1+J549)*(1-S549)*IF(AU549&lt;$F$10,0,IF(AU549&lt;$F$10+$F$11,0.25,IF(AU549&lt;$F$10+$F$11+AS549,AT549,1)))*(1+U549),0)*'模拟-单技能数据'!$I$22</f>
        <v>0</v>
      </c>
      <c r="AW549" s="108">
        <f t="shared" ca="1" si="497"/>
        <v>11.697500000000005</v>
      </c>
      <c r="AX549" s="108" t="b">
        <f ca="1">AND(模拟模式!$P$10="有",AW548=0,RAND()&lt;IF(C549="净世破魔击·月",0.1*8/3,IF(C549="净世破魔击·日",0.1*4/3,0.1*2/3)))</f>
        <v>0</v>
      </c>
      <c r="AY549" s="47">
        <f ca="1">IF(AX549,(18+G549*0.722)*(1+J549)*(1-S549)*(1+$I$4)*IF(P549="会",'模拟-全程加成'!$J$3+'模拟-全程加成'!$J$4+'模拟-全程加成'!$J$5+('模拟-全程加成'!$I$4+'模拟-全程加成'!$I$5)/系数!$B$4+BG549*10%,IF(P549="命",1,IF(P549="识",0.25,0))),0)</f>
        <v>0</v>
      </c>
      <c r="AZ549" s="108">
        <f t="shared" si="498"/>
        <v>5.2400000000000064</v>
      </c>
      <c r="BA549" s="108" t="b">
        <f>AND(模拟模式!$Q$10="有",AZ548=0)</f>
        <v>0</v>
      </c>
      <c r="BB549" s="140">
        <f>IF(BA549,(0+G549*0.287)*(1+J549)*(1-S549)*(1+$I$4)*IF(P549="会",'模拟-全程加成'!$J$3+'模拟-全程加成'!$J$4+'模拟-全程加成'!$J$5+('模拟-全程加成'!$I$4+'模拟-全程加成'!$I$5)/系数!$B$4+BG549*10%,IF(P549="命",1,IF(P549="识",0.25,0))),0)</f>
        <v>0</v>
      </c>
      <c r="BC549" s="115" t="b">
        <f ca="1">AND(模拟模式!$R$7="伏明众生",E549=60,F549=20,DA549&lt;5,CZ548&lt;$F$4)</f>
        <v>0</v>
      </c>
      <c r="BD549" s="115">
        <f t="shared" ca="1" si="460"/>
        <v>0</v>
      </c>
      <c r="BE549" s="115" t="b">
        <f t="shared" ca="1" si="461"/>
        <v>0</v>
      </c>
      <c r="BF549" s="47">
        <f ca="1">IF(BC549,4*('模拟-单技能数据'!$D$24+G549*'模拟-单技能数据'!$F$24)*(1+J549)*(1+'模拟-单技能数据'!$J$24)*(1-S549)*(1+$I$3)*(('模拟-全程加成'!$J$3+'模拟-全程加成'!$J$4+'模拟-全程加成'!$J$5+('模拟-全程加成'!$I$4+'模拟-全程加成'!$I$5)/系数!$B$4+BG549*10%)*('模拟-全程加成'!$J$3+'模拟-全程加成'!$J$4+'模拟-全程加成'!$J$5+('模拟-全程加成'!$I$4+'模拟-全程加成'!$I$5)/系数!$B$4+BG549*10%)+(1-('模拟-全程加成'!$J$3+'模拟-全程加成'!$J$4+'模拟-全程加成'!$J$5+('模拟-全程加成'!$I$4+'模拟-全程加成'!$I$5)/系数!$B$4+BG549*10%)-$F$10-$F$11)+F535*0.25),0)*'模拟-单技能数据'!$I$24</f>
        <v>0</v>
      </c>
      <c r="BG549" s="115" t="b">
        <f ca="1">OR(AND(OR(C549="烈日斩",C549="银月斩"),模拟模式!$I$7="净身明礼"),AND(C549="净世破魔击·日",模拟模式!$J$7="洞若观火"),AND(C550="净世破魔击·月",模拟模式!$J$7="洞若观火"),AB549=1)</f>
        <v>1</v>
      </c>
      <c r="BH549" s="115" t="b">
        <f t="shared" ca="1" si="499"/>
        <v>0</v>
      </c>
      <c r="BI549" s="115">
        <f t="shared" ca="1" si="462"/>
        <v>2.3099999999999996</v>
      </c>
      <c r="BJ549" s="115" t="b">
        <f t="shared" ca="1" si="473"/>
        <v>1</v>
      </c>
      <c r="BK549" s="115" t="b">
        <f ca="1">AND(C549="驱夜断愁",模拟模式!$P$7="天地诛戮")</f>
        <v>0</v>
      </c>
      <c r="BL549" s="57">
        <f t="shared" ca="1" si="463"/>
        <v>19.077500000000001</v>
      </c>
      <c r="BM549" s="115" t="b">
        <f t="shared" ca="1" si="474"/>
        <v>1</v>
      </c>
      <c r="BN549" s="115" t="b">
        <f ca="1">AND(OR(C549="赤日轮1",C549="赤日轮2",C549="赤日轮3",C549="幽月轮1",C549="幽月轮2",C549="幽月轮3"),AB549=1,模拟模式!$L$7="明光恒照")</f>
        <v>0</v>
      </c>
      <c r="BO549" s="117">
        <f t="shared" ca="1" si="464"/>
        <v>19.852500000000006</v>
      </c>
      <c r="BP549" s="115">
        <f t="shared" ca="1" si="500"/>
        <v>6</v>
      </c>
      <c r="BQ549" s="115" t="b">
        <f>模拟模式!$K$10="2600·水"</f>
        <v>0</v>
      </c>
      <c r="BR549" s="117">
        <f t="shared" si="501"/>
        <v>0</v>
      </c>
      <c r="BS549" s="115">
        <f t="shared" si="502"/>
        <v>0</v>
      </c>
      <c r="BT549" s="115">
        <f t="shared" ca="1" si="503"/>
        <v>0</v>
      </c>
      <c r="BU549" s="115" t="b">
        <f ca="1">AND(模拟模式!$K$10="2300·雷",BT548=0,RAND()&lt;IF(C549="净世破魔击·月",5*0.05*2/3,IF(C549="净世破魔击·日",3*0.05*2/3,0.05*2*2/3)))</f>
        <v>0</v>
      </c>
      <c r="BV549" s="115">
        <f t="shared" ca="1" si="504"/>
        <v>0</v>
      </c>
      <c r="BW549" s="115">
        <f t="shared" ca="1" si="505"/>
        <v>73.91249999999927</v>
      </c>
      <c r="BX549" s="164" t="b">
        <f t="shared" ca="1" si="506"/>
        <v>0</v>
      </c>
      <c r="BY549" s="115">
        <f t="shared" ca="1" si="507"/>
        <v>0</v>
      </c>
      <c r="BZ549" s="115">
        <f>IF(OR(模拟模式!$P$16="10人团",模拟模式!$P$16="25人团"),IF(B549/30&gt;CA548,1,0),0)</f>
        <v>0</v>
      </c>
      <c r="CA549" s="115">
        <f t="shared" si="483"/>
        <v>0</v>
      </c>
      <c r="CB549" s="115">
        <f ca="1">IF(BZ549=1,IF(模拟模式!$P$16="10人团",15,0)+IF(模拟模式!$P$16="25人团",IF(RAND()&lt;0.6,15,0)),MAX(0,CB548-$F$4))</f>
        <v>0</v>
      </c>
      <c r="CC549" s="115" t="b">
        <f t="shared" ca="1" si="475"/>
        <v>0</v>
      </c>
      <c r="CD549" s="115">
        <f>IF(模拟模式!$Q$16="1个",IF(B549/40&gt;CE548,1,0),0)</f>
        <v>0</v>
      </c>
      <c r="CE549" s="115">
        <f t="shared" si="476"/>
        <v>0</v>
      </c>
      <c r="CF549" s="115">
        <f>IF(OR(CD549=1,模拟模式!$Q$16="2个"),20,MAX(0,CF548-$F$4))</f>
        <v>0</v>
      </c>
      <c r="CG549" s="115" t="b">
        <f t="shared" si="477"/>
        <v>0</v>
      </c>
      <c r="CH549" s="115">
        <f t="shared" ca="1" si="508"/>
        <v>25.387500000000003</v>
      </c>
      <c r="CI549" s="115" t="b">
        <f t="shared" ca="1" si="509"/>
        <v>0</v>
      </c>
      <c r="CJ549" s="119">
        <f t="shared" ca="1" si="510"/>
        <v>0.01</v>
      </c>
      <c r="CK549" s="115">
        <f t="shared" ca="1" si="511"/>
        <v>3.3874999999999988</v>
      </c>
      <c r="CL549" s="115" t="b">
        <f ca="1">AND(模拟模式!$S$7="驱夷逐法",OR(AND(C549="净世破魔击·月",E548&gt;59),AND(C549="净世破魔击·日",F548&gt;59)))</f>
        <v>0</v>
      </c>
      <c r="CM549" s="115" t="b">
        <f ca="1">OR(CL549,AND(C549="净世破魔击·日",CL548,RAND()&lt;模拟模式!$U$23))</f>
        <v>0</v>
      </c>
      <c r="CN549" s="115" t="b">
        <f ca="1">IF(模拟模式!$M$7="辉耀红尘",AND(C549="净世破魔击·月",CL549,CV549=0,E548&lt;80),AND(C549="净世破魔击·月",CL549,E548&lt;100))</f>
        <v>0</v>
      </c>
      <c r="CO549" s="115" t="b">
        <f t="shared" ca="1" si="484"/>
        <v>0</v>
      </c>
      <c r="CP549" s="115" t="b">
        <f ca="1">AND(模拟模式!$O$7="用晦而明",OR(C549="净世破魔击·日",C549="净世破魔击·月",C549="驱夜断愁"),AB549)</f>
        <v>0</v>
      </c>
      <c r="CQ549" s="115" t="b">
        <f ca="1">OR(CP549,AND(CP548,RAND()&lt;模拟模式!$U$23))</f>
        <v>1</v>
      </c>
      <c r="CR549" s="115" t="b">
        <f ca="1">AND(模拟模式!$S$7="日月齐光",OR(C549="幽月轮1",C549="幽月轮2",C549="幽月轮3",CR548),NOT(OR(C549="赤日轮1",C549="赤日轮2",C549="赤日轮3")))</f>
        <v>0</v>
      </c>
      <c r="CS549" s="115" t="b">
        <f ca="1">AND(模拟模式!$S$7="日月齐光",OR(C549="赤日轮1",C549="赤日轮2",C549="赤日轮3",CS548),NOT(OR(C549="幽月轮1",C549="幽月轮2",C549="幽月轮3")))</f>
        <v>0</v>
      </c>
      <c r="CT549" s="115">
        <f t="shared" ca="1" si="512"/>
        <v>21.697500000000005</v>
      </c>
      <c r="CU549" s="115" t="b">
        <f ca="1">AND(模拟模式!$K$10="阴阳往极",CT548=0,RAND()&lt;IF(C549="净世破魔击·月",0.0275*7/3,IF(C549="净世破魔击·日",0.0275*3/3,0.0275*2/3)))</f>
        <v>0</v>
      </c>
      <c r="CV549" s="115">
        <f t="shared" ca="1" si="513"/>
        <v>0</v>
      </c>
      <c r="CW549" s="115">
        <f t="shared" ca="1" si="485"/>
        <v>6</v>
      </c>
      <c r="CX549" s="115">
        <f t="shared" ca="1" si="486"/>
        <v>4.1549999999999994</v>
      </c>
      <c r="CY549" s="115">
        <f ca="1">MAX(IF($C549="驱夜断愁",IF(模拟模式!$R$7="万念俱寂",6,45),CY548-$F$4),0)</f>
        <v>5.0774999999999997</v>
      </c>
      <c r="CZ549" s="115">
        <f t="shared" ca="1" si="487"/>
        <v>0</v>
      </c>
      <c r="DA549" s="115">
        <f ca="1">IF(模拟模式!$N$7="日月同辉",IF(DB548=2,0,MIN(6,IF(AND(OR(C549="赤日轮1",C549="赤日轮2",C549="赤日轮3",C549="幽月轮1",C549="幽月轮2",C549="幽月轮3"),AB549=1),DA548+1,DA548))),0)</f>
        <v>2</v>
      </c>
      <c r="DB549" s="115">
        <f t="shared" ca="1" si="488"/>
        <v>0</v>
      </c>
      <c r="DC549" s="115"/>
      <c r="DD549" s="115"/>
      <c r="DE549" s="115"/>
      <c r="DF549" s="115"/>
      <c r="DG549" s="115"/>
      <c r="DH549" s="115"/>
      <c r="DI549" s="115"/>
      <c r="DJ549" s="115"/>
      <c r="DK549" s="115"/>
      <c r="DL549" s="115"/>
      <c r="DM549" s="115"/>
    </row>
    <row r="550" spans="2:117" x14ac:dyDescent="0.2">
      <c r="B550" s="117">
        <f t="shared" si="489"/>
        <v>482.46750000000515</v>
      </c>
      <c r="C550" s="167" t="str">
        <f t="shared" ca="1" si="482"/>
        <v>幽月轮1</v>
      </c>
      <c r="D550" s="115">
        <f ca="1">IF(C550="赤日轮1",1,IF(C550="赤日轮2",2,IF(C550="赤日轮3",3,IF(C550="幽月轮1",4,IF(C550="幽月轮2",5,IF(C550="幽月轮3",6,IF(C550="烈日斩",7,IF(C550="银月斩",8,IF(C550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550="净世破魔击·月",17,IF(C550="驱夜断愁",18,0)))))))))))</f>
        <v>4</v>
      </c>
      <c r="E550" s="115">
        <f ca="1">IF(AND(CU550,OR(C550="幽月轮1",C550="幽月轮2",C550="幽月轮3",C550="银月斩",C550="驱夜断愁",C550="净世破魔击·月")),100,MIN(IF(OR(CN550,BE550),0,IF(OR($C550="赤日轮1",$C550="赤日轮2",$C550="赤日轮3"),E549+20+IF(模拟模式!$I$7="日月凌天",4,0)+IF(CR549,20,0),IF($C550="烈日斩",E549+40,IF($C550="驱夜断愁",IF(模拟模式!$R$7="万念俱寂",E549+20,E549+60),IF($C550="净世破魔击·月",IF(OR(DB549&gt;0,CV549&gt;0),100,IF(模拟模式!$M$7="辉耀红尘",E549+20,E549)),IF($C550="净世破魔击·日",E549-100,E549)))))),100))</f>
        <v>80</v>
      </c>
      <c r="F550" s="115">
        <f ca="1">IF(AND(CU550,OR(C550="赤日轮1",C550="赤日轮2",C550="赤日轮3",C550="烈日斩",C550="净世破魔击·日")),100,MIN(IF(CO550,0,IF(OR($C550="幽月轮1",$C550="幽月轮2",$C550="幽月轮3"),F549+20+IF(模拟模式!$I$7="日月凌天",4,0)+IF(CS549,20,0),IF($C550="银月斩",F549+40+IF(模拟模式!$X$12=1,5,0),IF($C550="驱夜断愁",IF(模拟模式!$R$7="万念俱寂",F549+20,F549+60),IF($C550="净世破魔击·月",IF(模拟模式!$M$7="辉耀红尘",F549-80,F549-100),IF(AND(C550="净世破魔击·日",OR(DB549&gt;0,CV549&gt;0)),100,F549)))))),100))</f>
        <v>100</v>
      </c>
      <c r="G550" s="117">
        <f ca="1">('模拟-全程加成'!$E$3+'模拟-全程加成'!$E$4+'模拟-全程加成'!$E$5+('模拟-全程加成'!$C$6-'模拟-全程加成'!$C$3)*系数!$B$9+BS550*23)*(1+'模拟-全程加成'!$F$4+'模拟-全程加成'!$F$5+BJ550*10%+BM550*20%+BP550*4%+CG550*30%)+$F$7*系数!$B$12</f>
        <v>21493.829400000002</v>
      </c>
      <c r="H550" s="45">
        <f ca="1">'模拟-全程加成'!$H$3+'模拟-全程加成'!$H$4+'模拟-全程加成'!$H$5+('模拟-全程加成'!$G$4+'模拟-全程加成'!$G$5+('模拟-全程加成'!$C$6-'模拟-全程加成'!$C$3)*系数!$B$13)/系数!$B$3+LOOKUP(D550,'模拟-单技能数据'!$A$2:$A$19,'模拟-单技能数据'!$K$2:$K$19)+BG550*10%+IF(BV550&gt;0,378,0)</f>
        <v>0.51185145527300213</v>
      </c>
      <c r="I550" s="45">
        <f ca="1">'模拟-全程加成'!$J$3+'模拟-全程加成'!$J$4+'模拟-全程加成'!$J$5+('模拟-全程加成'!$I$4+'模拟-全程加成'!$I$5)/系数!$B$4+LOOKUP(D550,'模拟-单技能数据'!$A$2:$A$19,'模拟-单技能数据'!$L$2:$L$19)+BG550*10%</f>
        <v>2.162482885499879</v>
      </c>
      <c r="J550" s="45">
        <f ca="1">(('模拟-全程加成'!$K$3+'模拟-全程加成'!$K$4+'模拟-全程加成'!$K$5+('模拟-全程加成'!$C$6-'模拟-全程加成'!$C$3)*系数!$B$10+IF(BV550&gt;0,882,0)+IF(BY550&gt;0,1831,0))*(1+'模拟-全程加成'!$L$4+'模拟-全程加成'!$L$5+CC550*20%))/系数!$B$5</f>
        <v>0.69723220422048726</v>
      </c>
      <c r="K550" s="119">
        <f ca="1">LOOKUP(D550,'模拟-单技能数据'!$A$2:$A$19,'模拟-单技能数据'!$J$2:$J$19)+IF(CM550,60%,0)+IF(DB549-DB550&gt;0,30%,0)+IF(OR(AND(OR(C550="赤日轮1",C550="赤日轮2",C550="赤日轮3"),CR550),AND(OR(C550="幽月轮1",C550="幽月轮2",C550="幽月轮3"),CS550)),35%,0)+CJ550</f>
        <v>0.08</v>
      </c>
      <c r="L550" s="119">
        <f ca="1">IF(AND(C550="烈日斩",模拟模式!$X$11=1),10%,0)+IF(AND(C550="驱夜断愁",AB550=1),30%,0)</f>
        <v>0</v>
      </c>
      <c r="M550" s="45">
        <f t="shared" ca="1" si="465"/>
        <v>0.51185145527300213</v>
      </c>
      <c r="N550" s="45">
        <f t="shared" ca="1" si="466"/>
        <v>0.43424854472699792</v>
      </c>
      <c r="O550" s="46">
        <f t="shared" ca="1" si="490"/>
        <v>0.50220566916070108</v>
      </c>
      <c r="P550" s="46" t="str">
        <f t="shared" ca="1" si="491"/>
        <v>会</v>
      </c>
      <c r="Q550" s="45">
        <f t="shared" ca="1" si="492"/>
        <v>2.162482885499879</v>
      </c>
      <c r="R550" s="117">
        <f ca="1">模拟模式!$E$20*(1-IF(模拟模式!$J$19="有",0.15,0))*(1-IF(模拟模式!$K$19="有",0.3,0)-IF(CQ550,0.5,0))</f>
        <v>2950.6049999999996</v>
      </c>
      <c r="S550" s="45">
        <f ca="1">R550/(R550+(185*模拟模式!$E$22-16800)*4.08224)</f>
        <v>0.24272716014590323</v>
      </c>
      <c r="T550" s="45" t="str">
        <f ca="1">LOOKUP(D550,'模拟-单技能数据'!$A$2:$A$19,'模拟-单技能数据'!$H$2:$H$19)</f>
        <v>阴</v>
      </c>
      <c r="U550" s="119">
        <f t="shared" ca="1" si="467"/>
        <v>0.08</v>
      </c>
      <c r="V550" s="47">
        <f ca="1">(1+L550)*(LOOKUP(D550,'模拟-单技能数据'!$A$2:$A$19,'模拟-单技能数据'!$D$2:$D$19)+G550*LOOKUP(D550,'模拟-单技能数据'!$A$2:$A$19,'模拟-单技能数据'!$F$2:$F$19))*(1+J550)*(1+K550)*(1-S550)*(1+U550)*Q550*LOOKUP(D550,'模拟-单技能数据'!$A$2:$A$19,'模拟-单技能数据'!$I$2:$I$20)</f>
        <v>36973.045063028439</v>
      </c>
      <c r="W550" s="47">
        <f ca="1">LOOKUP(D550,'模拟-单技能数据'!$A$2:$A$19,'模拟-单技能数据'!$G$2:$G$19)*$I$10</f>
        <v>361.51064354704795</v>
      </c>
      <c r="X550" s="47">
        <f t="shared" ca="1" si="493"/>
        <v>7949.3543492067038</v>
      </c>
      <c r="Y550" s="47">
        <f t="shared" ca="1" si="468"/>
        <v>45283.910055782188</v>
      </c>
      <c r="Z550" s="49">
        <f t="shared" ca="1" si="469"/>
        <v>54759272.918420851</v>
      </c>
      <c r="AA550" s="97">
        <f t="shared" ca="1" si="470"/>
        <v>113498.36604210702</v>
      </c>
      <c r="AB550" s="115">
        <f ca="1">IF(OR(C550="赤日轮1",C550="赤日轮2",C550="赤日轮3"),IF(RAND()&lt;模拟模式!$Y$17,1,0),IF(OR(C550="幽月轮1",C550="幽月轮2",C550="幽月轮3"),IF(RAND()&lt;模拟模式!$Y$18,1,0),IF(C550="烈日斩",IF(RAND()&lt;模拟模式!$Y$19,1,0),IF(C550="银月斩",IF(RAND()&lt;模拟模式!$Y$20,1,0),IF(C550="驱夜断愁",IF(RAND()&lt;模拟模式!$Y$21,1,0),IF(C550="净世破魔击·日",IF(RAND()&lt;模拟模式!$Y$22,1,0),IF(C550="净世破魔击·月",IF(RAND()&lt;模拟模式!$Y$23,1,0),0)))))))</f>
        <v>1</v>
      </c>
      <c r="AC550" s="115" t="b">
        <f t="shared" ca="1" si="458"/>
        <v>0</v>
      </c>
      <c r="AD550" s="115" t="b">
        <f t="shared" ca="1" si="478"/>
        <v>1</v>
      </c>
      <c r="AE550" s="115">
        <f t="shared" ca="1" si="479"/>
        <v>4</v>
      </c>
      <c r="AF550" s="47">
        <f ca="1">IF(AC550,('模拟-单技能数据'!$D$20+G550*'模拟-单技能数据'!$F$20)*(1+J550)*(1+'模拟-单技能数据'!$J$20)*(1+U550),0)</f>
        <v>0</v>
      </c>
      <c r="AG550" s="61">
        <f t="shared" ca="1" si="471"/>
        <v>0.64185145527300214</v>
      </c>
      <c r="AH550" s="61">
        <f t="shared" ca="1" si="472"/>
        <v>2.2624828854998791</v>
      </c>
      <c r="AI550" s="62">
        <f t="shared" ca="1" si="494"/>
        <v>0.2681553267468566</v>
      </c>
      <c r="AJ550" s="47">
        <f ca="1">IF(AD550,IF(AI550&lt;$F$10,0,IF(AI550&lt;$F$10+$F$11,0.25,IF(AI550&lt;$F$10+$F$11+AG550,AH550,1)))*IF(AF550&gt;0,AF550,IF(AF549&gt;0,AF549,IF(AF548&gt;0,AF548,IF(AF547&gt;0,AF547,IF(AF546&gt;0,AF546,IF(AF545&gt;0,AF545,IF(AF544&gt;0,AF544,IF(AF543&gt;0,AF543,IF(AF542&gt;0,AF542,IF(AF540&gt;0,AF540,IF(AF539&gt;0,AF539,IF(AF538&gt;0,AF538,0)))))))))))),0)*(1-$S550)*'模拟-单技能数据'!$I$20</f>
        <v>7949.3543492067038</v>
      </c>
      <c r="AK550" s="115" t="b">
        <f t="shared" ca="1" si="459"/>
        <v>0</v>
      </c>
      <c r="AL550" s="115" t="b">
        <f t="shared" ca="1" si="480"/>
        <v>0</v>
      </c>
      <c r="AM550" s="115">
        <f t="shared" ca="1" si="481"/>
        <v>3</v>
      </c>
      <c r="AN550" s="47">
        <f ca="1">IF(AK550,('模拟-单技能数据'!$D$21+G550*'模拟-单技能数据'!$F$21)*(1+J550)*(1+'模拟-单技能数据'!$J$21)*(1+U550),0)</f>
        <v>0</v>
      </c>
      <c r="AO550" s="61">
        <f ca="1">IF(AN550&gt;0,M550-'模拟-单技能数据'!$K$10,AO549)</f>
        <v>0.42185145527300216</v>
      </c>
      <c r="AP550" s="61">
        <f ca="1">IF(AN550&gt;0,I550-'模拟-单技能数据'!$L$10,AP549)</f>
        <v>2.162482885499879</v>
      </c>
      <c r="AQ550" s="63">
        <f t="shared" ca="1" si="495"/>
        <v>0.67093302192362658</v>
      </c>
      <c r="AR550" s="64">
        <f ca="1">IF(AL550,IF(AQ550&lt;$F$10,0,IF(AQ550&lt;$F$10+$F$11,0.25,IF(AQ550&lt;$F$10+$F$11+AO550,AP550,1)))*IF(AN550&gt;0,AN550,IF(AN549&gt;0,AN549,IF(AN548&gt;0,AN548,IF(AN547&gt;0,AN547,IF(AN546&gt;0,AN546,IF(AN545&gt;0,AN545,IF(AN544&gt;0,AN544,IF(AN543&gt;0,AN543,IF(AN542&gt;0,AN542,IF(AN540&gt;0,AN540,IF(AN539&gt;0,AN539,IF(AN538&gt;0,AN538,0)))))))))))),0)*(1-$S550)*'模拟-单技能数据'!$I$21</f>
        <v>0</v>
      </c>
      <c r="AS550" s="61">
        <f ca="1">IF(OR(C550="净世破魔击·日",C550="净世破魔击·月"),M550-'模拟-单技能数据'!$K$10,0)</f>
        <v>0</v>
      </c>
      <c r="AT550" s="61">
        <f ca="1">IF(OR(C550="净世破魔击·日",C550="净世破魔击·月"),I550-'模拟-单技能数据'!$L$10,0)</f>
        <v>0</v>
      </c>
      <c r="AU550" s="62">
        <f t="shared" ca="1" si="496"/>
        <v>0.62305585187051715</v>
      </c>
      <c r="AV550" s="64">
        <f ca="1">IF(AS550&gt;0,('模拟-单技能数据'!$D$22+G550*'模拟-单技能数据'!$F$22)*(1+J550)*(1-S550)*IF(AU550&lt;$F$10,0,IF(AU550&lt;$F$10+$F$11,0.25,IF(AU550&lt;$F$10+$F$11+AS550,AT550,1)))*(1+U550),0)*'模拟-单技能数据'!$I$22</f>
        <v>0</v>
      </c>
      <c r="AW550" s="108">
        <f t="shared" ca="1" si="497"/>
        <v>10.775000000000006</v>
      </c>
      <c r="AX550" s="108" t="b">
        <f ca="1">AND(模拟模式!$P$10="有",AW549=0,RAND()&lt;IF(C550="净世破魔击·月",0.1*8/3,IF(C550="净世破魔击·日",0.1*4/3,0.1*2/3)))</f>
        <v>0</v>
      </c>
      <c r="AY550" s="47">
        <f ca="1">IF(AX550,(18+G550*0.722)*(1+J550)*(1-S550)*(1+$I$4)*IF(P550="会",'模拟-全程加成'!$J$3+'模拟-全程加成'!$J$4+'模拟-全程加成'!$J$5+('模拟-全程加成'!$I$4+'模拟-全程加成'!$I$5)/系数!$B$4+BG550*10%,IF(P550="命",1,IF(P550="识",0.25,0))),0)</f>
        <v>0</v>
      </c>
      <c r="AZ550" s="108">
        <f t="shared" si="498"/>
        <v>4.3175000000000061</v>
      </c>
      <c r="BA550" s="108" t="b">
        <f>AND(模拟模式!$Q$10="有",AZ549=0)</f>
        <v>0</v>
      </c>
      <c r="BB550" s="140">
        <f>IF(BA550,(0+G550*0.287)*(1+J550)*(1-S550)*(1+$I$4)*IF(P550="会",'模拟-全程加成'!$J$3+'模拟-全程加成'!$J$4+'模拟-全程加成'!$J$5+('模拟-全程加成'!$I$4+'模拟-全程加成'!$I$5)/系数!$B$4+BG550*10%,IF(P550="命",1,IF(P550="识",0.25,0))),0)</f>
        <v>0</v>
      </c>
      <c r="BC550" s="115" t="b">
        <f ca="1">AND(模拟模式!$R$7="伏明众生",E550=60,F550=20,DA550&lt;5,CZ549&lt;$F$4)</f>
        <v>0</v>
      </c>
      <c r="BD550" s="115">
        <f t="shared" ca="1" si="460"/>
        <v>0</v>
      </c>
      <c r="BE550" s="115" t="b">
        <f t="shared" ca="1" si="461"/>
        <v>0</v>
      </c>
      <c r="BF550" s="47">
        <f ca="1">IF(BC550,4*('模拟-单技能数据'!$D$24+G550*'模拟-单技能数据'!$F$24)*(1+J550)*(1+'模拟-单技能数据'!$J$24)*(1-S550)*(1+$I$3)*(('模拟-全程加成'!$J$3+'模拟-全程加成'!$J$4+'模拟-全程加成'!$J$5+('模拟-全程加成'!$I$4+'模拟-全程加成'!$I$5)/系数!$B$4+BG550*10%)*('模拟-全程加成'!$J$3+'模拟-全程加成'!$J$4+'模拟-全程加成'!$J$5+('模拟-全程加成'!$I$4+'模拟-全程加成'!$I$5)/系数!$B$4+BG550*10%)+(1-('模拟-全程加成'!$J$3+'模拟-全程加成'!$J$4+'模拟-全程加成'!$J$5+('模拟-全程加成'!$I$4+'模拟-全程加成'!$I$5)/系数!$B$4+BG550*10%)-$F$10-$F$11)+F536*0.25),0)*'模拟-单技能数据'!$I$24</f>
        <v>0</v>
      </c>
      <c r="BG550" s="115" t="b">
        <f ca="1">OR(AND(OR(C550="烈日斩",C550="银月斩"),模拟模式!$I$7="净身明礼"),AND(C550="净世破魔击·日",模拟模式!$J$7="洞若观火"),AND(C551="净世破魔击·月",模拟模式!$J$7="洞若观火"),AB550=1)</f>
        <v>1</v>
      </c>
      <c r="BH550" s="115" t="b">
        <f t="shared" ca="1" si="499"/>
        <v>0</v>
      </c>
      <c r="BI550" s="115">
        <f t="shared" ca="1" si="462"/>
        <v>1.3874999999999997</v>
      </c>
      <c r="BJ550" s="115" t="b">
        <f t="shared" ca="1" si="473"/>
        <v>1</v>
      </c>
      <c r="BK550" s="115" t="b">
        <f ca="1">AND(C550="驱夜断愁",模拟模式!$P$7="天地诛戮")</f>
        <v>0</v>
      </c>
      <c r="BL550" s="57">
        <f t="shared" ca="1" si="463"/>
        <v>18.155000000000001</v>
      </c>
      <c r="BM550" s="115" t="b">
        <f t="shared" ca="1" si="474"/>
        <v>1</v>
      </c>
      <c r="BN550" s="115" t="b">
        <f ca="1">AND(OR(C550="赤日轮1",C550="赤日轮2",C550="赤日轮3",C550="幽月轮1",C550="幽月轮2",C550="幽月轮3"),AB550=1,模拟模式!$L$7="明光恒照")</f>
        <v>1</v>
      </c>
      <c r="BO550" s="117">
        <f t="shared" ca="1" si="464"/>
        <v>30</v>
      </c>
      <c r="BP550" s="115">
        <f t="shared" ca="1" si="500"/>
        <v>6</v>
      </c>
      <c r="BQ550" s="115" t="b">
        <f>模拟模式!$K$10="2600·水"</f>
        <v>0</v>
      </c>
      <c r="BR550" s="117">
        <f t="shared" si="501"/>
        <v>0</v>
      </c>
      <c r="BS550" s="115">
        <f t="shared" si="502"/>
        <v>0</v>
      </c>
      <c r="BT550" s="115">
        <f t="shared" ca="1" si="503"/>
        <v>0</v>
      </c>
      <c r="BU550" s="115" t="b">
        <f ca="1">AND(模拟模式!$K$10="2300·雷",BT549=0,RAND()&lt;IF(C550="净世破魔击·月",5*0.05*2/3,IF(C550="净世破魔击·日",3*0.05*2/3,0.05*2*2/3)))</f>
        <v>0</v>
      </c>
      <c r="BV550" s="115">
        <f t="shared" ca="1" si="504"/>
        <v>0</v>
      </c>
      <c r="BW550" s="115">
        <f t="shared" ca="1" si="505"/>
        <v>72.98999999999927</v>
      </c>
      <c r="BX550" s="164" t="b">
        <f t="shared" ca="1" si="506"/>
        <v>0</v>
      </c>
      <c r="BY550" s="115">
        <f t="shared" ca="1" si="507"/>
        <v>0</v>
      </c>
      <c r="BZ550" s="115">
        <f>IF(OR(模拟模式!$P$16="10人团",模拟模式!$P$16="25人团"),IF(B550/30&gt;CA549,1,0),0)</f>
        <v>0</v>
      </c>
      <c r="CA550" s="115">
        <f t="shared" si="483"/>
        <v>0</v>
      </c>
      <c r="CB550" s="115">
        <f ca="1">IF(BZ550=1,IF(模拟模式!$P$16="10人团",15,0)+IF(模拟模式!$P$16="25人团",IF(RAND()&lt;0.6,15,0)),MAX(0,CB549-$F$4))</f>
        <v>0</v>
      </c>
      <c r="CC550" s="115" t="b">
        <f t="shared" ca="1" si="475"/>
        <v>0</v>
      </c>
      <c r="CD550" s="115">
        <f>IF(模拟模式!$Q$16="1个",IF(B550/40&gt;CE549,1,0),0)</f>
        <v>0</v>
      </c>
      <c r="CE550" s="115">
        <f t="shared" si="476"/>
        <v>0</v>
      </c>
      <c r="CF550" s="115">
        <f>IF(OR(CD550=1,模拟模式!$Q$16="2个"),20,MAX(0,CF549-$F$4))</f>
        <v>0</v>
      </c>
      <c r="CG550" s="115" t="b">
        <f t="shared" si="477"/>
        <v>0</v>
      </c>
      <c r="CH550" s="115">
        <f t="shared" ca="1" si="508"/>
        <v>24.465000000000003</v>
      </c>
      <c r="CI550" s="115" t="b">
        <f t="shared" ca="1" si="509"/>
        <v>0</v>
      </c>
      <c r="CJ550" s="119">
        <f t="shared" ca="1" si="510"/>
        <v>0.01</v>
      </c>
      <c r="CK550" s="115">
        <f t="shared" ca="1" si="511"/>
        <v>2.464999999999999</v>
      </c>
      <c r="CL550" s="115" t="b">
        <f ca="1">AND(模拟模式!$S$7="驱夷逐法",OR(AND(C550="净世破魔击·月",E549&gt;59),AND(C550="净世破魔击·日",F549&gt;59)))</f>
        <v>0</v>
      </c>
      <c r="CM550" s="115" t="b">
        <f ca="1">OR(CL550,AND(C550="净世破魔击·日",CL549,RAND()&lt;模拟模式!$U$23))</f>
        <v>0</v>
      </c>
      <c r="CN550" s="115" t="b">
        <f ca="1">IF(模拟模式!$M$7="辉耀红尘",AND(C550="净世破魔击·月",CL550,CV550=0,E549&lt;80),AND(C550="净世破魔击·月",CL550,E549&lt;100))</f>
        <v>0</v>
      </c>
      <c r="CO550" s="115" t="b">
        <f t="shared" ca="1" si="484"/>
        <v>0</v>
      </c>
      <c r="CP550" s="115" t="b">
        <f ca="1">AND(模拟模式!$O$7="用晦而明",OR(C550="净世破魔击·日",C550="净世破魔击·月",C550="驱夜断愁"),AB550)</f>
        <v>0</v>
      </c>
      <c r="CQ550" s="115" t="b">
        <f ca="1">OR(CP550,AND(CP549,RAND()&lt;模拟模式!$U$23))</f>
        <v>0</v>
      </c>
      <c r="CR550" s="115" t="b">
        <f ca="1">AND(模拟模式!$S$7="日月齐光",OR(C550="幽月轮1",C550="幽月轮2",C550="幽月轮3",CR549),NOT(OR(C550="赤日轮1",C550="赤日轮2",C550="赤日轮3")))</f>
        <v>0</v>
      </c>
      <c r="CS550" s="115" t="b">
        <f ca="1">AND(模拟模式!$S$7="日月齐光",OR(C550="赤日轮1",C550="赤日轮2",C550="赤日轮3",CS549),NOT(OR(C550="幽月轮1",C550="幽月轮2",C550="幽月轮3")))</f>
        <v>0</v>
      </c>
      <c r="CT550" s="115">
        <f t="shared" ca="1" si="512"/>
        <v>20.775000000000006</v>
      </c>
      <c r="CU550" s="115" t="b">
        <f ca="1">AND(模拟模式!$K$10="阴阳往极",CT549=0,RAND()&lt;IF(C550="净世破魔击·月",0.0275*7/3,IF(C550="净世破魔击·日",0.0275*3/3,0.0275*2/3)))</f>
        <v>0</v>
      </c>
      <c r="CV550" s="115">
        <f t="shared" ca="1" si="513"/>
        <v>0</v>
      </c>
      <c r="CW550" s="115">
        <f t="shared" ca="1" si="485"/>
        <v>5.0774999999999997</v>
      </c>
      <c r="CX550" s="115">
        <f t="shared" ca="1" si="486"/>
        <v>3.2324999999999995</v>
      </c>
      <c r="CY550" s="115">
        <f ca="1">MAX(IF($C550="驱夜断愁",IF(模拟模式!$R$7="万念俱寂",6,45),CY549-$F$4),0)</f>
        <v>4.1549999999999994</v>
      </c>
      <c r="CZ550" s="115">
        <f t="shared" ca="1" si="487"/>
        <v>0</v>
      </c>
      <c r="DA550" s="115">
        <f ca="1">IF(模拟模式!$N$7="日月同辉",IF(DB549=2,0,MIN(6,IF(AND(OR(C550="赤日轮1",C550="赤日轮2",C550="赤日轮3",C550="幽月轮1",C550="幽月轮2",C550="幽月轮3"),AB550=1),DA549+1,DA549))),0)</f>
        <v>3</v>
      </c>
      <c r="DB550" s="115">
        <f t="shared" ca="1" si="488"/>
        <v>0</v>
      </c>
      <c r="DC550" s="115"/>
      <c r="DD550" s="115"/>
      <c r="DE550" s="115"/>
      <c r="DF550" s="115"/>
      <c r="DG550" s="115"/>
      <c r="DH550" s="115"/>
      <c r="DI550" s="115"/>
      <c r="DJ550" s="115"/>
      <c r="DK550" s="115"/>
      <c r="DL550" s="115"/>
      <c r="DM550" s="115"/>
    </row>
    <row r="551" spans="2:117" x14ac:dyDescent="0.2">
      <c r="B551" s="117">
        <f t="shared" si="489"/>
        <v>483.39000000000516</v>
      </c>
      <c r="C551" s="167" t="str">
        <f t="shared" ca="1" si="482"/>
        <v>净世破魔击·月</v>
      </c>
      <c r="D551" s="115">
        <f ca="1">IF(C551="赤日轮1",1,IF(C551="赤日轮2",2,IF(C551="赤日轮3",3,IF(C551="幽月轮1",4,IF(C551="幽月轮2",5,IF(C551="幽月轮3",6,IF(C551="烈日斩",7,IF(C551="银月斩",8,IF(C551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551="净世破魔击·月",17,IF(C551="驱夜断愁",18,0)))))))))))</f>
        <v>17</v>
      </c>
      <c r="E551" s="115">
        <f ca="1">IF(AND(CU551,OR(C551="幽月轮1",C551="幽月轮2",C551="幽月轮3",C551="银月斩",C551="驱夜断愁",C551="净世破魔击·月")),100,MIN(IF(OR(CN551,BE551),0,IF(OR($C551="赤日轮1",$C551="赤日轮2",$C551="赤日轮3"),E550+20+IF(模拟模式!$I$7="日月凌天",4,0)+IF(CR550,20,0),IF($C551="烈日斩",E550+40,IF($C551="驱夜断愁",IF(模拟模式!$R$7="万念俱寂",E550+20,E550+60),IF($C551="净世破魔击·月",IF(OR(DB550&gt;0,CV550&gt;0),100,IF(模拟模式!$M$7="辉耀红尘",E550+20,E550)),IF($C551="净世破魔击·日",E550-100,E550)))))),100))</f>
        <v>100</v>
      </c>
      <c r="F551" s="115">
        <f ca="1">IF(AND(CU551,OR(C551="赤日轮1",C551="赤日轮2",C551="赤日轮3",C551="烈日斩",C551="净世破魔击·日")),100,MIN(IF(CO551,0,IF(OR($C551="幽月轮1",$C551="幽月轮2",$C551="幽月轮3"),F550+20+IF(模拟模式!$I$7="日月凌天",4,0)+IF(CS550,20,0),IF($C551="银月斩",F550+40+IF(模拟模式!$X$12=1,5,0),IF($C551="驱夜断愁",IF(模拟模式!$R$7="万念俱寂",F550+20,F550+60),IF($C551="净世破魔击·月",IF(模拟模式!$M$7="辉耀红尘",F550-80,F550-100),IF(AND(C551="净世破魔击·日",OR(DB550&gt;0,CV550&gt;0)),100,F550)))))),100))</f>
        <v>20</v>
      </c>
      <c r="G551" s="117">
        <f ca="1">('模拟-全程加成'!$E$3+'模拟-全程加成'!$E$4+'模拟-全程加成'!$E$5+('模拟-全程加成'!$C$6-'模拟-全程加成'!$C$3)*系数!$B$9+BS551*23)*(1+'模拟-全程加成'!$F$4+'模拟-全程加成'!$F$5+BJ551*10%+BM551*20%+BP551*4%+CG551*30%)+$F$7*系数!$B$12</f>
        <v>21493.829400000002</v>
      </c>
      <c r="H551" s="45">
        <f ca="1">'模拟-全程加成'!$H$3+'模拟-全程加成'!$H$4+'模拟-全程加成'!$H$5+('模拟-全程加成'!$G$4+'模拟-全程加成'!$G$5+('模拟-全程加成'!$C$6-'模拟-全程加成'!$C$3)*系数!$B$13)/系数!$B$3+LOOKUP(D551,'模拟-单技能数据'!$A$2:$A$19,'模拟-单技能数据'!$K$2:$K$19)+BG551*10%+IF(BV551&gt;0,378,0)</f>
        <v>0.54185145527300216</v>
      </c>
      <c r="I551" s="45">
        <f ca="1">'模拟-全程加成'!$J$3+'模拟-全程加成'!$J$4+'模拟-全程加成'!$J$5+('模拟-全程加成'!$I$4+'模拟-全程加成'!$I$5)/系数!$B$4+LOOKUP(D551,'模拟-单技能数据'!$A$2:$A$19,'模拟-单技能数据'!$L$2:$L$19)+BG551*10%</f>
        <v>2.162482885499879</v>
      </c>
      <c r="J551" s="45">
        <f ca="1">(('模拟-全程加成'!$K$3+'模拟-全程加成'!$K$4+'模拟-全程加成'!$K$5+('模拟-全程加成'!$C$6-'模拟-全程加成'!$C$3)*系数!$B$10+IF(BV551&gt;0,882,0)+IF(BY551&gt;0,1831,0))*(1+'模拟-全程加成'!$L$4+'模拟-全程加成'!$L$5+CC551*20%))/系数!$B$5</f>
        <v>0.69723220422048726</v>
      </c>
      <c r="K551" s="119">
        <f ca="1">LOOKUP(D551,'模拟-单技能数据'!$A$2:$A$19,'模拟-单技能数据'!$J$2:$J$19)+IF(CM551,60%,0)+IF(DB550-DB551&gt;0,30%,0)+IF(OR(AND(OR(C551="赤日轮1",C551="赤日轮2",C551="赤日轮3"),CR551),AND(OR(C551="幽月轮1",C551="幽月轮2",C551="幽月轮3"),CS551)),35%,0)+CJ551</f>
        <v>0.81</v>
      </c>
      <c r="L551" s="119">
        <f ca="1">IF(AND(C551="烈日斩",模拟模式!$X$11=1),10%,0)+IF(AND(C551="驱夜断愁",AB551=1),30%,0)</f>
        <v>0</v>
      </c>
      <c r="M551" s="45">
        <f t="shared" ca="1" si="465"/>
        <v>0.54185145527300216</v>
      </c>
      <c r="N551" s="45">
        <f t="shared" ca="1" si="466"/>
        <v>0.40424854472699789</v>
      </c>
      <c r="O551" s="46">
        <f t="shared" ca="1" si="490"/>
        <v>0.21142225406451332</v>
      </c>
      <c r="P551" s="46" t="str">
        <f t="shared" ca="1" si="491"/>
        <v>会</v>
      </c>
      <c r="Q551" s="45">
        <f t="shared" ca="1" si="492"/>
        <v>2.162482885499879</v>
      </c>
      <c r="R551" s="117">
        <f ca="1">模拟模式!$E$20*(1-IF(模拟模式!$J$19="有",0.15,0))*(1-IF(模拟模式!$K$19="有",0.3,0)-IF(CQ551,0.5,0))</f>
        <v>843.02999999999975</v>
      </c>
      <c r="S551" s="45">
        <f ca="1">R551/(R551+(185*模拟模式!$E$22-16800)*4.08224)</f>
        <v>8.389626085980037E-2</v>
      </c>
      <c r="T551" s="45" t="str">
        <f ca="1">LOOKUP(D551,'模拟-单技能数据'!$A$2:$A$19,'模拟-单技能数据'!$H$2:$H$19)</f>
        <v>阴</v>
      </c>
      <c r="U551" s="119">
        <f t="shared" ca="1" si="467"/>
        <v>0.08</v>
      </c>
      <c r="V551" s="47">
        <f ca="1">(1+L551)*(LOOKUP(D551,'模拟-单技能数据'!$A$2:$A$19,'模拟-单技能数据'!$D$2:$D$19)+G551*LOOKUP(D551,'模拟-单技能数据'!$A$2:$A$19,'模拟-单技能数据'!$F$2:$F$19))*(1+J551)*(1+K551)*(1-S551)*(1+U551)*Q551*LOOKUP(D551,'模拟-单技能数据'!$A$2:$A$19,'模拟-单技能数据'!$I$2:$I$20)</f>
        <v>183555.33901412092</v>
      </c>
      <c r="W551" s="47">
        <f ca="1">LOOKUP(D551,'模拟-单技能数据'!$A$2:$A$19,'模拟-单技能数据'!$G$2:$G$19)*$I$10</f>
        <v>361.51064354704795</v>
      </c>
      <c r="X551" s="47">
        <f t="shared" ca="1" si="493"/>
        <v>19564.102609827627</v>
      </c>
      <c r="Y551" s="47">
        <f t="shared" ca="1" si="468"/>
        <v>203480.9522674956</v>
      </c>
      <c r="Z551" s="49">
        <f t="shared" ca="1" si="469"/>
        <v>54962753.870688349</v>
      </c>
      <c r="AA551" s="97">
        <f t="shared" ca="1" si="470"/>
        <v>113702.71182831205</v>
      </c>
      <c r="AB551" s="115">
        <f ca="1">IF(OR(C551="赤日轮1",C551="赤日轮2",C551="赤日轮3"),IF(RAND()&lt;模拟模式!$Y$17,1,0),IF(OR(C551="幽月轮1",C551="幽月轮2",C551="幽月轮3"),IF(RAND()&lt;模拟模式!$Y$18,1,0),IF(C551="烈日斩",IF(RAND()&lt;模拟模式!$Y$19,1,0),IF(C551="银月斩",IF(RAND()&lt;模拟模式!$Y$20,1,0),IF(C551="驱夜断愁",IF(RAND()&lt;模拟模式!$Y$21,1,0),IF(C551="净世破魔击·日",IF(RAND()&lt;模拟模式!$Y$22,1,0),IF(C551="净世破魔击·月",IF(RAND()&lt;模拟模式!$Y$23,1,0),0)))))))</f>
        <v>1</v>
      </c>
      <c r="AC551" s="115" t="b">
        <f t="shared" ca="1" si="458"/>
        <v>0</v>
      </c>
      <c r="AD551" s="115" t="b">
        <f t="shared" ca="1" si="478"/>
        <v>0</v>
      </c>
      <c r="AE551" s="115">
        <f t="shared" ca="1" si="479"/>
        <v>4</v>
      </c>
      <c r="AF551" s="47">
        <f ca="1">IF(AC551,('模拟-单技能数据'!$D$20+G551*'模拟-单技能数据'!$F$20)*(1+J551)*(1+'模拟-单技能数据'!$J$20)*(1+U551),0)</f>
        <v>0</v>
      </c>
      <c r="AG551" s="61">
        <f t="shared" ca="1" si="471"/>
        <v>0.64185145527300214</v>
      </c>
      <c r="AH551" s="61">
        <f t="shared" ca="1" si="472"/>
        <v>2.2624828854998791</v>
      </c>
      <c r="AI551" s="62">
        <f t="shared" ca="1" si="494"/>
        <v>0.79301247297340793</v>
      </c>
      <c r="AJ551" s="47">
        <f ca="1">IF(AD551,IF(AI551&lt;$F$10,0,IF(AI551&lt;$F$10+$F$11,0.25,IF(AI551&lt;$F$10+$F$11+AG551,AH551,1)))*IF(AF551&gt;0,AF551,IF(AF550&gt;0,AF550,IF(AF549&gt;0,AF549,IF(AF548&gt;0,AF548,IF(AF547&gt;0,AF547,IF(AF546&gt;0,AF546,IF(AF545&gt;0,AF545,IF(AF544&gt;0,AF544,IF(AF543&gt;0,AF543,IF(AF541&gt;0,AF541,IF(AF540&gt;0,AF540,IF(AF539&gt;0,AF539,0)))))))))))),0)*(1-$S551)*'模拟-单技能数据'!$I$20</f>
        <v>0</v>
      </c>
      <c r="AK551" s="115" t="b">
        <f t="shared" ca="1" si="459"/>
        <v>0</v>
      </c>
      <c r="AL551" s="115" t="b">
        <f t="shared" ca="1" si="480"/>
        <v>1</v>
      </c>
      <c r="AM551" s="115">
        <f t="shared" ca="1" si="481"/>
        <v>2</v>
      </c>
      <c r="AN551" s="47">
        <f ca="1">IF(AK551,('模拟-单技能数据'!$D$21+G551*'模拟-单技能数据'!$F$21)*(1+J551)*(1+'模拟-单技能数据'!$J$21)*(1+U551),0)</f>
        <v>0</v>
      </c>
      <c r="AO551" s="61">
        <f ca="1">IF(AN551&gt;0,M551-'模拟-单技能数据'!$K$10,AO550)</f>
        <v>0.42185145527300216</v>
      </c>
      <c r="AP551" s="61">
        <f ca="1">IF(AN551&gt;0,I551-'模拟-单技能数据'!$L$10,AP550)</f>
        <v>2.162482885499879</v>
      </c>
      <c r="AQ551" s="63">
        <f t="shared" ca="1" si="495"/>
        <v>0.62458860926206261</v>
      </c>
      <c r="AR551" s="64">
        <f ca="1">IF(AL551,IF(AQ551&lt;$F$10,0,IF(AQ551&lt;$F$10+$F$11,0.25,IF(AQ551&lt;$F$10+$F$11+AO551,AP551,1)))*IF(AN551&gt;0,AN551,IF(AN550&gt;0,AN550,IF(AN549&gt;0,AN549,IF(AN548&gt;0,AN548,IF(AN547&gt;0,AN547,IF(AN546&gt;0,AN546,IF(AN545&gt;0,AN545,IF(AN544&gt;0,AN544,IF(AN543&gt;0,AN543,IF(AN541&gt;0,AN541,IF(AN540&gt;0,AN540,IF(AN539&gt;0,AN539,0)))))))))))),0)*(1-$S551)*'模拟-单技能数据'!$I$21</f>
        <v>11607.89185245618</v>
      </c>
      <c r="AS551" s="61">
        <f ca="1">IF(OR(C551="净世破魔击·日",C551="净世破魔击·月"),M551-'模拟-单技能数据'!$K$10,0)</f>
        <v>0.42185145527300216</v>
      </c>
      <c r="AT551" s="61">
        <f ca="1">IF(OR(C551="净世破魔击·日",C551="净世破魔击·月"),I551-'模拟-单技能数据'!$L$10,0)</f>
        <v>2.162482885499879</v>
      </c>
      <c r="AU551" s="62">
        <f t="shared" ca="1" si="496"/>
        <v>0.95429269971291597</v>
      </c>
      <c r="AV551" s="64">
        <f ca="1">IF(AS551&gt;0,('模拟-单技能数据'!$D$22+G551*'模拟-单技能数据'!$F$22)*(1+J551)*(1-S551)*IF(AU551&lt;$F$10,0,IF(AU551&lt;$F$10+$F$11,0.25,IF(AU551&lt;$F$10+$F$11+AS551,AT551,1)))*(1+U551),0)*'模拟-单技能数据'!$I$22</f>
        <v>7956.2107573714466</v>
      </c>
      <c r="AW551" s="108">
        <f t="shared" ca="1" si="497"/>
        <v>9.8525000000000063</v>
      </c>
      <c r="AX551" s="108" t="b">
        <f ca="1">AND(模拟模式!$P$10="有",AW550=0,RAND()&lt;IF(C551="净世破魔击·月",0.1*8/3,IF(C551="净世破魔击·日",0.1*4/3,0.1*2/3)))</f>
        <v>0</v>
      </c>
      <c r="AY551" s="47">
        <f ca="1">IF(AX551,(18+G551*0.722)*(1+J551)*(1-S551)*(1+$I$4)*IF(P551="会",'模拟-全程加成'!$J$3+'模拟-全程加成'!$J$4+'模拟-全程加成'!$J$5+('模拟-全程加成'!$I$4+'模拟-全程加成'!$I$5)/系数!$B$4+BG551*10%,IF(P551="命",1,IF(P551="识",0.25,0))),0)</f>
        <v>0</v>
      </c>
      <c r="AZ551" s="108">
        <f t="shared" si="498"/>
        <v>3.3950000000000062</v>
      </c>
      <c r="BA551" s="108" t="b">
        <f>AND(模拟模式!$Q$10="有",AZ550=0)</f>
        <v>0</v>
      </c>
      <c r="BB551" s="140">
        <f>IF(BA551,(0+G551*0.287)*(1+J551)*(1-S551)*(1+$I$4)*IF(P551="会",'模拟-全程加成'!$J$3+'模拟-全程加成'!$J$4+'模拟-全程加成'!$J$5+('模拟-全程加成'!$I$4+'模拟-全程加成'!$I$5)/系数!$B$4+BG551*10%,IF(P551="命",1,IF(P551="识",0.25,0))),0)</f>
        <v>0</v>
      </c>
      <c r="BC551" s="115" t="b">
        <f ca="1">AND(模拟模式!$R$7="伏明众生",E551=60,F551=20,DA551&lt;5,CZ550&lt;$F$4)</f>
        <v>0</v>
      </c>
      <c r="BD551" s="115">
        <f t="shared" ca="1" si="460"/>
        <v>0</v>
      </c>
      <c r="BE551" s="115" t="b">
        <f t="shared" ca="1" si="461"/>
        <v>0</v>
      </c>
      <c r="BF551" s="47">
        <f ca="1">IF(BC551,4*('模拟-单技能数据'!$D$24+G551*'模拟-单技能数据'!$F$24)*(1+J551)*(1+'模拟-单技能数据'!$J$24)*(1-S551)*(1+$I$3)*(('模拟-全程加成'!$J$3+'模拟-全程加成'!$J$4+'模拟-全程加成'!$J$5+('模拟-全程加成'!$I$4+'模拟-全程加成'!$I$5)/系数!$B$4+BG551*10%)*('模拟-全程加成'!$J$3+'模拟-全程加成'!$J$4+'模拟-全程加成'!$J$5+('模拟-全程加成'!$I$4+'模拟-全程加成'!$I$5)/系数!$B$4+BG551*10%)+(1-('模拟-全程加成'!$J$3+'模拟-全程加成'!$J$4+'模拟-全程加成'!$J$5+('模拟-全程加成'!$I$4+'模拟-全程加成'!$I$5)/系数!$B$4+BG551*10%)-$F$10-$F$11)+F537*0.25),0)*'模拟-单技能数据'!$I$24</f>
        <v>0</v>
      </c>
      <c r="BG551" s="115" t="b">
        <f ca="1">OR(AND(OR(C551="烈日斩",C551="银月斩"),模拟模式!$I$7="净身明礼"),AND(C551="净世破魔击·日",模拟模式!$J$7="洞若观火"),AND(C552="净世破魔击·月",模拟模式!$J$7="洞若观火"),AB551=1)</f>
        <v>1</v>
      </c>
      <c r="BH551" s="115" t="b">
        <f t="shared" ca="1" si="499"/>
        <v>0</v>
      </c>
      <c r="BI551" s="115">
        <f t="shared" ca="1" si="462"/>
        <v>0.46499999999999975</v>
      </c>
      <c r="BJ551" s="115" t="b">
        <f t="shared" ca="1" si="473"/>
        <v>1</v>
      </c>
      <c r="BK551" s="115" t="b">
        <f ca="1">AND(C551="驱夜断愁",模拟模式!$P$7="天地诛戮")</f>
        <v>0</v>
      </c>
      <c r="BL551" s="57">
        <f t="shared" ca="1" si="463"/>
        <v>17.232500000000002</v>
      </c>
      <c r="BM551" s="115" t="b">
        <f t="shared" ca="1" si="474"/>
        <v>1</v>
      </c>
      <c r="BN551" s="115" t="b">
        <f ca="1">AND(OR(C551="赤日轮1",C551="赤日轮2",C551="赤日轮3",C551="幽月轮1",C551="幽月轮2",C551="幽月轮3"),AB551=1,模拟模式!$L$7="明光恒照")</f>
        <v>0</v>
      </c>
      <c r="BO551" s="117">
        <f t="shared" ca="1" si="464"/>
        <v>29.077500000000001</v>
      </c>
      <c r="BP551" s="115">
        <f t="shared" ca="1" si="500"/>
        <v>6</v>
      </c>
      <c r="BQ551" s="115" t="b">
        <f>模拟模式!$K$10="2600·水"</f>
        <v>0</v>
      </c>
      <c r="BR551" s="117">
        <f t="shared" si="501"/>
        <v>0</v>
      </c>
      <c r="BS551" s="115">
        <f t="shared" si="502"/>
        <v>0</v>
      </c>
      <c r="BT551" s="115">
        <f t="shared" ca="1" si="503"/>
        <v>0</v>
      </c>
      <c r="BU551" s="115" t="b">
        <f ca="1">AND(模拟模式!$K$10="2300·雷",BT550=0,RAND()&lt;IF(C551="净世破魔击·月",5*0.05*2/3,IF(C551="净世破魔击·日",3*0.05*2/3,0.05*2*2/3)))</f>
        <v>0</v>
      </c>
      <c r="BV551" s="115">
        <f t="shared" ca="1" si="504"/>
        <v>0</v>
      </c>
      <c r="BW551" s="115">
        <f t="shared" ca="1" si="505"/>
        <v>72.067499999999271</v>
      </c>
      <c r="BX551" s="164" t="b">
        <f t="shared" ca="1" si="506"/>
        <v>0</v>
      </c>
      <c r="BY551" s="115">
        <f t="shared" ca="1" si="507"/>
        <v>0</v>
      </c>
      <c r="BZ551" s="115">
        <f>IF(OR(模拟模式!$P$16="10人团",模拟模式!$P$16="25人团"),IF(B551/30&gt;CA550,1,0),0)</f>
        <v>0</v>
      </c>
      <c r="CA551" s="115">
        <f t="shared" si="483"/>
        <v>0</v>
      </c>
      <c r="CB551" s="115">
        <f ca="1">IF(BZ551=1,IF(模拟模式!$P$16="10人团",15,0)+IF(模拟模式!$P$16="25人团",IF(RAND()&lt;0.6,15,0)),MAX(0,CB550-$F$4))</f>
        <v>0</v>
      </c>
      <c r="CC551" s="115" t="b">
        <f t="shared" ca="1" si="475"/>
        <v>0</v>
      </c>
      <c r="CD551" s="115">
        <f>IF(模拟模式!$Q$16="1个",IF(B551/40&gt;CE550,1,0),0)</f>
        <v>0</v>
      </c>
      <c r="CE551" s="115">
        <f t="shared" si="476"/>
        <v>0</v>
      </c>
      <c r="CF551" s="115">
        <f>IF(OR(CD551=1,模拟模式!$Q$16="2个"),20,MAX(0,CF550-$F$4))</f>
        <v>0</v>
      </c>
      <c r="CG551" s="115" t="b">
        <f t="shared" si="477"/>
        <v>0</v>
      </c>
      <c r="CH551" s="115">
        <f t="shared" ca="1" si="508"/>
        <v>23.542500000000004</v>
      </c>
      <c r="CI551" s="115" t="b">
        <f t="shared" ca="1" si="509"/>
        <v>0</v>
      </c>
      <c r="CJ551" s="119">
        <f t="shared" ca="1" si="510"/>
        <v>0.01</v>
      </c>
      <c r="CK551" s="115">
        <f t="shared" ca="1" si="511"/>
        <v>1.5424999999999991</v>
      </c>
      <c r="CL551" s="115" t="b">
        <f ca="1">AND(模拟模式!$S$7="驱夷逐法",OR(AND(C551="净世破魔击·月",E550&gt;59),AND(C551="净世破魔击·日",F550&gt;59)))</f>
        <v>1</v>
      </c>
      <c r="CM551" s="115" t="b">
        <f ca="1">OR(CL551,AND(C551="净世破魔击·日",CL550,RAND()&lt;模拟模式!$U$23))</f>
        <v>1</v>
      </c>
      <c r="CN551" s="115" t="b">
        <f ca="1">IF(模拟模式!$M$7="辉耀红尘",AND(C551="净世破魔击·月",CL551,CV551=0,E550&lt;80),AND(C551="净世破魔击·月",CL551,E550&lt;100))</f>
        <v>0</v>
      </c>
      <c r="CO551" s="115" t="b">
        <f t="shared" ca="1" si="484"/>
        <v>0</v>
      </c>
      <c r="CP551" s="115" t="b">
        <f ca="1">AND(模拟模式!$O$7="用晦而明",OR(C551="净世破魔击·日",C551="净世破魔击·月",C551="驱夜断愁"),AB551)</f>
        <v>1</v>
      </c>
      <c r="CQ551" s="115" t="b">
        <f ca="1">OR(CP551,AND(CP550,RAND()&lt;模拟模式!$U$23))</f>
        <v>1</v>
      </c>
      <c r="CR551" s="115" t="b">
        <f ca="1">AND(模拟模式!$S$7="日月齐光",OR(C551="幽月轮1",C551="幽月轮2",C551="幽月轮3",CR550),NOT(OR(C551="赤日轮1",C551="赤日轮2",C551="赤日轮3")))</f>
        <v>0</v>
      </c>
      <c r="CS551" s="115" t="b">
        <f ca="1">AND(模拟模式!$S$7="日月齐光",OR(C551="赤日轮1",C551="赤日轮2",C551="赤日轮3",CS550),NOT(OR(C551="幽月轮1",C551="幽月轮2",C551="幽月轮3")))</f>
        <v>0</v>
      </c>
      <c r="CT551" s="115">
        <f t="shared" ca="1" si="512"/>
        <v>19.852500000000006</v>
      </c>
      <c r="CU551" s="115" t="b">
        <f ca="1">AND(模拟模式!$K$10="阴阳往极",CT550=0,RAND()&lt;IF(C551="净世破魔击·月",0.0275*7/3,IF(C551="净世破魔击·日",0.0275*3/3,0.0275*2/3)))</f>
        <v>0</v>
      </c>
      <c r="CV551" s="115">
        <f t="shared" ca="1" si="513"/>
        <v>0</v>
      </c>
      <c r="CW551" s="115">
        <f t="shared" ca="1" si="485"/>
        <v>4.1549999999999994</v>
      </c>
      <c r="CX551" s="115">
        <f t="shared" ca="1" si="486"/>
        <v>2.3099999999999996</v>
      </c>
      <c r="CY551" s="115">
        <f ca="1">MAX(IF($C551="驱夜断愁",IF(模拟模式!$R$7="万念俱寂",6,45),CY550-$F$4),0)</f>
        <v>3.2324999999999995</v>
      </c>
      <c r="CZ551" s="115">
        <f t="shared" ca="1" si="487"/>
        <v>0</v>
      </c>
      <c r="DA551" s="115">
        <f ca="1">IF(模拟模式!$N$7="日月同辉",IF(DB550=2,0,MIN(6,IF(AND(OR(C551="赤日轮1",C551="赤日轮2",C551="赤日轮3",C551="幽月轮1",C551="幽月轮2",C551="幽月轮3"),AB551=1),DA550+1,DA550))),0)</f>
        <v>3</v>
      </c>
      <c r="DB551" s="115">
        <f t="shared" ca="1" si="488"/>
        <v>0</v>
      </c>
      <c r="DC551" s="115"/>
      <c r="DD551" s="115"/>
      <c r="DE551" s="115"/>
      <c r="DF551" s="115"/>
      <c r="DG551" s="115"/>
      <c r="DH551" s="115"/>
      <c r="DI551" s="115"/>
      <c r="DJ551" s="115"/>
      <c r="DK551" s="115"/>
      <c r="DL551" s="115"/>
      <c r="DM551" s="115"/>
    </row>
    <row r="552" spans="2:117" x14ac:dyDescent="0.2">
      <c r="B552" s="117">
        <f t="shared" si="489"/>
        <v>484.31250000000517</v>
      </c>
      <c r="C552" s="167" t="str">
        <f t="shared" ca="1" si="482"/>
        <v>净世破魔击·日</v>
      </c>
      <c r="D552" s="115">
        <f ca="1">IF(C552="赤日轮1",1,IF(C552="赤日轮2",2,IF(C552="赤日轮3",3,IF(C552="幽月轮1",4,IF(C552="幽月轮2",5,IF(C552="幽月轮3",6,IF(C552="烈日斩",7,IF(C552="银月斩",8,IF(C552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552="净世破魔击·月",17,IF(C552="驱夜断愁",18,0)))))))))))</f>
        <v>9</v>
      </c>
      <c r="E552" s="115">
        <f ca="1">IF(AND(CU552,OR(C552="幽月轮1",C552="幽月轮2",C552="幽月轮3",C552="银月斩",C552="驱夜断愁",C552="净世破魔击·月")),100,MIN(IF(OR(CN552,BE552),0,IF(OR($C552="赤日轮1",$C552="赤日轮2",$C552="赤日轮3"),E551+20+IF(模拟模式!$I$7="日月凌天",4,0)+IF(CR551,20,0),IF($C552="烈日斩",E551+40,IF($C552="驱夜断愁",IF(模拟模式!$R$7="万念俱寂",E551+20,E551+60),IF($C552="净世破魔击·月",IF(OR(DB551&gt;0,CV551&gt;0),100,IF(模拟模式!$M$7="辉耀红尘",E551+20,E551)),IF($C552="净世破魔击·日",E551-100,E551)))))),100))</f>
        <v>0</v>
      </c>
      <c r="F552" s="115">
        <f ca="1">IF(AND(CU552,OR(C552="赤日轮1",C552="赤日轮2",C552="赤日轮3",C552="烈日斩",C552="净世破魔击·日")),100,MIN(IF(CO552,0,IF(OR($C552="幽月轮1",$C552="幽月轮2",$C552="幽月轮3"),F551+20+IF(模拟模式!$I$7="日月凌天",4,0)+IF(CS551,20,0),IF($C552="银月斩",F551+40+IF(模拟模式!$X$12=1,5,0),IF($C552="驱夜断愁",IF(模拟模式!$R$7="万念俱寂",F551+20,F551+60),IF($C552="净世破魔击·月",IF(模拟模式!$M$7="辉耀红尘",F551-80,F551-100),IF(AND(C552="净世破魔击·日",OR(DB551&gt;0,CV551&gt;0)),100,F551)))))),100))</f>
        <v>20</v>
      </c>
      <c r="G552" s="117">
        <f ca="1">('模拟-全程加成'!$E$3+'模拟-全程加成'!$E$4+'模拟-全程加成'!$E$5+('模拟-全程加成'!$C$6-'模拟-全程加成'!$C$3)*系数!$B$9+BS552*23)*(1+'模拟-全程加成'!$F$4+'模拟-全程加成'!$F$5+BJ552*10%+BM552*20%+BP552*4%+CG552*30%)+$F$7*系数!$B$12</f>
        <v>20583.127400000001</v>
      </c>
      <c r="H552" s="45">
        <f ca="1">'模拟-全程加成'!$H$3+'模拟-全程加成'!$H$4+'模拟-全程加成'!$H$5+('模拟-全程加成'!$G$4+'模拟-全程加成'!$G$5+('模拟-全程加成'!$C$6-'模拟-全程加成'!$C$3)*系数!$B$13)/系数!$B$3+LOOKUP(D552,'模拟-单技能数据'!$A$2:$A$19,'模拟-单技能数据'!$K$2:$K$19)+BG552*10%+IF(BV552&gt;0,378,0)</f>
        <v>0.54185145527300216</v>
      </c>
      <c r="I552" s="45">
        <f ca="1">'模拟-全程加成'!$J$3+'模拟-全程加成'!$J$4+'模拟-全程加成'!$J$5+('模拟-全程加成'!$I$4+'模拟-全程加成'!$I$5)/系数!$B$4+LOOKUP(D552,'模拟-单技能数据'!$A$2:$A$19,'模拟-单技能数据'!$L$2:$L$19)+BG552*10%</f>
        <v>2.162482885499879</v>
      </c>
      <c r="J552" s="45">
        <f ca="1">(('模拟-全程加成'!$K$3+'模拟-全程加成'!$K$4+'模拟-全程加成'!$K$5+('模拟-全程加成'!$C$6-'模拟-全程加成'!$C$3)*系数!$B$10+IF(BV552&gt;0,882,0)+IF(BY552&gt;0,1831,0))*(1+'模拟-全程加成'!$L$4+'模拟-全程加成'!$L$5+CC552*20%))/系数!$B$5</f>
        <v>0.69723220422048726</v>
      </c>
      <c r="K552" s="119">
        <f ca="1">LOOKUP(D552,'模拟-单技能数据'!$A$2:$A$19,'模拟-单技能数据'!$J$2:$J$19)+IF(CM552,60%,0)+IF(DB551-DB552&gt;0,30%,0)+IF(OR(AND(OR(C552="赤日轮1",C552="赤日轮2",C552="赤日轮3"),CR552),AND(OR(C552="幽月轮1",C552="幽月轮2",C552="幽月轮3"),CS552)),35%,0)+CJ552</f>
        <v>0.81</v>
      </c>
      <c r="L552" s="119">
        <f ca="1">IF(AND(C552="烈日斩",模拟模式!$X$11=1),10%,0)+IF(AND(C552="驱夜断愁",AB552=1),30%,0)</f>
        <v>0</v>
      </c>
      <c r="M552" s="45">
        <f t="shared" ca="1" si="465"/>
        <v>0.54185145527300216</v>
      </c>
      <c r="N552" s="45">
        <f t="shared" ca="1" si="466"/>
        <v>0.40424854472699789</v>
      </c>
      <c r="O552" s="46">
        <f t="shared" ca="1" si="490"/>
        <v>0.57193255793253084</v>
      </c>
      <c r="P552" s="46" t="str">
        <f t="shared" ca="1" si="491"/>
        <v>会</v>
      </c>
      <c r="Q552" s="45">
        <f t="shared" ca="1" si="492"/>
        <v>2.162482885499879</v>
      </c>
      <c r="R552" s="117">
        <f ca="1">模拟模式!$E$20*(1-IF(模拟模式!$J$19="有",0.15,0))*(1-IF(模拟模式!$K$19="有",0.3,0)-IF(CQ552,0.5,0))</f>
        <v>843.02999999999975</v>
      </c>
      <c r="S552" s="45">
        <f ca="1">R552/(R552+(185*模拟模式!$E$22-16800)*4.08224)</f>
        <v>8.389626085980037E-2</v>
      </c>
      <c r="T552" s="45" t="str">
        <f ca="1">LOOKUP(D552,'模拟-单技能数据'!$A$2:$A$19,'模拟-单技能数据'!$H$2:$H$19)</f>
        <v>阳</v>
      </c>
      <c r="U552" s="119">
        <f t="shared" ca="1" si="467"/>
        <v>0.2</v>
      </c>
      <c r="V552" s="47">
        <f ca="1">(1+L552)*(LOOKUP(D552,'模拟-单技能数据'!$A$2:$A$19,'模拟-单技能数据'!$D$2:$D$19)+G552*LOOKUP(D552,'模拟-单技能数据'!$A$2:$A$19,'模拟-单技能数据'!$F$2:$F$19))*(1+J552)*(1+K552)*(1-S552)*(1+U552)*Q552*LOOKUP(D552,'模拟-单技能数据'!$A$2:$A$19,'模拟-单技能数据'!$I$2:$I$20)</f>
        <v>197004.23608048278</v>
      </c>
      <c r="W552" s="47">
        <f ca="1">LOOKUP(D552,'模拟-单技能数据'!$A$2:$A$19,'模拟-单技能数据'!$G$2:$G$19)*$I$10</f>
        <v>723.0212870940959</v>
      </c>
      <c r="X552" s="47">
        <f t="shared" ca="1" si="493"/>
        <v>27972.416746275456</v>
      </c>
      <c r="Y552" s="47">
        <f t="shared" ca="1" si="468"/>
        <v>225699.67411385232</v>
      </c>
      <c r="Z552" s="49">
        <f t="shared" ca="1" si="469"/>
        <v>55188453.544802204</v>
      </c>
      <c r="AA552" s="97">
        <f t="shared" ca="1" si="470"/>
        <v>113952.15598358831</v>
      </c>
      <c r="AB552" s="115">
        <f ca="1">IF(OR(C552="赤日轮1",C552="赤日轮2",C552="赤日轮3"),IF(RAND()&lt;模拟模式!$Y$17,1,0),IF(OR(C552="幽月轮1",C552="幽月轮2",C552="幽月轮3"),IF(RAND()&lt;模拟模式!$Y$18,1,0),IF(C552="烈日斩",IF(RAND()&lt;模拟模式!$Y$19,1,0),IF(C552="银月斩",IF(RAND()&lt;模拟模式!$Y$20,1,0),IF(C552="驱夜断愁",IF(RAND()&lt;模拟模式!$Y$21,1,0),IF(C552="净世破魔击·日",IF(RAND()&lt;模拟模式!$Y$22,1,0),IF(C552="净世破魔击·月",IF(RAND()&lt;模拟模式!$Y$23,1,0),0)))))))</f>
        <v>1</v>
      </c>
      <c r="AC552" s="115" t="b">
        <f t="shared" ca="1" si="458"/>
        <v>0</v>
      </c>
      <c r="AD552" s="115" t="b">
        <f t="shared" ca="1" si="478"/>
        <v>1</v>
      </c>
      <c r="AE552" s="115">
        <f t="shared" ca="1" si="479"/>
        <v>3</v>
      </c>
      <c r="AF552" s="47">
        <f ca="1">IF(AC552,('模拟-单技能数据'!$D$20+G552*'模拟-单技能数据'!$F$20)*(1+J552)*(1+'模拟-单技能数据'!$J$20)*(1+U552),0)</f>
        <v>0</v>
      </c>
      <c r="AG552" s="61">
        <f t="shared" ca="1" si="471"/>
        <v>0.64185145527300214</v>
      </c>
      <c r="AH552" s="61">
        <f t="shared" ca="1" si="472"/>
        <v>2.2624828854998791</v>
      </c>
      <c r="AI552" s="62">
        <f t="shared" ca="1" si="494"/>
        <v>0.21520805528444187</v>
      </c>
      <c r="AJ552" s="47">
        <f ca="1">IF(AD552,IF(AI552&lt;$F$10,0,IF(AI552&lt;$F$10+$F$11,0.25,IF(AI552&lt;$F$10+$F$11+AG552,AH552,1)))*IF(AF552&gt;0,AF552,IF(AF551&gt;0,AF551,IF(AF550&gt;0,AF550,IF(AF549&gt;0,AF549,IF(AF548&gt;0,AF548,IF(AF547&gt;0,AF547,IF(AF546&gt;0,AF546,IF(AF545&gt;0,AF545,IF(AF544&gt;0,AF544,IF(AF542&gt;0,AF542,IF(AF541&gt;0,AF541,IF(AF540&gt;0,AF540,0)))))))))))),0)*(1-$S552)*'模拟-单技能数据'!$I$20</f>
        <v>9616.6571145767884</v>
      </c>
      <c r="AK552" s="115" t="b">
        <f t="shared" ca="1" si="459"/>
        <v>1</v>
      </c>
      <c r="AL552" s="115" t="b">
        <f t="shared" ca="1" si="480"/>
        <v>0</v>
      </c>
      <c r="AM552" s="115">
        <f t="shared" ca="1" si="481"/>
        <v>6</v>
      </c>
      <c r="AN552" s="47">
        <f ca="1">IF(AK552,('模拟-单技能数据'!$D$21+G552*'模拟-单技能数据'!$F$21)*(1+J552)*(1+'模拟-单技能数据'!$J$21)*(1+U552),0)</f>
        <v>12136.56601728573</v>
      </c>
      <c r="AO552" s="61">
        <f ca="1">IF(AN552&gt;0,M552-'模拟-单技能数据'!$K$10,AO551)</f>
        <v>0.42185145527300216</v>
      </c>
      <c r="AP552" s="61">
        <f ca="1">IF(AN552&gt;0,I552-'模拟-单技能数据'!$L$10,AP551)</f>
        <v>2.162482885499879</v>
      </c>
      <c r="AQ552" s="63">
        <f t="shared" ca="1" si="495"/>
        <v>2.5551306765074111E-2</v>
      </c>
      <c r="AR552" s="64">
        <f ca="1">IF(AL552,IF(AQ552&lt;$F$10,0,IF(AQ552&lt;$F$10+$F$11,0.25,IF(AQ552&lt;$F$10+$F$11+AO552,AP552,1)))*IF(AN552&gt;0,AN552,IF(AN551&gt;0,AN551,IF(AN550&gt;0,AN550,IF(AN549&gt;0,AN549,IF(AN548&gt;0,AN548,IF(AN547&gt;0,AN547,IF(AN546&gt;0,AN546,IF(AN545&gt;0,AN545,IF(AN544&gt;0,AN544,IF(AN542&gt;0,AN542,IF(AN541&gt;0,AN541,IF(AN540&gt;0,AN540,0)))))))))))),0)*(1-$S552)*'模拟-单技能数据'!$I$21</f>
        <v>0</v>
      </c>
      <c r="AS552" s="61">
        <f ca="1">IF(OR(C552="净世破魔击·日",C552="净世破魔击·月"),M552-'模拟-单技能数据'!$K$10,0)</f>
        <v>0.42185145527300216</v>
      </c>
      <c r="AT552" s="61">
        <f ca="1">IF(OR(C552="净世破魔击·日",C552="净世破魔击·月"),I552-'模拟-单技能数据'!$L$10,0)</f>
        <v>2.162482885499879</v>
      </c>
      <c r="AU552" s="62">
        <f t="shared" ca="1" si="496"/>
        <v>0.45301347124154145</v>
      </c>
      <c r="AV552" s="64">
        <f ca="1">IF(AS552&gt;0,('模拟-单技能数据'!$D$22+G552*'模拟-单技能数据'!$F$22)*(1+J552)*(1-S552)*IF(AU552&lt;$F$10,0,IF(AU552&lt;$F$10+$F$11,0.25,IF(AU552&lt;$F$10+$F$11+AS552,AT552,1)))*(1+U552),0)*'模拟-单技能数据'!$I$22</f>
        <v>18355.759631698667</v>
      </c>
      <c r="AW552" s="108">
        <f t="shared" ca="1" si="497"/>
        <v>8.9300000000000068</v>
      </c>
      <c r="AX552" s="108" t="b">
        <f ca="1">AND(模拟模式!$P$10="有",AW551=0,RAND()&lt;IF(C552="净世破魔击·月",0.1*8/3,IF(C552="净世破魔击·日",0.1*4/3,0.1*2/3)))</f>
        <v>0</v>
      </c>
      <c r="AY552" s="47">
        <f ca="1">IF(AX552,(18+G552*0.722)*(1+J552)*(1-S552)*(1+$I$4)*IF(P552="会",'模拟-全程加成'!$J$3+'模拟-全程加成'!$J$4+'模拟-全程加成'!$J$5+('模拟-全程加成'!$I$4+'模拟-全程加成'!$I$5)/系数!$B$4+BG552*10%,IF(P552="命",1,IF(P552="识",0.25,0))),0)</f>
        <v>0</v>
      </c>
      <c r="AZ552" s="108">
        <f t="shared" si="498"/>
        <v>2.4725000000000064</v>
      </c>
      <c r="BA552" s="108" t="b">
        <f>AND(模拟模式!$Q$10="有",AZ551=0)</f>
        <v>0</v>
      </c>
      <c r="BB552" s="140">
        <f>IF(BA552,(0+G552*0.287)*(1+J552)*(1-S552)*(1+$I$4)*IF(P552="会",'模拟-全程加成'!$J$3+'模拟-全程加成'!$J$4+'模拟-全程加成'!$J$5+('模拟-全程加成'!$I$4+'模拟-全程加成'!$I$5)/系数!$B$4+BG552*10%,IF(P552="命",1,IF(P552="识",0.25,0))),0)</f>
        <v>0</v>
      </c>
      <c r="BC552" s="115" t="b">
        <f ca="1">AND(模拟模式!$R$7="伏明众生",E552=60,F552=20,DA552&lt;5,CZ551&lt;$F$4)</f>
        <v>0</v>
      </c>
      <c r="BD552" s="115">
        <f t="shared" ca="1" si="460"/>
        <v>0</v>
      </c>
      <c r="BE552" s="115" t="b">
        <f t="shared" ca="1" si="461"/>
        <v>0</v>
      </c>
      <c r="BF552" s="47">
        <f ca="1">IF(BC552,4*('模拟-单技能数据'!$D$24+G552*'模拟-单技能数据'!$F$24)*(1+J552)*(1+'模拟-单技能数据'!$J$24)*(1-S552)*(1+$I$3)*(('模拟-全程加成'!$J$3+'模拟-全程加成'!$J$4+'模拟-全程加成'!$J$5+('模拟-全程加成'!$I$4+'模拟-全程加成'!$I$5)/系数!$B$4+BG552*10%)*('模拟-全程加成'!$J$3+'模拟-全程加成'!$J$4+'模拟-全程加成'!$J$5+('模拟-全程加成'!$I$4+'模拟-全程加成'!$I$5)/系数!$B$4+BG552*10%)+(1-('模拟-全程加成'!$J$3+'模拟-全程加成'!$J$4+'模拟-全程加成'!$J$5+('模拟-全程加成'!$I$4+'模拟-全程加成'!$I$5)/系数!$B$4+BG552*10%)-$F$10-$F$11)+F538*0.25),0)*'模拟-单技能数据'!$I$24</f>
        <v>0</v>
      </c>
      <c r="BG552" s="115" t="b">
        <f ca="1">OR(AND(OR(C552="烈日斩",C552="银月斩"),模拟模式!$I$7="净身明礼"),AND(C552="净世破魔击·日",模拟模式!$J$7="洞若观火"),AND(C553="净世破魔击·月",模拟模式!$J$7="洞若观火"),AB552=1)</f>
        <v>1</v>
      </c>
      <c r="BH552" s="115" t="b">
        <f t="shared" ca="1" si="499"/>
        <v>0</v>
      </c>
      <c r="BI552" s="115">
        <f t="shared" ca="1" si="462"/>
        <v>0</v>
      </c>
      <c r="BJ552" s="115" t="b">
        <f t="shared" ca="1" si="473"/>
        <v>0</v>
      </c>
      <c r="BK552" s="115" t="b">
        <f ca="1">AND(C552="驱夜断愁",模拟模式!$P$7="天地诛戮")</f>
        <v>0</v>
      </c>
      <c r="BL552" s="57">
        <f t="shared" ca="1" si="463"/>
        <v>16.310000000000002</v>
      </c>
      <c r="BM552" s="115" t="b">
        <f t="shared" ca="1" si="474"/>
        <v>1</v>
      </c>
      <c r="BN552" s="115" t="b">
        <f ca="1">AND(OR(C552="赤日轮1",C552="赤日轮2",C552="赤日轮3",C552="幽月轮1",C552="幽月轮2",C552="幽月轮3"),AB552=1,模拟模式!$L$7="明光恒照")</f>
        <v>0</v>
      </c>
      <c r="BO552" s="117">
        <f t="shared" ca="1" si="464"/>
        <v>28.155000000000001</v>
      </c>
      <c r="BP552" s="115">
        <f t="shared" ca="1" si="500"/>
        <v>6</v>
      </c>
      <c r="BQ552" s="115" t="b">
        <f>模拟模式!$K$10="2600·水"</f>
        <v>0</v>
      </c>
      <c r="BR552" s="117">
        <f t="shared" si="501"/>
        <v>0</v>
      </c>
      <c r="BS552" s="115">
        <f t="shared" si="502"/>
        <v>0</v>
      </c>
      <c r="BT552" s="115">
        <f t="shared" ca="1" si="503"/>
        <v>0</v>
      </c>
      <c r="BU552" s="115" t="b">
        <f ca="1">AND(模拟模式!$K$10="2300·雷",BT551=0,RAND()&lt;IF(C552="净世破魔击·月",5*0.05*2/3,IF(C552="净世破魔击·日",3*0.05*2/3,0.05*2*2/3)))</f>
        <v>0</v>
      </c>
      <c r="BV552" s="115">
        <f t="shared" ca="1" si="504"/>
        <v>0</v>
      </c>
      <c r="BW552" s="115">
        <f t="shared" ca="1" si="505"/>
        <v>71.144999999999271</v>
      </c>
      <c r="BX552" s="164" t="b">
        <f t="shared" ca="1" si="506"/>
        <v>0</v>
      </c>
      <c r="BY552" s="115">
        <f t="shared" ca="1" si="507"/>
        <v>0</v>
      </c>
      <c r="BZ552" s="115">
        <f>IF(OR(模拟模式!$P$16="10人团",模拟模式!$P$16="25人团"),IF(B552/30&gt;CA551,1,0),0)</f>
        <v>0</v>
      </c>
      <c r="CA552" s="115">
        <f t="shared" si="483"/>
        <v>0</v>
      </c>
      <c r="CB552" s="115">
        <f ca="1">IF(BZ552=1,IF(模拟模式!$P$16="10人团",15,0)+IF(模拟模式!$P$16="25人团",IF(RAND()&lt;0.6,15,0)),MAX(0,CB551-$F$4))</f>
        <v>0</v>
      </c>
      <c r="CC552" s="115" t="b">
        <f t="shared" ca="1" si="475"/>
        <v>0</v>
      </c>
      <c r="CD552" s="115">
        <f>IF(模拟模式!$Q$16="1个",IF(B552/40&gt;CE551,1,0),0)</f>
        <v>0</v>
      </c>
      <c r="CE552" s="115">
        <f t="shared" si="476"/>
        <v>0</v>
      </c>
      <c r="CF552" s="115">
        <f>IF(OR(CD552=1,模拟模式!$Q$16="2个"),20,MAX(0,CF551-$F$4))</f>
        <v>0</v>
      </c>
      <c r="CG552" s="115" t="b">
        <f t="shared" si="477"/>
        <v>0</v>
      </c>
      <c r="CH552" s="115">
        <f t="shared" ca="1" si="508"/>
        <v>22.620000000000005</v>
      </c>
      <c r="CI552" s="115" t="b">
        <f t="shared" ca="1" si="509"/>
        <v>0</v>
      </c>
      <c r="CJ552" s="119">
        <f t="shared" ca="1" si="510"/>
        <v>0.01</v>
      </c>
      <c r="CK552" s="115">
        <f t="shared" ca="1" si="511"/>
        <v>0.61999999999999911</v>
      </c>
      <c r="CL552" s="115" t="b">
        <f ca="1">AND(模拟模式!$S$7="驱夷逐法",OR(AND(C552="净世破魔击·月",E551&gt;59),AND(C552="净世破魔击·日",F551&gt;59)))</f>
        <v>0</v>
      </c>
      <c r="CM552" s="115" t="b">
        <f ca="1">OR(CL552,AND(C552="净世破魔击·日",CL551,RAND()&lt;模拟模式!$U$23))</f>
        <v>1</v>
      </c>
      <c r="CN552" s="115" t="b">
        <f ca="1">IF(模拟模式!$M$7="辉耀红尘",AND(C552="净世破魔击·月",CL552,CV552=0,E551&lt;80),AND(C552="净世破魔击·月",CL552,E551&lt;100))</f>
        <v>0</v>
      </c>
      <c r="CO552" s="115" t="b">
        <f t="shared" ca="1" si="484"/>
        <v>0</v>
      </c>
      <c r="CP552" s="115" t="b">
        <f ca="1">AND(模拟模式!$O$7="用晦而明",OR(C552="净世破魔击·日",C552="净世破魔击·月",C552="驱夜断愁"),AB552)</f>
        <v>1</v>
      </c>
      <c r="CQ552" s="115" t="b">
        <f ca="1">OR(CP552,AND(CP551,RAND()&lt;模拟模式!$U$23))</f>
        <v>1</v>
      </c>
      <c r="CR552" s="115" t="b">
        <f ca="1">AND(模拟模式!$S$7="日月齐光",OR(C552="幽月轮1",C552="幽月轮2",C552="幽月轮3",CR551),NOT(OR(C552="赤日轮1",C552="赤日轮2",C552="赤日轮3")))</f>
        <v>0</v>
      </c>
      <c r="CS552" s="115" t="b">
        <f ca="1">AND(模拟模式!$S$7="日月齐光",OR(C552="赤日轮1",C552="赤日轮2",C552="赤日轮3",CS551),NOT(OR(C552="幽月轮1",C552="幽月轮2",C552="幽月轮3")))</f>
        <v>0</v>
      </c>
      <c r="CT552" s="115">
        <f t="shared" ca="1" si="512"/>
        <v>18.930000000000007</v>
      </c>
      <c r="CU552" s="115" t="b">
        <f ca="1">AND(模拟模式!$K$10="阴阳往极",CT551=0,RAND()&lt;IF(C552="净世破魔击·月",0.0275*7/3,IF(C552="净世破魔击·日",0.0275*3/3,0.0275*2/3)))</f>
        <v>0</v>
      </c>
      <c r="CV552" s="115">
        <f t="shared" ca="1" si="513"/>
        <v>0</v>
      </c>
      <c r="CW552" s="115">
        <f t="shared" ca="1" si="485"/>
        <v>3.2324999999999995</v>
      </c>
      <c r="CX552" s="115">
        <f t="shared" ca="1" si="486"/>
        <v>1.3874999999999997</v>
      </c>
      <c r="CY552" s="115">
        <f ca="1">MAX(IF($C552="驱夜断愁",IF(模拟模式!$R$7="万念俱寂",6,45),CY551-$F$4),0)</f>
        <v>2.3099999999999996</v>
      </c>
      <c r="CZ552" s="115">
        <f t="shared" ca="1" si="487"/>
        <v>0</v>
      </c>
      <c r="DA552" s="115">
        <f ca="1">IF(模拟模式!$N$7="日月同辉",IF(DB551=2,0,MIN(6,IF(AND(OR(C552="赤日轮1",C552="赤日轮2",C552="赤日轮3",C552="幽月轮1",C552="幽月轮2",C552="幽月轮3"),AB552=1),DA551+1,DA551))),0)</f>
        <v>3</v>
      </c>
      <c r="DB552" s="115">
        <f t="shared" ca="1" si="488"/>
        <v>0</v>
      </c>
      <c r="DC552" s="115"/>
      <c r="DD552" s="115"/>
      <c r="DE552" s="115"/>
      <c r="DF552" s="115"/>
      <c r="DG552" s="115"/>
      <c r="DH552" s="115"/>
      <c r="DI552" s="115"/>
      <c r="DJ552" s="115"/>
      <c r="DK552" s="115"/>
      <c r="DL552" s="115"/>
      <c r="DM552" s="115"/>
    </row>
    <row r="553" spans="2:117" x14ac:dyDescent="0.2">
      <c r="B553" s="117">
        <f t="shared" si="489"/>
        <v>485.23500000000519</v>
      </c>
      <c r="C553" s="167" t="str">
        <f t="shared" ca="1" si="482"/>
        <v>赤日轮1</v>
      </c>
      <c r="D553" s="115">
        <f ca="1">IF(C553="赤日轮1",1,IF(C553="赤日轮2",2,IF(C553="赤日轮3",3,IF(C553="幽月轮1",4,IF(C553="幽月轮2",5,IF(C553="幽月轮3",6,IF(C553="烈日斩",7,IF(C553="银月斩",8,IF(C553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553="净世破魔击·月",17,IF(C553="驱夜断愁",18,0)))))))))))</f>
        <v>1</v>
      </c>
      <c r="E553" s="115">
        <f ca="1">IF(AND(CU553,OR(C553="幽月轮1",C553="幽月轮2",C553="幽月轮3",C553="银月斩",C553="驱夜断愁",C553="净世破魔击·月")),100,MIN(IF(OR(CN553,BE553),0,IF(OR($C553="赤日轮1",$C553="赤日轮2",$C553="赤日轮3"),E552+20+IF(模拟模式!$I$7="日月凌天",4,0)+IF(CR552,20,0),IF($C553="烈日斩",E552+40,IF($C553="驱夜断愁",IF(模拟模式!$R$7="万念俱寂",E552+20,E552+60),IF($C553="净世破魔击·月",IF(OR(DB552&gt;0,CV552&gt;0),100,IF(模拟模式!$M$7="辉耀红尘",E552+20,E552)),IF($C553="净世破魔击·日",E552-100,E552)))))),100))</f>
        <v>20</v>
      </c>
      <c r="F553" s="115">
        <f ca="1">IF(AND(CU553,OR(C553="赤日轮1",C553="赤日轮2",C553="赤日轮3",C553="烈日斩",C553="净世破魔击·日")),100,MIN(IF(CO553,0,IF(OR($C553="幽月轮1",$C553="幽月轮2",$C553="幽月轮3"),F552+20+IF(模拟模式!$I$7="日月凌天",4,0)+IF(CS552,20,0),IF($C553="银月斩",F552+40+IF(模拟模式!$X$12=1,5,0),IF($C553="驱夜断愁",IF(模拟模式!$R$7="万念俱寂",F552+20,F552+60),IF($C553="净世破魔击·月",IF(模拟模式!$M$7="辉耀红尘",F552-80,F552-100),IF(AND(C553="净世破魔击·日",OR(DB552&gt;0,CV552&gt;0)),100,F552)))))),100))</f>
        <v>20</v>
      </c>
      <c r="G553" s="117">
        <f ca="1">('模拟-全程加成'!$E$3+'模拟-全程加成'!$E$4+'模拟-全程加成'!$E$5+('模拟-全程加成'!$C$6-'模拟-全程加成'!$C$3)*系数!$B$9+BS553*23)*(1+'模拟-全程加成'!$F$4+'模拟-全程加成'!$F$5+BJ553*10%+BM553*20%+BP553*4%+CG553*30%)+$F$7*系数!$B$12</f>
        <v>20583.127400000001</v>
      </c>
      <c r="H553" s="45">
        <f ca="1">'模拟-全程加成'!$H$3+'模拟-全程加成'!$H$4+'模拟-全程加成'!$H$5+('模拟-全程加成'!$G$4+'模拟-全程加成'!$G$5+('模拟-全程加成'!$C$6-'模拟-全程加成'!$C$3)*系数!$B$13)/系数!$B$3+LOOKUP(D553,'模拟-单技能数据'!$A$2:$A$19,'模拟-单技能数据'!$K$2:$K$19)+BG553*10%+IF(BV553&gt;0,378,0)</f>
        <v>0.4618514552730022</v>
      </c>
      <c r="I553" s="45">
        <f ca="1">'模拟-全程加成'!$J$3+'模拟-全程加成'!$J$4+'模拟-全程加成'!$J$5+('模拟-全程加成'!$I$4+'模拟-全程加成'!$I$5)/系数!$B$4+LOOKUP(D553,'模拟-单技能数据'!$A$2:$A$19,'模拟-单技能数据'!$L$2:$L$19)+BG553*10%</f>
        <v>2.162482885499879</v>
      </c>
      <c r="J553" s="45">
        <f ca="1">(('模拟-全程加成'!$K$3+'模拟-全程加成'!$K$4+'模拟-全程加成'!$K$5+('模拟-全程加成'!$C$6-'模拟-全程加成'!$C$3)*系数!$B$10+IF(BV553&gt;0,882,0)+IF(BY553&gt;0,1831,0))*(1+'模拟-全程加成'!$L$4+'模拟-全程加成'!$L$5+CC553*20%))/系数!$B$5</f>
        <v>0.69723220422048726</v>
      </c>
      <c r="K553" s="119">
        <f ca="1">LOOKUP(D553,'模拟-单技能数据'!$A$2:$A$19,'模拟-单技能数据'!$J$2:$J$19)+IF(CM553,60%,0)+IF(DB552-DB553&gt;0,30%,0)+IF(OR(AND(OR(C553="赤日轮1",C553="赤日轮2",C553="赤日轮3"),CR553),AND(OR(C553="幽月轮1",C553="幽月轮2",C553="幽月轮3"),CS553)),35%,0)+CJ553</f>
        <v>0.12</v>
      </c>
      <c r="L553" s="119">
        <f ca="1">IF(AND(C553="烈日斩",模拟模式!$X$11=1),10%,0)+IF(AND(C553="驱夜断愁",AB553=1),30%,0)</f>
        <v>0</v>
      </c>
      <c r="M553" s="45">
        <f t="shared" ca="1" si="465"/>
        <v>0.4618514552730022</v>
      </c>
      <c r="N553" s="45">
        <f t="shared" ca="1" si="466"/>
        <v>0.48424854472699785</v>
      </c>
      <c r="O553" s="46">
        <f t="shared" ca="1" si="490"/>
        <v>0.6032173152785244</v>
      </c>
      <c r="P553" s="46" t="str">
        <f t="shared" ca="1" si="491"/>
        <v>命</v>
      </c>
      <c r="Q553" s="45">
        <f t="shared" ca="1" si="492"/>
        <v>1</v>
      </c>
      <c r="R553" s="117">
        <f ca="1">模拟模式!$E$20*(1-IF(模拟模式!$J$19="有",0.15,0))*(1-IF(模拟模式!$K$19="有",0.3,0)-IF(CQ553,0.5,0))</f>
        <v>843.02999999999975</v>
      </c>
      <c r="S553" s="45">
        <f ca="1">R553/(R553+(185*模拟模式!$E$22-16800)*4.08224)</f>
        <v>8.389626085980037E-2</v>
      </c>
      <c r="T553" s="45" t="str">
        <f ca="1">LOOKUP(D553,'模拟-单技能数据'!$A$2:$A$19,'模拟-单技能数据'!$H$2:$H$19)</f>
        <v>阳</v>
      </c>
      <c r="U553" s="119">
        <f t="shared" ca="1" si="467"/>
        <v>0.2</v>
      </c>
      <c r="V553" s="47">
        <f ca="1">(1+L553)*(LOOKUP(D553,'模拟-单技能数据'!$A$2:$A$19,'模拟-单技能数据'!$D$2:$D$19)+G553*LOOKUP(D553,'模拟-单技能数据'!$A$2:$A$19,'模拟-单技能数据'!$F$2:$F$19))*(1+J553)*(1+K553)*(1-S553)*(1+U553)*Q553*LOOKUP(D553,'模拟-单技能数据'!$A$2:$A$19,'模拟-单技能数据'!$I$2:$I$20)</f>
        <v>25194.44799269021</v>
      </c>
      <c r="W553" s="47">
        <f ca="1">LOOKUP(D553,'模拟-单技能数据'!$A$2:$A$19,'模拟-单技能数据'!$G$2:$G$19)*$I$10</f>
        <v>361.51064354704795</v>
      </c>
      <c r="X553" s="47">
        <f t="shared" ca="1" si="493"/>
        <v>11118.353508757338</v>
      </c>
      <c r="Y553" s="47">
        <f t="shared" ca="1" si="468"/>
        <v>36674.312144994597</v>
      </c>
      <c r="Z553" s="49">
        <f t="shared" ca="1" si="469"/>
        <v>55225127.856947199</v>
      </c>
      <c r="AA553" s="97">
        <f t="shared" ca="1" si="470"/>
        <v>113811.0974207273</v>
      </c>
      <c r="AB553" s="115">
        <f ca="1">IF(OR(C553="赤日轮1",C553="赤日轮2",C553="赤日轮3"),IF(RAND()&lt;模拟模式!$Y$17,1,0),IF(OR(C553="幽月轮1",C553="幽月轮2",C553="幽月轮3"),IF(RAND()&lt;模拟模式!$Y$18,1,0),IF(C553="烈日斩",IF(RAND()&lt;模拟模式!$Y$19,1,0),IF(C553="银月斩",IF(RAND()&lt;模拟模式!$Y$20,1,0),IF(C553="驱夜断愁",IF(RAND()&lt;模拟模式!$Y$21,1,0),IF(C553="净世破魔击·日",IF(RAND()&lt;模拟模式!$Y$22,1,0),IF(C553="净世破魔击·月",IF(RAND()&lt;模拟模式!$Y$23,1,0),0)))))))</f>
        <v>1</v>
      </c>
      <c r="AC553" s="115" t="b">
        <f t="shared" ca="1" si="458"/>
        <v>0</v>
      </c>
      <c r="AD553" s="115" t="b">
        <f t="shared" ca="1" si="478"/>
        <v>0</v>
      </c>
      <c r="AE553" s="115">
        <f t="shared" ca="1" si="479"/>
        <v>3</v>
      </c>
      <c r="AF553" s="47">
        <f ca="1">IF(AC553,('模拟-单技能数据'!$D$20+G553*'模拟-单技能数据'!$F$20)*(1+J553)*(1+'模拟-单技能数据'!$J$20)*(1+U553),0)</f>
        <v>0</v>
      </c>
      <c r="AG553" s="61">
        <f t="shared" ca="1" si="471"/>
        <v>0.64185145527300214</v>
      </c>
      <c r="AH553" s="61">
        <f t="shared" ca="1" si="472"/>
        <v>2.2624828854998791</v>
      </c>
      <c r="AI553" s="62">
        <f t="shared" ca="1" si="494"/>
        <v>0.99863453201573427</v>
      </c>
      <c r="AJ553" s="47">
        <f ca="1">IF(AD553,IF(AI553&lt;$F$10,0,IF(AI553&lt;$F$10+$F$11,0.25,IF(AI553&lt;$F$10+$F$11+AG553,AH553,1)))*IF(AF553&gt;0,AF553,IF(AF552&gt;0,AF552,IF(AF551&gt;0,AF551,IF(AF550&gt;0,AF550,IF(AF549&gt;0,AF549,IF(AF548&gt;0,AF548,IF(AF547&gt;0,AF547,IF(AF546&gt;0,AF546,IF(AF545&gt;0,AF545,IF(AF543&gt;0,AF543,IF(AF542&gt;0,AF542,IF(AF541&gt;0,AF541,0)))))))))))),0)*(1-$S553)*'模拟-单技能数据'!$I$20</f>
        <v>0</v>
      </c>
      <c r="AK553" s="115" t="b">
        <f t="shared" ca="1" si="459"/>
        <v>0</v>
      </c>
      <c r="AL553" s="115" t="b">
        <f t="shared" ca="1" si="480"/>
        <v>1</v>
      </c>
      <c r="AM553" s="115">
        <f t="shared" ca="1" si="481"/>
        <v>5</v>
      </c>
      <c r="AN553" s="47">
        <f ca="1">IF(AK553,('模拟-单技能数据'!$D$21+G553*'模拟-单技能数据'!$F$21)*(1+J553)*(1+'模拟-单技能数据'!$J$21)*(1+U553),0)</f>
        <v>0</v>
      </c>
      <c r="AO553" s="61">
        <f ca="1">IF(AN553&gt;0,M553-'模拟-单技能数据'!$K$10,AO552)</f>
        <v>0.42185145527300216</v>
      </c>
      <c r="AP553" s="61">
        <f ca="1">IF(AN553&gt;0,I553-'模拟-单技能数据'!$L$10,AP552)</f>
        <v>2.162482885499879</v>
      </c>
      <c r="AQ553" s="63">
        <f t="shared" ca="1" si="495"/>
        <v>0.95110524793737705</v>
      </c>
      <c r="AR553" s="64">
        <f ca="1">IF(AL553,IF(AQ553&lt;$F$10,0,IF(AQ553&lt;$F$10+$F$11,0.25,IF(AQ553&lt;$F$10+$F$11+AO553,AP553,1)))*IF(AN553&gt;0,AN553,IF(AN552&gt;0,AN552,IF(AN551&gt;0,AN551,IF(AN550&gt;0,AN550,IF(AN549&gt;0,AN549,IF(AN548&gt;0,AN548,IF(AN547&gt;0,AN547,IF(AN546&gt;0,AN546,IF(AN545&gt;0,AN545,IF(AN543&gt;0,AN543,IF(AN542&gt;0,AN542,IF(AN541&gt;0,AN541,0)))))))))))),0)*(1-$S553)*'模拟-单技能数据'!$I$21</f>
        <v>11118.353508757338</v>
      </c>
      <c r="AS553" s="61">
        <f ca="1">IF(OR(C553="净世破魔击·日",C553="净世破魔击·月"),M553-'模拟-单技能数据'!$K$10,0)</f>
        <v>0</v>
      </c>
      <c r="AT553" s="61">
        <f ca="1">IF(OR(C553="净世破魔击·日",C553="净世破魔击·月"),I553-'模拟-单技能数据'!$L$10,0)</f>
        <v>0</v>
      </c>
      <c r="AU553" s="62">
        <f t="shared" ca="1" si="496"/>
        <v>0.93260151739874608</v>
      </c>
      <c r="AV553" s="64">
        <f ca="1">IF(AS553&gt;0,('模拟-单技能数据'!$D$22+G553*'模拟-单技能数据'!$F$22)*(1+J553)*(1-S553)*IF(AU553&lt;$F$10,0,IF(AU553&lt;$F$10+$F$11,0.25,IF(AU553&lt;$F$10+$F$11+AS553,AT553,1)))*(1+U553),0)*'模拟-单技能数据'!$I$22</f>
        <v>0</v>
      </c>
      <c r="AW553" s="108">
        <f t="shared" ca="1" si="497"/>
        <v>8.0075000000000074</v>
      </c>
      <c r="AX553" s="108" t="b">
        <f ca="1">AND(模拟模式!$P$10="有",AW552=0,RAND()&lt;IF(C553="净世破魔击·月",0.1*8/3,IF(C553="净世破魔击·日",0.1*4/3,0.1*2/3)))</f>
        <v>0</v>
      </c>
      <c r="AY553" s="47">
        <f ca="1">IF(AX553,(18+G553*0.722)*(1+J553)*(1-S553)*(1+$I$4)*IF(P553="会",'模拟-全程加成'!$J$3+'模拟-全程加成'!$J$4+'模拟-全程加成'!$J$5+('模拟-全程加成'!$I$4+'模拟-全程加成'!$I$5)/系数!$B$4+BG553*10%,IF(P553="命",1,IF(P553="识",0.25,0))),0)</f>
        <v>0</v>
      </c>
      <c r="AZ553" s="108">
        <f t="shared" si="498"/>
        <v>1.5500000000000065</v>
      </c>
      <c r="BA553" s="108" t="b">
        <f>AND(模拟模式!$Q$10="有",AZ552=0)</f>
        <v>0</v>
      </c>
      <c r="BB553" s="140">
        <f>IF(BA553,(0+G553*0.287)*(1+J553)*(1-S553)*(1+$I$4)*IF(P553="会",'模拟-全程加成'!$J$3+'模拟-全程加成'!$J$4+'模拟-全程加成'!$J$5+('模拟-全程加成'!$I$4+'模拟-全程加成'!$I$5)/系数!$B$4+BG553*10%,IF(P553="命",1,IF(P553="识",0.25,0))),0)</f>
        <v>0</v>
      </c>
      <c r="BC553" s="115" t="b">
        <f ca="1">AND(模拟模式!$R$7="伏明众生",E553=60,F553=20,DA553&lt;5,CZ552&lt;$F$4)</f>
        <v>0</v>
      </c>
      <c r="BD553" s="115">
        <f t="shared" ca="1" si="460"/>
        <v>0</v>
      </c>
      <c r="BE553" s="115" t="b">
        <f t="shared" ca="1" si="461"/>
        <v>0</v>
      </c>
      <c r="BF553" s="47">
        <f ca="1">IF(BC553,4*('模拟-单技能数据'!$D$24+G553*'模拟-单技能数据'!$F$24)*(1+J553)*(1+'模拟-单技能数据'!$J$24)*(1-S553)*(1+$I$3)*(('模拟-全程加成'!$J$3+'模拟-全程加成'!$J$4+'模拟-全程加成'!$J$5+('模拟-全程加成'!$I$4+'模拟-全程加成'!$I$5)/系数!$B$4+BG553*10%)*('模拟-全程加成'!$J$3+'模拟-全程加成'!$J$4+'模拟-全程加成'!$J$5+('模拟-全程加成'!$I$4+'模拟-全程加成'!$I$5)/系数!$B$4+BG553*10%)+(1-('模拟-全程加成'!$J$3+'模拟-全程加成'!$J$4+'模拟-全程加成'!$J$5+('模拟-全程加成'!$I$4+'模拟-全程加成'!$I$5)/系数!$B$4+BG553*10%)-$F$10-$F$11)+F539*0.25),0)*'模拟-单技能数据'!$I$24</f>
        <v>0</v>
      </c>
      <c r="BG553" s="115" t="b">
        <f ca="1">OR(AND(OR(C553="烈日斩",C553="银月斩"),模拟模式!$I$7="净身明礼"),AND(C553="净世破魔击·日",模拟模式!$J$7="洞若观火"),AND(C554="净世破魔击·月",模拟模式!$J$7="洞若观火"),AB553=1)</f>
        <v>1</v>
      </c>
      <c r="BH553" s="115" t="b">
        <f t="shared" ca="1" si="499"/>
        <v>0</v>
      </c>
      <c r="BI553" s="115">
        <f t="shared" ca="1" si="462"/>
        <v>0</v>
      </c>
      <c r="BJ553" s="115" t="b">
        <f t="shared" ca="1" si="473"/>
        <v>0</v>
      </c>
      <c r="BK553" s="115" t="b">
        <f ca="1">AND(C553="驱夜断愁",模拟模式!$P$7="天地诛戮")</f>
        <v>0</v>
      </c>
      <c r="BL553" s="57">
        <f t="shared" ca="1" si="463"/>
        <v>15.387500000000003</v>
      </c>
      <c r="BM553" s="115" t="b">
        <f t="shared" ca="1" si="474"/>
        <v>1</v>
      </c>
      <c r="BN553" s="115" t="b">
        <f ca="1">AND(OR(C553="赤日轮1",C553="赤日轮2",C553="赤日轮3",C553="幽月轮1",C553="幽月轮2",C553="幽月轮3"),AB553=1,模拟模式!$L$7="明光恒照")</f>
        <v>1</v>
      </c>
      <c r="BO553" s="117">
        <f t="shared" ca="1" si="464"/>
        <v>30</v>
      </c>
      <c r="BP553" s="115">
        <f t="shared" ca="1" si="500"/>
        <v>6</v>
      </c>
      <c r="BQ553" s="115" t="b">
        <f>模拟模式!$K$10="2600·水"</f>
        <v>0</v>
      </c>
      <c r="BR553" s="117">
        <f t="shared" si="501"/>
        <v>0</v>
      </c>
      <c r="BS553" s="115">
        <f t="shared" si="502"/>
        <v>0</v>
      </c>
      <c r="BT553" s="115">
        <f t="shared" ca="1" si="503"/>
        <v>0</v>
      </c>
      <c r="BU553" s="115" t="b">
        <f ca="1">AND(模拟模式!$K$10="2300·雷",BT552=0,RAND()&lt;IF(C553="净世破魔击·月",5*0.05*2/3,IF(C553="净世破魔击·日",3*0.05*2/3,0.05*2*2/3)))</f>
        <v>0</v>
      </c>
      <c r="BV553" s="115">
        <f t="shared" ca="1" si="504"/>
        <v>0</v>
      </c>
      <c r="BW553" s="115">
        <f t="shared" ca="1" si="505"/>
        <v>70.222499999999272</v>
      </c>
      <c r="BX553" s="164" t="b">
        <f t="shared" ca="1" si="506"/>
        <v>0</v>
      </c>
      <c r="BY553" s="115">
        <f t="shared" ca="1" si="507"/>
        <v>0</v>
      </c>
      <c r="BZ553" s="115">
        <f>IF(OR(模拟模式!$P$16="10人团",模拟模式!$P$16="25人团"),IF(B553/30&gt;CA552,1,0),0)</f>
        <v>0</v>
      </c>
      <c r="CA553" s="115">
        <f t="shared" si="483"/>
        <v>0</v>
      </c>
      <c r="CB553" s="115">
        <f ca="1">IF(BZ553=1,IF(模拟模式!$P$16="10人团",15,0)+IF(模拟模式!$P$16="25人团",IF(RAND()&lt;0.6,15,0)),MAX(0,CB552-$F$4))</f>
        <v>0</v>
      </c>
      <c r="CC553" s="115" t="b">
        <f t="shared" ca="1" si="475"/>
        <v>0</v>
      </c>
      <c r="CD553" s="115">
        <f>IF(模拟模式!$Q$16="1个",IF(B553/40&gt;CE552,1,0),0)</f>
        <v>0</v>
      </c>
      <c r="CE553" s="115">
        <f t="shared" si="476"/>
        <v>0</v>
      </c>
      <c r="CF553" s="115">
        <f>IF(OR(CD553=1,模拟模式!$Q$16="2个"),20,MAX(0,CF552-$F$4))</f>
        <v>0</v>
      </c>
      <c r="CG553" s="115" t="b">
        <f t="shared" si="477"/>
        <v>0</v>
      </c>
      <c r="CH553" s="115">
        <f t="shared" ca="1" si="508"/>
        <v>21.697500000000005</v>
      </c>
      <c r="CI553" s="115" t="b">
        <f t="shared" ca="1" si="509"/>
        <v>0</v>
      </c>
      <c r="CJ553" s="119">
        <f t="shared" ca="1" si="510"/>
        <v>0</v>
      </c>
      <c r="CK553" s="115">
        <f t="shared" ca="1" si="511"/>
        <v>0</v>
      </c>
      <c r="CL553" s="115" t="b">
        <f ca="1">AND(模拟模式!$S$7="驱夷逐法",OR(AND(C553="净世破魔击·月",E552&gt;59),AND(C553="净世破魔击·日",F552&gt;59)))</f>
        <v>0</v>
      </c>
      <c r="CM553" s="115" t="b">
        <f ca="1">OR(CL553,AND(C553="净世破魔击·日",CL552,RAND()&lt;模拟模式!$U$23))</f>
        <v>0</v>
      </c>
      <c r="CN553" s="115" t="b">
        <f ca="1">IF(模拟模式!$M$7="辉耀红尘",AND(C553="净世破魔击·月",CL553,CV553=0,E552&lt;80),AND(C553="净世破魔击·月",CL553,E552&lt;100))</f>
        <v>0</v>
      </c>
      <c r="CO553" s="115" t="b">
        <f t="shared" ca="1" si="484"/>
        <v>0</v>
      </c>
      <c r="CP553" s="115" t="b">
        <f ca="1">AND(模拟模式!$O$7="用晦而明",OR(C553="净世破魔击·日",C553="净世破魔击·月",C553="驱夜断愁"),AB553)</f>
        <v>0</v>
      </c>
      <c r="CQ553" s="115" t="b">
        <f ca="1">OR(CP553,AND(CP552,RAND()&lt;模拟模式!$U$23))</f>
        <v>1</v>
      </c>
      <c r="CR553" s="115" t="b">
        <f ca="1">AND(模拟模式!$S$7="日月齐光",OR(C553="幽月轮1",C553="幽月轮2",C553="幽月轮3",CR552),NOT(OR(C553="赤日轮1",C553="赤日轮2",C553="赤日轮3")))</f>
        <v>0</v>
      </c>
      <c r="CS553" s="115" t="b">
        <f ca="1">AND(模拟模式!$S$7="日月齐光",OR(C553="赤日轮1",C553="赤日轮2",C553="赤日轮3",CS552),NOT(OR(C553="幽月轮1",C553="幽月轮2",C553="幽月轮3")))</f>
        <v>0</v>
      </c>
      <c r="CT553" s="115">
        <f t="shared" ca="1" si="512"/>
        <v>18.007500000000007</v>
      </c>
      <c r="CU553" s="115" t="b">
        <f ca="1">AND(模拟模式!$K$10="阴阳往极",CT552=0,RAND()&lt;IF(C553="净世破魔击·月",0.0275*7/3,IF(C553="净世破魔击·日",0.0275*3/3,0.0275*2/3)))</f>
        <v>0</v>
      </c>
      <c r="CV553" s="115">
        <f t="shared" ca="1" si="513"/>
        <v>0</v>
      </c>
      <c r="CW553" s="115">
        <f t="shared" ca="1" si="485"/>
        <v>2.3099999999999996</v>
      </c>
      <c r="CX553" s="115">
        <f t="shared" ca="1" si="486"/>
        <v>0.46499999999999975</v>
      </c>
      <c r="CY553" s="115">
        <f ca="1">MAX(IF($C553="驱夜断愁",IF(模拟模式!$R$7="万念俱寂",6,45),CY552-$F$4),0)</f>
        <v>1.3874999999999997</v>
      </c>
      <c r="CZ553" s="115">
        <f t="shared" ca="1" si="487"/>
        <v>0</v>
      </c>
      <c r="DA553" s="115">
        <f ca="1">IF(模拟模式!$N$7="日月同辉",IF(DB552=2,0,MIN(6,IF(AND(OR(C553="赤日轮1",C553="赤日轮2",C553="赤日轮3",C553="幽月轮1",C553="幽月轮2",C553="幽月轮3"),AB553=1),DA552+1,DA552))),0)</f>
        <v>4</v>
      </c>
      <c r="DB553" s="115">
        <f t="shared" ca="1" si="488"/>
        <v>0</v>
      </c>
      <c r="DC553" s="115"/>
      <c r="DD553" s="115"/>
      <c r="DE553" s="115"/>
      <c r="DF553" s="115"/>
      <c r="DG553" s="115"/>
      <c r="DH553" s="115"/>
      <c r="DI553" s="115"/>
      <c r="DJ553" s="115"/>
      <c r="DK553" s="115"/>
      <c r="DL553" s="115"/>
      <c r="DM553" s="115"/>
    </row>
    <row r="554" spans="2:117" x14ac:dyDescent="0.2">
      <c r="B554" s="117">
        <f t="shared" si="489"/>
        <v>486.1575000000052</v>
      </c>
      <c r="C554" s="167" t="str">
        <f t="shared" ca="1" si="482"/>
        <v>银月斩</v>
      </c>
      <c r="D554" s="115">
        <f ca="1">IF(C554="赤日轮1",1,IF(C554="赤日轮2",2,IF(C554="赤日轮3",3,IF(C554="幽月轮1",4,IF(C554="幽月轮2",5,IF(C554="幽月轮3",6,IF(C554="烈日斩",7,IF(C554="银月斩",8,IF(C554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554="净世破魔击·月",17,IF(C554="驱夜断愁",18,0)))))))))))</f>
        <v>8</v>
      </c>
      <c r="E554" s="115">
        <f ca="1">IF(AND(CU554,OR(C554="幽月轮1",C554="幽月轮2",C554="幽月轮3",C554="银月斩",C554="驱夜断愁",C554="净世破魔击·月")),100,MIN(IF(OR(CN554,BE554),0,IF(OR($C554="赤日轮1",$C554="赤日轮2",$C554="赤日轮3"),E553+20+IF(模拟模式!$I$7="日月凌天",4,0)+IF(CR553,20,0),IF($C554="烈日斩",E553+40,IF($C554="驱夜断愁",IF(模拟模式!$R$7="万念俱寂",E553+20,E553+60),IF($C554="净世破魔击·月",IF(OR(DB553&gt;0,CV553&gt;0),100,IF(模拟模式!$M$7="辉耀红尘",E553+20,E553)),IF($C554="净世破魔击·日",E553-100,E553)))))),100))</f>
        <v>20</v>
      </c>
      <c r="F554" s="115">
        <f ca="1">IF(AND(CU554,OR(C554="赤日轮1",C554="赤日轮2",C554="赤日轮3",C554="烈日斩",C554="净世破魔击·日")),100,MIN(IF(CO554,0,IF(OR($C554="幽月轮1",$C554="幽月轮2",$C554="幽月轮3"),F553+20+IF(模拟模式!$I$7="日月凌天",4,0)+IF(CS553,20,0),IF($C554="银月斩",F553+40+IF(模拟模式!$X$12=1,5,0),IF($C554="驱夜断愁",IF(模拟模式!$R$7="万念俱寂",F553+20,F553+60),IF($C554="净世破魔击·月",IF(模拟模式!$M$7="辉耀红尘",F553-80,F553-100),IF(AND(C554="净世破魔击·日",OR(DB553&gt;0,CV553&gt;0)),100,F553)))))),100))</f>
        <v>65</v>
      </c>
      <c r="G554" s="117">
        <f ca="1">('模拟-全程加成'!$E$3+'模拟-全程加成'!$E$4+'模拟-全程加成'!$E$5+('模拟-全程加成'!$C$6-'模拟-全程加成'!$C$3)*系数!$B$9+BS554*23)*(1+'模拟-全程加成'!$F$4+'模拟-全程加成'!$F$5+BJ554*10%+BM554*20%+BP554*4%+CG554*30%)+$F$7*系数!$B$12</f>
        <v>20583.127400000001</v>
      </c>
      <c r="H554" s="45">
        <f ca="1">'模拟-全程加成'!$H$3+'模拟-全程加成'!$H$4+'模拟-全程加成'!$H$5+('模拟-全程加成'!$G$4+'模拟-全程加成'!$G$5+('模拟-全程加成'!$C$6-'模拟-全程加成'!$C$3)*系数!$B$13)/系数!$B$3+LOOKUP(D554,'模拟-单技能数据'!$A$2:$A$19,'模拟-单技能数据'!$K$2:$K$19)+BG554*10%+IF(BV554&gt;0,378,0)</f>
        <v>0.64185145527300214</v>
      </c>
      <c r="I554" s="45">
        <f ca="1">'模拟-全程加成'!$J$3+'模拟-全程加成'!$J$4+'模拟-全程加成'!$J$5+('模拟-全程加成'!$I$4+'模拟-全程加成'!$I$5)/系数!$B$4+LOOKUP(D554,'模拟-单技能数据'!$A$2:$A$19,'模拟-单技能数据'!$L$2:$L$19)+BG554*10%</f>
        <v>2.2624828854998791</v>
      </c>
      <c r="J554" s="45">
        <f ca="1">(('模拟-全程加成'!$K$3+'模拟-全程加成'!$K$4+'模拟-全程加成'!$K$5+('模拟-全程加成'!$C$6-'模拟-全程加成'!$C$3)*系数!$B$10+IF(BV554&gt;0,882,0)+IF(BY554&gt;0,1831,0))*(1+'模拟-全程加成'!$L$4+'模拟-全程加成'!$L$5+CC554*20%))/系数!$B$5</f>
        <v>0.69723220422048726</v>
      </c>
      <c r="K554" s="119">
        <f ca="1">LOOKUP(D554,'模拟-单技能数据'!$A$2:$A$19,'模拟-单技能数据'!$J$2:$J$19)+IF(CM554,60%,0)+IF(DB553-DB554&gt;0,30%,0)+IF(OR(AND(OR(C554="赤日轮1",C554="赤日轮2",C554="赤日轮3"),CR554),AND(OR(C554="幽月轮1",C554="幽月轮2",C554="幽月轮3"),CS554)),35%,0)+CJ554</f>
        <v>0.15</v>
      </c>
      <c r="L554" s="119">
        <f ca="1">IF(AND(C554="烈日斩",模拟模式!$X$11=1),10%,0)+IF(AND(C554="驱夜断愁",AB554=1),30%,0)</f>
        <v>0</v>
      </c>
      <c r="M554" s="45">
        <f t="shared" ca="1" si="465"/>
        <v>0.64185145527300214</v>
      </c>
      <c r="N554" s="45">
        <f t="shared" ca="1" si="466"/>
        <v>0.30424854472699792</v>
      </c>
      <c r="O554" s="46">
        <f t="shared" ca="1" si="490"/>
        <v>0.25248381473615344</v>
      </c>
      <c r="P554" s="46" t="str">
        <f t="shared" ca="1" si="491"/>
        <v>会</v>
      </c>
      <c r="Q554" s="45">
        <f t="shared" ca="1" si="492"/>
        <v>2.2624828854998791</v>
      </c>
      <c r="R554" s="117">
        <f ca="1">模拟模式!$E$20*(1-IF(模拟模式!$J$19="有",0.15,0))*(1-IF(模拟模式!$K$19="有",0.3,0)-IF(CQ554,0.5,0))</f>
        <v>2950.6049999999996</v>
      </c>
      <c r="S554" s="45">
        <f ca="1">R554/(R554+(185*模拟模式!$E$22-16800)*4.08224)</f>
        <v>0.24272716014590323</v>
      </c>
      <c r="T554" s="45" t="str">
        <f ca="1">LOOKUP(D554,'模拟-单技能数据'!$A$2:$A$19,'模拟-单技能数据'!$H$2:$H$19)</f>
        <v>阴</v>
      </c>
      <c r="U554" s="119">
        <f t="shared" ca="1" si="467"/>
        <v>0.08</v>
      </c>
      <c r="V554" s="47">
        <f ca="1">(1+L554)*(LOOKUP(D554,'模拟-单技能数据'!$A$2:$A$19,'模拟-单技能数据'!$D$2:$D$19)+G554*LOOKUP(D554,'模拟-单技能数据'!$A$2:$A$19,'模拟-单技能数据'!$F$2:$F$19))*(1+J554)*(1+K554)*(1-S554)*(1+U554)*Q554*LOOKUP(D554,'模拟-单技能数据'!$A$2:$A$19,'模拟-单技能数据'!$I$2:$I$20)</f>
        <v>39481.310356797861</v>
      </c>
      <c r="W554" s="47">
        <f ca="1">LOOKUP(D554,'模拟-单技能数据'!$A$2:$A$19,'模拟-单技能数据'!$G$2:$G$19)*$I$10</f>
        <v>361.51064354704795</v>
      </c>
      <c r="X554" s="47">
        <f t="shared" ca="1" si="493"/>
        <v>7620.5875385322679</v>
      </c>
      <c r="Y554" s="47">
        <f t="shared" ca="1" si="468"/>
        <v>47463.408538877171</v>
      </c>
      <c r="Z554" s="49">
        <f t="shared" ca="1" si="469"/>
        <v>55272591.265486076</v>
      </c>
      <c r="AA554" s="97">
        <f t="shared" ca="1" si="470"/>
        <v>113692.76677925464</v>
      </c>
      <c r="AB554" s="115">
        <f ca="1">IF(OR(C554="赤日轮1",C554="赤日轮2",C554="赤日轮3"),IF(RAND()&lt;模拟模式!$Y$17,1,0),IF(OR(C554="幽月轮1",C554="幽月轮2",C554="幽月轮3"),IF(RAND()&lt;模拟模式!$Y$18,1,0),IF(C554="烈日斩",IF(RAND()&lt;模拟模式!$Y$19,1,0),IF(C554="银月斩",IF(RAND()&lt;模拟模式!$Y$20,1,0),IF(C554="驱夜断愁",IF(RAND()&lt;模拟模式!$Y$21,1,0),IF(C554="净世破魔击·日",IF(RAND()&lt;模拟模式!$Y$22,1,0),IF(C554="净世破魔击·月",IF(RAND()&lt;模拟模式!$Y$23,1,0),0)))))))</f>
        <v>1</v>
      </c>
      <c r="AC554" s="115" t="b">
        <f t="shared" ca="1" si="458"/>
        <v>1</v>
      </c>
      <c r="AD554" s="115" t="b">
        <f t="shared" ca="1" si="478"/>
        <v>1</v>
      </c>
      <c r="AE554" s="115">
        <f t="shared" ca="1" si="479"/>
        <v>5</v>
      </c>
      <c r="AF554" s="47">
        <f ca="1">IF(AC554,('模拟-单技能数据'!$D$20+G554*'模拟-单技能数据'!$F$20)*(1+J554)*(1+'模拟-单技能数据'!$J$20)*(1+U554),0)</f>
        <v>4447.8565560098323</v>
      </c>
      <c r="AG554" s="61">
        <f t="shared" ca="1" si="471"/>
        <v>0.64185145527300214</v>
      </c>
      <c r="AH554" s="61">
        <f t="shared" ca="1" si="472"/>
        <v>2.2624828854998791</v>
      </c>
      <c r="AI554" s="62">
        <f t="shared" ca="1" si="494"/>
        <v>0.48374135321119882</v>
      </c>
      <c r="AJ554" s="47">
        <f ca="1">IF(AD554,IF(AI554&lt;$F$10,0,IF(AI554&lt;$F$10+$F$11,0.25,IF(AI554&lt;$F$10+$F$11+AG554,AH554,1)))*IF(AF554&gt;0,AF554,IF(AF553&gt;0,AF553,IF(AF552&gt;0,AF552,IF(AF551&gt;0,AF551,IF(AF550&gt;0,AF550,IF(AF549&gt;0,AF549,IF(AF548&gt;0,AF548,IF(AF547&gt;0,AF547,IF(AF546&gt;0,AF546,IF(AF544&gt;0,AF544,IF(AF543&gt;0,AF543,IF(AF542&gt;0,AF542,0)))))))))))),0)*(1-$S554)*'模拟-单技能数据'!$I$20</f>
        <v>7620.5875385322679</v>
      </c>
      <c r="AK554" s="115" t="b">
        <f t="shared" ca="1" si="459"/>
        <v>0</v>
      </c>
      <c r="AL554" s="115" t="b">
        <f t="shared" ca="1" si="480"/>
        <v>0</v>
      </c>
      <c r="AM554" s="115">
        <f t="shared" ca="1" si="481"/>
        <v>5</v>
      </c>
      <c r="AN554" s="47">
        <f ca="1">IF(AK554,('模拟-单技能数据'!$D$21+G554*'模拟-单技能数据'!$F$21)*(1+J554)*(1+'模拟-单技能数据'!$J$21)*(1+U554),0)</f>
        <v>0</v>
      </c>
      <c r="AO554" s="61">
        <f ca="1">IF(AN554&gt;0,M554-'模拟-单技能数据'!$K$10,AO553)</f>
        <v>0.42185145527300216</v>
      </c>
      <c r="AP554" s="61">
        <f ca="1">IF(AN554&gt;0,I554-'模拟-单技能数据'!$L$10,AP553)</f>
        <v>2.162482885499879</v>
      </c>
      <c r="AQ554" s="63">
        <f t="shared" ca="1" si="495"/>
        <v>6.8902963578648779E-2</v>
      </c>
      <c r="AR554" s="64">
        <f ca="1">IF(AL554,IF(AQ554&lt;$F$10,0,IF(AQ554&lt;$F$10+$F$11,0.25,IF(AQ554&lt;$F$10+$F$11+AO554,AP554,1)))*IF(AN554&gt;0,AN554,IF(AN553&gt;0,AN553,IF(AN552&gt;0,AN552,IF(AN551&gt;0,AN551,IF(AN550&gt;0,AN550,IF(AN549&gt;0,AN549,IF(AN548&gt;0,AN548,IF(AN547&gt;0,AN547,IF(AN546&gt;0,AN546,IF(AN544&gt;0,AN544,IF(AN543&gt;0,AN543,IF(AN542&gt;0,AN542,0)))))))))))),0)*(1-$S554)*'模拟-单技能数据'!$I$21</f>
        <v>0</v>
      </c>
      <c r="AS554" s="61">
        <f ca="1">IF(OR(C554="净世破魔击·日",C554="净世破魔击·月"),M554-'模拟-单技能数据'!$K$10,0)</f>
        <v>0</v>
      </c>
      <c r="AT554" s="61">
        <f ca="1">IF(OR(C554="净世破魔击·日",C554="净世破魔击·月"),I554-'模拟-单技能数据'!$L$10,0)</f>
        <v>0</v>
      </c>
      <c r="AU554" s="62">
        <f t="shared" ca="1" si="496"/>
        <v>0.53030424812112553</v>
      </c>
      <c r="AV554" s="64">
        <f ca="1">IF(AS554&gt;0,('模拟-单技能数据'!$D$22+G554*'模拟-单技能数据'!$F$22)*(1+J554)*(1-S554)*IF(AU554&lt;$F$10,0,IF(AU554&lt;$F$10+$F$11,0.25,IF(AU554&lt;$F$10+$F$11+AS554,AT554,1)))*(1+U554),0)*'模拟-单技能数据'!$I$22</f>
        <v>0</v>
      </c>
      <c r="AW554" s="108">
        <f t="shared" ca="1" si="497"/>
        <v>7.0850000000000071</v>
      </c>
      <c r="AX554" s="108" t="b">
        <f ca="1">AND(模拟模式!$P$10="有",AW553=0,RAND()&lt;IF(C554="净世破魔击·月",0.1*8/3,IF(C554="净世破魔击·日",0.1*4/3,0.1*2/3)))</f>
        <v>0</v>
      </c>
      <c r="AY554" s="47">
        <f ca="1">IF(AX554,(18+G554*0.722)*(1+J554)*(1-S554)*(1+$I$4)*IF(P554="会",'模拟-全程加成'!$J$3+'模拟-全程加成'!$J$4+'模拟-全程加成'!$J$5+('模拟-全程加成'!$I$4+'模拟-全程加成'!$I$5)/系数!$B$4+BG554*10%,IF(P554="命",1,IF(P554="识",0.25,0))),0)</f>
        <v>0</v>
      </c>
      <c r="AZ554" s="108">
        <f t="shared" si="498"/>
        <v>0.6275000000000065</v>
      </c>
      <c r="BA554" s="108" t="b">
        <f>AND(模拟模式!$Q$10="有",AZ553=0)</f>
        <v>0</v>
      </c>
      <c r="BB554" s="140">
        <f>IF(BA554,(0+G554*0.287)*(1+J554)*(1-S554)*(1+$I$4)*IF(P554="会",'模拟-全程加成'!$J$3+'模拟-全程加成'!$J$4+'模拟-全程加成'!$J$5+('模拟-全程加成'!$I$4+'模拟-全程加成'!$I$5)/系数!$B$4+BG554*10%,IF(P554="命",1,IF(P554="识",0.25,0))),0)</f>
        <v>0</v>
      </c>
      <c r="BC554" s="115" t="b">
        <f ca="1">AND(模拟模式!$R$7="伏明众生",E554=60,F554=20,DA554&lt;5,CZ553&lt;$F$4)</f>
        <v>0</v>
      </c>
      <c r="BD554" s="115">
        <f t="shared" ca="1" si="460"/>
        <v>0</v>
      </c>
      <c r="BE554" s="115" t="b">
        <f t="shared" ca="1" si="461"/>
        <v>0</v>
      </c>
      <c r="BF554" s="47">
        <f ca="1">IF(BC554,4*('模拟-单技能数据'!$D$24+G554*'模拟-单技能数据'!$F$24)*(1+J554)*(1+'模拟-单技能数据'!$J$24)*(1-S554)*(1+$I$3)*(('模拟-全程加成'!$J$3+'模拟-全程加成'!$J$4+'模拟-全程加成'!$J$5+('模拟-全程加成'!$I$4+'模拟-全程加成'!$I$5)/系数!$B$4+BG554*10%)*('模拟-全程加成'!$J$3+'模拟-全程加成'!$J$4+'模拟-全程加成'!$J$5+('模拟-全程加成'!$I$4+'模拟-全程加成'!$I$5)/系数!$B$4+BG554*10%)+(1-('模拟-全程加成'!$J$3+'模拟-全程加成'!$J$4+'模拟-全程加成'!$J$5+('模拟-全程加成'!$I$4+'模拟-全程加成'!$I$5)/系数!$B$4+BG554*10%)-$F$10-$F$11)+F540*0.25),0)*'模拟-单技能数据'!$I$24</f>
        <v>0</v>
      </c>
      <c r="BG554" s="115" t="b">
        <f ca="1">OR(AND(OR(C554="烈日斩",C554="银月斩"),模拟模式!$I$7="净身明礼"),AND(C554="净世破魔击·日",模拟模式!$J$7="洞若观火"),AND(C555="净世破魔击·月",模拟模式!$J$7="洞若观火"),AB554=1)</f>
        <v>1</v>
      </c>
      <c r="BH554" s="115" t="b">
        <f t="shared" ca="1" si="499"/>
        <v>0</v>
      </c>
      <c r="BI554" s="115">
        <f t="shared" ca="1" si="462"/>
        <v>0</v>
      </c>
      <c r="BJ554" s="115" t="b">
        <f t="shared" ca="1" si="473"/>
        <v>0</v>
      </c>
      <c r="BK554" s="115" t="b">
        <f ca="1">AND(C554="驱夜断愁",模拟模式!$P$7="天地诛戮")</f>
        <v>0</v>
      </c>
      <c r="BL554" s="57">
        <f t="shared" ca="1" si="463"/>
        <v>14.465000000000003</v>
      </c>
      <c r="BM554" s="115" t="b">
        <f t="shared" ca="1" si="474"/>
        <v>1</v>
      </c>
      <c r="BN554" s="115" t="b">
        <f ca="1">AND(OR(C554="赤日轮1",C554="赤日轮2",C554="赤日轮3",C554="幽月轮1",C554="幽月轮2",C554="幽月轮3"),AB554=1,模拟模式!$L$7="明光恒照")</f>
        <v>0</v>
      </c>
      <c r="BO554" s="117">
        <f t="shared" ca="1" si="464"/>
        <v>29.077500000000001</v>
      </c>
      <c r="BP554" s="115">
        <f t="shared" ca="1" si="500"/>
        <v>6</v>
      </c>
      <c r="BQ554" s="115" t="b">
        <f>模拟模式!$K$10="2600·水"</f>
        <v>0</v>
      </c>
      <c r="BR554" s="117">
        <f t="shared" si="501"/>
        <v>0</v>
      </c>
      <c r="BS554" s="115">
        <f t="shared" si="502"/>
        <v>0</v>
      </c>
      <c r="BT554" s="115">
        <f t="shared" ca="1" si="503"/>
        <v>0</v>
      </c>
      <c r="BU554" s="115" t="b">
        <f ca="1">AND(模拟模式!$K$10="2300·雷",BT553=0,RAND()&lt;IF(C554="净世破魔击·月",5*0.05*2/3,IF(C554="净世破魔击·日",3*0.05*2/3,0.05*2*2/3)))</f>
        <v>0</v>
      </c>
      <c r="BV554" s="115">
        <f t="shared" ca="1" si="504"/>
        <v>0</v>
      </c>
      <c r="BW554" s="115">
        <f t="shared" ca="1" si="505"/>
        <v>69.299999999999272</v>
      </c>
      <c r="BX554" s="164" t="b">
        <f t="shared" ca="1" si="506"/>
        <v>0</v>
      </c>
      <c r="BY554" s="115">
        <f t="shared" ca="1" si="507"/>
        <v>0</v>
      </c>
      <c r="BZ554" s="115">
        <f>IF(OR(模拟模式!$P$16="10人团",模拟模式!$P$16="25人团"),IF(B554/30&gt;CA553,1,0),0)</f>
        <v>0</v>
      </c>
      <c r="CA554" s="115">
        <f t="shared" si="483"/>
        <v>0</v>
      </c>
      <c r="CB554" s="115">
        <f ca="1">IF(BZ554=1,IF(模拟模式!$P$16="10人团",15,0)+IF(模拟模式!$P$16="25人团",IF(RAND()&lt;0.6,15,0)),MAX(0,CB553-$F$4))</f>
        <v>0</v>
      </c>
      <c r="CC554" s="115" t="b">
        <f t="shared" ca="1" si="475"/>
        <v>0</v>
      </c>
      <c r="CD554" s="115">
        <f>IF(模拟模式!$Q$16="1个",IF(B554/40&gt;CE553,1,0),0)</f>
        <v>0</v>
      </c>
      <c r="CE554" s="115">
        <f t="shared" si="476"/>
        <v>0</v>
      </c>
      <c r="CF554" s="115">
        <f>IF(OR(CD554=1,模拟模式!$Q$16="2个"),20,MAX(0,CF553-$F$4))</f>
        <v>0</v>
      </c>
      <c r="CG554" s="115" t="b">
        <f t="shared" si="477"/>
        <v>0</v>
      </c>
      <c r="CH554" s="115">
        <f t="shared" ca="1" si="508"/>
        <v>20.775000000000006</v>
      </c>
      <c r="CI554" s="115" t="b">
        <f t="shared" ca="1" si="509"/>
        <v>0</v>
      </c>
      <c r="CJ554" s="119">
        <f t="shared" ca="1" si="510"/>
        <v>0</v>
      </c>
      <c r="CK554" s="115">
        <f t="shared" ca="1" si="511"/>
        <v>0</v>
      </c>
      <c r="CL554" s="115" t="b">
        <f ca="1">AND(模拟模式!$S$7="驱夷逐法",OR(AND(C554="净世破魔击·月",E553&gt;59),AND(C554="净世破魔击·日",F553&gt;59)))</f>
        <v>0</v>
      </c>
      <c r="CM554" s="115" t="b">
        <f ca="1">OR(CL554,AND(C554="净世破魔击·日",CL553,RAND()&lt;模拟模式!$U$23))</f>
        <v>0</v>
      </c>
      <c r="CN554" s="115" t="b">
        <f ca="1">IF(模拟模式!$M$7="辉耀红尘",AND(C554="净世破魔击·月",CL554,CV554=0,E553&lt;80),AND(C554="净世破魔击·月",CL554,E553&lt;100))</f>
        <v>0</v>
      </c>
      <c r="CO554" s="115" t="b">
        <f t="shared" ca="1" si="484"/>
        <v>0</v>
      </c>
      <c r="CP554" s="115" t="b">
        <f ca="1">AND(模拟模式!$O$7="用晦而明",OR(C554="净世破魔击·日",C554="净世破魔击·月",C554="驱夜断愁"),AB554)</f>
        <v>0</v>
      </c>
      <c r="CQ554" s="115" t="b">
        <f ca="1">OR(CP554,AND(CP553,RAND()&lt;模拟模式!$U$23))</f>
        <v>0</v>
      </c>
      <c r="CR554" s="115" t="b">
        <f ca="1">AND(模拟模式!$S$7="日月齐光",OR(C554="幽月轮1",C554="幽月轮2",C554="幽月轮3",CR553),NOT(OR(C554="赤日轮1",C554="赤日轮2",C554="赤日轮3")))</f>
        <v>0</v>
      </c>
      <c r="CS554" s="115" t="b">
        <f ca="1">AND(模拟模式!$S$7="日月齐光",OR(C554="赤日轮1",C554="赤日轮2",C554="赤日轮3",CS553),NOT(OR(C554="幽月轮1",C554="幽月轮2",C554="幽月轮3")))</f>
        <v>0</v>
      </c>
      <c r="CT554" s="115">
        <f t="shared" ca="1" si="512"/>
        <v>17.085000000000008</v>
      </c>
      <c r="CU554" s="115" t="b">
        <f ca="1">AND(模拟模式!$K$10="阴阳往极",CT553=0,RAND()&lt;IF(C554="净世破魔击·月",0.0275*7/3,IF(C554="净世破魔击·日",0.0275*3/3,0.0275*2/3)))</f>
        <v>0</v>
      </c>
      <c r="CV554" s="115">
        <f t="shared" ca="1" si="513"/>
        <v>0</v>
      </c>
      <c r="CW554" s="115">
        <f t="shared" ca="1" si="485"/>
        <v>1.3874999999999997</v>
      </c>
      <c r="CX554" s="115">
        <f t="shared" ca="1" si="486"/>
        <v>6</v>
      </c>
      <c r="CY554" s="115">
        <f ca="1">MAX(IF($C554="驱夜断愁",IF(模拟模式!$R$7="万念俱寂",6,45),CY553-$F$4),0)</f>
        <v>0.46499999999999975</v>
      </c>
      <c r="CZ554" s="115">
        <f t="shared" ca="1" si="487"/>
        <v>0</v>
      </c>
      <c r="DA554" s="115">
        <f ca="1">IF(模拟模式!$N$7="日月同辉",IF(DB553=2,0,MIN(6,IF(AND(OR(C554="赤日轮1",C554="赤日轮2",C554="赤日轮3",C554="幽月轮1",C554="幽月轮2",C554="幽月轮3"),AB554=1),DA553+1,DA553))),0)</f>
        <v>4</v>
      </c>
      <c r="DB554" s="115">
        <f t="shared" ca="1" si="488"/>
        <v>0</v>
      </c>
      <c r="DC554" s="115"/>
      <c r="DD554" s="115"/>
      <c r="DE554" s="115"/>
      <c r="DF554" s="115"/>
      <c r="DG554" s="115"/>
      <c r="DH554" s="115"/>
      <c r="DI554" s="115"/>
      <c r="DJ554" s="115"/>
      <c r="DK554" s="115"/>
      <c r="DL554" s="115"/>
      <c r="DM554" s="115"/>
    </row>
    <row r="555" spans="2:117" x14ac:dyDescent="0.2">
      <c r="B555" s="117">
        <f t="shared" si="489"/>
        <v>487.08000000000521</v>
      </c>
      <c r="C555" s="167" t="str">
        <f t="shared" ca="1" si="482"/>
        <v>驱夜断愁</v>
      </c>
      <c r="D555" s="115">
        <f ca="1">IF(C555="赤日轮1",1,IF(C555="赤日轮2",2,IF(C555="赤日轮3",3,IF(C555="幽月轮1",4,IF(C555="幽月轮2",5,IF(C555="幽月轮3",6,IF(C555="烈日斩",7,IF(C555="银月斩",8,IF(C555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555="净世破魔击·月",17,IF(C555="驱夜断愁",18,0)))))))))))</f>
        <v>18</v>
      </c>
      <c r="E555" s="115">
        <f ca="1">IF(AND(CU555,OR(C555="幽月轮1",C555="幽月轮2",C555="幽月轮3",C555="银月斩",C555="驱夜断愁",C555="净世破魔击·月")),100,MIN(IF(OR(CN555,BE555),0,IF(OR($C555="赤日轮1",$C555="赤日轮2",$C555="赤日轮3"),E554+20+IF(模拟模式!$I$7="日月凌天",4,0)+IF(CR554,20,0),IF($C555="烈日斩",E554+40,IF($C555="驱夜断愁",IF(模拟模式!$R$7="万念俱寂",E554+20,E554+60),IF($C555="净世破魔击·月",IF(OR(DB554&gt;0,CV554&gt;0),100,IF(模拟模式!$M$7="辉耀红尘",E554+20,E554)),IF($C555="净世破魔击·日",E554-100,E554)))))),100))</f>
        <v>40</v>
      </c>
      <c r="F555" s="115">
        <f ca="1">IF(AND(CU555,OR(C555="赤日轮1",C555="赤日轮2",C555="赤日轮3",C555="烈日斩",C555="净世破魔击·日")),100,MIN(IF(CO555,0,IF(OR($C555="幽月轮1",$C555="幽月轮2",$C555="幽月轮3"),F554+20+IF(模拟模式!$I$7="日月凌天",4,0)+IF(CS554,20,0),IF($C555="银月斩",F554+40+IF(模拟模式!$X$12=1,5,0),IF($C555="驱夜断愁",IF(模拟模式!$R$7="万念俱寂",F554+20,F554+60),IF($C555="净世破魔击·月",IF(模拟模式!$M$7="辉耀红尘",F554-80,F554-100),IF(AND(C555="净世破魔击·日",OR(DB554&gt;0,CV554&gt;0)),100,F554)))))),100))</f>
        <v>85</v>
      </c>
      <c r="G555" s="117">
        <f ca="1">('模拟-全程加成'!$E$3+'模拟-全程加成'!$E$4+'模拟-全程加成'!$E$5+('模拟-全程加成'!$C$6-'模拟-全程加成'!$C$3)*系数!$B$9+BS555*23)*(1+'模拟-全程加成'!$F$4+'模拟-全程加成'!$F$5+BJ555*10%+BM555*20%+BP555*4%+CG555*30%)+$F$7*系数!$B$12</f>
        <v>20583.127400000001</v>
      </c>
      <c r="H555" s="45">
        <f ca="1">'模拟-全程加成'!$H$3+'模拟-全程加成'!$H$4+'模拟-全程加成'!$H$5+('模拟-全程加成'!$G$4+'模拟-全程加成'!$G$5+('模拟-全程加成'!$C$6-'模拟-全程加成'!$C$3)*系数!$B$13)/系数!$B$3+LOOKUP(D555,'模拟-单技能数据'!$A$2:$A$19,'模拟-单技能数据'!$K$2:$K$19)+BG555*10%+IF(BV555&gt;0,378,0)</f>
        <v>0.51185145527300213</v>
      </c>
      <c r="I555" s="45">
        <f ca="1">'模拟-全程加成'!$J$3+'模拟-全程加成'!$J$4+'模拟-全程加成'!$J$5+('模拟-全程加成'!$I$4+'模拟-全程加成'!$I$5)/系数!$B$4+LOOKUP(D555,'模拟-单技能数据'!$A$2:$A$19,'模拟-单技能数据'!$L$2:$L$19)+BG555*10%</f>
        <v>2.162482885499879</v>
      </c>
      <c r="J555" s="45">
        <f ca="1">(('模拟-全程加成'!$K$3+'模拟-全程加成'!$K$4+'模拟-全程加成'!$K$5+('模拟-全程加成'!$C$6-'模拟-全程加成'!$C$3)*系数!$B$10+IF(BV555&gt;0,882,0)+IF(BY555&gt;0,1831,0))*(1+'模拟-全程加成'!$L$4+'模拟-全程加成'!$L$5+CC555*20%))/系数!$B$5</f>
        <v>0.69723220422048726</v>
      </c>
      <c r="K555" s="119">
        <f ca="1">LOOKUP(D555,'模拟-单技能数据'!$A$2:$A$19,'模拟-单技能数据'!$J$2:$J$19)+IF(CM555,60%,0)+IF(DB554-DB555&gt;0,30%,0)+IF(OR(AND(OR(C555="赤日轮1",C555="赤日轮2",C555="赤日轮3"),CR555),AND(OR(C555="幽月轮1",C555="幽月轮2",C555="幽月轮3"),CS555)),35%,0)+CJ555</f>
        <v>0.14000000000000001</v>
      </c>
      <c r="L555" s="119">
        <f ca="1">IF(AND(C555="烈日斩",模拟模式!$X$11=1),10%,0)+IF(AND(C555="驱夜断愁",AB555=1),30%,0)</f>
        <v>0.3</v>
      </c>
      <c r="M555" s="45">
        <f t="shared" ca="1" si="465"/>
        <v>0.51185145527300213</v>
      </c>
      <c r="N555" s="45">
        <f t="shared" ca="1" si="466"/>
        <v>0.43424854472699792</v>
      </c>
      <c r="O555" s="46">
        <f t="shared" ca="1" si="490"/>
        <v>0.74574901532721227</v>
      </c>
      <c r="P555" s="46" t="str">
        <f t="shared" ca="1" si="491"/>
        <v>命</v>
      </c>
      <c r="Q555" s="45">
        <f t="shared" ca="1" si="492"/>
        <v>1</v>
      </c>
      <c r="R555" s="117">
        <f ca="1">模拟模式!$E$20*(1-IF(模拟模式!$J$19="有",0.15,0))*(1-IF(模拟模式!$K$19="有",0.3,0)-IF(CQ555,0.5,0))</f>
        <v>843.02999999999975</v>
      </c>
      <c r="S555" s="45">
        <f ca="1">R555/(R555+(185*模拟模式!$E$22-16800)*4.08224)</f>
        <v>8.389626085980037E-2</v>
      </c>
      <c r="T555" s="45" t="str">
        <f ca="1">LOOKUP(D555,'模拟-单技能数据'!$A$2:$A$19,'模拟-单技能数据'!$H$2:$H$19)</f>
        <v>阴</v>
      </c>
      <c r="U555" s="119">
        <f t="shared" ca="1" si="467"/>
        <v>0.08</v>
      </c>
      <c r="V555" s="47">
        <f ca="1">(1+L555)*(LOOKUP(D555,'模拟-单技能数据'!$A$2:$A$19,'模拟-单技能数据'!$D$2:$D$19)+G555*LOOKUP(D555,'模拟-单技能数据'!$A$2:$A$19,'模拟-单技能数据'!$F$2:$F$19))*(1+J555)*(1+K555)*(1-S555)*(1+U555)*Q555*LOOKUP(D555,'模拟-单技能数据'!$A$2:$A$19,'模拟-单技能数据'!$I$2:$I$20)</f>
        <v>58943.088028757353</v>
      </c>
      <c r="W555" s="47">
        <f ca="1">LOOKUP(D555,'模拟-单技能数据'!$A$2:$A$19,'模拟-单技能数据'!$G$2:$G$19)*$I$10</f>
        <v>723.0212870940959</v>
      </c>
      <c r="X555" s="47">
        <f t="shared" ca="1" si="493"/>
        <v>24043.249177625272</v>
      </c>
      <c r="Y555" s="47">
        <f t="shared" ca="1" si="468"/>
        <v>83709.358493476728</v>
      </c>
      <c r="Z555" s="49">
        <f t="shared" ca="1" si="469"/>
        <v>55356300.623979554</v>
      </c>
      <c r="AA555" s="97">
        <f t="shared" ca="1" si="470"/>
        <v>113649.29913767545</v>
      </c>
      <c r="AB555" s="115">
        <f ca="1">IF(OR(C555="赤日轮1",C555="赤日轮2",C555="赤日轮3"),IF(RAND()&lt;模拟模式!$Y$17,1,0),IF(OR(C555="幽月轮1",C555="幽月轮2",C555="幽月轮3"),IF(RAND()&lt;模拟模式!$Y$18,1,0),IF(C555="烈日斩",IF(RAND()&lt;模拟模式!$Y$19,1,0),IF(C555="银月斩",IF(RAND()&lt;模拟模式!$Y$20,1,0),IF(C555="驱夜断愁",IF(RAND()&lt;模拟模式!$Y$21,1,0),IF(C555="净世破魔击·日",IF(RAND()&lt;模拟模式!$Y$22,1,0),IF(C555="净世破魔击·月",IF(RAND()&lt;模拟模式!$Y$23,1,0),0)))))))</f>
        <v>1</v>
      </c>
      <c r="AC555" s="115" t="b">
        <f t="shared" ca="1" si="458"/>
        <v>0</v>
      </c>
      <c r="AD555" s="115" t="b">
        <f t="shared" ca="1" si="478"/>
        <v>0</v>
      </c>
      <c r="AE555" s="115">
        <f t="shared" ca="1" si="479"/>
        <v>5</v>
      </c>
      <c r="AF555" s="47">
        <f ca="1">IF(AC555,('模拟-单技能数据'!$D$20+G555*'模拟-单技能数据'!$F$20)*(1+J555)*(1+'模拟-单技能数据'!$J$20)*(1+U555),0)</f>
        <v>0</v>
      </c>
      <c r="AG555" s="61">
        <f t="shared" ca="1" si="471"/>
        <v>0.64185145527300214</v>
      </c>
      <c r="AH555" s="61">
        <f t="shared" ca="1" si="472"/>
        <v>2.2624828854998791</v>
      </c>
      <c r="AI555" s="62">
        <f t="shared" ca="1" si="494"/>
        <v>0.46118280369918729</v>
      </c>
      <c r="AJ555" s="47">
        <f ca="1">IF(AD555,IF(AI555&lt;$F$10,0,IF(AI555&lt;$F$10+$F$11,0.25,IF(AI555&lt;$F$10+$F$11+AG555,AH555,1)))*IF(AF555&gt;0,AF555,IF(AF554&gt;0,AF554,IF(AF553&gt;0,AF553,IF(AF552&gt;0,AF552,IF(AF551&gt;0,AF551,IF(AF550&gt;0,AF550,IF(AF549&gt;0,AF549,IF(AF548&gt;0,AF548,IF(AF547&gt;0,AF547,IF(AF545&gt;0,AF545,IF(AF544&gt;0,AF544,IF(AF543&gt;0,AF543,0)))))))))))),0)*(1-$S555)*'模拟-单技能数据'!$I$20</f>
        <v>0</v>
      </c>
      <c r="AK555" s="115" t="b">
        <f t="shared" ca="1" si="459"/>
        <v>0</v>
      </c>
      <c r="AL555" s="115" t="b">
        <f t="shared" ca="1" si="480"/>
        <v>1</v>
      </c>
      <c r="AM555" s="115">
        <f t="shared" ca="1" si="481"/>
        <v>4</v>
      </c>
      <c r="AN555" s="47">
        <f ca="1">IF(AK555,('模拟-单技能数据'!$D$21+G555*'模拟-单技能数据'!$F$21)*(1+J555)*(1+'模拟-单技能数据'!$J$21)*(1+U555),0)</f>
        <v>0</v>
      </c>
      <c r="AO555" s="61">
        <f ca="1">IF(AN555&gt;0,M555-'模拟-单技能数据'!$K$10,AO554)</f>
        <v>0.42185145527300216</v>
      </c>
      <c r="AP555" s="61">
        <f ca="1">IF(AN555&gt;0,I555-'模拟-单技能数据'!$L$10,AP554)</f>
        <v>2.162482885499879</v>
      </c>
      <c r="AQ555" s="63">
        <f t="shared" ca="1" si="495"/>
        <v>0.10477185948965362</v>
      </c>
      <c r="AR555" s="64">
        <f ca="1">IF(AL555,IF(AQ555&lt;$F$10,0,IF(AQ555&lt;$F$10+$F$11,0.25,IF(AQ555&lt;$F$10+$F$11+AO555,AP555,1)))*IF(AN555&gt;0,AN555,IF(AN554&gt;0,AN554,IF(AN553&gt;0,AN553,IF(AN552&gt;0,AN552,IF(AN551&gt;0,AN551,IF(AN550&gt;0,AN550,IF(AN549&gt;0,AN549,IF(AN548&gt;0,AN548,IF(AN547&gt;0,AN547,IF(AN545&gt;0,AN545,IF(AN544&gt;0,AN544,IF(AN543&gt;0,AN543,0)))))))))))),0)*(1-$S555)*'模拟-单技能数据'!$I$21</f>
        <v>24043.249177625272</v>
      </c>
      <c r="AS555" s="61">
        <f ca="1">IF(OR(C555="净世破魔击·日",C555="净世破魔击·月"),M555-'模拟-单技能数据'!$K$10,0)</f>
        <v>0</v>
      </c>
      <c r="AT555" s="61">
        <f ca="1">IF(OR(C555="净世破魔击·日",C555="净世破魔击·月"),I555-'模拟-单技能数据'!$L$10,0)</f>
        <v>0</v>
      </c>
      <c r="AU555" s="62">
        <f t="shared" ca="1" si="496"/>
        <v>0.82361613087453089</v>
      </c>
      <c r="AV555" s="64">
        <f ca="1">IF(AS555&gt;0,('模拟-单技能数据'!$D$22+G555*'模拟-单技能数据'!$F$22)*(1+J555)*(1-S555)*IF(AU555&lt;$F$10,0,IF(AU555&lt;$F$10+$F$11,0.25,IF(AU555&lt;$F$10+$F$11+AS555,AT555,1)))*(1+U555),0)*'模拟-单技能数据'!$I$22</f>
        <v>0</v>
      </c>
      <c r="AW555" s="108">
        <f t="shared" ca="1" si="497"/>
        <v>6.1625000000000068</v>
      </c>
      <c r="AX555" s="108" t="b">
        <f ca="1">AND(模拟模式!$P$10="有",AW554=0,RAND()&lt;IF(C555="净世破魔击·月",0.1*8/3,IF(C555="净世破魔击·日",0.1*4/3,0.1*2/3)))</f>
        <v>0</v>
      </c>
      <c r="AY555" s="47">
        <f ca="1">IF(AX555,(18+G555*0.722)*(1+J555)*(1-S555)*(1+$I$4)*IF(P555="会",'模拟-全程加成'!$J$3+'模拟-全程加成'!$J$4+'模拟-全程加成'!$J$5+('模拟-全程加成'!$I$4+'模拟-全程加成'!$I$5)/系数!$B$4+BG555*10%,IF(P555="命",1,IF(P555="识",0.25,0))),0)</f>
        <v>0</v>
      </c>
      <c r="AZ555" s="108">
        <f t="shared" si="498"/>
        <v>0</v>
      </c>
      <c r="BA555" s="108" t="b">
        <f>AND(模拟模式!$Q$10="有",AZ554=0)</f>
        <v>0</v>
      </c>
      <c r="BB555" s="140">
        <f>IF(BA555,(0+G555*0.287)*(1+J555)*(1-S555)*(1+$I$4)*IF(P555="会",'模拟-全程加成'!$J$3+'模拟-全程加成'!$J$4+'模拟-全程加成'!$J$5+('模拟-全程加成'!$I$4+'模拟-全程加成'!$I$5)/系数!$B$4+BG555*10%,IF(P555="命",1,IF(P555="识",0.25,0))),0)</f>
        <v>0</v>
      </c>
      <c r="BC555" s="115" t="b">
        <f ca="1">AND(模拟模式!$R$7="伏明众生",E555=60,F555=20,DA555&lt;5,CZ554&lt;$F$4)</f>
        <v>0</v>
      </c>
      <c r="BD555" s="115">
        <f t="shared" ca="1" si="460"/>
        <v>0</v>
      </c>
      <c r="BE555" s="115" t="b">
        <f t="shared" ca="1" si="461"/>
        <v>0</v>
      </c>
      <c r="BF555" s="47">
        <f ca="1">IF(BC555,4*('模拟-单技能数据'!$D$24+G555*'模拟-单技能数据'!$F$24)*(1+J555)*(1+'模拟-单技能数据'!$J$24)*(1-S555)*(1+$I$3)*(('模拟-全程加成'!$J$3+'模拟-全程加成'!$J$4+'模拟-全程加成'!$J$5+('模拟-全程加成'!$I$4+'模拟-全程加成'!$I$5)/系数!$B$4+BG555*10%)*('模拟-全程加成'!$J$3+'模拟-全程加成'!$J$4+'模拟-全程加成'!$J$5+('模拟-全程加成'!$I$4+'模拟-全程加成'!$I$5)/系数!$B$4+BG555*10%)+(1-('模拟-全程加成'!$J$3+'模拟-全程加成'!$J$4+'模拟-全程加成'!$J$5+('模拟-全程加成'!$I$4+'模拟-全程加成'!$I$5)/系数!$B$4+BG555*10%)-$F$10-$F$11)+F541*0.25),0)*'模拟-单技能数据'!$I$24</f>
        <v>0</v>
      </c>
      <c r="BG555" s="115" t="b">
        <f ca="1">OR(AND(OR(C555="烈日斩",C555="银月斩"),模拟模式!$I$7="净身明礼"),AND(C555="净世破魔击·日",模拟模式!$J$7="洞若观火"),AND(C556="净世破魔击·月",模拟模式!$J$7="洞若观火"),AB555=1)</f>
        <v>1</v>
      </c>
      <c r="BH555" s="115" t="b">
        <f t="shared" ca="1" si="499"/>
        <v>0</v>
      </c>
      <c r="BI555" s="115">
        <f t="shared" ca="1" si="462"/>
        <v>0</v>
      </c>
      <c r="BJ555" s="115" t="b">
        <f t="shared" ca="1" si="473"/>
        <v>0</v>
      </c>
      <c r="BK555" s="115" t="b">
        <f ca="1">AND(C555="驱夜断愁",模拟模式!$P$7="天地诛戮")</f>
        <v>1</v>
      </c>
      <c r="BL555" s="57">
        <f t="shared" ca="1" si="463"/>
        <v>20</v>
      </c>
      <c r="BM555" s="115" t="b">
        <f t="shared" ca="1" si="474"/>
        <v>1</v>
      </c>
      <c r="BN555" s="115" t="b">
        <f ca="1">AND(OR(C555="赤日轮1",C555="赤日轮2",C555="赤日轮3",C555="幽月轮1",C555="幽月轮2",C555="幽月轮3"),AB555=1,模拟模式!$L$7="明光恒照")</f>
        <v>0</v>
      </c>
      <c r="BO555" s="117">
        <f t="shared" ca="1" si="464"/>
        <v>28.155000000000001</v>
      </c>
      <c r="BP555" s="115">
        <f t="shared" ca="1" si="500"/>
        <v>6</v>
      </c>
      <c r="BQ555" s="115" t="b">
        <f>模拟模式!$K$10="2600·水"</f>
        <v>0</v>
      </c>
      <c r="BR555" s="117">
        <f t="shared" si="501"/>
        <v>0</v>
      </c>
      <c r="BS555" s="115">
        <f t="shared" si="502"/>
        <v>0</v>
      </c>
      <c r="BT555" s="115">
        <f t="shared" ca="1" si="503"/>
        <v>0</v>
      </c>
      <c r="BU555" s="115" t="b">
        <f ca="1">AND(模拟模式!$K$10="2300·雷",BT554=0,RAND()&lt;IF(C555="净世破魔击·月",5*0.05*2/3,IF(C555="净世破魔击·日",3*0.05*2/3,0.05*2*2/3)))</f>
        <v>0</v>
      </c>
      <c r="BV555" s="115">
        <f t="shared" ca="1" si="504"/>
        <v>0</v>
      </c>
      <c r="BW555" s="115">
        <f t="shared" ca="1" si="505"/>
        <v>68.377499999999273</v>
      </c>
      <c r="BX555" s="164" t="b">
        <f t="shared" ca="1" si="506"/>
        <v>0</v>
      </c>
      <c r="BY555" s="115">
        <f t="shared" ca="1" si="507"/>
        <v>0</v>
      </c>
      <c r="BZ555" s="115">
        <f>IF(OR(模拟模式!$P$16="10人团",模拟模式!$P$16="25人团"),IF(B555/30&gt;CA554,1,0),0)</f>
        <v>0</v>
      </c>
      <c r="CA555" s="115">
        <f t="shared" si="483"/>
        <v>0</v>
      </c>
      <c r="CB555" s="115">
        <f ca="1">IF(BZ555=1,IF(模拟模式!$P$16="10人团",15,0)+IF(模拟模式!$P$16="25人团",IF(RAND()&lt;0.6,15,0)),MAX(0,CB554-$F$4))</f>
        <v>0</v>
      </c>
      <c r="CC555" s="115" t="b">
        <f t="shared" ca="1" si="475"/>
        <v>0</v>
      </c>
      <c r="CD555" s="115">
        <f>IF(模拟模式!$Q$16="1个",IF(B555/40&gt;CE554,1,0),0)</f>
        <v>0</v>
      </c>
      <c r="CE555" s="115">
        <f t="shared" si="476"/>
        <v>0</v>
      </c>
      <c r="CF555" s="115">
        <f>IF(OR(CD555=1,模拟模式!$Q$16="2个"),20,MAX(0,CF554-$F$4))</f>
        <v>0</v>
      </c>
      <c r="CG555" s="115" t="b">
        <f t="shared" si="477"/>
        <v>0</v>
      </c>
      <c r="CH555" s="115">
        <f t="shared" ca="1" si="508"/>
        <v>19.852500000000006</v>
      </c>
      <c r="CI555" s="115" t="b">
        <f t="shared" ca="1" si="509"/>
        <v>0</v>
      </c>
      <c r="CJ555" s="119">
        <f t="shared" ca="1" si="510"/>
        <v>0</v>
      </c>
      <c r="CK555" s="115">
        <f t="shared" ca="1" si="511"/>
        <v>0</v>
      </c>
      <c r="CL555" s="115" t="b">
        <f ca="1">AND(模拟模式!$S$7="驱夷逐法",OR(AND(C555="净世破魔击·月",E554&gt;59),AND(C555="净世破魔击·日",F554&gt;59)))</f>
        <v>0</v>
      </c>
      <c r="CM555" s="115" t="b">
        <f ca="1">OR(CL555,AND(C555="净世破魔击·日",CL554,RAND()&lt;模拟模式!$U$23))</f>
        <v>0</v>
      </c>
      <c r="CN555" s="115" t="b">
        <f ca="1">IF(模拟模式!$M$7="辉耀红尘",AND(C555="净世破魔击·月",CL555,CV555=0,E554&lt;80),AND(C555="净世破魔击·月",CL555,E554&lt;100))</f>
        <v>0</v>
      </c>
      <c r="CO555" s="115" t="b">
        <f t="shared" ca="1" si="484"/>
        <v>0</v>
      </c>
      <c r="CP555" s="115" t="b">
        <f ca="1">AND(模拟模式!$O$7="用晦而明",OR(C555="净世破魔击·日",C555="净世破魔击·月",C555="驱夜断愁"),AB555)</f>
        <v>1</v>
      </c>
      <c r="CQ555" s="115" t="b">
        <f ca="1">OR(CP555,AND(CP554,RAND()&lt;模拟模式!$U$23))</f>
        <v>1</v>
      </c>
      <c r="CR555" s="115" t="b">
        <f ca="1">AND(模拟模式!$S$7="日月齐光",OR(C555="幽月轮1",C555="幽月轮2",C555="幽月轮3",CR554),NOT(OR(C555="赤日轮1",C555="赤日轮2",C555="赤日轮3")))</f>
        <v>0</v>
      </c>
      <c r="CS555" s="115" t="b">
        <f ca="1">AND(模拟模式!$S$7="日月齐光",OR(C555="赤日轮1",C555="赤日轮2",C555="赤日轮3",CS554),NOT(OR(C555="幽月轮1",C555="幽月轮2",C555="幽月轮3")))</f>
        <v>0</v>
      </c>
      <c r="CT555" s="115">
        <f t="shared" ca="1" si="512"/>
        <v>16.162500000000009</v>
      </c>
      <c r="CU555" s="115" t="b">
        <f ca="1">AND(模拟模式!$K$10="阴阳往极",CT554=0,RAND()&lt;IF(C555="净世破魔击·月",0.0275*7/3,IF(C555="净世破魔击·日",0.0275*3/3,0.0275*2/3)))</f>
        <v>0</v>
      </c>
      <c r="CV555" s="115">
        <f t="shared" ca="1" si="513"/>
        <v>0</v>
      </c>
      <c r="CW555" s="115">
        <f t="shared" ca="1" si="485"/>
        <v>0.46499999999999975</v>
      </c>
      <c r="CX555" s="115">
        <f t="shared" ca="1" si="486"/>
        <v>5.0774999999999997</v>
      </c>
      <c r="CY555" s="115">
        <f ca="1">MAX(IF($C555="驱夜断愁",IF(模拟模式!$R$7="万念俱寂",6,45),CY554-$F$4),0)</f>
        <v>6</v>
      </c>
      <c r="CZ555" s="115">
        <f t="shared" ca="1" si="487"/>
        <v>0</v>
      </c>
      <c r="DA555" s="115">
        <f ca="1">IF(模拟模式!$N$7="日月同辉",IF(DB554=2,0,MIN(6,IF(AND(OR(C555="赤日轮1",C555="赤日轮2",C555="赤日轮3",C555="幽月轮1",C555="幽月轮2",C555="幽月轮3"),AB555=1),DA554+1,DA554))),0)</f>
        <v>4</v>
      </c>
      <c r="DB555" s="115">
        <f t="shared" ca="1" si="488"/>
        <v>0</v>
      </c>
      <c r="DC555" s="115"/>
      <c r="DD555" s="115"/>
      <c r="DE555" s="115"/>
      <c r="DF555" s="115"/>
      <c r="DG555" s="115"/>
      <c r="DH555" s="115"/>
      <c r="DI555" s="115"/>
      <c r="DJ555" s="115"/>
      <c r="DK555" s="115"/>
      <c r="DL555" s="115"/>
      <c r="DM555" s="115"/>
    </row>
    <row r="556" spans="2:117" x14ac:dyDescent="0.2">
      <c r="B556" s="117">
        <f t="shared" si="489"/>
        <v>488.00250000000523</v>
      </c>
      <c r="C556" s="167" t="str">
        <f t="shared" ca="1" si="482"/>
        <v>烈日斩</v>
      </c>
      <c r="D556" s="115">
        <f ca="1">IF(C556="赤日轮1",1,IF(C556="赤日轮2",2,IF(C556="赤日轮3",3,IF(C556="幽月轮1",4,IF(C556="幽月轮2",5,IF(C556="幽月轮3",6,IF(C556="烈日斩",7,IF(C556="银月斩",8,IF(C556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556="净世破魔击·月",17,IF(C556="驱夜断愁",18,0)))))))))))</f>
        <v>7</v>
      </c>
      <c r="E556" s="115">
        <f ca="1">IF(AND(CU556,OR(C556="幽月轮1",C556="幽月轮2",C556="幽月轮3",C556="银月斩",C556="驱夜断愁",C556="净世破魔击·月")),100,MIN(IF(OR(CN556,BE556),0,IF(OR($C556="赤日轮1",$C556="赤日轮2",$C556="赤日轮3"),E555+20+IF(模拟模式!$I$7="日月凌天",4,0)+IF(CR555,20,0),IF($C556="烈日斩",E555+40,IF($C556="驱夜断愁",IF(模拟模式!$R$7="万念俱寂",E555+20,E555+60),IF($C556="净世破魔击·月",IF(OR(DB555&gt;0,CV555&gt;0),100,IF(模拟模式!$M$7="辉耀红尘",E555+20,E555)),IF($C556="净世破魔击·日",E555-100,E555)))))),100))</f>
        <v>80</v>
      </c>
      <c r="F556" s="115">
        <f ca="1">IF(AND(CU556,OR(C556="赤日轮1",C556="赤日轮2",C556="赤日轮3",C556="烈日斩",C556="净世破魔击·日")),100,MIN(IF(CO556,0,IF(OR($C556="幽月轮1",$C556="幽月轮2",$C556="幽月轮3"),F555+20+IF(模拟模式!$I$7="日月凌天",4,0)+IF(CS555,20,0),IF($C556="银月斩",F555+40+IF(模拟模式!$X$12=1,5,0),IF($C556="驱夜断愁",IF(模拟模式!$R$7="万念俱寂",F555+20,F555+60),IF($C556="净世破魔击·月",IF(模拟模式!$M$7="辉耀红尘",F555-80,F555-100),IF(AND(C556="净世破魔击·日",OR(DB555&gt;0,CV555&gt;0)),100,F555)))))),100))</f>
        <v>85</v>
      </c>
      <c r="G556" s="117">
        <f ca="1">('模拟-全程加成'!$E$3+'模拟-全程加成'!$E$4+'模拟-全程加成'!$E$5+('模拟-全程加成'!$C$6-'模拟-全程加成'!$C$3)*系数!$B$9+BS556*23)*(1+'模拟-全程加成'!$F$4+'模拟-全程加成'!$F$5+BJ556*10%+BM556*20%+BP556*4%+CG556*30%)+$F$7*系数!$B$12</f>
        <v>20583.127400000001</v>
      </c>
      <c r="H556" s="45">
        <f ca="1">'模拟-全程加成'!$H$3+'模拟-全程加成'!$H$4+'模拟-全程加成'!$H$5+('模拟-全程加成'!$G$4+'模拟-全程加成'!$G$5+('模拟-全程加成'!$C$6-'模拟-全程加成'!$C$3)*系数!$B$13)/系数!$B$3+LOOKUP(D556,'模拟-单技能数据'!$A$2:$A$19,'模拟-单技能数据'!$K$2:$K$19)+BG556*10%+IF(BV556&gt;0,378,0)</f>
        <v>0.56185145527300218</v>
      </c>
      <c r="I556" s="45">
        <f ca="1">'模拟-全程加成'!$J$3+'模拟-全程加成'!$J$4+'模拟-全程加成'!$J$5+('模拟-全程加成'!$I$4+'模拟-全程加成'!$I$5)/系数!$B$4+LOOKUP(D556,'模拟-单技能数据'!$A$2:$A$19,'模拟-单技能数据'!$L$2:$L$19)+BG556*10%</f>
        <v>2.2624828854998791</v>
      </c>
      <c r="J556" s="45">
        <f ca="1">(('模拟-全程加成'!$K$3+'模拟-全程加成'!$K$4+'模拟-全程加成'!$K$5+('模拟-全程加成'!$C$6-'模拟-全程加成'!$C$3)*系数!$B$10+IF(BV556&gt;0,882,0)+IF(BY556&gt;0,1831,0))*(1+'模拟-全程加成'!$L$4+'模拟-全程加成'!$L$5+CC556*20%))/系数!$B$5</f>
        <v>0.69723220422048726</v>
      </c>
      <c r="K556" s="119">
        <f ca="1">LOOKUP(D556,'模拟-单技能数据'!$A$2:$A$19,'模拟-单技能数据'!$J$2:$J$19)+IF(CM556,60%,0)+IF(DB555-DB556&gt;0,30%,0)+IF(OR(AND(OR(C556="赤日轮1",C556="赤日轮2",C556="赤日轮3"),CR556),AND(OR(C556="幽月轮1",C556="幽月轮2",C556="幽月轮3"),CS556)),35%,0)+CJ556</f>
        <v>0.24</v>
      </c>
      <c r="L556" s="119">
        <f ca="1">IF(AND(C556="烈日斩",模拟模式!$X$11=1),10%,0)+IF(AND(C556="驱夜断愁",AB556=1),30%,0)</f>
        <v>0.1</v>
      </c>
      <c r="M556" s="45">
        <f t="shared" ca="1" si="465"/>
        <v>0.56185145527300218</v>
      </c>
      <c r="N556" s="45">
        <f t="shared" ca="1" si="466"/>
        <v>0.38424854472699788</v>
      </c>
      <c r="O556" s="46">
        <f t="shared" ca="1" si="490"/>
        <v>0.32994579356180598</v>
      </c>
      <c r="P556" s="46" t="str">
        <f t="shared" ca="1" si="491"/>
        <v>会</v>
      </c>
      <c r="Q556" s="45">
        <f t="shared" ca="1" si="492"/>
        <v>2.2624828854998791</v>
      </c>
      <c r="R556" s="117">
        <f ca="1">模拟模式!$E$20*(1-IF(模拟模式!$J$19="有",0.15,0))*(1-IF(模拟模式!$K$19="有",0.3,0)-IF(CQ556,0.5,0))</f>
        <v>843.02999999999975</v>
      </c>
      <c r="S556" s="45">
        <f ca="1">R556/(R556+(185*模拟模式!$E$22-16800)*4.08224)</f>
        <v>8.389626085980037E-2</v>
      </c>
      <c r="T556" s="45" t="str">
        <f ca="1">LOOKUP(D556,'模拟-单技能数据'!$A$2:$A$19,'模拟-单技能数据'!$H$2:$H$19)</f>
        <v>阳</v>
      </c>
      <c r="U556" s="119">
        <f t="shared" ca="1" si="467"/>
        <v>0.2</v>
      </c>
      <c r="V556" s="47">
        <f ca="1">(1+L556)*(LOOKUP(D556,'模拟-单技能数据'!$A$2:$A$19,'模拟-单技能数据'!$D$2:$D$19)+G556*LOOKUP(D556,'模拟-单技能数据'!$A$2:$A$19,'模拟-单技能数据'!$F$2:$F$19))*(1+J556)*(1+K556)*(1-S556)*(1+U556)*Q556*LOOKUP(D556,'模拟-单技能数据'!$A$2:$A$19,'模拟-单技能数据'!$I$2:$I$20)</f>
        <v>105861.05199666526</v>
      </c>
      <c r="W556" s="47">
        <f ca="1">LOOKUP(D556,'模拟-单技能数据'!$A$2:$A$19,'模拟-单技能数据'!$G$2:$G$19)*$I$10</f>
        <v>361.51064354704795</v>
      </c>
      <c r="X556" s="47">
        <f t="shared" ca="1" si="493"/>
        <v>25526.096623542177</v>
      </c>
      <c r="Y556" s="47">
        <f t="shared" ca="1" si="468"/>
        <v>131748.6592637545</v>
      </c>
      <c r="Z556" s="49">
        <f t="shared" ca="1" si="469"/>
        <v>55488049.283243306</v>
      </c>
      <c r="AA556" s="97">
        <f t="shared" ca="1" si="470"/>
        <v>113704.43652080208</v>
      </c>
      <c r="AB556" s="115">
        <f ca="1">IF(OR(C556="赤日轮1",C556="赤日轮2",C556="赤日轮3"),IF(RAND()&lt;模拟模式!$Y$17,1,0),IF(OR(C556="幽月轮1",C556="幽月轮2",C556="幽月轮3"),IF(RAND()&lt;模拟模式!$Y$18,1,0),IF(C556="烈日斩",IF(RAND()&lt;模拟模式!$Y$19,1,0),IF(C556="银月斩",IF(RAND()&lt;模拟模式!$Y$20,1,0),IF(C556="驱夜断愁",IF(RAND()&lt;模拟模式!$Y$21,1,0),IF(C556="净世破魔击·日",IF(RAND()&lt;模拟模式!$Y$22,1,0),IF(C556="净世破魔击·月",IF(RAND()&lt;模拟模式!$Y$23,1,0),0)))))))</f>
        <v>1</v>
      </c>
      <c r="AC556" s="115" t="b">
        <f t="shared" ca="1" si="458"/>
        <v>0</v>
      </c>
      <c r="AD556" s="115" t="b">
        <f t="shared" ca="1" si="478"/>
        <v>1</v>
      </c>
      <c r="AE556" s="115">
        <f t="shared" ca="1" si="479"/>
        <v>4</v>
      </c>
      <c r="AF556" s="47">
        <f ca="1">IF(AC556,('模拟-单技能数据'!$D$20+G556*'模拟-单技能数据'!$F$20)*(1+J556)*(1+'模拟-单技能数据'!$J$20)*(1+U556),0)</f>
        <v>0</v>
      </c>
      <c r="AG556" s="61">
        <f t="shared" ca="1" si="471"/>
        <v>0.64185145527300214</v>
      </c>
      <c r="AH556" s="61">
        <f t="shared" ca="1" si="472"/>
        <v>2.2624828854998791</v>
      </c>
      <c r="AI556" s="62">
        <f t="shared" ca="1" si="494"/>
        <v>0.77106702495466806</v>
      </c>
      <c r="AJ556" s="47">
        <f ca="1">IF(AD556,IF(AI556&lt;$F$10,0,IF(AI556&lt;$F$10+$F$11,0.25,IF(AI556&lt;$F$10+$F$11+AG556,AH556,1)))*IF(AF556&gt;0,AF556,IF(AF555&gt;0,AF555,IF(AF554&gt;0,AF554,IF(AF553&gt;0,AF553,IF(AF552&gt;0,AF552,IF(AF551&gt;0,AF551,IF(AF550&gt;0,AF550,IF(AF549&gt;0,AF549,IF(AF548&gt;0,AF548,IF(AF546&gt;0,AF546,IF(AF545&gt;0,AF545,IF(AF544&gt;0,AF544,0)))))))))))),0)*(1-$S556)*'模拟-单技能数据'!$I$20</f>
        <v>4074.6980221198578</v>
      </c>
      <c r="AK556" s="115" t="b">
        <f t="shared" ca="1" si="459"/>
        <v>0</v>
      </c>
      <c r="AL556" s="115" t="b">
        <f t="shared" ca="1" si="480"/>
        <v>0</v>
      </c>
      <c r="AM556" s="115">
        <f t="shared" ca="1" si="481"/>
        <v>4</v>
      </c>
      <c r="AN556" s="47">
        <f ca="1">IF(AK556,('模拟-单技能数据'!$D$21+G556*'模拟-单技能数据'!$F$21)*(1+J556)*(1+'模拟-单技能数据'!$J$21)*(1+U556),0)</f>
        <v>0</v>
      </c>
      <c r="AO556" s="61">
        <f ca="1">IF(AN556&gt;0,M556-'模拟-单技能数据'!$K$10,AO555)</f>
        <v>0.42185145527300216</v>
      </c>
      <c r="AP556" s="61">
        <f ca="1">IF(AN556&gt;0,I556-'模拟-单技能数据'!$L$10,AP555)</f>
        <v>2.162482885499879</v>
      </c>
      <c r="AQ556" s="63">
        <f t="shared" ca="1" si="495"/>
        <v>0.13209585329655171</v>
      </c>
      <c r="AR556" s="64">
        <f ca="1">IF(AL556,IF(AQ556&lt;$F$10,0,IF(AQ556&lt;$F$10+$F$11,0.25,IF(AQ556&lt;$F$10+$F$11+AO556,AP556,1)))*IF(AN556&gt;0,AN556,IF(AN555&gt;0,AN555,IF(AN554&gt;0,AN554,IF(AN553&gt;0,AN553,IF(AN552&gt;0,AN552,IF(AN551&gt;0,AN551,IF(AN550&gt;0,AN550,IF(AN549&gt;0,AN549,IF(AN548&gt;0,AN548,IF(AN546&gt;0,AN546,IF(AN545&gt;0,AN545,IF(AN544&gt;0,AN544,0)))))))))))),0)*(1-$S556)*'模拟-单技能数据'!$I$21</f>
        <v>0</v>
      </c>
      <c r="AS556" s="61">
        <f ca="1">IF(OR(C556="净世破魔击·日",C556="净世破魔击·月"),M556-'模拟-单技能数据'!$K$10,0)</f>
        <v>0</v>
      </c>
      <c r="AT556" s="61">
        <f ca="1">IF(OR(C556="净世破魔击·日",C556="净世破魔击·月"),I556-'模拟-单技能数据'!$L$10,0)</f>
        <v>0</v>
      </c>
      <c r="AU556" s="62">
        <f t="shared" ca="1" si="496"/>
        <v>0.66840184362628197</v>
      </c>
      <c r="AV556" s="64">
        <f ca="1">IF(AS556&gt;0,('模拟-单技能数据'!$D$22+G556*'模拟-单技能数据'!$F$22)*(1+J556)*(1-S556)*IF(AU556&lt;$F$10,0,IF(AU556&lt;$F$10+$F$11,0.25,IF(AU556&lt;$F$10+$F$11+AS556,AT556,1)))*(1+U556),0)*'模拟-单技能数据'!$I$22</f>
        <v>0</v>
      </c>
      <c r="AW556" s="108">
        <f t="shared" ca="1" si="497"/>
        <v>5.2400000000000064</v>
      </c>
      <c r="AX556" s="108" t="b">
        <f ca="1">AND(模拟模式!$P$10="有",AW555=0,RAND()&lt;IF(C556="净世破魔击·月",0.1*8/3,IF(C556="净世破魔击·日",0.1*4/3,0.1*2/3)))</f>
        <v>0</v>
      </c>
      <c r="AY556" s="47">
        <f ca="1">IF(AX556,(18+G556*0.722)*(1+J556)*(1-S556)*(1+$I$4)*IF(P556="会",'模拟-全程加成'!$J$3+'模拟-全程加成'!$J$4+'模拟-全程加成'!$J$5+('模拟-全程加成'!$I$4+'模拟-全程加成'!$I$5)/系数!$B$4+BG556*10%,IF(P556="命",1,IF(P556="识",0.25,0))),0)</f>
        <v>0</v>
      </c>
      <c r="AZ556" s="108">
        <f t="shared" si="498"/>
        <v>19.077500000000001</v>
      </c>
      <c r="BA556" s="108" t="b">
        <f>AND(模拟模式!$Q$10="有",AZ555=0)</f>
        <v>1</v>
      </c>
      <c r="BB556" s="140">
        <f ca="1">IF(BA556,(0+G556*0.287)*(1+J556)*(1-S556)*(1+$I$4)*IF(P556="会",'模拟-全程加成'!$J$3+'模拟-全程加成'!$J$4+'模拟-全程加成'!$J$5+('模拟-全程加成'!$I$4+'模拟-全程加成'!$I$5)/系数!$B$4+BG556*10%,IF(P556="命",1,IF(P556="识",0.25,0))),0)</f>
        <v>21451.398601422319</v>
      </c>
      <c r="BC556" s="115" t="b">
        <f ca="1">AND(模拟模式!$R$7="伏明众生",E556=60,F556=20,DA556&lt;5,CZ555&lt;$F$4)</f>
        <v>0</v>
      </c>
      <c r="BD556" s="115">
        <f t="shared" ca="1" si="460"/>
        <v>0</v>
      </c>
      <c r="BE556" s="115" t="b">
        <f t="shared" ca="1" si="461"/>
        <v>0</v>
      </c>
      <c r="BF556" s="47">
        <f ca="1">IF(BC556,4*('模拟-单技能数据'!$D$24+G556*'模拟-单技能数据'!$F$24)*(1+J556)*(1+'模拟-单技能数据'!$J$24)*(1-S556)*(1+$I$3)*(('模拟-全程加成'!$J$3+'模拟-全程加成'!$J$4+'模拟-全程加成'!$J$5+('模拟-全程加成'!$I$4+'模拟-全程加成'!$I$5)/系数!$B$4+BG556*10%)*('模拟-全程加成'!$J$3+'模拟-全程加成'!$J$4+'模拟-全程加成'!$J$5+('模拟-全程加成'!$I$4+'模拟-全程加成'!$I$5)/系数!$B$4+BG556*10%)+(1-('模拟-全程加成'!$J$3+'模拟-全程加成'!$J$4+'模拟-全程加成'!$J$5+('模拟-全程加成'!$I$4+'模拟-全程加成'!$I$5)/系数!$B$4+BG556*10%)-$F$10-$F$11)+F542*0.25),0)*'模拟-单技能数据'!$I$24</f>
        <v>0</v>
      </c>
      <c r="BG556" s="115" t="b">
        <f ca="1">OR(AND(OR(C556="烈日斩",C556="银月斩"),模拟模式!$I$7="净身明礼"),AND(C556="净世破魔击·日",模拟模式!$J$7="洞若观火"),AND(C557="净世破魔击·月",模拟模式!$J$7="洞若观火"),AB556=1)</f>
        <v>1</v>
      </c>
      <c r="BH556" s="115" t="b">
        <f t="shared" ca="1" si="499"/>
        <v>0</v>
      </c>
      <c r="BI556" s="115">
        <f t="shared" ca="1" si="462"/>
        <v>0</v>
      </c>
      <c r="BJ556" s="115" t="b">
        <f t="shared" ca="1" si="473"/>
        <v>0</v>
      </c>
      <c r="BK556" s="115" t="b">
        <f ca="1">AND(C556="驱夜断愁",模拟模式!$P$7="天地诛戮")</f>
        <v>0</v>
      </c>
      <c r="BL556" s="57">
        <f t="shared" ca="1" si="463"/>
        <v>19.077500000000001</v>
      </c>
      <c r="BM556" s="115" t="b">
        <f t="shared" ca="1" si="474"/>
        <v>1</v>
      </c>
      <c r="BN556" s="115" t="b">
        <f ca="1">AND(OR(C556="赤日轮1",C556="赤日轮2",C556="赤日轮3",C556="幽月轮1",C556="幽月轮2",C556="幽月轮3"),AB556=1,模拟模式!$L$7="明光恒照")</f>
        <v>0</v>
      </c>
      <c r="BO556" s="117">
        <f t="shared" ca="1" si="464"/>
        <v>27.232500000000002</v>
      </c>
      <c r="BP556" s="115">
        <f t="shared" ca="1" si="500"/>
        <v>6</v>
      </c>
      <c r="BQ556" s="115" t="b">
        <f>模拟模式!$K$10="2600·水"</f>
        <v>0</v>
      </c>
      <c r="BR556" s="117">
        <f t="shared" si="501"/>
        <v>0</v>
      </c>
      <c r="BS556" s="115">
        <f t="shared" si="502"/>
        <v>0</v>
      </c>
      <c r="BT556" s="115">
        <f t="shared" ca="1" si="503"/>
        <v>0</v>
      </c>
      <c r="BU556" s="115" t="b">
        <f ca="1">AND(模拟模式!$K$10="2300·雷",BT555=0,RAND()&lt;IF(C556="净世破魔击·月",5*0.05*2/3,IF(C556="净世破魔击·日",3*0.05*2/3,0.05*2*2/3)))</f>
        <v>0</v>
      </c>
      <c r="BV556" s="115">
        <f t="shared" ca="1" si="504"/>
        <v>0</v>
      </c>
      <c r="BW556" s="115">
        <f t="shared" ca="1" si="505"/>
        <v>67.454999999999274</v>
      </c>
      <c r="BX556" s="164" t="b">
        <f t="shared" ca="1" si="506"/>
        <v>0</v>
      </c>
      <c r="BY556" s="115">
        <f t="shared" ca="1" si="507"/>
        <v>0</v>
      </c>
      <c r="BZ556" s="115">
        <f>IF(OR(模拟模式!$P$16="10人团",模拟模式!$P$16="25人团"),IF(B556/30&gt;CA555,1,0),0)</f>
        <v>0</v>
      </c>
      <c r="CA556" s="115">
        <f t="shared" si="483"/>
        <v>0</v>
      </c>
      <c r="CB556" s="115">
        <f ca="1">IF(BZ556=1,IF(模拟模式!$P$16="10人团",15,0)+IF(模拟模式!$P$16="25人团",IF(RAND()&lt;0.6,15,0)),MAX(0,CB555-$F$4))</f>
        <v>0</v>
      </c>
      <c r="CC556" s="115" t="b">
        <f t="shared" ca="1" si="475"/>
        <v>0</v>
      </c>
      <c r="CD556" s="115">
        <f>IF(模拟模式!$Q$16="1个",IF(B556/40&gt;CE555,1,0),0)</f>
        <v>0</v>
      </c>
      <c r="CE556" s="115">
        <f t="shared" si="476"/>
        <v>0</v>
      </c>
      <c r="CF556" s="115">
        <f>IF(OR(CD556=1,模拟模式!$Q$16="2个"),20,MAX(0,CF555-$F$4))</f>
        <v>0</v>
      </c>
      <c r="CG556" s="115" t="b">
        <f t="shared" si="477"/>
        <v>0</v>
      </c>
      <c r="CH556" s="115">
        <f t="shared" ca="1" si="508"/>
        <v>18.930000000000007</v>
      </c>
      <c r="CI556" s="115" t="b">
        <f t="shared" ca="1" si="509"/>
        <v>0</v>
      </c>
      <c r="CJ556" s="119">
        <f t="shared" ca="1" si="510"/>
        <v>0</v>
      </c>
      <c r="CK556" s="115">
        <f t="shared" ca="1" si="511"/>
        <v>0</v>
      </c>
      <c r="CL556" s="115" t="b">
        <f ca="1">AND(模拟模式!$S$7="驱夷逐法",OR(AND(C556="净世破魔击·月",E555&gt;59),AND(C556="净世破魔击·日",F555&gt;59)))</f>
        <v>0</v>
      </c>
      <c r="CM556" s="115" t="b">
        <f ca="1">OR(CL556,AND(C556="净世破魔击·日",CL555,RAND()&lt;模拟模式!$U$23))</f>
        <v>0</v>
      </c>
      <c r="CN556" s="115" t="b">
        <f ca="1">IF(模拟模式!$M$7="辉耀红尘",AND(C556="净世破魔击·月",CL556,CV556=0,E555&lt;80),AND(C556="净世破魔击·月",CL556,E555&lt;100))</f>
        <v>0</v>
      </c>
      <c r="CO556" s="115" t="b">
        <f t="shared" ca="1" si="484"/>
        <v>0</v>
      </c>
      <c r="CP556" s="115" t="b">
        <f ca="1">AND(模拟模式!$O$7="用晦而明",OR(C556="净世破魔击·日",C556="净世破魔击·月",C556="驱夜断愁"),AB556)</f>
        <v>0</v>
      </c>
      <c r="CQ556" s="115" t="b">
        <f ca="1">OR(CP556,AND(CP555,RAND()&lt;模拟模式!$U$23))</f>
        <v>1</v>
      </c>
      <c r="CR556" s="115" t="b">
        <f ca="1">AND(模拟模式!$S$7="日月齐光",OR(C556="幽月轮1",C556="幽月轮2",C556="幽月轮3",CR555),NOT(OR(C556="赤日轮1",C556="赤日轮2",C556="赤日轮3")))</f>
        <v>0</v>
      </c>
      <c r="CS556" s="115" t="b">
        <f ca="1">AND(模拟模式!$S$7="日月齐光",OR(C556="赤日轮1",C556="赤日轮2",C556="赤日轮3",CS555),NOT(OR(C556="幽月轮1",C556="幽月轮2",C556="幽月轮3")))</f>
        <v>0</v>
      </c>
      <c r="CT556" s="115">
        <f t="shared" ca="1" si="512"/>
        <v>15.240000000000009</v>
      </c>
      <c r="CU556" s="115" t="b">
        <f ca="1">AND(模拟模式!$K$10="阴阳往极",CT555=0,RAND()&lt;IF(C556="净世破魔击·月",0.0275*7/3,IF(C556="净世破魔击·日",0.0275*3/3,0.0275*2/3)))</f>
        <v>0</v>
      </c>
      <c r="CV556" s="115">
        <f t="shared" ca="1" si="513"/>
        <v>0</v>
      </c>
      <c r="CW556" s="115">
        <f t="shared" ca="1" si="485"/>
        <v>6</v>
      </c>
      <c r="CX556" s="115">
        <f t="shared" ca="1" si="486"/>
        <v>4.1549999999999994</v>
      </c>
      <c r="CY556" s="115">
        <f ca="1">MAX(IF($C556="驱夜断愁",IF(模拟模式!$R$7="万念俱寂",6,45),CY555-$F$4),0)</f>
        <v>5.0774999999999997</v>
      </c>
      <c r="CZ556" s="115">
        <f t="shared" ca="1" si="487"/>
        <v>0</v>
      </c>
      <c r="DA556" s="115">
        <f ca="1">IF(模拟模式!$N$7="日月同辉",IF(DB555=2,0,MIN(6,IF(AND(OR(C556="赤日轮1",C556="赤日轮2",C556="赤日轮3",C556="幽月轮1",C556="幽月轮2",C556="幽月轮3"),AB556=1),DA555+1,DA555))),0)</f>
        <v>4</v>
      </c>
      <c r="DB556" s="115">
        <f t="shared" ca="1" si="488"/>
        <v>0</v>
      </c>
      <c r="DC556" s="115"/>
      <c r="DD556" s="115"/>
      <c r="DE556" s="115"/>
      <c r="DF556" s="115"/>
      <c r="DG556" s="115"/>
      <c r="DH556" s="115"/>
      <c r="DI556" s="115"/>
      <c r="DJ556" s="115"/>
      <c r="DK556" s="115"/>
      <c r="DL556" s="115"/>
      <c r="DM556" s="115"/>
    </row>
    <row r="557" spans="2:117" x14ac:dyDescent="0.2">
      <c r="B557" s="117">
        <f t="shared" si="489"/>
        <v>488.92500000000524</v>
      </c>
      <c r="C557" s="167" t="str">
        <f t="shared" ca="1" si="482"/>
        <v>幽月轮1</v>
      </c>
      <c r="D557" s="115">
        <f ca="1">IF(C557="赤日轮1",1,IF(C557="赤日轮2",2,IF(C557="赤日轮3",3,IF(C557="幽月轮1",4,IF(C557="幽月轮2",5,IF(C557="幽月轮3",6,IF(C557="烈日斩",7,IF(C557="银月斩",8,IF(C557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557="净世破魔击·月",17,IF(C557="驱夜断愁",18,0)))))))))))</f>
        <v>4</v>
      </c>
      <c r="E557" s="115">
        <f ca="1">IF(AND(CU557,OR(C557="幽月轮1",C557="幽月轮2",C557="幽月轮3",C557="银月斩",C557="驱夜断愁",C557="净世破魔击·月")),100,MIN(IF(OR(CN557,BE557),0,IF(OR($C557="赤日轮1",$C557="赤日轮2",$C557="赤日轮3"),E556+20+IF(模拟模式!$I$7="日月凌天",4,0)+IF(CR556,20,0),IF($C557="烈日斩",E556+40,IF($C557="驱夜断愁",IF(模拟模式!$R$7="万念俱寂",E556+20,E556+60),IF($C557="净世破魔击·月",IF(OR(DB556&gt;0,CV556&gt;0),100,IF(模拟模式!$M$7="辉耀红尘",E556+20,E556)),IF($C557="净世破魔击·日",E556-100,E556)))))),100))</f>
        <v>80</v>
      </c>
      <c r="F557" s="115">
        <f ca="1">IF(AND(CU557,OR(C557="赤日轮1",C557="赤日轮2",C557="赤日轮3",C557="烈日斩",C557="净世破魔击·日")),100,MIN(IF(CO557,0,IF(OR($C557="幽月轮1",$C557="幽月轮2",$C557="幽月轮3"),F556+20+IF(模拟模式!$I$7="日月凌天",4,0)+IF(CS556,20,0),IF($C557="银月斩",F556+40+IF(模拟模式!$X$12=1,5,0),IF($C557="驱夜断愁",IF(模拟模式!$R$7="万念俱寂",F556+20,F556+60),IF($C557="净世破魔击·月",IF(模拟模式!$M$7="辉耀红尘",F556-80,F556-100),IF(AND(C557="净世破魔击·日",OR(DB556&gt;0,CV556&gt;0)),100,F556)))))),100))</f>
        <v>100</v>
      </c>
      <c r="G557" s="117">
        <f ca="1">('模拟-全程加成'!$E$3+'模拟-全程加成'!$E$4+'模拟-全程加成'!$E$5+('模拟-全程加成'!$C$6-'模拟-全程加成'!$C$3)*系数!$B$9+BS557*23)*(1+'模拟-全程加成'!$F$4+'模拟-全程加成'!$F$5+BJ557*10%+BM557*20%+BP557*4%+CG557*30%)+$F$7*系数!$B$12</f>
        <v>20583.127400000001</v>
      </c>
      <c r="H557" s="45">
        <f ca="1">'模拟-全程加成'!$H$3+'模拟-全程加成'!$H$4+'模拟-全程加成'!$H$5+('模拟-全程加成'!$G$4+'模拟-全程加成'!$G$5+('模拟-全程加成'!$C$6-'模拟-全程加成'!$C$3)*系数!$B$13)/系数!$B$3+LOOKUP(D557,'模拟-单技能数据'!$A$2:$A$19,'模拟-单技能数据'!$K$2:$K$19)+BG557*10%+IF(BV557&gt;0,378,0)</f>
        <v>0.51185145527300213</v>
      </c>
      <c r="I557" s="45">
        <f ca="1">'模拟-全程加成'!$J$3+'模拟-全程加成'!$J$4+'模拟-全程加成'!$J$5+('模拟-全程加成'!$I$4+'模拟-全程加成'!$I$5)/系数!$B$4+LOOKUP(D557,'模拟-单技能数据'!$A$2:$A$19,'模拟-单技能数据'!$L$2:$L$19)+BG557*10%</f>
        <v>2.162482885499879</v>
      </c>
      <c r="J557" s="45">
        <f ca="1">(('模拟-全程加成'!$K$3+'模拟-全程加成'!$K$4+'模拟-全程加成'!$K$5+('模拟-全程加成'!$C$6-'模拟-全程加成'!$C$3)*系数!$B$10+IF(BV557&gt;0,882,0)+IF(BY557&gt;0,1831,0))*(1+'模拟-全程加成'!$L$4+'模拟-全程加成'!$L$5+CC557*20%))/系数!$B$5</f>
        <v>0.69723220422048726</v>
      </c>
      <c r="K557" s="119">
        <f ca="1">LOOKUP(D557,'模拟-单技能数据'!$A$2:$A$19,'模拟-单技能数据'!$J$2:$J$19)+IF(CM557,60%,0)+IF(DB556-DB557&gt;0,30%,0)+IF(OR(AND(OR(C557="赤日轮1",C557="赤日轮2",C557="赤日轮3"),CR557),AND(OR(C557="幽月轮1",C557="幽月轮2",C557="幽月轮3"),CS557)),35%,0)+CJ557</f>
        <v>7.0000000000000007E-2</v>
      </c>
      <c r="L557" s="119">
        <f ca="1">IF(AND(C557="烈日斩",模拟模式!$X$11=1),10%,0)+IF(AND(C557="驱夜断愁",AB557=1),30%,0)</f>
        <v>0</v>
      </c>
      <c r="M557" s="45">
        <f t="shared" ca="1" si="465"/>
        <v>0.51185145527300213</v>
      </c>
      <c r="N557" s="45">
        <f t="shared" ca="1" si="466"/>
        <v>0.43424854472699792</v>
      </c>
      <c r="O557" s="46">
        <f t="shared" ca="1" si="490"/>
        <v>8.2436727320249537E-2</v>
      </c>
      <c r="P557" s="46" t="str">
        <f t="shared" ca="1" si="491"/>
        <v>会</v>
      </c>
      <c r="Q557" s="45">
        <f t="shared" ca="1" si="492"/>
        <v>2.162482885499879</v>
      </c>
      <c r="R557" s="117">
        <f ca="1">模拟模式!$E$20*(1-IF(模拟模式!$J$19="有",0.15,0))*(1-IF(模拟模式!$K$19="有",0.3,0)-IF(CQ557,0.5,0))</f>
        <v>2950.6049999999996</v>
      </c>
      <c r="S557" s="45">
        <f ca="1">R557/(R557+(185*模拟模式!$E$22-16800)*4.08224)</f>
        <v>0.24272716014590323</v>
      </c>
      <c r="T557" s="45" t="str">
        <f ca="1">LOOKUP(D557,'模拟-单技能数据'!$A$2:$A$19,'模拟-单技能数据'!$H$2:$H$19)</f>
        <v>阴</v>
      </c>
      <c r="U557" s="119">
        <f t="shared" ca="1" si="467"/>
        <v>0.08</v>
      </c>
      <c r="V557" s="47">
        <f ca="1">(1+L557)*(LOOKUP(D557,'模拟-单技能数据'!$A$2:$A$19,'模拟-单技能数据'!$D$2:$D$19)+G557*LOOKUP(D557,'模拟-单技能数据'!$A$2:$A$19,'模拟-单技能数据'!$F$2:$F$19))*(1+J557)*(1+K557)*(1-S557)*(1+U557)*Q557*LOOKUP(D557,'模拟-单技能数据'!$A$2:$A$19,'模拟-单技能数据'!$I$2:$I$20)</f>
        <v>35088.919370823241</v>
      </c>
      <c r="W557" s="47">
        <f ca="1">LOOKUP(D557,'模拟-单技能数据'!$A$2:$A$19,'模拟-单技能数据'!$G$2:$G$19)*$I$10</f>
        <v>361.51064354704795</v>
      </c>
      <c r="X557" s="47">
        <f t="shared" ca="1" si="493"/>
        <v>19874.713753650052</v>
      </c>
      <c r="Y557" s="47">
        <f t="shared" ca="1" si="468"/>
        <v>55325.143768020338</v>
      </c>
      <c r="Z557" s="49">
        <f t="shared" ca="1" si="469"/>
        <v>55543374.427011326</v>
      </c>
      <c r="AA557" s="97">
        <f t="shared" ca="1" si="470"/>
        <v>113603.05655675355</v>
      </c>
      <c r="AB557" s="115">
        <f ca="1">IF(OR(C557="赤日轮1",C557="赤日轮2",C557="赤日轮3"),IF(RAND()&lt;模拟模式!$Y$17,1,0),IF(OR(C557="幽月轮1",C557="幽月轮2",C557="幽月轮3"),IF(RAND()&lt;模拟模式!$Y$18,1,0),IF(C557="烈日斩",IF(RAND()&lt;模拟模式!$Y$19,1,0),IF(C557="银月斩",IF(RAND()&lt;模拟模式!$Y$20,1,0),IF(C557="驱夜断愁",IF(RAND()&lt;模拟模式!$Y$21,1,0),IF(C557="净世破魔击·日",IF(RAND()&lt;模拟模式!$Y$22,1,0),IF(C557="净世破魔击·月",IF(RAND()&lt;模拟模式!$Y$23,1,0),0)))))))</f>
        <v>1</v>
      </c>
      <c r="AC557" s="115" t="b">
        <f t="shared" ca="1" si="458"/>
        <v>0</v>
      </c>
      <c r="AD557" s="115" t="b">
        <f t="shared" ca="1" si="478"/>
        <v>0</v>
      </c>
      <c r="AE557" s="115">
        <f t="shared" ca="1" si="479"/>
        <v>4</v>
      </c>
      <c r="AF557" s="47">
        <f ca="1">IF(AC557,('模拟-单技能数据'!$D$20+G557*'模拟-单技能数据'!$F$20)*(1+J557)*(1+'模拟-单技能数据'!$J$20)*(1+U557),0)</f>
        <v>0</v>
      </c>
      <c r="AG557" s="61">
        <f t="shared" ca="1" si="471"/>
        <v>0.64185145527300214</v>
      </c>
      <c r="AH557" s="61">
        <f t="shared" ca="1" si="472"/>
        <v>2.2624828854998791</v>
      </c>
      <c r="AI557" s="62">
        <f t="shared" ca="1" si="494"/>
        <v>0.5291808510599959</v>
      </c>
      <c r="AJ557" s="47">
        <f ca="1">IF(AD557,IF(AI557&lt;$F$10,0,IF(AI557&lt;$F$10+$F$11,0.25,IF(AI557&lt;$F$10+$F$11+AG557,AH557,1)))*IF(AF557&gt;0,AF557,IF(AF556&gt;0,AF556,IF(AF555&gt;0,AF555,IF(AF554&gt;0,AF554,IF(AF553&gt;0,AF553,IF(AF552&gt;0,AF552,IF(AF551&gt;0,AF551,IF(AF550&gt;0,AF550,IF(AF549&gt;0,AF549,IF(AF547&gt;0,AF547,IF(AF546&gt;0,AF546,IF(AF545&gt;0,AF545,0)))))))))))),0)*(1-$S557)*'模拟-单技能数据'!$I$20</f>
        <v>0</v>
      </c>
      <c r="AK557" s="115" t="b">
        <f t="shared" ca="1" si="459"/>
        <v>0</v>
      </c>
      <c r="AL557" s="115" t="b">
        <f t="shared" ca="1" si="480"/>
        <v>1</v>
      </c>
      <c r="AM557" s="115">
        <f t="shared" ca="1" si="481"/>
        <v>3</v>
      </c>
      <c r="AN557" s="47">
        <f ca="1">IF(AK557,('模拟-单技能数据'!$D$21+G557*'模拟-单技能数据'!$F$21)*(1+J557)*(1+'模拟-单技能数据'!$J$21)*(1+U557),0)</f>
        <v>0</v>
      </c>
      <c r="AO557" s="61">
        <f ca="1">IF(AN557&gt;0,M557-'模拟-单技能数据'!$K$10,AO556)</f>
        <v>0.42185145527300216</v>
      </c>
      <c r="AP557" s="61">
        <f ca="1">IF(AN557&gt;0,I557-'模拟-单技能数据'!$L$10,AP556)</f>
        <v>2.162482885499879</v>
      </c>
      <c r="AQ557" s="63">
        <f t="shared" ca="1" si="495"/>
        <v>0.34678949140421678</v>
      </c>
      <c r="AR557" s="64">
        <f ca="1">IF(AL557,IF(AQ557&lt;$F$10,0,IF(AQ557&lt;$F$10+$F$11,0.25,IF(AQ557&lt;$F$10+$F$11+AO557,AP557,1)))*IF(AN557&gt;0,AN557,IF(AN556&gt;0,AN556,IF(AN555&gt;0,AN555,IF(AN554&gt;0,AN554,IF(AN553&gt;0,AN553,IF(AN552&gt;0,AN552,IF(AN551&gt;0,AN551,IF(AN550&gt;0,AN550,IF(AN549&gt;0,AN549,IF(AN547&gt;0,AN547,IF(AN546&gt;0,AN546,IF(AN545&gt;0,AN545,0)))))))))))),0)*(1-$S557)*'模拟-单技能数据'!$I$21</f>
        <v>19874.713753650052</v>
      </c>
      <c r="AS557" s="61">
        <f ca="1">IF(OR(C557="净世破魔击·日",C557="净世破魔击·月"),M557-'模拟-单技能数据'!$K$10,0)</f>
        <v>0</v>
      </c>
      <c r="AT557" s="61">
        <f ca="1">IF(OR(C557="净世破魔击·日",C557="净世破魔击·月"),I557-'模拟-单技能数据'!$L$10,0)</f>
        <v>0</v>
      </c>
      <c r="AU557" s="62">
        <f t="shared" ca="1" si="496"/>
        <v>0.48735550005982331</v>
      </c>
      <c r="AV557" s="64">
        <f ca="1">IF(AS557&gt;0,('模拟-单技能数据'!$D$22+G557*'模拟-单技能数据'!$F$22)*(1+J557)*(1-S557)*IF(AU557&lt;$F$10,0,IF(AU557&lt;$F$10+$F$11,0.25,IF(AU557&lt;$F$10+$F$11+AS557,AT557,1)))*(1+U557),0)*'模拟-单技能数据'!$I$22</f>
        <v>0</v>
      </c>
      <c r="AW557" s="108">
        <f t="shared" ca="1" si="497"/>
        <v>4.3175000000000061</v>
      </c>
      <c r="AX557" s="108" t="b">
        <f ca="1">AND(模拟模式!$P$10="有",AW556=0,RAND()&lt;IF(C557="净世破魔击·月",0.1*8/3,IF(C557="净世破魔击·日",0.1*4/3,0.1*2/3)))</f>
        <v>0</v>
      </c>
      <c r="AY557" s="47">
        <f ca="1">IF(AX557,(18+G557*0.722)*(1+J557)*(1-S557)*(1+$I$4)*IF(P557="会",'模拟-全程加成'!$J$3+'模拟-全程加成'!$J$4+'模拟-全程加成'!$J$5+('模拟-全程加成'!$I$4+'模拟-全程加成'!$I$5)/系数!$B$4+BG557*10%,IF(P557="命",1,IF(P557="识",0.25,0))),0)</f>
        <v>0</v>
      </c>
      <c r="AZ557" s="108">
        <f t="shared" si="498"/>
        <v>18.155000000000001</v>
      </c>
      <c r="BA557" s="108" t="b">
        <f>AND(模拟模式!$Q$10="有",AZ556=0)</f>
        <v>0</v>
      </c>
      <c r="BB557" s="140">
        <f>IF(BA557,(0+G557*0.287)*(1+J557)*(1-S557)*(1+$I$4)*IF(P557="会",'模拟-全程加成'!$J$3+'模拟-全程加成'!$J$4+'模拟-全程加成'!$J$5+('模拟-全程加成'!$I$4+'模拟-全程加成'!$I$5)/系数!$B$4+BG557*10%,IF(P557="命",1,IF(P557="识",0.25,0))),0)</f>
        <v>0</v>
      </c>
      <c r="BC557" s="115" t="b">
        <f ca="1">AND(模拟模式!$R$7="伏明众生",E557=60,F557=20,DA557&lt;5,CZ556&lt;$F$4)</f>
        <v>0</v>
      </c>
      <c r="BD557" s="115">
        <f t="shared" ca="1" si="460"/>
        <v>0</v>
      </c>
      <c r="BE557" s="115" t="b">
        <f t="shared" ca="1" si="461"/>
        <v>0</v>
      </c>
      <c r="BF557" s="47">
        <f ca="1">IF(BC557,4*('模拟-单技能数据'!$D$24+G557*'模拟-单技能数据'!$F$24)*(1+J557)*(1+'模拟-单技能数据'!$J$24)*(1-S557)*(1+$I$3)*(('模拟-全程加成'!$J$3+'模拟-全程加成'!$J$4+'模拟-全程加成'!$J$5+('模拟-全程加成'!$I$4+'模拟-全程加成'!$I$5)/系数!$B$4+BG557*10%)*('模拟-全程加成'!$J$3+'模拟-全程加成'!$J$4+'模拟-全程加成'!$J$5+('模拟-全程加成'!$I$4+'模拟-全程加成'!$I$5)/系数!$B$4+BG557*10%)+(1-('模拟-全程加成'!$J$3+'模拟-全程加成'!$J$4+'模拟-全程加成'!$J$5+('模拟-全程加成'!$I$4+'模拟-全程加成'!$I$5)/系数!$B$4+BG557*10%)-$F$10-$F$11)+F543*0.25),0)*'模拟-单技能数据'!$I$24</f>
        <v>0</v>
      </c>
      <c r="BG557" s="115" t="b">
        <f ca="1">OR(AND(OR(C557="烈日斩",C557="银月斩"),模拟模式!$I$7="净身明礼"),AND(C557="净世破魔击·日",模拟模式!$J$7="洞若观火"),AND(C558="净世破魔击·月",模拟模式!$J$7="洞若观火"),AB557=1)</f>
        <v>1</v>
      </c>
      <c r="BH557" s="115" t="b">
        <f t="shared" ca="1" si="499"/>
        <v>0</v>
      </c>
      <c r="BI557" s="115">
        <f t="shared" ca="1" si="462"/>
        <v>0</v>
      </c>
      <c r="BJ557" s="115" t="b">
        <f t="shared" ca="1" si="473"/>
        <v>0</v>
      </c>
      <c r="BK557" s="115" t="b">
        <f ca="1">AND(C557="驱夜断愁",模拟模式!$P$7="天地诛戮")</f>
        <v>0</v>
      </c>
      <c r="BL557" s="57">
        <f t="shared" ca="1" si="463"/>
        <v>18.155000000000001</v>
      </c>
      <c r="BM557" s="115" t="b">
        <f t="shared" ca="1" si="474"/>
        <v>1</v>
      </c>
      <c r="BN557" s="115" t="b">
        <f ca="1">AND(OR(C557="赤日轮1",C557="赤日轮2",C557="赤日轮3",C557="幽月轮1",C557="幽月轮2",C557="幽月轮3"),AB557=1,模拟模式!$L$7="明光恒照")</f>
        <v>1</v>
      </c>
      <c r="BO557" s="117">
        <f t="shared" ca="1" si="464"/>
        <v>30</v>
      </c>
      <c r="BP557" s="115">
        <f t="shared" ca="1" si="500"/>
        <v>6</v>
      </c>
      <c r="BQ557" s="115" t="b">
        <f>模拟模式!$K$10="2600·水"</f>
        <v>0</v>
      </c>
      <c r="BR557" s="117">
        <f t="shared" si="501"/>
        <v>0</v>
      </c>
      <c r="BS557" s="115">
        <f t="shared" si="502"/>
        <v>0</v>
      </c>
      <c r="BT557" s="115">
        <f t="shared" ca="1" si="503"/>
        <v>0</v>
      </c>
      <c r="BU557" s="115" t="b">
        <f ca="1">AND(模拟模式!$K$10="2300·雷",BT556=0,RAND()&lt;IF(C557="净世破魔击·月",5*0.05*2/3,IF(C557="净世破魔击·日",3*0.05*2/3,0.05*2*2/3)))</f>
        <v>0</v>
      </c>
      <c r="BV557" s="115">
        <f t="shared" ca="1" si="504"/>
        <v>0</v>
      </c>
      <c r="BW557" s="115">
        <f t="shared" ca="1" si="505"/>
        <v>66.532499999999274</v>
      </c>
      <c r="BX557" s="164" t="b">
        <f t="shared" ca="1" si="506"/>
        <v>0</v>
      </c>
      <c r="BY557" s="115">
        <f t="shared" ca="1" si="507"/>
        <v>0</v>
      </c>
      <c r="BZ557" s="115">
        <f>IF(OR(模拟模式!$P$16="10人团",模拟模式!$P$16="25人团"),IF(B557/30&gt;CA556,1,0),0)</f>
        <v>0</v>
      </c>
      <c r="CA557" s="115">
        <f t="shared" si="483"/>
        <v>0</v>
      </c>
      <c r="CB557" s="115">
        <f ca="1">IF(BZ557=1,IF(模拟模式!$P$16="10人团",15,0)+IF(模拟模式!$P$16="25人团",IF(RAND()&lt;0.6,15,0)),MAX(0,CB556-$F$4))</f>
        <v>0</v>
      </c>
      <c r="CC557" s="115" t="b">
        <f t="shared" ca="1" si="475"/>
        <v>0</v>
      </c>
      <c r="CD557" s="115">
        <f>IF(模拟模式!$Q$16="1个",IF(B557/40&gt;CE556,1,0),0)</f>
        <v>0</v>
      </c>
      <c r="CE557" s="115">
        <f t="shared" si="476"/>
        <v>0</v>
      </c>
      <c r="CF557" s="115">
        <f>IF(OR(CD557=1,模拟模式!$Q$16="2个"),20,MAX(0,CF556-$F$4))</f>
        <v>0</v>
      </c>
      <c r="CG557" s="115" t="b">
        <f t="shared" si="477"/>
        <v>0</v>
      </c>
      <c r="CH557" s="115">
        <f t="shared" ca="1" si="508"/>
        <v>18.007500000000007</v>
      </c>
      <c r="CI557" s="115" t="b">
        <f t="shared" ca="1" si="509"/>
        <v>0</v>
      </c>
      <c r="CJ557" s="119">
        <f t="shared" ca="1" si="510"/>
        <v>0</v>
      </c>
      <c r="CK557" s="115">
        <f t="shared" ca="1" si="511"/>
        <v>0</v>
      </c>
      <c r="CL557" s="115" t="b">
        <f ca="1">AND(模拟模式!$S$7="驱夷逐法",OR(AND(C557="净世破魔击·月",E556&gt;59),AND(C557="净世破魔击·日",F556&gt;59)))</f>
        <v>0</v>
      </c>
      <c r="CM557" s="115" t="b">
        <f ca="1">OR(CL557,AND(C557="净世破魔击·日",CL556,RAND()&lt;模拟模式!$U$23))</f>
        <v>0</v>
      </c>
      <c r="CN557" s="115" t="b">
        <f ca="1">IF(模拟模式!$M$7="辉耀红尘",AND(C557="净世破魔击·月",CL557,CV557=0,E556&lt;80),AND(C557="净世破魔击·月",CL557,E556&lt;100))</f>
        <v>0</v>
      </c>
      <c r="CO557" s="115" t="b">
        <f t="shared" ca="1" si="484"/>
        <v>0</v>
      </c>
      <c r="CP557" s="115" t="b">
        <f ca="1">AND(模拟模式!$O$7="用晦而明",OR(C557="净世破魔击·日",C557="净世破魔击·月",C557="驱夜断愁"),AB557)</f>
        <v>0</v>
      </c>
      <c r="CQ557" s="115" t="b">
        <f ca="1">OR(CP557,AND(CP556,RAND()&lt;模拟模式!$U$23))</f>
        <v>0</v>
      </c>
      <c r="CR557" s="115" t="b">
        <f ca="1">AND(模拟模式!$S$7="日月齐光",OR(C557="幽月轮1",C557="幽月轮2",C557="幽月轮3",CR556),NOT(OR(C557="赤日轮1",C557="赤日轮2",C557="赤日轮3")))</f>
        <v>0</v>
      </c>
      <c r="CS557" s="115" t="b">
        <f ca="1">AND(模拟模式!$S$7="日月齐光",OR(C557="赤日轮1",C557="赤日轮2",C557="赤日轮3",CS556),NOT(OR(C557="幽月轮1",C557="幽月轮2",C557="幽月轮3")))</f>
        <v>0</v>
      </c>
      <c r="CT557" s="115">
        <f t="shared" ca="1" si="512"/>
        <v>14.31750000000001</v>
      </c>
      <c r="CU557" s="115" t="b">
        <f ca="1">AND(模拟模式!$K$10="阴阳往极",CT556=0,RAND()&lt;IF(C557="净世破魔击·月",0.0275*7/3,IF(C557="净世破魔击·日",0.0275*3/3,0.0275*2/3)))</f>
        <v>0</v>
      </c>
      <c r="CV557" s="115">
        <f t="shared" ca="1" si="513"/>
        <v>0</v>
      </c>
      <c r="CW557" s="115">
        <f t="shared" ca="1" si="485"/>
        <v>5.0774999999999997</v>
      </c>
      <c r="CX557" s="115">
        <f t="shared" ca="1" si="486"/>
        <v>3.2324999999999995</v>
      </c>
      <c r="CY557" s="115">
        <f ca="1">MAX(IF($C557="驱夜断愁",IF(模拟模式!$R$7="万念俱寂",6,45),CY556-$F$4),0)</f>
        <v>4.1549999999999994</v>
      </c>
      <c r="CZ557" s="115">
        <f t="shared" ca="1" si="487"/>
        <v>0</v>
      </c>
      <c r="DA557" s="115">
        <f ca="1">IF(模拟模式!$N$7="日月同辉",IF(DB556=2,0,MIN(6,IF(AND(OR(C557="赤日轮1",C557="赤日轮2",C557="赤日轮3",C557="幽月轮1",C557="幽月轮2",C557="幽月轮3"),AB557=1),DA556+1,DA556))),0)</f>
        <v>5</v>
      </c>
      <c r="DB557" s="115">
        <f t="shared" ca="1" si="488"/>
        <v>0</v>
      </c>
      <c r="DC557" s="115"/>
      <c r="DD557" s="115"/>
      <c r="DE557" s="115"/>
      <c r="DF557" s="115"/>
      <c r="DG557" s="115"/>
      <c r="DH557" s="115"/>
      <c r="DI557" s="115"/>
      <c r="DJ557" s="115"/>
      <c r="DK557" s="115"/>
      <c r="DL557" s="115"/>
      <c r="DM557" s="115"/>
    </row>
    <row r="558" spans="2:117" x14ac:dyDescent="0.2">
      <c r="B558" s="117">
        <f t="shared" si="489"/>
        <v>489.84750000000525</v>
      </c>
      <c r="C558" s="167" t="str">
        <f t="shared" ca="1" si="482"/>
        <v>净世破魔击·月</v>
      </c>
      <c r="D558" s="115">
        <f ca="1">IF(C558="赤日轮1",1,IF(C558="赤日轮2",2,IF(C558="赤日轮3",3,IF(C558="幽月轮1",4,IF(C558="幽月轮2",5,IF(C558="幽月轮3",6,IF(C558="烈日斩",7,IF(C558="银月斩",8,IF(C558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558="净世破魔击·月",17,IF(C558="驱夜断愁",18,0)))))))))))</f>
        <v>17</v>
      </c>
      <c r="E558" s="115">
        <f ca="1">IF(AND(CU558,OR(C558="幽月轮1",C558="幽月轮2",C558="幽月轮3",C558="银月斩",C558="驱夜断愁",C558="净世破魔击·月")),100,MIN(IF(OR(CN558,BE558),0,IF(OR($C558="赤日轮1",$C558="赤日轮2",$C558="赤日轮3"),E557+20+IF(模拟模式!$I$7="日月凌天",4,0)+IF(CR557,20,0),IF($C558="烈日斩",E557+40,IF($C558="驱夜断愁",IF(模拟模式!$R$7="万念俱寂",E557+20,E557+60),IF($C558="净世破魔击·月",IF(OR(DB557&gt;0,CV557&gt;0),100,IF(模拟模式!$M$7="辉耀红尘",E557+20,E557)),IF($C558="净世破魔击·日",E557-100,E557)))))),100))</f>
        <v>100</v>
      </c>
      <c r="F558" s="115">
        <f ca="1">IF(AND(CU558,OR(C558="赤日轮1",C558="赤日轮2",C558="赤日轮3",C558="烈日斩",C558="净世破魔击·日")),100,MIN(IF(CO558,0,IF(OR($C558="幽月轮1",$C558="幽月轮2",$C558="幽月轮3"),F557+20+IF(模拟模式!$I$7="日月凌天",4,0)+IF(CS557,20,0),IF($C558="银月斩",F557+40+IF(模拟模式!$X$12=1,5,0),IF($C558="驱夜断愁",IF(模拟模式!$R$7="万念俱寂",F557+20,F557+60),IF($C558="净世破魔击·月",IF(模拟模式!$M$7="辉耀红尘",F557-80,F557-100),IF(AND(C558="净世破魔击·日",OR(DB557&gt;0,CV557&gt;0)),100,F557)))))),100))</f>
        <v>20</v>
      </c>
      <c r="G558" s="117">
        <f ca="1">('模拟-全程加成'!$E$3+'模拟-全程加成'!$E$4+'模拟-全程加成'!$E$5+('模拟-全程加成'!$C$6-'模拟-全程加成'!$C$3)*系数!$B$9+BS558*23)*(1+'模拟-全程加成'!$F$4+'模拟-全程加成'!$F$5+BJ558*10%+BM558*20%+BP558*4%+CG558*30%)+$F$7*系数!$B$12</f>
        <v>20583.127400000001</v>
      </c>
      <c r="H558" s="45">
        <f ca="1">'模拟-全程加成'!$H$3+'模拟-全程加成'!$H$4+'模拟-全程加成'!$H$5+('模拟-全程加成'!$G$4+'模拟-全程加成'!$G$5+('模拟-全程加成'!$C$6-'模拟-全程加成'!$C$3)*系数!$B$13)/系数!$B$3+LOOKUP(D558,'模拟-单技能数据'!$A$2:$A$19,'模拟-单技能数据'!$K$2:$K$19)+BG558*10%+IF(BV558&gt;0,378,0)</f>
        <v>0.54185145527300216</v>
      </c>
      <c r="I558" s="45">
        <f ca="1">'模拟-全程加成'!$J$3+'模拟-全程加成'!$J$4+'模拟-全程加成'!$J$5+('模拟-全程加成'!$I$4+'模拟-全程加成'!$I$5)/系数!$B$4+LOOKUP(D558,'模拟-单技能数据'!$A$2:$A$19,'模拟-单技能数据'!$L$2:$L$19)+BG558*10%</f>
        <v>2.162482885499879</v>
      </c>
      <c r="J558" s="45">
        <f ca="1">(('模拟-全程加成'!$K$3+'模拟-全程加成'!$K$4+'模拟-全程加成'!$K$5+('模拟-全程加成'!$C$6-'模拟-全程加成'!$C$3)*系数!$B$10+IF(BV558&gt;0,882,0)+IF(BY558&gt;0,1831,0))*(1+'模拟-全程加成'!$L$4+'模拟-全程加成'!$L$5+CC558*20%))/系数!$B$5</f>
        <v>0.69723220422048726</v>
      </c>
      <c r="K558" s="119">
        <f ca="1">LOOKUP(D558,'模拟-单技能数据'!$A$2:$A$19,'模拟-单技能数据'!$J$2:$J$19)+IF(CM558,60%,0)+IF(DB557-DB558&gt;0,30%,0)+IF(OR(AND(OR(C558="赤日轮1",C558="赤日轮2",C558="赤日轮3"),CR558),AND(OR(C558="幽月轮1",C558="幽月轮2",C558="幽月轮3"),CS558)),35%,0)+CJ558</f>
        <v>0.8</v>
      </c>
      <c r="L558" s="119">
        <f ca="1">IF(AND(C558="烈日斩",模拟模式!$X$11=1),10%,0)+IF(AND(C558="驱夜断愁",AB558=1),30%,0)</f>
        <v>0</v>
      </c>
      <c r="M558" s="45">
        <f t="shared" ca="1" si="465"/>
        <v>0.54185145527300216</v>
      </c>
      <c r="N558" s="45">
        <f t="shared" ca="1" si="466"/>
        <v>0.40424854472699789</v>
      </c>
      <c r="O558" s="46">
        <f t="shared" ca="1" si="490"/>
        <v>5.872305324592042E-3</v>
      </c>
      <c r="P558" s="46" t="str">
        <f t="shared" ca="1" si="491"/>
        <v>识</v>
      </c>
      <c r="Q558" s="45">
        <f t="shared" ca="1" si="492"/>
        <v>0.25</v>
      </c>
      <c r="R558" s="117">
        <f ca="1">模拟模式!$E$20*(1-IF(模拟模式!$J$19="有",0.15,0))*(1-IF(模拟模式!$K$19="有",0.3,0)-IF(CQ558,0.5,0))</f>
        <v>843.02999999999975</v>
      </c>
      <c r="S558" s="45">
        <f ca="1">R558/(R558+(185*模拟模式!$E$22-16800)*4.08224)</f>
        <v>8.389626085980037E-2</v>
      </c>
      <c r="T558" s="45" t="str">
        <f ca="1">LOOKUP(D558,'模拟-单技能数据'!$A$2:$A$19,'模拟-单技能数据'!$H$2:$H$19)</f>
        <v>阴</v>
      </c>
      <c r="U558" s="119">
        <f t="shared" ca="1" si="467"/>
        <v>0.08</v>
      </c>
      <c r="V558" s="47">
        <f ca="1">(1+L558)*(LOOKUP(D558,'模拟-单技能数据'!$A$2:$A$19,'模拟-单技能数据'!$D$2:$D$19)+G558*LOOKUP(D558,'模拟-单技能数据'!$A$2:$A$19,'模拟-单技能数据'!$F$2:$F$19))*(1+J558)*(1+K558)*(1-S558)*(1+U558)*Q558*LOOKUP(D558,'模拟-单技能数据'!$A$2:$A$19,'模拟-单技能数据'!$I$2:$I$20)</f>
        <v>20216.155389563617</v>
      </c>
      <c r="W558" s="47">
        <f ca="1">LOOKUP(D558,'模拟-单技能数据'!$A$2:$A$19,'模拟-单技能数据'!$G$2:$G$19)*$I$10</f>
        <v>361.51064354704795</v>
      </c>
      <c r="X558" s="47">
        <f t="shared" ca="1" si="493"/>
        <v>16858.386290731236</v>
      </c>
      <c r="Y558" s="47">
        <f t="shared" ca="1" si="468"/>
        <v>37436.052323841897</v>
      </c>
      <c r="Z558" s="49">
        <f t="shared" ca="1" si="469"/>
        <v>55580810.479335167</v>
      </c>
      <c r="AA558" s="97">
        <f t="shared" ca="1" si="470"/>
        <v>113465.53872242804</v>
      </c>
      <c r="AB558" s="115">
        <f ca="1">IF(OR(C558="赤日轮1",C558="赤日轮2",C558="赤日轮3"),IF(RAND()&lt;模拟模式!$Y$17,1,0),IF(OR(C558="幽月轮1",C558="幽月轮2",C558="幽月轮3"),IF(RAND()&lt;模拟模式!$Y$18,1,0),IF(C558="烈日斩",IF(RAND()&lt;模拟模式!$Y$19,1,0),IF(C558="银月斩",IF(RAND()&lt;模拟模式!$Y$20,1,0),IF(C558="驱夜断愁",IF(RAND()&lt;模拟模式!$Y$21,1,0),IF(C558="净世破魔击·日",IF(RAND()&lt;模拟模式!$Y$22,1,0),IF(C558="净世破魔击·月",IF(RAND()&lt;模拟模式!$Y$23,1,0),0)))))))</f>
        <v>1</v>
      </c>
      <c r="AC558" s="115" t="b">
        <f t="shared" ca="1" si="458"/>
        <v>0</v>
      </c>
      <c r="AD558" s="115" t="b">
        <f t="shared" ca="1" si="478"/>
        <v>1</v>
      </c>
      <c r="AE558" s="115">
        <f t="shared" ca="1" si="479"/>
        <v>3</v>
      </c>
      <c r="AF558" s="47">
        <f ca="1">IF(AC558,('模拟-单技能数据'!$D$20+G558*'模拟-单技能数据'!$F$20)*(1+J558)*(1+'模拟-单技能数据'!$J$20)*(1+U558),0)</f>
        <v>0</v>
      </c>
      <c r="AG558" s="61">
        <f t="shared" ca="1" si="471"/>
        <v>0.64185145527300214</v>
      </c>
      <c r="AH558" s="61">
        <f t="shared" ca="1" si="472"/>
        <v>2.2624828854998791</v>
      </c>
      <c r="AI558" s="62">
        <f t="shared" ca="1" si="494"/>
        <v>0.53129337165171975</v>
      </c>
      <c r="AJ558" s="47">
        <f ca="1">IF(AD558,IF(AI558&lt;$F$10,0,IF(AI558&lt;$F$10+$F$11,0.25,IF(AI558&lt;$F$10+$F$11+AG558,AH558,1)))*IF(AF558&gt;0,AF558,IF(AF557&gt;0,AF557,IF(AF556&gt;0,AF556,IF(AF555&gt;0,AF555,IF(AF554&gt;0,AF554,IF(AF553&gt;0,AF553,IF(AF552&gt;0,AF552,IF(AF551&gt;0,AF551,IF(AF550&gt;0,AF550,IF(AF548&gt;0,AF548,IF(AF547&gt;0,AF547,IF(AF546&gt;0,AF546,0)))))))))))),0)*(1-$S558)*'模拟-单技能数据'!$I$20</f>
        <v>9218.9345386263849</v>
      </c>
      <c r="AK558" s="115" t="b">
        <f t="shared" ca="1" si="459"/>
        <v>0</v>
      </c>
      <c r="AL558" s="115" t="b">
        <f t="shared" ca="1" si="480"/>
        <v>0</v>
      </c>
      <c r="AM558" s="115">
        <f t="shared" ca="1" si="481"/>
        <v>3</v>
      </c>
      <c r="AN558" s="47">
        <f ca="1">IF(AK558,('模拟-单技能数据'!$D$21+G558*'模拟-单技能数据'!$F$21)*(1+J558)*(1+'模拟-单技能数据'!$J$21)*(1+U558),0)</f>
        <v>0</v>
      </c>
      <c r="AO558" s="61">
        <f ca="1">IF(AN558&gt;0,M558-'模拟-单技能数据'!$K$10,AO557)</f>
        <v>0.42185145527300216</v>
      </c>
      <c r="AP558" s="61">
        <f ca="1">IF(AN558&gt;0,I558-'模拟-单技能数据'!$L$10,AP557)</f>
        <v>2.162482885499879</v>
      </c>
      <c r="AQ558" s="63">
        <f t="shared" ca="1" si="495"/>
        <v>0.11524910251288312</v>
      </c>
      <c r="AR558" s="64">
        <f ca="1">IF(AL558,IF(AQ558&lt;$F$10,0,IF(AQ558&lt;$F$10+$F$11,0.25,IF(AQ558&lt;$F$10+$F$11+AO558,AP558,1)))*IF(AN558&gt;0,AN558,IF(AN557&gt;0,AN557,IF(AN556&gt;0,AN556,IF(AN555&gt;0,AN555,IF(AN554&gt;0,AN554,IF(AN553&gt;0,AN553,IF(AN552&gt;0,AN552,IF(AN551&gt;0,AN551,IF(AN550&gt;0,AN550,IF(AN548&gt;0,AN548,IF(AN547&gt;0,AN547,IF(AN546&gt;0,AN546,0)))))))))))),0)*(1-$S558)*'模拟-单技能数据'!$I$21</f>
        <v>0</v>
      </c>
      <c r="AS558" s="61">
        <f ca="1">IF(OR(C558="净世破魔击·日",C558="净世破魔击·月"),M558-'模拟-单技能数据'!$K$10,0)</f>
        <v>0.42185145527300216</v>
      </c>
      <c r="AT558" s="61">
        <f ca="1">IF(OR(C558="净世破魔击·日",C558="净世破魔击·月"),I558-'模拟-单技能数据'!$L$10,0)</f>
        <v>2.162482885499879</v>
      </c>
      <c r="AU558" s="62">
        <f t="shared" ca="1" si="496"/>
        <v>0.89586083804516536</v>
      </c>
      <c r="AV558" s="64">
        <f ca="1">IF(AS558&gt;0,('模拟-单技能数据'!$D$22+G558*'模拟-单技能数据'!$F$22)*(1+J558)*(1-S558)*IF(AU558&lt;$F$10,0,IF(AU558&lt;$F$10+$F$11,0.25,IF(AU558&lt;$F$10+$F$11+AS558,AT558,1)))*(1+U558),0)*'模拟-单技能数据'!$I$22</f>
        <v>7639.4517521048492</v>
      </c>
      <c r="AW558" s="108">
        <f t="shared" ca="1" si="497"/>
        <v>3.3950000000000062</v>
      </c>
      <c r="AX558" s="108" t="b">
        <f ca="1">AND(模拟模式!$P$10="有",AW557=0,RAND()&lt;IF(C558="净世破魔击·月",0.1*8/3,IF(C558="净世破魔击·日",0.1*4/3,0.1*2/3)))</f>
        <v>0</v>
      </c>
      <c r="AY558" s="47">
        <f ca="1">IF(AX558,(18+G558*0.722)*(1+J558)*(1-S558)*(1+$I$4)*IF(P558="会",'模拟-全程加成'!$J$3+'模拟-全程加成'!$J$4+'模拟-全程加成'!$J$5+('模拟-全程加成'!$I$4+'模拟-全程加成'!$I$5)/系数!$B$4+BG558*10%,IF(P558="命",1,IF(P558="识",0.25,0))),0)</f>
        <v>0</v>
      </c>
      <c r="AZ558" s="108">
        <f t="shared" si="498"/>
        <v>17.232500000000002</v>
      </c>
      <c r="BA558" s="108" t="b">
        <f>AND(模拟模式!$Q$10="有",AZ557=0)</f>
        <v>0</v>
      </c>
      <c r="BB558" s="140">
        <f>IF(BA558,(0+G558*0.287)*(1+J558)*(1-S558)*(1+$I$4)*IF(P558="会",'模拟-全程加成'!$J$3+'模拟-全程加成'!$J$4+'模拟-全程加成'!$J$5+('模拟-全程加成'!$I$4+'模拟-全程加成'!$I$5)/系数!$B$4+BG558*10%,IF(P558="命",1,IF(P558="识",0.25,0))),0)</f>
        <v>0</v>
      </c>
      <c r="BC558" s="115" t="b">
        <f ca="1">AND(模拟模式!$R$7="伏明众生",E558=60,F558=20,DA558&lt;5,CZ557&lt;$F$4)</f>
        <v>0</v>
      </c>
      <c r="BD558" s="115">
        <f t="shared" ca="1" si="460"/>
        <v>0</v>
      </c>
      <c r="BE558" s="115" t="b">
        <f t="shared" ca="1" si="461"/>
        <v>0</v>
      </c>
      <c r="BF558" s="47">
        <f ca="1">IF(BC558,4*('模拟-单技能数据'!$D$24+G558*'模拟-单技能数据'!$F$24)*(1+J558)*(1+'模拟-单技能数据'!$J$24)*(1-S558)*(1+$I$3)*(('模拟-全程加成'!$J$3+'模拟-全程加成'!$J$4+'模拟-全程加成'!$J$5+('模拟-全程加成'!$I$4+'模拟-全程加成'!$I$5)/系数!$B$4+BG558*10%)*('模拟-全程加成'!$J$3+'模拟-全程加成'!$J$4+'模拟-全程加成'!$J$5+('模拟-全程加成'!$I$4+'模拟-全程加成'!$I$5)/系数!$B$4+BG558*10%)+(1-('模拟-全程加成'!$J$3+'模拟-全程加成'!$J$4+'模拟-全程加成'!$J$5+('模拟-全程加成'!$I$4+'模拟-全程加成'!$I$5)/系数!$B$4+BG558*10%)-$F$10-$F$11)+F544*0.25),0)*'模拟-单技能数据'!$I$24</f>
        <v>0</v>
      </c>
      <c r="BG558" s="115" t="b">
        <f ca="1">OR(AND(OR(C558="烈日斩",C558="银月斩"),模拟模式!$I$7="净身明礼"),AND(C558="净世破魔击·日",模拟模式!$J$7="洞若观火"),AND(C559="净世破魔击·月",模拟模式!$J$7="洞若观火"),AB558=1)</f>
        <v>1</v>
      </c>
      <c r="BH558" s="115" t="b">
        <f t="shared" ca="1" si="499"/>
        <v>0</v>
      </c>
      <c r="BI558" s="115">
        <f t="shared" ca="1" si="462"/>
        <v>0</v>
      </c>
      <c r="BJ558" s="115" t="b">
        <f t="shared" ca="1" si="473"/>
        <v>0</v>
      </c>
      <c r="BK558" s="115" t="b">
        <f ca="1">AND(C558="驱夜断愁",模拟模式!$P$7="天地诛戮")</f>
        <v>0</v>
      </c>
      <c r="BL558" s="57">
        <f t="shared" ca="1" si="463"/>
        <v>17.232500000000002</v>
      </c>
      <c r="BM558" s="115" t="b">
        <f t="shared" ca="1" si="474"/>
        <v>1</v>
      </c>
      <c r="BN558" s="115" t="b">
        <f ca="1">AND(OR(C558="赤日轮1",C558="赤日轮2",C558="赤日轮3",C558="幽月轮1",C558="幽月轮2",C558="幽月轮3"),AB558=1,模拟模式!$L$7="明光恒照")</f>
        <v>0</v>
      </c>
      <c r="BO558" s="117">
        <f t="shared" ca="1" si="464"/>
        <v>29.077500000000001</v>
      </c>
      <c r="BP558" s="115">
        <f t="shared" ca="1" si="500"/>
        <v>6</v>
      </c>
      <c r="BQ558" s="115" t="b">
        <f>模拟模式!$K$10="2600·水"</f>
        <v>0</v>
      </c>
      <c r="BR558" s="117">
        <f t="shared" si="501"/>
        <v>0</v>
      </c>
      <c r="BS558" s="115">
        <f t="shared" si="502"/>
        <v>0</v>
      </c>
      <c r="BT558" s="115">
        <f t="shared" ca="1" si="503"/>
        <v>0</v>
      </c>
      <c r="BU558" s="115" t="b">
        <f ca="1">AND(模拟模式!$K$10="2300·雷",BT557=0,RAND()&lt;IF(C558="净世破魔击·月",5*0.05*2/3,IF(C558="净世破魔击·日",3*0.05*2/3,0.05*2*2/3)))</f>
        <v>0</v>
      </c>
      <c r="BV558" s="115">
        <f t="shared" ca="1" si="504"/>
        <v>0</v>
      </c>
      <c r="BW558" s="115">
        <f t="shared" ca="1" si="505"/>
        <v>65.609999999999275</v>
      </c>
      <c r="BX558" s="164" t="b">
        <f t="shared" ca="1" si="506"/>
        <v>0</v>
      </c>
      <c r="BY558" s="115">
        <f t="shared" ca="1" si="507"/>
        <v>0</v>
      </c>
      <c r="BZ558" s="115">
        <f>IF(OR(模拟模式!$P$16="10人团",模拟模式!$P$16="25人团"),IF(B558/30&gt;CA557,1,0),0)</f>
        <v>0</v>
      </c>
      <c r="CA558" s="115">
        <f t="shared" si="483"/>
        <v>0</v>
      </c>
      <c r="CB558" s="115">
        <f ca="1">IF(BZ558=1,IF(模拟模式!$P$16="10人团",15,0)+IF(模拟模式!$P$16="25人团",IF(RAND()&lt;0.6,15,0)),MAX(0,CB557-$F$4))</f>
        <v>0</v>
      </c>
      <c r="CC558" s="115" t="b">
        <f t="shared" ca="1" si="475"/>
        <v>0</v>
      </c>
      <c r="CD558" s="115">
        <f>IF(模拟模式!$Q$16="1个",IF(B558/40&gt;CE557,1,0),0)</f>
        <v>0</v>
      </c>
      <c r="CE558" s="115">
        <f t="shared" si="476"/>
        <v>0</v>
      </c>
      <c r="CF558" s="115">
        <f>IF(OR(CD558=1,模拟模式!$Q$16="2个"),20,MAX(0,CF557-$F$4))</f>
        <v>0</v>
      </c>
      <c r="CG558" s="115" t="b">
        <f t="shared" si="477"/>
        <v>0</v>
      </c>
      <c r="CH558" s="115">
        <f t="shared" ca="1" si="508"/>
        <v>17.085000000000008</v>
      </c>
      <c r="CI558" s="115" t="b">
        <f t="shared" ca="1" si="509"/>
        <v>0</v>
      </c>
      <c r="CJ558" s="119">
        <f t="shared" ca="1" si="510"/>
        <v>0</v>
      </c>
      <c r="CK558" s="115">
        <f t="shared" ca="1" si="511"/>
        <v>0</v>
      </c>
      <c r="CL558" s="115" t="b">
        <f ca="1">AND(模拟模式!$S$7="驱夷逐法",OR(AND(C558="净世破魔击·月",E557&gt;59),AND(C558="净世破魔击·日",F557&gt;59)))</f>
        <v>1</v>
      </c>
      <c r="CM558" s="115" t="b">
        <f ca="1">OR(CL558,AND(C558="净世破魔击·日",CL557,RAND()&lt;模拟模式!$U$23))</f>
        <v>1</v>
      </c>
      <c r="CN558" s="115" t="b">
        <f ca="1">IF(模拟模式!$M$7="辉耀红尘",AND(C558="净世破魔击·月",CL558,CV558=0,E557&lt;80),AND(C558="净世破魔击·月",CL558,E557&lt;100))</f>
        <v>0</v>
      </c>
      <c r="CO558" s="115" t="b">
        <f t="shared" ca="1" si="484"/>
        <v>0</v>
      </c>
      <c r="CP558" s="115" t="b">
        <f ca="1">AND(模拟模式!$O$7="用晦而明",OR(C558="净世破魔击·日",C558="净世破魔击·月",C558="驱夜断愁"),AB558)</f>
        <v>1</v>
      </c>
      <c r="CQ558" s="115" t="b">
        <f ca="1">OR(CP558,AND(CP557,RAND()&lt;模拟模式!$U$23))</f>
        <v>1</v>
      </c>
      <c r="CR558" s="115" t="b">
        <f ca="1">AND(模拟模式!$S$7="日月齐光",OR(C558="幽月轮1",C558="幽月轮2",C558="幽月轮3",CR557),NOT(OR(C558="赤日轮1",C558="赤日轮2",C558="赤日轮3")))</f>
        <v>0</v>
      </c>
      <c r="CS558" s="115" t="b">
        <f ca="1">AND(模拟模式!$S$7="日月齐光",OR(C558="赤日轮1",C558="赤日轮2",C558="赤日轮3",CS557),NOT(OR(C558="幽月轮1",C558="幽月轮2",C558="幽月轮3")))</f>
        <v>0</v>
      </c>
      <c r="CT558" s="115">
        <f t="shared" ca="1" si="512"/>
        <v>13.39500000000001</v>
      </c>
      <c r="CU558" s="115" t="b">
        <f ca="1">AND(模拟模式!$K$10="阴阳往极",CT557=0,RAND()&lt;IF(C558="净世破魔击·月",0.0275*7/3,IF(C558="净世破魔击·日",0.0275*3/3,0.0275*2/3)))</f>
        <v>0</v>
      </c>
      <c r="CV558" s="115">
        <f t="shared" ca="1" si="513"/>
        <v>0</v>
      </c>
      <c r="CW558" s="115">
        <f t="shared" ca="1" si="485"/>
        <v>4.1549999999999994</v>
      </c>
      <c r="CX558" s="115">
        <f t="shared" ca="1" si="486"/>
        <v>2.3099999999999996</v>
      </c>
      <c r="CY558" s="115">
        <f ca="1">MAX(IF($C558="驱夜断愁",IF(模拟模式!$R$7="万念俱寂",6,45),CY557-$F$4),0)</f>
        <v>3.2324999999999995</v>
      </c>
      <c r="CZ558" s="115">
        <f t="shared" ca="1" si="487"/>
        <v>0</v>
      </c>
      <c r="DA558" s="115">
        <f ca="1">IF(模拟模式!$N$7="日月同辉",IF(DB557=2,0,MIN(6,IF(AND(OR(C558="赤日轮1",C558="赤日轮2",C558="赤日轮3",C558="幽月轮1",C558="幽月轮2",C558="幽月轮3"),AB558=1),DA557+1,DA557))),0)</f>
        <v>5</v>
      </c>
      <c r="DB558" s="115">
        <f t="shared" ca="1" si="488"/>
        <v>0</v>
      </c>
      <c r="DC558" s="115"/>
      <c r="DD558" s="115"/>
      <c r="DE558" s="115"/>
      <c r="DF558" s="115"/>
      <c r="DG558" s="115"/>
      <c r="DH558" s="115"/>
      <c r="DI558" s="115"/>
      <c r="DJ558" s="115"/>
      <c r="DK558" s="115"/>
      <c r="DL558" s="115"/>
      <c r="DM558" s="115"/>
    </row>
    <row r="559" spans="2:117" x14ac:dyDescent="0.2">
      <c r="B559" s="117">
        <f t="shared" si="489"/>
        <v>490.77000000000527</v>
      </c>
      <c r="C559" s="167" t="str">
        <f t="shared" ca="1" si="482"/>
        <v>净世破魔击·日</v>
      </c>
      <c r="D559" s="115">
        <f ca="1">IF(C559="赤日轮1",1,IF(C559="赤日轮2",2,IF(C559="赤日轮3",3,IF(C559="幽月轮1",4,IF(C559="幽月轮2",5,IF(C559="幽月轮3",6,IF(C559="烈日斩",7,IF(C559="银月斩",8,IF(C559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559="净世破魔击·月",17,IF(C559="驱夜断愁",18,0)))))))))))</f>
        <v>9</v>
      </c>
      <c r="E559" s="115">
        <f ca="1">IF(AND(CU559,OR(C559="幽月轮1",C559="幽月轮2",C559="幽月轮3",C559="银月斩",C559="驱夜断愁",C559="净世破魔击·月")),100,MIN(IF(OR(CN559,BE559),0,IF(OR($C559="赤日轮1",$C559="赤日轮2",$C559="赤日轮3"),E558+20+IF(模拟模式!$I$7="日月凌天",4,0)+IF(CR558,20,0),IF($C559="烈日斩",E558+40,IF($C559="驱夜断愁",IF(模拟模式!$R$7="万念俱寂",E558+20,E558+60),IF($C559="净世破魔击·月",IF(OR(DB558&gt;0,CV558&gt;0),100,IF(模拟模式!$M$7="辉耀红尘",E558+20,E558)),IF($C559="净世破魔击·日",E558-100,E558)))))),100))</f>
        <v>0</v>
      </c>
      <c r="F559" s="115">
        <f ca="1">IF(AND(CU559,OR(C559="赤日轮1",C559="赤日轮2",C559="赤日轮3",C559="烈日斩",C559="净世破魔击·日")),100,MIN(IF(CO559,0,IF(OR($C559="幽月轮1",$C559="幽月轮2",$C559="幽月轮3"),F558+20+IF(模拟模式!$I$7="日月凌天",4,0)+IF(CS558,20,0),IF($C559="银月斩",F558+40+IF(模拟模式!$X$12=1,5,0),IF($C559="驱夜断愁",IF(模拟模式!$R$7="万念俱寂",F558+20,F558+60),IF($C559="净世破魔击·月",IF(模拟模式!$M$7="辉耀红尘",F558-80,F558-100),IF(AND(C559="净世破魔击·日",OR(DB558&gt;0,CV558&gt;0)),100,F558)))))),100))</f>
        <v>20</v>
      </c>
      <c r="G559" s="117">
        <f ca="1">('模拟-全程加成'!$E$3+'模拟-全程加成'!$E$4+'模拟-全程加成'!$E$5+('模拟-全程加成'!$C$6-'模拟-全程加成'!$C$3)*系数!$B$9+BS559*23)*(1+'模拟-全程加成'!$F$4+'模拟-全程加成'!$F$5+BJ559*10%+BM559*20%+BP559*4%+CG559*30%)+$F$7*系数!$B$12</f>
        <v>20583.127400000001</v>
      </c>
      <c r="H559" s="45">
        <f ca="1">'模拟-全程加成'!$H$3+'模拟-全程加成'!$H$4+'模拟-全程加成'!$H$5+('模拟-全程加成'!$G$4+'模拟-全程加成'!$G$5+('模拟-全程加成'!$C$6-'模拟-全程加成'!$C$3)*系数!$B$13)/系数!$B$3+LOOKUP(D559,'模拟-单技能数据'!$A$2:$A$19,'模拟-单技能数据'!$K$2:$K$19)+BG559*10%+IF(BV559&gt;0,378,0)</f>
        <v>0.54185145527300216</v>
      </c>
      <c r="I559" s="45">
        <f ca="1">'模拟-全程加成'!$J$3+'模拟-全程加成'!$J$4+'模拟-全程加成'!$J$5+('模拟-全程加成'!$I$4+'模拟-全程加成'!$I$5)/系数!$B$4+LOOKUP(D559,'模拟-单技能数据'!$A$2:$A$19,'模拟-单技能数据'!$L$2:$L$19)+BG559*10%</f>
        <v>2.162482885499879</v>
      </c>
      <c r="J559" s="45">
        <f ca="1">(('模拟-全程加成'!$K$3+'模拟-全程加成'!$K$4+'模拟-全程加成'!$K$5+('模拟-全程加成'!$C$6-'模拟-全程加成'!$C$3)*系数!$B$10+IF(BV559&gt;0,882,0)+IF(BY559&gt;0,1831,0))*(1+'模拟-全程加成'!$L$4+'模拟-全程加成'!$L$5+CC559*20%))/系数!$B$5</f>
        <v>0.69723220422048726</v>
      </c>
      <c r="K559" s="119">
        <f ca="1">LOOKUP(D559,'模拟-单技能数据'!$A$2:$A$19,'模拟-单技能数据'!$J$2:$J$19)+IF(CM559,60%,0)+IF(DB558-DB559&gt;0,30%,0)+IF(OR(AND(OR(C559="赤日轮1",C559="赤日轮2",C559="赤日轮3"),CR559),AND(OR(C559="幽月轮1",C559="幽月轮2",C559="幽月轮3"),CS559)),35%,0)+CJ559</f>
        <v>0.8</v>
      </c>
      <c r="L559" s="119">
        <f ca="1">IF(AND(C559="烈日斩",模拟模式!$X$11=1),10%,0)+IF(AND(C559="驱夜断愁",AB559=1),30%,0)</f>
        <v>0</v>
      </c>
      <c r="M559" s="45">
        <f t="shared" ca="1" si="465"/>
        <v>0.54185145527300216</v>
      </c>
      <c r="N559" s="45">
        <f t="shared" ca="1" si="466"/>
        <v>0.40424854472699789</v>
      </c>
      <c r="O559" s="46">
        <f t="shared" ca="1" si="490"/>
        <v>0.64188917310611893</v>
      </c>
      <c r="P559" s="46" t="str">
        <f t="shared" ca="1" si="491"/>
        <v>命</v>
      </c>
      <c r="Q559" s="45">
        <f t="shared" ca="1" si="492"/>
        <v>1</v>
      </c>
      <c r="R559" s="117">
        <f ca="1">模拟模式!$E$20*(1-IF(模拟模式!$J$19="有",0.15,0))*(1-IF(模拟模式!$K$19="有",0.3,0)-IF(CQ559,0.5,0))</f>
        <v>843.02999999999975</v>
      </c>
      <c r="S559" s="45">
        <f ca="1">R559/(R559+(185*模拟模式!$E$22-16800)*4.08224)</f>
        <v>8.389626085980037E-2</v>
      </c>
      <c r="T559" s="45" t="str">
        <f ca="1">LOOKUP(D559,'模拟-单技能数据'!$A$2:$A$19,'模拟-单技能数据'!$H$2:$H$19)</f>
        <v>阳</v>
      </c>
      <c r="U559" s="119">
        <f t="shared" ca="1" si="467"/>
        <v>0.2</v>
      </c>
      <c r="V559" s="47">
        <f ca="1">(1+L559)*(LOOKUP(D559,'模拟-单技能数据'!$A$2:$A$19,'模拟-单技能数据'!$D$2:$D$19)+G559*LOOKUP(D559,'模拟-单技能数据'!$A$2:$A$19,'模拟-单技能数据'!$F$2:$F$19))*(1+J559)*(1+K559)*(1-S559)*(1+U559)*Q559*LOOKUP(D559,'模拟-单技能数据'!$A$2:$A$19,'模拟-单技能数据'!$I$2:$I$20)</f>
        <v>90597.625627626709</v>
      </c>
      <c r="W559" s="47">
        <f ca="1">LOOKUP(D559,'模拟-单技能数据'!$A$2:$A$19,'模拟-单技能数据'!$G$2:$G$19)*$I$10</f>
        <v>723.0212870940959</v>
      </c>
      <c r="X559" s="47">
        <f t="shared" ca="1" si="493"/>
        <v>19606.63323331828</v>
      </c>
      <c r="Y559" s="47">
        <f t="shared" ca="1" si="468"/>
        <v>110927.28014803908</v>
      </c>
      <c r="Z559" s="49">
        <f t="shared" ca="1" si="469"/>
        <v>55691737.759483203</v>
      </c>
      <c r="AA559" s="97">
        <f t="shared" ca="1" si="470"/>
        <v>113478.284653672</v>
      </c>
      <c r="AB559" s="115">
        <f ca="1">IF(OR(C559="赤日轮1",C559="赤日轮2",C559="赤日轮3"),IF(RAND()&lt;模拟模式!$Y$17,1,0),IF(OR(C559="幽月轮1",C559="幽月轮2",C559="幽月轮3"),IF(RAND()&lt;模拟模式!$Y$18,1,0),IF(C559="烈日斩",IF(RAND()&lt;模拟模式!$Y$19,1,0),IF(C559="银月斩",IF(RAND()&lt;模拟模式!$Y$20,1,0),IF(C559="驱夜断愁",IF(RAND()&lt;模拟模式!$Y$21,1,0),IF(C559="净世破魔击·日",IF(RAND()&lt;模拟模式!$Y$22,1,0),IF(C559="净世破魔击·月",IF(RAND()&lt;模拟模式!$Y$23,1,0),0)))))))</f>
        <v>1</v>
      </c>
      <c r="AC559" s="115" t="b">
        <f t="shared" ca="1" si="458"/>
        <v>0</v>
      </c>
      <c r="AD559" s="115" t="b">
        <f t="shared" ca="1" si="478"/>
        <v>0</v>
      </c>
      <c r="AE559" s="115">
        <f t="shared" ca="1" si="479"/>
        <v>3</v>
      </c>
      <c r="AF559" s="47">
        <f ca="1">IF(AC559,('模拟-单技能数据'!$D$20+G559*'模拟-单技能数据'!$F$20)*(1+J559)*(1+'模拟-单技能数据'!$J$20)*(1+U559),0)</f>
        <v>0</v>
      </c>
      <c r="AG559" s="61">
        <f t="shared" ca="1" si="471"/>
        <v>0.64185145527300214</v>
      </c>
      <c r="AH559" s="61">
        <f t="shared" ca="1" si="472"/>
        <v>2.2624828854998791</v>
      </c>
      <c r="AI559" s="62">
        <f t="shared" ca="1" si="494"/>
        <v>0.63557301711810943</v>
      </c>
      <c r="AJ559" s="47">
        <f ca="1">IF(AD559,IF(AI559&lt;$F$10,0,IF(AI559&lt;$F$10+$F$11,0.25,IF(AI559&lt;$F$10+$F$11+AG559,AH559,1)))*IF(AF559&gt;0,AF559,IF(AF558&gt;0,AF558,IF(AF557&gt;0,AF557,IF(AF556&gt;0,AF556,IF(AF555&gt;0,AF555,IF(AF554&gt;0,AF554,IF(AF553&gt;0,AF553,IF(AF552&gt;0,AF552,IF(AF551&gt;0,AF551,IF(AF549&gt;0,AF549,IF(AF548&gt;0,AF548,IF(AF547&gt;0,AF547,0)))))))))))),0)*(1-$S559)*'模拟-单技能数据'!$I$20</f>
        <v>0</v>
      </c>
      <c r="AK559" s="115" t="b">
        <f t="shared" ca="1" si="459"/>
        <v>1</v>
      </c>
      <c r="AL559" s="115" t="b">
        <f t="shared" ca="1" si="480"/>
        <v>1</v>
      </c>
      <c r="AM559" s="115">
        <f t="shared" ca="1" si="481"/>
        <v>5</v>
      </c>
      <c r="AN559" s="47">
        <f ca="1">IF(AK559,('模拟-单技能数据'!$D$21+G559*'模拟-单技能数据'!$F$21)*(1+J559)*(1+'模拟-单技能数据'!$J$21)*(1+U559),0)</f>
        <v>12136.56601728573</v>
      </c>
      <c r="AO559" s="61">
        <f ca="1">IF(AN559&gt;0,M559-'模拟-单技能数据'!$K$10,AO558)</f>
        <v>0.42185145527300216</v>
      </c>
      <c r="AP559" s="61">
        <f ca="1">IF(AN559&gt;0,I559-'模拟-单技能数据'!$L$10,AP558)</f>
        <v>2.162482885499879</v>
      </c>
      <c r="AQ559" s="63">
        <f t="shared" ca="1" si="495"/>
        <v>0.98646474578563437</v>
      </c>
      <c r="AR559" s="64">
        <f ca="1">IF(AL559,IF(AQ559&lt;$F$10,0,IF(AQ559&lt;$F$10+$F$11,0.25,IF(AQ559&lt;$F$10+$F$11+AO559,AP559,1)))*IF(AN559&gt;0,AN559,IF(AN558&gt;0,AN558,IF(AN557&gt;0,AN557,IF(AN556&gt;0,AN556,IF(AN555&gt;0,AN555,IF(AN554&gt;0,AN554,IF(AN553&gt;0,AN553,IF(AN552&gt;0,AN552,IF(AN551&gt;0,AN551,IF(AN549&gt;0,AN549,IF(AN548&gt;0,AN548,IF(AN547&gt;0,AN547,0)))))))))))),0)*(1-$S559)*'模拟-单技能数据'!$I$21</f>
        <v>11118.353508757338</v>
      </c>
      <c r="AS559" s="61">
        <f ca="1">IF(OR(C559="净世破魔击·日",C559="净世破魔击·月"),M559-'模拟-单技能数据'!$K$10,0)</f>
        <v>0.42185145527300216</v>
      </c>
      <c r="AT559" s="61">
        <f ca="1">IF(OR(C559="净世破魔击·日",C559="净世破魔击·月"),I559-'模拟-单技能数据'!$L$10,0)</f>
        <v>2.162482885499879</v>
      </c>
      <c r="AU559" s="62">
        <f t="shared" ca="1" si="496"/>
        <v>0.71928117601116326</v>
      </c>
      <c r="AV559" s="64">
        <f ca="1">IF(AS559&gt;0,('模拟-单技能数据'!$D$22+G559*'模拟-单技能数据'!$F$22)*(1+J559)*(1-S559)*IF(AU559&lt;$F$10,0,IF(AU559&lt;$F$10+$F$11,0.25,IF(AU559&lt;$F$10+$F$11+AS559,AT559,1)))*(1+U559),0)*'模拟-单技能数据'!$I$22</f>
        <v>8488.2797245609418</v>
      </c>
      <c r="AW559" s="108">
        <f t="shared" ca="1" si="497"/>
        <v>2.4725000000000064</v>
      </c>
      <c r="AX559" s="108" t="b">
        <f ca="1">AND(模拟模式!$P$10="有",AW558=0,RAND()&lt;IF(C559="净世破魔击·月",0.1*8/3,IF(C559="净世破魔击·日",0.1*4/3,0.1*2/3)))</f>
        <v>0</v>
      </c>
      <c r="AY559" s="47">
        <f ca="1">IF(AX559,(18+G559*0.722)*(1+J559)*(1-S559)*(1+$I$4)*IF(P559="会",'模拟-全程加成'!$J$3+'模拟-全程加成'!$J$4+'模拟-全程加成'!$J$5+('模拟-全程加成'!$I$4+'模拟-全程加成'!$I$5)/系数!$B$4+BG559*10%,IF(P559="命",1,IF(P559="识",0.25,0))),0)</f>
        <v>0</v>
      </c>
      <c r="AZ559" s="108">
        <f t="shared" si="498"/>
        <v>16.310000000000002</v>
      </c>
      <c r="BA559" s="108" t="b">
        <f>AND(模拟模式!$Q$10="有",AZ558=0)</f>
        <v>0</v>
      </c>
      <c r="BB559" s="140">
        <f>IF(BA559,(0+G559*0.287)*(1+J559)*(1-S559)*(1+$I$4)*IF(P559="会",'模拟-全程加成'!$J$3+'模拟-全程加成'!$J$4+'模拟-全程加成'!$J$5+('模拟-全程加成'!$I$4+'模拟-全程加成'!$I$5)/系数!$B$4+BG559*10%,IF(P559="命",1,IF(P559="识",0.25,0))),0)</f>
        <v>0</v>
      </c>
      <c r="BC559" s="115" t="b">
        <f ca="1">AND(模拟模式!$R$7="伏明众生",E559=60,F559=20,DA559&lt;5,CZ558&lt;$F$4)</f>
        <v>0</v>
      </c>
      <c r="BD559" s="115">
        <f t="shared" ca="1" si="460"/>
        <v>0</v>
      </c>
      <c r="BE559" s="115" t="b">
        <f t="shared" ca="1" si="461"/>
        <v>0</v>
      </c>
      <c r="BF559" s="47">
        <f ca="1">IF(BC559,4*('模拟-单技能数据'!$D$24+G559*'模拟-单技能数据'!$F$24)*(1+J559)*(1+'模拟-单技能数据'!$J$24)*(1-S559)*(1+$I$3)*(('模拟-全程加成'!$J$3+'模拟-全程加成'!$J$4+'模拟-全程加成'!$J$5+('模拟-全程加成'!$I$4+'模拟-全程加成'!$I$5)/系数!$B$4+BG559*10%)*('模拟-全程加成'!$J$3+'模拟-全程加成'!$J$4+'模拟-全程加成'!$J$5+('模拟-全程加成'!$I$4+'模拟-全程加成'!$I$5)/系数!$B$4+BG559*10%)+(1-('模拟-全程加成'!$J$3+'模拟-全程加成'!$J$4+'模拟-全程加成'!$J$5+('模拟-全程加成'!$I$4+'模拟-全程加成'!$I$5)/系数!$B$4+BG559*10%)-$F$10-$F$11)+F545*0.25),0)*'模拟-单技能数据'!$I$24</f>
        <v>0</v>
      </c>
      <c r="BG559" s="115" t="b">
        <f ca="1">OR(AND(OR(C559="烈日斩",C559="银月斩"),模拟模式!$I$7="净身明礼"),AND(C559="净世破魔击·日",模拟模式!$J$7="洞若观火"),AND(C560="净世破魔击·月",模拟模式!$J$7="洞若观火"),AB559=1)</f>
        <v>1</v>
      </c>
      <c r="BH559" s="115" t="b">
        <f t="shared" ca="1" si="499"/>
        <v>0</v>
      </c>
      <c r="BI559" s="115">
        <f t="shared" ca="1" si="462"/>
        <v>0</v>
      </c>
      <c r="BJ559" s="115" t="b">
        <f t="shared" ca="1" si="473"/>
        <v>0</v>
      </c>
      <c r="BK559" s="115" t="b">
        <f ca="1">AND(C559="驱夜断愁",模拟模式!$P$7="天地诛戮")</f>
        <v>0</v>
      </c>
      <c r="BL559" s="57">
        <f t="shared" ca="1" si="463"/>
        <v>16.310000000000002</v>
      </c>
      <c r="BM559" s="115" t="b">
        <f t="shared" ca="1" si="474"/>
        <v>1</v>
      </c>
      <c r="BN559" s="115" t="b">
        <f ca="1">AND(OR(C559="赤日轮1",C559="赤日轮2",C559="赤日轮3",C559="幽月轮1",C559="幽月轮2",C559="幽月轮3"),AB559=1,模拟模式!$L$7="明光恒照")</f>
        <v>0</v>
      </c>
      <c r="BO559" s="117">
        <f t="shared" ca="1" si="464"/>
        <v>28.155000000000001</v>
      </c>
      <c r="BP559" s="115">
        <f t="shared" ca="1" si="500"/>
        <v>6</v>
      </c>
      <c r="BQ559" s="115" t="b">
        <f>模拟模式!$K$10="2600·水"</f>
        <v>0</v>
      </c>
      <c r="BR559" s="117">
        <f t="shared" si="501"/>
        <v>0</v>
      </c>
      <c r="BS559" s="115">
        <f t="shared" si="502"/>
        <v>0</v>
      </c>
      <c r="BT559" s="115">
        <f t="shared" ca="1" si="503"/>
        <v>0</v>
      </c>
      <c r="BU559" s="115" t="b">
        <f ca="1">AND(模拟模式!$K$10="2300·雷",BT558=0,RAND()&lt;IF(C559="净世破魔击·月",5*0.05*2/3,IF(C559="净世破魔击·日",3*0.05*2/3,0.05*2*2/3)))</f>
        <v>0</v>
      </c>
      <c r="BV559" s="115">
        <f t="shared" ca="1" si="504"/>
        <v>0</v>
      </c>
      <c r="BW559" s="115">
        <f t="shared" ca="1" si="505"/>
        <v>64.687499999999275</v>
      </c>
      <c r="BX559" s="164" t="b">
        <f t="shared" ca="1" si="506"/>
        <v>0</v>
      </c>
      <c r="BY559" s="115">
        <f t="shared" ca="1" si="507"/>
        <v>0</v>
      </c>
      <c r="BZ559" s="115">
        <f>IF(OR(模拟模式!$P$16="10人团",模拟模式!$P$16="25人团"),IF(B559/30&gt;CA558,1,0),0)</f>
        <v>0</v>
      </c>
      <c r="CA559" s="115">
        <f t="shared" si="483"/>
        <v>0</v>
      </c>
      <c r="CB559" s="115">
        <f ca="1">IF(BZ559=1,IF(模拟模式!$P$16="10人团",15,0)+IF(模拟模式!$P$16="25人团",IF(RAND()&lt;0.6,15,0)),MAX(0,CB558-$F$4))</f>
        <v>0</v>
      </c>
      <c r="CC559" s="115" t="b">
        <f t="shared" ca="1" si="475"/>
        <v>0</v>
      </c>
      <c r="CD559" s="115">
        <f>IF(模拟模式!$Q$16="1个",IF(B559/40&gt;CE558,1,0),0)</f>
        <v>0</v>
      </c>
      <c r="CE559" s="115">
        <f t="shared" si="476"/>
        <v>0</v>
      </c>
      <c r="CF559" s="115">
        <f>IF(OR(CD559=1,模拟模式!$Q$16="2个"),20,MAX(0,CF558-$F$4))</f>
        <v>0</v>
      </c>
      <c r="CG559" s="115" t="b">
        <f t="shared" si="477"/>
        <v>0</v>
      </c>
      <c r="CH559" s="115">
        <f t="shared" ca="1" si="508"/>
        <v>16.162500000000009</v>
      </c>
      <c r="CI559" s="115" t="b">
        <f t="shared" ca="1" si="509"/>
        <v>0</v>
      </c>
      <c r="CJ559" s="119">
        <f t="shared" ca="1" si="510"/>
        <v>0</v>
      </c>
      <c r="CK559" s="115">
        <f t="shared" ca="1" si="511"/>
        <v>0</v>
      </c>
      <c r="CL559" s="115" t="b">
        <f ca="1">AND(模拟模式!$S$7="驱夷逐法",OR(AND(C559="净世破魔击·月",E558&gt;59),AND(C559="净世破魔击·日",F558&gt;59)))</f>
        <v>0</v>
      </c>
      <c r="CM559" s="115" t="b">
        <f ca="1">OR(CL559,AND(C559="净世破魔击·日",CL558,RAND()&lt;模拟模式!$U$23))</f>
        <v>1</v>
      </c>
      <c r="CN559" s="115" t="b">
        <f ca="1">IF(模拟模式!$M$7="辉耀红尘",AND(C559="净世破魔击·月",CL559,CV559=0,E558&lt;80),AND(C559="净世破魔击·月",CL559,E558&lt;100))</f>
        <v>0</v>
      </c>
      <c r="CO559" s="115" t="b">
        <f t="shared" ca="1" si="484"/>
        <v>0</v>
      </c>
      <c r="CP559" s="115" t="b">
        <f ca="1">AND(模拟模式!$O$7="用晦而明",OR(C559="净世破魔击·日",C559="净世破魔击·月",C559="驱夜断愁"),AB559)</f>
        <v>1</v>
      </c>
      <c r="CQ559" s="115" t="b">
        <f ca="1">OR(CP559,AND(CP558,RAND()&lt;模拟模式!$U$23))</f>
        <v>1</v>
      </c>
      <c r="CR559" s="115" t="b">
        <f ca="1">AND(模拟模式!$S$7="日月齐光",OR(C559="幽月轮1",C559="幽月轮2",C559="幽月轮3",CR558),NOT(OR(C559="赤日轮1",C559="赤日轮2",C559="赤日轮3")))</f>
        <v>0</v>
      </c>
      <c r="CS559" s="115" t="b">
        <f ca="1">AND(模拟模式!$S$7="日月齐光",OR(C559="赤日轮1",C559="赤日轮2",C559="赤日轮3",CS558),NOT(OR(C559="幽月轮1",C559="幽月轮2",C559="幽月轮3")))</f>
        <v>0</v>
      </c>
      <c r="CT559" s="115">
        <f t="shared" ca="1" si="512"/>
        <v>12.472500000000011</v>
      </c>
      <c r="CU559" s="115" t="b">
        <f ca="1">AND(模拟模式!$K$10="阴阳往极",CT558=0,RAND()&lt;IF(C559="净世破魔击·月",0.0275*7/3,IF(C559="净世破魔击·日",0.0275*3/3,0.0275*2/3)))</f>
        <v>0</v>
      </c>
      <c r="CV559" s="115">
        <f t="shared" ca="1" si="513"/>
        <v>0</v>
      </c>
      <c r="CW559" s="115">
        <f t="shared" ca="1" si="485"/>
        <v>3.2324999999999995</v>
      </c>
      <c r="CX559" s="115">
        <f t="shared" ca="1" si="486"/>
        <v>1.3874999999999997</v>
      </c>
      <c r="CY559" s="115">
        <f ca="1">MAX(IF($C559="驱夜断愁",IF(模拟模式!$R$7="万念俱寂",6,45),CY558-$F$4),0)</f>
        <v>2.3099999999999996</v>
      </c>
      <c r="CZ559" s="115">
        <f t="shared" ca="1" si="487"/>
        <v>0</v>
      </c>
      <c r="DA559" s="115">
        <f ca="1">IF(模拟模式!$N$7="日月同辉",IF(DB558=2,0,MIN(6,IF(AND(OR(C559="赤日轮1",C559="赤日轮2",C559="赤日轮3",C559="幽月轮1",C559="幽月轮2",C559="幽月轮3"),AB559=1),DA558+1,DA558))),0)</f>
        <v>5</v>
      </c>
      <c r="DB559" s="115">
        <f t="shared" ca="1" si="488"/>
        <v>0</v>
      </c>
      <c r="DC559" s="115"/>
      <c r="DD559" s="115"/>
      <c r="DE559" s="115"/>
      <c r="DF559" s="115"/>
      <c r="DG559" s="115"/>
      <c r="DH559" s="115"/>
      <c r="DI559" s="115"/>
      <c r="DJ559" s="115"/>
      <c r="DK559" s="115"/>
      <c r="DL559" s="115"/>
      <c r="DM559" s="115"/>
    </row>
    <row r="560" spans="2:117" x14ac:dyDescent="0.2">
      <c r="B560" s="117">
        <f t="shared" si="489"/>
        <v>491.69250000000528</v>
      </c>
      <c r="C560" s="167" t="str">
        <f t="shared" ca="1" si="482"/>
        <v>赤日轮1</v>
      </c>
      <c r="D560" s="115">
        <f ca="1">IF(C560="赤日轮1",1,IF(C560="赤日轮2",2,IF(C560="赤日轮3",3,IF(C560="幽月轮1",4,IF(C560="幽月轮2",5,IF(C560="幽月轮3",6,IF(C560="烈日斩",7,IF(C560="银月斩",8,IF(C560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560="净世破魔击·月",17,IF(C560="驱夜断愁",18,0)))))))))))</f>
        <v>1</v>
      </c>
      <c r="E560" s="115">
        <f ca="1">IF(AND(CU560,OR(C560="幽月轮1",C560="幽月轮2",C560="幽月轮3",C560="银月斩",C560="驱夜断愁",C560="净世破魔击·月")),100,MIN(IF(OR(CN560,BE560),0,IF(OR($C560="赤日轮1",$C560="赤日轮2",$C560="赤日轮3"),E559+20+IF(模拟模式!$I$7="日月凌天",4,0)+IF(CR559,20,0),IF($C560="烈日斩",E559+40,IF($C560="驱夜断愁",IF(模拟模式!$R$7="万念俱寂",E559+20,E559+60),IF($C560="净世破魔击·月",IF(OR(DB559&gt;0,CV559&gt;0),100,IF(模拟模式!$M$7="辉耀红尘",E559+20,E559)),IF($C560="净世破魔击·日",E559-100,E559)))))),100))</f>
        <v>20</v>
      </c>
      <c r="F560" s="115">
        <f ca="1">IF(AND(CU560,OR(C560="赤日轮1",C560="赤日轮2",C560="赤日轮3",C560="烈日斩",C560="净世破魔击·日")),100,MIN(IF(CO560,0,IF(OR($C560="幽月轮1",$C560="幽月轮2",$C560="幽月轮3"),F559+20+IF(模拟模式!$I$7="日月凌天",4,0)+IF(CS559,20,0),IF($C560="银月斩",F559+40+IF(模拟模式!$X$12=1,5,0),IF($C560="驱夜断愁",IF(模拟模式!$R$7="万念俱寂",F559+20,F559+60),IF($C560="净世破魔击·月",IF(模拟模式!$M$7="辉耀红尘",F559-80,F559-100),IF(AND(C560="净世破魔击·日",OR(DB559&gt;0,CV559&gt;0)),100,F559)))))),100))</f>
        <v>20</v>
      </c>
      <c r="G560" s="117">
        <f ca="1">('模拟-全程加成'!$E$3+'模拟-全程加成'!$E$4+'模拟-全程加成'!$E$5+('模拟-全程加成'!$C$6-'模拟-全程加成'!$C$3)*系数!$B$9+BS560*23)*(1+'模拟-全程加成'!$F$4+'模拟-全程加成'!$F$5+BJ560*10%+BM560*20%+BP560*4%+CG560*30%)+$F$7*系数!$B$12</f>
        <v>20583.127400000001</v>
      </c>
      <c r="H560" s="45">
        <f ca="1">'模拟-全程加成'!$H$3+'模拟-全程加成'!$H$4+'模拟-全程加成'!$H$5+('模拟-全程加成'!$G$4+'模拟-全程加成'!$G$5+('模拟-全程加成'!$C$6-'模拟-全程加成'!$C$3)*系数!$B$13)/系数!$B$3+LOOKUP(D560,'模拟-单技能数据'!$A$2:$A$19,'模拟-单技能数据'!$K$2:$K$19)+BG560*10%+IF(BV560&gt;0,378,0)</f>
        <v>0.4618514552730022</v>
      </c>
      <c r="I560" s="45">
        <f ca="1">'模拟-全程加成'!$J$3+'模拟-全程加成'!$J$4+'模拟-全程加成'!$J$5+('模拟-全程加成'!$I$4+'模拟-全程加成'!$I$5)/系数!$B$4+LOOKUP(D560,'模拟-单技能数据'!$A$2:$A$19,'模拟-单技能数据'!$L$2:$L$19)+BG560*10%</f>
        <v>2.162482885499879</v>
      </c>
      <c r="J560" s="45">
        <f ca="1">(('模拟-全程加成'!$K$3+'模拟-全程加成'!$K$4+'模拟-全程加成'!$K$5+('模拟-全程加成'!$C$6-'模拟-全程加成'!$C$3)*系数!$B$10+IF(BV560&gt;0,882,0)+IF(BY560&gt;0,1831,0))*(1+'模拟-全程加成'!$L$4+'模拟-全程加成'!$L$5+CC560*20%))/系数!$B$5</f>
        <v>0.69723220422048726</v>
      </c>
      <c r="K560" s="119">
        <f ca="1">LOOKUP(D560,'模拟-单技能数据'!$A$2:$A$19,'模拟-单技能数据'!$J$2:$J$19)+IF(CM560,60%,0)+IF(DB559-DB560&gt;0,30%,0)+IF(OR(AND(OR(C560="赤日轮1",C560="赤日轮2",C560="赤日轮3"),CR560),AND(OR(C560="幽月轮1",C560="幽月轮2",C560="幽月轮3"),CS560)),35%,0)+CJ560</f>
        <v>0.12</v>
      </c>
      <c r="L560" s="119">
        <f ca="1">IF(AND(C560="烈日斩",模拟模式!$X$11=1),10%,0)+IF(AND(C560="驱夜断愁",AB560=1),30%,0)</f>
        <v>0</v>
      </c>
      <c r="M560" s="45">
        <f t="shared" ca="1" si="465"/>
        <v>0.4618514552730022</v>
      </c>
      <c r="N560" s="45">
        <f t="shared" ca="1" si="466"/>
        <v>0.48424854472699785</v>
      </c>
      <c r="O560" s="46">
        <f t="shared" ca="1" si="490"/>
        <v>9.4838628423520088E-2</v>
      </c>
      <c r="P560" s="46" t="str">
        <f t="shared" ca="1" si="491"/>
        <v>会</v>
      </c>
      <c r="Q560" s="45">
        <f t="shared" ca="1" si="492"/>
        <v>2.162482885499879</v>
      </c>
      <c r="R560" s="117">
        <f ca="1">模拟模式!$E$20*(1-IF(模拟模式!$J$19="有",0.15,0))*(1-IF(模拟模式!$K$19="有",0.3,0)-IF(CQ560,0.5,0))</f>
        <v>843.02999999999975</v>
      </c>
      <c r="S560" s="45">
        <f ca="1">R560/(R560+(185*模拟模式!$E$22-16800)*4.08224)</f>
        <v>8.389626085980037E-2</v>
      </c>
      <c r="T560" s="45" t="str">
        <f ca="1">LOOKUP(D560,'模拟-单技能数据'!$A$2:$A$19,'模拟-单技能数据'!$H$2:$H$19)</f>
        <v>阳</v>
      </c>
      <c r="U560" s="119">
        <f t="shared" ca="1" si="467"/>
        <v>0.2</v>
      </c>
      <c r="V560" s="47">
        <f ca="1">(1+L560)*(LOOKUP(D560,'模拟-单技能数据'!$A$2:$A$19,'模拟-单技能数据'!$D$2:$D$19)+G560*LOOKUP(D560,'模拟-单技能数据'!$A$2:$A$19,'模拟-单技能数据'!$F$2:$F$19))*(1+J560)*(1+K560)*(1-S560)*(1+U560)*Q560*LOOKUP(D560,'模拟-单技能数据'!$A$2:$A$19,'模拟-单技能数据'!$I$2:$I$20)</f>
        <v>54482.562593809358</v>
      </c>
      <c r="W560" s="47">
        <f ca="1">LOOKUP(D560,'模拟-单技能数据'!$A$2:$A$19,'模拟-单技能数据'!$G$2:$G$19)*$I$10</f>
        <v>361.51064354704795</v>
      </c>
      <c r="X560" s="47">
        <f t="shared" ca="1" si="493"/>
        <v>4074.6980221198578</v>
      </c>
      <c r="Y560" s="47">
        <f t="shared" ca="1" si="468"/>
        <v>58918.771259476271</v>
      </c>
      <c r="Z560" s="49">
        <f t="shared" ca="1" si="469"/>
        <v>55750656.530742683</v>
      </c>
      <c r="AA560" s="97">
        <f t="shared" ca="1" si="470"/>
        <v>113385.20829734455</v>
      </c>
      <c r="AB560" s="115">
        <f ca="1">IF(OR(C560="赤日轮1",C560="赤日轮2",C560="赤日轮3"),IF(RAND()&lt;模拟模式!$Y$17,1,0),IF(OR(C560="幽月轮1",C560="幽月轮2",C560="幽月轮3"),IF(RAND()&lt;模拟模式!$Y$18,1,0),IF(C560="烈日斩",IF(RAND()&lt;模拟模式!$Y$19,1,0),IF(C560="银月斩",IF(RAND()&lt;模拟模式!$Y$20,1,0),IF(C560="驱夜断愁",IF(RAND()&lt;模拟模式!$Y$21,1,0),IF(C560="净世破魔击·日",IF(RAND()&lt;模拟模式!$Y$22,1,0),IF(C560="净世破魔击·月",IF(RAND()&lt;模拟模式!$Y$23,1,0),0)))))))</f>
        <v>1</v>
      </c>
      <c r="AC560" s="115" t="b">
        <f t="shared" ca="1" si="458"/>
        <v>0</v>
      </c>
      <c r="AD560" s="115" t="b">
        <f t="shared" ca="1" si="478"/>
        <v>1</v>
      </c>
      <c r="AE560" s="115">
        <f t="shared" ca="1" si="479"/>
        <v>2</v>
      </c>
      <c r="AF560" s="47">
        <f ca="1">IF(AC560,('模拟-单技能数据'!$D$20+G560*'模拟-单技能数据'!$F$20)*(1+J560)*(1+'模拟-单技能数据'!$J$20)*(1+U560),0)</f>
        <v>0</v>
      </c>
      <c r="AG560" s="61">
        <f t="shared" ca="1" si="471"/>
        <v>0.64185145527300214</v>
      </c>
      <c r="AH560" s="61">
        <f t="shared" ca="1" si="472"/>
        <v>2.2624828854998791</v>
      </c>
      <c r="AI560" s="62">
        <f t="shared" ca="1" si="494"/>
        <v>0.88799810361471843</v>
      </c>
      <c r="AJ560" s="47">
        <f ca="1">IF(AD560,IF(AI560&lt;$F$10,0,IF(AI560&lt;$F$10+$F$11,0.25,IF(AI560&lt;$F$10+$F$11+AG560,AH560,1)))*IF(AF560&gt;0,AF560,IF(AF559&gt;0,AF559,IF(AF558&gt;0,AF558,IF(AF557&gt;0,AF557,IF(AF556&gt;0,AF556,IF(AF555&gt;0,AF555,IF(AF554&gt;0,AF554,IF(AF553&gt;0,AF553,IF(AF552&gt;0,AF552,IF(AF550&gt;0,AF550,IF(AF549&gt;0,AF549,IF(AF548&gt;0,AF548,0)))))))))))),0)*(1-$S560)*'模拟-单技能数据'!$I$20</f>
        <v>4074.6980221198578</v>
      </c>
      <c r="AK560" s="115" t="b">
        <f t="shared" ca="1" si="459"/>
        <v>0</v>
      </c>
      <c r="AL560" s="115" t="b">
        <f t="shared" ca="1" si="480"/>
        <v>0</v>
      </c>
      <c r="AM560" s="115">
        <f t="shared" ca="1" si="481"/>
        <v>5</v>
      </c>
      <c r="AN560" s="47">
        <f ca="1">IF(AK560,('模拟-单技能数据'!$D$21+G560*'模拟-单技能数据'!$F$21)*(1+J560)*(1+'模拟-单技能数据'!$J$21)*(1+U560),0)</f>
        <v>0</v>
      </c>
      <c r="AO560" s="61">
        <f ca="1">IF(AN560&gt;0,M560-'模拟-单技能数据'!$K$10,AO559)</f>
        <v>0.42185145527300216</v>
      </c>
      <c r="AP560" s="61">
        <f ca="1">IF(AN560&gt;0,I560-'模拟-单技能数据'!$L$10,AP559)</f>
        <v>2.162482885499879</v>
      </c>
      <c r="AQ560" s="63">
        <f t="shared" ca="1" si="495"/>
        <v>0.38475411484067235</v>
      </c>
      <c r="AR560" s="64">
        <f ca="1">IF(AL560,IF(AQ560&lt;$F$10,0,IF(AQ560&lt;$F$10+$F$11,0.25,IF(AQ560&lt;$F$10+$F$11+AO560,AP560,1)))*IF(AN560&gt;0,AN560,IF(AN559&gt;0,AN559,IF(AN558&gt;0,AN558,IF(AN557&gt;0,AN557,IF(AN556&gt;0,AN556,IF(AN555&gt;0,AN555,IF(AN554&gt;0,AN554,IF(AN553&gt;0,AN553,IF(AN552&gt;0,AN552,IF(AN550&gt;0,AN550,IF(AN549&gt;0,AN549,IF(AN548&gt;0,AN548,0)))))))))))),0)*(1-$S560)*'模拟-单技能数据'!$I$21</f>
        <v>0</v>
      </c>
      <c r="AS560" s="61">
        <f ca="1">IF(OR(C560="净世破魔击·日",C560="净世破魔击·月"),M560-'模拟-单技能数据'!$K$10,0)</f>
        <v>0</v>
      </c>
      <c r="AT560" s="61">
        <f ca="1">IF(OR(C560="净世破魔击·日",C560="净世破魔击·月"),I560-'模拟-单技能数据'!$L$10,0)</f>
        <v>0</v>
      </c>
      <c r="AU560" s="62">
        <f t="shared" ca="1" si="496"/>
        <v>5.0601980228143884E-2</v>
      </c>
      <c r="AV560" s="64">
        <f ca="1">IF(AS560&gt;0,('模拟-单技能数据'!$D$22+G560*'模拟-单技能数据'!$F$22)*(1+J560)*(1-S560)*IF(AU560&lt;$F$10,0,IF(AU560&lt;$F$10+$F$11,0.25,IF(AU560&lt;$F$10+$F$11+AS560,AT560,1)))*(1+U560),0)*'模拟-单技能数据'!$I$22</f>
        <v>0</v>
      </c>
      <c r="AW560" s="108">
        <f t="shared" ca="1" si="497"/>
        <v>1.5500000000000065</v>
      </c>
      <c r="AX560" s="108" t="b">
        <f ca="1">AND(模拟模式!$P$10="有",AW559=0,RAND()&lt;IF(C560="净世破魔击·月",0.1*8/3,IF(C560="净世破魔击·日",0.1*4/3,0.1*2/3)))</f>
        <v>0</v>
      </c>
      <c r="AY560" s="47">
        <f ca="1">IF(AX560,(18+G560*0.722)*(1+J560)*(1-S560)*(1+$I$4)*IF(P560="会",'模拟-全程加成'!$J$3+'模拟-全程加成'!$J$4+'模拟-全程加成'!$J$5+('模拟-全程加成'!$I$4+'模拟-全程加成'!$I$5)/系数!$B$4+BG560*10%,IF(P560="命",1,IF(P560="识",0.25,0))),0)</f>
        <v>0</v>
      </c>
      <c r="AZ560" s="108">
        <f t="shared" si="498"/>
        <v>15.387500000000003</v>
      </c>
      <c r="BA560" s="108" t="b">
        <f>AND(模拟模式!$Q$10="有",AZ559=0)</f>
        <v>0</v>
      </c>
      <c r="BB560" s="140">
        <f>IF(BA560,(0+G560*0.287)*(1+J560)*(1-S560)*(1+$I$4)*IF(P560="会",'模拟-全程加成'!$J$3+'模拟-全程加成'!$J$4+'模拟-全程加成'!$J$5+('模拟-全程加成'!$I$4+'模拟-全程加成'!$I$5)/系数!$B$4+BG560*10%,IF(P560="命",1,IF(P560="识",0.25,0))),0)</f>
        <v>0</v>
      </c>
      <c r="BC560" s="115" t="b">
        <f ca="1">AND(模拟模式!$R$7="伏明众生",E560=60,F560=20,DA560&lt;5,CZ559&lt;$F$4)</f>
        <v>0</v>
      </c>
      <c r="BD560" s="115">
        <f t="shared" ca="1" si="460"/>
        <v>0</v>
      </c>
      <c r="BE560" s="115" t="b">
        <f t="shared" ca="1" si="461"/>
        <v>0</v>
      </c>
      <c r="BF560" s="47">
        <f ca="1">IF(BC560,4*('模拟-单技能数据'!$D$24+G560*'模拟-单技能数据'!$F$24)*(1+J560)*(1+'模拟-单技能数据'!$J$24)*(1-S560)*(1+$I$3)*(('模拟-全程加成'!$J$3+'模拟-全程加成'!$J$4+'模拟-全程加成'!$J$5+('模拟-全程加成'!$I$4+'模拟-全程加成'!$I$5)/系数!$B$4+BG560*10%)*('模拟-全程加成'!$J$3+'模拟-全程加成'!$J$4+'模拟-全程加成'!$J$5+('模拟-全程加成'!$I$4+'模拟-全程加成'!$I$5)/系数!$B$4+BG560*10%)+(1-('模拟-全程加成'!$J$3+'模拟-全程加成'!$J$4+'模拟-全程加成'!$J$5+('模拟-全程加成'!$I$4+'模拟-全程加成'!$I$5)/系数!$B$4+BG560*10%)-$F$10-$F$11)+F546*0.25),0)*'模拟-单技能数据'!$I$24</f>
        <v>0</v>
      </c>
      <c r="BG560" s="115" t="b">
        <f ca="1">OR(AND(OR(C560="烈日斩",C560="银月斩"),模拟模式!$I$7="净身明礼"),AND(C560="净世破魔击·日",模拟模式!$J$7="洞若观火"),AND(C561="净世破魔击·月",模拟模式!$J$7="洞若观火"),AB560=1)</f>
        <v>1</v>
      </c>
      <c r="BH560" s="115" t="b">
        <f t="shared" ca="1" si="499"/>
        <v>0</v>
      </c>
      <c r="BI560" s="115">
        <f t="shared" ca="1" si="462"/>
        <v>0</v>
      </c>
      <c r="BJ560" s="115" t="b">
        <f t="shared" ca="1" si="473"/>
        <v>0</v>
      </c>
      <c r="BK560" s="115" t="b">
        <f ca="1">AND(C560="驱夜断愁",模拟模式!$P$7="天地诛戮")</f>
        <v>0</v>
      </c>
      <c r="BL560" s="57">
        <f t="shared" ca="1" si="463"/>
        <v>15.387500000000003</v>
      </c>
      <c r="BM560" s="115" t="b">
        <f t="shared" ca="1" si="474"/>
        <v>1</v>
      </c>
      <c r="BN560" s="115" t="b">
        <f ca="1">AND(OR(C560="赤日轮1",C560="赤日轮2",C560="赤日轮3",C560="幽月轮1",C560="幽月轮2",C560="幽月轮3"),AB560=1,模拟模式!$L$7="明光恒照")</f>
        <v>1</v>
      </c>
      <c r="BO560" s="117">
        <f t="shared" ca="1" si="464"/>
        <v>30</v>
      </c>
      <c r="BP560" s="115">
        <f t="shared" ca="1" si="500"/>
        <v>6</v>
      </c>
      <c r="BQ560" s="115" t="b">
        <f>模拟模式!$K$10="2600·水"</f>
        <v>0</v>
      </c>
      <c r="BR560" s="117">
        <f t="shared" si="501"/>
        <v>0</v>
      </c>
      <c r="BS560" s="115">
        <f t="shared" si="502"/>
        <v>0</v>
      </c>
      <c r="BT560" s="115">
        <f t="shared" ca="1" si="503"/>
        <v>0</v>
      </c>
      <c r="BU560" s="115" t="b">
        <f ca="1">AND(模拟模式!$K$10="2300·雷",BT559=0,RAND()&lt;IF(C560="净世破魔击·月",5*0.05*2/3,IF(C560="净世破魔击·日",3*0.05*2/3,0.05*2*2/3)))</f>
        <v>0</v>
      </c>
      <c r="BV560" s="115">
        <f t="shared" ca="1" si="504"/>
        <v>0</v>
      </c>
      <c r="BW560" s="115">
        <f t="shared" ca="1" si="505"/>
        <v>63.764999999999276</v>
      </c>
      <c r="BX560" s="164" t="b">
        <f t="shared" ca="1" si="506"/>
        <v>0</v>
      </c>
      <c r="BY560" s="115">
        <f t="shared" ca="1" si="507"/>
        <v>0</v>
      </c>
      <c r="BZ560" s="115">
        <f>IF(OR(模拟模式!$P$16="10人团",模拟模式!$P$16="25人团"),IF(B560/30&gt;CA559,1,0),0)</f>
        <v>0</v>
      </c>
      <c r="CA560" s="115">
        <f t="shared" si="483"/>
        <v>0</v>
      </c>
      <c r="CB560" s="115">
        <f ca="1">IF(BZ560=1,IF(模拟模式!$P$16="10人团",15,0)+IF(模拟模式!$P$16="25人团",IF(RAND()&lt;0.6,15,0)),MAX(0,CB559-$F$4))</f>
        <v>0</v>
      </c>
      <c r="CC560" s="115" t="b">
        <f t="shared" ca="1" si="475"/>
        <v>0</v>
      </c>
      <c r="CD560" s="115">
        <f>IF(模拟模式!$Q$16="1个",IF(B560/40&gt;CE559,1,0),0)</f>
        <v>0</v>
      </c>
      <c r="CE560" s="115">
        <f t="shared" si="476"/>
        <v>0</v>
      </c>
      <c r="CF560" s="115">
        <f>IF(OR(CD560=1,模拟模式!$Q$16="2个"),20,MAX(0,CF559-$F$4))</f>
        <v>0</v>
      </c>
      <c r="CG560" s="115" t="b">
        <f t="shared" si="477"/>
        <v>0</v>
      </c>
      <c r="CH560" s="115">
        <f t="shared" ca="1" si="508"/>
        <v>15.240000000000009</v>
      </c>
      <c r="CI560" s="115" t="b">
        <f t="shared" ca="1" si="509"/>
        <v>0</v>
      </c>
      <c r="CJ560" s="119">
        <f t="shared" ca="1" si="510"/>
        <v>0</v>
      </c>
      <c r="CK560" s="115">
        <f t="shared" ca="1" si="511"/>
        <v>0</v>
      </c>
      <c r="CL560" s="115" t="b">
        <f ca="1">AND(模拟模式!$S$7="驱夷逐法",OR(AND(C560="净世破魔击·月",E559&gt;59),AND(C560="净世破魔击·日",F559&gt;59)))</f>
        <v>0</v>
      </c>
      <c r="CM560" s="115" t="b">
        <f ca="1">OR(CL560,AND(C560="净世破魔击·日",CL559,RAND()&lt;模拟模式!$U$23))</f>
        <v>0</v>
      </c>
      <c r="CN560" s="115" t="b">
        <f ca="1">IF(模拟模式!$M$7="辉耀红尘",AND(C560="净世破魔击·月",CL560,CV560=0,E559&lt;80),AND(C560="净世破魔击·月",CL560,E559&lt;100))</f>
        <v>0</v>
      </c>
      <c r="CO560" s="115" t="b">
        <f t="shared" ca="1" si="484"/>
        <v>0</v>
      </c>
      <c r="CP560" s="115" t="b">
        <f ca="1">AND(模拟模式!$O$7="用晦而明",OR(C560="净世破魔击·日",C560="净世破魔击·月",C560="驱夜断愁"),AB560)</f>
        <v>0</v>
      </c>
      <c r="CQ560" s="115" t="b">
        <f ca="1">OR(CP560,AND(CP559,RAND()&lt;模拟模式!$U$23))</f>
        <v>1</v>
      </c>
      <c r="CR560" s="115" t="b">
        <f ca="1">AND(模拟模式!$S$7="日月齐光",OR(C560="幽月轮1",C560="幽月轮2",C560="幽月轮3",CR559),NOT(OR(C560="赤日轮1",C560="赤日轮2",C560="赤日轮3")))</f>
        <v>0</v>
      </c>
      <c r="CS560" s="115" t="b">
        <f ca="1">AND(模拟模式!$S$7="日月齐光",OR(C560="赤日轮1",C560="赤日轮2",C560="赤日轮3",CS559),NOT(OR(C560="幽月轮1",C560="幽月轮2",C560="幽月轮3")))</f>
        <v>0</v>
      </c>
      <c r="CT560" s="115">
        <f t="shared" ca="1" si="512"/>
        <v>11.550000000000011</v>
      </c>
      <c r="CU560" s="115" t="b">
        <f ca="1">AND(模拟模式!$K$10="阴阳往极",CT559=0,RAND()&lt;IF(C560="净世破魔击·月",0.0275*7/3,IF(C560="净世破魔击·日",0.0275*3/3,0.0275*2/3)))</f>
        <v>0</v>
      </c>
      <c r="CV560" s="115">
        <f t="shared" ca="1" si="513"/>
        <v>0</v>
      </c>
      <c r="CW560" s="115">
        <f t="shared" ca="1" si="485"/>
        <v>2.3099999999999996</v>
      </c>
      <c r="CX560" s="115">
        <f t="shared" ca="1" si="486"/>
        <v>0.46499999999999975</v>
      </c>
      <c r="CY560" s="115">
        <f ca="1">MAX(IF($C560="驱夜断愁",IF(模拟模式!$R$7="万念俱寂",6,45),CY559-$F$4),0)</f>
        <v>1.3874999999999997</v>
      </c>
      <c r="CZ560" s="115">
        <f t="shared" ca="1" si="487"/>
        <v>0</v>
      </c>
      <c r="DA560" s="115">
        <f ca="1">IF(模拟模式!$N$7="日月同辉",IF(DB559=2,0,MIN(6,IF(AND(OR(C560="赤日轮1",C560="赤日轮2",C560="赤日轮3",C560="幽月轮1",C560="幽月轮2",C560="幽月轮3"),AB560=1),DA559+1,DA559))),0)</f>
        <v>6</v>
      </c>
      <c r="DB560" s="115">
        <f t="shared" ca="1" si="488"/>
        <v>2</v>
      </c>
      <c r="DC560" s="115"/>
      <c r="DD560" s="115"/>
      <c r="DE560" s="115"/>
      <c r="DF560" s="115"/>
      <c r="DG560" s="115"/>
      <c r="DH560" s="115"/>
      <c r="DI560" s="115"/>
      <c r="DJ560" s="115"/>
      <c r="DK560" s="115"/>
      <c r="DL560" s="115"/>
      <c r="DM560" s="115"/>
    </row>
    <row r="561" spans="2:117" x14ac:dyDescent="0.2">
      <c r="B561" s="117">
        <f t="shared" si="489"/>
        <v>492.6150000000053</v>
      </c>
      <c r="C561" s="167" t="str">
        <f t="shared" ca="1" si="482"/>
        <v>银月斩</v>
      </c>
      <c r="D561" s="115">
        <f ca="1">IF(C561="赤日轮1",1,IF(C561="赤日轮2",2,IF(C561="赤日轮3",3,IF(C561="幽月轮1",4,IF(C561="幽月轮2",5,IF(C561="幽月轮3",6,IF(C561="烈日斩",7,IF(C561="银月斩",8,IF(C561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561="净世破魔击·月",17,IF(C561="驱夜断愁",18,0)))))))))))</f>
        <v>8</v>
      </c>
      <c r="E561" s="115">
        <f ca="1">IF(AND(CU561,OR(C561="幽月轮1",C561="幽月轮2",C561="幽月轮3",C561="银月斩",C561="驱夜断愁",C561="净世破魔击·月")),100,MIN(IF(OR(CN561,BE561),0,IF(OR($C561="赤日轮1",$C561="赤日轮2",$C561="赤日轮3"),E560+20+IF(模拟模式!$I$7="日月凌天",4,0)+IF(CR560,20,0),IF($C561="烈日斩",E560+40,IF($C561="驱夜断愁",IF(模拟模式!$R$7="万念俱寂",E560+20,E560+60),IF($C561="净世破魔击·月",IF(OR(DB560&gt;0,CV560&gt;0),100,IF(模拟模式!$M$7="辉耀红尘",E560+20,E560)),IF($C561="净世破魔击·日",E560-100,E560)))))),100))</f>
        <v>20</v>
      </c>
      <c r="F561" s="115">
        <f ca="1">IF(AND(CU561,OR(C561="赤日轮1",C561="赤日轮2",C561="赤日轮3",C561="烈日斩",C561="净世破魔击·日")),100,MIN(IF(CO561,0,IF(OR($C561="幽月轮1",$C561="幽月轮2",$C561="幽月轮3"),F560+20+IF(模拟模式!$I$7="日月凌天",4,0)+IF(CS560,20,0),IF($C561="银月斩",F560+40+IF(模拟模式!$X$12=1,5,0),IF($C561="驱夜断愁",IF(模拟模式!$R$7="万念俱寂",F560+20,F560+60),IF($C561="净世破魔击·月",IF(模拟模式!$M$7="辉耀红尘",F560-80,F560-100),IF(AND(C561="净世破魔击·日",OR(DB560&gt;0,CV560&gt;0)),100,F560)))))),100))</f>
        <v>65</v>
      </c>
      <c r="G561" s="117">
        <f ca="1">('模拟-全程加成'!$E$3+'模拟-全程加成'!$E$4+'模拟-全程加成'!$E$5+('模拟-全程加成'!$C$6-'模拟-全程加成'!$C$3)*系数!$B$9+BS561*23)*(1+'模拟-全程加成'!$F$4+'模拟-全程加成'!$F$5+BJ561*10%+BM561*20%+BP561*4%+CG561*30%)+$F$7*系数!$B$12</f>
        <v>20583.127400000001</v>
      </c>
      <c r="H561" s="45">
        <f ca="1">'模拟-全程加成'!$H$3+'模拟-全程加成'!$H$4+'模拟-全程加成'!$H$5+('模拟-全程加成'!$G$4+'模拟-全程加成'!$G$5+('模拟-全程加成'!$C$6-'模拟-全程加成'!$C$3)*系数!$B$13)/系数!$B$3+LOOKUP(D561,'模拟-单技能数据'!$A$2:$A$19,'模拟-单技能数据'!$K$2:$K$19)+BG561*10%+IF(BV561&gt;0,378,0)</f>
        <v>0.64185145527300214</v>
      </c>
      <c r="I561" s="45">
        <f ca="1">'模拟-全程加成'!$J$3+'模拟-全程加成'!$J$4+'模拟-全程加成'!$J$5+('模拟-全程加成'!$I$4+'模拟-全程加成'!$I$5)/系数!$B$4+LOOKUP(D561,'模拟-单技能数据'!$A$2:$A$19,'模拟-单技能数据'!$L$2:$L$19)+BG561*10%</f>
        <v>2.2624828854998791</v>
      </c>
      <c r="J561" s="45">
        <f ca="1">(('模拟-全程加成'!$K$3+'模拟-全程加成'!$K$4+'模拟-全程加成'!$K$5+('模拟-全程加成'!$C$6-'模拟-全程加成'!$C$3)*系数!$B$10+IF(BV561&gt;0,882,0)+IF(BY561&gt;0,1831,0))*(1+'模拟-全程加成'!$L$4+'模拟-全程加成'!$L$5+CC561*20%))/系数!$B$5</f>
        <v>0.69723220422048726</v>
      </c>
      <c r="K561" s="119">
        <f ca="1">LOOKUP(D561,'模拟-单技能数据'!$A$2:$A$19,'模拟-单技能数据'!$J$2:$J$19)+IF(CM561,60%,0)+IF(DB560-DB561&gt;0,30%,0)+IF(OR(AND(OR(C561="赤日轮1",C561="赤日轮2",C561="赤日轮3"),CR561),AND(OR(C561="幽月轮1",C561="幽月轮2",C561="幽月轮3"),CS561)),35%,0)+CJ561</f>
        <v>0.15</v>
      </c>
      <c r="L561" s="119">
        <f ca="1">IF(AND(C561="烈日斩",模拟模式!$X$11=1),10%,0)+IF(AND(C561="驱夜断愁",AB561=1),30%,0)</f>
        <v>0</v>
      </c>
      <c r="M561" s="45">
        <f t="shared" ca="1" si="465"/>
        <v>0.64185145527300214</v>
      </c>
      <c r="N561" s="45">
        <f t="shared" ca="1" si="466"/>
        <v>0.30424854472699792</v>
      </c>
      <c r="O561" s="46">
        <f t="shared" ca="1" si="490"/>
        <v>0.76387916746952667</v>
      </c>
      <c r="P561" s="46" t="str">
        <f t="shared" ca="1" si="491"/>
        <v>命</v>
      </c>
      <c r="Q561" s="45">
        <f t="shared" ca="1" si="492"/>
        <v>1</v>
      </c>
      <c r="R561" s="117">
        <f ca="1">模拟模式!$E$20*(1-IF(模拟模式!$J$19="有",0.15,0))*(1-IF(模拟模式!$K$19="有",0.3,0)-IF(CQ561,0.5,0))</f>
        <v>2950.6049999999996</v>
      </c>
      <c r="S561" s="45">
        <f ca="1">R561/(R561+(185*模拟模式!$E$22-16800)*4.08224)</f>
        <v>0.24272716014590323</v>
      </c>
      <c r="T561" s="45" t="str">
        <f ca="1">LOOKUP(D561,'模拟-单技能数据'!$A$2:$A$19,'模拟-单技能数据'!$H$2:$H$19)</f>
        <v>阴</v>
      </c>
      <c r="U561" s="119">
        <f t="shared" ca="1" si="467"/>
        <v>0.08</v>
      </c>
      <c r="V561" s="47">
        <f ca="1">(1+L561)*(LOOKUP(D561,'模拟-单技能数据'!$A$2:$A$19,'模拟-单技能数据'!$D$2:$D$19)+G561*LOOKUP(D561,'模拟-单技能数据'!$A$2:$A$19,'模拟-单技能数据'!$F$2:$F$19))*(1+J561)*(1+K561)*(1-S561)*(1+U561)*Q561*LOOKUP(D561,'模拟-单技能数据'!$A$2:$A$19,'模拟-单技能数据'!$I$2:$I$20)</f>
        <v>17450.434922549593</v>
      </c>
      <c r="W561" s="47">
        <f ca="1">LOOKUP(D561,'模拟-单技能数据'!$A$2:$A$19,'模拟-单技能数据'!$G$2:$G$19)*$I$10</f>
        <v>361.51064354704795</v>
      </c>
      <c r="X561" s="47">
        <f t="shared" ca="1" si="493"/>
        <v>19874.713753650052</v>
      </c>
      <c r="Y561" s="47">
        <f t="shared" ca="1" si="468"/>
        <v>37686.659319746694</v>
      </c>
      <c r="Z561" s="49">
        <f t="shared" ca="1" si="469"/>
        <v>55788343.190062426</v>
      </c>
      <c r="AA561" s="97">
        <f t="shared" ca="1" si="470"/>
        <v>113249.37971856688</v>
      </c>
      <c r="AB561" s="115">
        <f ca="1">IF(OR(C561="赤日轮1",C561="赤日轮2",C561="赤日轮3"),IF(RAND()&lt;模拟模式!$Y$17,1,0),IF(OR(C561="幽月轮1",C561="幽月轮2",C561="幽月轮3"),IF(RAND()&lt;模拟模式!$Y$18,1,0),IF(C561="烈日斩",IF(RAND()&lt;模拟模式!$Y$19,1,0),IF(C561="银月斩",IF(RAND()&lt;模拟模式!$Y$20,1,0),IF(C561="驱夜断愁",IF(RAND()&lt;模拟模式!$Y$21,1,0),IF(C561="净世破魔击·日",IF(RAND()&lt;模拟模式!$Y$22,1,0),IF(C561="净世破魔击·月",IF(RAND()&lt;模拟模式!$Y$23,1,0),0)))))))</f>
        <v>1</v>
      </c>
      <c r="AC561" s="115" t="b">
        <f t="shared" ca="1" si="458"/>
        <v>1</v>
      </c>
      <c r="AD561" s="115" t="b">
        <f t="shared" ca="1" si="478"/>
        <v>0</v>
      </c>
      <c r="AE561" s="115">
        <f t="shared" ca="1" si="479"/>
        <v>6</v>
      </c>
      <c r="AF561" s="47">
        <f ca="1">IF(AC561,('模拟-单技能数据'!$D$20+G561*'模拟-单技能数据'!$F$20)*(1+J561)*(1+'模拟-单技能数据'!$J$20)*(1+U561),0)</f>
        <v>4447.8565560098323</v>
      </c>
      <c r="AG561" s="61">
        <f t="shared" ca="1" si="471"/>
        <v>0.64185145527300214</v>
      </c>
      <c r="AH561" s="61">
        <f t="shared" ca="1" si="472"/>
        <v>2.2624828854998791</v>
      </c>
      <c r="AI561" s="62">
        <f t="shared" ca="1" si="494"/>
        <v>0.71436062942883882</v>
      </c>
      <c r="AJ561" s="47">
        <f ca="1">IF(AD561,IF(AI561&lt;$F$10,0,IF(AI561&lt;$F$10+$F$11,0.25,IF(AI561&lt;$F$10+$F$11+AG561,AH561,1)))*IF(AF561&gt;0,AF561,IF(AF560&gt;0,AF560,IF(AF559&gt;0,AF559,IF(AF558&gt;0,AF558,IF(AF557&gt;0,AF557,IF(AF556&gt;0,AF556,IF(AF555&gt;0,AF555,IF(AF554&gt;0,AF554,IF(AF553&gt;0,AF553,IF(AF551&gt;0,AF551,IF(AF550&gt;0,AF550,IF(AF549&gt;0,AF549,0)))))))))))),0)*(1-$S561)*'模拟-单技能数据'!$I$20</f>
        <v>0</v>
      </c>
      <c r="AK561" s="115" t="b">
        <f t="shared" ca="1" si="459"/>
        <v>0</v>
      </c>
      <c r="AL561" s="115" t="b">
        <f t="shared" ca="1" si="480"/>
        <v>1</v>
      </c>
      <c r="AM561" s="115">
        <f t="shared" ca="1" si="481"/>
        <v>4</v>
      </c>
      <c r="AN561" s="47">
        <f ca="1">IF(AK561,('模拟-单技能数据'!$D$21+G561*'模拟-单技能数据'!$F$21)*(1+J561)*(1+'模拟-单技能数据'!$J$21)*(1+U561),0)</f>
        <v>0</v>
      </c>
      <c r="AO561" s="61">
        <f ca="1">IF(AN561&gt;0,M561-'模拟-单技能数据'!$K$10,AO560)</f>
        <v>0.42185145527300216</v>
      </c>
      <c r="AP561" s="61">
        <f ca="1">IF(AN561&gt;0,I561-'模拟-单技能数据'!$L$10,AP560)</f>
        <v>2.162482885499879</v>
      </c>
      <c r="AQ561" s="63">
        <f t="shared" ca="1" si="495"/>
        <v>0.2582105591764311</v>
      </c>
      <c r="AR561" s="64">
        <f ca="1">IF(AL561,IF(AQ561&lt;$F$10,0,IF(AQ561&lt;$F$10+$F$11,0.25,IF(AQ561&lt;$F$10+$F$11+AO561,AP561,1)))*IF(AN561&gt;0,AN561,IF(AN560&gt;0,AN560,IF(AN559&gt;0,AN559,IF(AN558&gt;0,AN558,IF(AN557&gt;0,AN557,IF(AN556&gt;0,AN556,IF(AN555&gt;0,AN555,IF(AN554&gt;0,AN554,IF(AN553&gt;0,AN553,IF(AN551&gt;0,AN551,IF(AN550&gt;0,AN550,IF(AN549&gt;0,AN549,0)))))))))))),0)*(1-$S561)*'模拟-单技能数据'!$I$21</f>
        <v>19874.713753650052</v>
      </c>
      <c r="AS561" s="61">
        <f ca="1">IF(OR(C561="净世破魔击·日",C561="净世破魔击·月"),M561-'模拟-单技能数据'!$K$10,0)</f>
        <v>0</v>
      </c>
      <c r="AT561" s="61">
        <f ca="1">IF(OR(C561="净世破魔击·日",C561="净世破魔击·月"),I561-'模拟-单技能数据'!$L$10,0)</f>
        <v>0</v>
      </c>
      <c r="AU561" s="62">
        <f t="shared" ca="1" si="496"/>
        <v>0.69456293089957355</v>
      </c>
      <c r="AV561" s="64">
        <f ca="1">IF(AS561&gt;0,('模拟-单技能数据'!$D$22+G561*'模拟-单技能数据'!$F$22)*(1+J561)*(1-S561)*IF(AU561&lt;$F$10,0,IF(AU561&lt;$F$10+$F$11,0.25,IF(AU561&lt;$F$10+$F$11+AS561,AT561,1)))*(1+U561),0)*'模拟-单技能数据'!$I$22</f>
        <v>0</v>
      </c>
      <c r="AW561" s="108">
        <f t="shared" ca="1" si="497"/>
        <v>0.6275000000000065</v>
      </c>
      <c r="AX561" s="108" t="b">
        <f ca="1">AND(模拟模式!$P$10="有",AW560=0,RAND()&lt;IF(C561="净世破魔击·月",0.1*8/3,IF(C561="净世破魔击·日",0.1*4/3,0.1*2/3)))</f>
        <v>0</v>
      </c>
      <c r="AY561" s="47">
        <f ca="1">IF(AX561,(18+G561*0.722)*(1+J561)*(1-S561)*(1+$I$4)*IF(P561="会",'模拟-全程加成'!$J$3+'模拟-全程加成'!$J$4+'模拟-全程加成'!$J$5+('模拟-全程加成'!$I$4+'模拟-全程加成'!$I$5)/系数!$B$4+BG561*10%,IF(P561="命",1,IF(P561="识",0.25,0))),0)</f>
        <v>0</v>
      </c>
      <c r="AZ561" s="108">
        <f t="shared" si="498"/>
        <v>14.465000000000003</v>
      </c>
      <c r="BA561" s="108" t="b">
        <f>AND(模拟模式!$Q$10="有",AZ560=0)</f>
        <v>0</v>
      </c>
      <c r="BB561" s="140">
        <f>IF(BA561,(0+G561*0.287)*(1+J561)*(1-S561)*(1+$I$4)*IF(P561="会",'模拟-全程加成'!$J$3+'模拟-全程加成'!$J$4+'模拟-全程加成'!$J$5+('模拟-全程加成'!$I$4+'模拟-全程加成'!$I$5)/系数!$B$4+BG561*10%,IF(P561="命",1,IF(P561="识",0.25,0))),0)</f>
        <v>0</v>
      </c>
      <c r="BC561" s="115" t="b">
        <f ca="1">AND(模拟模式!$R$7="伏明众生",E561=60,F561=20,DA561&lt;5,CZ560&lt;$F$4)</f>
        <v>0</v>
      </c>
      <c r="BD561" s="115">
        <f t="shared" ca="1" si="460"/>
        <v>0</v>
      </c>
      <c r="BE561" s="115" t="b">
        <f t="shared" ca="1" si="461"/>
        <v>0</v>
      </c>
      <c r="BF561" s="47">
        <f ca="1">IF(BC561,4*('模拟-单技能数据'!$D$24+G561*'模拟-单技能数据'!$F$24)*(1+J561)*(1+'模拟-单技能数据'!$J$24)*(1-S561)*(1+$I$3)*(('模拟-全程加成'!$J$3+'模拟-全程加成'!$J$4+'模拟-全程加成'!$J$5+('模拟-全程加成'!$I$4+'模拟-全程加成'!$I$5)/系数!$B$4+BG561*10%)*('模拟-全程加成'!$J$3+'模拟-全程加成'!$J$4+'模拟-全程加成'!$J$5+('模拟-全程加成'!$I$4+'模拟-全程加成'!$I$5)/系数!$B$4+BG561*10%)+(1-('模拟-全程加成'!$J$3+'模拟-全程加成'!$J$4+'模拟-全程加成'!$J$5+('模拟-全程加成'!$I$4+'模拟-全程加成'!$I$5)/系数!$B$4+BG561*10%)-$F$10-$F$11)+F547*0.25),0)*'模拟-单技能数据'!$I$24</f>
        <v>0</v>
      </c>
      <c r="BG561" s="115" t="b">
        <f ca="1">OR(AND(OR(C561="烈日斩",C561="银月斩"),模拟模式!$I$7="净身明礼"),AND(C561="净世破魔击·日",模拟模式!$J$7="洞若观火"),AND(C562="净世破魔击·月",模拟模式!$J$7="洞若观火"),AB561=1)</f>
        <v>1</v>
      </c>
      <c r="BH561" s="115" t="b">
        <f t="shared" ca="1" si="499"/>
        <v>0</v>
      </c>
      <c r="BI561" s="115">
        <f t="shared" ca="1" si="462"/>
        <v>0</v>
      </c>
      <c r="BJ561" s="115" t="b">
        <f t="shared" ca="1" si="473"/>
        <v>0</v>
      </c>
      <c r="BK561" s="115" t="b">
        <f ca="1">AND(C561="驱夜断愁",模拟模式!$P$7="天地诛戮")</f>
        <v>0</v>
      </c>
      <c r="BL561" s="57">
        <f t="shared" ca="1" si="463"/>
        <v>14.465000000000003</v>
      </c>
      <c r="BM561" s="115" t="b">
        <f t="shared" ca="1" si="474"/>
        <v>1</v>
      </c>
      <c r="BN561" s="115" t="b">
        <f ca="1">AND(OR(C561="赤日轮1",C561="赤日轮2",C561="赤日轮3",C561="幽月轮1",C561="幽月轮2",C561="幽月轮3"),AB561=1,模拟模式!$L$7="明光恒照")</f>
        <v>0</v>
      </c>
      <c r="BO561" s="117">
        <f t="shared" ca="1" si="464"/>
        <v>29.077500000000001</v>
      </c>
      <c r="BP561" s="115">
        <f t="shared" ca="1" si="500"/>
        <v>6</v>
      </c>
      <c r="BQ561" s="115" t="b">
        <f>模拟模式!$K$10="2600·水"</f>
        <v>0</v>
      </c>
      <c r="BR561" s="117">
        <f t="shared" si="501"/>
        <v>0</v>
      </c>
      <c r="BS561" s="115">
        <f t="shared" si="502"/>
        <v>0</v>
      </c>
      <c r="BT561" s="115">
        <f t="shared" ca="1" si="503"/>
        <v>0</v>
      </c>
      <c r="BU561" s="115" t="b">
        <f ca="1">AND(模拟模式!$K$10="2300·雷",BT560=0,RAND()&lt;IF(C561="净世破魔击·月",5*0.05*2/3,IF(C561="净世破魔击·日",3*0.05*2/3,0.05*2*2/3)))</f>
        <v>0</v>
      </c>
      <c r="BV561" s="115">
        <f t="shared" ca="1" si="504"/>
        <v>0</v>
      </c>
      <c r="BW561" s="115">
        <f t="shared" ca="1" si="505"/>
        <v>62.842499999999276</v>
      </c>
      <c r="BX561" s="164" t="b">
        <f t="shared" ca="1" si="506"/>
        <v>0</v>
      </c>
      <c r="BY561" s="115">
        <f t="shared" ca="1" si="507"/>
        <v>0</v>
      </c>
      <c r="BZ561" s="115">
        <f>IF(OR(模拟模式!$P$16="10人团",模拟模式!$P$16="25人团"),IF(B561/30&gt;CA560,1,0),0)</f>
        <v>0</v>
      </c>
      <c r="CA561" s="115">
        <f t="shared" si="483"/>
        <v>0</v>
      </c>
      <c r="CB561" s="115">
        <f ca="1">IF(BZ561=1,IF(模拟模式!$P$16="10人团",15,0)+IF(模拟模式!$P$16="25人团",IF(RAND()&lt;0.6,15,0)),MAX(0,CB560-$F$4))</f>
        <v>0</v>
      </c>
      <c r="CC561" s="115" t="b">
        <f t="shared" ca="1" si="475"/>
        <v>0</v>
      </c>
      <c r="CD561" s="115">
        <f>IF(模拟模式!$Q$16="1个",IF(B561/40&gt;CE560,1,0),0)</f>
        <v>0</v>
      </c>
      <c r="CE561" s="115">
        <f t="shared" si="476"/>
        <v>0</v>
      </c>
      <c r="CF561" s="115">
        <f>IF(OR(CD561=1,模拟模式!$Q$16="2个"),20,MAX(0,CF560-$F$4))</f>
        <v>0</v>
      </c>
      <c r="CG561" s="115" t="b">
        <f t="shared" si="477"/>
        <v>0</v>
      </c>
      <c r="CH561" s="115">
        <f t="shared" ca="1" si="508"/>
        <v>14.31750000000001</v>
      </c>
      <c r="CI561" s="115" t="b">
        <f t="shared" ca="1" si="509"/>
        <v>0</v>
      </c>
      <c r="CJ561" s="119">
        <f t="shared" ca="1" si="510"/>
        <v>0</v>
      </c>
      <c r="CK561" s="115">
        <f t="shared" ca="1" si="511"/>
        <v>0</v>
      </c>
      <c r="CL561" s="115" t="b">
        <f ca="1">AND(模拟模式!$S$7="驱夷逐法",OR(AND(C561="净世破魔击·月",E560&gt;59),AND(C561="净世破魔击·日",F560&gt;59)))</f>
        <v>0</v>
      </c>
      <c r="CM561" s="115" t="b">
        <f ca="1">OR(CL561,AND(C561="净世破魔击·日",CL560,RAND()&lt;模拟模式!$U$23))</f>
        <v>0</v>
      </c>
      <c r="CN561" s="115" t="b">
        <f ca="1">IF(模拟模式!$M$7="辉耀红尘",AND(C561="净世破魔击·月",CL561,CV561=0,E560&lt;80),AND(C561="净世破魔击·月",CL561,E560&lt;100))</f>
        <v>0</v>
      </c>
      <c r="CO561" s="115" t="b">
        <f t="shared" ca="1" si="484"/>
        <v>0</v>
      </c>
      <c r="CP561" s="115" t="b">
        <f ca="1">AND(模拟模式!$O$7="用晦而明",OR(C561="净世破魔击·日",C561="净世破魔击·月",C561="驱夜断愁"),AB561)</f>
        <v>0</v>
      </c>
      <c r="CQ561" s="115" t="b">
        <f ca="1">OR(CP561,AND(CP560,RAND()&lt;模拟模式!$U$23))</f>
        <v>0</v>
      </c>
      <c r="CR561" s="115" t="b">
        <f ca="1">AND(模拟模式!$S$7="日月齐光",OR(C561="幽月轮1",C561="幽月轮2",C561="幽月轮3",CR560),NOT(OR(C561="赤日轮1",C561="赤日轮2",C561="赤日轮3")))</f>
        <v>0</v>
      </c>
      <c r="CS561" s="115" t="b">
        <f ca="1">AND(模拟模式!$S$7="日月齐光",OR(C561="赤日轮1",C561="赤日轮2",C561="赤日轮3",CS560),NOT(OR(C561="幽月轮1",C561="幽月轮2",C561="幽月轮3")))</f>
        <v>0</v>
      </c>
      <c r="CT561" s="115">
        <f t="shared" ca="1" si="512"/>
        <v>10.627500000000012</v>
      </c>
      <c r="CU561" s="115" t="b">
        <f ca="1">AND(模拟模式!$K$10="阴阳往极",CT560=0,RAND()&lt;IF(C561="净世破魔击·月",0.0275*7/3,IF(C561="净世破魔击·日",0.0275*3/3,0.0275*2/3)))</f>
        <v>0</v>
      </c>
      <c r="CV561" s="115">
        <f t="shared" ca="1" si="513"/>
        <v>0</v>
      </c>
      <c r="CW561" s="115">
        <f t="shared" ca="1" si="485"/>
        <v>1.3874999999999997</v>
      </c>
      <c r="CX561" s="115">
        <f t="shared" ca="1" si="486"/>
        <v>6</v>
      </c>
      <c r="CY561" s="115">
        <f ca="1">MAX(IF($C561="驱夜断愁",IF(模拟模式!$R$7="万念俱寂",6,45),CY560-$F$4),0)</f>
        <v>0.46499999999999975</v>
      </c>
      <c r="CZ561" s="115">
        <f t="shared" ca="1" si="487"/>
        <v>0</v>
      </c>
      <c r="DA561" s="115">
        <f ca="1">IF(模拟模式!$N$7="日月同辉",IF(DB560=2,0,MIN(6,IF(AND(OR(C561="赤日轮1",C561="赤日轮2",C561="赤日轮3",C561="幽月轮1",C561="幽月轮2",C561="幽月轮3"),AB561=1),DA560+1,DA560))),0)</f>
        <v>0</v>
      </c>
      <c r="DB561" s="115">
        <f t="shared" ca="1" si="488"/>
        <v>2</v>
      </c>
      <c r="DC561" s="115"/>
      <c r="DD561" s="115"/>
      <c r="DE561" s="115"/>
      <c r="DF561" s="115"/>
      <c r="DG561" s="115"/>
      <c r="DH561" s="115"/>
      <c r="DI561" s="115"/>
      <c r="DJ561" s="115"/>
      <c r="DK561" s="115"/>
      <c r="DL561" s="115"/>
      <c r="DM561" s="115"/>
    </row>
    <row r="562" spans="2:117" x14ac:dyDescent="0.2">
      <c r="B562" s="117">
        <f t="shared" si="489"/>
        <v>493.53750000000531</v>
      </c>
      <c r="C562" s="167" t="str">
        <f t="shared" ca="1" si="482"/>
        <v>驱夜断愁</v>
      </c>
      <c r="D562" s="115">
        <f ca="1">IF(C562="赤日轮1",1,IF(C562="赤日轮2",2,IF(C562="赤日轮3",3,IF(C562="幽月轮1",4,IF(C562="幽月轮2",5,IF(C562="幽月轮3",6,IF(C562="烈日斩",7,IF(C562="银月斩",8,IF(C562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562="净世破魔击·月",17,IF(C562="驱夜断愁",18,0)))))))))))</f>
        <v>18</v>
      </c>
      <c r="E562" s="115">
        <f ca="1">IF(AND(CU562,OR(C562="幽月轮1",C562="幽月轮2",C562="幽月轮3",C562="银月斩",C562="驱夜断愁",C562="净世破魔击·月")),100,MIN(IF(OR(CN562,BE562),0,IF(OR($C562="赤日轮1",$C562="赤日轮2",$C562="赤日轮3"),E561+20+IF(模拟模式!$I$7="日月凌天",4,0)+IF(CR561,20,0),IF($C562="烈日斩",E561+40,IF($C562="驱夜断愁",IF(模拟模式!$R$7="万念俱寂",E561+20,E561+60),IF($C562="净世破魔击·月",IF(OR(DB561&gt;0,CV561&gt;0),100,IF(模拟模式!$M$7="辉耀红尘",E561+20,E561)),IF($C562="净世破魔击·日",E561-100,E561)))))),100))</f>
        <v>40</v>
      </c>
      <c r="F562" s="115">
        <f ca="1">IF(AND(CU562,OR(C562="赤日轮1",C562="赤日轮2",C562="赤日轮3",C562="烈日斩",C562="净世破魔击·日")),100,MIN(IF(CO562,0,IF(OR($C562="幽月轮1",$C562="幽月轮2",$C562="幽月轮3"),F561+20+IF(模拟模式!$I$7="日月凌天",4,0)+IF(CS561,20,0),IF($C562="银月斩",F561+40+IF(模拟模式!$X$12=1,5,0),IF($C562="驱夜断愁",IF(模拟模式!$R$7="万念俱寂",F561+20,F561+60),IF($C562="净世破魔击·月",IF(模拟模式!$M$7="辉耀红尘",F561-80,F561-100),IF(AND(C562="净世破魔击·日",OR(DB561&gt;0,CV561&gt;0)),100,F561)))))),100))</f>
        <v>85</v>
      </c>
      <c r="G562" s="117">
        <f ca="1">('模拟-全程加成'!$E$3+'模拟-全程加成'!$E$4+'模拟-全程加成'!$E$5+('模拟-全程加成'!$C$6-'模拟-全程加成'!$C$3)*系数!$B$9+BS562*23)*(1+'模拟-全程加成'!$F$4+'模拟-全程加成'!$F$5+BJ562*10%+BM562*20%+BP562*4%+CG562*30%)+$F$7*系数!$B$12</f>
        <v>20583.127400000001</v>
      </c>
      <c r="H562" s="45">
        <f ca="1">'模拟-全程加成'!$H$3+'模拟-全程加成'!$H$4+'模拟-全程加成'!$H$5+('模拟-全程加成'!$G$4+'模拟-全程加成'!$G$5+('模拟-全程加成'!$C$6-'模拟-全程加成'!$C$3)*系数!$B$13)/系数!$B$3+LOOKUP(D562,'模拟-单技能数据'!$A$2:$A$19,'模拟-单技能数据'!$K$2:$K$19)+BG562*10%+IF(BV562&gt;0,378,0)</f>
        <v>0.51185145527300213</v>
      </c>
      <c r="I562" s="45">
        <f ca="1">'模拟-全程加成'!$J$3+'模拟-全程加成'!$J$4+'模拟-全程加成'!$J$5+('模拟-全程加成'!$I$4+'模拟-全程加成'!$I$5)/系数!$B$4+LOOKUP(D562,'模拟-单技能数据'!$A$2:$A$19,'模拟-单技能数据'!$L$2:$L$19)+BG562*10%</f>
        <v>2.162482885499879</v>
      </c>
      <c r="J562" s="45">
        <f ca="1">(('模拟-全程加成'!$K$3+'模拟-全程加成'!$K$4+'模拟-全程加成'!$K$5+('模拟-全程加成'!$C$6-'模拟-全程加成'!$C$3)*系数!$B$10+IF(BV562&gt;0,882,0)+IF(BY562&gt;0,1831,0))*(1+'模拟-全程加成'!$L$4+'模拟-全程加成'!$L$5+CC562*20%))/系数!$B$5</f>
        <v>0.69723220422048726</v>
      </c>
      <c r="K562" s="119">
        <f ca="1">LOOKUP(D562,'模拟-单技能数据'!$A$2:$A$19,'模拟-单技能数据'!$J$2:$J$19)+IF(CM562,60%,0)+IF(DB561-DB562&gt;0,30%,0)+IF(OR(AND(OR(C562="赤日轮1",C562="赤日轮2",C562="赤日轮3"),CR562),AND(OR(C562="幽月轮1",C562="幽月轮2",C562="幽月轮3"),CS562)),35%,0)+CJ562</f>
        <v>0.14000000000000001</v>
      </c>
      <c r="L562" s="119">
        <f ca="1">IF(AND(C562="烈日斩",模拟模式!$X$11=1),10%,0)+IF(AND(C562="驱夜断愁",AB562=1),30%,0)</f>
        <v>0.3</v>
      </c>
      <c r="M562" s="45">
        <f t="shared" ca="1" si="465"/>
        <v>0.51185145527300213</v>
      </c>
      <c r="N562" s="45">
        <f t="shared" ca="1" si="466"/>
        <v>0.43424854472699792</v>
      </c>
      <c r="O562" s="46">
        <f t="shared" ca="1" si="490"/>
        <v>0.59050895583842877</v>
      </c>
      <c r="P562" s="46" t="str">
        <f t="shared" ca="1" si="491"/>
        <v>命</v>
      </c>
      <c r="Q562" s="45">
        <f t="shared" ca="1" si="492"/>
        <v>1</v>
      </c>
      <c r="R562" s="117">
        <f ca="1">模拟模式!$E$20*(1-IF(模拟模式!$J$19="有",0.15,0))*(1-IF(模拟模式!$K$19="有",0.3,0)-IF(CQ562,0.5,0))</f>
        <v>843.02999999999975</v>
      </c>
      <c r="S562" s="45">
        <f ca="1">R562/(R562+(185*模拟模式!$E$22-16800)*4.08224)</f>
        <v>8.389626085980037E-2</v>
      </c>
      <c r="T562" s="45" t="str">
        <f ca="1">LOOKUP(D562,'模拟-单技能数据'!$A$2:$A$19,'模拟-单技能数据'!$H$2:$H$19)</f>
        <v>阴</v>
      </c>
      <c r="U562" s="119">
        <f t="shared" ca="1" si="467"/>
        <v>0.08</v>
      </c>
      <c r="V562" s="47">
        <f ca="1">(1+L562)*(LOOKUP(D562,'模拟-单技能数据'!$A$2:$A$19,'模拟-单技能数据'!$D$2:$D$19)+G562*LOOKUP(D562,'模拟-单技能数据'!$A$2:$A$19,'模拟-单技能数据'!$F$2:$F$19))*(1+J562)*(1+K562)*(1-S562)*(1+U562)*Q562*LOOKUP(D562,'模拟-单技能数据'!$A$2:$A$19,'模拟-单技能数据'!$I$2:$I$20)</f>
        <v>58943.088028757353</v>
      </c>
      <c r="W562" s="47">
        <f ca="1">LOOKUP(D562,'模拟-单技能数据'!$A$2:$A$19,'模拟-单技能数据'!$G$2:$G$19)*$I$10</f>
        <v>723.0212870940959</v>
      </c>
      <c r="X562" s="47">
        <f t="shared" ca="1" si="493"/>
        <v>9218.9345386263849</v>
      </c>
      <c r="Y562" s="47">
        <f t="shared" ca="1" si="468"/>
        <v>68885.04385447783</v>
      </c>
      <c r="Z562" s="49">
        <f t="shared" ca="1" si="469"/>
        <v>55857228.233916901</v>
      </c>
      <c r="AA562" s="97">
        <f t="shared" ca="1" si="470"/>
        <v>113177.27271770898</v>
      </c>
      <c r="AB562" s="115">
        <f ca="1">IF(OR(C562="赤日轮1",C562="赤日轮2",C562="赤日轮3"),IF(RAND()&lt;模拟模式!$Y$17,1,0),IF(OR(C562="幽月轮1",C562="幽月轮2",C562="幽月轮3"),IF(RAND()&lt;模拟模式!$Y$18,1,0),IF(C562="烈日斩",IF(RAND()&lt;模拟模式!$Y$19,1,0),IF(C562="银月斩",IF(RAND()&lt;模拟模式!$Y$20,1,0),IF(C562="驱夜断愁",IF(RAND()&lt;模拟模式!$Y$21,1,0),IF(C562="净世破魔击·日",IF(RAND()&lt;模拟模式!$Y$22,1,0),IF(C562="净世破魔击·月",IF(RAND()&lt;模拟模式!$Y$23,1,0),0)))))))</f>
        <v>1</v>
      </c>
      <c r="AC562" s="115" t="b">
        <f t="shared" ca="1" si="458"/>
        <v>0</v>
      </c>
      <c r="AD562" s="115" t="b">
        <f t="shared" ca="1" si="478"/>
        <v>1</v>
      </c>
      <c r="AE562" s="115">
        <f t="shared" ca="1" si="479"/>
        <v>5</v>
      </c>
      <c r="AF562" s="47">
        <f ca="1">IF(AC562,('模拟-单技能数据'!$D$20+G562*'模拟-单技能数据'!$F$20)*(1+J562)*(1+'模拟-单技能数据'!$J$20)*(1+U562),0)</f>
        <v>0</v>
      </c>
      <c r="AG562" s="61">
        <f t="shared" ca="1" si="471"/>
        <v>0.64185145527300214</v>
      </c>
      <c r="AH562" s="61">
        <f t="shared" ca="1" si="472"/>
        <v>2.2624828854998791</v>
      </c>
      <c r="AI562" s="62">
        <f t="shared" ca="1" si="494"/>
        <v>0.28472290063581918</v>
      </c>
      <c r="AJ562" s="47">
        <f ca="1">IF(AD562,IF(AI562&lt;$F$10,0,IF(AI562&lt;$F$10+$F$11,0.25,IF(AI562&lt;$F$10+$F$11+AG562,AH562,1)))*IF(AF562&gt;0,AF562,IF(AF561&gt;0,AF561,IF(AF560&gt;0,AF560,IF(AF559&gt;0,AF559,IF(AF558&gt;0,AF558,IF(AF557&gt;0,AF557,IF(AF556&gt;0,AF556,IF(AF555&gt;0,AF555,IF(AF554&gt;0,AF554,IF(AF552&gt;0,AF552,IF(AF551&gt;0,AF551,IF(AF550&gt;0,AF550,0)))))))))))),0)*(1-$S562)*'模拟-单技能数据'!$I$20</f>
        <v>9218.9345386263849</v>
      </c>
      <c r="AK562" s="115" t="b">
        <f t="shared" ca="1" si="459"/>
        <v>0</v>
      </c>
      <c r="AL562" s="115" t="b">
        <f t="shared" ca="1" si="480"/>
        <v>0</v>
      </c>
      <c r="AM562" s="115">
        <f t="shared" ca="1" si="481"/>
        <v>4</v>
      </c>
      <c r="AN562" s="47">
        <f ca="1">IF(AK562,('模拟-单技能数据'!$D$21+G562*'模拟-单技能数据'!$F$21)*(1+J562)*(1+'模拟-单技能数据'!$J$21)*(1+U562),0)</f>
        <v>0</v>
      </c>
      <c r="AO562" s="61">
        <f ca="1">IF(AN562&gt;0,M562-'模拟-单技能数据'!$K$10,AO561)</f>
        <v>0.42185145527300216</v>
      </c>
      <c r="AP562" s="61">
        <f ca="1">IF(AN562&gt;0,I562-'模拟-单技能数据'!$L$10,AP561)</f>
        <v>2.162482885499879</v>
      </c>
      <c r="AQ562" s="63">
        <f t="shared" ca="1" si="495"/>
        <v>0.65678615145892294</v>
      </c>
      <c r="AR562" s="64">
        <f ca="1">IF(AL562,IF(AQ562&lt;$F$10,0,IF(AQ562&lt;$F$10+$F$11,0.25,IF(AQ562&lt;$F$10+$F$11+AO562,AP562,1)))*IF(AN562&gt;0,AN562,IF(AN561&gt;0,AN561,IF(AN560&gt;0,AN560,IF(AN559&gt;0,AN559,IF(AN558&gt;0,AN558,IF(AN557&gt;0,AN557,IF(AN556&gt;0,AN556,IF(AN555&gt;0,AN555,IF(AN554&gt;0,AN554,IF(AN552&gt;0,AN552,IF(AN551&gt;0,AN551,IF(AN550&gt;0,AN550,0)))))))))))),0)*(1-$S562)*'模拟-单技能数据'!$I$21</f>
        <v>0</v>
      </c>
      <c r="AS562" s="61">
        <f ca="1">IF(OR(C562="净世破魔击·日",C562="净世破魔击·月"),M562-'模拟-单技能数据'!$K$10,0)</f>
        <v>0</v>
      </c>
      <c r="AT562" s="61">
        <f ca="1">IF(OR(C562="净世破魔击·日",C562="净世破魔击·月"),I562-'模拟-单技能数据'!$L$10,0)</f>
        <v>0</v>
      </c>
      <c r="AU562" s="62">
        <f t="shared" ca="1" si="496"/>
        <v>0.97708128532724881</v>
      </c>
      <c r="AV562" s="64">
        <f ca="1">IF(AS562&gt;0,('模拟-单技能数据'!$D$22+G562*'模拟-单技能数据'!$F$22)*(1+J562)*(1-S562)*IF(AU562&lt;$F$10,0,IF(AU562&lt;$F$10+$F$11,0.25,IF(AU562&lt;$F$10+$F$11+AS562,AT562,1)))*(1+U562),0)*'模拟-单技能数据'!$I$22</f>
        <v>0</v>
      </c>
      <c r="AW562" s="108">
        <f t="shared" ca="1" si="497"/>
        <v>0</v>
      </c>
      <c r="AX562" s="108" t="b">
        <f ca="1">AND(模拟模式!$P$10="有",AW561=0,RAND()&lt;IF(C562="净世破魔击·月",0.1*8/3,IF(C562="净世破魔击·日",0.1*4/3,0.1*2/3)))</f>
        <v>0</v>
      </c>
      <c r="AY562" s="47">
        <f ca="1">IF(AX562,(18+G562*0.722)*(1+J562)*(1-S562)*(1+$I$4)*IF(P562="会",'模拟-全程加成'!$J$3+'模拟-全程加成'!$J$4+'模拟-全程加成'!$J$5+('模拟-全程加成'!$I$4+'模拟-全程加成'!$I$5)/系数!$B$4+BG562*10%,IF(P562="命",1,IF(P562="识",0.25,0))),0)</f>
        <v>0</v>
      </c>
      <c r="AZ562" s="108">
        <f t="shared" si="498"/>
        <v>13.542500000000004</v>
      </c>
      <c r="BA562" s="108" t="b">
        <f>AND(模拟模式!$Q$10="有",AZ561=0)</f>
        <v>0</v>
      </c>
      <c r="BB562" s="140">
        <f>IF(BA562,(0+G562*0.287)*(1+J562)*(1-S562)*(1+$I$4)*IF(P562="会",'模拟-全程加成'!$J$3+'模拟-全程加成'!$J$4+'模拟-全程加成'!$J$5+('模拟-全程加成'!$I$4+'模拟-全程加成'!$I$5)/系数!$B$4+BG562*10%,IF(P562="命",1,IF(P562="识",0.25,0))),0)</f>
        <v>0</v>
      </c>
      <c r="BC562" s="115" t="b">
        <f ca="1">AND(模拟模式!$R$7="伏明众生",E562=60,F562=20,DA562&lt;5,CZ561&lt;$F$4)</f>
        <v>0</v>
      </c>
      <c r="BD562" s="115">
        <f t="shared" ca="1" si="460"/>
        <v>0</v>
      </c>
      <c r="BE562" s="115" t="b">
        <f t="shared" ca="1" si="461"/>
        <v>0</v>
      </c>
      <c r="BF562" s="47">
        <f ca="1">IF(BC562,4*('模拟-单技能数据'!$D$24+G562*'模拟-单技能数据'!$F$24)*(1+J562)*(1+'模拟-单技能数据'!$J$24)*(1-S562)*(1+$I$3)*(('模拟-全程加成'!$J$3+'模拟-全程加成'!$J$4+'模拟-全程加成'!$J$5+('模拟-全程加成'!$I$4+'模拟-全程加成'!$I$5)/系数!$B$4+BG562*10%)*('模拟-全程加成'!$J$3+'模拟-全程加成'!$J$4+'模拟-全程加成'!$J$5+('模拟-全程加成'!$I$4+'模拟-全程加成'!$I$5)/系数!$B$4+BG562*10%)+(1-('模拟-全程加成'!$J$3+'模拟-全程加成'!$J$4+'模拟-全程加成'!$J$5+('模拟-全程加成'!$I$4+'模拟-全程加成'!$I$5)/系数!$B$4+BG562*10%)-$F$10-$F$11)+F548*0.25),0)*'模拟-单技能数据'!$I$24</f>
        <v>0</v>
      </c>
      <c r="BG562" s="115" t="b">
        <f ca="1">OR(AND(OR(C562="烈日斩",C562="银月斩"),模拟模式!$I$7="净身明礼"),AND(C562="净世破魔击·日",模拟模式!$J$7="洞若观火"),AND(C563="净世破魔击·月",模拟模式!$J$7="洞若观火"),AB562=1)</f>
        <v>1</v>
      </c>
      <c r="BH562" s="115" t="b">
        <f t="shared" ca="1" si="499"/>
        <v>0</v>
      </c>
      <c r="BI562" s="115">
        <f t="shared" ca="1" si="462"/>
        <v>0</v>
      </c>
      <c r="BJ562" s="115" t="b">
        <f t="shared" ca="1" si="473"/>
        <v>0</v>
      </c>
      <c r="BK562" s="115" t="b">
        <f ca="1">AND(C562="驱夜断愁",模拟模式!$P$7="天地诛戮")</f>
        <v>1</v>
      </c>
      <c r="BL562" s="57">
        <f t="shared" ca="1" si="463"/>
        <v>20</v>
      </c>
      <c r="BM562" s="115" t="b">
        <f t="shared" ca="1" si="474"/>
        <v>1</v>
      </c>
      <c r="BN562" s="115" t="b">
        <f ca="1">AND(OR(C562="赤日轮1",C562="赤日轮2",C562="赤日轮3",C562="幽月轮1",C562="幽月轮2",C562="幽月轮3"),AB562=1,模拟模式!$L$7="明光恒照")</f>
        <v>0</v>
      </c>
      <c r="BO562" s="117">
        <f t="shared" ca="1" si="464"/>
        <v>28.155000000000001</v>
      </c>
      <c r="BP562" s="115">
        <f t="shared" ca="1" si="500"/>
        <v>6</v>
      </c>
      <c r="BQ562" s="115" t="b">
        <f>模拟模式!$K$10="2600·水"</f>
        <v>0</v>
      </c>
      <c r="BR562" s="117">
        <f t="shared" si="501"/>
        <v>0</v>
      </c>
      <c r="BS562" s="115">
        <f t="shared" si="502"/>
        <v>0</v>
      </c>
      <c r="BT562" s="115">
        <f t="shared" ca="1" si="503"/>
        <v>0</v>
      </c>
      <c r="BU562" s="115" t="b">
        <f ca="1">AND(模拟模式!$K$10="2300·雷",BT561=0,RAND()&lt;IF(C562="净世破魔击·月",5*0.05*2/3,IF(C562="净世破魔击·日",3*0.05*2/3,0.05*2*2/3)))</f>
        <v>0</v>
      </c>
      <c r="BV562" s="115">
        <f t="shared" ca="1" si="504"/>
        <v>0</v>
      </c>
      <c r="BW562" s="115">
        <f t="shared" ca="1" si="505"/>
        <v>61.919999999999277</v>
      </c>
      <c r="BX562" s="164" t="b">
        <f t="shared" ca="1" si="506"/>
        <v>0</v>
      </c>
      <c r="BY562" s="115">
        <f t="shared" ca="1" si="507"/>
        <v>0</v>
      </c>
      <c r="BZ562" s="115">
        <f>IF(OR(模拟模式!$P$16="10人团",模拟模式!$P$16="25人团"),IF(B562/30&gt;CA561,1,0),0)</f>
        <v>0</v>
      </c>
      <c r="CA562" s="115">
        <f t="shared" si="483"/>
        <v>0</v>
      </c>
      <c r="CB562" s="115">
        <f ca="1">IF(BZ562=1,IF(模拟模式!$P$16="10人团",15,0)+IF(模拟模式!$P$16="25人团",IF(RAND()&lt;0.6,15,0)),MAX(0,CB561-$F$4))</f>
        <v>0</v>
      </c>
      <c r="CC562" s="115" t="b">
        <f t="shared" ca="1" si="475"/>
        <v>0</v>
      </c>
      <c r="CD562" s="115">
        <f>IF(模拟模式!$Q$16="1个",IF(B562/40&gt;CE561,1,0),0)</f>
        <v>0</v>
      </c>
      <c r="CE562" s="115">
        <f t="shared" si="476"/>
        <v>0</v>
      </c>
      <c r="CF562" s="115">
        <f>IF(OR(CD562=1,模拟模式!$Q$16="2个"),20,MAX(0,CF561-$F$4))</f>
        <v>0</v>
      </c>
      <c r="CG562" s="115" t="b">
        <f t="shared" si="477"/>
        <v>0</v>
      </c>
      <c r="CH562" s="115">
        <f t="shared" ca="1" si="508"/>
        <v>13.39500000000001</v>
      </c>
      <c r="CI562" s="115" t="b">
        <f t="shared" ca="1" si="509"/>
        <v>0</v>
      </c>
      <c r="CJ562" s="119">
        <f t="shared" ca="1" si="510"/>
        <v>0</v>
      </c>
      <c r="CK562" s="115">
        <f t="shared" ca="1" si="511"/>
        <v>0</v>
      </c>
      <c r="CL562" s="115" t="b">
        <f ca="1">AND(模拟模式!$S$7="驱夷逐法",OR(AND(C562="净世破魔击·月",E561&gt;59),AND(C562="净世破魔击·日",F561&gt;59)))</f>
        <v>0</v>
      </c>
      <c r="CM562" s="115" t="b">
        <f ca="1">OR(CL562,AND(C562="净世破魔击·日",CL561,RAND()&lt;模拟模式!$U$23))</f>
        <v>0</v>
      </c>
      <c r="CN562" s="115" t="b">
        <f ca="1">IF(模拟模式!$M$7="辉耀红尘",AND(C562="净世破魔击·月",CL562,CV562=0,E561&lt;80),AND(C562="净世破魔击·月",CL562,E561&lt;100))</f>
        <v>0</v>
      </c>
      <c r="CO562" s="115" t="b">
        <f t="shared" ca="1" si="484"/>
        <v>0</v>
      </c>
      <c r="CP562" s="115" t="b">
        <f ca="1">AND(模拟模式!$O$7="用晦而明",OR(C562="净世破魔击·日",C562="净世破魔击·月",C562="驱夜断愁"),AB562)</f>
        <v>1</v>
      </c>
      <c r="CQ562" s="115" t="b">
        <f ca="1">OR(CP562,AND(CP561,RAND()&lt;模拟模式!$U$23))</f>
        <v>1</v>
      </c>
      <c r="CR562" s="115" t="b">
        <f ca="1">AND(模拟模式!$S$7="日月齐光",OR(C562="幽月轮1",C562="幽月轮2",C562="幽月轮3",CR561),NOT(OR(C562="赤日轮1",C562="赤日轮2",C562="赤日轮3")))</f>
        <v>0</v>
      </c>
      <c r="CS562" s="115" t="b">
        <f ca="1">AND(模拟模式!$S$7="日月齐光",OR(C562="赤日轮1",C562="赤日轮2",C562="赤日轮3",CS561),NOT(OR(C562="幽月轮1",C562="幽月轮2",C562="幽月轮3")))</f>
        <v>0</v>
      </c>
      <c r="CT562" s="115">
        <f t="shared" ca="1" si="512"/>
        <v>9.7050000000000125</v>
      </c>
      <c r="CU562" s="115" t="b">
        <f ca="1">AND(模拟模式!$K$10="阴阳往极",CT561=0,RAND()&lt;IF(C562="净世破魔击·月",0.0275*7/3,IF(C562="净世破魔击·日",0.0275*3/3,0.0275*2/3)))</f>
        <v>0</v>
      </c>
      <c r="CV562" s="115">
        <f t="shared" ca="1" si="513"/>
        <v>0</v>
      </c>
      <c r="CW562" s="115">
        <f t="shared" ca="1" si="485"/>
        <v>0.46499999999999975</v>
      </c>
      <c r="CX562" s="115">
        <f t="shared" ca="1" si="486"/>
        <v>5.0774999999999997</v>
      </c>
      <c r="CY562" s="115">
        <f ca="1">MAX(IF($C562="驱夜断愁",IF(模拟模式!$R$7="万念俱寂",6,45),CY561-$F$4),0)</f>
        <v>6</v>
      </c>
      <c r="CZ562" s="115">
        <f t="shared" ca="1" si="487"/>
        <v>0</v>
      </c>
      <c r="DA562" s="115">
        <f ca="1">IF(模拟模式!$N$7="日月同辉",IF(DB561=2,0,MIN(6,IF(AND(OR(C562="赤日轮1",C562="赤日轮2",C562="赤日轮3",C562="幽月轮1",C562="幽月轮2",C562="幽月轮3"),AB562=1),DA561+1,DA561))),0)</f>
        <v>0</v>
      </c>
      <c r="DB562" s="115">
        <f t="shared" ca="1" si="488"/>
        <v>2</v>
      </c>
      <c r="DC562" s="115"/>
      <c r="DD562" s="115"/>
      <c r="DE562" s="115"/>
      <c r="DF562" s="115"/>
      <c r="DG562" s="115"/>
      <c r="DH562" s="115"/>
      <c r="DI562" s="115"/>
      <c r="DJ562" s="115"/>
      <c r="DK562" s="115"/>
      <c r="DL562" s="115"/>
      <c r="DM562" s="115"/>
    </row>
    <row r="563" spans="2:117" x14ac:dyDescent="0.2">
      <c r="B563" s="117">
        <f t="shared" si="489"/>
        <v>494.46000000000532</v>
      </c>
      <c r="C563" s="167" t="str">
        <f t="shared" ca="1" si="482"/>
        <v>烈日斩</v>
      </c>
      <c r="D563" s="115">
        <f ca="1">IF(C563="赤日轮1",1,IF(C563="赤日轮2",2,IF(C563="赤日轮3",3,IF(C563="幽月轮1",4,IF(C563="幽月轮2",5,IF(C563="幽月轮3",6,IF(C563="烈日斩",7,IF(C563="银月斩",8,IF(C563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563="净世破魔击·月",17,IF(C563="驱夜断愁",18,0)))))))))))</f>
        <v>7</v>
      </c>
      <c r="E563" s="115">
        <f ca="1">IF(AND(CU563,OR(C563="幽月轮1",C563="幽月轮2",C563="幽月轮3",C563="银月斩",C563="驱夜断愁",C563="净世破魔击·月")),100,MIN(IF(OR(CN563,BE563),0,IF(OR($C563="赤日轮1",$C563="赤日轮2",$C563="赤日轮3"),E562+20+IF(模拟模式!$I$7="日月凌天",4,0)+IF(CR562,20,0),IF($C563="烈日斩",E562+40,IF($C563="驱夜断愁",IF(模拟模式!$R$7="万念俱寂",E562+20,E562+60),IF($C563="净世破魔击·月",IF(OR(DB562&gt;0,CV562&gt;0),100,IF(模拟模式!$M$7="辉耀红尘",E562+20,E562)),IF($C563="净世破魔击·日",E562-100,E562)))))),100))</f>
        <v>80</v>
      </c>
      <c r="F563" s="115">
        <f ca="1">IF(AND(CU563,OR(C563="赤日轮1",C563="赤日轮2",C563="赤日轮3",C563="烈日斩",C563="净世破魔击·日")),100,MIN(IF(CO563,0,IF(OR($C563="幽月轮1",$C563="幽月轮2",$C563="幽月轮3"),F562+20+IF(模拟模式!$I$7="日月凌天",4,0)+IF(CS562,20,0),IF($C563="银月斩",F562+40+IF(模拟模式!$X$12=1,5,0),IF($C563="驱夜断愁",IF(模拟模式!$R$7="万念俱寂",F562+20,F562+60),IF($C563="净世破魔击·月",IF(模拟模式!$M$7="辉耀红尘",F562-80,F562-100),IF(AND(C563="净世破魔击·日",OR(DB562&gt;0,CV562&gt;0)),100,F562)))))),100))</f>
        <v>85</v>
      </c>
      <c r="G563" s="117">
        <f ca="1">('模拟-全程加成'!$E$3+'模拟-全程加成'!$E$4+'模拟-全程加成'!$E$5+('模拟-全程加成'!$C$6-'模拟-全程加成'!$C$3)*系数!$B$9+BS563*23)*(1+'模拟-全程加成'!$F$4+'模拟-全程加成'!$F$5+BJ563*10%+BM563*20%+BP563*4%+CG563*30%)+$F$7*系数!$B$12</f>
        <v>20583.127400000001</v>
      </c>
      <c r="H563" s="45">
        <f ca="1">'模拟-全程加成'!$H$3+'模拟-全程加成'!$H$4+'模拟-全程加成'!$H$5+('模拟-全程加成'!$G$4+'模拟-全程加成'!$G$5+('模拟-全程加成'!$C$6-'模拟-全程加成'!$C$3)*系数!$B$13)/系数!$B$3+LOOKUP(D563,'模拟-单技能数据'!$A$2:$A$19,'模拟-单技能数据'!$K$2:$K$19)+BG563*10%+IF(BV563&gt;0,378,0)</f>
        <v>0.56185145527300218</v>
      </c>
      <c r="I563" s="45">
        <f ca="1">'模拟-全程加成'!$J$3+'模拟-全程加成'!$J$4+'模拟-全程加成'!$J$5+('模拟-全程加成'!$I$4+'模拟-全程加成'!$I$5)/系数!$B$4+LOOKUP(D563,'模拟-单技能数据'!$A$2:$A$19,'模拟-单技能数据'!$L$2:$L$19)+BG563*10%</f>
        <v>2.2624828854998791</v>
      </c>
      <c r="J563" s="45">
        <f ca="1">(('模拟-全程加成'!$K$3+'模拟-全程加成'!$K$4+'模拟-全程加成'!$K$5+('模拟-全程加成'!$C$6-'模拟-全程加成'!$C$3)*系数!$B$10+IF(BV563&gt;0,882,0)+IF(BY563&gt;0,1831,0))*(1+'模拟-全程加成'!$L$4+'模拟-全程加成'!$L$5+CC563*20%))/系数!$B$5</f>
        <v>0.69723220422048726</v>
      </c>
      <c r="K563" s="119">
        <f ca="1">LOOKUP(D563,'模拟-单技能数据'!$A$2:$A$19,'模拟-单技能数据'!$J$2:$J$19)+IF(CM563,60%,0)+IF(DB562-DB563&gt;0,30%,0)+IF(OR(AND(OR(C563="赤日轮1",C563="赤日轮2",C563="赤日轮3"),CR563),AND(OR(C563="幽月轮1",C563="幽月轮2",C563="幽月轮3"),CS563)),35%,0)+CJ563</f>
        <v>0.24</v>
      </c>
      <c r="L563" s="119">
        <f ca="1">IF(AND(C563="烈日斩",模拟模式!$X$11=1),10%,0)+IF(AND(C563="驱夜断愁",AB563=1),30%,0)</f>
        <v>0.1</v>
      </c>
      <c r="M563" s="45">
        <f t="shared" ca="1" si="465"/>
        <v>0.56185145527300218</v>
      </c>
      <c r="N563" s="45">
        <f t="shared" ca="1" si="466"/>
        <v>0.38424854472699788</v>
      </c>
      <c r="O563" s="46">
        <f t="shared" ca="1" si="490"/>
        <v>0.58233480279785621</v>
      </c>
      <c r="P563" s="46" t="str">
        <f t="shared" ca="1" si="491"/>
        <v>会</v>
      </c>
      <c r="Q563" s="45">
        <f t="shared" ca="1" si="492"/>
        <v>2.2624828854998791</v>
      </c>
      <c r="R563" s="117">
        <f ca="1">模拟模式!$E$20*(1-IF(模拟模式!$J$19="有",0.15,0))*(1-IF(模拟模式!$K$19="有",0.3,0)-IF(CQ563,0.5,0))</f>
        <v>843.02999999999975</v>
      </c>
      <c r="S563" s="45">
        <f ca="1">R563/(R563+(185*模拟模式!$E$22-16800)*4.08224)</f>
        <v>8.389626085980037E-2</v>
      </c>
      <c r="T563" s="45" t="str">
        <f ca="1">LOOKUP(D563,'模拟-单技能数据'!$A$2:$A$19,'模拟-单技能数据'!$H$2:$H$19)</f>
        <v>阳</v>
      </c>
      <c r="U563" s="119">
        <f t="shared" ca="1" si="467"/>
        <v>0.2</v>
      </c>
      <c r="V563" s="47">
        <f ca="1">(1+L563)*(LOOKUP(D563,'模拟-单技能数据'!$A$2:$A$19,'模拟-单技能数据'!$D$2:$D$19)+G563*LOOKUP(D563,'模拟-单技能数据'!$A$2:$A$19,'模拟-单技能数据'!$F$2:$F$19))*(1+J563)*(1+K563)*(1-S563)*(1+U563)*Q563*LOOKUP(D563,'模拟-单技能数据'!$A$2:$A$19,'模拟-单技能数据'!$I$2:$I$20)</f>
        <v>105861.05199666526</v>
      </c>
      <c r="W563" s="47">
        <f ca="1">LOOKUP(D563,'模拟-单技能数据'!$A$2:$A$19,'模拟-单技能数据'!$G$2:$G$19)*$I$10</f>
        <v>361.51064354704795</v>
      </c>
      <c r="X563" s="47">
        <f t="shared" ca="1" si="493"/>
        <v>11118.353508757338</v>
      </c>
      <c r="Y563" s="47">
        <f t="shared" ca="1" si="468"/>
        <v>117340.91614896966</v>
      </c>
      <c r="Z563" s="49">
        <f t="shared" ca="1" si="469"/>
        <v>55974569.150065869</v>
      </c>
      <c r="AA563" s="97">
        <f t="shared" ca="1" si="470"/>
        <v>113203.43233035081</v>
      </c>
      <c r="AB563" s="115">
        <f ca="1">IF(OR(C563="赤日轮1",C563="赤日轮2",C563="赤日轮3"),IF(RAND()&lt;模拟模式!$Y$17,1,0),IF(OR(C563="幽月轮1",C563="幽月轮2",C563="幽月轮3"),IF(RAND()&lt;模拟模式!$Y$18,1,0),IF(C563="烈日斩",IF(RAND()&lt;模拟模式!$Y$19,1,0),IF(C563="银月斩",IF(RAND()&lt;模拟模式!$Y$20,1,0),IF(C563="驱夜断愁",IF(RAND()&lt;模拟模式!$Y$21,1,0),IF(C563="净世破魔击·日",IF(RAND()&lt;模拟模式!$Y$22,1,0),IF(C563="净世破魔击·月",IF(RAND()&lt;模拟模式!$Y$23,1,0),0)))))))</f>
        <v>1</v>
      </c>
      <c r="AC563" s="115" t="b">
        <f t="shared" ca="1" si="458"/>
        <v>0</v>
      </c>
      <c r="AD563" s="115" t="b">
        <f t="shared" ca="1" si="478"/>
        <v>0</v>
      </c>
      <c r="AE563" s="115">
        <f t="shared" ca="1" si="479"/>
        <v>5</v>
      </c>
      <c r="AF563" s="47">
        <f ca="1">IF(AC563,('模拟-单技能数据'!$D$20+G563*'模拟-单技能数据'!$F$20)*(1+J563)*(1+'模拟-单技能数据'!$J$20)*(1+U563),0)</f>
        <v>0</v>
      </c>
      <c r="AG563" s="61">
        <f t="shared" ca="1" si="471"/>
        <v>0.64185145527300214</v>
      </c>
      <c r="AH563" s="61">
        <f t="shared" ca="1" si="472"/>
        <v>2.2624828854998791</v>
      </c>
      <c r="AI563" s="62">
        <f t="shared" ca="1" si="494"/>
        <v>0.80696083383974115</v>
      </c>
      <c r="AJ563" s="47">
        <f ca="1">IF(AD563,IF(AI563&lt;$F$10,0,IF(AI563&lt;$F$10+$F$11,0.25,IF(AI563&lt;$F$10+$F$11+AG563,AH563,1)))*IF(AF563&gt;0,AF563,IF(AF562&gt;0,AF562,IF(AF561&gt;0,AF561,IF(AF560&gt;0,AF560,IF(AF559&gt;0,AF559,IF(AF558&gt;0,AF558,IF(AF557&gt;0,AF557,IF(AF556&gt;0,AF556,IF(AF555&gt;0,AF555,IF(AF553&gt;0,AF553,IF(AF552&gt;0,AF552,IF(AF551&gt;0,AF551,0)))))))))))),0)*(1-$S563)*'模拟-单技能数据'!$I$20</f>
        <v>0</v>
      </c>
      <c r="AK563" s="115" t="b">
        <f t="shared" ca="1" si="459"/>
        <v>0</v>
      </c>
      <c r="AL563" s="115" t="b">
        <f t="shared" ca="1" si="480"/>
        <v>1</v>
      </c>
      <c r="AM563" s="115">
        <f t="shared" ca="1" si="481"/>
        <v>3</v>
      </c>
      <c r="AN563" s="47">
        <f ca="1">IF(AK563,('模拟-单技能数据'!$D$21+G563*'模拟-单技能数据'!$F$21)*(1+J563)*(1+'模拟-单技能数据'!$J$21)*(1+U563),0)</f>
        <v>0</v>
      </c>
      <c r="AO563" s="61">
        <f ca="1">IF(AN563&gt;0,M563-'模拟-单技能数据'!$K$10,AO562)</f>
        <v>0.42185145527300216</v>
      </c>
      <c r="AP563" s="61">
        <f ca="1">IF(AN563&gt;0,I563-'模拟-单技能数据'!$L$10,AP562)</f>
        <v>2.162482885499879</v>
      </c>
      <c r="AQ563" s="63">
        <f t="shared" ca="1" si="495"/>
        <v>0.47619450555628273</v>
      </c>
      <c r="AR563" s="64">
        <f ca="1">IF(AL563,IF(AQ563&lt;$F$10,0,IF(AQ563&lt;$F$10+$F$11,0.25,IF(AQ563&lt;$F$10+$F$11+AO563,AP563,1)))*IF(AN563&gt;0,AN563,IF(AN562&gt;0,AN562,IF(AN561&gt;0,AN561,IF(AN560&gt;0,AN560,IF(AN559&gt;0,AN559,IF(AN558&gt;0,AN558,IF(AN557&gt;0,AN557,IF(AN556&gt;0,AN556,IF(AN555&gt;0,AN555,IF(AN553&gt;0,AN553,IF(AN552&gt;0,AN552,IF(AN551&gt;0,AN551,0)))))))))))),0)*(1-$S563)*'模拟-单技能数据'!$I$21</f>
        <v>11118.353508757338</v>
      </c>
      <c r="AS563" s="61">
        <f ca="1">IF(OR(C563="净世破魔击·日",C563="净世破魔击·月"),M563-'模拟-单技能数据'!$K$10,0)</f>
        <v>0</v>
      </c>
      <c r="AT563" s="61">
        <f ca="1">IF(OR(C563="净世破魔击·日",C563="净世破魔击·月"),I563-'模拟-单技能数据'!$L$10,0)</f>
        <v>0</v>
      </c>
      <c r="AU563" s="62">
        <f t="shared" ca="1" si="496"/>
        <v>0.13494320918478464</v>
      </c>
      <c r="AV563" s="64">
        <f ca="1">IF(AS563&gt;0,('模拟-单技能数据'!$D$22+G563*'模拟-单技能数据'!$F$22)*(1+J563)*(1-S563)*IF(AU563&lt;$F$10,0,IF(AU563&lt;$F$10+$F$11,0.25,IF(AU563&lt;$F$10+$F$11+AS563,AT563,1)))*(1+U563),0)*'模拟-单技能数据'!$I$22</f>
        <v>0</v>
      </c>
      <c r="AW563" s="108">
        <f t="shared" ca="1" si="497"/>
        <v>0</v>
      </c>
      <c r="AX563" s="108" t="b">
        <f ca="1">AND(模拟模式!$P$10="有",AW562=0,RAND()&lt;IF(C563="净世破魔击·月",0.1*8/3,IF(C563="净世破魔击·日",0.1*4/3,0.1*2/3)))</f>
        <v>0</v>
      </c>
      <c r="AY563" s="47">
        <f ca="1">IF(AX563,(18+G563*0.722)*(1+J563)*(1-S563)*(1+$I$4)*IF(P563="会",'模拟-全程加成'!$J$3+'模拟-全程加成'!$J$4+'模拟-全程加成'!$J$5+('模拟-全程加成'!$I$4+'模拟-全程加成'!$I$5)/系数!$B$4+BG563*10%,IF(P563="命",1,IF(P563="识",0.25,0))),0)</f>
        <v>0</v>
      </c>
      <c r="AZ563" s="108">
        <f t="shared" si="498"/>
        <v>12.620000000000005</v>
      </c>
      <c r="BA563" s="108" t="b">
        <f>AND(模拟模式!$Q$10="有",AZ562=0)</f>
        <v>0</v>
      </c>
      <c r="BB563" s="140">
        <f>IF(BA563,(0+G563*0.287)*(1+J563)*(1-S563)*(1+$I$4)*IF(P563="会",'模拟-全程加成'!$J$3+'模拟-全程加成'!$J$4+'模拟-全程加成'!$J$5+('模拟-全程加成'!$I$4+'模拟-全程加成'!$I$5)/系数!$B$4+BG563*10%,IF(P563="命",1,IF(P563="识",0.25,0))),0)</f>
        <v>0</v>
      </c>
      <c r="BC563" s="115" t="b">
        <f ca="1">AND(模拟模式!$R$7="伏明众生",E563=60,F563=20,DA563&lt;5,CZ562&lt;$F$4)</f>
        <v>0</v>
      </c>
      <c r="BD563" s="115">
        <f t="shared" ca="1" si="460"/>
        <v>0</v>
      </c>
      <c r="BE563" s="115" t="b">
        <f t="shared" ca="1" si="461"/>
        <v>0</v>
      </c>
      <c r="BF563" s="47">
        <f ca="1">IF(BC563,4*('模拟-单技能数据'!$D$24+G563*'模拟-单技能数据'!$F$24)*(1+J563)*(1+'模拟-单技能数据'!$J$24)*(1-S563)*(1+$I$3)*(('模拟-全程加成'!$J$3+'模拟-全程加成'!$J$4+'模拟-全程加成'!$J$5+('模拟-全程加成'!$I$4+'模拟-全程加成'!$I$5)/系数!$B$4+BG563*10%)*('模拟-全程加成'!$J$3+'模拟-全程加成'!$J$4+'模拟-全程加成'!$J$5+('模拟-全程加成'!$I$4+'模拟-全程加成'!$I$5)/系数!$B$4+BG563*10%)+(1-('模拟-全程加成'!$J$3+'模拟-全程加成'!$J$4+'模拟-全程加成'!$J$5+('模拟-全程加成'!$I$4+'模拟-全程加成'!$I$5)/系数!$B$4+BG563*10%)-$F$10-$F$11)+F549*0.25),0)*'模拟-单技能数据'!$I$24</f>
        <v>0</v>
      </c>
      <c r="BG563" s="115" t="b">
        <f ca="1">OR(AND(OR(C563="烈日斩",C563="银月斩"),模拟模式!$I$7="净身明礼"),AND(C563="净世破魔击·日",模拟模式!$J$7="洞若观火"),AND(C564="净世破魔击·月",模拟模式!$J$7="洞若观火"),AB563=1)</f>
        <v>1</v>
      </c>
      <c r="BH563" s="115" t="b">
        <f t="shared" ca="1" si="499"/>
        <v>0</v>
      </c>
      <c r="BI563" s="115">
        <f t="shared" ca="1" si="462"/>
        <v>0</v>
      </c>
      <c r="BJ563" s="115" t="b">
        <f t="shared" ca="1" si="473"/>
        <v>0</v>
      </c>
      <c r="BK563" s="115" t="b">
        <f ca="1">AND(C563="驱夜断愁",模拟模式!$P$7="天地诛戮")</f>
        <v>0</v>
      </c>
      <c r="BL563" s="57">
        <f t="shared" ca="1" si="463"/>
        <v>19.077500000000001</v>
      </c>
      <c r="BM563" s="115" t="b">
        <f t="shared" ca="1" si="474"/>
        <v>1</v>
      </c>
      <c r="BN563" s="115" t="b">
        <f ca="1">AND(OR(C563="赤日轮1",C563="赤日轮2",C563="赤日轮3",C563="幽月轮1",C563="幽月轮2",C563="幽月轮3"),AB563=1,模拟模式!$L$7="明光恒照")</f>
        <v>0</v>
      </c>
      <c r="BO563" s="117">
        <f t="shared" ca="1" si="464"/>
        <v>27.232500000000002</v>
      </c>
      <c r="BP563" s="115">
        <f t="shared" ca="1" si="500"/>
        <v>6</v>
      </c>
      <c r="BQ563" s="115" t="b">
        <f>模拟模式!$K$10="2600·水"</f>
        <v>0</v>
      </c>
      <c r="BR563" s="117">
        <f t="shared" si="501"/>
        <v>0</v>
      </c>
      <c r="BS563" s="115">
        <f t="shared" si="502"/>
        <v>0</v>
      </c>
      <c r="BT563" s="115">
        <f t="shared" ca="1" si="503"/>
        <v>0</v>
      </c>
      <c r="BU563" s="115" t="b">
        <f ca="1">AND(模拟模式!$K$10="2300·雷",BT562=0,RAND()&lt;IF(C563="净世破魔击·月",5*0.05*2/3,IF(C563="净世破魔击·日",3*0.05*2/3,0.05*2*2/3)))</f>
        <v>0</v>
      </c>
      <c r="BV563" s="115">
        <f t="shared" ca="1" si="504"/>
        <v>0</v>
      </c>
      <c r="BW563" s="115">
        <f t="shared" ca="1" si="505"/>
        <v>60.997499999999278</v>
      </c>
      <c r="BX563" s="164" t="b">
        <f t="shared" ca="1" si="506"/>
        <v>0</v>
      </c>
      <c r="BY563" s="115">
        <f t="shared" ca="1" si="507"/>
        <v>0</v>
      </c>
      <c r="BZ563" s="115">
        <f>IF(OR(模拟模式!$P$16="10人团",模拟模式!$P$16="25人团"),IF(B563/30&gt;CA562,1,0),0)</f>
        <v>0</v>
      </c>
      <c r="CA563" s="115">
        <f t="shared" si="483"/>
        <v>0</v>
      </c>
      <c r="CB563" s="115">
        <f ca="1">IF(BZ563=1,IF(模拟模式!$P$16="10人团",15,0)+IF(模拟模式!$P$16="25人团",IF(RAND()&lt;0.6,15,0)),MAX(0,CB562-$F$4))</f>
        <v>0</v>
      </c>
      <c r="CC563" s="115" t="b">
        <f t="shared" ca="1" si="475"/>
        <v>0</v>
      </c>
      <c r="CD563" s="115">
        <f>IF(模拟模式!$Q$16="1个",IF(B563/40&gt;CE562,1,0),0)</f>
        <v>0</v>
      </c>
      <c r="CE563" s="115">
        <f t="shared" si="476"/>
        <v>0</v>
      </c>
      <c r="CF563" s="115">
        <f>IF(OR(CD563=1,模拟模式!$Q$16="2个"),20,MAX(0,CF562-$F$4))</f>
        <v>0</v>
      </c>
      <c r="CG563" s="115" t="b">
        <f t="shared" si="477"/>
        <v>0</v>
      </c>
      <c r="CH563" s="115">
        <f t="shared" ca="1" si="508"/>
        <v>12.472500000000011</v>
      </c>
      <c r="CI563" s="115" t="b">
        <f t="shared" ca="1" si="509"/>
        <v>0</v>
      </c>
      <c r="CJ563" s="119">
        <f t="shared" ca="1" si="510"/>
        <v>0</v>
      </c>
      <c r="CK563" s="115">
        <f t="shared" ca="1" si="511"/>
        <v>0</v>
      </c>
      <c r="CL563" s="115" t="b">
        <f ca="1">AND(模拟模式!$S$7="驱夷逐法",OR(AND(C563="净世破魔击·月",E562&gt;59),AND(C563="净世破魔击·日",F562&gt;59)))</f>
        <v>0</v>
      </c>
      <c r="CM563" s="115" t="b">
        <f ca="1">OR(CL563,AND(C563="净世破魔击·日",CL562,RAND()&lt;模拟模式!$U$23))</f>
        <v>0</v>
      </c>
      <c r="CN563" s="115" t="b">
        <f ca="1">IF(模拟模式!$M$7="辉耀红尘",AND(C563="净世破魔击·月",CL563,CV563=0,E562&lt;80),AND(C563="净世破魔击·月",CL563,E562&lt;100))</f>
        <v>0</v>
      </c>
      <c r="CO563" s="115" t="b">
        <f t="shared" ca="1" si="484"/>
        <v>0</v>
      </c>
      <c r="CP563" s="115" t="b">
        <f ca="1">AND(模拟模式!$O$7="用晦而明",OR(C563="净世破魔击·日",C563="净世破魔击·月",C563="驱夜断愁"),AB563)</f>
        <v>0</v>
      </c>
      <c r="CQ563" s="115" t="b">
        <f ca="1">OR(CP563,AND(CP562,RAND()&lt;模拟模式!$U$23))</f>
        <v>1</v>
      </c>
      <c r="CR563" s="115" t="b">
        <f ca="1">AND(模拟模式!$S$7="日月齐光",OR(C563="幽月轮1",C563="幽月轮2",C563="幽月轮3",CR562),NOT(OR(C563="赤日轮1",C563="赤日轮2",C563="赤日轮3")))</f>
        <v>0</v>
      </c>
      <c r="CS563" s="115" t="b">
        <f ca="1">AND(模拟模式!$S$7="日月齐光",OR(C563="赤日轮1",C563="赤日轮2",C563="赤日轮3",CS562),NOT(OR(C563="幽月轮1",C563="幽月轮2",C563="幽月轮3")))</f>
        <v>0</v>
      </c>
      <c r="CT563" s="115">
        <f t="shared" ca="1" si="512"/>
        <v>8.7825000000000131</v>
      </c>
      <c r="CU563" s="115" t="b">
        <f ca="1">AND(模拟模式!$K$10="阴阳往极",CT562=0,RAND()&lt;IF(C563="净世破魔击·月",0.0275*7/3,IF(C563="净世破魔击·日",0.0275*3/3,0.0275*2/3)))</f>
        <v>0</v>
      </c>
      <c r="CV563" s="115">
        <f t="shared" ca="1" si="513"/>
        <v>0</v>
      </c>
      <c r="CW563" s="115">
        <f t="shared" ca="1" si="485"/>
        <v>6</v>
      </c>
      <c r="CX563" s="115">
        <f t="shared" ca="1" si="486"/>
        <v>4.1549999999999994</v>
      </c>
      <c r="CY563" s="115">
        <f ca="1">MAX(IF($C563="驱夜断愁",IF(模拟模式!$R$7="万念俱寂",6,45),CY562-$F$4),0)</f>
        <v>5.0774999999999997</v>
      </c>
      <c r="CZ563" s="115">
        <f t="shared" ca="1" si="487"/>
        <v>0</v>
      </c>
      <c r="DA563" s="115">
        <f ca="1">IF(模拟模式!$N$7="日月同辉",IF(DB562=2,0,MIN(6,IF(AND(OR(C563="赤日轮1",C563="赤日轮2",C563="赤日轮3",C563="幽月轮1",C563="幽月轮2",C563="幽月轮3"),AB563=1),DA562+1,DA562))),0)</f>
        <v>0</v>
      </c>
      <c r="DB563" s="115">
        <f t="shared" ca="1" si="488"/>
        <v>2</v>
      </c>
      <c r="DC563" s="115"/>
      <c r="DD563" s="115"/>
      <c r="DE563" s="115"/>
      <c r="DF563" s="115"/>
      <c r="DG563" s="115"/>
      <c r="DH563" s="115"/>
      <c r="DI563" s="115"/>
      <c r="DJ563" s="115"/>
      <c r="DK563" s="115"/>
      <c r="DL563" s="115"/>
      <c r="DM563" s="115"/>
    </row>
    <row r="564" spans="2:117" x14ac:dyDescent="0.2">
      <c r="B564" s="117">
        <f t="shared" si="489"/>
        <v>495.38250000000534</v>
      </c>
      <c r="C564" s="167" t="str">
        <f t="shared" ca="1" si="482"/>
        <v>幽月轮1</v>
      </c>
      <c r="D564" s="115">
        <f ca="1">IF(C564="赤日轮1",1,IF(C564="赤日轮2",2,IF(C564="赤日轮3",3,IF(C564="幽月轮1",4,IF(C564="幽月轮2",5,IF(C564="幽月轮3",6,IF(C564="烈日斩",7,IF(C564="银月斩",8,IF(C564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564="净世破魔击·月",17,IF(C564="驱夜断愁",18,0)))))))))))</f>
        <v>4</v>
      </c>
      <c r="E564" s="115">
        <f ca="1">IF(AND(CU564,OR(C564="幽月轮1",C564="幽月轮2",C564="幽月轮3",C564="银月斩",C564="驱夜断愁",C564="净世破魔击·月")),100,MIN(IF(OR(CN564,BE564),0,IF(OR($C564="赤日轮1",$C564="赤日轮2",$C564="赤日轮3"),E563+20+IF(模拟模式!$I$7="日月凌天",4,0)+IF(CR563,20,0),IF($C564="烈日斩",E563+40,IF($C564="驱夜断愁",IF(模拟模式!$R$7="万念俱寂",E563+20,E563+60),IF($C564="净世破魔击·月",IF(OR(DB563&gt;0,CV563&gt;0),100,IF(模拟模式!$M$7="辉耀红尘",E563+20,E563)),IF($C564="净世破魔击·日",E563-100,E563)))))),100))</f>
        <v>80</v>
      </c>
      <c r="F564" s="115">
        <f ca="1">IF(AND(CU564,OR(C564="赤日轮1",C564="赤日轮2",C564="赤日轮3",C564="烈日斩",C564="净世破魔击·日")),100,MIN(IF(CO564,0,IF(OR($C564="幽月轮1",$C564="幽月轮2",$C564="幽月轮3"),F563+20+IF(模拟模式!$I$7="日月凌天",4,0)+IF(CS563,20,0),IF($C564="银月斩",F563+40+IF(模拟模式!$X$12=1,5,0),IF($C564="驱夜断愁",IF(模拟模式!$R$7="万念俱寂",F563+20,F563+60),IF($C564="净世破魔击·月",IF(模拟模式!$M$7="辉耀红尘",F563-80,F563-100),IF(AND(C564="净世破魔击·日",OR(DB563&gt;0,CV563&gt;0)),100,F563)))))),100))</f>
        <v>100</v>
      </c>
      <c r="G564" s="117">
        <f ca="1">('模拟-全程加成'!$E$3+'模拟-全程加成'!$E$4+'模拟-全程加成'!$E$5+('模拟-全程加成'!$C$6-'模拟-全程加成'!$C$3)*系数!$B$9+BS564*23)*(1+'模拟-全程加成'!$F$4+'模拟-全程加成'!$F$5+BJ564*10%+BM564*20%+BP564*4%+CG564*30%)+$F$7*系数!$B$12</f>
        <v>20583.127400000001</v>
      </c>
      <c r="H564" s="45">
        <f ca="1">'模拟-全程加成'!$H$3+'模拟-全程加成'!$H$4+'模拟-全程加成'!$H$5+('模拟-全程加成'!$G$4+'模拟-全程加成'!$G$5+('模拟-全程加成'!$C$6-'模拟-全程加成'!$C$3)*系数!$B$13)/系数!$B$3+LOOKUP(D564,'模拟-单技能数据'!$A$2:$A$19,'模拟-单技能数据'!$K$2:$K$19)+BG564*10%+IF(BV564&gt;0,378,0)</f>
        <v>0.51185145527300213</v>
      </c>
      <c r="I564" s="45">
        <f ca="1">'模拟-全程加成'!$J$3+'模拟-全程加成'!$J$4+'模拟-全程加成'!$J$5+('模拟-全程加成'!$I$4+'模拟-全程加成'!$I$5)/系数!$B$4+LOOKUP(D564,'模拟-单技能数据'!$A$2:$A$19,'模拟-单技能数据'!$L$2:$L$19)+BG564*10%</f>
        <v>2.162482885499879</v>
      </c>
      <c r="J564" s="45">
        <f ca="1">(('模拟-全程加成'!$K$3+'模拟-全程加成'!$K$4+'模拟-全程加成'!$K$5+('模拟-全程加成'!$C$6-'模拟-全程加成'!$C$3)*系数!$B$10+IF(BV564&gt;0,882,0)+IF(BY564&gt;0,1831,0))*(1+'模拟-全程加成'!$L$4+'模拟-全程加成'!$L$5+CC564*20%))/系数!$B$5</f>
        <v>0.69723220422048726</v>
      </c>
      <c r="K564" s="119">
        <f ca="1">LOOKUP(D564,'模拟-单技能数据'!$A$2:$A$19,'模拟-单技能数据'!$J$2:$J$19)+IF(CM564,60%,0)+IF(DB563-DB564&gt;0,30%,0)+IF(OR(AND(OR(C564="赤日轮1",C564="赤日轮2",C564="赤日轮3"),CR564),AND(OR(C564="幽月轮1",C564="幽月轮2",C564="幽月轮3"),CS564)),35%,0)+CJ564</f>
        <v>7.0000000000000007E-2</v>
      </c>
      <c r="L564" s="119">
        <f ca="1">IF(AND(C564="烈日斩",模拟模式!$X$11=1),10%,0)+IF(AND(C564="驱夜断愁",AB564=1),30%,0)</f>
        <v>0</v>
      </c>
      <c r="M564" s="45">
        <f t="shared" ca="1" si="465"/>
        <v>0.51185145527300213</v>
      </c>
      <c r="N564" s="45">
        <f t="shared" ca="1" si="466"/>
        <v>0.43424854472699792</v>
      </c>
      <c r="O564" s="46">
        <f t="shared" ca="1" si="490"/>
        <v>0.48654029402226617</v>
      </c>
      <c r="P564" s="46" t="str">
        <f t="shared" ca="1" si="491"/>
        <v>会</v>
      </c>
      <c r="Q564" s="45">
        <f t="shared" ca="1" si="492"/>
        <v>2.162482885499879</v>
      </c>
      <c r="R564" s="117">
        <f ca="1">模拟模式!$E$20*(1-IF(模拟模式!$J$19="有",0.15,0))*(1-IF(模拟模式!$K$19="有",0.3,0)-IF(CQ564,0.5,0))</f>
        <v>2950.6049999999996</v>
      </c>
      <c r="S564" s="45">
        <f ca="1">R564/(R564+(185*模拟模式!$E$22-16800)*4.08224)</f>
        <v>0.24272716014590323</v>
      </c>
      <c r="T564" s="45" t="str">
        <f ca="1">LOOKUP(D564,'模拟-单技能数据'!$A$2:$A$19,'模拟-单技能数据'!$H$2:$H$19)</f>
        <v>阴</v>
      </c>
      <c r="U564" s="119">
        <f t="shared" ca="1" si="467"/>
        <v>0.08</v>
      </c>
      <c r="V564" s="47">
        <f ca="1">(1+L564)*(LOOKUP(D564,'模拟-单技能数据'!$A$2:$A$19,'模拟-单技能数据'!$D$2:$D$19)+G564*LOOKUP(D564,'模拟-单技能数据'!$A$2:$A$19,'模拟-单技能数据'!$F$2:$F$19))*(1+J564)*(1+K564)*(1-S564)*(1+U564)*Q564*LOOKUP(D564,'模拟-单技能数据'!$A$2:$A$19,'模拟-单技能数据'!$I$2:$I$20)</f>
        <v>35088.919370823241</v>
      </c>
      <c r="W564" s="47">
        <f ca="1">LOOKUP(D564,'模拟-单技能数据'!$A$2:$A$19,'模拟-单技能数据'!$G$2:$G$19)*$I$10</f>
        <v>361.51064354704795</v>
      </c>
      <c r="X564" s="47">
        <f t="shared" ca="1" si="493"/>
        <v>7620.5875385322679</v>
      </c>
      <c r="Y564" s="47">
        <f t="shared" ca="1" si="468"/>
        <v>43071.017552902551</v>
      </c>
      <c r="Z564" s="49">
        <f t="shared" ca="1" si="469"/>
        <v>56017640.167618774</v>
      </c>
      <c r="AA564" s="97">
        <f t="shared" ca="1" si="470"/>
        <v>113079.57016571674</v>
      </c>
      <c r="AB564" s="115">
        <f ca="1">IF(OR(C564="赤日轮1",C564="赤日轮2",C564="赤日轮3"),IF(RAND()&lt;模拟模式!$Y$17,1,0),IF(OR(C564="幽月轮1",C564="幽月轮2",C564="幽月轮3"),IF(RAND()&lt;模拟模式!$Y$18,1,0),IF(C564="烈日斩",IF(RAND()&lt;模拟模式!$Y$19,1,0),IF(C564="银月斩",IF(RAND()&lt;模拟模式!$Y$20,1,0),IF(C564="驱夜断愁",IF(RAND()&lt;模拟模式!$Y$21,1,0),IF(C564="净世破魔击·日",IF(RAND()&lt;模拟模式!$Y$22,1,0),IF(C564="净世破魔击·月",IF(RAND()&lt;模拟模式!$Y$23,1,0),0)))))))</f>
        <v>1</v>
      </c>
      <c r="AC564" s="115" t="b">
        <f t="shared" ca="1" si="458"/>
        <v>0</v>
      </c>
      <c r="AD564" s="115" t="b">
        <f t="shared" ca="1" si="478"/>
        <v>1</v>
      </c>
      <c r="AE564" s="115">
        <f t="shared" ca="1" si="479"/>
        <v>4</v>
      </c>
      <c r="AF564" s="47">
        <f ca="1">IF(AC564,('模拟-单技能数据'!$D$20+G564*'模拟-单技能数据'!$F$20)*(1+J564)*(1+'模拟-单技能数据'!$J$20)*(1+U564),0)</f>
        <v>0</v>
      </c>
      <c r="AG564" s="61">
        <f t="shared" ca="1" si="471"/>
        <v>0.64185145527300214</v>
      </c>
      <c r="AH564" s="61">
        <f t="shared" ca="1" si="472"/>
        <v>2.2624828854998791</v>
      </c>
      <c r="AI564" s="62">
        <f t="shared" ca="1" si="494"/>
        <v>0.64463532908027277</v>
      </c>
      <c r="AJ564" s="47">
        <f ca="1">IF(AD564,IF(AI564&lt;$F$10,0,IF(AI564&lt;$F$10+$F$11,0.25,IF(AI564&lt;$F$10+$F$11+AG564,AH564,1)))*IF(AF564&gt;0,AF564,IF(AF563&gt;0,AF563,IF(AF562&gt;0,AF562,IF(AF561&gt;0,AF561,IF(AF560&gt;0,AF560,IF(AF559&gt;0,AF559,IF(AF558&gt;0,AF558,IF(AF557&gt;0,AF557,IF(AF556&gt;0,AF556,IF(AF554&gt;0,AF554,IF(AF553&gt;0,AF553,IF(AF552&gt;0,AF552,0)))))))))))),0)*(1-$S564)*'模拟-单技能数据'!$I$20</f>
        <v>7620.5875385322679</v>
      </c>
      <c r="AK564" s="115" t="b">
        <f t="shared" ca="1" si="459"/>
        <v>0</v>
      </c>
      <c r="AL564" s="115" t="b">
        <f t="shared" ca="1" si="480"/>
        <v>0</v>
      </c>
      <c r="AM564" s="115">
        <f t="shared" ca="1" si="481"/>
        <v>3</v>
      </c>
      <c r="AN564" s="47">
        <f ca="1">IF(AK564,('模拟-单技能数据'!$D$21+G564*'模拟-单技能数据'!$F$21)*(1+J564)*(1+'模拟-单技能数据'!$J$21)*(1+U564),0)</f>
        <v>0</v>
      </c>
      <c r="AO564" s="61">
        <f ca="1">IF(AN564&gt;0,M564-'模拟-单技能数据'!$K$10,AO563)</f>
        <v>0.42185145527300216</v>
      </c>
      <c r="AP564" s="61">
        <f ca="1">IF(AN564&gt;0,I564-'模拟-单技能数据'!$L$10,AP563)</f>
        <v>2.162482885499879</v>
      </c>
      <c r="AQ564" s="63">
        <f t="shared" ca="1" si="495"/>
        <v>0.58923285500503242</v>
      </c>
      <c r="AR564" s="64">
        <f ca="1">IF(AL564,IF(AQ564&lt;$F$10,0,IF(AQ564&lt;$F$10+$F$11,0.25,IF(AQ564&lt;$F$10+$F$11+AO564,AP564,1)))*IF(AN564&gt;0,AN564,IF(AN563&gt;0,AN563,IF(AN562&gt;0,AN562,IF(AN561&gt;0,AN561,IF(AN560&gt;0,AN560,IF(AN559&gt;0,AN559,IF(AN558&gt;0,AN558,IF(AN557&gt;0,AN557,IF(AN556&gt;0,AN556,IF(AN554&gt;0,AN554,IF(AN553&gt;0,AN553,IF(AN552&gt;0,AN552,0)))))))))))),0)*(1-$S564)*'模拟-单技能数据'!$I$21</f>
        <v>0</v>
      </c>
      <c r="AS564" s="61">
        <f ca="1">IF(OR(C564="净世破魔击·日",C564="净世破魔击·月"),M564-'模拟-单技能数据'!$K$10,0)</f>
        <v>0</v>
      </c>
      <c r="AT564" s="61">
        <f ca="1">IF(OR(C564="净世破魔击·日",C564="净世破魔击·月"),I564-'模拟-单技能数据'!$L$10,0)</f>
        <v>0</v>
      </c>
      <c r="AU564" s="62">
        <f t="shared" ca="1" si="496"/>
        <v>0.65353740258005155</v>
      </c>
      <c r="AV564" s="64">
        <f ca="1">IF(AS564&gt;0,('模拟-单技能数据'!$D$22+G564*'模拟-单技能数据'!$F$22)*(1+J564)*(1-S564)*IF(AU564&lt;$F$10,0,IF(AU564&lt;$F$10+$F$11,0.25,IF(AU564&lt;$F$10+$F$11+AS564,AT564,1)))*(1+U564),0)*'模拟-单技能数据'!$I$22</f>
        <v>0</v>
      </c>
      <c r="AW564" s="108">
        <f t="shared" ca="1" si="497"/>
        <v>0</v>
      </c>
      <c r="AX564" s="108" t="b">
        <f ca="1">AND(模拟模式!$P$10="有",AW563=0,RAND()&lt;IF(C564="净世破魔击·月",0.1*8/3,IF(C564="净世破魔击·日",0.1*4/3,0.1*2/3)))</f>
        <v>0</v>
      </c>
      <c r="AY564" s="47">
        <f ca="1">IF(AX564,(18+G564*0.722)*(1+J564)*(1-S564)*(1+$I$4)*IF(P564="会",'模拟-全程加成'!$J$3+'模拟-全程加成'!$J$4+'模拟-全程加成'!$J$5+('模拟-全程加成'!$I$4+'模拟-全程加成'!$I$5)/系数!$B$4+BG564*10%,IF(P564="命",1,IF(P564="识",0.25,0))),0)</f>
        <v>0</v>
      </c>
      <c r="AZ564" s="108">
        <f t="shared" si="498"/>
        <v>11.697500000000005</v>
      </c>
      <c r="BA564" s="108" t="b">
        <f>AND(模拟模式!$Q$10="有",AZ563=0)</f>
        <v>0</v>
      </c>
      <c r="BB564" s="140">
        <f>IF(BA564,(0+G564*0.287)*(1+J564)*(1-S564)*(1+$I$4)*IF(P564="会",'模拟-全程加成'!$J$3+'模拟-全程加成'!$J$4+'模拟-全程加成'!$J$5+('模拟-全程加成'!$I$4+'模拟-全程加成'!$I$5)/系数!$B$4+BG564*10%,IF(P564="命",1,IF(P564="识",0.25,0))),0)</f>
        <v>0</v>
      </c>
      <c r="BC564" s="115" t="b">
        <f ca="1">AND(模拟模式!$R$7="伏明众生",E564=60,F564=20,DA564&lt;5,CZ563&lt;$F$4)</f>
        <v>0</v>
      </c>
      <c r="BD564" s="115">
        <f t="shared" ca="1" si="460"/>
        <v>0</v>
      </c>
      <c r="BE564" s="115" t="b">
        <f t="shared" ca="1" si="461"/>
        <v>0</v>
      </c>
      <c r="BF564" s="47">
        <f ca="1">IF(BC564,4*('模拟-单技能数据'!$D$24+G564*'模拟-单技能数据'!$F$24)*(1+J564)*(1+'模拟-单技能数据'!$J$24)*(1-S564)*(1+$I$3)*(('模拟-全程加成'!$J$3+'模拟-全程加成'!$J$4+'模拟-全程加成'!$J$5+('模拟-全程加成'!$I$4+'模拟-全程加成'!$I$5)/系数!$B$4+BG564*10%)*('模拟-全程加成'!$J$3+'模拟-全程加成'!$J$4+'模拟-全程加成'!$J$5+('模拟-全程加成'!$I$4+'模拟-全程加成'!$I$5)/系数!$B$4+BG564*10%)+(1-('模拟-全程加成'!$J$3+'模拟-全程加成'!$J$4+'模拟-全程加成'!$J$5+('模拟-全程加成'!$I$4+'模拟-全程加成'!$I$5)/系数!$B$4+BG564*10%)-$F$10-$F$11)+F550*0.25),0)*'模拟-单技能数据'!$I$24</f>
        <v>0</v>
      </c>
      <c r="BG564" s="115" t="b">
        <f ca="1">OR(AND(OR(C564="烈日斩",C564="银月斩"),模拟模式!$I$7="净身明礼"),AND(C564="净世破魔击·日",模拟模式!$J$7="洞若观火"),AND(C565="净世破魔击·月",模拟模式!$J$7="洞若观火"),AB564=1)</f>
        <v>1</v>
      </c>
      <c r="BH564" s="115" t="b">
        <f t="shared" ca="1" si="499"/>
        <v>0</v>
      </c>
      <c r="BI564" s="115">
        <f t="shared" ca="1" si="462"/>
        <v>0</v>
      </c>
      <c r="BJ564" s="115" t="b">
        <f t="shared" ca="1" si="473"/>
        <v>0</v>
      </c>
      <c r="BK564" s="115" t="b">
        <f ca="1">AND(C564="驱夜断愁",模拟模式!$P$7="天地诛戮")</f>
        <v>0</v>
      </c>
      <c r="BL564" s="57">
        <f t="shared" ca="1" si="463"/>
        <v>18.155000000000001</v>
      </c>
      <c r="BM564" s="115" t="b">
        <f t="shared" ca="1" si="474"/>
        <v>1</v>
      </c>
      <c r="BN564" s="115" t="b">
        <f ca="1">AND(OR(C564="赤日轮1",C564="赤日轮2",C564="赤日轮3",C564="幽月轮1",C564="幽月轮2",C564="幽月轮3"),AB564=1,模拟模式!$L$7="明光恒照")</f>
        <v>1</v>
      </c>
      <c r="BO564" s="117">
        <f t="shared" ca="1" si="464"/>
        <v>30</v>
      </c>
      <c r="BP564" s="115">
        <f t="shared" ca="1" si="500"/>
        <v>6</v>
      </c>
      <c r="BQ564" s="115" t="b">
        <f>模拟模式!$K$10="2600·水"</f>
        <v>0</v>
      </c>
      <c r="BR564" s="117">
        <f t="shared" si="501"/>
        <v>0</v>
      </c>
      <c r="BS564" s="115">
        <f t="shared" si="502"/>
        <v>0</v>
      </c>
      <c r="BT564" s="115">
        <f t="shared" ca="1" si="503"/>
        <v>0</v>
      </c>
      <c r="BU564" s="115" t="b">
        <f ca="1">AND(模拟模式!$K$10="2300·雷",BT563=0,RAND()&lt;IF(C564="净世破魔击·月",5*0.05*2/3,IF(C564="净世破魔击·日",3*0.05*2/3,0.05*2*2/3)))</f>
        <v>0</v>
      </c>
      <c r="BV564" s="115">
        <f t="shared" ca="1" si="504"/>
        <v>0</v>
      </c>
      <c r="BW564" s="115">
        <f t="shared" ca="1" si="505"/>
        <v>60.074999999999278</v>
      </c>
      <c r="BX564" s="164" t="b">
        <f t="shared" ca="1" si="506"/>
        <v>0</v>
      </c>
      <c r="BY564" s="115">
        <f t="shared" ca="1" si="507"/>
        <v>0</v>
      </c>
      <c r="BZ564" s="115">
        <f>IF(OR(模拟模式!$P$16="10人团",模拟模式!$P$16="25人团"),IF(B564/30&gt;CA563,1,0),0)</f>
        <v>0</v>
      </c>
      <c r="CA564" s="115">
        <f t="shared" si="483"/>
        <v>0</v>
      </c>
      <c r="CB564" s="115">
        <f ca="1">IF(BZ564=1,IF(模拟模式!$P$16="10人团",15,0)+IF(模拟模式!$P$16="25人团",IF(RAND()&lt;0.6,15,0)),MAX(0,CB563-$F$4))</f>
        <v>0</v>
      </c>
      <c r="CC564" s="115" t="b">
        <f t="shared" ca="1" si="475"/>
        <v>0</v>
      </c>
      <c r="CD564" s="115">
        <f>IF(模拟模式!$Q$16="1个",IF(B564/40&gt;CE563,1,0),0)</f>
        <v>0</v>
      </c>
      <c r="CE564" s="115">
        <f t="shared" si="476"/>
        <v>0</v>
      </c>
      <c r="CF564" s="115">
        <f>IF(OR(CD564=1,模拟模式!$Q$16="2个"),20,MAX(0,CF563-$F$4))</f>
        <v>0</v>
      </c>
      <c r="CG564" s="115" t="b">
        <f t="shared" si="477"/>
        <v>0</v>
      </c>
      <c r="CH564" s="115">
        <f t="shared" ca="1" si="508"/>
        <v>11.550000000000011</v>
      </c>
      <c r="CI564" s="115" t="b">
        <f t="shared" ca="1" si="509"/>
        <v>0</v>
      </c>
      <c r="CJ564" s="119">
        <f t="shared" ca="1" si="510"/>
        <v>0</v>
      </c>
      <c r="CK564" s="115">
        <f t="shared" ca="1" si="511"/>
        <v>0</v>
      </c>
      <c r="CL564" s="115" t="b">
        <f ca="1">AND(模拟模式!$S$7="驱夷逐法",OR(AND(C564="净世破魔击·月",E563&gt;59),AND(C564="净世破魔击·日",F563&gt;59)))</f>
        <v>0</v>
      </c>
      <c r="CM564" s="115" t="b">
        <f ca="1">OR(CL564,AND(C564="净世破魔击·日",CL563,RAND()&lt;模拟模式!$U$23))</f>
        <v>0</v>
      </c>
      <c r="CN564" s="115" t="b">
        <f ca="1">IF(模拟模式!$M$7="辉耀红尘",AND(C564="净世破魔击·月",CL564,CV564=0,E563&lt;80),AND(C564="净世破魔击·月",CL564,E563&lt;100))</f>
        <v>0</v>
      </c>
      <c r="CO564" s="115" t="b">
        <f t="shared" ca="1" si="484"/>
        <v>0</v>
      </c>
      <c r="CP564" s="115" t="b">
        <f ca="1">AND(模拟模式!$O$7="用晦而明",OR(C564="净世破魔击·日",C564="净世破魔击·月",C564="驱夜断愁"),AB564)</f>
        <v>0</v>
      </c>
      <c r="CQ564" s="115" t="b">
        <f ca="1">OR(CP564,AND(CP563,RAND()&lt;模拟模式!$U$23))</f>
        <v>0</v>
      </c>
      <c r="CR564" s="115" t="b">
        <f ca="1">AND(模拟模式!$S$7="日月齐光",OR(C564="幽月轮1",C564="幽月轮2",C564="幽月轮3",CR563),NOT(OR(C564="赤日轮1",C564="赤日轮2",C564="赤日轮3")))</f>
        <v>0</v>
      </c>
      <c r="CS564" s="115" t="b">
        <f ca="1">AND(模拟模式!$S$7="日月齐光",OR(C564="赤日轮1",C564="赤日轮2",C564="赤日轮3",CS563),NOT(OR(C564="幽月轮1",C564="幽月轮2",C564="幽月轮3")))</f>
        <v>0</v>
      </c>
      <c r="CT564" s="115">
        <f t="shared" ca="1" si="512"/>
        <v>7.8600000000000128</v>
      </c>
      <c r="CU564" s="115" t="b">
        <f ca="1">AND(模拟模式!$K$10="阴阳往极",CT563=0,RAND()&lt;IF(C564="净世破魔击·月",0.0275*7/3,IF(C564="净世破魔击·日",0.0275*3/3,0.0275*2/3)))</f>
        <v>0</v>
      </c>
      <c r="CV564" s="115">
        <f t="shared" ca="1" si="513"/>
        <v>0</v>
      </c>
      <c r="CW564" s="115">
        <f t="shared" ca="1" si="485"/>
        <v>5.0774999999999997</v>
      </c>
      <c r="CX564" s="115">
        <f t="shared" ca="1" si="486"/>
        <v>3.2324999999999995</v>
      </c>
      <c r="CY564" s="115">
        <f ca="1">MAX(IF($C564="驱夜断愁",IF(模拟模式!$R$7="万念俱寂",6,45),CY563-$F$4),0)</f>
        <v>4.1549999999999994</v>
      </c>
      <c r="CZ564" s="115">
        <f t="shared" ca="1" si="487"/>
        <v>0</v>
      </c>
      <c r="DA564" s="115">
        <f ca="1">IF(模拟模式!$N$7="日月同辉",IF(DB563=2,0,MIN(6,IF(AND(OR(C564="赤日轮1",C564="赤日轮2",C564="赤日轮3",C564="幽月轮1",C564="幽月轮2",C564="幽月轮3"),AB564=1),DA563+1,DA563))),0)</f>
        <v>0</v>
      </c>
      <c r="DB564" s="115">
        <f t="shared" ca="1" si="488"/>
        <v>2</v>
      </c>
      <c r="DC564" s="115"/>
      <c r="DD564" s="115"/>
      <c r="DE564" s="115"/>
      <c r="DF564" s="115"/>
      <c r="DG564" s="115"/>
      <c r="DH564" s="115"/>
      <c r="DI564" s="115"/>
      <c r="DJ564" s="115"/>
      <c r="DK564" s="115"/>
      <c r="DL564" s="115"/>
      <c r="DM564" s="115"/>
    </row>
    <row r="565" spans="2:117" x14ac:dyDescent="0.2">
      <c r="B565" s="117">
        <f t="shared" si="489"/>
        <v>496.30500000000535</v>
      </c>
      <c r="C565" s="167" t="str">
        <f t="shared" ca="1" si="482"/>
        <v>净世破魔击·月</v>
      </c>
      <c r="D565" s="115">
        <f ca="1">IF(C565="赤日轮1",1,IF(C565="赤日轮2",2,IF(C565="赤日轮3",3,IF(C565="幽月轮1",4,IF(C565="幽月轮2",5,IF(C565="幽月轮3",6,IF(C565="烈日斩",7,IF(C565="银月斩",8,IF(C565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565="净世破魔击·月",17,IF(C565="驱夜断愁",18,0)))))))))))</f>
        <v>17</v>
      </c>
      <c r="E565" s="115">
        <f ca="1">IF(AND(CU565,OR(C565="幽月轮1",C565="幽月轮2",C565="幽月轮3",C565="银月斩",C565="驱夜断愁",C565="净世破魔击·月")),100,MIN(IF(OR(CN565,BE565),0,IF(OR($C565="赤日轮1",$C565="赤日轮2",$C565="赤日轮3"),E564+20+IF(模拟模式!$I$7="日月凌天",4,0)+IF(CR564,20,0),IF($C565="烈日斩",E564+40,IF($C565="驱夜断愁",IF(模拟模式!$R$7="万念俱寂",E564+20,E564+60),IF($C565="净世破魔击·月",IF(OR(DB564&gt;0,CV564&gt;0),100,IF(模拟模式!$M$7="辉耀红尘",E564+20,E564)),IF($C565="净世破魔击·日",E564-100,E564)))))),100))</f>
        <v>100</v>
      </c>
      <c r="F565" s="115">
        <f ca="1">IF(AND(CU565,OR(C565="赤日轮1",C565="赤日轮2",C565="赤日轮3",C565="烈日斩",C565="净世破魔击·日")),100,MIN(IF(CO565,0,IF(OR($C565="幽月轮1",$C565="幽月轮2",$C565="幽月轮3"),F564+20+IF(模拟模式!$I$7="日月凌天",4,0)+IF(CS564,20,0),IF($C565="银月斩",F564+40+IF(模拟模式!$X$12=1,5,0),IF($C565="驱夜断愁",IF(模拟模式!$R$7="万念俱寂",F564+20,F564+60),IF($C565="净世破魔击·月",IF(模拟模式!$M$7="辉耀红尘",F564-80,F564-100),IF(AND(C565="净世破魔击·日",OR(DB564&gt;0,CV564&gt;0)),100,F564)))))),100))</f>
        <v>20</v>
      </c>
      <c r="G565" s="117">
        <f ca="1">('模拟-全程加成'!$E$3+'模拟-全程加成'!$E$4+'模拟-全程加成'!$E$5+('模拟-全程加成'!$C$6-'模拟-全程加成'!$C$3)*系数!$B$9+BS565*23)*(1+'模拟-全程加成'!$F$4+'模拟-全程加成'!$F$5+BJ565*10%+BM565*20%+BP565*4%+CG565*30%)+$F$7*系数!$B$12</f>
        <v>21493.829400000002</v>
      </c>
      <c r="H565" s="45">
        <f ca="1">'模拟-全程加成'!$H$3+'模拟-全程加成'!$H$4+'模拟-全程加成'!$H$5+('模拟-全程加成'!$G$4+'模拟-全程加成'!$G$5+('模拟-全程加成'!$C$6-'模拟-全程加成'!$C$3)*系数!$B$13)/系数!$B$3+LOOKUP(D565,'模拟-单技能数据'!$A$2:$A$19,'模拟-单技能数据'!$K$2:$K$19)+BG565*10%+IF(BV565&gt;0,378,0)</f>
        <v>0.54185145527300216</v>
      </c>
      <c r="I565" s="45">
        <f ca="1">'模拟-全程加成'!$J$3+'模拟-全程加成'!$J$4+'模拟-全程加成'!$J$5+('模拟-全程加成'!$I$4+'模拟-全程加成'!$I$5)/系数!$B$4+LOOKUP(D565,'模拟-单技能数据'!$A$2:$A$19,'模拟-单技能数据'!$L$2:$L$19)+BG565*10%</f>
        <v>2.162482885499879</v>
      </c>
      <c r="J565" s="45">
        <f ca="1">(('模拟-全程加成'!$K$3+'模拟-全程加成'!$K$4+'模拟-全程加成'!$K$5+('模拟-全程加成'!$C$6-'模拟-全程加成'!$C$3)*系数!$B$10+IF(BV565&gt;0,882,0)+IF(BY565&gt;0,1831,0))*(1+'模拟-全程加成'!$L$4+'模拟-全程加成'!$L$5+CC565*20%))/系数!$B$5</f>
        <v>0.69723220422048726</v>
      </c>
      <c r="K565" s="119">
        <f ca="1">LOOKUP(D565,'模拟-单技能数据'!$A$2:$A$19,'模拟-单技能数据'!$J$2:$J$19)+IF(CM565,60%,0)+IF(DB564-DB565&gt;0,30%,0)+IF(OR(AND(OR(C565="赤日轮1",C565="赤日轮2",C565="赤日轮3"),CR565),AND(OR(C565="幽月轮1",C565="幽月轮2",C565="幽月轮3"),CS565)),35%,0)+CJ565</f>
        <v>1.1000000000000001</v>
      </c>
      <c r="L565" s="119">
        <f ca="1">IF(AND(C565="烈日斩",模拟模式!$X$11=1),10%,0)+IF(AND(C565="驱夜断愁",AB565=1),30%,0)</f>
        <v>0</v>
      </c>
      <c r="M565" s="45">
        <f t="shared" ca="1" si="465"/>
        <v>0.54185145527300216</v>
      </c>
      <c r="N565" s="45">
        <f t="shared" ca="1" si="466"/>
        <v>0.40424854472699789</v>
      </c>
      <c r="O565" s="46">
        <f t="shared" ca="1" si="490"/>
        <v>0.74481537426032318</v>
      </c>
      <c r="P565" s="46" t="str">
        <f t="shared" ca="1" si="491"/>
        <v>命</v>
      </c>
      <c r="Q565" s="45">
        <f t="shared" ca="1" si="492"/>
        <v>1</v>
      </c>
      <c r="R565" s="117">
        <f ca="1">模拟模式!$E$20*(1-IF(模拟模式!$J$19="有",0.15,0))*(1-IF(模拟模式!$K$19="有",0.3,0)-IF(CQ565,0.5,0))</f>
        <v>843.02999999999975</v>
      </c>
      <c r="S565" s="45">
        <f ca="1">R565/(R565+(185*模拟模式!$E$22-16800)*4.08224)</f>
        <v>8.389626085980037E-2</v>
      </c>
      <c r="T565" s="45" t="str">
        <f ca="1">LOOKUP(D565,'模拟-单技能数据'!$A$2:$A$19,'模拟-单技能数据'!$H$2:$H$19)</f>
        <v>阴</v>
      </c>
      <c r="U565" s="119">
        <f t="shared" ca="1" si="467"/>
        <v>0.08</v>
      </c>
      <c r="V565" s="47">
        <f ca="1">(1+L565)*(LOOKUP(D565,'模拟-单技能数据'!$A$2:$A$19,'模拟-单技能数据'!$D$2:$D$19)+G565*LOOKUP(D565,'模拟-单技能数据'!$A$2:$A$19,'模拟-单技能数据'!$F$2:$F$19))*(1+J565)*(1+K565)*(1-S565)*(1+U565)*Q565*LOOKUP(D565,'模拟-单技能数据'!$A$2:$A$19,'模拟-单技能数据'!$I$2:$I$20)</f>
        <v>98481.592340073315</v>
      </c>
      <c r="W565" s="47">
        <f ca="1">LOOKUP(D565,'模拟-单技能数据'!$A$2:$A$19,'模拟-单技能数据'!$G$2:$G$19)*$I$10</f>
        <v>361.51064354704795</v>
      </c>
      <c r="X565" s="47">
        <f t="shared" ca="1" si="493"/>
        <v>39196.807759893294</v>
      </c>
      <c r="Y565" s="47">
        <f t="shared" ca="1" si="468"/>
        <v>138039.91074351367</v>
      </c>
      <c r="Z565" s="49">
        <f t="shared" ca="1" si="469"/>
        <v>56155680.078362286</v>
      </c>
      <c r="AA565" s="97">
        <f t="shared" ca="1" si="470"/>
        <v>113147.52033197667</v>
      </c>
      <c r="AB565" s="115">
        <f ca="1">IF(OR(C565="赤日轮1",C565="赤日轮2",C565="赤日轮3"),IF(RAND()&lt;模拟模式!$Y$17,1,0),IF(OR(C565="幽月轮1",C565="幽月轮2",C565="幽月轮3"),IF(RAND()&lt;模拟模式!$Y$18,1,0),IF(C565="烈日斩",IF(RAND()&lt;模拟模式!$Y$19,1,0),IF(C565="银月斩",IF(RAND()&lt;模拟模式!$Y$20,1,0),IF(C565="驱夜断愁",IF(RAND()&lt;模拟模式!$Y$21,1,0),IF(C565="净世破魔击·日",IF(RAND()&lt;模拟模式!$Y$22,1,0),IF(C565="净世破魔击·月",IF(RAND()&lt;模拟模式!$Y$23,1,0),0)))))))</f>
        <v>1</v>
      </c>
      <c r="AC565" s="115" t="b">
        <f t="shared" ca="1" si="458"/>
        <v>0</v>
      </c>
      <c r="AD565" s="115" t="b">
        <f t="shared" ca="1" si="478"/>
        <v>0</v>
      </c>
      <c r="AE565" s="115">
        <f t="shared" ca="1" si="479"/>
        <v>4</v>
      </c>
      <c r="AF565" s="47">
        <f ca="1">IF(AC565,('模拟-单技能数据'!$D$20+G565*'模拟-单技能数据'!$F$20)*(1+J565)*(1+'模拟-单技能数据'!$J$20)*(1+U565),0)</f>
        <v>0</v>
      </c>
      <c r="AG565" s="61">
        <f t="shared" ca="1" si="471"/>
        <v>0.64185145527300214</v>
      </c>
      <c r="AH565" s="61">
        <f t="shared" ca="1" si="472"/>
        <v>2.2624828854998791</v>
      </c>
      <c r="AI565" s="62">
        <f t="shared" ca="1" si="494"/>
        <v>0.70655216062477932</v>
      </c>
      <c r="AJ565" s="47">
        <f ca="1">IF(AD565,IF(AI565&lt;$F$10,0,IF(AI565&lt;$F$10+$F$11,0.25,IF(AI565&lt;$F$10+$F$11+AG565,AH565,1)))*IF(AF565&gt;0,AF565,IF(AF564&gt;0,AF564,IF(AF563&gt;0,AF563,IF(AF562&gt;0,AF562,IF(AF561&gt;0,AF561,IF(AF560&gt;0,AF560,IF(AF559&gt;0,AF559,IF(AF558&gt;0,AF558,IF(AF557&gt;0,AF557,IF(AF555&gt;0,AF555,IF(AF554&gt;0,AF554,IF(AF553&gt;0,AF553,0)))))))))))),0)*(1-$S565)*'模拟-单技能数据'!$I$20</f>
        <v>0</v>
      </c>
      <c r="AK565" s="115" t="b">
        <f t="shared" ca="1" si="459"/>
        <v>0</v>
      </c>
      <c r="AL565" s="115" t="b">
        <f t="shared" ca="1" si="480"/>
        <v>1</v>
      </c>
      <c r="AM565" s="115">
        <f t="shared" ca="1" si="481"/>
        <v>2</v>
      </c>
      <c r="AN565" s="47">
        <f ca="1">IF(AK565,('模拟-单技能数据'!$D$21+G565*'模拟-单技能数据'!$F$21)*(1+J565)*(1+'模拟-单技能数据'!$J$21)*(1+U565),0)</f>
        <v>0</v>
      </c>
      <c r="AO565" s="61">
        <f ca="1">IF(AN565&gt;0,M565-'模拟-单技能数据'!$K$10,AO564)</f>
        <v>0.42185145527300216</v>
      </c>
      <c r="AP565" s="61">
        <f ca="1">IF(AN565&gt;0,I565-'模拟-单技能数据'!$L$10,AP564)</f>
        <v>2.162482885499879</v>
      </c>
      <c r="AQ565" s="63">
        <f t="shared" ca="1" si="495"/>
        <v>0.55114521297708086</v>
      </c>
      <c r="AR565" s="64">
        <f ca="1">IF(AL565,IF(AQ565&lt;$F$10,0,IF(AQ565&lt;$F$10+$F$11,0.25,IF(AQ565&lt;$F$10+$F$11+AO565,AP565,1)))*IF(AN565&gt;0,AN565,IF(AN564&gt;0,AN564,IF(AN563&gt;0,AN563,IF(AN562&gt;0,AN562,IF(AN561&gt;0,AN561,IF(AN560&gt;0,AN560,IF(AN559&gt;0,AN559,IF(AN558&gt;0,AN558,IF(AN557&gt;0,AN557,IF(AN555&gt;0,AN555,IF(AN554&gt;0,AN554,IF(AN553&gt;0,AN553,0)))))))))))),0)*(1-$S565)*'模拟-单技能数据'!$I$21</f>
        <v>11118.353508757338</v>
      </c>
      <c r="AS565" s="61">
        <f ca="1">IF(OR(C565="净世破魔击·日",C565="净世破魔击·月"),M565-'模拟-单技能数据'!$K$10,0)</f>
        <v>0.42185145527300216</v>
      </c>
      <c r="AT565" s="61">
        <f ca="1">IF(OR(C565="净世破魔击·日",C565="净世破魔击·月"),I565-'模拟-单技能数据'!$L$10,0)</f>
        <v>2.162482885499879</v>
      </c>
      <c r="AU565" s="62">
        <f t="shared" ca="1" si="496"/>
        <v>4.1585480313318768E-2</v>
      </c>
      <c r="AV565" s="64">
        <f ca="1">IF(AS565&gt;0,('模拟-单技能数据'!$D$22+G565*'模拟-单技能数据'!$F$22)*(1+J565)*(1-S565)*IF(AU565&lt;$F$10,0,IF(AU565&lt;$F$10+$F$11,0.25,IF(AU565&lt;$F$10+$F$11+AS565,AT565,1)))*(1+U565),0)*'模拟-单技能数据'!$I$22</f>
        <v>1989.0526893428616</v>
      </c>
      <c r="AW565" s="108">
        <f t="shared" ca="1" si="497"/>
        <v>19.077500000000001</v>
      </c>
      <c r="AX565" s="108" t="b">
        <f ca="1">AND(模拟模式!$P$10="有",AW564=0,RAND()&lt;IF(C565="净世破魔击·月",0.1*8/3,IF(C565="净世破魔击·日",0.1*4/3,0.1*2/3)))</f>
        <v>1</v>
      </c>
      <c r="AY565" s="47">
        <f ca="1">IF(AX565,(18+G565*0.722)*(1+J565)*(1-S565)*(1+$I$4)*IF(P565="会",'模拟-全程加成'!$J$3+'模拟-全程加成'!$J$4+'模拟-全程加成'!$J$5+('模拟-全程加成'!$I$4+'模拟-全程加成'!$I$5)/系数!$B$4+BG565*10%,IF(P565="命",1,IF(P565="识",0.25,0))),0)</f>
        <v>26089.401561793093</v>
      </c>
      <c r="AZ565" s="108">
        <f t="shared" si="498"/>
        <v>10.775000000000006</v>
      </c>
      <c r="BA565" s="108" t="b">
        <f>AND(模拟模式!$Q$10="有",AZ564=0)</f>
        <v>0</v>
      </c>
      <c r="BB565" s="140">
        <f>IF(BA565,(0+G565*0.287)*(1+J565)*(1-S565)*(1+$I$4)*IF(P565="会",'模拟-全程加成'!$J$3+'模拟-全程加成'!$J$4+'模拟-全程加成'!$J$5+('模拟-全程加成'!$I$4+'模拟-全程加成'!$I$5)/系数!$B$4+BG565*10%,IF(P565="命",1,IF(P565="识",0.25,0))),0)</f>
        <v>0</v>
      </c>
      <c r="BC565" s="115" t="b">
        <f ca="1">AND(模拟模式!$R$7="伏明众生",E565=60,F565=20,DA565&lt;5,CZ564&lt;$F$4)</f>
        <v>0</v>
      </c>
      <c r="BD565" s="115">
        <f t="shared" ca="1" si="460"/>
        <v>0</v>
      </c>
      <c r="BE565" s="115" t="b">
        <f t="shared" ca="1" si="461"/>
        <v>0</v>
      </c>
      <c r="BF565" s="47">
        <f ca="1">IF(BC565,4*('模拟-单技能数据'!$D$24+G565*'模拟-单技能数据'!$F$24)*(1+J565)*(1+'模拟-单技能数据'!$J$24)*(1-S565)*(1+$I$3)*(('模拟-全程加成'!$J$3+'模拟-全程加成'!$J$4+'模拟-全程加成'!$J$5+('模拟-全程加成'!$I$4+'模拟-全程加成'!$I$5)/系数!$B$4+BG565*10%)*('模拟-全程加成'!$J$3+'模拟-全程加成'!$J$4+'模拟-全程加成'!$J$5+('模拟-全程加成'!$I$4+'模拟-全程加成'!$I$5)/系数!$B$4+BG565*10%)+(1-('模拟-全程加成'!$J$3+'模拟-全程加成'!$J$4+'模拟-全程加成'!$J$5+('模拟-全程加成'!$I$4+'模拟-全程加成'!$I$5)/系数!$B$4+BG565*10%)-$F$10-$F$11)+F551*0.25),0)*'模拟-单技能数据'!$I$24</f>
        <v>0</v>
      </c>
      <c r="BG565" s="115" t="b">
        <f ca="1">OR(AND(OR(C565="烈日斩",C565="银月斩"),模拟模式!$I$7="净身明礼"),AND(C565="净世破魔击·日",模拟模式!$J$7="洞若观火"),AND(C566="净世破魔击·月",模拟模式!$J$7="洞若观火"),AB565=1)</f>
        <v>1</v>
      </c>
      <c r="BH565" s="115" t="b">
        <f t="shared" ca="1" si="499"/>
        <v>1</v>
      </c>
      <c r="BI565" s="115">
        <f t="shared" ca="1" si="462"/>
        <v>6</v>
      </c>
      <c r="BJ565" s="115" t="b">
        <f t="shared" ca="1" si="473"/>
        <v>1</v>
      </c>
      <c r="BK565" s="115" t="b">
        <f ca="1">AND(C565="驱夜断愁",模拟模式!$P$7="天地诛戮")</f>
        <v>0</v>
      </c>
      <c r="BL565" s="57">
        <f t="shared" ca="1" si="463"/>
        <v>17.232500000000002</v>
      </c>
      <c r="BM565" s="115" t="b">
        <f t="shared" ca="1" si="474"/>
        <v>1</v>
      </c>
      <c r="BN565" s="115" t="b">
        <f ca="1">AND(OR(C565="赤日轮1",C565="赤日轮2",C565="赤日轮3",C565="幽月轮1",C565="幽月轮2",C565="幽月轮3"),AB565=1,模拟模式!$L$7="明光恒照")</f>
        <v>0</v>
      </c>
      <c r="BO565" s="117">
        <f t="shared" ca="1" si="464"/>
        <v>29.077500000000001</v>
      </c>
      <c r="BP565" s="115">
        <f t="shared" ca="1" si="500"/>
        <v>6</v>
      </c>
      <c r="BQ565" s="115" t="b">
        <f>模拟模式!$K$10="2600·水"</f>
        <v>0</v>
      </c>
      <c r="BR565" s="117">
        <f t="shared" si="501"/>
        <v>0</v>
      </c>
      <c r="BS565" s="115">
        <f t="shared" si="502"/>
        <v>0</v>
      </c>
      <c r="BT565" s="115">
        <f t="shared" ca="1" si="503"/>
        <v>0</v>
      </c>
      <c r="BU565" s="115" t="b">
        <f ca="1">AND(模拟模式!$K$10="2300·雷",BT564=0,RAND()&lt;IF(C565="净世破魔击·月",5*0.05*2/3,IF(C565="净世破魔击·日",3*0.05*2/3,0.05*2*2/3)))</f>
        <v>0</v>
      </c>
      <c r="BV565" s="115">
        <f t="shared" ca="1" si="504"/>
        <v>0</v>
      </c>
      <c r="BW565" s="115">
        <f t="shared" ca="1" si="505"/>
        <v>59.152499999999279</v>
      </c>
      <c r="BX565" s="164" t="b">
        <f t="shared" ca="1" si="506"/>
        <v>0</v>
      </c>
      <c r="BY565" s="115">
        <f t="shared" ca="1" si="507"/>
        <v>0</v>
      </c>
      <c r="BZ565" s="115">
        <f>IF(OR(模拟模式!$P$16="10人团",模拟模式!$P$16="25人团"),IF(B565/30&gt;CA564,1,0),0)</f>
        <v>0</v>
      </c>
      <c r="CA565" s="115">
        <f t="shared" si="483"/>
        <v>0</v>
      </c>
      <c r="CB565" s="115">
        <f ca="1">IF(BZ565=1,IF(模拟模式!$P$16="10人团",15,0)+IF(模拟模式!$P$16="25人团",IF(RAND()&lt;0.6,15,0)),MAX(0,CB564-$F$4))</f>
        <v>0</v>
      </c>
      <c r="CC565" s="115" t="b">
        <f t="shared" ca="1" si="475"/>
        <v>0</v>
      </c>
      <c r="CD565" s="115">
        <f>IF(模拟模式!$Q$16="1个",IF(B565/40&gt;CE564,1,0),0)</f>
        <v>0</v>
      </c>
      <c r="CE565" s="115">
        <f t="shared" si="476"/>
        <v>0</v>
      </c>
      <c r="CF565" s="115">
        <f>IF(OR(CD565=1,模拟模式!$Q$16="2个"),20,MAX(0,CF564-$F$4))</f>
        <v>0</v>
      </c>
      <c r="CG565" s="115" t="b">
        <f t="shared" si="477"/>
        <v>0</v>
      </c>
      <c r="CH565" s="115">
        <f t="shared" ca="1" si="508"/>
        <v>10.627500000000012</v>
      </c>
      <c r="CI565" s="115" t="b">
        <f t="shared" ca="1" si="509"/>
        <v>0</v>
      </c>
      <c r="CJ565" s="119">
        <f t="shared" ca="1" si="510"/>
        <v>0</v>
      </c>
      <c r="CK565" s="115">
        <f t="shared" ca="1" si="511"/>
        <v>0</v>
      </c>
      <c r="CL565" s="115" t="b">
        <f ca="1">AND(模拟模式!$S$7="驱夷逐法",OR(AND(C565="净世破魔击·月",E564&gt;59),AND(C565="净世破魔击·日",F564&gt;59)))</f>
        <v>1</v>
      </c>
      <c r="CM565" s="115" t="b">
        <f ca="1">OR(CL565,AND(C565="净世破魔击·日",CL564,RAND()&lt;模拟模式!$U$23))</f>
        <v>1</v>
      </c>
      <c r="CN565" s="115" t="b">
        <f ca="1">IF(模拟模式!$M$7="辉耀红尘",AND(C565="净世破魔击·月",CL565,CV565=0,E564&lt;80),AND(C565="净世破魔击·月",CL565,E564&lt;100))</f>
        <v>0</v>
      </c>
      <c r="CO565" s="115" t="b">
        <f t="shared" ca="1" si="484"/>
        <v>0</v>
      </c>
      <c r="CP565" s="115" t="b">
        <f ca="1">AND(模拟模式!$O$7="用晦而明",OR(C565="净世破魔击·日",C565="净世破魔击·月",C565="驱夜断愁"),AB565)</f>
        <v>1</v>
      </c>
      <c r="CQ565" s="115" t="b">
        <f ca="1">OR(CP565,AND(CP564,RAND()&lt;模拟模式!$U$23))</f>
        <v>1</v>
      </c>
      <c r="CR565" s="115" t="b">
        <f ca="1">AND(模拟模式!$S$7="日月齐光",OR(C565="幽月轮1",C565="幽月轮2",C565="幽月轮3",CR564),NOT(OR(C565="赤日轮1",C565="赤日轮2",C565="赤日轮3")))</f>
        <v>0</v>
      </c>
      <c r="CS565" s="115" t="b">
        <f ca="1">AND(模拟模式!$S$7="日月齐光",OR(C565="赤日轮1",C565="赤日轮2",C565="赤日轮3",CS564),NOT(OR(C565="幽月轮1",C565="幽月轮2",C565="幽月轮3")))</f>
        <v>0</v>
      </c>
      <c r="CT565" s="115">
        <f t="shared" ca="1" si="512"/>
        <v>6.9375000000000124</v>
      </c>
      <c r="CU565" s="115" t="b">
        <f ca="1">AND(模拟模式!$K$10="阴阳往极",CT564=0,RAND()&lt;IF(C565="净世破魔击·月",0.0275*7/3,IF(C565="净世破魔击·日",0.0275*3/3,0.0275*2/3)))</f>
        <v>0</v>
      </c>
      <c r="CV565" s="115">
        <f t="shared" ca="1" si="513"/>
        <v>0</v>
      </c>
      <c r="CW565" s="115">
        <f t="shared" ca="1" si="485"/>
        <v>4.1549999999999994</v>
      </c>
      <c r="CX565" s="115">
        <f t="shared" ca="1" si="486"/>
        <v>2.3099999999999996</v>
      </c>
      <c r="CY565" s="115">
        <f ca="1">MAX(IF($C565="驱夜断愁",IF(模拟模式!$R$7="万念俱寂",6,45),CY564-$F$4),0)</f>
        <v>3.2324999999999995</v>
      </c>
      <c r="CZ565" s="115">
        <f t="shared" ca="1" si="487"/>
        <v>0</v>
      </c>
      <c r="DA565" s="115">
        <f ca="1">IF(模拟模式!$N$7="日月同辉",IF(DB564=2,0,MIN(6,IF(AND(OR(C565="赤日轮1",C565="赤日轮2",C565="赤日轮3",C565="幽月轮1",C565="幽月轮2",C565="幽月轮3"),AB565=1),DA564+1,DA564))),0)</f>
        <v>0</v>
      </c>
      <c r="DB565" s="115">
        <f t="shared" ca="1" si="488"/>
        <v>1</v>
      </c>
      <c r="DC565" s="115"/>
      <c r="DD565" s="115"/>
      <c r="DE565" s="115"/>
      <c r="DF565" s="115"/>
      <c r="DG565" s="115"/>
      <c r="DH565" s="115"/>
      <c r="DI565" s="115"/>
      <c r="DJ565" s="115"/>
      <c r="DK565" s="115"/>
      <c r="DL565" s="115"/>
      <c r="DM565" s="115"/>
    </row>
    <row r="566" spans="2:117" x14ac:dyDescent="0.2">
      <c r="B566" s="117">
        <f t="shared" si="489"/>
        <v>497.22750000000536</v>
      </c>
      <c r="C566" s="167" t="str">
        <f t="shared" ca="1" si="482"/>
        <v>净世破魔击·日</v>
      </c>
      <c r="D566" s="115">
        <f ca="1">IF(C566="赤日轮1",1,IF(C566="赤日轮2",2,IF(C566="赤日轮3",3,IF(C566="幽月轮1",4,IF(C566="幽月轮2",5,IF(C566="幽月轮3",6,IF(C566="烈日斩",7,IF(C566="银月斩",8,IF(C566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566="净世破魔击·月",17,IF(C566="驱夜断愁",18,0)))))))))))</f>
        <v>9</v>
      </c>
      <c r="E566" s="115">
        <f ca="1">IF(AND(CU566,OR(C566="幽月轮1",C566="幽月轮2",C566="幽月轮3",C566="银月斩",C566="驱夜断愁",C566="净世破魔击·月")),100,MIN(IF(OR(CN566,BE566),0,IF(OR($C566="赤日轮1",$C566="赤日轮2",$C566="赤日轮3"),E565+20+IF(模拟模式!$I$7="日月凌天",4,0)+IF(CR565,20,0),IF($C566="烈日斩",E565+40,IF($C566="驱夜断愁",IF(模拟模式!$R$7="万念俱寂",E565+20,E565+60),IF($C566="净世破魔击·月",IF(OR(DB565&gt;0,CV565&gt;0),100,IF(模拟模式!$M$7="辉耀红尘",E565+20,E565)),IF($C566="净世破魔击·日",E565-100,E565)))))),100))</f>
        <v>0</v>
      </c>
      <c r="F566" s="115">
        <f ca="1">IF(AND(CU566,OR(C566="赤日轮1",C566="赤日轮2",C566="赤日轮3",C566="烈日斩",C566="净世破魔击·日")),100,MIN(IF(CO566,0,IF(OR($C566="幽月轮1",$C566="幽月轮2",$C566="幽月轮3"),F565+20+IF(模拟模式!$I$7="日月凌天",4,0)+IF(CS565,20,0),IF($C566="银月斩",F565+40+IF(模拟模式!$X$12=1,5,0),IF($C566="驱夜断愁",IF(模拟模式!$R$7="万念俱寂",F565+20,F565+60),IF($C566="净世破魔击·月",IF(模拟模式!$M$7="辉耀红尘",F565-80,F565-100),IF(AND(C566="净世破魔击·日",OR(DB565&gt;0,CV565&gt;0)),100,F565)))))),100))</f>
        <v>100</v>
      </c>
      <c r="G566" s="117">
        <f ca="1">('模拟-全程加成'!$E$3+'模拟-全程加成'!$E$4+'模拟-全程加成'!$E$5+('模拟-全程加成'!$C$6-'模拟-全程加成'!$C$3)*系数!$B$9+BS566*23)*(1+'模拟-全程加成'!$F$4+'模拟-全程加成'!$F$5+BJ566*10%+BM566*20%+BP566*4%+CG566*30%)+$F$7*系数!$B$12</f>
        <v>21493.829400000002</v>
      </c>
      <c r="H566" s="45">
        <f ca="1">'模拟-全程加成'!$H$3+'模拟-全程加成'!$H$4+'模拟-全程加成'!$H$5+('模拟-全程加成'!$G$4+'模拟-全程加成'!$G$5+('模拟-全程加成'!$C$6-'模拟-全程加成'!$C$3)*系数!$B$13)/系数!$B$3+LOOKUP(D566,'模拟-单技能数据'!$A$2:$A$19,'模拟-单技能数据'!$K$2:$K$19)+BG566*10%+IF(BV566&gt;0,378,0)</f>
        <v>0.54185145527300216</v>
      </c>
      <c r="I566" s="45">
        <f ca="1">'模拟-全程加成'!$J$3+'模拟-全程加成'!$J$4+'模拟-全程加成'!$J$5+('模拟-全程加成'!$I$4+'模拟-全程加成'!$I$5)/系数!$B$4+LOOKUP(D566,'模拟-单技能数据'!$A$2:$A$19,'模拟-单技能数据'!$L$2:$L$19)+BG566*10%</f>
        <v>2.162482885499879</v>
      </c>
      <c r="J566" s="45">
        <f ca="1">(('模拟-全程加成'!$K$3+'模拟-全程加成'!$K$4+'模拟-全程加成'!$K$5+('模拟-全程加成'!$C$6-'模拟-全程加成'!$C$3)*系数!$B$10+IF(BV566&gt;0,882,0)+IF(BY566&gt;0,1831,0))*(1+'模拟-全程加成'!$L$4+'模拟-全程加成'!$L$5+CC566*20%))/系数!$B$5</f>
        <v>0.69723220422048726</v>
      </c>
      <c r="K566" s="119">
        <f ca="1">LOOKUP(D566,'模拟-单技能数据'!$A$2:$A$19,'模拟-单技能数据'!$J$2:$J$19)+IF(CM566,60%,0)+IF(DB565-DB566&gt;0,30%,0)+IF(OR(AND(OR(C566="赤日轮1",C566="赤日轮2",C566="赤日轮3"),CR566),AND(OR(C566="幽月轮1",C566="幽月轮2",C566="幽月轮3"),CS566)),35%,0)+CJ566</f>
        <v>1.1000000000000001</v>
      </c>
      <c r="L566" s="119">
        <f ca="1">IF(AND(C566="烈日斩",模拟模式!$X$11=1),10%,0)+IF(AND(C566="驱夜断愁",AB566=1),30%,0)</f>
        <v>0</v>
      </c>
      <c r="M566" s="45">
        <f t="shared" ca="1" si="465"/>
        <v>0.54185145527300216</v>
      </c>
      <c r="N566" s="45">
        <f t="shared" ca="1" si="466"/>
        <v>0.40424854472699789</v>
      </c>
      <c r="O566" s="46">
        <f t="shared" ca="1" si="490"/>
        <v>0.66290659416996589</v>
      </c>
      <c r="P566" s="46" t="str">
        <f t="shared" ca="1" si="491"/>
        <v>命</v>
      </c>
      <c r="Q566" s="45">
        <f t="shared" ca="1" si="492"/>
        <v>1</v>
      </c>
      <c r="R566" s="117">
        <f ca="1">模拟模式!$E$20*(1-IF(模拟模式!$J$19="有",0.15,0))*(1-IF(模拟模式!$K$19="有",0.3,0)-IF(CQ566,0.5,0))</f>
        <v>843.02999999999975</v>
      </c>
      <c r="S566" s="45">
        <f ca="1">R566/(R566+(185*模拟模式!$E$22-16800)*4.08224)</f>
        <v>8.389626085980037E-2</v>
      </c>
      <c r="T566" s="45" t="str">
        <f ca="1">LOOKUP(D566,'模拟-单技能数据'!$A$2:$A$19,'模拟-单技能数据'!$H$2:$H$19)</f>
        <v>阳</v>
      </c>
      <c r="U566" s="119">
        <f t="shared" ca="1" si="467"/>
        <v>0.2</v>
      </c>
      <c r="V566" s="47">
        <f ca="1">(1+L566)*(LOOKUP(D566,'模拟-单技能数据'!$A$2:$A$19,'模拟-单技能数据'!$D$2:$D$19)+G566*LOOKUP(D566,'模拟-单技能数据'!$A$2:$A$19,'模拟-单技能数据'!$F$2:$F$19))*(1+J566)*(1+K566)*(1-S566)*(1+U566)*Q566*LOOKUP(D566,'模拟-单技能数据'!$A$2:$A$19,'模拟-单技能数据'!$I$2:$I$20)</f>
        <v>110337.92595746904</v>
      </c>
      <c r="W566" s="47">
        <f ca="1">LOOKUP(D566,'模拟-单技能数据'!$A$2:$A$19,'模拟-单技能数据'!$G$2:$G$19)*$I$10</f>
        <v>723.0212870940959</v>
      </c>
      <c r="X566" s="47">
        <f t="shared" ca="1" si="493"/>
        <v>28335.789645566143</v>
      </c>
      <c r="Y566" s="47">
        <f t="shared" ca="1" si="468"/>
        <v>139396.73689012928</v>
      </c>
      <c r="Z566" s="49">
        <f t="shared" ca="1" si="469"/>
        <v>56295076.815252416</v>
      </c>
      <c r="AA566" s="97">
        <f t="shared" ca="1" si="470"/>
        <v>113217.94714743615</v>
      </c>
      <c r="AB566" s="115">
        <f ca="1">IF(OR(C566="赤日轮1",C566="赤日轮2",C566="赤日轮3"),IF(RAND()&lt;模拟模式!$Y$17,1,0),IF(OR(C566="幽月轮1",C566="幽月轮2",C566="幽月轮3"),IF(RAND()&lt;模拟模式!$Y$18,1,0),IF(C566="烈日斩",IF(RAND()&lt;模拟模式!$Y$19,1,0),IF(C566="银月斩",IF(RAND()&lt;模拟模式!$Y$20,1,0),IF(C566="驱夜断愁",IF(RAND()&lt;模拟模式!$Y$21,1,0),IF(C566="净世破魔击·日",IF(RAND()&lt;模拟模式!$Y$22,1,0),IF(C566="净世破魔击·月",IF(RAND()&lt;模拟模式!$Y$23,1,0),0)))))))</f>
        <v>1</v>
      </c>
      <c r="AC566" s="115" t="b">
        <f t="shared" ca="1" si="458"/>
        <v>0</v>
      </c>
      <c r="AD566" s="115" t="b">
        <f t="shared" ca="1" si="478"/>
        <v>1</v>
      </c>
      <c r="AE566" s="115">
        <f t="shared" ca="1" si="479"/>
        <v>3</v>
      </c>
      <c r="AF566" s="47">
        <f ca="1">IF(AC566,('模拟-单技能数据'!$D$20+G566*'模拟-单技能数据'!$F$20)*(1+J566)*(1+'模拟-单技能数据'!$J$20)*(1+U566),0)</f>
        <v>0</v>
      </c>
      <c r="AG566" s="61">
        <f t="shared" ca="1" si="471"/>
        <v>0.64185145527300214</v>
      </c>
      <c r="AH566" s="61">
        <f t="shared" ca="1" si="472"/>
        <v>2.2624828854998791</v>
      </c>
      <c r="AI566" s="62">
        <f t="shared" ca="1" si="494"/>
        <v>0.41620767288221616</v>
      </c>
      <c r="AJ566" s="47">
        <f ca="1">IF(AD566,IF(AI566&lt;$F$10,0,IF(AI566&lt;$F$10+$F$11,0.25,IF(AI566&lt;$F$10+$F$11+AG566,AH566,1)))*IF(AF566&gt;0,AF566,IF(AF565&gt;0,AF565,IF(AF564&gt;0,AF564,IF(AF563&gt;0,AF563,IF(AF562&gt;0,AF562,IF(AF561&gt;0,AF561,IF(AF560&gt;0,AF560,IF(AF559&gt;0,AF559,IF(AF558&gt;0,AF558,IF(AF556&gt;0,AF556,IF(AF555&gt;0,AF555,IF(AF554&gt;0,AF554,0)))))))))))),0)*(1-$S566)*'模拟-单技能数据'!$I$20</f>
        <v>9218.9345386263849</v>
      </c>
      <c r="AK566" s="115" t="b">
        <f t="shared" ca="1" si="459"/>
        <v>1</v>
      </c>
      <c r="AL566" s="115" t="b">
        <f t="shared" ca="1" si="480"/>
        <v>0</v>
      </c>
      <c r="AM566" s="115">
        <f t="shared" ca="1" si="481"/>
        <v>6</v>
      </c>
      <c r="AN566" s="47">
        <f ca="1">IF(AK566,('模拟-单技能数据'!$D$21+G566*'模拟-单技能数据'!$F$21)*(1+J566)*(1+'模拟-单技能数据'!$J$21)*(1+U566),0)</f>
        <v>12670.936004857545</v>
      </c>
      <c r="AO566" s="61">
        <f ca="1">IF(AN566&gt;0,M566-'模拟-单技能数据'!$K$10,AO565)</f>
        <v>0.42185145527300216</v>
      </c>
      <c r="AP566" s="61">
        <f ca="1">IF(AN566&gt;0,I566-'模拟-单技能数据'!$L$10,AP565)</f>
        <v>2.162482885499879</v>
      </c>
      <c r="AQ566" s="63">
        <f t="shared" ca="1" si="495"/>
        <v>0.50048667184754025</v>
      </c>
      <c r="AR566" s="64">
        <f ca="1">IF(AL566,IF(AQ566&lt;$F$10,0,IF(AQ566&lt;$F$10+$F$11,0.25,IF(AQ566&lt;$F$10+$F$11+AO566,AP566,1)))*IF(AN566&gt;0,AN566,IF(AN565&gt;0,AN565,IF(AN564&gt;0,AN564,IF(AN563&gt;0,AN563,IF(AN562&gt;0,AN562,IF(AN561&gt;0,AN561,IF(AN560&gt;0,AN560,IF(AN559&gt;0,AN559,IF(AN558&gt;0,AN558,IF(AN556&gt;0,AN556,IF(AN555&gt;0,AN555,IF(AN554&gt;0,AN554,0)))))))))))),0)*(1-$S566)*'模拟-单技能数据'!$I$21</f>
        <v>0</v>
      </c>
      <c r="AS566" s="61">
        <f ca="1">IF(OR(C566="净世破魔击·日",C566="净世破魔击·月"),M566-'模拟-单技能数据'!$K$10,0)</f>
        <v>0.42185145527300216</v>
      </c>
      <c r="AT566" s="61">
        <f ca="1">IF(OR(C566="净世破魔击·日",C566="净世破魔击·月"),I566-'模拟-单技能数据'!$L$10,0)</f>
        <v>2.162482885499879</v>
      </c>
      <c r="AU566" s="62">
        <f t="shared" ca="1" si="496"/>
        <v>0.20328769798909552</v>
      </c>
      <c r="AV566" s="64">
        <f ca="1">IF(AS566&gt;0,('模拟-单技能数据'!$D$22+G566*'模拟-单技能数据'!$F$22)*(1+J566)*(1-S566)*IF(AU566&lt;$F$10,0,IF(AU566&lt;$F$10+$F$11,0.25,IF(AU566&lt;$F$10+$F$11+AS566,AT566,1)))*(1+U566),0)*'模拟-单技能数据'!$I$22</f>
        <v>19116.855106939758</v>
      </c>
      <c r="AW566" s="108">
        <f t="shared" ca="1" si="497"/>
        <v>18.155000000000001</v>
      </c>
      <c r="AX566" s="108" t="b">
        <f ca="1">AND(模拟模式!$P$10="有",AW565=0,RAND()&lt;IF(C566="净世破魔击·月",0.1*8/3,IF(C566="净世破魔击·日",0.1*4/3,0.1*2/3)))</f>
        <v>0</v>
      </c>
      <c r="AY566" s="47">
        <f ca="1">IF(AX566,(18+G566*0.722)*(1+J566)*(1-S566)*(1+$I$4)*IF(P566="会",'模拟-全程加成'!$J$3+'模拟-全程加成'!$J$4+'模拟-全程加成'!$J$5+('模拟-全程加成'!$I$4+'模拟-全程加成'!$I$5)/系数!$B$4+BG566*10%,IF(P566="命",1,IF(P566="识",0.25,0))),0)</f>
        <v>0</v>
      </c>
      <c r="AZ566" s="108">
        <f t="shared" si="498"/>
        <v>9.8525000000000063</v>
      </c>
      <c r="BA566" s="108" t="b">
        <f>AND(模拟模式!$Q$10="有",AZ565=0)</f>
        <v>0</v>
      </c>
      <c r="BB566" s="140">
        <f>IF(BA566,(0+G566*0.287)*(1+J566)*(1-S566)*(1+$I$4)*IF(P566="会",'模拟-全程加成'!$J$3+'模拟-全程加成'!$J$4+'模拟-全程加成'!$J$5+('模拟-全程加成'!$I$4+'模拟-全程加成'!$I$5)/系数!$B$4+BG566*10%,IF(P566="命",1,IF(P566="识",0.25,0))),0)</f>
        <v>0</v>
      </c>
      <c r="BC566" s="115" t="b">
        <f ca="1">AND(模拟模式!$R$7="伏明众生",E566=60,F566=20,DA566&lt;5,CZ565&lt;$F$4)</f>
        <v>0</v>
      </c>
      <c r="BD566" s="115">
        <f t="shared" ca="1" si="460"/>
        <v>0</v>
      </c>
      <c r="BE566" s="115" t="b">
        <f t="shared" ca="1" si="461"/>
        <v>0</v>
      </c>
      <c r="BF566" s="47">
        <f ca="1">IF(BC566,4*('模拟-单技能数据'!$D$24+G566*'模拟-单技能数据'!$F$24)*(1+J566)*(1+'模拟-单技能数据'!$J$24)*(1-S566)*(1+$I$3)*(('模拟-全程加成'!$J$3+'模拟-全程加成'!$J$4+'模拟-全程加成'!$J$5+('模拟-全程加成'!$I$4+'模拟-全程加成'!$I$5)/系数!$B$4+BG566*10%)*('模拟-全程加成'!$J$3+'模拟-全程加成'!$J$4+'模拟-全程加成'!$J$5+('模拟-全程加成'!$I$4+'模拟-全程加成'!$I$5)/系数!$B$4+BG566*10%)+(1-('模拟-全程加成'!$J$3+'模拟-全程加成'!$J$4+'模拟-全程加成'!$J$5+('模拟-全程加成'!$I$4+'模拟-全程加成'!$I$5)/系数!$B$4+BG566*10%)-$F$10-$F$11)+F552*0.25),0)*'模拟-单技能数据'!$I$24</f>
        <v>0</v>
      </c>
      <c r="BG566" s="115" t="b">
        <f ca="1">OR(AND(OR(C566="烈日斩",C566="银月斩"),模拟模式!$I$7="净身明礼"),AND(C566="净世破魔击·日",模拟模式!$J$7="洞若观火"),AND(C567="净世破魔击·月",模拟模式!$J$7="洞若观火"),AB566=1)</f>
        <v>1</v>
      </c>
      <c r="BH566" s="115" t="b">
        <f t="shared" ca="1" si="499"/>
        <v>1</v>
      </c>
      <c r="BI566" s="115">
        <f t="shared" ca="1" si="462"/>
        <v>6</v>
      </c>
      <c r="BJ566" s="115" t="b">
        <f t="shared" ca="1" si="473"/>
        <v>1</v>
      </c>
      <c r="BK566" s="115" t="b">
        <f ca="1">AND(C566="驱夜断愁",模拟模式!$P$7="天地诛戮")</f>
        <v>0</v>
      </c>
      <c r="BL566" s="57">
        <f t="shared" ca="1" si="463"/>
        <v>16.310000000000002</v>
      </c>
      <c r="BM566" s="115" t="b">
        <f t="shared" ca="1" si="474"/>
        <v>1</v>
      </c>
      <c r="BN566" s="115" t="b">
        <f ca="1">AND(OR(C566="赤日轮1",C566="赤日轮2",C566="赤日轮3",C566="幽月轮1",C566="幽月轮2",C566="幽月轮3"),AB566=1,模拟模式!$L$7="明光恒照")</f>
        <v>0</v>
      </c>
      <c r="BO566" s="117">
        <f t="shared" ca="1" si="464"/>
        <v>28.155000000000001</v>
      </c>
      <c r="BP566" s="115">
        <f t="shared" ca="1" si="500"/>
        <v>6</v>
      </c>
      <c r="BQ566" s="115" t="b">
        <f>模拟模式!$K$10="2600·水"</f>
        <v>0</v>
      </c>
      <c r="BR566" s="117">
        <f t="shared" si="501"/>
        <v>0</v>
      </c>
      <c r="BS566" s="115">
        <f t="shared" si="502"/>
        <v>0</v>
      </c>
      <c r="BT566" s="115">
        <f t="shared" ca="1" si="503"/>
        <v>0</v>
      </c>
      <c r="BU566" s="115" t="b">
        <f ca="1">AND(模拟模式!$K$10="2300·雷",BT565=0,RAND()&lt;IF(C566="净世破魔击·月",5*0.05*2/3,IF(C566="净世破魔击·日",3*0.05*2/3,0.05*2*2/3)))</f>
        <v>0</v>
      </c>
      <c r="BV566" s="115">
        <f t="shared" ca="1" si="504"/>
        <v>0</v>
      </c>
      <c r="BW566" s="115">
        <f t="shared" ca="1" si="505"/>
        <v>58.229999999999279</v>
      </c>
      <c r="BX566" s="164" t="b">
        <f t="shared" ca="1" si="506"/>
        <v>0</v>
      </c>
      <c r="BY566" s="115">
        <f t="shared" ca="1" si="507"/>
        <v>0</v>
      </c>
      <c r="BZ566" s="115">
        <f>IF(OR(模拟模式!$P$16="10人团",模拟模式!$P$16="25人团"),IF(B566/30&gt;CA565,1,0),0)</f>
        <v>0</v>
      </c>
      <c r="CA566" s="115">
        <f t="shared" si="483"/>
        <v>0</v>
      </c>
      <c r="CB566" s="115">
        <f ca="1">IF(BZ566=1,IF(模拟模式!$P$16="10人团",15,0)+IF(模拟模式!$P$16="25人团",IF(RAND()&lt;0.6,15,0)),MAX(0,CB565-$F$4))</f>
        <v>0</v>
      </c>
      <c r="CC566" s="115" t="b">
        <f t="shared" ca="1" si="475"/>
        <v>0</v>
      </c>
      <c r="CD566" s="115">
        <f>IF(模拟模式!$Q$16="1个",IF(B566/40&gt;CE565,1,0),0)</f>
        <v>0</v>
      </c>
      <c r="CE566" s="115">
        <f t="shared" si="476"/>
        <v>0</v>
      </c>
      <c r="CF566" s="115">
        <f>IF(OR(CD566=1,模拟模式!$Q$16="2个"),20,MAX(0,CF565-$F$4))</f>
        <v>0</v>
      </c>
      <c r="CG566" s="115" t="b">
        <f t="shared" si="477"/>
        <v>0</v>
      </c>
      <c r="CH566" s="115">
        <f t="shared" ca="1" si="508"/>
        <v>9.7050000000000125</v>
      </c>
      <c r="CI566" s="115" t="b">
        <f t="shared" ca="1" si="509"/>
        <v>0</v>
      </c>
      <c r="CJ566" s="119">
        <f t="shared" ca="1" si="510"/>
        <v>0</v>
      </c>
      <c r="CK566" s="115">
        <f t="shared" ca="1" si="511"/>
        <v>0</v>
      </c>
      <c r="CL566" s="115" t="b">
        <f ca="1">AND(模拟模式!$S$7="驱夷逐法",OR(AND(C566="净世破魔击·月",E565&gt;59),AND(C566="净世破魔击·日",F565&gt;59)))</f>
        <v>0</v>
      </c>
      <c r="CM566" s="115" t="b">
        <f ca="1">OR(CL566,AND(C566="净世破魔击·日",CL565,RAND()&lt;模拟模式!$U$23))</f>
        <v>1</v>
      </c>
      <c r="CN566" s="115" t="b">
        <f ca="1">IF(模拟模式!$M$7="辉耀红尘",AND(C566="净世破魔击·月",CL566,CV566=0,E565&lt;80),AND(C566="净世破魔击·月",CL566,E565&lt;100))</f>
        <v>0</v>
      </c>
      <c r="CO566" s="115" t="b">
        <f t="shared" ca="1" si="484"/>
        <v>0</v>
      </c>
      <c r="CP566" s="115" t="b">
        <f ca="1">AND(模拟模式!$O$7="用晦而明",OR(C566="净世破魔击·日",C566="净世破魔击·月",C566="驱夜断愁"),AB566)</f>
        <v>1</v>
      </c>
      <c r="CQ566" s="115" t="b">
        <f ca="1">OR(CP566,AND(CP565,RAND()&lt;模拟模式!$U$23))</f>
        <v>1</v>
      </c>
      <c r="CR566" s="115" t="b">
        <f ca="1">AND(模拟模式!$S$7="日月齐光",OR(C566="幽月轮1",C566="幽月轮2",C566="幽月轮3",CR565),NOT(OR(C566="赤日轮1",C566="赤日轮2",C566="赤日轮3")))</f>
        <v>0</v>
      </c>
      <c r="CS566" s="115" t="b">
        <f ca="1">AND(模拟模式!$S$7="日月齐光",OR(C566="赤日轮1",C566="赤日轮2",C566="赤日轮3",CS565),NOT(OR(C566="幽月轮1",C566="幽月轮2",C566="幽月轮3")))</f>
        <v>0</v>
      </c>
      <c r="CT566" s="115">
        <f t="shared" ca="1" si="512"/>
        <v>6.0150000000000121</v>
      </c>
      <c r="CU566" s="115" t="b">
        <f ca="1">AND(模拟模式!$K$10="阴阳往极",CT565=0,RAND()&lt;IF(C566="净世破魔击·月",0.0275*7/3,IF(C566="净世破魔击·日",0.0275*3/3,0.0275*2/3)))</f>
        <v>0</v>
      </c>
      <c r="CV566" s="115">
        <f t="shared" ca="1" si="513"/>
        <v>0</v>
      </c>
      <c r="CW566" s="115">
        <f t="shared" ca="1" si="485"/>
        <v>3.2324999999999995</v>
      </c>
      <c r="CX566" s="115">
        <f t="shared" ca="1" si="486"/>
        <v>1.3874999999999997</v>
      </c>
      <c r="CY566" s="115">
        <f ca="1">MAX(IF($C566="驱夜断愁",IF(模拟模式!$R$7="万念俱寂",6,45),CY565-$F$4),0)</f>
        <v>2.3099999999999996</v>
      </c>
      <c r="CZ566" s="115">
        <f t="shared" ca="1" si="487"/>
        <v>0</v>
      </c>
      <c r="DA566" s="115">
        <f ca="1">IF(模拟模式!$N$7="日月同辉",IF(DB565=2,0,MIN(6,IF(AND(OR(C566="赤日轮1",C566="赤日轮2",C566="赤日轮3",C566="幽月轮1",C566="幽月轮2",C566="幽月轮3"),AB566=1),DA565+1,DA565))),0)</f>
        <v>0</v>
      </c>
      <c r="DB566" s="115">
        <f t="shared" ca="1" si="488"/>
        <v>0</v>
      </c>
      <c r="DC566" s="115"/>
      <c r="DD566" s="115"/>
      <c r="DE566" s="115"/>
      <c r="DF566" s="115"/>
      <c r="DG566" s="115"/>
      <c r="DH566" s="115"/>
      <c r="DI566" s="115"/>
      <c r="DJ566" s="115"/>
      <c r="DK566" s="115"/>
      <c r="DL566" s="115"/>
      <c r="DM566" s="115"/>
    </row>
    <row r="567" spans="2:117" x14ac:dyDescent="0.2">
      <c r="B567" s="117">
        <f t="shared" si="489"/>
        <v>498.15000000000538</v>
      </c>
      <c r="C567" s="167" t="str">
        <f t="shared" ca="1" si="482"/>
        <v>净世破魔击·月</v>
      </c>
      <c r="D567" s="115">
        <f ca="1">IF(C567="赤日轮1",1,IF(C567="赤日轮2",2,IF(C567="赤日轮3",3,IF(C567="幽月轮1",4,IF(C567="幽月轮2",5,IF(C567="幽月轮3",6,IF(C567="烈日斩",7,IF(C567="银月斩",8,IF(C567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567="净世破魔击·月",17,IF(C567="驱夜断愁",18,0)))))))))))</f>
        <v>17</v>
      </c>
      <c r="E567" s="115">
        <f ca="1">IF(AND(CU567,OR(C567="幽月轮1",C567="幽月轮2",C567="幽月轮3",C567="银月斩",C567="驱夜断愁",C567="净世破魔击·月")),100,MIN(IF(OR(CN567,BE567),0,IF(OR($C567="赤日轮1",$C567="赤日轮2",$C567="赤日轮3"),E566+20+IF(模拟模式!$I$7="日月凌天",4,0)+IF(CR566,20,0),IF($C567="烈日斩",E566+40,IF($C567="驱夜断愁",IF(模拟模式!$R$7="万念俱寂",E566+20,E566+60),IF($C567="净世破魔击·月",IF(OR(DB566&gt;0,CV566&gt;0),100,IF(模拟模式!$M$7="辉耀红尘",E566+20,E566)),IF($C567="净世破魔击·日",E566-100,E566)))))),100))</f>
        <v>20</v>
      </c>
      <c r="F567" s="115">
        <f ca="1">IF(AND(CU567,OR(C567="赤日轮1",C567="赤日轮2",C567="赤日轮3",C567="烈日斩",C567="净世破魔击·日")),100,MIN(IF(CO567,0,IF(OR($C567="幽月轮1",$C567="幽月轮2",$C567="幽月轮3"),F566+20+IF(模拟模式!$I$7="日月凌天",4,0)+IF(CS566,20,0),IF($C567="银月斩",F566+40+IF(模拟模式!$X$12=1,5,0),IF($C567="驱夜断愁",IF(模拟模式!$R$7="万念俱寂",F566+20,F566+60),IF($C567="净世破魔击·月",IF(模拟模式!$M$7="辉耀红尘",F566-80,F566-100),IF(AND(C567="净世破魔击·日",OR(DB566&gt;0,CV566&gt;0)),100,F566)))))),100))</f>
        <v>20</v>
      </c>
      <c r="G567" s="117">
        <f ca="1">('模拟-全程加成'!$E$3+'模拟-全程加成'!$E$4+'模拟-全程加成'!$E$5+('模拟-全程加成'!$C$6-'模拟-全程加成'!$C$3)*系数!$B$9+BS567*23)*(1+'模拟-全程加成'!$F$4+'模拟-全程加成'!$F$5+BJ567*10%+BM567*20%+BP567*4%+CG567*30%)+$F$7*系数!$B$12</f>
        <v>21493.829400000002</v>
      </c>
      <c r="H567" s="45">
        <f ca="1">'模拟-全程加成'!$H$3+'模拟-全程加成'!$H$4+'模拟-全程加成'!$H$5+('模拟-全程加成'!$G$4+'模拟-全程加成'!$G$5+('模拟-全程加成'!$C$6-'模拟-全程加成'!$C$3)*系数!$B$13)/系数!$B$3+LOOKUP(D567,'模拟-单技能数据'!$A$2:$A$19,'模拟-单技能数据'!$K$2:$K$19)+BG567*10%+IF(BV567&gt;0,378,0)</f>
        <v>0.54185145527300216</v>
      </c>
      <c r="I567" s="45">
        <f ca="1">'模拟-全程加成'!$J$3+'模拟-全程加成'!$J$4+'模拟-全程加成'!$J$5+('模拟-全程加成'!$I$4+'模拟-全程加成'!$I$5)/系数!$B$4+LOOKUP(D567,'模拟-单技能数据'!$A$2:$A$19,'模拟-单技能数据'!$L$2:$L$19)+BG567*10%</f>
        <v>2.162482885499879</v>
      </c>
      <c r="J567" s="45">
        <f ca="1">(('模拟-全程加成'!$K$3+'模拟-全程加成'!$K$4+'模拟-全程加成'!$K$5+('模拟-全程加成'!$C$6-'模拟-全程加成'!$C$3)*系数!$B$10+IF(BV567&gt;0,882,0)+IF(BY567&gt;0,1831,0))*(1+'模拟-全程加成'!$L$4+'模拟-全程加成'!$L$5+CC567*20%))/系数!$B$5</f>
        <v>0.69723220422048726</v>
      </c>
      <c r="K567" s="119">
        <f ca="1">LOOKUP(D567,'模拟-单技能数据'!$A$2:$A$19,'模拟-单技能数据'!$J$2:$J$19)+IF(CM567,60%,0)+IF(DB566-DB567&gt;0,30%,0)+IF(OR(AND(OR(C567="赤日轮1",C567="赤日轮2",C567="赤日轮3"),CR567),AND(OR(C567="幽月轮1",C567="幽月轮2",C567="幽月轮3"),CS567)),35%,0)+CJ567</f>
        <v>0.2</v>
      </c>
      <c r="L567" s="119">
        <f ca="1">IF(AND(C567="烈日斩",模拟模式!$X$11=1),10%,0)+IF(AND(C567="驱夜断愁",AB567=1),30%,0)</f>
        <v>0</v>
      </c>
      <c r="M567" s="45">
        <f t="shared" ca="1" si="465"/>
        <v>0.54185145527300216</v>
      </c>
      <c r="N567" s="45">
        <f t="shared" ca="1" si="466"/>
        <v>0.40424854472699789</v>
      </c>
      <c r="O567" s="46">
        <f t="shared" ca="1" si="490"/>
        <v>5.054542676815188E-2</v>
      </c>
      <c r="P567" s="46" t="str">
        <f t="shared" ca="1" si="491"/>
        <v>识</v>
      </c>
      <c r="Q567" s="45">
        <f t="shared" ca="1" si="492"/>
        <v>0.25</v>
      </c>
      <c r="R567" s="117">
        <f ca="1">模拟模式!$E$20*(1-IF(模拟模式!$J$19="有",0.15,0))*(1-IF(模拟模式!$K$19="有",0.3,0)-IF(CQ567,0.5,0))</f>
        <v>843.02999999999975</v>
      </c>
      <c r="S567" s="45">
        <f ca="1">R567/(R567+(185*模拟模式!$E$22-16800)*4.08224)</f>
        <v>8.389626085980037E-2</v>
      </c>
      <c r="T567" s="45" t="str">
        <f ca="1">LOOKUP(D567,'模拟-单技能数据'!$A$2:$A$19,'模拟-单技能数据'!$H$2:$H$19)</f>
        <v>阴</v>
      </c>
      <c r="U567" s="119">
        <f t="shared" ca="1" si="467"/>
        <v>0.08</v>
      </c>
      <c r="V567" s="47">
        <f ca="1">(1+L567)*(LOOKUP(D567,'模拟-单技能数据'!$A$2:$A$19,'模拟-单技能数据'!$D$2:$D$19)+G567*LOOKUP(D567,'模拟-单技能数据'!$A$2:$A$19,'模拟-单技能数据'!$F$2:$F$19))*(1+J567)*(1+K567)*(1-S567)*(1+U567)*Q567*LOOKUP(D567,'模拟-单技能数据'!$A$2:$A$19,'模拟-单技能数据'!$I$2:$I$20)</f>
        <v>14068.798905724761</v>
      </c>
      <c r="W567" s="47">
        <f ca="1">LOOKUP(D567,'模拟-单技能数据'!$A$2:$A$19,'模拟-单技能数据'!$G$2:$G$19)*$I$10</f>
        <v>361.51064354704795</v>
      </c>
      <c r="X567" s="47">
        <f t="shared" ca="1" si="493"/>
        <v>19564.102609827627</v>
      </c>
      <c r="Y567" s="47">
        <f t="shared" ca="1" si="468"/>
        <v>33994.412159099433</v>
      </c>
      <c r="Z567" s="49">
        <f t="shared" ca="1" si="469"/>
        <v>56329071.227411516</v>
      </c>
      <c r="AA567" s="97">
        <f t="shared" ca="1" si="470"/>
        <v>113076.52559954011</v>
      </c>
      <c r="AB567" s="115">
        <f ca="1">IF(OR(C567="赤日轮1",C567="赤日轮2",C567="赤日轮3"),IF(RAND()&lt;模拟模式!$Y$17,1,0),IF(OR(C567="幽月轮1",C567="幽月轮2",C567="幽月轮3"),IF(RAND()&lt;模拟模式!$Y$18,1,0),IF(C567="烈日斩",IF(RAND()&lt;模拟模式!$Y$19,1,0),IF(C567="银月斩",IF(RAND()&lt;模拟模式!$Y$20,1,0),IF(C567="驱夜断愁",IF(RAND()&lt;模拟模式!$Y$21,1,0),IF(C567="净世破魔击·日",IF(RAND()&lt;模拟模式!$Y$22,1,0),IF(C567="净世破魔击·月",IF(RAND()&lt;模拟模式!$Y$23,1,0),0)))))))</f>
        <v>1</v>
      </c>
      <c r="AC567" s="115" t="b">
        <f t="shared" ca="1" si="458"/>
        <v>0</v>
      </c>
      <c r="AD567" s="115" t="b">
        <f t="shared" ca="1" si="478"/>
        <v>0</v>
      </c>
      <c r="AE567" s="115">
        <f t="shared" ca="1" si="479"/>
        <v>3</v>
      </c>
      <c r="AF567" s="47">
        <f ca="1">IF(AC567,('模拟-单技能数据'!$D$20+G567*'模拟-单技能数据'!$F$20)*(1+J567)*(1+'模拟-单技能数据'!$J$20)*(1+U567),0)</f>
        <v>0</v>
      </c>
      <c r="AG567" s="61">
        <f t="shared" ca="1" si="471"/>
        <v>0.64185145527300214</v>
      </c>
      <c r="AH567" s="61">
        <f t="shared" ca="1" si="472"/>
        <v>2.2624828854998791</v>
      </c>
      <c r="AI567" s="62">
        <f t="shared" ca="1" si="494"/>
        <v>0.51842314159737746</v>
      </c>
      <c r="AJ567" s="47">
        <f ca="1">IF(AD567,IF(AI567&lt;$F$10,0,IF(AI567&lt;$F$10+$F$11,0.25,IF(AI567&lt;$F$10+$F$11+AG567,AH567,1)))*IF(AF567&gt;0,AF567,IF(AF566&gt;0,AF566,IF(AF565&gt;0,AF565,IF(AF564&gt;0,AF564,IF(AF563&gt;0,AF563,IF(AF562&gt;0,AF562,IF(AF561&gt;0,AF561,IF(AF560&gt;0,AF560,IF(AF559&gt;0,AF559,IF(AF557&gt;0,AF557,IF(AF556&gt;0,AF556,IF(AF555&gt;0,AF555,0)))))))))))),0)*(1-$S567)*'模拟-单技能数据'!$I$20</f>
        <v>0</v>
      </c>
      <c r="AK567" s="115" t="b">
        <f t="shared" ca="1" si="459"/>
        <v>0</v>
      </c>
      <c r="AL567" s="115" t="b">
        <f t="shared" ca="1" si="480"/>
        <v>1</v>
      </c>
      <c r="AM567" s="115">
        <f t="shared" ca="1" si="481"/>
        <v>5</v>
      </c>
      <c r="AN567" s="47">
        <f ca="1">IF(AK567,('模拟-单技能数据'!$D$21+G567*'模拟-单技能数据'!$F$21)*(1+J567)*(1+'模拟-单技能数据'!$J$21)*(1+U567),0)</f>
        <v>0</v>
      </c>
      <c r="AO567" s="61">
        <f ca="1">IF(AN567&gt;0,M567-'模拟-单技能数据'!$K$10,AO566)</f>
        <v>0.42185145527300216</v>
      </c>
      <c r="AP567" s="61">
        <f ca="1">IF(AN567&gt;0,I567-'模拟-单技能数据'!$L$10,AP566)</f>
        <v>2.162482885499879</v>
      </c>
      <c r="AQ567" s="63">
        <f t="shared" ca="1" si="495"/>
        <v>0.75553566385182336</v>
      </c>
      <c r="AR567" s="64">
        <f ca="1">IF(AL567,IF(AQ567&lt;$F$10,0,IF(AQ567&lt;$F$10+$F$11,0.25,IF(AQ567&lt;$F$10+$F$11+AO567,AP567,1)))*IF(AN567&gt;0,AN567,IF(AN566&gt;0,AN566,IF(AN565&gt;0,AN565,IF(AN564&gt;0,AN564,IF(AN563&gt;0,AN563,IF(AN562&gt;0,AN562,IF(AN561&gt;0,AN561,IF(AN560&gt;0,AN560,IF(AN559&gt;0,AN559,IF(AN557&gt;0,AN557,IF(AN556&gt;0,AN556,IF(AN555&gt;0,AN555,0)))))))))))),0)*(1-$S567)*'模拟-单技能数据'!$I$21</f>
        <v>11607.89185245618</v>
      </c>
      <c r="AS567" s="61">
        <f ca="1">IF(OR(C567="净世破魔击·日",C567="净世破魔击·月"),M567-'模拟-单技能数据'!$K$10,0)</f>
        <v>0.42185145527300216</v>
      </c>
      <c r="AT567" s="61">
        <f ca="1">IF(OR(C567="净世破魔击·日",C567="净世破魔击·月"),I567-'模拟-单技能数据'!$L$10,0)</f>
        <v>2.162482885499879</v>
      </c>
      <c r="AU567" s="62">
        <f t="shared" ca="1" si="496"/>
        <v>0.98502049595085961</v>
      </c>
      <c r="AV567" s="64">
        <f ca="1">IF(AS567&gt;0,('模拟-单技能数据'!$D$22+G567*'模拟-单技能数据'!$F$22)*(1+J567)*(1-S567)*IF(AU567&lt;$F$10,0,IF(AU567&lt;$F$10+$F$11,0.25,IF(AU567&lt;$F$10+$F$11+AS567,AT567,1)))*(1+U567),0)*'模拟-单技能数据'!$I$22</f>
        <v>7956.2107573714466</v>
      </c>
      <c r="AW567" s="108">
        <f t="shared" ca="1" si="497"/>
        <v>17.232500000000002</v>
      </c>
      <c r="AX567" s="108" t="b">
        <f ca="1">AND(模拟模式!$P$10="有",AW566=0,RAND()&lt;IF(C567="净世破魔击·月",0.1*8/3,IF(C567="净世破魔击·日",0.1*4/3,0.1*2/3)))</f>
        <v>0</v>
      </c>
      <c r="AY567" s="47">
        <f ca="1">IF(AX567,(18+G567*0.722)*(1+J567)*(1-S567)*(1+$I$4)*IF(P567="会",'模拟-全程加成'!$J$3+'模拟-全程加成'!$J$4+'模拟-全程加成'!$J$5+('模拟-全程加成'!$I$4+'模拟-全程加成'!$I$5)/系数!$B$4+BG567*10%,IF(P567="命",1,IF(P567="识",0.25,0))),0)</f>
        <v>0</v>
      </c>
      <c r="AZ567" s="108">
        <f t="shared" si="498"/>
        <v>8.9300000000000068</v>
      </c>
      <c r="BA567" s="108" t="b">
        <f>AND(模拟模式!$Q$10="有",AZ566=0)</f>
        <v>0</v>
      </c>
      <c r="BB567" s="140">
        <f>IF(BA567,(0+G567*0.287)*(1+J567)*(1-S567)*(1+$I$4)*IF(P567="会",'模拟-全程加成'!$J$3+'模拟-全程加成'!$J$4+'模拟-全程加成'!$J$5+('模拟-全程加成'!$I$4+'模拟-全程加成'!$I$5)/系数!$B$4+BG567*10%,IF(P567="命",1,IF(P567="识",0.25,0))),0)</f>
        <v>0</v>
      </c>
      <c r="BC567" s="115" t="b">
        <f ca="1">AND(模拟模式!$R$7="伏明众生",E567=60,F567=20,DA567&lt;5,CZ566&lt;$F$4)</f>
        <v>0</v>
      </c>
      <c r="BD567" s="115">
        <f t="shared" ca="1" si="460"/>
        <v>0</v>
      </c>
      <c r="BE567" s="115" t="b">
        <f t="shared" ca="1" si="461"/>
        <v>0</v>
      </c>
      <c r="BF567" s="47">
        <f ca="1">IF(BC567,4*('模拟-单技能数据'!$D$24+G567*'模拟-单技能数据'!$F$24)*(1+J567)*(1+'模拟-单技能数据'!$J$24)*(1-S567)*(1+$I$3)*(('模拟-全程加成'!$J$3+'模拟-全程加成'!$J$4+'模拟-全程加成'!$J$5+('模拟-全程加成'!$I$4+'模拟-全程加成'!$I$5)/系数!$B$4+BG567*10%)*('模拟-全程加成'!$J$3+'模拟-全程加成'!$J$4+'模拟-全程加成'!$J$5+('模拟-全程加成'!$I$4+'模拟-全程加成'!$I$5)/系数!$B$4+BG567*10%)+(1-('模拟-全程加成'!$J$3+'模拟-全程加成'!$J$4+'模拟-全程加成'!$J$5+('模拟-全程加成'!$I$4+'模拟-全程加成'!$I$5)/系数!$B$4+BG567*10%)-$F$10-$F$11)+F553*0.25),0)*'模拟-单技能数据'!$I$24</f>
        <v>0</v>
      </c>
      <c r="BG567" s="115" t="b">
        <f ca="1">OR(AND(OR(C567="烈日斩",C567="银月斩"),模拟模式!$I$7="净身明礼"),AND(C567="净世破魔击·日",模拟模式!$J$7="洞若观火"),AND(C568="净世破魔击·月",模拟模式!$J$7="洞若观火"),AB567=1)</f>
        <v>1</v>
      </c>
      <c r="BH567" s="115" t="b">
        <f t="shared" ca="1" si="499"/>
        <v>1</v>
      </c>
      <c r="BI567" s="115">
        <f t="shared" ca="1" si="462"/>
        <v>6</v>
      </c>
      <c r="BJ567" s="115" t="b">
        <f t="shared" ca="1" si="473"/>
        <v>1</v>
      </c>
      <c r="BK567" s="115" t="b">
        <f ca="1">AND(C567="驱夜断愁",模拟模式!$P$7="天地诛戮")</f>
        <v>0</v>
      </c>
      <c r="BL567" s="57">
        <f t="shared" ca="1" si="463"/>
        <v>15.387500000000003</v>
      </c>
      <c r="BM567" s="115" t="b">
        <f t="shared" ca="1" si="474"/>
        <v>1</v>
      </c>
      <c r="BN567" s="115" t="b">
        <f ca="1">AND(OR(C567="赤日轮1",C567="赤日轮2",C567="赤日轮3",C567="幽月轮1",C567="幽月轮2",C567="幽月轮3"),AB567=1,模拟模式!$L$7="明光恒照")</f>
        <v>0</v>
      </c>
      <c r="BO567" s="117">
        <f t="shared" ca="1" si="464"/>
        <v>27.232500000000002</v>
      </c>
      <c r="BP567" s="115">
        <f t="shared" ca="1" si="500"/>
        <v>6</v>
      </c>
      <c r="BQ567" s="115" t="b">
        <f>模拟模式!$K$10="2600·水"</f>
        <v>0</v>
      </c>
      <c r="BR567" s="117">
        <f t="shared" si="501"/>
        <v>0</v>
      </c>
      <c r="BS567" s="115">
        <f t="shared" si="502"/>
        <v>0</v>
      </c>
      <c r="BT567" s="115">
        <f t="shared" ca="1" si="503"/>
        <v>0</v>
      </c>
      <c r="BU567" s="115" t="b">
        <f ca="1">AND(模拟模式!$K$10="2300·雷",BT566=0,RAND()&lt;IF(C567="净世破魔击·月",5*0.05*2/3,IF(C567="净世破魔击·日",3*0.05*2/3,0.05*2*2/3)))</f>
        <v>0</v>
      </c>
      <c r="BV567" s="115">
        <f t="shared" ca="1" si="504"/>
        <v>0</v>
      </c>
      <c r="BW567" s="115">
        <f t="shared" ca="1" si="505"/>
        <v>57.30749999999928</v>
      </c>
      <c r="BX567" s="164" t="b">
        <f t="shared" ca="1" si="506"/>
        <v>0</v>
      </c>
      <c r="BY567" s="115">
        <f t="shared" ca="1" si="507"/>
        <v>0</v>
      </c>
      <c r="BZ567" s="115">
        <f>IF(OR(模拟模式!$P$16="10人团",模拟模式!$P$16="25人团"),IF(B567/30&gt;CA566,1,0),0)</f>
        <v>0</v>
      </c>
      <c r="CA567" s="115">
        <f t="shared" si="483"/>
        <v>0</v>
      </c>
      <c r="CB567" s="115">
        <f ca="1">IF(BZ567=1,IF(模拟模式!$P$16="10人团",15,0)+IF(模拟模式!$P$16="25人团",IF(RAND()&lt;0.6,15,0)),MAX(0,CB566-$F$4))</f>
        <v>0</v>
      </c>
      <c r="CC567" s="115" t="b">
        <f t="shared" ca="1" si="475"/>
        <v>0</v>
      </c>
      <c r="CD567" s="115">
        <f>IF(模拟模式!$Q$16="1个",IF(B567/40&gt;CE566,1,0),0)</f>
        <v>0</v>
      </c>
      <c r="CE567" s="115">
        <f t="shared" si="476"/>
        <v>0</v>
      </c>
      <c r="CF567" s="115">
        <f>IF(OR(CD567=1,模拟模式!$Q$16="2个"),20,MAX(0,CF566-$F$4))</f>
        <v>0</v>
      </c>
      <c r="CG567" s="115" t="b">
        <f t="shared" si="477"/>
        <v>0</v>
      </c>
      <c r="CH567" s="115">
        <f t="shared" ca="1" si="508"/>
        <v>8.7825000000000131</v>
      </c>
      <c r="CI567" s="115" t="b">
        <f t="shared" ca="1" si="509"/>
        <v>0</v>
      </c>
      <c r="CJ567" s="119">
        <f t="shared" ca="1" si="510"/>
        <v>0</v>
      </c>
      <c r="CK567" s="115">
        <f t="shared" ca="1" si="511"/>
        <v>0</v>
      </c>
      <c r="CL567" s="115" t="b">
        <f ca="1">AND(模拟模式!$S$7="驱夷逐法",OR(AND(C567="净世破魔击·月",E566&gt;59),AND(C567="净世破魔击·日",F566&gt;59)))</f>
        <v>0</v>
      </c>
      <c r="CM567" s="115" t="b">
        <f ca="1">OR(CL567,AND(C567="净世破魔击·日",CL566,RAND()&lt;模拟模式!$U$23))</f>
        <v>0</v>
      </c>
      <c r="CN567" s="115" t="b">
        <f ca="1">IF(模拟模式!$M$7="辉耀红尘",AND(C567="净世破魔击·月",CL567,CV567=0,E566&lt;80),AND(C567="净世破魔击·月",CL567,E566&lt;100))</f>
        <v>0</v>
      </c>
      <c r="CO567" s="115" t="b">
        <f t="shared" ca="1" si="484"/>
        <v>0</v>
      </c>
      <c r="CP567" s="115" t="b">
        <f ca="1">AND(模拟模式!$O$7="用晦而明",OR(C567="净世破魔击·日",C567="净世破魔击·月",C567="驱夜断愁"),AB567)</f>
        <v>1</v>
      </c>
      <c r="CQ567" s="115" t="b">
        <f ca="1">OR(CP567,AND(CP566,RAND()&lt;模拟模式!$U$23))</f>
        <v>1</v>
      </c>
      <c r="CR567" s="115" t="b">
        <f ca="1">AND(模拟模式!$S$7="日月齐光",OR(C567="幽月轮1",C567="幽月轮2",C567="幽月轮3",CR566),NOT(OR(C567="赤日轮1",C567="赤日轮2",C567="赤日轮3")))</f>
        <v>0</v>
      </c>
      <c r="CS567" s="115" t="b">
        <f ca="1">AND(模拟模式!$S$7="日月齐光",OR(C567="赤日轮1",C567="赤日轮2",C567="赤日轮3",CS566),NOT(OR(C567="幽月轮1",C567="幽月轮2",C567="幽月轮3")))</f>
        <v>0</v>
      </c>
      <c r="CT567" s="115">
        <f t="shared" ca="1" si="512"/>
        <v>5.0925000000000118</v>
      </c>
      <c r="CU567" s="115" t="b">
        <f ca="1">AND(模拟模式!$K$10="阴阳往极",CT566=0,RAND()&lt;IF(C567="净世破魔击·月",0.0275*7/3,IF(C567="净世破魔击·日",0.0275*3/3,0.0275*2/3)))</f>
        <v>0</v>
      </c>
      <c r="CV567" s="115">
        <f t="shared" ca="1" si="513"/>
        <v>0</v>
      </c>
      <c r="CW567" s="115">
        <f t="shared" ca="1" si="485"/>
        <v>2.3099999999999996</v>
      </c>
      <c r="CX567" s="115">
        <f t="shared" ca="1" si="486"/>
        <v>0.46499999999999975</v>
      </c>
      <c r="CY567" s="115">
        <f ca="1">MAX(IF($C567="驱夜断愁",IF(模拟模式!$R$7="万念俱寂",6,45),CY566-$F$4),0)</f>
        <v>1.3874999999999997</v>
      </c>
      <c r="CZ567" s="115">
        <f t="shared" ca="1" si="487"/>
        <v>0</v>
      </c>
      <c r="DA567" s="115">
        <f ca="1">IF(模拟模式!$N$7="日月同辉",IF(DB566=2,0,MIN(6,IF(AND(OR(C567="赤日轮1",C567="赤日轮2",C567="赤日轮3",C567="幽月轮1",C567="幽月轮2",C567="幽月轮3"),AB567=1),DA566+1,DA566))),0)</f>
        <v>0</v>
      </c>
      <c r="DB567" s="115">
        <f t="shared" ca="1" si="488"/>
        <v>0</v>
      </c>
      <c r="DC567" s="115"/>
      <c r="DD567" s="115"/>
      <c r="DE567" s="115"/>
      <c r="DF567" s="115"/>
      <c r="DG567" s="115"/>
      <c r="DH567" s="115"/>
      <c r="DI567" s="115"/>
      <c r="DJ567" s="115"/>
      <c r="DK567" s="115"/>
      <c r="DL567" s="115"/>
      <c r="DM567" s="115"/>
    </row>
    <row r="568" spans="2:117" x14ac:dyDescent="0.2">
      <c r="B568" s="117">
        <f t="shared" si="489"/>
        <v>499.07250000000539</v>
      </c>
      <c r="C568" s="167" t="str">
        <f t="shared" ca="1" si="482"/>
        <v>银月斩</v>
      </c>
      <c r="D568" s="115">
        <f ca="1">IF(C568="赤日轮1",1,IF(C568="赤日轮2",2,IF(C568="赤日轮3",3,IF(C568="幽月轮1",4,IF(C568="幽月轮2",5,IF(C568="幽月轮3",6,IF(C568="烈日斩",7,IF(C568="银月斩",8,IF(C568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568="净世破魔击·月",17,IF(C568="驱夜断愁",18,0)))))))))))</f>
        <v>8</v>
      </c>
      <c r="E568" s="115">
        <f ca="1">IF(AND(CU568,OR(C568="幽月轮1",C568="幽月轮2",C568="幽月轮3",C568="银月斩",C568="驱夜断愁",C568="净世破魔击·月")),100,MIN(IF(OR(CN568,BE568),0,IF(OR($C568="赤日轮1",$C568="赤日轮2",$C568="赤日轮3"),E567+20+IF(模拟模式!$I$7="日月凌天",4,0)+IF(CR567,20,0),IF($C568="烈日斩",E567+40,IF($C568="驱夜断愁",IF(模拟模式!$R$7="万念俱寂",E567+20,E567+60),IF($C568="净世破魔击·月",IF(OR(DB567&gt;0,CV567&gt;0),100,IF(模拟模式!$M$7="辉耀红尘",E567+20,E567)),IF($C568="净世破魔击·日",E567-100,E567)))))),100))</f>
        <v>20</v>
      </c>
      <c r="F568" s="115">
        <f ca="1">IF(AND(CU568,OR(C568="赤日轮1",C568="赤日轮2",C568="赤日轮3",C568="烈日斩",C568="净世破魔击·日")),100,MIN(IF(CO568,0,IF(OR($C568="幽月轮1",$C568="幽月轮2",$C568="幽月轮3"),F567+20+IF(模拟模式!$I$7="日月凌天",4,0)+IF(CS567,20,0),IF($C568="银月斩",F567+40+IF(模拟模式!$X$12=1,5,0),IF($C568="驱夜断愁",IF(模拟模式!$R$7="万念俱寂",F567+20,F567+60),IF($C568="净世破魔击·月",IF(模拟模式!$M$7="辉耀红尘",F567-80,F567-100),IF(AND(C568="净世破魔击·日",OR(DB567&gt;0,CV567&gt;0)),100,F567)))))),100))</f>
        <v>65</v>
      </c>
      <c r="G568" s="117">
        <f ca="1">('模拟-全程加成'!$E$3+'模拟-全程加成'!$E$4+'模拟-全程加成'!$E$5+('模拟-全程加成'!$C$6-'模拟-全程加成'!$C$3)*系数!$B$9+BS568*23)*(1+'模拟-全程加成'!$F$4+'模拟-全程加成'!$F$5+BJ568*10%+BM568*20%+BP568*4%+CG568*30%)+$F$7*系数!$B$12</f>
        <v>21493.829400000002</v>
      </c>
      <c r="H568" s="45">
        <f ca="1">'模拟-全程加成'!$H$3+'模拟-全程加成'!$H$4+'模拟-全程加成'!$H$5+('模拟-全程加成'!$G$4+'模拟-全程加成'!$G$5+('模拟-全程加成'!$C$6-'模拟-全程加成'!$C$3)*系数!$B$13)/系数!$B$3+LOOKUP(D568,'模拟-单技能数据'!$A$2:$A$19,'模拟-单技能数据'!$K$2:$K$19)+BG568*10%+IF(BV568&gt;0,378,0)</f>
        <v>0.64185145527300214</v>
      </c>
      <c r="I568" s="45">
        <f ca="1">'模拟-全程加成'!$J$3+'模拟-全程加成'!$J$4+'模拟-全程加成'!$J$5+('模拟-全程加成'!$I$4+'模拟-全程加成'!$I$5)/系数!$B$4+LOOKUP(D568,'模拟-单技能数据'!$A$2:$A$19,'模拟-单技能数据'!$L$2:$L$19)+BG568*10%</f>
        <v>2.2624828854998791</v>
      </c>
      <c r="J568" s="45">
        <f ca="1">(('模拟-全程加成'!$K$3+'模拟-全程加成'!$K$4+'模拟-全程加成'!$K$5+('模拟-全程加成'!$C$6-'模拟-全程加成'!$C$3)*系数!$B$10+IF(BV568&gt;0,882,0)+IF(BY568&gt;0,1831,0))*(1+'模拟-全程加成'!$L$4+'模拟-全程加成'!$L$5+CC568*20%))/系数!$B$5</f>
        <v>0.69723220422048726</v>
      </c>
      <c r="K568" s="119">
        <f ca="1">LOOKUP(D568,'模拟-单技能数据'!$A$2:$A$19,'模拟-单技能数据'!$J$2:$J$19)+IF(CM568,60%,0)+IF(DB567-DB568&gt;0,30%,0)+IF(OR(AND(OR(C568="赤日轮1",C568="赤日轮2",C568="赤日轮3"),CR568),AND(OR(C568="幽月轮1",C568="幽月轮2",C568="幽月轮3"),CS568)),35%,0)+CJ568</f>
        <v>0.15</v>
      </c>
      <c r="L568" s="119">
        <f ca="1">IF(AND(C568="烈日斩",模拟模式!$X$11=1),10%,0)+IF(AND(C568="驱夜断愁",AB568=1),30%,0)</f>
        <v>0</v>
      </c>
      <c r="M568" s="45">
        <f t="shared" ca="1" si="465"/>
        <v>0.64185145527300214</v>
      </c>
      <c r="N568" s="45">
        <f t="shared" ca="1" si="466"/>
        <v>0.30424854472699792</v>
      </c>
      <c r="O568" s="46">
        <f t="shared" ca="1" si="490"/>
        <v>0.74817565567389011</v>
      </c>
      <c r="P568" s="46" t="str">
        <f t="shared" ca="1" si="491"/>
        <v>命</v>
      </c>
      <c r="Q568" s="45">
        <f t="shared" ca="1" si="492"/>
        <v>1</v>
      </c>
      <c r="R568" s="117">
        <f ca="1">模拟模式!$E$20*(1-IF(模拟模式!$J$19="有",0.15,0))*(1-IF(模拟模式!$K$19="有",0.3,0)-IF(CQ568,0.5,0))</f>
        <v>843.02999999999975</v>
      </c>
      <c r="S568" s="45">
        <f ca="1">R568/(R568+(185*模拟模式!$E$22-16800)*4.08224)</f>
        <v>8.389626085980037E-2</v>
      </c>
      <c r="T568" s="45" t="str">
        <f ca="1">LOOKUP(D568,'模拟-单技能数据'!$A$2:$A$19,'模拟-单技能数据'!$H$2:$H$19)</f>
        <v>阴</v>
      </c>
      <c r="U568" s="119">
        <f t="shared" ca="1" si="467"/>
        <v>0.08</v>
      </c>
      <c r="V568" s="47">
        <f ca="1">(1+L568)*(LOOKUP(D568,'模拟-单技能数据'!$A$2:$A$19,'模拟-单技能数据'!$D$2:$D$19)+G568*LOOKUP(D568,'模拟-单技能数据'!$A$2:$A$19,'模拟-单技能数据'!$F$2:$F$19))*(1+J568)*(1+K568)*(1-S568)*(1+U568)*Q568*LOOKUP(D568,'模拟-单技能数据'!$A$2:$A$19,'模拟-单技能数据'!$I$2:$I$20)</f>
        <v>22035.73563947</v>
      </c>
      <c r="W568" s="47">
        <f ca="1">LOOKUP(D568,'模拟-单技能数据'!$A$2:$A$19,'模拟-单技能数据'!$G$2:$G$19)*$I$10</f>
        <v>361.51064354704795</v>
      </c>
      <c r="X568" s="47">
        <f t="shared" ca="1" si="493"/>
        <v>9616.6571145767884</v>
      </c>
      <c r="Y568" s="47">
        <f t="shared" ca="1" si="468"/>
        <v>32013.903397593836</v>
      </c>
      <c r="Z568" s="49">
        <f t="shared" ca="1" si="469"/>
        <v>56361085.130809113</v>
      </c>
      <c r="AA568" s="97">
        <f t="shared" ca="1" si="470"/>
        <v>112931.65848811246</v>
      </c>
      <c r="AB568" s="115">
        <f ca="1">IF(OR(C568="赤日轮1",C568="赤日轮2",C568="赤日轮3"),IF(RAND()&lt;模拟模式!$Y$17,1,0),IF(OR(C568="幽月轮1",C568="幽月轮2",C568="幽月轮3"),IF(RAND()&lt;模拟模式!$Y$18,1,0),IF(C568="烈日斩",IF(RAND()&lt;模拟模式!$Y$19,1,0),IF(C568="银月斩",IF(RAND()&lt;模拟模式!$Y$20,1,0),IF(C568="驱夜断愁",IF(RAND()&lt;模拟模式!$Y$21,1,0),IF(C568="净世破魔击·日",IF(RAND()&lt;模拟模式!$Y$22,1,0),IF(C568="净世破魔击·月",IF(RAND()&lt;模拟模式!$Y$23,1,0),0)))))))</f>
        <v>1</v>
      </c>
      <c r="AC568" s="115" t="b">
        <f t="shared" ca="1" si="458"/>
        <v>1</v>
      </c>
      <c r="AD568" s="115" t="b">
        <f t="shared" ca="1" si="478"/>
        <v>1</v>
      </c>
      <c r="AE568" s="115">
        <f t="shared" ca="1" si="479"/>
        <v>5</v>
      </c>
      <c r="AF568" s="47">
        <f ca="1">IF(AC568,('模拟-单技能数据'!$D$20+G568*'模拟-单技能数据'!$F$20)*(1+J568)*(1+'模拟-单技能数据'!$J$20)*(1+U568),0)</f>
        <v>4639.7456468263617</v>
      </c>
      <c r="AG568" s="61">
        <f t="shared" ca="1" si="471"/>
        <v>0.64185145527300214</v>
      </c>
      <c r="AH568" s="61">
        <f t="shared" ca="1" si="472"/>
        <v>2.2624828854998791</v>
      </c>
      <c r="AI568" s="62">
        <f t="shared" ca="1" si="494"/>
        <v>0.48775581862436357</v>
      </c>
      <c r="AJ568" s="47">
        <f ca="1">IF(AD568,IF(AI568&lt;$F$10,0,IF(AI568&lt;$F$10+$F$11,0.25,IF(AI568&lt;$F$10+$F$11+AG568,AH568,1)))*IF(AF568&gt;0,AF568,IF(AF567&gt;0,AF567,IF(AF566&gt;0,AF566,IF(AF565&gt;0,AF565,IF(AF564&gt;0,AF564,IF(AF563&gt;0,AF563,IF(AF562&gt;0,AF562,IF(AF561&gt;0,AF561,IF(AF560&gt;0,AF560,IF(AF558&gt;0,AF558,IF(AF557&gt;0,AF557,IF(AF556&gt;0,AF556,0)))))))))))),0)*(1-$S568)*'模拟-单技能数据'!$I$20</f>
        <v>9616.6571145767884</v>
      </c>
      <c r="AK568" s="115" t="b">
        <f t="shared" ca="1" si="459"/>
        <v>0</v>
      </c>
      <c r="AL568" s="115" t="b">
        <f t="shared" ca="1" si="480"/>
        <v>0</v>
      </c>
      <c r="AM568" s="115">
        <f t="shared" ca="1" si="481"/>
        <v>5</v>
      </c>
      <c r="AN568" s="47">
        <f ca="1">IF(AK568,('模拟-单技能数据'!$D$21+G568*'模拟-单技能数据'!$F$21)*(1+J568)*(1+'模拟-单技能数据'!$J$21)*(1+U568),0)</f>
        <v>0</v>
      </c>
      <c r="AO568" s="61">
        <f ca="1">IF(AN568&gt;0,M568-'模拟-单技能数据'!$K$10,AO567)</f>
        <v>0.42185145527300216</v>
      </c>
      <c r="AP568" s="61">
        <f ca="1">IF(AN568&gt;0,I568-'模拟-单技能数据'!$L$10,AP567)</f>
        <v>2.162482885499879</v>
      </c>
      <c r="AQ568" s="63">
        <f t="shared" ca="1" si="495"/>
        <v>0.97426443118931938</v>
      </c>
      <c r="AR568" s="64">
        <f ca="1">IF(AL568,IF(AQ568&lt;$F$10,0,IF(AQ568&lt;$F$10+$F$11,0.25,IF(AQ568&lt;$F$10+$F$11+AO568,AP568,1)))*IF(AN568&gt;0,AN568,IF(AN567&gt;0,AN567,IF(AN566&gt;0,AN566,IF(AN565&gt;0,AN565,IF(AN564&gt;0,AN564,IF(AN563&gt;0,AN563,IF(AN562&gt;0,AN562,IF(AN561&gt;0,AN561,IF(AN560&gt;0,AN560,IF(AN558&gt;0,AN558,IF(AN557&gt;0,AN557,IF(AN556&gt;0,AN556,0)))))))))))),0)*(1-$S568)*'模拟-单技能数据'!$I$21</f>
        <v>0</v>
      </c>
      <c r="AS568" s="61">
        <f ca="1">IF(OR(C568="净世破魔击·日",C568="净世破魔击·月"),M568-'模拟-单技能数据'!$K$10,0)</f>
        <v>0</v>
      </c>
      <c r="AT568" s="61">
        <f ca="1">IF(OR(C568="净世破魔击·日",C568="净世破魔击·月"),I568-'模拟-单技能数据'!$L$10,0)</f>
        <v>0</v>
      </c>
      <c r="AU568" s="62">
        <f t="shared" ca="1" si="496"/>
        <v>6.3055253020097179E-2</v>
      </c>
      <c r="AV568" s="64">
        <f ca="1">IF(AS568&gt;0,('模拟-单技能数据'!$D$22+G568*'模拟-单技能数据'!$F$22)*(1+J568)*(1-S568)*IF(AU568&lt;$F$10,0,IF(AU568&lt;$F$10+$F$11,0.25,IF(AU568&lt;$F$10+$F$11+AS568,AT568,1)))*(1+U568),0)*'模拟-单技能数据'!$I$22</f>
        <v>0</v>
      </c>
      <c r="AW568" s="108">
        <f t="shared" ca="1" si="497"/>
        <v>16.310000000000002</v>
      </c>
      <c r="AX568" s="108" t="b">
        <f ca="1">AND(模拟模式!$P$10="有",AW567=0,RAND()&lt;IF(C568="净世破魔击·月",0.1*8/3,IF(C568="净世破魔击·日",0.1*4/3,0.1*2/3)))</f>
        <v>0</v>
      </c>
      <c r="AY568" s="47">
        <f ca="1">IF(AX568,(18+G568*0.722)*(1+J568)*(1-S568)*(1+$I$4)*IF(P568="会",'模拟-全程加成'!$J$3+'模拟-全程加成'!$J$4+'模拟-全程加成'!$J$5+('模拟-全程加成'!$I$4+'模拟-全程加成'!$I$5)/系数!$B$4+BG568*10%,IF(P568="命",1,IF(P568="识",0.25,0))),0)</f>
        <v>0</v>
      </c>
      <c r="AZ568" s="108">
        <f t="shared" si="498"/>
        <v>8.0075000000000074</v>
      </c>
      <c r="BA568" s="108" t="b">
        <f>AND(模拟模式!$Q$10="有",AZ567=0)</f>
        <v>0</v>
      </c>
      <c r="BB568" s="140">
        <f>IF(BA568,(0+G568*0.287)*(1+J568)*(1-S568)*(1+$I$4)*IF(P568="会",'模拟-全程加成'!$J$3+'模拟-全程加成'!$J$4+'模拟-全程加成'!$J$5+('模拟-全程加成'!$I$4+'模拟-全程加成'!$I$5)/系数!$B$4+BG568*10%,IF(P568="命",1,IF(P568="识",0.25,0))),0)</f>
        <v>0</v>
      </c>
      <c r="BC568" s="115" t="b">
        <f ca="1">AND(模拟模式!$R$7="伏明众生",E568=60,F568=20,DA568&lt;5,CZ567&lt;$F$4)</f>
        <v>0</v>
      </c>
      <c r="BD568" s="115">
        <f t="shared" ca="1" si="460"/>
        <v>0</v>
      </c>
      <c r="BE568" s="115" t="b">
        <f t="shared" ca="1" si="461"/>
        <v>0</v>
      </c>
      <c r="BF568" s="47">
        <f ca="1">IF(BC568,4*('模拟-单技能数据'!$D$24+G568*'模拟-单技能数据'!$F$24)*(1+J568)*(1+'模拟-单技能数据'!$J$24)*(1-S568)*(1+$I$3)*(('模拟-全程加成'!$J$3+'模拟-全程加成'!$J$4+'模拟-全程加成'!$J$5+('模拟-全程加成'!$I$4+'模拟-全程加成'!$I$5)/系数!$B$4+BG568*10%)*('模拟-全程加成'!$J$3+'模拟-全程加成'!$J$4+'模拟-全程加成'!$J$5+('模拟-全程加成'!$I$4+'模拟-全程加成'!$I$5)/系数!$B$4+BG568*10%)+(1-('模拟-全程加成'!$J$3+'模拟-全程加成'!$J$4+'模拟-全程加成'!$J$5+('模拟-全程加成'!$I$4+'模拟-全程加成'!$I$5)/系数!$B$4+BG568*10%)-$F$10-$F$11)+F554*0.25),0)*'模拟-单技能数据'!$I$24</f>
        <v>0</v>
      </c>
      <c r="BG568" s="115" t="b">
        <f ca="1">OR(AND(OR(C568="烈日斩",C568="银月斩"),模拟模式!$I$7="净身明礼"),AND(C568="净世破魔击·日",模拟模式!$J$7="洞若观火"),AND(C569="净世破魔击·月",模拟模式!$J$7="洞若观火"),AB568=1)</f>
        <v>1</v>
      </c>
      <c r="BH568" s="115" t="b">
        <f t="shared" ca="1" si="499"/>
        <v>0</v>
      </c>
      <c r="BI568" s="115">
        <f t="shared" ca="1" si="462"/>
        <v>5.0774999999999997</v>
      </c>
      <c r="BJ568" s="115" t="b">
        <f t="shared" ca="1" si="473"/>
        <v>1</v>
      </c>
      <c r="BK568" s="115" t="b">
        <f ca="1">AND(C568="驱夜断愁",模拟模式!$P$7="天地诛戮")</f>
        <v>0</v>
      </c>
      <c r="BL568" s="57">
        <f t="shared" ca="1" si="463"/>
        <v>14.465000000000003</v>
      </c>
      <c r="BM568" s="115" t="b">
        <f t="shared" ca="1" si="474"/>
        <v>1</v>
      </c>
      <c r="BN568" s="115" t="b">
        <f ca="1">AND(OR(C568="赤日轮1",C568="赤日轮2",C568="赤日轮3",C568="幽月轮1",C568="幽月轮2",C568="幽月轮3"),AB568=1,模拟模式!$L$7="明光恒照")</f>
        <v>0</v>
      </c>
      <c r="BO568" s="117">
        <f t="shared" ca="1" si="464"/>
        <v>26.310000000000002</v>
      </c>
      <c r="BP568" s="115">
        <f t="shared" ca="1" si="500"/>
        <v>6</v>
      </c>
      <c r="BQ568" s="115" t="b">
        <f>模拟模式!$K$10="2600·水"</f>
        <v>0</v>
      </c>
      <c r="BR568" s="117">
        <f t="shared" si="501"/>
        <v>0</v>
      </c>
      <c r="BS568" s="115">
        <f t="shared" si="502"/>
        <v>0</v>
      </c>
      <c r="BT568" s="115">
        <f t="shared" ca="1" si="503"/>
        <v>0</v>
      </c>
      <c r="BU568" s="115" t="b">
        <f ca="1">AND(模拟模式!$K$10="2300·雷",BT567=0,RAND()&lt;IF(C568="净世破魔击·月",5*0.05*2/3,IF(C568="净世破魔击·日",3*0.05*2/3,0.05*2*2/3)))</f>
        <v>0</v>
      </c>
      <c r="BV568" s="115">
        <f t="shared" ca="1" si="504"/>
        <v>0</v>
      </c>
      <c r="BW568" s="115">
        <f t="shared" ca="1" si="505"/>
        <v>56.38499999999928</v>
      </c>
      <c r="BX568" s="164" t="b">
        <f t="shared" ca="1" si="506"/>
        <v>0</v>
      </c>
      <c r="BY568" s="115">
        <f t="shared" ca="1" si="507"/>
        <v>0</v>
      </c>
      <c r="BZ568" s="115">
        <f>IF(OR(模拟模式!$P$16="10人团",模拟模式!$P$16="25人团"),IF(B568/30&gt;CA567,1,0),0)</f>
        <v>0</v>
      </c>
      <c r="CA568" s="115">
        <f t="shared" si="483"/>
        <v>0</v>
      </c>
      <c r="CB568" s="115">
        <f ca="1">IF(BZ568=1,IF(模拟模式!$P$16="10人团",15,0)+IF(模拟模式!$P$16="25人团",IF(RAND()&lt;0.6,15,0)),MAX(0,CB567-$F$4))</f>
        <v>0</v>
      </c>
      <c r="CC568" s="115" t="b">
        <f t="shared" ca="1" si="475"/>
        <v>0</v>
      </c>
      <c r="CD568" s="115">
        <f>IF(模拟模式!$Q$16="1个",IF(B568/40&gt;CE567,1,0),0)</f>
        <v>0</v>
      </c>
      <c r="CE568" s="115">
        <f t="shared" si="476"/>
        <v>0</v>
      </c>
      <c r="CF568" s="115">
        <f>IF(OR(CD568=1,模拟模式!$Q$16="2个"),20,MAX(0,CF567-$F$4))</f>
        <v>0</v>
      </c>
      <c r="CG568" s="115" t="b">
        <f t="shared" si="477"/>
        <v>0</v>
      </c>
      <c r="CH568" s="115">
        <f t="shared" ca="1" si="508"/>
        <v>7.8600000000000128</v>
      </c>
      <c r="CI568" s="115" t="b">
        <f t="shared" ca="1" si="509"/>
        <v>0</v>
      </c>
      <c r="CJ568" s="119">
        <f t="shared" ca="1" si="510"/>
        <v>0</v>
      </c>
      <c r="CK568" s="115">
        <f t="shared" ca="1" si="511"/>
        <v>0</v>
      </c>
      <c r="CL568" s="115" t="b">
        <f ca="1">AND(模拟模式!$S$7="驱夷逐法",OR(AND(C568="净世破魔击·月",E567&gt;59),AND(C568="净世破魔击·日",F567&gt;59)))</f>
        <v>0</v>
      </c>
      <c r="CM568" s="115" t="b">
        <f ca="1">OR(CL568,AND(C568="净世破魔击·日",CL567,RAND()&lt;模拟模式!$U$23))</f>
        <v>0</v>
      </c>
      <c r="CN568" s="115" t="b">
        <f ca="1">IF(模拟模式!$M$7="辉耀红尘",AND(C568="净世破魔击·月",CL568,CV568=0,E567&lt;80),AND(C568="净世破魔击·月",CL568,E567&lt;100))</f>
        <v>0</v>
      </c>
      <c r="CO568" s="115" t="b">
        <f t="shared" ca="1" si="484"/>
        <v>0</v>
      </c>
      <c r="CP568" s="115" t="b">
        <f ca="1">AND(模拟模式!$O$7="用晦而明",OR(C568="净世破魔击·日",C568="净世破魔击·月",C568="驱夜断愁"),AB568)</f>
        <v>0</v>
      </c>
      <c r="CQ568" s="115" t="b">
        <f ca="1">OR(CP568,AND(CP567,RAND()&lt;模拟模式!$U$23))</f>
        <v>1</v>
      </c>
      <c r="CR568" s="115" t="b">
        <f ca="1">AND(模拟模式!$S$7="日月齐光",OR(C568="幽月轮1",C568="幽月轮2",C568="幽月轮3",CR567),NOT(OR(C568="赤日轮1",C568="赤日轮2",C568="赤日轮3")))</f>
        <v>0</v>
      </c>
      <c r="CS568" s="115" t="b">
        <f ca="1">AND(模拟模式!$S$7="日月齐光",OR(C568="赤日轮1",C568="赤日轮2",C568="赤日轮3",CS567),NOT(OR(C568="幽月轮1",C568="幽月轮2",C568="幽月轮3")))</f>
        <v>0</v>
      </c>
      <c r="CT568" s="115">
        <f t="shared" ca="1" si="512"/>
        <v>4.1700000000000115</v>
      </c>
      <c r="CU568" s="115" t="b">
        <f ca="1">AND(模拟模式!$K$10="阴阳往极",CT567=0,RAND()&lt;IF(C568="净世破魔击·月",0.0275*7/3,IF(C568="净世破魔击·日",0.0275*3/3,0.0275*2/3)))</f>
        <v>0</v>
      </c>
      <c r="CV568" s="115">
        <f t="shared" ca="1" si="513"/>
        <v>0</v>
      </c>
      <c r="CW568" s="115">
        <f t="shared" ca="1" si="485"/>
        <v>1.3874999999999997</v>
      </c>
      <c r="CX568" s="115">
        <f t="shared" ca="1" si="486"/>
        <v>6</v>
      </c>
      <c r="CY568" s="115">
        <f ca="1">MAX(IF($C568="驱夜断愁",IF(模拟模式!$R$7="万念俱寂",6,45),CY567-$F$4),0)</f>
        <v>0.46499999999999975</v>
      </c>
      <c r="CZ568" s="115">
        <f t="shared" ca="1" si="487"/>
        <v>0</v>
      </c>
      <c r="DA568" s="115">
        <f ca="1">IF(模拟模式!$N$7="日月同辉",IF(DB567=2,0,MIN(6,IF(AND(OR(C568="赤日轮1",C568="赤日轮2",C568="赤日轮3",C568="幽月轮1",C568="幽月轮2",C568="幽月轮3"),AB568=1),DA567+1,DA567))),0)</f>
        <v>0</v>
      </c>
      <c r="DB568" s="115">
        <f t="shared" ca="1" si="488"/>
        <v>0</v>
      </c>
      <c r="DC568" s="115"/>
      <c r="DD568" s="115"/>
      <c r="DE568" s="115"/>
      <c r="DF568" s="115"/>
      <c r="DG568" s="115"/>
      <c r="DH568" s="115"/>
      <c r="DI568" s="115"/>
      <c r="DJ568" s="115"/>
      <c r="DK568" s="115"/>
      <c r="DL568" s="115"/>
      <c r="DM568" s="115"/>
    </row>
    <row r="569" spans="2:117" x14ac:dyDescent="0.2">
      <c r="B569" s="117">
        <f t="shared" si="489"/>
        <v>499.9950000000054</v>
      </c>
      <c r="C569" s="167" t="str">
        <f t="shared" ca="1" si="482"/>
        <v>驱夜断愁</v>
      </c>
      <c r="D569" s="115">
        <f ca="1">IF(C569="赤日轮1",1,IF(C569="赤日轮2",2,IF(C569="赤日轮3",3,IF(C569="幽月轮1",4,IF(C569="幽月轮2",5,IF(C569="幽月轮3",6,IF(C569="烈日斩",7,IF(C569="银月斩",8,IF(C569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569="净世破魔击·月",17,IF(C569="驱夜断愁",18,0)))))))))))</f>
        <v>18</v>
      </c>
      <c r="E569" s="115">
        <f ca="1">IF(AND(CU569,OR(C569="幽月轮1",C569="幽月轮2",C569="幽月轮3",C569="银月斩",C569="驱夜断愁",C569="净世破魔击·月")),100,MIN(IF(OR(CN569,BE569),0,IF(OR($C569="赤日轮1",$C569="赤日轮2",$C569="赤日轮3"),E568+20+IF(模拟模式!$I$7="日月凌天",4,0)+IF(CR568,20,0),IF($C569="烈日斩",E568+40,IF($C569="驱夜断愁",IF(模拟模式!$R$7="万念俱寂",E568+20,E568+60),IF($C569="净世破魔击·月",IF(OR(DB568&gt;0,CV568&gt;0),100,IF(模拟模式!$M$7="辉耀红尘",E568+20,E568)),IF($C569="净世破魔击·日",E568-100,E568)))))),100))</f>
        <v>40</v>
      </c>
      <c r="F569" s="115">
        <f ca="1">IF(AND(CU569,OR(C569="赤日轮1",C569="赤日轮2",C569="赤日轮3",C569="烈日斩",C569="净世破魔击·日")),100,MIN(IF(CO569,0,IF(OR($C569="幽月轮1",$C569="幽月轮2",$C569="幽月轮3"),F568+20+IF(模拟模式!$I$7="日月凌天",4,0)+IF(CS568,20,0),IF($C569="银月斩",F568+40+IF(模拟模式!$X$12=1,5,0),IF($C569="驱夜断愁",IF(模拟模式!$R$7="万念俱寂",F568+20,F568+60),IF($C569="净世破魔击·月",IF(模拟模式!$M$7="辉耀红尘",F568-80,F568-100),IF(AND(C569="净世破魔击·日",OR(DB568&gt;0,CV568&gt;0)),100,F568)))))),100))</f>
        <v>85</v>
      </c>
      <c r="G569" s="117">
        <f ca="1">('模拟-全程加成'!$E$3+'模拟-全程加成'!$E$4+'模拟-全程加成'!$E$5+('模拟-全程加成'!$C$6-'模拟-全程加成'!$C$3)*系数!$B$9+BS569*23)*(1+'模拟-全程加成'!$F$4+'模拟-全程加成'!$F$5+BJ569*10%+BM569*20%+BP569*4%+CG569*30%)+$F$7*系数!$B$12</f>
        <v>21493.829400000002</v>
      </c>
      <c r="H569" s="45">
        <f ca="1">'模拟-全程加成'!$H$3+'模拟-全程加成'!$H$4+'模拟-全程加成'!$H$5+('模拟-全程加成'!$G$4+'模拟-全程加成'!$G$5+('模拟-全程加成'!$C$6-'模拟-全程加成'!$C$3)*系数!$B$13)/系数!$B$3+LOOKUP(D569,'模拟-单技能数据'!$A$2:$A$19,'模拟-单技能数据'!$K$2:$K$19)+BG569*10%+IF(BV569&gt;0,378,0)</f>
        <v>0.51185145527300213</v>
      </c>
      <c r="I569" s="45">
        <f ca="1">'模拟-全程加成'!$J$3+'模拟-全程加成'!$J$4+'模拟-全程加成'!$J$5+('模拟-全程加成'!$I$4+'模拟-全程加成'!$I$5)/系数!$B$4+LOOKUP(D569,'模拟-单技能数据'!$A$2:$A$19,'模拟-单技能数据'!$L$2:$L$19)+BG569*10%</f>
        <v>2.162482885499879</v>
      </c>
      <c r="J569" s="45">
        <f ca="1">(('模拟-全程加成'!$K$3+'模拟-全程加成'!$K$4+'模拟-全程加成'!$K$5+('模拟-全程加成'!$C$6-'模拟-全程加成'!$C$3)*系数!$B$10+IF(BV569&gt;0,882,0)+IF(BY569&gt;0,1831,0))*(1+'模拟-全程加成'!$L$4+'模拟-全程加成'!$L$5+CC569*20%))/系数!$B$5</f>
        <v>0.69723220422048726</v>
      </c>
      <c r="K569" s="119">
        <f ca="1">LOOKUP(D569,'模拟-单技能数据'!$A$2:$A$19,'模拟-单技能数据'!$J$2:$J$19)+IF(CM569,60%,0)+IF(DB568-DB569&gt;0,30%,0)+IF(OR(AND(OR(C569="赤日轮1",C569="赤日轮2",C569="赤日轮3"),CR569),AND(OR(C569="幽月轮1",C569="幽月轮2",C569="幽月轮3"),CS569)),35%,0)+CJ569</f>
        <v>0.14000000000000001</v>
      </c>
      <c r="L569" s="119">
        <f ca="1">IF(AND(C569="烈日斩",模拟模式!$X$11=1),10%,0)+IF(AND(C569="驱夜断愁",AB569=1),30%,0)</f>
        <v>0.3</v>
      </c>
      <c r="M569" s="45">
        <f t="shared" ca="1" si="465"/>
        <v>0.51185145527300213</v>
      </c>
      <c r="N569" s="45">
        <f t="shared" ca="1" si="466"/>
        <v>0.43424854472699792</v>
      </c>
      <c r="O569" s="46">
        <f t="shared" ca="1" si="490"/>
        <v>0.66263931813240429</v>
      </c>
      <c r="P569" s="46" t="str">
        <f t="shared" ca="1" si="491"/>
        <v>命</v>
      </c>
      <c r="Q569" s="45">
        <f t="shared" ca="1" si="492"/>
        <v>1</v>
      </c>
      <c r="R569" s="117">
        <f ca="1">模拟模式!$E$20*(1-IF(模拟模式!$J$19="有",0.15,0))*(1-IF(模拟模式!$K$19="有",0.3,0)-IF(CQ569,0.5,0))</f>
        <v>843.02999999999975</v>
      </c>
      <c r="S569" s="45">
        <f ca="1">R569/(R569+(185*模拟模式!$E$22-16800)*4.08224)</f>
        <v>8.389626085980037E-2</v>
      </c>
      <c r="T569" s="45" t="str">
        <f ca="1">LOOKUP(D569,'模拟-单技能数据'!$A$2:$A$19,'模拟-单技能数据'!$H$2:$H$19)</f>
        <v>阴</v>
      </c>
      <c r="U569" s="119">
        <f t="shared" ca="1" si="467"/>
        <v>0.08</v>
      </c>
      <c r="V569" s="47">
        <f ca="1">(1+L569)*(LOOKUP(D569,'模拟-单技能数据'!$A$2:$A$19,'模拟-单技能数据'!$D$2:$D$19)+G569*LOOKUP(D569,'模拟-单技能数据'!$A$2:$A$19,'模拟-单技能数据'!$F$2:$F$19))*(1+J569)*(1+K569)*(1-S569)*(1+U569)*Q569*LOOKUP(D569,'模拟-单技能数据'!$A$2:$A$19,'模拟-单技能数据'!$I$2:$I$20)</f>
        <v>61540.073489592025</v>
      </c>
      <c r="W569" s="47">
        <f ca="1">LOOKUP(D569,'模拟-单技能数据'!$A$2:$A$19,'模拟-单技能数据'!$G$2:$G$19)*$I$10</f>
        <v>723.0212870940959</v>
      </c>
      <c r="X569" s="47">
        <f t="shared" ca="1" si="493"/>
        <v>25101.867467669974</v>
      </c>
      <c r="Y569" s="47">
        <f t="shared" ca="1" si="468"/>
        <v>87364.962244356095</v>
      </c>
      <c r="Z569" s="49">
        <f t="shared" ca="1" si="469"/>
        <v>56448450.093053468</v>
      </c>
      <c r="AA569" s="97">
        <f t="shared" ca="1" si="470"/>
        <v>112898.02916639738</v>
      </c>
      <c r="AB569" s="115">
        <f ca="1">IF(OR(C569="赤日轮1",C569="赤日轮2",C569="赤日轮3"),IF(RAND()&lt;模拟模式!$Y$17,1,0),IF(OR(C569="幽月轮1",C569="幽月轮2",C569="幽月轮3"),IF(RAND()&lt;模拟模式!$Y$18,1,0),IF(C569="烈日斩",IF(RAND()&lt;模拟模式!$Y$19,1,0),IF(C569="银月斩",IF(RAND()&lt;模拟模式!$Y$20,1,0),IF(C569="驱夜断愁",IF(RAND()&lt;模拟模式!$Y$21,1,0),IF(C569="净世破魔击·日",IF(RAND()&lt;模拟模式!$Y$22,1,0),IF(C569="净世破魔击·月",IF(RAND()&lt;模拟模式!$Y$23,1,0),0)))))))</f>
        <v>1</v>
      </c>
      <c r="AC569" s="115" t="b">
        <f t="shared" ca="1" si="458"/>
        <v>0</v>
      </c>
      <c r="AD569" s="115" t="b">
        <f t="shared" ca="1" si="478"/>
        <v>0</v>
      </c>
      <c r="AE569" s="115">
        <f t="shared" ca="1" si="479"/>
        <v>5</v>
      </c>
      <c r="AF569" s="47">
        <f ca="1">IF(AC569,('模拟-单技能数据'!$D$20+G569*'模拟-单技能数据'!$F$20)*(1+J569)*(1+'模拟-单技能数据'!$J$20)*(1+U569),0)</f>
        <v>0</v>
      </c>
      <c r="AG569" s="61">
        <f t="shared" ca="1" si="471"/>
        <v>0.64185145527300214</v>
      </c>
      <c r="AH569" s="61">
        <f t="shared" ca="1" si="472"/>
        <v>2.2624828854998791</v>
      </c>
      <c r="AI569" s="62">
        <f t="shared" ca="1" si="494"/>
        <v>0.32081012085068827</v>
      </c>
      <c r="AJ569" s="47">
        <f ca="1">IF(AD569,IF(AI569&lt;$F$10,0,IF(AI569&lt;$F$10+$F$11,0.25,IF(AI569&lt;$F$10+$F$11+AG569,AH569,1)))*IF(AF569&gt;0,AF569,IF(AF568&gt;0,AF568,IF(AF567&gt;0,AF567,IF(AF566&gt;0,AF566,IF(AF565&gt;0,AF565,IF(AF564&gt;0,AF564,IF(AF563&gt;0,AF563,IF(AF562&gt;0,AF562,IF(AF561&gt;0,AF561,IF(AF559&gt;0,AF559,IF(AF558&gt;0,AF558,IF(AF557&gt;0,AF557,0)))))))))))),0)*(1-$S569)*'模拟-单技能数据'!$I$20</f>
        <v>0</v>
      </c>
      <c r="AK569" s="115" t="b">
        <f t="shared" ca="1" si="459"/>
        <v>0</v>
      </c>
      <c r="AL569" s="115" t="b">
        <f t="shared" ca="1" si="480"/>
        <v>1</v>
      </c>
      <c r="AM569" s="115">
        <f t="shared" ca="1" si="481"/>
        <v>4</v>
      </c>
      <c r="AN569" s="47">
        <f ca="1">IF(AK569,('模拟-单技能数据'!$D$21+G569*'模拟-单技能数据'!$F$21)*(1+J569)*(1+'模拟-单技能数据'!$J$21)*(1+U569),0)</f>
        <v>0</v>
      </c>
      <c r="AO569" s="61">
        <f ca="1">IF(AN569&gt;0,M569-'模拟-单技能数据'!$K$10,AO568)</f>
        <v>0.42185145527300216</v>
      </c>
      <c r="AP569" s="61">
        <f ca="1">IF(AN569&gt;0,I569-'模拟-单技能数据'!$L$10,AP568)</f>
        <v>2.162482885499879</v>
      </c>
      <c r="AQ569" s="63">
        <f t="shared" ca="1" si="495"/>
        <v>6.9486249088029473E-2</v>
      </c>
      <c r="AR569" s="64">
        <f ca="1">IF(AL569,IF(AQ569&lt;$F$10,0,IF(AQ569&lt;$F$10+$F$11,0.25,IF(AQ569&lt;$F$10+$F$11+AO569,AP569,1)))*IF(AN569&gt;0,AN569,IF(AN568&gt;0,AN568,IF(AN567&gt;0,AN567,IF(AN566&gt;0,AN566,IF(AN565&gt;0,AN565,IF(AN564&gt;0,AN564,IF(AN563&gt;0,AN563,IF(AN562&gt;0,AN562,IF(AN561&gt;0,AN561,IF(AN559&gt;0,AN559,IF(AN558&gt;0,AN558,IF(AN557&gt;0,AN557,0)))))))))))),0)*(1-$S569)*'模拟-单技能数据'!$I$21</f>
        <v>25101.867467669974</v>
      </c>
      <c r="AS569" s="61">
        <f ca="1">IF(OR(C569="净世破魔击·日",C569="净世破魔击·月"),M569-'模拟-单技能数据'!$K$10,0)</f>
        <v>0</v>
      </c>
      <c r="AT569" s="61">
        <f ca="1">IF(OR(C569="净世破魔击·日",C569="净世破魔击·月"),I569-'模拟-单技能数据'!$L$10,0)</f>
        <v>0</v>
      </c>
      <c r="AU569" s="62">
        <f t="shared" ca="1" si="496"/>
        <v>0.83884201554191484</v>
      </c>
      <c r="AV569" s="64">
        <f ca="1">IF(AS569&gt;0,('模拟-单技能数据'!$D$22+G569*'模拟-单技能数据'!$F$22)*(1+J569)*(1-S569)*IF(AU569&lt;$F$10,0,IF(AU569&lt;$F$10+$F$11,0.25,IF(AU569&lt;$F$10+$F$11+AS569,AT569,1)))*(1+U569),0)*'模拟-单技能数据'!$I$22</f>
        <v>0</v>
      </c>
      <c r="AW569" s="108">
        <f t="shared" ca="1" si="497"/>
        <v>15.387500000000003</v>
      </c>
      <c r="AX569" s="108" t="b">
        <f ca="1">AND(模拟模式!$P$10="有",AW568=0,RAND()&lt;IF(C569="净世破魔击·月",0.1*8/3,IF(C569="净世破魔击·日",0.1*4/3,0.1*2/3)))</f>
        <v>0</v>
      </c>
      <c r="AY569" s="47">
        <f ca="1">IF(AX569,(18+G569*0.722)*(1+J569)*(1-S569)*(1+$I$4)*IF(P569="会",'模拟-全程加成'!$J$3+'模拟-全程加成'!$J$4+'模拟-全程加成'!$J$5+('模拟-全程加成'!$I$4+'模拟-全程加成'!$I$5)/系数!$B$4+BG569*10%,IF(P569="命",1,IF(P569="识",0.25,0))),0)</f>
        <v>0</v>
      </c>
      <c r="AZ569" s="108">
        <f t="shared" si="498"/>
        <v>7.0850000000000071</v>
      </c>
      <c r="BA569" s="108" t="b">
        <f>AND(模拟模式!$Q$10="有",AZ568=0)</f>
        <v>0</v>
      </c>
      <c r="BB569" s="140">
        <f>IF(BA569,(0+G569*0.287)*(1+J569)*(1-S569)*(1+$I$4)*IF(P569="会",'模拟-全程加成'!$J$3+'模拟-全程加成'!$J$4+'模拟-全程加成'!$J$5+('模拟-全程加成'!$I$4+'模拟-全程加成'!$I$5)/系数!$B$4+BG569*10%,IF(P569="命",1,IF(P569="识",0.25,0))),0)</f>
        <v>0</v>
      </c>
      <c r="BC569" s="115" t="b">
        <f ca="1">AND(模拟模式!$R$7="伏明众生",E569=60,F569=20,DA569&lt;5,CZ568&lt;$F$4)</f>
        <v>0</v>
      </c>
      <c r="BD569" s="115">
        <f t="shared" ca="1" si="460"/>
        <v>0</v>
      </c>
      <c r="BE569" s="115" t="b">
        <f t="shared" ca="1" si="461"/>
        <v>0</v>
      </c>
      <c r="BF569" s="47">
        <f ca="1">IF(BC569,4*('模拟-单技能数据'!$D$24+G569*'模拟-单技能数据'!$F$24)*(1+J569)*(1+'模拟-单技能数据'!$J$24)*(1-S569)*(1+$I$3)*(('模拟-全程加成'!$J$3+'模拟-全程加成'!$J$4+'模拟-全程加成'!$J$5+('模拟-全程加成'!$I$4+'模拟-全程加成'!$I$5)/系数!$B$4+BG569*10%)*('模拟-全程加成'!$J$3+'模拟-全程加成'!$J$4+'模拟-全程加成'!$J$5+('模拟-全程加成'!$I$4+'模拟-全程加成'!$I$5)/系数!$B$4+BG569*10%)+(1-('模拟-全程加成'!$J$3+'模拟-全程加成'!$J$4+'模拟-全程加成'!$J$5+('模拟-全程加成'!$I$4+'模拟-全程加成'!$I$5)/系数!$B$4+BG569*10%)-$F$10-$F$11)+F555*0.25),0)*'模拟-单技能数据'!$I$24</f>
        <v>0</v>
      </c>
      <c r="BG569" s="115" t="b">
        <f ca="1">OR(AND(OR(C569="烈日斩",C569="银月斩"),模拟模式!$I$7="净身明礼"),AND(C569="净世破魔击·日",模拟模式!$J$7="洞若观火"),AND(C570="净世破魔击·月",模拟模式!$J$7="洞若观火"),AB569=1)</f>
        <v>1</v>
      </c>
      <c r="BH569" s="115" t="b">
        <f t="shared" ca="1" si="499"/>
        <v>0</v>
      </c>
      <c r="BI569" s="115">
        <f t="shared" ca="1" si="462"/>
        <v>4.1549999999999994</v>
      </c>
      <c r="BJ569" s="115" t="b">
        <f t="shared" ca="1" si="473"/>
        <v>1</v>
      </c>
      <c r="BK569" s="115" t="b">
        <f ca="1">AND(C569="驱夜断愁",模拟模式!$P$7="天地诛戮")</f>
        <v>1</v>
      </c>
      <c r="BL569" s="57">
        <f t="shared" ca="1" si="463"/>
        <v>20</v>
      </c>
      <c r="BM569" s="115" t="b">
        <f t="shared" ca="1" si="474"/>
        <v>1</v>
      </c>
      <c r="BN569" s="115" t="b">
        <f ca="1">AND(OR(C569="赤日轮1",C569="赤日轮2",C569="赤日轮3",C569="幽月轮1",C569="幽月轮2",C569="幽月轮3"),AB569=1,模拟模式!$L$7="明光恒照")</f>
        <v>0</v>
      </c>
      <c r="BO569" s="117">
        <f t="shared" ca="1" si="464"/>
        <v>25.387500000000003</v>
      </c>
      <c r="BP569" s="115">
        <f t="shared" ca="1" si="500"/>
        <v>6</v>
      </c>
      <c r="BQ569" s="115" t="b">
        <f>模拟模式!$K$10="2600·水"</f>
        <v>0</v>
      </c>
      <c r="BR569" s="117">
        <f t="shared" si="501"/>
        <v>0</v>
      </c>
      <c r="BS569" s="115">
        <f t="shared" si="502"/>
        <v>0</v>
      </c>
      <c r="BT569" s="115">
        <f t="shared" ca="1" si="503"/>
        <v>0</v>
      </c>
      <c r="BU569" s="115" t="b">
        <f ca="1">AND(模拟模式!$K$10="2300·雷",BT568=0,RAND()&lt;IF(C569="净世破魔击·月",5*0.05*2/3,IF(C569="净世破魔击·日",3*0.05*2/3,0.05*2*2/3)))</f>
        <v>0</v>
      </c>
      <c r="BV569" s="115">
        <f t="shared" ca="1" si="504"/>
        <v>0</v>
      </c>
      <c r="BW569" s="115">
        <f t="shared" ca="1" si="505"/>
        <v>55.462499999999281</v>
      </c>
      <c r="BX569" s="164" t="b">
        <f t="shared" ca="1" si="506"/>
        <v>0</v>
      </c>
      <c r="BY569" s="115">
        <f t="shared" ca="1" si="507"/>
        <v>0</v>
      </c>
      <c r="BZ569" s="115">
        <f>IF(OR(模拟模式!$P$16="10人团",模拟模式!$P$16="25人团"),IF(B569/30&gt;CA568,1,0),0)</f>
        <v>0</v>
      </c>
      <c r="CA569" s="115">
        <f t="shared" si="483"/>
        <v>0</v>
      </c>
      <c r="CB569" s="115">
        <f ca="1">IF(BZ569=1,IF(模拟模式!$P$16="10人团",15,0)+IF(模拟模式!$P$16="25人团",IF(RAND()&lt;0.6,15,0)),MAX(0,CB568-$F$4))</f>
        <v>0</v>
      </c>
      <c r="CC569" s="115" t="b">
        <f t="shared" ca="1" si="475"/>
        <v>0</v>
      </c>
      <c r="CD569" s="115">
        <f>IF(模拟模式!$Q$16="1个",IF(B569/40&gt;CE568,1,0),0)</f>
        <v>0</v>
      </c>
      <c r="CE569" s="115">
        <f t="shared" si="476"/>
        <v>0</v>
      </c>
      <c r="CF569" s="115">
        <f>IF(OR(CD569=1,模拟模式!$Q$16="2个"),20,MAX(0,CF568-$F$4))</f>
        <v>0</v>
      </c>
      <c r="CG569" s="115" t="b">
        <f t="shared" si="477"/>
        <v>0</v>
      </c>
      <c r="CH569" s="115">
        <f t="shared" ca="1" si="508"/>
        <v>6.9375000000000124</v>
      </c>
      <c r="CI569" s="115" t="b">
        <f t="shared" ca="1" si="509"/>
        <v>0</v>
      </c>
      <c r="CJ569" s="119">
        <f t="shared" ca="1" si="510"/>
        <v>0</v>
      </c>
      <c r="CK569" s="115">
        <f t="shared" ca="1" si="511"/>
        <v>0</v>
      </c>
      <c r="CL569" s="115" t="b">
        <f ca="1">AND(模拟模式!$S$7="驱夷逐法",OR(AND(C569="净世破魔击·月",E568&gt;59),AND(C569="净世破魔击·日",F568&gt;59)))</f>
        <v>0</v>
      </c>
      <c r="CM569" s="115" t="b">
        <f ca="1">OR(CL569,AND(C569="净世破魔击·日",CL568,RAND()&lt;模拟模式!$U$23))</f>
        <v>0</v>
      </c>
      <c r="CN569" s="115" t="b">
        <f ca="1">IF(模拟模式!$M$7="辉耀红尘",AND(C569="净世破魔击·月",CL569,CV569=0,E568&lt;80),AND(C569="净世破魔击·月",CL569,E568&lt;100))</f>
        <v>0</v>
      </c>
      <c r="CO569" s="115" t="b">
        <f t="shared" ca="1" si="484"/>
        <v>0</v>
      </c>
      <c r="CP569" s="115" t="b">
        <f ca="1">AND(模拟模式!$O$7="用晦而明",OR(C569="净世破魔击·日",C569="净世破魔击·月",C569="驱夜断愁"),AB569)</f>
        <v>1</v>
      </c>
      <c r="CQ569" s="115" t="b">
        <f ca="1">OR(CP569,AND(CP568,RAND()&lt;模拟模式!$U$23))</f>
        <v>1</v>
      </c>
      <c r="CR569" s="115" t="b">
        <f ca="1">AND(模拟模式!$S$7="日月齐光",OR(C569="幽月轮1",C569="幽月轮2",C569="幽月轮3",CR568),NOT(OR(C569="赤日轮1",C569="赤日轮2",C569="赤日轮3")))</f>
        <v>0</v>
      </c>
      <c r="CS569" s="115" t="b">
        <f ca="1">AND(模拟模式!$S$7="日月齐光",OR(C569="赤日轮1",C569="赤日轮2",C569="赤日轮3",CS568),NOT(OR(C569="幽月轮1",C569="幽月轮2",C569="幽月轮3")))</f>
        <v>0</v>
      </c>
      <c r="CT569" s="115">
        <f t="shared" ca="1" si="512"/>
        <v>3.2475000000000116</v>
      </c>
      <c r="CU569" s="115" t="b">
        <f ca="1">AND(模拟模式!$K$10="阴阳往极",CT568=0,RAND()&lt;IF(C569="净世破魔击·月",0.0275*7/3,IF(C569="净世破魔击·日",0.0275*3/3,0.0275*2/3)))</f>
        <v>0</v>
      </c>
      <c r="CV569" s="115">
        <f t="shared" ca="1" si="513"/>
        <v>0</v>
      </c>
      <c r="CW569" s="115">
        <f t="shared" ca="1" si="485"/>
        <v>0.46499999999999975</v>
      </c>
      <c r="CX569" s="115">
        <f t="shared" ca="1" si="486"/>
        <v>5.0774999999999997</v>
      </c>
      <c r="CY569" s="115">
        <f ca="1">MAX(IF($C569="驱夜断愁",IF(模拟模式!$R$7="万念俱寂",6,45),CY568-$F$4),0)</f>
        <v>6</v>
      </c>
      <c r="CZ569" s="115">
        <f t="shared" ca="1" si="487"/>
        <v>0</v>
      </c>
      <c r="DA569" s="115">
        <f ca="1">IF(模拟模式!$N$7="日月同辉",IF(DB568=2,0,MIN(6,IF(AND(OR(C569="赤日轮1",C569="赤日轮2",C569="赤日轮3",C569="幽月轮1",C569="幽月轮2",C569="幽月轮3"),AB569=1),DA568+1,DA568))),0)</f>
        <v>0</v>
      </c>
      <c r="DB569" s="115">
        <f t="shared" ca="1" si="488"/>
        <v>0</v>
      </c>
      <c r="DC569" s="115"/>
      <c r="DD569" s="115"/>
      <c r="DE569" s="115"/>
      <c r="DF569" s="115"/>
      <c r="DG569" s="115"/>
      <c r="DH569" s="115"/>
      <c r="DI569" s="115"/>
      <c r="DJ569" s="115"/>
      <c r="DK569" s="115"/>
      <c r="DL569" s="115"/>
      <c r="DM569" s="115"/>
    </row>
    <row r="570" spans="2:117" x14ac:dyDescent="0.2">
      <c r="B570" s="117">
        <f t="shared" si="489"/>
        <v>500.91750000000542</v>
      </c>
      <c r="C570" s="167" t="str">
        <f t="shared" ca="1" si="482"/>
        <v>烈日斩</v>
      </c>
      <c r="D570" s="115">
        <f ca="1">IF(C570="赤日轮1",1,IF(C570="赤日轮2",2,IF(C570="赤日轮3",3,IF(C570="幽月轮1",4,IF(C570="幽月轮2",5,IF(C570="幽月轮3",6,IF(C570="烈日斩",7,IF(C570="银月斩",8,IF(C570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570="净世破魔击·月",17,IF(C570="驱夜断愁",18,0)))))))))))</f>
        <v>7</v>
      </c>
      <c r="E570" s="115">
        <f ca="1">IF(AND(CU570,OR(C570="幽月轮1",C570="幽月轮2",C570="幽月轮3",C570="银月斩",C570="驱夜断愁",C570="净世破魔击·月")),100,MIN(IF(OR(CN570,BE570),0,IF(OR($C570="赤日轮1",$C570="赤日轮2",$C570="赤日轮3"),E569+20+IF(模拟模式!$I$7="日月凌天",4,0)+IF(CR569,20,0),IF($C570="烈日斩",E569+40,IF($C570="驱夜断愁",IF(模拟模式!$R$7="万念俱寂",E569+20,E569+60),IF($C570="净世破魔击·月",IF(OR(DB569&gt;0,CV569&gt;0),100,IF(模拟模式!$M$7="辉耀红尘",E569+20,E569)),IF($C570="净世破魔击·日",E569-100,E569)))))),100))</f>
        <v>80</v>
      </c>
      <c r="F570" s="115">
        <f ca="1">IF(AND(CU570,OR(C570="赤日轮1",C570="赤日轮2",C570="赤日轮3",C570="烈日斩",C570="净世破魔击·日")),100,MIN(IF(CO570,0,IF(OR($C570="幽月轮1",$C570="幽月轮2",$C570="幽月轮3"),F569+20+IF(模拟模式!$I$7="日月凌天",4,0)+IF(CS569,20,0),IF($C570="银月斩",F569+40+IF(模拟模式!$X$12=1,5,0),IF($C570="驱夜断愁",IF(模拟模式!$R$7="万念俱寂",F569+20,F569+60),IF($C570="净世破魔击·月",IF(模拟模式!$M$7="辉耀红尘",F569-80,F569-100),IF(AND(C570="净世破魔击·日",OR(DB569&gt;0,CV569&gt;0)),100,F569)))))),100))</f>
        <v>85</v>
      </c>
      <c r="G570" s="117">
        <f ca="1">('模拟-全程加成'!$E$3+'模拟-全程加成'!$E$4+'模拟-全程加成'!$E$5+('模拟-全程加成'!$C$6-'模拟-全程加成'!$C$3)*系数!$B$9+BS570*23)*(1+'模拟-全程加成'!$F$4+'模拟-全程加成'!$F$5+BJ570*10%+BM570*20%+BP570*4%+CG570*30%)+$F$7*系数!$B$12</f>
        <v>21493.829400000002</v>
      </c>
      <c r="H570" s="45">
        <f ca="1">'模拟-全程加成'!$H$3+'模拟-全程加成'!$H$4+'模拟-全程加成'!$H$5+('模拟-全程加成'!$G$4+'模拟-全程加成'!$G$5+('模拟-全程加成'!$C$6-'模拟-全程加成'!$C$3)*系数!$B$13)/系数!$B$3+LOOKUP(D570,'模拟-单技能数据'!$A$2:$A$19,'模拟-单技能数据'!$K$2:$K$19)+BG570*10%+IF(BV570&gt;0,378,0)</f>
        <v>0.56185145527300218</v>
      </c>
      <c r="I570" s="45">
        <f ca="1">'模拟-全程加成'!$J$3+'模拟-全程加成'!$J$4+'模拟-全程加成'!$J$5+('模拟-全程加成'!$I$4+'模拟-全程加成'!$I$5)/系数!$B$4+LOOKUP(D570,'模拟-单技能数据'!$A$2:$A$19,'模拟-单技能数据'!$L$2:$L$19)+BG570*10%</f>
        <v>2.2624828854998791</v>
      </c>
      <c r="J570" s="45">
        <f ca="1">(('模拟-全程加成'!$K$3+'模拟-全程加成'!$K$4+'模拟-全程加成'!$K$5+('模拟-全程加成'!$C$6-'模拟-全程加成'!$C$3)*系数!$B$10+IF(BV570&gt;0,882,0)+IF(BY570&gt;0,1831,0))*(1+'模拟-全程加成'!$L$4+'模拟-全程加成'!$L$5+CC570*20%))/系数!$B$5</f>
        <v>0.69723220422048726</v>
      </c>
      <c r="K570" s="119">
        <f ca="1">LOOKUP(D570,'模拟-单技能数据'!$A$2:$A$19,'模拟-单技能数据'!$J$2:$J$19)+IF(CM570,60%,0)+IF(DB569-DB570&gt;0,30%,0)+IF(OR(AND(OR(C570="赤日轮1",C570="赤日轮2",C570="赤日轮3"),CR570),AND(OR(C570="幽月轮1",C570="幽月轮2",C570="幽月轮3"),CS570)),35%,0)+CJ570</f>
        <v>0.24</v>
      </c>
      <c r="L570" s="119">
        <f ca="1">IF(AND(C570="烈日斩",模拟模式!$X$11=1),10%,0)+IF(AND(C570="驱夜断愁",AB570=1),30%,0)</f>
        <v>0.1</v>
      </c>
      <c r="M570" s="45">
        <f t="shared" ca="1" si="465"/>
        <v>0.56185145527300218</v>
      </c>
      <c r="N570" s="45">
        <f t="shared" ca="1" si="466"/>
        <v>0.38424854472699788</v>
      </c>
      <c r="O570" s="46">
        <f t="shared" ca="1" si="490"/>
        <v>0.25350974267205961</v>
      </c>
      <c r="P570" s="46" t="str">
        <f t="shared" ca="1" si="491"/>
        <v>会</v>
      </c>
      <c r="Q570" s="45">
        <f t="shared" ca="1" si="492"/>
        <v>2.2624828854998791</v>
      </c>
      <c r="R570" s="117">
        <f ca="1">模拟模式!$E$20*(1-IF(模拟模式!$J$19="有",0.15,0))*(1-IF(模拟模式!$K$19="有",0.3,0)-IF(CQ570,0.5,0))</f>
        <v>843.02999999999975</v>
      </c>
      <c r="S570" s="45">
        <f ca="1">R570/(R570+(185*模拟模式!$E$22-16800)*4.08224)</f>
        <v>8.389626085980037E-2</v>
      </c>
      <c r="T570" s="45" t="str">
        <f ca="1">LOOKUP(D570,'模拟-单技能数据'!$A$2:$A$19,'模拟-单技能数据'!$H$2:$H$19)</f>
        <v>阳</v>
      </c>
      <c r="U570" s="119">
        <f t="shared" ca="1" si="467"/>
        <v>0.2</v>
      </c>
      <c r="V570" s="47">
        <f ca="1">(1+L570)*(LOOKUP(D570,'模拟-单技能数据'!$A$2:$A$19,'模拟-单技能数据'!$D$2:$D$19)+G570*LOOKUP(D570,'模拟-单技能数据'!$A$2:$A$19,'模拟-单技能数据'!$F$2:$F$19))*(1+J570)*(1+K570)*(1-S570)*(1+U570)*Q570*LOOKUP(D570,'模拟-单技能数据'!$A$2:$A$19,'模拟-单技能数据'!$I$2:$I$20)</f>
        <v>110503.35617153208</v>
      </c>
      <c r="W570" s="47">
        <f ca="1">LOOKUP(D570,'模拟-单技能数据'!$A$2:$A$19,'模拟-单技能数据'!$G$2:$G$19)*$I$10</f>
        <v>361.51064354704795</v>
      </c>
      <c r="X570" s="47">
        <f t="shared" ca="1" si="493"/>
        <v>9616.6571145767884</v>
      </c>
      <c r="Y570" s="47">
        <f t="shared" ca="1" si="468"/>
        <v>120481.52392965593</v>
      </c>
      <c r="Z570" s="49">
        <f t="shared" ca="1" si="469"/>
        <v>56568931.616983123</v>
      </c>
      <c r="AA570" s="97">
        <f t="shared" ca="1" si="470"/>
        <v>112930.63551778988</v>
      </c>
      <c r="AB570" s="115">
        <f ca="1">IF(OR(C570="赤日轮1",C570="赤日轮2",C570="赤日轮3"),IF(RAND()&lt;模拟模式!$Y$17,1,0),IF(OR(C570="幽月轮1",C570="幽月轮2",C570="幽月轮3"),IF(RAND()&lt;模拟模式!$Y$18,1,0),IF(C570="烈日斩",IF(RAND()&lt;模拟模式!$Y$19,1,0),IF(C570="银月斩",IF(RAND()&lt;模拟模式!$Y$20,1,0),IF(C570="驱夜断愁",IF(RAND()&lt;模拟模式!$Y$21,1,0),IF(C570="净世破魔击·日",IF(RAND()&lt;模拟模式!$Y$22,1,0),IF(C570="净世破魔击·月",IF(RAND()&lt;模拟模式!$Y$23,1,0),0)))))))</f>
        <v>1</v>
      </c>
      <c r="AC570" s="115" t="b">
        <f t="shared" ca="1" si="458"/>
        <v>0</v>
      </c>
      <c r="AD570" s="115" t="b">
        <f t="shared" ca="1" si="478"/>
        <v>1</v>
      </c>
      <c r="AE570" s="115">
        <f t="shared" ca="1" si="479"/>
        <v>4</v>
      </c>
      <c r="AF570" s="47">
        <f ca="1">IF(AC570,('模拟-单技能数据'!$D$20+G570*'模拟-单技能数据'!$F$20)*(1+J570)*(1+'模拟-单技能数据'!$J$20)*(1+U570),0)</f>
        <v>0</v>
      </c>
      <c r="AG570" s="61">
        <f t="shared" ca="1" si="471"/>
        <v>0.64185145527300214</v>
      </c>
      <c r="AH570" s="61">
        <f t="shared" ca="1" si="472"/>
        <v>2.2624828854998791</v>
      </c>
      <c r="AI570" s="62">
        <f t="shared" ca="1" si="494"/>
        <v>0.1604755725552145</v>
      </c>
      <c r="AJ570" s="47">
        <f ca="1">IF(AD570,IF(AI570&lt;$F$10,0,IF(AI570&lt;$F$10+$F$11,0.25,IF(AI570&lt;$F$10+$F$11+AG570,AH570,1)))*IF(AF570&gt;0,AF570,IF(AF569&gt;0,AF569,IF(AF568&gt;0,AF568,IF(AF567&gt;0,AF567,IF(AF566&gt;0,AF566,IF(AF565&gt;0,AF565,IF(AF564&gt;0,AF564,IF(AF563&gt;0,AF563,IF(AF562&gt;0,AF562,IF(AF560&gt;0,AF560,IF(AF559&gt;0,AF559,IF(AF558&gt;0,AF558,0)))))))))))),0)*(1-$S570)*'模拟-单技能数据'!$I$20</f>
        <v>9616.6571145767884</v>
      </c>
      <c r="AK570" s="115" t="b">
        <f t="shared" ca="1" si="459"/>
        <v>0</v>
      </c>
      <c r="AL570" s="115" t="b">
        <f t="shared" ca="1" si="480"/>
        <v>0</v>
      </c>
      <c r="AM570" s="115">
        <f t="shared" ca="1" si="481"/>
        <v>4</v>
      </c>
      <c r="AN570" s="47">
        <f ca="1">IF(AK570,('模拟-单技能数据'!$D$21+G570*'模拟-单技能数据'!$F$21)*(1+J570)*(1+'模拟-单技能数据'!$J$21)*(1+U570),0)</f>
        <v>0</v>
      </c>
      <c r="AO570" s="61">
        <f ca="1">IF(AN570&gt;0,M570-'模拟-单技能数据'!$K$10,AO569)</f>
        <v>0.42185145527300216</v>
      </c>
      <c r="AP570" s="61">
        <f ca="1">IF(AN570&gt;0,I570-'模拟-单技能数据'!$L$10,AP569)</f>
        <v>2.162482885499879</v>
      </c>
      <c r="AQ570" s="63">
        <f t="shared" ca="1" si="495"/>
        <v>0.81570857715871747</v>
      </c>
      <c r="AR570" s="64">
        <f ca="1">IF(AL570,IF(AQ570&lt;$F$10,0,IF(AQ570&lt;$F$10+$F$11,0.25,IF(AQ570&lt;$F$10+$F$11+AO570,AP570,1)))*IF(AN570&gt;0,AN570,IF(AN569&gt;0,AN569,IF(AN568&gt;0,AN568,IF(AN567&gt;0,AN567,IF(AN566&gt;0,AN566,IF(AN565&gt;0,AN565,IF(AN564&gt;0,AN564,IF(AN563&gt;0,AN563,IF(AN562&gt;0,AN562,IF(AN560&gt;0,AN560,IF(AN559&gt;0,AN559,IF(AN558&gt;0,AN558,0)))))))))))),0)*(1-$S570)*'模拟-单技能数据'!$I$21</f>
        <v>0</v>
      </c>
      <c r="AS570" s="61">
        <f ca="1">IF(OR(C570="净世破魔击·日",C570="净世破魔击·月"),M570-'模拟-单技能数据'!$K$10,0)</f>
        <v>0</v>
      </c>
      <c r="AT570" s="61">
        <f ca="1">IF(OR(C570="净世破魔击·日",C570="净世破魔击·月"),I570-'模拟-单技能数据'!$L$10,0)</f>
        <v>0</v>
      </c>
      <c r="AU570" s="62">
        <f t="shared" ca="1" si="496"/>
        <v>0.29086595412311611</v>
      </c>
      <c r="AV570" s="64">
        <f ca="1">IF(AS570&gt;0,('模拟-单技能数据'!$D$22+G570*'模拟-单技能数据'!$F$22)*(1+J570)*(1-S570)*IF(AU570&lt;$F$10,0,IF(AU570&lt;$F$10+$F$11,0.25,IF(AU570&lt;$F$10+$F$11+AS570,AT570,1)))*(1+U570),0)*'模拟-单技能数据'!$I$22</f>
        <v>0</v>
      </c>
      <c r="AW570" s="108">
        <f t="shared" ca="1" si="497"/>
        <v>14.465000000000003</v>
      </c>
      <c r="AX570" s="108" t="b">
        <f ca="1">AND(模拟模式!$P$10="有",AW569=0,RAND()&lt;IF(C570="净世破魔击·月",0.1*8/3,IF(C570="净世破魔击·日",0.1*4/3,0.1*2/3)))</f>
        <v>0</v>
      </c>
      <c r="AY570" s="47">
        <f ca="1">IF(AX570,(18+G570*0.722)*(1+J570)*(1-S570)*(1+$I$4)*IF(P570="会",'模拟-全程加成'!$J$3+'模拟-全程加成'!$J$4+'模拟-全程加成'!$J$5+('模拟-全程加成'!$I$4+'模拟-全程加成'!$I$5)/系数!$B$4+BG570*10%,IF(P570="命",1,IF(P570="识",0.25,0))),0)</f>
        <v>0</v>
      </c>
      <c r="AZ570" s="108">
        <f t="shared" si="498"/>
        <v>6.1625000000000068</v>
      </c>
      <c r="BA570" s="108" t="b">
        <f>AND(模拟模式!$Q$10="有",AZ569=0)</f>
        <v>0</v>
      </c>
      <c r="BB570" s="140">
        <f>IF(BA570,(0+G570*0.287)*(1+J570)*(1-S570)*(1+$I$4)*IF(P570="会",'模拟-全程加成'!$J$3+'模拟-全程加成'!$J$4+'模拟-全程加成'!$J$5+('模拟-全程加成'!$I$4+'模拟-全程加成'!$I$5)/系数!$B$4+BG570*10%,IF(P570="命",1,IF(P570="识",0.25,0))),0)</f>
        <v>0</v>
      </c>
      <c r="BC570" s="115" t="b">
        <f ca="1">AND(模拟模式!$R$7="伏明众生",E570=60,F570=20,DA570&lt;5,CZ569&lt;$F$4)</f>
        <v>0</v>
      </c>
      <c r="BD570" s="115">
        <f t="shared" ca="1" si="460"/>
        <v>0</v>
      </c>
      <c r="BE570" s="115" t="b">
        <f t="shared" ca="1" si="461"/>
        <v>0</v>
      </c>
      <c r="BF570" s="47">
        <f ca="1">IF(BC570,4*('模拟-单技能数据'!$D$24+G570*'模拟-单技能数据'!$F$24)*(1+J570)*(1+'模拟-单技能数据'!$J$24)*(1-S570)*(1+$I$3)*(('模拟-全程加成'!$J$3+'模拟-全程加成'!$J$4+'模拟-全程加成'!$J$5+('模拟-全程加成'!$I$4+'模拟-全程加成'!$I$5)/系数!$B$4+BG570*10%)*('模拟-全程加成'!$J$3+'模拟-全程加成'!$J$4+'模拟-全程加成'!$J$5+('模拟-全程加成'!$I$4+'模拟-全程加成'!$I$5)/系数!$B$4+BG570*10%)+(1-('模拟-全程加成'!$J$3+'模拟-全程加成'!$J$4+'模拟-全程加成'!$J$5+('模拟-全程加成'!$I$4+'模拟-全程加成'!$I$5)/系数!$B$4+BG570*10%)-$F$10-$F$11)+F556*0.25),0)*'模拟-单技能数据'!$I$24</f>
        <v>0</v>
      </c>
      <c r="BG570" s="115" t="b">
        <f ca="1">OR(AND(OR(C570="烈日斩",C570="银月斩"),模拟模式!$I$7="净身明礼"),AND(C570="净世破魔击·日",模拟模式!$J$7="洞若观火"),AND(C571="净世破魔击·月",模拟模式!$J$7="洞若观火"),AB570=1)</f>
        <v>1</v>
      </c>
      <c r="BH570" s="115" t="b">
        <f t="shared" ca="1" si="499"/>
        <v>0</v>
      </c>
      <c r="BI570" s="115">
        <f t="shared" ca="1" si="462"/>
        <v>3.2324999999999995</v>
      </c>
      <c r="BJ570" s="115" t="b">
        <f t="shared" ca="1" si="473"/>
        <v>1</v>
      </c>
      <c r="BK570" s="115" t="b">
        <f ca="1">AND(C570="驱夜断愁",模拟模式!$P$7="天地诛戮")</f>
        <v>0</v>
      </c>
      <c r="BL570" s="57">
        <f t="shared" ca="1" si="463"/>
        <v>19.077500000000001</v>
      </c>
      <c r="BM570" s="115" t="b">
        <f t="shared" ca="1" si="474"/>
        <v>1</v>
      </c>
      <c r="BN570" s="115" t="b">
        <f ca="1">AND(OR(C570="赤日轮1",C570="赤日轮2",C570="赤日轮3",C570="幽月轮1",C570="幽月轮2",C570="幽月轮3"),AB570=1,模拟模式!$L$7="明光恒照")</f>
        <v>0</v>
      </c>
      <c r="BO570" s="117">
        <f t="shared" ca="1" si="464"/>
        <v>24.465000000000003</v>
      </c>
      <c r="BP570" s="115">
        <f t="shared" ca="1" si="500"/>
        <v>6</v>
      </c>
      <c r="BQ570" s="115" t="b">
        <f>模拟模式!$K$10="2600·水"</f>
        <v>0</v>
      </c>
      <c r="BR570" s="117">
        <f t="shared" si="501"/>
        <v>0</v>
      </c>
      <c r="BS570" s="115">
        <f t="shared" si="502"/>
        <v>0</v>
      </c>
      <c r="BT570" s="115">
        <f t="shared" ca="1" si="503"/>
        <v>0</v>
      </c>
      <c r="BU570" s="115" t="b">
        <f ca="1">AND(模拟模式!$K$10="2300·雷",BT569=0,RAND()&lt;IF(C570="净世破魔击·月",5*0.05*2/3,IF(C570="净世破魔击·日",3*0.05*2/3,0.05*2*2/3)))</f>
        <v>0</v>
      </c>
      <c r="BV570" s="115">
        <f t="shared" ca="1" si="504"/>
        <v>0</v>
      </c>
      <c r="BW570" s="115">
        <f t="shared" ca="1" si="505"/>
        <v>54.539999999999281</v>
      </c>
      <c r="BX570" s="164" t="b">
        <f t="shared" ca="1" si="506"/>
        <v>0</v>
      </c>
      <c r="BY570" s="115">
        <f t="shared" ca="1" si="507"/>
        <v>0</v>
      </c>
      <c r="BZ570" s="115">
        <f>IF(OR(模拟模式!$P$16="10人团",模拟模式!$P$16="25人团"),IF(B570/30&gt;CA569,1,0),0)</f>
        <v>0</v>
      </c>
      <c r="CA570" s="115">
        <f t="shared" si="483"/>
        <v>0</v>
      </c>
      <c r="CB570" s="115">
        <f ca="1">IF(BZ570=1,IF(模拟模式!$P$16="10人团",15,0)+IF(模拟模式!$P$16="25人团",IF(RAND()&lt;0.6,15,0)),MAX(0,CB569-$F$4))</f>
        <v>0</v>
      </c>
      <c r="CC570" s="115" t="b">
        <f t="shared" ca="1" si="475"/>
        <v>0</v>
      </c>
      <c r="CD570" s="115">
        <f>IF(模拟模式!$Q$16="1个",IF(B570/40&gt;CE569,1,0),0)</f>
        <v>0</v>
      </c>
      <c r="CE570" s="115">
        <f t="shared" si="476"/>
        <v>0</v>
      </c>
      <c r="CF570" s="115">
        <f>IF(OR(CD570=1,模拟模式!$Q$16="2个"),20,MAX(0,CF569-$F$4))</f>
        <v>0</v>
      </c>
      <c r="CG570" s="115" t="b">
        <f t="shared" si="477"/>
        <v>0</v>
      </c>
      <c r="CH570" s="115">
        <f t="shared" ca="1" si="508"/>
        <v>6.0150000000000121</v>
      </c>
      <c r="CI570" s="115" t="b">
        <f t="shared" ca="1" si="509"/>
        <v>0</v>
      </c>
      <c r="CJ570" s="119">
        <f t="shared" ca="1" si="510"/>
        <v>0</v>
      </c>
      <c r="CK570" s="115">
        <f t="shared" ca="1" si="511"/>
        <v>0</v>
      </c>
      <c r="CL570" s="115" t="b">
        <f ca="1">AND(模拟模式!$S$7="驱夷逐法",OR(AND(C570="净世破魔击·月",E569&gt;59),AND(C570="净世破魔击·日",F569&gt;59)))</f>
        <v>0</v>
      </c>
      <c r="CM570" s="115" t="b">
        <f ca="1">OR(CL570,AND(C570="净世破魔击·日",CL569,RAND()&lt;模拟模式!$U$23))</f>
        <v>0</v>
      </c>
      <c r="CN570" s="115" t="b">
        <f ca="1">IF(模拟模式!$M$7="辉耀红尘",AND(C570="净世破魔击·月",CL570,CV570=0,E569&lt;80),AND(C570="净世破魔击·月",CL570,E569&lt;100))</f>
        <v>0</v>
      </c>
      <c r="CO570" s="115" t="b">
        <f t="shared" ca="1" si="484"/>
        <v>0</v>
      </c>
      <c r="CP570" s="115" t="b">
        <f ca="1">AND(模拟模式!$O$7="用晦而明",OR(C570="净世破魔击·日",C570="净世破魔击·月",C570="驱夜断愁"),AB570)</f>
        <v>0</v>
      </c>
      <c r="CQ570" s="115" t="b">
        <f ca="1">OR(CP570,AND(CP569,RAND()&lt;模拟模式!$U$23))</f>
        <v>1</v>
      </c>
      <c r="CR570" s="115" t="b">
        <f ca="1">AND(模拟模式!$S$7="日月齐光",OR(C570="幽月轮1",C570="幽月轮2",C570="幽月轮3",CR569),NOT(OR(C570="赤日轮1",C570="赤日轮2",C570="赤日轮3")))</f>
        <v>0</v>
      </c>
      <c r="CS570" s="115" t="b">
        <f ca="1">AND(模拟模式!$S$7="日月齐光",OR(C570="赤日轮1",C570="赤日轮2",C570="赤日轮3",CS569),NOT(OR(C570="幽月轮1",C570="幽月轮2",C570="幽月轮3")))</f>
        <v>0</v>
      </c>
      <c r="CT570" s="115">
        <f t="shared" ca="1" si="512"/>
        <v>2.3250000000000117</v>
      </c>
      <c r="CU570" s="115" t="b">
        <f ca="1">AND(模拟模式!$K$10="阴阳往极",CT569=0,RAND()&lt;IF(C570="净世破魔击·月",0.0275*7/3,IF(C570="净世破魔击·日",0.0275*3/3,0.0275*2/3)))</f>
        <v>0</v>
      </c>
      <c r="CV570" s="115">
        <f t="shared" ca="1" si="513"/>
        <v>0</v>
      </c>
      <c r="CW570" s="115">
        <f t="shared" ca="1" si="485"/>
        <v>6</v>
      </c>
      <c r="CX570" s="115">
        <f t="shared" ca="1" si="486"/>
        <v>4.1549999999999994</v>
      </c>
      <c r="CY570" s="115">
        <f ca="1">MAX(IF($C570="驱夜断愁",IF(模拟模式!$R$7="万念俱寂",6,45),CY569-$F$4),0)</f>
        <v>5.0774999999999997</v>
      </c>
      <c r="CZ570" s="115">
        <f t="shared" ca="1" si="487"/>
        <v>0</v>
      </c>
      <c r="DA570" s="115">
        <f ca="1">IF(模拟模式!$N$7="日月同辉",IF(DB569=2,0,MIN(6,IF(AND(OR(C570="赤日轮1",C570="赤日轮2",C570="赤日轮3",C570="幽月轮1",C570="幽月轮2",C570="幽月轮3"),AB570=1),DA569+1,DA569))),0)</f>
        <v>0</v>
      </c>
      <c r="DB570" s="115">
        <f t="shared" ca="1" si="488"/>
        <v>0</v>
      </c>
      <c r="DC570" s="115"/>
      <c r="DD570" s="115"/>
      <c r="DE570" s="115"/>
      <c r="DF570" s="115"/>
      <c r="DG570" s="115"/>
      <c r="DH570" s="115"/>
      <c r="DI570" s="115"/>
      <c r="DJ570" s="115"/>
      <c r="DK570" s="115"/>
      <c r="DL570" s="115"/>
      <c r="DM570" s="115"/>
    </row>
    <row r="571" spans="2:117" x14ac:dyDescent="0.2">
      <c r="B571" s="117">
        <f t="shared" si="489"/>
        <v>501.84000000000543</v>
      </c>
      <c r="C571" s="167" t="str">
        <f t="shared" ca="1" si="482"/>
        <v>幽月轮1</v>
      </c>
      <c r="D571" s="115">
        <f ca="1">IF(C571="赤日轮1",1,IF(C571="赤日轮2",2,IF(C571="赤日轮3",3,IF(C571="幽月轮1",4,IF(C571="幽月轮2",5,IF(C571="幽月轮3",6,IF(C571="烈日斩",7,IF(C571="银月斩",8,IF(C571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571="净世破魔击·月",17,IF(C571="驱夜断愁",18,0)))))))))))</f>
        <v>4</v>
      </c>
      <c r="E571" s="115">
        <f ca="1">IF(AND(CU571,OR(C571="幽月轮1",C571="幽月轮2",C571="幽月轮3",C571="银月斩",C571="驱夜断愁",C571="净世破魔击·月")),100,MIN(IF(OR(CN571,BE571),0,IF(OR($C571="赤日轮1",$C571="赤日轮2",$C571="赤日轮3"),E570+20+IF(模拟模式!$I$7="日月凌天",4,0)+IF(CR570,20,0),IF($C571="烈日斩",E570+40,IF($C571="驱夜断愁",IF(模拟模式!$R$7="万念俱寂",E570+20,E570+60),IF($C571="净世破魔击·月",IF(OR(DB570&gt;0,CV570&gt;0),100,IF(模拟模式!$M$7="辉耀红尘",E570+20,E570)),IF($C571="净世破魔击·日",E570-100,E570)))))),100))</f>
        <v>80</v>
      </c>
      <c r="F571" s="115">
        <f ca="1">IF(AND(CU571,OR(C571="赤日轮1",C571="赤日轮2",C571="赤日轮3",C571="烈日斩",C571="净世破魔击·日")),100,MIN(IF(CO571,0,IF(OR($C571="幽月轮1",$C571="幽月轮2",$C571="幽月轮3"),F570+20+IF(模拟模式!$I$7="日月凌天",4,0)+IF(CS570,20,0),IF($C571="银月斩",F570+40+IF(模拟模式!$X$12=1,5,0),IF($C571="驱夜断愁",IF(模拟模式!$R$7="万念俱寂",F570+20,F570+60),IF($C571="净世破魔击·月",IF(模拟模式!$M$7="辉耀红尘",F570-80,F570-100),IF(AND(C571="净世破魔击·日",OR(DB570&gt;0,CV570&gt;0)),100,F570)))))),100))</f>
        <v>100</v>
      </c>
      <c r="G571" s="117">
        <f ca="1">('模拟-全程加成'!$E$3+'模拟-全程加成'!$E$4+'模拟-全程加成'!$E$5+('模拟-全程加成'!$C$6-'模拟-全程加成'!$C$3)*系数!$B$9+BS571*23)*(1+'模拟-全程加成'!$F$4+'模拟-全程加成'!$F$5+BJ571*10%+BM571*20%+BP571*4%+CG571*30%)+$F$7*系数!$B$12</f>
        <v>21493.829400000002</v>
      </c>
      <c r="H571" s="45">
        <f ca="1">'模拟-全程加成'!$H$3+'模拟-全程加成'!$H$4+'模拟-全程加成'!$H$5+('模拟-全程加成'!$G$4+'模拟-全程加成'!$G$5+('模拟-全程加成'!$C$6-'模拟-全程加成'!$C$3)*系数!$B$13)/系数!$B$3+LOOKUP(D571,'模拟-单技能数据'!$A$2:$A$19,'模拟-单技能数据'!$K$2:$K$19)+BG571*10%+IF(BV571&gt;0,378,0)</f>
        <v>0.51185145527300213</v>
      </c>
      <c r="I571" s="45">
        <f ca="1">'模拟-全程加成'!$J$3+'模拟-全程加成'!$J$4+'模拟-全程加成'!$J$5+('模拟-全程加成'!$I$4+'模拟-全程加成'!$I$5)/系数!$B$4+LOOKUP(D571,'模拟-单技能数据'!$A$2:$A$19,'模拟-单技能数据'!$L$2:$L$19)+BG571*10%</f>
        <v>2.162482885499879</v>
      </c>
      <c r="J571" s="45">
        <f ca="1">(('模拟-全程加成'!$K$3+'模拟-全程加成'!$K$4+'模拟-全程加成'!$K$5+('模拟-全程加成'!$C$6-'模拟-全程加成'!$C$3)*系数!$B$10+IF(BV571&gt;0,882,0)+IF(BY571&gt;0,1831,0))*(1+'模拟-全程加成'!$L$4+'模拟-全程加成'!$L$5+CC571*20%))/系数!$B$5</f>
        <v>0.69723220422048726</v>
      </c>
      <c r="K571" s="119">
        <f ca="1">LOOKUP(D571,'模拟-单技能数据'!$A$2:$A$19,'模拟-单技能数据'!$J$2:$J$19)+IF(CM571,60%,0)+IF(DB570-DB571&gt;0,30%,0)+IF(OR(AND(OR(C571="赤日轮1",C571="赤日轮2",C571="赤日轮3"),CR571),AND(OR(C571="幽月轮1",C571="幽月轮2",C571="幽月轮3"),CS571)),35%,0)+CJ571</f>
        <v>7.0000000000000007E-2</v>
      </c>
      <c r="L571" s="119">
        <f ca="1">IF(AND(C571="烈日斩",模拟模式!$X$11=1),10%,0)+IF(AND(C571="驱夜断愁",AB571=1),30%,0)</f>
        <v>0</v>
      </c>
      <c r="M571" s="45">
        <f t="shared" ca="1" si="465"/>
        <v>0.51185145527300213</v>
      </c>
      <c r="N571" s="45">
        <f t="shared" ca="1" si="466"/>
        <v>0.43424854472699792</v>
      </c>
      <c r="O571" s="46">
        <f t="shared" ca="1" si="490"/>
        <v>0.50211378114153005</v>
      </c>
      <c r="P571" s="46" t="str">
        <f t="shared" ca="1" si="491"/>
        <v>会</v>
      </c>
      <c r="Q571" s="45">
        <f t="shared" ca="1" si="492"/>
        <v>2.162482885499879</v>
      </c>
      <c r="R571" s="117">
        <f ca="1">模拟模式!$E$20*(1-IF(模拟模式!$J$19="有",0.15,0))*(1-IF(模拟模式!$K$19="有",0.3,0)-IF(CQ571,0.5,0))</f>
        <v>2950.6049999999996</v>
      </c>
      <c r="S571" s="45">
        <f ca="1">R571/(R571+(185*模拟模式!$E$22-16800)*4.08224)</f>
        <v>0.24272716014590323</v>
      </c>
      <c r="T571" s="45" t="str">
        <f ca="1">LOOKUP(D571,'模拟-单技能数据'!$A$2:$A$19,'模拟-单技能数据'!$H$2:$H$19)</f>
        <v>阴</v>
      </c>
      <c r="U571" s="119">
        <f t="shared" ca="1" si="467"/>
        <v>0.08</v>
      </c>
      <c r="V571" s="47">
        <f ca="1">(1+L571)*(LOOKUP(D571,'模拟-单技能数据'!$A$2:$A$19,'模拟-单技能数据'!$D$2:$D$19)+G571*LOOKUP(D571,'模拟-单技能数据'!$A$2:$A$19,'模拟-单技能数据'!$F$2:$F$19))*(1+J571)*(1+K571)*(1-S571)*(1+U571)*Q571*LOOKUP(D571,'模拟-单技能数据'!$A$2:$A$19,'模拟-单技能数据'!$I$2:$I$20)</f>
        <v>36630.702053185581</v>
      </c>
      <c r="W571" s="47">
        <f ca="1">LOOKUP(D571,'模拟-单技能数据'!$A$2:$A$19,'模拟-单技能数据'!$G$2:$G$19)*$I$10</f>
        <v>361.51064354704795</v>
      </c>
      <c r="X571" s="47">
        <f t="shared" ca="1" si="493"/>
        <v>9595.3556920079973</v>
      </c>
      <c r="Y571" s="47">
        <f t="shared" ca="1" si="468"/>
        <v>46587.568388740634</v>
      </c>
      <c r="Z571" s="49">
        <f t="shared" ca="1" si="469"/>
        <v>56615519.185371861</v>
      </c>
      <c r="AA571" s="97">
        <f t="shared" ca="1" si="470"/>
        <v>112815.87594725659</v>
      </c>
      <c r="AB571" s="115">
        <f ca="1">IF(OR(C571="赤日轮1",C571="赤日轮2",C571="赤日轮3"),IF(RAND()&lt;模拟模式!$Y$17,1,0),IF(OR(C571="幽月轮1",C571="幽月轮2",C571="幽月轮3"),IF(RAND()&lt;模拟模式!$Y$18,1,0),IF(C571="烈日斩",IF(RAND()&lt;模拟模式!$Y$19,1,0),IF(C571="银月斩",IF(RAND()&lt;模拟模式!$Y$20,1,0),IF(C571="驱夜断愁",IF(RAND()&lt;模拟模式!$Y$21,1,0),IF(C571="净世破魔击·日",IF(RAND()&lt;模拟模式!$Y$22,1,0),IF(C571="净世破魔击·月",IF(RAND()&lt;模拟模式!$Y$23,1,0),0)))))))</f>
        <v>1</v>
      </c>
      <c r="AC571" s="115" t="b">
        <f t="shared" ca="1" si="458"/>
        <v>0</v>
      </c>
      <c r="AD571" s="115" t="b">
        <f t="shared" ca="1" si="478"/>
        <v>0</v>
      </c>
      <c r="AE571" s="115">
        <f t="shared" ca="1" si="479"/>
        <v>4</v>
      </c>
      <c r="AF571" s="47">
        <f ca="1">IF(AC571,('模拟-单技能数据'!$D$20+G571*'模拟-单技能数据'!$F$20)*(1+J571)*(1+'模拟-单技能数据'!$J$20)*(1+U571),0)</f>
        <v>0</v>
      </c>
      <c r="AG571" s="61">
        <f t="shared" ca="1" si="471"/>
        <v>0.64185145527300214</v>
      </c>
      <c r="AH571" s="61">
        <f t="shared" ca="1" si="472"/>
        <v>2.2624828854998791</v>
      </c>
      <c r="AI571" s="62">
        <f t="shared" ca="1" si="494"/>
        <v>0.9704181228185198</v>
      </c>
      <c r="AJ571" s="47">
        <f ca="1">IF(AD571,IF(AI571&lt;$F$10,0,IF(AI571&lt;$F$10+$F$11,0.25,IF(AI571&lt;$F$10+$F$11+AG571,AH571,1)))*IF(AF571&gt;0,AF571,IF(AF570&gt;0,AF570,IF(AF569&gt;0,AF569,IF(AF568&gt;0,AF568,IF(AF567&gt;0,AF567,IF(AF566&gt;0,AF566,IF(AF565&gt;0,AF565,IF(AF564&gt;0,AF564,IF(AF563&gt;0,AF563,IF(AF561&gt;0,AF561,IF(AF560&gt;0,AF560,IF(AF559&gt;0,AF559,0)))))))))))),0)*(1-$S571)*'模拟-单技能数据'!$I$20</f>
        <v>0</v>
      </c>
      <c r="AK571" s="115" t="b">
        <f t="shared" ca="1" si="459"/>
        <v>0</v>
      </c>
      <c r="AL571" s="115" t="b">
        <f t="shared" ca="1" si="480"/>
        <v>1</v>
      </c>
      <c r="AM571" s="115">
        <f t="shared" ca="1" si="481"/>
        <v>3</v>
      </c>
      <c r="AN571" s="47">
        <f ca="1">IF(AK571,('模拟-单技能数据'!$D$21+G571*'模拟-单技能数据'!$F$21)*(1+J571)*(1+'模拟-单技能数据'!$J$21)*(1+U571),0)</f>
        <v>0</v>
      </c>
      <c r="AO571" s="61">
        <f ca="1">IF(AN571&gt;0,M571-'模拟-单技能数据'!$K$10,AO570)</f>
        <v>0.42185145527300216</v>
      </c>
      <c r="AP571" s="61">
        <f ca="1">IF(AN571&gt;0,I571-'模拟-单技能数据'!$L$10,AP570)</f>
        <v>2.162482885499879</v>
      </c>
      <c r="AQ571" s="63">
        <f t="shared" ca="1" si="495"/>
        <v>0.54682627469091638</v>
      </c>
      <c r="AR571" s="64">
        <f ca="1">IF(AL571,IF(AQ571&lt;$F$10,0,IF(AQ571&lt;$F$10+$F$11,0.25,IF(AQ571&lt;$F$10+$F$11+AO571,AP571,1)))*IF(AN571&gt;0,AN571,IF(AN570&gt;0,AN570,IF(AN569&gt;0,AN569,IF(AN568&gt;0,AN568,IF(AN567&gt;0,AN567,IF(AN566&gt;0,AN566,IF(AN565&gt;0,AN565,IF(AN564&gt;0,AN564,IF(AN563&gt;0,AN563,IF(AN561&gt;0,AN561,IF(AN560&gt;0,AN560,IF(AN559&gt;0,AN559,0)))))))))))),0)*(1-$S571)*'模拟-单技能数据'!$I$21</f>
        <v>9595.3556920079973</v>
      </c>
      <c r="AS571" s="61">
        <f ca="1">IF(OR(C571="净世破魔击·日",C571="净世破魔击·月"),M571-'模拟-单技能数据'!$K$10,0)</f>
        <v>0</v>
      </c>
      <c r="AT571" s="61">
        <f ca="1">IF(OR(C571="净世破魔击·日",C571="净世破魔击·月"),I571-'模拟-单技能数据'!$L$10,0)</f>
        <v>0</v>
      </c>
      <c r="AU571" s="62">
        <f t="shared" ca="1" si="496"/>
        <v>0.42035220544643026</v>
      </c>
      <c r="AV571" s="64">
        <f ca="1">IF(AS571&gt;0,('模拟-单技能数据'!$D$22+G571*'模拟-单技能数据'!$F$22)*(1+J571)*(1-S571)*IF(AU571&lt;$F$10,0,IF(AU571&lt;$F$10+$F$11,0.25,IF(AU571&lt;$F$10+$F$11+AS571,AT571,1)))*(1+U571),0)*'模拟-单技能数据'!$I$22</f>
        <v>0</v>
      </c>
      <c r="AW571" s="108">
        <f t="shared" ca="1" si="497"/>
        <v>13.542500000000004</v>
      </c>
      <c r="AX571" s="108" t="b">
        <f ca="1">AND(模拟模式!$P$10="有",AW570=0,RAND()&lt;IF(C571="净世破魔击·月",0.1*8/3,IF(C571="净世破魔击·日",0.1*4/3,0.1*2/3)))</f>
        <v>0</v>
      </c>
      <c r="AY571" s="47">
        <f ca="1">IF(AX571,(18+G571*0.722)*(1+J571)*(1-S571)*(1+$I$4)*IF(P571="会",'模拟-全程加成'!$J$3+'模拟-全程加成'!$J$4+'模拟-全程加成'!$J$5+('模拟-全程加成'!$I$4+'模拟-全程加成'!$I$5)/系数!$B$4+BG571*10%,IF(P571="命",1,IF(P571="识",0.25,0))),0)</f>
        <v>0</v>
      </c>
      <c r="AZ571" s="108">
        <f t="shared" si="498"/>
        <v>5.2400000000000064</v>
      </c>
      <c r="BA571" s="108" t="b">
        <f>AND(模拟模式!$Q$10="有",AZ570=0)</f>
        <v>0</v>
      </c>
      <c r="BB571" s="140">
        <f>IF(BA571,(0+G571*0.287)*(1+J571)*(1-S571)*(1+$I$4)*IF(P571="会",'模拟-全程加成'!$J$3+'模拟-全程加成'!$J$4+'模拟-全程加成'!$J$5+('模拟-全程加成'!$I$4+'模拟-全程加成'!$I$5)/系数!$B$4+BG571*10%,IF(P571="命",1,IF(P571="识",0.25,0))),0)</f>
        <v>0</v>
      </c>
      <c r="BC571" s="115" t="b">
        <f ca="1">AND(模拟模式!$R$7="伏明众生",E571=60,F571=20,DA571&lt;5,CZ570&lt;$F$4)</f>
        <v>0</v>
      </c>
      <c r="BD571" s="115">
        <f t="shared" ca="1" si="460"/>
        <v>0</v>
      </c>
      <c r="BE571" s="115" t="b">
        <f t="shared" ca="1" si="461"/>
        <v>0</v>
      </c>
      <c r="BF571" s="47">
        <f ca="1">IF(BC571,4*('模拟-单技能数据'!$D$24+G571*'模拟-单技能数据'!$F$24)*(1+J571)*(1+'模拟-单技能数据'!$J$24)*(1-S571)*(1+$I$3)*(('模拟-全程加成'!$J$3+'模拟-全程加成'!$J$4+'模拟-全程加成'!$J$5+('模拟-全程加成'!$I$4+'模拟-全程加成'!$I$5)/系数!$B$4+BG571*10%)*('模拟-全程加成'!$J$3+'模拟-全程加成'!$J$4+'模拟-全程加成'!$J$5+('模拟-全程加成'!$I$4+'模拟-全程加成'!$I$5)/系数!$B$4+BG571*10%)+(1-('模拟-全程加成'!$J$3+'模拟-全程加成'!$J$4+'模拟-全程加成'!$J$5+('模拟-全程加成'!$I$4+'模拟-全程加成'!$I$5)/系数!$B$4+BG571*10%)-$F$10-$F$11)+F557*0.25),0)*'模拟-单技能数据'!$I$24</f>
        <v>0</v>
      </c>
      <c r="BG571" s="115" t="b">
        <f ca="1">OR(AND(OR(C571="烈日斩",C571="银月斩"),模拟模式!$I$7="净身明礼"),AND(C571="净世破魔击·日",模拟模式!$J$7="洞若观火"),AND(C572="净世破魔击·月",模拟模式!$J$7="洞若观火"),AB571=1)</f>
        <v>1</v>
      </c>
      <c r="BH571" s="115" t="b">
        <f t="shared" ca="1" si="499"/>
        <v>0</v>
      </c>
      <c r="BI571" s="115">
        <f t="shared" ca="1" si="462"/>
        <v>2.3099999999999996</v>
      </c>
      <c r="BJ571" s="115" t="b">
        <f t="shared" ca="1" si="473"/>
        <v>1</v>
      </c>
      <c r="BK571" s="115" t="b">
        <f ca="1">AND(C571="驱夜断愁",模拟模式!$P$7="天地诛戮")</f>
        <v>0</v>
      </c>
      <c r="BL571" s="57">
        <f t="shared" ca="1" si="463"/>
        <v>18.155000000000001</v>
      </c>
      <c r="BM571" s="115" t="b">
        <f t="shared" ca="1" si="474"/>
        <v>1</v>
      </c>
      <c r="BN571" s="115" t="b">
        <f ca="1">AND(OR(C571="赤日轮1",C571="赤日轮2",C571="赤日轮3",C571="幽月轮1",C571="幽月轮2",C571="幽月轮3"),AB571=1,模拟模式!$L$7="明光恒照")</f>
        <v>1</v>
      </c>
      <c r="BO571" s="117">
        <f t="shared" ca="1" si="464"/>
        <v>30</v>
      </c>
      <c r="BP571" s="115">
        <f t="shared" ca="1" si="500"/>
        <v>6</v>
      </c>
      <c r="BQ571" s="115" t="b">
        <f>模拟模式!$K$10="2600·水"</f>
        <v>0</v>
      </c>
      <c r="BR571" s="117">
        <f t="shared" si="501"/>
        <v>0</v>
      </c>
      <c r="BS571" s="115">
        <f t="shared" si="502"/>
        <v>0</v>
      </c>
      <c r="BT571" s="115">
        <f t="shared" ca="1" si="503"/>
        <v>0</v>
      </c>
      <c r="BU571" s="115" t="b">
        <f ca="1">AND(模拟模式!$K$10="2300·雷",BT570=0,RAND()&lt;IF(C571="净世破魔击·月",5*0.05*2/3,IF(C571="净世破魔击·日",3*0.05*2/3,0.05*2*2/3)))</f>
        <v>0</v>
      </c>
      <c r="BV571" s="115">
        <f t="shared" ca="1" si="504"/>
        <v>0</v>
      </c>
      <c r="BW571" s="115">
        <f t="shared" ca="1" si="505"/>
        <v>53.617499999999282</v>
      </c>
      <c r="BX571" s="164" t="b">
        <f t="shared" ca="1" si="506"/>
        <v>0</v>
      </c>
      <c r="BY571" s="115">
        <f t="shared" ca="1" si="507"/>
        <v>0</v>
      </c>
      <c r="BZ571" s="115">
        <f>IF(OR(模拟模式!$P$16="10人团",模拟模式!$P$16="25人团"),IF(B571/30&gt;CA570,1,0),0)</f>
        <v>0</v>
      </c>
      <c r="CA571" s="115">
        <f t="shared" si="483"/>
        <v>0</v>
      </c>
      <c r="CB571" s="115">
        <f ca="1">IF(BZ571=1,IF(模拟模式!$P$16="10人团",15,0)+IF(模拟模式!$P$16="25人团",IF(RAND()&lt;0.6,15,0)),MAX(0,CB570-$F$4))</f>
        <v>0</v>
      </c>
      <c r="CC571" s="115" t="b">
        <f t="shared" ca="1" si="475"/>
        <v>0</v>
      </c>
      <c r="CD571" s="115">
        <f>IF(模拟模式!$Q$16="1个",IF(B571/40&gt;CE570,1,0),0)</f>
        <v>0</v>
      </c>
      <c r="CE571" s="115">
        <f t="shared" si="476"/>
        <v>0</v>
      </c>
      <c r="CF571" s="115">
        <f>IF(OR(CD571=1,模拟模式!$Q$16="2个"),20,MAX(0,CF570-$F$4))</f>
        <v>0</v>
      </c>
      <c r="CG571" s="115" t="b">
        <f t="shared" si="477"/>
        <v>0</v>
      </c>
      <c r="CH571" s="115">
        <f t="shared" ca="1" si="508"/>
        <v>5.0925000000000118</v>
      </c>
      <c r="CI571" s="115" t="b">
        <f t="shared" ca="1" si="509"/>
        <v>0</v>
      </c>
      <c r="CJ571" s="119">
        <f t="shared" ca="1" si="510"/>
        <v>0</v>
      </c>
      <c r="CK571" s="115">
        <f t="shared" ca="1" si="511"/>
        <v>0</v>
      </c>
      <c r="CL571" s="115" t="b">
        <f ca="1">AND(模拟模式!$S$7="驱夷逐法",OR(AND(C571="净世破魔击·月",E570&gt;59),AND(C571="净世破魔击·日",F570&gt;59)))</f>
        <v>0</v>
      </c>
      <c r="CM571" s="115" t="b">
        <f ca="1">OR(CL571,AND(C571="净世破魔击·日",CL570,RAND()&lt;模拟模式!$U$23))</f>
        <v>0</v>
      </c>
      <c r="CN571" s="115" t="b">
        <f ca="1">IF(模拟模式!$M$7="辉耀红尘",AND(C571="净世破魔击·月",CL571,CV571=0,E570&lt;80),AND(C571="净世破魔击·月",CL571,E570&lt;100))</f>
        <v>0</v>
      </c>
      <c r="CO571" s="115" t="b">
        <f t="shared" ca="1" si="484"/>
        <v>0</v>
      </c>
      <c r="CP571" s="115" t="b">
        <f ca="1">AND(模拟模式!$O$7="用晦而明",OR(C571="净世破魔击·日",C571="净世破魔击·月",C571="驱夜断愁"),AB571)</f>
        <v>0</v>
      </c>
      <c r="CQ571" s="115" t="b">
        <f ca="1">OR(CP571,AND(CP570,RAND()&lt;模拟模式!$U$23))</f>
        <v>0</v>
      </c>
      <c r="CR571" s="115" t="b">
        <f ca="1">AND(模拟模式!$S$7="日月齐光",OR(C571="幽月轮1",C571="幽月轮2",C571="幽月轮3",CR570),NOT(OR(C571="赤日轮1",C571="赤日轮2",C571="赤日轮3")))</f>
        <v>0</v>
      </c>
      <c r="CS571" s="115" t="b">
        <f ca="1">AND(模拟模式!$S$7="日月齐光",OR(C571="赤日轮1",C571="赤日轮2",C571="赤日轮3",CS570),NOT(OR(C571="幽月轮1",C571="幽月轮2",C571="幽月轮3")))</f>
        <v>0</v>
      </c>
      <c r="CT571" s="115">
        <f t="shared" ca="1" si="512"/>
        <v>1.4025000000000118</v>
      </c>
      <c r="CU571" s="115" t="b">
        <f ca="1">AND(模拟模式!$K$10="阴阳往极",CT570=0,RAND()&lt;IF(C571="净世破魔击·月",0.0275*7/3,IF(C571="净世破魔击·日",0.0275*3/3,0.0275*2/3)))</f>
        <v>0</v>
      </c>
      <c r="CV571" s="115">
        <f t="shared" ca="1" si="513"/>
        <v>0</v>
      </c>
      <c r="CW571" s="115">
        <f t="shared" ca="1" si="485"/>
        <v>5.0774999999999997</v>
      </c>
      <c r="CX571" s="115">
        <f t="shared" ca="1" si="486"/>
        <v>3.2324999999999995</v>
      </c>
      <c r="CY571" s="115">
        <f ca="1">MAX(IF($C571="驱夜断愁",IF(模拟模式!$R$7="万念俱寂",6,45),CY570-$F$4),0)</f>
        <v>4.1549999999999994</v>
      </c>
      <c r="CZ571" s="115">
        <f t="shared" ca="1" si="487"/>
        <v>0</v>
      </c>
      <c r="DA571" s="115">
        <f ca="1">IF(模拟模式!$N$7="日月同辉",IF(DB570=2,0,MIN(6,IF(AND(OR(C571="赤日轮1",C571="赤日轮2",C571="赤日轮3",C571="幽月轮1",C571="幽月轮2",C571="幽月轮3"),AB571=1),DA570+1,DA570))),0)</f>
        <v>1</v>
      </c>
      <c r="DB571" s="115">
        <f t="shared" ca="1" si="488"/>
        <v>0</v>
      </c>
      <c r="DC571" s="115"/>
      <c r="DD571" s="115"/>
      <c r="DE571" s="115"/>
      <c r="DF571" s="115"/>
      <c r="DG571" s="115"/>
      <c r="DH571" s="115"/>
      <c r="DI571" s="115"/>
      <c r="DJ571" s="115"/>
      <c r="DK571" s="115"/>
      <c r="DL571" s="115"/>
      <c r="DM571" s="115"/>
    </row>
    <row r="572" spans="2:117" x14ac:dyDescent="0.2">
      <c r="B572" s="117">
        <f t="shared" si="489"/>
        <v>502.76250000000545</v>
      </c>
      <c r="C572" s="167" t="str">
        <f t="shared" ca="1" si="482"/>
        <v>净世破魔击·月</v>
      </c>
      <c r="D572" s="115">
        <f ca="1">IF(C572="赤日轮1",1,IF(C572="赤日轮2",2,IF(C572="赤日轮3",3,IF(C572="幽月轮1",4,IF(C572="幽月轮2",5,IF(C572="幽月轮3",6,IF(C572="烈日斩",7,IF(C572="银月斩",8,IF(C572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572="净世破魔击·月",17,IF(C572="驱夜断愁",18,0)))))))))))</f>
        <v>17</v>
      </c>
      <c r="E572" s="115">
        <f ca="1">IF(AND(CU572,OR(C572="幽月轮1",C572="幽月轮2",C572="幽月轮3",C572="银月斩",C572="驱夜断愁",C572="净世破魔击·月")),100,MIN(IF(OR(CN572,BE572),0,IF(OR($C572="赤日轮1",$C572="赤日轮2",$C572="赤日轮3"),E571+20+IF(模拟模式!$I$7="日月凌天",4,0)+IF(CR571,20,0),IF($C572="烈日斩",E571+40,IF($C572="驱夜断愁",IF(模拟模式!$R$7="万念俱寂",E571+20,E571+60),IF($C572="净世破魔击·月",IF(OR(DB571&gt;0,CV571&gt;0),100,IF(模拟模式!$M$7="辉耀红尘",E571+20,E571)),IF($C572="净世破魔击·日",E571-100,E571)))))),100))</f>
        <v>100</v>
      </c>
      <c r="F572" s="115">
        <f ca="1">IF(AND(CU572,OR(C572="赤日轮1",C572="赤日轮2",C572="赤日轮3",C572="烈日斩",C572="净世破魔击·日")),100,MIN(IF(CO572,0,IF(OR($C572="幽月轮1",$C572="幽月轮2",$C572="幽月轮3"),F571+20+IF(模拟模式!$I$7="日月凌天",4,0)+IF(CS571,20,0),IF($C572="银月斩",F571+40+IF(模拟模式!$X$12=1,5,0),IF($C572="驱夜断愁",IF(模拟模式!$R$7="万念俱寂",F571+20,F571+60),IF($C572="净世破魔击·月",IF(模拟模式!$M$7="辉耀红尘",F571-80,F571-100),IF(AND(C572="净世破魔击·日",OR(DB571&gt;0,CV571&gt;0)),100,F571)))))),100))</f>
        <v>20</v>
      </c>
      <c r="G572" s="117">
        <f ca="1">('模拟-全程加成'!$E$3+'模拟-全程加成'!$E$4+'模拟-全程加成'!$E$5+('模拟-全程加成'!$C$6-'模拟-全程加成'!$C$3)*系数!$B$9+BS572*23)*(1+'模拟-全程加成'!$F$4+'模拟-全程加成'!$F$5+BJ572*10%+BM572*20%+BP572*4%+CG572*30%)+$F$7*系数!$B$12</f>
        <v>21493.829400000002</v>
      </c>
      <c r="H572" s="45">
        <f ca="1">'模拟-全程加成'!$H$3+'模拟-全程加成'!$H$4+'模拟-全程加成'!$H$5+('模拟-全程加成'!$G$4+'模拟-全程加成'!$G$5+('模拟-全程加成'!$C$6-'模拟-全程加成'!$C$3)*系数!$B$13)/系数!$B$3+LOOKUP(D572,'模拟-单技能数据'!$A$2:$A$19,'模拟-单技能数据'!$K$2:$K$19)+BG572*10%+IF(BV572&gt;0,378,0)</f>
        <v>0.54185145527300216</v>
      </c>
      <c r="I572" s="45">
        <f ca="1">'模拟-全程加成'!$J$3+'模拟-全程加成'!$J$4+'模拟-全程加成'!$J$5+('模拟-全程加成'!$I$4+'模拟-全程加成'!$I$5)/系数!$B$4+LOOKUP(D572,'模拟-单技能数据'!$A$2:$A$19,'模拟-单技能数据'!$L$2:$L$19)+BG572*10%</f>
        <v>2.162482885499879</v>
      </c>
      <c r="J572" s="45">
        <f ca="1">(('模拟-全程加成'!$K$3+'模拟-全程加成'!$K$4+'模拟-全程加成'!$K$5+('模拟-全程加成'!$C$6-'模拟-全程加成'!$C$3)*系数!$B$10+IF(BV572&gt;0,882,0)+IF(BY572&gt;0,1831,0))*(1+'模拟-全程加成'!$L$4+'模拟-全程加成'!$L$5+CC572*20%))/系数!$B$5</f>
        <v>0.69723220422048726</v>
      </c>
      <c r="K572" s="119">
        <f ca="1">LOOKUP(D572,'模拟-单技能数据'!$A$2:$A$19,'模拟-单技能数据'!$J$2:$J$19)+IF(CM572,60%,0)+IF(DB571-DB572&gt;0,30%,0)+IF(OR(AND(OR(C572="赤日轮1",C572="赤日轮2",C572="赤日轮3"),CR572),AND(OR(C572="幽月轮1",C572="幽月轮2",C572="幽月轮3"),CS572)),35%,0)+CJ572</f>
        <v>0.8</v>
      </c>
      <c r="L572" s="119">
        <f ca="1">IF(AND(C572="烈日斩",模拟模式!$X$11=1),10%,0)+IF(AND(C572="驱夜断愁",AB572=1),30%,0)</f>
        <v>0</v>
      </c>
      <c r="M572" s="45">
        <f t="shared" ca="1" si="465"/>
        <v>0.54185145527300216</v>
      </c>
      <c r="N572" s="45">
        <f t="shared" ca="1" si="466"/>
        <v>0.40424854472699789</v>
      </c>
      <c r="O572" s="46">
        <f t="shared" ca="1" si="490"/>
        <v>0.55911035128965936</v>
      </c>
      <c r="P572" s="46" t="str">
        <f t="shared" ca="1" si="491"/>
        <v>会</v>
      </c>
      <c r="Q572" s="45">
        <f t="shared" ca="1" si="492"/>
        <v>2.162482885499879</v>
      </c>
      <c r="R572" s="117">
        <f ca="1">模拟模式!$E$20*(1-IF(模拟模式!$J$19="有",0.15,0))*(1-IF(模拟模式!$K$19="有",0.3,0)-IF(CQ572,0.5,0))</f>
        <v>843.02999999999975</v>
      </c>
      <c r="S572" s="45">
        <f ca="1">R572/(R572+(185*模拟模式!$E$22-16800)*4.08224)</f>
        <v>8.389626085980037E-2</v>
      </c>
      <c r="T572" s="45" t="str">
        <f ca="1">LOOKUP(D572,'模拟-单技能数据'!$A$2:$A$19,'模拟-单技能数据'!$H$2:$H$19)</f>
        <v>阴</v>
      </c>
      <c r="U572" s="119">
        <f t="shared" ca="1" si="467"/>
        <v>0.08</v>
      </c>
      <c r="V572" s="47">
        <f ca="1">(1+L572)*(LOOKUP(D572,'模拟-单技能数据'!$A$2:$A$19,'模拟-单技能数据'!$D$2:$D$19)+G572*LOOKUP(D572,'模拟-单技能数据'!$A$2:$A$19,'模拟-单技能数据'!$F$2:$F$19))*(1+J572)*(1+K572)*(1-S572)*(1+U572)*Q572*LOOKUP(D572,'模拟-单技能数据'!$A$2:$A$19,'模拟-单技能数据'!$I$2:$I$20)</f>
        <v>182541.2211190153</v>
      </c>
      <c r="W572" s="47">
        <f ca="1">LOOKUP(D572,'模拟-单技能数据'!$A$2:$A$19,'模拟-单技能数据'!$G$2:$G$19)*$I$10</f>
        <v>361.51064354704795</v>
      </c>
      <c r="X572" s="47">
        <f t="shared" ca="1" si="493"/>
        <v>26821.826710822574</v>
      </c>
      <c r="Y572" s="47">
        <f t="shared" ca="1" si="468"/>
        <v>209724.55847338494</v>
      </c>
      <c r="Z572" s="49">
        <f t="shared" ca="1" si="469"/>
        <v>56825243.743845247</v>
      </c>
      <c r="AA572" s="97">
        <f t="shared" ca="1" si="470"/>
        <v>113026.0187341829</v>
      </c>
      <c r="AB572" s="115">
        <f ca="1">IF(OR(C572="赤日轮1",C572="赤日轮2",C572="赤日轮3"),IF(RAND()&lt;模拟模式!$Y$17,1,0),IF(OR(C572="幽月轮1",C572="幽月轮2",C572="幽月轮3"),IF(RAND()&lt;模拟模式!$Y$18,1,0),IF(C572="烈日斩",IF(RAND()&lt;模拟模式!$Y$19,1,0),IF(C572="银月斩",IF(RAND()&lt;模拟模式!$Y$20,1,0),IF(C572="驱夜断愁",IF(RAND()&lt;模拟模式!$Y$21,1,0),IF(C572="净世破魔击·日",IF(RAND()&lt;模拟模式!$Y$22,1,0),IF(C572="净世破魔击·月",IF(RAND()&lt;模拟模式!$Y$23,1,0),0)))))))</f>
        <v>1</v>
      </c>
      <c r="AC572" s="115" t="b">
        <f t="shared" ca="1" si="458"/>
        <v>0</v>
      </c>
      <c r="AD572" s="115" t="b">
        <f t="shared" ca="1" si="478"/>
        <v>1</v>
      </c>
      <c r="AE572" s="115">
        <f t="shared" ca="1" si="479"/>
        <v>3</v>
      </c>
      <c r="AF572" s="47">
        <f ca="1">IF(AC572,('模拟-单技能数据'!$D$20+G572*'模拟-单技能数据'!$F$20)*(1+J572)*(1+'模拟-单技能数据'!$J$20)*(1+U572),0)</f>
        <v>0</v>
      </c>
      <c r="AG572" s="61">
        <f t="shared" ca="1" si="471"/>
        <v>0.64185145527300214</v>
      </c>
      <c r="AH572" s="61">
        <f t="shared" ca="1" si="472"/>
        <v>2.2624828854998791</v>
      </c>
      <c r="AI572" s="62">
        <f t="shared" ca="1" si="494"/>
        <v>0.1304448061928537</v>
      </c>
      <c r="AJ572" s="47">
        <f ca="1">IF(AD572,IF(AI572&lt;$F$10,0,IF(AI572&lt;$F$10+$F$11,0.25,IF(AI572&lt;$F$10+$F$11+AG572,AH572,1)))*IF(AF572&gt;0,AF572,IF(AF571&gt;0,AF571,IF(AF570&gt;0,AF570,IF(AF569&gt;0,AF569,IF(AF568&gt;0,AF568,IF(AF567&gt;0,AF567,IF(AF566&gt;0,AF566,IF(AF565&gt;0,AF565,IF(AF564&gt;0,AF564,IF(AF562&gt;0,AF562,IF(AF561&gt;0,AF561,IF(AF560&gt;0,AF560,0)))))))))))),0)*(1-$S572)*'模拟-单技能数据'!$I$20</f>
        <v>9616.6571145767884</v>
      </c>
      <c r="AK572" s="115" t="b">
        <f t="shared" ca="1" si="459"/>
        <v>0</v>
      </c>
      <c r="AL572" s="115" t="b">
        <f t="shared" ca="1" si="480"/>
        <v>0</v>
      </c>
      <c r="AM572" s="115">
        <f t="shared" ca="1" si="481"/>
        <v>3</v>
      </c>
      <c r="AN572" s="47">
        <f ca="1">IF(AK572,('模拟-单技能数据'!$D$21+G572*'模拟-单技能数据'!$F$21)*(1+J572)*(1+'模拟-单技能数据'!$J$21)*(1+U572),0)</f>
        <v>0</v>
      </c>
      <c r="AO572" s="61">
        <f ca="1">IF(AN572&gt;0,M572-'模拟-单技能数据'!$K$10,AO571)</f>
        <v>0.42185145527300216</v>
      </c>
      <c r="AP572" s="61">
        <f ca="1">IF(AN572&gt;0,I572-'模拟-单技能数据'!$L$10,AP571)</f>
        <v>2.162482885499879</v>
      </c>
      <c r="AQ572" s="63">
        <f t="shared" ca="1" si="495"/>
        <v>7.5065956691234836E-2</v>
      </c>
      <c r="AR572" s="64">
        <f ca="1">IF(AL572,IF(AQ572&lt;$F$10,0,IF(AQ572&lt;$F$10+$F$11,0.25,IF(AQ572&lt;$F$10+$F$11+AO572,AP572,1)))*IF(AN572&gt;0,AN572,IF(AN571&gt;0,AN571,IF(AN570&gt;0,AN570,IF(AN569&gt;0,AN569,IF(AN568&gt;0,AN568,IF(AN567&gt;0,AN567,IF(AN566&gt;0,AN566,IF(AN565&gt;0,AN565,IF(AN564&gt;0,AN564,IF(AN562&gt;0,AN562,IF(AN561&gt;0,AN561,IF(AN560&gt;0,AN560,0)))))))))))),0)*(1-$S572)*'模拟-单技能数据'!$I$21</f>
        <v>0</v>
      </c>
      <c r="AS572" s="61">
        <f ca="1">IF(OR(C572="净世破魔击·日",C572="净世破魔击·月"),M572-'模拟-单技能数据'!$K$10,0)</f>
        <v>0.42185145527300216</v>
      </c>
      <c r="AT572" s="61">
        <f ca="1">IF(OR(C572="净世破魔击·日",C572="净世破魔击·月"),I572-'模拟-单技能数据'!$L$10,0)</f>
        <v>2.162482885499879</v>
      </c>
      <c r="AU572" s="62">
        <f t="shared" ca="1" si="496"/>
        <v>0.16547564743977672</v>
      </c>
      <c r="AV572" s="64">
        <f ca="1">IF(AS572&gt;0,('模拟-单技能数据'!$D$22+G572*'模拟-单技能数据'!$F$22)*(1+J572)*(1-S572)*IF(AU572&lt;$F$10,0,IF(AU572&lt;$F$10+$F$11,0.25,IF(AU572&lt;$F$10+$F$11+AS572,AT572,1)))*(1+U572),0)*'模拟-单技能数据'!$I$22</f>
        <v>17205.169596245785</v>
      </c>
      <c r="AW572" s="108">
        <f t="shared" ca="1" si="497"/>
        <v>12.620000000000005</v>
      </c>
      <c r="AX572" s="108" t="b">
        <f ca="1">AND(模拟模式!$P$10="有",AW571=0,RAND()&lt;IF(C572="净世破魔击·月",0.1*8/3,IF(C572="净世破魔击·日",0.1*4/3,0.1*2/3)))</f>
        <v>0</v>
      </c>
      <c r="AY572" s="47">
        <f ca="1">IF(AX572,(18+G572*0.722)*(1+J572)*(1-S572)*(1+$I$4)*IF(P572="会",'模拟-全程加成'!$J$3+'模拟-全程加成'!$J$4+'模拟-全程加成'!$J$5+('模拟-全程加成'!$I$4+'模拟-全程加成'!$I$5)/系数!$B$4+BG572*10%,IF(P572="命",1,IF(P572="识",0.25,0))),0)</f>
        <v>0</v>
      </c>
      <c r="AZ572" s="108">
        <f t="shared" si="498"/>
        <v>4.3175000000000061</v>
      </c>
      <c r="BA572" s="108" t="b">
        <f>AND(模拟模式!$Q$10="有",AZ571=0)</f>
        <v>0</v>
      </c>
      <c r="BB572" s="140">
        <f>IF(BA572,(0+G572*0.287)*(1+J572)*(1-S572)*(1+$I$4)*IF(P572="会",'模拟-全程加成'!$J$3+'模拟-全程加成'!$J$4+'模拟-全程加成'!$J$5+('模拟-全程加成'!$I$4+'模拟-全程加成'!$I$5)/系数!$B$4+BG572*10%,IF(P572="命",1,IF(P572="识",0.25,0))),0)</f>
        <v>0</v>
      </c>
      <c r="BC572" s="115" t="b">
        <f ca="1">AND(模拟模式!$R$7="伏明众生",E572=60,F572=20,DA572&lt;5,CZ571&lt;$F$4)</f>
        <v>0</v>
      </c>
      <c r="BD572" s="115">
        <f t="shared" ca="1" si="460"/>
        <v>0</v>
      </c>
      <c r="BE572" s="115" t="b">
        <f t="shared" ca="1" si="461"/>
        <v>0</v>
      </c>
      <c r="BF572" s="47">
        <f ca="1">IF(BC572,4*('模拟-单技能数据'!$D$24+G572*'模拟-单技能数据'!$F$24)*(1+J572)*(1+'模拟-单技能数据'!$J$24)*(1-S572)*(1+$I$3)*(('模拟-全程加成'!$J$3+'模拟-全程加成'!$J$4+'模拟-全程加成'!$J$5+('模拟-全程加成'!$I$4+'模拟-全程加成'!$I$5)/系数!$B$4+BG572*10%)*('模拟-全程加成'!$J$3+'模拟-全程加成'!$J$4+'模拟-全程加成'!$J$5+('模拟-全程加成'!$I$4+'模拟-全程加成'!$I$5)/系数!$B$4+BG572*10%)+(1-('模拟-全程加成'!$J$3+'模拟-全程加成'!$J$4+'模拟-全程加成'!$J$5+('模拟-全程加成'!$I$4+'模拟-全程加成'!$I$5)/系数!$B$4+BG572*10%)-$F$10-$F$11)+F558*0.25),0)*'模拟-单技能数据'!$I$24</f>
        <v>0</v>
      </c>
      <c r="BG572" s="115" t="b">
        <f ca="1">OR(AND(OR(C572="烈日斩",C572="银月斩"),模拟模式!$I$7="净身明礼"),AND(C572="净世破魔击·日",模拟模式!$J$7="洞若观火"),AND(C573="净世破魔击·月",模拟模式!$J$7="洞若观火"),AB572=1)</f>
        <v>1</v>
      </c>
      <c r="BH572" s="115" t="b">
        <f t="shared" ca="1" si="499"/>
        <v>1</v>
      </c>
      <c r="BI572" s="115">
        <f t="shared" ca="1" si="462"/>
        <v>6</v>
      </c>
      <c r="BJ572" s="115" t="b">
        <f t="shared" ca="1" si="473"/>
        <v>1</v>
      </c>
      <c r="BK572" s="115" t="b">
        <f ca="1">AND(C572="驱夜断愁",模拟模式!$P$7="天地诛戮")</f>
        <v>0</v>
      </c>
      <c r="BL572" s="57">
        <f t="shared" ca="1" si="463"/>
        <v>17.232500000000002</v>
      </c>
      <c r="BM572" s="115" t="b">
        <f t="shared" ca="1" si="474"/>
        <v>1</v>
      </c>
      <c r="BN572" s="115" t="b">
        <f ca="1">AND(OR(C572="赤日轮1",C572="赤日轮2",C572="赤日轮3",C572="幽月轮1",C572="幽月轮2",C572="幽月轮3"),AB572=1,模拟模式!$L$7="明光恒照")</f>
        <v>0</v>
      </c>
      <c r="BO572" s="117">
        <f t="shared" ca="1" si="464"/>
        <v>29.077500000000001</v>
      </c>
      <c r="BP572" s="115">
        <f t="shared" ca="1" si="500"/>
        <v>6</v>
      </c>
      <c r="BQ572" s="115" t="b">
        <f>模拟模式!$K$10="2600·水"</f>
        <v>0</v>
      </c>
      <c r="BR572" s="117">
        <f t="shared" si="501"/>
        <v>0</v>
      </c>
      <c r="BS572" s="115">
        <f t="shared" si="502"/>
        <v>0</v>
      </c>
      <c r="BT572" s="115">
        <f t="shared" ca="1" si="503"/>
        <v>0</v>
      </c>
      <c r="BU572" s="115" t="b">
        <f ca="1">AND(模拟模式!$K$10="2300·雷",BT571=0,RAND()&lt;IF(C572="净世破魔击·月",5*0.05*2/3,IF(C572="净世破魔击·日",3*0.05*2/3,0.05*2*2/3)))</f>
        <v>0</v>
      </c>
      <c r="BV572" s="115">
        <f t="shared" ca="1" si="504"/>
        <v>0</v>
      </c>
      <c r="BW572" s="115">
        <f t="shared" ca="1" si="505"/>
        <v>52.694999999999283</v>
      </c>
      <c r="BX572" s="164" t="b">
        <f t="shared" ca="1" si="506"/>
        <v>0</v>
      </c>
      <c r="BY572" s="115">
        <f t="shared" ca="1" si="507"/>
        <v>0</v>
      </c>
      <c r="BZ572" s="115">
        <f>IF(OR(模拟模式!$P$16="10人团",模拟模式!$P$16="25人团"),IF(B572/30&gt;CA571,1,0),0)</f>
        <v>0</v>
      </c>
      <c r="CA572" s="115">
        <f t="shared" si="483"/>
        <v>0</v>
      </c>
      <c r="CB572" s="115">
        <f ca="1">IF(BZ572=1,IF(模拟模式!$P$16="10人团",15,0)+IF(模拟模式!$P$16="25人团",IF(RAND()&lt;0.6,15,0)),MAX(0,CB571-$F$4))</f>
        <v>0</v>
      </c>
      <c r="CC572" s="115" t="b">
        <f t="shared" ca="1" si="475"/>
        <v>0</v>
      </c>
      <c r="CD572" s="115">
        <f>IF(模拟模式!$Q$16="1个",IF(B572/40&gt;CE571,1,0),0)</f>
        <v>0</v>
      </c>
      <c r="CE572" s="115">
        <f t="shared" si="476"/>
        <v>0</v>
      </c>
      <c r="CF572" s="115">
        <f>IF(OR(CD572=1,模拟模式!$Q$16="2个"),20,MAX(0,CF571-$F$4))</f>
        <v>0</v>
      </c>
      <c r="CG572" s="115" t="b">
        <f t="shared" si="477"/>
        <v>0</v>
      </c>
      <c r="CH572" s="115">
        <f t="shared" ca="1" si="508"/>
        <v>4.1700000000000115</v>
      </c>
      <c r="CI572" s="115" t="b">
        <f t="shared" ca="1" si="509"/>
        <v>0</v>
      </c>
      <c r="CJ572" s="119">
        <f t="shared" ca="1" si="510"/>
        <v>0</v>
      </c>
      <c r="CK572" s="115">
        <f t="shared" ca="1" si="511"/>
        <v>0</v>
      </c>
      <c r="CL572" s="115" t="b">
        <f ca="1">AND(模拟模式!$S$7="驱夷逐法",OR(AND(C572="净世破魔击·月",E571&gt;59),AND(C572="净世破魔击·日",F571&gt;59)))</f>
        <v>1</v>
      </c>
      <c r="CM572" s="115" t="b">
        <f ca="1">OR(CL572,AND(C572="净世破魔击·日",CL571,RAND()&lt;模拟模式!$U$23))</f>
        <v>1</v>
      </c>
      <c r="CN572" s="115" t="b">
        <f ca="1">IF(模拟模式!$M$7="辉耀红尘",AND(C572="净世破魔击·月",CL572,CV572=0,E571&lt;80),AND(C572="净世破魔击·月",CL572,E571&lt;100))</f>
        <v>0</v>
      </c>
      <c r="CO572" s="115" t="b">
        <f t="shared" ca="1" si="484"/>
        <v>0</v>
      </c>
      <c r="CP572" s="115" t="b">
        <f ca="1">AND(模拟模式!$O$7="用晦而明",OR(C572="净世破魔击·日",C572="净世破魔击·月",C572="驱夜断愁"),AB572)</f>
        <v>1</v>
      </c>
      <c r="CQ572" s="115" t="b">
        <f ca="1">OR(CP572,AND(CP571,RAND()&lt;模拟模式!$U$23))</f>
        <v>1</v>
      </c>
      <c r="CR572" s="115" t="b">
        <f ca="1">AND(模拟模式!$S$7="日月齐光",OR(C572="幽月轮1",C572="幽月轮2",C572="幽月轮3",CR571),NOT(OR(C572="赤日轮1",C572="赤日轮2",C572="赤日轮3")))</f>
        <v>0</v>
      </c>
      <c r="CS572" s="115" t="b">
        <f ca="1">AND(模拟模式!$S$7="日月齐光",OR(C572="赤日轮1",C572="赤日轮2",C572="赤日轮3",CS571),NOT(OR(C572="幽月轮1",C572="幽月轮2",C572="幽月轮3")))</f>
        <v>0</v>
      </c>
      <c r="CT572" s="115">
        <f t="shared" ca="1" si="512"/>
        <v>0.48000000000001186</v>
      </c>
      <c r="CU572" s="115" t="b">
        <f ca="1">AND(模拟模式!$K$10="阴阳往极",CT571=0,RAND()&lt;IF(C572="净世破魔击·月",0.0275*7/3,IF(C572="净世破魔击·日",0.0275*3/3,0.0275*2/3)))</f>
        <v>0</v>
      </c>
      <c r="CV572" s="115">
        <f t="shared" ca="1" si="513"/>
        <v>0</v>
      </c>
      <c r="CW572" s="115">
        <f t="shared" ca="1" si="485"/>
        <v>4.1549999999999994</v>
      </c>
      <c r="CX572" s="115">
        <f t="shared" ca="1" si="486"/>
        <v>2.3099999999999996</v>
      </c>
      <c r="CY572" s="115">
        <f ca="1">MAX(IF($C572="驱夜断愁",IF(模拟模式!$R$7="万念俱寂",6,45),CY571-$F$4),0)</f>
        <v>3.2324999999999995</v>
      </c>
      <c r="CZ572" s="115">
        <f t="shared" ca="1" si="487"/>
        <v>0</v>
      </c>
      <c r="DA572" s="115">
        <f ca="1">IF(模拟模式!$N$7="日月同辉",IF(DB571=2,0,MIN(6,IF(AND(OR(C572="赤日轮1",C572="赤日轮2",C572="赤日轮3",C572="幽月轮1",C572="幽月轮2",C572="幽月轮3"),AB572=1),DA571+1,DA571))),0)</f>
        <v>1</v>
      </c>
      <c r="DB572" s="115">
        <f t="shared" ca="1" si="488"/>
        <v>0</v>
      </c>
      <c r="DC572" s="115"/>
      <c r="DD572" s="115"/>
      <c r="DE572" s="115"/>
      <c r="DF572" s="115"/>
      <c r="DG572" s="115"/>
      <c r="DH572" s="115"/>
      <c r="DI572" s="115"/>
      <c r="DJ572" s="115"/>
      <c r="DK572" s="115"/>
      <c r="DL572" s="115"/>
      <c r="DM572" s="115"/>
    </row>
    <row r="573" spans="2:117" x14ac:dyDescent="0.2">
      <c r="B573" s="117">
        <f t="shared" si="489"/>
        <v>503.68500000000546</v>
      </c>
      <c r="C573" s="167" t="str">
        <f t="shared" ca="1" si="482"/>
        <v>净世破魔击·日</v>
      </c>
      <c r="D573" s="115">
        <f ca="1">IF(C573="赤日轮1",1,IF(C573="赤日轮2",2,IF(C573="赤日轮3",3,IF(C573="幽月轮1",4,IF(C573="幽月轮2",5,IF(C573="幽月轮3",6,IF(C573="烈日斩",7,IF(C573="银月斩",8,IF(C573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573="净世破魔击·月",17,IF(C573="驱夜断愁",18,0)))))))))))</f>
        <v>9</v>
      </c>
      <c r="E573" s="115">
        <f ca="1">IF(AND(CU573,OR(C573="幽月轮1",C573="幽月轮2",C573="幽月轮3",C573="银月斩",C573="驱夜断愁",C573="净世破魔击·月")),100,MIN(IF(OR(CN573,BE573),0,IF(OR($C573="赤日轮1",$C573="赤日轮2",$C573="赤日轮3"),E572+20+IF(模拟模式!$I$7="日月凌天",4,0)+IF(CR572,20,0),IF($C573="烈日斩",E572+40,IF($C573="驱夜断愁",IF(模拟模式!$R$7="万念俱寂",E572+20,E572+60),IF($C573="净世破魔击·月",IF(OR(DB572&gt;0,CV572&gt;0),100,IF(模拟模式!$M$7="辉耀红尘",E572+20,E572)),IF($C573="净世破魔击·日",E572-100,E572)))))),100))</f>
        <v>0</v>
      </c>
      <c r="F573" s="115">
        <f ca="1">IF(AND(CU573,OR(C573="赤日轮1",C573="赤日轮2",C573="赤日轮3",C573="烈日斩",C573="净世破魔击·日")),100,MIN(IF(CO573,0,IF(OR($C573="幽月轮1",$C573="幽月轮2",$C573="幽月轮3"),F572+20+IF(模拟模式!$I$7="日月凌天",4,0)+IF(CS572,20,0),IF($C573="银月斩",F572+40+IF(模拟模式!$X$12=1,5,0),IF($C573="驱夜断愁",IF(模拟模式!$R$7="万念俱寂",F572+20,F572+60),IF($C573="净世破魔击·月",IF(模拟模式!$M$7="辉耀红尘",F572-80,F572-100),IF(AND(C573="净世破魔击·日",OR(DB572&gt;0,CV572&gt;0)),100,F572)))))),100))</f>
        <v>20</v>
      </c>
      <c r="G573" s="117">
        <f ca="1">('模拟-全程加成'!$E$3+'模拟-全程加成'!$E$4+'模拟-全程加成'!$E$5+('模拟-全程加成'!$C$6-'模拟-全程加成'!$C$3)*系数!$B$9+BS573*23)*(1+'模拟-全程加成'!$F$4+'模拟-全程加成'!$F$5+BJ573*10%+BM573*20%+BP573*4%+CG573*30%)+$F$7*系数!$B$12</f>
        <v>21493.829400000002</v>
      </c>
      <c r="H573" s="45">
        <f ca="1">'模拟-全程加成'!$H$3+'模拟-全程加成'!$H$4+'模拟-全程加成'!$H$5+('模拟-全程加成'!$G$4+'模拟-全程加成'!$G$5+('模拟-全程加成'!$C$6-'模拟-全程加成'!$C$3)*系数!$B$13)/系数!$B$3+LOOKUP(D573,'模拟-单技能数据'!$A$2:$A$19,'模拟-单技能数据'!$K$2:$K$19)+BG573*10%+IF(BV573&gt;0,378,0)</f>
        <v>0.54185145527300216</v>
      </c>
      <c r="I573" s="45">
        <f ca="1">'模拟-全程加成'!$J$3+'模拟-全程加成'!$J$4+'模拟-全程加成'!$J$5+('模拟-全程加成'!$I$4+'模拟-全程加成'!$I$5)/系数!$B$4+LOOKUP(D573,'模拟-单技能数据'!$A$2:$A$19,'模拟-单技能数据'!$L$2:$L$19)+BG573*10%</f>
        <v>2.162482885499879</v>
      </c>
      <c r="J573" s="45">
        <f ca="1">(('模拟-全程加成'!$K$3+'模拟-全程加成'!$K$4+'模拟-全程加成'!$K$5+('模拟-全程加成'!$C$6-'模拟-全程加成'!$C$3)*系数!$B$10+IF(BV573&gt;0,882,0)+IF(BY573&gt;0,1831,0))*(1+'模拟-全程加成'!$L$4+'模拟-全程加成'!$L$5+CC573*20%))/系数!$B$5</f>
        <v>0.69723220422048726</v>
      </c>
      <c r="K573" s="119">
        <f ca="1">LOOKUP(D573,'模拟-单技能数据'!$A$2:$A$19,'模拟-单技能数据'!$J$2:$J$19)+IF(CM573,60%,0)+IF(DB572-DB573&gt;0,30%,0)+IF(OR(AND(OR(C573="赤日轮1",C573="赤日轮2",C573="赤日轮3"),CR573),AND(OR(C573="幽月轮1",C573="幽月轮2",C573="幽月轮3"),CS573)),35%,0)+CJ573</f>
        <v>0.8</v>
      </c>
      <c r="L573" s="119">
        <f ca="1">IF(AND(C573="烈日斩",模拟模式!$X$11=1),10%,0)+IF(AND(C573="驱夜断愁",AB573=1),30%,0)</f>
        <v>0</v>
      </c>
      <c r="M573" s="45">
        <f t="shared" ca="1" si="465"/>
        <v>0.54185145527300216</v>
      </c>
      <c r="N573" s="45">
        <f t="shared" ca="1" si="466"/>
        <v>0.40424854472699789</v>
      </c>
      <c r="O573" s="46">
        <f t="shared" ca="1" si="490"/>
        <v>0.29323737052973897</v>
      </c>
      <c r="P573" s="46" t="str">
        <f t="shared" ca="1" si="491"/>
        <v>会</v>
      </c>
      <c r="Q573" s="45">
        <f t="shared" ca="1" si="492"/>
        <v>2.162482885499879</v>
      </c>
      <c r="R573" s="117">
        <f ca="1">模拟模式!$E$20*(1-IF(模拟模式!$J$19="有",0.15,0))*(1-IF(模拟模式!$K$19="有",0.3,0)-IF(CQ573,0.5,0))</f>
        <v>843.02999999999975</v>
      </c>
      <c r="S573" s="45">
        <f ca="1">R573/(R573+(185*模拟模式!$E$22-16800)*4.08224)</f>
        <v>8.389626085980037E-2</v>
      </c>
      <c r="T573" s="45" t="str">
        <f ca="1">LOOKUP(D573,'模拟-单技能数据'!$A$2:$A$19,'模拟-单技能数据'!$H$2:$H$19)</f>
        <v>阳</v>
      </c>
      <c r="U573" s="119">
        <f t="shared" ca="1" si="467"/>
        <v>0.2</v>
      </c>
      <c r="V573" s="47">
        <f ca="1">(1+L573)*(LOOKUP(D573,'模拟-单技能数据'!$A$2:$A$19,'模拟-单技能数据'!$D$2:$D$19)+G573*LOOKUP(D573,'模拟-单技能数据'!$A$2:$A$19,'模拟-单技能数据'!$F$2:$F$19))*(1+J573)*(1+K573)*(1-S573)*(1+U573)*Q573*LOOKUP(D573,'模拟-单技能数据'!$A$2:$A$19,'模拟-单技能数据'!$I$2:$I$20)</f>
        <v>204517.60843249681</v>
      </c>
      <c r="W573" s="47">
        <f ca="1">LOOKUP(D573,'模拟-单技能数据'!$A$2:$A$19,'模拟-单技能数据'!$G$2:$G$19)*$I$10</f>
        <v>723.0212870940959</v>
      </c>
      <c r="X573" s="47">
        <f t="shared" ca="1" si="493"/>
        <v>20448.126027313341</v>
      </c>
      <c r="Y573" s="47">
        <f t="shared" ca="1" si="468"/>
        <v>225688.75574690427</v>
      </c>
      <c r="Z573" s="49">
        <f t="shared" ca="1" si="469"/>
        <v>57050932.499592148</v>
      </c>
      <c r="AA573" s="97">
        <f t="shared" ca="1" si="470"/>
        <v>113267.08657115366</v>
      </c>
      <c r="AB573" s="115">
        <f ca="1">IF(OR(C573="赤日轮1",C573="赤日轮2",C573="赤日轮3"),IF(RAND()&lt;模拟模式!$Y$17,1,0),IF(OR(C573="幽月轮1",C573="幽月轮2",C573="幽月轮3"),IF(RAND()&lt;模拟模式!$Y$18,1,0),IF(C573="烈日斩",IF(RAND()&lt;模拟模式!$Y$19,1,0),IF(C573="银月斩",IF(RAND()&lt;模拟模式!$Y$20,1,0),IF(C573="驱夜断愁",IF(RAND()&lt;模拟模式!$Y$21,1,0),IF(C573="净世破魔击·日",IF(RAND()&lt;模拟模式!$Y$22,1,0),IF(C573="净世破魔击·月",IF(RAND()&lt;模拟模式!$Y$23,1,0),0)))))))</f>
        <v>1</v>
      </c>
      <c r="AC573" s="115" t="b">
        <f t="shared" ca="1" si="458"/>
        <v>0</v>
      </c>
      <c r="AD573" s="115" t="b">
        <f t="shared" ca="1" si="478"/>
        <v>0</v>
      </c>
      <c r="AE573" s="115">
        <f t="shared" ca="1" si="479"/>
        <v>3</v>
      </c>
      <c r="AF573" s="47">
        <f ca="1">IF(AC573,('模拟-单技能数据'!$D$20+G573*'模拟-单技能数据'!$F$20)*(1+J573)*(1+'模拟-单技能数据'!$J$20)*(1+U573),0)</f>
        <v>0</v>
      </c>
      <c r="AG573" s="61">
        <f t="shared" ca="1" si="471"/>
        <v>0.64185145527300214</v>
      </c>
      <c r="AH573" s="61">
        <f t="shared" ca="1" si="472"/>
        <v>2.2624828854998791</v>
      </c>
      <c r="AI573" s="62">
        <f t="shared" ca="1" si="494"/>
        <v>0.11019216775253515</v>
      </c>
      <c r="AJ573" s="47">
        <f ca="1">IF(AD573,IF(AI573&lt;$F$10,0,IF(AI573&lt;$F$10+$F$11,0.25,IF(AI573&lt;$F$10+$F$11+AG573,AH573,1)))*IF(AF573&gt;0,AF573,IF(AF572&gt;0,AF572,IF(AF571&gt;0,AF571,IF(AF570&gt;0,AF570,IF(AF569&gt;0,AF569,IF(AF568&gt;0,AF568,IF(AF567&gt;0,AF567,IF(AF566&gt;0,AF566,IF(AF565&gt;0,AF565,IF(AF563&gt;0,AF563,IF(AF562&gt;0,AF562,IF(AF561&gt;0,AF561,0)))))))))))),0)*(1-$S573)*'模拟-单技能数据'!$I$20</f>
        <v>0</v>
      </c>
      <c r="AK573" s="115" t="b">
        <f t="shared" ca="1" si="459"/>
        <v>1</v>
      </c>
      <c r="AL573" s="115" t="b">
        <f t="shared" ca="1" si="480"/>
        <v>1</v>
      </c>
      <c r="AM573" s="115">
        <f t="shared" ca="1" si="481"/>
        <v>5</v>
      </c>
      <c r="AN573" s="47">
        <f ca="1">IF(AK573,('模拟-单技能数据'!$D$21+G573*'模拟-单技能数据'!$F$21)*(1+J573)*(1+'模拟-单技能数据'!$J$21)*(1+U573),0)</f>
        <v>12670.936004857545</v>
      </c>
      <c r="AO573" s="61">
        <f ca="1">IF(AN573&gt;0,M573-'模拟-单技能数据'!$K$10,AO572)</f>
        <v>0.42185145527300216</v>
      </c>
      <c r="AP573" s="61">
        <f ca="1">IF(AN573&gt;0,I573-'模拟-单技能数据'!$L$10,AP572)</f>
        <v>2.162482885499879</v>
      </c>
      <c r="AQ573" s="63">
        <f t="shared" ca="1" si="495"/>
        <v>0.72264131456459979</v>
      </c>
      <c r="AR573" s="64">
        <f ca="1">IF(AL573,IF(AQ573&lt;$F$10,0,IF(AQ573&lt;$F$10+$F$11,0.25,IF(AQ573&lt;$F$10+$F$11+AO573,AP573,1)))*IF(AN573&gt;0,AN573,IF(AN572&gt;0,AN572,IF(AN571&gt;0,AN571,IF(AN570&gt;0,AN570,IF(AN569&gt;0,AN569,IF(AN568&gt;0,AN568,IF(AN567&gt;0,AN567,IF(AN566&gt;0,AN566,IF(AN565&gt;0,AN565,IF(AN563&gt;0,AN563,IF(AN562&gt;0,AN562,IF(AN561&gt;0,AN561,0)))))))))))),0)*(1-$S573)*'模拟-单技能数据'!$I$21</f>
        <v>11607.89185245618</v>
      </c>
      <c r="AS573" s="61">
        <f ca="1">IF(OR(C573="净世破魔击·日",C573="净世破魔击·月"),M573-'模拟-单技能数据'!$K$10,0)</f>
        <v>0.42185145527300216</v>
      </c>
      <c r="AT573" s="61">
        <f ca="1">IF(OR(C573="净世破魔击·日",C573="净世破魔击·月"),I573-'模拟-单技能数据'!$L$10,0)</f>
        <v>2.162482885499879</v>
      </c>
      <c r="AU573" s="62">
        <f t="shared" ca="1" si="496"/>
        <v>0.62693346403575523</v>
      </c>
      <c r="AV573" s="64">
        <f ca="1">IF(AS573&gt;0,('模拟-单技能数据'!$D$22+G573*'模拟-单技能数据'!$F$22)*(1+J573)*(1-S573)*IF(AU573&lt;$F$10,0,IF(AU573&lt;$F$10+$F$11,0.25,IF(AU573&lt;$F$10+$F$11+AS573,AT573,1)))*(1+U573),0)*'模拟-单技能数据'!$I$22</f>
        <v>8840.2341748571616</v>
      </c>
      <c r="AW573" s="108">
        <f t="shared" ca="1" si="497"/>
        <v>11.697500000000005</v>
      </c>
      <c r="AX573" s="108" t="b">
        <f ca="1">AND(模拟模式!$P$10="有",AW572=0,RAND()&lt;IF(C573="净世破魔击·月",0.1*8/3,IF(C573="净世破魔击·日",0.1*4/3,0.1*2/3)))</f>
        <v>0</v>
      </c>
      <c r="AY573" s="47">
        <f ca="1">IF(AX573,(18+G573*0.722)*(1+J573)*(1-S573)*(1+$I$4)*IF(P573="会",'模拟-全程加成'!$J$3+'模拟-全程加成'!$J$4+'模拟-全程加成'!$J$5+('模拟-全程加成'!$I$4+'模拟-全程加成'!$I$5)/系数!$B$4+BG573*10%,IF(P573="命",1,IF(P573="识",0.25,0))),0)</f>
        <v>0</v>
      </c>
      <c r="AZ573" s="108">
        <f t="shared" si="498"/>
        <v>3.3950000000000062</v>
      </c>
      <c r="BA573" s="108" t="b">
        <f>AND(模拟模式!$Q$10="有",AZ572=0)</f>
        <v>0</v>
      </c>
      <c r="BB573" s="140">
        <f>IF(BA573,(0+G573*0.287)*(1+J573)*(1-S573)*(1+$I$4)*IF(P573="会",'模拟-全程加成'!$J$3+'模拟-全程加成'!$J$4+'模拟-全程加成'!$J$5+('模拟-全程加成'!$I$4+'模拟-全程加成'!$I$5)/系数!$B$4+BG573*10%,IF(P573="命",1,IF(P573="识",0.25,0))),0)</f>
        <v>0</v>
      </c>
      <c r="BC573" s="115" t="b">
        <f ca="1">AND(模拟模式!$R$7="伏明众生",E573=60,F573=20,DA573&lt;5,CZ572&lt;$F$4)</f>
        <v>0</v>
      </c>
      <c r="BD573" s="115">
        <f t="shared" ca="1" si="460"/>
        <v>0</v>
      </c>
      <c r="BE573" s="115" t="b">
        <f t="shared" ca="1" si="461"/>
        <v>0</v>
      </c>
      <c r="BF573" s="47">
        <f ca="1">IF(BC573,4*('模拟-单技能数据'!$D$24+G573*'模拟-单技能数据'!$F$24)*(1+J573)*(1+'模拟-单技能数据'!$J$24)*(1-S573)*(1+$I$3)*(('模拟-全程加成'!$J$3+'模拟-全程加成'!$J$4+'模拟-全程加成'!$J$5+('模拟-全程加成'!$I$4+'模拟-全程加成'!$I$5)/系数!$B$4+BG573*10%)*('模拟-全程加成'!$J$3+'模拟-全程加成'!$J$4+'模拟-全程加成'!$J$5+('模拟-全程加成'!$I$4+'模拟-全程加成'!$I$5)/系数!$B$4+BG573*10%)+(1-('模拟-全程加成'!$J$3+'模拟-全程加成'!$J$4+'模拟-全程加成'!$J$5+('模拟-全程加成'!$I$4+'模拟-全程加成'!$I$5)/系数!$B$4+BG573*10%)-$F$10-$F$11)+F559*0.25),0)*'模拟-单技能数据'!$I$24</f>
        <v>0</v>
      </c>
      <c r="BG573" s="115" t="b">
        <f ca="1">OR(AND(OR(C573="烈日斩",C573="银月斩"),模拟模式!$I$7="净身明礼"),AND(C573="净世破魔击·日",模拟模式!$J$7="洞若观火"),AND(C574="净世破魔击·月",模拟模式!$J$7="洞若观火"),AB573=1)</f>
        <v>1</v>
      </c>
      <c r="BH573" s="115" t="b">
        <f t="shared" ca="1" si="499"/>
        <v>0</v>
      </c>
      <c r="BI573" s="115">
        <f t="shared" ca="1" si="462"/>
        <v>5.0774999999999997</v>
      </c>
      <c r="BJ573" s="115" t="b">
        <f t="shared" ca="1" si="473"/>
        <v>1</v>
      </c>
      <c r="BK573" s="115" t="b">
        <f ca="1">AND(C573="驱夜断愁",模拟模式!$P$7="天地诛戮")</f>
        <v>0</v>
      </c>
      <c r="BL573" s="57">
        <f t="shared" ca="1" si="463"/>
        <v>16.310000000000002</v>
      </c>
      <c r="BM573" s="115" t="b">
        <f t="shared" ca="1" si="474"/>
        <v>1</v>
      </c>
      <c r="BN573" s="115" t="b">
        <f ca="1">AND(OR(C573="赤日轮1",C573="赤日轮2",C573="赤日轮3",C573="幽月轮1",C573="幽月轮2",C573="幽月轮3"),AB573=1,模拟模式!$L$7="明光恒照")</f>
        <v>0</v>
      </c>
      <c r="BO573" s="117">
        <f t="shared" ca="1" si="464"/>
        <v>28.155000000000001</v>
      </c>
      <c r="BP573" s="115">
        <f t="shared" ca="1" si="500"/>
        <v>6</v>
      </c>
      <c r="BQ573" s="115" t="b">
        <f>模拟模式!$K$10="2600·水"</f>
        <v>0</v>
      </c>
      <c r="BR573" s="117">
        <f t="shared" si="501"/>
        <v>0</v>
      </c>
      <c r="BS573" s="115">
        <f t="shared" si="502"/>
        <v>0</v>
      </c>
      <c r="BT573" s="115">
        <f t="shared" ca="1" si="503"/>
        <v>0</v>
      </c>
      <c r="BU573" s="115" t="b">
        <f ca="1">AND(模拟模式!$K$10="2300·雷",BT572=0,RAND()&lt;IF(C573="净世破魔击·月",5*0.05*2/3,IF(C573="净世破魔击·日",3*0.05*2/3,0.05*2*2/3)))</f>
        <v>0</v>
      </c>
      <c r="BV573" s="115">
        <f t="shared" ca="1" si="504"/>
        <v>0</v>
      </c>
      <c r="BW573" s="115">
        <f t="shared" ca="1" si="505"/>
        <v>51.772499999999283</v>
      </c>
      <c r="BX573" s="164" t="b">
        <f t="shared" ca="1" si="506"/>
        <v>0</v>
      </c>
      <c r="BY573" s="115">
        <f t="shared" ca="1" si="507"/>
        <v>0</v>
      </c>
      <c r="BZ573" s="115">
        <f>IF(OR(模拟模式!$P$16="10人团",模拟模式!$P$16="25人团"),IF(B573/30&gt;CA572,1,0),0)</f>
        <v>0</v>
      </c>
      <c r="CA573" s="115">
        <f t="shared" si="483"/>
        <v>0</v>
      </c>
      <c r="CB573" s="115">
        <f ca="1">IF(BZ573=1,IF(模拟模式!$P$16="10人团",15,0)+IF(模拟模式!$P$16="25人团",IF(RAND()&lt;0.6,15,0)),MAX(0,CB572-$F$4))</f>
        <v>0</v>
      </c>
      <c r="CC573" s="115" t="b">
        <f t="shared" ca="1" si="475"/>
        <v>0</v>
      </c>
      <c r="CD573" s="115">
        <f>IF(模拟模式!$Q$16="1个",IF(B573/40&gt;CE572,1,0),0)</f>
        <v>0</v>
      </c>
      <c r="CE573" s="115">
        <f t="shared" si="476"/>
        <v>0</v>
      </c>
      <c r="CF573" s="115">
        <f>IF(OR(CD573=1,模拟模式!$Q$16="2个"),20,MAX(0,CF572-$F$4))</f>
        <v>0</v>
      </c>
      <c r="CG573" s="115" t="b">
        <f t="shared" si="477"/>
        <v>0</v>
      </c>
      <c r="CH573" s="115">
        <f t="shared" ca="1" si="508"/>
        <v>3.2475000000000116</v>
      </c>
      <c r="CI573" s="115" t="b">
        <f t="shared" ca="1" si="509"/>
        <v>0</v>
      </c>
      <c r="CJ573" s="119">
        <f t="shared" ca="1" si="510"/>
        <v>0</v>
      </c>
      <c r="CK573" s="115">
        <f t="shared" ca="1" si="511"/>
        <v>0</v>
      </c>
      <c r="CL573" s="115" t="b">
        <f ca="1">AND(模拟模式!$S$7="驱夷逐法",OR(AND(C573="净世破魔击·月",E572&gt;59),AND(C573="净世破魔击·日",F572&gt;59)))</f>
        <v>0</v>
      </c>
      <c r="CM573" s="115" t="b">
        <f ca="1">OR(CL573,AND(C573="净世破魔击·日",CL572,RAND()&lt;模拟模式!$U$23))</f>
        <v>1</v>
      </c>
      <c r="CN573" s="115" t="b">
        <f ca="1">IF(模拟模式!$M$7="辉耀红尘",AND(C573="净世破魔击·月",CL573,CV573=0,E572&lt;80),AND(C573="净世破魔击·月",CL573,E572&lt;100))</f>
        <v>0</v>
      </c>
      <c r="CO573" s="115" t="b">
        <f t="shared" ca="1" si="484"/>
        <v>0</v>
      </c>
      <c r="CP573" s="115" t="b">
        <f ca="1">AND(模拟模式!$O$7="用晦而明",OR(C573="净世破魔击·日",C573="净世破魔击·月",C573="驱夜断愁"),AB573)</f>
        <v>1</v>
      </c>
      <c r="CQ573" s="115" t="b">
        <f ca="1">OR(CP573,AND(CP572,RAND()&lt;模拟模式!$U$23))</f>
        <v>1</v>
      </c>
      <c r="CR573" s="115" t="b">
        <f ca="1">AND(模拟模式!$S$7="日月齐光",OR(C573="幽月轮1",C573="幽月轮2",C573="幽月轮3",CR572),NOT(OR(C573="赤日轮1",C573="赤日轮2",C573="赤日轮3")))</f>
        <v>0</v>
      </c>
      <c r="CS573" s="115" t="b">
        <f ca="1">AND(模拟模式!$S$7="日月齐光",OR(C573="赤日轮1",C573="赤日轮2",C573="赤日轮3",CS572),NOT(OR(C573="幽月轮1",C573="幽月轮2",C573="幽月轮3")))</f>
        <v>0</v>
      </c>
      <c r="CT573" s="115">
        <f t="shared" ca="1" si="512"/>
        <v>0</v>
      </c>
      <c r="CU573" s="115" t="b">
        <f ca="1">AND(模拟模式!$K$10="阴阳往极",CT572=0,RAND()&lt;IF(C573="净世破魔击·月",0.0275*7/3,IF(C573="净世破魔击·日",0.0275*3/3,0.0275*2/3)))</f>
        <v>0</v>
      </c>
      <c r="CV573" s="115">
        <f t="shared" ca="1" si="513"/>
        <v>0</v>
      </c>
      <c r="CW573" s="115">
        <f t="shared" ca="1" si="485"/>
        <v>3.2324999999999995</v>
      </c>
      <c r="CX573" s="115">
        <f t="shared" ca="1" si="486"/>
        <v>1.3874999999999997</v>
      </c>
      <c r="CY573" s="115">
        <f ca="1">MAX(IF($C573="驱夜断愁",IF(模拟模式!$R$7="万念俱寂",6,45),CY572-$F$4),0)</f>
        <v>2.3099999999999996</v>
      </c>
      <c r="CZ573" s="115">
        <f t="shared" ca="1" si="487"/>
        <v>0</v>
      </c>
      <c r="DA573" s="115">
        <f ca="1">IF(模拟模式!$N$7="日月同辉",IF(DB572=2,0,MIN(6,IF(AND(OR(C573="赤日轮1",C573="赤日轮2",C573="赤日轮3",C573="幽月轮1",C573="幽月轮2",C573="幽月轮3"),AB573=1),DA572+1,DA572))),0)</f>
        <v>1</v>
      </c>
      <c r="DB573" s="115">
        <f t="shared" ca="1" si="488"/>
        <v>0</v>
      </c>
      <c r="DC573" s="115"/>
      <c r="DD573" s="115"/>
      <c r="DE573" s="115"/>
      <c r="DF573" s="115"/>
      <c r="DG573" s="115"/>
      <c r="DH573" s="115"/>
      <c r="DI573" s="115"/>
      <c r="DJ573" s="115"/>
      <c r="DK573" s="115"/>
      <c r="DL573" s="115"/>
      <c r="DM573" s="115"/>
    </row>
    <row r="574" spans="2:117" x14ac:dyDescent="0.2">
      <c r="B574" s="117">
        <f t="shared" si="489"/>
        <v>504.60750000000547</v>
      </c>
      <c r="C574" s="167" t="str">
        <f t="shared" ca="1" si="482"/>
        <v>赤日轮1</v>
      </c>
      <c r="D574" s="115">
        <f ca="1">IF(C574="赤日轮1",1,IF(C574="赤日轮2",2,IF(C574="赤日轮3",3,IF(C574="幽月轮1",4,IF(C574="幽月轮2",5,IF(C574="幽月轮3",6,IF(C574="烈日斩",7,IF(C574="银月斩",8,IF(C574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574="净世破魔击·月",17,IF(C574="驱夜断愁",18,0)))))))))))</f>
        <v>1</v>
      </c>
      <c r="E574" s="115">
        <f ca="1">IF(AND(CU574,OR(C574="幽月轮1",C574="幽月轮2",C574="幽月轮3",C574="银月斩",C574="驱夜断愁",C574="净世破魔击·月")),100,MIN(IF(OR(CN574,BE574),0,IF(OR($C574="赤日轮1",$C574="赤日轮2",$C574="赤日轮3"),E573+20+IF(模拟模式!$I$7="日月凌天",4,0)+IF(CR573,20,0),IF($C574="烈日斩",E573+40,IF($C574="驱夜断愁",IF(模拟模式!$R$7="万念俱寂",E573+20,E573+60),IF($C574="净世破魔击·月",IF(OR(DB573&gt;0,CV573&gt;0),100,IF(模拟模式!$M$7="辉耀红尘",E573+20,E573)),IF($C574="净世破魔击·日",E573-100,E573)))))),100))</f>
        <v>20</v>
      </c>
      <c r="F574" s="115">
        <f ca="1">IF(AND(CU574,OR(C574="赤日轮1",C574="赤日轮2",C574="赤日轮3",C574="烈日斩",C574="净世破魔击·日")),100,MIN(IF(CO574,0,IF(OR($C574="幽月轮1",$C574="幽月轮2",$C574="幽月轮3"),F573+20+IF(模拟模式!$I$7="日月凌天",4,0)+IF(CS573,20,0),IF($C574="银月斩",F573+40+IF(模拟模式!$X$12=1,5,0),IF($C574="驱夜断愁",IF(模拟模式!$R$7="万念俱寂",F573+20,F573+60),IF($C574="净世破魔击·月",IF(模拟模式!$M$7="辉耀红尘",F573-80,F573-100),IF(AND(C574="净世破魔击·日",OR(DB573&gt;0,CV573&gt;0)),100,F573)))))),100))</f>
        <v>20</v>
      </c>
      <c r="G574" s="117">
        <f ca="1">('模拟-全程加成'!$E$3+'模拟-全程加成'!$E$4+'模拟-全程加成'!$E$5+('模拟-全程加成'!$C$6-'模拟-全程加成'!$C$3)*系数!$B$9+BS574*23)*(1+'模拟-全程加成'!$F$4+'模拟-全程加成'!$F$5+BJ574*10%+BM574*20%+BP574*4%+CG574*30%)+$F$7*系数!$B$12</f>
        <v>21493.829400000002</v>
      </c>
      <c r="H574" s="45">
        <f ca="1">'模拟-全程加成'!$H$3+'模拟-全程加成'!$H$4+'模拟-全程加成'!$H$5+('模拟-全程加成'!$G$4+'模拟-全程加成'!$G$5+('模拟-全程加成'!$C$6-'模拟-全程加成'!$C$3)*系数!$B$13)/系数!$B$3+LOOKUP(D574,'模拟-单技能数据'!$A$2:$A$19,'模拟-单技能数据'!$K$2:$K$19)+BG574*10%+IF(BV574&gt;0,378,0)</f>
        <v>0.4618514552730022</v>
      </c>
      <c r="I574" s="45">
        <f ca="1">'模拟-全程加成'!$J$3+'模拟-全程加成'!$J$4+'模拟-全程加成'!$J$5+('模拟-全程加成'!$I$4+'模拟-全程加成'!$I$5)/系数!$B$4+LOOKUP(D574,'模拟-单技能数据'!$A$2:$A$19,'模拟-单技能数据'!$L$2:$L$19)+BG574*10%</f>
        <v>2.162482885499879</v>
      </c>
      <c r="J574" s="45">
        <f ca="1">(('模拟-全程加成'!$K$3+'模拟-全程加成'!$K$4+'模拟-全程加成'!$K$5+('模拟-全程加成'!$C$6-'模拟-全程加成'!$C$3)*系数!$B$10+IF(BV574&gt;0,882,0)+IF(BY574&gt;0,1831,0))*(1+'模拟-全程加成'!$L$4+'模拟-全程加成'!$L$5+CC574*20%))/系数!$B$5</f>
        <v>0.69723220422048726</v>
      </c>
      <c r="K574" s="119">
        <f ca="1">LOOKUP(D574,'模拟-单技能数据'!$A$2:$A$19,'模拟-单技能数据'!$J$2:$J$19)+IF(CM574,60%,0)+IF(DB573-DB574&gt;0,30%,0)+IF(OR(AND(OR(C574="赤日轮1",C574="赤日轮2",C574="赤日轮3"),CR574),AND(OR(C574="幽月轮1",C574="幽月轮2",C574="幽月轮3"),CS574)),35%,0)+CJ574</f>
        <v>0.12</v>
      </c>
      <c r="L574" s="119">
        <f ca="1">IF(AND(C574="烈日斩",模拟模式!$X$11=1),10%,0)+IF(AND(C574="驱夜断愁",AB574=1),30%,0)</f>
        <v>0</v>
      </c>
      <c r="M574" s="45">
        <f t="shared" ca="1" si="465"/>
        <v>0.4618514552730022</v>
      </c>
      <c r="N574" s="45">
        <f t="shared" ca="1" si="466"/>
        <v>0.48424854472699785</v>
      </c>
      <c r="O574" s="46">
        <f t="shared" ca="1" si="490"/>
        <v>0.60317495630339457</v>
      </c>
      <c r="P574" s="46" t="str">
        <f t="shared" ca="1" si="491"/>
        <v>命</v>
      </c>
      <c r="Q574" s="45">
        <f t="shared" ca="1" si="492"/>
        <v>1</v>
      </c>
      <c r="R574" s="117">
        <f ca="1">模拟模式!$E$20*(1-IF(模拟模式!$J$19="有",0.15,0))*(1-IF(模拟模式!$K$19="有",0.3,0)-IF(CQ574,0.5,0))</f>
        <v>843.02999999999975</v>
      </c>
      <c r="S574" s="45">
        <f ca="1">R574/(R574+(185*模拟模式!$E$22-16800)*4.08224)</f>
        <v>8.389626085980037E-2</v>
      </c>
      <c r="T574" s="45" t="str">
        <f ca="1">LOOKUP(D574,'模拟-单技能数据'!$A$2:$A$19,'模拟-单技能数据'!$H$2:$H$19)</f>
        <v>阳</v>
      </c>
      <c r="U574" s="119">
        <f t="shared" ca="1" si="467"/>
        <v>0.2</v>
      </c>
      <c r="V574" s="47">
        <f ca="1">(1+L574)*(LOOKUP(D574,'模拟-单技能数据'!$A$2:$A$19,'模拟-单技能数据'!$D$2:$D$19)+G574*LOOKUP(D574,'模拟-单技能数据'!$A$2:$A$19,'模拟-单技能数据'!$F$2:$F$19))*(1+J574)*(1+K574)*(1-S574)*(1+U574)*Q574*LOOKUP(D574,'模拟-单技能数据'!$A$2:$A$19,'模拟-单技能数据'!$I$2:$I$20)</f>
        <v>26295.771631143321</v>
      </c>
      <c r="W574" s="47">
        <f ca="1">LOOKUP(D574,'模拟-单技能数据'!$A$2:$A$19,'模拟-单技能数据'!$G$2:$G$19)*$I$10</f>
        <v>361.51064354704795</v>
      </c>
      <c r="X574" s="47">
        <f t="shared" ca="1" si="493"/>
        <v>9616.6571145767884</v>
      </c>
      <c r="Y574" s="47">
        <f t="shared" ca="1" si="468"/>
        <v>36273.939389267158</v>
      </c>
      <c r="Z574" s="49">
        <f t="shared" ca="1" si="469"/>
        <v>57087206.438981414</v>
      </c>
      <c r="AA574" s="97">
        <f t="shared" ca="1" si="470"/>
        <v>113131.90239736982</v>
      </c>
      <c r="AB574" s="115">
        <f ca="1">IF(OR(C574="赤日轮1",C574="赤日轮2",C574="赤日轮3"),IF(RAND()&lt;模拟模式!$Y$17,1,0),IF(OR(C574="幽月轮1",C574="幽月轮2",C574="幽月轮3"),IF(RAND()&lt;模拟模式!$Y$18,1,0),IF(C574="烈日斩",IF(RAND()&lt;模拟模式!$Y$19,1,0),IF(C574="银月斩",IF(RAND()&lt;模拟模式!$Y$20,1,0),IF(C574="驱夜断愁",IF(RAND()&lt;模拟模式!$Y$21,1,0),IF(C574="净世破魔击·日",IF(RAND()&lt;模拟模式!$Y$22,1,0),IF(C574="净世破魔击·月",IF(RAND()&lt;模拟模式!$Y$23,1,0),0)))))))</f>
        <v>1</v>
      </c>
      <c r="AC574" s="115" t="b">
        <f t="shared" ca="1" si="458"/>
        <v>0</v>
      </c>
      <c r="AD574" s="115" t="b">
        <f t="shared" ca="1" si="478"/>
        <v>1</v>
      </c>
      <c r="AE574" s="115">
        <f t="shared" ca="1" si="479"/>
        <v>2</v>
      </c>
      <c r="AF574" s="47">
        <f ca="1">IF(AC574,('模拟-单技能数据'!$D$20+G574*'模拟-单技能数据'!$F$20)*(1+J574)*(1+'模拟-单技能数据'!$J$20)*(1+U574),0)</f>
        <v>0</v>
      </c>
      <c r="AG574" s="61">
        <f t="shared" ca="1" si="471"/>
        <v>0.64185145527300214</v>
      </c>
      <c r="AH574" s="61">
        <f t="shared" ca="1" si="472"/>
        <v>2.2624828854998791</v>
      </c>
      <c r="AI574" s="62">
        <f t="shared" ca="1" si="494"/>
        <v>0.37234855364446118</v>
      </c>
      <c r="AJ574" s="47">
        <f ca="1">IF(AD574,IF(AI574&lt;$F$10,0,IF(AI574&lt;$F$10+$F$11,0.25,IF(AI574&lt;$F$10+$F$11+AG574,AH574,1)))*IF(AF574&gt;0,AF574,IF(AF573&gt;0,AF573,IF(AF572&gt;0,AF572,IF(AF571&gt;0,AF571,IF(AF570&gt;0,AF570,IF(AF569&gt;0,AF569,IF(AF568&gt;0,AF568,IF(AF567&gt;0,AF567,IF(AF566&gt;0,AF566,IF(AF564&gt;0,AF564,IF(AF563&gt;0,AF563,IF(AF562&gt;0,AF562,0)))))))))))),0)*(1-$S574)*'模拟-单技能数据'!$I$20</f>
        <v>9616.6571145767884</v>
      </c>
      <c r="AK574" s="115" t="b">
        <f t="shared" ca="1" si="459"/>
        <v>0</v>
      </c>
      <c r="AL574" s="115" t="b">
        <f t="shared" ca="1" si="480"/>
        <v>0</v>
      </c>
      <c r="AM574" s="115">
        <f t="shared" ca="1" si="481"/>
        <v>5</v>
      </c>
      <c r="AN574" s="47">
        <f ca="1">IF(AK574,('模拟-单技能数据'!$D$21+G574*'模拟-单技能数据'!$F$21)*(1+J574)*(1+'模拟-单技能数据'!$J$21)*(1+U574),0)</f>
        <v>0</v>
      </c>
      <c r="AO574" s="61">
        <f ca="1">IF(AN574&gt;0,M574-'模拟-单技能数据'!$K$10,AO573)</f>
        <v>0.42185145527300216</v>
      </c>
      <c r="AP574" s="61">
        <f ca="1">IF(AN574&gt;0,I574-'模拟-单技能数据'!$L$10,AP573)</f>
        <v>2.162482885499879</v>
      </c>
      <c r="AQ574" s="63">
        <f t="shared" ca="1" si="495"/>
        <v>0.11227550096422356</v>
      </c>
      <c r="AR574" s="64">
        <f ca="1">IF(AL574,IF(AQ574&lt;$F$10,0,IF(AQ574&lt;$F$10+$F$11,0.25,IF(AQ574&lt;$F$10+$F$11+AO574,AP574,1)))*IF(AN574&gt;0,AN574,IF(AN573&gt;0,AN573,IF(AN572&gt;0,AN572,IF(AN571&gt;0,AN571,IF(AN570&gt;0,AN570,IF(AN569&gt;0,AN569,IF(AN568&gt;0,AN568,IF(AN567&gt;0,AN567,IF(AN566&gt;0,AN566,IF(AN564&gt;0,AN564,IF(AN563&gt;0,AN563,IF(AN562&gt;0,AN562,0)))))))))))),0)*(1-$S574)*'模拟-单技能数据'!$I$21</f>
        <v>0</v>
      </c>
      <c r="AS574" s="61">
        <f ca="1">IF(OR(C574="净世破魔击·日",C574="净世破魔击·月"),M574-'模拟-单技能数据'!$K$10,0)</f>
        <v>0</v>
      </c>
      <c r="AT574" s="61">
        <f ca="1">IF(OR(C574="净世破魔击·日",C574="净世破魔击·月"),I574-'模拟-单技能数据'!$L$10,0)</f>
        <v>0</v>
      </c>
      <c r="AU574" s="62">
        <f t="shared" ca="1" si="496"/>
        <v>0.20467923944588939</v>
      </c>
      <c r="AV574" s="64">
        <f ca="1">IF(AS574&gt;0,('模拟-单技能数据'!$D$22+G574*'模拟-单技能数据'!$F$22)*(1+J574)*(1-S574)*IF(AU574&lt;$F$10,0,IF(AU574&lt;$F$10+$F$11,0.25,IF(AU574&lt;$F$10+$F$11+AS574,AT574,1)))*(1+U574),0)*'模拟-单技能数据'!$I$22</f>
        <v>0</v>
      </c>
      <c r="AW574" s="108">
        <f t="shared" ca="1" si="497"/>
        <v>10.775000000000006</v>
      </c>
      <c r="AX574" s="108" t="b">
        <f ca="1">AND(模拟模式!$P$10="有",AW573=0,RAND()&lt;IF(C574="净世破魔击·月",0.1*8/3,IF(C574="净世破魔击·日",0.1*4/3,0.1*2/3)))</f>
        <v>0</v>
      </c>
      <c r="AY574" s="47">
        <f ca="1">IF(AX574,(18+G574*0.722)*(1+J574)*(1-S574)*(1+$I$4)*IF(P574="会",'模拟-全程加成'!$J$3+'模拟-全程加成'!$J$4+'模拟-全程加成'!$J$5+('模拟-全程加成'!$I$4+'模拟-全程加成'!$I$5)/系数!$B$4+BG574*10%,IF(P574="命",1,IF(P574="识",0.25,0))),0)</f>
        <v>0</v>
      </c>
      <c r="AZ574" s="108">
        <f t="shared" si="498"/>
        <v>2.4725000000000064</v>
      </c>
      <c r="BA574" s="108" t="b">
        <f>AND(模拟模式!$Q$10="有",AZ573=0)</f>
        <v>0</v>
      </c>
      <c r="BB574" s="140">
        <f>IF(BA574,(0+G574*0.287)*(1+J574)*(1-S574)*(1+$I$4)*IF(P574="会",'模拟-全程加成'!$J$3+'模拟-全程加成'!$J$4+'模拟-全程加成'!$J$5+('模拟-全程加成'!$I$4+'模拟-全程加成'!$I$5)/系数!$B$4+BG574*10%,IF(P574="命",1,IF(P574="识",0.25,0))),0)</f>
        <v>0</v>
      </c>
      <c r="BC574" s="115" t="b">
        <f ca="1">AND(模拟模式!$R$7="伏明众生",E574=60,F574=20,DA574&lt;5,CZ573&lt;$F$4)</f>
        <v>0</v>
      </c>
      <c r="BD574" s="115">
        <f t="shared" ca="1" si="460"/>
        <v>0</v>
      </c>
      <c r="BE574" s="115" t="b">
        <f t="shared" ca="1" si="461"/>
        <v>0</v>
      </c>
      <c r="BF574" s="47">
        <f ca="1">IF(BC574,4*('模拟-单技能数据'!$D$24+G574*'模拟-单技能数据'!$F$24)*(1+J574)*(1+'模拟-单技能数据'!$J$24)*(1-S574)*(1+$I$3)*(('模拟-全程加成'!$J$3+'模拟-全程加成'!$J$4+'模拟-全程加成'!$J$5+('模拟-全程加成'!$I$4+'模拟-全程加成'!$I$5)/系数!$B$4+BG574*10%)*('模拟-全程加成'!$J$3+'模拟-全程加成'!$J$4+'模拟-全程加成'!$J$5+('模拟-全程加成'!$I$4+'模拟-全程加成'!$I$5)/系数!$B$4+BG574*10%)+(1-('模拟-全程加成'!$J$3+'模拟-全程加成'!$J$4+'模拟-全程加成'!$J$5+('模拟-全程加成'!$I$4+'模拟-全程加成'!$I$5)/系数!$B$4+BG574*10%)-$F$10-$F$11)+F560*0.25),0)*'模拟-单技能数据'!$I$24</f>
        <v>0</v>
      </c>
      <c r="BG574" s="115" t="b">
        <f ca="1">OR(AND(OR(C574="烈日斩",C574="银月斩"),模拟模式!$I$7="净身明礼"),AND(C574="净世破魔击·日",模拟模式!$J$7="洞若观火"),AND(C575="净世破魔击·月",模拟模式!$J$7="洞若观火"),AB574=1)</f>
        <v>1</v>
      </c>
      <c r="BH574" s="115" t="b">
        <f t="shared" ca="1" si="499"/>
        <v>0</v>
      </c>
      <c r="BI574" s="115">
        <f t="shared" ca="1" si="462"/>
        <v>4.1549999999999994</v>
      </c>
      <c r="BJ574" s="115" t="b">
        <f t="shared" ca="1" si="473"/>
        <v>1</v>
      </c>
      <c r="BK574" s="115" t="b">
        <f ca="1">AND(C574="驱夜断愁",模拟模式!$P$7="天地诛戮")</f>
        <v>0</v>
      </c>
      <c r="BL574" s="57">
        <f t="shared" ca="1" si="463"/>
        <v>15.387500000000003</v>
      </c>
      <c r="BM574" s="115" t="b">
        <f t="shared" ca="1" si="474"/>
        <v>1</v>
      </c>
      <c r="BN574" s="115" t="b">
        <f ca="1">AND(OR(C574="赤日轮1",C574="赤日轮2",C574="赤日轮3",C574="幽月轮1",C574="幽月轮2",C574="幽月轮3"),AB574=1,模拟模式!$L$7="明光恒照")</f>
        <v>1</v>
      </c>
      <c r="BO574" s="117">
        <f t="shared" ca="1" si="464"/>
        <v>30</v>
      </c>
      <c r="BP574" s="115">
        <f t="shared" ca="1" si="500"/>
        <v>6</v>
      </c>
      <c r="BQ574" s="115" t="b">
        <f>模拟模式!$K$10="2600·水"</f>
        <v>0</v>
      </c>
      <c r="BR574" s="117">
        <f t="shared" si="501"/>
        <v>0</v>
      </c>
      <c r="BS574" s="115">
        <f t="shared" si="502"/>
        <v>0</v>
      </c>
      <c r="BT574" s="115">
        <f t="shared" ca="1" si="503"/>
        <v>0</v>
      </c>
      <c r="BU574" s="115" t="b">
        <f ca="1">AND(模拟模式!$K$10="2300·雷",BT573=0,RAND()&lt;IF(C574="净世破魔击·月",5*0.05*2/3,IF(C574="净世破魔击·日",3*0.05*2/3,0.05*2*2/3)))</f>
        <v>0</v>
      </c>
      <c r="BV574" s="115">
        <f t="shared" ca="1" si="504"/>
        <v>0</v>
      </c>
      <c r="BW574" s="115">
        <f t="shared" ca="1" si="505"/>
        <v>50.849999999999284</v>
      </c>
      <c r="BX574" s="164" t="b">
        <f t="shared" ca="1" si="506"/>
        <v>0</v>
      </c>
      <c r="BY574" s="115">
        <f t="shared" ca="1" si="507"/>
        <v>0</v>
      </c>
      <c r="BZ574" s="115">
        <f>IF(OR(模拟模式!$P$16="10人团",模拟模式!$P$16="25人团"),IF(B574/30&gt;CA573,1,0),0)</f>
        <v>0</v>
      </c>
      <c r="CA574" s="115">
        <f t="shared" si="483"/>
        <v>0</v>
      </c>
      <c r="CB574" s="115">
        <f ca="1">IF(BZ574=1,IF(模拟模式!$P$16="10人团",15,0)+IF(模拟模式!$P$16="25人团",IF(RAND()&lt;0.6,15,0)),MAX(0,CB573-$F$4))</f>
        <v>0</v>
      </c>
      <c r="CC574" s="115" t="b">
        <f t="shared" ca="1" si="475"/>
        <v>0</v>
      </c>
      <c r="CD574" s="115">
        <f>IF(模拟模式!$Q$16="1个",IF(B574/40&gt;CE573,1,0),0)</f>
        <v>0</v>
      </c>
      <c r="CE574" s="115">
        <f t="shared" si="476"/>
        <v>0</v>
      </c>
      <c r="CF574" s="115">
        <f>IF(OR(CD574=1,模拟模式!$Q$16="2个"),20,MAX(0,CF573-$F$4))</f>
        <v>0</v>
      </c>
      <c r="CG574" s="115" t="b">
        <f t="shared" si="477"/>
        <v>0</v>
      </c>
      <c r="CH574" s="115">
        <f t="shared" ca="1" si="508"/>
        <v>2.3250000000000117</v>
      </c>
      <c r="CI574" s="115" t="b">
        <f t="shared" ca="1" si="509"/>
        <v>0</v>
      </c>
      <c r="CJ574" s="119">
        <f t="shared" ca="1" si="510"/>
        <v>0</v>
      </c>
      <c r="CK574" s="115">
        <f t="shared" ca="1" si="511"/>
        <v>0</v>
      </c>
      <c r="CL574" s="115" t="b">
        <f ca="1">AND(模拟模式!$S$7="驱夷逐法",OR(AND(C574="净世破魔击·月",E573&gt;59),AND(C574="净世破魔击·日",F573&gt;59)))</f>
        <v>0</v>
      </c>
      <c r="CM574" s="115" t="b">
        <f ca="1">OR(CL574,AND(C574="净世破魔击·日",CL573,RAND()&lt;模拟模式!$U$23))</f>
        <v>0</v>
      </c>
      <c r="CN574" s="115" t="b">
        <f ca="1">IF(模拟模式!$M$7="辉耀红尘",AND(C574="净世破魔击·月",CL574,CV574=0,E573&lt;80),AND(C574="净世破魔击·月",CL574,E573&lt;100))</f>
        <v>0</v>
      </c>
      <c r="CO574" s="115" t="b">
        <f t="shared" ca="1" si="484"/>
        <v>0</v>
      </c>
      <c r="CP574" s="115" t="b">
        <f ca="1">AND(模拟模式!$O$7="用晦而明",OR(C574="净世破魔击·日",C574="净世破魔击·月",C574="驱夜断愁"),AB574)</f>
        <v>0</v>
      </c>
      <c r="CQ574" s="115" t="b">
        <f ca="1">OR(CP574,AND(CP573,RAND()&lt;模拟模式!$U$23))</f>
        <v>1</v>
      </c>
      <c r="CR574" s="115" t="b">
        <f ca="1">AND(模拟模式!$S$7="日月齐光",OR(C574="幽月轮1",C574="幽月轮2",C574="幽月轮3",CR573),NOT(OR(C574="赤日轮1",C574="赤日轮2",C574="赤日轮3")))</f>
        <v>0</v>
      </c>
      <c r="CS574" s="115" t="b">
        <f ca="1">AND(模拟模式!$S$7="日月齐光",OR(C574="赤日轮1",C574="赤日轮2",C574="赤日轮3",CS573),NOT(OR(C574="幽月轮1",C574="幽月轮2",C574="幽月轮3")))</f>
        <v>0</v>
      </c>
      <c r="CT574" s="115">
        <f t="shared" ca="1" si="512"/>
        <v>0</v>
      </c>
      <c r="CU574" s="115" t="b">
        <f ca="1">AND(模拟模式!$K$10="阴阳往极",CT573=0,RAND()&lt;IF(C574="净世破魔击·月",0.0275*7/3,IF(C574="净世破魔击·日",0.0275*3/3,0.0275*2/3)))</f>
        <v>0</v>
      </c>
      <c r="CV574" s="115">
        <f t="shared" ca="1" si="513"/>
        <v>0</v>
      </c>
      <c r="CW574" s="115">
        <f t="shared" ca="1" si="485"/>
        <v>2.3099999999999996</v>
      </c>
      <c r="CX574" s="115">
        <f t="shared" ca="1" si="486"/>
        <v>0.46499999999999975</v>
      </c>
      <c r="CY574" s="115">
        <f ca="1">MAX(IF($C574="驱夜断愁",IF(模拟模式!$R$7="万念俱寂",6,45),CY573-$F$4),0)</f>
        <v>1.3874999999999997</v>
      </c>
      <c r="CZ574" s="115">
        <f t="shared" ca="1" si="487"/>
        <v>0</v>
      </c>
      <c r="DA574" s="115">
        <f ca="1">IF(模拟模式!$N$7="日月同辉",IF(DB573=2,0,MIN(6,IF(AND(OR(C574="赤日轮1",C574="赤日轮2",C574="赤日轮3",C574="幽月轮1",C574="幽月轮2",C574="幽月轮3"),AB574=1),DA573+1,DA573))),0)</f>
        <v>2</v>
      </c>
      <c r="DB574" s="115">
        <f t="shared" ca="1" si="488"/>
        <v>0</v>
      </c>
      <c r="DC574" s="115"/>
      <c r="DD574" s="115"/>
      <c r="DE574" s="115"/>
      <c r="DF574" s="115"/>
      <c r="DG574" s="115"/>
      <c r="DH574" s="115"/>
      <c r="DI574" s="115"/>
      <c r="DJ574" s="115"/>
      <c r="DK574" s="115"/>
      <c r="DL574" s="115"/>
      <c r="DM574" s="115"/>
    </row>
    <row r="575" spans="2:117" x14ac:dyDescent="0.2">
      <c r="B575" s="117">
        <f t="shared" si="489"/>
        <v>505.53000000000549</v>
      </c>
      <c r="C575" s="167" t="str">
        <f t="shared" ca="1" si="482"/>
        <v>银月斩</v>
      </c>
      <c r="D575" s="115">
        <f ca="1">IF(C575="赤日轮1",1,IF(C575="赤日轮2",2,IF(C575="赤日轮3",3,IF(C575="幽月轮1",4,IF(C575="幽月轮2",5,IF(C575="幽月轮3",6,IF(C575="烈日斩",7,IF(C575="银月斩",8,IF(C575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575="净世破魔击·月",17,IF(C575="驱夜断愁",18,0)))))))))))</f>
        <v>8</v>
      </c>
      <c r="E575" s="115">
        <f ca="1">IF(AND(CU575,OR(C575="幽月轮1",C575="幽月轮2",C575="幽月轮3",C575="银月斩",C575="驱夜断愁",C575="净世破魔击·月")),100,MIN(IF(OR(CN575,BE575),0,IF(OR($C575="赤日轮1",$C575="赤日轮2",$C575="赤日轮3"),E574+20+IF(模拟模式!$I$7="日月凌天",4,0)+IF(CR574,20,0),IF($C575="烈日斩",E574+40,IF($C575="驱夜断愁",IF(模拟模式!$R$7="万念俱寂",E574+20,E574+60),IF($C575="净世破魔击·月",IF(OR(DB574&gt;0,CV574&gt;0),100,IF(模拟模式!$M$7="辉耀红尘",E574+20,E574)),IF($C575="净世破魔击·日",E574-100,E574)))))),100))</f>
        <v>20</v>
      </c>
      <c r="F575" s="115">
        <f ca="1">IF(AND(CU575,OR(C575="赤日轮1",C575="赤日轮2",C575="赤日轮3",C575="烈日斩",C575="净世破魔击·日")),100,MIN(IF(CO575,0,IF(OR($C575="幽月轮1",$C575="幽月轮2",$C575="幽月轮3"),F574+20+IF(模拟模式!$I$7="日月凌天",4,0)+IF(CS574,20,0),IF($C575="银月斩",F574+40+IF(模拟模式!$X$12=1,5,0),IF($C575="驱夜断愁",IF(模拟模式!$R$7="万念俱寂",F574+20,F574+60),IF($C575="净世破魔击·月",IF(模拟模式!$M$7="辉耀红尘",F574-80,F574-100),IF(AND(C575="净世破魔击·日",OR(DB574&gt;0,CV574&gt;0)),100,F574)))))),100))</f>
        <v>65</v>
      </c>
      <c r="G575" s="117">
        <f ca="1">('模拟-全程加成'!$E$3+'模拟-全程加成'!$E$4+'模拟-全程加成'!$E$5+('模拟-全程加成'!$C$6-'模拟-全程加成'!$C$3)*系数!$B$9+BS575*23)*(1+'模拟-全程加成'!$F$4+'模拟-全程加成'!$F$5+BJ575*10%+BM575*20%+BP575*4%+CG575*30%)+$F$7*系数!$B$12</f>
        <v>21493.829400000002</v>
      </c>
      <c r="H575" s="45">
        <f ca="1">'模拟-全程加成'!$H$3+'模拟-全程加成'!$H$4+'模拟-全程加成'!$H$5+('模拟-全程加成'!$G$4+'模拟-全程加成'!$G$5+('模拟-全程加成'!$C$6-'模拟-全程加成'!$C$3)*系数!$B$13)/系数!$B$3+LOOKUP(D575,'模拟-单技能数据'!$A$2:$A$19,'模拟-单技能数据'!$K$2:$K$19)+BG575*10%+IF(BV575&gt;0,378,0)</f>
        <v>0.64185145527300214</v>
      </c>
      <c r="I575" s="45">
        <f ca="1">'模拟-全程加成'!$J$3+'模拟-全程加成'!$J$4+'模拟-全程加成'!$J$5+('模拟-全程加成'!$I$4+'模拟-全程加成'!$I$5)/系数!$B$4+LOOKUP(D575,'模拟-单技能数据'!$A$2:$A$19,'模拟-单技能数据'!$L$2:$L$19)+BG575*10%</f>
        <v>2.2624828854998791</v>
      </c>
      <c r="J575" s="45">
        <f ca="1">(('模拟-全程加成'!$K$3+'模拟-全程加成'!$K$4+'模拟-全程加成'!$K$5+('模拟-全程加成'!$C$6-'模拟-全程加成'!$C$3)*系数!$B$10+IF(BV575&gt;0,882,0)+IF(BY575&gt;0,1831,0))*(1+'模拟-全程加成'!$L$4+'模拟-全程加成'!$L$5+CC575*20%))/系数!$B$5</f>
        <v>0.69723220422048726</v>
      </c>
      <c r="K575" s="119">
        <f ca="1">LOOKUP(D575,'模拟-单技能数据'!$A$2:$A$19,'模拟-单技能数据'!$J$2:$J$19)+IF(CM575,60%,0)+IF(DB574-DB575&gt;0,30%,0)+IF(OR(AND(OR(C575="赤日轮1",C575="赤日轮2",C575="赤日轮3"),CR575),AND(OR(C575="幽月轮1",C575="幽月轮2",C575="幽月轮3"),CS575)),35%,0)+CJ575</f>
        <v>0.15</v>
      </c>
      <c r="L575" s="119">
        <f ca="1">IF(AND(C575="烈日斩",模拟模式!$X$11=1),10%,0)+IF(AND(C575="驱夜断愁",AB575=1),30%,0)</f>
        <v>0</v>
      </c>
      <c r="M575" s="45">
        <f t="shared" ca="1" si="465"/>
        <v>0.64185145527300214</v>
      </c>
      <c r="N575" s="45">
        <f t="shared" ca="1" si="466"/>
        <v>0.30424854472699792</v>
      </c>
      <c r="O575" s="46">
        <f t="shared" ca="1" si="490"/>
        <v>0.74243494998035642</v>
      </c>
      <c r="P575" s="46" t="str">
        <f t="shared" ca="1" si="491"/>
        <v>命</v>
      </c>
      <c r="Q575" s="45">
        <f t="shared" ca="1" si="492"/>
        <v>1</v>
      </c>
      <c r="R575" s="117">
        <f ca="1">模拟模式!$E$20*(1-IF(模拟模式!$J$19="有",0.15,0))*(1-IF(模拟模式!$K$19="有",0.3,0)-IF(CQ575,0.5,0))</f>
        <v>2950.6049999999996</v>
      </c>
      <c r="S575" s="45">
        <f ca="1">R575/(R575+(185*模拟模式!$E$22-16800)*4.08224)</f>
        <v>0.24272716014590323</v>
      </c>
      <c r="T575" s="45" t="str">
        <f ca="1">LOOKUP(D575,'模拟-单技能数据'!$A$2:$A$19,'模拟-单技能数据'!$H$2:$H$19)</f>
        <v>阴</v>
      </c>
      <c r="U575" s="119">
        <f t="shared" ca="1" si="467"/>
        <v>0.08</v>
      </c>
      <c r="V575" s="47">
        <f ca="1">(1+L575)*(LOOKUP(D575,'模拟-单技能数据'!$A$2:$A$19,'模拟-单技能数据'!$D$2:$D$19)+G575*LOOKUP(D575,'模拟-单技能数据'!$A$2:$A$19,'模拟-单技能数据'!$F$2:$F$19))*(1+J575)*(1+K575)*(1-S575)*(1+U575)*Q575*LOOKUP(D575,'模拟-单技能数据'!$A$2:$A$19,'模拟-单技能数据'!$I$2:$I$20)</f>
        <v>18215.255972688272</v>
      </c>
      <c r="W575" s="47">
        <f ca="1">LOOKUP(D575,'模拟-单技能数据'!$A$2:$A$19,'模拟-单技能数据'!$G$2:$G$19)*$I$10</f>
        <v>361.51064354704795</v>
      </c>
      <c r="X575" s="47">
        <f t="shared" ca="1" si="493"/>
        <v>20749.792464251139</v>
      </c>
      <c r="Y575" s="47">
        <f t="shared" ca="1" si="468"/>
        <v>39326.559080486462</v>
      </c>
      <c r="Z575" s="49">
        <f t="shared" ca="1" si="469"/>
        <v>57126532.998061903</v>
      </c>
      <c r="AA575" s="97">
        <f t="shared" ca="1" si="470"/>
        <v>113003.25005056334</v>
      </c>
      <c r="AB575" s="115">
        <f ca="1">IF(OR(C575="赤日轮1",C575="赤日轮2",C575="赤日轮3"),IF(RAND()&lt;模拟模式!$Y$17,1,0),IF(OR(C575="幽月轮1",C575="幽月轮2",C575="幽月轮3"),IF(RAND()&lt;模拟模式!$Y$18,1,0),IF(C575="烈日斩",IF(RAND()&lt;模拟模式!$Y$19,1,0),IF(C575="银月斩",IF(RAND()&lt;模拟模式!$Y$20,1,0),IF(C575="驱夜断愁",IF(RAND()&lt;模拟模式!$Y$21,1,0),IF(C575="净世破魔击·日",IF(RAND()&lt;模拟模式!$Y$22,1,0),IF(C575="净世破魔击·月",IF(RAND()&lt;模拟模式!$Y$23,1,0),0)))))))</f>
        <v>1</v>
      </c>
      <c r="AC575" s="115" t="b">
        <f t="shared" ca="1" si="458"/>
        <v>1</v>
      </c>
      <c r="AD575" s="115" t="b">
        <f t="shared" ca="1" si="478"/>
        <v>0</v>
      </c>
      <c r="AE575" s="115">
        <f t="shared" ca="1" si="479"/>
        <v>6</v>
      </c>
      <c r="AF575" s="47">
        <f ca="1">IF(AC575,('模拟-单技能数据'!$D$20+G575*'模拟-单技能数据'!$F$20)*(1+J575)*(1+'模拟-单技能数据'!$J$20)*(1+U575),0)</f>
        <v>4639.7456468263617</v>
      </c>
      <c r="AG575" s="61">
        <f t="shared" ca="1" si="471"/>
        <v>0.64185145527300214</v>
      </c>
      <c r="AH575" s="61">
        <f t="shared" ca="1" si="472"/>
        <v>2.2624828854998791</v>
      </c>
      <c r="AI575" s="62">
        <f t="shared" ca="1" si="494"/>
        <v>0.19351568563615096</v>
      </c>
      <c r="AJ575" s="47">
        <f ca="1">IF(AD575,IF(AI575&lt;$F$10,0,IF(AI575&lt;$F$10+$F$11,0.25,IF(AI575&lt;$F$10+$F$11+AG575,AH575,1)))*IF(AF575&gt;0,AF575,IF(AF574&gt;0,AF574,IF(AF573&gt;0,AF573,IF(AF572&gt;0,AF572,IF(AF571&gt;0,AF571,IF(AF570&gt;0,AF570,IF(AF569&gt;0,AF569,IF(AF568&gt;0,AF568,IF(AF567&gt;0,AF567,IF(AF565&gt;0,AF565,IF(AF564&gt;0,AF564,IF(AF563&gt;0,AF563,0)))))))))))),0)*(1-$S575)*'模拟-单技能数据'!$I$20</f>
        <v>0</v>
      </c>
      <c r="AK575" s="115" t="b">
        <f t="shared" ca="1" si="459"/>
        <v>0</v>
      </c>
      <c r="AL575" s="115" t="b">
        <f t="shared" ca="1" si="480"/>
        <v>1</v>
      </c>
      <c r="AM575" s="115">
        <f t="shared" ca="1" si="481"/>
        <v>4</v>
      </c>
      <c r="AN575" s="47">
        <f ca="1">IF(AK575,('模拟-单技能数据'!$D$21+G575*'模拟-单技能数据'!$F$21)*(1+J575)*(1+'模拟-单技能数据'!$J$21)*(1+U575),0)</f>
        <v>0</v>
      </c>
      <c r="AO575" s="61">
        <f ca="1">IF(AN575&gt;0,M575-'模拟-单技能数据'!$K$10,AO574)</f>
        <v>0.42185145527300216</v>
      </c>
      <c r="AP575" s="61">
        <f ca="1">IF(AN575&gt;0,I575-'模拟-单技能数据'!$L$10,AP574)</f>
        <v>2.162482885499879</v>
      </c>
      <c r="AQ575" s="63">
        <f t="shared" ca="1" si="495"/>
        <v>0.11533612467500942</v>
      </c>
      <c r="AR575" s="64">
        <f ca="1">IF(AL575,IF(AQ575&lt;$F$10,0,IF(AQ575&lt;$F$10+$F$11,0.25,IF(AQ575&lt;$F$10+$F$11+AO575,AP575,1)))*IF(AN575&gt;0,AN575,IF(AN574&gt;0,AN574,IF(AN573&gt;0,AN573,IF(AN572&gt;0,AN572,IF(AN571&gt;0,AN571,IF(AN570&gt;0,AN570,IF(AN569&gt;0,AN569,IF(AN568&gt;0,AN568,IF(AN567&gt;0,AN567,IF(AN565&gt;0,AN565,IF(AN564&gt;0,AN564,IF(AN563&gt;0,AN563,0)))))))))))),0)*(1-$S575)*'模拟-单技能数据'!$I$21</f>
        <v>20749.792464251139</v>
      </c>
      <c r="AS575" s="61">
        <f ca="1">IF(OR(C575="净世破魔击·日",C575="净世破魔击·月"),M575-'模拟-单技能数据'!$K$10,0)</f>
        <v>0</v>
      </c>
      <c r="AT575" s="61">
        <f ca="1">IF(OR(C575="净世破魔击·日",C575="净世破魔击·月"),I575-'模拟-单技能数据'!$L$10,0)</f>
        <v>0</v>
      </c>
      <c r="AU575" s="62">
        <f t="shared" ca="1" si="496"/>
        <v>1.0622021184859776E-2</v>
      </c>
      <c r="AV575" s="64">
        <f ca="1">IF(AS575&gt;0,('模拟-单技能数据'!$D$22+G575*'模拟-单技能数据'!$F$22)*(1+J575)*(1-S575)*IF(AU575&lt;$F$10,0,IF(AU575&lt;$F$10+$F$11,0.25,IF(AU575&lt;$F$10+$F$11+AS575,AT575,1)))*(1+U575),0)*'模拟-单技能数据'!$I$22</f>
        <v>0</v>
      </c>
      <c r="AW575" s="108">
        <f t="shared" ca="1" si="497"/>
        <v>9.8525000000000063</v>
      </c>
      <c r="AX575" s="108" t="b">
        <f ca="1">AND(模拟模式!$P$10="有",AW574=0,RAND()&lt;IF(C575="净世破魔击·月",0.1*8/3,IF(C575="净世破魔击·日",0.1*4/3,0.1*2/3)))</f>
        <v>0</v>
      </c>
      <c r="AY575" s="47">
        <f ca="1">IF(AX575,(18+G575*0.722)*(1+J575)*(1-S575)*(1+$I$4)*IF(P575="会",'模拟-全程加成'!$J$3+'模拟-全程加成'!$J$4+'模拟-全程加成'!$J$5+('模拟-全程加成'!$I$4+'模拟-全程加成'!$I$5)/系数!$B$4+BG575*10%,IF(P575="命",1,IF(P575="识",0.25,0))),0)</f>
        <v>0</v>
      </c>
      <c r="AZ575" s="108">
        <f t="shared" si="498"/>
        <v>1.5500000000000065</v>
      </c>
      <c r="BA575" s="108" t="b">
        <f>AND(模拟模式!$Q$10="有",AZ574=0)</f>
        <v>0</v>
      </c>
      <c r="BB575" s="140">
        <f>IF(BA575,(0+G575*0.287)*(1+J575)*(1-S575)*(1+$I$4)*IF(P575="会",'模拟-全程加成'!$J$3+'模拟-全程加成'!$J$4+'模拟-全程加成'!$J$5+('模拟-全程加成'!$I$4+'模拟-全程加成'!$I$5)/系数!$B$4+BG575*10%,IF(P575="命",1,IF(P575="识",0.25,0))),0)</f>
        <v>0</v>
      </c>
      <c r="BC575" s="115" t="b">
        <f ca="1">AND(模拟模式!$R$7="伏明众生",E575=60,F575=20,DA575&lt;5,CZ574&lt;$F$4)</f>
        <v>0</v>
      </c>
      <c r="BD575" s="115">
        <f t="shared" ca="1" si="460"/>
        <v>0</v>
      </c>
      <c r="BE575" s="115" t="b">
        <f t="shared" ca="1" si="461"/>
        <v>0</v>
      </c>
      <c r="BF575" s="47">
        <f ca="1">IF(BC575,4*('模拟-单技能数据'!$D$24+G575*'模拟-单技能数据'!$F$24)*(1+J575)*(1+'模拟-单技能数据'!$J$24)*(1-S575)*(1+$I$3)*(('模拟-全程加成'!$J$3+'模拟-全程加成'!$J$4+'模拟-全程加成'!$J$5+('模拟-全程加成'!$I$4+'模拟-全程加成'!$I$5)/系数!$B$4+BG575*10%)*('模拟-全程加成'!$J$3+'模拟-全程加成'!$J$4+'模拟-全程加成'!$J$5+('模拟-全程加成'!$I$4+'模拟-全程加成'!$I$5)/系数!$B$4+BG575*10%)+(1-('模拟-全程加成'!$J$3+'模拟-全程加成'!$J$4+'模拟-全程加成'!$J$5+('模拟-全程加成'!$I$4+'模拟-全程加成'!$I$5)/系数!$B$4+BG575*10%)-$F$10-$F$11)+F561*0.25),0)*'模拟-单技能数据'!$I$24</f>
        <v>0</v>
      </c>
      <c r="BG575" s="115" t="b">
        <f ca="1">OR(AND(OR(C575="烈日斩",C575="银月斩"),模拟模式!$I$7="净身明礼"),AND(C575="净世破魔击·日",模拟模式!$J$7="洞若观火"),AND(C576="净世破魔击·月",模拟模式!$J$7="洞若观火"),AB575=1)</f>
        <v>1</v>
      </c>
      <c r="BH575" s="115" t="b">
        <f t="shared" ca="1" si="499"/>
        <v>0</v>
      </c>
      <c r="BI575" s="115">
        <f t="shared" ca="1" si="462"/>
        <v>3.2324999999999995</v>
      </c>
      <c r="BJ575" s="115" t="b">
        <f t="shared" ca="1" si="473"/>
        <v>1</v>
      </c>
      <c r="BK575" s="115" t="b">
        <f ca="1">AND(C575="驱夜断愁",模拟模式!$P$7="天地诛戮")</f>
        <v>0</v>
      </c>
      <c r="BL575" s="57">
        <f t="shared" ca="1" si="463"/>
        <v>14.465000000000003</v>
      </c>
      <c r="BM575" s="115" t="b">
        <f t="shared" ca="1" si="474"/>
        <v>1</v>
      </c>
      <c r="BN575" s="115" t="b">
        <f ca="1">AND(OR(C575="赤日轮1",C575="赤日轮2",C575="赤日轮3",C575="幽月轮1",C575="幽月轮2",C575="幽月轮3"),AB575=1,模拟模式!$L$7="明光恒照")</f>
        <v>0</v>
      </c>
      <c r="BO575" s="117">
        <f t="shared" ca="1" si="464"/>
        <v>29.077500000000001</v>
      </c>
      <c r="BP575" s="115">
        <f t="shared" ca="1" si="500"/>
        <v>6</v>
      </c>
      <c r="BQ575" s="115" t="b">
        <f>模拟模式!$K$10="2600·水"</f>
        <v>0</v>
      </c>
      <c r="BR575" s="117">
        <f t="shared" si="501"/>
        <v>0</v>
      </c>
      <c r="BS575" s="115">
        <f t="shared" si="502"/>
        <v>0</v>
      </c>
      <c r="BT575" s="115">
        <f t="shared" ca="1" si="503"/>
        <v>0</v>
      </c>
      <c r="BU575" s="115" t="b">
        <f ca="1">AND(模拟模式!$K$10="2300·雷",BT574=0,RAND()&lt;IF(C575="净世破魔击·月",5*0.05*2/3,IF(C575="净世破魔击·日",3*0.05*2/3,0.05*2*2/3)))</f>
        <v>0</v>
      </c>
      <c r="BV575" s="115">
        <f t="shared" ca="1" si="504"/>
        <v>0</v>
      </c>
      <c r="BW575" s="115">
        <f t="shared" ca="1" si="505"/>
        <v>49.927499999999284</v>
      </c>
      <c r="BX575" s="164" t="b">
        <f t="shared" ca="1" si="506"/>
        <v>0</v>
      </c>
      <c r="BY575" s="115">
        <f t="shared" ca="1" si="507"/>
        <v>0</v>
      </c>
      <c r="BZ575" s="115">
        <f>IF(OR(模拟模式!$P$16="10人团",模拟模式!$P$16="25人团"),IF(B575/30&gt;CA574,1,0),0)</f>
        <v>0</v>
      </c>
      <c r="CA575" s="115">
        <f t="shared" si="483"/>
        <v>0</v>
      </c>
      <c r="CB575" s="115">
        <f ca="1">IF(BZ575=1,IF(模拟模式!$P$16="10人团",15,0)+IF(模拟模式!$P$16="25人团",IF(RAND()&lt;0.6,15,0)),MAX(0,CB574-$F$4))</f>
        <v>0</v>
      </c>
      <c r="CC575" s="115" t="b">
        <f t="shared" ca="1" si="475"/>
        <v>0</v>
      </c>
      <c r="CD575" s="115">
        <f>IF(模拟模式!$Q$16="1个",IF(B575/40&gt;CE574,1,0),0)</f>
        <v>0</v>
      </c>
      <c r="CE575" s="115">
        <f t="shared" si="476"/>
        <v>0</v>
      </c>
      <c r="CF575" s="115">
        <f>IF(OR(CD575=1,模拟模式!$Q$16="2个"),20,MAX(0,CF574-$F$4))</f>
        <v>0</v>
      </c>
      <c r="CG575" s="115" t="b">
        <f t="shared" si="477"/>
        <v>0</v>
      </c>
      <c r="CH575" s="115">
        <f t="shared" ca="1" si="508"/>
        <v>1.4025000000000118</v>
      </c>
      <c r="CI575" s="115" t="b">
        <f t="shared" ca="1" si="509"/>
        <v>0</v>
      </c>
      <c r="CJ575" s="119">
        <f t="shared" ca="1" si="510"/>
        <v>0</v>
      </c>
      <c r="CK575" s="115">
        <f t="shared" ca="1" si="511"/>
        <v>0</v>
      </c>
      <c r="CL575" s="115" t="b">
        <f ca="1">AND(模拟模式!$S$7="驱夷逐法",OR(AND(C575="净世破魔击·月",E574&gt;59),AND(C575="净世破魔击·日",F574&gt;59)))</f>
        <v>0</v>
      </c>
      <c r="CM575" s="115" t="b">
        <f ca="1">OR(CL575,AND(C575="净世破魔击·日",CL574,RAND()&lt;模拟模式!$U$23))</f>
        <v>0</v>
      </c>
      <c r="CN575" s="115" t="b">
        <f ca="1">IF(模拟模式!$M$7="辉耀红尘",AND(C575="净世破魔击·月",CL575,CV575=0,E574&lt;80),AND(C575="净世破魔击·月",CL575,E574&lt;100))</f>
        <v>0</v>
      </c>
      <c r="CO575" s="115" t="b">
        <f t="shared" ca="1" si="484"/>
        <v>0</v>
      </c>
      <c r="CP575" s="115" t="b">
        <f ca="1">AND(模拟模式!$O$7="用晦而明",OR(C575="净世破魔击·日",C575="净世破魔击·月",C575="驱夜断愁"),AB575)</f>
        <v>0</v>
      </c>
      <c r="CQ575" s="115" t="b">
        <f ca="1">OR(CP575,AND(CP574,RAND()&lt;模拟模式!$U$23))</f>
        <v>0</v>
      </c>
      <c r="CR575" s="115" t="b">
        <f ca="1">AND(模拟模式!$S$7="日月齐光",OR(C575="幽月轮1",C575="幽月轮2",C575="幽月轮3",CR574),NOT(OR(C575="赤日轮1",C575="赤日轮2",C575="赤日轮3")))</f>
        <v>0</v>
      </c>
      <c r="CS575" s="115" t="b">
        <f ca="1">AND(模拟模式!$S$7="日月齐光",OR(C575="赤日轮1",C575="赤日轮2",C575="赤日轮3",CS574),NOT(OR(C575="幽月轮1",C575="幽月轮2",C575="幽月轮3")))</f>
        <v>0</v>
      </c>
      <c r="CT575" s="115">
        <f t="shared" ca="1" si="512"/>
        <v>0</v>
      </c>
      <c r="CU575" s="115" t="b">
        <f ca="1">AND(模拟模式!$K$10="阴阳往极",CT574=0,RAND()&lt;IF(C575="净世破魔击·月",0.0275*7/3,IF(C575="净世破魔击·日",0.0275*3/3,0.0275*2/3)))</f>
        <v>0</v>
      </c>
      <c r="CV575" s="115">
        <f t="shared" ca="1" si="513"/>
        <v>0</v>
      </c>
      <c r="CW575" s="115">
        <f t="shared" ca="1" si="485"/>
        <v>1.3874999999999997</v>
      </c>
      <c r="CX575" s="115">
        <f t="shared" ca="1" si="486"/>
        <v>6</v>
      </c>
      <c r="CY575" s="115">
        <f ca="1">MAX(IF($C575="驱夜断愁",IF(模拟模式!$R$7="万念俱寂",6,45),CY574-$F$4),0)</f>
        <v>0.46499999999999975</v>
      </c>
      <c r="CZ575" s="115">
        <f t="shared" ca="1" si="487"/>
        <v>0</v>
      </c>
      <c r="DA575" s="115">
        <f ca="1">IF(模拟模式!$N$7="日月同辉",IF(DB574=2,0,MIN(6,IF(AND(OR(C575="赤日轮1",C575="赤日轮2",C575="赤日轮3",C575="幽月轮1",C575="幽月轮2",C575="幽月轮3"),AB575=1),DA574+1,DA574))),0)</f>
        <v>2</v>
      </c>
      <c r="DB575" s="115">
        <f t="shared" ca="1" si="488"/>
        <v>0</v>
      </c>
      <c r="DC575" s="115"/>
      <c r="DD575" s="115"/>
      <c r="DE575" s="115"/>
      <c r="DF575" s="115"/>
      <c r="DG575" s="115"/>
      <c r="DH575" s="115"/>
      <c r="DI575" s="115"/>
      <c r="DJ575" s="115"/>
      <c r="DK575" s="115"/>
      <c r="DL575" s="115"/>
      <c r="DM575" s="115"/>
    </row>
    <row r="576" spans="2:117" x14ac:dyDescent="0.2">
      <c r="B576" s="117">
        <f t="shared" si="489"/>
        <v>506.4525000000055</v>
      </c>
      <c r="C576" s="167" t="str">
        <f t="shared" ca="1" si="482"/>
        <v>驱夜断愁</v>
      </c>
      <c r="D576" s="115">
        <f ca="1">IF(C576="赤日轮1",1,IF(C576="赤日轮2",2,IF(C576="赤日轮3",3,IF(C576="幽月轮1",4,IF(C576="幽月轮2",5,IF(C576="幽月轮3",6,IF(C576="烈日斩",7,IF(C576="银月斩",8,IF(C576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576="净世破魔击·月",17,IF(C576="驱夜断愁",18,0)))))))))))</f>
        <v>18</v>
      </c>
      <c r="E576" s="115">
        <f ca="1">IF(AND(CU576,OR(C576="幽月轮1",C576="幽月轮2",C576="幽月轮3",C576="银月斩",C576="驱夜断愁",C576="净世破魔击·月")),100,MIN(IF(OR(CN576,BE576),0,IF(OR($C576="赤日轮1",$C576="赤日轮2",$C576="赤日轮3"),E575+20+IF(模拟模式!$I$7="日月凌天",4,0)+IF(CR575,20,0),IF($C576="烈日斩",E575+40,IF($C576="驱夜断愁",IF(模拟模式!$R$7="万念俱寂",E575+20,E575+60),IF($C576="净世破魔击·月",IF(OR(DB575&gt;0,CV575&gt;0),100,IF(模拟模式!$M$7="辉耀红尘",E575+20,E575)),IF($C576="净世破魔击·日",E575-100,E575)))))),100))</f>
        <v>40</v>
      </c>
      <c r="F576" s="115">
        <f ca="1">IF(AND(CU576,OR(C576="赤日轮1",C576="赤日轮2",C576="赤日轮3",C576="烈日斩",C576="净世破魔击·日")),100,MIN(IF(CO576,0,IF(OR($C576="幽月轮1",$C576="幽月轮2",$C576="幽月轮3"),F575+20+IF(模拟模式!$I$7="日月凌天",4,0)+IF(CS575,20,0),IF($C576="银月斩",F575+40+IF(模拟模式!$X$12=1,5,0),IF($C576="驱夜断愁",IF(模拟模式!$R$7="万念俱寂",F575+20,F575+60),IF($C576="净世破魔击·月",IF(模拟模式!$M$7="辉耀红尘",F575-80,F575-100),IF(AND(C576="净世破魔击·日",OR(DB575&gt;0,CV575&gt;0)),100,F575)))))),100))</f>
        <v>85</v>
      </c>
      <c r="G576" s="117">
        <f ca="1">('模拟-全程加成'!$E$3+'模拟-全程加成'!$E$4+'模拟-全程加成'!$E$5+('模拟-全程加成'!$C$6-'模拟-全程加成'!$C$3)*系数!$B$9+BS576*23)*(1+'模拟-全程加成'!$F$4+'模拟-全程加成'!$F$5+BJ576*10%+BM576*20%+BP576*4%+CG576*30%)+$F$7*系数!$B$12</f>
        <v>21493.829400000002</v>
      </c>
      <c r="H576" s="45">
        <f ca="1">'模拟-全程加成'!$H$3+'模拟-全程加成'!$H$4+'模拟-全程加成'!$H$5+('模拟-全程加成'!$G$4+'模拟-全程加成'!$G$5+('模拟-全程加成'!$C$6-'模拟-全程加成'!$C$3)*系数!$B$13)/系数!$B$3+LOOKUP(D576,'模拟-单技能数据'!$A$2:$A$19,'模拟-单技能数据'!$K$2:$K$19)+BG576*10%+IF(BV576&gt;0,378,0)</f>
        <v>0.51185145527300213</v>
      </c>
      <c r="I576" s="45">
        <f ca="1">'模拟-全程加成'!$J$3+'模拟-全程加成'!$J$4+'模拟-全程加成'!$J$5+('模拟-全程加成'!$I$4+'模拟-全程加成'!$I$5)/系数!$B$4+LOOKUP(D576,'模拟-单技能数据'!$A$2:$A$19,'模拟-单技能数据'!$L$2:$L$19)+BG576*10%</f>
        <v>2.162482885499879</v>
      </c>
      <c r="J576" s="45">
        <f ca="1">(('模拟-全程加成'!$K$3+'模拟-全程加成'!$K$4+'模拟-全程加成'!$K$5+('模拟-全程加成'!$C$6-'模拟-全程加成'!$C$3)*系数!$B$10+IF(BV576&gt;0,882,0)+IF(BY576&gt;0,1831,0))*(1+'模拟-全程加成'!$L$4+'模拟-全程加成'!$L$5+CC576*20%))/系数!$B$5</f>
        <v>0.69723220422048726</v>
      </c>
      <c r="K576" s="119">
        <f ca="1">LOOKUP(D576,'模拟-单技能数据'!$A$2:$A$19,'模拟-单技能数据'!$J$2:$J$19)+IF(CM576,60%,0)+IF(DB575-DB576&gt;0,30%,0)+IF(OR(AND(OR(C576="赤日轮1",C576="赤日轮2",C576="赤日轮3"),CR576),AND(OR(C576="幽月轮1",C576="幽月轮2",C576="幽月轮3"),CS576)),35%,0)+CJ576</f>
        <v>0.14000000000000001</v>
      </c>
      <c r="L576" s="119">
        <f ca="1">IF(AND(C576="烈日斩",模拟模式!$X$11=1),10%,0)+IF(AND(C576="驱夜断愁",AB576=1),30%,0)</f>
        <v>0.3</v>
      </c>
      <c r="M576" s="45">
        <f t="shared" ca="1" si="465"/>
        <v>0.51185145527300213</v>
      </c>
      <c r="N576" s="45">
        <f t="shared" ca="1" si="466"/>
        <v>0.43424854472699792</v>
      </c>
      <c r="O576" s="46">
        <f t="shared" ca="1" si="490"/>
        <v>0.99052707445855614</v>
      </c>
      <c r="P576" s="46" t="str">
        <f t="shared" ca="1" si="491"/>
        <v>命</v>
      </c>
      <c r="Q576" s="45">
        <f t="shared" ca="1" si="492"/>
        <v>1</v>
      </c>
      <c r="R576" s="117">
        <f ca="1">模拟模式!$E$20*(1-IF(模拟模式!$J$19="有",0.15,0))*(1-IF(模拟模式!$K$19="有",0.3,0)-IF(CQ576,0.5,0))</f>
        <v>843.02999999999975</v>
      </c>
      <c r="S576" s="45">
        <f ca="1">R576/(R576+(185*模拟模式!$E$22-16800)*4.08224)</f>
        <v>8.389626085980037E-2</v>
      </c>
      <c r="T576" s="45" t="str">
        <f ca="1">LOOKUP(D576,'模拟-单技能数据'!$A$2:$A$19,'模拟-单技能数据'!$H$2:$H$19)</f>
        <v>阴</v>
      </c>
      <c r="U576" s="119">
        <f t="shared" ca="1" si="467"/>
        <v>0.08</v>
      </c>
      <c r="V576" s="47">
        <f ca="1">(1+L576)*(LOOKUP(D576,'模拟-单技能数据'!$A$2:$A$19,'模拟-单技能数据'!$D$2:$D$19)+G576*LOOKUP(D576,'模拟-单技能数据'!$A$2:$A$19,'模拟-单技能数据'!$F$2:$F$19))*(1+J576)*(1+K576)*(1-S576)*(1+U576)*Q576*LOOKUP(D576,'模拟-单技能数据'!$A$2:$A$19,'模拟-单技能数据'!$I$2:$I$20)</f>
        <v>61540.073489592025</v>
      </c>
      <c r="W576" s="47">
        <f ca="1">LOOKUP(D576,'模拟-单技能数据'!$A$2:$A$19,'模拟-单技能数据'!$G$2:$G$19)*$I$10</f>
        <v>723.0212870940959</v>
      </c>
      <c r="X576" s="47">
        <f t="shared" ca="1" si="493"/>
        <v>9616.6571145767884</v>
      </c>
      <c r="Y576" s="47">
        <f t="shared" ca="1" si="468"/>
        <v>71879.751891262917</v>
      </c>
      <c r="Z576" s="49">
        <f t="shared" ca="1" si="469"/>
        <v>57198412.749953166</v>
      </c>
      <c r="AA576" s="97">
        <f t="shared" ca="1" si="470"/>
        <v>112939.34327494196</v>
      </c>
      <c r="AB576" s="115">
        <f ca="1">IF(OR(C576="赤日轮1",C576="赤日轮2",C576="赤日轮3"),IF(RAND()&lt;模拟模式!$Y$17,1,0),IF(OR(C576="幽月轮1",C576="幽月轮2",C576="幽月轮3"),IF(RAND()&lt;模拟模式!$Y$18,1,0),IF(C576="烈日斩",IF(RAND()&lt;模拟模式!$Y$19,1,0),IF(C576="银月斩",IF(RAND()&lt;模拟模式!$Y$20,1,0),IF(C576="驱夜断愁",IF(RAND()&lt;模拟模式!$Y$21,1,0),IF(C576="净世破魔击·日",IF(RAND()&lt;模拟模式!$Y$22,1,0),IF(C576="净世破魔击·月",IF(RAND()&lt;模拟模式!$Y$23,1,0),0)))))))</f>
        <v>1</v>
      </c>
      <c r="AC576" s="115" t="b">
        <f t="shared" ca="1" si="458"/>
        <v>0</v>
      </c>
      <c r="AD576" s="115" t="b">
        <f t="shared" ca="1" si="478"/>
        <v>1</v>
      </c>
      <c r="AE576" s="115">
        <f t="shared" ca="1" si="479"/>
        <v>5</v>
      </c>
      <c r="AF576" s="47">
        <f ca="1">IF(AC576,('模拟-单技能数据'!$D$20+G576*'模拟-单技能数据'!$F$20)*(1+J576)*(1+'模拟-单技能数据'!$J$20)*(1+U576),0)</f>
        <v>0</v>
      </c>
      <c r="AG576" s="61">
        <f t="shared" ca="1" si="471"/>
        <v>0.64185145527300214</v>
      </c>
      <c r="AH576" s="61">
        <f t="shared" ca="1" si="472"/>
        <v>2.2624828854998791</v>
      </c>
      <c r="AI576" s="62">
        <f t="shared" ca="1" si="494"/>
        <v>0.32289726606060121</v>
      </c>
      <c r="AJ576" s="47">
        <f ca="1">IF(AD576,IF(AI576&lt;$F$10,0,IF(AI576&lt;$F$10+$F$11,0.25,IF(AI576&lt;$F$10+$F$11+AG576,AH576,1)))*IF(AF576&gt;0,AF576,IF(AF575&gt;0,AF575,IF(AF574&gt;0,AF574,IF(AF573&gt;0,AF573,IF(AF572&gt;0,AF572,IF(AF571&gt;0,AF571,IF(AF570&gt;0,AF570,IF(AF569&gt;0,AF569,IF(AF568&gt;0,AF568,IF(AF566&gt;0,AF566,IF(AF565&gt;0,AF565,IF(AF564&gt;0,AF564,0)))))))))))),0)*(1-$S576)*'模拟-单技能数据'!$I$20</f>
        <v>9616.6571145767884</v>
      </c>
      <c r="AK576" s="115" t="b">
        <f t="shared" ca="1" si="459"/>
        <v>0</v>
      </c>
      <c r="AL576" s="115" t="b">
        <f t="shared" ca="1" si="480"/>
        <v>0</v>
      </c>
      <c r="AM576" s="115">
        <f t="shared" ca="1" si="481"/>
        <v>4</v>
      </c>
      <c r="AN576" s="47">
        <f ca="1">IF(AK576,('模拟-单技能数据'!$D$21+G576*'模拟-单技能数据'!$F$21)*(1+J576)*(1+'模拟-单技能数据'!$J$21)*(1+U576),0)</f>
        <v>0</v>
      </c>
      <c r="AO576" s="61">
        <f ca="1">IF(AN576&gt;0,M576-'模拟-单技能数据'!$K$10,AO575)</f>
        <v>0.42185145527300216</v>
      </c>
      <c r="AP576" s="61">
        <f ca="1">IF(AN576&gt;0,I576-'模拟-单技能数据'!$L$10,AP575)</f>
        <v>2.162482885499879</v>
      </c>
      <c r="AQ576" s="63">
        <f t="shared" ca="1" si="495"/>
        <v>0.70180186313026627</v>
      </c>
      <c r="AR576" s="64">
        <f ca="1">IF(AL576,IF(AQ576&lt;$F$10,0,IF(AQ576&lt;$F$10+$F$11,0.25,IF(AQ576&lt;$F$10+$F$11+AO576,AP576,1)))*IF(AN576&gt;0,AN576,IF(AN575&gt;0,AN575,IF(AN574&gt;0,AN574,IF(AN573&gt;0,AN573,IF(AN572&gt;0,AN572,IF(AN571&gt;0,AN571,IF(AN570&gt;0,AN570,IF(AN569&gt;0,AN569,IF(AN568&gt;0,AN568,IF(AN566&gt;0,AN566,IF(AN565&gt;0,AN565,IF(AN564&gt;0,AN564,0)))))))))))),0)*(1-$S576)*'模拟-单技能数据'!$I$21</f>
        <v>0</v>
      </c>
      <c r="AS576" s="61">
        <f ca="1">IF(OR(C576="净世破魔击·日",C576="净世破魔击·月"),M576-'模拟-单技能数据'!$K$10,0)</f>
        <v>0</v>
      </c>
      <c r="AT576" s="61">
        <f ca="1">IF(OR(C576="净世破魔击·日",C576="净世破魔击·月"),I576-'模拟-单技能数据'!$L$10,0)</f>
        <v>0</v>
      </c>
      <c r="AU576" s="62">
        <f t="shared" ca="1" si="496"/>
        <v>0.44764022904896128</v>
      </c>
      <c r="AV576" s="64">
        <f ca="1">IF(AS576&gt;0,('模拟-单技能数据'!$D$22+G576*'模拟-单技能数据'!$F$22)*(1+J576)*(1-S576)*IF(AU576&lt;$F$10,0,IF(AU576&lt;$F$10+$F$11,0.25,IF(AU576&lt;$F$10+$F$11+AS576,AT576,1)))*(1+U576),0)*'模拟-单技能数据'!$I$22</f>
        <v>0</v>
      </c>
      <c r="AW576" s="108">
        <f t="shared" ca="1" si="497"/>
        <v>8.9300000000000068</v>
      </c>
      <c r="AX576" s="108" t="b">
        <f ca="1">AND(模拟模式!$P$10="有",AW575=0,RAND()&lt;IF(C576="净世破魔击·月",0.1*8/3,IF(C576="净世破魔击·日",0.1*4/3,0.1*2/3)))</f>
        <v>0</v>
      </c>
      <c r="AY576" s="47">
        <f ca="1">IF(AX576,(18+G576*0.722)*(1+J576)*(1-S576)*(1+$I$4)*IF(P576="会",'模拟-全程加成'!$J$3+'模拟-全程加成'!$J$4+'模拟-全程加成'!$J$5+('模拟-全程加成'!$I$4+'模拟-全程加成'!$I$5)/系数!$B$4+BG576*10%,IF(P576="命",1,IF(P576="识",0.25,0))),0)</f>
        <v>0</v>
      </c>
      <c r="AZ576" s="108">
        <f t="shared" si="498"/>
        <v>0.6275000000000065</v>
      </c>
      <c r="BA576" s="108" t="b">
        <f>AND(模拟模式!$Q$10="有",AZ575=0)</f>
        <v>0</v>
      </c>
      <c r="BB576" s="140">
        <f>IF(BA576,(0+G576*0.287)*(1+J576)*(1-S576)*(1+$I$4)*IF(P576="会",'模拟-全程加成'!$J$3+'模拟-全程加成'!$J$4+'模拟-全程加成'!$J$5+('模拟-全程加成'!$I$4+'模拟-全程加成'!$I$5)/系数!$B$4+BG576*10%,IF(P576="命",1,IF(P576="识",0.25,0))),0)</f>
        <v>0</v>
      </c>
      <c r="BC576" s="115" t="b">
        <f ca="1">AND(模拟模式!$R$7="伏明众生",E576=60,F576=20,DA576&lt;5,CZ575&lt;$F$4)</f>
        <v>0</v>
      </c>
      <c r="BD576" s="115">
        <f t="shared" ca="1" si="460"/>
        <v>0</v>
      </c>
      <c r="BE576" s="115" t="b">
        <f t="shared" ca="1" si="461"/>
        <v>0</v>
      </c>
      <c r="BF576" s="47">
        <f ca="1">IF(BC576,4*('模拟-单技能数据'!$D$24+G576*'模拟-单技能数据'!$F$24)*(1+J576)*(1+'模拟-单技能数据'!$J$24)*(1-S576)*(1+$I$3)*(('模拟-全程加成'!$J$3+'模拟-全程加成'!$J$4+'模拟-全程加成'!$J$5+('模拟-全程加成'!$I$4+'模拟-全程加成'!$I$5)/系数!$B$4+BG576*10%)*('模拟-全程加成'!$J$3+'模拟-全程加成'!$J$4+'模拟-全程加成'!$J$5+('模拟-全程加成'!$I$4+'模拟-全程加成'!$I$5)/系数!$B$4+BG576*10%)+(1-('模拟-全程加成'!$J$3+'模拟-全程加成'!$J$4+'模拟-全程加成'!$J$5+('模拟-全程加成'!$I$4+'模拟-全程加成'!$I$5)/系数!$B$4+BG576*10%)-$F$10-$F$11)+F562*0.25),0)*'模拟-单技能数据'!$I$24</f>
        <v>0</v>
      </c>
      <c r="BG576" s="115" t="b">
        <f ca="1">OR(AND(OR(C576="烈日斩",C576="银月斩"),模拟模式!$I$7="净身明礼"),AND(C576="净世破魔击·日",模拟模式!$J$7="洞若观火"),AND(C577="净世破魔击·月",模拟模式!$J$7="洞若观火"),AB576=1)</f>
        <v>1</v>
      </c>
      <c r="BH576" s="115" t="b">
        <f t="shared" ca="1" si="499"/>
        <v>0</v>
      </c>
      <c r="BI576" s="115">
        <f t="shared" ca="1" si="462"/>
        <v>2.3099999999999996</v>
      </c>
      <c r="BJ576" s="115" t="b">
        <f t="shared" ca="1" si="473"/>
        <v>1</v>
      </c>
      <c r="BK576" s="115" t="b">
        <f ca="1">AND(C576="驱夜断愁",模拟模式!$P$7="天地诛戮")</f>
        <v>1</v>
      </c>
      <c r="BL576" s="57">
        <f t="shared" ca="1" si="463"/>
        <v>20</v>
      </c>
      <c r="BM576" s="115" t="b">
        <f t="shared" ca="1" si="474"/>
        <v>1</v>
      </c>
      <c r="BN576" s="115" t="b">
        <f ca="1">AND(OR(C576="赤日轮1",C576="赤日轮2",C576="赤日轮3",C576="幽月轮1",C576="幽月轮2",C576="幽月轮3"),AB576=1,模拟模式!$L$7="明光恒照")</f>
        <v>0</v>
      </c>
      <c r="BO576" s="117">
        <f t="shared" ca="1" si="464"/>
        <v>28.155000000000001</v>
      </c>
      <c r="BP576" s="115">
        <f t="shared" ca="1" si="500"/>
        <v>6</v>
      </c>
      <c r="BQ576" s="115" t="b">
        <f>模拟模式!$K$10="2600·水"</f>
        <v>0</v>
      </c>
      <c r="BR576" s="117">
        <f t="shared" si="501"/>
        <v>0</v>
      </c>
      <c r="BS576" s="115">
        <f t="shared" si="502"/>
        <v>0</v>
      </c>
      <c r="BT576" s="115">
        <f t="shared" ca="1" si="503"/>
        <v>0</v>
      </c>
      <c r="BU576" s="115" t="b">
        <f ca="1">AND(模拟模式!$K$10="2300·雷",BT575=0,RAND()&lt;IF(C576="净世破魔击·月",5*0.05*2/3,IF(C576="净世破魔击·日",3*0.05*2/3,0.05*2*2/3)))</f>
        <v>0</v>
      </c>
      <c r="BV576" s="115">
        <f t="shared" ca="1" si="504"/>
        <v>0</v>
      </c>
      <c r="BW576" s="115">
        <f t="shared" ca="1" si="505"/>
        <v>49.004999999999285</v>
      </c>
      <c r="BX576" s="164" t="b">
        <f t="shared" ca="1" si="506"/>
        <v>0</v>
      </c>
      <c r="BY576" s="115">
        <f t="shared" ca="1" si="507"/>
        <v>0</v>
      </c>
      <c r="BZ576" s="115">
        <f>IF(OR(模拟模式!$P$16="10人团",模拟模式!$P$16="25人团"),IF(B576/30&gt;CA575,1,0),0)</f>
        <v>0</v>
      </c>
      <c r="CA576" s="115">
        <f t="shared" si="483"/>
        <v>0</v>
      </c>
      <c r="CB576" s="115">
        <f ca="1">IF(BZ576=1,IF(模拟模式!$P$16="10人团",15,0)+IF(模拟模式!$P$16="25人团",IF(RAND()&lt;0.6,15,0)),MAX(0,CB575-$F$4))</f>
        <v>0</v>
      </c>
      <c r="CC576" s="115" t="b">
        <f t="shared" ca="1" si="475"/>
        <v>0</v>
      </c>
      <c r="CD576" s="115">
        <f>IF(模拟模式!$Q$16="1个",IF(B576/40&gt;CE575,1,0),0)</f>
        <v>0</v>
      </c>
      <c r="CE576" s="115">
        <f t="shared" si="476"/>
        <v>0</v>
      </c>
      <c r="CF576" s="115">
        <f>IF(OR(CD576=1,模拟模式!$Q$16="2个"),20,MAX(0,CF575-$F$4))</f>
        <v>0</v>
      </c>
      <c r="CG576" s="115" t="b">
        <f t="shared" si="477"/>
        <v>0</v>
      </c>
      <c r="CH576" s="115">
        <f t="shared" ca="1" si="508"/>
        <v>0.48000000000001186</v>
      </c>
      <c r="CI576" s="115" t="b">
        <f t="shared" ca="1" si="509"/>
        <v>0</v>
      </c>
      <c r="CJ576" s="119">
        <f t="shared" ca="1" si="510"/>
        <v>0</v>
      </c>
      <c r="CK576" s="115">
        <f t="shared" ca="1" si="511"/>
        <v>0</v>
      </c>
      <c r="CL576" s="115" t="b">
        <f ca="1">AND(模拟模式!$S$7="驱夷逐法",OR(AND(C576="净世破魔击·月",E575&gt;59),AND(C576="净世破魔击·日",F575&gt;59)))</f>
        <v>0</v>
      </c>
      <c r="CM576" s="115" t="b">
        <f ca="1">OR(CL576,AND(C576="净世破魔击·日",CL575,RAND()&lt;模拟模式!$U$23))</f>
        <v>0</v>
      </c>
      <c r="CN576" s="115" t="b">
        <f ca="1">IF(模拟模式!$M$7="辉耀红尘",AND(C576="净世破魔击·月",CL576,CV576=0,E575&lt;80),AND(C576="净世破魔击·月",CL576,E575&lt;100))</f>
        <v>0</v>
      </c>
      <c r="CO576" s="115" t="b">
        <f t="shared" ca="1" si="484"/>
        <v>0</v>
      </c>
      <c r="CP576" s="115" t="b">
        <f ca="1">AND(模拟模式!$O$7="用晦而明",OR(C576="净世破魔击·日",C576="净世破魔击·月",C576="驱夜断愁"),AB576)</f>
        <v>1</v>
      </c>
      <c r="CQ576" s="115" t="b">
        <f ca="1">OR(CP576,AND(CP575,RAND()&lt;模拟模式!$U$23))</f>
        <v>1</v>
      </c>
      <c r="CR576" s="115" t="b">
        <f ca="1">AND(模拟模式!$S$7="日月齐光",OR(C576="幽月轮1",C576="幽月轮2",C576="幽月轮3",CR575),NOT(OR(C576="赤日轮1",C576="赤日轮2",C576="赤日轮3")))</f>
        <v>0</v>
      </c>
      <c r="CS576" s="115" t="b">
        <f ca="1">AND(模拟模式!$S$7="日月齐光",OR(C576="赤日轮1",C576="赤日轮2",C576="赤日轮3",CS575),NOT(OR(C576="幽月轮1",C576="幽月轮2",C576="幽月轮3")))</f>
        <v>0</v>
      </c>
      <c r="CT576" s="115">
        <f t="shared" ca="1" si="512"/>
        <v>0</v>
      </c>
      <c r="CU576" s="115" t="b">
        <f ca="1">AND(模拟模式!$K$10="阴阳往极",CT575=0,RAND()&lt;IF(C576="净世破魔击·月",0.0275*7/3,IF(C576="净世破魔击·日",0.0275*3/3,0.0275*2/3)))</f>
        <v>0</v>
      </c>
      <c r="CV576" s="115">
        <f t="shared" ca="1" si="513"/>
        <v>0</v>
      </c>
      <c r="CW576" s="115">
        <f t="shared" ca="1" si="485"/>
        <v>0.46499999999999975</v>
      </c>
      <c r="CX576" s="115">
        <f t="shared" ca="1" si="486"/>
        <v>5.0774999999999997</v>
      </c>
      <c r="CY576" s="115">
        <f ca="1">MAX(IF($C576="驱夜断愁",IF(模拟模式!$R$7="万念俱寂",6,45),CY575-$F$4),0)</f>
        <v>6</v>
      </c>
      <c r="CZ576" s="115">
        <f t="shared" ca="1" si="487"/>
        <v>0</v>
      </c>
      <c r="DA576" s="115">
        <f ca="1">IF(模拟模式!$N$7="日月同辉",IF(DB575=2,0,MIN(6,IF(AND(OR(C576="赤日轮1",C576="赤日轮2",C576="赤日轮3",C576="幽月轮1",C576="幽月轮2",C576="幽月轮3"),AB576=1),DA575+1,DA575))),0)</f>
        <v>2</v>
      </c>
      <c r="DB576" s="115">
        <f t="shared" ca="1" si="488"/>
        <v>0</v>
      </c>
      <c r="DC576" s="115"/>
      <c r="DD576" s="115"/>
      <c r="DE576" s="115"/>
      <c r="DF576" s="115"/>
      <c r="DG576" s="115"/>
      <c r="DH576" s="115"/>
      <c r="DI576" s="115"/>
      <c r="DJ576" s="115"/>
      <c r="DK576" s="115"/>
      <c r="DL576" s="115"/>
      <c r="DM576" s="115"/>
    </row>
    <row r="577" spans="2:117" x14ac:dyDescent="0.2">
      <c r="B577" s="117">
        <f t="shared" si="489"/>
        <v>507.37500000000551</v>
      </c>
      <c r="C577" s="167" t="str">
        <f t="shared" ca="1" si="482"/>
        <v>烈日斩</v>
      </c>
      <c r="D577" s="115">
        <f ca="1">IF(C577="赤日轮1",1,IF(C577="赤日轮2",2,IF(C577="赤日轮3",3,IF(C577="幽月轮1",4,IF(C577="幽月轮2",5,IF(C577="幽月轮3",6,IF(C577="烈日斩",7,IF(C577="银月斩",8,IF(C577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577="净世破魔击·月",17,IF(C577="驱夜断愁",18,0)))))))))))</f>
        <v>7</v>
      </c>
      <c r="E577" s="115">
        <f ca="1">IF(AND(CU577,OR(C577="幽月轮1",C577="幽月轮2",C577="幽月轮3",C577="银月斩",C577="驱夜断愁",C577="净世破魔击·月")),100,MIN(IF(OR(CN577,BE577),0,IF(OR($C577="赤日轮1",$C577="赤日轮2",$C577="赤日轮3"),E576+20+IF(模拟模式!$I$7="日月凌天",4,0)+IF(CR576,20,0),IF($C577="烈日斩",E576+40,IF($C577="驱夜断愁",IF(模拟模式!$R$7="万念俱寂",E576+20,E576+60),IF($C577="净世破魔击·月",IF(OR(DB576&gt;0,CV576&gt;0),100,IF(模拟模式!$M$7="辉耀红尘",E576+20,E576)),IF($C577="净世破魔击·日",E576-100,E576)))))),100))</f>
        <v>80</v>
      </c>
      <c r="F577" s="115">
        <f ca="1">IF(AND(CU577,OR(C577="赤日轮1",C577="赤日轮2",C577="赤日轮3",C577="烈日斩",C577="净世破魔击·日")),100,MIN(IF(CO577,0,IF(OR($C577="幽月轮1",$C577="幽月轮2",$C577="幽月轮3"),F576+20+IF(模拟模式!$I$7="日月凌天",4,0)+IF(CS576,20,0),IF($C577="银月斩",F576+40+IF(模拟模式!$X$12=1,5,0),IF($C577="驱夜断愁",IF(模拟模式!$R$7="万念俱寂",F576+20,F576+60),IF($C577="净世破魔击·月",IF(模拟模式!$M$7="辉耀红尘",F576-80,F576-100),IF(AND(C577="净世破魔击·日",OR(DB576&gt;0,CV576&gt;0)),100,F576)))))),100))</f>
        <v>85</v>
      </c>
      <c r="G577" s="117">
        <f ca="1">('模拟-全程加成'!$E$3+'模拟-全程加成'!$E$4+'模拟-全程加成'!$E$5+('模拟-全程加成'!$C$6-'模拟-全程加成'!$C$3)*系数!$B$9+BS577*23)*(1+'模拟-全程加成'!$F$4+'模拟-全程加成'!$F$5+BJ577*10%+BM577*20%+BP577*4%+CG577*30%)+$F$7*系数!$B$12</f>
        <v>21493.829400000002</v>
      </c>
      <c r="H577" s="45">
        <f ca="1">'模拟-全程加成'!$H$3+'模拟-全程加成'!$H$4+'模拟-全程加成'!$H$5+('模拟-全程加成'!$G$4+'模拟-全程加成'!$G$5+('模拟-全程加成'!$C$6-'模拟-全程加成'!$C$3)*系数!$B$13)/系数!$B$3+LOOKUP(D577,'模拟-单技能数据'!$A$2:$A$19,'模拟-单技能数据'!$K$2:$K$19)+BG577*10%+IF(BV577&gt;0,378,0)</f>
        <v>0.56185145527300218</v>
      </c>
      <c r="I577" s="45">
        <f ca="1">'模拟-全程加成'!$J$3+'模拟-全程加成'!$J$4+'模拟-全程加成'!$J$5+('模拟-全程加成'!$I$4+'模拟-全程加成'!$I$5)/系数!$B$4+LOOKUP(D577,'模拟-单技能数据'!$A$2:$A$19,'模拟-单技能数据'!$L$2:$L$19)+BG577*10%</f>
        <v>2.2624828854998791</v>
      </c>
      <c r="J577" s="45">
        <f ca="1">(('模拟-全程加成'!$K$3+'模拟-全程加成'!$K$4+'模拟-全程加成'!$K$5+('模拟-全程加成'!$C$6-'模拟-全程加成'!$C$3)*系数!$B$10+IF(BV577&gt;0,882,0)+IF(BY577&gt;0,1831,0))*(1+'模拟-全程加成'!$L$4+'模拟-全程加成'!$L$5+CC577*20%))/系数!$B$5</f>
        <v>0.69723220422048726</v>
      </c>
      <c r="K577" s="119">
        <f ca="1">LOOKUP(D577,'模拟-单技能数据'!$A$2:$A$19,'模拟-单技能数据'!$J$2:$J$19)+IF(CM577,60%,0)+IF(DB576-DB577&gt;0,30%,0)+IF(OR(AND(OR(C577="赤日轮1",C577="赤日轮2",C577="赤日轮3"),CR577),AND(OR(C577="幽月轮1",C577="幽月轮2",C577="幽月轮3"),CS577)),35%,0)+CJ577</f>
        <v>0.24</v>
      </c>
      <c r="L577" s="119">
        <f ca="1">IF(AND(C577="烈日斩",模拟模式!$X$11=1),10%,0)+IF(AND(C577="驱夜断愁",AB577=1),30%,0)</f>
        <v>0.1</v>
      </c>
      <c r="M577" s="45">
        <f t="shared" ca="1" si="465"/>
        <v>0.56185145527300218</v>
      </c>
      <c r="N577" s="45">
        <f t="shared" ca="1" si="466"/>
        <v>0.38424854472699788</v>
      </c>
      <c r="O577" s="46">
        <f t="shared" ca="1" si="490"/>
        <v>0.75924598124727738</v>
      </c>
      <c r="P577" s="46" t="str">
        <f t="shared" ca="1" si="491"/>
        <v>命</v>
      </c>
      <c r="Q577" s="45">
        <f t="shared" ca="1" si="492"/>
        <v>1</v>
      </c>
      <c r="R577" s="117">
        <f ca="1">模拟模式!$E$20*(1-IF(模拟模式!$J$19="有",0.15,0))*(1-IF(模拟模式!$K$19="有",0.3,0)-IF(CQ577,0.5,0))</f>
        <v>843.02999999999975</v>
      </c>
      <c r="S577" s="45">
        <f ca="1">R577/(R577+(185*模拟模式!$E$22-16800)*4.08224)</f>
        <v>8.389626085980037E-2</v>
      </c>
      <c r="T577" s="45" t="str">
        <f ca="1">LOOKUP(D577,'模拟-单技能数据'!$A$2:$A$19,'模拟-单技能数据'!$H$2:$H$19)</f>
        <v>阳</v>
      </c>
      <c r="U577" s="119">
        <f t="shared" ca="1" si="467"/>
        <v>0.2</v>
      </c>
      <c r="V577" s="47">
        <f ca="1">(1+L577)*(LOOKUP(D577,'模拟-单技能数据'!$A$2:$A$19,'模拟-单技能数据'!$D$2:$D$19)+G577*LOOKUP(D577,'模拟-单技能数据'!$A$2:$A$19,'模拟-单技能数据'!$F$2:$F$19))*(1+J577)*(1+K577)*(1-S577)*(1+U577)*Q577*LOOKUP(D577,'模拟-单技能数据'!$A$2:$A$19,'模拟-单技能数据'!$I$2:$I$20)</f>
        <v>48841.631854871324</v>
      </c>
      <c r="W577" s="47">
        <f ca="1">LOOKUP(D577,'模拟-单技能数据'!$A$2:$A$19,'模拟-单技能数据'!$G$2:$G$19)*$I$10</f>
        <v>361.51064354704795</v>
      </c>
      <c r="X577" s="47">
        <f t="shared" ca="1" si="493"/>
        <v>11607.89185245618</v>
      </c>
      <c r="Y577" s="47">
        <f t="shared" ca="1" si="468"/>
        <v>60811.03435087455</v>
      </c>
      <c r="Z577" s="49">
        <f t="shared" ca="1" si="469"/>
        <v>57259223.784304038</v>
      </c>
      <c r="AA577" s="97">
        <f t="shared" ca="1" si="470"/>
        <v>112853.85323341397</v>
      </c>
      <c r="AB577" s="115">
        <f ca="1">IF(OR(C577="赤日轮1",C577="赤日轮2",C577="赤日轮3"),IF(RAND()&lt;模拟模式!$Y$17,1,0),IF(OR(C577="幽月轮1",C577="幽月轮2",C577="幽月轮3"),IF(RAND()&lt;模拟模式!$Y$18,1,0),IF(C577="烈日斩",IF(RAND()&lt;模拟模式!$Y$19,1,0),IF(C577="银月斩",IF(RAND()&lt;模拟模式!$Y$20,1,0),IF(C577="驱夜断愁",IF(RAND()&lt;模拟模式!$Y$21,1,0),IF(C577="净世破魔击·日",IF(RAND()&lt;模拟模式!$Y$22,1,0),IF(C577="净世破魔击·月",IF(RAND()&lt;模拟模式!$Y$23,1,0),0)))))))</f>
        <v>1</v>
      </c>
      <c r="AC577" s="115" t="b">
        <f t="shared" ca="1" si="458"/>
        <v>0</v>
      </c>
      <c r="AD577" s="115" t="b">
        <f t="shared" ca="1" si="478"/>
        <v>0</v>
      </c>
      <c r="AE577" s="115">
        <f t="shared" ca="1" si="479"/>
        <v>5</v>
      </c>
      <c r="AF577" s="47">
        <f ca="1">IF(AC577,('模拟-单技能数据'!$D$20+G577*'模拟-单技能数据'!$F$20)*(1+J577)*(1+'模拟-单技能数据'!$J$20)*(1+U577),0)</f>
        <v>0</v>
      </c>
      <c r="AG577" s="61">
        <f t="shared" ca="1" si="471"/>
        <v>0.64185145527300214</v>
      </c>
      <c r="AH577" s="61">
        <f t="shared" ca="1" si="472"/>
        <v>2.2624828854998791</v>
      </c>
      <c r="AI577" s="62">
        <f t="shared" ca="1" si="494"/>
        <v>0.29811185251662597</v>
      </c>
      <c r="AJ577" s="47">
        <f ca="1">IF(AD577,IF(AI577&lt;$F$10,0,IF(AI577&lt;$F$10+$F$11,0.25,IF(AI577&lt;$F$10+$F$11+AG577,AH577,1)))*IF(AF577&gt;0,AF577,IF(AF576&gt;0,AF576,IF(AF575&gt;0,AF575,IF(AF574&gt;0,AF574,IF(AF573&gt;0,AF573,IF(AF572&gt;0,AF572,IF(AF571&gt;0,AF571,IF(AF570&gt;0,AF570,IF(AF569&gt;0,AF569,IF(AF567&gt;0,AF567,IF(AF566&gt;0,AF566,IF(AF565&gt;0,AF565,0)))))))))))),0)*(1-$S577)*'模拟-单技能数据'!$I$20</f>
        <v>0</v>
      </c>
      <c r="AK577" s="115" t="b">
        <f t="shared" ca="1" si="459"/>
        <v>0</v>
      </c>
      <c r="AL577" s="115" t="b">
        <f t="shared" ca="1" si="480"/>
        <v>1</v>
      </c>
      <c r="AM577" s="115">
        <f t="shared" ca="1" si="481"/>
        <v>3</v>
      </c>
      <c r="AN577" s="47">
        <f ca="1">IF(AK577,('模拟-单技能数据'!$D$21+G577*'模拟-单技能数据'!$F$21)*(1+J577)*(1+'模拟-单技能数据'!$J$21)*(1+U577),0)</f>
        <v>0</v>
      </c>
      <c r="AO577" s="61">
        <f ca="1">IF(AN577&gt;0,M577-'模拟-单技能数据'!$K$10,AO576)</f>
        <v>0.42185145527300216</v>
      </c>
      <c r="AP577" s="61">
        <f ca="1">IF(AN577&gt;0,I577-'模拟-单技能数据'!$L$10,AP576)</f>
        <v>2.162482885499879</v>
      </c>
      <c r="AQ577" s="63">
        <f t="shared" ca="1" si="495"/>
        <v>0.49852408871696907</v>
      </c>
      <c r="AR577" s="64">
        <f ca="1">IF(AL577,IF(AQ577&lt;$F$10,0,IF(AQ577&lt;$F$10+$F$11,0.25,IF(AQ577&lt;$F$10+$F$11+AO577,AP577,1)))*IF(AN577&gt;0,AN577,IF(AN576&gt;0,AN576,IF(AN575&gt;0,AN575,IF(AN574&gt;0,AN574,IF(AN573&gt;0,AN573,IF(AN572&gt;0,AN572,IF(AN571&gt;0,AN571,IF(AN570&gt;0,AN570,IF(AN569&gt;0,AN569,IF(AN567&gt;0,AN567,IF(AN566&gt;0,AN566,IF(AN565&gt;0,AN565,0)))))))))))),0)*(1-$S577)*'模拟-单技能数据'!$I$21</f>
        <v>11607.89185245618</v>
      </c>
      <c r="AS577" s="61">
        <f ca="1">IF(OR(C577="净世破魔击·日",C577="净世破魔击·月"),M577-'模拟-单技能数据'!$K$10,0)</f>
        <v>0</v>
      </c>
      <c r="AT577" s="61">
        <f ca="1">IF(OR(C577="净世破魔击·日",C577="净世破魔击·月"),I577-'模拟-单技能数据'!$L$10,0)</f>
        <v>0</v>
      </c>
      <c r="AU577" s="62">
        <f t="shared" ca="1" si="496"/>
        <v>0.45869488274119963</v>
      </c>
      <c r="AV577" s="64">
        <f ca="1">IF(AS577&gt;0,('模拟-单技能数据'!$D$22+G577*'模拟-单技能数据'!$F$22)*(1+J577)*(1-S577)*IF(AU577&lt;$F$10,0,IF(AU577&lt;$F$10+$F$11,0.25,IF(AU577&lt;$F$10+$F$11+AS577,AT577,1)))*(1+U577),0)*'模拟-单技能数据'!$I$22</f>
        <v>0</v>
      </c>
      <c r="AW577" s="108">
        <f t="shared" ca="1" si="497"/>
        <v>8.0075000000000074</v>
      </c>
      <c r="AX577" s="108" t="b">
        <f ca="1">AND(模拟模式!$P$10="有",AW576=0,RAND()&lt;IF(C577="净世破魔击·月",0.1*8/3,IF(C577="净世破魔击·日",0.1*4/3,0.1*2/3)))</f>
        <v>0</v>
      </c>
      <c r="AY577" s="47">
        <f ca="1">IF(AX577,(18+G577*0.722)*(1+J577)*(1-S577)*(1+$I$4)*IF(P577="会",'模拟-全程加成'!$J$3+'模拟-全程加成'!$J$4+'模拟-全程加成'!$J$5+('模拟-全程加成'!$I$4+'模拟-全程加成'!$I$5)/系数!$B$4+BG577*10%,IF(P577="命",1,IF(P577="识",0.25,0))),0)</f>
        <v>0</v>
      </c>
      <c r="AZ577" s="108">
        <f t="shared" si="498"/>
        <v>0</v>
      </c>
      <c r="BA577" s="108" t="b">
        <f>AND(模拟模式!$Q$10="有",AZ576=0)</f>
        <v>0</v>
      </c>
      <c r="BB577" s="140">
        <f>IF(BA577,(0+G577*0.287)*(1+J577)*(1-S577)*(1+$I$4)*IF(P577="会",'模拟-全程加成'!$J$3+'模拟-全程加成'!$J$4+'模拟-全程加成'!$J$5+('模拟-全程加成'!$I$4+'模拟-全程加成'!$I$5)/系数!$B$4+BG577*10%,IF(P577="命",1,IF(P577="识",0.25,0))),0)</f>
        <v>0</v>
      </c>
      <c r="BC577" s="115" t="b">
        <f ca="1">AND(模拟模式!$R$7="伏明众生",E577=60,F577=20,DA577&lt;5,CZ576&lt;$F$4)</f>
        <v>0</v>
      </c>
      <c r="BD577" s="115">
        <f t="shared" ca="1" si="460"/>
        <v>0</v>
      </c>
      <c r="BE577" s="115" t="b">
        <f t="shared" ca="1" si="461"/>
        <v>0</v>
      </c>
      <c r="BF577" s="47">
        <f ca="1">IF(BC577,4*('模拟-单技能数据'!$D$24+G577*'模拟-单技能数据'!$F$24)*(1+J577)*(1+'模拟-单技能数据'!$J$24)*(1-S577)*(1+$I$3)*(('模拟-全程加成'!$J$3+'模拟-全程加成'!$J$4+'模拟-全程加成'!$J$5+('模拟-全程加成'!$I$4+'模拟-全程加成'!$I$5)/系数!$B$4+BG577*10%)*('模拟-全程加成'!$J$3+'模拟-全程加成'!$J$4+'模拟-全程加成'!$J$5+('模拟-全程加成'!$I$4+'模拟-全程加成'!$I$5)/系数!$B$4+BG577*10%)+(1-('模拟-全程加成'!$J$3+'模拟-全程加成'!$J$4+'模拟-全程加成'!$J$5+('模拟-全程加成'!$I$4+'模拟-全程加成'!$I$5)/系数!$B$4+BG577*10%)-$F$10-$F$11)+F563*0.25),0)*'模拟-单技能数据'!$I$24</f>
        <v>0</v>
      </c>
      <c r="BG577" s="115" t="b">
        <f ca="1">OR(AND(OR(C577="烈日斩",C577="银月斩"),模拟模式!$I$7="净身明礼"),AND(C577="净世破魔击·日",模拟模式!$J$7="洞若观火"),AND(C578="净世破魔击·月",模拟模式!$J$7="洞若观火"),AB577=1)</f>
        <v>1</v>
      </c>
      <c r="BH577" s="115" t="b">
        <f t="shared" ca="1" si="499"/>
        <v>0</v>
      </c>
      <c r="BI577" s="115">
        <f t="shared" ca="1" si="462"/>
        <v>1.3874999999999997</v>
      </c>
      <c r="BJ577" s="115" t="b">
        <f t="shared" ca="1" si="473"/>
        <v>1</v>
      </c>
      <c r="BK577" s="115" t="b">
        <f ca="1">AND(C577="驱夜断愁",模拟模式!$P$7="天地诛戮")</f>
        <v>0</v>
      </c>
      <c r="BL577" s="57">
        <f t="shared" ca="1" si="463"/>
        <v>19.077500000000001</v>
      </c>
      <c r="BM577" s="115" t="b">
        <f t="shared" ca="1" si="474"/>
        <v>1</v>
      </c>
      <c r="BN577" s="115" t="b">
        <f ca="1">AND(OR(C577="赤日轮1",C577="赤日轮2",C577="赤日轮3",C577="幽月轮1",C577="幽月轮2",C577="幽月轮3"),AB577=1,模拟模式!$L$7="明光恒照")</f>
        <v>0</v>
      </c>
      <c r="BO577" s="117">
        <f t="shared" ca="1" si="464"/>
        <v>27.232500000000002</v>
      </c>
      <c r="BP577" s="115">
        <f t="shared" ca="1" si="500"/>
        <v>6</v>
      </c>
      <c r="BQ577" s="115" t="b">
        <f>模拟模式!$K$10="2600·水"</f>
        <v>0</v>
      </c>
      <c r="BR577" s="117">
        <f t="shared" si="501"/>
        <v>0</v>
      </c>
      <c r="BS577" s="115">
        <f t="shared" si="502"/>
        <v>0</v>
      </c>
      <c r="BT577" s="115">
        <f t="shared" ca="1" si="503"/>
        <v>0</v>
      </c>
      <c r="BU577" s="115" t="b">
        <f ca="1">AND(模拟模式!$K$10="2300·雷",BT576=0,RAND()&lt;IF(C577="净世破魔击·月",5*0.05*2/3,IF(C577="净世破魔击·日",3*0.05*2/3,0.05*2*2/3)))</f>
        <v>0</v>
      </c>
      <c r="BV577" s="115">
        <f t="shared" ca="1" si="504"/>
        <v>0</v>
      </c>
      <c r="BW577" s="115">
        <f t="shared" ca="1" si="505"/>
        <v>48.082499999999285</v>
      </c>
      <c r="BX577" s="164" t="b">
        <f t="shared" ca="1" si="506"/>
        <v>0</v>
      </c>
      <c r="BY577" s="115">
        <f t="shared" ca="1" si="507"/>
        <v>0</v>
      </c>
      <c r="BZ577" s="115">
        <f>IF(OR(模拟模式!$P$16="10人团",模拟模式!$P$16="25人团"),IF(B577/30&gt;CA576,1,0),0)</f>
        <v>0</v>
      </c>
      <c r="CA577" s="115">
        <f t="shared" si="483"/>
        <v>0</v>
      </c>
      <c r="CB577" s="115">
        <f ca="1">IF(BZ577=1,IF(模拟模式!$P$16="10人团",15,0)+IF(模拟模式!$P$16="25人团",IF(RAND()&lt;0.6,15,0)),MAX(0,CB576-$F$4))</f>
        <v>0</v>
      </c>
      <c r="CC577" s="115" t="b">
        <f t="shared" ca="1" si="475"/>
        <v>0</v>
      </c>
      <c r="CD577" s="115">
        <f>IF(模拟模式!$Q$16="1个",IF(B577/40&gt;CE576,1,0),0)</f>
        <v>0</v>
      </c>
      <c r="CE577" s="115">
        <f t="shared" si="476"/>
        <v>0</v>
      </c>
      <c r="CF577" s="115">
        <f>IF(OR(CD577=1,模拟模式!$Q$16="2个"),20,MAX(0,CF576-$F$4))</f>
        <v>0</v>
      </c>
      <c r="CG577" s="115" t="b">
        <f t="shared" si="477"/>
        <v>0</v>
      </c>
      <c r="CH577" s="115">
        <f t="shared" ca="1" si="508"/>
        <v>0</v>
      </c>
      <c r="CI577" s="115" t="b">
        <f t="shared" ca="1" si="509"/>
        <v>0</v>
      </c>
      <c r="CJ577" s="119">
        <f t="shared" ca="1" si="510"/>
        <v>0</v>
      </c>
      <c r="CK577" s="115">
        <f t="shared" ca="1" si="511"/>
        <v>0</v>
      </c>
      <c r="CL577" s="115" t="b">
        <f ca="1">AND(模拟模式!$S$7="驱夷逐法",OR(AND(C577="净世破魔击·月",E576&gt;59),AND(C577="净世破魔击·日",F576&gt;59)))</f>
        <v>0</v>
      </c>
      <c r="CM577" s="115" t="b">
        <f ca="1">OR(CL577,AND(C577="净世破魔击·日",CL576,RAND()&lt;模拟模式!$U$23))</f>
        <v>0</v>
      </c>
      <c r="CN577" s="115" t="b">
        <f ca="1">IF(模拟模式!$M$7="辉耀红尘",AND(C577="净世破魔击·月",CL577,CV577=0,E576&lt;80),AND(C577="净世破魔击·月",CL577,E576&lt;100))</f>
        <v>0</v>
      </c>
      <c r="CO577" s="115" t="b">
        <f t="shared" ca="1" si="484"/>
        <v>0</v>
      </c>
      <c r="CP577" s="115" t="b">
        <f ca="1">AND(模拟模式!$O$7="用晦而明",OR(C577="净世破魔击·日",C577="净世破魔击·月",C577="驱夜断愁"),AB577)</f>
        <v>0</v>
      </c>
      <c r="CQ577" s="115" t="b">
        <f ca="1">OR(CP577,AND(CP576,RAND()&lt;模拟模式!$U$23))</f>
        <v>1</v>
      </c>
      <c r="CR577" s="115" t="b">
        <f ca="1">AND(模拟模式!$S$7="日月齐光",OR(C577="幽月轮1",C577="幽月轮2",C577="幽月轮3",CR576),NOT(OR(C577="赤日轮1",C577="赤日轮2",C577="赤日轮3")))</f>
        <v>0</v>
      </c>
      <c r="CS577" s="115" t="b">
        <f ca="1">AND(模拟模式!$S$7="日月齐光",OR(C577="赤日轮1",C577="赤日轮2",C577="赤日轮3",CS576),NOT(OR(C577="幽月轮1",C577="幽月轮2",C577="幽月轮3")))</f>
        <v>0</v>
      </c>
      <c r="CT577" s="115">
        <f t="shared" ca="1" si="512"/>
        <v>0</v>
      </c>
      <c r="CU577" s="115" t="b">
        <f ca="1">AND(模拟模式!$K$10="阴阳往极",CT576=0,RAND()&lt;IF(C577="净世破魔击·月",0.0275*7/3,IF(C577="净世破魔击·日",0.0275*3/3,0.0275*2/3)))</f>
        <v>0</v>
      </c>
      <c r="CV577" s="115">
        <f t="shared" ca="1" si="513"/>
        <v>0</v>
      </c>
      <c r="CW577" s="115">
        <f t="shared" ca="1" si="485"/>
        <v>6</v>
      </c>
      <c r="CX577" s="115">
        <f t="shared" ca="1" si="486"/>
        <v>4.1549999999999994</v>
      </c>
      <c r="CY577" s="115">
        <f ca="1">MAX(IF($C577="驱夜断愁",IF(模拟模式!$R$7="万念俱寂",6,45),CY576-$F$4),0)</f>
        <v>5.0774999999999997</v>
      </c>
      <c r="CZ577" s="115">
        <f t="shared" ca="1" si="487"/>
        <v>0</v>
      </c>
      <c r="DA577" s="115">
        <f ca="1">IF(模拟模式!$N$7="日月同辉",IF(DB576=2,0,MIN(6,IF(AND(OR(C577="赤日轮1",C577="赤日轮2",C577="赤日轮3",C577="幽月轮1",C577="幽月轮2",C577="幽月轮3"),AB577=1),DA576+1,DA576))),0)</f>
        <v>2</v>
      </c>
      <c r="DB577" s="115">
        <f t="shared" ca="1" si="488"/>
        <v>0</v>
      </c>
      <c r="DC577" s="115"/>
      <c r="DD577" s="115"/>
      <c r="DE577" s="115"/>
      <c r="DF577" s="115"/>
      <c r="DG577" s="115"/>
      <c r="DH577" s="115"/>
      <c r="DI577" s="115"/>
      <c r="DJ577" s="115"/>
      <c r="DK577" s="115"/>
      <c r="DL577" s="115"/>
      <c r="DM577" s="115"/>
    </row>
    <row r="578" spans="2:117" x14ac:dyDescent="0.2">
      <c r="B578" s="117">
        <f t="shared" si="489"/>
        <v>508.29750000000553</v>
      </c>
      <c r="C578" s="167" t="str">
        <f t="shared" ca="1" si="482"/>
        <v>幽月轮1</v>
      </c>
      <c r="D578" s="115">
        <f ca="1">IF(C578="赤日轮1",1,IF(C578="赤日轮2",2,IF(C578="赤日轮3",3,IF(C578="幽月轮1",4,IF(C578="幽月轮2",5,IF(C578="幽月轮3",6,IF(C578="烈日斩",7,IF(C578="银月斩",8,IF(C578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578="净世破魔击·月",17,IF(C578="驱夜断愁",18,0)))))))))))</f>
        <v>4</v>
      </c>
      <c r="E578" s="115">
        <f ca="1">IF(AND(CU578,OR(C578="幽月轮1",C578="幽月轮2",C578="幽月轮3",C578="银月斩",C578="驱夜断愁",C578="净世破魔击·月")),100,MIN(IF(OR(CN578,BE578),0,IF(OR($C578="赤日轮1",$C578="赤日轮2",$C578="赤日轮3"),E577+20+IF(模拟模式!$I$7="日月凌天",4,0)+IF(CR577,20,0),IF($C578="烈日斩",E577+40,IF($C578="驱夜断愁",IF(模拟模式!$R$7="万念俱寂",E577+20,E577+60),IF($C578="净世破魔击·月",IF(OR(DB577&gt;0,CV577&gt;0),100,IF(模拟模式!$M$7="辉耀红尘",E577+20,E577)),IF($C578="净世破魔击·日",E577-100,E577)))))),100))</f>
        <v>80</v>
      </c>
      <c r="F578" s="115">
        <f ca="1">IF(AND(CU578,OR(C578="赤日轮1",C578="赤日轮2",C578="赤日轮3",C578="烈日斩",C578="净世破魔击·日")),100,MIN(IF(CO578,0,IF(OR($C578="幽月轮1",$C578="幽月轮2",$C578="幽月轮3"),F577+20+IF(模拟模式!$I$7="日月凌天",4,0)+IF(CS577,20,0),IF($C578="银月斩",F577+40+IF(模拟模式!$X$12=1,5,0),IF($C578="驱夜断愁",IF(模拟模式!$R$7="万念俱寂",F577+20,F577+60),IF($C578="净世破魔击·月",IF(模拟模式!$M$7="辉耀红尘",F577-80,F577-100),IF(AND(C578="净世破魔击·日",OR(DB577&gt;0,CV577&gt;0)),100,F577)))))),100))</f>
        <v>100</v>
      </c>
      <c r="G578" s="117">
        <f ca="1">('模拟-全程加成'!$E$3+'模拟-全程加成'!$E$4+'模拟-全程加成'!$E$5+('模拟-全程加成'!$C$6-'模拟-全程加成'!$C$3)*系数!$B$9+BS578*23)*(1+'模拟-全程加成'!$F$4+'模拟-全程加成'!$F$5+BJ578*10%+BM578*20%+BP578*4%+CG578*30%)+$F$7*系数!$B$12</f>
        <v>21493.829400000002</v>
      </c>
      <c r="H578" s="45">
        <f ca="1">'模拟-全程加成'!$H$3+'模拟-全程加成'!$H$4+'模拟-全程加成'!$H$5+('模拟-全程加成'!$G$4+'模拟-全程加成'!$G$5+('模拟-全程加成'!$C$6-'模拟-全程加成'!$C$3)*系数!$B$13)/系数!$B$3+LOOKUP(D578,'模拟-单技能数据'!$A$2:$A$19,'模拟-单技能数据'!$K$2:$K$19)+BG578*10%+IF(BV578&gt;0,378,0)</f>
        <v>0.51185145527300213</v>
      </c>
      <c r="I578" s="45">
        <f ca="1">'模拟-全程加成'!$J$3+'模拟-全程加成'!$J$4+'模拟-全程加成'!$J$5+('模拟-全程加成'!$I$4+'模拟-全程加成'!$I$5)/系数!$B$4+LOOKUP(D578,'模拟-单技能数据'!$A$2:$A$19,'模拟-单技能数据'!$L$2:$L$19)+BG578*10%</f>
        <v>2.162482885499879</v>
      </c>
      <c r="J578" s="45">
        <f ca="1">(('模拟-全程加成'!$K$3+'模拟-全程加成'!$K$4+'模拟-全程加成'!$K$5+('模拟-全程加成'!$C$6-'模拟-全程加成'!$C$3)*系数!$B$10+IF(BV578&gt;0,882,0)+IF(BY578&gt;0,1831,0))*(1+'模拟-全程加成'!$L$4+'模拟-全程加成'!$L$5+CC578*20%))/系数!$B$5</f>
        <v>0.69723220422048726</v>
      </c>
      <c r="K578" s="119">
        <f ca="1">LOOKUP(D578,'模拟-单技能数据'!$A$2:$A$19,'模拟-单技能数据'!$J$2:$J$19)+IF(CM578,60%,0)+IF(DB577-DB578&gt;0,30%,0)+IF(OR(AND(OR(C578="赤日轮1",C578="赤日轮2",C578="赤日轮3"),CR578),AND(OR(C578="幽月轮1",C578="幽月轮2",C578="幽月轮3"),CS578)),35%,0)+CJ578</f>
        <v>7.0000000000000007E-2</v>
      </c>
      <c r="L578" s="119">
        <f ca="1">IF(AND(C578="烈日斩",模拟模式!$X$11=1),10%,0)+IF(AND(C578="驱夜断愁",AB578=1),30%,0)</f>
        <v>0</v>
      </c>
      <c r="M578" s="45">
        <f t="shared" ca="1" si="465"/>
        <v>0.51185145527300213</v>
      </c>
      <c r="N578" s="45">
        <f t="shared" ca="1" si="466"/>
        <v>0.43424854472699792</v>
      </c>
      <c r="O578" s="46">
        <f t="shared" ca="1" si="490"/>
        <v>0.22959695799014745</v>
      </c>
      <c r="P578" s="46" t="str">
        <f t="shared" ca="1" si="491"/>
        <v>会</v>
      </c>
      <c r="Q578" s="45">
        <f t="shared" ca="1" si="492"/>
        <v>2.162482885499879</v>
      </c>
      <c r="R578" s="117">
        <f ca="1">模拟模式!$E$20*(1-IF(模拟模式!$J$19="有",0.15,0))*(1-IF(模拟模式!$K$19="有",0.3,0)-IF(CQ578,0.5,0))</f>
        <v>2950.6049999999996</v>
      </c>
      <c r="S578" s="45">
        <f ca="1">R578/(R578+(185*模拟模式!$E$22-16800)*4.08224)</f>
        <v>0.24272716014590323</v>
      </c>
      <c r="T578" s="45" t="str">
        <f ca="1">LOOKUP(D578,'模拟-单技能数据'!$A$2:$A$19,'模拟-单技能数据'!$H$2:$H$19)</f>
        <v>阴</v>
      </c>
      <c r="U578" s="119">
        <f t="shared" ca="1" si="467"/>
        <v>0.08</v>
      </c>
      <c r="V578" s="47">
        <f ca="1">(1+L578)*(LOOKUP(D578,'模拟-单技能数据'!$A$2:$A$19,'模拟-单技能数据'!$D$2:$D$19)+G578*LOOKUP(D578,'模拟-单技能数据'!$A$2:$A$19,'模拟-单技能数据'!$F$2:$F$19))*(1+J578)*(1+K578)*(1-S578)*(1+U578)*Q578*LOOKUP(D578,'模拟-单技能数据'!$A$2:$A$19,'模拟-单技能数据'!$I$2:$I$20)</f>
        <v>36630.702053185581</v>
      </c>
      <c r="W578" s="47">
        <f ca="1">LOOKUP(D578,'模拟-单技能数据'!$A$2:$A$19,'模拟-单技能数据'!$G$2:$G$19)*$I$10</f>
        <v>361.51064354704795</v>
      </c>
      <c r="X578" s="47">
        <f t="shared" ca="1" si="493"/>
        <v>26466.147420012312</v>
      </c>
      <c r="Y578" s="47">
        <f t="shared" ca="1" si="468"/>
        <v>63458.360116744945</v>
      </c>
      <c r="Z578" s="49">
        <f t="shared" ca="1" si="469"/>
        <v>57322682.14442078</v>
      </c>
      <c r="AA578" s="97">
        <f t="shared" ca="1" si="470"/>
        <v>112773.88172166921</v>
      </c>
      <c r="AB578" s="115">
        <f ca="1">IF(OR(C578="赤日轮1",C578="赤日轮2",C578="赤日轮3"),IF(RAND()&lt;模拟模式!$Y$17,1,0),IF(OR(C578="幽月轮1",C578="幽月轮2",C578="幽月轮3"),IF(RAND()&lt;模拟模式!$Y$18,1,0),IF(C578="烈日斩",IF(RAND()&lt;模拟模式!$Y$19,1,0),IF(C578="银月斩",IF(RAND()&lt;模拟模式!$Y$20,1,0),IF(C578="驱夜断愁",IF(RAND()&lt;模拟模式!$Y$21,1,0),IF(C578="净世破魔击·日",IF(RAND()&lt;模拟模式!$Y$22,1,0),IF(C578="净世破魔击·月",IF(RAND()&lt;模拟模式!$Y$23,1,0),0)))))))</f>
        <v>1</v>
      </c>
      <c r="AC578" s="115" t="b">
        <f t="shared" ref="AC578:AC603" ca="1" si="514">C578="银月斩"</f>
        <v>0</v>
      </c>
      <c r="AD578" s="115" t="b">
        <f t="shared" ca="1" si="478"/>
        <v>1</v>
      </c>
      <c r="AE578" s="115">
        <f t="shared" ca="1" si="479"/>
        <v>4</v>
      </c>
      <c r="AF578" s="47">
        <f ca="1">IF(AC578,('模拟-单技能数据'!$D$20+G578*'模拟-单技能数据'!$F$20)*(1+J578)*(1+'模拟-单技能数据'!$J$20)*(1+U578),0)</f>
        <v>0</v>
      </c>
      <c r="AG578" s="61">
        <f t="shared" ca="1" si="471"/>
        <v>0.64185145527300214</v>
      </c>
      <c r="AH578" s="61">
        <f t="shared" ca="1" si="472"/>
        <v>2.2624828854998791</v>
      </c>
      <c r="AI578" s="62">
        <f t="shared" ca="1" si="494"/>
        <v>0.48848546613526556</v>
      </c>
      <c r="AJ578" s="47">
        <f ca="1">IF(AD578,IF(AI578&lt;$F$10,0,IF(AI578&lt;$F$10+$F$11,0.25,IF(AI578&lt;$F$10+$F$11+AG578,AH578,1)))*IF(AF578&gt;0,AF578,IF(AF577&gt;0,AF577,IF(AF576&gt;0,AF576,IF(AF575&gt;0,AF575,IF(AF574&gt;0,AF574,IF(AF573&gt;0,AF573,IF(AF572&gt;0,AF572,IF(AF571&gt;0,AF571,IF(AF570&gt;0,AF570,IF(AF568&gt;0,AF568,IF(AF567&gt;0,AF567,IF(AF566&gt;0,AF566,0)))))))))))),0)*(1-$S578)*'模拟-单技能数据'!$I$20</f>
        <v>7949.3543492067038</v>
      </c>
      <c r="AK578" s="115" t="b">
        <f t="shared" ref="AK578:AK603" ca="1" si="515">C578="净世破魔击·日"</f>
        <v>0</v>
      </c>
      <c r="AL578" s="115" t="b">
        <f t="shared" ca="1" si="480"/>
        <v>0</v>
      </c>
      <c r="AM578" s="115">
        <f t="shared" ca="1" si="481"/>
        <v>3</v>
      </c>
      <c r="AN578" s="47">
        <f ca="1">IF(AK578,('模拟-单技能数据'!$D$21+G578*'模拟-单技能数据'!$F$21)*(1+J578)*(1+'模拟-单技能数据'!$J$21)*(1+U578),0)</f>
        <v>0</v>
      </c>
      <c r="AO578" s="61">
        <f ca="1">IF(AN578&gt;0,M578-'模拟-单技能数据'!$K$10,AO577)</f>
        <v>0.42185145527300216</v>
      </c>
      <c r="AP578" s="61">
        <f ca="1">IF(AN578&gt;0,I578-'模拟-单技能数据'!$L$10,AP577)</f>
        <v>2.162482885499879</v>
      </c>
      <c r="AQ578" s="63">
        <f t="shared" ca="1" si="495"/>
        <v>0.3485881206848902</v>
      </c>
      <c r="AR578" s="64">
        <f ca="1">IF(AL578,IF(AQ578&lt;$F$10,0,IF(AQ578&lt;$F$10+$F$11,0.25,IF(AQ578&lt;$F$10+$F$11+AO578,AP578,1)))*IF(AN578&gt;0,AN578,IF(AN577&gt;0,AN577,IF(AN576&gt;0,AN576,IF(AN575&gt;0,AN575,IF(AN574&gt;0,AN574,IF(AN573&gt;0,AN573,IF(AN572&gt;0,AN572,IF(AN571&gt;0,AN571,IF(AN570&gt;0,AN570,IF(AN568&gt;0,AN568,IF(AN567&gt;0,AN567,IF(AN566&gt;0,AN566,0)))))))))))),0)*(1-$S578)*'模拟-单技能数据'!$I$21</f>
        <v>0</v>
      </c>
      <c r="AS578" s="61">
        <f ca="1">IF(OR(C578="净世破魔击·日",C578="净世破魔击·月"),M578-'模拟-单技能数据'!$K$10,0)</f>
        <v>0</v>
      </c>
      <c r="AT578" s="61">
        <f ca="1">IF(OR(C578="净世破魔击·日",C578="净世破魔击·月"),I578-'模拟-单技能数据'!$L$10,0)</f>
        <v>0</v>
      </c>
      <c r="AU578" s="62">
        <f t="shared" ca="1" si="496"/>
        <v>0.28359017037314949</v>
      </c>
      <c r="AV578" s="64">
        <f ca="1">IF(AS578&gt;0,('模拟-单技能数据'!$D$22+G578*'模拟-单技能数据'!$F$22)*(1+J578)*(1-S578)*IF(AU578&lt;$F$10,0,IF(AU578&lt;$F$10+$F$11,0.25,IF(AU578&lt;$F$10+$F$11+AS578,AT578,1)))*(1+U578),0)*'模拟-单技能数据'!$I$22</f>
        <v>0</v>
      </c>
      <c r="AW578" s="108">
        <f t="shared" ca="1" si="497"/>
        <v>7.0850000000000071</v>
      </c>
      <c r="AX578" s="108" t="b">
        <f ca="1">AND(模拟模式!$P$10="有",AW577=0,RAND()&lt;IF(C578="净世破魔击·月",0.1*8/3,IF(C578="净世破魔击·日",0.1*4/3,0.1*2/3)))</f>
        <v>0</v>
      </c>
      <c r="AY578" s="47">
        <f ca="1">IF(AX578,(18+G578*0.722)*(1+J578)*(1-S578)*(1+$I$4)*IF(P578="会",'模拟-全程加成'!$J$3+'模拟-全程加成'!$J$4+'模拟-全程加成'!$J$5+('模拟-全程加成'!$I$4+'模拟-全程加成'!$I$5)/系数!$B$4+BG578*10%,IF(P578="命",1,IF(P578="识",0.25,0))),0)</f>
        <v>0</v>
      </c>
      <c r="AZ578" s="108">
        <f t="shared" si="498"/>
        <v>19.077500000000001</v>
      </c>
      <c r="BA578" s="108" t="b">
        <f>AND(模拟模式!$Q$10="有",AZ577=0)</f>
        <v>1</v>
      </c>
      <c r="BB578" s="140">
        <f ca="1">IF(BA578,(0+G578*0.287)*(1+J578)*(1-S578)*(1+$I$4)*IF(P578="会",'模拟-全程加成'!$J$3+'模拟-全程加成'!$J$4+'模拟-全程加成'!$J$5+('模拟-全程加成'!$I$4+'模拟-全程加成'!$I$5)/系数!$B$4+BG578*10%,IF(P578="命",1,IF(P578="识",0.25,0))),0)</f>
        <v>18516.793070805608</v>
      </c>
      <c r="BC578" s="115" t="b">
        <f ca="1">AND(模拟模式!$R$7="伏明众生",E578=60,F578=20,DA578&lt;5,CZ577&lt;$F$4)</f>
        <v>0</v>
      </c>
      <c r="BD578" s="115">
        <f t="shared" ref="BD578:BD603" ca="1" si="516">IF(BC578,6-$F$4,MAX(0,BD577-$F$4))</f>
        <v>0</v>
      </c>
      <c r="BE578" s="115" t="b">
        <f t="shared" ref="BE578:BE603" ca="1" si="517">AND(BD577&gt;0,BD577-$F$4&lt;0)</f>
        <v>0</v>
      </c>
      <c r="BF578" s="47">
        <f ca="1">IF(BC578,4*('模拟-单技能数据'!$D$24+G578*'模拟-单技能数据'!$F$24)*(1+J578)*(1+'模拟-单技能数据'!$J$24)*(1-S578)*(1+$I$3)*(('模拟-全程加成'!$J$3+'模拟-全程加成'!$J$4+'模拟-全程加成'!$J$5+('模拟-全程加成'!$I$4+'模拟-全程加成'!$I$5)/系数!$B$4+BG578*10%)*('模拟-全程加成'!$J$3+'模拟-全程加成'!$J$4+'模拟-全程加成'!$J$5+('模拟-全程加成'!$I$4+'模拟-全程加成'!$I$5)/系数!$B$4+BG578*10%)+(1-('模拟-全程加成'!$J$3+'模拟-全程加成'!$J$4+'模拟-全程加成'!$J$5+('模拟-全程加成'!$I$4+'模拟-全程加成'!$I$5)/系数!$B$4+BG578*10%)-$F$10-$F$11)+F564*0.25),0)*'模拟-单技能数据'!$I$24</f>
        <v>0</v>
      </c>
      <c r="BG578" s="115" t="b">
        <f ca="1">OR(AND(OR(C578="烈日斩",C578="银月斩"),模拟模式!$I$7="净身明礼"),AND(C578="净世破魔击·日",模拟模式!$J$7="洞若观火"),AND(C579="净世破魔击·月",模拟模式!$J$7="洞若观火"),AB578=1)</f>
        <v>1</v>
      </c>
      <c r="BH578" s="115" t="b">
        <f t="shared" ca="1" si="499"/>
        <v>0</v>
      </c>
      <c r="BI578" s="115">
        <f t="shared" ref="BI578:BI603" ca="1" si="518">IF(BH578,6,MAX(0,BI577-$F$4))</f>
        <v>0.46499999999999975</v>
      </c>
      <c r="BJ578" s="115" t="b">
        <f t="shared" ca="1" si="473"/>
        <v>1</v>
      </c>
      <c r="BK578" s="115" t="b">
        <f ca="1">AND(C578="驱夜断愁",模拟模式!$P$7="天地诛戮")</f>
        <v>0</v>
      </c>
      <c r="BL578" s="57">
        <f t="shared" ref="BL578:BL603" ca="1" si="519">IF(BK578,20,MAX(0,BL577-$F$4))</f>
        <v>18.155000000000001</v>
      </c>
      <c r="BM578" s="115" t="b">
        <f t="shared" ca="1" si="474"/>
        <v>1</v>
      </c>
      <c r="BN578" s="115" t="b">
        <f ca="1">AND(OR(C578="赤日轮1",C578="赤日轮2",C578="赤日轮3",C578="幽月轮1",C578="幽月轮2",C578="幽月轮3"),AB578=1,模拟模式!$L$7="明光恒照")</f>
        <v>1</v>
      </c>
      <c r="BO578" s="117">
        <f t="shared" ref="BO578:BO603" ca="1" si="520">IF(BN578,30,MAX(0,BO577-$F$4))</f>
        <v>30</v>
      </c>
      <c r="BP578" s="115">
        <f t="shared" ca="1" si="500"/>
        <v>6</v>
      </c>
      <c r="BQ578" s="115" t="b">
        <f>模拟模式!$K$10="2600·水"</f>
        <v>0</v>
      </c>
      <c r="BR578" s="117">
        <f t="shared" si="501"/>
        <v>0</v>
      </c>
      <c r="BS578" s="115">
        <f t="shared" si="502"/>
        <v>0</v>
      </c>
      <c r="BT578" s="115">
        <f t="shared" ca="1" si="503"/>
        <v>0</v>
      </c>
      <c r="BU578" s="115" t="b">
        <f ca="1">AND(模拟模式!$K$10="2300·雷",BT577=0,RAND()&lt;IF(C578="净世破魔击·月",5*0.05*2/3,IF(C578="净世破魔击·日",3*0.05*2/3,0.05*2*2/3)))</f>
        <v>0</v>
      </c>
      <c r="BV578" s="115">
        <f t="shared" ca="1" si="504"/>
        <v>0</v>
      </c>
      <c r="BW578" s="115">
        <f t="shared" ca="1" si="505"/>
        <v>47.159999999999286</v>
      </c>
      <c r="BX578" s="164" t="b">
        <f t="shared" ca="1" si="506"/>
        <v>0</v>
      </c>
      <c r="BY578" s="115">
        <f t="shared" ca="1" si="507"/>
        <v>0</v>
      </c>
      <c r="BZ578" s="115">
        <f>IF(OR(模拟模式!$P$16="10人团",模拟模式!$P$16="25人团"),IF(B578/30&gt;CA577,1,0),0)</f>
        <v>0</v>
      </c>
      <c r="CA578" s="115">
        <f t="shared" si="483"/>
        <v>0</v>
      </c>
      <c r="CB578" s="115">
        <f ca="1">IF(BZ578=1,IF(模拟模式!$P$16="10人团",15,0)+IF(模拟模式!$P$16="25人团",IF(RAND()&lt;0.6,15,0)),MAX(0,CB577-$F$4))</f>
        <v>0</v>
      </c>
      <c r="CC578" s="115" t="b">
        <f t="shared" ca="1" si="475"/>
        <v>0</v>
      </c>
      <c r="CD578" s="115">
        <f>IF(模拟模式!$Q$16="1个",IF(B578/40&gt;CE577,1,0),0)</f>
        <v>0</v>
      </c>
      <c r="CE578" s="115">
        <f t="shared" si="476"/>
        <v>0</v>
      </c>
      <c r="CF578" s="115">
        <f>IF(OR(CD578=1,模拟模式!$Q$16="2个"),20,MAX(0,CF577-$F$4))</f>
        <v>0</v>
      </c>
      <c r="CG578" s="115" t="b">
        <f t="shared" si="477"/>
        <v>0</v>
      </c>
      <c r="CH578" s="115">
        <f t="shared" ca="1" si="508"/>
        <v>0</v>
      </c>
      <c r="CI578" s="115" t="b">
        <f t="shared" ca="1" si="509"/>
        <v>0</v>
      </c>
      <c r="CJ578" s="119">
        <f t="shared" ca="1" si="510"/>
        <v>0</v>
      </c>
      <c r="CK578" s="115">
        <f t="shared" ca="1" si="511"/>
        <v>0</v>
      </c>
      <c r="CL578" s="115" t="b">
        <f ca="1">AND(模拟模式!$S$7="驱夷逐法",OR(AND(C578="净世破魔击·月",E577&gt;59),AND(C578="净世破魔击·日",F577&gt;59)))</f>
        <v>0</v>
      </c>
      <c r="CM578" s="115" t="b">
        <f ca="1">OR(CL578,AND(C578="净世破魔击·日",CL577,RAND()&lt;模拟模式!$U$23))</f>
        <v>0</v>
      </c>
      <c r="CN578" s="115" t="b">
        <f ca="1">IF(模拟模式!$M$7="辉耀红尘",AND(C578="净世破魔击·月",CL578,CV578=0,E577&lt;80),AND(C578="净世破魔击·月",CL578,E577&lt;100))</f>
        <v>0</v>
      </c>
      <c r="CO578" s="115" t="b">
        <f t="shared" ca="1" si="484"/>
        <v>0</v>
      </c>
      <c r="CP578" s="115" t="b">
        <f ca="1">AND(模拟模式!$O$7="用晦而明",OR(C578="净世破魔击·日",C578="净世破魔击·月",C578="驱夜断愁"),AB578)</f>
        <v>0</v>
      </c>
      <c r="CQ578" s="115" t="b">
        <f ca="1">OR(CP578,AND(CP577,RAND()&lt;模拟模式!$U$23))</f>
        <v>0</v>
      </c>
      <c r="CR578" s="115" t="b">
        <f ca="1">AND(模拟模式!$S$7="日月齐光",OR(C578="幽月轮1",C578="幽月轮2",C578="幽月轮3",CR577),NOT(OR(C578="赤日轮1",C578="赤日轮2",C578="赤日轮3")))</f>
        <v>0</v>
      </c>
      <c r="CS578" s="115" t="b">
        <f ca="1">AND(模拟模式!$S$7="日月齐光",OR(C578="赤日轮1",C578="赤日轮2",C578="赤日轮3",CS577),NOT(OR(C578="幽月轮1",C578="幽月轮2",C578="幽月轮3")))</f>
        <v>0</v>
      </c>
      <c r="CT578" s="115">
        <f t="shared" ca="1" si="512"/>
        <v>0</v>
      </c>
      <c r="CU578" s="115" t="b">
        <f ca="1">AND(模拟模式!$K$10="阴阳往极",CT577=0,RAND()&lt;IF(C578="净世破魔击·月",0.0275*7/3,IF(C578="净世破魔击·日",0.0275*3/3,0.0275*2/3)))</f>
        <v>0</v>
      </c>
      <c r="CV578" s="115">
        <f t="shared" ca="1" si="513"/>
        <v>0</v>
      </c>
      <c r="CW578" s="115">
        <f t="shared" ca="1" si="485"/>
        <v>5.0774999999999997</v>
      </c>
      <c r="CX578" s="115">
        <f t="shared" ca="1" si="486"/>
        <v>3.2324999999999995</v>
      </c>
      <c r="CY578" s="115">
        <f ca="1">MAX(IF($C578="驱夜断愁",IF(模拟模式!$R$7="万念俱寂",6,45),CY577-$F$4),0)</f>
        <v>4.1549999999999994</v>
      </c>
      <c r="CZ578" s="115">
        <f t="shared" ca="1" si="487"/>
        <v>0</v>
      </c>
      <c r="DA578" s="115">
        <f ca="1">IF(模拟模式!$N$7="日月同辉",IF(DB577=2,0,MIN(6,IF(AND(OR(C578="赤日轮1",C578="赤日轮2",C578="赤日轮3",C578="幽月轮1",C578="幽月轮2",C578="幽月轮3"),AB578=1),DA577+1,DA577))),0)</f>
        <v>3</v>
      </c>
      <c r="DB578" s="115">
        <f t="shared" ca="1" si="488"/>
        <v>0</v>
      </c>
      <c r="DC578" s="115"/>
      <c r="DD578" s="115"/>
      <c r="DE578" s="115"/>
      <c r="DF578" s="115"/>
      <c r="DG578" s="115"/>
      <c r="DH578" s="115"/>
      <c r="DI578" s="115"/>
      <c r="DJ578" s="115"/>
      <c r="DK578" s="115"/>
      <c r="DL578" s="115"/>
      <c r="DM578" s="115"/>
    </row>
    <row r="579" spans="2:117" x14ac:dyDescent="0.2">
      <c r="B579" s="117">
        <f t="shared" si="489"/>
        <v>509.22000000000554</v>
      </c>
      <c r="C579" s="167" t="str">
        <f t="shared" ca="1" si="482"/>
        <v>净世破魔击·月</v>
      </c>
      <c r="D579" s="115">
        <f ca="1">IF(C579="赤日轮1",1,IF(C579="赤日轮2",2,IF(C579="赤日轮3",3,IF(C579="幽月轮1",4,IF(C579="幽月轮2",5,IF(C579="幽月轮3",6,IF(C579="烈日斩",7,IF(C579="银月斩",8,IF(C579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579="净世破魔击·月",17,IF(C579="驱夜断愁",18,0)))))))))))</f>
        <v>17</v>
      </c>
      <c r="E579" s="115">
        <f ca="1">IF(AND(CU579,OR(C579="幽月轮1",C579="幽月轮2",C579="幽月轮3",C579="银月斩",C579="驱夜断愁",C579="净世破魔击·月")),100,MIN(IF(OR(CN579,BE579),0,IF(OR($C579="赤日轮1",$C579="赤日轮2",$C579="赤日轮3"),E578+20+IF(模拟模式!$I$7="日月凌天",4,0)+IF(CR578,20,0),IF($C579="烈日斩",E578+40,IF($C579="驱夜断愁",IF(模拟模式!$R$7="万念俱寂",E578+20,E578+60),IF($C579="净世破魔击·月",IF(OR(DB578&gt;0,CV578&gt;0),100,IF(模拟模式!$M$7="辉耀红尘",E578+20,E578)),IF($C579="净世破魔击·日",E578-100,E578)))))),100))</f>
        <v>100</v>
      </c>
      <c r="F579" s="115">
        <f ca="1">IF(AND(CU579,OR(C579="赤日轮1",C579="赤日轮2",C579="赤日轮3",C579="烈日斩",C579="净世破魔击·日")),100,MIN(IF(CO579,0,IF(OR($C579="幽月轮1",$C579="幽月轮2",$C579="幽月轮3"),F578+20+IF(模拟模式!$I$7="日月凌天",4,0)+IF(CS578,20,0),IF($C579="银月斩",F578+40+IF(模拟模式!$X$12=1,5,0),IF($C579="驱夜断愁",IF(模拟模式!$R$7="万念俱寂",F578+20,F578+60),IF($C579="净世破魔击·月",IF(模拟模式!$M$7="辉耀红尘",F578-80,F578-100),IF(AND(C579="净世破魔击·日",OR(DB578&gt;0,CV578&gt;0)),100,F578)))))),100))</f>
        <v>20</v>
      </c>
      <c r="G579" s="117">
        <f ca="1">('模拟-全程加成'!$E$3+'模拟-全程加成'!$E$4+'模拟-全程加成'!$E$5+('模拟-全程加成'!$C$6-'模拟-全程加成'!$C$3)*系数!$B$9+BS579*23)*(1+'模拟-全程加成'!$F$4+'模拟-全程加成'!$F$5+BJ579*10%+BM579*20%+BP579*4%+CG579*30%)+$F$7*系数!$B$12</f>
        <v>20583.127400000001</v>
      </c>
      <c r="H579" s="45">
        <f ca="1">'模拟-全程加成'!$H$3+'模拟-全程加成'!$H$4+'模拟-全程加成'!$H$5+('模拟-全程加成'!$G$4+'模拟-全程加成'!$G$5+('模拟-全程加成'!$C$6-'模拟-全程加成'!$C$3)*系数!$B$13)/系数!$B$3+LOOKUP(D579,'模拟-单技能数据'!$A$2:$A$19,'模拟-单技能数据'!$K$2:$K$19)+BG579*10%+IF(BV579&gt;0,378,0)</f>
        <v>0.54185145527300216</v>
      </c>
      <c r="I579" s="45">
        <f ca="1">'模拟-全程加成'!$J$3+'模拟-全程加成'!$J$4+'模拟-全程加成'!$J$5+('模拟-全程加成'!$I$4+'模拟-全程加成'!$I$5)/系数!$B$4+LOOKUP(D579,'模拟-单技能数据'!$A$2:$A$19,'模拟-单技能数据'!$L$2:$L$19)+BG579*10%</f>
        <v>2.162482885499879</v>
      </c>
      <c r="J579" s="45">
        <f ca="1">(('模拟-全程加成'!$K$3+'模拟-全程加成'!$K$4+'模拟-全程加成'!$K$5+('模拟-全程加成'!$C$6-'模拟-全程加成'!$C$3)*系数!$B$10+IF(BV579&gt;0,882,0)+IF(BY579&gt;0,1831,0))*(1+'模拟-全程加成'!$L$4+'模拟-全程加成'!$L$5+CC579*20%))/系数!$B$5</f>
        <v>0.69723220422048726</v>
      </c>
      <c r="K579" s="119">
        <f ca="1">LOOKUP(D579,'模拟-单技能数据'!$A$2:$A$19,'模拟-单技能数据'!$J$2:$J$19)+IF(CM579,60%,0)+IF(DB578-DB579&gt;0,30%,0)+IF(OR(AND(OR(C579="赤日轮1",C579="赤日轮2",C579="赤日轮3"),CR579),AND(OR(C579="幽月轮1",C579="幽月轮2",C579="幽月轮3"),CS579)),35%,0)+CJ579</f>
        <v>0.8</v>
      </c>
      <c r="L579" s="119">
        <f ca="1">IF(AND(C579="烈日斩",模拟模式!$X$11=1),10%,0)+IF(AND(C579="驱夜断愁",AB579=1),30%,0)</f>
        <v>0</v>
      </c>
      <c r="M579" s="45">
        <f t="shared" ref="M579:M603" ca="1" si="521">MIN(H579,1-$F$10-$F$11)</f>
        <v>0.54185145527300216</v>
      </c>
      <c r="N579" s="45">
        <f t="shared" ref="N579:N603" ca="1" si="522">1-$F$10-$F$11-M579</f>
        <v>0.40424854472699789</v>
      </c>
      <c r="O579" s="46">
        <f t="shared" ca="1" si="490"/>
        <v>0.37075782362603882</v>
      </c>
      <c r="P579" s="46" t="str">
        <f t="shared" ca="1" si="491"/>
        <v>会</v>
      </c>
      <c r="Q579" s="45">
        <f t="shared" ca="1" si="492"/>
        <v>2.162482885499879</v>
      </c>
      <c r="R579" s="117">
        <f ca="1">模拟模式!$E$20*(1-IF(模拟模式!$J$19="有",0.15,0))*(1-IF(模拟模式!$K$19="有",0.3,0)-IF(CQ579,0.5,0))</f>
        <v>843.02999999999975</v>
      </c>
      <c r="S579" s="45">
        <f ca="1">R579/(R579+(185*模拟模式!$E$22-16800)*4.08224)</f>
        <v>8.389626085980037E-2</v>
      </c>
      <c r="T579" s="45" t="str">
        <f ca="1">LOOKUP(D579,'模拟-单技能数据'!$A$2:$A$19,'模拟-单技能数据'!$H$2:$H$19)</f>
        <v>阴</v>
      </c>
      <c r="U579" s="119">
        <f t="shared" ref="U579:U603" ca="1" si="523">IF(T579="阳",$I$3,IF(T579="阴",$I$4,0))</f>
        <v>0.08</v>
      </c>
      <c r="V579" s="47">
        <f ca="1">(1+L579)*(LOOKUP(D579,'模拟-单技能数据'!$A$2:$A$19,'模拟-单技能数据'!$D$2:$D$19)+G579*LOOKUP(D579,'模拟-单技能数据'!$A$2:$A$19,'模拟-单技能数据'!$F$2:$F$19))*(1+J579)*(1+K579)*(1-S579)*(1+U579)*Q579*LOOKUP(D579,'模拟-单技能数据'!$A$2:$A$19,'模拟-单技能数据'!$I$2:$I$20)</f>
        <v>174868.36016214982</v>
      </c>
      <c r="W579" s="47">
        <f ca="1">LOOKUP(D579,'模拟-单技能数据'!$A$2:$A$19,'模拟-单技能数据'!$G$2:$G$19)*$I$10</f>
        <v>361.51064354704795</v>
      </c>
      <c r="X579" s="47">
        <f t="shared" ca="1" si="493"/>
        <v>19422.156631642843</v>
      </c>
      <c r="Y579" s="47">
        <f t="shared" ref="Y579:Y603" ca="1" si="524">V579+W579+X579</f>
        <v>194652.02743733971</v>
      </c>
      <c r="Z579" s="49">
        <f t="shared" ref="Z579:Z603" ca="1" si="525">Z578+Y579</f>
        <v>57517334.171858117</v>
      </c>
      <c r="AA579" s="97">
        <f t="shared" ref="AA579:AA603" ca="1" si="526">Z579/B579</f>
        <v>112951.83647904146</v>
      </c>
      <c r="AB579" s="115">
        <f ca="1">IF(OR(C579="赤日轮1",C579="赤日轮2",C579="赤日轮3"),IF(RAND()&lt;模拟模式!$Y$17,1,0),IF(OR(C579="幽月轮1",C579="幽月轮2",C579="幽月轮3"),IF(RAND()&lt;模拟模式!$Y$18,1,0),IF(C579="烈日斩",IF(RAND()&lt;模拟模式!$Y$19,1,0),IF(C579="银月斩",IF(RAND()&lt;模拟模式!$Y$20,1,0),IF(C579="驱夜断愁",IF(RAND()&lt;模拟模式!$Y$21,1,0),IF(C579="净世破魔击·日",IF(RAND()&lt;模拟模式!$Y$22,1,0),IF(C579="净世破魔击·月",IF(RAND()&lt;模拟模式!$Y$23,1,0),0)))))))</f>
        <v>1</v>
      </c>
      <c r="AC579" s="115" t="b">
        <f t="shared" ca="1" si="514"/>
        <v>0</v>
      </c>
      <c r="AD579" s="115" t="b">
        <f t="shared" ca="1" si="478"/>
        <v>0</v>
      </c>
      <c r="AE579" s="115">
        <f t="shared" ca="1" si="479"/>
        <v>4</v>
      </c>
      <c r="AF579" s="47">
        <f ca="1">IF(AC579,('模拟-单技能数据'!$D$20+G579*'模拟-单技能数据'!$F$20)*(1+J579)*(1+'模拟-单技能数据'!$J$20)*(1+U579),0)</f>
        <v>0</v>
      </c>
      <c r="AG579" s="61">
        <f t="shared" ref="AG579:AG603" ca="1" si="527">IF(AF579&gt;0,M579,AG578)</f>
        <v>0.64185145527300214</v>
      </c>
      <c r="AH579" s="61">
        <f t="shared" ref="AH579:AH603" ca="1" si="528">IF(AF579&gt;0,I579,AH578)</f>
        <v>2.2624828854998791</v>
      </c>
      <c r="AI579" s="62">
        <f t="shared" ca="1" si="494"/>
        <v>0.5800756407713995</v>
      </c>
      <c r="AJ579" s="47">
        <f ca="1">IF(AD579,IF(AI579&lt;$F$10,0,IF(AI579&lt;$F$10+$F$11,0.25,IF(AI579&lt;$F$10+$F$11+AG579,AH579,1)))*IF(AF579&gt;0,AF579,IF(AF578&gt;0,AF578,IF(AF577&gt;0,AF577,IF(AF576&gt;0,AF576,IF(AF575&gt;0,AF575,IF(AF574&gt;0,AF574,IF(AF573&gt;0,AF573,IF(AF572&gt;0,AF572,IF(AF571&gt;0,AF571,IF(AF569&gt;0,AF569,IF(AF568&gt;0,AF568,IF(AF567&gt;0,AF567,0)))))))))))),0)*(1-$S579)*'模拟-单技能数据'!$I$20</f>
        <v>0</v>
      </c>
      <c r="AK579" s="115" t="b">
        <f t="shared" ca="1" si="515"/>
        <v>0</v>
      </c>
      <c r="AL579" s="115" t="b">
        <f t="shared" ca="1" si="480"/>
        <v>1</v>
      </c>
      <c r="AM579" s="115">
        <f t="shared" ca="1" si="481"/>
        <v>2</v>
      </c>
      <c r="AN579" s="47">
        <f ca="1">IF(AK579,('模拟-单技能数据'!$D$21+G579*'模拟-单技能数据'!$F$21)*(1+J579)*(1+'模拟-单技能数据'!$J$21)*(1+U579),0)</f>
        <v>0</v>
      </c>
      <c r="AO579" s="61">
        <f ca="1">IF(AN579&gt;0,M579-'模拟-单技能数据'!$K$10,AO578)</f>
        <v>0.42185145527300216</v>
      </c>
      <c r="AP579" s="61">
        <f ca="1">IF(AN579&gt;0,I579-'模拟-单技能数据'!$L$10,AP578)</f>
        <v>2.162482885499879</v>
      </c>
      <c r="AQ579" s="63">
        <f t="shared" ca="1" si="495"/>
        <v>1.224979536882842E-2</v>
      </c>
      <c r="AR579" s="64">
        <f ca="1">IF(AL579,IF(AQ579&lt;$F$10,0,IF(AQ579&lt;$F$10+$F$11,0.25,IF(AQ579&lt;$F$10+$F$11+AO579,AP579,1)))*IF(AN579&gt;0,AN579,IF(AN578&gt;0,AN578,IF(AN577&gt;0,AN577,IF(AN576&gt;0,AN576,IF(AN575&gt;0,AN575,IF(AN574&gt;0,AN574,IF(AN573&gt;0,AN573,IF(AN572&gt;0,AN572,IF(AN571&gt;0,AN571,IF(AN569&gt;0,AN569,IF(AN568&gt;0,AN568,IF(AN567&gt;0,AN567,0)))))))))))),0)*(1-$S579)*'模拟-单技能数据'!$I$21</f>
        <v>2901.9729631140449</v>
      </c>
      <c r="AS579" s="61">
        <f ca="1">IF(OR(C579="净世破魔击·日",C579="净世破魔击·月"),M579-'模拟-单技能数据'!$K$10,0)</f>
        <v>0.42185145527300216</v>
      </c>
      <c r="AT579" s="61">
        <f ca="1">IF(OR(C579="净世破魔击·日",C579="净世破魔击·月"),I579-'模拟-单技能数据'!$L$10,0)</f>
        <v>2.162482885499879</v>
      </c>
      <c r="AU579" s="62">
        <f t="shared" ca="1" si="496"/>
        <v>0.40278804202522889</v>
      </c>
      <c r="AV579" s="64">
        <f ca="1">IF(AS579&gt;0,('模拟-单技能数据'!$D$22+G579*'模拟-单技能数据'!$F$22)*(1+J579)*(1-S579)*IF(AU579&lt;$F$10,0,IF(AU579&lt;$F$10+$F$11,0.25,IF(AU579&lt;$F$10+$F$11+AS579,AT579,1)))*(1+U579),0)*'模拟-单技能数据'!$I$22</f>
        <v>16520.1836685288</v>
      </c>
      <c r="AW579" s="108">
        <f t="shared" ca="1" si="497"/>
        <v>6.1625000000000068</v>
      </c>
      <c r="AX579" s="108" t="b">
        <f ca="1">AND(模拟模式!$P$10="有",AW578=0,RAND()&lt;IF(C579="净世破魔击·月",0.1*8/3,IF(C579="净世破魔击·日",0.1*4/3,0.1*2/3)))</f>
        <v>0</v>
      </c>
      <c r="AY579" s="47">
        <f ca="1">IF(AX579,(18+G579*0.722)*(1+J579)*(1-S579)*(1+$I$4)*IF(P579="会",'模拟-全程加成'!$J$3+'模拟-全程加成'!$J$4+'模拟-全程加成'!$J$5+('模拟-全程加成'!$I$4+'模拟-全程加成'!$I$5)/系数!$B$4+BG579*10%,IF(P579="命",1,IF(P579="识",0.25,0))),0)</f>
        <v>0</v>
      </c>
      <c r="AZ579" s="108">
        <f t="shared" si="498"/>
        <v>18.155000000000001</v>
      </c>
      <c r="BA579" s="108" t="b">
        <f>AND(模拟模式!$Q$10="有",AZ578=0)</f>
        <v>0</v>
      </c>
      <c r="BB579" s="140">
        <f>IF(BA579,(0+G579*0.287)*(1+J579)*(1-S579)*(1+$I$4)*IF(P579="会",'模拟-全程加成'!$J$3+'模拟-全程加成'!$J$4+'模拟-全程加成'!$J$5+('模拟-全程加成'!$I$4+'模拟-全程加成'!$I$5)/系数!$B$4+BG579*10%,IF(P579="命",1,IF(P579="识",0.25,0))),0)</f>
        <v>0</v>
      </c>
      <c r="BC579" s="115" t="b">
        <f ca="1">AND(模拟模式!$R$7="伏明众生",E579=60,F579=20,DA579&lt;5,CZ578&lt;$F$4)</f>
        <v>0</v>
      </c>
      <c r="BD579" s="115">
        <f t="shared" ca="1" si="516"/>
        <v>0</v>
      </c>
      <c r="BE579" s="115" t="b">
        <f t="shared" ca="1" si="517"/>
        <v>0</v>
      </c>
      <c r="BF579" s="47">
        <f ca="1">IF(BC579,4*('模拟-单技能数据'!$D$24+G579*'模拟-单技能数据'!$F$24)*(1+J579)*(1+'模拟-单技能数据'!$J$24)*(1-S579)*(1+$I$3)*(('模拟-全程加成'!$J$3+'模拟-全程加成'!$J$4+'模拟-全程加成'!$J$5+('模拟-全程加成'!$I$4+'模拟-全程加成'!$I$5)/系数!$B$4+BG579*10%)*('模拟-全程加成'!$J$3+'模拟-全程加成'!$J$4+'模拟-全程加成'!$J$5+('模拟-全程加成'!$I$4+'模拟-全程加成'!$I$5)/系数!$B$4+BG579*10%)+(1-('模拟-全程加成'!$J$3+'模拟-全程加成'!$J$4+'模拟-全程加成'!$J$5+('模拟-全程加成'!$I$4+'模拟-全程加成'!$I$5)/系数!$B$4+BG579*10%)-$F$10-$F$11)+F565*0.25),0)*'模拟-单技能数据'!$I$24</f>
        <v>0</v>
      </c>
      <c r="BG579" s="115" t="b">
        <f ca="1">OR(AND(OR(C579="烈日斩",C579="银月斩"),模拟模式!$I$7="净身明礼"),AND(C579="净世破魔击·日",模拟模式!$J$7="洞若观火"),AND(C580="净世破魔击·月",模拟模式!$J$7="洞若观火"),AB579=1)</f>
        <v>1</v>
      </c>
      <c r="BH579" s="115" t="b">
        <f t="shared" ca="1" si="499"/>
        <v>0</v>
      </c>
      <c r="BI579" s="115">
        <f t="shared" ca="1" si="518"/>
        <v>0</v>
      </c>
      <c r="BJ579" s="115" t="b">
        <f t="shared" ref="BJ579:BJ603" ca="1" si="529">BI579&gt;0</f>
        <v>0</v>
      </c>
      <c r="BK579" s="115" t="b">
        <f ca="1">AND(C579="驱夜断愁",模拟模式!$P$7="天地诛戮")</f>
        <v>0</v>
      </c>
      <c r="BL579" s="57">
        <f t="shared" ca="1" si="519"/>
        <v>17.232500000000002</v>
      </c>
      <c r="BM579" s="115" t="b">
        <f t="shared" ref="BM579:BM603" ca="1" si="530">BL579&gt;0</f>
        <v>1</v>
      </c>
      <c r="BN579" s="115" t="b">
        <f ca="1">AND(OR(C579="赤日轮1",C579="赤日轮2",C579="赤日轮3",C579="幽月轮1",C579="幽月轮2",C579="幽月轮3"),AB579=1,模拟模式!$L$7="明光恒照")</f>
        <v>0</v>
      </c>
      <c r="BO579" s="117">
        <f t="shared" ca="1" si="520"/>
        <v>29.077500000000001</v>
      </c>
      <c r="BP579" s="115">
        <f t="shared" ca="1" si="500"/>
        <v>6</v>
      </c>
      <c r="BQ579" s="115" t="b">
        <f>模拟模式!$K$10="2600·水"</f>
        <v>0</v>
      </c>
      <c r="BR579" s="117">
        <f t="shared" si="501"/>
        <v>0</v>
      </c>
      <c r="BS579" s="115">
        <f t="shared" si="502"/>
        <v>0</v>
      </c>
      <c r="BT579" s="115">
        <f t="shared" ca="1" si="503"/>
        <v>0</v>
      </c>
      <c r="BU579" s="115" t="b">
        <f ca="1">AND(模拟模式!$K$10="2300·雷",BT578=0,RAND()&lt;IF(C579="净世破魔击·月",5*0.05*2/3,IF(C579="净世破魔击·日",3*0.05*2/3,0.05*2*2/3)))</f>
        <v>0</v>
      </c>
      <c r="BV579" s="115">
        <f t="shared" ca="1" si="504"/>
        <v>0</v>
      </c>
      <c r="BW579" s="115">
        <f t="shared" ca="1" si="505"/>
        <v>46.237499999999287</v>
      </c>
      <c r="BX579" s="164" t="b">
        <f t="shared" ca="1" si="506"/>
        <v>0</v>
      </c>
      <c r="BY579" s="115">
        <f t="shared" ca="1" si="507"/>
        <v>0</v>
      </c>
      <c r="BZ579" s="115">
        <f>IF(OR(模拟模式!$P$16="10人团",模拟模式!$P$16="25人团"),IF(B579/30&gt;CA578,1,0),0)</f>
        <v>0</v>
      </c>
      <c r="CA579" s="115">
        <f t="shared" si="483"/>
        <v>0</v>
      </c>
      <c r="CB579" s="115">
        <f ca="1">IF(BZ579=1,IF(模拟模式!$P$16="10人团",15,0)+IF(模拟模式!$P$16="25人团",IF(RAND()&lt;0.6,15,0)),MAX(0,CB578-$F$4))</f>
        <v>0</v>
      </c>
      <c r="CC579" s="115" t="b">
        <f t="shared" ref="CC579:CC603" ca="1" si="531">CB579&gt;0</f>
        <v>0</v>
      </c>
      <c r="CD579" s="115">
        <f>IF(模拟模式!$Q$16="1个",IF(B579/40&gt;CE578,1,0),0)</f>
        <v>0</v>
      </c>
      <c r="CE579" s="115">
        <f t="shared" ref="CE579:CE603" si="532">CE578+CD579</f>
        <v>0</v>
      </c>
      <c r="CF579" s="115">
        <f>IF(OR(CD579=1,模拟模式!$Q$16="2个"),20,MAX(0,CF578-$F$4))</f>
        <v>0</v>
      </c>
      <c r="CG579" s="115" t="b">
        <f t="shared" ref="CG579:CG603" si="533">CF579&gt;0</f>
        <v>0</v>
      </c>
      <c r="CH579" s="115">
        <f t="shared" ca="1" si="508"/>
        <v>0</v>
      </c>
      <c r="CI579" s="115" t="b">
        <f t="shared" ca="1" si="509"/>
        <v>0</v>
      </c>
      <c r="CJ579" s="119">
        <f t="shared" ca="1" si="510"/>
        <v>0</v>
      </c>
      <c r="CK579" s="115">
        <f t="shared" ca="1" si="511"/>
        <v>0</v>
      </c>
      <c r="CL579" s="115" t="b">
        <f ca="1">AND(模拟模式!$S$7="驱夷逐法",OR(AND(C579="净世破魔击·月",E578&gt;59),AND(C579="净世破魔击·日",F578&gt;59)))</f>
        <v>1</v>
      </c>
      <c r="CM579" s="115" t="b">
        <f ca="1">OR(CL579,AND(C579="净世破魔击·日",CL578,RAND()&lt;模拟模式!$U$23))</f>
        <v>1</v>
      </c>
      <c r="CN579" s="115" t="b">
        <f ca="1">IF(模拟模式!$M$7="辉耀红尘",AND(C579="净世破魔击·月",CL579,CV579=0,E578&lt;80),AND(C579="净世破魔击·月",CL579,E578&lt;100))</f>
        <v>0</v>
      </c>
      <c r="CO579" s="115" t="b">
        <f t="shared" ca="1" si="484"/>
        <v>0</v>
      </c>
      <c r="CP579" s="115" t="b">
        <f ca="1">AND(模拟模式!$O$7="用晦而明",OR(C579="净世破魔击·日",C579="净世破魔击·月",C579="驱夜断愁"),AB579)</f>
        <v>1</v>
      </c>
      <c r="CQ579" s="115" t="b">
        <f ca="1">OR(CP579,AND(CP578,RAND()&lt;模拟模式!$U$23))</f>
        <v>1</v>
      </c>
      <c r="CR579" s="115" t="b">
        <f ca="1">AND(模拟模式!$S$7="日月齐光",OR(C579="幽月轮1",C579="幽月轮2",C579="幽月轮3",CR578),NOT(OR(C579="赤日轮1",C579="赤日轮2",C579="赤日轮3")))</f>
        <v>0</v>
      </c>
      <c r="CS579" s="115" t="b">
        <f ca="1">AND(模拟模式!$S$7="日月齐光",OR(C579="赤日轮1",C579="赤日轮2",C579="赤日轮3",CS578),NOT(OR(C579="幽月轮1",C579="幽月轮2",C579="幽月轮3")))</f>
        <v>0</v>
      </c>
      <c r="CT579" s="115">
        <f t="shared" ca="1" si="512"/>
        <v>0</v>
      </c>
      <c r="CU579" s="115" t="b">
        <f ca="1">AND(模拟模式!$K$10="阴阳往极",CT578=0,RAND()&lt;IF(C579="净世破魔击·月",0.0275*7/3,IF(C579="净世破魔击·日",0.0275*3/3,0.0275*2/3)))</f>
        <v>0</v>
      </c>
      <c r="CV579" s="115">
        <f t="shared" ca="1" si="513"/>
        <v>0</v>
      </c>
      <c r="CW579" s="115">
        <f t="shared" ca="1" si="485"/>
        <v>4.1549999999999994</v>
      </c>
      <c r="CX579" s="115">
        <f t="shared" ca="1" si="486"/>
        <v>2.3099999999999996</v>
      </c>
      <c r="CY579" s="115">
        <f ca="1">MAX(IF($C579="驱夜断愁",IF(模拟模式!$R$7="万念俱寂",6,45),CY578-$F$4),0)</f>
        <v>3.2324999999999995</v>
      </c>
      <c r="CZ579" s="115">
        <f t="shared" ca="1" si="487"/>
        <v>0</v>
      </c>
      <c r="DA579" s="115">
        <f ca="1">IF(模拟模式!$N$7="日月同辉",IF(DB578=2,0,MIN(6,IF(AND(OR(C579="赤日轮1",C579="赤日轮2",C579="赤日轮3",C579="幽月轮1",C579="幽月轮2",C579="幽月轮3"),AB579=1),DA578+1,DA578))),0)</f>
        <v>3</v>
      </c>
      <c r="DB579" s="115">
        <f t="shared" ca="1" si="488"/>
        <v>0</v>
      </c>
      <c r="DC579" s="115"/>
      <c r="DD579" s="115"/>
      <c r="DE579" s="115"/>
      <c r="DF579" s="115"/>
      <c r="DG579" s="115"/>
      <c r="DH579" s="115"/>
      <c r="DI579" s="115"/>
      <c r="DJ579" s="115"/>
      <c r="DK579" s="115"/>
      <c r="DL579" s="115"/>
      <c r="DM579" s="115"/>
    </row>
    <row r="580" spans="2:117" x14ac:dyDescent="0.2">
      <c r="B580" s="117">
        <f t="shared" si="489"/>
        <v>510.14250000000555</v>
      </c>
      <c r="C580" s="167" t="str">
        <f t="shared" ca="1" si="482"/>
        <v>净世破魔击·日</v>
      </c>
      <c r="D580" s="115">
        <f ca="1">IF(C580="赤日轮1",1,IF(C580="赤日轮2",2,IF(C580="赤日轮3",3,IF(C580="幽月轮1",4,IF(C580="幽月轮2",5,IF(C580="幽月轮3",6,IF(C580="烈日斩",7,IF(C580="银月斩",8,IF(C580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580="净世破魔击·月",17,IF(C580="驱夜断愁",18,0)))))))))))</f>
        <v>9</v>
      </c>
      <c r="E580" s="115">
        <f ca="1">IF(AND(CU580,OR(C580="幽月轮1",C580="幽月轮2",C580="幽月轮3",C580="银月斩",C580="驱夜断愁",C580="净世破魔击·月")),100,MIN(IF(OR(CN580,BE580),0,IF(OR($C580="赤日轮1",$C580="赤日轮2",$C580="赤日轮3"),E579+20+IF(模拟模式!$I$7="日月凌天",4,0)+IF(CR579,20,0),IF($C580="烈日斩",E579+40,IF($C580="驱夜断愁",IF(模拟模式!$R$7="万念俱寂",E579+20,E579+60),IF($C580="净世破魔击·月",IF(OR(DB579&gt;0,CV579&gt;0),100,IF(模拟模式!$M$7="辉耀红尘",E579+20,E579)),IF($C580="净世破魔击·日",E579-100,E579)))))),100))</f>
        <v>0</v>
      </c>
      <c r="F580" s="115">
        <f ca="1">IF(AND(CU580,OR(C580="赤日轮1",C580="赤日轮2",C580="赤日轮3",C580="烈日斩",C580="净世破魔击·日")),100,MIN(IF(CO580,0,IF(OR($C580="幽月轮1",$C580="幽月轮2",$C580="幽月轮3"),F579+20+IF(模拟模式!$I$7="日月凌天",4,0)+IF(CS579,20,0),IF($C580="银月斩",F579+40+IF(模拟模式!$X$12=1,5,0),IF($C580="驱夜断愁",IF(模拟模式!$R$7="万念俱寂",F579+20,F579+60),IF($C580="净世破魔击·月",IF(模拟模式!$M$7="辉耀红尘",F579-80,F579-100),IF(AND(C580="净世破魔击·日",OR(DB579&gt;0,CV579&gt;0)),100,F579)))))),100))</f>
        <v>20</v>
      </c>
      <c r="G580" s="117">
        <f ca="1">('模拟-全程加成'!$E$3+'模拟-全程加成'!$E$4+'模拟-全程加成'!$E$5+('模拟-全程加成'!$C$6-'模拟-全程加成'!$C$3)*系数!$B$9+BS580*23)*(1+'模拟-全程加成'!$F$4+'模拟-全程加成'!$F$5+BJ580*10%+BM580*20%+BP580*4%+CG580*30%)+$F$7*系数!$B$12</f>
        <v>21493.829400000002</v>
      </c>
      <c r="H580" s="45">
        <f ca="1">'模拟-全程加成'!$H$3+'模拟-全程加成'!$H$4+'模拟-全程加成'!$H$5+('模拟-全程加成'!$G$4+'模拟-全程加成'!$G$5+('模拟-全程加成'!$C$6-'模拟-全程加成'!$C$3)*系数!$B$13)/系数!$B$3+LOOKUP(D580,'模拟-单技能数据'!$A$2:$A$19,'模拟-单技能数据'!$K$2:$K$19)+BG580*10%+IF(BV580&gt;0,378,0)</f>
        <v>0.54185145527300216</v>
      </c>
      <c r="I580" s="45">
        <f ca="1">'模拟-全程加成'!$J$3+'模拟-全程加成'!$J$4+'模拟-全程加成'!$J$5+('模拟-全程加成'!$I$4+'模拟-全程加成'!$I$5)/系数!$B$4+LOOKUP(D580,'模拟-单技能数据'!$A$2:$A$19,'模拟-单技能数据'!$L$2:$L$19)+BG580*10%</f>
        <v>2.162482885499879</v>
      </c>
      <c r="J580" s="45">
        <f ca="1">(('模拟-全程加成'!$K$3+'模拟-全程加成'!$K$4+'模拟-全程加成'!$K$5+('模拟-全程加成'!$C$6-'模拟-全程加成'!$C$3)*系数!$B$10+IF(BV580&gt;0,882,0)+IF(BY580&gt;0,1831,0))*(1+'模拟-全程加成'!$L$4+'模拟-全程加成'!$L$5+CC580*20%))/系数!$B$5</f>
        <v>0.69723220422048726</v>
      </c>
      <c r="K580" s="119">
        <f ca="1">LOOKUP(D580,'模拟-单技能数据'!$A$2:$A$19,'模拟-单技能数据'!$J$2:$J$19)+IF(CM580,60%,0)+IF(DB579-DB580&gt;0,30%,0)+IF(OR(AND(OR(C580="赤日轮1",C580="赤日轮2",C580="赤日轮3"),CR580),AND(OR(C580="幽月轮1",C580="幽月轮2",C580="幽月轮3"),CS580)),35%,0)+CJ580</f>
        <v>0.8</v>
      </c>
      <c r="L580" s="119">
        <f ca="1">IF(AND(C580="烈日斩",模拟模式!$X$11=1),10%,0)+IF(AND(C580="驱夜断愁",AB580=1),30%,0)</f>
        <v>0</v>
      </c>
      <c r="M580" s="45">
        <f t="shared" ca="1" si="521"/>
        <v>0.54185145527300216</v>
      </c>
      <c r="N580" s="45">
        <f t="shared" ca="1" si="522"/>
        <v>0.40424854472699789</v>
      </c>
      <c r="O580" s="46">
        <f t="shared" ca="1" si="490"/>
        <v>0.4042902845868519</v>
      </c>
      <c r="P580" s="46" t="str">
        <f t="shared" ca="1" si="491"/>
        <v>会</v>
      </c>
      <c r="Q580" s="45">
        <f t="shared" ca="1" si="492"/>
        <v>2.162482885499879</v>
      </c>
      <c r="R580" s="117">
        <f ca="1">模拟模式!$E$20*(1-IF(模拟模式!$J$19="有",0.15,0))*(1-IF(模拟模式!$K$19="有",0.3,0)-IF(CQ580,0.5,0))</f>
        <v>843.02999999999975</v>
      </c>
      <c r="S580" s="45">
        <f ca="1">R580/(R580+(185*模拟模式!$E$22-16800)*4.08224)</f>
        <v>8.389626085980037E-2</v>
      </c>
      <c r="T580" s="45" t="str">
        <f ca="1">LOOKUP(D580,'模拟-单技能数据'!$A$2:$A$19,'模拟-单技能数据'!$H$2:$H$19)</f>
        <v>阳</v>
      </c>
      <c r="U580" s="119">
        <f t="shared" ca="1" si="523"/>
        <v>0.2</v>
      </c>
      <c r="V580" s="47">
        <f ca="1">(1+L580)*(LOOKUP(D580,'模拟-单技能数据'!$A$2:$A$19,'模拟-单技能数据'!$D$2:$D$19)+G580*LOOKUP(D580,'模拟-单技能数据'!$A$2:$A$19,'模拟-单技能数据'!$F$2:$F$19))*(1+J580)*(1+K580)*(1-S580)*(1+U580)*Q580*LOOKUP(D580,'模拟-单技能数据'!$A$2:$A$19,'模拟-单技能数据'!$I$2:$I$20)</f>
        <v>204517.60843249681</v>
      </c>
      <c r="W580" s="47">
        <f ca="1">LOOKUP(D580,'模拟-单技能数据'!$A$2:$A$19,'模拟-单技能数据'!$G$2:$G$19)*$I$10</f>
        <v>723.0212870940959</v>
      </c>
      <c r="X580" s="47">
        <f t="shared" ca="1" si="493"/>
        <v>13090.722510574255</v>
      </c>
      <c r="Y580" s="47">
        <f t="shared" ca="1" si="524"/>
        <v>218331.35223016515</v>
      </c>
      <c r="Z580" s="49">
        <f t="shared" ca="1" si="525"/>
        <v>57735665.524088278</v>
      </c>
      <c r="AA580" s="97">
        <f t="shared" ca="1" si="526"/>
        <v>113175.56471787325</v>
      </c>
      <c r="AB580" s="115">
        <f ca="1">IF(OR(C580="赤日轮1",C580="赤日轮2",C580="赤日轮3"),IF(RAND()&lt;模拟模式!$Y$17,1,0),IF(OR(C580="幽月轮1",C580="幽月轮2",C580="幽月轮3"),IF(RAND()&lt;模拟模式!$Y$18,1,0),IF(C580="烈日斩",IF(RAND()&lt;模拟模式!$Y$19,1,0),IF(C580="银月斩",IF(RAND()&lt;模拟模式!$Y$20,1,0),IF(C580="驱夜断愁",IF(RAND()&lt;模拟模式!$Y$21,1,0),IF(C580="净世破魔击·日",IF(RAND()&lt;模拟模式!$Y$22,1,0),IF(C580="净世破魔击·月",IF(RAND()&lt;模拟模式!$Y$23,1,0),0)))))))</f>
        <v>1</v>
      </c>
      <c r="AC580" s="115" t="b">
        <f t="shared" ca="1" si="514"/>
        <v>0</v>
      </c>
      <c r="AD580" s="115" t="b">
        <f t="shared" ref="AD580:AD603" ca="1" si="534">IF(AD579+AD578=1,IF(AE579&gt;0,NOT(AD579),FALSE),AC580)</f>
        <v>1</v>
      </c>
      <c r="AE580" s="115">
        <f t="shared" ref="AE580:AE603" ca="1" si="535">IF(AC580,IF(AD578+AD579=0,6,6-AD580),AE579-AD580)</f>
        <v>3</v>
      </c>
      <c r="AF580" s="47">
        <f ca="1">IF(AC580,('模拟-单技能数据'!$D$20+G580*'模拟-单技能数据'!$F$20)*(1+J580)*(1+'模拟-单技能数据'!$J$20)*(1+U580),0)</f>
        <v>0</v>
      </c>
      <c r="AG580" s="61">
        <f t="shared" ca="1" si="527"/>
        <v>0.64185145527300214</v>
      </c>
      <c r="AH580" s="61">
        <f t="shared" ca="1" si="528"/>
        <v>2.2624828854998791</v>
      </c>
      <c r="AI580" s="62">
        <f t="shared" ca="1" si="494"/>
        <v>0.97859141167033881</v>
      </c>
      <c r="AJ580" s="47">
        <f ca="1">IF(AD580,IF(AI580&lt;$F$10,0,IF(AI580&lt;$F$10+$F$11,0.25,IF(AI580&lt;$F$10+$F$11+AG580,AH580,1)))*IF(AF580&gt;0,AF580,IF(AF579&gt;0,AF579,IF(AF578&gt;0,AF578,IF(AF577&gt;0,AF577,IF(AF576&gt;0,AF576,IF(AF575&gt;0,AF575,IF(AF574&gt;0,AF574,IF(AF573&gt;0,AF573,IF(AF572&gt;0,AF572,IF(AF570&gt;0,AF570,IF(AF569&gt;0,AF569,IF(AF568&gt;0,AF568,0)))))))))))),0)*(1-$S580)*'模拟-单技能数据'!$I$20</f>
        <v>4250.4883357170938</v>
      </c>
      <c r="AK580" s="115" t="b">
        <f t="shared" ca="1" si="515"/>
        <v>1</v>
      </c>
      <c r="AL580" s="115" t="b">
        <f t="shared" ref="AL580:AL603" ca="1" si="536">IF(AL579+AL578=1,IF(AM579&gt;0,NOT(AL579),FALSE),AK580)</f>
        <v>0</v>
      </c>
      <c r="AM580" s="115">
        <f t="shared" ref="AM580:AM603" ca="1" si="537">IF(AK580,IF(AL578+AL579=0,6,6-AL580),AM579-AL580)</f>
        <v>6</v>
      </c>
      <c r="AN580" s="47">
        <f ca="1">IF(AK580,('模拟-单技能数据'!$D$21+G580*'模拟-单技能数据'!$F$21)*(1+J580)*(1+'模拟-单技能数据'!$J$21)*(1+U580),0)</f>
        <v>12670.936004857545</v>
      </c>
      <c r="AO580" s="61">
        <f ca="1">IF(AN580&gt;0,M580-'模拟-单技能数据'!$K$10,AO579)</f>
        <v>0.42185145527300216</v>
      </c>
      <c r="AP580" s="61">
        <f ca="1">IF(AN580&gt;0,I580-'模拟-单技能数据'!$L$10,AP579)</f>
        <v>2.162482885499879</v>
      </c>
      <c r="AQ580" s="63">
        <f t="shared" ca="1" si="495"/>
        <v>0.62408124473845916</v>
      </c>
      <c r="AR580" s="64">
        <f ca="1">IF(AL580,IF(AQ580&lt;$F$10,0,IF(AQ580&lt;$F$10+$F$11,0.25,IF(AQ580&lt;$F$10+$F$11+AO580,AP580,1)))*IF(AN580&gt;0,AN580,IF(AN579&gt;0,AN579,IF(AN578&gt;0,AN578,IF(AN577&gt;0,AN577,IF(AN576&gt;0,AN576,IF(AN575&gt;0,AN575,IF(AN574&gt;0,AN574,IF(AN573&gt;0,AN573,IF(AN572&gt;0,AN572,IF(AN570&gt;0,AN570,IF(AN569&gt;0,AN569,IF(AN568&gt;0,AN568,0)))))))))))),0)*(1-$S580)*'模拟-单技能数据'!$I$21</f>
        <v>0</v>
      </c>
      <c r="AS580" s="61">
        <f ca="1">IF(OR(C580="净世破魔击·日",C580="净世破魔击·月"),M580-'模拟-单技能数据'!$K$10,0)</f>
        <v>0.42185145527300216</v>
      </c>
      <c r="AT580" s="61">
        <f ca="1">IF(OR(C580="净世破魔击·日",C580="净世破魔击·月"),I580-'模拟-单技能数据'!$L$10,0)</f>
        <v>2.162482885499879</v>
      </c>
      <c r="AU580" s="62">
        <f t="shared" ca="1" si="496"/>
        <v>0.70607758750027572</v>
      </c>
      <c r="AV580" s="64">
        <f ca="1">IF(AS580&gt;0,('模拟-单技能数据'!$D$22+G580*'模拟-单技能数据'!$F$22)*(1+J580)*(1-S580)*IF(AU580&lt;$F$10,0,IF(AU580&lt;$F$10+$F$11,0.25,IF(AU580&lt;$F$10+$F$11+AS580,AT580,1)))*(1+U580),0)*'模拟-单技能数据'!$I$22</f>
        <v>8840.2341748571616</v>
      </c>
      <c r="AW580" s="108">
        <f t="shared" ca="1" si="497"/>
        <v>5.2400000000000064</v>
      </c>
      <c r="AX580" s="108" t="b">
        <f ca="1">AND(模拟模式!$P$10="有",AW579=0,RAND()&lt;IF(C580="净世破魔击·月",0.1*8/3,IF(C580="净世破魔击·日",0.1*4/3,0.1*2/3)))</f>
        <v>0</v>
      </c>
      <c r="AY580" s="47">
        <f ca="1">IF(AX580,(18+G580*0.722)*(1+J580)*(1-S580)*(1+$I$4)*IF(P580="会",'模拟-全程加成'!$J$3+'模拟-全程加成'!$J$4+'模拟-全程加成'!$J$5+('模拟-全程加成'!$I$4+'模拟-全程加成'!$I$5)/系数!$B$4+BG580*10%,IF(P580="命",1,IF(P580="识",0.25,0))),0)</f>
        <v>0</v>
      </c>
      <c r="AZ580" s="108">
        <f t="shared" si="498"/>
        <v>17.232500000000002</v>
      </c>
      <c r="BA580" s="108" t="b">
        <f>AND(模拟模式!$Q$10="有",AZ579=0)</f>
        <v>0</v>
      </c>
      <c r="BB580" s="140">
        <f>IF(BA580,(0+G580*0.287)*(1+J580)*(1-S580)*(1+$I$4)*IF(P580="会",'模拟-全程加成'!$J$3+'模拟-全程加成'!$J$4+'模拟-全程加成'!$J$5+('模拟-全程加成'!$I$4+'模拟-全程加成'!$I$5)/系数!$B$4+BG580*10%,IF(P580="命",1,IF(P580="识",0.25,0))),0)</f>
        <v>0</v>
      </c>
      <c r="BC580" s="115" t="b">
        <f ca="1">AND(模拟模式!$R$7="伏明众生",E580=60,F580=20,DA580&lt;5,CZ579&lt;$F$4)</f>
        <v>0</v>
      </c>
      <c r="BD580" s="115">
        <f t="shared" ca="1" si="516"/>
        <v>0</v>
      </c>
      <c r="BE580" s="115" t="b">
        <f t="shared" ca="1" si="517"/>
        <v>0</v>
      </c>
      <c r="BF580" s="47">
        <f ca="1">IF(BC580,4*('模拟-单技能数据'!$D$24+G580*'模拟-单技能数据'!$F$24)*(1+J580)*(1+'模拟-单技能数据'!$J$24)*(1-S580)*(1+$I$3)*(('模拟-全程加成'!$J$3+'模拟-全程加成'!$J$4+'模拟-全程加成'!$J$5+('模拟-全程加成'!$I$4+'模拟-全程加成'!$I$5)/系数!$B$4+BG580*10%)*('模拟-全程加成'!$J$3+'模拟-全程加成'!$J$4+'模拟-全程加成'!$J$5+('模拟-全程加成'!$I$4+'模拟-全程加成'!$I$5)/系数!$B$4+BG580*10%)+(1-('模拟-全程加成'!$J$3+'模拟-全程加成'!$J$4+'模拟-全程加成'!$J$5+('模拟-全程加成'!$I$4+'模拟-全程加成'!$I$5)/系数!$B$4+BG580*10%)-$F$10-$F$11)+F566*0.25),0)*'模拟-单技能数据'!$I$24</f>
        <v>0</v>
      </c>
      <c r="BG580" s="115" t="b">
        <f ca="1">OR(AND(OR(C580="烈日斩",C580="银月斩"),模拟模式!$I$7="净身明礼"),AND(C580="净世破魔击·日",模拟模式!$J$7="洞若观火"),AND(C581="净世破魔击·月",模拟模式!$J$7="洞若观火"),AB580=1)</f>
        <v>1</v>
      </c>
      <c r="BH580" s="115" t="b">
        <f t="shared" ca="1" si="499"/>
        <v>1</v>
      </c>
      <c r="BI580" s="115">
        <f t="shared" ca="1" si="518"/>
        <v>6</v>
      </c>
      <c r="BJ580" s="115" t="b">
        <f t="shared" ca="1" si="529"/>
        <v>1</v>
      </c>
      <c r="BK580" s="115" t="b">
        <f ca="1">AND(C580="驱夜断愁",模拟模式!$P$7="天地诛戮")</f>
        <v>0</v>
      </c>
      <c r="BL580" s="57">
        <f t="shared" ca="1" si="519"/>
        <v>16.310000000000002</v>
      </c>
      <c r="BM580" s="115" t="b">
        <f t="shared" ca="1" si="530"/>
        <v>1</v>
      </c>
      <c r="BN580" s="115" t="b">
        <f ca="1">AND(OR(C580="赤日轮1",C580="赤日轮2",C580="赤日轮3",C580="幽月轮1",C580="幽月轮2",C580="幽月轮3"),AB580=1,模拟模式!$L$7="明光恒照")</f>
        <v>0</v>
      </c>
      <c r="BO580" s="117">
        <f t="shared" ca="1" si="520"/>
        <v>28.155000000000001</v>
      </c>
      <c r="BP580" s="115">
        <f t="shared" ca="1" si="500"/>
        <v>6</v>
      </c>
      <c r="BQ580" s="115" t="b">
        <f>模拟模式!$K$10="2600·水"</f>
        <v>0</v>
      </c>
      <c r="BR580" s="117">
        <f t="shared" si="501"/>
        <v>0</v>
      </c>
      <c r="BS580" s="115">
        <f t="shared" si="502"/>
        <v>0</v>
      </c>
      <c r="BT580" s="115">
        <f t="shared" ca="1" si="503"/>
        <v>0</v>
      </c>
      <c r="BU580" s="115" t="b">
        <f ca="1">AND(模拟模式!$K$10="2300·雷",BT579=0,RAND()&lt;IF(C580="净世破魔击·月",5*0.05*2/3,IF(C580="净世破魔击·日",3*0.05*2/3,0.05*2*2/3)))</f>
        <v>0</v>
      </c>
      <c r="BV580" s="115">
        <f t="shared" ca="1" si="504"/>
        <v>0</v>
      </c>
      <c r="BW580" s="115">
        <f t="shared" ca="1" si="505"/>
        <v>45.314999999999287</v>
      </c>
      <c r="BX580" s="164" t="b">
        <f t="shared" ca="1" si="506"/>
        <v>0</v>
      </c>
      <c r="BY580" s="115">
        <f t="shared" ca="1" si="507"/>
        <v>0</v>
      </c>
      <c r="BZ580" s="115">
        <f>IF(OR(模拟模式!$P$16="10人团",模拟模式!$P$16="25人团"),IF(B580/30&gt;CA579,1,0),0)</f>
        <v>0</v>
      </c>
      <c r="CA580" s="115">
        <f t="shared" si="483"/>
        <v>0</v>
      </c>
      <c r="CB580" s="115">
        <f ca="1">IF(BZ580=1,IF(模拟模式!$P$16="10人团",15,0)+IF(模拟模式!$P$16="25人团",IF(RAND()&lt;0.6,15,0)),MAX(0,CB579-$F$4))</f>
        <v>0</v>
      </c>
      <c r="CC580" s="115" t="b">
        <f t="shared" ca="1" si="531"/>
        <v>0</v>
      </c>
      <c r="CD580" s="115">
        <f>IF(模拟模式!$Q$16="1个",IF(B580/40&gt;CE579,1,0),0)</f>
        <v>0</v>
      </c>
      <c r="CE580" s="115">
        <f t="shared" si="532"/>
        <v>0</v>
      </c>
      <c r="CF580" s="115">
        <f>IF(OR(CD580=1,模拟模式!$Q$16="2个"),20,MAX(0,CF579-$F$4))</f>
        <v>0</v>
      </c>
      <c r="CG580" s="115" t="b">
        <f t="shared" si="533"/>
        <v>0</v>
      </c>
      <c r="CH580" s="115">
        <f t="shared" ca="1" si="508"/>
        <v>0</v>
      </c>
      <c r="CI580" s="115" t="b">
        <f t="shared" ca="1" si="509"/>
        <v>0</v>
      </c>
      <c r="CJ580" s="119">
        <f t="shared" ca="1" si="510"/>
        <v>0</v>
      </c>
      <c r="CK580" s="115">
        <f t="shared" ca="1" si="511"/>
        <v>0</v>
      </c>
      <c r="CL580" s="115" t="b">
        <f ca="1">AND(模拟模式!$S$7="驱夷逐法",OR(AND(C580="净世破魔击·月",E579&gt;59),AND(C580="净世破魔击·日",F579&gt;59)))</f>
        <v>0</v>
      </c>
      <c r="CM580" s="115" t="b">
        <f ca="1">OR(CL580,AND(C580="净世破魔击·日",CL579,RAND()&lt;模拟模式!$U$23))</f>
        <v>1</v>
      </c>
      <c r="CN580" s="115" t="b">
        <f ca="1">IF(模拟模式!$M$7="辉耀红尘",AND(C580="净世破魔击·月",CL580,CV580=0,E579&lt;80),AND(C580="净世破魔击·月",CL580,E579&lt;100))</f>
        <v>0</v>
      </c>
      <c r="CO580" s="115" t="b">
        <f t="shared" ca="1" si="484"/>
        <v>0</v>
      </c>
      <c r="CP580" s="115" t="b">
        <f ca="1">AND(模拟模式!$O$7="用晦而明",OR(C580="净世破魔击·日",C580="净世破魔击·月",C580="驱夜断愁"),AB580)</f>
        <v>1</v>
      </c>
      <c r="CQ580" s="115" t="b">
        <f ca="1">OR(CP580,AND(CP579,RAND()&lt;模拟模式!$U$23))</f>
        <v>1</v>
      </c>
      <c r="CR580" s="115" t="b">
        <f ca="1">AND(模拟模式!$S$7="日月齐光",OR(C580="幽月轮1",C580="幽月轮2",C580="幽月轮3",CR579),NOT(OR(C580="赤日轮1",C580="赤日轮2",C580="赤日轮3")))</f>
        <v>0</v>
      </c>
      <c r="CS580" s="115" t="b">
        <f ca="1">AND(模拟模式!$S$7="日月齐光",OR(C580="赤日轮1",C580="赤日轮2",C580="赤日轮3",CS579),NOT(OR(C580="幽月轮1",C580="幽月轮2",C580="幽月轮3")))</f>
        <v>0</v>
      </c>
      <c r="CT580" s="115">
        <f t="shared" ca="1" si="512"/>
        <v>0</v>
      </c>
      <c r="CU580" s="115" t="b">
        <f ca="1">AND(模拟模式!$K$10="阴阳往极",CT579=0,RAND()&lt;IF(C580="净世破魔击·月",0.0275*7/3,IF(C580="净世破魔击·日",0.0275*3/3,0.0275*2/3)))</f>
        <v>0</v>
      </c>
      <c r="CV580" s="115">
        <f t="shared" ca="1" si="513"/>
        <v>0</v>
      </c>
      <c r="CW580" s="115">
        <f t="shared" ca="1" si="485"/>
        <v>3.2324999999999995</v>
      </c>
      <c r="CX580" s="115">
        <f t="shared" ca="1" si="486"/>
        <v>1.3874999999999997</v>
      </c>
      <c r="CY580" s="115">
        <f ca="1">MAX(IF($C580="驱夜断愁",IF(模拟模式!$R$7="万念俱寂",6,45),CY579-$F$4),0)</f>
        <v>2.3099999999999996</v>
      </c>
      <c r="CZ580" s="115">
        <f t="shared" ca="1" si="487"/>
        <v>0</v>
      </c>
      <c r="DA580" s="115">
        <f ca="1">IF(模拟模式!$N$7="日月同辉",IF(DB579=2,0,MIN(6,IF(AND(OR(C580="赤日轮1",C580="赤日轮2",C580="赤日轮3",C580="幽月轮1",C580="幽月轮2",C580="幽月轮3"),AB580=1),DA579+1,DA579))),0)</f>
        <v>3</v>
      </c>
      <c r="DB580" s="115">
        <f t="shared" ca="1" si="488"/>
        <v>0</v>
      </c>
      <c r="DC580" s="115"/>
      <c r="DD580" s="115"/>
      <c r="DE580" s="115"/>
      <c r="DF580" s="115"/>
      <c r="DG580" s="115"/>
      <c r="DH580" s="115"/>
      <c r="DI580" s="115"/>
      <c r="DJ580" s="115"/>
      <c r="DK580" s="115"/>
      <c r="DL580" s="115"/>
      <c r="DM580" s="115"/>
    </row>
    <row r="581" spans="2:117" x14ac:dyDescent="0.2">
      <c r="B581" s="117">
        <f t="shared" si="489"/>
        <v>511.06500000000557</v>
      </c>
      <c r="C581" s="167" t="str">
        <f t="shared" ca="1" si="482"/>
        <v>赤日轮1</v>
      </c>
      <c r="D581" s="115">
        <f ca="1">IF(C581="赤日轮1",1,IF(C581="赤日轮2",2,IF(C581="赤日轮3",3,IF(C581="幽月轮1",4,IF(C581="幽月轮2",5,IF(C581="幽月轮3",6,IF(C581="烈日斩",7,IF(C581="银月斩",8,IF(C581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581="净世破魔击·月",17,IF(C581="驱夜断愁",18,0)))))))))))</f>
        <v>1</v>
      </c>
      <c r="E581" s="115">
        <f ca="1">IF(AND(CU581,OR(C581="幽月轮1",C581="幽月轮2",C581="幽月轮3",C581="银月斩",C581="驱夜断愁",C581="净世破魔击·月")),100,MIN(IF(OR(CN581,BE581),0,IF(OR($C581="赤日轮1",$C581="赤日轮2",$C581="赤日轮3"),E580+20+IF(模拟模式!$I$7="日月凌天",4,0)+IF(CR580,20,0),IF($C581="烈日斩",E580+40,IF($C581="驱夜断愁",IF(模拟模式!$R$7="万念俱寂",E580+20,E580+60),IF($C581="净世破魔击·月",IF(OR(DB580&gt;0,CV580&gt;0),100,IF(模拟模式!$M$7="辉耀红尘",E580+20,E580)),IF($C581="净世破魔击·日",E580-100,E580)))))),100))</f>
        <v>20</v>
      </c>
      <c r="F581" s="115">
        <f ca="1">IF(AND(CU581,OR(C581="赤日轮1",C581="赤日轮2",C581="赤日轮3",C581="烈日斩",C581="净世破魔击·日")),100,MIN(IF(CO581,0,IF(OR($C581="幽月轮1",$C581="幽月轮2",$C581="幽月轮3"),F580+20+IF(模拟模式!$I$7="日月凌天",4,0)+IF(CS580,20,0),IF($C581="银月斩",F580+40+IF(模拟模式!$X$12=1,5,0),IF($C581="驱夜断愁",IF(模拟模式!$R$7="万念俱寂",F580+20,F580+60),IF($C581="净世破魔击·月",IF(模拟模式!$M$7="辉耀红尘",F580-80,F580-100),IF(AND(C581="净世破魔击·日",OR(DB580&gt;0,CV580&gt;0)),100,F580)))))),100))</f>
        <v>20</v>
      </c>
      <c r="G581" s="117">
        <f ca="1">('模拟-全程加成'!$E$3+'模拟-全程加成'!$E$4+'模拟-全程加成'!$E$5+('模拟-全程加成'!$C$6-'模拟-全程加成'!$C$3)*系数!$B$9+BS581*23)*(1+'模拟-全程加成'!$F$4+'模拟-全程加成'!$F$5+BJ581*10%+BM581*20%+BP581*4%+CG581*30%)+$F$7*系数!$B$12</f>
        <v>21493.829400000002</v>
      </c>
      <c r="H581" s="45">
        <f ca="1">'模拟-全程加成'!$H$3+'模拟-全程加成'!$H$4+'模拟-全程加成'!$H$5+('模拟-全程加成'!$G$4+'模拟-全程加成'!$G$5+('模拟-全程加成'!$C$6-'模拟-全程加成'!$C$3)*系数!$B$13)/系数!$B$3+LOOKUP(D581,'模拟-单技能数据'!$A$2:$A$19,'模拟-单技能数据'!$K$2:$K$19)+BG581*10%+IF(BV581&gt;0,378,0)</f>
        <v>0.4618514552730022</v>
      </c>
      <c r="I581" s="45">
        <f ca="1">'模拟-全程加成'!$J$3+'模拟-全程加成'!$J$4+'模拟-全程加成'!$J$5+('模拟-全程加成'!$I$4+'模拟-全程加成'!$I$5)/系数!$B$4+LOOKUP(D581,'模拟-单技能数据'!$A$2:$A$19,'模拟-单技能数据'!$L$2:$L$19)+BG581*10%</f>
        <v>2.162482885499879</v>
      </c>
      <c r="J581" s="45">
        <f ca="1">(('模拟-全程加成'!$K$3+'模拟-全程加成'!$K$4+'模拟-全程加成'!$K$5+('模拟-全程加成'!$C$6-'模拟-全程加成'!$C$3)*系数!$B$10+IF(BV581&gt;0,882,0)+IF(BY581&gt;0,1831,0))*(1+'模拟-全程加成'!$L$4+'模拟-全程加成'!$L$5+CC581*20%))/系数!$B$5</f>
        <v>0.69723220422048726</v>
      </c>
      <c r="K581" s="119">
        <f ca="1">LOOKUP(D581,'模拟-单技能数据'!$A$2:$A$19,'模拟-单技能数据'!$J$2:$J$19)+IF(CM581,60%,0)+IF(DB580-DB581&gt;0,30%,0)+IF(OR(AND(OR(C581="赤日轮1",C581="赤日轮2",C581="赤日轮3"),CR581),AND(OR(C581="幽月轮1",C581="幽月轮2",C581="幽月轮3"),CS581)),35%,0)+CJ581</f>
        <v>0.12</v>
      </c>
      <c r="L581" s="119">
        <f ca="1">IF(AND(C581="烈日斩",模拟模式!$X$11=1),10%,0)+IF(AND(C581="驱夜断愁",AB581=1),30%,0)</f>
        <v>0</v>
      </c>
      <c r="M581" s="45">
        <f t="shared" ca="1" si="521"/>
        <v>0.4618514552730022</v>
      </c>
      <c r="N581" s="45">
        <f t="shared" ca="1" si="522"/>
        <v>0.48424854472699785</v>
      </c>
      <c r="O581" s="46">
        <f t="shared" ca="1" si="490"/>
        <v>0.16655422923001584</v>
      </c>
      <c r="P581" s="46" t="str">
        <f t="shared" ca="1" si="491"/>
        <v>会</v>
      </c>
      <c r="Q581" s="45">
        <f t="shared" ca="1" si="492"/>
        <v>2.162482885499879</v>
      </c>
      <c r="R581" s="117">
        <f ca="1">模拟模式!$E$20*(1-IF(模拟模式!$J$19="有",0.15,0))*(1-IF(模拟模式!$K$19="有",0.3,0)-IF(CQ581,0.5,0))</f>
        <v>843.02999999999975</v>
      </c>
      <c r="S581" s="45">
        <f ca="1">R581/(R581+(185*模拟模式!$E$22-16800)*4.08224)</f>
        <v>8.389626085980037E-2</v>
      </c>
      <c r="T581" s="45" t="str">
        <f ca="1">LOOKUP(D581,'模拟-单技能数据'!$A$2:$A$19,'模拟-单技能数据'!$H$2:$H$19)</f>
        <v>阳</v>
      </c>
      <c r="U581" s="119">
        <f t="shared" ca="1" si="523"/>
        <v>0.2</v>
      </c>
      <c r="V581" s="47">
        <f ca="1">(1+L581)*(LOOKUP(D581,'模拟-单技能数据'!$A$2:$A$19,'模拟-单技能数据'!$D$2:$D$19)+G581*LOOKUP(D581,'模拟-单技能数据'!$A$2:$A$19,'模拟-单技能数据'!$F$2:$F$19))*(1+J581)*(1+K581)*(1-S581)*(1+U581)*Q581*LOOKUP(D581,'模拟-单技能数据'!$A$2:$A$19,'模拟-单技能数据'!$I$2:$I$20)</f>
        <v>56864.156113360666</v>
      </c>
      <c r="W581" s="47">
        <f ca="1">LOOKUP(D581,'模拟-单技能数据'!$A$2:$A$19,'模拟-单技能数据'!$G$2:$G$19)*$I$10</f>
        <v>361.51064354704795</v>
      </c>
      <c r="X581" s="47">
        <f t="shared" ca="1" si="493"/>
        <v>11607.89185245618</v>
      </c>
      <c r="Y581" s="47">
        <f t="shared" ca="1" si="524"/>
        <v>68833.558609363885</v>
      </c>
      <c r="Z581" s="49">
        <f t="shared" ca="1" si="525"/>
        <v>57804499.082697645</v>
      </c>
      <c r="AA581" s="97">
        <f t="shared" ca="1" si="526"/>
        <v>113105.96319978284</v>
      </c>
      <c r="AB581" s="115">
        <f ca="1">IF(OR(C581="赤日轮1",C581="赤日轮2",C581="赤日轮3"),IF(RAND()&lt;模拟模式!$Y$17,1,0),IF(OR(C581="幽月轮1",C581="幽月轮2",C581="幽月轮3"),IF(RAND()&lt;模拟模式!$Y$18,1,0),IF(C581="烈日斩",IF(RAND()&lt;模拟模式!$Y$19,1,0),IF(C581="银月斩",IF(RAND()&lt;模拟模式!$Y$20,1,0),IF(C581="驱夜断愁",IF(RAND()&lt;模拟模式!$Y$21,1,0),IF(C581="净世破魔击·日",IF(RAND()&lt;模拟模式!$Y$22,1,0),IF(C581="净世破魔击·月",IF(RAND()&lt;模拟模式!$Y$23,1,0),0)))))))</f>
        <v>1</v>
      </c>
      <c r="AC581" s="115" t="b">
        <f t="shared" ca="1" si="514"/>
        <v>0</v>
      </c>
      <c r="AD581" s="115" t="b">
        <f t="shared" ca="1" si="534"/>
        <v>0</v>
      </c>
      <c r="AE581" s="115">
        <f t="shared" ca="1" si="535"/>
        <v>3</v>
      </c>
      <c r="AF581" s="47">
        <f ca="1">IF(AC581,('模拟-单技能数据'!$D$20+G581*'模拟-单技能数据'!$F$20)*(1+J581)*(1+'模拟-单技能数据'!$J$20)*(1+U581),0)</f>
        <v>0</v>
      </c>
      <c r="AG581" s="61">
        <f t="shared" ca="1" si="527"/>
        <v>0.64185145527300214</v>
      </c>
      <c r="AH581" s="61">
        <f t="shared" ca="1" si="528"/>
        <v>2.2624828854998791</v>
      </c>
      <c r="AI581" s="62">
        <f t="shared" ca="1" si="494"/>
        <v>0.26077880327136715</v>
      </c>
      <c r="AJ581" s="47">
        <f ca="1">IF(AD581,IF(AI581&lt;$F$10,0,IF(AI581&lt;$F$10+$F$11,0.25,IF(AI581&lt;$F$10+$F$11+AG581,AH581,1)))*IF(AF581&gt;0,AF581,IF(AF580&gt;0,AF580,IF(AF579&gt;0,AF579,IF(AF578&gt;0,AF578,IF(AF577&gt;0,AF577,IF(AF576&gt;0,AF576,IF(AF575&gt;0,AF575,IF(AF574&gt;0,AF574,IF(AF573&gt;0,AF573,IF(AF571&gt;0,AF571,IF(AF570&gt;0,AF570,IF(AF569&gt;0,AF569,0)))))))))))),0)*(1-$S581)*'模拟-单技能数据'!$I$20</f>
        <v>0</v>
      </c>
      <c r="AK581" s="115" t="b">
        <f t="shared" ca="1" si="515"/>
        <v>0</v>
      </c>
      <c r="AL581" s="115" t="b">
        <f t="shared" ca="1" si="536"/>
        <v>1</v>
      </c>
      <c r="AM581" s="115">
        <f t="shared" ca="1" si="537"/>
        <v>5</v>
      </c>
      <c r="AN581" s="47">
        <f ca="1">IF(AK581,('模拟-单技能数据'!$D$21+G581*'模拟-单技能数据'!$F$21)*(1+J581)*(1+'模拟-单技能数据'!$J$21)*(1+U581),0)</f>
        <v>0</v>
      </c>
      <c r="AO581" s="61">
        <f ca="1">IF(AN581&gt;0,M581-'模拟-单技能数据'!$K$10,AO580)</f>
        <v>0.42185145527300216</v>
      </c>
      <c r="AP581" s="61">
        <f ca="1">IF(AN581&gt;0,I581-'模拟-单技能数据'!$L$10,AP580)</f>
        <v>2.162482885499879</v>
      </c>
      <c r="AQ581" s="63">
        <f t="shared" ca="1" si="495"/>
        <v>0.64911780516740614</v>
      </c>
      <c r="AR581" s="64">
        <f ca="1">IF(AL581,IF(AQ581&lt;$F$10,0,IF(AQ581&lt;$F$10+$F$11,0.25,IF(AQ581&lt;$F$10+$F$11+AO581,AP581,1)))*IF(AN581&gt;0,AN581,IF(AN580&gt;0,AN580,IF(AN579&gt;0,AN579,IF(AN578&gt;0,AN578,IF(AN577&gt;0,AN577,IF(AN576&gt;0,AN576,IF(AN575&gt;0,AN575,IF(AN574&gt;0,AN574,IF(AN573&gt;0,AN573,IF(AN571&gt;0,AN571,IF(AN570&gt;0,AN570,IF(AN569&gt;0,AN569,0)))))))))))),0)*(1-$S581)*'模拟-单技能数据'!$I$21</f>
        <v>11607.89185245618</v>
      </c>
      <c r="AS581" s="61">
        <f ca="1">IF(OR(C581="净世破魔击·日",C581="净世破魔击·月"),M581-'模拟-单技能数据'!$K$10,0)</f>
        <v>0</v>
      </c>
      <c r="AT581" s="61">
        <f ca="1">IF(OR(C581="净世破魔击·日",C581="净世破魔击·月"),I581-'模拟-单技能数据'!$L$10,0)</f>
        <v>0</v>
      </c>
      <c r="AU581" s="62">
        <f t="shared" ca="1" si="496"/>
        <v>0.4259674281384993</v>
      </c>
      <c r="AV581" s="64">
        <f ca="1">IF(AS581&gt;0,('模拟-单技能数据'!$D$22+G581*'模拟-单技能数据'!$F$22)*(1+J581)*(1-S581)*IF(AU581&lt;$F$10,0,IF(AU581&lt;$F$10+$F$11,0.25,IF(AU581&lt;$F$10+$F$11+AS581,AT581,1)))*(1+U581),0)*'模拟-单技能数据'!$I$22</f>
        <v>0</v>
      </c>
      <c r="AW581" s="108">
        <f t="shared" ca="1" si="497"/>
        <v>4.3175000000000061</v>
      </c>
      <c r="AX581" s="108" t="b">
        <f ca="1">AND(模拟模式!$P$10="有",AW580=0,RAND()&lt;IF(C581="净世破魔击·月",0.1*8/3,IF(C581="净世破魔击·日",0.1*4/3,0.1*2/3)))</f>
        <v>0</v>
      </c>
      <c r="AY581" s="47">
        <f ca="1">IF(AX581,(18+G581*0.722)*(1+J581)*(1-S581)*(1+$I$4)*IF(P581="会",'模拟-全程加成'!$J$3+'模拟-全程加成'!$J$4+'模拟-全程加成'!$J$5+('模拟-全程加成'!$I$4+'模拟-全程加成'!$I$5)/系数!$B$4+BG581*10%,IF(P581="命",1,IF(P581="识",0.25,0))),0)</f>
        <v>0</v>
      </c>
      <c r="AZ581" s="108">
        <f t="shared" si="498"/>
        <v>16.310000000000002</v>
      </c>
      <c r="BA581" s="108" t="b">
        <f>AND(模拟模式!$Q$10="有",AZ580=0)</f>
        <v>0</v>
      </c>
      <c r="BB581" s="140">
        <f>IF(BA581,(0+G581*0.287)*(1+J581)*(1-S581)*(1+$I$4)*IF(P581="会",'模拟-全程加成'!$J$3+'模拟-全程加成'!$J$4+'模拟-全程加成'!$J$5+('模拟-全程加成'!$I$4+'模拟-全程加成'!$I$5)/系数!$B$4+BG581*10%,IF(P581="命",1,IF(P581="识",0.25,0))),0)</f>
        <v>0</v>
      </c>
      <c r="BC581" s="115" t="b">
        <f ca="1">AND(模拟模式!$R$7="伏明众生",E581=60,F581=20,DA581&lt;5,CZ580&lt;$F$4)</f>
        <v>0</v>
      </c>
      <c r="BD581" s="115">
        <f t="shared" ca="1" si="516"/>
        <v>0</v>
      </c>
      <c r="BE581" s="115" t="b">
        <f t="shared" ca="1" si="517"/>
        <v>0</v>
      </c>
      <c r="BF581" s="47">
        <f ca="1">IF(BC581,4*('模拟-单技能数据'!$D$24+G581*'模拟-单技能数据'!$F$24)*(1+J581)*(1+'模拟-单技能数据'!$J$24)*(1-S581)*(1+$I$3)*(('模拟-全程加成'!$J$3+'模拟-全程加成'!$J$4+'模拟-全程加成'!$J$5+('模拟-全程加成'!$I$4+'模拟-全程加成'!$I$5)/系数!$B$4+BG581*10%)*('模拟-全程加成'!$J$3+'模拟-全程加成'!$J$4+'模拟-全程加成'!$J$5+('模拟-全程加成'!$I$4+'模拟-全程加成'!$I$5)/系数!$B$4+BG581*10%)+(1-('模拟-全程加成'!$J$3+'模拟-全程加成'!$J$4+'模拟-全程加成'!$J$5+('模拟-全程加成'!$I$4+'模拟-全程加成'!$I$5)/系数!$B$4+BG581*10%)-$F$10-$F$11)+F567*0.25),0)*'模拟-单技能数据'!$I$24</f>
        <v>0</v>
      </c>
      <c r="BG581" s="115" t="b">
        <f ca="1">OR(AND(OR(C581="烈日斩",C581="银月斩"),模拟模式!$I$7="净身明礼"),AND(C581="净世破魔击·日",模拟模式!$J$7="洞若观火"),AND(C582="净世破魔击·月",模拟模式!$J$7="洞若观火"),AB581=1)</f>
        <v>1</v>
      </c>
      <c r="BH581" s="115" t="b">
        <f t="shared" ca="1" si="499"/>
        <v>0</v>
      </c>
      <c r="BI581" s="115">
        <f t="shared" ca="1" si="518"/>
        <v>5.0774999999999997</v>
      </c>
      <c r="BJ581" s="115" t="b">
        <f t="shared" ca="1" si="529"/>
        <v>1</v>
      </c>
      <c r="BK581" s="115" t="b">
        <f ca="1">AND(C581="驱夜断愁",模拟模式!$P$7="天地诛戮")</f>
        <v>0</v>
      </c>
      <c r="BL581" s="57">
        <f t="shared" ca="1" si="519"/>
        <v>15.387500000000003</v>
      </c>
      <c r="BM581" s="115" t="b">
        <f t="shared" ca="1" si="530"/>
        <v>1</v>
      </c>
      <c r="BN581" s="115" t="b">
        <f ca="1">AND(OR(C581="赤日轮1",C581="赤日轮2",C581="赤日轮3",C581="幽月轮1",C581="幽月轮2",C581="幽月轮3"),AB581=1,模拟模式!$L$7="明光恒照")</f>
        <v>1</v>
      </c>
      <c r="BO581" s="117">
        <f t="shared" ca="1" si="520"/>
        <v>30</v>
      </c>
      <c r="BP581" s="115">
        <f t="shared" ca="1" si="500"/>
        <v>6</v>
      </c>
      <c r="BQ581" s="115" t="b">
        <f>模拟模式!$K$10="2600·水"</f>
        <v>0</v>
      </c>
      <c r="BR581" s="117">
        <f t="shared" si="501"/>
        <v>0</v>
      </c>
      <c r="BS581" s="115">
        <f t="shared" si="502"/>
        <v>0</v>
      </c>
      <c r="BT581" s="115">
        <f t="shared" ca="1" si="503"/>
        <v>0</v>
      </c>
      <c r="BU581" s="115" t="b">
        <f ca="1">AND(模拟模式!$K$10="2300·雷",BT580=0,RAND()&lt;IF(C581="净世破魔击·月",5*0.05*2/3,IF(C581="净世破魔击·日",3*0.05*2/3,0.05*2*2/3)))</f>
        <v>0</v>
      </c>
      <c r="BV581" s="115">
        <f t="shared" ca="1" si="504"/>
        <v>0</v>
      </c>
      <c r="BW581" s="115">
        <f t="shared" ca="1" si="505"/>
        <v>44.392499999999288</v>
      </c>
      <c r="BX581" s="164" t="b">
        <f t="shared" ca="1" si="506"/>
        <v>0</v>
      </c>
      <c r="BY581" s="115">
        <f t="shared" ca="1" si="507"/>
        <v>0</v>
      </c>
      <c r="BZ581" s="115">
        <f>IF(OR(模拟模式!$P$16="10人团",模拟模式!$P$16="25人团"),IF(B581/30&gt;CA580,1,0),0)</f>
        <v>0</v>
      </c>
      <c r="CA581" s="115">
        <f t="shared" si="483"/>
        <v>0</v>
      </c>
      <c r="CB581" s="115">
        <f ca="1">IF(BZ581=1,IF(模拟模式!$P$16="10人团",15,0)+IF(模拟模式!$P$16="25人团",IF(RAND()&lt;0.6,15,0)),MAX(0,CB580-$F$4))</f>
        <v>0</v>
      </c>
      <c r="CC581" s="115" t="b">
        <f t="shared" ca="1" si="531"/>
        <v>0</v>
      </c>
      <c r="CD581" s="115">
        <f>IF(模拟模式!$Q$16="1个",IF(B581/40&gt;CE580,1,0),0)</f>
        <v>0</v>
      </c>
      <c r="CE581" s="115">
        <f t="shared" si="532"/>
        <v>0</v>
      </c>
      <c r="CF581" s="115">
        <f>IF(OR(CD581=1,模拟模式!$Q$16="2个"),20,MAX(0,CF580-$F$4))</f>
        <v>0</v>
      </c>
      <c r="CG581" s="115" t="b">
        <f t="shared" si="533"/>
        <v>0</v>
      </c>
      <c r="CH581" s="115">
        <f t="shared" ca="1" si="508"/>
        <v>0</v>
      </c>
      <c r="CI581" s="115" t="b">
        <f t="shared" ca="1" si="509"/>
        <v>0</v>
      </c>
      <c r="CJ581" s="119">
        <f t="shared" ca="1" si="510"/>
        <v>0</v>
      </c>
      <c r="CK581" s="115">
        <f t="shared" ca="1" si="511"/>
        <v>0</v>
      </c>
      <c r="CL581" s="115" t="b">
        <f ca="1">AND(模拟模式!$S$7="驱夷逐法",OR(AND(C581="净世破魔击·月",E580&gt;59),AND(C581="净世破魔击·日",F580&gt;59)))</f>
        <v>0</v>
      </c>
      <c r="CM581" s="115" t="b">
        <f ca="1">OR(CL581,AND(C581="净世破魔击·日",CL580,RAND()&lt;模拟模式!$U$23))</f>
        <v>0</v>
      </c>
      <c r="CN581" s="115" t="b">
        <f ca="1">IF(模拟模式!$M$7="辉耀红尘",AND(C581="净世破魔击·月",CL581,CV581=0,E580&lt;80),AND(C581="净世破魔击·月",CL581,E580&lt;100))</f>
        <v>0</v>
      </c>
      <c r="CO581" s="115" t="b">
        <f t="shared" ca="1" si="484"/>
        <v>0</v>
      </c>
      <c r="CP581" s="115" t="b">
        <f ca="1">AND(模拟模式!$O$7="用晦而明",OR(C581="净世破魔击·日",C581="净世破魔击·月",C581="驱夜断愁"),AB581)</f>
        <v>0</v>
      </c>
      <c r="CQ581" s="115" t="b">
        <f ca="1">OR(CP581,AND(CP580,RAND()&lt;模拟模式!$U$23))</f>
        <v>1</v>
      </c>
      <c r="CR581" s="115" t="b">
        <f ca="1">AND(模拟模式!$S$7="日月齐光",OR(C581="幽月轮1",C581="幽月轮2",C581="幽月轮3",CR580),NOT(OR(C581="赤日轮1",C581="赤日轮2",C581="赤日轮3")))</f>
        <v>0</v>
      </c>
      <c r="CS581" s="115" t="b">
        <f ca="1">AND(模拟模式!$S$7="日月齐光",OR(C581="赤日轮1",C581="赤日轮2",C581="赤日轮3",CS580),NOT(OR(C581="幽月轮1",C581="幽月轮2",C581="幽月轮3")))</f>
        <v>0</v>
      </c>
      <c r="CT581" s="115">
        <f t="shared" ca="1" si="512"/>
        <v>0</v>
      </c>
      <c r="CU581" s="115" t="b">
        <f ca="1">AND(模拟模式!$K$10="阴阳往极",CT580=0,RAND()&lt;IF(C581="净世破魔击·月",0.0275*7/3,IF(C581="净世破魔击·日",0.0275*3/3,0.0275*2/3)))</f>
        <v>0</v>
      </c>
      <c r="CV581" s="115">
        <f t="shared" ca="1" si="513"/>
        <v>0</v>
      </c>
      <c r="CW581" s="115">
        <f t="shared" ca="1" si="485"/>
        <v>2.3099999999999996</v>
      </c>
      <c r="CX581" s="115">
        <f t="shared" ca="1" si="486"/>
        <v>0.46499999999999975</v>
      </c>
      <c r="CY581" s="115">
        <f ca="1">MAX(IF($C581="驱夜断愁",IF(模拟模式!$R$7="万念俱寂",6,45),CY580-$F$4),0)</f>
        <v>1.3874999999999997</v>
      </c>
      <c r="CZ581" s="115">
        <f t="shared" ca="1" si="487"/>
        <v>0</v>
      </c>
      <c r="DA581" s="115">
        <f ca="1">IF(模拟模式!$N$7="日月同辉",IF(DB580=2,0,MIN(6,IF(AND(OR(C581="赤日轮1",C581="赤日轮2",C581="赤日轮3",C581="幽月轮1",C581="幽月轮2",C581="幽月轮3"),AB581=1),DA580+1,DA580))),0)</f>
        <v>4</v>
      </c>
      <c r="DB581" s="115">
        <f t="shared" ca="1" si="488"/>
        <v>0</v>
      </c>
      <c r="DC581" s="115"/>
      <c r="DD581" s="115"/>
      <c r="DE581" s="115"/>
      <c r="DF581" s="115"/>
      <c r="DG581" s="115"/>
      <c r="DH581" s="115"/>
      <c r="DI581" s="115"/>
      <c r="DJ581" s="115"/>
      <c r="DK581" s="115"/>
      <c r="DL581" s="115"/>
      <c r="DM581" s="115"/>
    </row>
    <row r="582" spans="2:117" x14ac:dyDescent="0.2">
      <c r="B582" s="117">
        <f t="shared" si="489"/>
        <v>511.98750000000558</v>
      </c>
      <c r="C582" s="167" t="str">
        <f t="shared" ca="1" si="482"/>
        <v>银月斩</v>
      </c>
      <c r="D582" s="115">
        <f ca="1">IF(C582="赤日轮1",1,IF(C582="赤日轮2",2,IF(C582="赤日轮3",3,IF(C582="幽月轮1",4,IF(C582="幽月轮2",5,IF(C582="幽月轮3",6,IF(C582="烈日斩",7,IF(C582="银月斩",8,IF(C582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582="净世破魔击·月",17,IF(C582="驱夜断愁",18,0)))))))))))</f>
        <v>8</v>
      </c>
      <c r="E582" s="115">
        <f ca="1">IF(AND(CU582,OR(C582="幽月轮1",C582="幽月轮2",C582="幽月轮3",C582="银月斩",C582="驱夜断愁",C582="净世破魔击·月")),100,MIN(IF(OR(CN582,BE582),0,IF(OR($C582="赤日轮1",$C582="赤日轮2",$C582="赤日轮3"),E581+20+IF(模拟模式!$I$7="日月凌天",4,0)+IF(CR581,20,0),IF($C582="烈日斩",E581+40,IF($C582="驱夜断愁",IF(模拟模式!$R$7="万念俱寂",E581+20,E581+60),IF($C582="净世破魔击·月",IF(OR(DB581&gt;0,CV581&gt;0),100,IF(模拟模式!$M$7="辉耀红尘",E581+20,E581)),IF($C582="净世破魔击·日",E581-100,E581)))))),100))</f>
        <v>20</v>
      </c>
      <c r="F582" s="115">
        <f ca="1">IF(AND(CU582,OR(C582="赤日轮1",C582="赤日轮2",C582="赤日轮3",C582="烈日斩",C582="净世破魔击·日")),100,MIN(IF(CO582,0,IF(OR($C582="幽月轮1",$C582="幽月轮2",$C582="幽月轮3"),F581+20+IF(模拟模式!$I$7="日月凌天",4,0)+IF(CS581,20,0),IF($C582="银月斩",F581+40+IF(模拟模式!$X$12=1,5,0),IF($C582="驱夜断愁",IF(模拟模式!$R$7="万念俱寂",F581+20,F581+60),IF($C582="净世破魔击·月",IF(模拟模式!$M$7="辉耀红尘",F581-80,F581-100),IF(AND(C582="净世破魔击·日",OR(DB581&gt;0,CV581&gt;0)),100,F581)))))),100))</f>
        <v>65</v>
      </c>
      <c r="G582" s="117">
        <f ca="1">('模拟-全程加成'!$E$3+'模拟-全程加成'!$E$4+'模拟-全程加成'!$E$5+('模拟-全程加成'!$C$6-'模拟-全程加成'!$C$3)*系数!$B$9+BS582*23)*(1+'模拟-全程加成'!$F$4+'模拟-全程加成'!$F$5+BJ582*10%+BM582*20%+BP582*4%+CG582*30%)+$F$7*系数!$B$12</f>
        <v>21493.829400000002</v>
      </c>
      <c r="H582" s="45">
        <f ca="1">'模拟-全程加成'!$H$3+'模拟-全程加成'!$H$4+'模拟-全程加成'!$H$5+('模拟-全程加成'!$G$4+'模拟-全程加成'!$G$5+('模拟-全程加成'!$C$6-'模拟-全程加成'!$C$3)*系数!$B$13)/系数!$B$3+LOOKUP(D582,'模拟-单技能数据'!$A$2:$A$19,'模拟-单技能数据'!$K$2:$K$19)+BG582*10%+IF(BV582&gt;0,378,0)</f>
        <v>0.64185145527300214</v>
      </c>
      <c r="I582" s="45">
        <f ca="1">'模拟-全程加成'!$J$3+'模拟-全程加成'!$J$4+'模拟-全程加成'!$J$5+('模拟-全程加成'!$I$4+'模拟-全程加成'!$I$5)/系数!$B$4+LOOKUP(D582,'模拟-单技能数据'!$A$2:$A$19,'模拟-单技能数据'!$L$2:$L$19)+BG582*10%</f>
        <v>2.2624828854998791</v>
      </c>
      <c r="J582" s="45">
        <f ca="1">(('模拟-全程加成'!$K$3+'模拟-全程加成'!$K$4+'模拟-全程加成'!$K$5+('模拟-全程加成'!$C$6-'模拟-全程加成'!$C$3)*系数!$B$10+IF(BV582&gt;0,882,0)+IF(BY582&gt;0,1831,0))*(1+'模拟-全程加成'!$L$4+'模拟-全程加成'!$L$5+CC582*20%))/系数!$B$5</f>
        <v>0.69723220422048726</v>
      </c>
      <c r="K582" s="119">
        <f ca="1">LOOKUP(D582,'模拟-单技能数据'!$A$2:$A$19,'模拟-单技能数据'!$J$2:$J$19)+IF(CM582,60%,0)+IF(DB581-DB582&gt;0,30%,0)+IF(OR(AND(OR(C582="赤日轮1",C582="赤日轮2",C582="赤日轮3"),CR582),AND(OR(C582="幽月轮1",C582="幽月轮2",C582="幽月轮3"),CS582)),35%,0)+CJ582</f>
        <v>0.15</v>
      </c>
      <c r="L582" s="119">
        <f ca="1">IF(AND(C582="烈日斩",模拟模式!$X$11=1),10%,0)+IF(AND(C582="驱夜断愁",AB582=1),30%,0)</f>
        <v>0</v>
      </c>
      <c r="M582" s="45">
        <f t="shared" ca="1" si="521"/>
        <v>0.64185145527300214</v>
      </c>
      <c r="N582" s="45">
        <f t="shared" ca="1" si="522"/>
        <v>0.30424854472699792</v>
      </c>
      <c r="O582" s="46">
        <f t="shared" ca="1" si="490"/>
        <v>0.22838094823762822</v>
      </c>
      <c r="P582" s="46" t="str">
        <f t="shared" ca="1" si="491"/>
        <v>会</v>
      </c>
      <c r="Q582" s="45">
        <f t="shared" ca="1" si="492"/>
        <v>2.2624828854998791</v>
      </c>
      <c r="R582" s="117">
        <f ca="1">模拟模式!$E$20*(1-IF(模拟模式!$J$19="有",0.15,0))*(1-IF(模拟模式!$K$19="有",0.3,0)-IF(CQ582,0.5,0))</f>
        <v>2950.6049999999996</v>
      </c>
      <c r="S582" s="45">
        <f ca="1">R582/(R582+(185*模拟模式!$E$22-16800)*4.08224)</f>
        <v>0.24272716014590323</v>
      </c>
      <c r="T582" s="45" t="str">
        <f ca="1">LOOKUP(D582,'模拟-单技能数据'!$A$2:$A$19,'模拟-单技能数据'!$H$2:$H$19)</f>
        <v>阴</v>
      </c>
      <c r="U582" s="119">
        <f t="shared" ca="1" si="523"/>
        <v>0.08</v>
      </c>
      <c r="V582" s="47">
        <f ca="1">(1+L582)*(LOOKUP(D582,'模拟-单技能数据'!$A$2:$A$19,'模拟-单技能数据'!$D$2:$D$19)+G582*LOOKUP(D582,'模拟-单技能数据'!$A$2:$A$19,'模拟-单技能数据'!$F$2:$F$19))*(1+J582)*(1+K582)*(1-S582)*(1+U582)*Q582*LOOKUP(D582,'模拟-单技能数据'!$A$2:$A$19,'模拟-单技能数据'!$I$2:$I$20)</f>
        <v>41211.704893206668</v>
      </c>
      <c r="W582" s="47">
        <f ca="1">LOOKUP(D582,'模拟-单技能数据'!$A$2:$A$19,'模拟-单技能数据'!$G$2:$G$19)*$I$10</f>
        <v>361.51064354704795</v>
      </c>
      <c r="X582" s="47">
        <f t="shared" ca="1" si="493"/>
        <v>3513.5533621728819</v>
      </c>
      <c r="Y582" s="47">
        <f t="shared" ca="1" si="524"/>
        <v>45086.768898926603</v>
      </c>
      <c r="Z582" s="49">
        <f t="shared" ca="1" si="525"/>
        <v>57849585.851596572</v>
      </c>
      <c r="AA582" s="97">
        <f t="shared" ca="1" si="526"/>
        <v>112990.23091695782</v>
      </c>
      <c r="AB582" s="115">
        <f ca="1">IF(OR(C582="赤日轮1",C582="赤日轮2",C582="赤日轮3"),IF(RAND()&lt;模拟模式!$Y$17,1,0),IF(OR(C582="幽月轮1",C582="幽月轮2",C582="幽月轮3"),IF(RAND()&lt;模拟模式!$Y$18,1,0),IF(C582="烈日斩",IF(RAND()&lt;模拟模式!$Y$19,1,0),IF(C582="银月斩",IF(RAND()&lt;模拟模式!$Y$20,1,0),IF(C582="驱夜断愁",IF(RAND()&lt;模拟模式!$Y$21,1,0),IF(C582="净世破魔击·日",IF(RAND()&lt;模拟模式!$Y$22,1,0),IF(C582="净世破魔击·月",IF(RAND()&lt;模拟模式!$Y$23,1,0),0)))))))</f>
        <v>1</v>
      </c>
      <c r="AC582" s="115" t="b">
        <f t="shared" ca="1" si="514"/>
        <v>1</v>
      </c>
      <c r="AD582" s="115" t="b">
        <f t="shared" ca="1" si="534"/>
        <v>1</v>
      </c>
      <c r="AE582" s="115">
        <f t="shared" ca="1" si="535"/>
        <v>5</v>
      </c>
      <c r="AF582" s="47">
        <f ca="1">IF(AC582,('模拟-单技能数据'!$D$20+G582*'模拟-单技能数据'!$F$20)*(1+J582)*(1+'模拟-单技能数据'!$J$20)*(1+U582),0)</f>
        <v>4639.7456468263617</v>
      </c>
      <c r="AG582" s="61">
        <f t="shared" ca="1" si="527"/>
        <v>0.64185145527300214</v>
      </c>
      <c r="AH582" s="61">
        <f t="shared" ca="1" si="528"/>
        <v>2.2624828854998791</v>
      </c>
      <c r="AI582" s="62">
        <f t="shared" ca="1" si="494"/>
        <v>0.81619117642378192</v>
      </c>
      <c r="AJ582" s="47">
        <f ca="1">IF(AD582,IF(AI582&lt;$F$10,0,IF(AI582&lt;$F$10+$F$11,0.25,IF(AI582&lt;$F$10+$F$11+AG582,AH582,1)))*IF(AF582&gt;0,AF582,IF(AF581&gt;0,AF581,IF(AF580&gt;0,AF580,IF(AF579&gt;0,AF579,IF(AF578&gt;0,AF578,IF(AF577&gt;0,AF577,IF(AF576&gt;0,AF576,IF(AF575&gt;0,AF575,IF(AF574&gt;0,AF574,IF(AF572&gt;0,AF572,IF(AF571&gt;0,AF571,IF(AF570&gt;0,AF570,0)))))))))))),0)*(1-$S582)*'模拟-单技能数据'!$I$20</f>
        <v>3513.5533621728819</v>
      </c>
      <c r="AK582" s="115" t="b">
        <f t="shared" ca="1" si="515"/>
        <v>0</v>
      </c>
      <c r="AL582" s="115" t="b">
        <f t="shared" ca="1" si="536"/>
        <v>0</v>
      </c>
      <c r="AM582" s="115">
        <f t="shared" ca="1" si="537"/>
        <v>5</v>
      </c>
      <c r="AN582" s="47">
        <f ca="1">IF(AK582,('模拟-单技能数据'!$D$21+G582*'模拟-单技能数据'!$F$21)*(1+J582)*(1+'模拟-单技能数据'!$J$21)*(1+U582),0)</f>
        <v>0</v>
      </c>
      <c r="AO582" s="61">
        <f ca="1">IF(AN582&gt;0,M582-'模拟-单技能数据'!$K$10,AO581)</f>
        <v>0.42185145527300216</v>
      </c>
      <c r="AP582" s="61">
        <f ca="1">IF(AN582&gt;0,I582-'模拟-单技能数据'!$L$10,AP581)</f>
        <v>2.162482885499879</v>
      </c>
      <c r="AQ582" s="63">
        <f t="shared" ca="1" si="495"/>
        <v>0.97686011669583395</v>
      </c>
      <c r="AR582" s="64">
        <f ca="1">IF(AL582,IF(AQ582&lt;$F$10,0,IF(AQ582&lt;$F$10+$F$11,0.25,IF(AQ582&lt;$F$10+$F$11+AO582,AP582,1)))*IF(AN582&gt;0,AN582,IF(AN581&gt;0,AN581,IF(AN580&gt;0,AN580,IF(AN579&gt;0,AN579,IF(AN578&gt;0,AN578,IF(AN577&gt;0,AN577,IF(AN576&gt;0,AN576,IF(AN575&gt;0,AN575,IF(AN574&gt;0,AN574,IF(AN572&gt;0,AN572,IF(AN571&gt;0,AN571,IF(AN570&gt;0,AN570,0)))))))))))),0)*(1-$S582)*'模拟-单技能数据'!$I$21</f>
        <v>0</v>
      </c>
      <c r="AS582" s="61">
        <f ca="1">IF(OR(C582="净世破魔击·日",C582="净世破魔击·月"),M582-'模拟-单技能数据'!$K$10,0)</f>
        <v>0</v>
      </c>
      <c r="AT582" s="61">
        <f ca="1">IF(OR(C582="净世破魔击·日",C582="净世破魔击·月"),I582-'模拟-单技能数据'!$L$10,0)</f>
        <v>0</v>
      </c>
      <c r="AU582" s="62">
        <f t="shared" ca="1" si="496"/>
        <v>0.4304556463169642</v>
      </c>
      <c r="AV582" s="64">
        <f ca="1">IF(AS582&gt;0,('模拟-单技能数据'!$D$22+G582*'模拟-单技能数据'!$F$22)*(1+J582)*(1-S582)*IF(AU582&lt;$F$10,0,IF(AU582&lt;$F$10+$F$11,0.25,IF(AU582&lt;$F$10+$F$11+AS582,AT582,1)))*(1+U582),0)*'模拟-单技能数据'!$I$22</f>
        <v>0</v>
      </c>
      <c r="AW582" s="108">
        <f t="shared" ca="1" si="497"/>
        <v>3.3950000000000062</v>
      </c>
      <c r="AX582" s="108" t="b">
        <f ca="1">AND(模拟模式!$P$10="有",AW581=0,RAND()&lt;IF(C582="净世破魔击·月",0.1*8/3,IF(C582="净世破魔击·日",0.1*4/3,0.1*2/3)))</f>
        <v>0</v>
      </c>
      <c r="AY582" s="47">
        <f ca="1">IF(AX582,(18+G582*0.722)*(1+J582)*(1-S582)*(1+$I$4)*IF(P582="会",'模拟-全程加成'!$J$3+'模拟-全程加成'!$J$4+'模拟-全程加成'!$J$5+('模拟-全程加成'!$I$4+'模拟-全程加成'!$I$5)/系数!$B$4+BG582*10%,IF(P582="命",1,IF(P582="识",0.25,0))),0)</f>
        <v>0</v>
      </c>
      <c r="AZ582" s="108">
        <f t="shared" si="498"/>
        <v>15.387500000000003</v>
      </c>
      <c r="BA582" s="108" t="b">
        <f>AND(模拟模式!$Q$10="有",AZ581=0)</f>
        <v>0</v>
      </c>
      <c r="BB582" s="140">
        <f>IF(BA582,(0+G582*0.287)*(1+J582)*(1-S582)*(1+$I$4)*IF(P582="会",'模拟-全程加成'!$J$3+'模拟-全程加成'!$J$4+'模拟-全程加成'!$J$5+('模拟-全程加成'!$I$4+'模拟-全程加成'!$I$5)/系数!$B$4+BG582*10%,IF(P582="命",1,IF(P582="识",0.25,0))),0)</f>
        <v>0</v>
      </c>
      <c r="BC582" s="115" t="b">
        <f ca="1">AND(模拟模式!$R$7="伏明众生",E582=60,F582=20,DA582&lt;5,CZ581&lt;$F$4)</f>
        <v>0</v>
      </c>
      <c r="BD582" s="115">
        <f t="shared" ca="1" si="516"/>
        <v>0</v>
      </c>
      <c r="BE582" s="115" t="b">
        <f t="shared" ca="1" si="517"/>
        <v>0</v>
      </c>
      <c r="BF582" s="47">
        <f ca="1">IF(BC582,4*('模拟-单技能数据'!$D$24+G582*'模拟-单技能数据'!$F$24)*(1+J582)*(1+'模拟-单技能数据'!$J$24)*(1-S582)*(1+$I$3)*(('模拟-全程加成'!$J$3+'模拟-全程加成'!$J$4+'模拟-全程加成'!$J$5+('模拟-全程加成'!$I$4+'模拟-全程加成'!$I$5)/系数!$B$4+BG582*10%)*('模拟-全程加成'!$J$3+'模拟-全程加成'!$J$4+'模拟-全程加成'!$J$5+('模拟-全程加成'!$I$4+'模拟-全程加成'!$I$5)/系数!$B$4+BG582*10%)+(1-('模拟-全程加成'!$J$3+'模拟-全程加成'!$J$4+'模拟-全程加成'!$J$5+('模拟-全程加成'!$I$4+'模拟-全程加成'!$I$5)/系数!$B$4+BG582*10%)-$F$10-$F$11)+F568*0.25),0)*'模拟-单技能数据'!$I$24</f>
        <v>0</v>
      </c>
      <c r="BG582" s="115" t="b">
        <f ca="1">OR(AND(OR(C582="烈日斩",C582="银月斩"),模拟模式!$I$7="净身明礼"),AND(C582="净世破魔击·日",模拟模式!$J$7="洞若观火"),AND(C583="净世破魔击·月",模拟模式!$J$7="洞若观火"),AB582=1)</f>
        <v>1</v>
      </c>
      <c r="BH582" s="115" t="b">
        <f t="shared" ca="1" si="499"/>
        <v>0</v>
      </c>
      <c r="BI582" s="115">
        <f t="shared" ca="1" si="518"/>
        <v>4.1549999999999994</v>
      </c>
      <c r="BJ582" s="115" t="b">
        <f t="shared" ca="1" si="529"/>
        <v>1</v>
      </c>
      <c r="BK582" s="115" t="b">
        <f ca="1">AND(C582="驱夜断愁",模拟模式!$P$7="天地诛戮")</f>
        <v>0</v>
      </c>
      <c r="BL582" s="57">
        <f t="shared" ca="1" si="519"/>
        <v>14.465000000000003</v>
      </c>
      <c r="BM582" s="115" t="b">
        <f t="shared" ca="1" si="530"/>
        <v>1</v>
      </c>
      <c r="BN582" s="115" t="b">
        <f ca="1">AND(OR(C582="赤日轮1",C582="赤日轮2",C582="赤日轮3",C582="幽月轮1",C582="幽月轮2",C582="幽月轮3"),AB582=1,模拟模式!$L$7="明光恒照")</f>
        <v>0</v>
      </c>
      <c r="BO582" s="117">
        <f t="shared" ca="1" si="520"/>
        <v>29.077500000000001</v>
      </c>
      <c r="BP582" s="115">
        <f t="shared" ca="1" si="500"/>
        <v>6</v>
      </c>
      <c r="BQ582" s="115" t="b">
        <f>模拟模式!$K$10="2600·水"</f>
        <v>0</v>
      </c>
      <c r="BR582" s="117">
        <f t="shared" si="501"/>
        <v>0</v>
      </c>
      <c r="BS582" s="115">
        <f t="shared" si="502"/>
        <v>0</v>
      </c>
      <c r="BT582" s="115">
        <f t="shared" ca="1" si="503"/>
        <v>0</v>
      </c>
      <c r="BU582" s="115" t="b">
        <f ca="1">AND(模拟模式!$K$10="2300·雷",BT581=0,RAND()&lt;IF(C582="净世破魔击·月",5*0.05*2/3,IF(C582="净世破魔击·日",3*0.05*2/3,0.05*2*2/3)))</f>
        <v>0</v>
      </c>
      <c r="BV582" s="115">
        <f t="shared" ca="1" si="504"/>
        <v>0</v>
      </c>
      <c r="BW582" s="115">
        <f t="shared" ca="1" si="505"/>
        <v>43.469999999999288</v>
      </c>
      <c r="BX582" s="164" t="b">
        <f t="shared" ca="1" si="506"/>
        <v>0</v>
      </c>
      <c r="BY582" s="115">
        <f t="shared" ca="1" si="507"/>
        <v>0</v>
      </c>
      <c r="BZ582" s="115">
        <f>IF(OR(模拟模式!$P$16="10人团",模拟模式!$P$16="25人团"),IF(B582/30&gt;CA581,1,0),0)</f>
        <v>0</v>
      </c>
      <c r="CA582" s="115">
        <f t="shared" si="483"/>
        <v>0</v>
      </c>
      <c r="CB582" s="115">
        <f ca="1">IF(BZ582=1,IF(模拟模式!$P$16="10人团",15,0)+IF(模拟模式!$P$16="25人团",IF(RAND()&lt;0.6,15,0)),MAX(0,CB581-$F$4))</f>
        <v>0</v>
      </c>
      <c r="CC582" s="115" t="b">
        <f t="shared" ca="1" si="531"/>
        <v>0</v>
      </c>
      <c r="CD582" s="115">
        <f>IF(模拟模式!$Q$16="1个",IF(B582/40&gt;CE581,1,0),0)</f>
        <v>0</v>
      </c>
      <c r="CE582" s="115">
        <f t="shared" si="532"/>
        <v>0</v>
      </c>
      <c r="CF582" s="115">
        <f>IF(OR(CD582=1,模拟模式!$Q$16="2个"),20,MAX(0,CF581-$F$4))</f>
        <v>0</v>
      </c>
      <c r="CG582" s="115" t="b">
        <f t="shared" si="533"/>
        <v>0</v>
      </c>
      <c r="CH582" s="115">
        <f t="shared" ca="1" si="508"/>
        <v>0</v>
      </c>
      <c r="CI582" s="115" t="b">
        <f t="shared" ca="1" si="509"/>
        <v>0</v>
      </c>
      <c r="CJ582" s="119">
        <f t="shared" ca="1" si="510"/>
        <v>0</v>
      </c>
      <c r="CK582" s="115">
        <f t="shared" ca="1" si="511"/>
        <v>0</v>
      </c>
      <c r="CL582" s="115" t="b">
        <f ca="1">AND(模拟模式!$S$7="驱夷逐法",OR(AND(C582="净世破魔击·月",E581&gt;59),AND(C582="净世破魔击·日",F581&gt;59)))</f>
        <v>0</v>
      </c>
      <c r="CM582" s="115" t="b">
        <f ca="1">OR(CL582,AND(C582="净世破魔击·日",CL581,RAND()&lt;模拟模式!$U$23))</f>
        <v>0</v>
      </c>
      <c r="CN582" s="115" t="b">
        <f ca="1">IF(模拟模式!$M$7="辉耀红尘",AND(C582="净世破魔击·月",CL582,CV582=0,E581&lt;80),AND(C582="净世破魔击·月",CL582,E581&lt;100))</f>
        <v>0</v>
      </c>
      <c r="CO582" s="115" t="b">
        <f t="shared" ca="1" si="484"/>
        <v>0</v>
      </c>
      <c r="CP582" s="115" t="b">
        <f ca="1">AND(模拟模式!$O$7="用晦而明",OR(C582="净世破魔击·日",C582="净世破魔击·月",C582="驱夜断愁"),AB582)</f>
        <v>0</v>
      </c>
      <c r="CQ582" s="115" t="b">
        <f ca="1">OR(CP582,AND(CP581,RAND()&lt;模拟模式!$U$23))</f>
        <v>0</v>
      </c>
      <c r="CR582" s="115" t="b">
        <f ca="1">AND(模拟模式!$S$7="日月齐光",OR(C582="幽月轮1",C582="幽月轮2",C582="幽月轮3",CR581),NOT(OR(C582="赤日轮1",C582="赤日轮2",C582="赤日轮3")))</f>
        <v>0</v>
      </c>
      <c r="CS582" s="115" t="b">
        <f ca="1">AND(模拟模式!$S$7="日月齐光",OR(C582="赤日轮1",C582="赤日轮2",C582="赤日轮3",CS581),NOT(OR(C582="幽月轮1",C582="幽月轮2",C582="幽月轮3")))</f>
        <v>0</v>
      </c>
      <c r="CT582" s="115">
        <f t="shared" ca="1" si="512"/>
        <v>0</v>
      </c>
      <c r="CU582" s="115" t="b">
        <f ca="1">AND(模拟模式!$K$10="阴阳往极",CT581=0,RAND()&lt;IF(C582="净世破魔击·月",0.0275*7/3,IF(C582="净世破魔击·日",0.0275*3/3,0.0275*2/3)))</f>
        <v>0</v>
      </c>
      <c r="CV582" s="115">
        <f t="shared" ca="1" si="513"/>
        <v>0</v>
      </c>
      <c r="CW582" s="115">
        <f t="shared" ca="1" si="485"/>
        <v>1.3874999999999997</v>
      </c>
      <c r="CX582" s="115">
        <f t="shared" ca="1" si="486"/>
        <v>6</v>
      </c>
      <c r="CY582" s="115">
        <f ca="1">MAX(IF($C582="驱夜断愁",IF(模拟模式!$R$7="万念俱寂",6,45),CY581-$F$4),0)</f>
        <v>0.46499999999999975</v>
      </c>
      <c r="CZ582" s="115">
        <f t="shared" ca="1" si="487"/>
        <v>0</v>
      </c>
      <c r="DA582" s="115">
        <f ca="1">IF(模拟模式!$N$7="日月同辉",IF(DB581=2,0,MIN(6,IF(AND(OR(C582="赤日轮1",C582="赤日轮2",C582="赤日轮3",C582="幽月轮1",C582="幽月轮2",C582="幽月轮3"),AB582=1),DA581+1,DA581))),0)</f>
        <v>4</v>
      </c>
      <c r="DB582" s="115">
        <f t="shared" ca="1" si="488"/>
        <v>0</v>
      </c>
      <c r="DC582" s="115"/>
      <c r="DD582" s="115"/>
      <c r="DE582" s="115"/>
      <c r="DF582" s="115"/>
      <c r="DG582" s="115"/>
      <c r="DH582" s="115"/>
      <c r="DI582" s="115"/>
      <c r="DJ582" s="115"/>
      <c r="DK582" s="115"/>
      <c r="DL582" s="115"/>
      <c r="DM582" s="115"/>
    </row>
    <row r="583" spans="2:117" x14ac:dyDescent="0.2">
      <c r="B583" s="117">
        <f t="shared" si="489"/>
        <v>512.91000000000554</v>
      </c>
      <c r="C583" s="167" t="str">
        <f t="shared" ca="1" si="482"/>
        <v>驱夜断愁</v>
      </c>
      <c r="D583" s="115">
        <f ca="1">IF(C583="赤日轮1",1,IF(C583="赤日轮2",2,IF(C583="赤日轮3",3,IF(C583="幽月轮1",4,IF(C583="幽月轮2",5,IF(C583="幽月轮3",6,IF(C583="烈日斩",7,IF(C583="银月斩",8,IF(C583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583="净世破魔击·月",17,IF(C583="驱夜断愁",18,0)))))))))))</f>
        <v>18</v>
      </c>
      <c r="E583" s="115">
        <f ca="1">IF(AND(CU583,OR(C583="幽月轮1",C583="幽月轮2",C583="幽月轮3",C583="银月斩",C583="驱夜断愁",C583="净世破魔击·月")),100,MIN(IF(OR(CN583,BE583),0,IF(OR($C583="赤日轮1",$C583="赤日轮2",$C583="赤日轮3"),E582+20+IF(模拟模式!$I$7="日月凌天",4,0)+IF(CR582,20,0),IF($C583="烈日斩",E582+40,IF($C583="驱夜断愁",IF(模拟模式!$R$7="万念俱寂",E582+20,E582+60),IF($C583="净世破魔击·月",IF(OR(DB582&gt;0,CV582&gt;0),100,IF(模拟模式!$M$7="辉耀红尘",E582+20,E582)),IF($C583="净世破魔击·日",E582-100,E582)))))),100))</f>
        <v>40</v>
      </c>
      <c r="F583" s="115">
        <f ca="1">IF(AND(CU583,OR(C583="赤日轮1",C583="赤日轮2",C583="赤日轮3",C583="烈日斩",C583="净世破魔击·日")),100,MIN(IF(CO583,0,IF(OR($C583="幽月轮1",$C583="幽月轮2",$C583="幽月轮3"),F582+20+IF(模拟模式!$I$7="日月凌天",4,0)+IF(CS582,20,0),IF($C583="银月斩",F582+40+IF(模拟模式!$X$12=1,5,0),IF($C583="驱夜断愁",IF(模拟模式!$R$7="万念俱寂",F582+20,F582+60),IF($C583="净世破魔击·月",IF(模拟模式!$M$7="辉耀红尘",F582-80,F582-100),IF(AND(C583="净世破魔击·日",OR(DB582&gt;0,CV582&gt;0)),100,F582)))))),100))</f>
        <v>85</v>
      </c>
      <c r="G583" s="117">
        <f ca="1">('模拟-全程加成'!$E$3+'模拟-全程加成'!$E$4+'模拟-全程加成'!$E$5+('模拟-全程加成'!$C$6-'模拟-全程加成'!$C$3)*系数!$B$9+BS583*23)*(1+'模拟-全程加成'!$F$4+'模拟-全程加成'!$F$5+BJ583*10%+BM583*20%+BP583*4%+CG583*30%)+$F$7*系数!$B$12</f>
        <v>21493.829400000002</v>
      </c>
      <c r="H583" s="45">
        <f ca="1">'模拟-全程加成'!$H$3+'模拟-全程加成'!$H$4+'模拟-全程加成'!$H$5+('模拟-全程加成'!$G$4+'模拟-全程加成'!$G$5+('模拟-全程加成'!$C$6-'模拟-全程加成'!$C$3)*系数!$B$13)/系数!$B$3+LOOKUP(D583,'模拟-单技能数据'!$A$2:$A$19,'模拟-单技能数据'!$K$2:$K$19)+BG583*10%+IF(BV583&gt;0,378,0)</f>
        <v>0.51185145527300213</v>
      </c>
      <c r="I583" s="45">
        <f ca="1">'模拟-全程加成'!$J$3+'模拟-全程加成'!$J$4+'模拟-全程加成'!$J$5+('模拟-全程加成'!$I$4+'模拟-全程加成'!$I$5)/系数!$B$4+LOOKUP(D583,'模拟-单技能数据'!$A$2:$A$19,'模拟-单技能数据'!$L$2:$L$19)+BG583*10%</f>
        <v>2.162482885499879</v>
      </c>
      <c r="J583" s="45">
        <f ca="1">(('模拟-全程加成'!$K$3+'模拟-全程加成'!$K$4+'模拟-全程加成'!$K$5+('模拟-全程加成'!$C$6-'模拟-全程加成'!$C$3)*系数!$B$10+IF(BV583&gt;0,882,0)+IF(BY583&gt;0,1831,0))*(1+'模拟-全程加成'!$L$4+'模拟-全程加成'!$L$5+CC583*20%))/系数!$B$5</f>
        <v>0.69723220422048726</v>
      </c>
      <c r="K583" s="119">
        <f ca="1">LOOKUP(D583,'模拟-单技能数据'!$A$2:$A$19,'模拟-单技能数据'!$J$2:$J$19)+IF(CM583,60%,0)+IF(DB582-DB583&gt;0,30%,0)+IF(OR(AND(OR(C583="赤日轮1",C583="赤日轮2",C583="赤日轮3"),CR583),AND(OR(C583="幽月轮1",C583="幽月轮2",C583="幽月轮3"),CS583)),35%,0)+CJ583</f>
        <v>0.14000000000000001</v>
      </c>
      <c r="L583" s="119">
        <f ca="1">IF(AND(C583="烈日斩",模拟模式!$X$11=1),10%,0)+IF(AND(C583="驱夜断愁",AB583=1),30%,0)</f>
        <v>0.3</v>
      </c>
      <c r="M583" s="45">
        <f t="shared" ca="1" si="521"/>
        <v>0.51185145527300213</v>
      </c>
      <c r="N583" s="45">
        <f t="shared" ca="1" si="522"/>
        <v>0.43424854472699792</v>
      </c>
      <c r="O583" s="46">
        <f t="shared" ca="1" si="490"/>
        <v>0.8126754409760697</v>
      </c>
      <c r="P583" s="46" t="str">
        <f t="shared" ca="1" si="491"/>
        <v>命</v>
      </c>
      <c r="Q583" s="45">
        <f t="shared" ca="1" si="492"/>
        <v>1</v>
      </c>
      <c r="R583" s="117">
        <f ca="1">模拟模式!$E$20*(1-IF(模拟模式!$J$19="有",0.15,0))*(1-IF(模拟模式!$K$19="有",0.3,0)-IF(CQ583,0.5,0))</f>
        <v>843.02999999999975</v>
      </c>
      <c r="S583" s="45">
        <f ca="1">R583/(R583+(185*模拟模式!$E$22-16800)*4.08224)</f>
        <v>8.389626085980037E-2</v>
      </c>
      <c r="T583" s="45" t="str">
        <f ca="1">LOOKUP(D583,'模拟-单技能数据'!$A$2:$A$19,'模拟-单技能数据'!$H$2:$H$19)</f>
        <v>阴</v>
      </c>
      <c r="U583" s="119">
        <f t="shared" ca="1" si="523"/>
        <v>0.08</v>
      </c>
      <c r="V583" s="47">
        <f ca="1">(1+L583)*(LOOKUP(D583,'模拟-单技能数据'!$A$2:$A$19,'模拟-单技能数据'!$D$2:$D$19)+G583*LOOKUP(D583,'模拟-单技能数据'!$A$2:$A$19,'模拟-单技能数据'!$F$2:$F$19))*(1+J583)*(1+K583)*(1-S583)*(1+U583)*Q583*LOOKUP(D583,'模拟-单技能数据'!$A$2:$A$19,'模拟-单技能数据'!$I$2:$I$20)</f>
        <v>61540.073489592025</v>
      </c>
      <c r="W583" s="47">
        <f ca="1">LOOKUP(D583,'模拟-单技能数据'!$A$2:$A$19,'模拟-单技能数据'!$G$2:$G$19)*$I$10</f>
        <v>723.0212870940959</v>
      </c>
      <c r="X583" s="47">
        <f t="shared" ca="1" si="493"/>
        <v>25101.867467669974</v>
      </c>
      <c r="Y583" s="47">
        <f t="shared" ca="1" si="524"/>
        <v>87364.962244356095</v>
      </c>
      <c r="Z583" s="49">
        <f t="shared" ca="1" si="525"/>
        <v>57936950.813840926</v>
      </c>
      <c r="AA583" s="97">
        <f t="shared" ca="1" si="526"/>
        <v>112957.34303062974</v>
      </c>
      <c r="AB583" s="115">
        <f ca="1">IF(OR(C583="赤日轮1",C583="赤日轮2",C583="赤日轮3"),IF(RAND()&lt;模拟模式!$Y$17,1,0),IF(OR(C583="幽月轮1",C583="幽月轮2",C583="幽月轮3"),IF(RAND()&lt;模拟模式!$Y$18,1,0),IF(C583="烈日斩",IF(RAND()&lt;模拟模式!$Y$19,1,0),IF(C583="银月斩",IF(RAND()&lt;模拟模式!$Y$20,1,0),IF(C583="驱夜断愁",IF(RAND()&lt;模拟模式!$Y$21,1,0),IF(C583="净世破魔击·日",IF(RAND()&lt;模拟模式!$Y$22,1,0),IF(C583="净世破魔击·月",IF(RAND()&lt;模拟模式!$Y$23,1,0),0)))))))</f>
        <v>1</v>
      </c>
      <c r="AC583" s="115" t="b">
        <f t="shared" ca="1" si="514"/>
        <v>0</v>
      </c>
      <c r="AD583" s="115" t="b">
        <f t="shared" ca="1" si="534"/>
        <v>0</v>
      </c>
      <c r="AE583" s="115">
        <f t="shared" ca="1" si="535"/>
        <v>5</v>
      </c>
      <c r="AF583" s="47">
        <f ca="1">IF(AC583,('模拟-单技能数据'!$D$20+G583*'模拟-单技能数据'!$F$20)*(1+J583)*(1+'模拟-单技能数据'!$J$20)*(1+U583),0)</f>
        <v>0</v>
      </c>
      <c r="AG583" s="61">
        <f t="shared" ca="1" si="527"/>
        <v>0.64185145527300214</v>
      </c>
      <c r="AH583" s="61">
        <f t="shared" ca="1" si="528"/>
        <v>2.2624828854998791</v>
      </c>
      <c r="AI583" s="62">
        <f t="shared" ca="1" si="494"/>
        <v>9.1061641275777316E-2</v>
      </c>
      <c r="AJ583" s="47">
        <f ca="1">IF(AD583,IF(AI583&lt;$F$10,0,IF(AI583&lt;$F$10+$F$11,0.25,IF(AI583&lt;$F$10+$F$11+AG583,AH583,1)))*IF(AF583&gt;0,AF583,IF(AF582&gt;0,AF582,IF(AF581&gt;0,AF581,IF(AF580&gt;0,AF580,IF(AF579&gt;0,AF579,IF(AF578&gt;0,AF578,IF(AF577&gt;0,AF577,IF(AF576&gt;0,AF576,IF(AF575&gt;0,AF575,IF(AF573&gt;0,AF573,IF(AF572&gt;0,AF572,IF(AF571&gt;0,AF571,0)))))))))))),0)*(1-$S583)*'模拟-单技能数据'!$I$20</f>
        <v>0</v>
      </c>
      <c r="AK583" s="115" t="b">
        <f t="shared" ca="1" si="515"/>
        <v>0</v>
      </c>
      <c r="AL583" s="115" t="b">
        <f t="shared" ca="1" si="536"/>
        <v>1</v>
      </c>
      <c r="AM583" s="115">
        <f t="shared" ca="1" si="537"/>
        <v>4</v>
      </c>
      <c r="AN583" s="47">
        <f ca="1">IF(AK583,('模拟-单技能数据'!$D$21+G583*'模拟-单技能数据'!$F$21)*(1+J583)*(1+'模拟-单技能数据'!$J$21)*(1+U583),0)</f>
        <v>0</v>
      </c>
      <c r="AO583" s="61">
        <f ca="1">IF(AN583&gt;0,M583-'模拟-单技能数据'!$K$10,AO582)</f>
        <v>0.42185145527300216</v>
      </c>
      <c r="AP583" s="61">
        <f ca="1">IF(AN583&gt;0,I583-'模拟-单技能数据'!$L$10,AP582)</f>
        <v>2.162482885499879</v>
      </c>
      <c r="AQ583" s="63">
        <f t="shared" ca="1" si="495"/>
        <v>0.3634384820333556</v>
      </c>
      <c r="AR583" s="64">
        <f ca="1">IF(AL583,IF(AQ583&lt;$F$10,0,IF(AQ583&lt;$F$10+$F$11,0.25,IF(AQ583&lt;$F$10+$F$11+AO583,AP583,1)))*IF(AN583&gt;0,AN583,IF(AN582&gt;0,AN582,IF(AN581&gt;0,AN581,IF(AN580&gt;0,AN580,IF(AN579&gt;0,AN579,IF(AN578&gt;0,AN578,IF(AN577&gt;0,AN577,IF(AN576&gt;0,AN576,IF(AN575&gt;0,AN575,IF(AN573&gt;0,AN573,IF(AN572&gt;0,AN572,IF(AN571&gt;0,AN571,0)))))))))))),0)*(1-$S583)*'模拟-单技能数据'!$I$21</f>
        <v>25101.867467669974</v>
      </c>
      <c r="AS583" s="61">
        <f ca="1">IF(OR(C583="净世破魔击·日",C583="净世破魔击·月"),M583-'模拟-单技能数据'!$K$10,0)</f>
        <v>0</v>
      </c>
      <c r="AT583" s="61">
        <f ca="1">IF(OR(C583="净世破魔击·日",C583="净世破魔击·月"),I583-'模拟-单技能数据'!$L$10,0)</f>
        <v>0</v>
      </c>
      <c r="AU583" s="62">
        <f t="shared" ca="1" si="496"/>
        <v>0.6584055623131797</v>
      </c>
      <c r="AV583" s="64">
        <f ca="1">IF(AS583&gt;0,('模拟-单技能数据'!$D$22+G583*'模拟-单技能数据'!$F$22)*(1+J583)*(1-S583)*IF(AU583&lt;$F$10,0,IF(AU583&lt;$F$10+$F$11,0.25,IF(AU583&lt;$F$10+$F$11+AS583,AT583,1)))*(1+U583),0)*'模拟-单技能数据'!$I$22</f>
        <v>0</v>
      </c>
      <c r="AW583" s="108">
        <f t="shared" ca="1" si="497"/>
        <v>2.4725000000000064</v>
      </c>
      <c r="AX583" s="108" t="b">
        <f ca="1">AND(模拟模式!$P$10="有",AW582=0,RAND()&lt;IF(C583="净世破魔击·月",0.1*8/3,IF(C583="净世破魔击·日",0.1*4/3,0.1*2/3)))</f>
        <v>0</v>
      </c>
      <c r="AY583" s="47">
        <f ca="1">IF(AX583,(18+G583*0.722)*(1+J583)*(1-S583)*(1+$I$4)*IF(P583="会",'模拟-全程加成'!$J$3+'模拟-全程加成'!$J$4+'模拟-全程加成'!$J$5+('模拟-全程加成'!$I$4+'模拟-全程加成'!$I$5)/系数!$B$4+BG583*10%,IF(P583="命",1,IF(P583="识",0.25,0))),0)</f>
        <v>0</v>
      </c>
      <c r="AZ583" s="108">
        <f t="shared" si="498"/>
        <v>14.465000000000003</v>
      </c>
      <c r="BA583" s="108" t="b">
        <f>AND(模拟模式!$Q$10="有",AZ582=0)</f>
        <v>0</v>
      </c>
      <c r="BB583" s="140">
        <f>IF(BA583,(0+G583*0.287)*(1+J583)*(1-S583)*(1+$I$4)*IF(P583="会",'模拟-全程加成'!$J$3+'模拟-全程加成'!$J$4+'模拟-全程加成'!$J$5+('模拟-全程加成'!$I$4+'模拟-全程加成'!$I$5)/系数!$B$4+BG583*10%,IF(P583="命",1,IF(P583="识",0.25,0))),0)</f>
        <v>0</v>
      </c>
      <c r="BC583" s="115" t="b">
        <f ca="1">AND(模拟模式!$R$7="伏明众生",E583=60,F583=20,DA583&lt;5,CZ582&lt;$F$4)</f>
        <v>0</v>
      </c>
      <c r="BD583" s="115">
        <f t="shared" ca="1" si="516"/>
        <v>0</v>
      </c>
      <c r="BE583" s="115" t="b">
        <f t="shared" ca="1" si="517"/>
        <v>0</v>
      </c>
      <c r="BF583" s="47">
        <f ca="1">IF(BC583,4*('模拟-单技能数据'!$D$24+G583*'模拟-单技能数据'!$F$24)*(1+J583)*(1+'模拟-单技能数据'!$J$24)*(1-S583)*(1+$I$3)*(('模拟-全程加成'!$J$3+'模拟-全程加成'!$J$4+'模拟-全程加成'!$J$5+('模拟-全程加成'!$I$4+'模拟-全程加成'!$I$5)/系数!$B$4+BG583*10%)*('模拟-全程加成'!$J$3+'模拟-全程加成'!$J$4+'模拟-全程加成'!$J$5+('模拟-全程加成'!$I$4+'模拟-全程加成'!$I$5)/系数!$B$4+BG583*10%)+(1-('模拟-全程加成'!$J$3+'模拟-全程加成'!$J$4+'模拟-全程加成'!$J$5+('模拟-全程加成'!$I$4+'模拟-全程加成'!$I$5)/系数!$B$4+BG583*10%)-$F$10-$F$11)+F569*0.25),0)*'模拟-单技能数据'!$I$24</f>
        <v>0</v>
      </c>
      <c r="BG583" s="115" t="b">
        <f ca="1">OR(AND(OR(C583="烈日斩",C583="银月斩"),模拟模式!$I$7="净身明礼"),AND(C583="净世破魔击·日",模拟模式!$J$7="洞若观火"),AND(C584="净世破魔击·月",模拟模式!$J$7="洞若观火"),AB583=1)</f>
        <v>1</v>
      </c>
      <c r="BH583" s="115" t="b">
        <f t="shared" ca="1" si="499"/>
        <v>0</v>
      </c>
      <c r="BI583" s="115">
        <f t="shared" ca="1" si="518"/>
        <v>3.2324999999999995</v>
      </c>
      <c r="BJ583" s="115" t="b">
        <f t="shared" ca="1" si="529"/>
        <v>1</v>
      </c>
      <c r="BK583" s="115" t="b">
        <f ca="1">AND(C583="驱夜断愁",模拟模式!$P$7="天地诛戮")</f>
        <v>1</v>
      </c>
      <c r="BL583" s="57">
        <f t="shared" ca="1" si="519"/>
        <v>20</v>
      </c>
      <c r="BM583" s="115" t="b">
        <f t="shared" ca="1" si="530"/>
        <v>1</v>
      </c>
      <c r="BN583" s="115" t="b">
        <f ca="1">AND(OR(C583="赤日轮1",C583="赤日轮2",C583="赤日轮3",C583="幽月轮1",C583="幽月轮2",C583="幽月轮3"),AB583=1,模拟模式!$L$7="明光恒照")</f>
        <v>0</v>
      </c>
      <c r="BO583" s="117">
        <f t="shared" ca="1" si="520"/>
        <v>28.155000000000001</v>
      </c>
      <c r="BP583" s="115">
        <f t="shared" ca="1" si="500"/>
        <v>6</v>
      </c>
      <c r="BQ583" s="115" t="b">
        <f>模拟模式!$K$10="2600·水"</f>
        <v>0</v>
      </c>
      <c r="BR583" s="117">
        <f t="shared" si="501"/>
        <v>0</v>
      </c>
      <c r="BS583" s="115">
        <f t="shared" si="502"/>
        <v>0</v>
      </c>
      <c r="BT583" s="115">
        <f t="shared" ca="1" si="503"/>
        <v>0</v>
      </c>
      <c r="BU583" s="115" t="b">
        <f ca="1">AND(模拟模式!$K$10="2300·雷",BT582=0,RAND()&lt;IF(C583="净世破魔击·月",5*0.05*2/3,IF(C583="净世破魔击·日",3*0.05*2/3,0.05*2*2/3)))</f>
        <v>0</v>
      </c>
      <c r="BV583" s="115">
        <f t="shared" ca="1" si="504"/>
        <v>0</v>
      </c>
      <c r="BW583" s="115">
        <f t="shared" ca="1" si="505"/>
        <v>42.547499999999289</v>
      </c>
      <c r="BX583" s="164" t="b">
        <f t="shared" ca="1" si="506"/>
        <v>0</v>
      </c>
      <c r="BY583" s="115">
        <f t="shared" ca="1" si="507"/>
        <v>0</v>
      </c>
      <c r="BZ583" s="115">
        <f>IF(OR(模拟模式!$P$16="10人团",模拟模式!$P$16="25人团"),IF(B583/30&gt;CA582,1,0),0)</f>
        <v>0</v>
      </c>
      <c r="CA583" s="115">
        <f t="shared" si="483"/>
        <v>0</v>
      </c>
      <c r="CB583" s="115">
        <f ca="1">IF(BZ583=1,IF(模拟模式!$P$16="10人团",15,0)+IF(模拟模式!$P$16="25人团",IF(RAND()&lt;0.6,15,0)),MAX(0,CB582-$F$4))</f>
        <v>0</v>
      </c>
      <c r="CC583" s="115" t="b">
        <f t="shared" ca="1" si="531"/>
        <v>0</v>
      </c>
      <c r="CD583" s="115">
        <f>IF(模拟模式!$Q$16="1个",IF(B583/40&gt;CE582,1,0),0)</f>
        <v>0</v>
      </c>
      <c r="CE583" s="115">
        <f t="shared" si="532"/>
        <v>0</v>
      </c>
      <c r="CF583" s="115">
        <f>IF(OR(CD583=1,模拟模式!$Q$16="2个"),20,MAX(0,CF582-$F$4))</f>
        <v>0</v>
      </c>
      <c r="CG583" s="115" t="b">
        <f t="shared" si="533"/>
        <v>0</v>
      </c>
      <c r="CH583" s="115">
        <f t="shared" ca="1" si="508"/>
        <v>0</v>
      </c>
      <c r="CI583" s="115" t="b">
        <f t="shared" ca="1" si="509"/>
        <v>0</v>
      </c>
      <c r="CJ583" s="119">
        <f t="shared" ca="1" si="510"/>
        <v>0</v>
      </c>
      <c r="CK583" s="115">
        <f t="shared" ca="1" si="511"/>
        <v>0</v>
      </c>
      <c r="CL583" s="115" t="b">
        <f ca="1">AND(模拟模式!$S$7="驱夷逐法",OR(AND(C583="净世破魔击·月",E582&gt;59),AND(C583="净世破魔击·日",F582&gt;59)))</f>
        <v>0</v>
      </c>
      <c r="CM583" s="115" t="b">
        <f ca="1">OR(CL583,AND(C583="净世破魔击·日",CL582,RAND()&lt;模拟模式!$U$23))</f>
        <v>0</v>
      </c>
      <c r="CN583" s="115" t="b">
        <f ca="1">IF(模拟模式!$M$7="辉耀红尘",AND(C583="净世破魔击·月",CL583,CV583=0,E582&lt;80),AND(C583="净世破魔击·月",CL583,E582&lt;100))</f>
        <v>0</v>
      </c>
      <c r="CO583" s="115" t="b">
        <f t="shared" ca="1" si="484"/>
        <v>0</v>
      </c>
      <c r="CP583" s="115" t="b">
        <f ca="1">AND(模拟模式!$O$7="用晦而明",OR(C583="净世破魔击·日",C583="净世破魔击·月",C583="驱夜断愁"),AB583)</f>
        <v>1</v>
      </c>
      <c r="CQ583" s="115" t="b">
        <f ca="1">OR(CP583,AND(CP582,RAND()&lt;模拟模式!$U$23))</f>
        <v>1</v>
      </c>
      <c r="CR583" s="115" t="b">
        <f ca="1">AND(模拟模式!$S$7="日月齐光",OR(C583="幽月轮1",C583="幽月轮2",C583="幽月轮3",CR582),NOT(OR(C583="赤日轮1",C583="赤日轮2",C583="赤日轮3")))</f>
        <v>0</v>
      </c>
      <c r="CS583" s="115" t="b">
        <f ca="1">AND(模拟模式!$S$7="日月齐光",OR(C583="赤日轮1",C583="赤日轮2",C583="赤日轮3",CS582),NOT(OR(C583="幽月轮1",C583="幽月轮2",C583="幽月轮3")))</f>
        <v>0</v>
      </c>
      <c r="CT583" s="115">
        <f t="shared" ca="1" si="512"/>
        <v>0</v>
      </c>
      <c r="CU583" s="115" t="b">
        <f ca="1">AND(模拟模式!$K$10="阴阳往极",CT582=0,RAND()&lt;IF(C583="净世破魔击·月",0.0275*7/3,IF(C583="净世破魔击·日",0.0275*3/3,0.0275*2/3)))</f>
        <v>0</v>
      </c>
      <c r="CV583" s="115">
        <f t="shared" ca="1" si="513"/>
        <v>0</v>
      </c>
      <c r="CW583" s="115">
        <f t="shared" ca="1" si="485"/>
        <v>0.46499999999999975</v>
      </c>
      <c r="CX583" s="115">
        <f t="shared" ca="1" si="486"/>
        <v>5.0774999999999997</v>
      </c>
      <c r="CY583" s="115">
        <f ca="1">MAX(IF($C583="驱夜断愁",IF(模拟模式!$R$7="万念俱寂",6,45),CY582-$F$4),0)</f>
        <v>6</v>
      </c>
      <c r="CZ583" s="115">
        <f t="shared" ca="1" si="487"/>
        <v>0</v>
      </c>
      <c r="DA583" s="115">
        <f ca="1">IF(模拟模式!$N$7="日月同辉",IF(DB582=2,0,MIN(6,IF(AND(OR(C583="赤日轮1",C583="赤日轮2",C583="赤日轮3",C583="幽月轮1",C583="幽月轮2",C583="幽月轮3"),AB583=1),DA582+1,DA582))),0)</f>
        <v>4</v>
      </c>
      <c r="DB583" s="115">
        <f t="shared" ca="1" si="488"/>
        <v>0</v>
      </c>
      <c r="DC583" s="115"/>
      <c r="DD583" s="115"/>
      <c r="DE583" s="115"/>
      <c r="DF583" s="115"/>
      <c r="DG583" s="115"/>
      <c r="DH583" s="115"/>
      <c r="DI583" s="115"/>
      <c r="DJ583" s="115"/>
      <c r="DK583" s="115"/>
      <c r="DL583" s="115"/>
      <c r="DM583" s="115"/>
    </row>
    <row r="584" spans="2:117" x14ac:dyDescent="0.2">
      <c r="B584" s="117">
        <f t="shared" si="489"/>
        <v>513.83250000000555</v>
      </c>
      <c r="C584" s="167" t="str">
        <f t="shared" ca="1" si="482"/>
        <v>烈日斩</v>
      </c>
      <c r="D584" s="115">
        <f ca="1">IF(C584="赤日轮1",1,IF(C584="赤日轮2",2,IF(C584="赤日轮3",3,IF(C584="幽月轮1",4,IF(C584="幽月轮2",5,IF(C584="幽月轮3",6,IF(C584="烈日斩",7,IF(C584="银月斩",8,IF(C584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584="净世破魔击·月",17,IF(C584="驱夜断愁",18,0)))))))))))</f>
        <v>7</v>
      </c>
      <c r="E584" s="115">
        <f ca="1">IF(AND(CU584,OR(C584="幽月轮1",C584="幽月轮2",C584="幽月轮3",C584="银月斩",C584="驱夜断愁",C584="净世破魔击·月")),100,MIN(IF(OR(CN584,BE584),0,IF(OR($C584="赤日轮1",$C584="赤日轮2",$C584="赤日轮3"),E583+20+IF(模拟模式!$I$7="日月凌天",4,0)+IF(CR583,20,0),IF($C584="烈日斩",E583+40,IF($C584="驱夜断愁",IF(模拟模式!$R$7="万念俱寂",E583+20,E583+60),IF($C584="净世破魔击·月",IF(OR(DB583&gt;0,CV583&gt;0),100,IF(模拟模式!$M$7="辉耀红尘",E583+20,E583)),IF($C584="净世破魔击·日",E583-100,E583)))))),100))</f>
        <v>80</v>
      </c>
      <c r="F584" s="115">
        <f ca="1">IF(AND(CU584,OR(C584="赤日轮1",C584="赤日轮2",C584="赤日轮3",C584="烈日斩",C584="净世破魔击·日")),100,MIN(IF(CO584,0,IF(OR($C584="幽月轮1",$C584="幽月轮2",$C584="幽月轮3"),F583+20+IF(模拟模式!$I$7="日月凌天",4,0)+IF(CS583,20,0),IF($C584="银月斩",F583+40+IF(模拟模式!$X$12=1,5,0),IF($C584="驱夜断愁",IF(模拟模式!$R$7="万念俱寂",F583+20,F583+60),IF($C584="净世破魔击·月",IF(模拟模式!$M$7="辉耀红尘",F583-80,F583-100),IF(AND(C584="净世破魔击·日",OR(DB583&gt;0,CV583&gt;0)),100,F583)))))),100))</f>
        <v>85</v>
      </c>
      <c r="G584" s="117">
        <f ca="1">('模拟-全程加成'!$E$3+'模拟-全程加成'!$E$4+'模拟-全程加成'!$E$5+('模拟-全程加成'!$C$6-'模拟-全程加成'!$C$3)*系数!$B$9+BS584*23)*(1+'模拟-全程加成'!$F$4+'模拟-全程加成'!$F$5+BJ584*10%+BM584*20%+BP584*4%+CG584*30%)+$F$7*系数!$B$12</f>
        <v>21493.829400000002</v>
      </c>
      <c r="H584" s="45">
        <f ca="1">'模拟-全程加成'!$H$3+'模拟-全程加成'!$H$4+'模拟-全程加成'!$H$5+('模拟-全程加成'!$G$4+'模拟-全程加成'!$G$5+('模拟-全程加成'!$C$6-'模拟-全程加成'!$C$3)*系数!$B$13)/系数!$B$3+LOOKUP(D584,'模拟-单技能数据'!$A$2:$A$19,'模拟-单技能数据'!$K$2:$K$19)+BG584*10%+IF(BV584&gt;0,378,0)</f>
        <v>0.56185145527300218</v>
      </c>
      <c r="I584" s="45">
        <f ca="1">'模拟-全程加成'!$J$3+'模拟-全程加成'!$J$4+'模拟-全程加成'!$J$5+('模拟-全程加成'!$I$4+'模拟-全程加成'!$I$5)/系数!$B$4+LOOKUP(D584,'模拟-单技能数据'!$A$2:$A$19,'模拟-单技能数据'!$L$2:$L$19)+BG584*10%</f>
        <v>2.2624828854998791</v>
      </c>
      <c r="J584" s="45">
        <f ca="1">(('模拟-全程加成'!$K$3+'模拟-全程加成'!$K$4+'模拟-全程加成'!$K$5+('模拟-全程加成'!$C$6-'模拟-全程加成'!$C$3)*系数!$B$10+IF(BV584&gt;0,882,0)+IF(BY584&gt;0,1831,0))*(1+'模拟-全程加成'!$L$4+'模拟-全程加成'!$L$5+CC584*20%))/系数!$B$5</f>
        <v>0.69723220422048726</v>
      </c>
      <c r="K584" s="119">
        <f ca="1">LOOKUP(D584,'模拟-单技能数据'!$A$2:$A$19,'模拟-单技能数据'!$J$2:$J$19)+IF(CM584,60%,0)+IF(DB583-DB584&gt;0,30%,0)+IF(OR(AND(OR(C584="赤日轮1",C584="赤日轮2",C584="赤日轮3"),CR584),AND(OR(C584="幽月轮1",C584="幽月轮2",C584="幽月轮3"),CS584)),35%,0)+CJ584</f>
        <v>0.24</v>
      </c>
      <c r="L584" s="119">
        <f ca="1">IF(AND(C584="烈日斩",模拟模式!$X$11=1),10%,0)+IF(AND(C584="驱夜断愁",AB584=1),30%,0)</f>
        <v>0.1</v>
      </c>
      <c r="M584" s="45">
        <f t="shared" ca="1" si="521"/>
        <v>0.56185145527300218</v>
      </c>
      <c r="N584" s="45">
        <f t="shared" ca="1" si="522"/>
        <v>0.38424854472699788</v>
      </c>
      <c r="O584" s="46">
        <f t="shared" ca="1" si="490"/>
        <v>5.0803348778084456E-2</v>
      </c>
      <c r="P584" s="46" t="str">
        <f t="shared" ca="1" si="491"/>
        <v>识</v>
      </c>
      <c r="Q584" s="45">
        <f t="shared" ca="1" si="492"/>
        <v>0.25</v>
      </c>
      <c r="R584" s="117">
        <f ca="1">模拟模式!$E$20*(1-IF(模拟模式!$J$19="有",0.15,0))*(1-IF(模拟模式!$K$19="有",0.3,0)-IF(CQ584,0.5,0))</f>
        <v>843.02999999999975</v>
      </c>
      <c r="S584" s="45">
        <f ca="1">R584/(R584+(185*模拟模式!$E$22-16800)*4.08224)</f>
        <v>8.389626085980037E-2</v>
      </c>
      <c r="T584" s="45" t="str">
        <f ca="1">LOOKUP(D584,'模拟-单技能数据'!$A$2:$A$19,'模拟-单技能数据'!$H$2:$H$19)</f>
        <v>阳</v>
      </c>
      <c r="U584" s="119">
        <f t="shared" ca="1" si="523"/>
        <v>0.2</v>
      </c>
      <c r="V584" s="47">
        <f ca="1">(1+L584)*(LOOKUP(D584,'模拟-单技能数据'!$A$2:$A$19,'模拟-单技能数据'!$D$2:$D$19)+G584*LOOKUP(D584,'模拟-单技能数据'!$A$2:$A$19,'模拟-单技能数据'!$F$2:$F$19))*(1+J584)*(1+K584)*(1-S584)*(1+U584)*Q584*LOOKUP(D584,'模拟-单技能数据'!$A$2:$A$19,'模拟-单技能数据'!$I$2:$I$20)</f>
        <v>12210.407963717831</v>
      </c>
      <c r="W584" s="47">
        <f ca="1">LOOKUP(D584,'模拟-单技能数据'!$A$2:$A$19,'模拟-单技能数据'!$G$2:$G$19)*$I$10</f>
        <v>361.51064354704795</v>
      </c>
      <c r="X584" s="47">
        <f t="shared" ca="1" si="493"/>
        <v>9616.6571145767884</v>
      </c>
      <c r="Y584" s="47">
        <f t="shared" ca="1" si="524"/>
        <v>22188.575721841669</v>
      </c>
      <c r="Z584" s="49">
        <f t="shared" ca="1" si="525"/>
        <v>57959139.389562771</v>
      </c>
      <c r="AA584" s="97">
        <f t="shared" ca="1" si="526"/>
        <v>112797.72959001649</v>
      </c>
      <c r="AB584" s="115">
        <f ca="1">IF(OR(C584="赤日轮1",C584="赤日轮2",C584="赤日轮3"),IF(RAND()&lt;模拟模式!$Y$17,1,0),IF(OR(C584="幽月轮1",C584="幽月轮2",C584="幽月轮3"),IF(RAND()&lt;模拟模式!$Y$18,1,0),IF(C584="烈日斩",IF(RAND()&lt;模拟模式!$Y$19,1,0),IF(C584="银月斩",IF(RAND()&lt;模拟模式!$Y$20,1,0),IF(C584="驱夜断愁",IF(RAND()&lt;模拟模式!$Y$21,1,0),IF(C584="净世破魔击·日",IF(RAND()&lt;模拟模式!$Y$22,1,0),IF(C584="净世破魔击·月",IF(RAND()&lt;模拟模式!$Y$23,1,0),0)))))))</f>
        <v>1</v>
      </c>
      <c r="AC584" s="115" t="b">
        <f t="shared" ca="1" si="514"/>
        <v>0</v>
      </c>
      <c r="AD584" s="115" t="b">
        <f t="shared" ca="1" si="534"/>
        <v>1</v>
      </c>
      <c r="AE584" s="115">
        <f t="shared" ca="1" si="535"/>
        <v>4</v>
      </c>
      <c r="AF584" s="47">
        <f ca="1">IF(AC584,('模拟-单技能数据'!$D$20+G584*'模拟-单技能数据'!$F$20)*(1+J584)*(1+'模拟-单技能数据'!$J$20)*(1+U584),0)</f>
        <v>0</v>
      </c>
      <c r="AG584" s="61">
        <f t="shared" ca="1" si="527"/>
        <v>0.64185145527300214</v>
      </c>
      <c r="AH584" s="61">
        <f t="shared" ca="1" si="528"/>
        <v>2.2624828854998791</v>
      </c>
      <c r="AI584" s="62">
        <f t="shared" ca="1" si="494"/>
        <v>0.64526618496664068</v>
      </c>
      <c r="AJ584" s="47">
        <f ca="1">IF(AD584,IF(AI584&lt;$F$10,0,IF(AI584&lt;$F$10+$F$11,0.25,IF(AI584&lt;$F$10+$F$11+AG584,AH584,1)))*IF(AF584&gt;0,AF584,IF(AF583&gt;0,AF583,IF(AF582&gt;0,AF582,IF(AF581&gt;0,AF581,IF(AF580&gt;0,AF580,IF(AF579&gt;0,AF579,IF(AF578&gt;0,AF578,IF(AF577&gt;0,AF577,IF(AF576&gt;0,AF576,IF(AF574&gt;0,AF574,IF(AF573&gt;0,AF573,IF(AF572&gt;0,AF572,0)))))))))))),0)*(1-$S584)*'模拟-单技能数据'!$I$20</f>
        <v>9616.6571145767884</v>
      </c>
      <c r="AK584" s="115" t="b">
        <f t="shared" ca="1" si="515"/>
        <v>0</v>
      </c>
      <c r="AL584" s="115" t="b">
        <f t="shared" ca="1" si="536"/>
        <v>0</v>
      </c>
      <c r="AM584" s="115">
        <f t="shared" ca="1" si="537"/>
        <v>4</v>
      </c>
      <c r="AN584" s="47">
        <f ca="1">IF(AK584,('模拟-单技能数据'!$D$21+G584*'模拟-单技能数据'!$F$21)*(1+J584)*(1+'模拟-单技能数据'!$J$21)*(1+U584),0)</f>
        <v>0</v>
      </c>
      <c r="AO584" s="61">
        <f ca="1">IF(AN584&gt;0,M584-'模拟-单技能数据'!$K$10,AO583)</f>
        <v>0.42185145527300216</v>
      </c>
      <c r="AP584" s="61">
        <f ca="1">IF(AN584&gt;0,I584-'模拟-单技能数据'!$L$10,AP583)</f>
        <v>2.162482885499879</v>
      </c>
      <c r="AQ584" s="63">
        <f t="shared" ca="1" si="495"/>
        <v>0.95220055731218489</v>
      </c>
      <c r="AR584" s="64">
        <f ca="1">IF(AL584,IF(AQ584&lt;$F$10,0,IF(AQ584&lt;$F$10+$F$11,0.25,IF(AQ584&lt;$F$10+$F$11+AO584,AP584,1)))*IF(AN584&gt;0,AN584,IF(AN583&gt;0,AN583,IF(AN582&gt;0,AN582,IF(AN581&gt;0,AN581,IF(AN580&gt;0,AN580,IF(AN579&gt;0,AN579,IF(AN578&gt;0,AN578,IF(AN577&gt;0,AN577,IF(AN576&gt;0,AN576,IF(AN574&gt;0,AN574,IF(AN573&gt;0,AN573,IF(AN572&gt;0,AN572,0)))))))))))),0)*(1-$S584)*'模拟-单技能数据'!$I$21</f>
        <v>0</v>
      </c>
      <c r="AS584" s="61">
        <f ca="1">IF(OR(C584="净世破魔击·日",C584="净世破魔击·月"),M584-'模拟-单技能数据'!$K$10,0)</f>
        <v>0</v>
      </c>
      <c r="AT584" s="61">
        <f ca="1">IF(OR(C584="净世破魔击·日",C584="净世破魔击·月"),I584-'模拟-单技能数据'!$L$10,0)</f>
        <v>0</v>
      </c>
      <c r="AU584" s="62">
        <f t="shared" ca="1" si="496"/>
        <v>0.99891569271590441</v>
      </c>
      <c r="AV584" s="64">
        <f ca="1">IF(AS584&gt;0,('模拟-单技能数据'!$D$22+G584*'模拟-单技能数据'!$F$22)*(1+J584)*(1-S584)*IF(AU584&lt;$F$10,0,IF(AU584&lt;$F$10+$F$11,0.25,IF(AU584&lt;$F$10+$F$11+AS584,AT584,1)))*(1+U584),0)*'模拟-单技能数据'!$I$22</f>
        <v>0</v>
      </c>
      <c r="AW584" s="108">
        <f t="shared" ca="1" si="497"/>
        <v>1.5500000000000065</v>
      </c>
      <c r="AX584" s="108" t="b">
        <f ca="1">AND(模拟模式!$P$10="有",AW583=0,RAND()&lt;IF(C584="净世破魔击·月",0.1*8/3,IF(C584="净世破魔击·日",0.1*4/3,0.1*2/3)))</f>
        <v>0</v>
      </c>
      <c r="AY584" s="47">
        <f ca="1">IF(AX584,(18+G584*0.722)*(1+J584)*(1-S584)*(1+$I$4)*IF(P584="会",'模拟-全程加成'!$J$3+'模拟-全程加成'!$J$4+'模拟-全程加成'!$J$5+('模拟-全程加成'!$I$4+'模拟-全程加成'!$I$5)/系数!$B$4+BG584*10%,IF(P584="命",1,IF(P584="识",0.25,0))),0)</f>
        <v>0</v>
      </c>
      <c r="AZ584" s="108">
        <f t="shared" si="498"/>
        <v>13.542500000000004</v>
      </c>
      <c r="BA584" s="108" t="b">
        <f>AND(模拟模式!$Q$10="有",AZ583=0)</f>
        <v>0</v>
      </c>
      <c r="BB584" s="140">
        <f>IF(BA584,(0+G584*0.287)*(1+J584)*(1-S584)*(1+$I$4)*IF(P584="会",'模拟-全程加成'!$J$3+'模拟-全程加成'!$J$4+'模拟-全程加成'!$J$5+('模拟-全程加成'!$I$4+'模拟-全程加成'!$I$5)/系数!$B$4+BG584*10%,IF(P584="命",1,IF(P584="识",0.25,0))),0)</f>
        <v>0</v>
      </c>
      <c r="BC584" s="115" t="b">
        <f ca="1">AND(模拟模式!$R$7="伏明众生",E584=60,F584=20,DA584&lt;5,CZ583&lt;$F$4)</f>
        <v>0</v>
      </c>
      <c r="BD584" s="115">
        <f t="shared" ca="1" si="516"/>
        <v>0</v>
      </c>
      <c r="BE584" s="115" t="b">
        <f t="shared" ca="1" si="517"/>
        <v>0</v>
      </c>
      <c r="BF584" s="47">
        <f ca="1">IF(BC584,4*('模拟-单技能数据'!$D$24+G584*'模拟-单技能数据'!$F$24)*(1+J584)*(1+'模拟-单技能数据'!$J$24)*(1-S584)*(1+$I$3)*(('模拟-全程加成'!$J$3+'模拟-全程加成'!$J$4+'模拟-全程加成'!$J$5+('模拟-全程加成'!$I$4+'模拟-全程加成'!$I$5)/系数!$B$4+BG584*10%)*('模拟-全程加成'!$J$3+'模拟-全程加成'!$J$4+'模拟-全程加成'!$J$5+('模拟-全程加成'!$I$4+'模拟-全程加成'!$I$5)/系数!$B$4+BG584*10%)+(1-('模拟-全程加成'!$J$3+'模拟-全程加成'!$J$4+'模拟-全程加成'!$J$5+('模拟-全程加成'!$I$4+'模拟-全程加成'!$I$5)/系数!$B$4+BG584*10%)-$F$10-$F$11)+F570*0.25),0)*'模拟-单技能数据'!$I$24</f>
        <v>0</v>
      </c>
      <c r="BG584" s="115" t="b">
        <f ca="1">OR(AND(OR(C584="烈日斩",C584="银月斩"),模拟模式!$I$7="净身明礼"),AND(C584="净世破魔击·日",模拟模式!$J$7="洞若观火"),AND(C585="净世破魔击·月",模拟模式!$J$7="洞若观火"),AB584=1)</f>
        <v>1</v>
      </c>
      <c r="BH584" s="115" t="b">
        <f t="shared" ca="1" si="499"/>
        <v>0</v>
      </c>
      <c r="BI584" s="115">
        <f t="shared" ca="1" si="518"/>
        <v>2.3099999999999996</v>
      </c>
      <c r="BJ584" s="115" t="b">
        <f t="shared" ca="1" si="529"/>
        <v>1</v>
      </c>
      <c r="BK584" s="115" t="b">
        <f ca="1">AND(C584="驱夜断愁",模拟模式!$P$7="天地诛戮")</f>
        <v>0</v>
      </c>
      <c r="BL584" s="57">
        <f t="shared" ca="1" si="519"/>
        <v>19.077500000000001</v>
      </c>
      <c r="BM584" s="115" t="b">
        <f t="shared" ca="1" si="530"/>
        <v>1</v>
      </c>
      <c r="BN584" s="115" t="b">
        <f ca="1">AND(OR(C584="赤日轮1",C584="赤日轮2",C584="赤日轮3",C584="幽月轮1",C584="幽月轮2",C584="幽月轮3"),AB584=1,模拟模式!$L$7="明光恒照")</f>
        <v>0</v>
      </c>
      <c r="BO584" s="117">
        <f t="shared" ca="1" si="520"/>
        <v>27.232500000000002</v>
      </c>
      <c r="BP584" s="115">
        <f t="shared" ca="1" si="500"/>
        <v>6</v>
      </c>
      <c r="BQ584" s="115" t="b">
        <f>模拟模式!$K$10="2600·水"</f>
        <v>0</v>
      </c>
      <c r="BR584" s="117">
        <f t="shared" si="501"/>
        <v>0</v>
      </c>
      <c r="BS584" s="115">
        <f t="shared" si="502"/>
        <v>0</v>
      </c>
      <c r="BT584" s="115">
        <f t="shared" ca="1" si="503"/>
        <v>0</v>
      </c>
      <c r="BU584" s="115" t="b">
        <f ca="1">AND(模拟模式!$K$10="2300·雷",BT583=0,RAND()&lt;IF(C584="净世破魔击·月",5*0.05*2/3,IF(C584="净世破魔击·日",3*0.05*2/3,0.05*2*2/3)))</f>
        <v>0</v>
      </c>
      <c r="BV584" s="115">
        <f t="shared" ca="1" si="504"/>
        <v>0</v>
      </c>
      <c r="BW584" s="115">
        <f t="shared" ca="1" si="505"/>
        <v>41.624999999999289</v>
      </c>
      <c r="BX584" s="164" t="b">
        <f t="shared" ca="1" si="506"/>
        <v>0</v>
      </c>
      <c r="BY584" s="115">
        <f t="shared" ca="1" si="507"/>
        <v>0</v>
      </c>
      <c r="BZ584" s="115">
        <f>IF(OR(模拟模式!$P$16="10人团",模拟模式!$P$16="25人团"),IF(B584/30&gt;CA583,1,0),0)</f>
        <v>0</v>
      </c>
      <c r="CA584" s="115">
        <f t="shared" si="483"/>
        <v>0</v>
      </c>
      <c r="CB584" s="115">
        <f ca="1">IF(BZ584=1,IF(模拟模式!$P$16="10人团",15,0)+IF(模拟模式!$P$16="25人团",IF(RAND()&lt;0.6,15,0)),MAX(0,CB583-$F$4))</f>
        <v>0</v>
      </c>
      <c r="CC584" s="115" t="b">
        <f t="shared" ca="1" si="531"/>
        <v>0</v>
      </c>
      <c r="CD584" s="115">
        <f>IF(模拟模式!$Q$16="1个",IF(B584/40&gt;CE583,1,0),0)</f>
        <v>0</v>
      </c>
      <c r="CE584" s="115">
        <f t="shared" si="532"/>
        <v>0</v>
      </c>
      <c r="CF584" s="115">
        <f>IF(OR(CD584=1,模拟模式!$Q$16="2个"),20,MAX(0,CF583-$F$4))</f>
        <v>0</v>
      </c>
      <c r="CG584" s="115" t="b">
        <f t="shared" si="533"/>
        <v>0</v>
      </c>
      <c r="CH584" s="115">
        <f t="shared" ca="1" si="508"/>
        <v>0</v>
      </c>
      <c r="CI584" s="115" t="b">
        <f t="shared" ca="1" si="509"/>
        <v>0</v>
      </c>
      <c r="CJ584" s="119">
        <f t="shared" ca="1" si="510"/>
        <v>0</v>
      </c>
      <c r="CK584" s="115">
        <f t="shared" ca="1" si="511"/>
        <v>0</v>
      </c>
      <c r="CL584" s="115" t="b">
        <f ca="1">AND(模拟模式!$S$7="驱夷逐法",OR(AND(C584="净世破魔击·月",E583&gt;59),AND(C584="净世破魔击·日",F583&gt;59)))</f>
        <v>0</v>
      </c>
      <c r="CM584" s="115" t="b">
        <f ca="1">OR(CL584,AND(C584="净世破魔击·日",CL583,RAND()&lt;模拟模式!$U$23))</f>
        <v>0</v>
      </c>
      <c r="CN584" s="115" t="b">
        <f ca="1">IF(模拟模式!$M$7="辉耀红尘",AND(C584="净世破魔击·月",CL584,CV584=0,E583&lt;80),AND(C584="净世破魔击·月",CL584,E583&lt;100))</f>
        <v>0</v>
      </c>
      <c r="CO584" s="115" t="b">
        <f t="shared" ca="1" si="484"/>
        <v>0</v>
      </c>
      <c r="CP584" s="115" t="b">
        <f ca="1">AND(模拟模式!$O$7="用晦而明",OR(C584="净世破魔击·日",C584="净世破魔击·月",C584="驱夜断愁"),AB584)</f>
        <v>0</v>
      </c>
      <c r="CQ584" s="115" t="b">
        <f ca="1">OR(CP584,AND(CP583,RAND()&lt;模拟模式!$U$23))</f>
        <v>1</v>
      </c>
      <c r="CR584" s="115" t="b">
        <f ca="1">AND(模拟模式!$S$7="日月齐光",OR(C584="幽月轮1",C584="幽月轮2",C584="幽月轮3",CR583),NOT(OR(C584="赤日轮1",C584="赤日轮2",C584="赤日轮3")))</f>
        <v>0</v>
      </c>
      <c r="CS584" s="115" t="b">
        <f ca="1">AND(模拟模式!$S$7="日月齐光",OR(C584="赤日轮1",C584="赤日轮2",C584="赤日轮3",CS583),NOT(OR(C584="幽月轮1",C584="幽月轮2",C584="幽月轮3")))</f>
        <v>0</v>
      </c>
      <c r="CT584" s="115">
        <f t="shared" ca="1" si="512"/>
        <v>0</v>
      </c>
      <c r="CU584" s="115" t="b">
        <f ca="1">AND(模拟模式!$K$10="阴阳往极",CT583=0,RAND()&lt;IF(C584="净世破魔击·月",0.0275*7/3,IF(C584="净世破魔击·日",0.0275*3/3,0.0275*2/3)))</f>
        <v>0</v>
      </c>
      <c r="CV584" s="115">
        <f t="shared" ca="1" si="513"/>
        <v>0</v>
      </c>
      <c r="CW584" s="115">
        <f t="shared" ca="1" si="485"/>
        <v>6</v>
      </c>
      <c r="CX584" s="115">
        <f t="shared" ca="1" si="486"/>
        <v>4.1549999999999994</v>
      </c>
      <c r="CY584" s="115">
        <f ca="1">MAX(IF($C584="驱夜断愁",IF(模拟模式!$R$7="万念俱寂",6,45),CY583-$F$4),0)</f>
        <v>5.0774999999999997</v>
      </c>
      <c r="CZ584" s="115">
        <f t="shared" ca="1" si="487"/>
        <v>0</v>
      </c>
      <c r="DA584" s="115">
        <f ca="1">IF(模拟模式!$N$7="日月同辉",IF(DB583=2,0,MIN(6,IF(AND(OR(C584="赤日轮1",C584="赤日轮2",C584="赤日轮3",C584="幽月轮1",C584="幽月轮2",C584="幽月轮3"),AB584=1),DA583+1,DA583))),0)</f>
        <v>4</v>
      </c>
      <c r="DB584" s="115">
        <f t="shared" ca="1" si="488"/>
        <v>0</v>
      </c>
      <c r="DC584" s="115"/>
      <c r="DD584" s="115"/>
      <c r="DE584" s="115"/>
      <c r="DF584" s="115"/>
      <c r="DG584" s="115"/>
      <c r="DH584" s="115"/>
      <c r="DI584" s="115"/>
      <c r="DJ584" s="115"/>
      <c r="DK584" s="115"/>
      <c r="DL584" s="115"/>
      <c r="DM584" s="115"/>
    </row>
    <row r="585" spans="2:117" x14ac:dyDescent="0.2">
      <c r="B585" s="117">
        <f t="shared" si="489"/>
        <v>514.75500000000557</v>
      </c>
      <c r="C585" s="167" t="str">
        <f t="shared" ca="1" si="482"/>
        <v>幽月轮1</v>
      </c>
      <c r="D585" s="115">
        <f ca="1">IF(C585="赤日轮1",1,IF(C585="赤日轮2",2,IF(C585="赤日轮3",3,IF(C585="幽月轮1",4,IF(C585="幽月轮2",5,IF(C585="幽月轮3",6,IF(C585="烈日斩",7,IF(C585="银月斩",8,IF(C585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585="净世破魔击·月",17,IF(C585="驱夜断愁",18,0)))))))))))</f>
        <v>4</v>
      </c>
      <c r="E585" s="115">
        <f ca="1">IF(AND(CU585,OR(C585="幽月轮1",C585="幽月轮2",C585="幽月轮3",C585="银月斩",C585="驱夜断愁",C585="净世破魔击·月")),100,MIN(IF(OR(CN585,BE585),0,IF(OR($C585="赤日轮1",$C585="赤日轮2",$C585="赤日轮3"),E584+20+IF(模拟模式!$I$7="日月凌天",4,0)+IF(CR584,20,0),IF($C585="烈日斩",E584+40,IF($C585="驱夜断愁",IF(模拟模式!$R$7="万念俱寂",E584+20,E584+60),IF($C585="净世破魔击·月",IF(OR(DB584&gt;0,CV584&gt;0),100,IF(模拟模式!$M$7="辉耀红尘",E584+20,E584)),IF($C585="净世破魔击·日",E584-100,E584)))))),100))</f>
        <v>80</v>
      </c>
      <c r="F585" s="115">
        <f ca="1">IF(AND(CU585,OR(C585="赤日轮1",C585="赤日轮2",C585="赤日轮3",C585="烈日斩",C585="净世破魔击·日")),100,MIN(IF(CO585,0,IF(OR($C585="幽月轮1",$C585="幽月轮2",$C585="幽月轮3"),F584+20+IF(模拟模式!$I$7="日月凌天",4,0)+IF(CS584,20,0),IF($C585="银月斩",F584+40+IF(模拟模式!$X$12=1,5,0),IF($C585="驱夜断愁",IF(模拟模式!$R$7="万念俱寂",F584+20,F584+60),IF($C585="净世破魔击·月",IF(模拟模式!$M$7="辉耀红尘",F584-80,F584-100),IF(AND(C585="净世破魔击·日",OR(DB584&gt;0,CV584&gt;0)),100,F584)))))),100))</f>
        <v>100</v>
      </c>
      <c r="G585" s="117">
        <f ca="1">('模拟-全程加成'!$E$3+'模拟-全程加成'!$E$4+'模拟-全程加成'!$E$5+('模拟-全程加成'!$C$6-'模拟-全程加成'!$C$3)*系数!$B$9+BS585*23)*(1+'模拟-全程加成'!$F$4+'模拟-全程加成'!$F$5+BJ585*10%+BM585*20%+BP585*4%+CG585*30%)+$F$7*系数!$B$12</f>
        <v>21493.829400000002</v>
      </c>
      <c r="H585" s="45">
        <f ca="1">'模拟-全程加成'!$H$3+'模拟-全程加成'!$H$4+'模拟-全程加成'!$H$5+('模拟-全程加成'!$G$4+'模拟-全程加成'!$G$5+('模拟-全程加成'!$C$6-'模拟-全程加成'!$C$3)*系数!$B$13)/系数!$B$3+LOOKUP(D585,'模拟-单技能数据'!$A$2:$A$19,'模拟-单技能数据'!$K$2:$K$19)+BG585*10%+IF(BV585&gt;0,378,0)</f>
        <v>0.51185145527300213</v>
      </c>
      <c r="I585" s="45">
        <f ca="1">'模拟-全程加成'!$J$3+'模拟-全程加成'!$J$4+'模拟-全程加成'!$J$5+('模拟-全程加成'!$I$4+'模拟-全程加成'!$I$5)/系数!$B$4+LOOKUP(D585,'模拟-单技能数据'!$A$2:$A$19,'模拟-单技能数据'!$L$2:$L$19)+BG585*10%</f>
        <v>2.162482885499879</v>
      </c>
      <c r="J585" s="45">
        <f ca="1">(('模拟-全程加成'!$K$3+'模拟-全程加成'!$K$4+'模拟-全程加成'!$K$5+('模拟-全程加成'!$C$6-'模拟-全程加成'!$C$3)*系数!$B$10+IF(BV585&gt;0,882,0)+IF(BY585&gt;0,1831,0))*(1+'模拟-全程加成'!$L$4+'模拟-全程加成'!$L$5+CC585*20%))/系数!$B$5</f>
        <v>0.69723220422048726</v>
      </c>
      <c r="K585" s="119">
        <f ca="1">LOOKUP(D585,'模拟-单技能数据'!$A$2:$A$19,'模拟-单技能数据'!$J$2:$J$19)+IF(CM585,60%,0)+IF(DB584-DB585&gt;0,30%,0)+IF(OR(AND(OR(C585="赤日轮1",C585="赤日轮2",C585="赤日轮3"),CR585),AND(OR(C585="幽月轮1",C585="幽月轮2",C585="幽月轮3"),CS585)),35%,0)+CJ585</f>
        <v>7.0000000000000007E-2</v>
      </c>
      <c r="L585" s="119">
        <f ca="1">IF(AND(C585="烈日斩",模拟模式!$X$11=1),10%,0)+IF(AND(C585="驱夜断愁",AB585=1),30%,0)</f>
        <v>0</v>
      </c>
      <c r="M585" s="45">
        <f t="shared" ca="1" si="521"/>
        <v>0.51185145527300213</v>
      </c>
      <c r="N585" s="45">
        <f t="shared" ca="1" si="522"/>
        <v>0.43424854472699792</v>
      </c>
      <c r="O585" s="46">
        <f t="shared" ca="1" si="490"/>
        <v>0.15853590128415074</v>
      </c>
      <c r="P585" s="46" t="str">
        <f t="shared" ca="1" si="491"/>
        <v>会</v>
      </c>
      <c r="Q585" s="45">
        <f t="shared" ca="1" si="492"/>
        <v>2.162482885499879</v>
      </c>
      <c r="R585" s="117">
        <f ca="1">模拟模式!$E$20*(1-IF(模拟模式!$J$19="有",0.15,0))*(1-IF(模拟模式!$K$19="有",0.3,0)-IF(CQ585,0.5,0))</f>
        <v>2950.6049999999996</v>
      </c>
      <c r="S585" s="45">
        <f ca="1">R585/(R585+(185*模拟模式!$E$22-16800)*4.08224)</f>
        <v>0.24272716014590323</v>
      </c>
      <c r="T585" s="45" t="str">
        <f ca="1">LOOKUP(D585,'模拟-单技能数据'!$A$2:$A$19,'模拟-单技能数据'!$H$2:$H$19)</f>
        <v>阴</v>
      </c>
      <c r="U585" s="119">
        <f t="shared" ca="1" si="523"/>
        <v>0.08</v>
      </c>
      <c r="V585" s="47">
        <f ca="1">(1+L585)*(LOOKUP(D585,'模拟-单技能数据'!$A$2:$A$19,'模拟-单技能数据'!$D$2:$D$19)+G585*LOOKUP(D585,'模拟-单技能数据'!$A$2:$A$19,'模拟-单技能数据'!$F$2:$F$19))*(1+J585)*(1+K585)*(1-S585)*(1+U585)*Q585*LOOKUP(D585,'模拟-单技能数据'!$A$2:$A$19,'模拟-单技能数据'!$I$2:$I$20)</f>
        <v>36630.702053185581</v>
      </c>
      <c r="W585" s="47">
        <f ca="1">LOOKUP(D585,'模拟-单技能数据'!$A$2:$A$19,'模拟-单技能数据'!$G$2:$G$19)*$I$10</f>
        <v>361.51064354704795</v>
      </c>
      <c r="X585" s="47">
        <f t="shared" ca="1" si="493"/>
        <v>9595.3556920079973</v>
      </c>
      <c r="Y585" s="47">
        <f t="shared" ca="1" si="524"/>
        <v>46587.568388740634</v>
      </c>
      <c r="Z585" s="49">
        <f t="shared" ca="1" si="525"/>
        <v>58005726.957951508</v>
      </c>
      <c r="AA585" s="97">
        <f t="shared" ca="1" si="526"/>
        <v>112686.08747452842</v>
      </c>
      <c r="AB585" s="115">
        <f ca="1">IF(OR(C585="赤日轮1",C585="赤日轮2",C585="赤日轮3"),IF(RAND()&lt;模拟模式!$Y$17,1,0),IF(OR(C585="幽月轮1",C585="幽月轮2",C585="幽月轮3"),IF(RAND()&lt;模拟模式!$Y$18,1,0),IF(C585="烈日斩",IF(RAND()&lt;模拟模式!$Y$19,1,0),IF(C585="银月斩",IF(RAND()&lt;模拟模式!$Y$20,1,0),IF(C585="驱夜断愁",IF(RAND()&lt;模拟模式!$Y$21,1,0),IF(C585="净世破魔击·日",IF(RAND()&lt;模拟模式!$Y$22,1,0),IF(C585="净世破魔击·月",IF(RAND()&lt;模拟模式!$Y$23,1,0),0)))))))</f>
        <v>1</v>
      </c>
      <c r="AC585" s="115" t="b">
        <f t="shared" ca="1" si="514"/>
        <v>0</v>
      </c>
      <c r="AD585" s="115" t="b">
        <f t="shared" ca="1" si="534"/>
        <v>0</v>
      </c>
      <c r="AE585" s="115">
        <f t="shared" ca="1" si="535"/>
        <v>4</v>
      </c>
      <c r="AF585" s="47">
        <f ca="1">IF(AC585,('模拟-单技能数据'!$D$20+G585*'模拟-单技能数据'!$F$20)*(1+J585)*(1+'模拟-单技能数据'!$J$20)*(1+U585),0)</f>
        <v>0</v>
      </c>
      <c r="AG585" s="61">
        <f t="shared" ca="1" si="527"/>
        <v>0.64185145527300214</v>
      </c>
      <c r="AH585" s="61">
        <f t="shared" ca="1" si="528"/>
        <v>2.2624828854998791</v>
      </c>
      <c r="AI585" s="62">
        <f t="shared" ca="1" si="494"/>
        <v>0.69828843577435595</v>
      </c>
      <c r="AJ585" s="47">
        <f ca="1">IF(AD585,IF(AI585&lt;$F$10,0,IF(AI585&lt;$F$10+$F$11,0.25,IF(AI585&lt;$F$10+$F$11+AG585,AH585,1)))*IF(AF585&gt;0,AF585,IF(AF584&gt;0,AF584,IF(AF583&gt;0,AF583,IF(AF582&gt;0,AF582,IF(AF581&gt;0,AF581,IF(AF580&gt;0,AF580,IF(AF579&gt;0,AF579,IF(AF578&gt;0,AF578,IF(AF577&gt;0,AF577,IF(AF575&gt;0,AF575,IF(AF574&gt;0,AF574,IF(AF573&gt;0,AF573,0)))))))))))),0)*(1-$S585)*'模拟-单技能数据'!$I$20</f>
        <v>0</v>
      </c>
      <c r="AK585" s="115" t="b">
        <f t="shared" ca="1" si="515"/>
        <v>0</v>
      </c>
      <c r="AL585" s="115" t="b">
        <f t="shared" ca="1" si="536"/>
        <v>1</v>
      </c>
      <c r="AM585" s="115">
        <f t="shared" ca="1" si="537"/>
        <v>3</v>
      </c>
      <c r="AN585" s="47">
        <f ca="1">IF(AK585,('模拟-单技能数据'!$D$21+G585*'模拟-单技能数据'!$F$21)*(1+J585)*(1+'模拟-单技能数据'!$J$21)*(1+U585),0)</f>
        <v>0</v>
      </c>
      <c r="AO585" s="61">
        <f ca="1">IF(AN585&gt;0,M585-'模拟-单技能数据'!$K$10,AO584)</f>
        <v>0.42185145527300216</v>
      </c>
      <c r="AP585" s="61">
        <f ca="1">IF(AN585&gt;0,I585-'模拟-单技能数据'!$L$10,AP584)</f>
        <v>2.162482885499879</v>
      </c>
      <c r="AQ585" s="63">
        <f t="shared" ca="1" si="495"/>
        <v>0.72012525635068203</v>
      </c>
      <c r="AR585" s="64">
        <f ca="1">IF(AL585,IF(AQ585&lt;$F$10,0,IF(AQ585&lt;$F$10+$F$11,0.25,IF(AQ585&lt;$F$10+$F$11+AO585,AP585,1)))*IF(AN585&gt;0,AN585,IF(AN584&gt;0,AN584,IF(AN583&gt;0,AN583,IF(AN582&gt;0,AN582,IF(AN581&gt;0,AN581,IF(AN580&gt;0,AN580,IF(AN579&gt;0,AN579,IF(AN578&gt;0,AN578,IF(AN577&gt;0,AN577,IF(AN575&gt;0,AN575,IF(AN574&gt;0,AN574,IF(AN573&gt;0,AN573,0)))))))))))),0)*(1-$S585)*'模拟-单技能数据'!$I$21</f>
        <v>9595.3556920079973</v>
      </c>
      <c r="AS585" s="61">
        <f ca="1">IF(OR(C585="净世破魔击·日",C585="净世破魔击·月"),M585-'模拟-单技能数据'!$K$10,0)</f>
        <v>0</v>
      </c>
      <c r="AT585" s="61">
        <f ca="1">IF(OR(C585="净世破魔击·日",C585="净世破魔击·月"),I585-'模拟-单技能数据'!$L$10,0)</f>
        <v>0</v>
      </c>
      <c r="AU585" s="62">
        <f t="shared" ca="1" si="496"/>
        <v>0.56645959180760619</v>
      </c>
      <c r="AV585" s="64">
        <f ca="1">IF(AS585&gt;0,('模拟-单技能数据'!$D$22+G585*'模拟-单技能数据'!$F$22)*(1+J585)*(1-S585)*IF(AU585&lt;$F$10,0,IF(AU585&lt;$F$10+$F$11,0.25,IF(AU585&lt;$F$10+$F$11+AS585,AT585,1)))*(1+U585),0)*'模拟-单技能数据'!$I$22</f>
        <v>0</v>
      </c>
      <c r="AW585" s="108">
        <f t="shared" ca="1" si="497"/>
        <v>0.6275000000000065</v>
      </c>
      <c r="AX585" s="108" t="b">
        <f ca="1">AND(模拟模式!$P$10="有",AW584=0,RAND()&lt;IF(C585="净世破魔击·月",0.1*8/3,IF(C585="净世破魔击·日",0.1*4/3,0.1*2/3)))</f>
        <v>0</v>
      </c>
      <c r="AY585" s="47">
        <f ca="1">IF(AX585,(18+G585*0.722)*(1+J585)*(1-S585)*(1+$I$4)*IF(P585="会",'模拟-全程加成'!$J$3+'模拟-全程加成'!$J$4+'模拟-全程加成'!$J$5+('模拟-全程加成'!$I$4+'模拟-全程加成'!$I$5)/系数!$B$4+BG585*10%,IF(P585="命",1,IF(P585="识",0.25,0))),0)</f>
        <v>0</v>
      </c>
      <c r="AZ585" s="108">
        <f t="shared" si="498"/>
        <v>12.620000000000005</v>
      </c>
      <c r="BA585" s="108" t="b">
        <f>AND(模拟模式!$Q$10="有",AZ584=0)</f>
        <v>0</v>
      </c>
      <c r="BB585" s="140">
        <f>IF(BA585,(0+G585*0.287)*(1+J585)*(1-S585)*(1+$I$4)*IF(P585="会",'模拟-全程加成'!$J$3+'模拟-全程加成'!$J$4+'模拟-全程加成'!$J$5+('模拟-全程加成'!$I$4+'模拟-全程加成'!$I$5)/系数!$B$4+BG585*10%,IF(P585="命",1,IF(P585="识",0.25,0))),0)</f>
        <v>0</v>
      </c>
      <c r="BC585" s="115" t="b">
        <f ca="1">AND(模拟模式!$R$7="伏明众生",E585=60,F585=20,DA585&lt;5,CZ584&lt;$F$4)</f>
        <v>0</v>
      </c>
      <c r="BD585" s="115">
        <f t="shared" ca="1" si="516"/>
        <v>0</v>
      </c>
      <c r="BE585" s="115" t="b">
        <f t="shared" ca="1" si="517"/>
        <v>0</v>
      </c>
      <c r="BF585" s="47">
        <f ca="1">IF(BC585,4*('模拟-单技能数据'!$D$24+G585*'模拟-单技能数据'!$F$24)*(1+J585)*(1+'模拟-单技能数据'!$J$24)*(1-S585)*(1+$I$3)*(('模拟-全程加成'!$J$3+'模拟-全程加成'!$J$4+'模拟-全程加成'!$J$5+('模拟-全程加成'!$I$4+'模拟-全程加成'!$I$5)/系数!$B$4+BG585*10%)*('模拟-全程加成'!$J$3+'模拟-全程加成'!$J$4+'模拟-全程加成'!$J$5+('模拟-全程加成'!$I$4+'模拟-全程加成'!$I$5)/系数!$B$4+BG585*10%)+(1-('模拟-全程加成'!$J$3+'模拟-全程加成'!$J$4+'模拟-全程加成'!$J$5+('模拟-全程加成'!$I$4+'模拟-全程加成'!$I$5)/系数!$B$4+BG585*10%)-$F$10-$F$11)+F571*0.25),0)*'模拟-单技能数据'!$I$24</f>
        <v>0</v>
      </c>
      <c r="BG585" s="115" t="b">
        <f ca="1">OR(AND(OR(C585="烈日斩",C585="银月斩"),模拟模式!$I$7="净身明礼"),AND(C585="净世破魔击·日",模拟模式!$J$7="洞若观火"),AND(C586="净世破魔击·月",模拟模式!$J$7="洞若观火"),AB585=1)</f>
        <v>1</v>
      </c>
      <c r="BH585" s="115" t="b">
        <f t="shared" ca="1" si="499"/>
        <v>0</v>
      </c>
      <c r="BI585" s="115">
        <f t="shared" ca="1" si="518"/>
        <v>1.3874999999999997</v>
      </c>
      <c r="BJ585" s="115" t="b">
        <f t="shared" ca="1" si="529"/>
        <v>1</v>
      </c>
      <c r="BK585" s="115" t="b">
        <f ca="1">AND(C585="驱夜断愁",模拟模式!$P$7="天地诛戮")</f>
        <v>0</v>
      </c>
      <c r="BL585" s="57">
        <f t="shared" ca="1" si="519"/>
        <v>18.155000000000001</v>
      </c>
      <c r="BM585" s="115" t="b">
        <f t="shared" ca="1" si="530"/>
        <v>1</v>
      </c>
      <c r="BN585" s="115" t="b">
        <f ca="1">AND(OR(C585="赤日轮1",C585="赤日轮2",C585="赤日轮3",C585="幽月轮1",C585="幽月轮2",C585="幽月轮3"),AB585=1,模拟模式!$L$7="明光恒照")</f>
        <v>1</v>
      </c>
      <c r="BO585" s="117">
        <f t="shared" ca="1" si="520"/>
        <v>30</v>
      </c>
      <c r="BP585" s="115">
        <f t="shared" ca="1" si="500"/>
        <v>6</v>
      </c>
      <c r="BQ585" s="115" t="b">
        <f>模拟模式!$K$10="2600·水"</f>
        <v>0</v>
      </c>
      <c r="BR585" s="117">
        <f t="shared" si="501"/>
        <v>0</v>
      </c>
      <c r="BS585" s="115">
        <f t="shared" si="502"/>
        <v>0</v>
      </c>
      <c r="BT585" s="115">
        <f t="shared" ca="1" si="503"/>
        <v>0</v>
      </c>
      <c r="BU585" s="115" t="b">
        <f ca="1">AND(模拟模式!$K$10="2300·雷",BT584=0,RAND()&lt;IF(C585="净世破魔击·月",5*0.05*2/3,IF(C585="净世破魔击·日",3*0.05*2/3,0.05*2*2/3)))</f>
        <v>0</v>
      </c>
      <c r="BV585" s="115">
        <f t="shared" ca="1" si="504"/>
        <v>0</v>
      </c>
      <c r="BW585" s="115">
        <f t="shared" ca="1" si="505"/>
        <v>40.70249999999929</v>
      </c>
      <c r="BX585" s="164" t="b">
        <f t="shared" ca="1" si="506"/>
        <v>0</v>
      </c>
      <c r="BY585" s="115">
        <f t="shared" ca="1" si="507"/>
        <v>0</v>
      </c>
      <c r="BZ585" s="115">
        <f>IF(OR(模拟模式!$P$16="10人团",模拟模式!$P$16="25人团"),IF(B585/30&gt;CA584,1,0),0)</f>
        <v>0</v>
      </c>
      <c r="CA585" s="115">
        <f t="shared" si="483"/>
        <v>0</v>
      </c>
      <c r="CB585" s="115">
        <f ca="1">IF(BZ585=1,IF(模拟模式!$P$16="10人团",15,0)+IF(模拟模式!$P$16="25人团",IF(RAND()&lt;0.6,15,0)),MAX(0,CB584-$F$4))</f>
        <v>0</v>
      </c>
      <c r="CC585" s="115" t="b">
        <f t="shared" ca="1" si="531"/>
        <v>0</v>
      </c>
      <c r="CD585" s="115">
        <f>IF(模拟模式!$Q$16="1个",IF(B585/40&gt;CE584,1,0),0)</f>
        <v>0</v>
      </c>
      <c r="CE585" s="115">
        <f t="shared" si="532"/>
        <v>0</v>
      </c>
      <c r="CF585" s="115">
        <f>IF(OR(CD585=1,模拟模式!$Q$16="2个"),20,MAX(0,CF584-$F$4))</f>
        <v>0</v>
      </c>
      <c r="CG585" s="115" t="b">
        <f t="shared" si="533"/>
        <v>0</v>
      </c>
      <c r="CH585" s="115">
        <f t="shared" ca="1" si="508"/>
        <v>0</v>
      </c>
      <c r="CI585" s="115" t="b">
        <f t="shared" ca="1" si="509"/>
        <v>0</v>
      </c>
      <c r="CJ585" s="119">
        <f t="shared" ca="1" si="510"/>
        <v>0</v>
      </c>
      <c r="CK585" s="115">
        <f t="shared" ca="1" si="511"/>
        <v>0</v>
      </c>
      <c r="CL585" s="115" t="b">
        <f ca="1">AND(模拟模式!$S$7="驱夷逐法",OR(AND(C585="净世破魔击·月",E584&gt;59),AND(C585="净世破魔击·日",F584&gt;59)))</f>
        <v>0</v>
      </c>
      <c r="CM585" s="115" t="b">
        <f ca="1">OR(CL585,AND(C585="净世破魔击·日",CL584,RAND()&lt;模拟模式!$U$23))</f>
        <v>0</v>
      </c>
      <c r="CN585" s="115" t="b">
        <f ca="1">IF(模拟模式!$M$7="辉耀红尘",AND(C585="净世破魔击·月",CL585,CV585=0,E584&lt;80),AND(C585="净世破魔击·月",CL585,E584&lt;100))</f>
        <v>0</v>
      </c>
      <c r="CO585" s="115" t="b">
        <f t="shared" ca="1" si="484"/>
        <v>0</v>
      </c>
      <c r="CP585" s="115" t="b">
        <f ca="1">AND(模拟模式!$O$7="用晦而明",OR(C585="净世破魔击·日",C585="净世破魔击·月",C585="驱夜断愁"),AB585)</f>
        <v>0</v>
      </c>
      <c r="CQ585" s="115" t="b">
        <f ca="1">OR(CP585,AND(CP584,RAND()&lt;模拟模式!$U$23))</f>
        <v>0</v>
      </c>
      <c r="CR585" s="115" t="b">
        <f ca="1">AND(模拟模式!$S$7="日月齐光",OR(C585="幽月轮1",C585="幽月轮2",C585="幽月轮3",CR584),NOT(OR(C585="赤日轮1",C585="赤日轮2",C585="赤日轮3")))</f>
        <v>0</v>
      </c>
      <c r="CS585" s="115" t="b">
        <f ca="1">AND(模拟模式!$S$7="日月齐光",OR(C585="赤日轮1",C585="赤日轮2",C585="赤日轮3",CS584),NOT(OR(C585="幽月轮1",C585="幽月轮2",C585="幽月轮3")))</f>
        <v>0</v>
      </c>
      <c r="CT585" s="115">
        <f t="shared" ca="1" si="512"/>
        <v>0</v>
      </c>
      <c r="CU585" s="115" t="b">
        <f ca="1">AND(模拟模式!$K$10="阴阳往极",CT584=0,RAND()&lt;IF(C585="净世破魔击·月",0.0275*7/3,IF(C585="净世破魔击·日",0.0275*3/3,0.0275*2/3)))</f>
        <v>0</v>
      </c>
      <c r="CV585" s="115">
        <f t="shared" ca="1" si="513"/>
        <v>0</v>
      </c>
      <c r="CW585" s="115">
        <f t="shared" ca="1" si="485"/>
        <v>5.0774999999999997</v>
      </c>
      <c r="CX585" s="115">
        <f t="shared" ca="1" si="486"/>
        <v>3.2324999999999995</v>
      </c>
      <c r="CY585" s="115">
        <f ca="1">MAX(IF($C585="驱夜断愁",IF(模拟模式!$R$7="万念俱寂",6,45),CY584-$F$4),0)</f>
        <v>4.1549999999999994</v>
      </c>
      <c r="CZ585" s="115">
        <f t="shared" ca="1" si="487"/>
        <v>0</v>
      </c>
      <c r="DA585" s="115">
        <f ca="1">IF(模拟模式!$N$7="日月同辉",IF(DB584=2,0,MIN(6,IF(AND(OR(C585="赤日轮1",C585="赤日轮2",C585="赤日轮3",C585="幽月轮1",C585="幽月轮2",C585="幽月轮3"),AB585=1),DA584+1,DA584))),0)</f>
        <v>5</v>
      </c>
      <c r="DB585" s="115">
        <f t="shared" ca="1" si="488"/>
        <v>0</v>
      </c>
      <c r="DC585" s="115"/>
      <c r="DD585" s="115"/>
      <c r="DE585" s="115"/>
      <c r="DF585" s="115"/>
      <c r="DG585" s="115"/>
      <c r="DH585" s="115"/>
      <c r="DI585" s="115"/>
      <c r="DJ585" s="115"/>
      <c r="DK585" s="115"/>
      <c r="DL585" s="115"/>
      <c r="DM585" s="115"/>
    </row>
    <row r="586" spans="2:117" x14ac:dyDescent="0.2">
      <c r="B586" s="117">
        <f t="shared" si="489"/>
        <v>515.67750000000558</v>
      </c>
      <c r="C586" s="167" t="str">
        <f t="shared" ca="1" si="482"/>
        <v>净世破魔击·月</v>
      </c>
      <c r="D586" s="115">
        <f ca="1">IF(C586="赤日轮1",1,IF(C586="赤日轮2",2,IF(C586="赤日轮3",3,IF(C586="幽月轮1",4,IF(C586="幽月轮2",5,IF(C586="幽月轮3",6,IF(C586="烈日斩",7,IF(C586="银月斩",8,IF(C586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586="净世破魔击·月",17,IF(C586="驱夜断愁",18,0)))))))))))</f>
        <v>17</v>
      </c>
      <c r="E586" s="115">
        <f ca="1">IF(AND(CU586,OR(C586="幽月轮1",C586="幽月轮2",C586="幽月轮3",C586="银月斩",C586="驱夜断愁",C586="净世破魔击·月")),100,MIN(IF(OR(CN586,BE586),0,IF(OR($C586="赤日轮1",$C586="赤日轮2",$C586="赤日轮3"),E585+20+IF(模拟模式!$I$7="日月凌天",4,0)+IF(CR585,20,0),IF($C586="烈日斩",E585+40,IF($C586="驱夜断愁",IF(模拟模式!$R$7="万念俱寂",E585+20,E585+60),IF($C586="净世破魔击·月",IF(OR(DB585&gt;0,CV585&gt;0),100,IF(模拟模式!$M$7="辉耀红尘",E585+20,E585)),IF($C586="净世破魔击·日",E585-100,E585)))))),100))</f>
        <v>100</v>
      </c>
      <c r="F586" s="115">
        <f ca="1">IF(AND(CU586,OR(C586="赤日轮1",C586="赤日轮2",C586="赤日轮3",C586="烈日斩",C586="净世破魔击·日")),100,MIN(IF(CO586,0,IF(OR($C586="幽月轮1",$C586="幽月轮2",$C586="幽月轮3"),F585+20+IF(模拟模式!$I$7="日月凌天",4,0)+IF(CS585,20,0),IF($C586="银月斩",F585+40+IF(模拟模式!$X$12=1,5,0),IF($C586="驱夜断愁",IF(模拟模式!$R$7="万念俱寂",F585+20,F585+60),IF($C586="净世破魔击·月",IF(模拟模式!$M$7="辉耀红尘",F585-80,F585-100),IF(AND(C586="净世破魔击·日",OR(DB585&gt;0,CV585&gt;0)),100,F585)))))),100))</f>
        <v>20</v>
      </c>
      <c r="G586" s="117">
        <f ca="1">('模拟-全程加成'!$E$3+'模拟-全程加成'!$E$4+'模拟-全程加成'!$E$5+('模拟-全程加成'!$C$6-'模拟-全程加成'!$C$3)*系数!$B$9+BS586*23)*(1+'模拟-全程加成'!$F$4+'模拟-全程加成'!$F$5+BJ586*10%+BM586*20%+BP586*4%+CG586*30%)+$F$7*系数!$B$12</f>
        <v>21493.829400000002</v>
      </c>
      <c r="H586" s="45">
        <f ca="1">'模拟-全程加成'!$H$3+'模拟-全程加成'!$H$4+'模拟-全程加成'!$H$5+('模拟-全程加成'!$G$4+'模拟-全程加成'!$G$5+('模拟-全程加成'!$C$6-'模拟-全程加成'!$C$3)*系数!$B$13)/系数!$B$3+LOOKUP(D586,'模拟-单技能数据'!$A$2:$A$19,'模拟-单技能数据'!$K$2:$K$19)+BG586*10%+IF(BV586&gt;0,378,0)</f>
        <v>0.54185145527300216</v>
      </c>
      <c r="I586" s="45">
        <f ca="1">'模拟-全程加成'!$J$3+'模拟-全程加成'!$J$4+'模拟-全程加成'!$J$5+('模拟-全程加成'!$I$4+'模拟-全程加成'!$I$5)/系数!$B$4+LOOKUP(D586,'模拟-单技能数据'!$A$2:$A$19,'模拟-单技能数据'!$L$2:$L$19)+BG586*10%</f>
        <v>2.162482885499879</v>
      </c>
      <c r="J586" s="45">
        <f ca="1">(('模拟-全程加成'!$K$3+'模拟-全程加成'!$K$4+'模拟-全程加成'!$K$5+('模拟-全程加成'!$C$6-'模拟-全程加成'!$C$3)*系数!$B$10+IF(BV586&gt;0,882,0)+IF(BY586&gt;0,1831,0))*(1+'模拟-全程加成'!$L$4+'模拟-全程加成'!$L$5+CC586*20%))/系数!$B$5</f>
        <v>0.69723220422048726</v>
      </c>
      <c r="K586" s="119">
        <f ca="1">LOOKUP(D586,'模拟-单技能数据'!$A$2:$A$19,'模拟-单技能数据'!$J$2:$J$19)+IF(CM586,60%,0)+IF(DB585-DB586&gt;0,30%,0)+IF(OR(AND(OR(C586="赤日轮1",C586="赤日轮2",C586="赤日轮3"),CR586),AND(OR(C586="幽月轮1",C586="幽月轮2",C586="幽月轮3"),CS586)),35%,0)+CJ586</f>
        <v>0.8</v>
      </c>
      <c r="L586" s="119">
        <f ca="1">IF(AND(C586="烈日斩",模拟模式!$X$11=1),10%,0)+IF(AND(C586="驱夜断愁",AB586=1),30%,0)</f>
        <v>0</v>
      </c>
      <c r="M586" s="45">
        <f t="shared" ca="1" si="521"/>
        <v>0.54185145527300216</v>
      </c>
      <c r="N586" s="45">
        <f t="shared" ca="1" si="522"/>
        <v>0.40424854472699789</v>
      </c>
      <c r="O586" s="46">
        <f t="shared" ca="1" si="490"/>
        <v>0.21861231368110756</v>
      </c>
      <c r="P586" s="46" t="str">
        <f t="shared" ca="1" si="491"/>
        <v>会</v>
      </c>
      <c r="Q586" s="45">
        <f t="shared" ca="1" si="492"/>
        <v>2.162482885499879</v>
      </c>
      <c r="R586" s="117">
        <f ca="1">模拟模式!$E$20*(1-IF(模拟模式!$J$19="有",0.15,0))*(1-IF(模拟模式!$K$19="有",0.3,0)-IF(CQ586,0.5,0))</f>
        <v>843.02999999999975</v>
      </c>
      <c r="S586" s="45">
        <f ca="1">R586/(R586+(185*模拟模式!$E$22-16800)*4.08224)</f>
        <v>8.389626085980037E-2</v>
      </c>
      <c r="T586" s="45" t="str">
        <f ca="1">LOOKUP(D586,'模拟-单技能数据'!$A$2:$A$19,'模拟-单技能数据'!$H$2:$H$19)</f>
        <v>阴</v>
      </c>
      <c r="U586" s="119">
        <f t="shared" ca="1" si="523"/>
        <v>0.08</v>
      </c>
      <c r="V586" s="47">
        <f ca="1">(1+L586)*(LOOKUP(D586,'模拟-单技能数据'!$A$2:$A$19,'模拟-单技能数据'!$D$2:$D$19)+G586*LOOKUP(D586,'模拟-单技能数据'!$A$2:$A$19,'模拟-单技能数据'!$F$2:$F$19))*(1+J586)*(1+K586)*(1-S586)*(1+U586)*Q586*LOOKUP(D586,'模拟-单技能数据'!$A$2:$A$19,'模拟-单技能数据'!$I$2:$I$20)</f>
        <v>182541.2211190153</v>
      </c>
      <c r="W586" s="47">
        <f ca="1">LOOKUP(D586,'模拟-单技能数据'!$A$2:$A$19,'模拟-单技能数据'!$G$2:$G$19)*$I$10</f>
        <v>361.51064354704795</v>
      </c>
      <c r="X586" s="47">
        <f t="shared" ca="1" si="493"/>
        <v>26821.826710822574</v>
      </c>
      <c r="Y586" s="47">
        <f t="shared" ca="1" si="524"/>
        <v>209724.55847338494</v>
      </c>
      <c r="Z586" s="49">
        <f t="shared" ca="1" si="525"/>
        <v>58215451.516424894</v>
      </c>
      <c r="AA586" s="97">
        <f t="shared" ca="1" si="526"/>
        <v>112891.19947336128</v>
      </c>
      <c r="AB586" s="115">
        <f ca="1">IF(OR(C586="赤日轮1",C586="赤日轮2",C586="赤日轮3"),IF(RAND()&lt;模拟模式!$Y$17,1,0),IF(OR(C586="幽月轮1",C586="幽月轮2",C586="幽月轮3"),IF(RAND()&lt;模拟模式!$Y$18,1,0),IF(C586="烈日斩",IF(RAND()&lt;模拟模式!$Y$19,1,0),IF(C586="银月斩",IF(RAND()&lt;模拟模式!$Y$20,1,0),IF(C586="驱夜断愁",IF(RAND()&lt;模拟模式!$Y$21,1,0),IF(C586="净世破魔击·日",IF(RAND()&lt;模拟模式!$Y$22,1,0),IF(C586="净世破魔击·月",IF(RAND()&lt;模拟模式!$Y$23,1,0),0)))))))</f>
        <v>1</v>
      </c>
      <c r="AC586" s="115" t="b">
        <f t="shared" ca="1" si="514"/>
        <v>0</v>
      </c>
      <c r="AD586" s="115" t="b">
        <f t="shared" ca="1" si="534"/>
        <v>1</v>
      </c>
      <c r="AE586" s="115">
        <f t="shared" ca="1" si="535"/>
        <v>3</v>
      </c>
      <c r="AF586" s="47">
        <f ca="1">IF(AC586,('模拟-单技能数据'!$D$20+G586*'模拟-单技能数据'!$F$20)*(1+J586)*(1+'模拟-单技能数据'!$J$20)*(1+U586),0)</f>
        <v>0</v>
      </c>
      <c r="AG586" s="61">
        <f t="shared" ca="1" si="527"/>
        <v>0.64185145527300214</v>
      </c>
      <c r="AH586" s="61">
        <f t="shared" ca="1" si="528"/>
        <v>2.2624828854998791</v>
      </c>
      <c r="AI586" s="62">
        <f t="shared" ca="1" si="494"/>
        <v>0.46329018081347639</v>
      </c>
      <c r="AJ586" s="47">
        <f ca="1">IF(AD586,IF(AI586&lt;$F$10,0,IF(AI586&lt;$F$10+$F$11,0.25,IF(AI586&lt;$F$10+$F$11+AG586,AH586,1)))*IF(AF586&gt;0,AF586,IF(AF585&gt;0,AF585,IF(AF584&gt;0,AF584,IF(AF583&gt;0,AF583,IF(AF582&gt;0,AF582,IF(AF581&gt;0,AF581,IF(AF580&gt;0,AF580,IF(AF579&gt;0,AF579,IF(AF578&gt;0,AF578,IF(AF576&gt;0,AF576,IF(AF575&gt;0,AF575,IF(AF574&gt;0,AF574,0)))))))))))),0)*(1-$S586)*'模拟-单技能数据'!$I$20</f>
        <v>9616.6571145767884</v>
      </c>
      <c r="AK586" s="115" t="b">
        <f t="shared" ca="1" si="515"/>
        <v>0</v>
      </c>
      <c r="AL586" s="115" t="b">
        <f t="shared" ca="1" si="536"/>
        <v>0</v>
      </c>
      <c r="AM586" s="115">
        <f t="shared" ca="1" si="537"/>
        <v>3</v>
      </c>
      <c r="AN586" s="47">
        <f ca="1">IF(AK586,('模拟-单技能数据'!$D$21+G586*'模拟-单技能数据'!$F$21)*(1+J586)*(1+'模拟-单技能数据'!$J$21)*(1+U586),0)</f>
        <v>0</v>
      </c>
      <c r="AO586" s="61">
        <f ca="1">IF(AN586&gt;0,M586-'模拟-单技能数据'!$K$10,AO585)</f>
        <v>0.42185145527300216</v>
      </c>
      <c r="AP586" s="61">
        <f ca="1">IF(AN586&gt;0,I586-'模拟-单技能数据'!$L$10,AP585)</f>
        <v>2.162482885499879</v>
      </c>
      <c r="AQ586" s="63">
        <f t="shared" ca="1" si="495"/>
        <v>0.71847495602611233</v>
      </c>
      <c r="AR586" s="64">
        <f ca="1">IF(AL586,IF(AQ586&lt;$F$10,0,IF(AQ586&lt;$F$10+$F$11,0.25,IF(AQ586&lt;$F$10+$F$11+AO586,AP586,1)))*IF(AN586&gt;0,AN586,IF(AN585&gt;0,AN585,IF(AN584&gt;0,AN584,IF(AN583&gt;0,AN583,IF(AN582&gt;0,AN582,IF(AN581&gt;0,AN581,IF(AN580&gt;0,AN580,IF(AN579&gt;0,AN579,IF(AN578&gt;0,AN578,IF(AN576&gt;0,AN576,IF(AN575&gt;0,AN575,IF(AN574&gt;0,AN574,0)))))))))))),0)*(1-$S586)*'模拟-单技能数据'!$I$21</f>
        <v>0</v>
      </c>
      <c r="AS586" s="61">
        <f ca="1">IF(OR(C586="净世破魔击·日",C586="净世破魔击·月"),M586-'模拟-单技能数据'!$K$10,0)</f>
        <v>0.42185145527300216</v>
      </c>
      <c r="AT586" s="61">
        <f ca="1">IF(OR(C586="净世破魔击·日",C586="净世破魔击·月"),I586-'模拟-单技能数据'!$L$10,0)</f>
        <v>2.162482885499879</v>
      </c>
      <c r="AU586" s="62">
        <f t="shared" ca="1" si="496"/>
        <v>0.3553676979220749</v>
      </c>
      <c r="AV586" s="64">
        <f ca="1">IF(AS586&gt;0,('模拟-单技能数据'!$D$22+G586*'模拟-单技能数据'!$F$22)*(1+J586)*(1-S586)*IF(AU586&lt;$F$10,0,IF(AU586&lt;$F$10+$F$11,0.25,IF(AU586&lt;$F$10+$F$11+AS586,AT586,1)))*(1+U586),0)*'模拟-单技能数据'!$I$22</f>
        <v>17205.169596245785</v>
      </c>
      <c r="AW586" s="108">
        <f t="shared" ca="1" si="497"/>
        <v>0</v>
      </c>
      <c r="AX586" s="108" t="b">
        <f ca="1">AND(模拟模式!$P$10="有",AW585=0,RAND()&lt;IF(C586="净世破魔击·月",0.1*8/3,IF(C586="净世破魔击·日",0.1*4/3,0.1*2/3)))</f>
        <v>0</v>
      </c>
      <c r="AY586" s="47">
        <f ca="1">IF(AX586,(18+G586*0.722)*(1+J586)*(1-S586)*(1+$I$4)*IF(P586="会",'模拟-全程加成'!$J$3+'模拟-全程加成'!$J$4+'模拟-全程加成'!$J$5+('模拟-全程加成'!$I$4+'模拟-全程加成'!$I$5)/系数!$B$4+BG586*10%,IF(P586="命",1,IF(P586="识",0.25,0))),0)</f>
        <v>0</v>
      </c>
      <c r="AZ586" s="108">
        <f t="shared" si="498"/>
        <v>11.697500000000005</v>
      </c>
      <c r="BA586" s="108" t="b">
        <f>AND(模拟模式!$Q$10="有",AZ585=0)</f>
        <v>0</v>
      </c>
      <c r="BB586" s="140">
        <f>IF(BA586,(0+G586*0.287)*(1+J586)*(1-S586)*(1+$I$4)*IF(P586="会",'模拟-全程加成'!$J$3+'模拟-全程加成'!$J$4+'模拟-全程加成'!$J$5+('模拟-全程加成'!$I$4+'模拟-全程加成'!$I$5)/系数!$B$4+BG586*10%,IF(P586="命",1,IF(P586="识",0.25,0))),0)</f>
        <v>0</v>
      </c>
      <c r="BC586" s="115" t="b">
        <f ca="1">AND(模拟模式!$R$7="伏明众生",E586=60,F586=20,DA586&lt;5,CZ585&lt;$F$4)</f>
        <v>0</v>
      </c>
      <c r="BD586" s="115">
        <f t="shared" ca="1" si="516"/>
        <v>0</v>
      </c>
      <c r="BE586" s="115" t="b">
        <f t="shared" ca="1" si="517"/>
        <v>0</v>
      </c>
      <c r="BF586" s="47">
        <f ca="1">IF(BC586,4*('模拟-单技能数据'!$D$24+G586*'模拟-单技能数据'!$F$24)*(1+J586)*(1+'模拟-单技能数据'!$J$24)*(1-S586)*(1+$I$3)*(('模拟-全程加成'!$J$3+'模拟-全程加成'!$J$4+'模拟-全程加成'!$J$5+('模拟-全程加成'!$I$4+'模拟-全程加成'!$I$5)/系数!$B$4+BG586*10%)*('模拟-全程加成'!$J$3+'模拟-全程加成'!$J$4+'模拟-全程加成'!$J$5+('模拟-全程加成'!$I$4+'模拟-全程加成'!$I$5)/系数!$B$4+BG586*10%)+(1-('模拟-全程加成'!$J$3+'模拟-全程加成'!$J$4+'模拟-全程加成'!$J$5+('模拟-全程加成'!$I$4+'模拟-全程加成'!$I$5)/系数!$B$4+BG586*10%)-$F$10-$F$11)+F572*0.25),0)*'模拟-单技能数据'!$I$24</f>
        <v>0</v>
      </c>
      <c r="BG586" s="115" t="b">
        <f ca="1">OR(AND(OR(C586="烈日斩",C586="银月斩"),模拟模式!$I$7="净身明礼"),AND(C586="净世破魔击·日",模拟模式!$J$7="洞若观火"),AND(C587="净世破魔击·月",模拟模式!$J$7="洞若观火"),AB586=1)</f>
        <v>1</v>
      </c>
      <c r="BH586" s="115" t="b">
        <f t="shared" ca="1" si="499"/>
        <v>0</v>
      </c>
      <c r="BI586" s="115">
        <f t="shared" ca="1" si="518"/>
        <v>0.46499999999999975</v>
      </c>
      <c r="BJ586" s="115" t="b">
        <f t="shared" ca="1" si="529"/>
        <v>1</v>
      </c>
      <c r="BK586" s="115" t="b">
        <f ca="1">AND(C586="驱夜断愁",模拟模式!$P$7="天地诛戮")</f>
        <v>0</v>
      </c>
      <c r="BL586" s="57">
        <f t="shared" ca="1" si="519"/>
        <v>17.232500000000002</v>
      </c>
      <c r="BM586" s="115" t="b">
        <f t="shared" ca="1" si="530"/>
        <v>1</v>
      </c>
      <c r="BN586" s="115" t="b">
        <f ca="1">AND(OR(C586="赤日轮1",C586="赤日轮2",C586="赤日轮3",C586="幽月轮1",C586="幽月轮2",C586="幽月轮3"),AB586=1,模拟模式!$L$7="明光恒照")</f>
        <v>0</v>
      </c>
      <c r="BO586" s="117">
        <f t="shared" ca="1" si="520"/>
        <v>29.077500000000001</v>
      </c>
      <c r="BP586" s="115">
        <f t="shared" ca="1" si="500"/>
        <v>6</v>
      </c>
      <c r="BQ586" s="115" t="b">
        <f>模拟模式!$K$10="2600·水"</f>
        <v>0</v>
      </c>
      <c r="BR586" s="117">
        <f t="shared" si="501"/>
        <v>0</v>
      </c>
      <c r="BS586" s="115">
        <f t="shared" si="502"/>
        <v>0</v>
      </c>
      <c r="BT586" s="115">
        <f t="shared" ca="1" si="503"/>
        <v>0</v>
      </c>
      <c r="BU586" s="115" t="b">
        <f ca="1">AND(模拟模式!$K$10="2300·雷",BT585=0,RAND()&lt;IF(C586="净世破魔击·月",5*0.05*2/3,IF(C586="净世破魔击·日",3*0.05*2/3,0.05*2*2/3)))</f>
        <v>0</v>
      </c>
      <c r="BV586" s="115">
        <f t="shared" ca="1" si="504"/>
        <v>0</v>
      </c>
      <c r="BW586" s="115">
        <f t="shared" ca="1" si="505"/>
        <v>39.779999999999291</v>
      </c>
      <c r="BX586" s="164" t="b">
        <f t="shared" ca="1" si="506"/>
        <v>0</v>
      </c>
      <c r="BY586" s="115">
        <f t="shared" ca="1" si="507"/>
        <v>0</v>
      </c>
      <c r="BZ586" s="115">
        <f>IF(OR(模拟模式!$P$16="10人团",模拟模式!$P$16="25人团"),IF(B586/30&gt;CA585,1,0),0)</f>
        <v>0</v>
      </c>
      <c r="CA586" s="115">
        <f t="shared" si="483"/>
        <v>0</v>
      </c>
      <c r="CB586" s="115">
        <f ca="1">IF(BZ586=1,IF(模拟模式!$P$16="10人团",15,0)+IF(模拟模式!$P$16="25人团",IF(RAND()&lt;0.6,15,0)),MAX(0,CB585-$F$4))</f>
        <v>0</v>
      </c>
      <c r="CC586" s="115" t="b">
        <f t="shared" ca="1" si="531"/>
        <v>0</v>
      </c>
      <c r="CD586" s="115">
        <f>IF(模拟模式!$Q$16="1个",IF(B586/40&gt;CE585,1,0),0)</f>
        <v>0</v>
      </c>
      <c r="CE586" s="115">
        <f t="shared" si="532"/>
        <v>0</v>
      </c>
      <c r="CF586" s="115">
        <f>IF(OR(CD586=1,模拟模式!$Q$16="2个"),20,MAX(0,CF585-$F$4))</f>
        <v>0</v>
      </c>
      <c r="CG586" s="115" t="b">
        <f t="shared" si="533"/>
        <v>0</v>
      </c>
      <c r="CH586" s="115">
        <f t="shared" ca="1" si="508"/>
        <v>0</v>
      </c>
      <c r="CI586" s="115" t="b">
        <f t="shared" ca="1" si="509"/>
        <v>0</v>
      </c>
      <c r="CJ586" s="119">
        <f t="shared" ca="1" si="510"/>
        <v>0</v>
      </c>
      <c r="CK586" s="115">
        <f t="shared" ca="1" si="511"/>
        <v>0</v>
      </c>
      <c r="CL586" s="115" t="b">
        <f ca="1">AND(模拟模式!$S$7="驱夷逐法",OR(AND(C586="净世破魔击·月",E585&gt;59),AND(C586="净世破魔击·日",F585&gt;59)))</f>
        <v>1</v>
      </c>
      <c r="CM586" s="115" t="b">
        <f ca="1">OR(CL586,AND(C586="净世破魔击·日",CL585,RAND()&lt;模拟模式!$U$23))</f>
        <v>1</v>
      </c>
      <c r="CN586" s="115" t="b">
        <f ca="1">IF(模拟模式!$M$7="辉耀红尘",AND(C586="净世破魔击·月",CL586,CV586=0,E585&lt;80),AND(C586="净世破魔击·月",CL586,E585&lt;100))</f>
        <v>0</v>
      </c>
      <c r="CO586" s="115" t="b">
        <f t="shared" ca="1" si="484"/>
        <v>0</v>
      </c>
      <c r="CP586" s="115" t="b">
        <f ca="1">AND(模拟模式!$O$7="用晦而明",OR(C586="净世破魔击·日",C586="净世破魔击·月",C586="驱夜断愁"),AB586)</f>
        <v>1</v>
      </c>
      <c r="CQ586" s="115" t="b">
        <f ca="1">OR(CP586,AND(CP585,RAND()&lt;模拟模式!$U$23))</f>
        <v>1</v>
      </c>
      <c r="CR586" s="115" t="b">
        <f ca="1">AND(模拟模式!$S$7="日月齐光",OR(C586="幽月轮1",C586="幽月轮2",C586="幽月轮3",CR585),NOT(OR(C586="赤日轮1",C586="赤日轮2",C586="赤日轮3")))</f>
        <v>0</v>
      </c>
      <c r="CS586" s="115" t="b">
        <f ca="1">AND(模拟模式!$S$7="日月齐光",OR(C586="赤日轮1",C586="赤日轮2",C586="赤日轮3",CS585),NOT(OR(C586="幽月轮1",C586="幽月轮2",C586="幽月轮3")))</f>
        <v>0</v>
      </c>
      <c r="CT586" s="115">
        <f t="shared" ca="1" si="512"/>
        <v>30</v>
      </c>
      <c r="CU586" s="115" t="b">
        <f ca="1">AND(模拟模式!$K$10="阴阳往极",CT585=0,RAND()&lt;IF(C586="净世破魔击·月",0.0275*7/3,IF(C586="净世破魔击·日",0.0275*3/3,0.0275*2/3)))</f>
        <v>1</v>
      </c>
      <c r="CV586" s="115">
        <f t="shared" ca="1" si="513"/>
        <v>4.0774999999999997</v>
      </c>
      <c r="CW586" s="115">
        <f t="shared" ca="1" si="485"/>
        <v>4.1549999999999994</v>
      </c>
      <c r="CX586" s="115">
        <f t="shared" ca="1" si="486"/>
        <v>2.3099999999999996</v>
      </c>
      <c r="CY586" s="115">
        <f ca="1">MAX(IF($C586="驱夜断愁",IF(模拟模式!$R$7="万念俱寂",6,45),CY585-$F$4),0)</f>
        <v>3.2324999999999995</v>
      </c>
      <c r="CZ586" s="115">
        <f t="shared" ca="1" si="487"/>
        <v>0</v>
      </c>
      <c r="DA586" s="115">
        <f ca="1">IF(模拟模式!$N$7="日月同辉",IF(DB585=2,0,MIN(6,IF(AND(OR(C586="赤日轮1",C586="赤日轮2",C586="赤日轮3",C586="幽月轮1",C586="幽月轮2",C586="幽月轮3"),AB586=1),DA585+1,DA585))),0)</f>
        <v>5</v>
      </c>
      <c r="DB586" s="115">
        <f t="shared" ca="1" si="488"/>
        <v>0</v>
      </c>
      <c r="DC586" s="115"/>
      <c r="DD586" s="115"/>
      <c r="DE586" s="115"/>
      <c r="DF586" s="115"/>
      <c r="DG586" s="115"/>
      <c r="DH586" s="115"/>
      <c r="DI586" s="115"/>
      <c r="DJ586" s="115"/>
      <c r="DK586" s="115"/>
      <c r="DL586" s="115"/>
      <c r="DM586" s="115"/>
    </row>
    <row r="587" spans="2:117" x14ac:dyDescent="0.2">
      <c r="B587" s="117">
        <f t="shared" si="489"/>
        <v>516.60000000000559</v>
      </c>
      <c r="C587" s="167" t="str">
        <f t="shared" ca="1" si="482"/>
        <v>净世破魔击·日</v>
      </c>
      <c r="D587" s="115">
        <f ca="1">IF(C587="赤日轮1",1,IF(C587="赤日轮2",2,IF(C587="赤日轮3",3,IF(C587="幽月轮1",4,IF(C587="幽月轮2",5,IF(C587="幽月轮3",6,IF(C587="烈日斩",7,IF(C587="银月斩",8,IF(C587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587="净世破魔击·月",17,IF(C587="驱夜断愁",18,0)))))))))))</f>
        <v>9</v>
      </c>
      <c r="E587" s="115">
        <f ca="1">IF(AND(CU587,OR(C587="幽月轮1",C587="幽月轮2",C587="幽月轮3",C587="银月斩",C587="驱夜断愁",C587="净世破魔击·月")),100,MIN(IF(OR(CN587,BE587),0,IF(OR($C587="赤日轮1",$C587="赤日轮2",$C587="赤日轮3"),E586+20+IF(模拟模式!$I$7="日月凌天",4,0)+IF(CR586,20,0),IF($C587="烈日斩",E586+40,IF($C587="驱夜断愁",IF(模拟模式!$R$7="万念俱寂",E586+20,E586+60),IF($C587="净世破魔击·月",IF(OR(DB586&gt;0,CV586&gt;0),100,IF(模拟模式!$M$7="辉耀红尘",E586+20,E586)),IF($C587="净世破魔击·日",E586-100,E586)))))),100))</f>
        <v>0</v>
      </c>
      <c r="F587" s="115">
        <f ca="1">IF(AND(CU587,OR(C587="赤日轮1",C587="赤日轮2",C587="赤日轮3",C587="烈日斩",C587="净世破魔击·日")),100,MIN(IF(CO587,0,IF(OR($C587="幽月轮1",$C587="幽月轮2",$C587="幽月轮3"),F586+20+IF(模拟模式!$I$7="日月凌天",4,0)+IF(CS586,20,0),IF($C587="银月斩",F586+40+IF(模拟模式!$X$12=1,5,0),IF($C587="驱夜断愁",IF(模拟模式!$R$7="万念俱寂",F586+20,F586+60),IF($C587="净世破魔击·月",IF(模拟模式!$M$7="辉耀红尘",F586-80,F586-100),IF(AND(C587="净世破魔击·日",OR(DB586&gt;0,CV586&gt;0)),100,F586)))))),100))</f>
        <v>100</v>
      </c>
      <c r="G587" s="117">
        <f ca="1">('模拟-全程加成'!$E$3+'模拟-全程加成'!$E$4+'模拟-全程加成'!$E$5+('模拟-全程加成'!$C$6-'模拟-全程加成'!$C$3)*系数!$B$9+BS587*23)*(1+'模拟-全程加成'!$F$4+'模拟-全程加成'!$F$5+BJ587*10%+BM587*20%+BP587*4%+CG587*30%)+$F$7*系数!$B$12</f>
        <v>20583.127400000001</v>
      </c>
      <c r="H587" s="45">
        <f ca="1">'模拟-全程加成'!$H$3+'模拟-全程加成'!$H$4+'模拟-全程加成'!$H$5+('模拟-全程加成'!$G$4+'模拟-全程加成'!$G$5+('模拟-全程加成'!$C$6-'模拟-全程加成'!$C$3)*系数!$B$13)/系数!$B$3+LOOKUP(D587,'模拟-单技能数据'!$A$2:$A$19,'模拟-单技能数据'!$K$2:$K$19)+BG587*10%+IF(BV587&gt;0,378,0)</f>
        <v>0.54185145527300216</v>
      </c>
      <c r="I587" s="45">
        <f ca="1">'模拟-全程加成'!$J$3+'模拟-全程加成'!$J$4+'模拟-全程加成'!$J$5+('模拟-全程加成'!$I$4+'模拟-全程加成'!$I$5)/系数!$B$4+LOOKUP(D587,'模拟-单技能数据'!$A$2:$A$19,'模拟-单技能数据'!$L$2:$L$19)+BG587*10%</f>
        <v>2.162482885499879</v>
      </c>
      <c r="J587" s="45">
        <f ca="1">(('模拟-全程加成'!$K$3+'模拟-全程加成'!$K$4+'模拟-全程加成'!$K$5+('模拟-全程加成'!$C$6-'模拟-全程加成'!$C$3)*系数!$B$10+IF(BV587&gt;0,882,0)+IF(BY587&gt;0,1831,0))*(1+'模拟-全程加成'!$L$4+'模拟-全程加成'!$L$5+CC587*20%))/系数!$B$5</f>
        <v>0.69723220422048726</v>
      </c>
      <c r="K587" s="119">
        <f ca="1">LOOKUP(D587,'模拟-单技能数据'!$A$2:$A$19,'模拟-单技能数据'!$J$2:$J$19)+IF(CM587,60%,0)+IF(DB586-DB587&gt;0,30%,0)+IF(OR(AND(OR(C587="赤日轮1",C587="赤日轮2",C587="赤日轮3"),CR587),AND(OR(C587="幽月轮1",C587="幽月轮2",C587="幽月轮3"),CS587)),35%,0)+CJ587</f>
        <v>0.8</v>
      </c>
      <c r="L587" s="119">
        <f ca="1">IF(AND(C587="烈日斩",模拟模式!$X$11=1),10%,0)+IF(AND(C587="驱夜断愁",AB587=1),30%,0)</f>
        <v>0</v>
      </c>
      <c r="M587" s="45">
        <f t="shared" ca="1" si="521"/>
        <v>0.54185145527300216</v>
      </c>
      <c r="N587" s="45">
        <f t="shared" ca="1" si="522"/>
        <v>0.40424854472699789</v>
      </c>
      <c r="O587" s="46">
        <f t="shared" ca="1" si="490"/>
        <v>0.68132121395313705</v>
      </c>
      <c r="P587" s="46" t="str">
        <f t="shared" ca="1" si="491"/>
        <v>命</v>
      </c>
      <c r="Q587" s="45">
        <f t="shared" ca="1" si="492"/>
        <v>1</v>
      </c>
      <c r="R587" s="117">
        <f ca="1">模拟模式!$E$20*(1-IF(模拟模式!$J$19="有",0.15,0))*(1-IF(模拟模式!$K$19="有",0.3,0)-IF(CQ587,0.5,0))</f>
        <v>843.02999999999975</v>
      </c>
      <c r="S587" s="45">
        <f ca="1">R587/(R587+(185*模拟模式!$E$22-16800)*4.08224)</f>
        <v>8.389626085980037E-2</v>
      </c>
      <c r="T587" s="45" t="str">
        <f ca="1">LOOKUP(D587,'模拟-单技能数据'!$A$2:$A$19,'模拟-单技能数据'!$H$2:$H$19)</f>
        <v>阳</v>
      </c>
      <c r="U587" s="119">
        <f t="shared" ca="1" si="523"/>
        <v>0.2</v>
      </c>
      <c r="V587" s="47">
        <f ca="1">(1+L587)*(LOOKUP(D587,'模拟-单技能数据'!$A$2:$A$19,'模拟-单技能数据'!$D$2:$D$19)+G587*LOOKUP(D587,'模拟-单技能数据'!$A$2:$A$19,'模拟-单技能数据'!$F$2:$F$19))*(1+J587)*(1+K587)*(1-S587)*(1+U587)*Q587*LOOKUP(D587,'模拟-单技能数据'!$A$2:$A$19,'模拟-单技能数据'!$I$2:$I$20)</f>
        <v>90597.625627626709</v>
      </c>
      <c r="W587" s="47">
        <f ca="1">LOOKUP(D587,'模拟-单技能数据'!$A$2:$A$19,'模拟-单技能数据'!$G$2:$G$19)*$I$10</f>
        <v>723.0212870940959</v>
      </c>
      <c r="X587" s="47">
        <f t="shared" ca="1" si="493"/>
        <v>29474.113140456007</v>
      </c>
      <c r="Y587" s="47">
        <f t="shared" ca="1" si="524"/>
        <v>120794.7600551768</v>
      </c>
      <c r="Z587" s="49">
        <f t="shared" ca="1" si="525"/>
        <v>58336246.276480071</v>
      </c>
      <c r="AA587" s="97">
        <f t="shared" ca="1" si="526"/>
        <v>112923.43452667333</v>
      </c>
      <c r="AB587" s="115">
        <f ca="1">IF(OR(C587="赤日轮1",C587="赤日轮2",C587="赤日轮3"),IF(RAND()&lt;模拟模式!$Y$17,1,0),IF(OR(C587="幽月轮1",C587="幽月轮2",C587="幽月轮3"),IF(RAND()&lt;模拟模式!$Y$18,1,0),IF(C587="烈日斩",IF(RAND()&lt;模拟模式!$Y$19,1,0),IF(C587="银月斩",IF(RAND()&lt;模拟模式!$Y$20,1,0),IF(C587="驱夜断愁",IF(RAND()&lt;模拟模式!$Y$21,1,0),IF(C587="净世破魔击·日",IF(RAND()&lt;模拟模式!$Y$22,1,0),IF(C587="净世破魔击·月",IF(RAND()&lt;模拟模式!$Y$23,1,0),0)))))))</f>
        <v>1</v>
      </c>
      <c r="AC587" s="115" t="b">
        <f t="shared" ca="1" si="514"/>
        <v>0</v>
      </c>
      <c r="AD587" s="115" t="b">
        <f t="shared" ca="1" si="534"/>
        <v>0</v>
      </c>
      <c r="AE587" s="115">
        <f t="shared" ca="1" si="535"/>
        <v>3</v>
      </c>
      <c r="AF587" s="47">
        <f ca="1">IF(AC587,('模拟-单技能数据'!$D$20+G587*'模拟-单技能数据'!$F$20)*(1+J587)*(1+'模拟-单技能数据'!$J$20)*(1+U587),0)</f>
        <v>0</v>
      </c>
      <c r="AG587" s="61">
        <f t="shared" ca="1" si="527"/>
        <v>0.64185145527300214</v>
      </c>
      <c r="AH587" s="61">
        <f t="shared" ca="1" si="528"/>
        <v>2.2624828854998791</v>
      </c>
      <c r="AI587" s="62">
        <f t="shared" ca="1" si="494"/>
        <v>6.6095705059064813E-2</v>
      </c>
      <c r="AJ587" s="47">
        <f ca="1">IF(AD587,IF(AI587&lt;$F$10,0,IF(AI587&lt;$F$10+$F$11,0.25,IF(AI587&lt;$F$10+$F$11+AG587,AH587,1)))*IF(AF587&gt;0,AF587,IF(AF586&gt;0,AF586,IF(AF585&gt;0,AF585,IF(AF584&gt;0,AF584,IF(AF583&gt;0,AF583,IF(AF582&gt;0,AF582,IF(AF581&gt;0,AF581,IF(AF580&gt;0,AF580,IF(AF579&gt;0,AF579,IF(AF577&gt;0,AF577,IF(AF576&gt;0,AF576,IF(AF575&gt;0,AF575,0)))))))))))),0)*(1-$S587)*'模拟-单技能数据'!$I$20</f>
        <v>0</v>
      </c>
      <c r="AK587" s="115" t="b">
        <f t="shared" ca="1" si="515"/>
        <v>1</v>
      </c>
      <c r="AL587" s="115" t="b">
        <f t="shared" ca="1" si="536"/>
        <v>1</v>
      </c>
      <c r="AM587" s="115">
        <f t="shared" ca="1" si="537"/>
        <v>5</v>
      </c>
      <c r="AN587" s="47">
        <f ca="1">IF(AK587,('模拟-单技能数据'!$D$21+G587*'模拟-单技能数据'!$F$21)*(1+J587)*(1+'模拟-单技能数据'!$J$21)*(1+U587),0)</f>
        <v>12136.56601728573</v>
      </c>
      <c r="AO587" s="61">
        <f ca="1">IF(AN587&gt;0,M587-'模拟-单技能数据'!$K$10,AO586)</f>
        <v>0.42185145527300216</v>
      </c>
      <c r="AP587" s="61">
        <f ca="1">IF(AN587&gt;0,I587-'模拟-单技能数据'!$L$10,AP586)</f>
        <v>2.162482885499879</v>
      </c>
      <c r="AQ587" s="63">
        <f t="shared" ca="1" si="495"/>
        <v>0.56014575700401525</v>
      </c>
      <c r="AR587" s="64">
        <f ca="1">IF(AL587,IF(AQ587&lt;$F$10,0,IF(AQ587&lt;$F$10+$F$11,0.25,IF(AQ587&lt;$F$10+$F$11+AO587,AP587,1)))*IF(AN587&gt;0,AN587,IF(AN586&gt;0,AN586,IF(AN585&gt;0,AN585,IF(AN584&gt;0,AN584,IF(AN583&gt;0,AN583,IF(AN582&gt;0,AN582,IF(AN581&gt;0,AN581,IF(AN580&gt;0,AN580,IF(AN579&gt;0,AN579,IF(AN577&gt;0,AN577,IF(AN576&gt;0,AN576,IF(AN575&gt;0,AN575,0)))))))))))),0)*(1-$S587)*'模拟-单技能数据'!$I$21</f>
        <v>11118.353508757338</v>
      </c>
      <c r="AS587" s="61">
        <f ca="1">IF(OR(C587="净世破魔击·日",C587="净世破魔击·月"),M587-'模拟-单技能数据'!$K$10,0)</f>
        <v>0.42185145527300216</v>
      </c>
      <c r="AT587" s="61">
        <f ca="1">IF(OR(C587="净世破魔击·日",C587="净世破魔击·月"),I587-'模拟-单技能数据'!$L$10,0)</f>
        <v>2.162482885499879</v>
      </c>
      <c r="AU587" s="62">
        <f t="shared" ca="1" si="496"/>
        <v>0.37591251946744009</v>
      </c>
      <c r="AV587" s="64">
        <f ca="1">IF(AS587&gt;0,('模拟-单技能数据'!$D$22+G587*'模拟-单技能数据'!$F$22)*(1+J587)*(1-S587)*IF(AU587&lt;$F$10,0,IF(AU587&lt;$F$10+$F$11,0.25,IF(AU587&lt;$F$10+$F$11+AS587,AT587,1)))*(1+U587),0)*'模拟-单技能数据'!$I$22</f>
        <v>18355.759631698667</v>
      </c>
      <c r="AW587" s="108">
        <f t="shared" ca="1" si="497"/>
        <v>0</v>
      </c>
      <c r="AX587" s="108" t="b">
        <f ca="1">AND(模拟模式!$P$10="有",AW586=0,RAND()&lt;IF(C587="净世破魔击·月",0.1*8/3,IF(C587="净世破魔击·日",0.1*4/3,0.1*2/3)))</f>
        <v>0</v>
      </c>
      <c r="AY587" s="47">
        <f ca="1">IF(AX587,(18+G587*0.722)*(1+J587)*(1-S587)*(1+$I$4)*IF(P587="会",'模拟-全程加成'!$J$3+'模拟-全程加成'!$J$4+'模拟-全程加成'!$J$5+('模拟-全程加成'!$I$4+'模拟-全程加成'!$I$5)/系数!$B$4+BG587*10%,IF(P587="命",1,IF(P587="识",0.25,0))),0)</f>
        <v>0</v>
      </c>
      <c r="AZ587" s="108">
        <f t="shared" si="498"/>
        <v>10.775000000000006</v>
      </c>
      <c r="BA587" s="108" t="b">
        <f>AND(模拟模式!$Q$10="有",AZ586=0)</f>
        <v>0</v>
      </c>
      <c r="BB587" s="140">
        <f>IF(BA587,(0+G587*0.287)*(1+J587)*(1-S587)*(1+$I$4)*IF(P587="会",'模拟-全程加成'!$J$3+'模拟-全程加成'!$J$4+'模拟-全程加成'!$J$5+('模拟-全程加成'!$I$4+'模拟-全程加成'!$I$5)/系数!$B$4+BG587*10%,IF(P587="命",1,IF(P587="识",0.25,0))),0)</f>
        <v>0</v>
      </c>
      <c r="BC587" s="115" t="b">
        <f ca="1">AND(模拟模式!$R$7="伏明众生",E587=60,F587=20,DA587&lt;5,CZ586&lt;$F$4)</f>
        <v>0</v>
      </c>
      <c r="BD587" s="115">
        <f t="shared" ca="1" si="516"/>
        <v>0</v>
      </c>
      <c r="BE587" s="115" t="b">
        <f t="shared" ca="1" si="517"/>
        <v>0</v>
      </c>
      <c r="BF587" s="47">
        <f ca="1">IF(BC587,4*('模拟-单技能数据'!$D$24+G587*'模拟-单技能数据'!$F$24)*(1+J587)*(1+'模拟-单技能数据'!$J$24)*(1-S587)*(1+$I$3)*(('模拟-全程加成'!$J$3+'模拟-全程加成'!$J$4+'模拟-全程加成'!$J$5+('模拟-全程加成'!$I$4+'模拟-全程加成'!$I$5)/系数!$B$4+BG587*10%)*('模拟-全程加成'!$J$3+'模拟-全程加成'!$J$4+'模拟-全程加成'!$J$5+('模拟-全程加成'!$I$4+'模拟-全程加成'!$I$5)/系数!$B$4+BG587*10%)+(1-('模拟-全程加成'!$J$3+'模拟-全程加成'!$J$4+'模拟-全程加成'!$J$5+('模拟-全程加成'!$I$4+'模拟-全程加成'!$I$5)/系数!$B$4+BG587*10%)-$F$10-$F$11)+F573*0.25),0)*'模拟-单技能数据'!$I$24</f>
        <v>0</v>
      </c>
      <c r="BG587" s="115" t="b">
        <f ca="1">OR(AND(OR(C587="烈日斩",C587="银月斩"),模拟模式!$I$7="净身明礼"),AND(C587="净世破魔击·日",模拟模式!$J$7="洞若观火"),AND(C588="净世破魔击·月",模拟模式!$J$7="洞若观火"),AB587=1)</f>
        <v>1</v>
      </c>
      <c r="BH587" s="115" t="b">
        <f t="shared" ca="1" si="499"/>
        <v>0</v>
      </c>
      <c r="BI587" s="115">
        <f t="shared" ca="1" si="518"/>
        <v>0</v>
      </c>
      <c r="BJ587" s="115" t="b">
        <f t="shared" ca="1" si="529"/>
        <v>0</v>
      </c>
      <c r="BK587" s="115" t="b">
        <f ca="1">AND(C587="驱夜断愁",模拟模式!$P$7="天地诛戮")</f>
        <v>0</v>
      </c>
      <c r="BL587" s="57">
        <f t="shared" ca="1" si="519"/>
        <v>16.310000000000002</v>
      </c>
      <c r="BM587" s="115" t="b">
        <f t="shared" ca="1" si="530"/>
        <v>1</v>
      </c>
      <c r="BN587" s="115" t="b">
        <f ca="1">AND(OR(C587="赤日轮1",C587="赤日轮2",C587="赤日轮3",C587="幽月轮1",C587="幽月轮2",C587="幽月轮3"),AB587=1,模拟模式!$L$7="明光恒照")</f>
        <v>0</v>
      </c>
      <c r="BO587" s="117">
        <f t="shared" ca="1" si="520"/>
        <v>28.155000000000001</v>
      </c>
      <c r="BP587" s="115">
        <f t="shared" ca="1" si="500"/>
        <v>6</v>
      </c>
      <c r="BQ587" s="115" t="b">
        <f>模拟模式!$K$10="2600·水"</f>
        <v>0</v>
      </c>
      <c r="BR587" s="117">
        <f t="shared" si="501"/>
        <v>0</v>
      </c>
      <c r="BS587" s="115">
        <f t="shared" si="502"/>
        <v>0</v>
      </c>
      <c r="BT587" s="115">
        <f t="shared" ca="1" si="503"/>
        <v>0</v>
      </c>
      <c r="BU587" s="115" t="b">
        <f ca="1">AND(模拟模式!$K$10="2300·雷",BT586=0,RAND()&lt;IF(C587="净世破魔击·月",5*0.05*2/3,IF(C587="净世破魔击·日",3*0.05*2/3,0.05*2*2/3)))</f>
        <v>0</v>
      </c>
      <c r="BV587" s="115">
        <f t="shared" ca="1" si="504"/>
        <v>0</v>
      </c>
      <c r="BW587" s="115">
        <f t="shared" ca="1" si="505"/>
        <v>38.857499999999291</v>
      </c>
      <c r="BX587" s="164" t="b">
        <f t="shared" ca="1" si="506"/>
        <v>0</v>
      </c>
      <c r="BY587" s="115">
        <f t="shared" ca="1" si="507"/>
        <v>0</v>
      </c>
      <c r="BZ587" s="115">
        <f>IF(OR(模拟模式!$P$16="10人团",模拟模式!$P$16="25人团"),IF(B587/30&gt;CA586,1,0),0)</f>
        <v>0</v>
      </c>
      <c r="CA587" s="115">
        <f t="shared" si="483"/>
        <v>0</v>
      </c>
      <c r="CB587" s="115">
        <f ca="1">IF(BZ587=1,IF(模拟模式!$P$16="10人团",15,0)+IF(模拟模式!$P$16="25人团",IF(RAND()&lt;0.6,15,0)),MAX(0,CB586-$F$4))</f>
        <v>0</v>
      </c>
      <c r="CC587" s="115" t="b">
        <f t="shared" ca="1" si="531"/>
        <v>0</v>
      </c>
      <c r="CD587" s="115">
        <f>IF(模拟模式!$Q$16="1个",IF(B587/40&gt;CE586,1,0),0)</f>
        <v>0</v>
      </c>
      <c r="CE587" s="115">
        <f t="shared" si="532"/>
        <v>0</v>
      </c>
      <c r="CF587" s="115">
        <f>IF(OR(CD587=1,模拟模式!$Q$16="2个"),20,MAX(0,CF586-$F$4))</f>
        <v>0</v>
      </c>
      <c r="CG587" s="115" t="b">
        <f t="shared" si="533"/>
        <v>0</v>
      </c>
      <c r="CH587" s="115">
        <f t="shared" ca="1" si="508"/>
        <v>0</v>
      </c>
      <c r="CI587" s="115" t="b">
        <f t="shared" ca="1" si="509"/>
        <v>0</v>
      </c>
      <c r="CJ587" s="119">
        <f t="shared" ca="1" si="510"/>
        <v>0</v>
      </c>
      <c r="CK587" s="115">
        <f t="shared" ca="1" si="511"/>
        <v>0</v>
      </c>
      <c r="CL587" s="115" t="b">
        <f ca="1">AND(模拟模式!$S$7="驱夷逐法",OR(AND(C587="净世破魔击·月",E586&gt;59),AND(C587="净世破魔击·日",F586&gt;59)))</f>
        <v>0</v>
      </c>
      <c r="CM587" s="115" t="b">
        <f ca="1">OR(CL587,AND(C587="净世破魔击·日",CL586,RAND()&lt;模拟模式!$U$23))</f>
        <v>1</v>
      </c>
      <c r="CN587" s="115" t="b">
        <f ca="1">IF(模拟模式!$M$7="辉耀红尘",AND(C587="净世破魔击·月",CL587,CV587=0,E586&lt;80),AND(C587="净世破魔击·月",CL587,E586&lt;100))</f>
        <v>0</v>
      </c>
      <c r="CO587" s="115" t="b">
        <f t="shared" ca="1" si="484"/>
        <v>0</v>
      </c>
      <c r="CP587" s="115" t="b">
        <f ca="1">AND(模拟模式!$O$7="用晦而明",OR(C587="净世破魔击·日",C587="净世破魔击·月",C587="驱夜断愁"),AB587)</f>
        <v>1</v>
      </c>
      <c r="CQ587" s="115" t="b">
        <f ca="1">OR(CP587,AND(CP586,RAND()&lt;模拟模式!$U$23))</f>
        <v>1</v>
      </c>
      <c r="CR587" s="115" t="b">
        <f ca="1">AND(模拟模式!$S$7="日月齐光",OR(C587="幽月轮1",C587="幽月轮2",C587="幽月轮3",CR586),NOT(OR(C587="赤日轮1",C587="赤日轮2",C587="赤日轮3")))</f>
        <v>0</v>
      </c>
      <c r="CS587" s="115" t="b">
        <f ca="1">AND(模拟模式!$S$7="日月齐光",OR(C587="赤日轮1",C587="赤日轮2",C587="赤日轮3",CS586),NOT(OR(C587="幽月轮1",C587="幽月轮2",C587="幽月轮3")))</f>
        <v>0</v>
      </c>
      <c r="CT587" s="115">
        <f t="shared" ca="1" si="512"/>
        <v>29.077500000000001</v>
      </c>
      <c r="CU587" s="115" t="b">
        <f ca="1">AND(模拟模式!$K$10="阴阳往极",CT586=0,RAND()&lt;IF(C587="净世破魔击·月",0.0275*7/3,IF(C587="净世破魔击·日",0.0275*3/3,0.0275*2/3)))</f>
        <v>0</v>
      </c>
      <c r="CV587" s="115">
        <f t="shared" ca="1" si="513"/>
        <v>3.1549999999999998</v>
      </c>
      <c r="CW587" s="115">
        <f t="shared" ca="1" si="485"/>
        <v>3.2324999999999995</v>
      </c>
      <c r="CX587" s="115">
        <f t="shared" ca="1" si="486"/>
        <v>1.3874999999999997</v>
      </c>
      <c r="CY587" s="115">
        <f ca="1">MAX(IF($C587="驱夜断愁",IF(模拟模式!$R$7="万念俱寂",6,45),CY586-$F$4),0)</f>
        <v>2.3099999999999996</v>
      </c>
      <c r="CZ587" s="115">
        <f t="shared" ca="1" si="487"/>
        <v>0</v>
      </c>
      <c r="DA587" s="115">
        <f ca="1">IF(模拟模式!$N$7="日月同辉",IF(DB586=2,0,MIN(6,IF(AND(OR(C587="赤日轮1",C587="赤日轮2",C587="赤日轮3",C587="幽月轮1",C587="幽月轮2",C587="幽月轮3"),AB587=1),DA586+1,DA586))),0)</f>
        <v>5</v>
      </c>
      <c r="DB587" s="115">
        <f t="shared" ca="1" si="488"/>
        <v>0</v>
      </c>
      <c r="DC587" s="115"/>
      <c r="DD587" s="115"/>
      <c r="DE587" s="115"/>
      <c r="DF587" s="115"/>
      <c r="DG587" s="115"/>
      <c r="DH587" s="115"/>
      <c r="DI587" s="115"/>
      <c r="DJ587" s="115"/>
      <c r="DK587" s="115"/>
      <c r="DL587" s="115"/>
      <c r="DM587" s="115"/>
    </row>
    <row r="588" spans="2:117" x14ac:dyDescent="0.2">
      <c r="B588" s="117">
        <f t="shared" si="489"/>
        <v>517.52250000000561</v>
      </c>
      <c r="C588" s="167" t="str">
        <f t="shared" ca="1" si="482"/>
        <v>净世破魔击·月</v>
      </c>
      <c r="D588" s="115">
        <f ca="1">IF(C588="赤日轮1",1,IF(C588="赤日轮2",2,IF(C588="赤日轮3",3,IF(C588="幽月轮1",4,IF(C588="幽月轮2",5,IF(C588="幽月轮3",6,IF(C588="烈日斩",7,IF(C588="银月斩",8,IF(C588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588="净世破魔击·月",17,IF(C588="驱夜断愁",18,0)))))))))))</f>
        <v>17</v>
      </c>
      <c r="E588" s="115">
        <f ca="1">IF(AND(CU588,OR(C588="幽月轮1",C588="幽月轮2",C588="幽月轮3",C588="银月斩",C588="驱夜断愁",C588="净世破魔击·月")),100,MIN(IF(OR(CN588,BE588),0,IF(OR($C588="赤日轮1",$C588="赤日轮2",$C588="赤日轮3"),E587+20+IF(模拟模式!$I$7="日月凌天",4,0)+IF(CR587,20,0),IF($C588="烈日斩",E587+40,IF($C588="驱夜断愁",IF(模拟模式!$R$7="万念俱寂",E587+20,E587+60),IF($C588="净世破魔击·月",IF(OR(DB587&gt;0,CV587&gt;0),100,IF(模拟模式!$M$7="辉耀红尘",E587+20,E587)),IF($C588="净世破魔击·日",E587-100,E587)))))),100))</f>
        <v>100</v>
      </c>
      <c r="F588" s="115">
        <f ca="1">IF(AND(CU588,OR(C588="赤日轮1",C588="赤日轮2",C588="赤日轮3",C588="烈日斩",C588="净世破魔击·日")),100,MIN(IF(CO588,0,IF(OR($C588="幽月轮1",$C588="幽月轮2",$C588="幽月轮3"),F587+20+IF(模拟模式!$I$7="日月凌天",4,0)+IF(CS587,20,0),IF($C588="银月斩",F587+40+IF(模拟模式!$X$12=1,5,0),IF($C588="驱夜断愁",IF(模拟模式!$R$7="万念俱寂",F587+20,F587+60),IF($C588="净世破魔击·月",IF(模拟模式!$M$7="辉耀红尘",F587-80,F587-100),IF(AND(C588="净世破魔击·日",OR(DB587&gt;0,CV587&gt;0)),100,F587)))))),100))</f>
        <v>20</v>
      </c>
      <c r="G588" s="117">
        <f ca="1">('模拟-全程加成'!$E$3+'模拟-全程加成'!$E$4+'模拟-全程加成'!$E$5+('模拟-全程加成'!$C$6-'模拟-全程加成'!$C$3)*系数!$B$9+BS588*23)*(1+'模拟-全程加成'!$F$4+'模拟-全程加成'!$F$5+BJ588*10%+BM588*20%+BP588*4%+CG588*30%)+$F$7*系数!$B$12</f>
        <v>21493.829400000002</v>
      </c>
      <c r="H588" s="45">
        <f ca="1">'模拟-全程加成'!$H$3+'模拟-全程加成'!$H$4+'模拟-全程加成'!$H$5+('模拟-全程加成'!$G$4+'模拟-全程加成'!$G$5+('模拟-全程加成'!$C$6-'模拟-全程加成'!$C$3)*系数!$B$13)/系数!$B$3+LOOKUP(D588,'模拟-单技能数据'!$A$2:$A$19,'模拟-单技能数据'!$K$2:$K$19)+BG588*10%+IF(BV588&gt;0,378,0)</f>
        <v>0.54185145527300216</v>
      </c>
      <c r="I588" s="45">
        <f ca="1">'模拟-全程加成'!$J$3+'模拟-全程加成'!$J$4+'模拟-全程加成'!$J$5+('模拟-全程加成'!$I$4+'模拟-全程加成'!$I$5)/系数!$B$4+LOOKUP(D588,'模拟-单技能数据'!$A$2:$A$19,'模拟-单技能数据'!$L$2:$L$19)+BG588*10%</f>
        <v>2.162482885499879</v>
      </c>
      <c r="J588" s="45">
        <f ca="1">(('模拟-全程加成'!$K$3+'模拟-全程加成'!$K$4+'模拟-全程加成'!$K$5+('模拟-全程加成'!$C$6-'模拟-全程加成'!$C$3)*系数!$B$10+IF(BV588&gt;0,882,0)+IF(BY588&gt;0,1831,0))*(1+'模拟-全程加成'!$L$4+'模拟-全程加成'!$L$5+CC588*20%))/系数!$B$5</f>
        <v>0.69723220422048726</v>
      </c>
      <c r="K588" s="119">
        <f ca="1">LOOKUP(D588,'模拟-单技能数据'!$A$2:$A$19,'模拟-单技能数据'!$J$2:$J$19)+IF(CM588,60%,0)+IF(DB587-DB588&gt;0,30%,0)+IF(OR(AND(OR(C588="赤日轮1",C588="赤日轮2",C588="赤日轮3"),CR588),AND(OR(C588="幽月轮1",C588="幽月轮2",C588="幽月轮3"),CS588)),35%,0)+CJ588</f>
        <v>0.2</v>
      </c>
      <c r="L588" s="119">
        <f ca="1">IF(AND(C588="烈日斩",模拟模式!$X$11=1),10%,0)+IF(AND(C588="驱夜断愁",AB588=1),30%,0)</f>
        <v>0</v>
      </c>
      <c r="M588" s="45">
        <f t="shared" ca="1" si="521"/>
        <v>0.54185145527300216</v>
      </c>
      <c r="N588" s="45">
        <f t="shared" ca="1" si="522"/>
        <v>0.40424854472699789</v>
      </c>
      <c r="O588" s="46">
        <f t="shared" ca="1" si="490"/>
        <v>0.36464088803806649</v>
      </c>
      <c r="P588" s="46" t="str">
        <f t="shared" ca="1" si="491"/>
        <v>会</v>
      </c>
      <c r="Q588" s="45">
        <f t="shared" ca="1" si="492"/>
        <v>2.162482885499879</v>
      </c>
      <c r="R588" s="117">
        <f ca="1">模拟模式!$E$20*(1-IF(模拟模式!$J$19="有",0.15,0))*(1-IF(模拟模式!$K$19="有",0.3,0)-IF(CQ588,0.5,0))</f>
        <v>843.02999999999975</v>
      </c>
      <c r="S588" s="45">
        <f ca="1">R588/(R588+(185*模拟模式!$E$22-16800)*4.08224)</f>
        <v>8.389626085980037E-2</v>
      </c>
      <c r="T588" s="45" t="str">
        <f ca="1">LOOKUP(D588,'模拟-单技能数据'!$A$2:$A$19,'模拟-单技能数据'!$H$2:$H$19)</f>
        <v>阴</v>
      </c>
      <c r="U588" s="119">
        <f t="shared" ca="1" si="523"/>
        <v>0.08</v>
      </c>
      <c r="V588" s="47">
        <f ca="1">(1+L588)*(LOOKUP(D588,'模拟-单技能数据'!$A$2:$A$19,'模拟-单技能数据'!$D$2:$D$19)+G588*LOOKUP(D588,'模拟-单技能数据'!$A$2:$A$19,'模拟-单技能数据'!$F$2:$F$19))*(1+J588)*(1+K588)*(1-S588)*(1+U588)*Q588*LOOKUP(D588,'模拟-单技能数据'!$A$2:$A$19,'模拟-单技能数据'!$I$2:$I$20)</f>
        <v>121694.14741267689</v>
      </c>
      <c r="W588" s="47">
        <f ca="1">LOOKUP(D588,'模拟-单技能数据'!$A$2:$A$19,'模拟-单技能数据'!$G$2:$G$19)*$I$10</f>
        <v>361.51064354704795</v>
      </c>
      <c r="X588" s="47">
        <f t="shared" ca="1" si="493"/>
        <v>17572.867871948234</v>
      </c>
      <c r="Y588" s="47">
        <f t="shared" ca="1" si="524"/>
        <v>139628.52592817217</v>
      </c>
      <c r="Z588" s="49">
        <f t="shared" ca="1" si="525"/>
        <v>58475874.802408241</v>
      </c>
      <c r="AA588" s="97">
        <f t="shared" ca="1" si="526"/>
        <v>112991.94682822024</v>
      </c>
      <c r="AB588" s="115">
        <f ca="1">IF(OR(C588="赤日轮1",C588="赤日轮2",C588="赤日轮3"),IF(RAND()&lt;模拟模式!$Y$17,1,0),IF(OR(C588="幽月轮1",C588="幽月轮2",C588="幽月轮3"),IF(RAND()&lt;模拟模式!$Y$18,1,0),IF(C588="烈日斩",IF(RAND()&lt;模拟模式!$Y$19,1,0),IF(C588="银月斩",IF(RAND()&lt;模拟模式!$Y$20,1,0),IF(C588="驱夜断愁",IF(RAND()&lt;模拟模式!$Y$21,1,0),IF(C588="净世破魔击·日",IF(RAND()&lt;模拟模式!$Y$22,1,0),IF(C588="净世破魔击·月",IF(RAND()&lt;模拟模式!$Y$23,1,0),0)))))))</f>
        <v>1</v>
      </c>
      <c r="AC588" s="115" t="b">
        <f t="shared" ca="1" si="514"/>
        <v>0</v>
      </c>
      <c r="AD588" s="115" t="b">
        <f t="shared" ca="1" si="534"/>
        <v>1</v>
      </c>
      <c r="AE588" s="115">
        <f t="shared" ca="1" si="535"/>
        <v>2</v>
      </c>
      <c r="AF588" s="47">
        <f ca="1">IF(AC588,('模拟-单技能数据'!$D$20+G588*'模拟-单技能数据'!$F$20)*(1+J588)*(1+'模拟-单技能数据'!$J$20)*(1+U588),0)</f>
        <v>0</v>
      </c>
      <c r="AG588" s="61">
        <f t="shared" ca="1" si="527"/>
        <v>0.64185145527300214</v>
      </c>
      <c r="AH588" s="61">
        <f t="shared" ca="1" si="528"/>
        <v>2.2624828854998791</v>
      </c>
      <c r="AI588" s="62">
        <f t="shared" ca="1" si="494"/>
        <v>0.35141024298322565</v>
      </c>
      <c r="AJ588" s="47">
        <f ca="1">IF(AD588,IF(AI588&lt;$F$10,0,IF(AI588&lt;$F$10+$F$11,0.25,IF(AI588&lt;$F$10+$F$11+AG588,AH588,1)))*IF(AF588&gt;0,AF588,IF(AF587&gt;0,AF587,IF(AF586&gt;0,AF586,IF(AF585&gt;0,AF585,IF(AF584&gt;0,AF584,IF(AF583&gt;0,AF583,IF(AF582&gt;0,AF582,IF(AF581&gt;0,AF581,IF(AF580&gt;0,AF580,IF(AF578&gt;0,AF578,IF(AF577&gt;0,AF577,IF(AF576&gt;0,AF576,0)))))))))))),0)*(1-$S588)*'模拟-单技能数据'!$I$20</f>
        <v>9616.6571145767884</v>
      </c>
      <c r="AK588" s="115" t="b">
        <f t="shared" ca="1" si="515"/>
        <v>0</v>
      </c>
      <c r="AL588" s="115" t="b">
        <f t="shared" ca="1" si="536"/>
        <v>0</v>
      </c>
      <c r="AM588" s="115">
        <f t="shared" ca="1" si="537"/>
        <v>5</v>
      </c>
      <c r="AN588" s="47">
        <f ca="1">IF(AK588,('模拟-单技能数据'!$D$21+G588*'模拟-单技能数据'!$F$21)*(1+J588)*(1+'模拟-单技能数据'!$J$21)*(1+U588),0)</f>
        <v>0</v>
      </c>
      <c r="AO588" s="61">
        <f ca="1">IF(AN588&gt;0,M588-'模拟-单技能数据'!$K$10,AO587)</f>
        <v>0.42185145527300216</v>
      </c>
      <c r="AP588" s="61">
        <f ca="1">IF(AN588&gt;0,I588-'模拟-单技能数据'!$L$10,AP587)</f>
        <v>2.162482885499879</v>
      </c>
      <c r="AQ588" s="63">
        <f t="shared" ca="1" si="495"/>
        <v>0.38450695172199023</v>
      </c>
      <c r="AR588" s="64">
        <f ca="1">IF(AL588,IF(AQ588&lt;$F$10,0,IF(AQ588&lt;$F$10+$F$11,0.25,IF(AQ588&lt;$F$10+$F$11+AO588,AP588,1)))*IF(AN588&gt;0,AN588,IF(AN587&gt;0,AN587,IF(AN586&gt;0,AN586,IF(AN585&gt;0,AN585,IF(AN584&gt;0,AN584,IF(AN583&gt;0,AN583,IF(AN582&gt;0,AN582,IF(AN581&gt;0,AN581,IF(AN580&gt;0,AN580,IF(AN578&gt;0,AN578,IF(AN577&gt;0,AN577,IF(AN576&gt;0,AN576,0)))))))))))),0)*(1-$S588)*'模拟-单技能数据'!$I$21</f>
        <v>0</v>
      </c>
      <c r="AS588" s="61">
        <f ca="1">IF(OR(C588="净世破魔击·日",C588="净世破魔击·月"),M588-'模拟-单技能数据'!$K$10,0)</f>
        <v>0.42185145527300216</v>
      </c>
      <c r="AT588" s="61">
        <f ca="1">IF(OR(C588="净世破魔击·日",C588="净世破魔击·月"),I588-'模拟-单技能数据'!$L$10,0)</f>
        <v>2.162482885499879</v>
      </c>
      <c r="AU588" s="62">
        <f t="shared" ca="1" si="496"/>
        <v>0.93720734669647299</v>
      </c>
      <c r="AV588" s="64">
        <f ca="1">IF(AS588&gt;0,('模拟-单技能数据'!$D$22+G588*'模拟-单技能数据'!$F$22)*(1+J588)*(1-S588)*IF(AU588&lt;$F$10,0,IF(AU588&lt;$F$10+$F$11,0.25,IF(AU588&lt;$F$10+$F$11+AS588,AT588,1)))*(1+U588),0)*'模拟-单技能数据'!$I$22</f>
        <v>7956.2107573714466</v>
      </c>
      <c r="AW588" s="108">
        <f t="shared" ca="1" si="497"/>
        <v>0</v>
      </c>
      <c r="AX588" s="108" t="b">
        <f ca="1">AND(模拟模式!$P$10="有",AW587=0,RAND()&lt;IF(C588="净世破魔击·月",0.1*8/3,IF(C588="净世破魔击·日",0.1*4/3,0.1*2/3)))</f>
        <v>0</v>
      </c>
      <c r="AY588" s="47">
        <f ca="1">IF(AX588,(18+G588*0.722)*(1+J588)*(1-S588)*(1+$I$4)*IF(P588="会",'模拟-全程加成'!$J$3+'模拟-全程加成'!$J$4+'模拟-全程加成'!$J$5+('模拟-全程加成'!$I$4+'模拟-全程加成'!$I$5)/系数!$B$4+BG588*10%,IF(P588="命",1,IF(P588="识",0.25,0))),0)</f>
        <v>0</v>
      </c>
      <c r="AZ588" s="108">
        <f t="shared" si="498"/>
        <v>9.8525000000000063</v>
      </c>
      <c r="BA588" s="108" t="b">
        <f>AND(模拟模式!$Q$10="有",AZ587=0)</f>
        <v>0</v>
      </c>
      <c r="BB588" s="140">
        <f>IF(BA588,(0+G588*0.287)*(1+J588)*(1-S588)*(1+$I$4)*IF(P588="会",'模拟-全程加成'!$J$3+'模拟-全程加成'!$J$4+'模拟-全程加成'!$J$5+('模拟-全程加成'!$I$4+'模拟-全程加成'!$I$5)/系数!$B$4+BG588*10%,IF(P588="命",1,IF(P588="识",0.25,0))),0)</f>
        <v>0</v>
      </c>
      <c r="BC588" s="115" t="b">
        <f ca="1">AND(模拟模式!$R$7="伏明众生",E588=60,F588=20,DA588&lt;5,CZ587&lt;$F$4)</f>
        <v>0</v>
      </c>
      <c r="BD588" s="115">
        <f t="shared" ca="1" si="516"/>
        <v>0</v>
      </c>
      <c r="BE588" s="115" t="b">
        <f t="shared" ca="1" si="517"/>
        <v>0</v>
      </c>
      <c r="BF588" s="47">
        <f ca="1">IF(BC588,4*('模拟-单技能数据'!$D$24+G588*'模拟-单技能数据'!$F$24)*(1+J588)*(1+'模拟-单技能数据'!$J$24)*(1-S588)*(1+$I$3)*(('模拟-全程加成'!$J$3+'模拟-全程加成'!$J$4+'模拟-全程加成'!$J$5+('模拟-全程加成'!$I$4+'模拟-全程加成'!$I$5)/系数!$B$4+BG588*10%)*('模拟-全程加成'!$J$3+'模拟-全程加成'!$J$4+'模拟-全程加成'!$J$5+('模拟-全程加成'!$I$4+'模拟-全程加成'!$I$5)/系数!$B$4+BG588*10%)+(1-('模拟-全程加成'!$J$3+'模拟-全程加成'!$J$4+'模拟-全程加成'!$J$5+('模拟-全程加成'!$I$4+'模拟-全程加成'!$I$5)/系数!$B$4+BG588*10%)-$F$10-$F$11)+F574*0.25),0)*'模拟-单技能数据'!$I$24</f>
        <v>0</v>
      </c>
      <c r="BG588" s="115" t="b">
        <f ca="1">OR(AND(OR(C588="烈日斩",C588="银月斩"),模拟模式!$I$7="净身明礼"),AND(C588="净世破魔击·日",模拟模式!$J$7="洞若观火"),AND(C589="净世破魔击·月",模拟模式!$J$7="洞若观火"),AB588=1)</f>
        <v>1</v>
      </c>
      <c r="BH588" s="115" t="b">
        <f t="shared" ca="1" si="499"/>
        <v>1</v>
      </c>
      <c r="BI588" s="115">
        <f t="shared" ca="1" si="518"/>
        <v>6</v>
      </c>
      <c r="BJ588" s="115" t="b">
        <f t="shared" ca="1" si="529"/>
        <v>1</v>
      </c>
      <c r="BK588" s="115" t="b">
        <f ca="1">AND(C588="驱夜断愁",模拟模式!$P$7="天地诛戮")</f>
        <v>0</v>
      </c>
      <c r="BL588" s="57">
        <f t="shared" ca="1" si="519"/>
        <v>15.387500000000003</v>
      </c>
      <c r="BM588" s="115" t="b">
        <f t="shared" ca="1" si="530"/>
        <v>1</v>
      </c>
      <c r="BN588" s="115" t="b">
        <f ca="1">AND(OR(C588="赤日轮1",C588="赤日轮2",C588="赤日轮3",C588="幽月轮1",C588="幽月轮2",C588="幽月轮3"),AB588=1,模拟模式!$L$7="明光恒照")</f>
        <v>0</v>
      </c>
      <c r="BO588" s="117">
        <f t="shared" ca="1" si="520"/>
        <v>27.232500000000002</v>
      </c>
      <c r="BP588" s="115">
        <f t="shared" ca="1" si="500"/>
        <v>6</v>
      </c>
      <c r="BQ588" s="115" t="b">
        <f>模拟模式!$K$10="2600·水"</f>
        <v>0</v>
      </c>
      <c r="BR588" s="117">
        <f t="shared" si="501"/>
        <v>0</v>
      </c>
      <c r="BS588" s="115">
        <f t="shared" si="502"/>
        <v>0</v>
      </c>
      <c r="BT588" s="115">
        <f t="shared" ca="1" si="503"/>
        <v>0</v>
      </c>
      <c r="BU588" s="115" t="b">
        <f ca="1">AND(模拟模式!$K$10="2300·雷",BT587=0,RAND()&lt;IF(C588="净世破魔击·月",5*0.05*2/3,IF(C588="净世破魔击·日",3*0.05*2/3,0.05*2*2/3)))</f>
        <v>0</v>
      </c>
      <c r="BV588" s="115">
        <f t="shared" ca="1" si="504"/>
        <v>0</v>
      </c>
      <c r="BW588" s="115">
        <f t="shared" ca="1" si="505"/>
        <v>37.934999999999292</v>
      </c>
      <c r="BX588" s="164" t="b">
        <f t="shared" ca="1" si="506"/>
        <v>0</v>
      </c>
      <c r="BY588" s="115">
        <f t="shared" ca="1" si="507"/>
        <v>0</v>
      </c>
      <c r="BZ588" s="115">
        <f>IF(OR(模拟模式!$P$16="10人团",模拟模式!$P$16="25人团"),IF(B588/30&gt;CA587,1,0),0)</f>
        <v>0</v>
      </c>
      <c r="CA588" s="115">
        <f t="shared" si="483"/>
        <v>0</v>
      </c>
      <c r="CB588" s="115">
        <f ca="1">IF(BZ588=1,IF(模拟模式!$P$16="10人团",15,0)+IF(模拟模式!$P$16="25人团",IF(RAND()&lt;0.6,15,0)),MAX(0,CB587-$F$4))</f>
        <v>0</v>
      </c>
      <c r="CC588" s="115" t="b">
        <f t="shared" ca="1" si="531"/>
        <v>0</v>
      </c>
      <c r="CD588" s="115">
        <f>IF(模拟模式!$Q$16="1个",IF(B588/40&gt;CE587,1,0),0)</f>
        <v>0</v>
      </c>
      <c r="CE588" s="115">
        <f t="shared" si="532"/>
        <v>0</v>
      </c>
      <c r="CF588" s="115">
        <f>IF(OR(CD588=1,模拟模式!$Q$16="2个"),20,MAX(0,CF587-$F$4))</f>
        <v>0</v>
      </c>
      <c r="CG588" s="115" t="b">
        <f t="shared" si="533"/>
        <v>0</v>
      </c>
      <c r="CH588" s="115">
        <f t="shared" ca="1" si="508"/>
        <v>0</v>
      </c>
      <c r="CI588" s="115" t="b">
        <f t="shared" ca="1" si="509"/>
        <v>0</v>
      </c>
      <c r="CJ588" s="119">
        <f t="shared" ca="1" si="510"/>
        <v>0</v>
      </c>
      <c r="CK588" s="115">
        <f t="shared" ca="1" si="511"/>
        <v>0</v>
      </c>
      <c r="CL588" s="115" t="b">
        <f ca="1">AND(模拟模式!$S$7="驱夷逐法",OR(AND(C588="净世破魔击·月",E587&gt;59),AND(C588="净世破魔击·日",F587&gt;59)))</f>
        <v>0</v>
      </c>
      <c r="CM588" s="115" t="b">
        <f ca="1">OR(CL588,AND(C588="净世破魔击·日",CL587,RAND()&lt;模拟模式!$U$23))</f>
        <v>0</v>
      </c>
      <c r="CN588" s="115" t="b">
        <f ca="1">IF(模拟模式!$M$7="辉耀红尘",AND(C588="净世破魔击·月",CL588,CV588=0,E587&lt;80),AND(C588="净世破魔击·月",CL588,E587&lt;100))</f>
        <v>0</v>
      </c>
      <c r="CO588" s="115" t="b">
        <f t="shared" ca="1" si="484"/>
        <v>0</v>
      </c>
      <c r="CP588" s="115" t="b">
        <f ca="1">AND(模拟模式!$O$7="用晦而明",OR(C588="净世破魔击·日",C588="净世破魔击·月",C588="驱夜断愁"),AB588)</f>
        <v>1</v>
      </c>
      <c r="CQ588" s="115" t="b">
        <f ca="1">OR(CP588,AND(CP587,RAND()&lt;模拟模式!$U$23))</f>
        <v>1</v>
      </c>
      <c r="CR588" s="115" t="b">
        <f ca="1">AND(模拟模式!$S$7="日月齐光",OR(C588="幽月轮1",C588="幽月轮2",C588="幽月轮3",CR587),NOT(OR(C588="赤日轮1",C588="赤日轮2",C588="赤日轮3")))</f>
        <v>0</v>
      </c>
      <c r="CS588" s="115" t="b">
        <f ca="1">AND(模拟模式!$S$7="日月齐光",OR(C588="赤日轮1",C588="赤日轮2",C588="赤日轮3",CS587),NOT(OR(C588="幽月轮1",C588="幽月轮2",C588="幽月轮3")))</f>
        <v>0</v>
      </c>
      <c r="CT588" s="115">
        <f t="shared" ca="1" si="512"/>
        <v>28.155000000000001</v>
      </c>
      <c r="CU588" s="115" t="b">
        <f ca="1">AND(模拟模式!$K$10="阴阳往极",CT587=0,RAND()&lt;IF(C588="净世破魔击·月",0.0275*7/3,IF(C588="净世破魔击·日",0.0275*3/3,0.0275*2/3)))</f>
        <v>0</v>
      </c>
      <c r="CV588" s="115">
        <f t="shared" ca="1" si="513"/>
        <v>2.2324999999999999</v>
      </c>
      <c r="CW588" s="115">
        <f t="shared" ca="1" si="485"/>
        <v>2.3099999999999996</v>
      </c>
      <c r="CX588" s="115">
        <f t="shared" ca="1" si="486"/>
        <v>0.46499999999999975</v>
      </c>
      <c r="CY588" s="115">
        <f ca="1">MAX(IF($C588="驱夜断愁",IF(模拟模式!$R$7="万念俱寂",6,45),CY587-$F$4),0)</f>
        <v>1.3874999999999997</v>
      </c>
      <c r="CZ588" s="115">
        <f t="shared" ca="1" si="487"/>
        <v>0</v>
      </c>
      <c r="DA588" s="115">
        <f ca="1">IF(模拟模式!$N$7="日月同辉",IF(DB587=2,0,MIN(6,IF(AND(OR(C588="赤日轮1",C588="赤日轮2",C588="赤日轮3",C588="幽月轮1",C588="幽月轮2",C588="幽月轮3"),AB588=1),DA587+1,DA587))),0)</f>
        <v>5</v>
      </c>
      <c r="DB588" s="115">
        <f t="shared" ca="1" si="488"/>
        <v>0</v>
      </c>
      <c r="DC588" s="115"/>
      <c r="DD588" s="115"/>
      <c r="DE588" s="115"/>
      <c r="DF588" s="115"/>
      <c r="DG588" s="115"/>
      <c r="DH588" s="115"/>
      <c r="DI588" s="115"/>
      <c r="DJ588" s="115"/>
      <c r="DK588" s="115"/>
      <c r="DL588" s="115"/>
      <c r="DM588" s="115"/>
    </row>
    <row r="589" spans="2:117" x14ac:dyDescent="0.2">
      <c r="B589" s="117">
        <f t="shared" si="489"/>
        <v>518.44500000000562</v>
      </c>
      <c r="C589" s="167" t="str">
        <f t="shared" ca="1" si="482"/>
        <v>净世破魔击·日</v>
      </c>
      <c r="D589" s="115">
        <f ca="1">IF(C589="赤日轮1",1,IF(C589="赤日轮2",2,IF(C589="赤日轮3",3,IF(C589="幽月轮1",4,IF(C589="幽月轮2",5,IF(C589="幽月轮3",6,IF(C589="烈日斩",7,IF(C589="银月斩",8,IF(C589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589="净世破魔击·月",17,IF(C589="驱夜断愁",18,0)))))))))))</f>
        <v>9</v>
      </c>
      <c r="E589" s="115">
        <f ca="1">IF(AND(CU589,OR(C589="幽月轮1",C589="幽月轮2",C589="幽月轮3",C589="银月斩",C589="驱夜断愁",C589="净世破魔击·月")),100,MIN(IF(OR(CN589,BE589),0,IF(OR($C589="赤日轮1",$C589="赤日轮2",$C589="赤日轮3"),E588+20+IF(模拟模式!$I$7="日月凌天",4,0)+IF(CR588,20,0),IF($C589="烈日斩",E588+40,IF($C589="驱夜断愁",IF(模拟模式!$R$7="万念俱寂",E588+20,E588+60),IF($C589="净世破魔击·月",IF(OR(DB588&gt;0,CV588&gt;0),100,IF(模拟模式!$M$7="辉耀红尘",E588+20,E588)),IF($C589="净世破魔击·日",E588-100,E588)))))),100))</f>
        <v>0</v>
      </c>
      <c r="F589" s="115">
        <f ca="1">IF(AND(CU589,OR(C589="赤日轮1",C589="赤日轮2",C589="赤日轮3",C589="烈日斩",C589="净世破魔击·日")),100,MIN(IF(CO589,0,IF(OR($C589="幽月轮1",$C589="幽月轮2",$C589="幽月轮3"),F588+20+IF(模拟模式!$I$7="日月凌天",4,0)+IF(CS588,20,0),IF($C589="银月斩",F588+40+IF(模拟模式!$X$12=1,5,0),IF($C589="驱夜断愁",IF(模拟模式!$R$7="万念俱寂",F588+20,F588+60),IF($C589="净世破魔击·月",IF(模拟模式!$M$7="辉耀红尘",F588-80,F588-100),IF(AND(C589="净世破魔击·日",OR(DB588&gt;0,CV588&gt;0)),100,F588)))))),100))</f>
        <v>100</v>
      </c>
      <c r="G589" s="117">
        <f ca="1">('模拟-全程加成'!$E$3+'模拟-全程加成'!$E$4+'模拟-全程加成'!$E$5+('模拟-全程加成'!$C$6-'模拟-全程加成'!$C$3)*系数!$B$9+BS589*23)*(1+'模拟-全程加成'!$F$4+'模拟-全程加成'!$F$5+BJ589*10%+BM589*20%+BP589*4%+CG589*30%)+$F$7*系数!$B$12</f>
        <v>21493.829400000002</v>
      </c>
      <c r="H589" s="45">
        <f ca="1">'模拟-全程加成'!$H$3+'模拟-全程加成'!$H$4+'模拟-全程加成'!$H$5+('模拟-全程加成'!$G$4+'模拟-全程加成'!$G$5+('模拟-全程加成'!$C$6-'模拟-全程加成'!$C$3)*系数!$B$13)/系数!$B$3+LOOKUP(D589,'模拟-单技能数据'!$A$2:$A$19,'模拟-单技能数据'!$K$2:$K$19)+BG589*10%+IF(BV589&gt;0,378,0)</f>
        <v>0.54185145527300216</v>
      </c>
      <c r="I589" s="45">
        <f ca="1">'模拟-全程加成'!$J$3+'模拟-全程加成'!$J$4+'模拟-全程加成'!$J$5+('模拟-全程加成'!$I$4+'模拟-全程加成'!$I$5)/系数!$B$4+LOOKUP(D589,'模拟-单技能数据'!$A$2:$A$19,'模拟-单技能数据'!$L$2:$L$19)+BG589*10%</f>
        <v>2.162482885499879</v>
      </c>
      <c r="J589" s="45">
        <f ca="1">(('模拟-全程加成'!$K$3+'模拟-全程加成'!$K$4+'模拟-全程加成'!$K$5+('模拟-全程加成'!$C$6-'模拟-全程加成'!$C$3)*系数!$B$10+IF(BV589&gt;0,882,0)+IF(BY589&gt;0,1831,0))*(1+'模拟-全程加成'!$L$4+'模拟-全程加成'!$L$5+CC589*20%))/系数!$B$5</f>
        <v>0.69723220422048726</v>
      </c>
      <c r="K589" s="119">
        <f ca="1">LOOKUP(D589,'模拟-单技能数据'!$A$2:$A$19,'模拟-单技能数据'!$J$2:$J$19)+IF(CM589,60%,0)+IF(DB588-DB589&gt;0,30%,0)+IF(OR(AND(OR(C589="赤日轮1",C589="赤日轮2",C589="赤日轮3"),CR589),AND(OR(C589="幽月轮1",C589="幽月轮2",C589="幽月轮3"),CS589)),35%,0)+CJ589</f>
        <v>0.2</v>
      </c>
      <c r="L589" s="119">
        <f ca="1">IF(AND(C589="烈日斩",模拟模式!$X$11=1),10%,0)+IF(AND(C589="驱夜断愁",AB589=1),30%,0)</f>
        <v>0</v>
      </c>
      <c r="M589" s="45">
        <f t="shared" ca="1" si="521"/>
        <v>0.54185145527300216</v>
      </c>
      <c r="N589" s="45">
        <f t="shared" ca="1" si="522"/>
        <v>0.40424854472699789</v>
      </c>
      <c r="O589" s="46">
        <f t="shared" ca="1" si="490"/>
        <v>0.31473639762732086</v>
      </c>
      <c r="P589" s="46" t="str">
        <f t="shared" ca="1" si="491"/>
        <v>会</v>
      </c>
      <c r="Q589" s="45">
        <f t="shared" ca="1" si="492"/>
        <v>2.162482885499879</v>
      </c>
      <c r="R589" s="117">
        <f ca="1">模拟模式!$E$20*(1-IF(模拟模式!$J$19="有",0.15,0))*(1-IF(模拟模式!$K$19="有",0.3,0)-IF(CQ589,0.5,0))</f>
        <v>843.02999999999975</v>
      </c>
      <c r="S589" s="45">
        <f ca="1">R589/(R589+(185*模拟模式!$E$22-16800)*4.08224)</f>
        <v>8.389626085980037E-2</v>
      </c>
      <c r="T589" s="45" t="str">
        <f ca="1">LOOKUP(D589,'模拟-单技能数据'!$A$2:$A$19,'模拟-单技能数据'!$H$2:$H$19)</f>
        <v>阳</v>
      </c>
      <c r="U589" s="119">
        <f t="shared" ca="1" si="523"/>
        <v>0.2</v>
      </c>
      <c r="V589" s="47">
        <f ca="1">(1+L589)*(LOOKUP(D589,'模拟-单技能数据'!$A$2:$A$19,'模拟-单技能数据'!$D$2:$D$19)+G589*LOOKUP(D589,'模拟-单技能数据'!$A$2:$A$19,'模拟-单技能数据'!$F$2:$F$19))*(1+J589)*(1+K589)*(1-S589)*(1+U589)*Q589*LOOKUP(D589,'模拟-单技能数据'!$A$2:$A$19,'模拟-单技能数据'!$I$2:$I$20)</f>
        <v>136345.07228833123</v>
      </c>
      <c r="W589" s="47">
        <f ca="1">LOOKUP(D589,'模拟-单技能数据'!$A$2:$A$19,'模拟-单技能数据'!$G$2:$G$19)*$I$10</f>
        <v>723.0212870940959</v>
      </c>
      <c r="X589" s="47">
        <f t="shared" ca="1" si="493"/>
        <v>20448.126027313341</v>
      </c>
      <c r="Y589" s="47">
        <f t="shared" ca="1" si="524"/>
        <v>157516.21960273868</v>
      </c>
      <c r="Z589" s="49">
        <f t="shared" ca="1" si="525"/>
        <v>58633391.022010982</v>
      </c>
      <c r="AA589" s="97">
        <f t="shared" ca="1" si="526"/>
        <v>113094.71790066516</v>
      </c>
      <c r="AB589" s="115">
        <f ca="1">IF(OR(C589="赤日轮1",C589="赤日轮2",C589="赤日轮3"),IF(RAND()&lt;模拟模式!$Y$17,1,0),IF(OR(C589="幽月轮1",C589="幽月轮2",C589="幽月轮3"),IF(RAND()&lt;模拟模式!$Y$18,1,0),IF(C589="烈日斩",IF(RAND()&lt;模拟模式!$Y$19,1,0),IF(C589="银月斩",IF(RAND()&lt;模拟模式!$Y$20,1,0),IF(C589="驱夜断愁",IF(RAND()&lt;模拟模式!$Y$21,1,0),IF(C589="净世破魔击·日",IF(RAND()&lt;模拟模式!$Y$22,1,0),IF(C589="净世破魔击·月",IF(RAND()&lt;模拟模式!$Y$23,1,0),0)))))))</f>
        <v>1</v>
      </c>
      <c r="AC589" s="115" t="b">
        <f t="shared" ca="1" si="514"/>
        <v>0</v>
      </c>
      <c r="AD589" s="115" t="b">
        <f t="shared" ca="1" si="534"/>
        <v>0</v>
      </c>
      <c r="AE589" s="115">
        <f t="shared" ca="1" si="535"/>
        <v>2</v>
      </c>
      <c r="AF589" s="47">
        <f ca="1">IF(AC589,('模拟-单技能数据'!$D$20+G589*'模拟-单技能数据'!$F$20)*(1+J589)*(1+'模拟-单技能数据'!$J$20)*(1+U589),0)</f>
        <v>0</v>
      </c>
      <c r="AG589" s="61">
        <f t="shared" ca="1" si="527"/>
        <v>0.64185145527300214</v>
      </c>
      <c r="AH589" s="61">
        <f t="shared" ca="1" si="528"/>
        <v>2.2624828854998791</v>
      </c>
      <c r="AI589" s="62">
        <f t="shared" ca="1" si="494"/>
        <v>5.0180998759354556E-2</v>
      </c>
      <c r="AJ589" s="47">
        <f ca="1">IF(AD589,IF(AI589&lt;$F$10,0,IF(AI589&lt;$F$10+$F$11,0.25,IF(AI589&lt;$F$10+$F$11+AG589,AH589,1)))*IF(AF589&gt;0,AF589,IF(AF588&gt;0,AF588,IF(AF587&gt;0,AF587,IF(AF586&gt;0,AF586,IF(AF585&gt;0,AF585,IF(AF584&gt;0,AF584,IF(AF583&gt;0,AF583,IF(AF582&gt;0,AF582,IF(AF581&gt;0,AF581,IF(AF579&gt;0,AF579,IF(AF578&gt;0,AF578,IF(AF577&gt;0,AF577,0)))))))))))),0)*(1-$S589)*'模拟-单技能数据'!$I$20</f>
        <v>0</v>
      </c>
      <c r="AK589" s="115" t="b">
        <f t="shared" ca="1" si="515"/>
        <v>1</v>
      </c>
      <c r="AL589" s="115" t="b">
        <f t="shared" ca="1" si="536"/>
        <v>1</v>
      </c>
      <c r="AM589" s="115">
        <f t="shared" ca="1" si="537"/>
        <v>5</v>
      </c>
      <c r="AN589" s="47">
        <f ca="1">IF(AK589,('模拟-单技能数据'!$D$21+G589*'模拟-单技能数据'!$F$21)*(1+J589)*(1+'模拟-单技能数据'!$J$21)*(1+U589),0)</f>
        <v>12670.936004857545</v>
      </c>
      <c r="AO589" s="61">
        <f ca="1">IF(AN589&gt;0,M589-'模拟-单技能数据'!$K$10,AO588)</f>
        <v>0.42185145527300216</v>
      </c>
      <c r="AP589" s="61">
        <f ca="1">IF(AN589&gt;0,I589-'模拟-单技能数据'!$L$10,AP588)</f>
        <v>2.162482885499879</v>
      </c>
      <c r="AQ589" s="63">
        <f t="shared" ca="1" si="495"/>
        <v>0.87093082159224089</v>
      </c>
      <c r="AR589" s="64">
        <f ca="1">IF(AL589,IF(AQ589&lt;$F$10,0,IF(AQ589&lt;$F$10+$F$11,0.25,IF(AQ589&lt;$F$10+$F$11+AO589,AP589,1)))*IF(AN589&gt;0,AN589,IF(AN588&gt;0,AN588,IF(AN587&gt;0,AN587,IF(AN586&gt;0,AN586,IF(AN585&gt;0,AN585,IF(AN584&gt;0,AN584,IF(AN583&gt;0,AN583,IF(AN582&gt;0,AN582,IF(AN581&gt;0,AN581,IF(AN579&gt;0,AN579,IF(AN578&gt;0,AN578,IF(AN577&gt;0,AN577,0)))))))))))),0)*(1-$S589)*'模拟-单技能数据'!$I$21</f>
        <v>11607.89185245618</v>
      </c>
      <c r="AS589" s="61">
        <f ca="1">IF(OR(C589="净世破魔击·日",C589="净世破魔击·月"),M589-'模拟-单技能数据'!$K$10,0)</f>
        <v>0.42185145527300216</v>
      </c>
      <c r="AT589" s="61">
        <f ca="1">IF(OR(C589="净世破魔击·日",C589="净世破魔击·月"),I589-'模拟-单技能数据'!$L$10,0)</f>
        <v>2.162482885499879</v>
      </c>
      <c r="AU589" s="62">
        <f t="shared" ca="1" si="496"/>
        <v>0.54095355744729323</v>
      </c>
      <c r="AV589" s="64">
        <f ca="1">IF(AS589&gt;0,('模拟-单技能数据'!$D$22+G589*'模拟-单技能数据'!$F$22)*(1+J589)*(1-S589)*IF(AU589&lt;$F$10,0,IF(AU589&lt;$F$10+$F$11,0.25,IF(AU589&lt;$F$10+$F$11+AS589,AT589,1)))*(1+U589),0)*'模拟-单技能数据'!$I$22</f>
        <v>8840.2341748571616</v>
      </c>
      <c r="AW589" s="108">
        <f t="shared" ca="1" si="497"/>
        <v>0</v>
      </c>
      <c r="AX589" s="108" t="b">
        <f ca="1">AND(模拟模式!$P$10="有",AW588=0,RAND()&lt;IF(C589="净世破魔击·月",0.1*8/3,IF(C589="净世破魔击·日",0.1*4/3,0.1*2/3)))</f>
        <v>0</v>
      </c>
      <c r="AY589" s="47">
        <f ca="1">IF(AX589,(18+G589*0.722)*(1+J589)*(1-S589)*(1+$I$4)*IF(P589="会",'模拟-全程加成'!$J$3+'模拟-全程加成'!$J$4+'模拟-全程加成'!$J$5+('模拟-全程加成'!$I$4+'模拟-全程加成'!$I$5)/系数!$B$4+BG589*10%,IF(P589="命",1,IF(P589="识",0.25,0))),0)</f>
        <v>0</v>
      </c>
      <c r="AZ589" s="108">
        <f t="shared" si="498"/>
        <v>8.9300000000000068</v>
      </c>
      <c r="BA589" s="108" t="b">
        <f>AND(模拟模式!$Q$10="有",AZ588=0)</f>
        <v>0</v>
      </c>
      <c r="BB589" s="140">
        <f>IF(BA589,(0+G589*0.287)*(1+J589)*(1-S589)*(1+$I$4)*IF(P589="会",'模拟-全程加成'!$J$3+'模拟-全程加成'!$J$4+'模拟-全程加成'!$J$5+('模拟-全程加成'!$I$4+'模拟-全程加成'!$I$5)/系数!$B$4+BG589*10%,IF(P589="命",1,IF(P589="识",0.25,0))),0)</f>
        <v>0</v>
      </c>
      <c r="BC589" s="115" t="b">
        <f ca="1">AND(模拟模式!$R$7="伏明众生",E589=60,F589=20,DA589&lt;5,CZ588&lt;$F$4)</f>
        <v>0</v>
      </c>
      <c r="BD589" s="115">
        <f t="shared" ca="1" si="516"/>
        <v>0</v>
      </c>
      <c r="BE589" s="115" t="b">
        <f t="shared" ca="1" si="517"/>
        <v>0</v>
      </c>
      <c r="BF589" s="47">
        <f ca="1">IF(BC589,4*('模拟-单技能数据'!$D$24+G589*'模拟-单技能数据'!$F$24)*(1+J589)*(1+'模拟-单技能数据'!$J$24)*(1-S589)*(1+$I$3)*(('模拟-全程加成'!$J$3+'模拟-全程加成'!$J$4+'模拟-全程加成'!$J$5+('模拟-全程加成'!$I$4+'模拟-全程加成'!$I$5)/系数!$B$4+BG589*10%)*('模拟-全程加成'!$J$3+'模拟-全程加成'!$J$4+'模拟-全程加成'!$J$5+('模拟-全程加成'!$I$4+'模拟-全程加成'!$I$5)/系数!$B$4+BG589*10%)+(1-('模拟-全程加成'!$J$3+'模拟-全程加成'!$J$4+'模拟-全程加成'!$J$5+('模拟-全程加成'!$I$4+'模拟-全程加成'!$I$5)/系数!$B$4+BG589*10%)-$F$10-$F$11)+F575*0.25),0)*'模拟-单技能数据'!$I$24</f>
        <v>0</v>
      </c>
      <c r="BG589" s="115" t="b">
        <f ca="1">OR(AND(OR(C589="烈日斩",C589="银月斩"),模拟模式!$I$7="净身明礼"),AND(C589="净世破魔击·日",模拟模式!$J$7="洞若观火"),AND(C590="净世破魔击·月",模拟模式!$J$7="洞若观火"),AB589=1)</f>
        <v>1</v>
      </c>
      <c r="BH589" s="115" t="b">
        <f t="shared" ca="1" si="499"/>
        <v>0</v>
      </c>
      <c r="BI589" s="115">
        <f t="shared" ca="1" si="518"/>
        <v>5.0774999999999997</v>
      </c>
      <c r="BJ589" s="115" t="b">
        <f t="shared" ca="1" si="529"/>
        <v>1</v>
      </c>
      <c r="BK589" s="115" t="b">
        <f ca="1">AND(C589="驱夜断愁",模拟模式!$P$7="天地诛戮")</f>
        <v>0</v>
      </c>
      <c r="BL589" s="57">
        <f t="shared" ca="1" si="519"/>
        <v>14.465000000000003</v>
      </c>
      <c r="BM589" s="115" t="b">
        <f t="shared" ca="1" si="530"/>
        <v>1</v>
      </c>
      <c r="BN589" s="115" t="b">
        <f ca="1">AND(OR(C589="赤日轮1",C589="赤日轮2",C589="赤日轮3",C589="幽月轮1",C589="幽月轮2",C589="幽月轮3"),AB589=1,模拟模式!$L$7="明光恒照")</f>
        <v>0</v>
      </c>
      <c r="BO589" s="117">
        <f t="shared" ca="1" si="520"/>
        <v>26.310000000000002</v>
      </c>
      <c r="BP589" s="115">
        <f t="shared" ca="1" si="500"/>
        <v>6</v>
      </c>
      <c r="BQ589" s="115" t="b">
        <f>模拟模式!$K$10="2600·水"</f>
        <v>0</v>
      </c>
      <c r="BR589" s="117">
        <f t="shared" si="501"/>
        <v>0</v>
      </c>
      <c r="BS589" s="115">
        <f t="shared" si="502"/>
        <v>0</v>
      </c>
      <c r="BT589" s="115">
        <f t="shared" ca="1" si="503"/>
        <v>0</v>
      </c>
      <c r="BU589" s="115" t="b">
        <f ca="1">AND(模拟模式!$K$10="2300·雷",BT588=0,RAND()&lt;IF(C589="净世破魔击·月",5*0.05*2/3,IF(C589="净世破魔击·日",3*0.05*2/3,0.05*2*2/3)))</f>
        <v>0</v>
      </c>
      <c r="BV589" s="115">
        <f t="shared" ca="1" si="504"/>
        <v>0</v>
      </c>
      <c r="BW589" s="115">
        <f t="shared" ca="1" si="505"/>
        <v>37.012499999999292</v>
      </c>
      <c r="BX589" s="164" t="b">
        <f t="shared" ca="1" si="506"/>
        <v>0</v>
      </c>
      <c r="BY589" s="115">
        <f t="shared" ca="1" si="507"/>
        <v>0</v>
      </c>
      <c r="BZ589" s="115">
        <f>IF(OR(模拟模式!$P$16="10人团",模拟模式!$P$16="25人团"),IF(B589/30&gt;CA588,1,0),0)</f>
        <v>0</v>
      </c>
      <c r="CA589" s="115">
        <f t="shared" si="483"/>
        <v>0</v>
      </c>
      <c r="CB589" s="115">
        <f ca="1">IF(BZ589=1,IF(模拟模式!$P$16="10人团",15,0)+IF(模拟模式!$P$16="25人团",IF(RAND()&lt;0.6,15,0)),MAX(0,CB588-$F$4))</f>
        <v>0</v>
      </c>
      <c r="CC589" s="115" t="b">
        <f t="shared" ca="1" si="531"/>
        <v>0</v>
      </c>
      <c r="CD589" s="115">
        <f>IF(模拟模式!$Q$16="1个",IF(B589/40&gt;CE588,1,0),0)</f>
        <v>0</v>
      </c>
      <c r="CE589" s="115">
        <f t="shared" si="532"/>
        <v>0</v>
      </c>
      <c r="CF589" s="115">
        <f>IF(OR(CD589=1,模拟模式!$Q$16="2个"),20,MAX(0,CF588-$F$4))</f>
        <v>0</v>
      </c>
      <c r="CG589" s="115" t="b">
        <f t="shared" si="533"/>
        <v>0</v>
      </c>
      <c r="CH589" s="115">
        <f t="shared" ca="1" si="508"/>
        <v>0</v>
      </c>
      <c r="CI589" s="115" t="b">
        <f t="shared" ca="1" si="509"/>
        <v>0</v>
      </c>
      <c r="CJ589" s="119">
        <f t="shared" ca="1" si="510"/>
        <v>0</v>
      </c>
      <c r="CK589" s="115">
        <f t="shared" ca="1" si="511"/>
        <v>0</v>
      </c>
      <c r="CL589" s="115" t="b">
        <f ca="1">AND(模拟模式!$S$7="驱夷逐法",OR(AND(C589="净世破魔击·月",E588&gt;59),AND(C589="净世破魔击·日",F588&gt;59)))</f>
        <v>0</v>
      </c>
      <c r="CM589" s="115" t="b">
        <f ca="1">OR(CL589,AND(C589="净世破魔击·日",CL588,RAND()&lt;模拟模式!$U$23))</f>
        <v>0</v>
      </c>
      <c r="CN589" s="115" t="b">
        <f ca="1">IF(模拟模式!$M$7="辉耀红尘",AND(C589="净世破魔击·月",CL589,CV589=0,E588&lt;80),AND(C589="净世破魔击·月",CL589,E588&lt;100))</f>
        <v>0</v>
      </c>
      <c r="CO589" s="115" t="b">
        <f t="shared" ca="1" si="484"/>
        <v>0</v>
      </c>
      <c r="CP589" s="115" t="b">
        <f ca="1">AND(模拟模式!$O$7="用晦而明",OR(C589="净世破魔击·日",C589="净世破魔击·月",C589="驱夜断愁"),AB589)</f>
        <v>1</v>
      </c>
      <c r="CQ589" s="115" t="b">
        <f ca="1">OR(CP589,AND(CP588,RAND()&lt;模拟模式!$U$23))</f>
        <v>1</v>
      </c>
      <c r="CR589" s="115" t="b">
        <f ca="1">AND(模拟模式!$S$7="日月齐光",OR(C589="幽月轮1",C589="幽月轮2",C589="幽月轮3",CR588),NOT(OR(C589="赤日轮1",C589="赤日轮2",C589="赤日轮3")))</f>
        <v>0</v>
      </c>
      <c r="CS589" s="115" t="b">
        <f ca="1">AND(模拟模式!$S$7="日月齐光",OR(C589="赤日轮1",C589="赤日轮2",C589="赤日轮3",CS588),NOT(OR(C589="幽月轮1",C589="幽月轮2",C589="幽月轮3")))</f>
        <v>0</v>
      </c>
      <c r="CT589" s="115">
        <f t="shared" ca="1" si="512"/>
        <v>27.232500000000002</v>
      </c>
      <c r="CU589" s="115" t="b">
        <f ca="1">AND(模拟模式!$K$10="阴阳往极",CT588=0,RAND()&lt;IF(C589="净世破魔击·月",0.0275*7/3,IF(C589="净世破魔击·日",0.0275*3/3,0.0275*2/3)))</f>
        <v>0</v>
      </c>
      <c r="CV589" s="115">
        <f t="shared" ca="1" si="513"/>
        <v>1.31</v>
      </c>
      <c r="CW589" s="115">
        <f t="shared" ca="1" si="485"/>
        <v>1.3874999999999997</v>
      </c>
      <c r="CX589" s="115">
        <f t="shared" ca="1" si="486"/>
        <v>0</v>
      </c>
      <c r="CY589" s="115">
        <f ca="1">MAX(IF($C589="驱夜断愁",IF(模拟模式!$R$7="万念俱寂",6,45),CY588-$F$4),0)</f>
        <v>0.46499999999999975</v>
      </c>
      <c r="CZ589" s="115">
        <f t="shared" ca="1" si="487"/>
        <v>0</v>
      </c>
      <c r="DA589" s="115">
        <f ca="1">IF(模拟模式!$N$7="日月同辉",IF(DB588=2,0,MIN(6,IF(AND(OR(C589="赤日轮1",C589="赤日轮2",C589="赤日轮3",C589="幽月轮1",C589="幽月轮2",C589="幽月轮3"),AB589=1),DA588+1,DA588))),0)</f>
        <v>5</v>
      </c>
      <c r="DB589" s="115">
        <f t="shared" ca="1" si="488"/>
        <v>0</v>
      </c>
      <c r="DC589" s="115"/>
      <c r="DD589" s="115"/>
      <c r="DE589" s="115"/>
      <c r="DF589" s="115"/>
      <c r="DG589" s="115"/>
      <c r="DH589" s="115"/>
      <c r="DI589" s="115"/>
      <c r="DJ589" s="115"/>
      <c r="DK589" s="115"/>
      <c r="DL589" s="115"/>
      <c r="DM589" s="115"/>
    </row>
    <row r="590" spans="2:117" x14ac:dyDescent="0.2">
      <c r="B590" s="117">
        <f t="shared" si="489"/>
        <v>519.36750000000563</v>
      </c>
      <c r="C590" s="167" t="str">
        <f t="shared" ca="1" si="482"/>
        <v>净世破魔击·月</v>
      </c>
      <c r="D590" s="115">
        <f ca="1">IF(C590="赤日轮1",1,IF(C590="赤日轮2",2,IF(C590="赤日轮3",3,IF(C590="幽月轮1",4,IF(C590="幽月轮2",5,IF(C590="幽月轮3",6,IF(C590="烈日斩",7,IF(C590="银月斩",8,IF(C590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590="净世破魔击·月",17,IF(C590="驱夜断愁",18,0)))))))))))</f>
        <v>17</v>
      </c>
      <c r="E590" s="115">
        <f ca="1">IF(AND(CU590,OR(C590="幽月轮1",C590="幽月轮2",C590="幽月轮3",C590="银月斩",C590="驱夜断愁",C590="净世破魔击·月")),100,MIN(IF(OR(CN590,BE590),0,IF(OR($C590="赤日轮1",$C590="赤日轮2",$C590="赤日轮3"),E589+20+IF(模拟模式!$I$7="日月凌天",4,0)+IF(CR589,20,0),IF($C590="烈日斩",E589+40,IF($C590="驱夜断愁",IF(模拟模式!$R$7="万念俱寂",E589+20,E589+60),IF($C590="净世破魔击·月",IF(OR(DB589&gt;0,CV589&gt;0),100,IF(模拟模式!$M$7="辉耀红尘",E589+20,E589)),IF($C590="净世破魔击·日",E589-100,E589)))))),100))</f>
        <v>100</v>
      </c>
      <c r="F590" s="115">
        <f ca="1">IF(AND(CU590,OR(C590="赤日轮1",C590="赤日轮2",C590="赤日轮3",C590="烈日斩",C590="净世破魔击·日")),100,MIN(IF(CO590,0,IF(OR($C590="幽月轮1",$C590="幽月轮2",$C590="幽月轮3"),F589+20+IF(模拟模式!$I$7="日月凌天",4,0)+IF(CS589,20,0),IF($C590="银月斩",F589+40+IF(模拟模式!$X$12=1,5,0),IF($C590="驱夜断愁",IF(模拟模式!$R$7="万念俱寂",F589+20,F589+60),IF($C590="净世破魔击·月",IF(模拟模式!$M$7="辉耀红尘",F589-80,F589-100),IF(AND(C590="净世破魔击·日",OR(DB589&gt;0,CV589&gt;0)),100,F589)))))),100))</f>
        <v>20</v>
      </c>
      <c r="G590" s="117">
        <f ca="1">('模拟-全程加成'!$E$3+'模拟-全程加成'!$E$4+'模拟-全程加成'!$E$5+('模拟-全程加成'!$C$6-'模拟-全程加成'!$C$3)*系数!$B$9+BS590*23)*(1+'模拟-全程加成'!$F$4+'模拟-全程加成'!$F$5+BJ590*10%+BM590*20%+BP590*4%+CG590*30%)+$F$7*系数!$B$12</f>
        <v>21493.829400000002</v>
      </c>
      <c r="H590" s="45">
        <f ca="1">'模拟-全程加成'!$H$3+'模拟-全程加成'!$H$4+'模拟-全程加成'!$H$5+('模拟-全程加成'!$G$4+'模拟-全程加成'!$G$5+('模拟-全程加成'!$C$6-'模拟-全程加成'!$C$3)*系数!$B$13)/系数!$B$3+LOOKUP(D590,'模拟-单技能数据'!$A$2:$A$19,'模拟-单技能数据'!$K$2:$K$19)+BG590*10%+IF(BV590&gt;0,378,0)</f>
        <v>0.54185145527300216</v>
      </c>
      <c r="I590" s="45">
        <f ca="1">'模拟-全程加成'!$J$3+'模拟-全程加成'!$J$4+'模拟-全程加成'!$J$5+('模拟-全程加成'!$I$4+'模拟-全程加成'!$I$5)/系数!$B$4+LOOKUP(D590,'模拟-单技能数据'!$A$2:$A$19,'模拟-单技能数据'!$L$2:$L$19)+BG590*10%</f>
        <v>2.162482885499879</v>
      </c>
      <c r="J590" s="45">
        <f ca="1">(('模拟-全程加成'!$K$3+'模拟-全程加成'!$K$4+'模拟-全程加成'!$K$5+('模拟-全程加成'!$C$6-'模拟-全程加成'!$C$3)*系数!$B$10+IF(BV590&gt;0,882,0)+IF(BY590&gt;0,1831,0))*(1+'模拟-全程加成'!$L$4+'模拟-全程加成'!$L$5+CC590*20%))/系数!$B$5</f>
        <v>0.69723220422048726</v>
      </c>
      <c r="K590" s="119">
        <f ca="1">LOOKUP(D590,'模拟-单技能数据'!$A$2:$A$19,'模拟-单技能数据'!$J$2:$J$19)+IF(CM590,60%,0)+IF(DB589-DB590&gt;0,30%,0)+IF(OR(AND(OR(C590="赤日轮1",C590="赤日轮2",C590="赤日轮3"),CR590),AND(OR(C590="幽月轮1",C590="幽月轮2",C590="幽月轮3"),CS590)),35%,0)+CJ590</f>
        <v>0.2</v>
      </c>
      <c r="L590" s="119">
        <f ca="1">IF(AND(C590="烈日斩",模拟模式!$X$11=1),10%,0)+IF(AND(C590="驱夜断愁",AB590=1),30%,0)</f>
        <v>0</v>
      </c>
      <c r="M590" s="45">
        <f t="shared" ca="1" si="521"/>
        <v>0.54185145527300216</v>
      </c>
      <c r="N590" s="45">
        <f t="shared" ca="1" si="522"/>
        <v>0.40424854472699789</v>
      </c>
      <c r="O590" s="46">
        <f t="shared" ca="1" si="490"/>
        <v>0.92808751853290228</v>
      </c>
      <c r="P590" s="46" t="str">
        <f t="shared" ca="1" si="491"/>
        <v>命</v>
      </c>
      <c r="Q590" s="45">
        <f t="shared" ca="1" si="492"/>
        <v>1</v>
      </c>
      <c r="R590" s="117">
        <f ca="1">模拟模式!$E$20*(1-IF(模拟模式!$J$19="有",0.15,0))*(1-IF(模拟模式!$K$19="有",0.3,0)-IF(CQ590,0.5,0))</f>
        <v>843.02999999999975</v>
      </c>
      <c r="S590" s="45">
        <f ca="1">R590/(R590+(185*模拟模式!$E$22-16800)*4.08224)</f>
        <v>8.389626085980037E-2</v>
      </c>
      <c r="T590" s="45" t="str">
        <f ca="1">LOOKUP(D590,'模拟-单技能数据'!$A$2:$A$19,'模拟-单技能数据'!$H$2:$H$19)</f>
        <v>阴</v>
      </c>
      <c r="U590" s="119">
        <f t="shared" ca="1" si="523"/>
        <v>0.08</v>
      </c>
      <c r="V590" s="47">
        <f ca="1">(1+L590)*(LOOKUP(D590,'模拟-单技能数据'!$A$2:$A$19,'模拟-单技能数据'!$D$2:$D$19)+G590*LOOKUP(D590,'模拟-单技能数据'!$A$2:$A$19,'模拟-单技能数据'!$F$2:$F$19))*(1+J590)*(1+K590)*(1-S590)*(1+U590)*Q590*LOOKUP(D590,'模拟-单技能数据'!$A$2:$A$19,'模拟-单技能数据'!$I$2:$I$20)</f>
        <v>56275.195622899046</v>
      </c>
      <c r="W590" s="47">
        <f ca="1">LOOKUP(D590,'模拟-单技能数据'!$A$2:$A$19,'模拟-单技能数据'!$G$2:$G$19)*$I$10</f>
        <v>361.51064354704795</v>
      </c>
      <c r="X590" s="47">
        <f t="shared" ca="1" si="493"/>
        <v>21455.65793196288</v>
      </c>
      <c r="Y590" s="47">
        <f t="shared" ca="1" si="524"/>
        <v>78092.364198408977</v>
      </c>
      <c r="Z590" s="49">
        <f t="shared" ca="1" si="525"/>
        <v>58711483.386209391</v>
      </c>
      <c r="AA590" s="97">
        <f t="shared" ca="1" si="526"/>
        <v>113044.19969714846</v>
      </c>
      <c r="AB590" s="115">
        <f ca="1">IF(OR(C590="赤日轮1",C590="赤日轮2",C590="赤日轮3"),IF(RAND()&lt;模拟模式!$Y$17,1,0),IF(OR(C590="幽月轮1",C590="幽月轮2",C590="幽月轮3"),IF(RAND()&lt;模拟模式!$Y$18,1,0),IF(C590="烈日斩",IF(RAND()&lt;模拟模式!$Y$19,1,0),IF(C590="银月斩",IF(RAND()&lt;模拟模式!$Y$20,1,0),IF(C590="驱夜断愁",IF(RAND()&lt;模拟模式!$Y$21,1,0),IF(C590="净世破魔击·日",IF(RAND()&lt;模拟模式!$Y$22,1,0),IF(C590="净世破魔击·月",IF(RAND()&lt;模拟模式!$Y$23,1,0),0)))))))</f>
        <v>1</v>
      </c>
      <c r="AC590" s="115" t="b">
        <f t="shared" ca="1" si="514"/>
        <v>0</v>
      </c>
      <c r="AD590" s="115" t="b">
        <f t="shared" ca="1" si="534"/>
        <v>1</v>
      </c>
      <c r="AE590" s="115">
        <f t="shared" ca="1" si="535"/>
        <v>1</v>
      </c>
      <c r="AF590" s="47">
        <f ca="1">IF(AC590,('模拟-单技能数据'!$D$20+G590*'模拟-单技能数据'!$F$20)*(1+J590)*(1+'模拟-单技能数据'!$J$20)*(1+U590),0)</f>
        <v>0</v>
      </c>
      <c r="AG590" s="61">
        <f t="shared" ca="1" si="527"/>
        <v>0.64185145527300214</v>
      </c>
      <c r="AH590" s="61">
        <f t="shared" ca="1" si="528"/>
        <v>2.2624828854998791</v>
      </c>
      <c r="AI590" s="62">
        <f t="shared" ca="1" si="494"/>
        <v>0.94055264787420245</v>
      </c>
      <c r="AJ590" s="47">
        <f ca="1">IF(AD590,IF(AI590&lt;$F$10,0,IF(AI590&lt;$F$10+$F$11,0.25,IF(AI590&lt;$F$10+$F$11+AG590,AH590,1)))*IF(AF590&gt;0,AF590,IF(AF589&gt;0,AF589,IF(AF588&gt;0,AF588,IF(AF587&gt;0,AF587,IF(AF586&gt;0,AF586,IF(AF585&gt;0,AF585,IF(AF584&gt;0,AF584,IF(AF583&gt;0,AF583,IF(AF582&gt;0,AF582,IF(AF580&gt;0,AF580,IF(AF579&gt;0,AF579,IF(AF578&gt;0,AF578,0)))))))))))),0)*(1-$S590)*'模拟-单技能数据'!$I$20</f>
        <v>4250.4883357170938</v>
      </c>
      <c r="AK590" s="115" t="b">
        <f t="shared" ca="1" si="515"/>
        <v>0</v>
      </c>
      <c r="AL590" s="115" t="b">
        <f t="shared" ca="1" si="536"/>
        <v>0</v>
      </c>
      <c r="AM590" s="115">
        <f t="shared" ca="1" si="537"/>
        <v>5</v>
      </c>
      <c r="AN590" s="47">
        <f ca="1">IF(AK590,('模拟-单技能数据'!$D$21+G590*'模拟-单技能数据'!$F$21)*(1+J590)*(1+'模拟-单技能数据'!$J$21)*(1+U590),0)</f>
        <v>0</v>
      </c>
      <c r="AO590" s="61">
        <f ca="1">IF(AN590&gt;0,M590-'模拟-单技能数据'!$K$10,AO589)</f>
        <v>0.42185145527300216</v>
      </c>
      <c r="AP590" s="61">
        <f ca="1">IF(AN590&gt;0,I590-'模拟-单技能数据'!$L$10,AP589)</f>
        <v>2.162482885499879</v>
      </c>
      <c r="AQ590" s="63">
        <f t="shared" ca="1" si="495"/>
        <v>0.2222243009135868</v>
      </c>
      <c r="AR590" s="64">
        <f ca="1">IF(AL590,IF(AQ590&lt;$F$10,0,IF(AQ590&lt;$F$10+$F$11,0.25,IF(AQ590&lt;$F$10+$F$11+AO590,AP590,1)))*IF(AN590&gt;0,AN590,IF(AN589&gt;0,AN589,IF(AN588&gt;0,AN588,IF(AN587&gt;0,AN587,IF(AN586&gt;0,AN586,IF(AN585&gt;0,AN585,IF(AN584&gt;0,AN584,IF(AN583&gt;0,AN583,IF(AN582&gt;0,AN582,IF(AN580&gt;0,AN580,IF(AN579&gt;0,AN579,IF(AN578&gt;0,AN578,0)))))))))))),0)*(1-$S590)*'模拟-单技能数据'!$I$21</f>
        <v>0</v>
      </c>
      <c r="AS590" s="61">
        <f ca="1">IF(OR(C590="净世破魔击·日",C590="净世破魔击·月"),M590-'模拟-单技能数据'!$K$10,0)</f>
        <v>0.42185145527300216</v>
      </c>
      <c r="AT590" s="61">
        <f ca="1">IF(OR(C590="净世破魔击·日",C590="净世破魔击·月"),I590-'模拟-单技能数据'!$L$10,0)</f>
        <v>2.162482885499879</v>
      </c>
      <c r="AU590" s="62">
        <f t="shared" ca="1" si="496"/>
        <v>0.39268307372779587</v>
      </c>
      <c r="AV590" s="64">
        <f ca="1">IF(AS590&gt;0,('模拟-单技能数据'!$D$22+G590*'模拟-单技能数据'!$F$22)*(1+J590)*(1-S590)*IF(AU590&lt;$F$10,0,IF(AU590&lt;$F$10+$F$11,0.25,IF(AU590&lt;$F$10+$F$11+AS590,AT590,1)))*(1+U590),0)*'模拟-单技能数据'!$I$22</f>
        <v>17205.169596245785</v>
      </c>
      <c r="AW590" s="108">
        <f t="shared" ca="1" si="497"/>
        <v>0</v>
      </c>
      <c r="AX590" s="108" t="b">
        <f ca="1">AND(模拟模式!$P$10="有",AW589=0,RAND()&lt;IF(C590="净世破魔击·月",0.1*8/3,IF(C590="净世破魔击·日",0.1*4/3,0.1*2/3)))</f>
        <v>0</v>
      </c>
      <c r="AY590" s="47">
        <f ca="1">IF(AX590,(18+G590*0.722)*(1+J590)*(1-S590)*(1+$I$4)*IF(P590="会",'模拟-全程加成'!$J$3+'模拟-全程加成'!$J$4+'模拟-全程加成'!$J$5+('模拟-全程加成'!$I$4+'模拟-全程加成'!$I$5)/系数!$B$4+BG590*10%,IF(P590="命",1,IF(P590="识",0.25,0))),0)</f>
        <v>0</v>
      </c>
      <c r="AZ590" s="108">
        <f t="shared" si="498"/>
        <v>8.0075000000000074</v>
      </c>
      <c r="BA590" s="108" t="b">
        <f>AND(模拟模式!$Q$10="有",AZ589=0)</f>
        <v>0</v>
      </c>
      <c r="BB590" s="140">
        <f>IF(BA590,(0+G590*0.287)*(1+J590)*(1-S590)*(1+$I$4)*IF(P590="会",'模拟-全程加成'!$J$3+'模拟-全程加成'!$J$4+'模拟-全程加成'!$J$5+('模拟-全程加成'!$I$4+'模拟-全程加成'!$I$5)/系数!$B$4+BG590*10%,IF(P590="命",1,IF(P590="识",0.25,0))),0)</f>
        <v>0</v>
      </c>
      <c r="BC590" s="115" t="b">
        <f ca="1">AND(模拟模式!$R$7="伏明众生",E590=60,F590=20,DA590&lt;5,CZ589&lt;$F$4)</f>
        <v>0</v>
      </c>
      <c r="BD590" s="115">
        <f t="shared" ca="1" si="516"/>
        <v>0</v>
      </c>
      <c r="BE590" s="115" t="b">
        <f t="shared" ca="1" si="517"/>
        <v>0</v>
      </c>
      <c r="BF590" s="47">
        <f ca="1">IF(BC590,4*('模拟-单技能数据'!$D$24+G590*'模拟-单技能数据'!$F$24)*(1+J590)*(1+'模拟-单技能数据'!$J$24)*(1-S590)*(1+$I$3)*(('模拟-全程加成'!$J$3+'模拟-全程加成'!$J$4+'模拟-全程加成'!$J$5+('模拟-全程加成'!$I$4+'模拟-全程加成'!$I$5)/系数!$B$4+BG590*10%)*('模拟-全程加成'!$J$3+'模拟-全程加成'!$J$4+'模拟-全程加成'!$J$5+('模拟-全程加成'!$I$4+'模拟-全程加成'!$I$5)/系数!$B$4+BG590*10%)+(1-('模拟-全程加成'!$J$3+'模拟-全程加成'!$J$4+'模拟-全程加成'!$J$5+('模拟-全程加成'!$I$4+'模拟-全程加成'!$I$5)/系数!$B$4+BG590*10%)-$F$10-$F$11)+F576*0.25),0)*'模拟-单技能数据'!$I$24</f>
        <v>0</v>
      </c>
      <c r="BG590" s="115" t="b">
        <f ca="1">OR(AND(OR(C590="烈日斩",C590="银月斩"),模拟模式!$I$7="净身明礼"),AND(C590="净世破魔击·日",模拟模式!$J$7="洞若观火"),AND(C591="净世破魔击·月",模拟模式!$J$7="洞若观火"),AB590=1)</f>
        <v>1</v>
      </c>
      <c r="BH590" s="115" t="b">
        <f t="shared" ca="1" si="499"/>
        <v>1</v>
      </c>
      <c r="BI590" s="115">
        <f t="shared" ca="1" si="518"/>
        <v>6</v>
      </c>
      <c r="BJ590" s="115" t="b">
        <f t="shared" ca="1" si="529"/>
        <v>1</v>
      </c>
      <c r="BK590" s="115" t="b">
        <f ca="1">AND(C590="驱夜断愁",模拟模式!$P$7="天地诛戮")</f>
        <v>0</v>
      </c>
      <c r="BL590" s="57">
        <f t="shared" ca="1" si="519"/>
        <v>13.542500000000004</v>
      </c>
      <c r="BM590" s="115" t="b">
        <f t="shared" ca="1" si="530"/>
        <v>1</v>
      </c>
      <c r="BN590" s="115" t="b">
        <f ca="1">AND(OR(C590="赤日轮1",C590="赤日轮2",C590="赤日轮3",C590="幽月轮1",C590="幽月轮2",C590="幽月轮3"),AB590=1,模拟模式!$L$7="明光恒照")</f>
        <v>0</v>
      </c>
      <c r="BO590" s="117">
        <f t="shared" ca="1" si="520"/>
        <v>25.387500000000003</v>
      </c>
      <c r="BP590" s="115">
        <f t="shared" ca="1" si="500"/>
        <v>6</v>
      </c>
      <c r="BQ590" s="115" t="b">
        <f>模拟模式!$K$10="2600·水"</f>
        <v>0</v>
      </c>
      <c r="BR590" s="117">
        <f t="shared" si="501"/>
        <v>0</v>
      </c>
      <c r="BS590" s="115">
        <f t="shared" si="502"/>
        <v>0</v>
      </c>
      <c r="BT590" s="115">
        <f t="shared" ca="1" si="503"/>
        <v>0</v>
      </c>
      <c r="BU590" s="115" t="b">
        <f ca="1">AND(模拟模式!$K$10="2300·雷",BT589=0,RAND()&lt;IF(C590="净世破魔击·月",5*0.05*2/3,IF(C590="净世破魔击·日",3*0.05*2/3,0.05*2*2/3)))</f>
        <v>0</v>
      </c>
      <c r="BV590" s="115">
        <f t="shared" ca="1" si="504"/>
        <v>0</v>
      </c>
      <c r="BW590" s="115">
        <f t="shared" ca="1" si="505"/>
        <v>36.089999999999293</v>
      </c>
      <c r="BX590" s="164" t="b">
        <f t="shared" ca="1" si="506"/>
        <v>0</v>
      </c>
      <c r="BY590" s="115">
        <f t="shared" ca="1" si="507"/>
        <v>0</v>
      </c>
      <c r="BZ590" s="115">
        <f>IF(OR(模拟模式!$P$16="10人团",模拟模式!$P$16="25人团"),IF(B590/30&gt;CA589,1,0),0)</f>
        <v>0</v>
      </c>
      <c r="CA590" s="115">
        <f t="shared" si="483"/>
        <v>0</v>
      </c>
      <c r="CB590" s="115">
        <f ca="1">IF(BZ590=1,IF(模拟模式!$P$16="10人团",15,0)+IF(模拟模式!$P$16="25人团",IF(RAND()&lt;0.6,15,0)),MAX(0,CB589-$F$4))</f>
        <v>0</v>
      </c>
      <c r="CC590" s="115" t="b">
        <f t="shared" ca="1" si="531"/>
        <v>0</v>
      </c>
      <c r="CD590" s="115">
        <f>IF(模拟模式!$Q$16="1个",IF(B590/40&gt;CE589,1,0),0)</f>
        <v>0</v>
      </c>
      <c r="CE590" s="115">
        <f t="shared" si="532"/>
        <v>0</v>
      </c>
      <c r="CF590" s="115">
        <f>IF(OR(CD590=1,模拟模式!$Q$16="2个"),20,MAX(0,CF589-$F$4))</f>
        <v>0</v>
      </c>
      <c r="CG590" s="115" t="b">
        <f t="shared" si="533"/>
        <v>0</v>
      </c>
      <c r="CH590" s="115">
        <f t="shared" ca="1" si="508"/>
        <v>0</v>
      </c>
      <c r="CI590" s="115" t="b">
        <f t="shared" ca="1" si="509"/>
        <v>0</v>
      </c>
      <c r="CJ590" s="119">
        <f t="shared" ca="1" si="510"/>
        <v>0</v>
      </c>
      <c r="CK590" s="115">
        <f t="shared" ca="1" si="511"/>
        <v>0</v>
      </c>
      <c r="CL590" s="115" t="b">
        <f ca="1">AND(模拟模式!$S$7="驱夷逐法",OR(AND(C590="净世破魔击·月",E589&gt;59),AND(C590="净世破魔击·日",F589&gt;59)))</f>
        <v>0</v>
      </c>
      <c r="CM590" s="115" t="b">
        <f ca="1">OR(CL590,AND(C590="净世破魔击·日",CL589,RAND()&lt;模拟模式!$U$23))</f>
        <v>0</v>
      </c>
      <c r="CN590" s="115" t="b">
        <f ca="1">IF(模拟模式!$M$7="辉耀红尘",AND(C590="净世破魔击·月",CL590,CV590=0,E589&lt;80),AND(C590="净世破魔击·月",CL590,E589&lt;100))</f>
        <v>0</v>
      </c>
      <c r="CO590" s="115" t="b">
        <f t="shared" ca="1" si="484"/>
        <v>0</v>
      </c>
      <c r="CP590" s="115" t="b">
        <f ca="1">AND(模拟模式!$O$7="用晦而明",OR(C590="净世破魔击·日",C590="净世破魔击·月",C590="驱夜断愁"),AB590)</f>
        <v>1</v>
      </c>
      <c r="CQ590" s="115" t="b">
        <f ca="1">OR(CP590,AND(CP589,RAND()&lt;模拟模式!$U$23))</f>
        <v>1</v>
      </c>
      <c r="CR590" s="115" t="b">
        <f ca="1">AND(模拟模式!$S$7="日月齐光",OR(C590="幽月轮1",C590="幽月轮2",C590="幽月轮3",CR589),NOT(OR(C590="赤日轮1",C590="赤日轮2",C590="赤日轮3")))</f>
        <v>0</v>
      </c>
      <c r="CS590" s="115" t="b">
        <f ca="1">AND(模拟模式!$S$7="日月齐光",OR(C590="赤日轮1",C590="赤日轮2",C590="赤日轮3",CS589),NOT(OR(C590="幽月轮1",C590="幽月轮2",C590="幽月轮3")))</f>
        <v>0</v>
      </c>
      <c r="CT590" s="115">
        <f t="shared" ca="1" si="512"/>
        <v>26.310000000000002</v>
      </c>
      <c r="CU590" s="115" t="b">
        <f ca="1">AND(模拟模式!$K$10="阴阳往极",CT589=0,RAND()&lt;IF(C590="净世破魔击·月",0.0275*7/3,IF(C590="净世破魔击·日",0.0275*3/3,0.0275*2/3)))</f>
        <v>0</v>
      </c>
      <c r="CV590" s="115">
        <f t="shared" ca="1" si="513"/>
        <v>0.38750000000000007</v>
      </c>
      <c r="CW590" s="115">
        <f t="shared" ca="1" si="485"/>
        <v>0.46499999999999975</v>
      </c>
      <c r="CX590" s="115">
        <f t="shared" ca="1" si="486"/>
        <v>0</v>
      </c>
      <c r="CY590" s="115">
        <f ca="1">MAX(IF($C590="驱夜断愁",IF(模拟模式!$R$7="万念俱寂",6,45),CY589-$F$4),0)</f>
        <v>0</v>
      </c>
      <c r="CZ590" s="115">
        <f t="shared" ca="1" si="487"/>
        <v>0</v>
      </c>
      <c r="DA590" s="115">
        <f ca="1">IF(模拟模式!$N$7="日月同辉",IF(DB589=2,0,MIN(6,IF(AND(OR(C590="赤日轮1",C590="赤日轮2",C590="赤日轮3",C590="幽月轮1",C590="幽月轮2",C590="幽月轮3"),AB590=1),DA589+1,DA589))),0)</f>
        <v>5</v>
      </c>
      <c r="DB590" s="115">
        <f t="shared" ca="1" si="488"/>
        <v>0</v>
      </c>
      <c r="DC590" s="115"/>
      <c r="DD590" s="115"/>
      <c r="DE590" s="115"/>
      <c r="DF590" s="115"/>
      <c r="DG590" s="115"/>
      <c r="DH590" s="115"/>
      <c r="DI590" s="115"/>
      <c r="DJ590" s="115"/>
      <c r="DK590" s="115"/>
      <c r="DL590" s="115"/>
      <c r="DM590" s="115"/>
    </row>
    <row r="591" spans="2:117" x14ac:dyDescent="0.2">
      <c r="B591" s="117">
        <f t="shared" si="489"/>
        <v>520.29000000000565</v>
      </c>
      <c r="C591" s="167" t="str">
        <f t="shared" ca="1" si="482"/>
        <v>净世破魔击·日</v>
      </c>
      <c r="D591" s="115">
        <f ca="1">IF(C591="赤日轮1",1,IF(C591="赤日轮2",2,IF(C591="赤日轮3",3,IF(C591="幽月轮1",4,IF(C591="幽月轮2",5,IF(C591="幽月轮3",6,IF(C591="烈日斩",7,IF(C591="银月斩",8,IF(C591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591="净世破魔击·月",17,IF(C591="驱夜断愁",18,0)))))))))))</f>
        <v>9</v>
      </c>
      <c r="E591" s="115">
        <f ca="1">IF(AND(CU591,OR(C591="幽月轮1",C591="幽月轮2",C591="幽月轮3",C591="银月斩",C591="驱夜断愁",C591="净世破魔击·月")),100,MIN(IF(OR(CN591,BE591),0,IF(OR($C591="赤日轮1",$C591="赤日轮2",$C591="赤日轮3"),E590+20+IF(模拟模式!$I$7="日月凌天",4,0)+IF(CR590,20,0),IF($C591="烈日斩",E590+40,IF($C591="驱夜断愁",IF(模拟模式!$R$7="万念俱寂",E590+20,E590+60),IF($C591="净世破魔击·月",IF(OR(DB590&gt;0,CV590&gt;0),100,IF(模拟模式!$M$7="辉耀红尘",E590+20,E590)),IF($C591="净世破魔击·日",E590-100,E590)))))),100))</f>
        <v>0</v>
      </c>
      <c r="F591" s="115">
        <f ca="1">IF(AND(CU591,OR(C591="赤日轮1",C591="赤日轮2",C591="赤日轮3",C591="烈日斩",C591="净世破魔击·日")),100,MIN(IF(CO591,0,IF(OR($C591="幽月轮1",$C591="幽月轮2",$C591="幽月轮3"),F590+20+IF(模拟模式!$I$7="日月凌天",4,0)+IF(CS590,20,0),IF($C591="银月斩",F590+40+IF(模拟模式!$X$12=1,5,0),IF($C591="驱夜断愁",IF(模拟模式!$R$7="万念俱寂",F590+20,F590+60),IF($C591="净世破魔击·月",IF(模拟模式!$M$7="辉耀红尘",F590-80,F590-100),IF(AND(C591="净世破魔击·日",OR(DB590&gt;0,CV590&gt;0)),100,F590)))))),100))</f>
        <v>100</v>
      </c>
      <c r="G591" s="117">
        <f ca="1">('模拟-全程加成'!$E$3+'模拟-全程加成'!$E$4+'模拟-全程加成'!$E$5+('模拟-全程加成'!$C$6-'模拟-全程加成'!$C$3)*系数!$B$9+BS591*23)*(1+'模拟-全程加成'!$F$4+'模拟-全程加成'!$F$5+BJ591*10%+BM591*20%+BP591*4%+CG591*30%)+$F$7*系数!$B$12</f>
        <v>21493.829400000002</v>
      </c>
      <c r="H591" s="45">
        <f ca="1">'模拟-全程加成'!$H$3+'模拟-全程加成'!$H$4+'模拟-全程加成'!$H$5+('模拟-全程加成'!$G$4+'模拟-全程加成'!$G$5+('模拟-全程加成'!$C$6-'模拟-全程加成'!$C$3)*系数!$B$13)/系数!$B$3+LOOKUP(D591,'模拟-单技能数据'!$A$2:$A$19,'模拟-单技能数据'!$K$2:$K$19)+BG591*10%+IF(BV591&gt;0,378,0)</f>
        <v>0.54185145527300216</v>
      </c>
      <c r="I591" s="45">
        <f ca="1">'模拟-全程加成'!$J$3+'模拟-全程加成'!$J$4+'模拟-全程加成'!$J$5+('模拟-全程加成'!$I$4+'模拟-全程加成'!$I$5)/系数!$B$4+LOOKUP(D591,'模拟-单技能数据'!$A$2:$A$19,'模拟-单技能数据'!$L$2:$L$19)+BG591*10%</f>
        <v>2.162482885499879</v>
      </c>
      <c r="J591" s="45">
        <f ca="1">(('模拟-全程加成'!$K$3+'模拟-全程加成'!$K$4+'模拟-全程加成'!$K$5+('模拟-全程加成'!$C$6-'模拟-全程加成'!$C$3)*系数!$B$10+IF(BV591&gt;0,882,0)+IF(BY591&gt;0,1831,0))*(1+'模拟-全程加成'!$L$4+'模拟-全程加成'!$L$5+CC591*20%))/系数!$B$5</f>
        <v>0.69723220422048726</v>
      </c>
      <c r="K591" s="119">
        <f ca="1">LOOKUP(D591,'模拟-单技能数据'!$A$2:$A$19,'模拟-单技能数据'!$J$2:$J$19)+IF(CM591,60%,0)+IF(DB590-DB591&gt;0,30%,0)+IF(OR(AND(OR(C591="赤日轮1",C591="赤日轮2",C591="赤日轮3"),CR591),AND(OR(C591="幽月轮1",C591="幽月轮2",C591="幽月轮3"),CS591)),35%,0)+CJ591</f>
        <v>0.2</v>
      </c>
      <c r="L591" s="119">
        <f ca="1">IF(AND(C591="烈日斩",模拟模式!$X$11=1),10%,0)+IF(AND(C591="驱夜断愁",AB591=1),30%,0)</f>
        <v>0</v>
      </c>
      <c r="M591" s="45">
        <f t="shared" ca="1" si="521"/>
        <v>0.54185145527300216</v>
      </c>
      <c r="N591" s="45">
        <f t="shared" ca="1" si="522"/>
        <v>0.40424854472699789</v>
      </c>
      <c r="O591" s="46">
        <f t="shared" ca="1" si="490"/>
        <v>0.98657186605616387</v>
      </c>
      <c r="P591" s="46" t="str">
        <f t="shared" ca="1" si="491"/>
        <v>命</v>
      </c>
      <c r="Q591" s="45">
        <f t="shared" ca="1" si="492"/>
        <v>1</v>
      </c>
      <c r="R591" s="117">
        <f ca="1">模拟模式!$E$20*(1-IF(模拟模式!$J$19="有",0.15,0))*(1-IF(模拟模式!$K$19="有",0.3,0)-IF(CQ591,0.5,0))</f>
        <v>843.02999999999975</v>
      </c>
      <c r="S591" s="45">
        <f ca="1">R591/(R591+(185*模拟模式!$E$22-16800)*4.08224)</f>
        <v>8.389626085980037E-2</v>
      </c>
      <c r="T591" s="45" t="str">
        <f ca="1">LOOKUP(D591,'模拟-单技能数据'!$A$2:$A$19,'模拟-单技能数据'!$H$2:$H$19)</f>
        <v>阳</v>
      </c>
      <c r="U591" s="119">
        <f t="shared" ca="1" si="523"/>
        <v>0.2</v>
      </c>
      <c r="V591" s="47">
        <f ca="1">(1+L591)*(LOOKUP(D591,'模拟-单技能数据'!$A$2:$A$19,'模拟-单技能数据'!$D$2:$D$19)+G591*LOOKUP(D591,'模拟-单技能数据'!$A$2:$A$19,'模拟-单技能数据'!$F$2:$F$19))*(1+J591)*(1+K591)*(1-S591)*(1+U591)*Q591*LOOKUP(D591,'模拟-单技能数据'!$A$2:$A$19,'模拟-单技能数据'!$I$2:$I$20)</f>
        <v>63050.243404268018</v>
      </c>
      <c r="W591" s="47">
        <f ca="1">LOOKUP(D591,'模拟-单技能数据'!$A$2:$A$19,'模拟-单技能数据'!$G$2:$G$19)*$I$10</f>
        <v>723.0212870940959</v>
      </c>
      <c r="X591" s="47">
        <f t="shared" ca="1" si="493"/>
        <v>70308.124136402825</v>
      </c>
      <c r="Y591" s="47">
        <f t="shared" ca="1" si="524"/>
        <v>134081.38882776495</v>
      </c>
      <c r="Z591" s="49">
        <f t="shared" ca="1" si="525"/>
        <v>58845564.775037155</v>
      </c>
      <c r="AA591" s="97">
        <f t="shared" ca="1" si="526"/>
        <v>113101.47182347636</v>
      </c>
      <c r="AB591" s="115">
        <f ca="1">IF(OR(C591="赤日轮1",C591="赤日轮2",C591="赤日轮3"),IF(RAND()&lt;模拟模式!$Y$17,1,0),IF(OR(C591="幽月轮1",C591="幽月轮2",C591="幽月轮3"),IF(RAND()&lt;模拟模式!$Y$18,1,0),IF(C591="烈日斩",IF(RAND()&lt;模拟模式!$Y$19,1,0),IF(C591="银月斩",IF(RAND()&lt;模拟模式!$Y$20,1,0),IF(C591="驱夜断愁",IF(RAND()&lt;模拟模式!$Y$21,1,0),IF(C591="净世破魔击·日",IF(RAND()&lt;模拟模式!$Y$22,1,0),IF(C591="净世破魔击·月",IF(RAND()&lt;模拟模式!$Y$23,1,0),0)))))))</f>
        <v>1</v>
      </c>
      <c r="AC591" s="115" t="b">
        <f t="shared" ca="1" si="514"/>
        <v>0</v>
      </c>
      <c r="AD591" s="115" t="b">
        <f t="shared" ca="1" si="534"/>
        <v>0</v>
      </c>
      <c r="AE591" s="115">
        <f t="shared" ca="1" si="535"/>
        <v>1</v>
      </c>
      <c r="AF591" s="47">
        <f ca="1">IF(AC591,('模拟-单技能数据'!$D$20+G591*'模拟-单技能数据'!$F$20)*(1+J591)*(1+'模拟-单技能数据'!$J$20)*(1+U591),0)</f>
        <v>0</v>
      </c>
      <c r="AG591" s="61">
        <f t="shared" ca="1" si="527"/>
        <v>0.64185145527300214</v>
      </c>
      <c r="AH591" s="61">
        <f t="shared" ca="1" si="528"/>
        <v>2.2624828854998791</v>
      </c>
      <c r="AI591" s="62">
        <f t="shared" ca="1" si="494"/>
        <v>0.23494492918180776</v>
      </c>
      <c r="AJ591" s="47">
        <f ca="1">IF(AD591,IF(AI591&lt;$F$10,0,IF(AI591&lt;$F$10+$F$11,0.25,IF(AI591&lt;$F$10+$F$11+AG591,AH591,1)))*IF(AF591&gt;0,AF591,IF(AF590&gt;0,AF590,IF(AF589&gt;0,AF589,IF(AF588&gt;0,AF588,IF(AF587&gt;0,AF587,IF(AF586&gt;0,AF586,IF(AF585&gt;0,AF585,IF(AF584&gt;0,AF584,IF(AF583&gt;0,AF583,IF(AF581&gt;0,AF581,IF(AF580&gt;0,AF580,IF(AF579&gt;0,AF579,0)))))))))))),0)*(1-$S591)*'模拟-单技能数据'!$I$20</f>
        <v>0</v>
      </c>
      <c r="AK591" s="115" t="b">
        <f t="shared" ca="1" si="515"/>
        <v>1</v>
      </c>
      <c r="AL591" s="115" t="b">
        <f t="shared" ca="1" si="536"/>
        <v>1</v>
      </c>
      <c r="AM591" s="115">
        <f t="shared" ca="1" si="537"/>
        <v>5</v>
      </c>
      <c r="AN591" s="47">
        <f ca="1">IF(AK591,('模拟-单技能数据'!$D$21+G591*'模拟-单技能数据'!$F$21)*(1+J591)*(1+'模拟-单技能数据'!$J$21)*(1+U591),0)</f>
        <v>12670.936004857545</v>
      </c>
      <c r="AO591" s="61">
        <f ca="1">IF(AN591&gt;0,M591-'模拟-单技能数据'!$K$10,AO590)</f>
        <v>0.42185145527300216</v>
      </c>
      <c r="AP591" s="61">
        <f ca="1">IF(AN591&gt;0,I591-'模拟-单技能数据'!$L$10,AP590)</f>
        <v>2.162482885499879</v>
      </c>
      <c r="AQ591" s="63">
        <f t="shared" ca="1" si="495"/>
        <v>0.22280251787623573</v>
      </c>
      <c r="AR591" s="64">
        <f ca="1">IF(AL591,IF(AQ591&lt;$F$10,0,IF(AQ591&lt;$F$10+$F$11,0.25,IF(AQ591&lt;$F$10+$F$11+AO591,AP591,1)))*IF(AN591&gt;0,AN591,IF(AN590&gt;0,AN590,IF(AN589&gt;0,AN589,IF(AN588&gt;0,AN588,IF(AN587&gt;0,AN587,IF(AN586&gt;0,AN586,IF(AN585&gt;0,AN585,IF(AN584&gt;0,AN584,IF(AN583&gt;0,AN583,IF(AN581&gt;0,AN581,IF(AN580&gt;0,AN580,IF(AN579&gt;0,AN579,0)))))))))))),0)*(1-$S591)*'模拟-单技能数据'!$I$21</f>
        <v>25101.867467669974</v>
      </c>
      <c r="AS591" s="61">
        <f ca="1">IF(OR(C591="净世破魔击·日",C591="净世破魔击·月"),M591-'模拟-单技能数据'!$K$10,0)</f>
        <v>0.42185145527300216</v>
      </c>
      <c r="AT591" s="61">
        <f ca="1">IF(OR(C591="净世破魔击·日",C591="净世破魔击·月"),I591-'模拟-单技能数据'!$L$10,0)</f>
        <v>2.162482885499879</v>
      </c>
      <c r="AU591" s="62">
        <f t="shared" ca="1" si="496"/>
        <v>7.2569977281695897E-2</v>
      </c>
      <c r="AV591" s="64">
        <f ca="1">IF(AS591&gt;0,('模拟-单技能数据'!$D$22+G591*'模拟-单技能数据'!$F$22)*(1+J591)*(1-S591)*IF(AU591&lt;$F$10,0,IF(AU591&lt;$F$10+$F$11,0.25,IF(AU591&lt;$F$10+$F$11+AS591,AT591,1)))*(1+U591),0)*'模拟-单技能数据'!$I$22</f>
        <v>19116.855106939758</v>
      </c>
      <c r="AW591" s="108">
        <f t="shared" ca="1" si="497"/>
        <v>19.077500000000001</v>
      </c>
      <c r="AX591" s="108" t="b">
        <f ca="1">AND(模拟模式!$P$10="有",AW590=0,RAND()&lt;IF(C591="净世破魔击·月",0.1*8/3,IF(C591="净世破魔击·日",0.1*4/3,0.1*2/3)))</f>
        <v>1</v>
      </c>
      <c r="AY591" s="47">
        <f ca="1">IF(AX591,(18+G591*0.722)*(1+J591)*(1-S591)*(1+$I$4)*IF(P591="会",'模拟-全程加成'!$J$3+'模拟-全程加成'!$J$4+'模拟-全程加成'!$J$5+('模拟-全程加成'!$I$4+'模拟-全程加成'!$I$5)/系数!$B$4+BG591*10%,IF(P591="命",1,IF(P591="识",0.25,0))),0)</f>
        <v>26089.401561793093</v>
      </c>
      <c r="AZ591" s="108">
        <f t="shared" si="498"/>
        <v>7.0850000000000071</v>
      </c>
      <c r="BA591" s="108" t="b">
        <f>AND(模拟模式!$Q$10="有",AZ590=0)</f>
        <v>0</v>
      </c>
      <c r="BB591" s="140">
        <f>IF(BA591,(0+G591*0.287)*(1+J591)*(1-S591)*(1+$I$4)*IF(P591="会",'模拟-全程加成'!$J$3+'模拟-全程加成'!$J$4+'模拟-全程加成'!$J$5+('模拟-全程加成'!$I$4+'模拟-全程加成'!$I$5)/系数!$B$4+BG591*10%,IF(P591="命",1,IF(P591="识",0.25,0))),0)</f>
        <v>0</v>
      </c>
      <c r="BC591" s="115" t="b">
        <f ca="1">AND(模拟模式!$R$7="伏明众生",E591=60,F591=20,DA591&lt;5,CZ590&lt;$F$4)</f>
        <v>0</v>
      </c>
      <c r="BD591" s="115">
        <f t="shared" ca="1" si="516"/>
        <v>0</v>
      </c>
      <c r="BE591" s="115" t="b">
        <f t="shared" ca="1" si="517"/>
        <v>0</v>
      </c>
      <c r="BF591" s="47">
        <f ca="1">IF(BC591,4*('模拟-单技能数据'!$D$24+G591*'模拟-单技能数据'!$F$24)*(1+J591)*(1+'模拟-单技能数据'!$J$24)*(1-S591)*(1+$I$3)*(('模拟-全程加成'!$J$3+'模拟-全程加成'!$J$4+'模拟-全程加成'!$J$5+('模拟-全程加成'!$I$4+'模拟-全程加成'!$I$5)/系数!$B$4+BG591*10%)*('模拟-全程加成'!$J$3+'模拟-全程加成'!$J$4+'模拟-全程加成'!$J$5+('模拟-全程加成'!$I$4+'模拟-全程加成'!$I$5)/系数!$B$4+BG591*10%)+(1-('模拟-全程加成'!$J$3+'模拟-全程加成'!$J$4+'模拟-全程加成'!$J$5+('模拟-全程加成'!$I$4+'模拟-全程加成'!$I$5)/系数!$B$4+BG591*10%)-$F$10-$F$11)+F577*0.25),0)*'模拟-单技能数据'!$I$24</f>
        <v>0</v>
      </c>
      <c r="BG591" s="115" t="b">
        <f ca="1">OR(AND(OR(C591="烈日斩",C591="银月斩"),模拟模式!$I$7="净身明礼"),AND(C591="净世破魔击·日",模拟模式!$J$7="洞若观火"),AND(C592="净世破魔击·月",模拟模式!$J$7="洞若观火"),AB591=1)</f>
        <v>1</v>
      </c>
      <c r="BH591" s="115" t="b">
        <f t="shared" ca="1" si="499"/>
        <v>0</v>
      </c>
      <c r="BI591" s="115">
        <f t="shared" ca="1" si="518"/>
        <v>5.0774999999999997</v>
      </c>
      <c r="BJ591" s="115" t="b">
        <f t="shared" ca="1" si="529"/>
        <v>1</v>
      </c>
      <c r="BK591" s="115" t="b">
        <f ca="1">AND(C591="驱夜断愁",模拟模式!$P$7="天地诛戮")</f>
        <v>0</v>
      </c>
      <c r="BL591" s="57">
        <f t="shared" ca="1" si="519"/>
        <v>12.620000000000005</v>
      </c>
      <c r="BM591" s="115" t="b">
        <f t="shared" ca="1" si="530"/>
        <v>1</v>
      </c>
      <c r="BN591" s="115" t="b">
        <f ca="1">AND(OR(C591="赤日轮1",C591="赤日轮2",C591="赤日轮3",C591="幽月轮1",C591="幽月轮2",C591="幽月轮3"),AB591=1,模拟模式!$L$7="明光恒照")</f>
        <v>0</v>
      </c>
      <c r="BO591" s="117">
        <f t="shared" ca="1" si="520"/>
        <v>24.465000000000003</v>
      </c>
      <c r="BP591" s="115">
        <f t="shared" ca="1" si="500"/>
        <v>6</v>
      </c>
      <c r="BQ591" s="115" t="b">
        <f>模拟模式!$K$10="2600·水"</f>
        <v>0</v>
      </c>
      <c r="BR591" s="117">
        <f t="shared" si="501"/>
        <v>0</v>
      </c>
      <c r="BS591" s="115">
        <f t="shared" si="502"/>
        <v>0</v>
      </c>
      <c r="BT591" s="115">
        <f t="shared" ca="1" si="503"/>
        <v>0</v>
      </c>
      <c r="BU591" s="115" t="b">
        <f ca="1">AND(模拟模式!$K$10="2300·雷",BT590=0,RAND()&lt;IF(C591="净世破魔击·月",5*0.05*2/3,IF(C591="净世破魔击·日",3*0.05*2/3,0.05*2*2/3)))</f>
        <v>0</v>
      </c>
      <c r="BV591" s="115">
        <f t="shared" ca="1" si="504"/>
        <v>0</v>
      </c>
      <c r="BW591" s="115">
        <f t="shared" ca="1" si="505"/>
        <v>35.167499999999293</v>
      </c>
      <c r="BX591" s="164" t="b">
        <f t="shared" ca="1" si="506"/>
        <v>0</v>
      </c>
      <c r="BY591" s="115">
        <f t="shared" ca="1" si="507"/>
        <v>0</v>
      </c>
      <c r="BZ591" s="115">
        <f>IF(OR(模拟模式!$P$16="10人团",模拟模式!$P$16="25人团"),IF(B591/30&gt;CA590,1,0),0)</f>
        <v>0</v>
      </c>
      <c r="CA591" s="115">
        <f t="shared" si="483"/>
        <v>0</v>
      </c>
      <c r="CB591" s="115">
        <f ca="1">IF(BZ591=1,IF(模拟模式!$P$16="10人团",15,0)+IF(模拟模式!$P$16="25人团",IF(RAND()&lt;0.6,15,0)),MAX(0,CB590-$F$4))</f>
        <v>0</v>
      </c>
      <c r="CC591" s="115" t="b">
        <f t="shared" ca="1" si="531"/>
        <v>0</v>
      </c>
      <c r="CD591" s="115">
        <f>IF(模拟模式!$Q$16="1个",IF(B591/40&gt;CE590,1,0),0)</f>
        <v>0</v>
      </c>
      <c r="CE591" s="115">
        <f t="shared" si="532"/>
        <v>0</v>
      </c>
      <c r="CF591" s="115">
        <f>IF(OR(CD591=1,模拟模式!$Q$16="2个"),20,MAX(0,CF590-$F$4))</f>
        <v>0</v>
      </c>
      <c r="CG591" s="115" t="b">
        <f t="shared" si="533"/>
        <v>0</v>
      </c>
      <c r="CH591" s="115">
        <f t="shared" ca="1" si="508"/>
        <v>0</v>
      </c>
      <c r="CI591" s="115" t="b">
        <f t="shared" ca="1" si="509"/>
        <v>0</v>
      </c>
      <c r="CJ591" s="119">
        <f t="shared" ca="1" si="510"/>
        <v>0</v>
      </c>
      <c r="CK591" s="115">
        <f t="shared" ca="1" si="511"/>
        <v>0</v>
      </c>
      <c r="CL591" s="115" t="b">
        <f ca="1">AND(模拟模式!$S$7="驱夷逐法",OR(AND(C591="净世破魔击·月",E590&gt;59),AND(C591="净世破魔击·日",F590&gt;59)))</f>
        <v>0</v>
      </c>
      <c r="CM591" s="115" t="b">
        <f ca="1">OR(CL591,AND(C591="净世破魔击·日",CL590,RAND()&lt;模拟模式!$U$23))</f>
        <v>0</v>
      </c>
      <c r="CN591" s="115" t="b">
        <f ca="1">IF(模拟模式!$M$7="辉耀红尘",AND(C591="净世破魔击·月",CL591,CV591=0,E590&lt;80),AND(C591="净世破魔击·月",CL591,E590&lt;100))</f>
        <v>0</v>
      </c>
      <c r="CO591" s="115" t="b">
        <f t="shared" ca="1" si="484"/>
        <v>0</v>
      </c>
      <c r="CP591" s="115" t="b">
        <f ca="1">AND(模拟模式!$O$7="用晦而明",OR(C591="净世破魔击·日",C591="净世破魔击·月",C591="驱夜断愁"),AB591)</f>
        <v>1</v>
      </c>
      <c r="CQ591" s="115" t="b">
        <f ca="1">OR(CP591,AND(CP590,RAND()&lt;模拟模式!$U$23))</f>
        <v>1</v>
      </c>
      <c r="CR591" s="115" t="b">
        <f ca="1">AND(模拟模式!$S$7="日月齐光",OR(C591="幽月轮1",C591="幽月轮2",C591="幽月轮3",CR590),NOT(OR(C591="赤日轮1",C591="赤日轮2",C591="赤日轮3")))</f>
        <v>0</v>
      </c>
      <c r="CS591" s="115" t="b">
        <f ca="1">AND(模拟模式!$S$7="日月齐光",OR(C591="赤日轮1",C591="赤日轮2",C591="赤日轮3",CS590),NOT(OR(C591="幽月轮1",C591="幽月轮2",C591="幽月轮3")))</f>
        <v>0</v>
      </c>
      <c r="CT591" s="115">
        <f t="shared" ca="1" si="512"/>
        <v>25.387500000000003</v>
      </c>
      <c r="CU591" s="115" t="b">
        <f ca="1">AND(模拟模式!$K$10="阴阳往极",CT590=0,RAND()&lt;IF(C591="净世破魔击·月",0.0275*7/3,IF(C591="净世破魔击·日",0.0275*3/3,0.0275*2/3)))</f>
        <v>0</v>
      </c>
      <c r="CV591" s="115">
        <f t="shared" ca="1" si="513"/>
        <v>0</v>
      </c>
      <c r="CW591" s="115">
        <f t="shared" ca="1" si="485"/>
        <v>0</v>
      </c>
      <c r="CX591" s="115">
        <f t="shared" ca="1" si="486"/>
        <v>0</v>
      </c>
      <c r="CY591" s="115">
        <f ca="1">MAX(IF($C591="驱夜断愁",IF(模拟模式!$R$7="万念俱寂",6,45),CY590-$F$4),0)</f>
        <v>0</v>
      </c>
      <c r="CZ591" s="115">
        <f t="shared" ca="1" si="487"/>
        <v>0</v>
      </c>
      <c r="DA591" s="115">
        <f ca="1">IF(模拟模式!$N$7="日月同辉",IF(DB590=2,0,MIN(6,IF(AND(OR(C591="赤日轮1",C591="赤日轮2",C591="赤日轮3",C591="幽月轮1",C591="幽月轮2",C591="幽月轮3"),AB591=1),DA590+1,DA590))),0)</f>
        <v>5</v>
      </c>
      <c r="DB591" s="115">
        <f t="shared" ca="1" si="488"/>
        <v>0</v>
      </c>
      <c r="DC591" s="115"/>
      <c r="DD591" s="115"/>
      <c r="DE591" s="115"/>
      <c r="DF591" s="115"/>
      <c r="DG591" s="115"/>
      <c r="DH591" s="115"/>
      <c r="DI591" s="115"/>
      <c r="DJ591" s="115"/>
      <c r="DK591" s="115"/>
      <c r="DL591" s="115"/>
      <c r="DM591" s="115"/>
    </row>
    <row r="592" spans="2:117" x14ac:dyDescent="0.2">
      <c r="B592" s="117">
        <f t="shared" si="489"/>
        <v>521.21250000000566</v>
      </c>
      <c r="C592" s="167" t="str">
        <f t="shared" ca="1" si="482"/>
        <v>净世破魔击·月</v>
      </c>
      <c r="D592" s="115">
        <f ca="1">IF(C592="赤日轮1",1,IF(C592="赤日轮2",2,IF(C592="赤日轮3",3,IF(C592="幽月轮1",4,IF(C592="幽月轮2",5,IF(C592="幽月轮3",6,IF(C592="烈日斩",7,IF(C592="银月斩",8,IF(C592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592="净世破魔击·月",17,IF(C592="驱夜断愁",18,0)))))))))))</f>
        <v>17</v>
      </c>
      <c r="E592" s="115">
        <f ca="1">IF(AND(CU592,OR(C592="幽月轮1",C592="幽月轮2",C592="幽月轮3",C592="银月斩",C592="驱夜断愁",C592="净世破魔击·月")),100,MIN(IF(OR(CN592,BE592),0,IF(OR($C592="赤日轮1",$C592="赤日轮2",$C592="赤日轮3"),E591+20+IF(模拟模式!$I$7="日月凌天",4,0)+IF(CR591,20,0),IF($C592="烈日斩",E591+40,IF($C592="驱夜断愁",IF(模拟模式!$R$7="万念俱寂",E591+20,E591+60),IF($C592="净世破魔击·月",IF(OR(DB591&gt;0,CV591&gt;0),100,IF(模拟模式!$M$7="辉耀红尘",E591+20,E591)),IF($C592="净世破魔击·日",E591-100,E591)))))),100))</f>
        <v>20</v>
      </c>
      <c r="F592" s="115">
        <f ca="1">IF(AND(CU592,OR(C592="赤日轮1",C592="赤日轮2",C592="赤日轮3",C592="烈日斩",C592="净世破魔击·日")),100,MIN(IF(CO592,0,IF(OR($C592="幽月轮1",$C592="幽月轮2",$C592="幽月轮3"),F591+20+IF(模拟模式!$I$7="日月凌天",4,0)+IF(CS591,20,0),IF($C592="银月斩",F591+40+IF(模拟模式!$X$12=1,5,0),IF($C592="驱夜断愁",IF(模拟模式!$R$7="万念俱寂",F591+20,F591+60),IF($C592="净世破魔击·月",IF(模拟模式!$M$7="辉耀红尘",F591-80,F591-100),IF(AND(C592="净世破魔击·日",OR(DB591&gt;0,CV591&gt;0)),100,F591)))))),100))</f>
        <v>20</v>
      </c>
      <c r="G592" s="117">
        <f ca="1">('模拟-全程加成'!$E$3+'模拟-全程加成'!$E$4+'模拟-全程加成'!$E$5+('模拟-全程加成'!$C$6-'模拟-全程加成'!$C$3)*系数!$B$9+BS592*23)*(1+'模拟-全程加成'!$F$4+'模拟-全程加成'!$F$5+BJ592*10%+BM592*20%+BP592*4%+CG592*30%)+$F$7*系数!$B$12</f>
        <v>21493.829400000002</v>
      </c>
      <c r="H592" s="45">
        <f ca="1">'模拟-全程加成'!$H$3+'模拟-全程加成'!$H$4+'模拟-全程加成'!$H$5+('模拟-全程加成'!$G$4+'模拟-全程加成'!$G$5+('模拟-全程加成'!$C$6-'模拟-全程加成'!$C$3)*系数!$B$13)/系数!$B$3+LOOKUP(D592,'模拟-单技能数据'!$A$2:$A$19,'模拟-单技能数据'!$K$2:$K$19)+BG592*10%+IF(BV592&gt;0,378,0)</f>
        <v>0.54185145527300216</v>
      </c>
      <c r="I592" s="45">
        <f ca="1">'模拟-全程加成'!$J$3+'模拟-全程加成'!$J$4+'模拟-全程加成'!$J$5+('模拟-全程加成'!$I$4+'模拟-全程加成'!$I$5)/系数!$B$4+LOOKUP(D592,'模拟-单技能数据'!$A$2:$A$19,'模拟-单技能数据'!$L$2:$L$19)+BG592*10%</f>
        <v>2.162482885499879</v>
      </c>
      <c r="J592" s="45">
        <f ca="1">(('模拟-全程加成'!$K$3+'模拟-全程加成'!$K$4+'模拟-全程加成'!$K$5+('模拟-全程加成'!$C$6-'模拟-全程加成'!$C$3)*系数!$B$10+IF(BV592&gt;0,882,0)+IF(BY592&gt;0,1831,0))*(1+'模拟-全程加成'!$L$4+'模拟-全程加成'!$L$5+CC592*20%))/系数!$B$5</f>
        <v>0.69723220422048726</v>
      </c>
      <c r="K592" s="119">
        <f ca="1">LOOKUP(D592,'模拟-单技能数据'!$A$2:$A$19,'模拟-单技能数据'!$J$2:$J$19)+IF(CM592,60%,0)+IF(DB591-DB592&gt;0,30%,0)+IF(OR(AND(OR(C592="赤日轮1",C592="赤日轮2",C592="赤日轮3"),CR592),AND(OR(C592="幽月轮1",C592="幽月轮2",C592="幽月轮3"),CS592)),35%,0)+CJ592</f>
        <v>0.2</v>
      </c>
      <c r="L592" s="119">
        <f ca="1">IF(AND(C592="烈日斩",模拟模式!$X$11=1),10%,0)+IF(AND(C592="驱夜断愁",AB592=1),30%,0)</f>
        <v>0</v>
      </c>
      <c r="M592" s="45">
        <f t="shared" ca="1" si="521"/>
        <v>0.54185145527300216</v>
      </c>
      <c r="N592" s="45">
        <f t="shared" ca="1" si="522"/>
        <v>0.40424854472699789</v>
      </c>
      <c r="O592" s="46">
        <f t="shared" ca="1" si="490"/>
        <v>0.87990591434944998</v>
      </c>
      <c r="P592" s="46" t="str">
        <f t="shared" ca="1" si="491"/>
        <v>命</v>
      </c>
      <c r="Q592" s="45">
        <f t="shared" ca="1" si="492"/>
        <v>1</v>
      </c>
      <c r="R592" s="117">
        <f ca="1">模拟模式!$E$20*(1-IF(模拟模式!$J$19="有",0.15,0))*(1-IF(模拟模式!$K$19="有",0.3,0)-IF(CQ592,0.5,0))</f>
        <v>843.02999999999975</v>
      </c>
      <c r="S592" s="45">
        <f ca="1">R592/(R592+(185*模拟模式!$E$22-16800)*4.08224)</f>
        <v>8.389626085980037E-2</v>
      </c>
      <c r="T592" s="45" t="str">
        <f ca="1">LOOKUP(D592,'模拟-单技能数据'!$A$2:$A$19,'模拟-单技能数据'!$H$2:$H$19)</f>
        <v>阴</v>
      </c>
      <c r="U592" s="119">
        <f t="shared" ca="1" si="523"/>
        <v>0.08</v>
      </c>
      <c r="V592" s="47">
        <f ca="1">(1+L592)*(LOOKUP(D592,'模拟-单技能数据'!$A$2:$A$19,'模拟-单技能数据'!$D$2:$D$19)+G592*LOOKUP(D592,'模拟-单技能数据'!$A$2:$A$19,'模拟-单技能数据'!$F$2:$F$19))*(1+J592)*(1+K592)*(1-S592)*(1+U592)*Q592*LOOKUP(D592,'模拟-单技能数据'!$A$2:$A$19,'模拟-单技能数据'!$I$2:$I$20)</f>
        <v>56275.195622899046</v>
      </c>
      <c r="W592" s="47">
        <f ca="1">LOOKUP(D592,'模拟-单技能数据'!$A$2:$A$19,'模拟-单技能数据'!$G$2:$G$19)*$I$10</f>
        <v>361.51064354704795</v>
      </c>
      <c r="X592" s="47">
        <f t="shared" ca="1" si="493"/>
        <v>26821.826710822574</v>
      </c>
      <c r="Y592" s="47">
        <f t="shared" ca="1" si="524"/>
        <v>83458.532977268667</v>
      </c>
      <c r="Z592" s="49">
        <f t="shared" ca="1" si="525"/>
        <v>58929023.308014423</v>
      </c>
      <c r="AA592" s="97">
        <f t="shared" ca="1" si="526"/>
        <v>113061.41604050898</v>
      </c>
      <c r="AB592" s="115">
        <f ca="1">IF(OR(C592="赤日轮1",C592="赤日轮2",C592="赤日轮3"),IF(RAND()&lt;模拟模式!$Y$17,1,0),IF(OR(C592="幽月轮1",C592="幽月轮2",C592="幽月轮3"),IF(RAND()&lt;模拟模式!$Y$18,1,0),IF(C592="烈日斩",IF(RAND()&lt;模拟模式!$Y$19,1,0),IF(C592="银月斩",IF(RAND()&lt;模拟模式!$Y$20,1,0),IF(C592="驱夜断愁",IF(RAND()&lt;模拟模式!$Y$21,1,0),IF(C592="净世破魔击·日",IF(RAND()&lt;模拟模式!$Y$22,1,0),IF(C592="净世破魔击·月",IF(RAND()&lt;模拟模式!$Y$23,1,0),0)))))))</f>
        <v>1</v>
      </c>
      <c r="AC592" s="115" t="b">
        <f t="shared" ca="1" si="514"/>
        <v>0</v>
      </c>
      <c r="AD592" s="115" t="b">
        <f t="shared" ca="1" si="534"/>
        <v>1</v>
      </c>
      <c r="AE592" s="115">
        <f t="shared" ca="1" si="535"/>
        <v>0</v>
      </c>
      <c r="AF592" s="47">
        <f ca="1">IF(AC592,('模拟-单技能数据'!$D$20+G592*'模拟-单技能数据'!$F$20)*(1+J592)*(1+'模拟-单技能数据'!$J$20)*(1+U592),0)</f>
        <v>0</v>
      </c>
      <c r="AG592" s="61">
        <f t="shared" ca="1" si="527"/>
        <v>0.64185145527300214</v>
      </c>
      <c r="AH592" s="61">
        <f t="shared" ca="1" si="528"/>
        <v>2.2624828854998791</v>
      </c>
      <c r="AI592" s="62">
        <f t="shared" ca="1" si="494"/>
        <v>0.19328577525970592</v>
      </c>
      <c r="AJ592" s="47">
        <f ca="1">IF(AD592,IF(AI592&lt;$F$10,0,IF(AI592&lt;$F$10+$F$11,0.25,IF(AI592&lt;$F$10+$F$11+AG592,AH592,1)))*IF(AF592&gt;0,AF592,IF(AF591&gt;0,AF591,IF(AF590&gt;0,AF590,IF(AF589&gt;0,AF589,IF(AF588&gt;0,AF588,IF(AF587&gt;0,AF587,IF(AF586&gt;0,AF586,IF(AF585&gt;0,AF585,IF(AF584&gt;0,AF584,IF(AF582&gt;0,AF582,IF(AF581&gt;0,AF581,IF(AF580&gt;0,AF580,0)))))))))))),0)*(1-$S592)*'模拟-单技能数据'!$I$20</f>
        <v>9616.6571145767884</v>
      </c>
      <c r="AK592" s="115" t="b">
        <f t="shared" ca="1" si="515"/>
        <v>0</v>
      </c>
      <c r="AL592" s="115" t="b">
        <f t="shared" ca="1" si="536"/>
        <v>0</v>
      </c>
      <c r="AM592" s="115">
        <f t="shared" ca="1" si="537"/>
        <v>5</v>
      </c>
      <c r="AN592" s="47">
        <f ca="1">IF(AK592,('模拟-单技能数据'!$D$21+G592*'模拟-单技能数据'!$F$21)*(1+J592)*(1+'模拟-单技能数据'!$J$21)*(1+U592),0)</f>
        <v>0</v>
      </c>
      <c r="AO592" s="61">
        <f ca="1">IF(AN592&gt;0,M592-'模拟-单技能数据'!$K$10,AO591)</f>
        <v>0.42185145527300216</v>
      </c>
      <c r="AP592" s="61">
        <f ca="1">IF(AN592&gt;0,I592-'模拟-单技能数据'!$L$10,AP591)</f>
        <v>2.162482885499879</v>
      </c>
      <c r="AQ592" s="63">
        <f t="shared" ca="1" si="495"/>
        <v>0.20090589087743926</v>
      </c>
      <c r="AR592" s="64">
        <f ca="1">IF(AL592,IF(AQ592&lt;$F$10,0,IF(AQ592&lt;$F$10+$F$11,0.25,IF(AQ592&lt;$F$10+$F$11+AO592,AP592,1)))*IF(AN592&gt;0,AN592,IF(AN591&gt;0,AN591,IF(AN590&gt;0,AN590,IF(AN589&gt;0,AN589,IF(AN588&gt;0,AN588,IF(AN587&gt;0,AN587,IF(AN586&gt;0,AN586,IF(AN585&gt;0,AN585,IF(AN584&gt;0,AN584,IF(AN582&gt;0,AN582,IF(AN581&gt;0,AN581,IF(AN580&gt;0,AN580,0)))))))))))),0)*(1-$S592)*'模拟-单技能数据'!$I$21</f>
        <v>0</v>
      </c>
      <c r="AS592" s="61">
        <f ca="1">IF(OR(C592="净世破魔击·日",C592="净世破魔击·月"),M592-'模拟-单技能数据'!$K$10,0)</f>
        <v>0.42185145527300216</v>
      </c>
      <c r="AT592" s="61">
        <f ca="1">IF(OR(C592="净世破魔击·日",C592="净世破魔击·月"),I592-'模拟-单技能数据'!$L$10,0)</f>
        <v>2.162482885499879</v>
      </c>
      <c r="AU592" s="62">
        <f t="shared" ca="1" si="496"/>
        <v>0.23753169115659201</v>
      </c>
      <c r="AV592" s="64">
        <f ca="1">IF(AS592&gt;0,('模拟-单技能数据'!$D$22+G592*'模拟-单技能数据'!$F$22)*(1+J592)*(1-S592)*IF(AU592&lt;$F$10,0,IF(AU592&lt;$F$10+$F$11,0.25,IF(AU592&lt;$F$10+$F$11+AS592,AT592,1)))*(1+U592),0)*'模拟-单技能数据'!$I$22</f>
        <v>17205.169596245785</v>
      </c>
      <c r="AW592" s="108">
        <f t="shared" ca="1" si="497"/>
        <v>18.155000000000001</v>
      </c>
      <c r="AX592" s="108" t="b">
        <f ca="1">AND(模拟模式!$P$10="有",AW591=0,RAND()&lt;IF(C592="净世破魔击·月",0.1*8/3,IF(C592="净世破魔击·日",0.1*4/3,0.1*2/3)))</f>
        <v>0</v>
      </c>
      <c r="AY592" s="47">
        <f ca="1">IF(AX592,(18+G592*0.722)*(1+J592)*(1-S592)*(1+$I$4)*IF(P592="会",'模拟-全程加成'!$J$3+'模拟-全程加成'!$J$4+'模拟-全程加成'!$J$5+('模拟-全程加成'!$I$4+'模拟-全程加成'!$I$5)/系数!$B$4+BG592*10%,IF(P592="命",1,IF(P592="识",0.25,0))),0)</f>
        <v>0</v>
      </c>
      <c r="AZ592" s="108">
        <f t="shared" si="498"/>
        <v>6.1625000000000068</v>
      </c>
      <c r="BA592" s="108" t="b">
        <f>AND(模拟模式!$Q$10="有",AZ591=0)</f>
        <v>0</v>
      </c>
      <c r="BB592" s="140">
        <f>IF(BA592,(0+G592*0.287)*(1+J592)*(1-S592)*(1+$I$4)*IF(P592="会",'模拟-全程加成'!$J$3+'模拟-全程加成'!$J$4+'模拟-全程加成'!$J$5+('模拟-全程加成'!$I$4+'模拟-全程加成'!$I$5)/系数!$B$4+BG592*10%,IF(P592="命",1,IF(P592="识",0.25,0))),0)</f>
        <v>0</v>
      </c>
      <c r="BC592" s="115" t="b">
        <f ca="1">AND(模拟模式!$R$7="伏明众生",E592=60,F592=20,DA592&lt;5,CZ591&lt;$F$4)</f>
        <v>0</v>
      </c>
      <c r="BD592" s="115">
        <f t="shared" ca="1" si="516"/>
        <v>0</v>
      </c>
      <c r="BE592" s="115" t="b">
        <f t="shared" ca="1" si="517"/>
        <v>0</v>
      </c>
      <c r="BF592" s="47">
        <f ca="1">IF(BC592,4*('模拟-单技能数据'!$D$24+G592*'模拟-单技能数据'!$F$24)*(1+J592)*(1+'模拟-单技能数据'!$J$24)*(1-S592)*(1+$I$3)*(('模拟-全程加成'!$J$3+'模拟-全程加成'!$J$4+'模拟-全程加成'!$J$5+('模拟-全程加成'!$I$4+'模拟-全程加成'!$I$5)/系数!$B$4+BG592*10%)*('模拟-全程加成'!$J$3+'模拟-全程加成'!$J$4+'模拟-全程加成'!$J$5+('模拟-全程加成'!$I$4+'模拟-全程加成'!$I$5)/系数!$B$4+BG592*10%)+(1-('模拟-全程加成'!$J$3+'模拟-全程加成'!$J$4+'模拟-全程加成'!$J$5+('模拟-全程加成'!$I$4+'模拟-全程加成'!$I$5)/系数!$B$4+BG592*10%)-$F$10-$F$11)+F578*0.25),0)*'模拟-单技能数据'!$I$24</f>
        <v>0</v>
      </c>
      <c r="BG592" s="115" t="b">
        <f ca="1">OR(AND(OR(C592="烈日斩",C592="银月斩"),模拟模式!$I$7="净身明礼"),AND(C592="净世破魔击·日",模拟模式!$J$7="洞若观火"),AND(C593="净世破魔击·月",模拟模式!$J$7="洞若观火"),AB592=1)</f>
        <v>1</v>
      </c>
      <c r="BH592" s="115" t="b">
        <f t="shared" ca="1" si="499"/>
        <v>1</v>
      </c>
      <c r="BI592" s="115">
        <f t="shared" ca="1" si="518"/>
        <v>6</v>
      </c>
      <c r="BJ592" s="115" t="b">
        <f t="shared" ca="1" si="529"/>
        <v>1</v>
      </c>
      <c r="BK592" s="115" t="b">
        <f ca="1">AND(C592="驱夜断愁",模拟模式!$P$7="天地诛戮")</f>
        <v>0</v>
      </c>
      <c r="BL592" s="57">
        <f t="shared" ca="1" si="519"/>
        <v>11.697500000000005</v>
      </c>
      <c r="BM592" s="115" t="b">
        <f t="shared" ca="1" si="530"/>
        <v>1</v>
      </c>
      <c r="BN592" s="115" t="b">
        <f ca="1">AND(OR(C592="赤日轮1",C592="赤日轮2",C592="赤日轮3",C592="幽月轮1",C592="幽月轮2",C592="幽月轮3"),AB592=1,模拟模式!$L$7="明光恒照")</f>
        <v>0</v>
      </c>
      <c r="BO592" s="117">
        <f t="shared" ca="1" si="520"/>
        <v>23.542500000000004</v>
      </c>
      <c r="BP592" s="115">
        <f t="shared" ca="1" si="500"/>
        <v>6</v>
      </c>
      <c r="BQ592" s="115" t="b">
        <f>模拟模式!$K$10="2600·水"</f>
        <v>0</v>
      </c>
      <c r="BR592" s="117">
        <f t="shared" si="501"/>
        <v>0</v>
      </c>
      <c r="BS592" s="115">
        <f t="shared" si="502"/>
        <v>0</v>
      </c>
      <c r="BT592" s="115">
        <f t="shared" ca="1" si="503"/>
        <v>0</v>
      </c>
      <c r="BU592" s="115" t="b">
        <f ca="1">AND(模拟模式!$K$10="2300·雷",BT591=0,RAND()&lt;IF(C592="净世破魔击·月",5*0.05*2/3,IF(C592="净世破魔击·日",3*0.05*2/3,0.05*2*2/3)))</f>
        <v>0</v>
      </c>
      <c r="BV592" s="115">
        <f t="shared" ca="1" si="504"/>
        <v>0</v>
      </c>
      <c r="BW592" s="115">
        <f t="shared" ca="1" si="505"/>
        <v>34.244999999999294</v>
      </c>
      <c r="BX592" s="164" t="b">
        <f t="shared" ca="1" si="506"/>
        <v>0</v>
      </c>
      <c r="BY592" s="115">
        <f t="shared" ca="1" si="507"/>
        <v>0</v>
      </c>
      <c r="BZ592" s="115">
        <f>IF(OR(模拟模式!$P$16="10人团",模拟模式!$P$16="25人团"),IF(B592/30&gt;CA591,1,0),0)</f>
        <v>0</v>
      </c>
      <c r="CA592" s="115">
        <f t="shared" si="483"/>
        <v>0</v>
      </c>
      <c r="CB592" s="115">
        <f ca="1">IF(BZ592=1,IF(模拟模式!$P$16="10人团",15,0)+IF(模拟模式!$P$16="25人团",IF(RAND()&lt;0.6,15,0)),MAX(0,CB591-$F$4))</f>
        <v>0</v>
      </c>
      <c r="CC592" s="115" t="b">
        <f t="shared" ca="1" si="531"/>
        <v>0</v>
      </c>
      <c r="CD592" s="115">
        <f>IF(模拟模式!$Q$16="1个",IF(B592/40&gt;CE591,1,0),0)</f>
        <v>0</v>
      </c>
      <c r="CE592" s="115">
        <f t="shared" si="532"/>
        <v>0</v>
      </c>
      <c r="CF592" s="115">
        <f>IF(OR(CD592=1,模拟模式!$Q$16="2个"),20,MAX(0,CF591-$F$4))</f>
        <v>0</v>
      </c>
      <c r="CG592" s="115" t="b">
        <f t="shared" si="533"/>
        <v>0</v>
      </c>
      <c r="CH592" s="115">
        <f t="shared" ca="1" si="508"/>
        <v>0</v>
      </c>
      <c r="CI592" s="115" t="b">
        <f t="shared" ca="1" si="509"/>
        <v>0</v>
      </c>
      <c r="CJ592" s="119">
        <f t="shared" ca="1" si="510"/>
        <v>0</v>
      </c>
      <c r="CK592" s="115">
        <f t="shared" ca="1" si="511"/>
        <v>0</v>
      </c>
      <c r="CL592" s="115" t="b">
        <f ca="1">AND(模拟模式!$S$7="驱夷逐法",OR(AND(C592="净世破魔击·月",E591&gt;59),AND(C592="净世破魔击·日",F591&gt;59)))</f>
        <v>0</v>
      </c>
      <c r="CM592" s="115" t="b">
        <f ca="1">OR(CL592,AND(C592="净世破魔击·日",CL591,RAND()&lt;模拟模式!$U$23))</f>
        <v>0</v>
      </c>
      <c r="CN592" s="115" t="b">
        <f ca="1">IF(模拟模式!$M$7="辉耀红尘",AND(C592="净世破魔击·月",CL592,CV592=0,E591&lt;80),AND(C592="净世破魔击·月",CL592,E591&lt;100))</f>
        <v>0</v>
      </c>
      <c r="CO592" s="115" t="b">
        <f t="shared" ca="1" si="484"/>
        <v>0</v>
      </c>
      <c r="CP592" s="115" t="b">
        <f ca="1">AND(模拟模式!$O$7="用晦而明",OR(C592="净世破魔击·日",C592="净世破魔击·月",C592="驱夜断愁"),AB592)</f>
        <v>1</v>
      </c>
      <c r="CQ592" s="115" t="b">
        <f ca="1">OR(CP592,AND(CP591,RAND()&lt;模拟模式!$U$23))</f>
        <v>1</v>
      </c>
      <c r="CR592" s="115" t="b">
        <f ca="1">AND(模拟模式!$S$7="日月齐光",OR(C592="幽月轮1",C592="幽月轮2",C592="幽月轮3",CR591),NOT(OR(C592="赤日轮1",C592="赤日轮2",C592="赤日轮3")))</f>
        <v>0</v>
      </c>
      <c r="CS592" s="115" t="b">
        <f ca="1">AND(模拟模式!$S$7="日月齐光",OR(C592="赤日轮1",C592="赤日轮2",C592="赤日轮3",CS591),NOT(OR(C592="幽月轮1",C592="幽月轮2",C592="幽月轮3")))</f>
        <v>0</v>
      </c>
      <c r="CT592" s="115">
        <f t="shared" ca="1" si="512"/>
        <v>24.465000000000003</v>
      </c>
      <c r="CU592" s="115" t="b">
        <f ca="1">AND(模拟模式!$K$10="阴阳往极",CT591=0,RAND()&lt;IF(C592="净世破魔击·月",0.0275*7/3,IF(C592="净世破魔击·日",0.0275*3/3,0.0275*2/3)))</f>
        <v>0</v>
      </c>
      <c r="CV592" s="115">
        <f t="shared" ca="1" si="513"/>
        <v>0</v>
      </c>
      <c r="CW592" s="115">
        <f t="shared" ca="1" si="485"/>
        <v>0</v>
      </c>
      <c r="CX592" s="115">
        <f t="shared" ca="1" si="486"/>
        <v>0</v>
      </c>
      <c r="CY592" s="115">
        <f ca="1">MAX(IF($C592="驱夜断愁",IF(模拟模式!$R$7="万念俱寂",6,45),CY591-$F$4),0)</f>
        <v>0</v>
      </c>
      <c r="CZ592" s="115">
        <f t="shared" ca="1" si="487"/>
        <v>0</v>
      </c>
      <c r="DA592" s="115">
        <f ca="1">IF(模拟模式!$N$7="日月同辉",IF(DB591=2,0,MIN(6,IF(AND(OR(C592="赤日轮1",C592="赤日轮2",C592="赤日轮3",C592="幽月轮1",C592="幽月轮2",C592="幽月轮3"),AB592=1),DA591+1,DA591))),0)</f>
        <v>5</v>
      </c>
      <c r="DB592" s="115">
        <f t="shared" ca="1" si="488"/>
        <v>0</v>
      </c>
      <c r="DC592" s="115"/>
      <c r="DD592" s="115"/>
      <c r="DE592" s="115"/>
      <c r="DF592" s="115"/>
      <c r="DG592" s="115"/>
      <c r="DH592" s="115"/>
      <c r="DI592" s="115"/>
      <c r="DJ592" s="115"/>
      <c r="DK592" s="115"/>
      <c r="DL592" s="115"/>
      <c r="DM592" s="115"/>
    </row>
    <row r="593" spans="2:117" x14ac:dyDescent="0.2">
      <c r="B593" s="117">
        <f t="shared" si="489"/>
        <v>522.13500000000568</v>
      </c>
      <c r="C593" s="167" t="str">
        <f t="shared" ca="1" si="482"/>
        <v>银月斩</v>
      </c>
      <c r="D593" s="115">
        <f ca="1">IF(C593="赤日轮1",1,IF(C593="赤日轮2",2,IF(C593="赤日轮3",3,IF(C593="幽月轮1",4,IF(C593="幽月轮2",5,IF(C593="幽月轮3",6,IF(C593="烈日斩",7,IF(C593="银月斩",8,IF(C593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593="净世破魔击·月",17,IF(C593="驱夜断愁",18,0)))))))))))</f>
        <v>8</v>
      </c>
      <c r="E593" s="115">
        <f ca="1">IF(AND(CU593,OR(C593="幽月轮1",C593="幽月轮2",C593="幽月轮3",C593="银月斩",C593="驱夜断愁",C593="净世破魔击·月")),100,MIN(IF(OR(CN593,BE593),0,IF(OR($C593="赤日轮1",$C593="赤日轮2",$C593="赤日轮3"),E592+20+IF(模拟模式!$I$7="日月凌天",4,0)+IF(CR592,20,0),IF($C593="烈日斩",E592+40,IF($C593="驱夜断愁",IF(模拟模式!$R$7="万念俱寂",E592+20,E592+60),IF($C593="净世破魔击·月",IF(OR(DB592&gt;0,CV592&gt;0),100,IF(模拟模式!$M$7="辉耀红尘",E592+20,E592)),IF($C593="净世破魔击·日",E592-100,E592)))))),100))</f>
        <v>20</v>
      </c>
      <c r="F593" s="115">
        <f ca="1">IF(AND(CU593,OR(C593="赤日轮1",C593="赤日轮2",C593="赤日轮3",C593="烈日斩",C593="净世破魔击·日")),100,MIN(IF(CO593,0,IF(OR($C593="幽月轮1",$C593="幽月轮2",$C593="幽月轮3"),F592+20+IF(模拟模式!$I$7="日月凌天",4,0)+IF(CS592,20,0),IF($C593="银月斩",F592+40+IF(模拟模式!$X$12=1,5,0),IF($C593="驱夜断愁",IF(模拟模式!$R$7="万念俱寂",F592+20,F592+60),IF($C593="净世破魔击·月",IF(模拟模式!$M$7="辉耀红尘",F592-80,F592-100),IF(AND(C593="净世破魔击·日",OR(DB592&gt;0,CV592&gt;0)),100,F592)))))),100))</f>
        <v>65</v>
      </c>
      <c r="G593" s="117">
        <f ca="1">('模拟-全程加成'!$E$3+'模拟-全程加成'!$E$4+'模拟-全程加成'!$E$5+('模拟-全程加成'!$C$6-'模拟-全程加成'!$C$3)*系数!$B$9+BS593*23)*(1+'模拟-全程加成'!$F$4+'模拟-全程加成'!$F$5+BJ593*10%+BM593*20%+BP593*4%+CG593*30%)+$F$7*系数!$B$12</f>
        <v>21493.829400000002</v>
      </c>
      <c r="H593" s="45">
        <f ca="1">'模拟-全程加成'!$H$3+'模拟-全程加成'!$H$4+'模拟-全程加成'!$H$5+('模拟-全程加成'!$G$4+'模拟-全程加成'!$G$5+('模拟-全程加成'!$C$6-'模拟-全程加成'!$C$3)*系数!$B$13)/系数!$B$3+LOOKUP(D593,'模拟-单技能数据'!$A$2:$A$19,'模拟-单技能数据'!$K$2:$K$19)+BG593*10%+IF(BV593&gt;0,378,0)</f>
        <v>0.64185145527300214</v>
      </c>
      <c r="I593" s="45">
        <f ca="1">'模拟-全程加成'!$J$3+'模拟-全程加成'!$J$4+'模拟-全程加成'!$J$5+('模拟-全程加成'!$I$4+'模拟-全程加成'!$I$5)/系数!$B$4+LOOKUP(D593,'模拟-单技能数据'!$A$2:$A$19,'模拟-单技能数据'!$L$2:$L$19)+BG593*10%</f>
        <v>2.2624828854998791</v>
      </c>
      <c r="J593" s="45">
        <f ca="1">(('模拟-全程加成'!$K$3+'模拟-全程加成'!$K$4+'模拟-全程加成'!$K$5+('模拟-全程加成'!$C$6-'模拟-全程加成'!$C$3)*系数!$B$10+IF(BV593&gt;0,882,0)+IF(BY593&gt;0,1831,0))*(1+'模拟-全程加成'!$L$4+'模拟-全程加成'!$L$5+CC593*20%))/系数!$B$5</f>
        <v>0.69723220422048726</v>
      </c>
      <c r="K593" s="119">
        <f ca="1">LOOKUP(D593,'模拟-单技能数据'!$A$2:$A$19,'模拟-单技能数据'!$J$2:$J$19)+IF(CM593,60%,0)+IF(DB592-DB593&gt;0,30%,0)+IF(OR(AND(OR(C593="赤日轮1",C593="赤日轮2",C593="赤日轮3"),CR593),AND(OR(C593="幽月轮1",C593="幽月轮2",C593="幽月轮3"),CS593)),35%,0)+CJ593</f>
        <v>0.15</v>
      </c>
      <c r="L593" s="119">
        <f ca="1">IF(AND(C593="烈日斩",模拟模式!$X$11=1),10%,0)+IF(AND(C593="驱夜断愁",AB593=1),30%,0)</f>
        <v>0</v>
      </c>
      <c r="M593" s="45">
        <f t="shared" ca="1" si="521"/>
        <v>0.64185145527300214</v>
      </c>
      <c r="N593" s="45">
        <f t="shared" ca="1" si="522"/>
        <v>0.30424854472699792</v>
      </c>
      <c r="O593" s="46">
        <f t="shared" ca="1" si="490"/>
        <v>0.19240660748310379</v>
      </c>
      <c r="P593" s="46" t="str">
        <f t="shared" ca="1" si="491"/>
        <v>会</v>
      </c>
      <c r="Q593" s="45">
        <f t="shared" ca="1" si="492"/>
        <v>2.2624828854998791</v>
      </c>
      <c r="R593" s="117">
        <f ca="1">模拟模式!$E$20*(1-IF(模拟模式!$J$19="有",0.15,0))*(1-IF(模拟模式!$K$19="有",0.3,0)-IF(CQ593,0.5,0))</f>
        <v>843.02999999999975</v>
      </c>
      <c r="S593" s="45">
        <f ca="1">R593/(R593+(185*模拟模式!$E$22-16800)*4.08224)</f>
        <v>8.389626085980037E-2</v>
      </c>
      <c r="T593" s="45" t="str">
        <f ca="1">LOOKUP(D593,'模拟-单技能数据'!$A$2:$A$19,'模拟-单技能数据'!$H$2:$H$19)</f>
        <v>阴</v>
      </c>
      <c r="U593" s="119">
        <f t="shared" ca="1" si="523"/>
        <v>0.08</v>
      </c>
      <c r="V593" s="47">
        <f ca="1">(1+L593)*(LOOKUP(D593,'模拟-单技能数据'!$A$2:$A$19,'模拟-单技能数据'!$D$2:$D$19)+G593*LOOKUP(D593,'模拟-单技能数据'!$A$2:$A$19,'模拟-单技能数据'!$F$2:$F$19))*(1+J593)*(1+K593)*(1-S593)*(1+U593)*Q593*LOOKUP(D593,'模拟-单技能数据'!$A$2:$A$19,'模拟-单技能数据'!$I$2:$I$20)</f>
        <v>49855.474753700611</v>
      </c>
      <c r="W593" s="47">
        <f ca="1">LOOKUP(D593,'模拟-单技能数据'!$A$2:$A$19,'模拟-单技能数据'!$G$2:$G$19)*$I$10</f>
        <v>361.51064354704795</v>
      </c>
      <c r="X593" s="47">
        <f t="shared" ca="1" si="493"/>
        <v>11607.89185245618</v>
      </c>
      <c r="Y593" s="47">
        <f t="shared" ca="1" si="524"/>
        <v>61824.877249703837</v>
      </c>
      <c r="Z593" s="49">
        <f t="shared" ca="1" si="525"/>
        <v>58990848.185264125</v>
      </c>
      <c r="AA593" s="97">
        <f t="shared" ca="1" si="526"/>
        <v>112980.06872794102</v>
      </c>
      <c r="AB593" s="115">
        <f ca="1">IF(OR(C593="赤日轮1",C593="赤日轮2",C593="赤日轮3"),IF(RAND()&lt;模拟模式!$Y$17,1,0),IF(OR(C593="幽月轮1",C593="幽月轮2",C593="幽月轮3"),IF(RAND()&lt;模拟模式!$Y$18,1,0),IF(C593="烈日斩",IF(RAND()&lt;模拟模式!$Y$19,1,0),IF(C593="银月斩",IF(RAND()&lt;模拟模式!$Y$20,1,0),IF(C593="驱夜断愁",IF(RAND()&lt;模拟模式!$Y$21,1,0),IF(C593="净世破魔击·日",IF(RAND()&lt;模拟模式!$Y$22,1,0),IF(C593="净世破魔击·月",IF(RAND()&lt;模拟模式!$Y$23,1,0),0)))))))</f>
        <v>1</v>
      </c>
      <c r="AC593" s="115" t="b">
        <f t="shared" ca="1" si="514"/>
        <v>1</v>
      </c>
      <c r="AD593" s="115" t="b">
        <f t="shared" ca="1" si="534"/>
        <v>0</v>
      </c>
      <c r="AE593" s="115">
        <f t="shared" ca="1" si="535"/>
        <v>6</v>
      </c>
      <c r="AF593" s="47">
        <f ca="1">IF(AC593,('模拟-单技能数据'!$D$20+G593*'模拟-单技能数据'!$F$20)*(1+J593)*(1+'模拟-单技能数据'!$J$20)*(1+U593),0)</f>
        <v>4639.7456468263617</v>
      </c>
      <c r="AG593" s="61">
        <f t="shared" ca="1" si="527"/>
        <v>0.64185145527300214</v>
      </c>
      <c r="AH593" s="61">
        <f t="shared" ca="1" si="528"/>
        <v>2.2624828854998791</v>
      </c>
      <c r="AI593" s="62">
        <f t="shared" ca="1" si="494"/>
        <v>0.99446015658100606</v>
      </c>
      <c r="AJ593" s="47">
        <f ca="1">IF(AD593,IF(AI593&lt;$F$10,0,IF(AI593&lt;$F$10+$F$11,0.25,IF(AI593&lt;$F$10+$F$11+AG593,AH593,1)))*IF(AF593&gt;0,AF593,IF(AF592&gt;0,AF592,IF(AF591&gt;0,AF591,IF(AF590&gt;0,AF590,IF(AF589&gt;0,AF589,IF(AF588&gt;0,AF588,IF(AF587&gt;0,AF587,IF(AF586&gt;0,AF586,IF(AF585&gt;0,AF585,IF(AF583&gt;0,AF583,IF(AF582&gt;0,AF582,IF(AF581&gt;0,AF581,0)))))))))))),0)*(1-$S593)*'模拟-单技能数据'!$I$20</f>
        <v>0</v>
      </c>
      <c r="AK593" s="115" t="b">
        <f t="shared" ca="1" si="515"/>
        <v>0</v>
      </c>
      <c r="AL593" s="115" t="b">
        <f t="shared" ca="1" si="536"/>
        <v>1</v>
      </c>
      <c r="AM593" s="115">
        <f t="shared" ca="1" si="537"/>
        <v>4</v>
      </c>
      <c r="AN593" s="47">
        <f ca="1">IF(AK593,('模拟-单技能数据'!$D$21+G593*'模拟-单技能数据'!$F$21)*(1+J593)*(1+'模拟-单技能数据'!$J$21)*(1+U593),0)</f>
        <v>0</v>
      </c>
      <c r="AO593" s="61">
        <f ca="1">IF(AN593&gt;0,M593-'模拟-单技能数据'!$K$10,AO592)</f>
        <v>0.42185145527300216</v>
      </c>
      <c r="AP593" s="61">
        <f ca="1">IF(AN593&gt;0,I593-'模拟-单技能数据'!$L$10,AP592)</f>
        <v>2.162482885499879</v>
      </c>
      <c r="AQ593" s="63">
        <f t="shared" ca="1" si="495"/>
        <v>0.81614714370288421</v>
      </c>
      <c r="AR593" s="64">
        <f ca="1">IF(AL593,IF(AQ593&lt;$F$10,0,IF(AQ593&lt;$F$10+$F$11,0.25,IF(AQ593&lt;$F$10+$F$11+AO593,AP593,1)))*IF(AN593&gt;0,AN593,IF(AN592&gt;0,AN592,IF(AN591&gt;0,AN591,IF(AN590&gt;0,AN590,IF(AN589&gt;0,AN589,IF(AN588&gt;0,AN588,IF(AN587&gt;0,AN587,IF(AN586&gt;0,AN586,IF(AN585&gt;0,AN585,IF(AN583&gt;0,AN583,IF(AN582&gt;0,AN582,IF(AN581&gt;0,AN581,0)))))))))))),0)*(1-$S593)*'模拟-单技能数据'!$I$21</f>
        <v>11607.89185245618</v>
      </c>
      <c r="AS593" s="61">
        <f ca="1">IF(OR(C593="净世破魔击·日",C593="净世破魔击·月"),M593-'模拟-单技能数据'!$K$10,0)</f>
        <v>0</v>
      </c>
      <c r="AT593" s="61">
        <f ca="1">IF(OR(C593="净世破魔击·日",C593="净世破魔击·月"),I593-'模拟-单技能数据'!$L$10,0)</f>
        <v>0</v>
      </c>
      <c r="AU593" s="62">
        <f t="shared" ca="1" si="496"/>
        <v>0.62040009273579277</v>
      </c>
      <c r="AV593" s="64">
        <f ca="1">IF(AS593&gt;0,('模拟-单技能数据'!$D$22+G593*'模拟-单技能数据'!$F$22)*(1+J593)*(1-S593)*IF(AU593&lt;$F$10,0,IF(AU593&lt;$F$10+$F$11,0.25,IF(AU593&lt;$F$10+$F$11+AS593,AT593,1)))*(1+U593),0)*'模拟-单技能数据'!$I$22</f>
        <v>0</v>
      </c>
      <c r="AW593" s="108">
        <f t="shared" ca="1" si="497"/>
        <v>17.232500000000002</v>
      </c>
      <c r="AX593" s="108" t="b">
        <f ca="1">AND(模拟模式!$P$10="有",AW592=0,RAND()&lt;IF(C593="净世破魔击·月",0.1*8/3,IF(C593="净世破魔击·日",0.1*4/3,0.1*2/3)))</f>
        <v>0</v>
      </c>
      <c r="AY593" s="47">
        <f ca="1">IF(AX593,(18+G593*0.722)*(1+J593)*(1-S593)*(1+$I$4)*IF(P593="会",'模拟-全程加成'!$J$3+'模拟-全程加成'!$J$4+'模拟-全程加成'!$J$5+('模拟-全程加成'!$I$4+'模拟-全程加成'!$I$5)/系数!$B$4+BG593*10%,IF(P593="命",1,IF(P593="识",0.25,0))),0)</f>
        <v>0</v>
      </c>
      <c r="AZ593" s="108">
        <f t="shared" si="498"/>
        <v>5.2400000000000064</v>
      </c>
      <c r="BA593" s="108" t="b">
        <f>AND(模拟模式!$Q$10="有",AZ592=0)</f>
        <v>0</v>
      </c>
      <c r="BB593" s="140">
        <f>IF(BA593,(0+G593*0.287)*(1+J593)*(1-S593)*(1+$I$4)*IF(P593="会",'模拟-全程加成'!$J$3+'模拟-全程加成'!$J$4+'模拟-全程加成'!$J$5+('模拟-全程加成'!$I$4+'模拟-全程加成'!$I$5)/系数!$B$4+BG593*10%,IF(P593="命",1,IF(P593="识",0.25,0))),0)</f>
        <v>0</v>
      </c>
      <c r="BC593" s="115" t="b">
        <f ca="1">AND(模拟模式!$R$7="伏明众生",E593=60,F593=20,DA593&lt;5,CZ592&lt;$F$4)</f>
        <v>0</v>
      </c>
      <c r="BD593" s="115">
        <f t="shared" ca="1" si="516"/>
        <v>0</v>
      </c>
      <c r="BE593" s="115" t="b">
        <f t="shared" ca="1" si="517"/>
        <v>0</v>
      </c>
      <c r="BF593" s="47">
        <f ca="1">IF(BC593,4*('模拟-单技能数据'!$D$24+G593*'模拟-单技能数据'!$F$24)*(1+J593)*(1+'模拟-单技能数据'!$J$24)*(1-S593)*(1+$I$3)*(('模拟-全程加成'!$J$3+'模拟-全程加成'!$J$4+'模拟-全程加成'!$J$5+('模拟-全程加成'!$I$4+'模拟-全程加成'!$I$5)/系数!$B$4+BG593*10%)*('模拟-全程加成'!$J$3+'模拟-全程加成'!$J$4+'模拟-全程加成'!$J$5+('模拟-全程加成'!$I$4+'模拟-全程加成'!$I$5)/系数!$B$4+BG593*10%)+(1-('模拟-全程加成'!$J$3+'模拟-全程加成'!$J$4+'模拟-全程加成'!$J$5+('模拟-全程加成'!$I$4+'模拟-全程加成'!$I$5)/系数!$B$4+BG593*10%)-$F$10-$F$11)+F579*0.25),0)*'模拟-单技能数据'!$I$24</f>
        <v>0</v>
      </c>
      <c r="BG593" s="115" t="b">
        <f ca="1">OR(AND(OR(C593="烈日斩",C593="银月斩"),模拟模式!$I$7="净身明礼"),AND(C593="净世破魔击·日",模拟模式!$J$7="洞若观火"),AND(C594="净世破魔击·月",模拟模式!$J$7="洞若观火"),AB593=1)</f>
        <v>1</v>
      </c>
      <c r="BH593" s="115" t="b">
        <f t="shared" ca="1" si="499"/>
        <v>0</v>
      </c>
      <c r="BI593" s="115">
        <f t="shared" ca="1" si="518"/>
        <v>5.0774999999999997</v>
      </c>
      <c r="BJ593" s="115" t="b">
        <f t="shared" ca="1" si="529"/>
        <v>1</v>
      </c>
      <c r="BK593" s="115" t="b">
        <f ca="1">AND(C593="驱夜断愁",模拟模式!$P$7="天地诛戮")</f>
        <v>0</v>
      </c>
      <c r="BL593" s="57">
        <f t="shared" ca="1" si="519"/>
        <v>10.775000000000006</v>
      </c>
      <c r="BM593" s="115" t="b">
        <f t="shared" ca="1" si="530"/>
        <v>1</v>
      </c>
      <c r="BN593" s="115" t="b">
        <f ca="1">AND(OR(C593="赤日轮1",C593="赤日轮2",C593="赤日轮3",C593="幽月轮1",C593="幽月轮2",C593="幽月轮3"),AB593=1,模拟模式!$L$7="明光恒照")</f>
        <v>0</v>
      </c>
      <c r="BO593" s="117">
        <f t="shared" ca="1" si="520"/>
        <v>22.620000000000005</v>
      </c>
      <c r="BP593" s="115">
        <f t="shared" ca="1" si="500"/>
        <v>6</v>
      </c>
      <c r="BQ593" s="115" t="b">
        <f>模拟模式!$K$10="2600·水"</f>
        <v>0</v>
      </c>
      <c r="BR593" s="117">
        <f t="shared" si="501"/>
        <v>0</v>
      </c>
      <c r="BS593" s="115">
        <f t="shared" si="502"/>
        <v>0</v>
      </c>
      <c r="BT593" s="115">
        <f t="shared" ca="1" si="503"/>
        <v>0</v>
      </c>
      <c r="BU593" s="115" t="b">
        <f ca="1">AND(模拟模式!$K$10="2300·雷",BT592=0,RAND()&lt;IF(C593="净世破魔击·月",5*0.05*2/3,IF(C593="净世破魔击·日",3*0.05*2/3,0.05*2*2/3)))</f>
        <v>0</v>
      </c>
      <c r="BV593" s="115">
        <f t="shared" ca="1" si="504"/>
        <v>0</v>
      </c>
      <c r="BW593" s="115">
        <f t="shared" ca="1" si="505"/>
        <v>33.322499999999295</v>
      </c>
      <c r="BX593" s="164" t="b">
        <f t="shared" ca="1" si="506"/>
        <v>0</v>
      </c>
      <c r="BY593" s="115">
        <f t="shared" ca="1" si="507"/>
        <v>0</v>
      </c>
      <c r="BZ593" s="115">
        <f>IF(OR(模拟模式!$P$16="10人团",模拟模式!$P$16="25人团"),IF(B593/30&gt;CA592,1,0),0)</f>
        <v>0</v>
      </c>
      <c r="CA593" s="115">
        <f t="shared" si="483"/>
        <v>0</v>
      </c>
      <c r="CB593" s="115">
        <f ca="1">IF(BZ593=1,IF(模拟模式!$P$16="10人团",15,0)+IF(模拟模式!$P$16="25人团",IF(RAND()&lt;0.6,15,0)),MAX(0,CB592-$F$4))</f>
        <v>0</v>
      </c>
      <c r="CC593" s="115" t="b">
        <f t="shared" ca="1" si="531"/>
        <v>0</v>
      </c>
      <c r="CD593" s="115">
        <f>IF(模拟模式!$Q$16="1个",IF(B593/40&gt;CE592,1,0),0)</f>
        <v>0</v>
      </c>
      <c r="CE593" s="115">
        <f t="shared" si="532"/>
        <v>0</v>
      </c>
      <c r="CF593" s="115">
        <f>IF(OR(CD593=1,模拟模式!$Q$16="2个"),20,MAX(0,CF592-$F$4))</f>
        <v>0</v>
      </c>
      <c r="CG593" s="115" t="b">
        <f t="shared" si="533"/>
        <v>0</v>
      </c>
      <c r="CH593" s="115">
        <f t="shared" ca="1" si="508"/>
        <v>0</v>
      </c>
      <c r="CI593" s="115" t="b">
        <f t="shared" ca="1" si="509"/>
        <v>0</v>
      </c>
      <c r="CJ593" s="119">
        <f t="shared" ca="1" si="510"/>
        <v>0</v>
      </c>
      <c r="CK593" s="115">
        <f t="shared" ca="1" si="511"/>
        <v>0</v>
      </c>
      <c r="CL593" s="115" t="b">
        <f ca="1">AND(模拟模式!$S$7="驱夷逐法",OR(AND(C593="净世破魔击·月",E592&gt;59),AND(C593="净世破魔击·日",F592&gt;59)))</f>
        <v>0</v>
      </c>
      <c r="CM593" s="115" t="b">
        <f ca="1">OR(CL593,AND(C593="净世破魔击·日",CL592,RAND()&lt;模拟模式!$U$23))</f>
        <v>0</v>
      </c>
      <c r="CN593" s="115" t="b">
        <f ca="1">IF(模拟模式!$M$7="辉耀红尘",AND(C593="净世破魔击·月",CL593,CV593=0,E592&lt;80),AND(C593="净世破魔击·月",CL593,E592&lt;100))</f>
        <v>0</v>
      </c>
      <c r="CO593" s="115" t="b">
        <f t="shared" ca="1" si="484"/>
        <v>0</v>
      </c>
      <c r="CP593" s="115" t="b">
        <f ca="1">AND(模拟模式!$O$7="用晦而明",OR(C593="净世破魔击·日",C593="净世破魔击·月",C593="驱夜断愁"),AB593)</f>
        <v>0</v>
      </c>
      <c r="CQ593" s="115" t="b">
        <f ca="1">OR(CP593,AND(CP592,RAND()&lt;模拟模式!$U$23))</f>
        <v>1</v>
      </c>
      <c r="CR593" s="115" t="b">
        <f ca="1">AND(模拟模式!$S$7="日月齐光",OR(C593="幽月轮1",C593="幽月轮2",C593="幽月轮3",CR592),NOT(OR(C593="赤日轮1",C593="赤日轮2",C593="赤日轮3")))</f>
        <v>0</v>
      </c>
      <c r="CS593" s="115" t="b">
        <f ca="1">AND(模拟模式!$S$7="日月齐光",OR(C593="赤日轮1",C593="赤日轮2",C593="赤日轮3",CS592),NOT(OR(C593="幽月轮1",C593="幽月轮2",C593="幽月轮3")))</f>
        <v>0</v>
      </c>
      <c r="CT593" s="115">
        <f t="shared" ca="1" si="512"/>
        <v>23.542500000000004</v>
      </c>
      <c r="CU593" s="115" t="b">
        <f ca="1">AND(模拟模式!$K$10="阴阳往极",CT592=0,RAND()&lt;IF(C593="净世破魔击·月",0.0275*7/3,IF(C593="净世破魔击·日",0.0275*3/3,0.0275*2/3)))</f>
        <v>0</v>
      </c>
      <c r="CV593" s="115">
        <f t="shared" ca="1" si="513"/>
        <v>0</v>
      </c>
      <c r="CW593" s="115">
        <f t="shared" ca="1" si="485"/>
        <v>0</v>
      </c>
      <c r="CX593" s="115">
        <f t="shared" ca="1" si="486"/>
        <v>6</v>
      </c>
      <c r="CY593" s="115">
        <f ca="1">MAX(IF($C593="驱夜断愁",IF(模拟模式!$R$7="万念俱寂",6,45),CY592-$F$4),0)</f>
        <v>0</v>
      </c>
      <c r="CZ593" s="115">
        <f t="shared" ca="1" si="487"/>
        <v>0</v>
      </c>
      <c r="DA593" s="115">
        <f ca="1">IF(模拟模式!$N$7="日月同辉",IF(DB592=2,0,MIN(6,IF(AND(OR(C593="赤日轮1",C593="赤日轮2",C593="赤日轮3",C593="幽月轮1",C593="幽月轮2",C593="幽月轮3"),AB593=1),DA592+1,DA592))),0)</f>
        <v>5</v>
      </c>
      <c r="DB593" s="115">
        <f t="shared" ca="1" si="488"/>
        <v>0</v>
      </c>
      <c r="DC593" s="115"/>
      <c r="DD593" s="115"/>
      <c r="DE593" s="115"/>
      <c r="DF593" s="115"/>
      <c r="DG593" s="115"/>
      <c r="DH593" s="115"/>
      <c r="DI593" s="115"/>
      <c r="DJ593" s="115"/>
      <c r="DK593" s="115"/>
      <c r="DL593" s="115"/>
      <c r="DM593" s="115"/>
    </row>
    <row r="594" spans="2:117" x14ac:dyDescent="0.2">
      <c r="B594" s="117">
        <f t="shared" si="489"/>
        <v>523.05750000000569</v>
      </c>
      <c r="C594" s="167" t="str">
        <f t="shared" ca="1" si="482"/>
        <v>驱夜断愁</v>
      </c>
      <c r="D594" s="115">
        <f ca="1">IF(C594="赤日轮1",1,IF(C594="赤日轮2",2,IF(C594="赤日轮3",3,IF(C594="幽月轮1",4,IF(C594="幽月轮2",5,IF(C594="幽月轮3",6,IF(C594="烈日斩",7,IF(C594="银月斩",8,IF(C594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594="净世破魔击·月",17,IF(C594="驱夜断愁",18,0)))))))))))</f>
        <v>18</v>
      </c>
      <c r="E594" s="115">
        <f ca="1">IF(AND(CU594,OR(C594="幽月轮1",C594="幽月轮2",C594="幽月轮3",C594="银月斩",C594="驱夜断愁",C594="净世破魔击·月")),100,MIN(IF(OR(CN594,BE594),0,IF(OR($C594="赤日轮1",$C594="赤日轮2",$C594="赤日轮3"),E593+20+IF(模拟模式!$I$7="日月凌天",4,0)+IF(CR593,20,0),IF($C594="烈日斩",E593+40,IF($C594="驱夜断愁",IF(模拟模式!$R$7="万念俱寂",E593+20,E593+60),IF($C594="净世破魔击·月",IF(OR(DB593&gt;0,CV593&gt;0),100,IF(模拟模式!$M$7="辉耀红尘",E593+20,E593)),IF($C594="净世破魔击·日",E593-100,E593)))))),100))</f>
        <v>40</v>
      </c>
      <c r="F594" s="115">
        <f ca="1">IF(AND(CU594,OR(C594="赤日轮1",C594="赤日轮2",C594="赤日轮3",C594="烈日斩",C594="净世破魔击·日")),100,MIN(IF(CO594,0,IF(OR($C594="幽月轮1",$C594="幽月轮2",$C594="幽月轮3"),F593+20+IF(模拟模式!$I$7="日月凌天",4,0)+IF(CS593,20,0),IF($C594="银月斩",F593+40+IF(模拟模式!$X$12=1,5,0),IF($C594="驱夜断愁",IF(模拟模式!$R$7="万念俱寂",F593+20,F593+60),IF($C594="净世破魔击·月",IF(模拟模式!$M$7="辉耀红尘",F593-80,F593-100),IF(AND(C594="净世破魔击·日",OR(DB593&gt;0,CV593&gt;0)),100,F593)))))),100))</f>
        <v>85</v>
      </c>
      <c r="G594" s="117">
        <f ca="1">('模拟-全程加成'!$E$3+'模拟-全程加成'!$E$4+'模拟-全程加成'!$E$5+('模拟-全程加成'!$C$6-'模拟-全程加成'!$C$3)*系数!$B$9+BS594*23)*(1+'模拟-全程加成'!$F$4+'模拟-全程加成'!$F$5+BJ594*10%+BM594*20%+BP594*4%+CG594*30%)+$F$7*系数!$B$12</f>
        <v>21493.829400000002</v>
      </c>
      <c r="H594" s="45">
        <f ca="1">'模拟-全程加成'!$H$3+'模拟-全程加成'!$H$4+'模拟-全程加成'!$H$5+('模拟-全程加成'!$G$4+'模拟-全程加成'!$G$5+('模拟-全程加成'!$C$6-'模拟-全程加成'!$C$3)*系数!$B$13)/系数!$B$3+LOOKUP(D594,'模拟-单技能数据'!$A$2:$A$19,'模拟-单技能数据'!$K$2:$K$19)+BG594*10%+IF(BV594&gt;0,378,0)</f>
        <v>0.51185145527300213</v>
      </c>
      <c r="I594" s="45">
        <f ca="1">'模拟-全程加成'!$J$3+'模拟-全程加成'!$J$4+'模拟-全程加成'!$J$5+('模拟-全程加成'!$I$4+'模拟-全程加成'!$I$5)/系数!$B$4+LOOKUP(D594,'模拟-单技能数据'!$A$2:$A$19,'模拟-单技能数据'!$L$2:$L$19)+BG594*10%</f>
        <v>2.162482885499879</v>
      </c>
      <c r="J594" s="45">
        <f ca="1">(('模拟-全程加成'!$K$3+'模拟-全程加成'!$K$4+'模拟-全程加成'!$K$5+('模拟-全程加成'!$C$6-'模拟-全程加成'!$C$3)*系数!$B$10+IF(BV594&gt;0,882,0)+IF(BY594&gt;0,1831,0))*(1+'模拟-全程加成'!$L$4+'模拟-全程加成'!$L$5+CC594*20%))/系数!$B$5</f>
        <v>0.69723220422048726</v>
      </c>
      <c r="K594" s="119">
        <f ca="1">LOOKUP(D594,'模拟-单技能数据'!$A$2:$A$19,'模拟-单技能数据'!$J$2:$J$19)+IF(CM594,60%,0)+IF(DB593-DB594&gt;0,30%,0)+IF(OR(AND(OR(C594="赤日轮1",C594="赤日轮2",C594="赤日轮3"),CR594),AND(OR(C594="幽月轮1",C594="幽月轮2",C594="幽月轮3"),CS594)),35%,0)+CJ594</f>
        <v>0.14000000000000001</v>
      </c>
      <c r="L594" s="119">
        <f ca="1">IF(AND(C594="烈日斩",模拟模式!$X$11=1),10%,0)+IF(AND(C594="驱夜断愁",AB594=1),30%,0)</f>
        <v>0.3</v>
      </c>
      <c r="M594" s="45">
        <f t="shared" ca="1" si="521"/>
        <v>0.51185145527300213</v>
      </c>
      <c r="N594" s="45">
        <f t="shared" ca="1" si="522"/>
        <v>0.43424854472699792</v>
      </c>
      <c r="O594" s="46">
        <f t="shared" ca="1" si="490"/>
        <v>0.15227993329850487</v>
      </c>
      <c r="P594" s="46" t="str">
        <f t="shared" ca="1" si="491"/>
        <v>会</v>
      </c>
      <c r="Q594" s="45">
        <f t="shared" ca="1" si="492"/>
        <v>2.162482885499879</v>
      </c>
      <c r="R594" s="117">
        <f ca="1">模拟模式!$E$20*(1-IF(模拟模式!$J$19="有",0.15,0))*(1-IF(模拟模式!$K$19="有",0.3,0)-IF(CQ594,0.5,0))</f>
        <v>843.02999999999975</v>
      </c>
      <c r="S594" s="45">
        <f ca="1">R594/(R594+(185*模拟模式!$E$22-16800)*4.08224)</f>
        <v>8.389626085980037E-2</v>
      </c>
      <c r="T594" s="45" t="str">
        <f ca="1">LOOKUP(D594,'模拟-单技能数据'!$A$2:$A$19,'模拟-单技能数据'!$H$2:$H$19)</f>
        <v>阴</v>
      </c>
      <c r="U594" s="119">
        <f t="shared" ca="1" si="523"/>
        <v>0.08</v>
      </c>
      <c r="V594" s="47">
        <f ca="1">(1+L594)*(LOOKUP(D594,'模拟-单技能数据'!$A$2:$A$19,'模拟-单技能数据'!$D$2:$D$19)+G594*LOOKUP(D594,'模拟-单技能数据'!$A$2:$A$19,'模拟-单技能数据'!$F$2:$F$19))*(1+J594)*(1+K594)*(1-S594)*(1+U594)*Q594*LOOKUP(D594,'模拟-单技能数据'!$A$2:$A$19,'模拟-单技能数据'!$I$2:$I$20)</f>
        <v>133079.35569364758</v>
      </c>
      <c r="W594" s="47">
        <f ca="1">LOOKUP(D594,'模拟-单技能数据'!$A$2:$A$19,'模拟-单技能数据'!$G$2:$G$19)*$I$10</f>
        <v>723.0212870940959</v>
      </c>
      <c r="X594" s="47">
        <f t="shared" ca="1" si="493"/>
        <v>9616.6571145767884</v>
      </c>
      <c r="Y594" s="47">
        <f t="shared" ca="1" si="524"/>
        <v>143419.03409531846</v>
      </c>
      <c r="Z594" s="49">
        <f t="shared" ca="1" si="525"/>
        <v>59134267.219359443</v>
      </c>
      <c r="AA594" s="97">
        <f t="shared" ca="1" si="526"/>
        <v>113055.00297645823</v>
      </c>
      <c r="AB594" s="115">
        <f ca="1">IF(OR(C594="赤日轮1",C594="赤日轮2",C594="赤日轮3"),IF(RAND()&lt;模拟模式!$Y$17,1,0),IF(OR(C594="幽月轮1",C594="幽月轮2",C594="幽月轮3"),IF(RAND()&lt;模拟模式!$Y$18,1,0),IF(C594="烈日斩",IF(RAND()&lt;模拟模式!$Y$19,1,0),IF(C594="银月斩",IF(RAND()&lt;模拟模式!$Y$20,1,0),IF(C594="驱夜断愁",IF(RAND()&lt;模拟模式!$Y$21,1,0),IF(C594="净世破魔击·日",IF(RAND()&lt;模拟模式!$Y$22,1,0),IF(C594="净世破魔击·月",IF(RAND()&lt;模拟模式!$Y$23,1,0),0)))))))</f>
        <v>1</v>
      </c>
      <c r="AC594" s="115" t="b">
        <f t="shared" ca="1" si="514"/>
        <v>0</v>
      </c>
      <c r="AD594" s="115" t="b">
        <f t="shared" ca="1" si="534"/>
        <v>1</v>
      </c>
      <c r="AE594" s="115">
        <f t="shared" ca="1" si="535"/>
        <v>5</v>
      </c>
      <c r="AF594" s="47">
        <f ca="1">IF(AC594,('模拟-单技能数据'!$D$20+G594*'模拟-单技能数据'!$F$20)*(1+J594)*(1+'模拟-单技能数据'!$J$20)*(1+U594),0)</f>
        <v>0</v>
      </c>
      <c r="AG594" s="61">
        <f t="shared" ca="1" si="527"/>
        <v>0.64185145527300214</v>
      </c>
      <c r="AH594" s="61">
        <f t="shared" ca="1" si="528"/>
        <v>2.2624828854998791</v>
      </c>
      <c r="AI594" s="62">
        <f t="shared" ca="1" si="494"/>
        <v>0.51504054828137968</v>
      </c>
      <c r="AJ594" s="47">
        <f ca="1">IF(AD594,IF(AI594&lt;$F$10,0,IF(AI594&lt;$F$10+$F$11,0.25,IF(AI594&lt;$F$10+$F$11+AG594,AH594,1)))*IF(AF594&gt;0,AF594,IF(AF593&gt;0,AF593,IF(AF592&gt;0,AF592,IF(AF591&gt;0,AF591,IF(AF590&gt;0,AF590,IF(AF589&gt;0,AF589,IF(AF588&gt;0,AF588,IF(AF587&gt;0,AF587,IF(AF586&gt;0,AF586,IF(AF584&gt;0,AF584,IF(AF583&gt;0,AF583,IF(AF582&gt;0,AF582,0)))))))))))),0)*(1-$S594)*'模拟-单技能数据'!$I$20</f>
        <v>9616.6571145767884</v>
      </c>
      <c r="AK594" s="115" t="b">
        <f t="shared" ca="1" si="515"/>
        <v>0</v>
      </c>
      <c r="AL594" s="115" t="b">
        <f t="shared" ca="1" si="536"/>
        <v>0</v>
      </c>
      <c r="AM594" s="115">
        <f t="shared" ca="1" si="537"/>
        <v>4</v>
      </c>
      <c r="AN594" s="47">
        <f ca="1">IF(AK594,('模拟-单技能数据'!$D$21+G594*'模拟-单技能数据'!$F$21)*(1+J594)*(1+'模拟-单技能数据'!$J$21)*(1+U594),0)</f>
        <v>0</v>
      </c>
      <c r="AO594" s="61">
        <f ca="1">IF(AN594&gt;0,M594-'模拟-单技能数据'!$K$10,AO593)</f>
        <v>0.42185145527300216</v>
      </c>
      <c r="AP594" s="61">
        <f ca="1">IF(AN594&gt;0,I594-'模拟-单技能数据'!$L$10,AP593)</f>
        <v>2.162482885499879</v>
      </c>
      <c r="AQ594" s="63">
        <f t="shared" ca="1" si="495"/>
        <v>0.65154105444899557</v>
      </c>
      <c r="AR594" s="64">
        <f ca="1">IF(AL594,IF(AQ594&lt;$F$10,0,IF(AQ594&lt;$F$10+$F$11,0.25,IF(AQ594&lt;$F$10+$F$11+AO594,AP594,1)))*IF(AN594&gt;0,AN594,IF(AN593&gt;0,AN593,IF(AN592&gt;0,AN592,IF(AN591&gt;0,AN591,IF(AN590&gt;0,AN590,IF(AN589&gt;0,AN589,IF(AN588&gt;0,AN588,IF(AN587&gt;0,AN587,IF(AN586&gt;0,AN586,IF(AN584&gt;0,AN584,IF(AN583&gt;0,AN583,IF(AN582&gt;0,AN582,0)))))))))))),0)*(1-$S594)*'模拟-单技能数据'!$I$21</f>
        <v>0</v>
      </c>
      <c r="AS594" s="61">
        <f ca="1">IF(OR(C594="净世破魔击·日",C594="净世破魔击·月"),M594-'模拟-单技能数据'!$K$10,0)</f>
        <v>0</v>
      </c>
      <c r="AT594" s="61">
        <f ca="1">IF(OR(C594="净世破魔击·日",C594="净世破魔击·月"),I594-'模拟-单技能数据'!$L$10,0)</f>
        <v>0</v>
      </c>
      <c r="AU594" s="62">
        <f t="shared" ca="1" si="496"/>
        <v>0.75943618187173678</v>
      </c>
      <c r="AV594" s="64">
        <f ca="1">IF(AS594&gt;0,('模拟-单技能数据'!$D$22+G594*'模拟-单技能数据'!$F$22)*(1+J594)*(1-S594)*IF(AU594&lt;$F$10,0,IF(AU594&lt;$F$10+$F$11,0.25,IF(AU594&lt;$F$10+$F$11+AS594,AT594,1)))*(1+U594),0)*'模拟-单技能数据'!$I$22</f>
        <v>0</v>
      </c>
      <c r="AW594" s="108">
        <f t="shared" ca="1" si="497"/>
        <v>16.310000000000002</v>
      </c>
      <c r="AX594" s="108" t="b">
        <f ca="1">AND(模拟模式!$P$10="有",AW593=0,RAND()&lt;IF(C594="净世破魔击·月",0.1*8/3,IF(C594="净世破魔击·日",0.1*4/3,0.1*2/3)))</f>
        <v>0</v>
      </c>
      <c r="AY594" s="47">
        <f ca="1">IF(AX594,(18+G594*0.722)*(1+J594)*(1-S594)*(1+$I$4)*IF(P594="会",'模拟-全程加成'!$J$3+'模拟-全程加成'!$J$4+'模拟-全程加成'!$J$5+('模拟-全程加成'!$I$4+'模拟-全程加成'!$I$5)/系数!$B$4+BG594*10%,IF(P594="命",1,IF(P594="识",0.25,0))),0)</f>
        <v>0</v>
      </c>
      <c r="AZ594" s="108">
        <f t="shared" si="498"/>
        <v>4.3175000000000061</v>
      </c>
      <c r="BA594" s="108" t="b">
        <f>AND(模拟模式!$Q$10="有",AZ593=0)</f>
        <v>0</v>
      </c>
      <c r="BB594" s="140">
        <f>IF(BA594,(0+G594*0.287)*(1+J594)*(1-S594)*(1+$I$4)*IF(P594="会",'模拟-全程加成'!$J$3+'模拟-全程加成'!$J$4+'模拟-全程加成'!$J$5+('模拟-全程加成'!$I$4+'模拟-全程加成'!$I$5)/系数!$B$4+BG594*10%,IF(P594="命",1,IF(P594="识",0.25,0))),0)</f>
        <v>0</v>
      </c>
      <c r="BC594" s="115" t="b">
        <f ca="1">AND(模拟模式!$R$7="伏明众生",E594=60,F594=20,DA594&lt;5,CZ593&lt;$F$4)</f>
        <v>0</v>
      </c>
      <c r="BD594" s="115">
        <f t="shared" ca="1" si="516"/>
        <v>0</v>
      </c>
      <c r="BE594" s="115" t="b">
        <f t="shared" ca="1" si="517"/>
        <v>0</v>
      </c>
      <c r="BF594" s="47">
        <f ca="1">IF(BC594,4*('模拟-单技能数据'!$D$24+G594*'模拟-单技能数据'!$F$24)*(1+J594)*(1+'模拟-单技能数据'!$J$24)*(1-S594)*(1+$I$3)*(('模拟-全程加成'!$J$3+'模拟-全程加成'!$J$4+'模拟-全程加成'!$J$5+('模拟-全程加成'!$I$4+'模拟-全程加成'!$I$5)/系数!$B$4+BG594*10%)*('模拟-全程加成'!$J$3+'模拟-全程加成'!$J$4+'模拟-全程加成'!$J$5+('模拟-全程加成'!$I$4+'模拟-全程加成'!$I$5)/系数!$B$4+BG594*10%)+(1-('模拟-全程加成'!$J$3+'模拟-全程加成'!$J$4+'模拟-全程加成'!$J$5+('模拟-全程加成'!$I$4+'模拟-全程加成'!$I$5)/系数!$B$4+BG594*10%)-$F$10-$F$11)+F580*0.25),0)*'模拟-单技能数据'!$I$24</f>
        <v>0</v>
      </c>
      <c r="BG594" s="115" t="b">
        <f ca="1">OR(AND(OR(C594="烈日斩",C594="银月斩"),模拟模式!$I$7="净身明礼"),AND(C594="净世破魔击·日",模拟模式!$J$7="洞若观火"),AND(C595="净世破魔击·月",模拟模式!$J$7="洞若观火"),AB594=1)</f>
        <v>1</v>
      </c>
      <c r="BH594" s="115" t="b">
        <f t="shared" ca="1" si="499"/>
        <v>0</v>
      </c>
      <c r="BI594" s="115">
        <f t="shared" ca="1" si="518"/>
        <v>4.1549999999999994</v>
      </c>
      <c r="BJ594" s="115" t="b">
        <f t="shared" ca="1" si="529"/>
        <v>1</v>
      </c>
      <c r="BK594" s="115" t="b">
        <f ca="1">AND(C594="驱夜断愁",模拟模式!$P$7="天地诛戮")</f>
        <v>1</v>
      </c>
      <c r="BL594" s="57">
        <f t="shared" ca="1" si="519"/>
        <v>20</v>
      </c>
      <c r="BM594" s="115" t="b">
        <f t="shared" ca="1" si="530"/>
        <v>1</v>
      </c>
      <c r="BN594" s="115" t="b">
        <f ca="1">AND(OR(C594="赤日轮1",C594="赤日轮2",C594="赤日轮3",C594="幽月轮1",C594="幽月轮2",C594="幽月轮3"),AB594=1,模拟模式!$L$7="明光恒照")</f>
        <v>0</v>
      </c>
      <c r="BO594" s="117">
        <f t="shared" ca="1" si="520"/>
        <v>21.697500000000005</v>
      </c>
      <c r="BP594" s="115">
        <f t="shared" ca="1" si="500"/>
        <v>6</v>
      </c>
      <c r="BQ594" s="115" t="b">
        <f>模拟模式!$K$10="2600·水"</f>
        <v>0</v>
      </c>
      <c r="BR594" s="117">
        <f t="shared" si="501"/>
        <v>0</v>
      </c>
      <c r="BS594" s="115">
        <f t="shared" si="502"/>
        <v>0</v>
      </c>
      <c r="BT594" s="115">
        <f t="shared" ca="1" si="503"/>
        <v>0</v>
      </c>
      <c r="BU594" s="115" t="b">
        <f ca="1">AND(模拟模式!$K$10="2300·雷",BT593=0,RAND()&lt;IF(C594="净世破魔击·月",5*0.05*2/3,IF(C594="净世破魔击·日",3*0.05*2/3,0.05*2*2/3)))</f>
        <v>0</v>
      </c>
      <c r="BV594" s="115">
        <f t="shared" ca="1" si="504"/>
        <v>0</v>
      </c>
      <c r="BW594" s="115">
        <f t="shared" ca="1" si="505"/>
        <v>32.399999999999295</v>
      </c>
      <c r="BX594" s="164" t="b">
        <f t="shared" ca="1" si="506"/>
        <v>0</v>
      </c>
      <c r="BY594" s="115">
        <f t="shared" ca="1" si="507"/>
        <v>0</v>
      </c>
      <c r="BZ594" s="115">
        <f>IF(OR(模拟模式!$P$16="10人团",模拟模式!$P$16="25人团"),IF(B594/30&gt;CA593,1,0),0)</f>
        <v>0</v>
      </c>
      <c r="CA594" s="115">
        <f t="shared" si="483"/>
        <v>0</v>
      </c>
      <c r="CB594" s="115">
        <f ca="1">IF(BZ594=1,IF(模拟模式!$P$16="10人团",15,0)+IF(模拟模式!$P$16="25人团",IF(RAND()&lt;0.6,15,0)),MAX(0,CB593-$F$4))</f>
        <v>0</v>
      </c>
      <c r="CC594" s="115" t="b">
        <f t="shared" ca="1" si="531"/>
        <v>0</v>
      </c>
      <c r="CD594" s="115">
        <f>IF(模拟模式!$Q$16="1个",IF(B594/40&gt;CE593,1,0),0)</f>
        <v>0</v>
      </c>
      <c r="CE594" s="115">
        <f t="shared" si="532"/>
        <v>0</v>
      </c>
      <c r="CF594" s="115">
        <f>IF(OR(CD594=1,模拟模式!$Q$16="2个"),20,MAX(0,CF593-$F$4))</f>
        <v>0</v>
      </c>
      <c r="CG594" s="115" t="b">
        <f t="shared" si="533"/>
        <v>0</v>
      </c>
      <c r="CH594" s="115">
        <f t="shared" ca="1" si="508"/>
        <v>0</v>
      </c>
      <c r="CI594" s="115" t="b">
        <f t="shared" ca="1" si="509"/>
        <v>0</v>
      </c>
      <c r="CJ594" s="119">
        <f t="shared" ca="1" si="510"/>
        <v>0</v>
      </c>
      <c r="CK594" s="115">
        <f t="shared" ca="1" si="511"/>
        <v>0</v>
      </c>
      <c r="CL594" s="115" t="b">
        <f ca="1">AND(模拟模式!$S$7="驱夷逐法",OR(AND(C594="净世破魔击·月",E593&gt;59),AND(C594="净世破魔击·日",F593&gt;59)))</f>
        <v>0</v>
      </c>
      <c r="CM594" s="115" t="b">
        <f ca="1">OR(CL594,AND(C594="净世破魔击·日",CL593,RAND()&lt;模拟模式!$U$23))</f>
        <v>0</v>
      </c>
      <c r="CN594" s="115" t="b">
        <f ca="1">IF(模拟模式!$M$7="辉耀红尘",AND(C594="净世破魔击·月",CL594,CV594=0,E593&lt;80),AND(C594="净世破魔击·月",CL594,E593&lt;100))</f>
        <v>0</v>
      </c>
      <c r="CO594" s="115" t="b">
        <f t="shared" ca="1" si="484"/>
        <v>0</v>
      </c>
      <c r="CP594" s="115" t="b">
        <f ca="1">AND(模拟模式!$O$7="用晦而明",OR(C594="净世破魔击·日",C594="净世破魔击·月",C594="驱夜断愁"),AB594)</f>
        <v>1</v>
      </c>
      <c r="CQ594" s="115" t="b">
        <f ca="1">OR(CP594,AND(CP593,RAND()&lt;模拟模式!$U$23))</f>
        <v>1</v>
      </c>
      <c r="CR594" s="115" t="b">
        <f ca="1">AND(模拟模式!$S$7="日月齐光",OR(C594="幽月轮1",C594="幽月轮2",C594="幽月轮3",CR593),NOT(OR(C594="赤日轮1",C594="赤日轮2",C594="赤日轮3")))</f>
        <v>0</v>
      </c>
      <c r="CS594" s="115" t="b">
        <f ca="1">AND(模拟模式!$S$7="日月齐光",OR(C594="赤日轮1",C594="赤日轮2",C594="赤日轮3",CS593),NOT(OR(C594="幽月轮1",C594="幽月轮2",C594="幽月轮3")))</f>
        <v>0</v>
      </c>
      <c r="CT594" s="115">
        <f t="shared" ca="1" si="512"/>
        <v>22.620000000000005</v>
      </c>
      <c r="CU594" s="115" t="b">
        <f ca="1">AND(模拟模式!$K$10="阴阳往极",CT593=0,RAND()&lt;IF(C594="净世破魔击·月",0.0275*7/3,IF(C594="净世破魔击·日",0.0275*3/3,0.0275*2/3)))</f>
        <v>0</v>
      </c>
      <c r="CV594" s="115">
        <f t="shared" ca="1" si="513"/>
        <v>0</v>
      </c>
      <c r="CW594" s="115">
        <f t="shared" ca="1" si="485"/>
        <v>0</v>
      </c>
      <c r="CX594" s="115">
        <f t="shared" ca="1" si="486"/>
        <v>5.0774999999999997</v>
      </c>
      <c r="CY594" s="115">
        <f ca="1">MAX(IF($C594="驱夜断愁",IF(模拟模式!$R$7="万念俱寂",6,45),CY593-$F$4),0)</f>
        <v>6</v>
      </c>
      <c r="CZ594" s="115">
        <f t="shared" ca="1" si="487"/>
        <v>0</v>
      </c>
      <c r="DA594" s="115">
        <f ca="1">IF(模拟模式!$N$7="日月同辉",IF(DB593=2,0,MIN(6,IF(AND(OR(C594="赤日轮1",C594="赤日轮2",C594="赤日轮3",C594="幽月轮1",C594="幽月轮2",C594="幽月轮3"),AB594=1),DA593+1,DA593))),0)</f>
        <v>5</v>
      </c>
      <c r="DB594" s="115">
        <f t="shared" ca="1" si="488"/>
        <v>0</v>
      </c>
      <c r="DC594" s="115"/>
      <c r="DD594" s="115"/>
      <c r="DE594" s="115"/>
      <c r="DF594" s="115"/>
      <c r="DG594" s="115"/>
      <c r="DH594" s="115"/>
      <c r="DI594" s="115"/>
      <c r="DJ594" s="115"/>
      <c r="DK594" s="115"/>
      <c r="DL594" s="115"/>
      <c r="DM594" s="115"/>
    </row>
    <row r="595" spans="2:117" x14ac:dyDescent="0.2">
      <c r="B595" s="117">
        <f t="shared" si="489"/>
        <v>523.9800000000057</v>
      </c>
      <c r="C595" s="167" t="str">
        <f t="shared" ca="1" si="482"/>
        <v>烈日斩</v>
      </c>
      <c r="D595" s="115">
        <f ca="1">IF(C595="赤日轮1",1,IF(C595="赤日轮2",2,IF(C595="赤日轮3",3,IF(C595="幽月轮1",4,IF(C595="幽月轮2",5,IF(C595="幽月轮3",6,IF(C595="烈日斩",7,IF(C595="银月斩",8,IF(C595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595="净世破魔击·月",17,IF(C595="驱夜断愁",18,0)))))))))))</f>
        <v>7</v>
      </c>
      <c r="E595" s="115">
        <f ca="1">IF(AND(CU595,OR(C595="幽月轮1",C595="幽月轮2",C595="幽月轮3",C595="银月斩",C595="驱夜断愁",C595="净世破魔击·月")),100,MIN(IF(OR(CN595,BE595),0,IF(OR($C595="赤日轮1",$C595="赤日轮2",$C595="赤日轮3"),E594+20+IF(模拟模式!$I$7="日月凌天",4,0)+IF(CR594,20,0),IF($C595="烈日斩",E594+40,IF($C595="驱夜断愁",IF(模拟模式!$R$7="万念俱寂",E594+20,E594+60),IF($C595="净世破魔击·月",IF(OR(DB594&gt;0,CV594&gt;0),100,IF(模拟模式!$M$7="辉耀红尘",E594+20,E594)),IF($C595="净世破魔击·日",E594-100,E594)))))),100))</f>
        <v>80</v>
      </c>
      <c r="F595" s="115">
        <f ca="1">IF(AND(CU595,OR(C595="赤日轮1",C595="赤日轮2",C595="赤日轮3",C595="烈日斩",C595="净世破魔击·日")),100,MIN(IF(CO595,0,IF(OR($C595="幽月轮1",$C595="幽月轮2",$C595="幽月轮3"),F594+20+IF(模拟模式!$I$7="日月凌天",4,0)+IF(CS594,20,0),IF($C595="银月斩",F594+40+IF(模拟模式!$X$12=1,5,0),IF($C595="驱夜断愁",IF(模拟模式!$R$7="万念俱寂",F594+20,F594+60),IF($C595="净世破魔击·月",IF(模拟模式!$M$7="辉耀红尘",F594-80,F594-100),IF(AND(C595="净世破魔击·日",OR(DB594&gt;0,CV594&gt;0)),100,F594)))))),100))</f>
        <v>85</v>
      </c>
      <c r="G595" s="117">
        <f ca="1">('模拟-全程加成'!$E$3+'模拟-全程加成'!$E$4+'模拟-全程加成'!$E$5+('模拟-全程加成'!$C$6-'模拟-全程加成'!$C$3)*系数!$B$9+BS595*23)*(1+'模拟-全程加成'!$F$4+'模拟-全程加成'!$F$5+BJ595*10%+BM595*20%+BP595*4%+CG595*30%)+$F$7*系数!$B$12</f>
        <v>21493.829400000002</v>
      </c>
      <c r="H595" s="45">
        <f ca="1">'模拟-全程加成'!$H$3+'模拟-全程加成'!$H$4+'模拟-全程加成'!$H$5+('模拟-全程加成'!$G$4+'模拟-全程加成'!$G$5+('模拟-全程加成'!$C$6-'模拟-全程加成'!$C$3)*系数!$B$13)/系数!$B$3+LOOKUP(D595,'模拟-单技能数据'!$A$2:$A$19,'模拟-单技能数据'!$K$2:$K$19)+BG595*10%+IF(BV595&gt;0,378,0)</f>
        <v>0.56185145527300218</v>
      </c>
      <c r="I595" s="45">
        <f ca="1">'模拟-全程加成'!$J$3+'模拟-全程加成'!$J$4+'模拟-全程加成'!$J$5+('模拟-全程加成'!$I$4+'模拟-全程加成'!$I$5)/系数!$B$4+LOOKUP(D595,'模拟-单技能数据'!$A$2:$A$19,'模拟-单技能数据'!$L$2:$L$19)+BG595*10%</f>
        <v>2.2624828854998791</v>
      </c>
      <c r="J595" s="45">
        <f ca="1">(('模拟-全程加成'!$K$3+'模拟-全程加成'!$K$4+'模拟-全程加成'!$K$5+('模拟-全程加成'!$C$6-'模拟-全程加成'!$C$3)*系数!$B$10+IF(BV595&gt;0,882,0)+IF(BY595&gt;0,1831,0))*(1+'模拟-全程加成'!$L$4+'模拟-全程加成'!$L$5+CC595*20%))/系数!$B$5</f>
        <v>0.69723220422048726</v>
      </c>
      <c r="K595" s="119">
        <f ca="1">LOOKUP(D595,'模拟-单技能数据'!$A$2:$A$19,'模拟-单技能数据'!$J$2:$J$19)+IF(CM595,60%,0)+IF(DB594-DB595&gt;0,30%,0)+IF(OR(AND(OR(C595="赤日轮1",C595="赤日轮2",C595="赤日轮3"),CR595),AND(OR(C595="幽月轮1",C595="幽月轮2",C595="幽月轮3"),CS595)),35%,0)+CJ595</f>
        <v>0.24</v>
      </c>
      <c r="L595" s="119">
        <f ca="1">IF(AND(C595="烈日斩",模拟模式!$X$11=1),10%,0)+IF(AND(C595="驱夜断愁",AB595=1),30%,0)</f>
        <v>0.1</v>
      </c>
      <c r="M595" s="45">
        <f t="shared" ca="1" si="521"/>
        <v>0.56185145527300218</v>
      </c>
      <c r="N595" s="45">
        <f t="shared" ca="1" si="522"/>
        <v>0.38424854472699788</v>
      </c>
      <c r="O595" s="46">
        <f t="shared" ca="1" si="490"/>
        <v>0.33225376647831595</v>
      </c>
      <c r="P595" s="46" t="str">
        <f t="shared" ca="1" si="491"/>
        <v>会</v>
      </c>
      <c r="Q595" s="45">
        <f t="shared" ca="1" si="492"/>
        <v>2.2624828854998791</v>
      </c>
      <c r="R595" s="117">
        <f ca="1">模拟模式!$E$20*(1-IF(模拟模式!$J$19="有",0.15,0))*(1-IF(模拟模式!$K$19="有",0.3,0)-IF(CQ595,0.5,0))</f>
        <v>843.02999999999975</v>
      </c>
      <c r="S595" s="45">
        <f ca="1">R595/(R595+(185*模拟模式!$E$22-16800)*4.08224)</f>
        <v>8.389626085980037E-2</v>
      </c>
      <c r="T595" s="45" t="str">
        <f ca="1">LOOKUP(D595,'模拟-单技能数据'!$A$2:$A$19,'模拟-单技能数据'!$H$2:$H$19)</f>
        <v>阳</v>
      </c>
      <c r="U595" s="119">
        <f t="shared" ca="1" si="523"/>
        <v>0.2</v>
      </c>
      <c r="V595" s="47">
        <f ca="1">(1+L595)*(LOOKUP(D595,'模拟-单技能数据'!$A$2:$A$19,'模拟-单技能数据'!$D$2:$D$19)+G595*LOOKUP(D595,'模拟-单技能数据'!$A$2:$A$19,'模拟-单技能数据'!$F$2:$F$19))*(1+J595)*(1+K595)*(1-S595)*(1+U595)*Q595*LOOKUP(D595,'模拟-单技能数据'!$A$2:$A$19,'模拟-单技能数据'!$I$2:$I$20)</f>
        <v>110503.35617153208</v>
      </c>
      <c r="W595" s="47">
        <f ca="1">LOOKUP(D595,'模拟-单技能数据'!$A$2:$A$19,'模拟-单技能数据'!$G$2:$G$19)*$I$10</f>
        <v>361.51064354704795</v>
      </c>
      <c r="X595" s="47">
        <f t="shared" ca="1" si="493"/>
        <v>11607.89185245618</v>
      </c>
      <c r="Y595" s="47">
        <f t="shared" ca="1" si="524"/>
        <v>122472.75866753531</v>
      </c>
      <c r="Z595" s="49">
        <f t="shared" ca="1" si="525"/>
        <v>59256739.978026979</v>
      </c>
      <c r="AA595" s="97">
        <f t="shared" ca="1" si="526"/>
        <v>113089.69803814331</v>
      </c>
      <c r="AB595" s="115">
        <f ca="1">IF(OR(C595="赤日轮1",C595="赤日轮2",C595="赤日轮3"),IF(RAND()&lt;模拟模式!$Y$17,1,0),IF(OR(C595="幽月轮1",C595="幽月轮2",C595="幽月轮3"),IF(RAND()&lt;模拟模式!$Y$18,1,0),IF(C595="烈日斩",IF(RAND()&lt;模拟模式!$Y$19,1,0),IF(C595="银月斩",IF(RAND()&lt;模拟模式!$Y$20,1,0),IF(C595="驱夜断愁",IF(RAND()&lt;模拟模式!$Y$21,1,0),IF(C595="净世破魔击·日",IF(RAND()&lt;模拟模式!$Y$22,1,0),IF(C595="净世破魔击·月",IF(RAND()&lt;模拟模式!$Y$23,1,0),0)))))))</f>
        <v>1</v>
      </c>
      <c r="AC595" s="115" t="b">
        <f t="shared" ca="1" si="514"/>
        <v>0</v>
      </c>
      <c r="AD595" s="115" t="b">
        <f t="shared" ca="1" si="534"/>
        <v>0</v>
      </c>
      <c r="AE595" s="115">
        <f t="shared" ca="1" si="535"/>
        <v>5</v>
      </c>
      <c r="AF595" s="47">
        <f ca="1">IF(AC595,('模拟-单技能数据'!$D$20+G595*'模拟-单技能数据'!$F$20)*(1+J595)*(1+'模拟-单技能数据'!$J$20)*(1+U595),0)</f>
        <v>0</v>
      </c>
      <c r="AG595" s="61">
        <f t="shared" ca="1" si="527"/>
        <v>0.64185145527300214</v>
      </c>
      <c r="AH595" s="61">
        <f t="shared" ca="1" si="528"/>
        <v>2.2624828854998791</v>
      </c>
      <c r="AI595" s="62">
        <f t="shared" ca="1" si="494"/>
        <v>0.8144380266073532</v>
      </c>
      <c r="AJ595" s="47">
        <f ca="1">IF(AD595,IF(AI595&lt;$F$10,0,IF(AI595&lt;$F$10+$F$11,0.25,IF(AI595&lt;$F$10+$F$11+AG595,AH595,1)))*IF(AF595&gt;0,AF595,IF(AF594&gt;0,AF594,IF(AF593&gt;0,AF593,IF(AF592&gt;0,AF592,IF(AF591&gt;0,AF591,IF(AF590&gt;0,AF590,IF(AF589&gt;0,AF589,IF(AF588&gt;0,AF588,IF(AF587&gt;0,AF587,IF(AF585&gt;0,AF585,IF(AF584&gt;0,AF584,IF(AF583&gt;0,AF583,0)))))))))))),0)*(1-$S595)*'模拟-单技能数据'!$I$20</f>
        <v>0</v>
      </c>
      <c r="AK595" s="115" t="b">
        <f t="shared" ca="1" si="515"/>
        <v>0</v>
      </c>
      <c r="AL595" s="115" t="b">
        <f t="shared" ca="1" si="536"/>
        <v>1</v>
      </c>
      <c r="AM595" s="115">
        <f t="shared" ca="1" si="537"/>
        <v>3</v>
      </c>
      <c r="AN595" s="47">
        <f ca="1">IF(AK595,('模拟-单技能数据'!$D$21+G595*'模拟-单技能数据'!$F$21)*(1+J595)*(1+'模拟-单技能数据'!$J$21)*(1+U595),0)</f>
        <v>0</v>
      </c>
      <c r="AO595" s="61">
        <f ca="1">IF(AN595&gt;0,M595-'模拟-单技能数据'!$K$10,AO594)</f>
        <v>0.42185145527300216</v>
      </c>
      <c r="AP595" s="61">
        <f ca="1">IF(AN595&gt;0,I595-'模拟-单技能数据'!$L$10,AP594)</f>
        <v>2.162482885499879</v>
      </c>
      <c r="AQ595" s="63">
        <f t="shared" ca="1" si="495"/>
        <v>0.73540670331328795</v>
      </c>
      <c r="AR595" s="64">
        <f ca="1">IF(AL595,IF(AQ595&lt;$F$10,0,IF(AQ595&lt;$F$10+$F$11,0.25,IF(AQ595&lt;$F$10+$F$11+AO595,AP595,1)))*IF(AN595&gt;0,AN595,IF(AN594&gt;0,AN594,IF(AN593&gt;0,AN593,IF(AN592&gt;0,AN592,IF(AN591&gt;0,AN591,IF(AN590&gt;0,AN590,IF(AN589&gt;0,AN589,IF(AN588&gt;0,AN588,IF(AN587&gt;0,AN587,IF(AN585&gt;0,AN585,IF(AN584&gt;0,AN584,IF(AN583&gt;0,AN583,0)))))))))))),0)*(1-$S595)*'模拟-单技能数据'!$I$21</f>
        <v>11607.89185245618</v>
      </c>
      <c r="AS595" s="61">
        <f ca="1">IF(OR(C595="净世破魔击·日",C595="净世破魔击·月"),M595-'模拟-单技能数据'!$K$10,0)</f>
        <v>0</v>
      </c>
      <c r="AT595" s="61">
        <f ca="1">IF(OR(C595="净世破魔击·日",C595="净世破魔击·月"),I595-'模拟-单技能数据'!$L$10,0)</f>
        <v>0</v>
      </c>
      <c r="AU595" s="62">
        <f t="shared" ca="1" si="496"/>
        <v>0.52387328789942178</v>
      </c>
      <c r="AV595" s="64">
        <f ca="1">IF(AS595&gt;0,('模拟-单技能数据'!$D$22+G595*'模拟-单技能数据'!$F$22)*(1+J595)*(1-S595)*IF(AU595&lt;$F$10,0,IF(AU595&lt;$F$10+$F$11,0.25,IF(AU595&lt;$F$10+$F$11+AS595,AT595,1)))*(1+U595),0)*'模拟-单技能数据'!$I$22</f>
        <v>0</v>
      </c>
      <c r="AW595" s="108">
        <f t="shared" ca="1" si="497"/>
        <v>15.387500000000003</v>
      </c>
      <c r="AX595" s="108" t="b">
        <f ca="1">AND(模拟模式!$P$10="有",AW594=0,RAND()&lt;IF(C595="净世破魔击·月",0.1*8/3,IF(C595="净世破魔击·日",0.1*4/3,0.1*2/3)))</f>
        <v>0</v>
      </c>
      <c r="AY595" s="47">
        <f ca="1">IF(AX595,(18+G595*0.722)*(1+J595)*(1-S595)*(1+$I$4)*IF(P595="会",'模拟-全程加成'!$J$3+'模拟-全程加成'!$J$4+'模拟-全程加成'!$J$5+('模拟-全程加成'!$I$4+'模拟-全程加成'!$I$5)/系数!$B$4+BG595*10%,IF(P595="命",1,IF(P595="识",0.25,0))),0)</f>
        <v>0</v>
      </c>
      <c r="AZ595" s="108">
        <f t="shared" si="498"/>
        <v>3.3950000000000062</v>
      </c>
      <c r="BA595" s="108" t="b">
        <f>AND(模拟模式!$Q$10="有",AZ594=0)</f>
        <v>0</v>
      </c>
      <c r="BB595" s="140">
        <f>IF(BA595,(0+G595*0.287)*(1+J595)*(1-S595)*(1+$I$4)*IF(P595="会",'模拟-全程加成'!$J$3+'模拟-全程加成'!$J$4+'模拟-全程加成'!$J$5+('模拟-全程加成'!$I$4+'模拟-全程加成'!$I$5)/系数!$B$4+BG595*10%,IF(P595="命",1,IF(P595="识",0.25,0))),0)</f>
        <v>0</v>
      </c>
      <c r="BC595" s="115" t="b">
        <f ca="1">AND(模拟模式!$R$7="伏明众生",E595=60,F595=20,DA595&lt;5,CZ594&lt;$F$4)</f>
        <v>0</v>
      </c>
      <c r="BD595" s="115">
        <f t="shared" ca="1" si="516"/>
        <v>0</v>
      </c>
      <c r="BE595" s="115" t="b">
        <f t="shared" ca="1" si="517"/>
        <v>0</v>
      </c>
      <c r="BF595" s="47">
        <f ca="1">IF(BC595,4*('模拟-单技能数据'!$D$24+G595*'模拟-单技能数据'!$F$24)*(1+J595)*(1+'模拟-单技能数据'!$J$24)*(1-S595)*(1+$I$3)*(('模拟-全程加成'!$J$3+'模拟-全程加成'!$J$4+'模拟-全程加成'!$J$5+('模拟-全程加成'!$I$4+'模拟-全程加成'!$I$5)/系数!$B$4+BG595*10%)*('模拟-全程加成'!$J$3+'模拟-全程加成'!$J$4+'模拟-全程加成'!$J$5+('模拟-全程加成'!$I$4+'模拟-全程加成'!$I$5)/系数!$B$4+BG595*10%)+(1-('模拟-全程加成'!$J$3+'模拟-全程加成'!$J$4+'模拟-全程加成'!$J$5+('模拟-全程加成'!$I$4+'模拟-全程加成'!$I$5)/系数!$B$4+BG595*10%)-$F$10-$F$11)+F581*0.25),0)*'模拟-单技能数据'!$I$24</f>
        <v>0</v>
      </c>
      <c r="BG595" s="115" t="b">
        <f ca="1">OR(AND(OR(C595="烈日斩",C595="银月斩"),模拟模式!$I$7="净身明礼"),AND(C595="净世破魔击·日",模拟模式!$J$7="洞若观火"),AND(C596="净世破魔击·月",模拟模式!$J$7="洞若观火"),AB595=1)</f>
        <v>1</v>
      </c>
      <c r="BH595" s="115" t="b">
        <f t="shared" ca="1" si="499"/>
        <v>0</v>
      </c>
      <c r="BI595" s="115">
        <f t="shared" ca="1" si="518"/>
        <v>3.2324999999999995</v>
      </c>
      <c r="BJ595" s="115" t="b">
        <f t="shared" ca="1" si="529"/>
        <v>1</v>
      </c>
      <c r="BK595" s="115" t="b">
        <f ca="1">AND(C595="驱夜断愁",模拟模式!$P$7="天地诛戮")</f>
        <v>0</v>
      </c>
      <c r="BL595" s="57">
        <f t="shared" ca="1" si="519"/>
        <v>19.077500000000001</v>
      </c>
      <c r="BM595" s="115" t="b">
        <f t="shared" ca="1" si="530"/>
        <v>1</v>
      </c>
      <c r="BN595" s="115" t="b">
        <f ca="1">AND(OR(C595="赤日轮1",C595="赤日轮2",C595="赤日轮3",C595="幽月轮1",C595="幽月轮2",C595="幽月轮3"),AB595=1,模拟模式!$L$7="明光恒照")</f>
        <v>0</v>
      </c>
      <c r="BO595" s="117">
        <f t="shared" ca="1" si="520"/>
        <v>20.775000000000006</v>
      </c>
      <c r="BP595" s="115">
        <f t="shared" ca="1" si="500"/>
        <v>6</v>
      </c>
      <c r="BQ595" s="115" t="b">
        <f>模拟模式!$K$10="2600·水"</f>
        <v>0</v>
      </c>
      <c r="BR595" s="117">
        <f t="shared" si="501"/>
        <v>0</v>
      </c>
      <c r="BS595" s="115">
        <f t="shared" si="502"/>
        <v>0</v>
      </c>
      <c r="BT595" s="115">
        <f t="shared" ca="1" si="503"/>
        <v>0</v>
      </c>
      <c r="BU595" s="115" t="b">
        <f ca="1">AND(模拟模式!$K$10="2300·雷",BT594=0,RAND()&lt;IF(C595="净世破魔击·月",5*0.05*2/3,IF(C595="净世破魔击·日",3*0.05*2/3,0.05*2*2/3)))</f>
        <v>0</v>
      </c>
      <c r="BV595" s="115">
        <f t="shared" ca="1" si="504"/>
        <v>0</v>
      </c>
      <c r="BW595" s="115">
        <f t="shared" ca="1" si="505"/>
        <v>31.477499999999296</v>
      </c>
      <c r="BX595" s="164" t="b">
        <f t="shared" ca="1" si="506"/>
        <v>0</v>
      </c>
      <c r="BY595" s="115">
        <f t="shared" ca="1" si="507"/>
        <v>0</v>
      </c>
      <c r="BZ595" s="115">
        <f>IF(OR(模拟模式!$P$16="10人团",模拟模式!$P$16="25人团"),IF(B595/30&gt;CA594,1,0),0)</f>
        <v>0</v>
      </c>
      <c r="CA595" s="115">
        <f t="shared" si="483"/>
        <v>0</v>
      </c>
      <c r="CB595" s="115">
        <f ca="1">IF(BZ595=1,IF(模拟模式!$P$16="10人团",15,0)+IF(模拟模式!$P$16="25人团",IF(RAND()&lt;0.6,15,0)),MAX(0,CB594-$F$4))</f>
        <v>0</v>
      </c>
      <c r="CC595" s="115" t="b">
        <f t="shared" ca="1" si="531"/>
        <v>0</v>
      </c>
      <c r="CD595" s="115">
        <f>IF(模拟模式!$Q$16="1个",IF(B595/40&gt;CE594,1,0),0)</f>
        <v>0</v>
      </c>
      <c r="CE595" s="115">
        <f t="shared" si="532"/>
        <v>0</v>
      </c>
      <c r="CF595" s="115">
        <f>IF(OR(CD595=1,模拟模式!$Q$16="2个"),20,MAX(0,CF594-$F$4))</f>
        <v>0</v>
      </c>
      <c r="CG595" s="115" t="b">
        <f t="shared" si="533"/>
        <v>0</v>
      </c>
      <c r="CH595" s="115">
        <f t="shared" ca="1" si="508"/>
        <v>0</v>
      </c>
      <c r="CI595" s="115" t="b">
        <f t="shared" ca="1" si="509"/>
        <v>0</v>
      </c>
      <c r="CJ595" s="119">
        <f t="shared" ca="1" si="510"/>
        <v>0</v>
      </c>
      <c r="CK595" s="115">
        <f t="shared" ca="1" si="511"/>
        <v>0</v>
      </c>
      <c r="CL595" s="115" t="b">
        <f ca="1">AND(模拟模式!$S$7="驱夷逐法",OR(AND(C595="净世破魔击·月",E594&gt;59),AND(C595="净世破魔击·日",F594&gt;59)))</f>
        <v>0</v>
      </c>
      <c r="CM595" s="115" t="b">
        <f ca="1">OR(CL595,AND(C595="净世破魔击·日",CL594,RAND()&lt;模拟模式!$U$23))</f>
        <v>0</v>
      </c>
      <c r="CN595" s="115" t="b">
        <f ca="1">IF(模拟模式!$M$7="辉耀红尘",AND(C595="净世破魔击·月",CL595,CV595=0,E594&lt;80),AND(C595="净世破魔击·月",CL595,E594&lt;100))</f>
        <v>0</v>
      </c>
      <c r="CO595" s="115" t="b">
        <f t="shared" ca="1" si="484"/>
        <v>0</v>
      </c>
      <c r="CP595" s="115" t="b">
        <f ca="1">AND(模拟模式!$O$7="用晦而明",OR(C595="净世破魔击·日",C595="净世破魔击·月",C595="驱夜断愁"),AB595)</f>
        <v>0</v>
      </c>
      <c r="CQ595" s="115" t="b">
        <f ca="1">OR(CP595,AND(CP594,RAND()&lt;模拟模式!$U$23))</f>
        <v>1</v>
      </c>
      <c r="CR595" s="115" t="b">
        <f ca="1">AND(模拟模式!$S$7="日月齐光",OR(C595="幽月轮1",C595="幽月轮2",C595="幽月轮3",CR594),NOT(OR(C595="赤日轮1",C595="赤日轮2",C595="赤日轮3")))</f>
        <v>0</v>
      </c>
      <c r="CS595" s="115" t="b">
        <f ca="1">AND(模拟模式!$S$7="日月齐光",OR(C595="赤日轮1",C595="赤日轮2",C595="赤日轮3",CS594),NOT(OR(C595="幽月轮1",C595="幽月轮2",C595="幽月轮3")))</f>
        <v>0</v>
      </c>
      <c r="CT595" s="115">
        <f t="shared" ca="1" si="512"/>
        <v>21.697500000000005</v>
      </c>
      <c r="CU595" s="115" t="b">
        <f ca="1">AND(模拟模式!$K$10="阴阳往极",CT594=0,RAND()&lt;IF(C595="净世破魔击·月",0.0275*7/3,IF(C595="净世破魔击·日",0.0275*3/3,0.0275*2/3)))</f>
        <v>0</v>
      </c>
      <c r="CV595" s="115">
        <f t="shared" ca="1" si="513"/>
        <v>0</v>
      </c>
      <c r="CW595" s="115">
        <f t="shared" ca="1" si="485"/>
        <v>6</v>
      </c>
      <c r="CX595" s="115">
        <f t="shared" ca="1" si="486"/>
        <v>4.1549999999999994</v>
      </c>
      <c r="CY595" s="115">
        <f ca="1">MAX(IF($C595="驱夜断愁",IF(模拟模式!$R$7="万念俱寂",6,45),CY594-$F$4),0)</f>
        <v>5.0774999999999997</v>
      </c>
      <c r="CZ595" s="115">
        <f t="shared" ca="1" si="487"/>
        <v>0</v>
      </c>
      <c r="DA595" s="115">
        <f ca="1">IF(模拟模式!$N$7="日月同辉",IF(DB594=2,0,MIN(6,IF(AND(OR(C595="赤日轮1",C595="赤日轮2",C595="赤日轮3",C595="幽月轮1",C595="幽月轮2",C595="幽月轮3"),AB595=1),DA594+1,DA594))),0)</f>
        <v>5</v>
      </c>
      <c r="DB595" s="115">
        <f t="shared" ca="1" si="488"/>
        <v>0</v>
      </c>
      <c r="DC595" s="115"/>
      <c r="DD595" s="115"/>
      <c r="DE595" s="115"/>
      <c r="DF595" s="115"/>
      <c r="DG595" s="115"/>
      <c r="DH595" s="115"/>
      <c r="DI595" s="115"/>
      <c r="DJ595" s="115"/>
      <c r="DK595" s="115"/>
      <c r="DL595" s="115"/>
      <c r="DM595" s="115"/>
    </row>
    <row r="596" spans="2:117" x14ac:dyDescent="0.2">
      <c r="B596" s="117">
        <f t="shared" si="489"/>
        <v>524.90250000000572</v>
      </c>
      <c r="C596" s="167" t="str">
        <f t="shared" ca="1" si="482"/>
        <v>幽月轮1</v>
      </c>
      <c r="D596" s="115">
        <f ca="1">IF(C596="赤日轮1",1,IF(C596="赤日轮2",2,IF(C596="赤日轮3",3,IF(C596="幽月轮1",4,IF(C596="幽月轮2",5,IF(C596="幽月轮3",6,IF(C596="烈日斩",7,IF(C596="银月斩",8,IF(C596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596="净世破魔击·月",17,IF(C596="驱夜断愁",18,0)))))))))))</f>
        <v>4</v>
      </c>
      <c r="E596" s="115">
        <f ca="1">IF(AND(CU596,OR(C596="幽月轮1",C596="幽月轮2",C596="幽月轮3",C596="银月斩",C596="驱夜断愁",C596="净世破魔击·月")),100,MIN(IF(OR(CN596,BE596),0,IF(OR($C596="赤日轮1",$C596="赤日轮2",$C596="赤日轮3"),E595+20+IF(模拟模式!$I$7="日月凌天",4,0)+IF(CR595,20,0),IF($C596="烈日斩",E595+40,IF($C596="驱夜断愁",IF(模拟模式!$R$7="万念俱寂",E595+20,E595+60),IF($C596="净世破魔击·月",IF(OR(DB595&gt;0,CV595&gt;0),100,IF(模拟模式!$M$7="辉耀红尘",E595+20,E595)),IF($C596="净世破魔击·日",E595-100,E595)))))),100))</f>
        <v>80</v>
      </c>
      <c r="F596" s="115">
        <f ca="1">IF(AND(CU596,OR(C596="赤日轮1",C596="赤日轮2",C596="赤日轮3",C596="烈日斩",C596="净世破魔击·日")),100,MIN(IF(CO596,0,IF(OR($C596="幽月轮1",$C596="幽月轮2",$C596="幽月轮3"),F595+20+IF(模拟模式!$I$7="日月凌天",4,0)+IF(CS595,20,0),IF($C596="银月斩",F595+40+IF(模拟模式!$X$12=1,5,0),IF($C596="驱夜断愁",IF(模拟模式!$R$7="万念俱寂",F595+20,F595+60),IF($C596="净世破魔击·月",IF(模拟模式!$M$7="辉耀红尘",F595-80,F595-100),IF(AND(C596="净世破魔击·日",OR(DB595&gt;0,CV595&gt;0)),100,F595)))))),100))</f>
        <v>100</v>
      </c>
      <c r="G596" s="117">
        <f ca="1">('模拟-全程加成'!$E$3+'模拟-全程加成'!$E$4+'模拟-全程加成'!$E$5+('模拟-全程加成'!$C$6-'模拟-全程加成'!$C$3)*系数!$B$9+BS596*23)*(1+'模拟-全程加成'!$F$4+'模拟-全程加成'!$F$5+BJ596*10%+BM596*20%+BP596*4%+CG596*30%)+$F$7*系数!$B$12</f>
        <v>21493.829400000002</v>
      </c>
      <c r="H596" s="45">
        <f ca="1">'模拟-全程加成'!$H$3+'模拟-全程加成'!$H$4+'模拟-全程加成'!$H$5+('模拟-全程加成'!$G$4+'模拟-全程加成'!$G$5+('模拟-全程加成'!$C$6-'模拟-全程加成'!$C$3)*系数!$B$13)/系数!$B$3+LOOKUP(D596,'模拟-单技能数据'!$A$2:$A$19,'模拟-单技能数据'!$K$2:$K$19)+BG596*10%+IF(BV596&gt;0,378,0)</f>
        <v>0.51185145527300213</v>
      </c>
      <c r="I596" s="45">
        <f ca="1">'模拟-全程加成'!$J$3+'模拟-全程加成'!$J$4+'模拟-全程加成'!$J$5+('模拟-全程加成'!$I$4+'模拟-全程加成'!$I$5)/系数!$B$4+LOOKUP(D596,'模拟-单技能数据'!$A$2:$A$19,'模拟-单技能数据'!$L$2:$L$19)+BG596*10%</f>
        <v>2.162482885499879</v>
      </c>
      <c r="J596" s="45">
        <f ca="1">(('模拟-全程加成'!$K$3+'模拟-全程加成'!$K$4+'模拟-全程加成'!$K$5+('模拟-全程加成'!$C$6-'模拟-全程加成'!$C$3)*系数!$B$10+IF(BV596&gt;0,882,0)+IF(BY596&gt;0,1831,0))*(1+'模拟-全程加成'!$L$4+'模拟-全程加成'!$L$5+CC596*20%))/系数!$B$5</f>
        <v>0.69723220422048726</v>
      </c>
      <c r="K596" s="119">
        <f ca="1">LOOKUP(D596,'模拟-单技能数据'!$A$2:$A$19,'模拟-单技能数据'!$J$2:$J$19)+IF(CM596,60%,0)+IF(DB595-DB596&gt;0,30%,0)+IF(OR(AND(OR(C596="赤日轮1",C596="赤日轮2",C596="赤日轮3"),CR596),AND(OR(C596="幽月轮1",C596="幽月轮2",C596="幽月轮3"),CS596)),35%,0)+CJ596</f>
        <v>7.0000000000000007E-2</v>
      </c>
      <c r="L596" s="119">
        <f ca="1">IF(AND(C596="烈日斩",模拟模式!$X$11=1),10%,0)+IF(AND(C596="驱夜断愁",AB596=1),30%,0)</f>
        <v>0</v>
      </c>
      <c r="M596" s="45">
        <f t="shared" ca="1" si="521"/>
        <v>0.51185145527300213</v>
      </c>
      <c r="N596" s="45">
        <f t="shared" ca="1" si="522"/>
        <v>0.43424854472699792</v>
      </c>
      <c r="O596" s="46">
        <f t="shared" ca="1" si="490"/>
        <v>0.38103071855006698</v>
      </c>
      <c r="P596" s="46" t="str">
        <f t="shared" ca="1" si="491"/>
        <v>会</v>
      </c>
      <c r="Q596" s="45">
        <f t="shared" ca="1" si="492"/>
        <v>2.162482885499879</v>
      </c>
      <c r="R596" s="117">
        <f ca="1">模拟模式!$E$20*(1-IF(模拟模式!$J$19="有",0.15,0))*(1-IF(模拟模式!$K$19="有",0.3,0)-IF(CQ596,0.5,0))</f>
        <v>2950.6049999999996</v>
      </c>
      <c r="S596" s="45">
        <f ca="1">R596/(R596+(185*模拟模式!$E$22-16800)*4.08224)</f>
        <v>0.24272716014590323</v>
      </c>
      <c r="T596" s="45" t="str">
        <f ca="1">LOOKUP(D596,'模拟-单技能数据'!$A$2:$A$19,'模拟-单技能数据'!$H$2:$H$19)</f>
        <v>阴</v>
      </c>
      <c r="U596" s="119">
        <f t="shared" ca="1" si="523"/>
        <v>0.08</v>
      </c>
      <c r="V596" s="47">
        <f ca="1">(1+L596)*(LOOKUP(D596,'模拟-单技能数据'!$A$2:$A$19,'模拟-单技能数据'!$D$2:$D$19)+G596*LOOKUP(D596,'模拟-单技能数据'!$A$2:$A$19,'模拟-单技能数据'!$F$2:$F$19))*(1+J596)*(1+K596)*(1-S596)*(1+U596)*Q596*LOOKUP(D596,'模拟-单技能数据'!$A$2:$A$19,'模拟-单技能数据'!$I$2:$I$20)</f>
        <v>36630.702053185581</v>
      </c>
      <c r="W596" s="47">
        <f ca="1">LOOKUP(D596,'模拟-单技能数据'!$A$2:$A$19,'模拟-单技能数据'!$G$2:$G$19)*$I$10</f>
        <v>361.51064354704795</v>
      </c>
      <c r="X596" s="47">
        <f t="shared" ca="1" si="493"/>
        <v>7949.3543492067038</v>
      </c>
      <c r="Y596" s="47">
        <f t="shared" ca="1" si="524"/>
        <v>44941.567045939337</v>
      </c>
      <c r="Z596" s="49">
        <f t="shared" ca="1" si="525"/>
        <v>59301681.545072921</v>
      </c>
      <c r="AA596" s="97">
        <f t="shared" ca="1" si="526"/>
        <v>112976.56525749501</v>
      </c>
      <c r="AB596" s="115">
        <f ca="1">IF(OR(C596="赤日轮1",C596="赤日轮2",C596="赤日轮3"),IF(RAND()&lt;模拟模式!$Y$17,1,0),IF(OR(C596="幽月轮1",C596="幽月轮2",C596="幽月轮3"),IF(RAND()&lt;模拟模式!$Y$18,1,0),IF(C596="烈日斩",IF(RAND()&lt;模拟模式!$Y$19,1,0),IF(C596="银月斩",IF(RAND()&lt;模拟模式!$Y$20,1,0),IF(C596="驱夜断愁",IF(RAND()&lt;模拟模式!$Y$21,1,0),IF(C596="净世破魔击·日",IF(RAND()&lt;模拟模式!$Y$22,1,0),IF(C596="净世破魔击·月",IF(RAND()&lt;模拟模式!$Y$23,1,0),0)))))))</f>
        <v>1</v>
      </c>
      <c r="AC596" s="115" t="b">
        <f t="shared" ca="1" si="514"/>
        <v>0</v>
      </c>
      <c r="AD596" s="115" t="b">
        <f t="shared" ca="1" si="534"/>
        <v>1</v>
      </c>
      <c r="AE596" s="115">
        <f t="shared" ca="1" si="535"/>
        <v>4</v>
      </c>
      <c r="AF596" s="47">
        <f ca="1">IF(AC596,('模拟-单技能数据'!$D$20+G596*'模拟-单技能数据'!$F$20)*(1+J596)*(1+'模拟-单技能数据'!$J$20)*(1+U596),0)</f>
        <v>0</v>
      </c>
      <c r="AG596" s="61">
        <f t="shared" ca="1" si="527"/>
        <v>0.64185145527300214</v>
      </c>
      <c r="AH596" s="61">
        <f t="shared" ca="1" si="528"/>
        <v>2.2624828854998791</v>
      </c>
      <c r="AI596" s="62">
        <f t="shared" ca="1" si="494"/>
        <v>0.56993228376383864</v>
      </c>
      <c r="AJ596" s="47">
        <f ca="1">IF(AD596,IF(AI596&lt;$F$10,0,IF(AI596&lt;$F$10+$F$11,0.25,IF(AI596&lt;$F$10+$F$11+AG596,AH596,1)))*IF(AF596&gt;0,AF596,IF(AF595&gt;0,AF595,IF(AF594&gt;0,AF594,IF(AF593&gt;0,AF593,IF(AF592&gt;0,AF592,IF(AF591&gt;0,AF591,IF(AF590&gt;0,AF590,IF(AF589&gt;0,AF589,IF(AF588&gt;0,AF588,IF(AF586&gt;0,AF586,IF(AF585&gt;0,AF585,IF(AF584&gt;0,AF584,0)))))))))))),0)*(1-$S596)*'模拟-单技能数据'!$I$20</f>
        <v>7949.3543492067038</v>
      </c>
      <c r="AK596" s="115" t="b">
        <f t="shared" ca="1" si="515"/>
        <v>0</v>
      </c>
      <c r="AL596" s="115" t="b">
        <f t="shared" ca="1" si="536"/>
        <v>0</v>
      </c>
      <c r="AM596" s="115">
        <f t="shared" ca="1" si="537"/>
        <v>3</v>
      </c>
      <c r="AN596" s="47">
        <f ca="1">IF(AK596,('模拟-单技能数据'!$D$21+G596*'模拟-单技能数据'!$F$21)*(1+J596)*(1+'模拟-单技能数据'!$J$21)*(1+U596),0)</f>
        <v>0</v>
      </c>
      <c r="AO596" s="61">
        <f ca="1">IF(AN596&gt;0,M596-'模拟-单技能数据'!$K$10,AO595)</f>
        <v>0.42185145527300216</v>
      </c>
      <c r="AP596" s="61">
        <f ca="1">IF(AN596&gt;0,I596-'模拟-单技能数据'!$L$10,AP595)</f>
        <v>2.162482885499879</v>
      </c>
      <c r="AQ596" s="63">
        <f t="shared" ca="1" si="495"/>
        <v>0.99300497040522129</v>
      </c>
      <c r="AR596" s="64">
        <f ca="1">IF(AL596,IF(AQ596&lt;$F$10,0,IF(AQ596&lt;$F$10+$F$11,0.25,IF(AQ596&lt;$F$10+$F$11+AO596,AP596,1)))*IF(AN596&gt;0,AN596,IF(AN595&gt;0,AN595,IF(AN594&gt;0,AN594,IF(AN593&gt;0,AN593,IF(AN592&gt;0,AN592,IF(AN591&gt;0,AN591,IF(AN590&gt;0,AN590,IF(AN589&gt;0,AN589,IF(AN588&gt;0,AN588,IF(AN586&gt;0,AN586,IF(AN585&gt;0,AN585,IF(AN584&gt;0,AN584,0)))))))))))),0)*(1-$S596)*'模拟-单技能数据'!$I$21</f>
        <v>0</v>
      </c>
      <c r="AS596" s="61">
        <f ca="1">IF(OR(C596="净世破魔击·日",C596="净世破魔击·月"),M596-'模拟-单技能数据'!$K$10,0)</f>
        <v>0</v>
      </c>
      <c r="AT596" s="61">
        <f ca="1">IF(OR(C596="净世破魔击·日",C596="净世破魔击·月"),I596-'模拟-单技能数据'!$L$10,0)</f>
        <v>0</v>
      </c>
      <c r="AU596" s="62">
        <f t="shared" ca="1" si="496"/>
        <v>0.21450367178713881</v>
      </c>
      <c r="AV596" s="64">
        <f ca="1">IF(AS596&gt;0,('模拟-单技能数据'!$D$22+G596*'模拟-单技能数据'!$F$22)*(1+J596)*(1-S596)*IF(AU596&lt;$F$10,0,IF(AU596&lt;$F$10+$F$11,0.25,IF(AU596&lt;$F$10+$F$11+AS596,AT596,1)))*(1+U596),0)*'模拟-单技能数据'!$I$22</f>
        <v>0</v>
      </c>
      <c r="AW596" s="108">
        <f t="shared" ca="1" si="497"/>
        <v>14.465000000000003</v>
      </c>
      <c r="AX596" s="108" t="b">
        <f ca="1">AND(模拟模式!$P$10="有",AW595=0,RAND()&lt;IF(C596="净世破魔击·月",0.1*8/3,IF(C596="净世破魔击·日",0.1*4/3,0.1*2/3)))</f>
        <v>0</v>
      </c>
      <c r="AY596" s="47">
        <f ca="1">IF(AX596,(18+G596*0.722)*(1+J596)*(1-S596)*(1+$I$4)*IF(P596="会",'模拟-全程加成'!$J$3+'模拟-全程加成'!$J$4+'模拟-全程加成'!$J$5+('模拟-全程加成'!$I$4+'模拟-全程加成'!$I$5)/系数!$B$4+BG596*10%,IF(P596="命",1,IF(P596="识",0.25,0))),0)</f>
        <v>0</v>
      </c>
      <c r="AZ596" s="108">
        <f t="shared" si="498"/>
        <v>2.4725000000000064</v>
      </c>
      <c r="BA596" s="108" t="b">
        <f>AND(模拟模式!$Q$10="有",AZ595=0)</f>
        <v>0</v>
      </c>
      <c r="BB596" s="140">
        <f>IF(BA596,(0+G596*0.287)*(1+J596)*(1-S596)*(1+$I$4)*IF(P596="会",'模拟-全程加成'!$J$3+'模拟-全程加成'!$J$4+'模拟-全程加成'!$J$5+('模拟-全程加成'!$I$4+'模拟-全程加成'!$I$5)/系数!$B$4+BG596*10%,IF(P596="命",1,IF(P596="识",0.25,0))),0)</f>
        <v>0</v>
      </c>
      <c r="BC596" s="115" t="b">
        <f ca="1">AND(模拟模式!$R$7="伏明众生",E596=60,F596=20,DA596&lt;5,CZ595&lt;$F$4)</f>
        <v>0</v>
      </c>
      <c r="BD596" s="115">
        <f t="shared" ca="1" si="516"/>
        <v>0</v>
      </c>
      <c r="BE596" s="115" t="b">
        <f t="shared" ca="1" si="517"/>
        <v>0</v>
      </c>
      <c r="BF596" s="47">
        <f ca="1">IF(BC596,4*('模拟-单技能数据'!$D$24+G596*'模拟-单技能数据'!$F$24)*(1+J596)*(1+'模拟-单技能数据'!$J$24)*(1-S596)*(1+$I$3)*(('模拟-全程加成'!$J$3+'模拟-全程加成'!$J$4+'模拟-全程加成'!$J$5+('模拟-全程加成'!$I$4+'模拟-全程加成'!$I$5)/系数!$B$4+BG596*10%)*('模拟-全程加成'!$J$3+'模拟-全程加成'!$J$4+'模拟-全程加成'!$J$5+('模拟-全程加成'!$I$4+'模拟-全程加成'!$I$5)/系数!$B$4+BG596*10%)+(1-('模拟-全程加成'!$J$3+'模拟-全程加成'!$J$4+'模拟-全程加成'!$J$5+('模拟-全程加成'!$I$4+'模拟-全程加成'!$I$5)/系数!$B$4+BG596*10%)-$F$10-$F$11)+F582*0.25),0)*'模拟-单技能数据'!$I$24</f>
        <v>0</v>
      </c>
      <c r="BG596" s="115" t="b">
        <f ca="1">OR(AND(OR(C596="烈日斩",C596="银月斩"),模拟模式!$I$7="净身明礼"),AND(C596="净世破魔击·日",模拟模式!$J$7="洞若观火"),AND(C597="净世破魔击·月",模拟模式!$J$7="洞若观火"),AB596=1)</f>
        <v>1</v>
      </c>
      <c r="BH596" s="115" t="b">
        <f t="shared" ca="1" si="499"/>
        <v>1</v>
      </c>
      <c r="BI596" s="115">
        <f t="shared" ca="1" si="518"/>
        <v>6</v>
      </c>
      <c r="BJ596" s="115" t="b">
        <f t="shared" ca="1" si="529"/>
        <v>1</v>
      </c>
      <c r="BK596" s="115" t="b">
        <f ca="1">AND(C596="驱夜断愁",模拟模式!$P$7="天地诛戮")</f>
        <v>0</v>
      </c>
      <c r="BL596" s="57">
        <f t="shared" ca="1" si="519"/>
        <v>18.155000000000001</v>
      </c>
      <c r="BM596" s="115" t="b">
        <f t="shared" ca="1" si="530"/>
        <v>1</v>
      </c>
      <c r="BN596" s="115" t="b">
        <f ca="1">AND(OR(C596="赤日轮1",C596="赤日轮2",C596="赤日轮3",C596="幽月轮1",C596="幽月轮2",C596="幽月轮3"),AB596=1,模拟模式!$L$7="明光恒照")</f>
        <v>1</v>
      </c>
      <c r="BO596" s="117">
        <f t="shared" ca="1" si="520"/>
        <v>30</v>
      </c>
      <c r="BP596" s="115">
        <f t="shared" ca="1" si="500"/>
        <v>6</v>
      </c>
      <c r="BQ596" s="115" t="b">
        <f>模拟模式!$K$10="2600·水"</f>
        <v>0</v>
      </c>
      <c r="BR596" s="117">
        <f t="shared" si="501"/>
        <v>0</v>
      </c>
      <c r="BS596" s="115">
        <f t="shared" si="502"/>
        <v>0</v>
      </c>
      <c r="BT596" s="115">
        <f t="shared" ca="1" si="503"/>
        <v>0</v>
      </c>
      <c r="BU596" s="115" t="b">
        <f ca="1">AND(模拟模式!$K$10="2300·雷",BT595=0,RAND()&lt;IF(C596="净世破魔击·月",5*0.05*2/3,IF(C596="净世破魔击·日",3*0.05*2/3,0.05*2*2/3)))</f>
        <v>0</v>
      </c>
      <c r="BV596" s="115">
        <f t="shared" ca="1" si="504"/>
        <v>0</v>
      </c>
      <c r="BW596" s="115">
        <f t="shared" ca="1" si="505"/>
        <v>30.554999999999296</v>
      </c>
      <c r="BX596" s="164" t="b">
        <f t="shared" ca="1" si="506"/>
        <v>0</v>
      </c>
      <c r="BY596" s="115">
        <f t="shared" ca="1" si="507"/>
        <v>0</v>
      </c>
      <c r="BZ596" s="115">
        <f>IF(OR(模拟模式!$P$16="10人团",模拟模式!$P$16="25人团"),IF(B596/30&gt;CA595,1,0),0)</f>
        <v>0</v>
      </c>
      <c r="CA596" s="115">
        <f t="shared" si="483"/>
        <v>0</v>
      </c>
      <c r="CB596" s="115">
        <f ca="1">IF(BZ596=1,IF(模拟模式!$P$16="10人团",15,0)+IF(模拟模式!$P$16="25人团",IF(RAND()&lt;0.6,15,0)),MAX(0,CB595-$F$4))</f>
        <v>0</v>
      </c>
      <c r="CC596" s="115" t="b">
        <f t="shared" ca="1" si="531"/>
        <v>0</v>
      </c>
      <c r="CD596" s="115">
        <f>IF(模拟模式!$Q$16="1个",IF(B596/40&gt;CE595,1,0),0)</f>
        <v>0</v>
      </c>
      <c r="CE596" s="115">
        <f t="shared" si="532"/>
        <v>0</v>
      </c>
      <c r="CF596" s="115">
        <f>IF(OR(CD596=1,模拟模式!$Q$16="2个"),20,MAX(0,CF595-$F$4))</f>
        <v>0</v>
      </c>
      <c r="CG596" s="115" t="b">
        <f t="shared" si="533"/>
        <v>0</v>
      </c>
      <c r="CH596" s="115">
        <f t="shared" ca="1" si="508"/>
        <v>0</v>
      </c>
      <c r="CI596" s="115" t="b">
        <f t="shared" ca="1" si="509"/>
        <v>0</v>
      </c>
      <c r="CJ596" s="119">
        <f t="shared" ca="1" si="510"/>
        <v>0</v>
      </c>
      <c r="CK596" s="115">
        <f t="shared" ca="1" si="511"/>
        <v>0</v>
      </c>
      <c r="CL596" s="115" t="b">
        <f ca="1">AND(模拟模式!$S$7="驱夷逐法",OR(AND(C596="净世破魔击·月",E595&gt;59),AND(C596="净世破魔击·日",F595&gt;59)))</f>
        <v>0</v>
      </c>
      <c r="CM596" s="115" t="b">
        <f ca="1">OR(CL596,AND(C596="净世破魔击·日",CL595,RAND()&lt;模拟模式!$U$23))</f>
        <v>0</v>
      </c>
      <c r="CN596" s="115" t="b">
        <f ca="1">IF(模拟模式!$M$7="辉耀红尘",AND(C596="净世破魔击·月",CL596,CV596=0,E595&lt;80),AND(C596="净世破魔击·月",CL596,E595&lt;100))</f>
        <v>0</v>
      </c>
      <c r="CO596" s="115" t="b">
        <f t="shared" ca="1" si="484"/>
        <v>0</v>
      </c>
      <c r="CP596" s="115" t="b">
        <f ca="1">AND(模拟模式!$O$7="用晦而明",OR(C596="净世破魔击·日",C596="净世破魔击·月",C596="驱夜断愁"),AB596)</f>
        <v>0</v>
      </c>
      <c r="CQ596" s="115" t="b">
        <f ca="1">OR(CP596,AND(CP595,RAND()&lt;模拟模式!$U$23))</f>
        <v>0</v>
      </c>
      <c r="CR596" s="115" t="b">
        <f ca="1">AND(模拟模式!$S$7="日月齐光",OR(C596="幽月轮1",C596="幽月轮2",C596="幽月轮3",CR595),NOT(OR(C596="赤日轮1",C596="赤日轮2",C596="赤日轮3")))</f>
        <v>0</v>
      </c>
      <c r="CS596" s="115" t="b">
        <f ca="1">AND(模拟模式!$S$7="日月齐光",OR(C596="赤日轮1",C596="赤日轮2",C596="赤日轮3",CS595),NOT(OR(C596="幽月轮1",C596="幽月轮2",C596="幽月轮3")))</f>
        <v>0</v>
      </c>
      <c r="CT596" s="115">
        <f t="shared" ca="1" si="512"/>
        <v>20.775000000000006</v>
      </c>
      <c r="CU596" s="115" t="b">
        <f ca="1">AND(模拟模式!$K$10="阴阳往极",CT595=0,RAND()&lt;IF(C596="净世破魔击·月",0.0275*7/3,IF(C596="净世破魔击·日",0.0275*3/3,0.0275*2/3)))</f>
        <v>0</v>
      </c>
      <c r="CV596" s="115">
        <f t="shared" ca="1" si="513"/>
        <v>0</v>
      </c>
      <c r="CW596" s="115">
        <f t="shared" ca="1" si="485"/>
        <v>5.0774999999999997</v>
      </c>
      <c r="CX596" s="115">
        <f t="shared" ca="1" si="486"/>
        <v>3.2324999999999995</v>
      </c>
      <c r="CY596" s="115">
        <f ca="1">MAX(IF($C596="驱夜断愁",IF(模拟模式!$R$7="万念俱寂",6,45),CY595-$F$4),0)</f>
        <v>4.1549999999999994</v>
      </c>
      <c r="CZ596" s="115">
        <f t="shared" ca="1" si="487"/>
        <v>0</v>
      </c>
      <c r="DA596" s="115">
        <f ca="1">IF(模拟模式!$N$7="日月同辉",IF(DB595=2,0,MIN(6,IF(AND(OR(C596="赤日轮1",C596="赤日轮2",C596="赤日轮3",C596="幽月轮1",C596="幽月轮2",C596="幽月轮3"),AB596=1),DA595+1,DA595))),0)</f>
        <v>6</v>
      </c>
      <c r="DB596" s="115">
        <f t="shared" ca="1" si="488"/>
        <v>2</v>
      </c>
      <c r="DC596" s="115"/>
      <c r="DD596" s="115"/>
      <c r="DE596" s="115"/>
      <c r="DF596" s="115"/>
      <c r="DG596" s="115"/>
      <c r="DH596" s="115"/>
      <c r="DI596" s="115"/>
      <c r="DJ596" s="115"/>
      <c r="DK596" s="115"/>
      <c r="DL596" s="115"/>
      <c r="DM596" s="115"/>
    </row>
    <row r="597" spans="2:117" x14ac:dyDescent="0.2">
      <c r="B597" s="117">
        <f t="shared" si="489"/>
        <v>525.82500000000573</v>
      </c>
      <c r="C597" s="167" t="str">
        <f t="shared" ca="1" si="482"/>
        <v>净世破魔击·月</v>
      </c>
      <c r="D597" s="115">
        <f ca="1">IF(C597="赤日轮1",1,IF(C597="赤日轮2",2,IF(C597="赤日轮3",3,IF(C597="幽月轮1",4,IF(C597="幽月轮2",5,IF(C597="幽月轮3",6,IF(C597="烈日斩",7,IF(C597="银月斩",8,IF(C597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597="净世破魔击·月",17,IF(C597="驱夜断愁",18,0)))))))))))</f>
        <v>17</v>
      </c>
      <c r="E597" s="115">
        <f ca="1">IF(AND(CU597,OR(C597="幽月轮1",C597="幽月轮2",C597="幽月轮3",C597="银月斩",C597="驱夜断愁",C597="净世破魔击·月")),100,MIN(IF(OR(CN597,BE597),0,IF(OR($C597="赤日轮1",$C597="赤日轮2",$C597="赤日轮3"),E596+20+IF(模拟模式!$I$7="日月凌天",4,0)+IF(CR596,20,0),IF($C597="烈日斩",E596+40,IF($C597="驱夜断愁",IF(模拟模式!$R$7="万念俱寂",E596+20,E596+60),IF($C597="净世破魔击·月",IF(OR(DB596&gt;0,CV596&gt;0),100,IF(模拟模式!$M$7="辉耀红尘",E596+20,E596)),IF($C597="净世破魔击·日",E596-100,E596)))))),100))</f>
        <v>100</v>
      </c>
      <c r="F597" s="115">
        <f ca="1">IF(AND(CU597,OR(C597="赤日轮1",C597="赤日轮2",C597="赤日轮3",C597="烈日斩",C597="净世破魔击·日")),100,MIN(IF(CO597,0,IF(OR($C597="幽月轮1",$C597="幽月轮2",$C597="幽月轮3"),F596+20+IF(模拟模式!$I$7="日月凌天",4,0)+IF(CS596,20,0),IF($C597="银月斩",F596+40+IF(模拟模式!$X$12=1,5,0),IF($C597="驱夜断愁",IF(模拟模式!$R$7="万念俱寂",F596+20,F596+60),IF($C597="净世破魔击·月",IF(模拟模式!$M$7="辉耀红尘",F596-80,F596-100),IF(AND(C597="净世破魔击·日",OR(DB596&gt;0,CV596&gt;0)),100,F596)))))),100))</f>
        <v>20</v>
      </c>
      <c r="G597" s="117">
        <f ca="1">('模拟-全程加成'!$E$3+'模拟-全程加成'!$E$4+'模拟-全程加成'!$E$5+('模拟-全程加成'!$C$6-'模拟-全程加成'!$C$3)*系数!$B$9+BS597*23)*(1+'模拟-全程加成'!$F$4+'模拟-全程加成'!$F$5+BJ597*10%+BM597*20%+BP597*4%+CG597*30%)+$F$7*系数!$B$12</f>
        <v>21493.829400000002</v>
      </c>
      <c r="H597" s="45">
        <f ca="1">'模拟-全程加成'!$H$3+'模拟-全程加成'!$H$4+'模拟-全程加成'!$H$5+('模拟-全程加成'!$G$4+'模拟-全程加成'!$G$5+('模拟-全程加成'!$C$6-'模拟-全程加成'!$C$3)*系数!$B$13)/系数!$B$3+LOOKUP(D597,'模拟-单技能数据'!$A$2:$A$19,'模拟-单技能数据'!$K$2:$K$19)+BG597*10%+IF(BV597&gt;0,378,0)</f>
        <v>0.54185145527300216</v>
      </c>
      <c r="I597" s="45">
        <f ca="1">'模拟-全程加成'!$J$3+'模拟-全程加成'!$J$4+'模拟-全程加成'!$J$5+('模拟-全程加成'!$I$4+'模拟-全程加成'!$I$5)/系数!$B$4+LOOKUP(D597,'模拟-单技能数据'!$A$2:$A$19,'模拟-单技能数据'!$L$2:$L$19)+BG597*10%</f>
        <v>2.162482885499879</v>
      </c>
      <c r="J597" s="45">
        <f ca="1">(('模拟-全程加成'!$K$3+'模拟-全程加成'!$K$4+'模拟-全程加成'!$K$5+('模拟-全程加成'!$C$6-'模拟-全程加成'!$C$3)*系数!$B$10+IF(BV597&gt;0,882,0)+IF(BY597&gt;0,1831,0))*(1+'模拟-全程加成'!$L$4+'模拟-全程加成'!$L$5+CC597*20%))/系数!$B$5</f>
        <v>0.69723220422048726</v>
      </c>
      <c r="K597" s="119">
        <f ca="1">LOOKUP(D597,'模拟-单技能数据'!$A$2:$A$19,'模拟-单技能数据'!$J$2:$J$19)+IF(CM597,60%,0)+IF(DB596-DB597&gt;0,30%,0)+IF(OR(AND(OR(C597="赤日轮1",C597="赤日轮2",C597="赤日轮3"),CR597),AND(OR(C597="幽月轮1",C597="幽月轮2",C597="幽月轮3"),CS597)),35%,0)+CJ597</f>
        <v>1.1100000000000001</v>
      </c>
      <c r="L597" s="119">
        <f ca="1">IF(AND(C597="烈日斩",模拟模式!$X$11=1),10%,0)+IF(AND(C597="驱夜断愁",AB597=1),30%,0)</f>
        <v>0</v>
      </c>
      <c r="M597" s="45">
        <f t="shared" ca="1" si="521"/>
        <v>0.54185145527300216</v>
      </c>
      <c r="N597" s="45">
        <f t="shared" ca="1" si="522"/>
        <v>0.40424854472699789</v>
      </c>
      <c r="O597" s="46">
        <f t="shared" ca="1" si="490"/>
        <v>0.24752958890831533</v>
      </c>
      <c r="P597" s="46" t="str">
        <f t="shared" ca="1" si="491"/>
        <v>会</v>
      </c>
      <c r="Q597" s="45">
        <f t="shared" ca="1" si="492"/>
        <v>2.162482885499879</v>
      </c>
      <c r="R597" s="117">
        <f ca="1">模拟模式!$E$20*(1-IF(模拟模式!$J$19="有",0.15,0))*(1-IF(模拟模式!$K$19="有",0.3,0)-IF(CQ597,0.5,0))</f>
        <v>843.02999999999975</v>
      </c>
      <c r="S597" s="45">
        <f ca="1">R597/(R597+(185*模拟模式!$E$22-16800)*4.08224)</f>
        <v>8.389626085980037E-2</v>
      </c>
      <c r="T597" s="45" t="str">
        <f ca="1">LOOKUP(D597,'模拟-单技能数据'!$A$2:$A$19,'模拟-单技能数据'!$H$2:$H$19)</f>
        <v>阴</v>
      </c>
      <c r="U597" s="119">
        <f t="shared" ca="1" si="523"/>
        <v>0.08</v>
      </c>
      <c r="V597" s="47">
        <f ca="1">(1+L597)*(LOOKUP(D597,'模拟-单技能数据'!$A$2:$A$19,'模拟-单技能数据'!$D$2:$D$19)+G597*LOOKUP(D597,'模拟-单技能数据'!$A$2:$A$19,'模拟-单技能数据'!$F$2:$F$19))*(1+J597)*(1+K597)*(1-S597)*(1+U597)*Q597*LOOKUP(D597,'模拟-单技能数据'!$A$2:$A$19,'模拟-单技能数据'!$I$2:$I$20)</f>
        <v>213978.87586729016</v>
      </c>
      <c r="W597" s="47">
        <f ca="1">LOOKUP(D597,'模拟-单技能数据'!$A$2:$A$19,'模拟-单技能数据'!$G$2:$G$19)*$I$10</f>
        <v>361.51064354704795</v>
      </c>
      <c r="X597" s="47">
        <f t="shared" ca="1" si="493"/>
        <v>28813.061448701963</v>
      </c>
      <c r="Y597" s="47">
        <f t="shared" ca="1" si="524"/>
        <v>243153.44795953919</v>
      </c>
      <c r="Z597" s="49">
        <f t="shared" ca="1" si="525"/>
        <v>59544834.993032463</v>
      </c>
      <c r="AA597" s="97">
        <f t="shared" ca="1" si="526"/>
        <v>113240.78351739042</v>
      </c>
      <c r="AB597" s="115">
        <f ca="1">IF(OR(C597="赤日轮1",C597="赤日轮2",C597="赤日轮3"),IF(RAND()&lt;模拟模式!$Y$17,1,0),IF(OR(C597="幽月轮1",C597="幽月轮2",C597="幽月轮3"),IF(RAND()&lt;模拟模式!$Y$18,1,0),IF(C597="烈日斩",IF(RAND()&lt;模拟模式!$Y$19,1,0),IF(C597="银月斩",IF(RAND()&lt;模拟模式!$Y$20,1,0),IF(C597="驱夜断愁",IF(RAND()&lt;模拟模式!$Y$21,1,0),IF(C597="净世破魔击·日",IF(RAND()&lt;模拟模式!$Y$22,1,0),IF(C597="净世破魔击·月",IF(RAND()&lt;模拟模式!$Y$23,1,0),0)))))))</f>
        <v>1</v>
      </c>
      <c r="AC597" s="115" t="b">
        <f t="shared" ca="1" si="514"/>
        <v>0</v>
      </c>
      <c r="AD597" s="115" t="b">
        <f t="shared" ca="1" si="534"/>
        <v>0</v>
      </c>
      <c r="AE597" s="115">
        <f t="shared" ca="1" si="535"/>
        <v>4</v>
      </c>
      <c r="AF597" s="47">
        <f ca="1">IF(AC597,('模拟-单技能数据'!$D$20+G597*'模拟-单技能数据'!$F$20)*(1+J597)*(1+'模拟-单技能数据'!$J$20)*(1+U597),0)</f>
        <v>0</v>
      </c>
      <c r="AG597" s="61">
        <f t="shared" ca="1" si="527"/>
        <v>0.64185145527300214</v>
      </c>
      <c r="AH597" s="61">
        <f t="shared" ca="1" si="528"/>
        <v>2.2624828854998791</v>
      </c>
      <c r="AI597" s="62">
        <f t="shared" ca="1" si="494"/>
        <v>0.86632933890049146</v>
      </c>
      <c r="AJ597" s="47">
        <f ca="1">IF(AD597,IF(AI597&lt;$F$10,0,IF(AI597&lt;$F$10+$F$11,0.25,IF(AI597&lt;$F$10+$F$11+AG597,AH597,1)))*IF(AF597&gt;0,AF597,IF(AF596&gt;0,AF596,IF(AF595&gt;0,AF595,IF(AF594&gt;0,AF594,IF(AF593&gt;0,AF593,IF(AF592&gt;0,AF592,IF(AF591&gt;0,AF591,IF(AF590&gt;0,AF590,IF(AF589&gt;0,AF589,IF(AF587&gt;0,AF587,IF(AF586&gt;0,AF586,IF(AF585&gt;0,AF585,0)))))))))))),0)*(1-$S597)*'模拟-单技能数据'!$I$20</f>
        <v>0</v>
      </c>
      <c r="AK597" s="115" t="b">
        <f t="shared" ca="1" si="515"/>
        <v>0</v>
      </c>
      <c r="AL597" s="115" t="b">
        <f t="shared" ca="1" si="536"/>
        <v>1</v>
      </c>
      <c r="AM597" s="115">
        <f t="shared" ca="1" si="537"/>
        <v>2</v>
      </c>
      <c r="AN597" s="47">
        <f ca="1">IF(AK597,('模拟-单技能数据'!$D$21+G597*'模拟-单技能数据'!$F$21)*(1+J597)*(1+'模拟-单技能数据'!$J$21)*(1+U597),0)</f>
        <v>0</v>
      </c>
      <c r="AO597" s="61">
        <f ca="1">IF(AN597&gt;0,M597-'模拟-单技能数据'!$K$10,AO596)</f>
        <v>0.42185145527300216</v>
      </c>
      <c r="AP597" s="61">
        <f ca="1">IF(AN597&gt;0,I597-'模拟-单技能数据'!$L$10,AP596)</f>
        <v>2.162482885499879</v>
      </c>
      <c r="AQ597" s="63">
        <f t="shared" ca="1" si="495"/>
        <v>0.87203184090925667</v>
      </c>
      <c r="AR597" s="64">
        <f ca="1">IF(AL597,IF(AQ597&lt;$F$10,0,IF(AQ597&lt;$F$10+$F$11,0.25,IF(AQ597&lt;$F$10+$F$11+AO597,AP597,1)))*IF(AN597&gt;0,AN597,IF(AN596&gt;0,AN596,IF(AN595&gt;0,AN595,IF(AN594&gt;0,AN594,IF(AN593&gt;0,AN593,IF(AN592&gt;0,AN592,IF(AN591&gt;0,AN591,IF(AN590&gt;0,AN590,IF(AN589&gt;0,AN589,IF(AN587&gt;0,AN587,IF(AN586&gt;0,AN586,IF(AN585&gt;0,AN585,0)))))))))))),0)*(1-$S597)*'模拟-单技能数据'!$I$21</f>
        <v>11607.89185245618</v>
      </c>
      <c r="AS597" s="61">
        <f ca="1">IF(OR(C597="净世破魔击·日",C597="净世破魔击·月"),M597-'模拟-单技能数据'!$K$10,0)</f>
        <v>0.42185145527300216</v>
      </c>
      <c r="AT597" s="61">
        <f ca="1">IF(OR(C597="净世破魔击·日",C597="净世破魔击·月"),I597-'模拟-单技能数据'!$L$10,0)</f>
        <v>2.162482885499879</v>
      </c>
      <c r="AU597" s="62">
        <f t="shared" ca="1" si="496"/>
        <v>0.24468744055303671</v>
      </c>
      <c r="AV597" s="64">
        <f ca="1">IF(AS597&gt;0,('模拟-单技能数据'!$D$22+G597*'模拟-单技能数据'!$F$22)*(1+J597)*(1-S597)*IF(AU597&lt;$F$10,0,IF(AU597&lt;$F$10+$F$11,0.25,IF(AU597&lt;$F$10+$F$11+AS597,AT597,1)))*(1+U597),0)*'模拟-单技能数据'!$I$22</f>
        <v>17205.169596245785</v>
      </c>
      <c r="AW597" s="108">
        <f t="shared" ca="1" si="497"/>
        <v>13.542500000000004</v>
      </c>
      <c r="AX597" s="108" t="b">
        <f ca="1">AND(模拟模式!$P$10="有",AW596=0,RAND()&lt;IF(C597="净世破魔击·月",0.1*8/3,IF(C597="净世破魔击·日",0.1*4/3,0.1*2/3)))</f>
        <v>0</v>
      </c>
      <c r="AY597" s="47">
        <f ca="1">IF(AX597,(18+G597*0.722)*(1+J597)*(1-S597)*(1+$I$4)*IF(P597="会",'模拟-全程加成'!$J$3+'模拟-全程加成'!$J$4+'模拟-全程加成'!$J$5+('模拟-全程加成'!$I$4+'模拟-全程加成'!$I$5)/系数!$B$4+BG597*10%,IF(P597="命",1,IF(P597="识",0.25,0))),0)</f>
        <v>0</v>
      </c>
      <c r="AZ597" s="108">
        <f t="shared" si="498"/>
        <v>1.5500000000000065</v>
      </c>
      <c r="BA597" s="108" t="b">
        <f>AND(模拟模式!$Q$10="有",AZ596=0)</f>
        <v>0</v>
      </c>
      <c r="BB597" s="140">
        <f>IF(BA597,(0+G597*0.287)*(1+J597)*(1-S597)*(1+$I$4)*IF(P597="会",'模拟-全程加成'!$J$3+'模拟-全程加成'!$J$4+'模拟-全程加成'!$J$5+('模拟-全程加成'!$I$4+'模拟-全程加成'!$I$5)/系数!$B$4+BG597*10%,IF(P597="命",1,IF(P597="识",0.25,0))),0)</f>
        <v>0</v>
      </c>
      <c r="BC597" s="115" t="b">
        <f ca="1">AND(模拟模式!$R$7="伏明众生",E597=60,F597=20,DA597&lt;5,CZ596&lt;$F$4)</f>
        <v>0</v>
      </c>
      <c r="BD597" s="115">
        <f t="shared" ca="1" si="516"/>
        <v>0</v>
      </c>
      <c r="BE597" s="115" t="b">
        <f t="shared" ca="1" si="517"/>
        <v>0</v>
      </c>
      <c r="BF597" s="47">
        <f ca="1">IF(BC597,4*('模拟-单技能数据'!$D$24+G597*'模拟-单技能数据'!$F$24)*(1+J597)*(1+'模拟-单技能数据'!$J$24)*(1-S597)*(1+$I$3)*(('模拟-全程加成'!$J$3+'模拟-全程加成'!$J$4+'模拟-全程加成'!$J$5+('模拟-全程加成'!$I$4+'模拟-全程加成'!$I$5)/系数!$B$4+BG597*10%)*('模拟-全程加成'!$J$3+'模拟-全程加成'!$J$4+'模拟-全程加成'!$J$5+('模拟-全程加成'!$I$4+'模拟-全程加成'!$I$5)/系数!$B$4+BG597*10%)+(1-('模拟-全程加成'!$J$3+'模拟-全程加成'!$J$4+'模拟-全程加成'!$J$5+('模拟-全程加成'!$I$4+'模拟-全程加成'!$I$5)/系数!$B$4+BG597*10%)-$F$10-$F$11)+F583*0.25),0)*'模拟-单技能数据'!$I$24</f>
        <v>0</v>
      </c>
      <c r="BG597" s="115" t="b">
        <f ca="1">OR(AND(OR(C597="烈日斩",C597="银月斩"),模拟模式!$I$7="净身明礼"),AND(C597="净世破魔击·日",模拟模式!$J$7="洞若观火"),AND(C598="净世破魔击·月",模拟模式!$J$7="洞若观火"),AB597=1)</f>
        <v>1</v>
      </c>
      <c r="BH597" s="115" t="b">
        <f t="shared" ca="1" si="499"/>
        <v>0</v>
      </c>
      <c r="BI597" s="115">
        <f t="shared" ca="1" si="518"/>
        <v>5.0774999999999997</v>
      </c>
      <c r="BJ597" s="115" t="b">
        <f t="shared" ca="1" si="529"/>
        <v>1</v>
      </c>
      <c r="BK597" s="115" t="b">
        <f ca="1">AND(C597="驱夜断愁",模拟模式!$P$7="天地诛戮")</f>
        <v>0</v>
      </c>
      <c r="BL597" s="57">
        <f t="shared" ca="1" si="519"/>
        <v>17.232500000000002</v>
      </c>
      <c r="BM597" s="115" t="b">
        <f t="shared" ca="1" si="530"/>
        <v>1</v>
      </c>
      <c r="BN597" s="115" t="b">
        <f ca="1">AND(OR(C597="赤日轮1",C597="赤日轮2",C597="赤日轮3",C597="幽月轮1",C597="幽月轮2",C597="幽月轮3"),AB597=1,模拟模式!$L$7="明光恒照")</f>
        <v>0</v>
      </c>
      <c r="BO597" s="117">
        <f t="shared" ca="1" si="520"/>
        <v>29.077500000000001</v>
      </c>
      <c r="BP597" s="115">
        <f t="shared" ca="1" si="500"/>
        <v>6</v>
      </c>
      <c r="BQ597" s="115" t="b">
        <f>模拟模式!$K$10="2600·水"</f>
        <v>0</v>
      </c>
      <c r="BR597" s="117">
        <f t="shared" si="501"/>
        <v>0</v>
      </c>
      <c r="BS597" s="115">
        <f t="shared" si="502"/>
        <v>0</v>
      </c>
      <c r="BT597" s="115">
        <f t="shared" ca="1" si="503"/>
        <v>0</v>
      </c>
      <c r="BU597" s="115" t="b">
        <f ca="1">AND(模拟模式!$K$10="2300·雷",BT596=0,RAND()&lt;IF(C597="净世破魔击·月",5*0.05*2/3,IF(C597="净世破魔击·日",3*0.05*2/3,0.05*2*2/3)))</f>
        <v>0</v>
      </c>
      <c r="BV597" s="115">
        <f t="shared" ca="1" si="504"/>
        <v>0</v>
      </c>
      <c r="BW597" s="115">
        <f t="shared" ca="1" si="505"/>
        <v>29.632499999999297</v>
      </c>
      <c r="BX597" s="164" t="b">
        <f t="shared" ca="1" si="506"/>
        <v>0</v>
      </c>
      <c r="BY597" s="115">
        <f t="shared" ca="1" si="507"/>
        <v>0</v>
      </c>
      <c r="BZ597" s="115">
        <f>IF(OR(模拟模式!$P$16="10人团",模拟模式!$P$16="25人团"),IF(B597/30&gt;CA596,1,0),0)</f>
        <v>0</v>
      </c>
      <c r="CA597" s="115">
        <f t="shared" si="483"/>
        <v>0</v>
      </c>
      <c r="CB597" s="115">
        <f ca="1">IF(BZ597=1,IF(模拟模式!$P$16="10人团",15,0)+IF(模拟模式!$P$16="25人团",IF(RAND()&lt;0.6,15,0)),MAX(0,CB596-$F$4))</f>
        <v>0</v>
      </c>
      <c r="CC597" s="115" t="b">
        <f t="shared" ca="1" si="531"/>
        <v>0</v>
      </c>
      <c r="CD597" s="115">
        <f>IF(模拟模式!$Q$16="1个",IF(B597/40&gt;CE596,1,0),0)</f>
        <v>0</v>
      </c>
      <c r="CE597" s="115">
        <f t="shared" si="532"/>
        <v>0</v>
      </c>
      <c r="CF597" s="115">
        <f>IF(OR(CD597=1,模拟模式!$Q$16="2个"),20,MAX(0,CF596-$F$4))</f>
        <v>0</v>
      </c>
      <c r="CG597" s="115" t="b">
        <f t="shared" si="533"/>
        <v>0</v>
      </c>
      <c r="CH597" s="115">
        <f t="shared" ca="1" si="508"/>
        <v>29.077500000000001</v>
      </c>
      <c r="CI597" s="115" t="b">
        <f t="shared" ca="1" si="509"/>
        <v>1</v>
      </c>
      <c r="CJ597" s="119">
        <f t="shared" ca="1" si="510"/>
        <v>0.01</v>
      </c>
      <c r="CK597" s="115">
        <f t="shared" ca="1" si="511"/>
        <v>7.0774999999999997</v>
      </c>
      <c r="CL597" s="115" t="b">
        <f ca="1">AND(模拟模式!$S$7="驱夷逐法",OR(AND(C597="净世破魔击·月",E596&gt;59),AND(C597="净世破魔击·日",F596&gt;59)))</f>
        <v>1</v>
      </c>
      <c r="CM597" s="115" t="b">
        <f ca="1">OR(CL597,AND(C597="净世破魔击·日",CL596,RAND()&lt;模拟模式!$U$23))</f>
        <v>1</v>
      </c>
      <c r="CN597" s="115" t="b">
        <f ca="1">IF(模拟模式!$M$7="辉耀红尘",AND(C597="净世破魔击·月",CL597,CV597=0,E596&lt;80),AND(C597="净世破魔击·月",CL597,E596&lt;100))</f>
        <v>0</v>
      </c>
      <c r="CO597" s="115" t="b">
        <f t="shared" ca="1" si="484"/>
        <v>0</v>
      </c>
      <c r="CP597" s="115" t="b">
        <f ca="1">AND(模拟模式!$O$7="用晦而明",OR(C597="净世破魔击·日",C597="净世破魔击·月",C597="驱夜断愁"),AB597)</f>
        <v>1</v>
      </c>
      <c r="CQ597" s="115" t="b">
        <f ca="1">OR(CP597,AND(CP596,RAND()&lt;模拟模式!$U$23))</f>
        <v>1</v>
      </c>
      <c r="CR597" s="115" t="b">
        <f ca="1">AND(模拟模式!$S$7="日月齐光",OR(C597="幽月轮1",C597="幽月轮2",C597="幽月轮3",CR596),NOT(OR(C597="赤日轮1",C597="赤日轮2",C597="赤日轮3")))</f>
        <v>0</v>
      </c>
      <c r="CS597" s="115" t="b">
        <f ca="1">AND(模拟模式!$S$7="日月齐光",OR(C597="赤日轮1",C597="赤日轮2",C597="赤日轮3",CS596),NOT(OR(C597="幽月轮1",C597="幽月轮2",C597="幽月轮3")))</f>
        <v>0</v>
      </c>
      <c r="CT597" s="115">
        <f t="shared" ca="1" si="512"/>
        <v>19.852500000000006</v>
      </c>
      <c r="CU597" s="115" t="b">
        <f ca="1">AND(模拟模式!$K$10="阴阳往极",CT596=0,RAND()&lt;IF(C597="净世破魔击·月",0.0275*7/3,IF(C597="净世破魔击·日",0.0275*3/3,0.0275*2/3)))</f>
        <v>0</v>
      </c>
      <c r="CV597" s="115">
        <f t="shared" ca="1" si="513"/>
        <v>0</v>
      </c>
      <c r="CW597" s="115">
        <f t="shared" ca="1" si="485"/>
        <v>4.1549999999999994</v>
      </c>
      <c r="CX597" s="115">
        <f t="shared" ca="1" si="486"/>
        <v>2.3099999999999996</v>
      </c>
      <c r="CY597" s="115">
        <f ca="1">MAX(IF($C597="驱夜断愁",IF(模拟模式!$R$7="万念俱寂",6,45),CY596-$F$4),0)</f>
        <v>3.2324999999999995</v>
      </c>
      <c r="CZ597" s="115">
        <f t="shared" ca="1" si="487"/>
        <v>0</v>
      </c>
      <c r="DA597" s="115">
        <f ca="1">IF(模拟模式!$N$7="日月同辉",IF(DB596=2,0,MIN(6,IF(AND(OR(C597="赤日轮1",C597="赤日轮2",C597="赤日轮3",C597="幽月轮1",C597="幽月轮2",C597="幽月轮3"),AB597=1),DA596+1,DA596))),0)</f>
        <v>0</v>
      </c>
      <c r="DB597" s="115">
        <f t="shared" ca="1" si="488"/>
        <v>1</v>
      </c>
      <c r="DC597" s="115"/>
      <c r="DD597" s="115"/>
      <c r="DE597" s="115"/>
      <c r="DF597" s="115"/>
      <c r="DG597" s="115"/>
      <c r="DH597" s="115"/>
      <c r="DI597" s="115"/>
      <c r="DJ597" s="115"/>
      <c r="DK597" s="115"/>
      <c r="DL597" s="115"/>
      <c r="DM597" s="115"/>
    </row>
    <row r="598" spans="2:117" x14ac:dyDescent="0.2">
      <c r="B598" s="117">
        <f t="shared" si="489"/>
        <v>526.74750000000574</v>
      </c>
      <c r="C598" s="167" t="str">
        <f t="shared" ca="1" si="482"/>
        <v>净世破魔击·日</v>
      </c>
      <c r="D598" s="115">
        <f ca="1">IF(C598="赤日轮1",1,IF(C598="赤日轮2",2,IF(C598="赤日轮3",3,IF(C598="幽月轮1",4,IF(C598="幽月轮2",5,IF(C598="幽月轮3",6,IF(C598="烈日斩",7,IF(C598="银月斩",8,IF(C598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598="净世破魔击·月",17,IF(C598="驱夜断愁",18,0)))))))))))</f>
        <v>9</v>
      </c>
      <c r="E598" s="115">
        <f ca="1">IF(AND(CU598,OR(C598="幽月轮1",C598="幽月轮2",C598="幽月轮3",C598="银月斩",C598="驱夜断愁",C598="净世破魔击·月")),100,MIN(IF(OR(CN598,BE598),0,IF(OR($C598="赤日轮1",$C598="赤日轮2",$C598="赤日轮3"),E597+20+IF(模拟模式!$I$7="日月凌天",4,0)+IF(CR597,20,0),IF($C598="烈日斩",E597+40,IF($C598="驱夜断愁",IF(模拟模式!$R$7="万念俱寂",E597+20,E597+60),IF($C598="净世破魔击·月",IF(OR(DB597&gt;0,CV597&gt;0),100,IF(模拟模式!$M$7="辉耀红尘",E597+20,E597)),IF($C598="净世破魔击·日",E597-100,E597)))))),100))</f>
        <v>0</v>
      </c>
      <c r="F598" s="115">
        <f ca="1">IF(AND(CU598,OR(C598="赤日轮1",C598="赤日轮2",C598="赤日轮3",C598="烈日斩",C598="净世破魔击·日")),100,MIN(IF(CO598,0,IF(OR($C598="幽月轮1",$C598="幽月轮2",$C598="幽月轮3"),F597+20+IF(模拟模式!$I$7="日月凌天",4,0)+IF(CS597,20,0),IF($C598="银月斩",F597+40+IF(模拟模式!$X$12=1,5,0),IF($C598="驱夜断愁",IF(模拟模式!$R$7="万念俱寂",F597+20,F597+60),IF($C598="净世破魔击·月",IF(模拟模式!$M$7="辉耀红尘",F597-80,F597-100),IF(AND(C598="净世破魔击·日",OR(DB597&gt;0,CV597&gt;0)),100,F597)))))),100))</f>
        <v>100</v>
      </c>
      <c r="G598" s="117">
        <f ca="1">('模拟-全程加成'!$E$3+'模拟-全程加成'!$E$4+'模拟-全程加成'!$E$5+('模拟-全程加成'!$C$6-'模拟-全程加成'!$C$3)*系数!$B$9+BS598*23)*(1+'模拟-全程加成'!$F$4+'模拟-全程加成'!$F$5+BJ598*10%+BM598*20%+BP598*4%+CG598*30%)+$F$7*系数!$B$12</f>
        <v>21493.829400000002</v>
      </c>
      <c r="H598" s="45">
        <f ca="1">'模拟-全程加成'!$H$3+'模拟-全程加成'!$H$4+'模拟-全程加成'!$H$5+('模拟-全程加成'!$G$4+'模拟-全程加成'!$G$5+('模拟-全程加成'!$C$6-'模拟-全程加成'!$C$3)*系数!$B$13)/系数!$B$3+LOOKUP(D598,'模拟-单技能数据'!$A$2:$A$19,'模拟-单技能数据'!$K$2:$K$19)+BG598*10%+IF(BV598&gt;0,378,0)</f>
        <v>0.54185145527300216</v>
      </c>
      <c r="I598" s="45">
        <f ca="1">'模拟-全程加成'!$J$3+'模拟-全程加成'!$J$4+'模拟-全程加成'!$J$5+('模拟-全程加成'!$I$4+'模拟-全程加成'!$I$5)/系数!$B$4+LOOKUP(D598,'模拟-单技能数据'!$A$2:$A$19,'模拟-单技能数据'!$L$2:$L$19)+BG598*10%</f>
        <v>2.162482885499879</v>
      </c>
      <c r="J598" s="45">
        <f ca="1">(('模拟-全程加成'!$K$3+'模拟-全程加成'!$K$4+'模拟-全程加成'!$K$5+('模拟-全程加成'!$C$6-'模拟-全程加成'!$C$3)*系数!$B$10+IF(BV598&gt;0,882,0)+IF(BY598&gt;0,1831,0))*(1+'模拟-全程加成'!$L$4+'模拟-全程加成'!$L$5+CC598*20%))/系数!$B$5</f>
        <v>0.69723220422048726</v>
      </c>
      <c r="K598" s="119">
        <f ca="1">LOOKUP(D598,'模拟-单技能数据'!$A$2:$A$19,'模拟-单技能数据'!$J$2:$J$19)+IF(CM598,60%,0)+IF(DB597-DB598&gt;0,30%,0)+IF(OR(AND(OR(C598="赤日轮1",C598="赤日轮2",C598="赤日轮3"),CR598),AND(OR(C598="幽月轮1",C598="幽月轮2",C598="幽月轮3"),CS598)),35%,0)+CJ598</f>
        <v>1.1100000000000001</v>
      </c>
      <c r="L598" s="119">
        <f ca="1">IF(AND(C598="烈日斩",模拟模式!$X$11=1),10%,0)+IF(AND(C598="驱夜断愁",AB598=1),30%,0)</f>
        <v>0</v>
      </c>
      <c r="M598" s="45">
        <f t="shared" ca="1" si="521"/>
        <v>0.54185145527300216</v>
      </c>
      <c r="N598" s="45">
        <f t="shared" ca="1" si="522"/>
        <v>0.40424854472699789</v>
      </c>
      <c r="O598" s="46">
        <f t="shared" ca="1" si="490"/>
        <v>0.7845403344517804</v>
      </c>
      <c r="P598" s="46" t="str">
        <f t="shared" ca="1" si="491"/>
        <v>命</v>
      </c>
      <c r="Q598" s="45">
        <f t="shared" ca="1" si="492"/>
        <v>1</v>
      </c>
      <c r="R598" s="117">
        <f ca="1">模拟模式!$E$20*(1-IF(模拟模式!$J$19="有",0.15,0))*(1-IF(模拟模式!$K$19="有",0.3,0)-IF(CQ598,0.5,0))</f>
        <v>843.02999999999975</v>
      </c>
      <c r="S598" s="45">
        <f ca="1">R598/(R598+(185*模拟模式!$E$22-16800)*4.08224)</f>
        <v>8.389626085980037E-2</v>
      </c>
      <c r="T598" s="45" t="str">
        <f ca="1">LOOKUP(D598,'模拟-单技能数据'!$A$2:$A$19,'模拟-单技能数据'!$H$2:$H$19)</f>
        <v>阳</v>
      </c>
      <c r="U598" s="119">
        <f t="shared" ca="1" si="523"/>
        <v>0.2</v>
      </c>
      <c r="V598" s="47">
        <f ca="1">(1+L598)*(LOOKUP(D598,'模拟-单技能数据'!$A$2:$A$19,'模拟-单技能数据'!$D$2:$D$19)+G598*LOOKUP(D598,'模拟-单技能数据'!$A$2:$A$19,'模拟-单技能数据'!$F$2:$F$19))*(1+J598)*(1+K598)*(1-S598)*(1+U598)*Q598*LOOKUP(D598,'模拟-单技能数据'!$A$2:$A$19,'模拟-单技能数据'!$I$2:$I$20)</f>
        <v>110863.34465250462</v>
      </c>
      <c r="W598" s="47">
        <f ca="1">LOOKUP(D598,'模拟-单技能数据'!$A$2:$A$19,'模拟-单技能数据'!$G$2:$G$19)*$I$10</f>
        <v>723.0212870940959</v>
      </c>
      <c r="X598" s="47">
        <f t="shared" ca="1" si="493"/>
        <v>18456.891289433952</v>
      </c>
      <c r="Y598" s="47">
        <f t="shared" ca="1" si="524"/>
        <v>130043.25722903266</v>
      </c>
      <c r="Z598" s="49">
        <f t="shared" ca="1" si="525"/>
        <v>59674878.250261493</v>
      </c>
      <c r="AA598" s="97">
        <f t="shared" ca="1" si="526"/>
        <v>113289.34309182453</v>
      </c>
      <c r="AB598" s="115">
        <f ca="1">IF(OR(C598="赤日轮1",C598="赤日轮2",C598="赤日轮3"),IF(RAND()&lt;模拟模式!$Y$17,1,0),IF(OR(C598="幽月轮1",C598="幽月轮2",C598="幽月轮3"),IF(RAND()&lt;模拟模式!$Y$18,1,0),IF(C598="烈日斩",IF(RAND()&lt;模拟模式!$Y$19,1,0),IF(C598="银月斩",IF(RAND()&lt;模拟模式!$Y$20,1,0),IF(C598="驱夜断愁",IF(RAND()&lt;模拟模式!$Y$21,1,0),IF(C598="净世破魔击·日",IF(RAND()&lt;模拟模式!$Y$22,1,0),IF(C598="净世破魔击·月",IF(RAND()&lt;模拟模式!$Y$23,1,0),0)))))))</f>
        <v>1</v>
      </c>
      <c r="AC598" s="115" t="b">
        <f t="shared" ca="1" si="514"/>
        <v>0</v>
      </c>
      <c r="AD598" s="115" t="b">
        <f t="shared" ca="1" si="534"/>
        <v>1</v>
      </c>
      <c r="AE598" s="115">
        <f t="shared" ca="1" si="535"/>
        <v>3</v>
      </c>
      <c r="AF598" s="47">
        <f ca="1">IF(AC598,('模拟-单技能数据'!$D$20+G598*'模拟-单技能数据'!$F$20)*(1+J598)*(1+'模拟-单技能数据'!$J$20)*(1+U598),0)</f>
        <v>0</v>
      </c>
      <c r="AG598" s="61">
        <f t="shared" ca="1" si="527"/>
        <v>0.64185145527300214</v>
      </c>
      <c r="AH598" s="61">
        <f t="shared" ca="1" si="528"/>
        <v>2.2624828854998791</v>
      </c>
      <c r="AI598" s="62">
        <f t="shared" ca="1" si="494"/>
        <v>0.3370920670437606</v>
      </c>
      <c r="AJ598" s="47">
        <f ca="1">IF(AD598,IF(AI598&lt;$F$10,0,IF(AI598&lt;$F$10+$F$11,0.25,IF(AI598&lt;$F$10+$F$11+AG598,AH598,1)))*IF(AF598&gt;0,AF598,IF(AF597&gt;0,AF597,IF(AF596&gt;0,AF596,IF(AF595&gt;0,AF595,IF(AF594&gt;0,AF594,IF(AF593&gt;0,AF593,IF(AF592&gt;0,AF592,IF(AF591&gt;0,AF591,IF(AF590&gt;0,AF590,IF(AF588&gt;0,AF588,IF(AF587&gt;0,AF587,IF(AF586&gt;0,AF586,0)))))))))))),0)*(1-$S598)*'模拟-单技能数据'!$I$20</f>
        <v>9616.6571145767884</v>
      </c>
      <c r="AK598" s="115" t="b">
        <f t="shared" ca="1" si="515"/>
        <v>1</v>
      </c>
      <c r="AL598" s="115" t="b">
        <f t="shared" ca="1" si="536"/>
        <v>0</v>
      </c>
      <c r="AM598" s="115">
        <f t="shared" ca="1" si="537"/>
        <v>6</v>
      </c>
      <c r="AN598" s="47">
        <f ca="1">IF(AK598,('模拟-单技能数据'!$D$21+G598*'模拟-单技能数据'!$F$21)*(1+J598)*(1+'模拟-单技能数据'!$J$21)*(1+U598),0)</f>
        <v>12670.936004857545</v>
      </c>
      <c r="AO598" s="61">
        <f ca="1">IF(AN598&gt;0,M598-'模拟-单技能数据'!$K$10,AO597)</f>
        <v>0.42185145527300216</v>
      </c>
      <c r="AP598" s="61">
        <f ca="1">IF(AN598&gt;0,I598-'模拟-单技能数据'!$L$10,AP597)</f>
        <v>2.162482885499879</v>
      </c>
      <c r="AQ598" s="63">
        <f t="shared" ca="1" si="495"/>
        <v>2.6960712212603433E-2</v>
      </c>
      <c r="AR598" s="64">
        <f ca="1">IF(AL598,IF(AQ598&lt;$F$10,0,IF(AQ598&lt;$F$10+$F$11,0.25,IF(AQ598&lt;$F$10+$F$11+AO598,AP598,1)))*IF(AN598&gt;0,AN598,IF(AN597&gt;0,AN597,IF(AN596&gt;0,AN596,IF(AN595&gt;0,AN595,IF(AN594&gt;0,AN594,IF(AN593&gt;0,AN593,IF(AN592&gt;0,AN592,IF(AN591&gt;0,AN591,IF(AN590&gt;0,AN590,IF(AN588&gt;0,AN588,IF(AN587&gt;0,AN587,IF(AN586&gt;0,AN586,0)))))))))))),0)*(1-$S598)*'模拟-单技能数据'!$I$21</f>
        <v>0</v>
      </c>
      <c r="AS598" s="61">
        <f ca="1">IF(OR(C598="净世破魔击·日",C598="净世破魔击·月"),M598-'模拟-单技能数据'!$K$10,0)</f>
        <v>0.42185145527300216</v>
      </c>
      <c r="AT598" s="61">
        <f ca="1">IF(OR(C598="净世破魔击·日",C598="净世破魔击·月"),I598-'模拟-单技能数据'!$L$10,0)</f>
        <v>2.162482885499879</v>
      </c>
      <c r="AU598" s="62">
        <f t="shared" ca="1" si="496"/>
        <v>0.63204145735124928</v>
      </c>
      <c r="AV598" s="64">
        <f ca="1">IF(AS598&gt;0,('模拟-单技能数据'!$D$22+G598*'模拟-单技能数据'!$F$22)*(1+J598)*(1-S598)*IF(AU598&lt;$F$10,0,IF(AU598&lt;$F$10+$F$11,0.25,IF(AU598&lt;$F$10+$F$11+AS598,AT598,1)))*(1+U598),0)*'模拟-单技能数据'!$I$22</f>
        <v>8840.2341748571616</v>
      </c>
      <c r="AW598" s="108">
        <f t="shared" ca="1" si="497"/>
        <v>12.620000000000005</v>
      </c>
      <c r="AX598" s="108" t="b">
        <f ca="1">AND(模拟模式!$P$10="有",AW597=0,RAND()&lt;IF(C598="净世破魔击·月",0.1*8/3,IF(C598="净世破魔击·日",0.1*4/3,0.1*2/3)))</f>
        <v>0</v>
      </c>
      <c r="AY598" s="47">
        <f ca="1">IF(AX598,(18+G598*0.722)*(1+J598)*(1-S598)*(1+$I$4)*IF(P598="会",'模拟-全程加成'!$J$3+'模拟-全程加成'!$J$4+'模拟-全程加成'!$J$5+('模拟-全程加成'!$I$4+'模拟-全程加成'!$I$5)/系数!$B$4+BG598*10%,IF(P598="命",1,IF(P598="识",0.25,0))),0)</f>
        <v>0</v>
      </c>
      <c r="AZ598" s="108">
        <f t="shared" si="498"/>
        <v>0.6275000000000065</v>
      </c>
      <c r="BA598" s="108" t="b">
        <f>AND(模拟模式!$Q$10="有",AZ597=0)</f>
        <v>0</v>
      </c>
      <c r="BB598" s="140">
        <f>IF(BA598,(0+G598*0.287)*(1+J598)*(1-S598)*(1+$I$4)*IF(P598="会",'模拟-全程加成'!$J$3+'模拟-全程加成'!$J$4+'模拟-全程加成'!$J$5+('模拟-全程加成'!$I$4+'模拟-全程加成'!$I$5)/系数!$B$4+BG598*10%,IF(P598="命",1,IF(P598="识",0.25,0))),0)</f>
        <v>0</v>
      </c>
      <c r="BC598" s="115" t="b">
        <f ca="1">AND(模拟模式!$R$7="伏明众生",E598=60,F598=20,DA598&lt;5,CZ597&lt;$F$4)</f>
        <v>0</v>
      </c>
      <c r="BD598" s="115">
        <f t="shared" ca="1" si="516"/>
        <v>0</v>
      </c>
      <c r="BE598" s="115" t="b">
        <f t="shared" ca="1" si="517"/>
        <v>0</v>
      </c>
      <c r="BF598" s="47">
        <f ca="1">IF(BC598,4*('模拟-单技能数据'!$D$24+G598*'模拟-单技能数据'!$F$24)*(1+J598)*(1+'模拟-单技能数据'!$J$24)*(1-S598)*(1+$I$3)*(('模拟-全程加成'!$J$3+'模拟-全程加成'!$J$4+'模拟-全程加成'!$J$5+('模拟-全程加成'!$I$4+'模拟-全程加成'!$I$5)/系数!$B$4+BG598*10%)*('模拟-全程加成'!$J$3+'模拟-全程加成'!$J$4+'模拟-全程加成'!$J$5+('模拟-全程加成'!$I$4+'模拟-全程加成'!$I$5)/系数!$B$4+BG598*10%)+(1-('模拟-全程加成'!$J$3+'模拟-全程加成'!$J$4+'模拟-全程加成'!$J$5+('模拟-全程加成'!$I$4+'模拟-全程加成'!$I$5)/系数!$B$4+BG598*10%)-$F$10-$F$11)+F584*0.25),0)*'模拟-单技能数据'!$I$24</f>
        <v>0</v>
      </c>
      <c r="BG598" s="115" t="b">
        <f ca="1">OR(AND(OR(C598="烈日斩",C598="银月斩"),模拟模式!$I$7="净身明礼"),AND(C598="净世破魔击·日",模拟模式!$J$7="洞若观火"),AND(C599="净世破魔击·月",模拟模式!$J$7="洞若观火"),AB598=1)</f>
        <v>1</v>
      </c>
      <c r="BH598" s="115" t="b">
        <f t="shared" ca="1" si="499"/>
        <v>0</v>
      </c>
      <c r="BI598" s="115">
        <f t="shared" ca="1" si="518"/>
        <v>4.1549999999999994</v>
      </c>
      <c r="BJ598" s="115" t="b">
        <f t="shared" ca="1" si="529"/>
        <v>1</v>
      </c>
      <c r="BK598" s="115" t="b">
        <f ca="1">AND(C598="驱夜断愁",模拟模式!$P$7="天地诛戮")</f>
        <v>0</v>
      </c>
      <c r="BL598" s="57">
        <f t="shared" ca="1" si="519"/>
        <v>16.310000000000002</v>
      </c>
      <c r="BM598" s="115" t="b">
        <f t="shared" ca="1" si="530"/>
        <v>1</v>
      </c>
      <c r="BN598" s="115" t="b">
        <f ca="1">AND(OR(C598="赤日轮1",C598="赤日轮2",C598="赤日轮3",C598="幽月轮1",C598="幽月轮2",C598="幽月轮3"),AB598=1,模拟模式!$L$7="明光恒照")</f>
        <v>0</v>
      </c>
      <c r="BO598" s="117">
        <f t="shared" ca="1" si="520"/>
        <v>28.155000000000001</v>
      </c>
      <c r="BP598" s="115">
        <f t="shared" ca="1" si="500"/>
        <v>6</v>
      </c>
      <c r="BQ598" s="115" t="b">
        <f>模拟模式!$K$10="2600·水"</f>
        <v>0</v>
      </c>
      <c r="BR598" s="117">
        <f t="shared" si="501"/>
        <v>0</v>
      </c>
      <c r="BS598" s="115">
        <f t="shared" si="502"/>
        <v>0</v>
      </c>
      <c r="BT598" s="115">
        <f t="shared" ca="1" si="503"/>
        <v>0</v>
      </c>
      <c r="BU598" s="115" t="b">
        <f ca="1">AND(模拟模式!$K$10="2300·雷",BT597=0,RAND()&lt;IF(C598="净世破魔击·月",5*0.05*2/3,IF(C598="净世破魔击·日",3*0.05*2/3,0.05*2*2/3)))</f>
        <v>0</v>
      </c>
      <c r="BV598" s="115">
        <f t="shared" ca="1" si="504"/>
        <v>0</v>
      </c>
      <c r="BW598" s="115">
        <f t="shared" ca="1" si="505"/>
        <v>28.709999999999297</v>
      </c>
      <c r="BX598" s="164" t="b">
        <f t="shared" ca="1" si="506"/>
        <v>0</v>
      </c>
      <c r="BY598" s="115">
        <f t="shared" ca="1" si="507"/>
        <v>0</v>
      </c>
      <c r="BZ598" s="115">
        <f>IF(OR(模拟模式!$P$16="10人团",模拟模式!$P$16="25人团"),IF(B598/30&gt;CA597,1,0),0)</f>
        <v>0</v>
      </c>
      <c r="CA598" s="115">
        <f t="shared" si="483"/>
        <v>0</v>
      </c>
      <c r="CB598" s="115">
        <f ca="1">IF(BZ598=1,IF(模拟模式!$P$16="10人团",15,0)+IF(模拟模式!$P$16="25人团",IF(RAND()&lt;0.6,15,0)),MAX(0,CB597-$F$4))</f>
        <v>0</v>
      </c>
      <c r="CC598" s="115" t="b">
        <f t="shared" ca="1" si="531"/>
        <v>0</v>
      </c>
      <c r="CD598" s="115">
        <f>IF(模拟模式!$Q$16="1个",IF(B598/40&gt;CE597,1,0),0)</f>
        <v>0</v>
      </c>
      <c r="CE598" s="115">
        <f t="shared" si="532"/>
        <v>0</v>
      </c>
      <c r="CF598" s="115">
        <f>IF(OR(CD598=1,模拟模式!$Q$16="2个"),20,MAX(0,CF597-$F$4))</f>
        <v>0</v>
      </c>
      <c r="CG598" s="115" t="b">
        <f t="shared" si="533"/>
        <v>0</v>
      </c>
      <c r="CH598" s="115">
        <f t="shared" ca="1" si="508"/>
        <v>28.155000000000001</v>
      </c>
      <c r="CI598" s="115" t="b">
        <f t="shared" ca="1" si="509"/>
        <v>0</v>
      </c>
      <c r="CJ598" s="119">
        <f t="shared" ca="1" si="510"/>
        <v>0.01</v>
      </c>
      <c r="CK598" s="115">
        <f t="shared" ca="1" si="511"/>
        <v>6.1549999999999994</v>
      </c>
      <c r="CL598" s="115" t="b">
        <f ca="1">AND(模拟模式!$S$7="驱夷逐法",OR(AND(C598="净世破魔击·月",E597&gt;59),AND(C598="净世破魔击·日",F597&gt;59)))</f>
        <v>0</v>
      </c>
      <c r="CM598" s="115" t="b">
        <f ca="1">OR(CL598,AND(C598="净世破魔击·日",CL597,RAND()&lt;模拟模式!$U$23))</f>
        <v>1</v>
      </c>
      <c r="CN598" s="115" t="b">
        <f ca="1">IF(模拟模式!$M$7="辉耀红尘",AND(C598="净世破魔击·月",CL598,CV598=0,E597&lt;80),AND(C598="净世破魔击·月",CL598,E597&lt;100))</f>
        <v>0</v>
      </c>
      <c r="CO598" s="115" t="b">
        <f t="shared" ca="1" si="484"/>
        <v>0</v>
      </c>
      <c r="CP598" s="115" t="b">
        <f ca="1">AND(模拟模式!$O$7="用晦而明",OR(C598="净世破魔击·日",C598="净世破魔击·月",C598="驱夜断愁"),AB598)</f>
        <v>1</v>
      </c>
      <c r="CQ598" s="115" t="b">
        <f ca="1">OR(CP598,AND(CP597,RAND()&lt;模拟模式!$U$23))</f>
        <v>1</v>
      </c>
      <c r="CR598" s="115" t="b">
        <f ca="1">AND(模拟模式!$S$7="日月齐光",OR(C598="幽月轮1",C598="幽月轮2",C598="幽月轮3",CR597),NOT(OR(C598="赤日轮1",C598="赤日轮2",C598="赤日轮3")))</f>
        <v>0</v>
      </c>
      <c r="CS598" s="115" t="b">
        <f ca="1">AND(模拟模式!$S$7="日月齐光",OR(C598="赤日轮1",C598="赤日轮2",C598="赤日轮3",CS597),NOT(OR(C598="幽月轮1",C598="幽月轮2",C598="幽月轮3")))</f>
        <v>0</v>
      </c>
      <c r="CT598" s="115">
        <f t="shared" ca="1" si="512"/>
        <v>18.930000000000007</v>
      </c>
      <c r="CU598" s="115" t="b">
        <f ca="1">AND(模拟模式!$K$10="阴阳往极",CT597=0,RAND()&lt;IF(C598="净世破魔击·月",0.0275*7/3,IF(C598="净世破魔击·日",0.0275*3/3,0.0275*2/3)))</f>
        <v>0</v>
      </c>
      <c r="CV598" s="115">
        <f t="shared" ca="1" si="513"/>
        <v>0</v>
      </c>
      <c r="CW598" s="115">
        <f t="shared" ca="1" si="485"/>
        <v>3.2324999999999995</v>
      </c>
      <c r="CX598" s="115">
        <f t="shared" ca="1" si="486"/>
        <v>1.3874999999999997</v>
      </c>
      <c r="CY598" s="115">
        <f ca="1">MAX(IF($C598="驱夜断愁",IF(模拟模式!$R$7="万念俱寂",6,45),CY597-$F$4),0)</f>
        <v>2.3099999999999996</v>
      </c>
      <c r="CZ598" s="115">
        <f t="shared" ca="1" si="487"/>
        <v>0</v>
      </c>
      <c r="DA598" s="115">
        <f ca="1">IF(模拟模式!$N$7="日月同辉",IF(DB597=2,0,MIN(6,IF(AND(OR(C598="赤日轮1",C598="赤日轮2",C598="赤日轮3",C598="幽月轮1",C598="幽月轮2",C598="幽月轮3"),AB598=1),DA597+1,DA597))),0)</f>
        <v>0</v>
      </c>
      <c r="DB598" s="115">
        <f t="shared" ca="1" si="488"/>
        <v>0</v>
      </c>
      <c r="DC598" s="115"/>
      <c r="DD598" s="115"/>
      <c r="DE598" s="115"/>
      <c r="DF598" s="115"/>
      <c r="DG598" s="115"/>
      <c r="DH598" s="115"/>
      <c r="DI598" s="115"/>
      <c r="DJ598" s="115"/>
      <c r="DK598" s="115"/>
      <c r="DL598" s="115"/>
      <c r="DM598" s="115"/>
    </row>
    <row r="599" spans="2:117" x14ac:dyDescent="0.2">
      <c r="B599" s="117">
        <f t="shared" si="489"/>
        <v>527.67000000000576</v>
      </c>
      <c r="C599" s="167" t="str">
        <f t="shared" ca="1" si="482"/>
        <v>净世破魔击·月</v>
      </c>
      <c r="D599" s="115">
        <f ca="1">IF(C599="赤日轮1",1,IF(C599="赤日轮2",2,IF(C599="赤日轮3",3,IF(C599="幽月轮1",4,IF(C599="幽月轮2",5,IF(C599="幽月轮3",6,IF(C599="烈日斩",7,IF(C599="银月斩",8,IF(C599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599="净世破魔击·月",17,IF(C599="驱夜断愁",18,0)))))))))))</f>
        <v>17</v>
      </c>
      <c r="E599" s="115">
        <f ca="1">IF(AND(CU599,OR(C599="幽月轮1",C599="幽月轮2",C599="幽月轮3",C599="银月斩",C599="驱夜断愁",C599="净世破魔击·月")),100,MIN(IF(OR(CN599,BE599),0,IF(OR($C599="赤日轮1",$C599="赤日轮2",$C599="赤日轮3"),E598+20+IF(模拟模式!$I$7="日月凌天",4,0)+IF(CR598,20,0),IF($C599="烈日斩",E598+40,IF($C599="驱夜断愁",IF(模拟模式!$R$7="万念俱寂",E598+20,E598+60),IF($C599="净世破魔击·月",IF(OR(DB598&gt;0,CV598&gt;0),100,IF(模拟模式!$M$7="辉耀红尘",E598+20,E598)),IF($C599="净世破魔击·日",E598-100,E598)))))),100))</f>
        <v>20</v>
      </c>
      <c r="F599" s="115">
        <f ca="1">IF(AND(CU599,OR(C599="赤日轮1",C599="赤日轮2",C599="赤日轮3",C599="烈日斩",C599="净世破魔击·日")),100,MIN(IF(CO599,0,IF(OR($C599="幽月轮1",$C599="幽月轮2",$C599="幽月轮3"),F598+20+IF(模拟模式!$I$7="日月凌天",4,0)+IF(CS598,20,0),IF($C599="银月斩",F598+40+IF(模拟模式!$X$12=1,5,0),IF($C599="驱夜断愁",IF(模拟模式!$R$7="万念俱寂",F598+20,F598+60),IF($C599="净世破魔击·月",IF(模拟模式!$M$7="辉耀红尘",F598-80,F598-100),IF(AND(C599="净世破魔击·日",OR(DB598&gt;0,CV598&gt;0)),100,F598)))))),100))</f>
        <v>20</v>
      </c>
      <c r="G599" s="117">
        <f ca="1">('模拟-全程加成'!$E$3+'模拟-全程加成'!$E$4+'模拟-全程加成'!$E$5+('模拟-全程加成'!$C$6-'模拟-全程加成'!$C$3)*系数!$B$9+BS599*23)*(1+'模拟-全程加成'!$F$4+'模拟-全程加成'!$F$5+BJ599*10%+BM599*20%+BP599*4%+CG599*30%)+$F$7*系数!$B$12</f>
        <v>21493.829400000002</v>
      </c>
      <c r="H599" s="45">
        <f ca="1">'模拟-全程加成'!$H$3+'模拟-全程加成'!$H$4+'模拟-全程加成'!$H$5+('模拟-全程加成'!$G$4+'模拟-全程加成'!$G$5+('模拟-全程加成'!$C$6-'模拟-全程加成'!$C$3)*系数!$B$13)/系数!$B$3+LOOKUP(D599,'模拟-单技能数据'!$A$2:$A$19,'模拟-单技能数据'!$K$2:$K$19)+BG599*10%+IF(BV599&gt;0,378,0)</f>
        <v>0.54185145527300216</v>
      </c>
      <c r="I599" s="45">
        <f ca="1">'模拟-全程加成'!$J$3+'模拟-全程加成'!$J$4+'模拟-全程加成'!$J$5+('模拟-全程加成'!$I$4+'模拟-全程加成'!$I$5)/系数!$B$4+LOOKUP(D599,'模拟-单技能数据'!$A$2:$A$19,'模拟-单技能数据'!$L$2:$L$19)+BG599*10%</f>
        <v>2.162482885499879</v>
      </c>
      <c r="J599" s="45">
        <f ca="1">(('模拟-全程加成'!$K$3+'模拟-全程加成'!$K$4+'模拟-全程加成'!$K$5+('模拟-全程加成'!$C$6-'模拟-全程加成'!$C$3)*系数!$B$10+IF(BV599&gt;0,882,0)+IF(BY599&gt;0,1831,0))*(1+'模拟-全程加成'!$L$4+'模拟-全程加成'!$L$5+CC599*20%))/系数!$B$5</f>
        <v>0.69723220422048726</v>
      </c>
      <c r="K599" s="119">
        <f ca="1">LOOKUP(D599,'模拟-单技能数据'!$A$2:$A$19,'模拟-单技能数据'!$J$2:$J$19)+IF(CM599,60%,0)+IF(DB598-DB599&gt;0,30%,0)+IF(OR(AND(OR(C599="赤日轮1",C599="赤日轮2",C599="赤日轮3"),CR599),AND(OR(C599="幽月轮1",C599="幽月轮2",C599="幽月轮3"),CS599)),35%,0)+CJ599</f>
        <v>0.21000000000000002</v>
      </c>
      <c r="L599" s="119">
        <f ca="1">IF(AND(C599="烈日斩",模拟模式!$X$11=1),10%,0)+IF(AND(C599="驱夜断愁",AB599=1),30%,0)</f>
        <v>0</v>
      </c>
      <c r="M599" s="45">
        <f t="shared" ca="1" si="521"/>
        <v>0.54185145527300216</v>
      </c>
      <c r="N599" s="45">
        <f t="shared" ca="1" si="522"/>
        <v>0.40424854472699789</v>
      </c>
      <c r="O599" s="46">
        <f t="shared" ca="1" si="490"/>
        <v>0.39264784982279144</v>
      </c>
      <c r="P599" s="46" t="str">
        <f t="shared" ca="1" si="491"/>
        <v>会</v>
      </c>
      <c r="Q599" s="45">
        <f t="shared" ca="1" si="492"/>
        <v>2.162482885499879</v>
      </c>
      <c r="R599" s="117">
        <f ca="1">模拟模式!$E$20*(1-IF(模拟模式!$J$19="有",0.15,0))*(1-IF(模拟模式!$K$19="有",0.3,0)-IF(CQ599,0.5,0))</f>
        <v>843.02999999999975</v>
      </c>
      <c r="S599" s="45">
        <f ca="1">R599/(R599+(185*模拟模式!$E$22-16800)*4.08224)</f>
        <v>8.389626085980037E-2</v>
      </c>
      <c r="T599" s="45" t="str">
        <f ca="1">LOOKUP(D599,'模拟-单技能数据'!$A$2:$A$19,'模拟-单技能数据'!$H$2:$H$19)</f>
        <v>阴</v>
      </c>
      <c r="U599" s="119">
        <f t="shared" ca="1" si="523"/>
        <v>0.08</v>
      </c>
      <c r="V599" s="47">
        <f ca="1">(1+L599)*(LOOKUP(D599,'模拟-单技能数据'!$A$2:$A$19,'模拟-单技能数据'!$D$2:$D$19)+G599*LOOKUP(D599,'模拟-单技能数据'!$A$2:$A$19,'模拟-单技能数据'!$F$2:$F$19))*(1+J599)*(1+K599)*(1-S599)*(1+U599)*Q599*LOOKUP(D599,'模拟-单技能数据'!$A$2:$A$19,'模拟-单技能数据'!$I$2:$I$20)</f>
        <v>122708.26530778249</v>
      </c>
      <c r="W599" s="47">
        <f ca="1">LOOKUP(D599,'模拟-单技能数据'!$A$2:$A$19,'模拟-单技能数据'!$G$2:$G$19)*$I$10</f>
        <v>361.51064354704795</v>
      </c>
      <c r="X599" s="47">
        <f t="shared" ca="1" si="493"/>
        <v>42307.037063915763</v>
      </c>
      <c r="Y599" s="47">
        <f t="shared" ca="1" si="524"/>
        <v>165376.81301524531</v>
      </c>
      <c r="Z599" s="49">
        <f t="shared" ca="1" si="525"/>
        <v>59840255.063276738</v>
      </c>
      <c r="AA599" s="97">
        <f t="shared" ca="1" si="526"/>
        <v>113404.69434168341</v>
      </c>
      <c r="AB599" s="115">
        <f ca="1">IF(OR(C599="赤日轮1",C599="赤日轮2",C599="赤日轮3"),IF(RAND()&lt;模拟模式!$Y$17,1,0),IF(OR(C599="幽月轮1",C599="幽月轮2",C599="幽月轮3"),IF(RAND()&lt;模拟模式!$Y$18,1,0),IF(C599="烈日斩",IF(RAND()&lt;模拟模式!$Y$19,1,0),IF(C599="银月斩",IF(RAND()&lt;模拟模式!$Y$20,1,0),IF(C599="驱夜断愁",IF(RAND()&lt;模拟模式!$Y$21,1,0),IF(C599="净世破魔击·日",IF(RAND()&lt;模拟模式!$Y$22,1,0),IF(C599="净世破魔击·月",IF(RAND()&lt;模拟模式!$Y$23,1,0),0)))))))</f>
        <v>1</v>
      </c>
      <c r="AC599" s="115" t="b">
        <f t="shared" ca="1" si="514"/>
        <v>0</v>
      </c>
      <c r="AD599" s="115" t="b">
        <f t="shared" ca="1" si="534"/>
        <v>0</v>
      </c>
      <c r="AE599" s="115">
        <f t="shared" ca="1" si="535"/>
        <v>3</v>
      </c>
      <c r="AF599" s="47">
        <f ca="1">IF(AC599,('模拟-单技能数据'!$D$20+G599*'模拟-单技能数据'!$F$20)*(1+J599)*(1+'模拟-单技能数据'!$J$20)*(1+U599),0)</f>
        <v>0</v>
      </c>
      <c r="AG599" s="61">
        <f t="shared" ca="1" si="527"/>
        <v>0.64185145527300214</v>
      </c>
      <c r="AH599" s="61">
        <f t="shared" ca="1" si="528"/>
        <v>2.2624828854998791</v>
      </c>
      <c r="AI599" s="62">
        <f t="shared" ca="1" si="494"/>
        <v>0.23625996546653949</v>
      </c>
      <c r="AJ599" s="47">
        <f ca="1">IF(AD599,IF(AI599&lt;$F$10,0,IF(AI599&lt;$F$10+$F$11,0.25,IF(AI599&lt;$F$10+$F$11+AG599,AH599,1)))*IF(AF599&gt;0,AF599,IF(AF598&gt;0,AF598,IF(AF597&gt;0,AF597,IF(AF596&gt;0,AF596,IF(AF595&gt;0,AF595,IF(AF594&gt;0,AF594,IF(AF593&gt;0,AF593,IF(AF592&gt;0,AF592,IF(AF591&gt;0,AF591,IF(AF589&gt;0,AF589,IF(AF588&gt;0,AF588,IF(AF587&gt;0,AF587,0)))))))))))),0)*(1-$S599)*'模拟-单技能数据'!$I$20</f>
        <v>0</v>
      </c>
      <c r="AK599" s="115" t="b">
        <f t="shared" ca="1" si="515"/>
        <v>0</v>
      </c>
      <c r="AL599" s="115" t="b">
        <f t="shared" ca="1" si="536"/>
        <v>1</v>
      </c>
      <c r="AM599" s="115">
        <f t="shared" ca="1" si="537"/>
        <v>5</v>
      </c>
      <c r="AN599" s="47">
        <f ca="1">IF(AK599,('模拟-单技能数据'!$D$21+G599*'模拟-单技能数据'!$F$21)*(1+J599)*(1+'模拟-单技能数据'!$J$21)*(1+U599),0)</f>
        <v>0</v>
      </c>
      <c r="AO599" s="61">
        <f ca="1">IF(AN599&gt;0,M599-'模拟-单技能数据'!$K$10,AO598)</f>
        <v>0.42185145527300216</v>
      </c>
      <c r="AP599" s="61">
        <f ca="1">IF(AN599&gt;0,I599-'模拟-单技能数据'!$L$10,AP598)</f>
        <v>2.162482885499879</v>
      </c>
      <c r="AQ599" s="63">
        <f t="shared" ca="1" si="495"/>
        <v>0.35011009215211431</v>
      </c>
      <c r="AR599" s="64">
        <f ca="1">IF(AL599,IF(AQ599&lt;$F$10,0,IF(AQ599&lt;$F$10+$F$11,0.25,IF(AQ599&lt;$F$10+$F$11+AO599,AP599,1)))*IF(AN599&gt;0,AN599,IF(AN598&gt;0,AN598,IF(AN597&gt;0,AN597,IF(AN596&gt;0,AN596,IF(AN595&gt;0,AN595,IF(AN594&gt;0,AN594,IF(AN593&gt;0,AN593,IF(AN592&gt;0,AN592,IF(AN591&gt;0,AN591,IF(AN589&gt;0,AN589,IF(AN588&gt;0,AN588,IF(AN587&gt;0,AN587,0)))))))))))),0)*(1-$S599)*'模拟-单技能数据'!$I$21</f>
        <v>25101.867467669974</v>
      </c>
      <c r="AS599" s="61">
        <f ca="1">IF(OR(C599="净世破魔击·日",C599="净世破魔击·月"),M599-'模拟-单技能数据'!$K$10,0)</f>
        <v>0.42185145527300216</v>
      </c>
      <c r="AT599" s="61">
        <f ca="1">IF(OR(C599="净世破魔击·日",C599="净世破魔击·月"),I599-'模拟-单技能数据'!$L$10,0)</f>
        <v>2.162482885499879</v>
      </c>
      <c r="AU599" s="62">
        <f t="shared" ca="1" si="496"/>
        <v>6.4107788282957046E-2</v>
      </c>
      <c r="AV599" s="64">
        <f ca="1">IF(AS599&gt;0,('模拟-单技能数据'!$D$22+G599*'模拟-单技能数据'!$F$22)*(1+J599)*(1-S599)*IF(AU599&lt;$F$10,0,IF(AU599&lt;$F$10+$F$11,0.25,IF(AU599&lt;$F$10+$F$11+AS599,AT599,1)))*(1+U599),0)*'模拟-单技能数据'!$I$22</f>
        <v>17205.169596245785</v>
      </c>
      <c r="AW599" s="108">
        <f t="shared" ca="1" si="497"/>
        <v>11.697500000000005</v>
      </c>
      <c r="AX599" s="108" t="b">
        <f ca="1">AND(模拟模式!$P$10="有",AW598=0,RAND()&lt;IF(C599="净世破魔击·月",0.1*8/3,IF(C599="净世破魔击·日",0.1*4/3,0.1*2/3)))</f>
        <v>0</v>
      </c>
      <c r="AY599" s="47">
        <f ca="1">IF(AX599,(18+G599*0.722)*(1+J599)*(1-S599)*(1+$I$4)*IF(P599="会",'模拟-全程加成'!$J$3+'模拟-全程加成'!$J$4+'模拟-全程加成'!$J$5+('模拟-全程加成'!$I$4+'模拟-全程加成'!$I$5)/系数!$B$4+BG599*10%,IF(P599="命",1,IF(P599="识",0.25,0))),0)</f>
        <v>0</v>
      </c>
      <c r="AZ599" s="108">
        <f t="shared" si="498"/>
        <v>0</v>
      </c>
      <c r="BA599" s="108" t="b">
        <f>AND(模拟模式!$Q$10="有",AZ598=0)</f>
        <v>0</v>
      </c>
      <c r="BB599" s="140">
        <f>IF(BA599,(0+G599*0.287)*(1+J599)*(1-S599)*(1+$I$4)*IF(P599="会",'模拟-全程加成'!$J$3+'模拟-全程加成'!$J$4+'模拟-全程加成'!$J$5+('模拟-全程加成'!$I$4+'模拟-全程加成'!$I$5)/系数!$B$4+BG599*10%,IF(P599="命",1,IF(P599="识",0.25,0))),0)</f>
        <v>0</v>
      </c>
      <c r="BC599" s="115" t="b">
        <f ca="1">AND(模拟模式!$R$7="伏明众生",E599=60,F599=20,DA599&lt;5,CZ598&lt;$F$4)</f>
        <v>0</v>
      </c>
      <c r="BD599" s="115">
        <f t="shared" ca="1" si="516"/>
        <v>0</v>
      </c>
      <c r="BE599" s="115" t="b">
        <f t="shared" ca="1" si="517"/>
        <v>0</v>
      </c>
      <c r="BF599" s="47">
        <f ca="1">IF(BC599,4*('模拟-单技能数据'!$D$24+G599*'模拟-单技能数据'!$F$24)*(1+J599)*(1+'模拟-单技能数据'!$J$24)*(1-S599)*(1+$I$3)*(('模拟-全程加成'!$J$3+'模拟-全程加成'!$J$4+'模拟-全程加成'!$J$5+('模拟-全程加成'!$I$4+'模拟-全程加成'!$I$5)/系数!$B$4+BG599*10%)*('模拟-全程加成'!$J$3+'模拟-全程加成'!$J$4+'模拟-全程加成'!$J$5+('模拟-全程加成'!$I$4+'模拟-全程加成'!$I$5)/系数!$B$4+BG599*10%)+(1-('模拟-全程加成'!$J$3+'模拟-全程加成'!$J$4+'模拟-全程加成'!$J$5+('模拟-全程加成'!$I$4+'模拟-全程加成'!$I$5)/系数!$B$4+BG599*10%)-$F$10-$F$11)+F585*0.25),0)*'模拟-单技能数据'!$I$24</f>
        <v>0</v>
      </c>
      <c r="BG599" s="115" t="b">
        <f ca="1">OR(AND(OR(C599="烈日斩",C599="银月斩"),模拟模式!$I$7="净身明礼"),AND(C599="净世破魔击·日",模拟模式!$J$7="洞若观火"),AND(C600="净世破魔击·月",模拟模式!$J$7="洞若观火"),AB599=1)</f>
        <v>1</v>
      </c>
      <c r="BH599" s="115" t="b">
        <f t="shared" ca="1" si="499"/>
        <v>0</v>
      </c>
      <c r="BI599" s="115">
        <f t="shared" ca="1" si="518"/>
        <v>3.2324999999999995</v>
      </c>
      <c r="BJ599" s="115" t="b">
        <f t="shared" ca="1" si="529"/>
        <v>1</v>
      </c>
      <c r="BK599" s="115" t="b">
        <f ca="1">AND(C599="驱夜断愁",模拟模式!$P$7="天地诛戮")</f>
        <v>0</v>
      </c>
      <c r="BL599" s="57">
        <f t="shared" ca="1" si="519"/>
        <v>15.387500000000003</v>
      </c>
      <c r="BM599" s="115" t="b">
        <f t="shared" ca="1" si="530"/>
        <v>1</v>
      </c>
      <c r="BN599" s="115" t="b">
        <f ca="1">AND(OR(C599="赤日轮1",C599="赤日轮2",C599="赤日轮3",C599="幽月轮1",C599="幽月轮2",C599="幽月轮3"),AB599=1,模拟模式!$L$7="明光恒照")</f>
        <v>0</v>
      </c>
      <c r="BO599" s="117">
        <f t="shared" ca="1" si="520"/>
        <v>27.232500000000002</v>
      </c>
      <c r="BP599" s="115">
        <f t="shared" ca="1" si="500"/>
        <v>6</v>
      </c>
      <c r="BQ599" s="115" t="b">
        <f>模拟模式!$K$10="2600·水"</f>
        <v>0</v>
      </c>
      <c r="BR599" s="117">
        <f t="shared" si="501"/>
        <v>0</v>
      </c>
      <c r="BS599" s="115">
        <f t="shared" si="502"/>
        <v>0</v>
      </c>
      <c r="BT599" s="115">
        <f t="shared" ca="1" si="503"/>
        <v>0</v>
      </c>
      <c r="BU599" s="115" t="b">
        <f ca="1">AND(模拟模式!$K$10="2300·雷",BT598=0,RAND()&lt;IF(C599="净世破魔击·月",5*0.05*2/3,IF(C599="净世破魔击·日",3*0.05*2/3,0.05*2*2/3)))</f>
        <v>0</v>
      </c>
      <c r="BV599" s="115">
        <f t="shared" ca="1" si="504"/>
        <v>0</v>
      </c>
      <c r="BW599" s="115">
        <f t="shared" ca="1" si="505"/>
        <v>27.787499999999298</v>
      </c>
      <c r="BX599" s="164" t="b">
        <f t="shared" ca="1" si="506"/>
        <v>0</v>
      </c>
      <c r="BY599" s="115">
        <f t="shared" ca="1" si="507"/>
        <v>0</v>
      </c>
      <c r="BZ599" s="115">
        <f>IF(OR(模拟模式!$P$16="10人团",模拟模式!$P$16="25人团"),IF(B599/30&gt;CA598,1,0),0)</f>
        <v>0</v>
      </c>
      <c r="CA599" s="115">
        <f t="shared" si="483"/>
        <v>0</v>
      </c>
      <c r="CB599" s="115">
        <f ca="1">IF(BZ599=1,IF(模拟模式!$P$16="10人团",15,0)+IF(模拟模式!$P$16="25人团",IF(RAND()&lt;0.6,15,0)),MAX(0,CB598-$F$4))</f>
        <v>0</v>
      </c>
      <c r="CC599" s="115" t="b">
        <f t="shared" ca="1" si="531"/>
        <v>0</v>
      </c>
      <c r="CD599" s="115">
        <f>IF(模拟模式!$Q$16="1个",IF(B599/40&gt;CE598,1,0),0)</f>
        <v>0</v>
      </c>
      <c r="CE599" s="115">
        <f t="shared" si="532"/>
        <v>0</v>
      </c>
      <c r="CF599" s="115">
        <f>IF(OR(CD599=1,模拟模式!$Q$16="2个"),20,MAX(0,CF598-$F$4))</f>
        <v>0</v>
      </c>
      <c r="CG599" s="115" t="b">
        <f t="shared" si="533"/>
        <v>0</v>
      </c>
      <c r="CH599" s="115">
        <f t="shared" ca="1" si="508"/>
        <v>27.232500000000002</v>
      </c>
      <c r="CI599" s="115" t="b">
        <f t="shared" ca="1" si="509"/>
        <v>0</v>
      </c>
      <c r="CJ599" s="119">
        <f t="shared" ca="1" si="510"/>
        <v>0.01</v>
      </c>
      <c r="CK599" s="115">
        <f t="shared" ca="1" si="511"/>
        <v>5.232499999999999</v>
      </c>
      <c r="CL599" s="115" t="b">
        <f ca="1">AND(模拟模式!$S$7="驱夷逐法",OR(AND(C599="净世破魔击·月",E598&gt;59),AND(C599="净世破魔击·日",F598&gt;59)))</f>
        <v>0</v>
      </c>
      <c r="CM599" s="115" t="b">
        <f ca="1">OR(CL599,AND(C599="净世破魔击·日",CL598,RAND()&lt;模拟模式!$U$23))</f>
        <v>0</v>
      </c>
      <c r="CN599" s="115" t="b">
        <f ca="1">IF(模拟模式!$M$7="辉耀红尘",AND(C599="净世破魔击·月",CL599,CV599=0,E598&lt;80),AND(C599="净世破魔击·月",CL599,E598&lt;100))</f>
        <v>0</v>
      </c>
      <c r="CO599" s="115" t="b">
        <f t="shared" ca="1" si="484"/>
        <v>0</v>
      </c>
      <c r="CP599" s="115" t="b">
        <f ca="1">AND(模拟模式!$O$7="用晦而明",OR(C599="净世破魔击·日",C599="净世破魔击·月",C599="驱夜断愁"),AB599)</f>
        <v>1</v>
      </c>
      <c r="CQ599" s="115" t="b">
        <f ca="1">OR(CP599,AND(CP598,RAND()&lt;模拟模式!$U$23))</f>
        <v>1</v>
      </c>
      <c r="CR599" s="115" t="b">
        <f ca="1">AND(模拟模式!$S$7="日月齐光",OR(C599="幽月轮1",C599="幽月轮2",C599="幽月轮3",CR598),NOT(OR(C599="赤日轮1",C599="赤日轮2",C599="赤日轮3")))</f>
        <v>0</v>
      </c>
      <c r="CS599" s="115" t="b">
        <f ca="1">AND(模拟模式!$S$7="日月齐光",OR(C599="赤日轮1",C599="赤日轮2",C599="赤日轮3",CS598),NOT(OR(C599="幽月轮1",C599="幽月轮2",C599="幽月轮3")))</f>
        <v>0</v>
      </c>
      <c r="CT599" s="115">
        <f t="shared" ca="1" si="512"/>
        <v>18.007500000000007</v>
      </c>
      <c r="CU599" s="115" t="b">
        <f ca="1">AND(模拟模式!$K$10="阴阳往极",CT598=0,RAND()&lt;IF(C599="净世破魔击·月",0.0275*7/3,IF(C599="净世破魔击·日",0.0275*3/3,0.0275*2/3)))</f>
        <v>0</v>
      </c>
      <c r="CV599" s="115">
        <f t="shared" ca="1" si="513"/>
        <v>0</v>
      </c>
      <c r="CW599" s="115">
        <f t="shared" ca="1" si="485"/>
        <v>2.3099999999999996</v>
      </c>
      <c r="CX599" s="115">
        <f t="shared" ca="1" si="486"/>
        <v>0.46499999999999975</v>
      </c>
      <c r="CY599" s="115">
        <f ca="1">MAX(IF($C599="驱夜断愁",IF(模拟模式!$R$7="万念俱寂",6,45),CY598-$F$4),0)</f>
        <v>1.3874999999999997</v>
      </c>
      <c r="CZ599" s="115">
        <f t="shared" ca="1" si="487"/>
        <v>0</v>
      </c>
      <c r="DA599" s="115">
        <f ca="1">IF(模拟模式!$N$7="日月同辉",IF(DB598=2,0,MIN(6,IF(AND(OR(C599="赤日轮1",C599="赤日轮2",C599="赤日轮3",C599="幽月轮1",C599="幽月轮2",C599="幽月轮3"),AB599=1),DA598+1,DA598))),0)</f>
        <v>0</v>
      </c>
      <c r="DB599" s="115">
        <f t="shared" ca="1" si="488"/>
        <v>0</v>
      </c>
      <c r="DC599" s="115"/>
      <c r="DD599" s="115"/>
      <c r="DE599" s="115"/>
      <c r="DF599" s="115"/>
      <c r="DG599" s="115"/>
      <c r="DH599" s="115"/>
      <c r="DI599" s="115"/>
      <c r="DJ599" s="115"/>
      <c r="DK599" s="115"/>
      <c r="DL599" s="115"/>
      <c r="DM599" s="115"/>
    </row>
    <row r="600" spans="2:117" x14ac:dyDescent="0.2">
      <c r="B600" s="117">
        <f t="shared" si="489"/>
        <v>528.59250000000577</v>
      </c>
      <c r="C600" s="167" t="str">
        <f t="shared" ca="1" si="482"/>
        <v>银月斩</v>
      </c>
      <c r="D600" s="115">
        <f ca="1">IF(C600="赤日轮1",1,IF(C600="赤日轮2",2,IF(C600="赤日轮3",3,IF(C600="幽月轮1",4,IF(C600="幽月轮2",5,IF(C600="幽月轮3",6,IF(C600="烈日斩",7,IF(C600="银月斩",8,IF(C600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600="净世破魔击·月",17,IF(C600="驱夜断愁",18,0)))))))))))</f>
        <v>8</v>
      </c>
      <c r="E600" s="115">
        <f ca="1">IF(AND(CU600,OR(C600="幽月轮1",C600="幽月轮2",C600="幽月轮3",C600="银月斩",C600="驱夜断愁",C600="净世破魔击·月")),100,MIN(IF(OR(CN600,BE600),0,IF(OR($C600="赤日轮1",$C600="赤日轮2",$C600="赤日轮3"),E599+20+IF(模拟模式!$I$7="日月凌天",4,0)+IF(CR599,20,0),IF($C600="烈日斩",E599+40,IF($C600="驱夜断愁",IF(模拟模式!$R$7="万念俱寂",E599+20,E599+60),IF($C600="净世破魔击·月",IF(OR(DB599&gt;0,CV599&gt;0),100,IF(模拟模式!$M$7="辉耀红尘",E599+20,E599)),IF($C600="净世破魔击·日",E599-100,E599)))))),100))</f>
        <v>20</v>
      </c>
      <c r="F600" s="115">
        <f ca="1">IF(AND(CU600,OR(C600="赤日轮1",C600="赤日轮2",C600="赤日轮3",C600="烈日斩",C600="净世破魔击·日")),100,MIN(IF(CO600,0,IF(OR($C600="幽月轮1",$C600="幽月轮2",$C600="幽月轮3"),F599+20+IF(模拟模式!$I$7="日月凌天",4,0)+IF(CS599,20,0),IF($C600="银月斩",F599+40+IF(模拟模式!$X$12=1,5,0),IF($C600="驱夜断愁",IF(模拟模式!$R$7="万念俱寂",F599+20,F599+60),IF($C600="净世破魔击·月",IF(模拟模式!$M$7="辉耀红尘",F599-80,F599-100),IF(AND(C600="净世破魔击·日",OR(DB599&gt;0,CV599&gt;0)),100,F599)))))),100))</f>
        <v>65</v>
      </c>
      <c r="G600" s="117">
        <f ca="1">('模拟-全程加成'!$E$3+'模拟-全程加成'!$E$4+'模拟-全程加成'!$E$5+('模拟-全程加成'!$C$6-'模拟-全程加成'!$C$3)*系数!$B$9+BS600*23)*(1+'模拟-全程加成'!$F$4+'模拟-全程加成'!$F$5+BJ600*10%+BM600*20%+BP600*4%+CG600*30%)+$F$7*系数!$B$12</f>
        <v>21493.829400000002</v>
      </c>
      <c r="H600" s="45">
        <f ca="1">'模拟-全程加成'!$H$3+'模拟-全程加成'!$H$4+'模拟-全程加成'!$H$5+('模拟-全程加成'!$G$4+'模拟-全程加成'!$G$5+('模拟-全程加成'!$C$6-'模拟-全程加成'!$C$3)*系数!$B$13)/系数!$B$3+LOOKUP(D600,'模拟-单技能数据'!$A$2:$A$19,'模拟-单技能数据'!$K$2:$K$19)+BG600*10%+IF(BV600&gt;0,378,0)</f>
        <v>0.64185145527300214</v>
      </c>
      <c r="I600" s="45">
        <f ca="1">'模拟-全程加成'!$J$3+'模拟-全程加成'!$J$4+'模拟-全程加成'!$J$5+('模拟-全程加成'!$I$4+'模拟-全程加成'!$I$5)/系数!$B$4+LOOKUP(D600,'模拟-单技能数据'!$A$2:$A$19,'模拟-单技能数据'!$L$2:$L$19)+BG600*10%</f>
        <v>2.2624828854998791</v>
      </c>
      <c r="J600" s="45">
        <f ca="1">(('模拟-全程加成'!$K$3+'模拟-全程加成'!$K$4+'模拟-全程加成'!$K$5+('模拟-全程加成'!$C$6-'模拟-全程加成'!$C$3)*系数!$B$10+IF(BV600&gt;0,882,0)+IF(BY600&gt;0,1831,0))*(1+'模拟-全程加成'!$L$4+'模拟-全程加成'!$L$5+CC600*20%))/系数!$B$5</f>
        <v>0.69723220422048726</v>
      </c>
      <c r="K600" s="119">
        <f ca="1">LOOKUP(D600,'模拟-单技能数据'!$A$2:$A$19,'模拟-单技能数据'!$J$2:$J$19)+IF(CM600,60%,0)+IF(DB599-DB600&gt;0,30%,0)+IF(OR(AND(OR(C600="赤日轮1",C600="赤日轮2",C600="赤日轮3"),CR600),AND(OR(C600="幽月轮1",C600="幽月轮2",C600="幽月轮3"),CS600)),35%,0)+CJ600</f>
        <v>0.16</v>
      </c>
      <c r="L600" s="119">
        <f ca="1">IF(AND(C600="烈日斩",模拟模式!$X$11=1),10%,0)+IF(AND(C600="驱夜断愁",AB600=1),30%,0)</f>
        <v>0</v>
      </c>
      <c r="M600" s="45">
        <f t="shared" ca="1" si="521"/>
        <v>0.64185145527300214</v>
      </c>
      <c r="N600" s="45">
        <f t="shared" ca="1" si="522"/>
        <v>0.30424854472699792</v>
      </c>
      <c r="O600" s="46">
        <f t="shared" ca="1" si="490"/>
        <v>0.44651470761679202</v>
      </c>
      <c r="P600" s="46" t="str">
        <f t="shared" ca="1" si="491"/>
        <v>会</v>
      </c>
      <c r="Q600" s="45">
        <f t="shared" ca="1" si="492"/>
        <v>2.2624828854998791</v>
      </c>
      <c r="R600" s="117">
        <f ca="1">模拟模式!$E$20*(1-IF(模拟模式!$J$19="有",0.15,0))*(1-IF(模拟模式!$K$19="有",0.3,0)-IF(CQ600,0.5,0))</f>
        <v>843.02999999999975</v>
      </c>
      <c r="S600" s="45">
        <f ca="1">R600/(R600+(185*模拟模式!$E$22-16800)*4.08224)</f>
        <v>8.389626085980037E-2</v>
      </c>
      <c r="T600" s="45" t="str">
        <f ca="1">LOOKUP(D600,'模拟-单技能数据'!$A$2:$A$19,'模拟-单技能数据'!$H$2:$H$19)</f>
        <v>阴</v>
      </c>
      <c r="U600" s="119">
        <f t="shared" ca="1" si="523"/>
        <v>0.08</v>
      </c>
      <c r="V600" s="47">
        <f ca="1">(1+L600)*(LOOKUP(D600,'模拟-单技能数据'!$A$2:$A$19,'模拟-单技能数据'!$D$2:$D$19)+G600*LOOKUP(D600,'模拟-单技能数据'!$A$2:$A$19,'模拟-单技能数据'!$F$2:$F$19))*(1+J600)*(1+K600)*(1-S600)*(1+U600)*Q600*LOOKUP(D600,'模拟-单技能数据'!$A$2:$A$19,'模拟-单技能数据'!$I$2:$I$20)</f>
        <v>50289.000621124105</v>
      </c>
      <c r="W600" s="47">
        <f ca="1">LOOKUP(D600,'模拟-单技能数据'!$A$2:$A$19,'模拟-单技能数据'!$G$2:$G$19)*$I$10</f>
        <v>361.51064354704795</v>
      </c>
      <c r="X600" s="47">
        <f t="shared" ca="1" si="493"/>
        <v>32017.174439770522</v>
      </c>
      <c r="Y600" s="47">
        <f t="shared" ca="1" si="524"/>
        <v>82667.685704441668</v>
      </c>
      <c r="Z600" s="49">
        <f t="shared" ca="1" si="525"/>
        <v>59922922.748981178</v>
      </c>
      <c r="AA600" s="97">
        <f t="shared" ca="1" si="526"/>
        <v>113363.1724797089</v>
      </c>
      <c r="AB600" s="115">
        <f ca="1">IF(OR(C600="赤日轮1",C600="赤日轮2",C600="赤日轮3"),IF(RAND()&lt;模拟模式!$Y$17,1,0),IF(OR(C600="幽月轮1",C600="幽月轮2",C600="幽月轮3"),IF(RAND()&lt;模拟模式!$Y$18,1,0),IF(C600="烈日斩",IF(RAND()&lt;模拟模式!$Y$19,1,0),IF(C600="银月斩",IF(RAND()&lt;模拟模式!$Y$20,1,0),IF(C600="驱夜断愁",IF(RAND()&lt;模拟模式!$Y$21,1,0),IF(C600="净世破魔击·日",IF(RAND()&lt;模拟模式!$Y$22,1,0),IF(C600="净世破魔击·月",IF(RAND()&lt;模拟模式!$Y$23,1,0),0)))))))</f>
        <v>1</v>
      </c>
      <c r="AC600" s="115" t="b">
        <f t="shared" ca="1" si="514"/>
        <v>1</v>
      </c>
      <c r="AD600" s="115" t="b">
        <f t="shared" ca="1" si="534"/>
        <v>1</v>
      </c>
      <c r="AE600" s="115">
        <f t="shared" ca="1" si="535"/>
        <v>5</v>
      </c>
      <c r="AF600" s="47">
        <f ca="1">IF(AC600,('模拟-单技能数据'!$D$20+G600*'模拟-单技能数据'!$F$20)*(1+J600)*(1+'模拟-单技能数据'!$J$20)*(1+U600),0)</f>
        <v>4639.7456468263617</v>
      </c>
      <c r="AG600" s="61">
        <f t="shared" ca="1" si="527"/>
        <v>0.64185145527300214</v>
      </c>
      <c r="AH600" s="61">
        <f t="shared" ca="1" si="528"/>
        <v>2.2624828854998791</v>
      </c>
      <c r="AI600" s="62">
        <f t="shared" ca="1" si="494"/>
        <v>0.17248612740862723</v>
      </c>
      <c r="AJ600" s="47">
        <f ca="1">IF(AD600,IF(AI600&lt;$F$10,0,IF(AI600&lt;$F$10+$F$11,0.25,IF(AI600&lt;$F$10+$F$11+AG600,AH600,1)))*IF(AF600&gt;0,AF600,IF(AF599&gt;0,AF599,IF(AF598&gt;0,AF598,IF(AF597&gt;0,AF597,IF(AF596&gt;0,AF596,IF(AF595&gt;0,AF595,IF(AF594&gt;0,AF594,IF(AF593&gt;0,AF593,IF(AF592&gt;0,AF592,IF(AF590&gt;0,AF590,IF(AF589&gt;0,AF589,IF(AF588&gt;0,AF588,0)))))))))))),0)*(1-$S600)*'模拟-单技能数据'!$I$20</f>
        <v>9616.6571145767884</v>
      </c>
      <c r="AK600" s="115" t="b">
        <f t="shared" ca="1" si="515"/>
        <v>0</v>
      </c>
      <c r="AL600" s="115" t="b">
        <f t="shared" ca="1" si="536"/>
        <v>0</v>
      </c>
      <c r="AM600" s="115">
        <f t="shared" ca="1" si="537"/>
        <v>5</v>
      </c>
      <c r="AN600" s="47">
        <f ca="1">IF(AK600,('模拟-单技能数据'!$D$21+G600*'模拟-单技能数据'!$F$21)*(1+J600)*(1+'模拟-单技能数据'!$J$21)*(1+U600),0)</f>
        <v>0</v>
      </c>
      <c r="AO600" s="61">
        <f ca="1">IF(AN600&gt;0,M600-'模拟-单技能数据'!$K$10,AO599)</f>
        <v>0.42185145527300216</v>
      </c>
      <c r="AP600" s="61">
        <f ca="1">IF(AN600&gt;0,I600-'模拟-单技能数据'!$L$10,AP599)</f>
        <v>2.162482885499879</v>
      </c>
      <c r="AQ600" s="63">
        <f t="shared" ca="1" si="495"/>
        <v>0.16037284876639368</v>
      </c>
      <c r="AR600" s="64">
        <f ca="1">IF(AL600,IF(AQ600&lt;$F$10,0,IF(AQ600&lt;$F$10+$F$11,0.25,IF(AQ600&lt;$F$10+$F$11+AO600,AP600,1)))*IF(AN600&gt;0,AN600,IF(AN599&gt;0,AN599,IF(AN598&gt;0,AN598,IF(AN597&gt;0,AN597,IF(AN596&gt;0,AN596,IF(AN595&gt;0,AN595,IF(AN594&gt;0,AN594,IF(AN593&gt;0,AN593,IF(AN592&gt;0,AN592,IF(AN590&gt;0,AN590,IF(AN589&gt;0,AN589,IF(AN588&gt;0,AN588,0)))))))))))),0)*(1-$S600)*'模拟-单技能数据'!$I$21</f>
        <v>0</v>
      </c>
      <c r="AS600" s="61">
        <f ca="1">IF(OR(C600="净世破魔击·日",C600="净世破魔击·月"),M600-'模拟-单技能数据'!$K$10,0)</f>
        <v>0</v>
      </c>
      <c r="AT600" s="61">
        <f ca="1">IF(OR(C600="净世破魔击·日",C600="净世破魔击·月"),I600-'模拟-单技能数据'!$L$10,0)</f>
        <v>0</v>
      </c>
      <c r="AU600" s="62">
        <f t="shared" ca="1" si="496"/>
        <v>0.68781894963105317</v>
      </c>
      <c r="AV600" s="64">
        <f ca="1">IF(AS600&gt;0,('模拟-单技能数据'!$D$22+G600*'模拟-单技能数据'!$F$22)*(1+J600)*(1-S600)*IF(AU600&lt;$F$10,0,IF(AU600&lt;$F$10+$F$11,0.25,IF(AU600&lt;$F$10+$F$11+AS600,AT600,1)))*(1+U600),0)*'模拟-单技能数据'!$I$22</f>
        <v>0</v>
      </c>
      <c r="AW600" s="108">
        <f t="shared" ca="1" si="497"/>
        <v>10.775000000000006</v>
      </c>
      <c r="AX600" s="108" t="b">
        <f ca="1">AND(模拟模式!$P$10="有",AW599=0,RAND()&lt;IF(C600="净世破魔击·月",0.1*8/3,IF(C600="净世破魔击·日",0.1*4/3,0.1*2/3)))</f>
        <v>0</v>
      </c>
      <c r="AY600" s="47">
        <f ca="1">IF(AX600,(18+G600*0.722)*(1+J600)*(1-S600)*(1+$I$4)*IF(P600="会",'模拟-全程加成'!$J$3+'模拟-全程加成'!$J$4+'模拟-全程加成'!$J$5+('模拟-全程加成'!$I$4+'模拟-全程加成'!$I$5)/系数!$B$4+BG600*10%,IF(P600="命",1,IF(P600="识",0.25,0))),0)</f>
        <v>0</v>
      </c>
      <c r="AZ600" s="108">
        <f t="shared" si="498"/>
        <v>19.077500000000001</v>
      </c>
      <c r="BA600" s="108" t="b">
        <f>AND(模拟模式!$Q$10="有",AZ599=0)</f>
        <v>1</v>
      </c>
      <c r="BB600" s="140">
        <f ca="1">IF(BA600,(0+G600*0.287)*(1+J600)*(1-S600)*(1+$I$4)*IF(P600="会",'模拟-全程加成'!$J$3+'模拟-全程加成'!$J$4+'模拟-全程加成'!$J$5+('模拟-全程加成'!$I$4+'模拟-全程加成'!$I$5)/系数!$B$4+BG600*10%,IF(P600="命",1,IF(P600="识",0.25,0))),0)</f>
        <v>22400.517325193734</v>
      </c>
      <c r="BC600" s="115" t="b">
        <f ca="1">AND(模拟模式!$R$7="伏明众生",E600=60,F600=20,DA600&lt;5,CZ599&lt;$F$4)</f>
        <v>0</v>
      </c>
      <c r="BD600" s="115">
        <f t="shared" ca="1" si="516"/>
        <v>0</v>
      </c>
      <c r="BE600" s="115" t="b">
        <f t="shared" ca="1" si="517"/>
        <v>0</v>
      </c>
      <c r="BF600" s="47">
        <f ca="1">IF(BC600,4*('模拟-单技能数据'!$D$24+G600*'模拟-单技能数据'!$F$24)*(1+J600)*(1+'模拟-单技能数据'!$J$24)*(1-S600)*(1+$I$3)*(('模拟-全程加成'!$J$3+'模拟-全程加成'!$J$4+'模拟-全程加成'!$J$5+('模拟-全程加成'!$I$4+'模拟-全程加成'!$I$5)/系数!$B$4+BG600*10%)*('模拟-全程加成'!$J$3+'模拟-全程加成'!$J$4+'模拟-全程加成'!$J$5+('模拟-全程加成'!$I$4+'模拟-全程加成'!$I$5)/系数!$B$4+BG600*10%)+(1-('模拟-全程加成'!$J$3+'模拟-全程加成'!$J$4+'模拟-全程加成'!$J$5+('模拟-全程加成'!$I$4+'模拟-全程加成'!$I$5)/系数!$B$4+BG600*10%)-$F$10-$F$11)+F586*0.25),0)*'模拟-单技能数据'!$I$24</f>
        <v>0</v>
      </c>
      <c r="BG600" s="115" t="b">
        <f ca="1">OR(AND(OR(C600="烈日斩",C600="银月斩"),模拟模式!$I$7="净身明礼"),AND(C600="净世破魔击·日",模拟模式!$J$7="洞若观火"),AND(C601="净世破魔击·月",模拟模式!$J$7="洞若观火"),AB600=1)</f>
        <v>1</v>
      </c>
      <c r="BH600" s="115" t="b">
        <f t="shared" ca="1" si="499"/>
        <v>0</v>
      </c>
      <c r="BI600" s="115">
        <f t="shared" ca="1" si="518"/>
        <v>2.3099999999999996</v>
      </c>
      <c r="BJ600" s="115" t="b">
        <f t="shared" ca="1" si="529"/>
        <v>1</v>
      </c>
      <c r="BK600" s="115" t="b">
        <f ca="1">AND(C600="驱夜断愁",模拟模式!$P$7="天地诛戮")</f>
        <v>0</v>
      </c>
      <c r="BL600" s="57">
        <f t="shared" ca="1" si="519"/>
        <v>14.465000000000003</v>
      </c>
      <c r="BM600" s="115" t="b">
        <f t="shared" ca="1" si="530"/>
        <v>1</v>
      </c>
      <c r="BN600" s="115" t="b">
        <f ca="1">AND(OR(C600="赤日轮1",C600="赤日轮2",C600="赤日轮3",C600="幽月轮1",C600="幽月轮2",C600="幽月轮3"),AB600=1,模拟模式!$L$7="明光恒照")</f>
        <v>0</v>
      </c>
      <c r="BO600" s="117">
        <f t="shared" ca="1" si="520"/>
        <v>26.310000000000002</v>
      </c>
      <c r="BP600" s="115">
        <f t="shared" ca="1" si="500"/>
        <v>6</v>
      </c>
      <c r="BQ600" s="115" t="b">
        <f>模拟模式!$K$10="2600·水"</f>
        <v>0</v>
      </c>
      <c r="BR600" s="117">
        <f t="shared" si="501"/>
        <v>0</v>
      </c>
      <c r="BS600" s="115">
        <f t="shared" si="502"/>
        <v>0</v>
      </c>
      <c r="BT600" s="115">
        <f t="shared" ca="1" si="503"/>
        <v>0</v>
      </c>
      <c r="BU600" s="115" t="b">
        <f ca="1">AND(模拟模式!$K$10="2300·雷",BT599=0,RAND()&lt;IF(C600="净世破魔击·月",5*0.05*2/3,IF(C600="净世破魔击·日",3*0.05*2/3,0.05*2*2/3)))</f>
        <v>0</v>
      </c>
      <c r="BV600" s="115">
        <f t="shared" ca="1" si="504"/>
        <v>0</v>
      </c>
      <c r="BW600" s="115">
        <f t="shared" ca="1" si="505"/>
        <v>26.864999999999299</v>
      </c>
      <c r="BX600" s="164" t="b">
        <f t="shared" ca="1" si="506"/>
        <v>0</v>
      </c>
      <c r="BY600" s="115">
        <f t="shared" ca="1" si="507"/>
        <v>0</v>
      </c>
      <c r="BZ600" s="115">
        <f>IF(OR(模拟模式!$P$16="10人团",模拟模式!$P$16="25人团"),IF(B600/30&gt;CA599,1,0),0)</f>
        <v>0</v>
      </c>
      <c r="CA600" s="115">
        <f t="shared" si="483"/>
        <v>0</v>
      </c>
      <c r="CB600" s="115">
        <f ca="1">IF(BZ600=1,IF(模拟模式!$P$16="10人团",15,0)+IF(模拟模式!$P$16="25人团",IF(RAND()&lt;0.6,15,0)),MAX(0,CB599-$F$4))</f>
        <v>0</v>
      </c>
      <c r="CC600" s="115" t="b">
        <f t="shared" ca="1" si="531"/>
        <v>0</v>
      </c>
      <c r="CD600" s="115">
        <f>IF(模拟模式!$Q$16="1个",IF(B600/40&gt;CE599,1,0),0)</f>
        <v>0</v>
      </c>
      <c r="CE600" s="115">
        <f t="shared" si="532"/>
        <v>0</v>
      </c>
      <c r="CF600" s="115">
        <f>IF(OR(CD600=1,模拟模式!$Q$16="2个"),20,MAX(0,CF599-$F$4))</f>
        <v>0</v>
      </c>
      <c r="CG600" s="115" t="b">
        <f t="shared" si="533"/>
        <v>0</v>
      </c>
      <c r="CH600" s="115">
        <f t="shared" ca="1" si="508"/>
        <v>26.310000000000002</v>
      </c>
      <c r="CI600" s="115" t="b">
        <f t="shared" ca="1" si="509"/>
        <v>0</v>
      </c>
      <c r="CJ600" s="119">
        <f t="shared" ca="1" si="510"/>
        <v>0.01</v>
      </c>
      <c r="CK600" s="115">
        <f t="shared" ca="1" si="511"/>
        <v>4.3099999999999987</v>
      </c>
      <c r="CL600" s="115" t="b">
        <f ca="1">AND(模拟模式!$S$7="驱夷逐法",OR(AND(C600="净世破魔击·月",E599&gt;59),AND(C600="净世破魔击·日",F599&gt;59)))</f>
        <v>0</v>
      </c>
      <c r="CM600" s="115" t="b">
        <f ca="1">OR(CL600,AND(C600="净世破魔击·日",CL599,RAND()&lt;模拟模式!$U$23))</f>
        <v>0</v>
      </c>
      <c r="CN600" s="115" t="b">
        <f ca="1">IF(模拟模式!$M$7="辉耀红尘",AND(C600="净世破魔击·月",CL600,CV600=0,E599&lt;80),AND(C600="净世破魔击·月",CL600,E599&lt;100))</f>
        <v>0</v>
      </c>
      <c r="CO600" s="115" t="b">
        <f t="shared" ca="1" si="484"/>
        <v>0</v>
      </c>
      <c r="CP600" s="115" t="b">
        <f ca="1">AND(模拟模式!$O$7="用晦而明",OR(C600="净世破魔击·日",C600="净世破魔击·月",C600="驱夜断愁"),AB600)</f>
        <v>0</v>
      </c>
      <c r="CQ600" s="115" t="b">
        <f ca="1">OR(CP600,AND(CP599,RAND()&lt;模拟模式!$U$23))</f>
        <v>1</v>
      </c>
      <c r="CR600" s="115" t="b">
        <f ca="1">AND(模拟模式!$S$7="日月齐光",OR(C600="幽月轮1",C600="幽月轮2",C600="幽月轮3",CR599),NOT(OR(C600="赤日轮1",C600="赤日轮2",C600="赤日轮3")))</f>
        <v>0</v>
      </c>
      <c r="CS600" s="115" t="b">
        <f ca="1">AND(模拟模式!$S$7="日月齐光",OR(C600="赤日轮1",C600="赤日轮2",C600="赤日轮3",CS599),NOT(OR(C600="幽月轮1",C600="幽月轮2",C600="幽月轮3")))</f>
        <v>0</v>
      </c>
      <c r="CT600" s="115">
        <f t="shared" ca="1" si="512"/>
        <v>17.085000000000008</v>
      </c>
      <c r="CU600" s="115" t="b">
        <f ca="1">AND(模拟模式!$K$10="阴阳往极",CT599=0,RAND()&lt;IF(C600="净世破魔击·月",0.0275*7/3,IF(C600="净世破魔击·日",0.0275*3/3,0.0275*2/3)))</f>
        <v>0</v>
      </c>
      <c r="CV600" s="115">
        <f t="shared" ca="1" si="513"/>
        <v>0</v>
      </c>
      <c r="CW600" s="115">
        <f t="shared" ca="1" si="485"/>
        <v>1.3874999999999997</v>
      </c>
      <c r="CX600" s="115">
        <f t="shared" ca="1" si="486"/>
        <v>6</v>
      </c>
      <c r="CY600" s="115">
        <f ca="1">MAX(IF($C600="驱夜断愁",IF(模拟模式!$R$7="万念俱寂",6,45),CY599-$F$4),0)</f>
        <v>0.46499999999999975</v>
      </c>
      <c r="CZ600" s="115">
        <f t="shared" ca="1" si="487"/>
        <v>0</v>
      </c>
      <c r="DA600" s="115">
        <f ca="1">IF(模拟模式!$N$7="日月同辉",IF(DB599=2,0,MIN(6,IF(AND(OR(C600="赤日轮1",C600="赤日轮2",C600="赤日轮3",C600="幽月轮1",C600="幽月轮2",C600="幽月轮3"),AB600=1),DA599+1,DA599))),0)</f>
        <v>0</v>
      </c>
      <c r="DB600" s="115">
        <f t="shared" ca="1" si="488"/>
        <v>0</v>
      </c>
      <c r="DC600" s="115"/>
      <c r="DD600" s="115"/>
      <c r="DE600" s="115"/>
      <c r="DF600" s="115"/>
      <c r="DG600" s="115"/>
      <c r="DH600" s="115"/>
      <c r="DI600" s="115"/>
      <c r="DJ600" s="115"/>
      <c r="DK600" s="115"/>
      <c r="DL600" s="115"/>
      <c r="DM600" s="115"/>
    </row>
    <row r="601" spans="2:117" x14ac:dyDescent="0.2">
      <c r="B601" s="117">
        <f t="shared" si="489"/>
        <v>529.51500000000578</v>
      </c>
      <c r="C601" s="167" t="str">
        <f t="shared" ca="1" si="482"/>
        <v>驱夜断愁</v>
      </c>
      <c r="D601" s="115">
        <f ca="1">IF(C601="赤日轮1",1,IF(C601="赤日轮2",2,IF(C601="赤日轮3",3,IF(C601="幽月轮1",4,IF(C601="幽月轮2",5,IF(C601="幽月轮3",6,IF(C601="烈日斩",7,IF(C601="银月斩",8,IF(C601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601="净世破魔击·月",17,IF(C601="驱夜断愁",18,0)))))))))))</f>
        <v>18</v>
      </c>
      <c r="E601" s="115">
        <f ca="1">IF(AND(CU601,OR(C601="幽月轮1",C601="幽月轮2",C601="幽月轮3",C601="银月斩",C601="驱夜断愁",C601="净世破魔击·月")),100,MIN(IF(OR(CN601,BE601),0,IF(OR($C601="赤日轮1",$C601="赤日轮2",$C601="赤日轮3"),E600+20+IF(模拟模式!$I$7="日月凌天",4,0)+IF(CR600,20,0),IF($C601="烈日斩",E600+40,IF($C601="驱夜断愁",IF(模拟模式!$R$7="万念俱寂",E600+20,E600+60),IF($C601="净世破魔击·月",IF(OR(DB600&gt;0,CV600&gt;0),100,IF(模拟模式!$M$7="辉耀红尘",E600+20,E600)),IF($C601="净世破魔击·日",E600-100,E600)))))),100))</f>
        <v>40</v>
      </c>
      <c r="F601" s="115">
        <f ca="1">IF(AND(CU601,OR(C601="赤日轮1",C601="赤日轮2",C601="赤日轮3",C601="烈日斩",C601="净世破魔击·日")),100,MIN(IF(CO601,0,IF(OR($C601="幽月轮1",$C601="幽月轮2",$C601="幽月轮3"),F600+20+IF(模拟模式!$I$7="日月凌天",4,0)+IF(CS600,20,0),IF($C601="银月斩",F600+40+IF(模拟模式!$X$12=1,5,0),IF($C601="驱夜断愁",IF(模拟模式!$R$7="万念俱寂",F600+20,F600+60),IF($C601="净世破魔击·月",IF(模拟模式!$M$7="辉耀红尘",F600-80,F600-100),IF(AND(C601="净世破魔击·日",OR(DB600&gt;0,CV600&gt;0)),100,F600)))))),100))</f>
        <v>85</v>
      </c>
      <c r="G601" s="117">
        <f ca="1">('模拟-全程加成'!$E$3+'模拟-全程加成'!$E$4+'模拟-全程加成'!$E$5+('模拟-全程加成'!$C$6-'模拟-全程加成'!$C$3)*系数!$B$9+BS601*23)*(1+'模拟-全程加成'!$F$4+'模拟-全程加成'!$F$5+BJ601*10%+BM601*20%+BP601*4%+CG601*30%)+$F$7*系数!$B$12</f>
        <v>21493.829400000002</v>
      </c>
      <c r="H601" s="45">
        <f ca="1">'模拟-全程加成'!$H$3+'模拟-全程加成'!$H$4+'模拟-全程加成'!$H$5+('模拟-全程加成'!$G$4+'模拟-全程加成'!$G$5+('模拟-全程加成'!$C$6-'模拟-全程加成'!$C$3)*系数!$B$13)/系数!$B$3+LOOKUP(D601,'模拟-单技能数据'!$A$2:$A$19,'模拟-单技能数据'!$K$2:$K$19)+BG601*10%+IF(BV601&gt;0,378,0)</f>
        <v>0.51185145527300213</v>
      </c>
      <c r="I601" s="45">
        <f ca="1">'模拟-全程加成'!$J$3+'模拟-全程加成'!$J$4+'模拟-全程加成'!$J$5+('模拟-全程加成'!$I$4+'模拟-全程加成'!$I$5)/系数!$B$4+LOOKUP(D601,'模拟-单技能数据'!$A$2:$A$19,'模拟-单技能数据'!$L$2:$L$19)+BG601*10%</f>
        <v>2.162482885499879</v>
      </c>
      <c r="J601" s="45">
        <f ca="1">(('模拟-全程加成'!$K$3+'模拟-全程加成'!$K$4+'模拟-全程加成'!$K$5+('模拟-全程加成'!$C$6-'模拟-全程加成'!$C$3)*系数!$B$10+IF(BV601&gt;0,882,0)+IF(BY601&gt;0,1831,0))*(1+'模拟-全程加成'!$L$4+'模拟-全程加成'!$L$5+CC601*20%))/系数!$B$5</f>
        <v>0.69723220422048726</v>
      </c>
      <c r="K601" s="119">
        <f ca="1">LOOKUP(D601,'模拟-单技能数据'!$A$2:$A$19,'模拟-单技能数据'!$J$2:$J$19)+IF(CM601,60%,0)+IF(DB600-DB601&gt;0,30%,0)+IF(OR(AND(OR(C601="赤日轮1",C601="赤日轮2",C601="赤日轮3"),CR601),AND(OR(C601="幽月轮1",C601="幽月轮2",C601="幽月轮3"),CS601)),35%,0)+CJ601</f>
        <v>0.15000000000000002</v>
      </c>
      <c r="L601" s="119">
        <f ca="1">IF(AND(C601="烈日斩",模拟模式!$X$11=1),10%,0)+IF(AND(C601="驱夜断愁",AB601=1),30%,0)</f>
        <v>0.3</v>
      </c>
      <c r="M601" s="45">
        <f t="shared" ca="1" si="521"/>
        <v>0.51185145527300213</v>
      </c>
      <c r="N601" s="45">
        <f t="shared" ca="1" si="522"/>
        <v>0.43424854472699792</v>
      </c>
      <c r="O601" s="46">
        <f t="shared" ca="1" si="490"/>
        <v>0.55798975142090601</v>
      </c>
      <c r="P601" s="46" t="str">
        <f t="shared" ca="1" si="491"/>
        <v>会</v>
      </c>
      <c r="Q601" s="45">
        <f t="shared" ca="1" si="492"/>
        <v>2.162482885499879</v>
      </c>
      <c r="R601" s="117">
        <f ca="1">模拟模式!$E$20*(1-IF(模拟模式!$J$19="有",0.15,0))*(1-IF(模拟模式!$K$19="有",0.3,0)-IF(CQ601,0.5,0))</f>
        <v>843.02999999999975</v>
      </c>
      <c r="S601" s="45">
        <f ca="1">R601/(R601+(185*模拟模式!$E$22-16800)*4.08224)</f>
        <v>8.389626085980037E-2</v>
      </c>
      <c r="T601" s="45" t="str">
        <f ca="1">LOOKUP(D601,'模拟-单技能数据'!$A$2:$A$19,'模拟-单技能数据'!$H$2:$H$19)</f>
        <v>阴</v>
      </c>
      <c r="U601" s="119">
        <f t="shared" ca="1" si="523"/>
        <v>0.08</v>
      </c>
      <c r="V601" s="47">
        <f ca="1">(1+L601)*(LOOKUP(D601,'模拟-单技能数据'!$A$2:$A$19,'模拟-单技能数据'!$D$2:$D$19)+G601*LOOKUP(D601,'模拟-单技能数据'!$A$2:$A$19,'模拟-单技能数据'!$F$2:$F$19))*(1+J601)*(1+K601)*(1-S601)*(1+U601)*Q601*LOOKUP(D601,'模拟-单技能数据'!$A$2:$A$19,'模拟-单技能数据'!$I$2:$I$20)</f>
        <v>134246.71846289007</v>
      </c>
      <c r="W601" s="47">
        <f ca="1">LOOKUP(D601,'模拟-单技能数据'!$A$2:$A$19,'模拟-单技能数据'!$G$2:$G$19)*$I$10</f>
        <v>723.0212870940959</v>
      </c>
      <c r="X601" s="47">
        <f t="shared" ca="1" si="493"/>
        <v>11607.89185245618</v>
      </c>
      <c r="Y601" s="47">
        <f t="shared" ca="1" si="524"/>
        <v>146577.63160244035</v>
      </c>
      <c r="Z601" s="49">
        <f t="shared" ca="1" si="525"/>
        <v>60069500.380583622</v>
      </c>
      <c r="AA601" s="97">
        <f t="shared" ca="1" si="526"/>
        <v>113442.49054433389</v>
      </c>
      <c r="AB601" s="115">
        <f ca="1">IF(OR(C601="赤日轮1",C601="赤日轮2",C601="赤日轮3"),IF(RAND()&lt;模拟模式!$Y$17,1,0),IF(OR(C601="幽月轮1",C601="幽月轮2",C601="幽月轮3"),IF(RAND()&lt;模拟模式!$Y$18,1,0),IF(C601="烈日斩",IF(RAND()&lt;模拟模式!$Y$19,1,0),IF(C601="银月斩",IF(RAND()&lt;模拟模式!$Y$20,1,0),IF(C601="驱夜断愁",IF(RAND()&lt;模拟模式!$Y$21,1,0),IF(C601="净世破魔击·日",IF(RAND()&lt;模拟模式!$Y$22,1,0),IF(C601="净世破魔击·月",IF(RAND()&lt;模拟模式!$Y$23,1,0),0)))))))</f>
        <v>1</v>
      </c>
      <c r="AC601" s="115" t="b">
        <f t="shared" ca="1" si="514"/>
        <v>0</v>
      </c>
      <c r="AD601" s="115" t="b">
        <f t="shared" ca="1" si="534"/>
        <v>0</v>
      </c>
      <c r="AE601" s="115">
        <f t="shared" ca="1" si="535"/>
        <v>5</v>
      </c>
      <c r="AF601" s="47">
        <f ca="1">IF(AC601,('模拟-单技能数据'!$D$20+G601*'模拟-单技能数据'!$F$20)*(1+J601)*(1+'模拟-单技能数据'!$J$20)*(1+U601),0)</f>
        <v>0</v>
      </c>
      <c r="AG601" s="61">
        <f t="shared" ca="1" si="527"/>
        <v>0.64185145527300214</v>
      </c>
      <c r="AH601" s="61">
        <f t="shared" ca="1" si="528"/>
        <v>2.2624828854998791</v>
      </c>
      <c r="AI601" s="62">
        <f t="shared" ca="1" si="494"/>
        <v>8.4865679097594682E-2</v>
      </c>
      <c r="AJ601" s="47">
        <f ca="1">IF(AD601,IF(AI601&lt;$F$10,0,IF(AI601&lt;$F$10+$F$11,0.25,IF(AI601&lt;$F$10+$F$11+AG601,AH601,1)))*IF(AF601&gt;0,AF601,IF(AF600&gt;0,AF600,IF(AF599&gt;0,AF599,IF(AF598&gt;0,AF598,IF(AF597&gt;0,AF597,IF(AF596&gt;0,AF596,IF(AF595&gt;0,AF595,IF(AF594&gt;0,AF594,IF(AF593&gt;0,AF593,IF(AF591&gt;0,AF591,IF(AF590&gt;0,AF590,IF(AF589&gt;0,AF589,0)))))))))))),0)*(1-$S601)*'模拟-单技能数据'!$I$20</f>
        <v>0</v>
      </c>
      <c r="AK601" s="115" t="b">
        <f t="shared" ca="1" si="515"/>
        <v>0</v>
      </c>
      <c r="AL601" s="115" t="b">
        <f t="shared" ca="1" si="536"/>
        <v>1</v>
      </c>
      <c r="AM601" s="115">
        <f t="shared" ca="1" si="537"/>
        <v>4</v>
      </c>
      <c r="AN601" s="47">
        <f ca="1">IF(AK601,('模拟-单技能数据'!$D$21+G601*'模拟-单技能数据'!$F$21)*(1+J601)*(1+'模拟-单技能数据'!$J$21)*(1+U601),0)</f>
        <v>0</v>
      </c>
      <c r="AO601" s="61">
        <f ca="1">IF(AN601&gt;0,M601-'模拟-单技能数据'!$K$10,AO600)</f>
        <v>0.42185145527300216</v>
      </c>
      <c r="AP601" s="61">
        <f ca="1">IF(AN601&gt;0,I601-'模拟-单技能数据'!$L$10,AP600)</f>
        <v>2.162482885499879</v>
      </c>
      <c r="AQ601" s="63">
        <f t="shared" ca="1" si="495"/>
        <v>0.61968439425850763</v>
      </c>
      <c r="AR601" s="64">
        <f ca="1">IF(AL601,IF(AQ601&lt;$F$10,0,IF(AQ601&lt;$F$10+$F$11,0.25,IF(AQ601&lt;$F$10+$F$11+AO601,AP601,1)))*IF(AN601&gt;0,AN601,IF(AN600&gt;0,AN600,IF(AN599&gt;0,AN599,IF(AN598&gt;0,AN598,IF(AN597&gt;0,AN597,IF(AN596&gt;0,AN596,IF(AN595&gt;0,AN595,IF(AN594&gt;0,AN594,IF(AN593&gt;0,AN593,IF(AN591&gt;0,AN591,IF(AN590&gt;0,AN590,IF(AN589&gt;0,AN589,0)))))))))))),0)*(1-$S601)*'模拟-单技能数据'!$I$21</f>
        <v>11607.89185245618</v>
      </c>
      <c r="AS601" s="61">
        <f ca="1">IF(OR(C601="净世破魔击·日",C601="净世破魔击·月"),M601-'模拟-单技能数据'!$K$10,0)</f>
        <v>0</v>
      </c>
      <c r="AT601" s="61">
        <f ca="1">IF(OR(C601="净世破魔击·日",C601="净世破魔击·月"),I601-'模拟-单技能数据'!$L$10,0)</f>
        <v>0</v>
      </c>
      <c r="AU601" s="62">
        <f t="shared" ca="1" si="496"/>
        <v>0.63893828539903108</v>
      </c>
      <c r="AV601" s="64">
        <f ca="1">IF(AS601&gt;0,('模拟-单技能数据'!$D$22+G601*'模拟-单技能数据'!$F$22)*(1+J601)*(1-S601)*IF(AU601&lt;$F$10,0,IF(AU601&lt;$F$10+$F$11,0.25,IF(AU601&lt;$F$10+$F$11+AS601,AT601,1)))*(1+U601),0)*'模拟-单技能数据'!$I$22</f>
        <v>0</v>
      </c>
      <c r="AW601" s="108">
        <f t="shared" ca="1" si="497"/>
        <v>9.8525000000000063</v>
      </c>
      <c r="AX601" s="108" t="b">
        <f ca="1">AND(模拟模式!$P$10="有",AW600=0,RAND()&lt;IF(C601="净世破魔击·月",0.1*8/3,IF(C601="净世破魔击·日",0.1*4/3,0.1*2/3)))</f>
        <v>0</v>
      </c>
      <c r="AY601" s="47">
        <f ca="1">IF(AX601,(18+G601*0.722)*(1+J601)*(1-S601)*(1+$I$4)*IF(P601="会",'模拟-全程加成'!$J$3+'模拟-全程加成'!$J$4+'模拟-全程加成'!$J$5+('模拟-全程加成'!$I$4+'模拟-全程加成'!$I$5)/系数!$B$4+BG601*10%,IF(P601="命",1,IF(P601="识",0.25,0))),0)</f>
        <v>0</v>
      </c>
      <c r="AZ601" s="108">
        <f t="shared" si="498"/>
        <v>18.155000000000001</v>
      </c>
      <c r="BA601" s="108" t="b">
        <f>AND(模拟模式!$Q$10="有",AZ600=0)</f>
        <v>0</v>
      </c>
      <c r="BB601" s="140">
        <f>IF(BA601,(0+G601*0.287)*(1+J601)*(1-S601)*(1+$I$4)*IF(P601="会",'模拟-全程加成'!$J$3+'模拟-全程加成'!$J$4+'模拟-全程加成'!$J$5+('模拟-全程加成'!$I$4+'模拟-全程加成'!$I$5)/系数!$B$4+BG601*10%,IF(P601="命",1,IF(P601="识",0.25,0))),0)</f>
        <v>0</v>
      </c>
      <c r="BC601" s="115" t="b">
        <f ca="1">AND(模拟模式!$R$7="伏明众生",E601=60,F601=20,DA601&lt;5,CZ600&lt;$F$4)</f>
        <v>0</v>
      </c>
      <c r="BD601" s="115">
        <f t="shared" ca="1" si="516"/>
        <v>0</v>
      </c>
      <c r="BE601" s="115" t="b">
        <f t="shared" ca="1" si="517"/>
        <v>0</v>
      </c>
      <c r="BF601" s="47">
        <f ca="1">IF(BC601,4*('模拟-单技能数据'!$D$24+G601*'模拟-单技能数据'!$F$24)*(1+J601)*(1+'模拟-单技能数据'!$J$24)*(1-S601)*(1+$I$3)*(('模拟-全程加成'!$J$3+'模拟-全程加成'!$J$4+'模拟-全程加成'!$J$5+('模拟-全程加成'!$I$4+'模拟-全程加成'!$I$5)/系数!$B$4+BG601*10%)*('模拟-全程加成'!$J$3+'模拟-全程加成'!$J$4+'模拟-全程加成'!$J$5+('模拟-全程加成'!$I$4+'模拟-全程加成'!$I$5)/系数!$B$4+BG601*10%)+(1-('模拟-全程加成'!$J$3+'模拟-全程加成'!$J$4+'模拟-全程加成'!$J$5+('模拟-全程加成'!$I$4+'模拟-全程加成'!$I$5)/系数!$B$4+BG601*10%)-$F$10-$F$11)+F587*0.25),0)*'模拟-单技能数据'!$I$24</f>
        <v>0</v>
      </c>
      <c r="BG601" s="115" t="b">
        <f ca="1">OR(AND(OR(C601="烈日斩",C601="银月斩"),模拟模式!$I$7="净身明礼"),AND(C601="净世破魔击·日",模拟模式!$J$7="洞若观火"),AND(C602="净世破魔击·月",模拟模式!$J$7="洞若观火"),AB601=1)</f>
        <v>1</v>
      </c>
      <c r="BH601" s="115" t="b">
        <f t="shared" ca="1" si="499"/>
        <v>0</v>
      </c>
      <c r="BI601" s="115">
        <f t="shared" ca="1" si="518"/>
        <v>1.3874999999999997</v>
      </c>
      <c r="BJ601" s="115" t="b">
        <f t="shared" ca="1" si="529"/>
        <v>1</v>
      </c>
      <c r="BK601" s="115" t="b">
        <f ca="1">AND(C601="驱夜断愁",模拟模式!$P$7="天地诛戮")</f>
        <v>1</v>
      </c>
      <c r="BL601" s="57">
        <f t="shared" ca="1" si="519"/>
        <v>20</v>
      </c>
      <c r="BM601" s="115" t="b">
        <f t="shared" ca="1" si="530"/>
        <v>1</v>
      </c>
      <c r="BN601" s="115" t="b">
        <f ca="1">AND(OR(C601="赤日轮1",C601="赤日轮2",C601="赤日轮3",C601="幽月轮1",C601="幽月轮2",C601="幽月轮3"),AB601=1,模拟模式!$L$7="明光恒照")</f>
        <v>0</v>
      </c>
      <c r="BO601" s="117">
        <f t="shared" ca="1" si="520"/>
        <v>25.387500000000003</v>
      </c>
      <c r="BP601" s="115">
        <f t="shared" ca="1" si="500"/>
        <v>6</v>
      </c>
      <c r="BQ601" s="115" t="b">
        <f>模拟模式!$K$10="2600·水"</f>
        <v>0</v>
      </c>
      <c r="BR601" s="117">
        <f t="shared" si="501"/>
        <v>0</v>
      </c>
      <c r="BS601" s="115">
        <f t="shared" si="502"/>
        <v>0</v>
      </c>
      <c r="BT601" s="115">
        <f t="shared" ca="1" si="503"/>
        <v>0</v>
      </c>
      <c r="BU601" s="115" t="b">
        <f ca="1">AND(模拟模式!$K$10="2300·雷",BT600=0,RAND()&lt;IF(C601="净世破魔击·月",5*0.05*2/3,IF(C601="净世破魔击·日",3*0.05*2/3,0.05*2*2/3)))</f>
        <v>0</v>
      </c>
      <c r="BV601" s="115">
        <f t="shared" ca="1" si="504"/>
        <v>0</v>
      </c>
      <c r="BW601" s="115">
        <f t="shared" ca="1" si="505"/>
        <v>25.942499999999299</v>
      </c>
      <c r="BX601" s="164" t="b">
        <f t="shared" ca="1" si="506"/>
        <v>0</v>
      </c>
      <c r="BY601" s="115">
        <f t="shared" ca="1" si="507"/>
        <v>0</v>
      </c>
      <c r="BZ601" s="115">
        <f>IF(OR(模拟模式!$P$16="10人团",模拟模式!$P$16="25人团"),IF(B601/30&gt;CA600,1,0),0)</f>
        <v>0</v>
      </c>
      <c r="CA601" s="115">
        <f t="shared" si="483"/>
        <v>0</v>
      </c>
      <c r="CB601" s="115">
        <f ca="1">IF(BZ601=1,IF(模拟模式!$P$16="10人团",15,0)+IF(模拟模式!$P$16="25人团",IF(RAND()&lt;0.6,15,0)),MAX(0,CB600-$F$4))</f>
        <v>0</v>
      </c>
      <c r="CC601" s="115" t="b">
        <f t="shared" ca="1" si="531"/>
        <v>0</v>
      </c>
      <c r="CD601" s="115">
        <f>IF(模拟模式!$Q$16="1个",IF(B601/40&gt;CE600,1,0),0)</f>
        <v>0</v>
      </c>
      <c r="CE601" s="115">
        <f t="shared" si="532"/>
        <v>0</v>
      </c>
      <c r="CF601" s="115">
        <f>IF(OR(CD601=1,模拟模式!$Q$16="2个"),20,MAX(0,CF600-$F$4))</f>
        <v>0</v>
      </c>
      <c r="CG601" s="115" t="b">
        <f t="shared" si="533"/>
        <v>0</v>
      </c>
      <c r="CH601" s="115">
        <f t="shared" ca="1" si="508"/>
        <v>25.387500000000003</v>
      </c>
      <c r="CI601" s="115" t="b">
        <f t="shared" ca="1" si="509"/>
        <v>0</v>
      </c>
      <c r="CJ601" s="119">
        <f t="shared" ca="1" si="510"/>
        <v>0.01</v>
      </c>
      <c r="CK601" s="115">
        <f t="shared" ca="1" si="511"/>
        <v>3.3874999999999988</v>
      </c>
      <c r="CL601" s="115" t="b">
        <f ca="1">AND(模拟模式!$S$7="驱夷逐法",OR(AND(C601="净世破魔击·月",E600&gt;59),AND(C601="净世破魔击·日",F600&gt;59)))</f>
        <v>0</v>
      </c>
      <c r="CM601" s="115" t="b">
        <f ca="1">OR(CL601,AND(C601="净世破魔击·日",CL600,RAND()&lt;模拟模式!$U$23))</f>
        <v>0</v>
      </c>
      <c r="CN601" s="115" t="b">
        <f ca="1">IF(模拟模式!$M$7="辉耀红尘",AND(C601="净世破魔击·月",CL601,CV601=0,E600&lt;80),AND(C601="净世破魔击·月",CL601,E600&lt;100))</f>
        <v>0</v>
      </c>
      <c r="CO601" s="115" t="b">
        <f t="shared" ca="1" si="484"/>
        <v>0</v>
      </c>
      <c r="CP601" s="115" t="b">
        <f ca="1">AND(模拟模式!$O$7="用晦而明",OR(C601="净世破魔击·日",C601="净世破魔击·月",C601="驱夜断愁"),AB601)</f>
        <v>1</v>
      </c>
      <c r="CQ601" s="115" t="b">
        <f ca="1">OR(CP601,AND(CP600,RAND()&lt;模拟模式!$U$23))</f>
        <v>1</v>
      </c>
      <c r="CR601" s="115" t="b">
        <f ca="1">AND(模拟模式!$S$7="日月齐光",OR(C601="幽月轮1",C601="幽月轮2",C601="幽月轮3",CR600),NOT(OR(C601="赤日轮1",C601="赤日轮2",C601="赤日轮3")))</f>
        <v>0</v>
      </c>
      <c r="CS601" s="115" t="b">
        <f ca="1">AND(模拟模式!$S$7="日月齐光",OR(C601="赤日轮1",C601="赤日轮2",C601="赤日轮3",CS600),NOT(OR(C601="幽月轮1",C601="幽月轮2",C601="幽月轮3")))</f>
        <v>0</v>
      </c>
      <c r="CT601" s="115">
        <f t="shared" ca="1" si="512"/>
        <v>16.162500000000009</v>
      </c>
      <c r="CU601" s="115" t="b">
        <f ca="1">AND(模拟模式!$K$10="阴阳往极",CT600=0,RAND()&lt;IF(C601="净世破魔击·月",0.0275*7/3,IF(C601="净世破魔击·日",0.0275*3/3,0.0275*2/3)))</f>
        <v>0</v>
      </c>
      <c r="CV601" s="115">
        <f t="shared" ca="1" si="513"/>
        <v>0</v>
      </c>
      <c r="CW601" s="115">
        <f t="shared" ca="1" si="485"/>
        <v>0.46499999999999975</v>
      </c>
      <c r="CX601" s="115">
        <f t="shared" ca="1" si="486"/>
        <v>5.0774999999999997</v>
      </c>
      <c r="CY601" s="115">
        <f ca="1">MAX(IF($C601="驱夜断愁",IF(模拟模式!$R$7="万念俱寂",6,45),CY600-$F$4),0)</f>
        <v>6</v>
      </c>
      <c r="CZ601" s="115">
        <f t="shared" ca="1" si="487"/>
        <v>0</v>
      </c>
      <c r="DA601" s="115">
        <f ca="1">IF(模拟模式!$N$7="日月同辉",IF(DB600=2,0,MIN(6,IF(AND(OR(C601="赤日轮1",C601="赤日轮2",C601="赤日轮3",C601="幽月轮1",C601="幽月轮2",C601="幽月轮3"),AB601=1),DA600+1,DA600))),0)</f>
        <v>0</v>
      </c>
      <c r="DB601" s="115">
        <f t="shared" ca="1" si="488"/>
        <v>0</v>
      </c>
      <c r="DC601" s="115"/>
      <c r="DD601" s="115"/>
      <c r="DE601" s="115"/>
      <c r="DF601" s="115"/>
      <c r="DG601" s="115"/>
      <c r="DH601" s="115"/>
      <c r="DI601" s="115"/>
      <c r="DJ601" s="115"/>
      <c r="DK601" s="115"/>
      <c r="DL601" s="115"/>
      <c r="DM601" s="115"/>
    </row>
    <row r="602" spans="2:117" x14ac:dyDescent="0.2">
      <c r="B602" s="117">
        <f t="shared" si="489"/>
        <v>530.4375000000058</v>
      </c>
      <c r="C602" s="167" t="str">
        <f t="shared" ca="1" si="482"/>
        <v>烈日斩</v>
      </c>
      <c r="D602" s="115">
        <f ca="1">IF(C602="赤日轮1",1,IF(C602="赤日轮2",2,IF(C602="赤日轮3",3,IF(C602="幽月轮1",4,IF(C602="幽月轮2",5,IF(C602="幽月轮3",6,IF(C602="烈日斩",7,IF(C602="银月斩",8,IF(C602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602="净世破魔击·月",17,IF(C602="驱夜断愁",18,0)))))))))))</f>
        <v>7</v>
      </c>
      <c r="E602" s="115">
        <f ca="1">IF(AND(CU602,OR(C602="幽月轮1",C602="幽月轮2",C602="幽月轮3",C602="银月斩",C602="驱夜断愁",C602="净世破魔击·月")),100,MIN(IF(OR(CN602,BE602),0,IF(OR($C602="赤日轮1",$C602="赤日轮2",$C602="赤日轮3"),E601+20+IF(模拟模式!$I$7="日月凌天",4,0)+IF(CR601,20,0),IF($C602="烈日斩",E601+40,IF($C602="驱夜断愁",IF(模拟模式!$R$7="万念俱寂",E601+20,E601+60),IF($C602="净世破魔击·月",IF(OR(DB601&gt;0,CV601&gt;0),100,IF(模拟模式!$M$7="辉耀红尘",E601+20,E601)),IF($C602="净世破魔击·日",E601-100,E601)))))),100))</f>
        <v>80</v>
      </c>
      <c r="F602" s="115">
        <f ca="1">IF(AND(CU602,OR(C602="赤日轮1",C602="赤日轮2",C602="赤日轮3",C602="烈日斩",C602="净世破魔击·日")),100,MIN(IF(CO602,0,IF(OR($C602="幽月轮1",$C602="幽月轮2",$C602="幽月轮3"),F601+20+IF(模拟模式!$I$7="日月凌天",4,0)+IF(CS601,20,0),IF($C602="银月斩",F601+40+IF(模拟模式!$X$12=1,5,0),IF($C602="驱夜断愁",IF(模拟模式!$R$7="万念俱寂",F601+20,F601+60),IF($C602="净世破魔击·月",IF(模拟模式!$M$7="辉耀红尘",F601-80,F601-100),IF(AND(C602="净世破魔击·日",OR(DB601&gt;0,CV601&gt;0)),100,F601)))))),100))</f>
        <v>85</v>
      </c>
      <c r="G602" s="117">
        <f ca="1">('模拟-全程加成'!$E$3+'模拟-全程加成'!$E$4+'模拟-全程加成'!$E$5+('模拟-全程加成'!$C$6-'模拟-全程加成'!$C$3)*系数!$B$9+BS602*23)*(1+'模拟-全程加成'!$F$4+'模拟-全程加成'!$F$5+BJ602*10%+BM602*20%+BP602*4%+CG602*30%)+$F$7*系数!$B$12</f>
        <v>21493.829400000002</v>
      </c>
      <c r="H602" s="45">
        <f ca="1">'模拟-全程加成'!$H$3+'模拟-全程加成'!$H$4+'模拟-全程加成'!$H$5+('模拟-全程加成'!$G$4+'模拟-全程加成'!$G$5+('模拟-全程加成'!$C$6-'模拟-全程加成'!$C$3)*系数!$B$13)/系数!$B$3+LOOKUP(D602,'模拟-单技能数据'!$A$2:$A$19,'模拟-单技能数据'!$K$2:$K$19)+BG602*10%+IF(BV602&gt;0,378,0)</f>
        <v>0.56185145527300218</v>
      </c>
      <c r="I602" s="45">
        <f ca="1">'模拟-全程加成'!$J$3+'模拟-全程加成'!$J$4+'模拟-全程加成'!$J$5+('模拟-全程加成'!$I$4+'模拟-全程加成'!$I$5)/系数!$B$4+LOOKUP(D602,'模拟-单技能数据'!$A$2:$A$19,'模拟-单技能数据'!$L$2:$L$19)+BG602*10%</f>
        <v>2.2624828854998791</v>
      </c>
      <c r="J602" s="45">
        <f ca="1">(('模拟-全程加成'!$K$3+'模拟-全程加成'!$K$4+'模拟-全程加成'!$K$5+('模拟-全程加成'!$C$6-'模拟-全程加成'!$C$3)*系数!$B$10+IF(BV602&gt;0,882,0)+IF(BY602&gt;0,1831,0))*(1+'模拟-全程加成'!$L$4+'模拟-全程加成'!$L$5+CC602*20%))/系数!$B$5</f>
        <v>0.69723220422048726</v>
      </c>
      <c r="K602" s="119">
        <f ca="1">LOOKUP(D602,'模拟-单技能数据'!$A$2:$A$19,'模拟-单技能数据'!$J$2:$J$19)+IF(CM602,60%,0)+IF(DB601-DB602&gt;0,30%,0)+IF(OR(AND(OR(C602="赤日轮1",C602="赤日轮2",C602="赤日轮3"),CR602),AND(OR(C602="幽月轮1",C602="幽月轮2",C602="幽月轮3"),CS602)),35%,0)+CJ602</f>
        <v>0.25</v>
      </c>
      <c r="L602" s="119">
        <f ca="1">IF(AND(C602="烈日斩",模拟模式!$X$11=1),10%,0)+IF(AND(C602="驱夜断愁",AB602=1),30%,0)</f>
        <v>0.1</v>
      </c>
      <c r="M602" s="45">
        <f t="shared" ca="1" si="521"/>
        <v>0.56185145527300218</v>
      </c>
      <c r="N602" s="45">
        <f t="shared" ca="1" si="522"/>
        <v>0.38424854472699788</v>
      </c>
      <c r="O602" s="46">
        <f t="shared" ca="1" si="490"/>
        <v>0.30966884538577222</v>
      </c>
      <c r="P602" s="46" t="str">
        <f t="shared" ca="1" si="491"/>
        <v>会</v>
      </c>
      <c r="Q602" s="45">
        <f t="shared" ca="1" si="492"/>
        <v>2.2624828854998791</v>
      </c>
      <c r="R602" s="117">
        <f ca="1">模拟模式!$E$20*(1-IF(模拟模式!$J$19="有",0.15,0))*(1-IF(模拟模式!$K$19="有",0.3,0)-IF(CQ602,0.5,0))</f>
        <v>843.02999999999975</v>
      </c>
      <c r="S602" s="45">
        <f ca="1">R602/(R602+(185*模拟模式!$E$22-16800)*4.08224)</f>
        <v>8.389626085980037E-2</v>
      </c>
      <c r="T602" s="45" t="str">
        <f ca="1">LOOKUP(D602,'模拟-单技能数据'!$A$2:$A$19,'模拟-单技能数据'!$H$2:$H$19)</f>
        <v>阳</v>
      </c>
      <c r="U602" s="119">
        <f t="shared" ca="1" si="523"/>
        <v>0.2</v>
      </c>
      <c r="V602" s="47">
        <f ca="1">(1+L602)*(LOOKUP(D602,'模拟-单技能数据'!$A$2:$A$19,'模拟-单技能数据'!$D$2:$D$19)+G602*LOOKUP(D602,'模拟-单技能数据'!$A$2:$A$19,'模拟-单技能数据'!$F$2:$F$19))*(1+J602)*(1+K602)*(1-S602)*(1+U602)*Q602*LOOKUP(D602,'模拟-单技能数据'!$A$2:$A$19,'模拟-单技能数据'!$I$2:$I$20)</f>
        <v>111394.5122696896</v>
      </c>
      <c r="W602" s="47">
        <f ca="1">LOOKUP(D602,'模拟-单技能数据'!$A$2:$A$19,'模拟-单技能数据'!$G$2:$G$19)*$I$10</f>
        <v>361.51064354704795</v>
      </c>
      <c r="X602" s="47">
        <f t="shared" ca="1" si="493"/>
        <v>1062.6220839292735</v>
      </c>
      <c r="Y602" s="47">
        <f t="shared" ca="1" si="524"/>
        <v>112818.64499716593</v>
      </c>
      <c r="Z602" s="49">
        <f t="shared" ca="1" si="525"/>
        <v>60182319.025580786</v>
      </c>
      <c r="AA602" s="97">
        <f t="shared" ca="1" si="526"/>
        <v>113457.88905494074</v>
      </c>
      <c r="AB602" s="115">
        <f ca="1">IF(OR(C602="赤日轮1",C602="赤日轮2",C602="赤日轮3"),IF(RAND()&lt;模拟模式!$Y$17,1,0),IF(OR(C602="幽月轮1",C602="幽月轮2",C602="幽月轮3"),IF(RAND()&lt;模拟模式!$Y$18,1,0),IF(C602="烈日斩",IF(RAND()&lt;模拟模式!$Y$19,1,0),IF(C602="银月斩",IF(RAND()&lt;模拟模式!$Y$20,1,0),IF(C602="驱夜断愁",IF(RAND()&lt;模拟模式!$Y$21,1,0),IF(C602="净世破魔击·日",IF(RAND()&lt;模拟模式!$Y$22,1,0),IF(C602="净世破魔击·月",IF(RAND()&lt;模拟模式!$Y$23,1,0),0)))))))</f>
        <v>1</v>
      </c>
      <c r="AC602" s="115" t="b">
        <f t="shared" ca="1" si="514"/>
        <v>0</v>
      </c>
      <c r="AD602" s="115" t="b">
        <f t="shared" ca="1" si="534"/>
        <v>1</v>
      </c>
      <c r="AE602" s="115">
        <f t="shared" ca="1" si="535"/>
        <v>4</v>
      </c>
      <c r="AF602" s="47">
        <f ca="1">IF(AC602,('模拟-单技能数据'!$D$20+G602*'模拟-单技能数据'!$F$20)*(1+J602)*(1+'模拟-单技能数据'!$J$20)*(1+U602),0)</f>
        <v>0</v>
      </c>
      <c r="AG602" s="61">
        <f t="shared" ca="1" si="527"/>
        <v>0.64185145527300214</v>
      </c>
      <c r="AH602" s="61">
        <f t="shared" ca="1" si="528"/>
        <v>2.2624828854998791</v>
      </c>
      <c r="AI602" s="62">
        <f t="shared" ca="1" si="494"/>
        <v>1.4435303231431051E-2</v>
      </c>
      <c r="AJ602" s="47">
        <f ca="1">IF(AD602,IF(AI602&lt;$F$10,0,IF(AI602&lt;$F$10+$F$11,0.25,IF(AI602&lt;$F$10+$F$11+AG602,AH602,1)))*IF(AF602&gt;0,AF602,IF(AF601&gt;0,AF601,IF(AF600&gt;0,AF600,IF(AF599&gt;0,AF599,IF(AF598&gt;0,AF598,IF(AF597&gt;0,AF597,IF(AF596&gt;0,AF596,IF(AF595&gt;0,AF595,IF(AF594&gt;0,AF594,IF(AF592&gt;0,AF592,IF(AF591&gt;0,AF591,IF(AF590&gt;0,AF590,0)))))))))))),0)*(1-$S602)*'模拟-单技能数据'!$I$20</f>
        <v>1062.6220839292735</v>
      </c>
      <c r="AK602" s="115" t="b">
        <f t="shared" ca="1" si="515"/>
        <v>0</v>
      </c>
      <c r="AL602" s="115" t="b">
        <f t="shared" ca="1" si="536"/>
        <v>0</v>
      </c>
      <c r="AM602" s="115">
        <f t="shared" ca="1" si="537"/>
        <v>4</v>
      </c>
      <c r="AN602" s="47">
        <f ca="1">IF(AK602,('模拟-单技能数据'!$D$21+G602*'模拟-单技能数据'!$F$21)*(1+J602)*(1+'模拟-单技能数据'!$J$21)*(1+U602),0)</f>
        <v>0</v>
      </c>
      <c r="AO602" s="61">
        <f ca="1">IF(AN602&gt;0,M602-'模拟-单技能数据'!$K$10,AO601)</f>
        <v>0.42185145527300216</v>
      </c>
      <c r="AP602" s="61">
        <f ca="1">IF(AN602&gt;0,I602-'模拟-单技能数据'!$L$10,AP601)</f>
        <v>2.162482885499879</v>
      </c>
      <c r="AQ602" s="63">
        <f t="shared" ca="1" si="495"/>
        <v>0.69018650110478719</v>
      </c>
      <c r="AR602" s="64">
        <f ca="1">IF(AL602,IF(AQ602&lt;$F$10,0,IF(AQ602&lt;$F$10+$F$11,0.25,IF(AQ602&lt;$F$10+$F$11+AO602,AP602,1)))*IF(AN602&gt;0,AN602,IF(AN601&gt;0,AN601,IF(AN600&gt;0,AN600,IF(AN599&gt;0,AN599,IF(AN598&gt;0,AN598,IF(AN597&gt;0,AN597,IF(AN596&gt;0,AN596,IF(AN595&gt;0,AN595,IF(AN594&gt;0,AN594,IF(AN592&gt;0,AN592,IF(AN591&gt;0,AN591,IF(AN590&gt;0,AN590,0)))))))))))),0)*(1-$S602)*'模拟-单技能数据'!$I$21</f>
        <v>0</v>
      </c>
      <c r="AS602" s="61">
        <f ca="1">IF(OR(C602="净世破魔击·日",C602="净世破魔击·月"),M602-'模拟-单技能数据'!$K$10,0)</f>
        <v>0</v>
      </c>
      <c r="AT602" s="61">
        <f ca="1">IF(OR(C602="净世破魔击·日",C602="净世破魔击·月"),I602-'模拟-单技能数据'!$L$10,0)</f>
        <v>0</v>
      </c>
      <c r="AU602" s="62">
        <f t="shared" ca="1" si="496"/>
        <v>0.43632093596771515</v>
      </c>
      <c r="AV602" s="64">
        <f ca="1">IF(AS602&gt;0,('模拟-单技能数据'!$D$22+G602*'模拟-单技能数据'!$F$22)*(1+J602)*(1-S602)*IF(AU602&lt;$F$10,0,IF(AU602&lt;$F$10+$F$11,0.25,IF(AU602&lt;$F$10+$F$11+AS602,AT602,1)))*(1+U602),0)*'模拟-单技能数据'!$I$22</f>
        <v>0</v>
      </c>
      <c r="AW602" s="108">
        <f t="shared" ca="1" si="497"/>
        <v>8.9300000000000068</v>
      </c>
      <c r="AX602" s="108" t="b">
        <f ca="1">AND(模拟模式!$P$10="有",AW601=0,RAND()&lt;IF(C602="净世破魔击·月",0.1*8/3,IF(C602="净世破魔击·日",0.1*4/3,0.1*2/3)))</f>
        <v>0</v>
      </c>
      <c r="AY602" s="47">
        <f ca="1">IF(AX602,(18+G602*0.722)*(1+J602)*(1-S602)*(1+$I$4)*IF(P602="会",'模拟-全程加成'!$J$3+'模拟-全程加成'!$J$4+'模拟-全程加成'!$J$5+('模拟-全程加成'!$I$4+'模拟-全程加成'!$I$5)/系数!$B$4+BG602*10%,IF(P602="命",1,IF(P602="识",0.25,0))),0)</f>
        <v>0</v>
      </c>
      <c r="AZ602" s="108">
        <f t="shared" si="498"/>
        <v>17.232500000000002</v>
      </c>
      <c r="BA602" s="108" t="b">
        <f>AND(模拟模式!$Q$10="有",AZ601=0)</f>
        <v>0</v>
      </c>
      <c r="BB602" s="140">
        <f>IF(BA602,(0+G602*0.287)*(1+J602)*(1-S602)*(1+$I$4)*IF(P602="会",'模拟-全程加成'!$J$3+'模拟-全程加成'!$J$4+'模拟-全程加成'!$J$5+('模拟-全程加成'!$I$4+'模拟-全程加成'!$I$5)/系数!$B$4+BG602*10%,IF(P602="命",1,IF(P602="识",0.25,0))),0)</f>
        <v>0</v>
      </c>
      <c r="BC602" s="115" t="b">
        <f ca="1">AND(模拟模式!$R$7="伏明众生",E602=60,F602=20,DA602&lt;5,CZ601&lt;$F$4)</f>
        <v>0</v>
      </c>
      <c r="BD602" s="115">
        <f t="shared" ca="1" si="516"/>
        <v>0</v>
      </c>
      <c r="BE602" s="115" t="b">
        <f t="shared" ca="1" si="517"/>
        <v>0</v>
      </c>
      <c r="BF602" s="47">
        <f ca="1">IF(BC602,4*('模拟-单技能数据'!$D$24+G602*'模拟-单技能数据'!$F$24)*(1+J602)*(1+'模拟-单技能数据'!$J$24)*(1-S602)*(1+$I$3)*(('模拟-全程加成'!$J$3+'模拟-全程加成'!$J$4+'模拟-全程加成'!$J$5+('模拟-全程加成'!$I$4+'模拟-全程加成'!$I$5)/系数!$B$4+BG602*10%)*('模拟-全程加成'!$J$3+'模拟-全程加成'!$J$4+'模拟-全程加成'!$J$5+('模拟-全程加成'!$I$4+'模拟-全程加成'!$I$5)/系数!$B$4+BG602*10%)+(1-('模拟-全程加成'!$J$3+'模拟-全程加成'!$J$4+'模拟-全程加成'!$J$5+('模拟-全程加成'!$I$4+'模拟-全程加成'!$I$5)/系数!$B$4+BG602*10%)-$F$10-$F$11)+F588*0.25),0)*'模拟-单技能数据'!$I$24</f>
        <v>0</v>
      </c>
      <c r="BG602" s="115" t="b">
        <f ca="1">OR(AND(OR(C602="烈日斩",C602="银月斩"),模拟模式!$I$7="净身明礼"),AND(C602="净世破魔击·日",模拟模式!$J$7="洞若观火"),AND(C603="净世破魔击·月",模拟模式!$J$7="洞若观火"),AB602=1)</f>
        <v>1</v>
      </c>
      <c r="BH602" s="115" t="b">
        <f t="shared" ca="1" si="499"/>
        <v>0</v>
      </c>
      <c r="BI602" s="115">
        <f t="shared" ca="1" si="518"/>
        <v>0.46499999999999975</v>
      </c>
      <c r="BJ602" s="115" t="b">
        <f t="shared" ca="1" si="529"/>
        <v>1</v>
      </c>
      <c r="BK602" s="115" t="b">
        <f ca="1">AND(C602="驱夜断愁",模拟模式!$P$7="天地诛戮")</f>
        <v>0</v>
      </c>
      <c r="BL602" s="57">
        <f t="shared" ca="1" si="519"/>
        <v>19.077500000000001</v>
      </c>
      <c r="BM602" s="115" t="b">
        <f t="shared" ca="1" si="530"/>
        <v>1</v>
      </c>
      <c r="BN602" s="115" t="b">
        <f ca="1">AND(OR(C602="赤日轮1",C602="赤日轮2",C602="赤日轮3",C602="幽月轮1",C602="幽月轮2",C602="幽月轮3"),AB602=1,模拟模式!$L$7="明光恒照")</f>
        <v>0</v>
      </c>
      <c r="BO602" s="117">
        <f t="shared" ca="1" si="520"/>
        <v>24.465000000000003</v>
      </c>
      <c r="BP602" s="115">
        <f t="shared" ca="1" si="500"/>
        <v>6</v>
      </c>
      <c r="BQ602" s="115" t="b">
        <f>模拟模式!$K$10="2600·水"</f>
        <v>0</v>
      </c>
      <c r="BR602" s="117">
        <f t="shared" si="501"/>
        <v>0</v>
      </c>
      <c r="BS602" s="115">
        <f t="shared" si="502"/>
        <v>0</v>
      </c>
      <c r="BT602" s="115">
        <f t="shared" ca="1" si="503"/>
        <v>0</v>
      </c>
      <c r="BU602" s="115" t="b">
        <f ca="1">AND(模拟模式!$K$10="2300·雷",BT601=0,RAND()&lt;IF(C602="净世破魔击·月",5*0.05*2/3,IF(C602="净世破魔击·日",3*0.05*2/3,0.05*2*2/3)))</f>
        <v>0</v>
      </c>
      <c r="BV602" s="115">
        <f t="shared" ca="1" si="504"/>
        <v>0</v>
      </c>
      <c r="BW602" s="115">
        <f t="shared" ca="1" si="505"/>
        <v>25.0199999999993</v>
      </c>
      <c r="BX602" s="164" t="b">
        <f t="shared" ca="1" si="506"/>
        <v>0</v>
      </c>
      <c r="BY602" s="115">
        <f t="shared" ca="1" si="507"/>
        <v>0</v>
      </c>
      <c r="BZ602" s="115">
        <f>IF(OR(模拟模式!$P$16="10人团",模拟模式!$P$16="25人团"),IF(B602/30&gt;CA601,1,0),0)</f>
        <v>0</v>
      </c>
      <c r="CA602" s="115">
        <f t="shared" si="483"/>
        <v>0</v>
      </c>
      <c r="CB602" s="115">
        <f ca="1">IF(BZ602=1,IF(模拟模式!$P$16="10人团",15,0)+IF(模拟模式!$P$16="25人团",IF(RAND()&lt;0.6,15,0)),MAX(0,CB601-$F$4))</f>
        <v>0</v>
      </c>
      <c r="CC602" s="115" t="b">
        <f t="shared" ca="1" si="531"/>
        <v>0</v>
      </c>
      <c r="CD602" s="115">
        <f>IF(模拟模式!$Q$16="1个",IF(B602/40&gt;CE601,1,0),0)</f>
        <v>0</v>
      </c>
      <c r="CE602" s="115">
        <f t="shared" si="532"/>
        <v>0</v>
      </c>
      <c r="CF602" s="115">
        <f>IF(OR(CD602=1,模拟模式!$Q$16="2个"),20,MAX(0,CF601-$F$4))</f>
        <v>0</v>
      </c>
      <c r="CG602" s="115" t="b">
        <f t="shared" si="533"/>
        <v>0</v>
      </c>
      <c r="CH602" s="115">
        <f t="shared" ca="1" si="508"/>
        <v>24.465000000000003</v>
      </c>
      <c r="CI602" s="115" t="b">
        <f t="shared" ca="1" si="509"/>
        <v>0</v>
      </c>
      <c r="CJ602" s="119">
        <f t="shared" ca="1" si="510"/>
        <v>0.01</v>
      </c>
      <c r="CK602" s="115">
        <f t="shared" ca="1" si="511"/>
        <v>2.464999999999999</v>
      </c>
      <c r="CL602" s="115" t="b">
        <f ca="1">AND(模拟模式!$S$7="驱夷逐法",OR(AND(C602="净世破魔击·月",E601&gt;59),AND(C602="净世破魔击·日",F601&gt;59)))</f>
        <v>0</v>
      </c>
      <c r="CM602" s="115" t="b">
        <f ca="1">OR(CL602,AND(C602="净世破魔击·日",CL601,RAND()&lt;模拟模式!$U$23))</f>
        <v>0</v>
      </c>
      <c r="CN602" s="115" t="b">
        <f ca="1">IF(模拟模式!$M$7="辉耀红尘",AND(C602="净世破魔击·月",CL602,CV602=0,E601&lt;80),AND(C602="净世破魔击·月",CL602,E601&lt;100))</f>
        <v>0</v>
      </c>
      <c r="CO602" s="115" t="b">
        <f t="shared" ca="1" si="484"/>
        <v>0</v>
      </c>
      <c r="CP602" s="115" t="b">
        <f ca="1">AND(模拟模式!$O$7="用晦而明",OR(C602="净世破魔击·日",C602="净世破魔击·月",C602="驱夜断愁"),AB602)</f>
        <v>0</v>
      </c>
      <c r="CQ602" s="115" t="b">
        <f ca="1">OR(CP602,AND(CP601,RAND()&lt;模拟模式!$U$23))</f>
        <v>1</v>
      </c>
      <c r="CR602" s="115" t="b">
        <f ca="1">AND(模拟模式!$S$7="日月齐光",OR(C602="幽月轮1",C602="幽月轮2",C602="幽月轮3",CR601),NOT(OR(C602="赤日轮1",C602="赤日轮2",C602="赤日轮3")))</f>
        <v>0</v>
      </c>
      <c r="CS602" s="115" t="b">
        <f ca="1">AND(模拟模式!$S$7="日月齐光",OR(C602="赤日轮1",C602="赤日轮2",C602="赤日轮3",CS601),NOT(OR(C602="幽月轮1",C602="幽月轮2",C602="幽月轮3")))</f>
        <v>0</v>
      </c>
      <c r="CT602" s="115">
        <f t="shared" ca="1" si="512"/>
        <v>15.240000000000009</v>
      </c>
      <c r="CU602" s="115" t="b">
        <f ca="1">AND(模拟模式!$K$10="阴阳往极",CT601=0,RAND()&lt;IF(C602="净世破魔击·月",0.0275*7/3,IF(C602="净世破魔击·日",0.0275*3/3,0.0275*2/3)))</f>
        <v>0</v>
      </c>
      <c r="CV602" s="115">
        <f t="shared" ca="1" si="513"/>
        <v>0</v>
      </c>
      <c r="CW602" s="115">
        <f t="shared" ca="1" si="485"/>
        <v>6</v>
      </c>
      <c r="CX602" s="115">
        <f t="shared" ca="1" si="486"/>
        <v>4.1549999999999994</v>
      </c>
      <c r="CY602" s="115">
        <f ca="1">MAX(IF($C602="驱夜断愁",IF(模拟模式!$R$7="万念俱寂",6,45),CY601-$F$4),0)</f>
        <v>5.0774999999999997</v>
      </c>
      <c r="CZ602" s="115">
        <f t="shared" ca="1" si="487"/>
        <v>0</v>
      </c>
      <c r="DA602" s="115">
        <f ca="1">IF(模拟模式!$N$7="日月同辉",IF(DB601=2,0,MIN(6,IF(AND(OR(C602="赤日轮1",C602="赤日轮2",C602="赤日轮3",C602="幽月轮1",C602="幽月轮2",C602="幽月轮3"),AB602=1),DA601+1,DA601))),0)</f>
        <v>0</v>
      </c>
      <c r="DB602" s="115">
        <f t="shared" ca="1" si="488"/>
        <v>0</v>
      </c>
      <c r="DC602" s="115"/>
      <c r="DD602" s="115"/>
      <c r="DE602" s="115"/>
      <c r="DF602" s="115"/>
      <c r="DG602" s="115"/>
      <c r="DH602" s="115"/>
      <c r="DI602" s="115"/>
      <c r="DJ602" s="115"/>
      <c r="DK602" s="115"/>
      <c r="DL602" s="115"/>
      <c r="DM602" s="115"/>
    </row>
    <row r="603" spans="2:117" x14ac:dyDescent="0.2">
      <c r="B603" s="117">
        <f t="shared" si="489"/>
        <v>531.36000000000581</v>
      </c>
      <c r="C603" s="167" t="str">
        <f t="shared" ca="1" si="482"/>
        <v>幽月轮1</v>
      </c>
      <c r="D603" s="115">
        <f ca="1">IF(C603="赤日轮1",1,IF(C603="赤日轮2",2,IF(C603="赤日轮3",3,IF(C603="幽月轮1",4,IF(C603="幽月轮2",5,IF(C603="幽月轮3",6,IF(C603="烈日斩",7,IF(C603="银月斩",8,IF(C603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603="净世破魔击·月",17,IF(C603="驱夜断愁",18,0)))))))))))</f>
        <v>4</v>
      </c>
      <c r="E603" s="115">
        <f ca="1">IF(AND(CU603,OR(C603="幽月轮1",C603="幽月轮2",C603="幽月轮3",C603="银月斩",C603="驱夜断愁",C603="净世破魔击·月")),100,MIN(IF(OR(CN603,BE603),0,IF(OR($C603="赤日轮1",$C603="赤日轮2",$C603="赤日轮3"),E602+20+IF(模拟模式!$I$7="日月凌天",4,0)+IF(CR602,20,0),IF($C603="烈日斩",E602+40,IF($C603="驱夜断愁",IF(模拟模式!$R$7="万念俱寂",E602+20,E602+60),IF($C603="净世破魔击·月",IF(OR(DB602&gt;0,CV602&gt;0),100,IF(模拟模式!$M$7="辉耀红尘",E602+20,E602)),IF($C603="净世破魔击·日",E602-100,E602)))))),100))</f>
        <v>80</v>
      </c>
      <c r="F603" s="115">
        <f ca="1">IF(AND(CU603,OR(C603="赤日轮1",C603="赤日轮2",C603="赤日轮3",C603="烈日斩",C603="净世破魔击·日")),100,MIN(IF(CO603,0,IF(OR($C603="幽月轮1",$C603="幽月轮2",$C603="幽月轮3"),F602+20+IF(模拟模式!$I$7="日月凌天",4,0)+IF(CS602,20,0),IF($C603="银月斩",F602+40+IF(模拟模式!$X$12=1,5,0),IF($C603="驱夜断愁",IF(模拟模式!$R$7="万念俱寂",F602+20,F602+60),IF($C603="净世破魔击·月",IF(模拟模式!$M$7="辉耀红尘",F602-80,F602-100),IF(AND(C603="净世破魔击·日",OR(DB602&gt;0,CV602&gt;0)),100,F602)))))),100))</f>
        <v>100</v>
      </c>
      <c r="G603" s="117">
        <f ca="1">('模拟-全程加成'!$E$3+'模拟-全程加成'!$E$4+'模拟-全程加成'!$E$5+('模拟-全程加成'!$C$6-'模拟-全程加成'!$C$3)*系数!$B$9+BS603*23)*(1+'模拟-全程加成'!$F$4+'模拟-全程加成'!$F$5+BJ603*10%+BM603*20%+BP603*4%+CG603*30%)+$F$7*系数!$B$12</f>
        <v>20583.127400000001</v>
      </c>
      <c r="H603" s="45">
        <f ca="1">'模拟-全程加成'!$H$3+'模拟-全程加成'!$H$4+'模拟-全程加成'!$H$5+('模拟-全程加成'!$G$4+'模拟-全程加成'!$G$5+('模拟-全程加成'!$C$6-'模拟-全程加成'!$C$3)*系数!$B$13)/系数!$B$3+LOOKUP(D603,'模拟-单技能数据'!$A$2:$A$19,'模拟-单技能数据'!$K$2:$K$19)+BG603*10%+IF(BV603&gt;0,378,0)</f>
        <v>0.51185145527300213</v>
      </c>
      <c r="I603" s="45">
        <f ca="1">'模拟-全程加成'!$J$3+'模拟-全程加成'!$J$4+'模拟-全程加成'!$J$5+('模拟-全程加成'!$I$4+'模拟-全程加成'!$I$5)/系数!$B$4+LOOKUP(D603,'模拟-单技能数据'!$A$2:$A$19,'模拟-单技能数据'!$L$2:$L$19)+BG603*10%</f>
        <v>2.162482885499879</v>
      </c>
      <c r="J603" s="45">
        <f ca="1">(('模拟-全程加成'!$K$3+'模拟-全程加成'!$K$4+'模拟-全程加成'!$K$5+('模拟-全程加成'!$C$6-'模拟-全程加成'!$C$3)*系数!$B$10+IF(BV603&gt;0,882,0)+IF(BY603&gt;0,1831,0))*(1+'模拟-全程加成'!$L$4+'模拟-全程加成'!$L$5+CC603*20%))/系数!$B$5</f>
        <v>0.69723220422048726</v>
      </c>
      <c r="K603" s="119">
        <f ca="1">LOOKUP(D603,'模拟-单技能数据'!$A$2:$A$19,'模拟-单技能数据'!$J$2:$J$19)+IF(CM603,60%,0)+IF(DB602-DB603&gt;0,30%,0)+IF(OR(AND(OR(C603="赤日轮1",C603="赤日轮2",C603="赤日轮3"),CR603),AND(OR(C603="幽月轮1",C603="幽月轮2",C603="幽月轮3"),CS603)),35%,0)+CJ603</f>
        <v>0.08</v>
      </c>
      <c r="L603" s="119">
        <f ca="1">IF(AND(C603="烈日斩",模拟模式!$X$11=1),10%,0)+IF(AND(C603="驱夜断愁",AB603=1),30%,0)</f>
        <v>0</v>
      </c>
      <c r="M603" s="45">
        <f t="shared" ca="1" si="521"/>
        <v>0.51185145527300213</v>
      </c>
      <c r="N603" s="45">
        <f t="shared" ca="1" si="522"/>
        <v>0.43424854472699792</v>
      </c>
      <c r="O603" s="46">
        <f t="shared" ca="1" si="490"/>
        <v>0.38420178348586209</v>
      </c>
      <c r="P603" s="46" t="str">
        <f t="shared" ca="1" si="491"/>
        <v>会</v>
      </c>
      <c r="Q603" s="45">
        <f t="shared" ca="1" si="492"/>
        <v>2.162482885499879</v>
      </c>
      <c r="R603" s="117">
        <f ca="1">模拟模式!$E$20*(1-IF(模拟模式!$J$19="有",0.15,0))*(1-IF(模拟模式!$K$19="有",0.3,0)-IF(CQ603,0.5,0))</f>
        <v>2950.6049999999996</v>
      </c>
      <c r="S603" s="45">
        <f ca="1">R603/(R603+(185*模拟模式!$E$22-16800)*4.08224)</f>
        <v>0.24272716014590323</v>
      </c>
      <c r="T603" s="45" t="str">
        <f ca="1">LOOKUP(D603,'模拟-单技能数据'!$A$2:$A$19,'模拟-单技能数据'!$H$2:$H$19)</f>
        <v>阴</v>
      </c>
      <c r="U603" s="119">
        <f t="shared" ca="1" si="523"/>
        <v>0.08</v>
      </c>
      <c r="V603" s="47">
        <f ca="1">(1+L603)*(LOOKUP(D603,'模拟-单技能数据'!$A$2:$A$19,'模拟-单技能数据'!$D$2:$D$19)+G603*LOOKUP(D603,'模拟-单技能数据'!$A$2:$A$19,'模拟-单技能数据'!$F$2:$F$19))*(1+J603)*(1+K603)*(1-S603)*(1+U603)*Q603*LOOKUP(D603,'模拟-单技能数据'!$A$2:$A$19,'模拟-单技能数据'!$I$2:$I$20)</f>
        <v>35416.853196718788</v>
      </c>
      <c r="W603" s="47">
        <f ca="1">LOOKUP(D603,'模拟-单技能数据'!$A$2:$A$19,'模拟-单技能数据'!$G$2:$G$19)*$I$10</f>
        <v>361.51064354704795</v>
      </c>
      <c r="X603" s="47">
        <f t="shared" ca="1" si="493"/>
        <v>9595.3556920079973</v>
      </c>
      <c r="Y603" s="47">
        <f t="shared" ca="1" si="524"/>
        <v>45373.719532273841</v>
      </c>
      <c r="Z603" s="49">
        <f t="shared" ca="1" si="525"/>
        <v>60227692.74511306</v>
      </c>
      <c r="AA603" s="97">
        <f t="shared" ca="1" si="526"/>
        <v>113346.30522642352</v>
      </c>
      <c r="AB603" s="115">
        <f ca="1">IF(OR(C603="赤日轮1",C603="赤日轮2",C603="赤日轮3"),IF(RAND()&lt;模拟模式!$Y$17,1,0),IF(OR(C603="幽月轮1",C603="幽月轮2",C603="幽月轮3"),IF(RAND()&lt;模拟模式!$Y$18,1,0),IF(C603="烈日斩",IF(RAND()&lt;模拟模式!$Y$19,1,0),IF(C603="银月斩",IF(RAND()&lt;模拟模式!$Y$20,1,0),IF(C603="驱夜断愁",IF(RAND()&lt;模拟模式!$Y$21,1,0),IF(C603="净世破魔击·日",IF(RAND()&lt;模拟模式!$Y$22,1,0),IF(C603="净世破魔击·月",IF(RAND()&lt;模拟模式!$Y$23,1,0),0)))))))</f>
        <v>1</v>
      </c>
      <c r="AC603" s="115" t="b">
        <f t="shared" ca="1" si="514"/>
        <v>0</v>
      </c>
      <c r="AD603" s="115" t="b">
        <f t="shared" ca="1" si="534"/>
        <v>0</v>
      </c>
      <c r="AE603" s="115">
        <f t="shared" ca="1" si="535"/>
        <v>4</v>
      </c>
      <c r="AF603" s="47">
        <f ca="1">IF(AC603,('模拟-单技能数据'!$D$20+G603*'模拟-单技能数据'!$F$20)*(1+J603)*(1+'模拟-单技能数据'!$J$20)*(1+U603),0)</f>
        <v>0</v>
      </c>
      <c r="AG603" s="61">
        <f t="shared" ca="1" si="527"/>
        <v>0.64185145527300214</v>
      </c>
      <c r="AH603" s="61">
        <f t="shared" ca="1" si="528"/>
        <v>2.2624828854998791</v>
      </c>
      <c r="AI603" s="62">
        <f t="shared" ca="1" si="494"/>
        <v>0.85294687183071449</v>
      </c>
      <c r="AJ603" s="47">
        <f ca="1">IF(AD603,IF(AI603&lt;$F$10,0,IF(AI603&lt;$F$10+$F$11,0.25,IF(AI603&lt;$F$10+$F$11+AG603,AH603,1)))*IF(AF603&gt;0,AF603,IF(AF602&gt;0,AF602,IF(AF601&gt;0,AF601,IF(AF600&gt;0,AF600,IF(AF599&gt;0,AF599,IF(AF598&gt;0,AF598,IF(AF597&gt;0,AF597,IF(AF596&gt;0,AF596,IF(AF595&gt;0,AF595,IF(AF593&gt;0,AF593,IF(AF592&gt;0,AF592,IF(AF591&gt;0,AF591,0)))))))))))),0)*(1-$S603)*'模拟-单技能数据'!$I$20</f>
        <v>0</v>
      </c>
      <c r="AK603" s="115" t="b">
        <f t="shared" ca="1" si="515"/>
        <v>0</v>
      </c>
      <c r="AL603" s="115" t="b">
        <f t="shared" ca="1" si="536"/>
        <v>1</v>
      </c>
      <c r="AM603" s="115">
        <f t="shared" ca="1" si="537"/>
        <v>3</v>
      </c>
      <c r="AN603" s="47">
        <f ca="1">IF(AK603,('模拟-单技能数据'!$D$21+G603*'模拟-单技能数据'!$F$21)*(1+J603)*(1+'模拟-单技能数据'!$J$21)*(1+U603),0)</f>
        <v>0</v>
      </c>
      <c r="AO603" s="61">
        <f ca="1">IF(AN603&gt;0,M603-'模拟-单技能数据'!$K$10,AO602)</f>
        <v>0.42185145527300216</v>
      </c>
      <c r="AP603" s="61">
        <f ca="1">IF(AN603&gt;0,I603-'模拟-单技能数据'!$L$10,AP602)</f>
        <v>2.162482885499879</v>
      </c>
      <c r="AQ603" s="63">
        <f t="shared" ca="1" si="495"/>
        <v>0.92834064392305038</v>
      </c>
      <c r="AR603" s="64">
        <f ca="1">IF(AL603,IF(AQ603&lt;$F$10,0,IF(AQ603&lt;$F$10+$F$11,0.25,IF(AQ603&lt;$F$10+$F$11+AO603,AP603,1)))*IF(AN603&gt;0,AN603,IF(AN602&gt;0,AN602,IF(AN601&gt;0,AN601,IF(AN600&gt;0,AN600,IF(AN599&gt;0,AN599,IF(AN598&gt;0,AN598,IF(AN597&gt;0,AN597,IF(AN596&gt;0,AN596,IF(AN595&gt;0,AN595,IF(AN593&gt;0,AN593,IF(AN592&gt;0,AN592,IF(AN591&gt;0,AN591,0)))))))))))),0)*(1-$S603)*'模拟-单技能数据'!$I$21</f>
        <v>9595.3556920079973</v>
      </c>
      <c r="AS603" s="61">
        <f ca="1">IF(OR(C603="净世破魔击·日",C603="净世破魔击·月"),M603-'模拟-单技能数据'!$K$10,0)</f>
        <v>0</v>
      </c>
      <c r="AT603" s="61">
        <f ca="1">IF(OR(C603="净世破魔击·日",C603="净世破魔击·月"),I603-'模拟-单技能数据'!$L$10,0)</f>
        <v>0</v>
      </c>
      <c r="AU603" s="62">
        <f t="shared" ca="1" si="496"/>
        <v>4.2215058965307972E-2</v>
      </c>
      <c r="AV603" s="64">
        <f ca="1">IF(AS603&gt;0,('模拟-单技能数据'!$D$22+G603*'模拟-单技能数据'!$F$22)*(1+J603)*(1-S603)*IF(AU603&lt;$F$10,0,IF(AU603&lt;$F$10+$F$11,0.25,IF(AU603&lt;$F$10+$F$11+AS603,AT603,1)))*(1+U603),0)*'模拟-单技能数据'!$I$22</f>
        <v>0</v>
      </c>
      <c r="AW603" s="108">
        <f t="shared" ca="1" si="497"/>
        <v>8.0075000000000074</v>
      </c>
      <c r="AX603" s="108" t="b">
        <f ca="1">AND(模拟模式!$P$10="有",AW602=0,RAND()&lt;IF(C603="净世破魔击·月",0.1*8/3,IF(C603="净世破魔击·日",0.1*4/3,0.1*2/3)))</f>
        <v>0</v>
      </c>
      <c r="AY603" s="47">
        <f ca="1">IF(AX603,(18+G603*0.722)*(1+J603)*(1-S603)*(1+$I$4)*IF(P603="会",'模拟-全程加成'!$J$3+'模拟-全程加成'!$J$4+'模拟-全程加成'!$J$5+('模拟-全程加成'!$I$4+'模拟-全程加成'!$I$5)/系数!$B$4+BG603*10%,IF(P603="命",1,IF(P603="识",0.25,0))),0)</f>
        <v>0</v>
      </c>
      <c r="AZ603" s="108">
        <f t="shared" si="498"/>
        <v>16.310000000000002</v>
      </c>
      <c r="BA603" s="108" t="b">
        <f>AND(模拟模式!$Q$10="有",AZ602=0)</f>
        <v>0</v>
      </c>
      <c r="BB603" s="140">
        <f>IF(BA603,(0+G603*0.287)*(1+J603)*(1-S603)*(1+$I$4)*IF(P603="会",'模拟-全程加成'!$J$3+'模拟-全程加成'!$J$4+'模拟-全程加成'!$J$5+('模拟-全程加成'!$I$4+'模拟-全程加成'!$I$5)/系数!$B$4+BG603*10%,IF(P603="命",1,IF(P603="识",0.25,0))),0)</f>
        <v>0</v>
      </c>
      <c r="BC603" s="115" t="b">
        <f ca="1">AND(模拟模式!$R$7="伏明众生",E603=60,F603=20,DA603&lt;5,CZ602&lt;$F$4)</f>
        <v>0</v>
      </c>
      <c r="BD603" s="115">
        <f t="shared" ca="1" si="516"/>
        <v>0</v>
      </c>
      <c r="BE603" s="115" t="b">
        <f t="shared" ca="1" si="517"/>
        <v>0</v>
      </c>
      <c r="BF603" s="47">
        <f ca="1">IF(BC603,4*('模拟-单技能数据'!$D$24+G603*'模拟-单技能数据'!$F$24)*(1+J603)*(1+'模拟-单技能数据'!$J$24)*(1-S603)*(1+$I$3)*(('模拟-全程加成'!$J$3+'模拟-全程加成'!$J$4+'模拟-全程加成'!$J$5+('模拟-全程加成'!$I$4+'模拟-全程加成'!$I$5)/系数!$B$4+BG603*10%)*('模拟-全程加成'!$J$3+'模拟-全程加成'!$J$4+'模拟-全程加成'!$J$5+('模拟-全程加成'!$I$4+'模拟-全程加成'!$I$5)/系数!$B$4+BG603*10%)+(1-('模拟-全程加成'!$J$3+'模拟-全程加成'!$J$4+'模拟-全程加成'!$J$5+('模拟-全程加成'!$I$4+'模拟-全程加成'!$I$5)/系数!$B$4+BG603*10%)-$F$10-$F$11)+F589*0.25),0)*'模拟-单技能数据'!$I$24</f>
        <v>0</v>
      </c>
      <c r="BG603" s="115" t="b">
        <f ca="1">OR(AND(OR(C603="烈日斩",C603="银月斩"),模拟模式!$I$7="净身明礼"),AND(C603="净世破魔击·日",模拟模式!$J$7="洞若观火"),AND(C604="净世破魔击·月",模拟模式!$J$7="洞若观火"),AB603=1)</f>
        <v>1</v>
      </c>
      <c r="BH603" s="115" t="b">
        <f t="shared" ca="1" si="499"/>
        <v>0</v>
      </c>
      <c r="BI603" s="115">
        <f t="shared" ca="1" si="518"/>
        <v>0</v>
      </c>
      <c r="BJ603" s="115" t="b">
        <f t="shared" ca="1" si="529"/>
        <v>0</v>
      </c>
      <c r="BK603" s="115" t="b">
        <f ca="1">AND(C603="驱夜断愁",模拟模式!$P$7="天地诛戮")</f>
        <v>0</v>
      </c>
      <c r="BL603" s="57">
        <f t="shared" ca="1" si="519"/>
        <v>18.155000000000001</v>
      </c>
      <c r="BM603" s="115" t="b">
        <f t="shared" ca="1" si="530"/>
        <v>1</v>
      </c>
      <c r="BN603" s="115" t="b">
        <f ca="1">AND(OR(C603="赤日轮1",C603="赤日轮2",C603="赤日轮3",C603="幽月轮1",C603="幽月轮2",C603="幽月轮3"),AB603=1,模拟模式!$L$7="明光恒照")</f>
        <v>1</v>
      </c>
      <c r="BO603" s="117">
        <f t="shared" ca="1" si="520"/>
        <v>30</v>
      </c>
      <c r="BP603" s="115">
        <f t="shared" ca="1" si="500"/>
        <v>6</v>
      </c>
      <c r="BQ603" s="115" t="b">
        <f>模拟模式!$K$10="2600·水"</f>
        <v>0</v>
      </c>
      <c r="BR603" s="117">
        <f t="shared" si="501"/>
        <v>0</v>
      </c>
      <c r="BS603" s="115">
        <f t="shared" si="502"/>
        <v>0</v>
      </c>
      <c r="BT603" s="115">
        <f t="shared" ca="1" si="503"/>
        <v>0</v>
      </c>
      <c r="BU603" s="115" t="b">
        <f ca="1">AND(模拟模式!$K$10="2300·雷",BT602=0,RAND()&lt;IF(C603="净世破魔击·月",5*0.05*2/3,IF(C603="净世破魔击·日",3*0.05*2/3,0.05*2*2/3)))</f>
        <v>0</v>
      </c>
      <c r="BV603" s="115">
        <f t="shared" ca="1" si="504"/>
        <v>0</v>
      </c>
      <c r="BW603" s="115">
        <f t="shared" ca="1" si="505"/>
        <v>24.0974999999993</v>
      </c>
      <c r="BX603" s="164" t="b">
        <f t="shared" ca="1" si="506"/>
        <v>0</v>
      </c>
      <c r="BY603" s="115">
        <f t="shared" ca="1" si="507"/>
        <v>0</v>
      </c>
      <c r="BZ603" s="115">
        <f>IF(OR(模拟模式!$P$16="10人团",模拟模式!$P$16="25人团"),IF(B603/30&gt;CA602,1,0),0)</f>
        <v>0</v>
      </c>
      <c r="CA603" s="115">
        <f t="shared" si="483"/>
        <v>0</v>
      </c>
      <c r="CB603" s="115">
        <f ca="1">IF(BZ603=1,IF(模拟模式!$P$16="10人团",15,0)+IF(模拟模式!$P$16="25人团",IF(RAND()&lt;0.6,15,0)),MAX(0,CB602-$F$4))</f>
        <v>0</v>
      </c>
      <c r="CC603" s="115" t="b">
        <f t="shared" ca="1" si="531"/>
        <v>0</v>
      </c>
      <c r="CD603" s="115">
        <f>IF(模拟模式!$Q$16="1个",IF(B603/40&gt;CE602,1,0),0)</f>
        <v>0</v>
      </c>
      <c r="CE603" s="115">
        <f t="shared" si="532"/>
        <v>0</v>
      </c>
      <c r="CF603" s="115">
        <f>IF(OR(CD603=1,模拟模式!$Q$16="2个"),20,MAX(0,CF602-$F$4))</f>
        <v>0</v>
      </c>
      <c r="CG603" s="115" t="b">
        <f t="shared" si="533"/>
        <v>0</v>
      </c>
      <c r="CH603" s="115">
        <f t="shared" ca="1" si="508"/>
        <v>23.542500000000004</v>
      </c>
      <c r="CI603" s="115" t="b">
        <f t="shared" ca="1" si="509"/>
        <v>0</v>
      </c>
      <c r="CJ603" s="119">
        <f t="shared" ca="1" si="510"/>
        <v>0.01</v>
      </c>
      <c r="CK603" s="115">
        <f t="shared" ca="1" si="511"/>
        <v>1.5424999999999991</v>
      </c>
      <c r="CL603" s="115" t="b">
        <f ca="1">AND(模拟模式!$S$7="驱夷逐法",OR(AND(C603="净世破魔击·月",E602&gt;59),AND(C603="净世破魔击·日",F602&gt;59)))</f>
        <v>0</v>
      </c>
      <c r="CM603" s="115" t="b">
        <f ca="1">OR(CL603,AND(C603="净世破魔击·日",CL602,RAND()&lt;模拟模式!$U$23))</f>
        <v>0</v>
      </c>
      <c r="CN603" s="115" t="b">
        <f ca="1">IF(模拟模式!$M$7="辉耀红尘",AND(C603="净世破魔击·月",CL603,CV603=0,E602&lt;80),AND(C603="净世破魔击·月",CL603,E602&lt;100))</f>
        <v>0</v>
      </c>
      <c r="CO603" s="115" t="b">
        <f t="shared" ca="1" si="484"/>
        <v>0</v>
      </c>
      <c r="CP603" s="115" t="b">
        <f ca="1">AND(模拟模式!$O$7="用晦而明",OR(C603="净世破魔击·日",C603="净世破魔击·月",C603="驱夜断愁"),AB603)</f>
        <v>0</v>
      </c>
      <c r="CQ603" s="115" t="b">
        <f ca="1">OR(CP603,AND(CP602,RAND()&lt;模拟模式!$U$23))</f>
        <v>0</v>
      </c>
      <c r="CR603" s="115" t="b">
        <f ca="1">AND(模拟模式!$S$7="日月齐光",OR(C603="幽月轮1",C603="幽月轮2",C603="幽月轮3",CR602),NOT(OR(C603="赤日轮1",C603="赤日轮2",C603="赤日轮3")))</f>
        <v>0</v>
      </c>
      <c r="CS603" s="115" t="b">
        <f ca="1">AND(模拟模式!$S$7="日月齐光",OR(C603="赤日轮1",C603="赤日轮2",C603="赤日轮3",CS602),NOT(OR(C603="幽月轮1",C603="幽月轮2",C603="幽月轮3")))</f>
        <v>0</v>
      </c>
      <c r="CT603" s="115">
        <f t="shared" ca="1" si="512"/>
        <v>14.31750000000001</v>
      </c>
      <c r="CU603" s="115" t="b">
        <f ca="1">AND(模拟模式!$K$10="阴阳往极",CT602=0,RAND()&lt;IF(C603="净世破魔击·月",0.0275*7/3,IF(C603="净世破魔击·日",0.0275*3/3,0.0275*2/3)))</f>
        <v>0</v>
      </c>
      <c r="CV603" s="115">
        <f t="shared" ca="1" si="513"/>
        <v>0</v>
      </c>
      <c r="CW603" s="115">
        <f t="shared" ca="1" si="485"/>
        <v>5.0774999999999997</v>
      </c>
      <c r="CX603" s="115">
        <f t="shared" ca="1" si="486"/>
        <v>3.2324999999999995</v>
      </c>
      <c r="CY603" s="115">
        <f ca="1">MAX(IF($C603="驱夜断愁",IF(模拟模式!$R$7="万念俱寂",6,45),CY602-$F$4),0)</f>
        <v>4.1549999999999994</v>
      </c>
      <c r="CZ603" s="115">
        <f t="shared" ca="1" si="487"/>
        <v>0</v>
      </c>
      <c r="DA603" s="115">
        <f ca="1">IF(模拟模式!$N$7="日月同辉",IF(DB602=2,0,MIN(6,IF(AND(OR(C603="赤日轮1",C603="赤日轮2",C603="赤日轮3",C603="幽月轮1",C603="幽月轮2",C603="幽月轮3"),AB603=1),DA602+1,DA602))),0)</f>
        <v>1</v>
      </c>
      <c r="DB603" s="115">
        <f t="shared" ca="1" si="488"/>
        <v>0</v>
      </c>
      <c r="DC603" s="115"/>
      <c r="DD603" s="115"/>
      <c r="DE603" s="115"/>
      <c r="DF603" s="115"/>
      <c r="DG603" s="115"/>
      <c r="DH603" s="115"/>
      <c r="DI603" s="115"/>
      <c r="DJ603" s="115"/>
      <c r="DK603" s="115"/>
      <c r="DL603" s="115"/>
      <c r="DM603" s="115"/>
    </row>
    <row r="604" spans="2:117" x14ac:dyDescent="0.2">
      <c r="B604" s="117">
        <f t="shared" si="489"/>
        <v>532.28250000000583</v>
      </c>
      <c r="C604" s="167" t="str">
        <f t="shared" ref="C604:C667" ca="1" si="538">IF(F603=100,"净世破魔击·月",IF(E603=100,"净世破魔击·日",IF(E603&lt;20,IF(C603="赤日轮1","赤日轮2",IF(C603="赤日轮2","赤日轮3","赤日轮1")),IF(AND(E603&gt;19,F603&lt;44,CX603&lt;$F$4),"银月斩",IF(AND(E603&lt;40,CY603&lt;$F$4),"驱夜断愁",IF(AND(E603&lt;60,CW603&lt;$F$4),"烈日斩",IF(C603="幽月轮1","幽月轮2",IF(C603="幽月轮2","幽月轮3","幽月轮1"))))))))</f>
        <v>净世破魔击·月</v>
      </c>
      <c r="D604" s="115">
        <f ca="1">IF(C604="赤日轮1",1,IF(C604="赤日轮2",2,IF(C604="赤日轮3",3,IF(C604="幽月轮1",4,IF(C604="幽月轮2",5,IF(C604="幽月轮3",6,IF(C604="烈日斩",7,IF(C604="银月斩",8,IF(C604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604="净世破魔击·月",17,IF(C604="驱夜断愁",18,0)))))))))))</f>
        <v>17</v>
      </c>
      <c r="E604" s="115">
        <f ca="1">IF(AND(CU604,OR(C604="幽月轮1",C604="幽月轮2",C604="幽月轮3",C604="银月斩",C604="驱夜断愁",C604="净世破魔击·月")),100,MIN(IF(OR(CN604,BE604),0,IF(OR($C604="赤日轮1",$C604="赤日轮2",$C604="赤日轮3"),E603+20+IF(模拟模式!$I$7="日月凌天",4,0)+IF(CR603,20,0),IF($C604="烈日斩",E603+40,IF($C604="驱夜断愁",IF(模拟模式!$R$7="万念俱寂",E603+20,E603+60),IF($C604="净世破魔击·月",IF(OR(DB603&gt;0,CV603&gt;0),100,IF(模拟模式!$M$7="辉耀红尘",E603+20,E603)),IF($C604="净世破魔击·日",E603-100,E603)))))),100))</f>
        <v>100</v>
      </c>
      <c r="F604" s="115">
        <f ca="1">IF(AND(CU604,OR(C604="赤日轮1",C604="赤日轮2",C604="赤日轮3",C604="烈日斩",C604="净世破魔击·日")),100,MIN(IF(CO604,0,IF(OR($C604="幽月轮1",$C604="幽月轮2",$C604="幽月轮3"),F603+20+IF(模拟模式!$I$7="日月凌天",4,0)+IF(CS603,20,0),IF($C604="银月斩",F603+40+IF(模拟模式!$X$12=1,5,0),IF($C604="驱夜断愁",IF(模拟模式!$R$7="万念俱寂",F603+20,F603+60),IF($C604="净世破魔击·月",IF(模拟模式!$M$7="辉耀红尘",F603-80,F603-100),IF(AND(C604="净世破魔击·日",OR(DB603&gt;0,CV603&gt;0)),100,F603)))))),100))</f>
        <v>20</v>
      </c>
      <c r="G604" s="117">
        <f ca="1">('模拟-全程加成'!$E$3+'模拟-全程加成'!$E$4+'模拟-全程加成'!$E$5+('模拟-全程加成'!$C$6-'模拟-全程加成'!$C$3)*系数!$B$9+BS604*23)*(1+'模拟-全程加成'!$F$4+'模拟-全程加成'!$F$5+BJ604*10%+BM604*20%+BP604*4%+CG604*30%)+$F$7*系数!$B$12</f>
        <v>20583.127400000001</v>
      </c>
      <c r="H604" s="45">
        <f ca="1">'模拟-全程加成'!$H$3+'模拟-全程加成'!$H$4+'模拟-全程加成'!$H$5+('模拟-全程加成'!$G$4+'模拟-全程加成'!$G$5+('模拟-全程加成'!$C$6-'模拟-全程加成'!$C$3)*系数!$B$13)/系数!$B$3+LOOKUP(D604,'模拟-单技能数据'!$A$2:$A$19,'模拟-单技能数据'!$K$2:$K$19)+BG604*10%+IF(BV604&gt;0,378,0)</f>
        <v>0.54185145527300216</v>
      </c>
      <c r="I604" s="45">
        <f ca="1">'模拟-全程加成'!$J$3+'模拟-全程加成'!$J$4+'模拟-全程加成'!$J$5+('模拟-全程加成'!$I$4+'模拟-全程加成'!$I$5)/系数!$B$4+LOOKUP(D604,'模拟-单技能数据'!$A$2:$A$19,'模拟-单技能数据'!$L$2:$L$19)+BG604*10%</f>
        <v>2.162482885499879</v>
      </c>
      <c r="J604" s="45">
        <f ca="1">(('模拟-全程加成'!$K$3+'模拟-全程加成'!$K$4+'模拟-全程加成'!$K$5+('模拟-全程加成'!$C$6-'模拟-全程加成'!$C$3)*系数!$B$10+IF(BV604&gt;0,882,0)+IF(BY604&gt;0,1831,0))*(1+'模拟-全程加成'!$L$4+'模拟-全程加成'!$L$5+CC604*20%))/系数!$B$5</f>
        <v>0.69723220422048726</v>
      </c>
      <c r="K604" s="119">
        <f ca="1">LOOKUP(D604,'模拟-单技能数据'!$A$2:$A$19,'模拟-单技能数据'!$J$2:$J$19)+IF(CM604,60%,0)+IF(DB603-DB604&gt;0,30%,0)+IF(OR(AND(OR(C604="赤日轮1",C604="赤日轮2",C604="赤日轮3"),CR604),AND(OR(C604="幽月轮1",C604="幽月轮2",C604="幽月轮3"),CS604)),35%,0)+CJ604</f>
        <v>0.81</v>
      </c>
      <c r="L604" s="119">
        <f ca="1">IF(AND(C604="烈日斩",模拟模式!$X$11=1),10%,0)+IF(AND(C604="驱夜断愁",AB604=1),30%,0)</f>
        <v>0</v>
      </c>
      <c r="M604" s="45">
        <f t="shared" ref="M604:M667" ca="1" si="539">MIN(H604,1-$F$10-$F$11)</f>
        <v>0.54185145527300216</v>
      </c>
      <c r="N604" s="45">
        <f t="shared" ref="N604:N667" ca="1" si="540">1-$F$10-$F$11-M604</f>
        <v>0.40424854472699789</v>
      </c>
      <c r="O604" s="46">
        <f t="shared" ca="1" si="490"/>
        <v>0.67710270114952442</v>
      </c>
      <c r="P604" s="46" t="str">
        <f t="shared" ref="P604:P667" ca="1" si="541">IF(O604&lt;$F$10,"偏",IF(O604&lt;$F$10+$F$11,"识",IF(O604&lt;$F$10+$F$11+H604,"会","命")))</f>
        <v>命</v>
      </c>
      <c r="Q604" s="45">
        <f t="shared" ref="Q604:Q667" ca="1" si="542">IF(P604="会",I604,IF(P604="命",1,IF(P604="识",0.25,0)))</f>
        <v>1</v>
      </c>
      <c r="R604" s="117">
        <f ca="1">模拟模式!$E$20*(1-IF(模拟模式!$J$19="有",0.15,0))*(1-IF(模拟模式!$K$19="有",0.3,0)-IF(CQ604,0.5,0))</f>
        <v>843.02999999999975</v>
      </c>
      <c r="S604" s="45">
        <f ca="1">R604/(R604+(185*模拟模式!$E$22-16800)*4.08224)</f>
        <v>8.389626085980037E-2</v>
      </c>
      <c r="T604" s="45" t="str">
        <f ca="1">LOOKUP(D604,'模拟-单技能数据'!$A$2:$A$19,'模拟-单技能数据'!$H$2:$H$19)</f>
        <v>阴</v>
      </c>
      <c r="U604" s="119">
        <f t="shared" ref="U604:U667" ca="1" si="543">IF(T604="阳",$I$3,IF(T604="阴",$I$4,0))</f>
        <v>0.08</v>
      </c>
      <c r="V604" s="47">
        <f ca="1">(1+L604)*(LOOKUP(D604,'模拟-单技能数据'!$A$2:$A$19,'模拟-单技能数据'!$D$2:$D$19)+G604*LOOKUP(D604,'模拟-单技能数据'!$A$2:$A$19,'模拟-单技能数据'!$F$2:$F$19))*(1+J604)*(1+K604)*(1-S604)*(1+U604)*Q604*LOOKUP(D604,'模拟-单技能数据'!$A$2:$A$19,'模拟-单技能数据'!$I$2:$I$20)</f>
        <v>81313.869455800319</v>
      </c>
      <c r="W604" s="47">
        <f ca="1">LOOKUP(D604,'模拟-单技能数据'!$A$2:$A$19,'模拟-单技能数据'!$G$2:$G$19)*$I$10</f>
        <v>361.51064354704795</v>
      </c>
      <c r="X604" s="47">
        <f t="shared" ca="1" si="493"/>
        <v>26136.840783105588</v>
      </c>
      <c r="Y604" s="47">
        <f t="shared" ref="Y604:Y667" ca="1" si="544">V604+W604+X604</f>
        <v>107812.22088245297</v>
      </c>
      <c r="Z604" s="49">
        <f t="shared" ref="Z604:Z667" ca="1" si="545">Z603+Y604</f>
        <v>60335504.965995513</v>
      </c>
      <c r="AA604" s="97">
        <f t="shared" ref="AA604:AA667" ca="1" si="546">Z604/B604</f>
        <v>113352.41148449339</v>
      </c>
      <c r="AB604" s="115">
        <f ca="1">IF(OR(C604="赤日轮1",C604="赤日轮2",C604="赤日轮3"),IF(RAND()&lt;模拟模式!$Y$17,1,0),IF(OR(C604="幽月轮1",C604="幽月轮2",C604="幽月轮3"),IF(RAND()&lt;模拟模式!$Y$18,1,0),IF(C604="烈日斩",IF(RAND()&lt;模拟模式!$Y$19,1,0),IF(C604="银月斩",IF(RAND()&lt;模拟模式!$Y$20,1,0),IF(C604="驱夜断愁",IF(RAND()&lt;模拟模式!$Y$21,1,0),IF(C604="净世破魔击·日",IF(RAND()&lt;模拟模式!$Y$22,1,0),IF(C604="净世破魔击·月",IF(RAND()&lt;模拟模式!$Y$23,1,0),0)))))))</f>
        <v>1</v>
      </c>
      <c r="AC604" s="115" t="b">
        <f t="shared" ref="AC604:AC667" ca="1" si="547">C604="银月斩"</f>
        <v>0</v>
      </c>
      <c r="AD604" s="115" t="b">
        <f t="shared" ref="AD604:AD667" ca="1" si="548">IF(AD603+AD602=1,IF(AE603&gt;0,NOT(AD603),FALSE),AC604)</f>
        <v>1</v>
      </c>
      <c r="AE604" s="115">
        <f t="shared" ref="AE604:AE667" ca="1" si="549">IF(AC604,IF(AD602+AD603=0,6,6-AD604),AE603-AD604)</f>
        <v>3</v>
      </c>
      <c r="AF604" s="47">
        <f ca="1">IF(AC604,('模拟-单技能数据'!$D$20+G604*'模拟-单技能数据'!$F$20)*(1+J604)*(1+'模拟-单技能数据'!$J$20)*(1+U604),0)</f>
        <v>0</v>
      </c>
      <c r="AG604" s="61">
        <f t="shared" ref="AG604:AG667" ca="1" si="550">IF(AF604&gt;0,M604,AG603)</f>
        <v>0.64185145527300214</v>
      </c>
      <c r="AH604" s="61">
        <f t="shared" ref="AH604:AH667" ca="1" si="551">IF(AF604&gt;0,I604,AH603)</f>
        <v>2.2624828854998791</v>
      </c>
      <c r="AI604" s="62">
        <f t="shared" ca="1" si="494"/>
        <v>0.22163282165939457</v>
      </c>
      <c r="AJ604" s="47">
        <f ca="1">IF(AD604,IF(AI604&lt;$F$10,0,IF(AI604&lt;$F$10+$F$11,0.25,IF(AI604&lt;$F$10+$F$11+AG604,AH604,1)))*IF(AF604&gt;0,AF604,IF(AF603&gt;0,AF603,IF(AF602&gt;0,AF602,IF(AF601&gt;0,AF601,IF(AF600&gt;0,AF600,IF(AF599&gt;0,AF599,IF(AF598&gt;0,AF598,IF(AF597&gt;0,AF597,IF(AF596&gt;0,AF596,IF(AF594&gt;0,AF594,IF(AF593&gt;0,AF593,IF(AF592&gt;0,AF592,0)))))))))))),0)*(1-$S604)*'模拟-单技能数据'!$I$20</f>
        <v>9616.6571145767884</v>
      </c>
      <c r="AK604" s="115" t="b">
        <f t="shared" ref="AK604:AK667" ca="1" si="552">C604="净世破魔击·日"</f>
        <v>0</v>
      </c>
      <c r="AL604" s="115" t="b">
        <f t="shared" ref="AL604:AL667" ca="1" si="553">IF(AL603+AL602=1,IF(AM603&gt;0,NOT(AL603),FALSE),AK604)</f>
        <v>0</v>
      </c>
      <c r="AM604" s="115">
        <f t="shared" ref="AM604:AM667" ca="1" si="554">IF(AK604,IF(AL602+AL603=0,6,6-AL604),AM603-AL604)</f>
        <v>3</v>
      </c>
      <c r="AN604" s="47">
        <f ca="1">IF(AK604,('模拟-单技能数据'!$D$21+G604*'模拟-单技能数据'!$F$21)*(1+J604)*(1+'模拟-单技能数据'!$J$21)*(1+U604),0)</f>
        <v>0</v>
      </c>
      <c r="AO604" s="61">
        <f ca="1">IF(AN604&gt;0,M604-'模拟-单技能数据'!$K$10,AO603)</f>
        <v>0.42185145527300216</v>
      </c>
      <c r="AP604" s="61">
        <f ca="1">IF(AN604&gt;0,I604-'模拟-单技能数据'!$L$10,AP603)</f>
        <v>2.162482885499879</v>
      </c>
      <c r="AQ604" s="63">
        <f t="shared" ca="1" si="495"/>
        <v>0.24992622081078819</v>
      </c>
      <c r="AR604" s="64">
        <f ca="1">IF(AL604,IF(AQ604&lt;$F$10,0,IF(AQ604&lt;$F$10+$F$11,0.25,IF(AQ604&lt;$F$10+$F$11+AO604,AP604,1)))*IF(AN604&gt;0,AN604,IF(AN603&gt;0,AN603,IF(AN602&gt;0,AN602,IF(AN601&gt;0,AN601,IF(AN600&gt;0,AN600,IF(AN599&gt;0,AN599,IF(AN598&gt;0,AN598,IF(AN597&gt;0,AN597,IF(AN596&gt;0,AN596,IF(AN594&gt;0,AN594,IF(AN593&gt;0,AN593,IF(AN592&gt;0,AN592,0)))))))))))),0)*(1-$S604)*'模拟-单技能数据'!$I$21</f>
        <v>0</v>
      </c>
      <c r="AS604" s="61">
        <f ca="1">IF(OR(C604="净世破魔击·日",C604="净世破魔击·月"),M604-'模拟-单技能数据'!$K$10,0)</f>
        <v>0.42185145527300216</v>
      </c>
      <c r="AT604" s="61">
        <f ca="1">IF(OR(C604="净世破魔击·日",C604="净世破魔击·月"),I604-'模拟-单技能数据'!$L$10,0)</f>
        <v>2.162482885499879</v>
      </c>
      <c r="AU604" s="62">
        <f t="shared" ca="1" si="496"/>
        <v>0.29152711492656491</v>
      </c>
      <c r="AV604" s="64">
        <f ca="1">IF(AS604&gt;0,('模拟-单技能数据'!$D$22+G604*'模拟-单技能数据'!$F$22)*(1+J604)*(1-S604)*IF(AU604&lt;$F$10,0,IF(AU604&lt;$F$10+$F$11,0.25,IF(AU604&lt;$F$10+$F$11+AS604,AT604,1)))*(1+U604),0)*'模拟-单技能数据'!$I$22</f>
        <v>16520.1836685288</v>
      </c>
      <c r="AW604" s="108">
        <f t="shared" ca="1" si="497"/>
        <v>7.0850000000000071</v>
      </c>
      <c r="AX604" s="108" t="b">
        <f ca="1">AND(模拟模式!$P$10="有",AW603=0,RAND()&lt;IF(C604="净世破魔击·月",0.1*8/3,IF(C604="净世破魔击·日",0.1*4/3,0.1*2/3)))</f>
        <v>0</v>
      </c>
      <c r="AY604" s="47">
        <f ca="1">IF(AX604,(18+G604*0.722)*(1+J604)*(1-S604)*(1+$I$4)*IF(P604="会",'模拟-全程加成'!$J$3+'模拟-全程加成'!$J$4+'模拟-全程加成'!$J$5+('模拟-全程加成'!$I$4+'模拟-全程加成'!$I$5)/系数!$B$4+BG604*10%,IF(P604="命",1,IF(P604="识",0.25,0))),0)</f>
        <v>0</v>
      </c>
      <c r="AZ604" s="108">
        <f t="shared" si="498"/>
        <v>15.387500000000003</v>
      </c>
      <c r="BA604" s="108" t="b">
        <f>AND(模拟模式!$Q$10="有",AZ603=0)</f>
        <v>0</v>
      </c>
      <c r="BB604" s="140">
        <f>IF(BA604,(0+G604*0.287)*(1+J604)*(1-S604)*(1+$I$4)*IF(P604="会",'模拟-全程加成'!$J$3+'模拟-全程加成'!$J$4+'模拟-全程加成'!$J$5+('模拟-全程加成'!$I$4+'模拟-全程加成'!$I$5)/系数!$B$4+BG604*10%,IF(P604="命",1,IF(P604="识",0.25,0))),0)</f>
        <v>0</v>
      </c>
      <c r="BC604" s="115" t="b">
        <f ca="1">AND(模拟模式!$R$7="伏明众生",E604=60,F604=20,DA604&lt;5,CZ603&lt;$F$4)</f>
        <v>0</v>
      </c>
      <c r="BD604" s="115">
        <f t="shared" ref="BD604:BD667" ca="1" si="555">IF(BC604,6-$F$4,MAX(0,BD603-$F$4))</f>
        <v>0</v>
      </c>
      <c r="BE604" s="115" t="b">
        <f t="shared" ref="BE604:BE667" ca="1" si="556">AND(BD603&gt;0,BD603-$F$4&lt;0)</f>
        <v>0</v>
      </c>
      <c r="BF604" s="47">
        <f ca="1">IF(BC604,4*('模拟-单技能数据'!$D$24+G604*'模拟-单技能数据'!$F$24)*(1+J604)*(1+'模拟-单技能数据'!$J$24)*(1-S604)*(1+$I$3)*(('模拟-全程加成'!$J$3+'模拟-全程加成'!$J$4+'模拟-全程加成'!$J$5+('模拟-全程加成'!$I$4+'模拟-全程加成'!$I$5)/系数!$B$4+BG604*10%)*('模拟-全程加成'!$J$3+'模拟-全程加成'!$J$4+'模拟-全程加成'!$J$5+('模拟-全程加成'!$I$4+'模拟-全程加成'!$I$5)/系数!$B$4+BG604*10%)+(1-('模拟-全程加成'!$J$3+'模拟-全程加成'!$J$4+'模拟-全程加成'!$J$5+('模拟-全程加成'!$I$4+'模拟-全程加成'!$I$5)/系数!$B$4+BG604*10%)-$F$10-$F$11)+F590*0.25),0)*'模拟-单技能数据'!$I$24</f>
        <v>0</v>
      </c>
      <c r="BG604" s="115" t="b">
        <f ca="1">OR(AND(OR(C604="烈日斩",C604="银月斩"),模拟模式!$I$7="净身明礼"),AND(C604="净世破魔击·日",模拟模式!$J$7="洞若观火"),AND(C605="净世破魔击·月",模拟模式!$J$7="洞若观火"),AB604=1)</f>
        <v>1</v>
      </c>
      <c r="BH604" s="115" t="b">
        <f t="shared" ca="1" si="499"/>
        <v>0</v>
      </c>
      <c r="BI604" s="115">
        <f t="shared" ref="BI604:BI667" ca="1" si="557">IF(BH604,6,MAX(0,BI603-$F$4))</f>
        <v>0</v>
      </c>
      <c r="BJ604" s="115" t="b">
        <f t="shared" ref="BJ604:BJ667" ca="1" si="558">BI604&gt;0</f>
        <v>0</v>
      </c>
      <c r="BK604" s="115" t="b">
        <f ca="1">AND(C604="驱夜断愁",模拟模式!$P$7="天地诛戮")</f>
        <v>0</v>
      </c>
      <c r="BL604" s="57">
        <f t="shared" ref="BL604:BL667" ca="1" si="559">IF(BK604,20,MAX(0,BL603-$F$4))</f>
        <v>17.232500000000002</v>
      </c>
      <c r="BM604" s="115" t="b">
        <f t="shared" ref="BM604:BM667" ca="1" si="560">BL604&gt;0</f>
        <v>1</v>
      </c>
      <c r="BN604" s="115" t="b">
        <f ca="1">AND(OR(C604="赤日轮1",C604="赤日轮2",C604="赤日轮3",C604="幽月轮1",C604="幽月轮2",C604="幽月轮3"),AB604=1,模拟模式!$L$7="明光恒照")</f>
        <v>0</v>
      </c>
      <c r="BO604" s="117">
        <f t="shared" ref="BO604:BO667" ca="1" si="561">IF(BN604,30,MAX(0,BO603-$F$4))</f>
        <v>29.077500000000001</v>
      </c>
      <c r="BP604" s="115">
        <f t="shared" ca="1" si="500"/>
        <v>6</v>
      </c>
      <c r="BQ604" s="115" t="b">
        <f>模拟模式!$K$10="2600·水"</f>
        <v>0</v>
      </c>
      <c r="BR604" s="117">
        <f t="shared" si="501"/>
        <v>0</v>
      </c>
      <c r="BS604" s="115">
        <f t="shared" si="502"/>
        <v>0</v>
      </c>
      <c r="BT604" s="115">
        <f t="shared" ca="1" si="503"/>
        <v>0</v>
      </c>
      <c r="BU604" s="115" t="b">
        <f ca="1">AND(模拟模式!$K$10="2300·雷",BT603=0,RAND()&lt;IF(C604="净世破魔击·月",5*0.05*2/3,IF(C604="净世破魔击·日",3*0.05*2/3,0.05*2*2/3)))</f>
        <v>0</v>
      </c>
      <c r="BV604" s="115">
        <f t="shared" ca="1" si="504"/>
        <v>0</v>
      </c>
      <c r="BW604" s="115">
        <f t="shared" ca="1" si="505"/>
        <v>23.174999999999301</v>
      </c>
      <c r="BX604" s="164" t="b">
        <f t="shared" ca="1" si="506"/>
        <v>0</v>
      </c>
      <c r="BY604" s="115">
        <f t="shared" ca="1" si="507"/>
        <v>0</v>
      </c>
      <c r="BZ604" s="115">
        <f>IF(OR(模拟模式!$P$16="10人团",模拟模式!$P$16="25人团"),IF(B604/30&gt;CA603,1,0),0)</f>
        <v>0</v>
      </c>
      <c r="CA604" s="115">
        <f t="shared" ref="CA604:CA667" si="562">CA603+BZ604</f>
        <v>0</v>
      </c>
      <c r="CB604" s="115">
        <f ca="1">IF(BZ604=1,IF(模拟模式!$P$16="10人团",15,0)+IF(模拟模式!$P$16="25人团",IF(RAND()&lt;0.6,15,0)),MAX(0,CB603-$F$4))</f>
        <v>0</v>
      </c>
      <c r="CC604" s="115" t="b">
        <f t="shared" ref="CC604:CC667" ca="1" si="563">CB604&gt;0</f>
        <v>0</v>
      </c>
      <c r="CD604" s="115">
        <f>IF(模拟模式!$Q$16="1个",IF(B604/40&gt;CE603,1,0),0)</f>
        <v>0</v>
      </c>
      <c r="CE604" s="115">
        <f t="shared" ref="CE604:CE667" si="564">CE603+CD604</f>
        <v>0</v>
      </c>
      <c r="CF604" s="115">
        <f>IF(OR(CD604=1,模拟模式!$Q$16="2个"),20,MAX(0,CF603-$F$4))</f>
        <v>0</v>
      </c>
      <c r="CG604" s="115" t="b">
        <f t="shared" ref="CG604:CG667" si="565">CF604&gt;0</f>
        <v>0</v>
      </c>
      <c r="CH604" s="115">
        <f t="shared" ca="1" si="508"/>
        <v>22.620000000000005</v>
      </c>
      <c r="CI604" s="115" t="b">
        <f t="shared" ca="1" si="509"/>
        <v>0</v>
      </c>
      <c r="CJ604" s="119">
        <f t="shared" ca="1" si="510"/>
        <v>0.01</v>
      </c>
      <c r="CK604" s="115">
        <f t="shared" ca="1" si="511"/>
        <v>0.61999999999999911</v>
      </c>
      <c r="CL604" s="115" t="b">
        <f ca="1">AND(模拟模式!$S$7="驱夷逐法",OR(AND(C604="净世破魔击·月",E603&gt;59),AND(C604="净世破魔击·日",F603&gt;59)))</f>
        <v>1</v>
      </c>
      <c r="CM604" s="115" t="b">
        <f ca="1">OR(CL604,AND(C604="净世破魔击·日",CL603,RAND()&lt;模拟模式!$U$23))</f>
        <v>1</v>
      </c>
      <c r="CN604" s="115" t="b">
        <f ca="1">IF(模拟模式!$M$7="辉耀红尘",AND(C604="净世破魔击·月",CL604,CV604=0,E603&lt;80),AND(C604="净世破魔击·月",CL604,E603&lt;100))</f>
        <v>0</v>
      </c>
      <c r="CO604" s="115" t="b">
        <f t="shared" ref="CO604:CO667" ca="1" si="566">AND(C604="净世破魔击·日",CL604,CV604=0)</f>
        <v>0</v>
      </c>
      <c r="CP604" s="115" t="b">
        <f ca="1">AND(模拟模式!$O$7="用晦而明",OR(C604="净世破魔击·日",C604="净世破魔击·月",C604="驱夜断愁"),AB604)</f>
        <v>1</v>
      </c>
      <c r="CQ604" s="115" t="b">
        <f ca="1">OR(CP604,AND(CP603,RAND()&lt;模拟模式!$U$23))</f>
        <v>1</v>
      </c>
      <c r="CR604" s="115" t="b">
        <f ca="1">AND(模拟模式!$S$7="日月齐光",OR(C604="幽月轮1",C604="幽月轮2",C604="幽月轮3",CR603),NOT(OR(C604="赤日轮1",C604="赤日轮2",C604="赤日轮3")))</f>
        <v>0</v>
      </c>
      <c r="CS604" s="115" t="b">
        <f ca="1">AND(模拟模式!$S$7="日月齐光",OR(C604="赤日轮1",C604="赤日轮2",C604="赤日轮3",CS603),NOT(OR(C604="幽月轮1",C604="幽月轮2",C604="幽月轮3")))</f>
        <v>0</v>
      </c>
      <c r="CT604" s="115">
        <f t="shared" ca="1" si="512"/>
        <v>13.39500000000001</v>
      </c>
      <c r="CU604" s="115" t="b">
        <f ca="1">AND(模拟模式!$K$10="阴阳往极",CT603=0,RAND()&lt;IF(C604="净世破魔击·月",0.0275*7/3,IF(C604="净世破魔击·日",0.0275*3/3,0.0275*2/3)))</f>
        <v>0</v>
      </c>
      <c r="CV604" s="115">
        <f t="shared" ca="1" si="513"/>
        <v>0</v>
      </c>
      <c r="CW604" s="115">
        <f t="shared" ca="1" si="485"/>
        <v>4.1549999999999994</v>
      </c>
      <c r="CX604" s="115">
        <f t="shared" ca="1" si="486"/>
        <v>2.3099999999999996</v>
      </c>
      <c r="CY604" s="115">
        <f ca="1">MAX(IF($C604="驱夜断愁",IF(模拟模式!$R$7="万念俱寂",6,45),CY603-$F$4),0)</f>
        <v>3.2324999999999995</v>
      </c>
      <c r="CZ604" s="115">
        <f t="shared" ref="CZ604:CZ667" ca="1" si="567">IF(BC604,25,MAX(0,CZ603-$F$4))</f>
        <v>0</v>
      </c>
      <c r="DA604" s="115">
        <f ca="1">IF(模拟模式!$N$7="日月同辉",IF(DB603=2,0,MIN(6,IF(AND(OR(C604="赤日轮1",C604="赤日轮2",C604="赤日轮3",C604="幽月轮1",C604="幽月轮2",C604="幽月轮3"),AB604=1),DA603+1,DA603))),0)</f>
        <v>1</v>
      </c>
      <c r="DB604" s="115">
        <f t="shared" ref="DB604:DB667" ca="1" si="568">MAX(0,IF(DA604=6,2,IF(OR(C604="净世破魔击·月",C604="净世破魔击·日"),DB603-1,DB603)))</f>
        <v>0</v>
      </c>
      <c r="DC604" s="115"/>
      <c r="DD604" s="115"/>
      <c r="DE604" s="115"/>
      <c r="DF604" s="115"/>
      <c r="DG604" s="115"/>
      <c r="DH604" s="115"/>
      <c r="DI604" s="115"/>
      <c r="DJ604" s="115"/>
      <c r="DK604" s="115"/>
      <c r="DL604" s="115"/>
      <c r="DM604" s="115"/>
    </row>
    <row r="605" spans="2:117" x14ac:dyDescent="0.2">
      <c r="B605" s="117">
        <f t="shared" ref="B605:B668" si="569">B604+$F$4</f>
        <v>533.20500000000584</v>
      </c>
      <c r="C605" s="167" t="str">
        <f t="shared" ca="1" si="538"/>
        <v>净世破魔击·日</v>
      </c>
      <c r="D605" s="115">
        <f ca="1">IF(C605="赤日轮1",1,IF(C605="赤日轮2",2,IF(C605="赤日轮3",3,IF(C605="幽月轮1",4,IF(C605="幽月轮2",5,IF(C605="幽月轮3",6,IF(C605="烈日斩",7,IF(C605="银月斩",8,IF(C605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605="净世破魔击·月",17,IF(C605="驱夜断愁",18,0)))))))))))</f>
        <v>9</v>
      </c>
      <c r="E605" s="115">
        <f ca="1">IF(AND(CU605,OR(C605="幽月轮1",C605="幽月轮2",C605="幽月轮3",C605="银月斩",C605="驱夜断愁",C605="净世破魔击·月")),100,MIN(IF(OR(CN605,BE605),0,IF(OR($C605="赤日轮1",$C605="赤日轮2",$C605="赤日轮3"),E604+20+IF(模拟模式!$I$7="日月凌天",4,0)+IF(CR604,20,0),IF($C605="烈日斩",E604+40,IF($C605="驱夜断愁",IF(模拟模式!$R$7="万念俱寂",E604+20,E604+60),IF($C605="净世破魔击·月",IF(OR(DB604&gt;0,CV604&gt;0),100,IF(模拟模式!$M$7="辉耀红尘",E604+20,E604)),IF($C605="净世破魔击·日",E604-100,E604)))))),100))</f>
        <v>0</v>
      </c>
      <c r="F605" s="115">
        <f ca="1">IF(AND(CU605,OR(C605="赤日轮1",C605="赤日轮2",C605="赤日轮3",C605="烈日斩",C605="净世破魔击·日")),100,MIN(IF(CO605,0,IF(OR($C605="幽月轮1",$C605="幽月轮2",$C605="幽月轮3"),F604+20+IF(模拟模式!$I$7="日月凌天",4,0)+IF(CS604,20,0),IF($C605="银月斩",F604+40+IF(模拟模式!$X$12=1,5,0),IF($C605="驱夜断愁",IF(模拟模式!$R$7="万念俱寂",F604+20,F604+60),IF($C605="净世破魔击·月",IF(模拟模式!$M$7="辉耀红尘",F604-80,F604-100),IF(AND(C605="净世破魔击·日",OR(DB604&gt;0,CV604&gt;0)),100,F604)))))),100))</f>
        <v>20</v>
      </c>
      <c r="G605" s="117">
        <f ca="1">('模拟-全程加成'!$E$3+'模拟-全程加成'!$E$4+'模拟-全程加成'!$E$5+('模拟-全程加成'!$C$6-'模拟-全程加成'!$C$3)*系数!$B$9+BS605*23)*(1+'模拟-全程加成'!$F$4+'模拟-全程加成'!$F$5+BJ605*10%+BM605*20%+BP605*4%+CG605*30%)+$F$7*系数!$B$12</f>
        <v>20583.127400000001</v>
      </c>
      <c r="H605" s="45">
        <f ca="1">'模拟-全程加成'!$H$3+'模拟-全程加成'!$H$4+'模拟-全程加成'!$H$5+('模拟-全程加成'!$G$4+'模拟-全程加成'!$G$5+('模拟-全程加成'!$C$6-'模拟-全程加成'!$C$3)*系数!$B$13)/系数!$B$3+LOOKUP(D605,'模拟-单技能数据'!$A$2:$A$19,'模拟-单技能数据'!$K$2:$K$19)+BG605*10%+IF(BV605&gt;0,378,0)</f>
        <v>0.54185145527300216</v>
      </c>
      <c r="I605" s="45">
        <f ca="1">'模拟-全程加成'!$J$3+'模拟-全程加成'!$J$4+'模拟-全程加成'!$J$5+('模拟-全程加成'!$I$4+'模拟-全程加成'!$I$5)/系数!$B$4+LOOKUP(D605,'模拟-单技能数据'!$A$2:$A$19,'模拟-单技能数据'!$L$2:$L$19)+BG605*10%</f>
        <v>2.162482885499879</v>
      </c>
      <c r="J605" s="45">
        <f ca="1">(('模拟-全程加成'!$K$3+'模拟-全程加成'!$K$4+'模拟-全程加成'!$K$5+('模拟-全程加成'!$C$6-'模拟-全程加成'!$C$3)*系数!$B$10+IF(BV605&gt;0,882,0)+IF(BY605&gt;0,1831,0))*(1+'模拟-全程加成'!$L$4+'模拟-全程加成'!$L$5+CC605*20%))/系数!$B$5</f>
        <v>0.69723220422048726</v>
      </c>
      <c r="K605" s="119">
        <f ca="1">LOOKUP(D605,'模拟-单技能数据'!$A$2:$A$19,'模拟-单技能数据'!$J$2:$J$19)+IF(CM605,60%,0)+IF(DB604-DB605&gt;0,30%,0)+IF(OR(AND(OR(C605="赤日轮1",C605="赤日轮2",C605="赤日轮3"),CR605),AND(OR(C605="幽月轮1",C605="幽月轮2",C605="幽月轮3"),CS605)),35%,0)+CJ605</f>
        <v>0.8</v>
      </c>
      <c r="L605" s="119">
        <f ca="1">IF(AND(C605="烈日斩",模拟模式!$X$11=1),10%,0)+IF(AND(C605="驱夜断愁",AB605=1),30%,0)</f>
        <v>0</v>
      </c>
      <c r="M605" s="45">
        <f t="shared" ca="1" si="539"/>
        <v>0.54185145527300216</v>
      </c>
      <c r="N605" s="45">
        <f t="shared" ca="1" si="540"/>
        <v>0.40424854472699789</v>
      </c>
      <c r="O605" s="46">
        <f t="shared" ref="O605:O668" ca="1" si="570">RAND()</f>
        <v>0.26676123104697425</v>
      </c>
      <c r="P605" s="46" t="str">
        <f t="shared" ca="1" si="541"/>
        <v>会</v>
      </c>
      <c r="Q605" s="45">
        <f t="shared" ca="1" si="542"/>
        <v>2.162482885499879</v>
      </c>
      <c r="R605" s="117">
        <f ca="1">模拟模式!$E$20*(1-IF(模拟模式!$J$19="有",0.15,0))*(1-IF(模拟模式!$K$19="有",0.3,0)-IF(CQ605,0.5,0))</f>
        <v>843.02999999999975</v>
      </c>
      <c r="S605" s="45">
        <f ca="1">R605/(R605+(185*模拟模式!$E$22-16800)*4.08224)</f>
        <v>8.389626085980037E-2</v>
      </c>
      <c r="T605" s="45" t="str">
        <f ca="1">LOOKUP(D605,'模拟-单技能数据'!$A$2:$A$19,'模拟-单技能数据'!$H$2:$H$19)</f>
        <v>阳</v>
      </c>
      <c r="U605" s="119">
        <f t="shared" ca="1" si="543"/>
        <v>0.2</v>
      </c>
      <c r="V605" s="47">
        <f ca="1">(1+L605)*(LOOKUP(D605,'模拟-单技能数据'!$A$2:$A$19,'模拟-单技能数据'!$D$2:$D$19)+G605*LOOKUP(D605,'模拟-单技能数据'!$A$2:$A$19,'模拟-单技能数据'!$F$2:$F$19))*(1+J605)*(1+K605)*(1-S605)*(1+U605)*Q605*LOOKUP(D605,'模拟-单技能数据'!$A$2:$A$19,'模拟-单技能数据'!$I$2:$I$20)</f>
        <v>195915.814886668</v>
      </c>
      <c r="W605" s="47">
        <f ca="1">LOOKUP(D605,'模拟-单技能数据'!$A$2:$A$19,'模拟-单技能数据'!$G$2:$G$19)*$I$10</f>
        <v>723.0212870940959</v>
      </c>
      <c r="X605" s="47">
        <f t="shared" ref="X605:X668" ca="1" si="571">AJ605+AR605+AV605+BF605+AY605+BB605</f>
        <v>19606.63323331828</v>
      </c>
      <c r="Y605" s="47">
        <f t="shared" ca="1" si="544"/>
        <v>216245.46940708038</v>
      </c>
      <c r="Z605" s="49">
        <f t="shared" ca="1" si="545"/>
        <v>60551750.435402595</v>
      </c>
      <c r="AA605" s="97">
        <f t="shared" ca="1" si="546"/>
        <v>113561.85788843302</v>
      </c>
      <c r="AB605" s="115">
        <f ca="1">IF(OR(C605="赤日轮1",C605="赤日轮2",C605="赤日轮3"),IF(RAND()&lt;模拟模式!$Y$17,1,0),IF(OR(C605="幽月轮1",C605="幽月轮2",C605="幽月轮3"),IF(RAND()&lt;模拟模式!$Y$18,1,0),IF(C605="烈日斩",IF(RAND()&lt;模拟模式!$Y$19,1,0),IF(C605="银月斩",IF(RAND()&lt;模拟模式!$Y$20,1,0),IF(C605="驱夜断愁",IF(RAND()&lt;模拟模式!$Y$21,1,0),IF(C605="净世破魔击·日",IF(RAND()&lt;模拟模式!$Y$22,1,0),IF(C605="净世破魔击·月",IF(RAND()&lt;模拟模式!$Y$23,1,0),0)))))))</f>
        <v>1</v>
      </c>
      <c r="AC605" s="115" t="b">
        <f t="shared" ca="1" si="547"/>
        <v>0</v>
      </c>
      <c r="AD605" s="115" t="b">
        <f t="shared" ca="1" si="548"/>
        <v>0</v>
      </c>
      <c r="AE605" s="115">
        <f t="shared" ca="1" si="549"/>
        <v>3</v>
      </c>
      <c r="AF605" s="47">
        <f ca="1">IF(AC605,('模拟-单技能数据'!$D$20+G605*'模拟-单技能数据'!$F$20)*(1+J605)*(1+'模拟-单技能数据'!$J$20)*(1+U605),0)</f>
        <v>0</v>
      </c>
      <c r="AG605" s="61">
        <f t="shared" ca="1" si="550"/>
        <v>0.64185145527300214</v>
      </c>
      <c r="AH605" s="61">
        <f t="shared" ca="1" si="551"/>
        <v>2.2624828854998791</v>
      </c>
      <c r="AI605" s="62">
        <f t="shared" ref="AI605:AI668" ca="1" si="572">RAND()</f>
        <v>0.54916013209436243</v>
      </c>
      <c r="AJ605" s="47">
        <f ca="1">IF(AD605,IF(AI605&lt;$F$10,0,IF(AI605&lt;$F$10+$F$11,0.25,IF(AI605&lt;$F$10+$F$11+AG605,AH605,1)))*IF(AF605&gt;0,AF605,IF(AF604&gt;0,AF604,IF(AF603&gt;0,AF603,IF(AF602&gt;0,AF602,IF(AF601&gt;0,AF601,IF(AF600&gt;0,AF600,IF(AF599&gt;0,AF599,IF(AF598&gt;0,AF598,IF(AF597&gt;0,AF597,IF(AF595&gt;0,AF595,IF(AF594&gt;0,AF594,IF(AF593&gt;0,AF593,0)))))))))))),0)*(1-$S605)*'模拟-单技能数据'!$I$20</f>
        <v>0</v>
      </c>
      <c r="AK605" s="115" t="b">
        <f t="shared" ca="1" si="552"/>
        <v>1</v>
      </c>
      <c r="AL605" s="115" t="b">
        <f t="shared" ca="1" si="553"/>
        <v>1</v>
      </c>
      <c r="AM605" s="115">
        <f t="shared" ca="1" si="554"/>
        <v>5</v>
      </c>
      <c r="AN605" s="47">
        <f ca="1">IF(AK605,('模拟-单技能数据'!$D$21+G605*'模拟-单技能数据'!$F$21)*(1+J605)*(1+'模拟-单技能数据'!$J$21)*(1+U605),0)</f>
        <v>12136.56601728573</v>
      </c>
      <c r="AO605" s="61">
        <f ca="1">IF(AN605&gt;0,M605-'模拟-单技能数据'!$K$10,AO604)</f>
        <v>0.42185145527300216</v>
      </c>
      <c r="AP605" s="61">
        <f ca="1">IF(AN605&gt;0,I605-'模拟-单技能数据'!$L$10,AP604)</f>
        <v>2.162482885499879</v>
      </c>
      <c r="AQ605" s="63">
        <f t="shared" ref="AQ605:AQ668" ca="1" si="573">RAND()</f>
        <v>0.49902359777611438</v>
      </c>
      <c r="AR605" s="64">
        <f ca="1">IF(AL605,IF(AQ605&lt;$F$10,0,IF(AQ605&lt;$F$10+$F$11,0.25,IF(AQ605&lt;$F$10+$F$11+AO605,AP605,1)))*IF(AN605&gt;0,AN605,IF(AN604&gt;0,AN604,IF(AN603&gt;0,AN603,IF(AN602&gt;0,AN602,IF(AN601&gt;0,AN601,IF(AN600&gt;0,AN600,IF(AN599&gt;0,AN599,IF(AN598&gt;0,AN598,IF(AN597&gt;0,AN597,IF(AN595&gt;0,AN595,IF(AN594&gt;0,AN594,IF(AN593&gt;0,AN593,0)))))))))))),0)*(1-$S605)*'模拟-单技能数据'!$I$21</f>
        <v>11118.353508757338</v>
      </c>
      <c r="AS605" s="61">
        <f ca="1">IF(OR(C605="净世破魔击·日",C605="净世破魔击·月"),M605-'模拟-单技能数据'!$K$10,0)</f>
        <v>0.42185145527300216</v>
      </c>
      <c r="AT605" s="61">
        <f ca="1">IF(OR(C605="净世破魔击·日",C605="净世破魔击·月"),I605-'模拟-单技能数据'!$L$10,0)</f>
        <v>2.162482885499879</v>
      </c>
      <c r="AU605" s="62">
        <f t="shared" ref="AU605:AU668" ca="1" si="574">RAND()</f>
        <v>0.78751003417153764</v>
      </c>
      <c r="AV605" s="64">
        <f ca="1">IF(AS605&gt;0,('模拟-单技能数据'!$D$22+G605*'模拟-单技能数据'!$F$22)*(1+J605)*(1-S605)*IF(AU605&lt;$F$10,0,IF(AU605&lt;$F$10+$F$11,0.25,IF(AU605&lt;$F$10+$F$11+AS605,AT605,1)))*(1+U605),0)*'模拟-单技能数据'!$I$22</f>
        <v>8488.2797245609418</v>
      </c>
      <c r="AW605" s="108">
        <f t="shared" ref="AW605:AW668" ca="1" si="575">IF(AX605,20-$F$4,MAX(AW604-$F$4,0))</f>
        <v>6.1625000000000068</v>
      </c>
      <c r="AX605" s="108" t="b">
        <f ca="1">AND(模拟模式!$P$10="有",AW604=0,RAND()&lt;IF(C605="净世破魔击·月",0.1*8/3,IF(C605="净世破魔击·日",0.1*4/3,0.1*2/3)))</f>
        <v>0</v>
      </c>
      <c r="AY605" s="47">
        <f ca="1">IF(AX605,(18+G605*0.722)*(1+J605)*(1-S605)*(1+$I$4)*IF(P605="会",'模拟-全程加成'!$J$3+'模拟-全程加成'!$J$4+'模拟-全程加成'!$J$5+('模拟-全程加成'!$I$4+'模拟-全程加成'!$I$5)/系数!$B$4+BG605*10%,IF(P605="命",1,IF(P605="识",0.25,0))),0)</f>
        <v>0</v>
      </c>
      <c r="AZ605" s="108">
        <f t="shared" ref="AZ605:AZ668" si="576">IF(BA605,20-$F$4,MAX(AZ604-$F$4,0))</f>
        <v>14.465000000000003</v>
      </c>
      <c r="BA605" s="108" t="b">
        <f>AND(模拟模式!$Q$10="有",AZ604=0)</f>
        <v>0</v>
      </c>
      <c r="BB605" s="140">
        <f>IF(BA605,(0+G605*0.287)*(1+J605)*(1-S605)*(1+$I$4)*IF(P605="会",'模拟-全程加成'!$J$3+'模拟-全程加成'!$J$4+'模拟-全程加成'!$J$5+('模拟-全程加成'!$I$4+'模拟-全程加成'!$I$5)/系数!$B$4+BG605*10%,IF(P605="命",1,IF(P605="识",0.25,0))),0)</f>
        <v>0</v>
      </c>
      <c r="BC605" s="115" t="b">
        <f ca="1">AND(模拟模式!$R$7="伏明众生",E605=60,F605=20,DA605&lt;5,CZ604&lt;$F$4)</f>
        <v>0</v>
      </c>
      <c r="BD605" s="115">
        <f t="shared" ca="1" si="555"/>
        <v>0</v>
      </c>
      <c r="BE605" s="115" t="b">
        <f t="shared" ca="1" si="556"/>
        <v>0</v>
      </c>
      <c r="BF605" s="47">
        <f ca="1">IF(BC605,4*('模拟-单技能数据'!$D$24+G605*'模拟-单技能数据'!$F$24)*(1+J605)*(1+'模拟-单技能数据'!$J$24)*(1-S605)*(1+$I$3)*(('模拟-全程加成'!$J$3+'模拟-全程加成'!$J$4+'模拟-全程加成'!$J$5+('模拟-全程加成'!$I$4+'模拟-全程加成'!$I$5)/系数!$B$4+BG605*10%)*('模拟-全程加成'!$J$3+'模拟-全程加成'!$J$4+'模拟-全程加成'!$J$5+('模拟-全程加成'!$I$4+'模拟-全程加成'!$I$5)/系数!$B$4+BG605*10%)+(1-('模拟-全程加成'!$J$3+'模拟-全程加成'!$J$4+'模拟-全程加成'!$J$5+('模拟-全程加成'!$I$4+'模拟-全程加成'!$I$5)/系数!$B$4+BG605*10%)-$F$10-$F$11)+F591*0.25),0)*'模拟-单技能数据'!$I$24</f>
        <v>0</v>
      </c>
      <c r="BG605" s="115" t="b">
        <f ca="1">OR(AND(OR(C605="烈日斩",C605="银月斩"),模拟模式!$I$7="净身明礼"),AND(C605="净世破魔击·日",模拟模式!$J$7="洞若观火"),AND(C606="净世破魔击·月",模拟模式!$J$7="洞若观火"),AB605=1)</f>
        <v>1</v>
      </c>
      <c r="BH605" s="115" t="b">
        <f t="shared" ref="BH605:BH668" ca="1" si="577">RAND()&lt;IF(C605="净世破魔击·月",4*$I$7,IF(C605="净世破魔击·日",2*$I$7,$I$7))</f>
        <v>0</v>
      </c>
      <c r="BI605" s="115">
        <f t="shared" ca="1" si="557"/>
        <v>0</v>
      </c>
      <c r="BJ605" s="115" t="b">
        <f t="shared" ca="1" si="558"/>
        <v>0</v>
      </c>
      <c r="BK605" s="115" t="b">
        <f ca="1">AND(C605="驱夜断愁",模拟模式!$P$7="天地诛戮")</f>
        <v>0</v>
      </c>
      <c r="BL605" s="57">
        <f t="shared" ca="1" si="559"/>
        <v>16.310000000000002</v>
      </c>
      <c r="BM605" s="115" t="b">
        <f t="shared" ca="1" si="560"/>
        <v>1</v>
      </c>
      <c r="BN605" s="115" t="b">
        <f ca="1">AND(OR(C605="赤日轮1",C605="赤日轮2",C605="赤日轮3",C605="幽月轮1",C605="幽月轮2",C605="幽月轮3"),AB605=1,模拟模式!$L$7="明光恒照")</f>
        <v>0</v>
      </c>
      <c r="BO605" s="117">
        <f t="shared" ca="1" si="561"/>
        <v>28.155000000000001</v>
      </c>
      <c r="BP605" s="115">
        <f t="shared" ref="BP605:BP668" ca="1" si="578">IF(BO605&gt;0,MIN(6,IF(BN605,BP604+1,BP604)),0)</f>
        <v>6</v>
      </c>
      <c r="BQ605" s="115" t="b">
        <f>模拟模式!$K$10="2600·水"</f>
        <v>0</v>
      </c>
      <c r="BR605" s="117">
        <f t="shared" ref="BR605:BR668" si="579">IF(BQ605,6,MAX(0,BR604-$F$4))</f>
        <v>0</v>
      </c>
      <c r="BS605" s="115">
        <f t="shared" ref="BS605:BS668" si="580">IF(BR605&gt;0,MIN(10,IF(BQ605,BS604+IF(C605="净世破魔击·月",4,IF(C605="净世破魔击·日",2,1)),BS604)),0)</f>
        <v>0</v>
      </c>
      <c r="BT605" s="115">
        <f t="shared" ref="BT605:BT668" ca="1" si="581">IF(BU605,60-$F$4,MAX(0,BT604-$F$4))</f>
        <v>0</v>
      </c>
      <c r="BU605" s="115" t="b">
        <f ca="1">AND(模拟模式!$K$10="2300·雷",BT604=0,RAND()&lt;IF(C605="净世破魔击·月",5*0.05*2/3,IF(C605="净世破魔击·日",3*0.05*2/3,0.05*2*2/3)))</f>
        <v>0</v>
      </c>
      <c r="BV605" s="115">
        <f t="shared" ref="BV605:BV668" ca="1" si="582">IF(BU605,15-$F$4,MAX(0,BV604-$F$4))</f>
        <v>0</v>
      </c>
      <c r="BW605" s="115">
        <f t="shared" ref="BW605:BW668" ca="1" si="583">IF(BX605,180-$F$4,MAX(0,BW604-$F$4))</f>
        <v>22.252499999999301</v>
      </c>
      <c r="BX605" s="164" t="b">
        <f t="shared" ref="BX605:BX668" ca="1" si="584">AND(BW604=0,OR(AND(E604=80,F604=100),CU605))</f>
        <v>0</v>
      </c>
      <c r="BY605" s="115">
        <f t="shared" ref="BY605:BY668" ca="1" si="585">IF(BX605,15-$F$4,MAX(0,BY604-$F$4))</f>
        <v>0</v>
      </c>
      <c r="BZ605" s="115">
        <f>IF(OR(模拟模式!$P$16="10人团",模拟模式!$P$16="25人团"),IF(B605/30&gt;CA604,1,0),0)</f>
        <v>0</v>
      </c>
      <c r="CA605" s="115">
        <f t="shared" si="562"/>
        <v>0</v>
      </c>
      <c r="CB605" s="115">
        <f ca="1">IF(BZ605=1,IF(模拟模式!$P$16="10人团",15,0)+IF(模拟模式!$P$16="25人团",IF(RAND()&lt;0.6,15,0)),MAX(0,CB604-$F$4))</f>
        <v>0</v>
      </c>
      <c r="CC605" s="115" t="b">
        <f t="shared" ca="1" si="563"/>
        <v>0</v>
      </c>
      <c r="CD605" s="115">
        <f>IF(模拟模式!$Q$16="1个",IF(B605/40&gt;CE604,1,0),0)</f>
        <v>0</v>
      </c>
      <c r="CE605" s="115">
        <f t="shared" si="564"/>
        <v>0</v>
      </c>
      <c r="CF605" s="115">
        <f>IF(OR(CD605=1,模拟模式!$Q$16="2个"),20,MAX(0,CF604-$F$4))</f>
        <v>0</v>
      </c>
      <c r="CG605" s="115" t="b">
        <f t="shared" si="565"/>
        <v>0</v>
      </c>
      <c r="CH605" s="115">
        <f t="shared" ref="CH605:CH668" ca="1" si="586">IF(CI605,30-$F$4,MAX(0,CH604-$F$4))</f>
        <v>21.697500000000005</v>
      </c>
      <c r="CI605" s="115" t="b">
        <f t="shared" ref="CI605:CI668" ca="1" si="587">AND(CH604=0,RAND()&lt;IF(C605="净世破魔击·月",4*0.2*2/3,IF(C605="净世破魔击·日",2*0.2*2/3,0.2*2/3)))</f>
        <v>0</v>
      </c>
      <c r="CJ605" s="119">
        <f t="shared" ref="CJ605:CJ668" ca="1" si="588">IF(CI605,IF(RAND()&lt;0.7,0.05,0.01),IF(CK605&gt;0,CJ604,0))</f>
        <v>0</v>
      </c>
      <c r="CK605" s="115">
        <f t="shared" ref="CK605:CK668" ca="1" si="589">IF(CI605,8-$F$4,MAX(0,CK604-$F$4))</f>
        <v>0</v>
      </c>
      <c r="CL605" s="115" t="b">
        <f ca="1">AND(模拟模式!$S$7="驱夷逐法",OR(AND(C605="净世破魔击·月",E604&gt;59),AND(C605="净世破魔击·日",F604&gt;59)))</f>
        <v>0</v>
      </c>
      <c r="CM605" s="115" t="b">
        <f ca="1">OR(CL605,AND(C605="净世破魔击·日",CL604,RAND()&lt;模拟模式!$U$23))</f>
        <v>1</v>
      </c>
      <c r="CN605" s="115" t="b">
        <f ca="1">IF(模拟模式!$M$7="辉耀红尘",AND(C605="净世破魔击·月",CL605,CV605=0,E604&lt;80),AND(C605="净世破魔击·月",CL605,E604&lt;100))</f>
        <v>0</v>
      </c>
      <c r="CO605" s="115" t="b">
        <f t="shared" ca="1" si="566"/>
        <v>0</v>
      </c>
      <c r="CP605" s="115" t="b">
        <f ca="1">AND(模拟模式!$O$7="用晦而明",OR(C605="净世破魔击·日",C605="净世破魔击·月",C605="驱夜断愁"),AB605)</f>
        <v>1</v>
      </c>
      <c r="CQ605" s="115" t="b">
        <f ca="1">OR(CP605,AND(CP604,RAND()&lt;模拟模式!$U$23))</f>
        <v>1</v>
      </c>
      <c r="CR605" s="115" t="b">
        <f ca="1">AND(模拟模式!$S$7="日月齐光",OR(C605="幽月轮1",C605="幽月轮2",C605="幽月轮3",CR604),NOT(OR(C605="赤日轮1",C605="赤日轮2",C605="赤日轮3")))</f>
        <v>0</v>
      </c>
      <c r="CS605" s="115" t="b">
        <f ca="1">AND(模拟模式!$S$7="日月齐光",OR(C605="赤日轮1",C605="赤日轮2",C605="赤日轮3",CS604),NOT(OR(C605="幽月轮1",C605="幽月轮2",C605="幽月轮3")))</f>
        <v>0</v>
      </c>
      <c r="CT605" s="115">
        <f t="shared" ref="CT605:CT668" ca="1" si="590">IF(CU605,30,MAX(CT604-$F$4,0))</f>
        <v>12.472500000000011</v>
      </c>
      <c r="CU605" s="115" t="b">
        <f ca="1">AND(模拟模式!$K$10="阴阳往极",CT604=0,RAND()&lt;IF(C605="净世破魔击·月",0.0275*7/3,IF(C605="净世破魔击·日",0.0275*3/3,0.0275*2/3)))</f>
        <v>0</v>
      </c>
      <c r="CV605" s="115">
        <f t="shared" ref="CV605:CV668" ca="1" si="591">IF(CU605,5-$F$4,MAX(CV604-$F$4,0))</f>
        <v>0</v>
      </c>
      <c r="CW605" s="115">
        <f t="shared" ref="CW605:CW668" ca="1" si="592">MAX(IF($C605="烈日斩",6,CW604-$F$4),0)</f>
        <v>3.2324999999999995</v>
      </c>
      <c r="CX605" s="115">
        <f t="shared" ref="CX605:CX668" ca="1" si="593">MAX(IF($C605="银月斩",6,CX604-$F$4),0)</f>
        <v>1.3874999999999997</v>
      </c>
      <c r="CY605" s="115">
        <f ca="1">MAX(IF($C605="驱夜断愁",IF(模拟模式!$R$7="万念俱寂",6,45),CY604-$F$4),0)</f>
        <v>2.3099999999999996</v>
      </c>
      <c r="CZ605" s="115">
        <f t="shared" ca="1" si="567"/>
        <v>0</v>
      </c>
      <c r="DA605" s="115">
        <f ca="1">IF(模拟模式!$N$7="日月同辉",IF(DB604=2,0,MIN(6,IF(AND(OR(C605="赤日轮1",C605="赤日轮2",C605="赤日轮3",C605="幽月轮1",C605="幽月轮2",C605="幽月轮3"),AB605=1),DA604+1,DA604))),0)</f>
        <v>1</v>
      </c>
      <c r="DB605" s="115">
        <f t="shared" ca="1" si="568"/>
        <v>0</v>
      </c>
      <c r="DC605" s="115"/>
      <c r="DD605" s="115"/>
      <c r="DE605" s="115"/>
      <c r="DF605" s="115"/>
      <c r="DG605" s="115"/>
      <c r="DH605" s="115"/>
      <c r="DI605" s="115"/>
      <c r="DJ605" s="115"/>
      <c r="DK605" s="115"/>
      <c r="DL605" s="115"/>
      <c r="DM605" s="115"/>
    </row>
    <row r="606" spans="2:117" x14ac:dyDescent="0.2">
      <c r="B606" s="117">
        <f t="shared" si="569"/>
        <v>534.12750000000585</v>
      </c>
      <c r="C606" s="167" t="str">
        <f t="shared" ca="1" si="538"/>
        <v>赤日轮1</v>
      </c>
      <c r="D606" s="115">
        <f ca="1">IF(C606="赤日轮1",1,IF(C606="赤日轮2",2,IF(C606="赤日轮3",3,IF(C606="幽月轮1",4,IF(C606="幽月轮2",5,IF(C606="幽月轮3",6,IF(C606="烈日斩",7,IF(C606="银月斩",8,IF(C606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606="净世破魔击·月",17,IF(C606="驱夜断愁",18,0)))))))))))</f>
        <v>1</v>
      </c>
      <c r="E606" s="115">
        <f ca="1">IF(AND(CU606,OR(C606="幽月轮1",C606="幽月轮2",C606="幽月轮3",C606="银月斩",C606="驱夜断愁",C606="净世破魔击·月")),100,MIN(IF(OR(CN606,BE606),0,IF(OR($C606="赤日轮1",$C606="赤日轮2",$C606="赤日轮3"),E605+20+IF(模拟模式!$I$7="日月凌天",4,0)+IF(CR605,20,0),IF($C606="烈日斩",E605+40,IF($C606="驱夜断愁",IF(模拟模式!$R$7="万念俱寂",E605+20,E605+60),IF($C606="净世破魔击·月",IF(OR(DB605&gt;0,CV605&gt;0),100,IF(模拟模式!$M$7="辉耀红尘",E605+20,E605)),IF($C606="净世破魔击·日",E605-100,E605)))))),100))</f>
        <v>20</v>
      </c>
      <c r="F606" s="115">
        <f ca="1">IF(AND(CU606,OR(C606="赤日轮1",C606="赤日轮2",C606="赤日轮3",C606="烈日斩",C606="净世破魔击·日")),100,MIN(IF(CO606,0,IF(OR($C606="幽月轮1",$C606="幽月轮2",$C606="幽月轮3"),F605+20+IF(模拟模式!$I$7="日月凌天",4,0)+IF(CS605,20,0),IF($C606="银月斩",F605+40+IF(模拟模式!$X$12=1,5,0),IF($C606="驱夜断愁",IF(模拟模式!$R$7="万念俱寂",F605+20,F605+60),IF($C606="净世破魔击·月",IF(模拟模式!$M$7="辉耀红尘",F605-80,F605-100),IF(AND(C606="净世破魔击·日",OR(DB605&gt;0,CV605&gt;0)),100,F605)))))),100))</f>
        <v>20</v>
      </c>
      <c r="G606" s="117">
        <f ca="1">('模拟-全程加成'!$E$3+'模拟-全程加成'!$E$4+'模拟-全程加成'!$E$5+('模拟-全程加成'!$C$6-'模拟-全程加成'!$C$3)*系数!$B$9+BS606*23)*(1+'模拟-全程加成'!$F$4+'模拟-全程加成'!$F$5+BJ606*10%+BM606*20%+BP606*4%+CG606*30%)+$F$7*系数!$B$12</f>
        <v>20583.127400000001</v>
      </c>
      <c r="H606" s="45">
        <f ca="1">'模拟-全程加成'!$H$3+'模拟-全程加成'!$H$4+'模拟-全程加成'!$H$5+('模拟-全程加成'!$G$4+'模拟-全程加成'!$G$5+('模拟-全程加成'!$C$6-'模拟-全程加成'!$C$3)*系数!$B$13)/系数!$B$3+LOOKUP(D606,'模拟-单技能数据'!$A$2:$A$19,'模拟-单技能数据'!$K$2:$K$19)+BG606*10%+IF(BV606&gt;0,378,0)</f>
        <v>0.4618514552730022</v>
      </c>
      <c r="I606" s="45">
        <f ca="1">'模拟-全程加成'!$J$3+'模拟-全程加成'!$J$4+'模拟-全程加成'!$J$5+('模拟-全程加成'!$I$4+'模拟-全程加成'!$I$5)/系数!$B$4+LOOKUP(D606,'模拟-单技能数据'!$A$2:$A$19,'模拟-单技能数据'!$L$2:$L$19)+BG606*10%</f>
        <v>2.162482885499879</v>
      </c>
      <c r="J606" s="45">
        <f ca="1">(('模拟-全程加成'!$K$3+'模拟-全程加成'!$K$4+'模拟-全程加成'!$K$5+('模拟-全程加成'!$C$6-'模拟-全程加成'!$C$3)*系数!$B$10+IF(BV606&gt;0,882,0)+IF(BY606&gt;0,1831,0))*(1+'模拟-全程加成'!$L$4+'模拟-全程加成'!$L$5+CC606*20%))/系数!$B$5</f>
        <v>0.69723220422048726</v>
      </c>
      <c r="K606" s="119">
        <f ca="1">LOOKUP(D606,'模拟-单技能数据'!$A$2:$A$19,'模拟-单技能数据'!$J$2:$J$19)+IF(CM606,60%,0)+IF(DB605-DB606&gt;0,30%,0)+IF(OR(AND(OR(C606="赤日轮1",C606="赤日轮2",C606="赤日轮3"),CR606),AND(OR(C606="幽月轮1",C606="幽月轮2",C606="幽月轮3"),CS606)),35%,0)+CJ606</f>
        <v>0.12</v>
      </c>
      <c r="L606" s="119">
        <f ca="1">IF(AND(C606="烈日斩",模拟模式!$X$11=1),10%,0)+IF(AND(C606="驱夜断愁",AB606=1),30%,0)</f>
        <v>0</v>
      </c>
      <c r="M606" s="45">
        <f t="shared" ca="1" si="539"/>
        <v>0.4618514552730022</v>
      </c>
      <c r="N606" s="45">
        <f t="shared" ca="1" si="540"/>
        <v>0.48424854472699785</v>
      </c>
      <c r="O606" s="46">
        <f t="shared" ca="1" si="570"/>
        <v>0.18955136387555516</v>
      </c>
      <c r="P606" s="46" t="str">
        <f t="shared" ca="1" si="541"/>
        <v>会</v>
      </c>
      <c r="Q606" s="45">
        <f t="shared" ca="1" si="542"/>
        <v>2.162482885499879</v>
      </c>
      <c r="R606" s="117">
        <f ca="1">模拟模式!$E$20*(1-IF(模拟模式!$J$19="有",0.15,0))*(1-IF(模拟模式!$K$19="有",0.3,0)-IF(CQ606,0.5,0))</f>
        <v>843.02999999999975</v>
      </c>
      <c r="S606" s="45">
        <f ca="1">R606/(R606+(185*模拟模式!$E$22-16800)*4.08224)</f>
        <v>8.389626085980037E-2</v>
      </c>
      <c r="T606" s="45" t="str">
        <f ca="1">LOOKUP(D606,'模拟-单技能数据'!$A$2:$A$19,'模拟-单技能数据'!$H$2:$H$19)</f>
        <v>阳</v>
      </c>
      <c r="U606" s="119">
        <f t="shared" ca="1" si="543"/>
        <v>0.2</v>
      </c>
      <c r="V606" s="47">
        <f ca="1">(1+L606)*(LOOKUP(D606,'模拟-单技能数据'!$A$2:$A$19,'模拟-单技能数据'!$D$2:$D$19)+G606*LOOKUP(D606,'模拟-单技能数据'!$A$2:$A$19,'模拟-单技能数据'!$F$2:$F$19))*(1+J606)*(1+K606)*(1-S606)*(1+U606)*Q606*LOOKUP(D606,'模拟-单技能数据'!$A$2:$A$19,'模拟-单技能数据'!$I$2:$I$20)</f>
        <v>54482.562593809358</v>
      </c>
      <c r="W606" s="47">
        <f ca="1">LOOKUP(D606,'模拟-单技能数据'!$A$2:$A$19,'模拟-单技能数据'!$G$2:$G$19)*$I$10</f>
        <v>361.51064354704795</v>
      </c>
      <c r="X606" s="47">
        <f t="shared" ca="1" si="571"/>
        <v>9616.6571145767884</v>
      </c>
      <c r="Y606" s="47">
        <f t="shared" ca="1" si="544"/>
        <v>64460.730351933198</v>
      </c>
      <c r="Z606" s="49">
        <f t="shared" ca="1" si="545"/>
        <v>60616211.165754527</v>
      </c>
      <c r="AA606" s="97">
        <f t="shared" ca="1" si="546"/>
        <v>113486.40758199843</v>
      </c>
      <c r="AB606" s="115">
        <f ca="1">IF(OR(C606="赤日轮1",C606="赤日轮2",C606="赤日轮3"),IF(RAND()&lt;模拟模式!$Y$17,1,0),IF(OR(C606="幽月轮1",C606="幽月轮2",C606="幽月轮3"),IF(RAND()&lt;模拟模式!$Y$18,1,0),IF(C606="烈日斩",IF(RAND()&lt;模拟模式!$Y$19,1,0),IF(C606="银月斩",IF(RAND()&lt;模拟模式!$Y$20,1,0),IF(C606="驱夜断愁",IF(RAND()&lt;模拟模式!$Y$21,1,0),IF(C606="净世破魔击·日",IF(RAND()&lt;模拟模式!$Y$22,1,0),IF(C606="净世破魔击·月",IF(RAND()&lt;模拟模式!$Y$23,1,0),0)))))))</f>
        <v>1</v>
      </c>
      <c r="AC606" s="115" t="b">
        <f t="shared" ca="1" si="547"/>
        <v>0</v>
      </c>
      <c r="AD606" s="115" t="b">
        <f t="shared" ca="1" si="548"/>
        <v>1</v>
      </c>
      <c r="AE606" s="115">
        <f t="shared" ca="1" si="549"/>
        <v>2</v>
      </c>
      <c r="AF606" s="47">
        <f ca="1">IF(AC606,('模拟-单技能数据'!$D$20+G606*'模拟-单技能数据'!$F$20)*(1+J606)*(1+'模拟-单技能数据'!$J$20)*(1+U606),0)</f>
        <v>0</v>
      </c>
      <c r="AG606" s="61">
        <f t="shared" ca="1" si="550"/>
        <v>0.64185145527300214</v>
      </c>
      <c r="AH606" s="61">
        <f t="shared" ca="1" si="551"/>
        <v>2.2624828854998791</v>
      </c>
      <c r="AI606" s="62">
        <f t="shared" ca="1" si="572"/>
        <v>0.309976840870957</v>
      </c>
      <c r="AJ606" s="47">
        <f ca="1">IF(AD606,IF(AI606&lt;$F$10,0,IF(AI606&lt;$F$10+$F$11,0.25,IF(AI606&lt;$F$10+$F$11+AG606,AH606,1)))*IF(AF606&gt;0,AF606,IF(AF605&gt;0,AF605,IF(AF604&gt;0,AF604,IF(AF603&gt;0,AF603,IF(AF602&gt;0,AF602,IF(AF601&gt;0,AF601,IF(AF600&gt;0,AF600,IF(AF599&gt;0,AF599,IF(AF598&gt;0,AF598,IF(AF596&gt;0,AF596,IF(AF595&gt;0,AF595,IF(AF594&gt;0,AF594,0)))))))))))),0)*(1-$S606)*'模拟-单技能数据'!$I$20</f>
        <v>9616.6571145767884</v>
      </c>
      <c r="AK606" s="115" t="b">
        <f t="shared" ca="1" si="552"/>
        <v>0</v>
      </c>
      <c r="AL606" s="115" t="b">
        <f t="shared" ca="1" si="553"/>
        <v>0</v>
      </c>
      <c r="AM606" s="115">
        <f t="shared" ca="1" si="554"/>
        <v>5</v>
      </c>
      <c r="AN606" s="47">
        <f ca="1">IF(AK606,('模拟-单技能数据'!$D$21+G606*'模拟-单技能数据'!$F$21)*(1+J606)*(1+'模拟-单技能数据'!$J$21)*(1+U606),0)</f>
        <v>0</v>
      </c>
      <c r="AO606" s="61">
        <f ca="1">IF(AN606&gt;0,M606-'模拟-单技能数据'!$K$10,AO605)</f>
        <v>0.42185145527300216</v>
      </c>
      <c r="AP606" s="61">
        <f ca="1">IF(AN606&gt;0,I606-'模拟-单技能数据'!$L$10,AP605)</f>
        <v>2.162482885499879</v>
      </c>
      <c r="AQ606" s="63">
        <f t="shared" ca="1" si="573"/>
        <v>0.9400127050677336</v>
      </c>
      <c r="AR606" s="64">
        <f ca="1">IF(AL606,IF(AQ606&lt;$F$10,0,IF(AQ606&lt;$F$10+$F$11,0.25,IF(AQ606&lt;$F$10+$F$11+AO606,AP606,1)))*IF(AN606&gt;0,AN606,IF(AN605&gt;0,AN605,IF(AN604&gt;0,AN604,IF(AN603&gt;0,AN603,IF(AN602&gt;0,AN602,IF(AN601&gt;0,AN601,IF(AN600&gt;0,AN600,IF(AN599&gt;0,AN599,IF(AN598&gt;0,AN598,IF(AN596&gt;0,AN596,IF(AN595&gt;0,AN595,IF(AN594&gt;0,AN594,0)))))))))))),0)*(1-$S606)*'模拟-单技能数据'!$I$21</f>
        <v>0</v>
      </c>
      <c r="AS606" s="61">
        <f ca="1">IF(OR(C606="净世破魔击·日",C606="净世破魔击·月"),M606-'模拟-单技能数据'!$K$10,0)</f>
        <v>0</v>
      </c>
      <c r="AT606" s="61">
        <f ca="1">IF(OR(C606="净世破魔击·日",C606="净世破魔击·月"),I606-'模拟-单技能数据'!$L$10,0)</f>
        <v>0</v>
      </c>
      <c r="AU606" s="62">
        <f t="shared" ca="1" si="574"/>
        <v>0.67623808314877432</v>
      </c>
      <c r="AV606" s="64">
        <f ca="1">IF(AS606&gt;0,('模拟-单技能数据'!$D$22+G606*'模拟-单技能数据'!$F$22)*(1+J606)*(1-S606)*IF(AU606&lt;$F$10,0,IF(AU606&lt;$F$10+$F$11,0.25,IF(AU606&lt;$F$10+$F$11+AS606,AT606,1)))*(1+U606),0)*'模拟-单技能数据'!$I$22</f>
        <v>0</v>
      </c>
      <c r="AW606" s="108">
        <f t="shared" ca="1" si="575"/>
        <v>5.2400000000000064</v>
      </c>
      <c r="AX606" s="108" t="b">
        <f ca="1">AND(模拟模式!$P$10="有",AW605=0,RAND()&lt;IF(C606="净世破魔击·月",0.1*8/3,IF(C606="净世破魔击·日",0.1*4/3,0.1*2/3)))</f>
        <v>0</v>
      </c>
      <c r="AY606" s="47">
        <f ca="1">IF(AX606,(18+G606*0.722)*(1+J606)*(1-S606)*(1+$I$4)*IF(P606="会",'模拟-全程加成'!$J$3+'模拟-全程加成'!$J$4+'模拟-全程加成'!$J$5+('模拟-全程加成'!$I$4+'模拟-全程加成'!$I$5)/系数!$B$4+BG606*10%,IF(P606="命",1,IF(P606="识",0.25,0))),0)</f>
        <v>0</v>
      </c>
      <c r="AZ606" s="108">
        <f t="shared" si="576"/>
        <v>13.542500000000004</v>
      </c>
      <c r="BA606" s="108" t="b">
        <f>AND(模拟模式!$Q$10="有",AZ605=0)</f>
        <v>0</v>
      </c>
      <c r="BB606" s="140">
        <f>IF(BA606,(0+G606*0.287)*(1+J606)*(1-S606)*(1+$I$4)*IF(P606="会",'模拟-全程加成'!$J$3+'模拟-全程加成'!$J$4+'模拟-全程加成'!$J$5+('模拟-全程加成'!$I$4+'模拟-全程加成'!$I$5)/系数!$B$4+BG606*10%,IF(P606="命",1,IF(P606="识",0.25,0))),0)</f>
        <v>0</v>
      </c>
      <c r="BC606" s="115" t="b">
        <f ca="1">AND(模拟模式!$R$7="伏明众生",E606=60,F606=20,DA606&lt;5,CZ605&lt;$F$4)</f>
        <v>0</v>
      </c>
      <c r="BD606" s="115">
        <f t="shared" ca="1" si="555"/>
        <v>0</v>
      </c>
      <c r="BE606" s="115" t="b">
        <f t="shared" ca="1" si="556"/>
        <v>0</v>
      </c>
      <c r="BF606" s="47">
        <f ca="1">IF(BC606,4*('模拟-单技能数据'!$D$24+G606*'模拟-单技能数据'!$F$24)*(1+J606)*(1+'模拟-单技能数据'!$J$24)*(1-S606)*(1+$I$3)*(('模拟-全程加成'!$J$3+'模拟-全程加成'!$J$4+'模拟-全程加成'!$J$5+('模拟-全程加成'!$I$4+'模拟-全程加成'!$I$5)/系数!$B$4+BG606*10%)*('模拟-全程加成'!$J$3+'模拟-全程加成'!$J$4+'模拟-全程加成'!$J$5+('模拟-全程加成'!$I$4+'模拟-全程加成'!$I$5)/系数!$B$4+BG606*10%)+(1-('模拟-全程加成'!$J$3+'模拟-全程加成'!$J$4+'模拟-全程加成'!$J$5+('模拟-全程加成'!$I$4+'模拟-全程加成'!$I$5)/系数!$B$4+BG606*10%)-$F$10-$F$11)+F592*0.25),0)*'模拟-单技能数据'!$I$24</f>
        <v>0</v>
      </c>
      <c r="BG606" s="115" t="b">
        <f ca="1">OR(AND(OR(C606="烈日斩",C606="银月斩"),模拟模式!$I$7="净身明礼"),AND(C606="净世破魔击·日",模拟模式!$J$7="洞若观火"),AND(C607="净世破魔击·月",模拟模式!$J$7="洞若观火"),AB606=1)</f>
        <v>1</v>
      </c>
      <c r="BH606" s="115" t="b">
        <f t="shared" ca="1" si="577"/>
        <v>0</v>
      </c>
      <c r="BI606" s="115">
        <f t="shared" ca="1" si="557"/>
        <v>0</v>
      </c>
      <c r="BJ606" s="115" t="b">
        <f t="shared" ca="1" si="558"/>
        <v>0</v>
      </c>
      <c r="BK606" s="115" t="b">
        <f ca="1">AND(C606="驱夜断愁",模拟模式!$P$7="天地诛戮")</f>
        <v>0</v>
      </c>
      <c r="BL606" s="57">
        <f t="shared" ca="1" si="559"/>
        <v>15.387500000000003</v>
      </c>
      <c r="BM606" s="115" t="b">
        <f t="shared" ca="1" si="560"/>
        <v>1</v>
      </c>
      <c r="BN606" s="115" t="b">
        <f ca="1">AND(OR(C606="赤日轮1",C606="赤日轮2",C606="赤日轮3",C606="幽月轮1",C606="幽月轮2",C606="幽月轮3"),AB606=1,模拟模式!$L$7="明光恒照")</f>
        <v>1</v>
      </c>
      <c r="BO606" s="117">
        <f t="shared" ca="1" si="561"/>
        <v>30</v>
      </c>
      <c r="BP606" s="115">
        <f t="shared" ca="1" si="578"/>
        <v>6</v>
      </c>
      <c r="BQ606" s="115" t="b">
        <f>模拟模式!$K$10="2600·水"</f>
        <v>0</v>
      </c>
      <c r="BR606" s="117">
        <f t="shared" si="579"/>
        <v>0</v>
      </c>
      <c r="BS606" s="115">
        <f t="shared" si="580"/>
        <v>0</v>
      </c>
      <c r="BT606" s="115">
        <f t="shared" ca="1" si="581"/>
        <v>0</v>
      </c>
      <c r="BU606" s="115" t="b">
        <f ca="1">AND(模拟模式!$K$10="2300·雷",BT605=0,RAND()&lt;IF(C606="净世破魔击·月",5*0.05*2/3,IF(C606="净世破魔击·日",3*0.05*2/3,0.05*2*2/3)))</f>
        <v>0</v>
      </c>
      <c r="BV606" s="115">
        <f t="shared" ca="1" si="582"/>
        <v>0</v>
      </c>
      <c r="BW606" s="115">
        <f t="shared" ca="1" si="583"/>
        <v>21.329999999999302</v>
      </c>
      <c r="BX606" s="164" t="b">
        <f t="shared" ca="1" si="584"/>
        <v>0</v>
      </c>
      <c r="BY606" s="115">
        <f t="shared" ca="1" si="585"/>
        <v>0</v>
      </c>
      <c r="BZ606" s="115">
        <f>IF(OR(模拟模式!$P$16="10人团",模拟模式!$P$16="25人团"),IF(B606/30&gt;CA605,1,0),0)</f>
        <v>0</v>
      </c>
      <c r="CA606" s="115">
        <f t="shared" si="562"/>
        <v>0</v>
      </c>
      <c r="CB606" s="115">
        <f ca="1">IF(BZ606=1,IF(模拟模式!$P$16="10人团",15,0)+IF(模拟模式!$P$16="25人团",IF(RAND()&lt;0.6,15,0)),MAX(0,CB605-$F$4))</f>
        <v>0</v>
      </c>
      <c r="CC606" s="115" t="b">
        <f t="shared" ca="1" si="563"/>
        <v>0</v>
      </c>
      <c r="CD606" s="115">
        <f>IF(模拟模式!$Q$16="1个",IF(B606/40&gt;CE605,1,0),0)</f>
        <v>0</v>
      </c>
      <c r="CE606" s="115">
        <f t="shared" si="564"/>
        <v>0</v>
      </c>
      <c r="CF606" s="115">
        <f>IF(OR(CD606=1,模拟模式!$Q$16="2个"),20,MAX(0,CF605-$F$4))</f>
        <v>0</v>
      </c>
      <c r="CG606" s="115" t="b">
        <f t="shared" si="565"/>
        <v>0</v>
      </c>
      <c r="CH606" s="115">
        <f t="shared" ca="1" si="586"/>
        <v>20.775000000000006</v>
      </c>
      <c r="CI606" s="115" t="b">
        <f t="shared" ca="1" si="587"/>
        <v>0</v>
      </c>
      <c r="CJ606" s="119">
        <f t="shared" ca="1" si="588"/>
        <v>0</v>
      </c>
      <c r="CK606" s="115">
        <f t="shared" ca="1" si="589"/>
        <v>0</v>
      </c>
      <c r="CL606" s="115" t="b">
        <f ca="1">AND(模拟模式!$S$7="驱夷逐法",OR(AND(C606="净世破魔击·月",E605&gt;59),AND(C606="净世破魔击·日",F605&gt;59)))</f>
        <v>0</v>
      </c>
      <c r="CM606" s="115" t="b">
        <f ca="1">OR(CL606,AND(C606="净世破魔击·日",CL605,RAND()&lt;模拟模式!$U$23))</f>
        <v>0</v>
      </c>
      <c r="CN606" s="115" t="b">
        <f ca="1">IF(模拟模式!$M$7="辉耀红尘",AND(C606="净世破魔击·月",CL606,CV606=0,E605&lt;80),AND(C606="净世破魔击·月",CL606,E605&lt;100))</f>
        <v>0</v>
      </c>
      <c r="CO606" s="115" t="b">
        <f t="shared" ca="1" si="566"/>
        <v>0</v>
      </c>
      <c r="CP606" s="115" t="b">
        <f ca="1">AND(模拟模式!$O$7="用晦而明",OR(C606="净世破魔击·日",C606="净世破魔击·月",C606="驱夜断愁"),AB606)</f>
        <v>0</v>
      </c>
      <c r="CQ606" s="115" t="b">
        <f ca="1">OR(CP606,AND(CP605,RAND()&lt;模拟模式!$U$23))</f>
        <v>1</v>
      </c>
      <c r="CR606" s="115" t="b">
        <f ca="1">AND(模拟模式!$S$7="日月齐光",OR(C606="幽月轮1",C606="幽月轮2",C606="幽月轮3",CR605),NOT(OR(C606="赤日轮1",C606="赤日轮2",C606="赤日轮3")))</f>
        <v>0</v>
      </c>
      <c r="CS606" s="115" t="b">
        <f ca="1">AND(模拟模式!$S$7="日月齐光",OR(C606="赤日轮1",C606="赤日轮2",C606="赤日轮3",CS605),NOT(OR(C606="幽月轮1",C606="幽月轮2",C606="幽月轮3")))</f>
        <v>0</v>
      </c>
      <c r="CT606" s="115">
        <f t="shared" ca="1" si="590"/>
        <v>11.550000000000011</v>
      </c>
      <c r="CU606" s="115" t="b">
        <f ca="1">AND(模拟模式!$K$10="阴阳往极",CT605=0,RAND()&lt;IF(C606="净世破魔击·月",0.0275*7/3,IF(C606="净世破魔击·日",0.0275*3/3,0.0275*2/3)))</f>
        <v>0</v>
      </c>
      <c r="CV606" s="115">
        <f t="shared" ca="1" si="591"/>
        <v>0</v>
      </c>
      <c r="CW606" s="115">
        <f t="shared" ca="1" si="592"/>
        <v>2.3099999999999996</v>
      </c>
      <c r="CX606" s="115">
        <f t="shared" ca="1" si="593"/>
        <v>0.46499999999999975</v>
      </c>
      <c r="CY606" s="115">
        <f ca="1">MAX(IF($C606="驱夜断愁",IF(模拟模式!$R$7="万念俱寂",6,45),CY605-$F$4),0)</f>
        <v>1.3874999999999997</v>
      </c>
      <c r="CZ606" s="115">
        <f t="shared" ca="1" si="567"/>
        <v>0</v>
      </c>
      <c r="DA606" s="115">
        <f ca="1">IF(模拟模式!$N$7="日月同辉",IF(DB605=2,0,MIN(6,IF(AND(OR(C606="赤日轮1",C606="赤日轮2",C606="赤日轮3",C606="幽月轮1",C606="幽月轮2",C606="幽月轮3"),AB606=1),DA605+1,DA605))),0)</f>
        <v>2</v>
      </c>
      <c r="DB606" s="115">
        <f t="shared" ca="1" si="568"/>
        <v>0</v>
      </c>
      <c r="DC606" s="115"/>
      <c r="DD606" s="115"/>
      <c r="DE606" s="115"/>
      <c r="DF606" s="115"/>
      <c r="DG606" s="115"/>
      <c r="DH606" s="115"/>
      <c r="DI606" s="115"/>
      <c r="DJ606" s="115"/>
      <c r="DK606" s="115"/>
      <c r="DL606" s="115"/>
      <c r="DM606" s="115"/>
    </row>
    <row r="607" spans="2:117" x14ac:dyDescent="0.2">
      <c r="B607" s="117">
        <f t="shared" si="569"/>
        <v>535.05000000000587</v>
      </c>
      <c r="C607" s="167" t="str">
        <f t="shared" ca="1" si="538"/>
        <v>银月斩</v>
      </c>
      <c r="D607" s="115">
        <f ca="1">IF(C607="赤日轮1",1,IF(C607="赤日轮2",2,IF(C607="赤日轮3",3,IF(C607="幽月轮1",4,IF(C607="幽月轮2",5,IF(C607="幽月轮3",6,IF(C607="烈日斩",7,IF(C607="银月斩",8,IF(C607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607="净世破魔击·月",17,IF(C607="驱夜断愁",18,0)))))))))))</f>
        <v>8</v>
      </c>
      <c r="E607" s="115">
        <f ca="1">IF(AND(CU607,OR(C607="幽月轮1",C607="幽月轮2",C607="幽月轮3",C607="银月斩",C607="驱夜断愁",C607="净世破魔击·月")),100,MIN(IF(OR(CN607,BE607),0,IF(OR($C607="赤日轮1",$C607="赤日轮2",$C607="赤日轮3"),E606+20+IF(模拟模式!$I$7="日月凌天",4,0)+IF(CR606,20,0),IF($C607="烈日斩",E606+40,IF($C607="驱夜断愁",IF(模拟模式!$R$7="万念俱寂",E606+20,E606+60),IF($C607="净世破魔击·月",IF(OR(DB606&gt;0,CV606&gt;0),100,IF(模拟模式!$M$7="辉耀红尘",E606+20,E606)),IF($C607="净世破魔击·日",E606-100,E606)))))),100))</f>
        <v>20</v>
      </c>
      <c r="F607" s="115">
        <f ca="1">IF(AND(CU607,OR(C607="赤日轮1",C607="赤日轮2",C607="赤日轮3",C607="烈日斩",C607="净世破魔击·日")),100,MIN(IF(CO607,0,IF(OR($C607="幽月轮1",$C607="幽月轮2",$C607="幽月轮3"),F606+20+IF(模拟模式!$I$7="日月凌天",4,0)+IF(CS606,20,0),IF($C607="银月斩",F606+40+IF(模拟模式!$X$12=1,5,0),IF($C607="驱夜断愁",IF(模拟模式!$R$7="万念俱寂",F606+20,F606+60),IF($C607="净世破魔击·月",IF(模拟模式!$M$7="辉耀红尘",F606-80,F606-100),IF(AND(C607="净世破魔击·日",OR(DB606&gt;0,CV606&gt;0)),100,F606)))))),100))</f>
        <v>65</v>
      </c>
      <c r="G607" s="117">
        <f ca="1">('模拟-全程加成'!$E$3+'模拟-全程加成'!$E$4+'模拟-全程加成'!$E$5+('模拟-全程加成'!$C$6-'模拟-全程加成'!$C$3)*系数!$B$9+BS607*23)*(1+'模拟-全程加成'!$F$4+'模拟-全程加成'!$F$5+BJ607*10%+BM607*20%+BP607*4%+CG607*30%)+$F$7*系数!$B$12</f>
        <v>20583.127400000001</v>
      </c>
      <c r="H607" s="45">
        <f ca="1">'模拟-全程加成'!$H$3+'模拟-全程加成'!$H$4+'模拟-全程加成'!$H$5+('模拟-全程加成'!$G$4+'模拟-全程加成'!$G$5+('模拟-全程加成'!$C$6-'模拟-全程加成'!$C$3)*系数!$B$13)/系数!$B$3+LOOKUP(D607,'模拟-单技能数据'!$A$2:$A$19,'模拟-单技能数据'!$K$2:$K$19)+BG607*10%+IF(BV607&gt;0,378,0)</f>
        <v>0.64185145527300214</v>
      </c>
      <c r="I607" s="45">
        <f ca="1">'模拟-全程加成'!$J$3+'模拟-全程加成'!$J$4+'模拟-全程加成'!$J$5+('模拟-全程加成'!$I$4+'模拟-全程加成'!$I$5)/系数!$B$4+LOOKUP(D607,'模拟-单技能数据'!$A$2:$A$19,'模拟-单技能数据'!$L$2:$L$19)+BG607*10%</f>
        <v>2.2624828854998791</v>
      </c>
      <c r="J607" s="45">
        <f ca="1">(('模拟-全程加成'!$K$3+'模拟-全程加成'!$K$4+'模拟-全程加成'!$K$5+('模拟-全程加成'!$C$6-'模拟-全程加成'!$C$3)*系数!$B$10+IF(BV607&gt;0,882,0)+IF(BY607&gt;0,1831,0))*(1+'模拟-全程加成'!$L$4+'模拟-全程加成'!$L$5+CC607*20%))/系数!$B$5</f>
        <v>0.69723220422048726</v>
      </c>
      <c r="K607" s="119">
        <f ca="1">LOOKUP(D607,'模拟-单技能数据'!$A$2:$A$19,'模拟-单技能数据'!$J$2:$J$19)+IF(CM607,60%,0)+IF(DB606-DB607&gt;0,30%,0)+IF(OR(AND(OR(C607="赤日轮1",C607="赤日轮2",C607="赤日轮3"),CR607),AND(OR(C607="幽月轮1",C607="幽月轮2",C607="幽月轮3"),CS607)),35%,0)+CJ607</f>
        <v>0.15</v>
      </c>
      <c r="L607" s="119">
        <f ca="1">IF(AND(C607="烈日斩",模拟模式!$X$11=1),10%,0)+IF(AND(C607="驱夜断愁",AB607=1),30%,0)</f>
        <v>0</v>
      </c>
      <c r="M607" s="45">
        <f t="shared" ca="1" si="539"/>
        <v>0.64185145527300214</v>
      </c>
      <c r="N607" s="45">
        <f t="shared" ca="1" si="540"/>
        <v>0.30424854472699792</v>
      </c>
      <c r="O607" s="46">
        <f t="shared" ca="1" si="570"/>
        <v>0.4182103652056155</v>
      </c>
      <c r="P607" s="46" t="str">
        <f t="shared" ca="1" si="541"/>
        <v>会</v>
      </c>
      <c r="Q607" s="45">
        <f t="shared" ca="1" si="542"/>
        <v>2.2624828854998791</v>
      </c>
      <c r="R607" s="117">
        <f ca="1">模拟模式!$E$20*(1-IF(模拟模式!$J$19="有",0.15,0))*(1-IF(模拟模式!$K$19="有",0.3,0)-IF(CQ607,0.5,0))</f>
        <v>2950.6049999999996</v>
      </c>
      <c r="S607" s="45">
        <f ca="1">R607/(R607+(185*模拟模式!$E$22-16800)*4.08224)</f>
        <v>0.24272716014590323</v>
      </c>
      <c r="T607" s="45" t="str">
        <f ca="1">LOOKUP(D607,'模拟-单技能数据'!$A$2:$A$19,'模拟-单技能数据'!$H$2:$H$19)</f>
        <v>阴</v>
      </c>
      <c r="U607" s="119">
        <f t="shared" ca="1" si="543"/>
        <v>0.08</v>
      </c>
      <c r="V607" s="47">
        <f ca="1">(1+L607)*(LOOKUP(D607,'模拟-单技能数据'!$A$2:$A$19,'模拟-单技能数据'!$D$2:$D$19)+G607*LOOKUP(D607,'模拟-单技能数据'!$A$2:$A$19,'模拟-单技能数据'!$F$2:$F$19))*(1+J607)*(1+K607)*(1-S607)*(1+U607)*Q607*LOOKUP(D607,'模拟-单技能数据'!$A$2:$A$19,'模拟-单技能数据'!$I$2:$I$20)</f>
        <v>39481.310356797861</v>
      </c>
      <c r="W607" s="47">
        <f ca="1">LOOKUP(D607,'模拟-单技能数据'!$A$2:$A$19,'模拟-单技能数据'!$G$2:$G$19)*$I$10</f>
        <v>361.51064354704795</v>
      </c>
      <c r="X607" s="47">
        <f t="shared" ca="1" si="571"/>
        <v>9190.6918139866902</v>
      </c>
      <c r="Y607" s="47">
        <f t="shared" ca="1" si="544"/>
        <v>49033.512814331596</v>
      </c>
      <c r="Z607" s="49">
        <f t="shared" ca="1" si="545"/>
        <v>60665244.678568855</v>
      </c>
      <c r="AA607" s="97">
        <f t="shared" ca="1" si="546"/>
        <v>113382.38422309727</v>
      </c>
      <c r="AB607" s="115">
        <f ca="1">IF(OR(C607="赤日轮1",C607="赤日轮2",C607="赤日轮3"),IF(RAND()&lt;模拟模式!$Y$17,1,0),IF(OR(C607="幽月轮1",C607="幽月轮2",C607="幽月轮3"),IF(RAND()&lt;模拟模式!$Y$18,1,0),IF(C607="烈日斩",IF(RAND()&lt;模拟模式!$Y$19,1,0),IF(C607="银月斩",IF(RAND()&lt;模拟模式!$Y$20,1,0),IF(C607="驱夜断愁",IF(RAND()&lt;模拟模式!$Y$21,1,0),IF(C607="净世破魔击·日",IF(RAND()&lt;模拟模式!$Y$22,1,0),IF(C607="净世破魔击·月",IF(RAND()&lt;模拟模式!$Y$23,1,0),0)))))))</f>
        <v>1</v>
      </c>
      <c r="AC607" s="115" t="b">
        <f t="shared" ca="1" si="547"/>
        <v>1</v>
      </c>
      <c r="AD607" s="115" t="b">
        <f t="shared" ca="1" si="548"/>
        <v>0</v>
      </c>
      <c r="AE607" s="115">
        <f t="shared" ca="1" si="549"/>
        <v>6</v>
      </c>
      <c r="AF607" s="47">
        <f ca="1">IF(AC607,('模拟-单技能数据'!$D$20+G607*'模拟-单技能数据'!$F$20)*(1+J607)*(1+'模拟-单技能数据'!$J$20)*(1+U607),0)</f>
        <v>4447.8565560098323</v>
      </c>
      <c r="AG607" s="61">
        <f t="shared" ca="1" si="550"/>
        <v>0.64185145527300214</v>
      </c>
      <c r="AH607" s="61">
        <f t="shared" ca="1" si="551"/>
        <v>2.2624828854998791</v>
      </c>
      <c r="AI607" s="62">
        <f t="shared" ca="1" si="572"/>
        <v>0.38297149082153059</v>
      </c>
      <c r="AJ607" s="47">
        <f ca="1">IF(AD607,IF(AI607&lt;$F$10,0,IF(AI607&lt;$F$10+$F$11,0.25,IF(AI607&lt;$F$10+$F$11+AG607,AH607,1)))*IF(AF607&gt;0,AF607,IF(AF606&gt;0,AF606,IF(AF605&gt;0,AF605,IF(AF604&gt;0,AF604,IF(AF603&gt;0,AF603,IF(AF602&gt;0,AF602,IF(AF601&gt;0,AF601,IF(AF600&gt;0,AF600,IF(AF599&gt;0,AF599,IF(AF597&gt;0,AF597,IF(AF596&gt;0,AF596,IF(AF595&gt;0,AF595,0)))))))))))),0)*(1-$S607)*'模拟-单技能数据'!$I$20</f>
        <v>0</v>
      </c>
      <c r="AK607" s="115" t="b">
        <f t="shared" ca="1" si="552"/>
        <v>0</v>
      </c>
      <c r="AL607" s="115" t="b">
        <f t="shared" ca="1" si="553"/>
        <v>1</v>
      </c>
      <c r="AM607" s="115">
        <f t="shared" ca="1" si="554"/>
        <v>4</v>
      </c>
      <c r="AN607" s="47">
        <f ca="1">IF(AK607,('模拟-单技能数据'!$D$21+G607*'模拟-单技能数据'!$F$21)*(1+J607)*(1+'模拟-单技能数据'!$J$21)*(1+U607),0)</f>
        <v>0</v>
      </c>
      <c r="AO607" s="61">
        <f ca="1">IF(AN607&gt;0,M607-'模拟-单技能数据'!$K$10,AO606)</f>
        <v>0.42185145527300216</v>
      </c>
      <c r="AP607" s="61">
        <f ca="1">IF(AN607&gt;0,I607-'模拟-单技能数据'!$L$10,AP606)</f>
        <v>2.162482885499879</v>
      </c>
      <c r="AQ607" s="63">
        <f t="shared" ca="1" si="573"/>
        <v>0.72805495512356599</v>
      </c>
      <c r="AR607" s="64">
        <f ca="1">IF(AL607,IF(AQ607&lt;$F$10,0,IF(AQ607&lt;$F$10+$F$11,0.25,IF(AQ607&lt;$F$10+$F$11+AO607,AP607,1)))*IF(AN607&gt;0,AN607,IF(AN606&gt;0,AN606,IF(AN605&gt;0,AN605,IF(AN604&gt;0,AN604,IF(AN603&gt;0,AN603,IF(AN602&gt;0,AN602,IF(AN601&gt;0,AN601,IF(AN600&gt;0,AN600,IF(AN599&gt;0,AN599,IF(AN597&gt;0,AN597,IF(AN596&gt;0,AN596,IF(AN595&gt;0,AN595,0)))))))))))),0)*(1-$S607)*'模拟-单技能数据'!$I$21</f>
        <v>9190.6918139866902</v>
      </c>
      <c r="AS607" s="61">
        <f ca="1">IF(OR(C607="净世破魔击·日",C607="净世破魔击·月"),M607-'模拟-单技能数据'!$K$10,0)</f>
        <v>0</v>
      </c>
      <c r="AT607" s="61">
        <f ca="1">IF(OR(C607="净世破魔击·日",C607="净世破魔击·月"),I607-'模拟-单技能数据'!$L$10,0)</f>
        <v>0</v>
      </c>
      <c r="AU607" s="62">
        <f t="shared" ca="1" si="574"/>
        <v>0.6603046180572909</v>
      </c>
      <c r="AV607" s="64">
        <f ca="1">IF(AS607&gt;0,('模拟-单技能数据'!$D$22+G607*'模拟-单技能数据'!$F$22)*(1+J607)*(1-S607)*IF(AU607&lt;$F$10,0,IF(AU607&lt;$F$10+$F$11,0.25,IF(AU607&lt;$F$10+$F$11+AS607,AT607,1)))*(1+U607),0)*'模拟-单技能数据'!$I$22</f>
        <v>0</v>
      </c>
      <c r="AW607" s="108">
        <f t="shared" ca="1" si="575"/>
        <v>4.3175000000000061</v>
      </c>
      <c r="AX607" s="108" t="b">
        <f ca="1">AND(模拟模式!$P$10="有",AW606=0,RAND()&lt;IF(C607="净世破魔击·月",0.1*8/3,IF(C607="净世破魔击·日",0.1*4/3,0.1*2/3)))</f>
        <v>0</v>
      </c>
      <c r="AY607" s="47">
        <f ca="1">IF(AX607,(18+G607*0.722)*(1+J607)*(1-S607)*(1+$I$4)*IF(P607="会",'模拟-全程加成'!$J$3+'模拟-全程加成'!$J$4+'模拟-全程加成'!$J$5+('模拟-全程加成'!$I$4+'模拟-全程加成'!$I$5)/系数!$B$4+BG607*10%,IF(P607="命",1,IF(P607="识",0.25,0))),0)</f>
        <v>0</v>
      </c>
      <c r="AZ607" s="108">
        <f t="shared" si="576"/>
        <v>12.620000000000005</v>
      </c>
      <c r="BA607" s="108" t="b">
        <f>AND(模拟模式!$Q$10="有",AZ606=0)</f>
        <v>0</v>
      </c>
      <c r="BB607" s="140">
        <f>IF(BA607,(0+G607*0.287)*(1+J607)*(1-S607)*(1+$I$4)*IF(P607="会",'模拟-全程加成'!$J$3+'模拟-全程加成'!$J$4+'模拟-全程加成'!$J$5+('模拟-全程加成'!$I$4+'模拟-全程加成'!$I$5)/系数!$B$4+BG607*10%,IF(P607="命",1,IF(P607="识",0.25,0))),0)</f>
        <v>0</v>
      </c>
      <c r="BC607" s="115" t="b">
        <f ca="1">AND(模拟模式!$R$7="伏明众生",E607=60,F607=20,DA607&lt;5,CZ606&lt;$F$4)</f>
        <v>0</v>
      </c>
      <c r="BD607" s="115">
        <f t="shared" ca="1" si="555"/>
        <v>0</v>
      </c>
      <c r="BE607" s="115" t="b">
        <f t="shared" ca="1" si="556"/>
        <v>0</v>
      </c>
      <c r="BF607" s="47">
        <f ca="1">IF(BC607,4*('模拟-单技能数据'!$D$24+G607*'模拟-单技能数据'!$F$24)*(1+J607)*(1+'模拟-单技能数据'!$J$24)*(1-S607)*(1+$I$3)*(('模拟-全程加成'!$J$3+'模拟-全程加成'!$J$4+'模拟-全程加成'!$J$5+('模拟-全程加成'!$I$4+'模拟-全程加成'!$I$5)/系数!$B$4+BG607*10%)*('模拟-全程加成'!$J$3+'模拟-全程加成'!$J$4+'模拟-全程加成'!$J$5+('模拟-全程加成'!$I$4+'模拟-全程加成'!$I$5)/系数!$B$4+BG607*10%)+(1-('模拟-全程加成'!$J$3+'模拟-全程加成'!$J$4+'模拟-全程加成'!$J$5+('模拟-全程加成'!$I$4+'模拟-全程加成'!$I$5)/系数!$B$4+BG607*10%)-$F$10-$F$11)+F593*0.25),0)*'模拟-单技能数据'!$I$24</f>
        <v>0</v>
      </c>
      <c r="BG607" s="115" t="b">
        <f ca="1">OR(AND(OR(C607="烈日斩",C607="银月斩"),模拟模式!$I$7="净身明礼"),AND(C607="净世破魔击·日",模拟模式!$J$7="洞若观火"),AND(C608="净世破魔击·月",模拟模式!$J$7="洞若观火"),AB607=1)</f>
        <v>1</v>
      </c>
      <c r="BH607" s="115" t="b">
        <f t="shared" ca="1" si="577"/>
        <v>0</v>
      </c>
      <c r="BI607" s="115">
        <f t="shared" ca="1" si="557"/>
        <v>0</v>
      </c>
      <c r="BJ607" s="115" t="b">
        <f t="shared" ca="1" si="558"/>
        <v>0</v>
      </c>
      <c r="BK607" s="115" t="b">
        <f ca="1">AND(C607="驱夜断愁",模拟模式!$P$7="天地诛戮")</f>
        <v>0</v>
      </c>
      <c r="BL607" s="57">
        <f t="shared" ca="1" si="559"/>
        <v>14.465000000000003</v>
      </c>
      <c r="BM607" s="115" t="b">
        <f t="shared" ca="1" si="560"/>
        <v>1</v>
      </c>
      <c r="BN607" s="115" t="b">
        <f ca="1">AND(OR(C607="赤日轮1",C607="赤日轮2",C607="赤日轮3",C607="幽月轮1",C607="幽月轮2",C607="幽月轮3"),AB607=1,模拟模式!$L$7="明光恒照")</f>
        <v>0</v>
      </c>
      <c r="BO607" s="117">
        <f t="shared" ca="1" si="561"/>
        <v>29.077500000000001</v>
      </c>
      <c r="BP607" s="115">
        <f t="shared" ca="1" si="578"/>
        <v>6</v>
      </c>
      <c r="BQ607" s="115" t="b">
        <f>模拟模式!$K$10="2600·水"</f>
        <v>0</v>
      </c>
      <c r="BR607" s="117">
        <f t="shared" si="579"/>
        <v>0</v>
      </c>
      <c r="BS607" s="115">
        <f t="shared" si="580"/>
        <v>0</v>
      </c>
      <c r="BT607" s="115">
        <f t="shared" ca="1" si="581"/>
        <v>0</v>
      </c>
      <c r="BU607" s="115" t="b">
        <f ca="1">AND(模拟模式!$K$10="2300·雷",BT606=0,RAND()&lt;IF(C607="净世破魔击·月",5*0.05*2/3,IF(C607="净世破魔击·日",3*0.05*2/3,0.05*2*2/3)))</f>
        <v>0</v>
      </c>
      <c r="BV607" s="115">
        <f t="shared" ca="1" si="582"/>
        <v>0</v>
      </c>
      <c r="BW607" s="115">
        <f t="shared" ca="1" si="583"/>
        <v>20.407499999999303</v>
      </c>
      <c r="BX607" s="164" t="b">
        <f t="shared" ca="1" si="584"/>
        <v>0</v>
      </c>
      <c r="BY607" s="115">
        <f t="shared" ca="1" si="585"/>
        <v>0</v>
      </c>
      <c r="BZ607" s="115">
        <f>IF(OR(模拟模式!$P$16="10人团",模拟模式!$P$16="25人团"),IF(B607/30&gt;CA606,1,0),0)</f>
        <v>0</v>
      </c>
      <c r="CA607" s="115">
        <f t="shared" si="562"/>
        <v>0</v>
      </c>
      <c r="CB607" s="115">
        <f ca="1">IF(BZ607=1,IF(模拟模式!$P$16="10人团",15,0)+IF(模拟模式!$P$16="25人团",IF(RAND()&lt;0.6,15,0)),MAX(0,CB606-$F$4))</f>
        <v>0</v>
      </c>
      <c r="CC607" s="115" t="b">
        <f t="shared" ca="1" si="563"/>
        <v>0</v>
      </c>
      <c r="CD607" s="115">
        <f>IF(模拟模式!$Q$16="1个",IF(B607/40&gt;CE606,1,0),0)</f>
        <v>0</v>
      </c>
      <c r="CE607" s="115">
        <f t="shared" si="564"/>
        <v>0</v>
      </c>
      <c r="CF607" s="115">
        <f>IF(OR(CD607=1,模拟模式!$Q$16="2个"),20,MAX(0,CF606-$F$4))</f>
        <v>0</v>
      </c>
      <c r="CG607" s="115" t="b">
        <f t="shared" si="565"/>
        <v>0</v>
      </c>
      <c r="CH607" s="115">
        <f t="shared" ca="1" si="586"/>
        <v>19.852500000000006</v>
      </c>
      <c r="CI607" s="115" t="b">
        <f t="shared" ca="1" si="587"/>
        <v>0</v>
      </c>
      <c r="CJ607" s="119">
        <f t="shared" ca="1" si="588"/>
        <v>0</v>
      </c>
      <c r="CK607" s="115">
        <f t="shared" ca="1" si="589"/>
        <v>0</v>
      </c>
      <c r="CL607" s="115" t="b">
        <f ca="1">AND(模拟模式!$S$7="驱夷逐法",OR(AND(C607="净世破魔击·月",E606&gt;59),AND(C607="净世破魔击·日",F606&gt;59)))</f>
        <v>0</v>
      </c>
      <c r="CM607" s="115" t="b">
        <f ca="1">OR(CL607,AND(C607="净世破魔击·日",CL606,RAND()&lt;模拟模式!$U$23))</f>
        <v>0</v>
      </c>
      <c r="CN607" s="115" t="b">
        <f ca="1">IF(模拟模式!$M$7="辉耀红尘",AND(C607="净世破魔击·月",CL607,CV607=0,E606&lt;80),AND(C607="净世破魔击·月",CL607,E606&lt;100))</f>
        <v>0</v>
      </c>
      <c r="CO607" s="115" t="b">
        <f t="shared" ca="1" si="566"/>
        <v>0</v>
      </c>
      <c r="CP607" s="115" t="b">
        <f ca="1">AND(模拟模式!$O$7="用晦而明",OR(C607="净世破魔击·日",C607="净世破魔击·月",C607="驱夜断愁"),AB607)</f>
        <v>0</v>
      </c>
      <c r="CQ607" s="115" t="b">
        <f ca="1">OR(CP607,AND(CP606,RAND()&lt;模拟模式!$U$23))</f>
        <v>0</v>
      </c>
      <c r="CR607" s="115" t="b">
        <f ca="1">AND(模拟模式!$S$7="日月齐光",OR(C607="幽月轮1",C607="幽月轮2",C607="幽月轮3",CR606),NOT(OR(C607="赤日轮1",C607="赤日轮2",C607="赤日轮3")))</f>
        <v>0</v>
      </c>
      <c r="CS607" s="115" t="b">
        <f ca="1">AND(模拟模式!$S$7="日月齐光",OR(C607="赤日轮1",C607="赤日轮2",C607="赤日轮3",CS606),NOT(OR(C607="幽月轮1",C607="幽月轮2",C607="幽月轮3")))</f>
        <v>0</v>
      </c>
      <c r="CT607" s="115">
        <f t="shared" ca="1" si="590"/>
        <v>10.627500000000012</v>
      </c>
      <c r="CU607" s="115" t="b">
        <f ca="1">AND(模拟模式!$K$10="阴阳往极",CT606=0,RAND()&lt;IF(C607="净世破魔击·月",0.0275*7/3,IF(C607="净世破魔击·日",0.0275*3/3,0.0275*2/3)))</f>
        <v>0</v>
      </c>
      <c r="CV607" s="115">
        <f t="shared" ca="1" si="591"/>
        <v>0</v>
      </c>
      <c r="CW607" s="115">
        <f t="shared" ca="1" si="592"/>
        <v>1.3874999999999997</v>
      </c>
      <c r="CX607" s="115">
        <f t="shared" ca="1" si="593"/>
        <v>6</v>
      </c>
      <c r="CY607" s="115">
        <f ca="1">MAX(IF($C607="驱夜断愁",IF(模拟模式!$R$7="万念俱寂",6,45),CY606-$F$4),0)</f>
        <v>0.46499999999999975</v>
      </c>
      <c r="CZ607" s="115">
        <f t="shared" ca="1" si="567"/>
        <v>0</v>
      </c>
      <c r="DA607" s="115">
        <f ca="1">IF(模拟模式!$N$7="日月同辉",IF(DB606=2,0,MIN(6,IF(AND(OR(C607="赤日轮1",C607="赤日轮2",C607="赤日轮3",C607="幽月轮1",C607="幽月轮2",C607="幽月轮3"),AB607=1),DA606+1,DA606))),0)</f>
        <v>2</v>
      </c>
      <c r="DB607" s="115">
        <f t="shared" ca="1" si="568"/>
        <v>0</v>
      </c>
      <c r="DC607" s="115"/>
      <c r="DD607" s="115"/>
      <c r="DE607" s="115"/>
      <c r="DF607" s="115"/>
      <c r="DG607" s="115"/>
      <c r="DH607" s="115"/>
      <c r="DI607" s="115"/>
      <c r="DJ607" s="115"/>
      <c r="DK607" s="115"/>
      <c r="DL607" s="115"/>
      <c r="DM607" s="115"/>
    </row>
    <row r="608" spans="2:117" x14ac:dyDescent="0.2">
      <c r="B608" s="117">
        <f t="shared" si="569"/>
        <v>535.97250000000588</v>
      </c>
      <c r="C608" s="167" t="str">
        <f t="shared" ca="1" si="538"/>
        <v>驱夜断愁</v>
      </c>
      <c r="D608" s="115">
        <f ca="1">IF(C608="赤日轮1",1,IF(C608="赤日轮2",2,IF(C608="赤日轮3",3,IF(C608="幽月轮1",4,IF(C608="幽月轮2",5,IF(C608="幽月轮3",6,IF(C608="烈日斩",7,IF(C608="银月斩",8,IF(C608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608="净世破魔击·月",17,IF(C608="驱夜断愁",18,0)))))))))))</f>
        <v>18</v>
      </c>
      <c r="E608" s="115">
        <f ca="1">IF(AND(CU608,OR(C608="幽月轮1",C608="幽月轮2",C608="幽月轮3",C608="银月斩",C608="驱夜断愁",C608="净世破魔击·月")),100,MIN(IF(OR(CN608,BE608),0,IF(OR($C608="赤日轮1",$C608="赤日轮2",$C608="赤日轮3"),E607+20+IF(模拟模式!$I$7="日月凌天",4,0)+IF(CR607,20,0),IF($C608="烈日斩",E607+40,IF($C608="驱夜断愁",IF(模拟模式!$R$7="万念俱寂",E607+20,E607+60),IF($C608="净世破魔击·月",IF(OR(DB607&gt;0,CV607&gt;0),100,IF(模拟模式!$M$7="辉耀红尘",E607+20,E607)),IF($C608="净世破魔击·日",E607-100,E607)))))),100))</f>
        <v>40</v>
      </c>
      <c r="F608" s="115">
        <f ca="1">IF(AND(CU608,OR(C608="赤日轮1",C608="赤日轮2",C608="赤日轮3",C608="烈日斩",C608="净世破魔击·日")),100,MIN(IF(CO608,0,IF(OR($C608="幽月轮1",$C608="幽月轮2",$C608="幽月轮3"),F607+20+IF(模拟模式!$I$7="日月凌天",4,0)+IF(CS607,20,0),IF($C608="银月斩",F607+40+IF(模拟模式!$X$12=1,5,0),IF($C608="驱夜断愁",IF(模拟模式!$R$7="万念俱寂",F607+20,F607+60),IF($C608="净世破魔击·月",IF(模拟模式!$M$7="辉耀红尘",F607-80,F607-100),IF(AND(C608="净世破魔击·日",OR(DB607&gt;0,CV607&gt;0)),100,F607)))))),100))</f>
        <v>85</v>
      </c>
      <c r="G608" s="117">
        <f ca="1">('模拟-全程加成'!$E$3+'模拟-全程加成'!$E$4+'模拟-全程加成'!$E$5+('模拟-全程加成'!$C$6-'模拟-全程加成'!$C$3)*系数!$B$9+BS608*23)*(1+'模拟-全程加成'!$F$4+'模拟-全程加成'!$F$5+BJ608*10%+BM608*20%+BP608*4%+CG608*30%)+$F$7*系数!$B$12</f>
        <v>20583.127400000001</v>
      </c>
      <c r="H608" s="45">
        <f ca="1">'模拟-全程加成'!$H$3+'模拟-全程加成'!$H$4+'模拟-全程加成'!$H$5+('模拟-全程加成'!$G$4+'模拟-全程加成'!$G$5+('模拟-全程加成'!$C$6-'模拟-全程加成'!$C$3)*系数!$B$13)/系数!$B$3+LOOKUP(D608,'模拟-单技能数据'!$A$2:$A$19,'模拟-单技能数据'!$K$2:$K$19)+BG608*10%+IF(BV608&gt;0,378,0)</f>
        <v>0.51185145527300213</v>
      </c>
      <c r="I608" s="45">
        <f ca="1">'模拟-全程加成'!$J$3+'模拟-全程加成'!$J$4+'模拟-全程加成'!$J$5+('模拟-全程加成'!$I$4+'模拟-全程加成'!$I$5)/系数!$B$4+LOOKUP(D608,'模拟-单技能数据'!$A$2:$A$19,'模拟-单技能数据'!$L$2:$L$19)+BG608*10%</f>
        <v>2.162482885499879</v>
      </c>
      <c r="J608" s="45">
        <f ca="1">(('模拟-全程加成'!$K$3+'模拟-全程加成'!$K$4+'模拟-全程加成'!$K$5+('模拟-全程加成'!$C$6-'模拟-全程加成'!$C$3)*系数!$B$10+IF(BV608&gt;0,882,0)+IF(BY608&gt;0,1831,0))*(1+'模拟-全程加成'!$L$4+'模拟-全程加成'!$L$5+CC608*20%))/系数!$B$5</f>
        <v>0.69723220422048726</v>
      </c>
      <c r="K608" s="119">
        <f ca="1">LOOKUP(D608,'模拟-单技能数据'!$A$2:$A$19,'模拟-单技能数据'!$J$2:$J$19)+IF(CM608,60%,0)+IF(DB607-DB608&gt;0,30%,0)+IF(OR(AND(OR(C608="赤日轮1",C608="赤日轮2",C608="赤日轮3"),CR608),AND(OR(C608="幽月轮1",C608="幽月轮2",C608="幽月轮3"),CS608)),35%,0)+CJ608</f>
        <v>0.14000000000000001</v>
      </c>
      <c r="L608" s="119">
        <f ca="1">IF(AND(C608="烈日斩",模拟模式!$X$11=1),10%,0)+IF(AND(C608="驱夜断愁",AB608=1),30%,0)</f>
        <v>0.3</v>
      </c>
      <c r="M608" s="45">
        <f t="shared" ca="1" si="539"/>
        <v>0.51185145527300213</v>
      </c>
      <c r="N608" s="45">
        <f t="shared" ca="1" si="540"/>
        <v>0.43424854472699792</v>
      </c>
      <c r="O608" s="46">
        <f t="shared" ca="1" si="570"/>
        <v>0.83514303169836346</v>
      </c>
      <c r="P608" s="46" t="str">
        <f t="shared" ca="1" si="541"/>
        <v>命</v>
      </c>
      <c r="Q608" s="45">
        <f t="shared" ca="1" si="542"/>
        <v>1</v>
      </c>
      <c r="R608" s="117">
        <f ca="1">模拟模式!$E$20*(1-IF(模拟模式!$J$19="有",0.15,0))*(1-IF(模拟模式!$K$19="有",0.3,0)-IF(CQ608,0.5,0))</f>
        <v>843.02999999999975</v>
      </c>
      <c r="S608" s="45">
        <f ca="1">R608/(R608+(185*模拟模式!$E$22-16800)*4.08224)</f>
        <v>8.389626085980037E-2</v>
      </c>
      <c r="T608" s="45" t="str">
        <f ca="1">LOOKUP(D608,'模拟-单技能数据'!$A$2:$A$19,'模拟-单技能数据'!$H$2:$H$19)</f>
        <v>阴</v>
      </c>
      <c r="U608" s="119">
        <f t="shared" ca="1" si="543"/>
        <v>0.08</v>
      </c>
      <c r="V608" s="47">
        <f ca="1">(1+L608)*(LOOKUP(D608,'模拟-单技能数据'!$A$2:$A$19,'模拟-单技能数据'!$D$2:$D$19)+G608*LOOKUP(D608,'模拟-单技能数据'!$A$2:$A$19,'模拟-单技能数据'!$F$2:$F$19))*(1+J608)*(1+K608)*(1-S608)*(1+U608)*Q608*LOOKUP(D608,'模拟-单技能数据'!$A$2:$A$19,'模拟-单技能数据'!$I$2:$I$20)</f>
        <v>58943.088028757353</v>
      </c>
      <c r="W608" s="47">
        <f ca="1">LOOKUP(D608,'模拟-单技能数据'!$A$2:$A$19,'模拟-单技能数据'!$G$2:$G$19)*$I$10</f>
        <v>723.0212870940959</v>
      </c>
      <c r="X608" s="47">
        <f t="shared" ca="1" si="571"/>
        <v>9218.9345386263849</v>
      </c>
      <c r="Y608" s="47">
        <f t="shared" ca="1" si="544"/>
        <v>68885.04385447783</v>
      </c>
      <c r="Z608" s="49">
        <f t="shared" ca="1" si="545"/>
        <v>60734129.72242333</v>
      </c>
      <c r="AA608" s="97">
        <f t="shared" ca="1" si="546"/>
        <v>113315.75728684338</v>
      </c>
      <c r="AB608" s="115">
        <f ca="1">IF(OR(C608="赤日轮1",C608="赤日轮2",C608="赤日轮3"),IF(RAND()&lt;模拟模式!$Y$17,1,0),IF(OR(C608="幽月轮1",C608="幽月轮2",C608="幽月轮3"),IF(RAND()&lt;模拟模式!$Y$18,1,0),IF(C608="烈日斩",IF(RAND()&lt;模拟模式!$Y$19,1,0),IF(C608="银月斩",IF(RAND()&lt;模拟模式!$Y$20,1,0),IF(C608="驱夜断愁",IF(RAND()&lt;模拟模式!$Y$21,1,0),IF(C608="净世破魔击·日",IF(RAND()&lt;模拟模式!$Y$22,1,0),IF(C608="净世破魔击·月",IF(RAND()&lt;模拟模式!$Y$23,1,0),0)))))))</f>
        <v>1</v>
      </c>
      <c r="AC608" s="115" t="b">
        <f t="shared" ca="1" si="547"/>
        <v>0</v>
      </c>
      <c r="AD608" s="115" t="b">
        <f t="shared" ca="1" si="548"/>
        <v>1</v>
      </c>
      <c r="AE608" s="115">
        <f t="shared" ca="1" si="549"/>
        <v>5</v>
      </c>
      <c r="AF608" s="47">
        <f ca="1">IF(AC608,('模拟-单技能数据'!$D$20+G608*'模拟-单技能数据'!$F$20)*(1+J608)*(1+'模拟-单技能数据'!$J$20)*(1+U608),0)</f>
        <v>0</v>
      </c>
      <c r="AG608" s="61">
        <f t="shared" ca="1" si="550"/>
        <v>0.64185145527300214</v>
      </c>
      <c r="AH608" s="61">
        <f t="shared" ca="1" si="551"/>
        <v>2.2624828854998791</v>
      </c>
      <c r="AI608" s="62">
        <f t="shared" ca="1" si="572"/>
        <v>0.6839839664682934</v>
      </c>
      <c r="AJ608" s="47">
        <f ca="1">IF(AD608,IF(AI608&lt;$F$10,0,IF(AI608&lt;$F$10+$F$11,0.25,IF(AI608&lt;$F$10+$F$11+AG608,AH608,1)))*IF(AF608&gt;0,AF608,IF(AF607&gt;0,AF607,IF(AF606&gt;0,AF606,IF(AF605&gt;0,AF605,IF(AF604&gt;0,AF604,IF(AF603&gt;0,AF603,IF(AF602&gt;0,AF602,IF(AF601&gt;0,AF601,IF(AF600&gt;0,AF600,IF(AF598&gt;0,AF598,IF(AF597&gt;0,AF597,IF(AF596&gt;0,AF596,0)))))))))))),0)*(1-$S608)*'模拟-单技能数据'!$I$20</f>
        <v>9218.9345386263849</v>
      </c>
      <c r="AK608" s="115" t="b">
        <f t="shared" ca="1" si="552"/>
        <v>0</v>
      </c>
      <c r="AL608" s="115" t="b">
        <f t="shared" ca="1" si="553"/>
        <v>0</v>
      </c>
      <c r="AM608" s="115">
        <f t="shared" ca="1" si="554"/>
        <v>4</v>
      </c>
      <c r="AN608" s="47">
        <f ca="1">IF(AK608,('模拟-单技能数据'!$D$21+G608*'模拟-单技能数据'!$F$21)*(1+J608)*(1+'模拟-单技能数据'!$J$21)*(1+U608),0)</f>
        <v>0</v>
      </c>
      <c r="AO608" s="61">
        <f ca="1">IF(AN608&gt;0,M608-'模拟-单技能数据'!$K$10,AO607)</f>
        <v>0.42185145527300216</v>
      </c>
      <c r="AP608" s="61">
        <f ca="1">IF(AN608&gt;0,I608-'模拟-单技能数据'!$L$10,AP607)</f>
        <v>2.162482885499879</v>
      </c>
      <c r="AQ608" s="63">
        <f t="shared" ca="1" si="573"/>
        <v>0.94551028912314217</v>
      </c>
      <c r="AR608" s="64">
        <f ca="1">IF(AL608,IF(AQ608&lt;$F$10,0,IF(AQ608&lt;$F$10+$F$11,0.25,IF(AQ608&lt;$F$10+$F$11+AO608,AP608,1)))*IF(AN608&gt;0,AN608,IF(AN607&gt;0,AN607,IF(AN606&gt;0,AN606,IF(AN605&gt;0,AN605,IF(AN604&gt;0,AN604,IF(AN603&gt;0,AN603,IF(AN602&gt;0,AN602,IF(AN601&gt;0,AN601,IF(AN600&gt;0,AN600,IF(AN598&gt;0,AN598,IF(AN597&gt;0,AN597,IF(AN596&gt;0,AN596,0)))))))))))),0)*(1-$S608)*'模拟-单技能数据'!$I$21</f>
        <v>0</v>
      </c>
      <c r="AS608" s="61">
        <f ca="1">IF(OR(C608="净世破魔击·日",C608="净世破魔击·月"),M608-'模拟-单技能数据'!$K$10,0)</f>
        <v>0</v>
      </c>
      <c r="AT608" s="61">
        <f ca="1">IF(OR(C608="净世破魔击·日",C608="净世破魔击·月"),I608-'模拟-单技能数据'!$L$10,0)</f>
        <v>0</v>
      </c>
      <c r="AU608" s="62">
        <f t="shared" ca="1" si="574"/>
        <v>0.88025407368904829</v>
      </c>
      <c r="AV608" s="64">
        <f ca="1">IF(AS608&gt;0,('模拟-单技能数据'!$D$22+G608*'模拟-单技能数据'!$F$22)*(1+J608)*(1-S608)*IF(AU608&lt;$F$10,0,IF(AU608&lt;$F$10+$F$11,0.25,IF(AU608&lt;$F$10+$F$11+AS608,AT608,1)))*(1+U608),0)*'模拟-单技能数据'!$I$22</f>
        <v>0</v>
      </c>
      <c r="AW608" s="108">
        <f t="shared" ca="1" si="575"/>
        <v>3.3950000000000062</v>
      </c>
      <c r="AX608" s="108" t="b">
        <f ca="1">AND(模拟模式!$P$10="有",AW607=0,RAND()&lt;IF(C608="净世破魔击·月",0.1*8/3,IF(C608="净世破魔击·日",0.1*4/3,0.1*2/3)))</f>
        <v>0</v>
      </c>
      <c r="AY608" s="47">
        <f ca="1">IF(AX608,(18+G608*0.722)*(1+J608)*(1-S608)*(1+$I$4)*IF(P608="会",'模拟-全程加成'!$J$3+'模拟-全程加成'!$J$4+'模拟-全程加成'!$J$5+('模拟-全程加成'!$I$4+'模拟-全程加成'!$I$5)/系数!$B$4+BG608*10%,IF(P608="命",1,IF(P608="识",0.25,0))),0)</f>
        <v>0</v>
      </c>
      <c r="AZ608" s="108">
        <f t="shared" si="576"/>
        <v>11.697500000000005</v>
      </c>
      <c r="BA608" s="108" t="b">
        <f>AND(模拟模式!$Q$10="有",AZ607=0)</f>
        <v>0</v>
      </c>
      <c r="BB608" s="140">
        <f>IF(BA608,(0+G608*0.287)*(1+J608)*(1-S608)*(1+$I$4)*IF(P608="会",'模拟-全程加成'!$J$3+'模拟-全程加成'!$J$4+'模拟-全程加成'!$J$5+('模拟-全程加成'!$I$4+'模拟-全程加成'!$I$5)/系数!$B$4+BG608*10%,IF(P608="命",1,IF(P608="识",0.25,0))),0)</f>
        <v>0</v>
      </c>
      <c r="BC608" s="115" t="b">
        <f ca="1">AND(模拟模式!$R$7="伏明众生",E608=60,F608=20,DA608&lt;5,CZ607&lt;$F$4)</f>
        <v>0</v>
      </c>
      <c r="BD608" s="115">
        <f t="shared" ca="1" si="555"/>
        <v>0</v>
      </c>
      <c r="BE608" s="115" t="b">
        <f t="shared" ca="1" si="556"/>
        <v>0</v>
      </c>
      <c r="BF608" s="47">
        <f ca="1">IF(BC608,4*('模拟-单技能数据'!$D$24+G608*'模拟-单技能数据'!$F$24)*(1+J608)*(1+'模拟-单技能数据'!$J$24)*(1-S608)*(1+$I$3)*(('模拟-全程加成'!$J$3+'模拟-全程加成'!$J$4+'模拟-全程加成'!$J$5+('模拟-全程加成'!$I$4+'模拟-全程加成'!$I$5)/系数!$B$4+BG608*10%)*('模拟-全程加成'!$J$3+'模拟-全程加成'!$J$4+'模拟-全程加成'!$J$5+('模拟-全程加成'!$I$4+'模拟-全程加成'!$I$5)/系数!$B$4+BG608*10%)+(1-('模拟-全程加成'!$J$3+'模拟-全程加成'!$J$4+'模拟-全程加成'!$J$5+('模拟-全程加成'!$I$4+'模拟-全程加成'!$I$5)/系数!$B$4+BG608*10%)-$F$10-$F$11)+F594*0.25),0)*'模拟-单技能数据'!$I$24</f>
        <v>0</v>
      </c>
      <c r="BG608" s="115" t="b">
        <f ca="1">OR(AND(OR(C608="烈日斩",C608="银月斩"),模拟模式!$I$7="净身明礼"),AND(C608="净世破魔击·日",模拟模式!$J$7="洞若观火"),AND(C609="净世破魔击·月",模拟模式!$J$7="洞若观火"),AB608=1)</f>
        <v>1</v>
      </c>
      <c r="BH608" s="115" t="b">
        <f t="shared" ca="1" si="577"/>
        <v>0</v>
      </c>
      <c r="BI608" s="115">
        <f t="shared" ca="1" si="557"/>
        <v>0</v>
      </c>
      <c r="BJ608" s="115" t="b">
        <f t="shared" ca="1" si="558"/>
        <v>0</v>
      </c>
      <c r="BK608" s="115" t="b">
        <f ca="1">AND(C608="驱夜断愁",模拟模式!$P$7="天地诛戮")</f>
        <v>1</v>
      </c>
      <c r="BL608" s="57">
        <f t="shared" ca="1" si="559"/>
        <v>20</v>
      </c>
      <c r="BM608" s="115" t="b">
        <f t="shared" ca="1" si="560"/>
        <v>1</v>
      </c>
      <c r="BN608" s="115" t="b">
        <f ca="1">AND(OR(C608="赤日轮1",C608="赤日轮2",C608="赤日轮3",C608="幽月轮1",C608="幽月轮2",C608="幽月轮3"),AB608=1,模拟模式!$L$7="明光恒照")</f>
        <v>0</v>
      </c>
      <c r="BO608" s="117">
        <f t="shared" ca="1" si="561"/>
        <v>28.155000000000001</v>
      </c>
      <c r="BP608" s="115">
        <f t="shared" ca="1" si="578"/>
        <v>6</v>
      </c>
      <c r="BQ608" s="115" t="b">
        <f>模拟模式!$K$10="2600·水"</f>
        <v>0</v>
      </c>
      <c r="BR608" s="117">
        <f t="shared" si="579"/>
        <v>0</v>
      </c>
      <c r="BS608" s="115">
        <f t="shared" si="580"/>
        <v>0</v>
      </c>
      <c r="BT608" s="115">
        <f t="shared" ca="1" si="581"/>
        <v>0</v>
      </c>
      <c r="BU608" s="115" t="b">
        <f ca="1">AND(模拟模式!$K$10="2300·雷",BT607=0,RAND()&lt;IF(C608="净世破魔击·月",5*0.05*2/3,IF(C608="净世破魔击·日",3*0.05*2/3,0.05*2*2/3)))</f>
        <v>0</v>
      </c>
      <c r="BV608" s="115">
        <f t="shared" ca="1" si="582"/>
        <v>0</v>
      </c>
      <c r="BW608" s="115">
        <f t="shared" ca="1" si="583"/>
        <v>19.484999999999303</v>
      </c>
      <c r="BX608" s="164" t="b">
        <f t="shared" ca="1" si="584"/>
        <v>0</v>
      </c>
      <c r="BY608" s="115">
        <f t="shared" ca="1" si="585"/>
        <v>0</v>
      </c>
      <c r="BZ608" s="115">
        <f>IF(OR(模拟模式!$P$16="10人团",模拟模式!$P$16="25人团"),IF(B608/30&gt;CA607,1,0),0)</f>
        <v>0</v>
      </c>
      <c r="CA608" s="115">
        <f t="shared" si="562"/>
        <v>0</v>
      </c>
      <c r="CB608" s="115">
        <f ca="1">IF(BZ608=1,IF(模拟模式!$P$16="10人团",15,0)+IF(模拟模式!$P$16="25人团",IF(RAND()&lt;0.6,15,0)),MAX(0,CB607-$F$4))</f>
        <v>0</v>
      </c>
      <c r="CC608" s="115" t="b">
        <f t="shared" ca="1" si="563"/>
        <v>0</v>
      </c>
      <c r="CD608" s="115">
        <f>IF(模拟模式!$Q$16="1个",IF(B608/40&gt;CE607,1,0),0)</f>
        <v>0</v>
      </c>
      <c r="CE608" s="115">
        <f t="shared" si="564"/>
        <v>0</v>
      </c>
      <c r="CF608" s="115">
        <f>IF(OR(CD608=1,模拟模式!$Q$16="2个"),20,MAX(0,CF607-$F$4))</f>
        <v>0</v>
      </c>
      <c r="CG608" s="115" t="b">
        <f t="shared" si="565"/>
        <v>0</v>
      </c>
      <c r="CH608" s="115">
        <f t="shared" ca="1" si="586"/>
        <v>18.930000000000007</v>
      </c>
      <c r="CI608" s="115" t="b">
        <f t="shared" ca="1" si="587"/>
        <v>0</v>
      </c>
      <c r="CJ608" s="119">
        <f t="shared" ca="1" si="588"/>
        <v>0</v>
      </c>
      <c r="CK608" s="115">
        <f t="shared" ca="1" si="589"/>
        <v>0</v>
      </c>
      <c r="CL608" s="115" t="b">
        <f ca="1">AND(模拟模式!$S$7="驱夷逐法",OR(AND(C608="净世破魔击·月",E607&gt;59),AND(C608="净世破魔击·日",F607&gt;59)))</f>
        <v>0</v>
      </c>
      <c r="CM608" s="115" t="b">
        <f ca="1">OR(CL608,AND(C608="净世破魔击·日",CL607,RAND()&lt;模拟模式!$U$23))</f>
        <v>0</v>
      </c>
      <c r="CN608" s="115" t="b">
        <f ca="1">IF(模拟模式!$M$7="辉耀红尘",AND(C608="净世破魔击·月",CL608,CV608=0,E607&lt;80),AND(C608="净世破魔击·月",CL608,E607&lt;100))</f>
        <v>0</v>
      </c>
      <c r="CO608" s="115" t="b">
        <f t="shared" ca="1" si="566"/>
        <v>0</v>
      </c>
      <c r="CP608" s="115" t="b">
        <f ca="1">AND(模拟模式!$O$7="用晦而明",OR(C608="净世破魔击·日",C608="净世破魔击·月",C608="驱夜断愁"),AB608)</f>
        <v>1</v>
      </c>
      <c r="CQ608" s="115" t="b">
        <f ca="1">OR(CP608,AND(CP607,RAND()&lt;模拟模式!$U$23))</f>
        <v>1</v>
      </c>
      <c r="CR608" s="115" t="b">
        <f ca="1">AND(模拟模式!$S$7="日月齐光",OR(C608="幽月轮1",C608="幽月轮2",C608="幽月轮3",CR607),NOT(OR(C608="赤日轮1",C608="赤日轮2",C608="赤日轮3")))</f>
        <v>0</v>
      </c>
      <c r="CS608" s="115" t="b">
        <f ca="1">AND(模拟模式!$S$7="日月齐光",OR(C608="赤日轮1",C608="赤日轮2",C608="赤日轮3",CS607),NOT(OR(C608="幽月轮1",C608="幽月轮2",C608="幽月轮3")))</f>
        <v>0</v>
      </c>
      <c r="CT608" s="115">
        <f t="shared" ca="1" si="590"/>
        <v>9.7050000000000125</v>
      </c>
      <c r="CU608" s="115" t="b">
        <f ca="1">AND(模拟模式!$K$10="阴阳往极",CT607=0,RAND()&lt;IF(C608="净世破魔击·月",0.0275*7/3,IF(C608="净世破魔击·日",0.0275*3/3,0.0275*2/3)))</f>
        <v>0</v>
      </c>
      <c r="CV608" s="115">
        <f t="shared" ca="1" si="591"/>
        <v>0</v>
      </c>
      <c r="CW608" s="115">
        <f t="shared" ca="1" si="592"/>
        <v>0.46499999999999975</v>
      </c>
      <c r="CX608" s="115">
        <f t="shared" ca="1" si="593"/>
        <v>5.0774999999999997</v>
      </c>
      <c r="CY608" s="115">
        <f ca="1">MAX(IF($C608="驱夜断愁",IF(模拟模式!$R$7="万念俱寂",6,45),CY607-$F$4),0)</f>
        <v>6</v>
      </c>
      <c r="CZ608" s="115">
        <f t="shared" ca="1" si="567"/>
        <v>0</v>
      </c>
      <c r="DA608" s="115">
        <f ca="1">IF(模拟模式!$N$7="日月同辉",IF(DB607=2,0,MIN(6,IF(AND(OR(C608="赤日轮1",C608="赤日轮2",C608="赤日轮3",C608="幽月轮1",C608="幽月轮2",C608="幽月轮3"),AB608=1),DA607+1,DA607))),0)</f>
        <v>2</v>
      </c>
      <c r="DB608" s="115">
        <f t="shared" ca="1" si="568"/>
        <v>0</v>
      </c>
      <c r="DC608" s="115"/>
      <c r="DD608" s="115"/>
      <c r="DE608" s="115"/>
      <c r="DF608" s="115"/>
      <c r="DG608" s="115"/>
      <c r="DH608" s="115"/>
      <c r="DI608" s="115"/>
      <c r="DJ608" s="115"/>
      <c r="DK608" s="115"/>
      <c r="DL608" s="115"/>
      <c r="DM608" s="115"/>
    </row>
    <row r="609" spans="2:117" x14ac:dyDescent="0.2">
      <c r="B609" s="117">
        <f t="shared" si="569"/>
        <v>536.89500000000589</v>
      </c>
      <c r="C609" s="167" t="str">
        <f t="shared" ca="1" si="538"/>
        <v>烈日斩</v>
      </c>
      <c r="D609" s="115">
        <f ca="1">IF(C609="赤日轮1",1,IF(C609="赤日轮2",2,IF(C609="赤日轮3",3,IF(C609="幽月轮1",4,IF(C609="幽月轮2",5,IF(C609="幽月轮3",6,IF(C609="烈日斩",7,IF(C609="银月斩",8,IF(C609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609="净世破魔击·月",17,IF(C609="驱夜断愁",18,0)))))))))))</f>
        <v>7</v>
      </c>
      <c r="E609" s="115">
        <f ca="1">IF(AND(CU609,OR(C609="幽月轮1",C609="幽月轮2",C609="幽月轮3",C609="银月斩",C609="驱夜断愁",C609="净世破魔击·月")),100,MIN(IF(OR(CN609,BE609),0,IF(OR($C609="赤日轮1",$C609="赤日轮2",$C609="赤日轮3"),E608+20+IF(模拟模式!$I$7="日月凌天",4,0)+IF(CR608,20,0),IF($C609="烈日斩",E608+40,IF($C609="驱夜断愁",IF(模拟模式!$R$7="万念俱寂",E608+20,E608+60),IF($C609="净世破魔击·月",IF(OR(DB608&gt;0,CV608&gt;0),100,IF(模拟模式!$M$7="辉耀红尘",E608+20,E608)),IF($C609="净世破魔击·日",E608-100,E608)))))),100))</f>
        <v>80</v>
      </c>
      <c r="F609" s="115">
        <f ca="1">IF(AND(CU609,OR(C609="赤日轮1",C609="赤日轮2",C609="赤日轮3",C609="烈日斩",C609="净世破魔击·日")),100,MIN(IF(CO609,0,IF(OR($C609="幽月轮1",$C609="幽月轮2",$C609="幽月轮3"),F608+20+IF(模拟模式!$I$7="日月凌天",4,0)+IF(CS608,20,0),IF($C609="银月斩",F608+40+IF(模拟模式!$X$12=1,5,0),IF($C609="驱夜断愁",IF(模拟模式!$R$7="万念俱寂",F608+20,F608+60),IF($C609="净世破魔击·月",IF(模拟模式!$M$7="辉耀红尘",F608-80,F608-100),IF(AND(C609="净世破魔击·日",OR(DB608&gt;0,CV608&gt;0)),100,F608)))))),100))</f>
        <v>85</v>
      </c>
      <c r="G609" s="117">
        <f ca="1">('模拟-全程加成'!$E$3+'模拟-全程加成'!$E$4+'模拟-全程加成'!$E$5+('模拟-全程加成'!$C$6-'模拟-全程加成'!$C$3)*系数!$B$9+BS609*23)*(1+'模拟-全程加成'!$F$4+'模拟-全程加成'!$F$5+BJ609*10%+BM609*20%+BP609*4%+CG609*30%)+$F$7*系数!$B$12</f>
        <v>20583.127400000001</v>
      </c>
      <c r="H609" s="45">
        <f ca="1">'模拟-全程加成'!$H$3+'模拟-全程加成'!$H$4+'模拟-全程加成'!$H$5+('模拟-全程加成'!$G$4+'模拟-全程加成'!$G$5+('模拟-全程加成'!$C$6-'模拟-全程加成'!$C$3)*系数!$B$13)/系数!$B$3+LOOKUP(D609,'模拟-单技能数据'!$A$2:$A$19,'模拟-单技能数据'!$K$2:$K$19)+BG609*10%+IF(BV609&gt;0,378,0)</f>
        <v>0.56185145527300218</v>
      </c>
      <c r="I609" s="45">
        <f ca="1">'模拟-全程加成'!$J$3+'模拟-全程加成'!$J$4+'模拟-全程加成'!$J$5+('模拟-全程加成'!$I$4+'模拟-全程加成'!$I$5)/系数!$B$4+LOOKUP(D609,'模拟-单技能数据'!$A$2:$A$19,'模拟-单技能数据'!$L$2:$L$19)+BG609*10%</f>
        <v>2.2624828854998791</v>
      </c>
      <c r="J609" s="45">
        <f ca="1">(('模拟-全程加成'!$K$3+'模拟-全程加成'!$K$4+'模拟-全程加成'!$K$5+('模拟-全程加成'!$C$6-'模拟-全程加成'!$C$3)*系数!$B$10+IF(BV609&gt;0,882,0)+IF(BY609&gt;0,1831,0))*(1+'模拟-全程加成'!$L$4+'模拟-全程加成'!$L$5+CC609*20%))/系数!$B$5</f>
        <v>0.69723220422048726</v>
      </c>
      <c r="K609" s="119">
        <f ca="1">LOOKUP(D609,'模拟-单技能数据'!$A$2:$A$19,'模拟-单技能数据'!$J$2:$J$19)+IF(CM609,60%,0)+IF(DB608-DB609&gt;0,30%,0)+IF(OR(AND(OR(C609="赤日轮1",C609="赤日轮2",C609="赤日轮3"),CR609),AND(OR(C609="幽月轮1",C609="幽月轮2",C609="幽月轮3"),CS609)),35%,0)+CJ609</f>
        <v>0.24</v>
      </c>
      <c r="L609" s="119">
        <f ca="1">IF(AND(C609="烈日斩",模拟模式!$X$11=1),10%,0)+IF(AND(C609="驱夜断愁",AB609=1),30%,0)</f>
        <v>0.1</v>
      </c>
      <c r="M609" s="45">
        <f t="shared" ca="1" si="539"/>
        <v>0.56185145527300218</v>
      </c>
      <c r="N609" s="45">
        <f t="shared" ca="1" si="540"/>
        <v>0.38424854472699788</v>
      </c>
      <c r="O609" s="46">
        <f t="shared" ca="1" si="570"/>
        <v>8.2273721051237869E-2</v>
      </c>
      <c r="P609" s="46" t="str">
        <f t="shared" ca="1" si="541"/>
        <v>会</v>
      </c>
      <c r="Q609" s="45">
        <f t="shared" ca="1" si="542"/>
        <v>2.2624828854998791</v>
      </c>
      <c r="R609" s="117">
        <f ca="1">模拟模式!$E$20*(1-IF(模拟模式!$J$19="有",0.15,0))*(1-IF(模拟模式!$K$19="有",0.3,0)-IF(CQ609,0.5,0))</f>
        <v>843.02999999999975</v>
      </c>
      <c r="S609" s="45">
        <f ca="1">R609/(R609+(185*模拟模式!$E$22-16800)*4.08224)</f>
        <v>8.389626085980037E-2</v>
      </c>
      <c r="T609" s="45" t="str">
        <f ca="1">LOOKUP(D609,'模拟-单技能数据'!$A$2:$A$19,'模拟-单技能数据'!$H$2:$H$19)</f>
        <v>阳</v>
      </c>
      <c r="U609" s="119">
        <f t="shared" ca="1" si="543"/>
        <v>0.2</v>
      </c>
      <c r="V609" s="47">
        <f ca="1">(1+L609)*(LOOKUP(D609,'模拟-单技能数据'!$A$2:$A$19,'模拟-单技能数据'!$D$2:$D$19)+G609*LOOKUP(D609,'模拟-单技能数据'!$A$2:$A$19,'模拟-单技能数据'!$F$2:$F$19))*(1+J609)*(1+K609)*(1-S609)*(1+U609)*Q609*LOOKUP(D609,'模拟-单技能数据'!$A$2:$A$19,'模拟-单技能数据'!$I$2:$I$20)</f>
        <v>105861.05199666526</v>
      </c>
      <c r="W609" s="47">
        <f ca="1">LOOKUP(D609,'模拟-单技能数据'!$A$2:$A$19,'模拟-单技能数据'!$G$2:$G$19)*$I$10</f>
        <v>361.51064354704795</v>
      </c>
      <c r="X609" s="47">
        <f t="shared" ca="1" si="571"/>
        <v>24043.249177625272</v>
      </c>
      <c r="Y609" s="47">
        <f t="shared" ca="1" si="544"/>
        <v>130265.81181783759</v>
      </c>
      <c r="Z609" s="49">
        <f t="shared" ca="1" si="545"/>
        <v>60864395.53424117</v>
      </c>
      <c r="AA609" s="97">
        <f t="shared" ca="1" si="546"/>
        <v>113363.68476935063</v>
      </c>
      <c r="AB609" s="115">
        <f ca="1">IF(OR(C609="赤日轮1",C609="赤日轮2",C609="赤日轮3"),IF(RAND()&lt;模拟模式!$Y$17,1,0),IF(OR(C609="幽月轮1",C609="幽月轮2",C609="幽月轮3"),IF(RAND()&lt;模拟模式!$Y$18,1,0),IF(C609="烈日斩",IF(RAND()&lt;模拟模式!$Y$19,1,0),IF(C609="银月斩",IF(RAND()&lt;模拟模式!$Y$20,1,0),IF(C609="驱夜断愁",IF(RAND()&lt;模拟模式!$Y$21,1,0),IF(C609="净世破魔击·日",IF(RAND()&lt;模拟模式!$Y$22,1,0),IF(C609="净世破魔击·月",IF(RAND()&lt;模拟模式!$Y$23,1,0),0)))))))</f>
        <v>1</v>
      </c>
      <c r="AC609" s="115" t="b">
        <f t="shared" ca="1" si="547"/>
        <v>0</v>
      </c>
      <c r="AD609" s="115" t="b">
        <f t="shared" ca="1" si="548"/>
        <v>0</v>
      </c>
      <c r="AE609" s="115">
        <f t="shared" ca="1" si="549"/>
        <v>5</v>
      </c>
      <c r="AF609" s="47">
        <f ca="1">IF(AC609,('模拟-单技能数据'!$D$20+G609*'模拟-单技能数据'!$F$20)*(1+J609)*(1+'模拟-单技能数据'!$J$20)*(1+U609),0)</f>
        <v>0</v>
      </c>
      <c r="AG609" s="61">
        <f t="shared" ca="1" si="550"/>
        <v>0.64185145527300214</v>
      </c>
      <c r="AH609" s="61">
        <f t="shared" ca="1" si="551"/>
        <v>2.2624828854998791</v>
      </c>
      <c r="AI609" s="62">
        <f t="shared" ca="1" si="572"/>
        <v>0.74511037420886861</v>
      </c>
      <c r="AJ609" s="47">
        <f ca="1">IF(AD609,IF(AI609&lt;$F$10,0,IF(AI609&lt;$F$10+$F$11,0.25,IF(AI609&lt;$F$10+$F$11+AG609,AH609,1)))*IF(AF609&gt;0,AF609,IF(AF608&gt;0,AF608,IF(AF607&gt;0,AF607,IF(AF606&gt;0,AF606,IF(AF605&gt;0,AF605,IF(AF604&gt;0,AF604,IF(AF603&gt;0,AF603,IF(AF602&gt;0,AF602,IF(AF601&gt;0,AF601,IF(AF599&gt;0,AF599,IF(AF598&gt;0,AF598,IF(AF597&gt;0,AF597,0)))))))))))),0)*(1-$S609)*'模拟-单技能数据'!$I$20</f>
        <v>0</v>
      </c>
      <c r="AK609" s="115" t="b">
        <f t="shared" ca="1" si="552"/>
        <v>0</v>
      </c>
      <c r="AL609" s="115" t="b">
        <f t="shared" ca="1" si="553"/>
        <v>1</v>
      </c>
      <c r="AM609" s="115">
        <f t="shared" ca="1" si="554"/>
        <v>3</v>
      </c>
      <c r="AN609" s="47">
        <f ca="1">IF(AK609,('模拟-单技能数据'!$D$21+G609*'模拟-单技能数据'!$F$21)*(1+J609)*(1+'模拟-单技能数据'!$J$21)*(1+U609),0)</f>
        <v>0</v>
      </c>
      <c r="AO609" s="61">
        <f ca="1">IF(AN609&gt;0,M609-'模拟-单技能数据'!$K$10,AO608)</f>
        <v>0.42185145527300216</v>
      </c>
      <c r="AP609" s="61">
        <f ca="1">IF(AN609&gt;0,I609-'模拟-单技能数据'!$L$10,AP608)</f>
        <v>2.162482885499879</v>
      </c>
      <c r="AQ609" s="63">
        <f t="shared" ca="1" si="573"/>
        <v>0.3035509823457011</v>
      </c>
      <c r="AR609" s="64">
        <f ca="1">IF(AL609,IF(AQ609&lt;$F$10,0,IF(AQ609&lt;$F$10+$F$11,0.25,IF(AQ609&lt;$F$10+$F$11+AO609,AP609,1)))*IF(AN609&gt;0,AN609,IF(AN608&gt;0,AN608,IF(AN607&gt;0,AN607,IF(AN606&gt;0,AN606,IF(AN605&gt;0,AN605,IF(AN604&gt;0,AN604,IF(AN603&gt;0,AN603,IF(AN602&gt;0,AN602,IF(AN601&gt;0,AN601,IF(AN599&gt;0,AN599,IF(AN598&gt;0,AN598,IF(AN597&gt;0,AN597,0)))))))))))),0)*(1-$S609)*'模拟-单技能数据'!$I$21</f>
        <v>24043.249177625272</v>
      </c>
      <c r="AS609" s="61">
        <f ca="1">IF(OR(C609="净世破魔击·日",C609="净世破魔击·月"),M609-'模拟-单技能数据'!$K$10,0)</f>
        <v>0</v>
      </c>
      <c r="AT609" s="61">
        <f ca="1">IF(OR(C609="净世破魔击·日",C609="净世破魔击·月"),I609-'模拟-单技能数据'!$L$10,0)</f>
        <v>0</v>
      </c>
      <c r="AU609" s="62">
        <f t="shared" ca="1" si="574"/>
        <v>7.6490619773194268E-2</v>
      </c>
      <c r="AV609" s="64">
        <f ca="1">IF(AS609&gt;0,('模拟-单技能数据'!$D$22+G609*'模拟-单技能数据'!$F$22)*(1+J609)*(1-S609)*IF(AU609&lt;$F$10,0,IF(AU609&lt;$F$10+$F$11,0.25,IF(AU609&lt;$F$10+$F$11+AS609,AT609,1)))*(1+U609),0)*'模拟-单技能数据'!$I$22</f>
        <v>0</v>
      </c>
      <c r="AW609" s="108">
        <f t="shared" ca="1" si="575"/>
        <v>2.4725000000000064</v>
      </c>
      <c r="AX609" s="108" t="b">
        <f ca="1">AND(模拟模式!$P$10="有",AW608=0,RAND()&lt;IF(C609="净世破魔击·月",0.1*8/3,IF(C609="净世破魔击·日",0.1*4/3,0.1*2/3)))</f>
        <v>0</v>
      </c>
      <c r="AY609" s="47">
        <f ca="1">IF(AX609,(18+G609*0.722)*(1+J609)*(1-S609)*(1+$I$4)*IF(P609="会",'模拟-全程加成'!$J$3+'模拟-全程加成'!$J$4+'模拟-全程加成'!$J$5+('模拟-全程加成'!$I$4+'模拟-全程加成'!$I$5)/系数!$B$4+BG609*10%,IF(P609="命",1,IF(P609="识",0.25,0))),0)</f>
        <v>0</v>
      </c>
      <c r="AZ609" s="108">
        <f t="shared" si="576"/>
        <v>10.775000000000006</v>
      </c>
      <c r="BA609" s="108" t="b">
        <f>AND(模拟模式!$Q$10="有",AZ608=0)</f>
        <v>0</v>
      </c>
      <c r="BB609" s="140">
        <f>IF(BA609,(0+G609*0.287)*(1+J609)*(1-S609)*(1+$I$4)*IF(P609="会",'模拟-全程加成'!$J$3+'模拟-全程加成'!$J$4+'模拟-全程加成'!$J$5+('模拟-全程加成'!$I$4+'模拟-全程加成'!$I$5)/系数!$B$4+BG609*10%,IF(P609="命",1,IF(P609="识",0.25,0))),0)</f>
        <v>0</v>
      </c>
      <c r="BC609" s="115" t="b">
        <f ca="1">AND(模拟模式!$R$7="伏明众生",E609=60,F609=20,DA609&lt;5,CZ608&lt;$F$4)</f>
        <v>0</v>
      </c>
      <c r="BD609" s="115">
        <f t="shared" ca="1" si="555"/>
        <v>0</v>
      </c>
      <c r="BE609" s="115" t="b">
        <f t="shared" ca="1" si="556"/>
        <v>0</v>
      </c>
      <c r="BF609" s="47">
        <f ca="1">IF(BC609,4*('模拟-单技能数据'!$D$24+G609*'模拟-单技能数据'!$F$24)*(1+J609)*(1+'模拟-单技能数据'!$J$24)*(1-S609)*(1+$I$3)*(('模拟-全程加成'!$J$3+'模拟-全程加成'!$J$4+'模拟-全程加成'!$J$5+('模拟-全程加成'!$I$4+'模拟-全程加成'!$I$5)/系数!$B$4+BG609*10%)*('模拟-全程加成'!$J$3+'模拟-全程加成'!$J$4+'模拟-全程加成'!$J$5+('模拟-全程加成'!$I$4+'模拟-全程加成'!$I$5)/系数!$B$4+BG609*10%)+(1-('模拟-全程加成'!$J$3+'模拟-全程加成'!$J$4+'模拟-全程加成'!$J$5+('模拟-全程加成'!$I$4+'模拟-全程加成'!$I$5)/系数!$B$4+BG609*10%)-$F$10-$F$11)+F595*0.25),0)*'模拟-单技能数据'!$I$24</f>
        <v>0</v>
      </c>
      <c r="BG609" s="115" t="b">
        <f ca="1">OR(AND(OR(C609="烈日斩",C609="银月斩"),模拟模式!$I$7="净身明礼"),AND(C609="净世破魔击·日",模拟模式!$J$7="洞若观火"),AND(C610="净世破魔击·月",模拟模式!$J$7="洞若观火"),AB609=1)</f>
        <v>1</v>
      </c>
      <c r="BH609" s="115" t="b">
        <f t="shared" ca="1" si="577"/>
        <v>0</v>
      </c>
      <c r="BI609" s="115">
        <f t="shared" ca="1" si="557"/>
        <v>0</v>
      </c>
      <c r="BJ609" s="115" t="b">
        <f t="shared" ca="1" si="558"/>
        <v>0</v>
      </c>
      <c r="BK609" s="115" t="b">
        <f ca="1">AND(C609="驱夜断愁",模拟模式!$P$7="天地诛戮")</f>
        <v>0</v>
      </c>
      <c r="BL609" s="57">
        <f t="shared" ca="1" si="559"/>
        <v>19.077500000000001</v>
      </c>
      <c r="BM609" s="115" t="b">
        <f t="shared" ca="1" si="560"/>
        <v>1</v>
      </c>
      <c r="BN609" s="115" t="b">
        <f ca="1">AND(OR(C609="赤日轮1",C609="赤日轮2",C609="赤日轮3",C609="幽月轮1",C609="幽月轮2",C609="幽月轮3"),AB609=1,模拟模式!$L$7="明光恒照")</f>
        <v>0</v>
      </c>
      <c r="BO609" s="117">
        <f t="shared" ca="1" si="561"/>
        <v>27.232500000000002</v>
      </c>
      <c r="BP609" s="115">
        <f t="shared" ca="1" si="578"/>
        <v>6</v>
      </c>
      <c r="BQ609" s="115" t="b">
        <f>模拟模式!$K$10="2600·水"</f>
        <v>0</v>
      </c>
      <c r="BR609" s="117">
        <f t="shared" si="579"/>
        <v>0</v>
      </c>
      <c r="BS609" s="115">
        <f t="shared" si="580"/>
        <v>0</v>
      </c>
      <c r="BT609" s="115">
        <f t="shared" ca="1" si="581"/>
        <v>0</v>
      </c>
      <c r="BU609" s="115" t="b">
        <f ca="1">AND(模拟模式!$K$10="2300·雷",BT608=0,RAND()&lt;IF(C609="净世破魔击·月",5*0.05*2/3,IF(C609="净世破魔击·日",3*0.05*2/3,0.05*2*2/3)))</f>
        <v>0</v>
      </c>
      <c r="BV609" s="115">
        <f t="shared" ca="1" si="582"/>
        <v>0</v>
      </c>
      <c r="BW609" s="115">
        <f t="shared" ca="1" si="583"/>
        <v>18.562499999999304</v>
      </c>
      <c r="BX609" s="164" t="b">
        <f t="shared" ca="1" si="584"/>
        <v>0</v>
      </c>
      <c r="BY609" s="115">
        <f t="shared" ca="1" si="585"/>
        <v>0</v>
      </c>
      <c r="BZ609" s="115">
        <f>IF(OR(模拟模式!$P$16="10人团",模拟模式!$P$16="25人团"),IF(B609/30&gt;CA608,1,0),0)</f>
        <v>0</v>
      </c>
      <c r="CA609" s="115">
        <f t="shared" si="562"/>
        <v>0</v>
      </c>
      <c r="CB609" s="115">
        <f ca="1">IF(BZ609=1,IF(模拟模式!$P$16="10人团",15,0)+IF(模拟模式!$P$16="25人团",IF(RAND()&lt;0.6,15,0)),MAX(0,CB608-$F$4))</f>
        <v>0</v>
      </c>
      <c r="CC609" s="115" t="b">
        <f t="shared" ca="1" si="563"/>
        <v>0</v>
      </c>
      <c r="CD609" s="115">
        <f>IF(模拟模式!$Q$16="1个",IF(B609/40&gt;CE608,1,0),0)</f>
        <v>0</v>
      </c>
      <c r="CE609" s="115">
        <f t="shared" si="564"/>
        <v>0</v>
      </c>
      <c r="CF609" s="115">
        <f>IF(OR(CD609=1,模拟模式!$Q$16="2个"),20,MAX(0,CF608-$F$4))</f>
        <v>0</v>
      </c>
      <c r="CG609" s="115" t="b">
        <f t="shared" si="565"/>
        <v>0</v>
      </c>
      <c r="CH609" s="115">
        <f t="shared" ca="1" si="586"/>
        <v>18.007500000000007</v>
      </c>
      <c r="CI609" s="115" t="b">
        <f t="shared" ca="1" si="587"/>
        <v>0</v>
      </c>
      <c r="CJ609" s="119">
        <f t="shared" ca="1" si="588"/>
        <v>0</v>
      </c>
      <c r="CK609" s="115">
        <f t="shared" ca="1" si="589"/>
        <v>0</v>
      </c>
      <c r="CL609" s="115" t="b">
        <f ca="1">AND(模拟模式!$S$7="驱夷逐法",OR(AND(C609="净世破魔击·月",E608&gt;59),AND(C609="净世破魔击·日",F608&gt;59)))</f>
        <v>0</v>
      </c>
      <c r="CM609" s="115" t="b">
        <f ca="1">OR(CL609,AND(C609="净世破魔击·日",CL608,RAND()&lt;模拟模式!$U$23))</f>
        <v>0</v>
      </c>
      <c r="CN609" s="115" t="b">
        <f ca="1">IF(模拟模式!$M$7="辉耀红尘",AND(C609="净世破魔击·月",CL609,CV609=0,E608&lt;80),AND(C609="净世破魔击·月",CL609,E608&lt;100))</f>
        <v>0</v>
      </c>
      <c r="CO609" s="115" t="b">
        <f t="shared" ca="1" si="566"/>
        <v>0</v>
      </c>
      <c r="CP609" s="115" t="b">
        <f ca="1">AND(模拟模式!$O$7="用晦而明",OR(C609="净世破魔击·日",C609="净世破魔击·月",C609="驱夜断愁"),AB609)</f>
        <v>0</v>
      </c>
      <c r="CQ609" s="115" t="b">
        <f ca="1">OR(CP609,AND(CP608,RAND()&lt;模拟模式!$U$23))</f>
        <v>1</v>
      </c>
      <c r="CR609" s="115" t="b">
        <f ca="1">AND(模拟模式!$S$7="日月齐光",OR(C609="幽月轮1",C609="幽月轮2",C609="幽月轮3",CR608),NOT(OR(C609="赤日轮1",C609="赤日轮2",C609="赤日轮3")))</f>
        <v>0</v>
      </c>
      <c r="CS609" s="115" t="b">
        <f ca="1">AND(模拟模式!$S$7="日月齐光",OR(C609="赤日轮1",C609="赤日轮2",C609="赤日轮3",CS608),NOT(OR(C609="幽月轮1",C609="幽月轮2",C609="幽月轮3")))</f>
        <v>0</v>
      </c>
      <c r="CT609" s="115">
        <f t="shared" ca="1" si="590"/>
        <v>8.7825000000000131</v>
      </c>
      <c r="CU609" s="115" t="b">
        <f ca="1">AND(模拟模式!$K$10="阴阳往极",CT608=0,RAND()&lt;IF(C609="净世破魔击·月",0.0275*7/3,IF(C609="净世破魔击·日",0.0275*3/3,0.0275*2/3)))</f>
        <v>0</v>
      </c>
      <c r="CV609" s="115">
        <f t="shared" ca="1" si="591"/>
        <v>0</v>
      </c>
      <c r="CW609" s="115">
        <f t="shared" ca="1" si="592"/>
        <v>6</v>
      </c>
      <c r="CX609" s="115">
        <f t="shared" ca="1" si="593"/>
        <v>4.1549999999999994</v>
      </c>
      <c r="CY609" s="115">
        <f ca="1">MAX(IF($C609="驱夜断愁",IF(模拟模式!$R$7="万念俱寂",6,45),CY608-$F$4),0)</f>
        <v>5.0774999999999997</v>
      </c>
      <c r="CZ609" s="115">
        <f t="shared" ca="1" si="567"/>
        <v>0</v>
      </c>
      <c r="DA609" s="115">
        <f ca="1">IF(模拟模式!$N$7="日月同辉",IF(DB608=2,0,MIN(6,IF(AND(OR(C609="赤日轮1",C609="赤日轮2",C609="赤日轮3",C609="幽月轮1",C609="幽月轮2",C609="幽月轮3"),AB609=1),DA608+1,DA608))),0)</f>
        <v>2</v>
      </c>
      <c r="DB609" s="115">
        <f t="shared" ca="1" si="568"/>
        <v>0</v>
      </c>
      <c r="DC609" s="115"/>
      <c r="DD609" s="115"/>
      <c r="DE609" s="115"/>
      <c r="DF609" s="115"/>
      <c r="DG609" s="115"/>
      <c r="DH609" s="115"/>
      <c r="DI609" s="115"/>
      <c r="DJ609" s="115"/>
      <c r="DK609" s="115"/>
      <c r="DL609" s="115"/>
      <c r="DM609" s="115"/>
    </row>
    <row r="610" spans="2:117" x14ac:dyDescent="0.2">
      <c r="B610" s="117">
        <f t="shared" si="569"/>
        <v>537.81750000000591</v>
      </c>
      <c r="C610" s="167" t="str">
        <f t="shared" ca="1" si="538"/>
        <v>幽月轮1</v>
      </c>
      <c r="D610" s="115">
        <f ca="1">IF(C610="赤日轮1",1,IF(C610="赤日轮2",2,IF(C610="赤日轮3",3,IF(C610="幽月轮1",4,IF(C610="幽月轮2",5,IF(C610="幽月轮3",6,IF(C610="烈日斩",7,IF(C610="银月斩",8,IF(C610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610="净世破魔击·月",17,IF(C610="驱夜断愁",18,0)))))))))))</f>
        <v>4</v>
      </c>
      <c r="E610" s="115">
        <f ca="1">IF(AND(CU610,OR(C610="幽月轮1",C610="幽月轮2",C610="幽月轮3",C610="银月斩",C610="驱夜断愁",C610="净世破魔击·月")),100,MIN(IF(OR(CN610,BE610),0,IF(OR($C610="赤日轮1",$C610="赤日轮2",$C610="赤日轮3"),E609+20+IF(模拟模式!$I$7="日月凌天",4,0)+IF(CR609,20,0),IF($C610="烈日斩",E609+40,IF($C610="驱夜断愁",IF(模拟模式!$R$7="万念俱寂",E609+20,E609+60),IF($C610="净世破魔击·月",IF(OR(DB609&gt;0,CV609&gt;0),100,IF(模拟模式!$M$7="辉耀红尘",E609+20,E609)),IF($C610="净世破魔击·日",E609-100,E609)))))),100))</f>
        <v>80</v>
      </c>
      <c r="F610" s="115">
        <f ca="1">IF(AND(CU610,OR(C610="赤日轮1",C610="赤日轮2",C610="赤日轮3",C610="烈日斩",C610="净世破魔击·日")),100,MIN(IF(CO610,0,IF(OR($C610="幽月轮1",$C610="幽月轮2",$C610="幽月轮3"),F609+20+IF(模拟模式!$I$7="日月凌天",4,0)+IF(CS609,20,0),IF($C610="银月斩",F609+40+IF(模拟模式!$X$12=1,5,0),IF($C610="驱夜断愁",IF(模拟模式!$R$7="万念俱寂",F609+20,F609+60),IF($C610="净世破魔击·月",IF(模拟模式!$M$7="辉耀红尘",F609-80,F609-100),IF(AND(C610="净世破魔击·日",OR(DB609&gt;0,CV609&gt;0)),100,F609)))))),100))</f>
        <v>100</v>
      </c>
      <c r="G610" s="117">
        <f ca="1">('模拟-全程加成'!$E$3+'模拟-全程加成'!$E$4+'模拟-全程加成'!$E$5+('模拟-全程加成'!$C$6-'模拟-全程加成'!$C$3)*系数!$B$9+BS610*23)*(1+'模拟-全程加成'!$F$4+'模拟-全程加成'!$F$5+BJ610*10%+BM610*20%+BP610*4%+CG610*30%)+$F$7*系数!$B$12</f>
        <v>20583.127400000001</v>
      </c>
      <c r="H610" s="45">
        <f ca="1">'模拟-全程加成'!$H$3+'模拟-全程加成'!$H$4+'模拟-全程加成'!$H$5+('模拟-全程加成'!$G$4+'模拟-全程加成'!$G$5+('模拟-全程加成'!$C$6-'模拟-全程加成'!$C$3)*系数!$B$13)/系数!$B$3+LOOKUP(D610,'模拟-单技能数据'!$A$2:$A$19,'模拟-单技能数据'!$K$2:$K$19)+BG610*10%+IF(BV610&gt;0,378,0)</f>
        <v>0.51185145527300213</v>
      </c>
      <c r="I610" s="45">
        <f ca="1">'模拟-全程加成'!$J$3+'模拟-全程加成'!$J$4+'模拟-全程加成'!$J$5+('模拟-全程加成'!$I$4+'模拟-全程加成'!$I$5)/系数!$B$4+LOOKUP(D610,'模拟-单技能数据'!$A$2:$A$19,'模拟-单技能数据'!$L$2:$L$19)+BG610*10%</f>
        <v>2.162482885499879</v>
      </c>
      <c r="J610" s="45">
        <f ca="1">(('模拟-全程加成'!$K$3+'模拟-全程加成'!$K$4+'模拟-全程加成'!$K$5+('模拟-全程加成'!$C$6-'模拟-全程加成'!$C$3)*系数!$B$10+IF(BV610&gt;0,882,0)+IF(BY610&gt;0,1831,0))*(1+'模拟-全程加成'!$L$4+'模拟-全程加成'!$L$5+CC610*20%))/系数!$B$5</f>
        <v>0.69723220422048726</v>
      </c>
      <c r="K610" s="119">
        <f ca="1">LOOKUP(D610,'模拟-单技能数据'!$A$2:$A$19,'模拟-单技能数据'!$J$2:$J$19)+IF(CM610,60%,0)+IF(DB609-DB610&gt;0,30%,0)+IF(OR(AND(OR(C610="赤日轮1",C610="赤日轮2",C610="赤日轮3"),CR610),AND(OR(C610="幽月轮1",C610="幽月轮2",C610="幽月轮3"),CS610)),35%,0)+CJ610</f>
        <v>7.0000000000000007E-2</v>
      </c>
      <c r="L610" s="119">
        <f ca="1">IF(AND(C610="烈日斩",模拟模式!$X$11=1),10%,0)+IF(AND(C610="驱夜断愁",AB610=1),30%,0)</f>
        <v>0</v>
      </c>
      <c r="M610" s="45">
        <f t="shared" ca="1" si="539"/>
        <v>0.51185145527300213</v>
      </c>
      <c r="N610" s="45">
        <f t="shared" ca="1" si="540"/>
        <v>0.43424854472699792</v>
      </c>
      <c r="O610" s="46">
        <f t="shared" ca="1" si="570"/>
        <v>0.66800329699168937</v>
      </c>
      <c r="P610" s="46" t="str">
        <f t="shared" ca="1" si="541"/>
        <v>命</v>
      </c>
      <c r="Q610" s="45">
        <f t="shared" ca="1" si="542"/>
        <v>1</v>
      </c>
      <c r="R610" s="117">
        <f ca="1">模拟模式!$E$20*(1-IF(模拟模式!$J$19="有",0.15,0))*(1-IF(模拟模式!$K$19="有",0.3,0)-IF(CQ610,0.5,0))</f>
        <v>2950.6049999999996</v>
      </c>
      <c r="S610" s="45">
        <f ca="1">R610/(R610+(185*模拟模式!$E$22-16800)*4.08224)</f>
        <v>0.24272716014590323</v>
      </c>
      <c r="T610" s="45" t="str">
        <f ca="1">LOOKUP(D610,'模拟-单技能数据'!$A$2:$A$19,'模拟-单技能数据'!$H$2:$H$19)</f>
        <v>阴</v>
      </c>
      <c r="U610" s="119">
        <f t="shared" ca="1" si="543"/>
        <v>0.08</v>
      </c>
      <c r="V610" s="47">
        <f ca="1">(1+L610)*(LOOKUP(D610,'模拟-单技能数据'!$A$2:$A$19,'模拟-单技能数据'!$D$2:$D$19)+G610*LOOKUP(D610,'模拟-单技能数据'!$A$2:$A$19,'模拟-单技能数据'!$F$2:$F$19))*(1+J610)*(1+K610)*(1-S610)*(1+U610)*Q610*LOOKUP(D610,'模拟-单技能数据'!$A$2:$A$19,'模拟-单技能数据'!$I$2:$I$20)</f>
        <v>16226.218300318291</v>
      </c>
      <c r="W610" s="47">
        <f ca="1">LOOKUP(D610,'模拟-单技能数据'!$A$2:$A$19,'模拟-单技能数据'!$G$2:$G$19)*$I$10</f>
        <v>361.51064354704795</v>
      </c>
      <c r="X610" s="47">
        <f t="shared" ca="1" si="571"/>
        <v>842.06024135830705</v>
      </c>
      <c r="Y610" s="47">
        <f t="shared" ca="1" si="544"/>
        <v>17429.789185223646</v>
      </c>
      <c r="Z610" s="49">
        <f t="shared" ca="1" si="545"/>
        <v>60881825.323426396</v>
      </c>
      <c r="AA610" s="97">
        <f t="shared" ca="1" si="546"/>
        <v>113201.64428161175</v>
      </c>
      <c r="AB610" s="115">
        <f ca="1">IF(OR(C610="赤日轮1",C610="赤日轮2",C610="赤日轮3"),IF(RAND()&lt;模拟模式!$Y$17,1,0),IF(OR(C610="幽月轮1",C610="幽月轮2",C610="幽月轮3"),IF(RAND()&lt;模拟模式!$Y$18,1,0),IF(C610="烈日斩",IF(RAND()&lt;模拟模式!$Y$19,1,0),IF(C610="银月斩",IF(RAND()&lt;模拟模式!$Y$20,1,0),IF(C610="驱夜断愁",IF(RAND()&lt;模拟模式!$Y$21,1,0),IF(C610="净世破魔击·日",IF(RAND()&lt;模拟模式!$Y$22,1,0),IF(C610="净世破魔击·月",IF(RAND()&lt;模拟模式!$Y$23,1,0),0)))))))</f>
        <v>1</v>
      </c>
      <c r="AC610" s="115" t="b">
        <f t="shared" ca="1" si="547"/>
        <v>0</v>
      </c>
      <c r="AD610" s="115" t="b">
        <f t="shared" ca="1" si="548"/>
        <v>1</v>
      </c>
      <c r="AE610" s="115">
        <f t="shared" ca="1" si="549"/>
        <v>4</v>
      </c>
      <c r="AF610" s="47">
        <f ca="1">IF(AC610,('模拟-单技能数据'!$D$20+G610*'模拟-单技能数据'!$F$20)*(1+J610)*(1+'模拟-单技能数据'!$J$20)*(1+U610),0)</f>
        <v>0</v>
      </c>
      <c r="AG610" s="61">
        <f t="shared" ca="1" si="550"/>
        <v>0.64185145527300214</v>
      </c>
      <c r="AH610" s="61">
        <f t="shared" ca="1" si="551"/>
        <v>2.2624828854998791</v>
      </c>
      <c r="AI610" s="62">
        <f t="shared" ca="1" si="572"/>
        <v>2.7313084510722452E-2</v>
      </c>
      <c r="AJ610" s="47">
        <f ca="1">IF(AD610,IF(AI610&lt;$F$10,0,IF(AI610&lt;$F$10+$F$11,0.25,IF(AI610&lt;$F$10+$F$11+AG610,AH610,1)))*IF(AF610&gt;0,AF610,IF(AF609&gt;0,AF609,IF(AF608&gt;0,AF608,IF(AF607&gt;0,AF607,IF(AF606&gt;0,AF606,IF(AF605&gt;0,AF605,IF(AF604&gt;0,AF604,IF(AF603&gt;0,AF603,IF(AF602&gt;0,AF602,IF(AF600&gt;0,AF600,IF(AF599&gt;0,AF599,IF(AF598&gt;0,AF598,0)))))))))))),0)*(1-$S610)*'模拟-单技能数据'!$I$20</f>
        <v>842.06024135830705</v>
      </c>
      <c r="AK610" s="115" t="b">
        <f t="shared" ca="1" si="552"/>
        <v>0</v>
      </c>
      <c r="AL610" s="115" t="b">
        <f t="shared" ca="1" si="553"/>
        <v>0</v>
      </c>
      <c r="AM610" s="115">
        <f t="shared" ca="1" si="554"/>
        <v>3</v>
      </c>
      <c r="AN610" s="47">
        <f ca="1">IF(AK610,('模拟-单技能数据'!$D$21+G610*'模拟-单技能数据'!$F$21)*(1+J610)*(1+'模拟-单技能数据'!$J$21)*(1+U610),0)</f>
        <v>0</v>
      </c>
      <c r="AO610" s="61">
        <f ca="1">IF(AN610&gt;0,M610-'模拟-单技能数据'!$K$10,AO609)</f>
        <v>0.42185145527300216</v>
      </c>
      <c r="AP610" s="61">
        <f ca="1">IF(AN610&gt;0,I610-'模拟-单技能数据'!$L$10,AP609)</f>
        <v>2.162482885499879</v>
      </c>
      <c r="AQ610" s="63">
        <f t="shared" ca="1" si="573"/>
        <v>0.86222812324023823</v>
      </c>
      <c r="AR610" s="64">
        <f ca="1">IF(AL610,IF(AQ610&lt;$F$10,0,IF(AQ610&lt;$F$10+$F$11,0.25,IF(AQ610&lt;$F$10+$F$11+AO610,AP610,1)))*IF(AN610&gt;0,AN610,IF(AN609&gt;0,AN609,IF(AN608&gt;0,AN608,IF(AN607&gt;0,AN607,IF(AN606&gt;0,AN606,IF(AN605&gt;0,AN605,IF(AN604&gt;0,AN604,IF(AN603&gt;0,AN603,IF(AN602&gt;0,AN602,IF(AN600&gt;0,AN600,IF(AN599&gt;0,AN599,IF(AN598&gt;0,AN598,0)))))))))))),0)*(1-$S610)*'模拟-单技能数据'!$I$21</f>
        <v>0</v>
      </c>
      <c r="AS610" s="61">
        <f ca="1">IF(OR(C610="净世破魔击·日",C610="净世破魔击·月"),M610-'模拟-单技能数据'!$K$10,0)</f>
        <v>0</v>
      </c>
      <c r="AT610" s="61">
        <f ca="1">IF(OR(C610="净世破魔击·日",C610="净世破魔击·月"),I610-'模拟-单技能数据'!$L$10,0)</f>
        <v>0</v>
      </c>
      <c r="AU610" s="62">
        <f t="shared" ca="1" si="574"/>
        <v>0.51771745150969561</v>
      </c>
      <c r="AV610" s="64">
        <f ca="1">IF(AS610&gt;0,('模拟-单技能数据'!$D$22+G610*'模拟-单技能数据'!$F$22)*(1+J610)*(1-S610)*IF(AU610&lt;$F$10,0,IF(AU610&lt;$F$10+$F$11,0.25,IF(AU610&lt;$F$10+$F$11+AS610,AT610,1)))*(1+U610),0)*'模拟-单技能数据'!$I$22</f>
        <v>0</v>
      </c>
      <c r="AW610" s="108">
        <f t="shared" ca="1" si="575"/>
        <v>1.5500000000000065</v>
      </c>
      <c r="AX610" s="108" t="b">
        <f ca="1">AND(模拟模式!$P$10="有",AW609=0,RAND()&lt;IF(C610="净世破魔击·月",0.1*8/3,IF(C610="净世破魔击·日",0.1*4/3,0.1*2/3)))</f>
        <v>0</v>
      </c>
      <c r="AY610" s="47">
        <f ca="1">IF(AX610,(18+G610*0.722)*(1+J610)*(1-S610)*(1+$I$4)*IF(P610="会",'模拟-全程加成'!$J$3+'模拟-全程加成'!$J$4+'模拟-全程加成'!$J$5+('模拟-全程加成'!$I$4+'模拟-全程加成'!$I$5)/系数!$B$4+BG610*10%,IF(P610="命",1,IF(P610="识",0.25,0))),0)</f>
        <v>0</v>
      </c>
      <c r="AZ610" s="108">
        <f t="shared" si="576"/>
        <v>9.8525000000000063</v>
      </c>
      <c r="BA610" s="108" t="b">
        <f>AND(模拟模式!$Q$10="有",AZ609=0)</f>
        <v>0</v>
      </c>
      <c r="BB610" s="140">
        <f>IF(BA610,(0+G610*0.287)*(1+J610)*(1-S610)*(1+$I$4)*IF(P610="会",'模拟-全程加成'!$J$3+'模拟-全程加成'!$J$4+'模拟-全程加成'!$J$5+('模拟-全程加成'!$I$4+'模拟-全程加成'!$I$5)/系数!$B$4+BG610*10%,IF(P610="命",1,IF(P610="识",0.25,0))),0)</f>
        <v>0</v>
      </c>
      <c r="BC610" s="115" t="b">
        <f ca="1">AND(模拟模式!$R$7="伏明众生",E610=60,F610=20,DA610&lt;5,CZ609&lt;$F$4)</f>
        <v>0</v>
      </c>
      <c r="BD610" s="115">
        <f t="shared" ca="1" si="555"/>
        <v>0</v>
      </c>
      <c r="BE610" s="115" t="b">
        <f t="shared" ca="1" si="556"/>
        <v>0</v>
      </c>
      <c r="BF610" s="47">
        <f ca="1">IF(BC610,4*('模拟-单技能数据'!$D$24+G610*'模拟-单技能数据'!$F$24)*(1+J610)*(1+'模拟-单技能数据'!$J$24)*(1-S610)*(1+$I$3)*(('模拟-全程加成'!$J$3+'模拟-全程加成'!$J$4+'模拟-全程加成'!$J$5+('模拟-全程加成'!$I$4+'模拟-全程加成'!$I$5)/系数!$B$4+BG610*10%)*('模拟-全程加成'!$J$3+'模拟-全程加成'!$J$4+'模拟-全程加成'!$J$5+('模拟-全程加成'!$I$4+'模拟-全程加成'!$I$5)/系数!$B$4+BG610*10%)+(1-('模拟-全程加成'!$J$3+'模拟-全程加成'!$J$4+'模拟-全程加成'!$J$5+('模拟-全程加成'!$I$4+'模拟-全程加成'!$I$5)/系数!$B$4+BG610*10%)-$F$10-$F$11)+F596*0.25),0)*'模拟-单技能数据'!$I$24</f>
        <v>0</v>
      </c>
      <c r="BG610" s="115" t="b">
        <f ca="1">OR(AND(OR(C610="烈日斩",C610="银月斩"),模拟模式!$I$7="净身明礼"),AND(C610="净世破魔击·日",模拟模式!$J$7="洞若观火"),AND(C611="净世破魔击·月",模拟模式!$J$7="洞若观火"),AB610=1)</f>
        <v>1</v>
      </c>
      <c r="BH610" s="115" t="b">
        <f t="shared" ca="1" si="577"/>
        <v>0</v>
      </c>
      <c r="BI610" s="115">
        <f t="shared" ca="1" si="557"/>
        <v>0</v>
      </c>
      <c r="BJ610" s="115" t="b">
        <f t="shared" ca="1" si="558"/>
        <v>0</v>
      </c>
      <c r="BK610" s="115" t="b">
        <f ca="1">AND(C610="驱夜断愁",模拟模式!$P$7="天地诛戮")</f>
        <v>0</v>
      </c>
      <c r="BL610" s="57">
        <f t="shared" ca="1" si="559"/>
        <v>18.155000000000001</v>
      </c>
      <c r="BM610" s="115" t="b">
        <f t="shared" ca="1" si="560"/>
        <v>1</v>
      </c>
      <c r="BN610" s="115" t="b">
        <f ca="1">AND(OR(C610="赤日轮1",C610="赤日轮2",C610="赤日轮3",C610="幽月轮1",C610="幽月轮2",C610="幽月轮3"),AB610=1,模拟模式!$L$7="明光恒照")</f>
        <v>1</v>
      </c>
      <c r="BO610" s="117">
        <f t="shared" ca="1" si="561"/>
        <v>30</v>
      </c>
      <c r="BP610" s="115">
        <f t="shared" ca="1" si="578"/>
        <v>6</v>
      </c>
      <c r="BQ610" s="115" t="b">
        <f>模拟模式!$K$10="2600·水"</f>
        <v>0</v>
      </c>
      <c r="BR610" s="117">
        <f t="shared" si="579"/>
        <v>0</v>
      </c>
      <c r="BS610" s="115">
        <f t="shared" si="580"/>
        <v>0</v>
      </c>
      <c r="BT610" s="115">
        <f t="shared" ca="1" si="581"/>
        <v>0</v>
      </c>
      <c r="BU610" s="115" t="b">
        <f ca="1">AND(模拟模式!$K$10="2300·雷",BT609=0,RAND()&lt;IF(C610="净世破魔击·月",5*0.05*2/3,IF(C610="净世破魔击·日",3*0.05*2/3,0.05*2*2/3)))</f>
        <v>0</v>
      </c>
      <c r="BV610" s="115">
        <f t="shared" ca="1" si="582"/>
        <v>0</v>
      </c>
      <c r="BW610" s="115">
        <f t="shared" ca="1" si="583"/>
        <v>17.639999999999304</v>
      </c>
      <c r="BX610" s="164" t="b">
        <f t="shared" ca="1" si="584"/>
        <v>0</v>
      </c>
      <c r="BY610" s="115">
        <f t="shared" ca="1" si="585"/>
        <v>0</v>
      </c>
      <c r="BZ610" s="115">
        <f>IF(OR(模拟模式!$P$16="10人团",模拟模式!$P$16="25人团"),IF(B610/30&gt;CA609,1,0),0)</f>
        <v>0</v>
      </c>
      <c r="CA610" s="115">
        <f t="shared" si="562"/>
        <v>0</v>
      </c>
      <c r="CB610" s="115">
        <f ca="1">IF(BZ610=1,IF(模拟模式!$P$16="10人团",15,0)+IF(模拟模式!$P$16="25人团",IF(RAND()&lt;0.6,15,0)),MAX(0,CB609-$F$4))</f>
        <v>0</v>
      </c>
      <c r="CC610" s="115" t="b">
        <f t="shared" ca="1" si="563"/>
        <v>0</v>
      </c>
      <c r="CD610" s="115">
        <f>IF(模拟模式!$Q$16="1个",IF(B610/40&gt;CE609,1,0),0)</f>
        <v>0</v>
      </c>
      <c r="CE610" s="115">
        <f t="shared" si="564"/>
        <v>0</v>
      </c>
      <c r="CF610" s="115">
        <f>IF(OR(CD610=1,模拟模式!$Q$16="2个"),20,MAX(0,CF609-$F$4))</f>
        <v>0</v>
      </c>
      <c r="CG610" s="115" t="b">
        <f t="shared" si="565"/>
        <v>0</v>
      </c>
      <c r="CH610" s="115">
        <f t="shared" ca="1" si="586"/>
        <v>17.085000000000008</v>
      </c>
      <c r="CI610" s="115" t="b">
        <f t="shared" ca="1" si="587"/>
        <v>0</v>
      </c>
      <c r="CJ610" s="119">
        <f t="shared" ca="1" si="588"/>
        <v>0</v>
      </c>
      <c r="CK610" s="115">
        <f t="shared" ca="1" si="589"/>
        <v>0</v>
      </c>
      <c r="CL610" s="115" t="b">
        <f ca="1">AND(模拟模式!$S$7="驱夷逐法",OR(AND(C610="净世破魔击·月",E609&gt;59),AND(C610="净世破魔击·日",F609&gt;59)))</f>
        <v>0</v>
      </c>
      <c r="CM610" s="115" t="b">
        <f ca="1">OR(CL610,AND(C610="净世破魔击·日",CL609,RAND()&lt;模拟模式!$U$23))</f>
        <v>0</v>
      </c>
      <c r="CN610" s="115" t="b">
        <f ca="1">IF(模拟模式!$M$7="辉耀红尘",AND(C610="净世破魔击·月",CL610,CV610=0,E609&lt;80),AND(C610="净世破魔击·月",CL610,E609&lt;100))</f>
        <v>0</v>
      </c>
      <c r="CO610" s="115" t="b">
        <f t="shared" ca="1" si="566"/>
        <v>0</v>
      </c>
      <c r="CP610" s="115" t="b">
        <f ca="1">AND(模拟模式!$O$7="用晦而明",OR(C610="净世破魔击·日",C610="净世破魔击·月",C610="驱夜断愁"),AB610)</f>
        <v>0</v>
      </c>
      <c r="CQ610" s="115" t="b">
        <f ca="1">OR(CP610,AND(CP609,RAND()&lt;模拟模式!$U$23))</f>
        <v>0</v>
      </c>
      <c r="CR610" s="115" t="b">
        <f ca="1">AND(模拟模式!$S$7="日月齐光",OR(C610="幽月轮1",C610="幽月轮2",C610="幽月轮3",CR609),NOT(OR(C610="赤日轮1",C610="赤日轮2",C610="赤日轮3")))</f>
        <v>0</v>
      </c>
      <c r="CS610" s="115" t="b">
        <f ca="1">AND(模拟模式!$S$7="日月齐光",OR(C610="赤日轮1",C610="赤日轮2",C610="赤日轮3",CS609),NOT(OR(C610="幽月轮1",C610="幽月轮2",C610="幽月轮3")))</f>
        <v>0</v>
      </c>
      <c r="CT610" s="115">
        <f t="shared" ca="1" si="590"/>
        <v>7.8600000000000128</v>
      </c>
      <c r="CU610" s="115" t="b">
        <f ca="1">AND(模拟模式!$K$10="阴阳往极",CT609=0,RAND()&lt;IF(C610="净世破魔击·月",0.0275*7/3,IF(C610="净世破魔击·日",0.0275*3/3,0.0275*2/3)))</f>
        <v>0</v>
      </c>
      <c r="CV610" s="115">
        <f t="shared" ca="1" si="591"/>
        <v>0</v>
      </c>
      <c r="CW610" s="115">
        <f t="shared" ca="1" si="592"/>
        <v>5.0774999999999997</v>
      </c>
      <c r="CX610" s="115">
        <f t="shared" ca="1" si="593"/>
        <v>3.2324999999999995</v>
      </c>
      <c r="CY610" s="115">
        <f ca="1">MAX(IF($C610="驱夜断愁",IF(模拟模式!$R$7="万念俱寂",6,45),CY609-$F$4),0)</f>
        <v>4.1549999999999994</v>
      </c>
      <c r="CZ610" s="115">
        <f t="shared" ca="1" si="567"/>
        <v>0</v>
      </c>
      <c r="DA610" s="115">
        <f ca="1">IF(模拟模式!$N$7="日月同辉",IF(DB609=2,0,MIN(6,IF(AND(OR(C610="赤日轮1",C610="赤日轮2",C610="赤日轮3",C610="幽月轮1",C610="幽月轮2",C610="幽月轮3"),AB610=1),DA609+1,DA609))),0)</f>
        <v>3</v>
      </c>
      <c r="DB610" s="115">
        <f t="shared" ca="1" si="568"/>
        <v>0</v>
      </c>
      <c r="DC610" s="115"/>
      <c r="DD610" s="115"/>
      <c r="DE610" s="115"/>
      <c r="DF610" s="115"/>
      <c r="DG610" s="115"/>
      <c r="DH610" s="115"/>
      <c r="DI610" s="115"/>
      <c r="DJ610" s="115"/>
      <c r="DK610" s="115"/>
      <c r="DL610" s="115"/>
      <c r="DM610" s="115"/>
    </row>
    <row r="611" spans="2:117" x14ac:dyDescent="0.2">
      <c r="B611" s="117">
        <f t="shared" si="569"/>
        <v>538.74000000000592</v>
      </c>
      <c r="C611" s="167" t="str">
        <f t="shared" ca="1" si="538"/>
        <v>净世破魔击·月</v>
      </c>
      <c r="D611" s="115">
        <f ca="1">IF(C611="赤日轮1",1,IF(C611="赤日轮2",2,IF(C611="赤日轮3",3,IF(C611="幽月轮1",4,IF(C611="幽月轮2",5,IF(C611="幽月轮3",6,IF(C611="烈日斩",7,IF(C611="银月斩",8,IF(C611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611="净世破魔击·月",17,IF(C611="驱夜断愁",18,0)))))))))))</f>
        <v>17</v>
      </c>
      <c r="E611" s="115">
        <f ca="1">IF(AND(CU611,OR(C611="幽月轮1",C611="幽月轮2",C611="幽月轮3",C611="银月斩",C611="驱夜断愁",C611="净世破魔击·月")),100,MIN(IF(OR(CN611,BE611),0,IF(OR($C611="赤日轮1",$C611="赤日轮2",$C611="赤日轮3"),E610+20+IF(模拟模式!$I$7="日月凌天",4,0)+IF(CR610,20,0),IF($C611="烈日斩",E610+40,IF($C611="驱夜断愁",IF(模拟模式!$R$7="万念俱寂",E610+20,E610+60),IF($C611="净世破魔击·月",IF(OR(DB610&gt;0,CV610&gt;0),100,IF(模拟模式!$M$7="辉耀红尘",E610+20,E610)),IF($C611="净世破魔击·日",E610-100,E610)))))),100))</f>
        <v>100</v>
      </c>
      <c r="F611" s="115">
        <f ca="1">IF(AND(CU611,OR(C611="赤日轮1",C611="赤日轮2",C611="赤日轮3",C611="烈日斩",C611="净世破魔击·日")),100,MIN(IF(CO611,0,IF(OR($C611="幽月轮1",$C611="幽月轮2",$C611="幽月轮3"),F610+20+IF(模拟模式!$I$7="日月凌天",4,0)+IF(CS610,20,0),IF($C611="银月斩",F610+40+IF(模拟模式!$X$12=1,5,0),IF($C611="驱夜断愁",IF(模拟模式!$R$7="万念俱寂",F610+20,F610+60),IF($C611="净世破魔击·月",IF(模拟模式!$M$7="辉耀红尘",F610-80,F610-100),IF(AND(C611="净世破魔击·日",OR(DB610&gt;0,CV610&gt;0)),100,F610)))))),100))</f>
        <v>20</v>
      </c>
      <c r="G611" s="117">
        <f ca="1">('模拟-全程加成'!$E$3+'模拟-全程加成'!$E$4+'模拟-全程加成'!$E$5+('模拟-全程加成'!$C$6-'模拟-全程加成'!$C$3)*系数!$B$9+BS611*23)*(1+'模拟-全程加成'!$F$4+'模拟-全程加成'!$F$5+BJ611*10%+BM611*20%+BP611*4%+CG611*30%)+$F$7*系数!$B$12</f>
        <v>20583.127400000001</v>
      </c>
      <c r="H611" s="45">
        <f ca="1">'模拟-全程加成'!$H$3+'模拟-全程加成'!$H$4+'模拟-全程加成'!$H$5+('模拟-全程加成'!$G$4+'模拟-全程加成'!$G$5+('模拟-全程加成'!$C$6-'模拟-全程加成'!$C$3)*系数!$B$13)/系数!$B$3+LOOKUP(D611,'模拟-单技能数据'!$A$2:$A$19,'模拟-单技能数据'!$K$2:$K$19)+BG611*10%+IF(BV611&gt;0,378,0)</f>
        <v>0.54185145527300216</v>
      </c>
      <c r="I611" s="45">
        <f ca="1">'模拟-全程加成'!$J$3+'模拟-全程加成'!$J$4+'模拟-全程加成'!$J$5+('模拟-全程加成'!$I$4+'模拟-全程加成'!$I$5)/系数!$B$4+LOOKUP(D611,'模拟-单技能数据'!$A$2:$A$19,'模拟-单技能数据'!$L$2:$L$19)+BG611*10%</f>
        <v>2.162482885499879</v>
      </c>
      <c r="J611" s="45">
        <f ca="1">(('模拟-全程加成'!$K$3+'模拟-全程加成'!$K$4+'模拟-全程加成'!$K$5+('模拟-全程加成'!$C$6-'模拟-全程加成'!$C$3)*系数!$B$10+IF(BV611&gt;0,882,0)+IF(BY611&gt;0,1831,0))*(1+'模拟-全程加成'!$L$4+'模拟-全程加成'!$L$5+CC611*20%))/系数!$B$5</f>
        <v>0.69723220422048726</v>
      </c>
      <c r="K611" s="119">
        <f ca="1">LOOKUP(D611,'模拟-单技能数据'!$A$2:$A$19,'模拟-单技能数据'!$J$2:$J$19)+IF(CM611,60%,0)+IF(DB610-DB611&gt;0,30%,0)+IF(OR(AND(OR(C611="赤日轮1",C611="赤日轮2",C611="赤日轮3"),CR611),AND(OR(C611="幽月轮1",C611="幽月轮2",C611="幽月轮3"),CS611)),35%,0)+CJ611</f>
        <v>0.8</v>
      </c>
      <c r="L611" s="119">
        <f ca="1">IF(AND(C611="烈日斩",模拟模式!$X$11=1),10%,0)+IF(AND(C611="驱夜断愁",AB611=1),30%,0)</f>
        <v>0</v>
      </c>
      <c r="M611" s="45">
        <f t="shared" ca="1" si="539"/>
        <v>0.54185145527300216</v>
      </c>
      <c r="N611" s="45">
        <f t="shared" ca="1" si="540"/>
        <v>0.40424854472699789</v>
      </c>
      <c r="O611" s="46">
        <f t="shared" ca="1" si="570"/>
        <v>0.53974155505871235</v>
      </c>
      <c r="P611" s="46" t="str">
        <f t="shared" ca="1" si="541"/>
        <v>会</v>
      </c>
      <c r="Q611" s="45">
        <f t="shared" ca="1" si="542"/>
        <v>2.162482885499879</v>
      </c>
      <c r="R611" s="117">
        <f ca="1">模拟模式!$E$20*(1-IF(模拟模式!$J$19="有",0.15,0))*(1-IF(模拟模式!$K$19="有",0.3,0)-IF(CQ611,0.5,0))</f>
        <v>843.02999999999975</v>
      </c>
      <c r="S611" s="45">
        <f ca="1">R611/(R611+(185*模拟模式!$E$22-16800)*4.08224)</f>
        <v>8.389626085980037E-2</v>
      </c>
      <c r="T611" s="45" t="str">
        <f ca="1">LOOKUP(D611,'模拟-单技能数据'!$A$2:$A$19,'模拟-单技能数据'!$H$2:$H$19)</f>
        <v>阴</v>
      </c>
      <c r="U611" s="119">
        <f t="shared" ca="1" si="543"/>
        <v>0.08</v>
      </c>
      <c r="V611" s="47">
        <f ca="1">(1+L611)*(LOOKUP(D611,'模拟-单技能数据'!$A$2:$A$19,'模拟-单技能数据'!$D$2:$D$19)+G611*LOOKUP(D611,'模拟-单技能数据'!$A$2:$A$19,'模拟-单技能数据'!$F$2:$F$19))*(1+J611)*(1+K611)*(1-S611)*(1+U611)*Q611*LOOKUP(D611,'模拟-单技能数据'!$A$2:$A$19,'模拟-单技能数据'!$I$2:$I$20)</f>
        <v>174868.36016214982</v>
      </c>
      <c r="W611" s="47">
        <f ca="1">LOOKUP(D611,'模拟-单技能数据'!$A$2:$A$19,'模拟-单技能数据'!$G$2:$G$19)*$I$10</f>
        <v>361.51064354704795</v>
      </c>
      <c r="X611" s="47">
        <f t="shared" ca="1" si="571"/>
        <v>31682.700929730119</v>
      </c>
      <c r="Y611" s="47">
        <f t="shared" ca="1" si="544"/>
        <v>206912.57173542699</v>
      </c>
      <c r="Z611" s="49">
        <f t="shared" ca="1" si="545"/>
        <v>61088737.895161822</v>
      </c>
      <c r="AA611" s="97">
        <f t="shared" ca="1" si="546"/>
        <v>113391.873436465</v>
      </c>
      <c r="AB611" s="115">
        <f ca="1">IF(OR(C611="赤日轮1",C611="赤日轮2",C611="赤日轮3"),IF(RAND()&lt;模拟模式!$Y$17,1,0),IF(OR(C611="幽月轮1",C611="幽月轮2",C611="幽月轮3"),IF(RAND()&lt;模拟模式!$Y$18,1,0),IF(C611="烈日斩",IF(RAND()&lt;模拟模式!$Y$19,1,0),IF(C611="银月斩",IF(RAND()&lt;模拟模式!$Y$20,1,0),IF(C611="驱夜断愁",IF(RAND()&lt;模拟模式!$Y$21,1,0),IF(C611="净世破魔击·日",IF(RAND()&lt;模拟模式!$Y$22,1,0),IF(C611="净世破魔击·月",IF(RAND()&lt;模拟模式!$Y$23,1,0),0)))))))</f>
        <v>1</v>
      </c>
      <c r="AC611" s="115" t="b">
        <f t="shared" ca="1" si="547"/>
        <v>0</v>
      </c>
      <c r="AD611" s="115" t="b">
        <f t="shared" ca="1" si="548"/>
        <v>0</v>
      </c>
      <c r="AE611" s="115">
        <f t="shared" ca="1" si="549"/>
        <v>4</v>
      </c>
      <c r="AF611" s="47">
        <f ca="1">IF(AC611,('模拟-单技能数据'!$D$20+G611*'模拟-单技能数据'!$F$20)*(1+J611)*(1+'模拟-单技能数据'!$J$20)*(1+U611),0)</f>
        <v>0</v>
      </c>
      <c r="AG611" s="61">
        <f t="shared" ca="1" si="550"/>
        <v>0.64185145527300214</v>
      </c>
      <c r="AH611" s="61">
        <f t="shared" ca="1" si="551"/>
        <v>2.2624828854998791</v>
      </c>
      <c r="AI611" s="62">
        <f t="shared" ca="1" si="572"/>
        <v>0.93564128719818929</v>
      </c>
      <c r="AJ611" s="47">
        <f ca="1">IF(AD611,IF(AI611&lt;$F$10,0,IF(AI611&lt;$F$10+$F$11,0.25,IF(AI611&lt;$F$10+$F$11+AG611,AH611,1)))*IF(AF611&gt;0,AF611,IF(AF610&gt;0,AF610,IF(AF609&gt;0,AF609,IF(AF608&gt;0,AF608,IF(AF607&gt;0,AF607,IF(AF606&gt;0,AF606,IF(AF605&gt;0,AF605,IF(AF604&gt;0,AF604,IF(AF603&gt;0,AF603,IF(AF601&gt;0,AF601,IF(AF600&gt;0,AF600,IF(AF599&gt;0,AF599,0)))))))))))),0)*(1-$S611)*'模拟-单技能数据'!$I$20</f>
        <v>0</v>
      </c>
      <c r="AK611" s="115" t="b">
        <f t="shared" ca="1" si="552"/>
        <v>0</v>
      </c>
      <c r="AL611" s="115" t="b">
        <f t="shared" ca="1" si="553"/>
        <v>1</v>
      </c>
      <c r="AM611" s="115">
        <f t="shared" ca="1" si="554"/>
        <v>2</v>
      </c>
      <c r="AN611" s="47">
        <f ca="1">IF(AK611,('模拟-单技能数据'!$D$21+G611*'模拟-单技能数据'!$F$21)*(1+J611)*(1+'模拟-单技能数据'!$J$21)*(1+U611),0)</f>
        <v>0</v>
      </c>
      <c r="AO611" s="61">
        <f ca="1">IF(AN611&gt;0,M611-'模拟-单技能数据'!$K$10,AO610)</f>
        <v>0.42185145527300216</v>
      </c>
      <c r="AP611" s="61">
        <f ca="1">IF(AN611&gt;0,I611-'模拟-单技能数据'!$L$10,AP610)</f>
        <v>2.162482885499879</v>
      </c>
      <c r="AQ611" s="63">
        <f t="shared" ca="1" si="573"/>
        <v>0.39180189614673211</v>
      </c>
      <c r="AR611" s="64">
        <f ca="1">IF(AL611,IF(AQ611&lt;$F$10,0,IF(AQ611&lt;$F$10+$F$11,0.25,IF(AQ611&lt;$F$10+$F$11+AO611,AP611,1)))*IF(AN611&gt;0,AN611,IF(AN610&gt;0,AN610,IF(AN609&gt;0,AN609,IF(AN608&gt;0,AN608,IF(AN607&gt;0,AN607,IF(AN606&gt;0,AN606,IF(AN605&gt;0,AN605,IF(AN604&gt;0,AN604,IF(AN603&gt;0,AN603,IF(AN601&gt;0,AN601,IF(AN600&gt;0,AN600,IF(AN599&gt;0,AN599,0)))))))))))),0)*(1-$S611)*'模拟-单技能数据'!$I$21</f>
        <v>24043.249177625272</v>
      </c>
      <c r="AS611" s="61">
        <f ca="1">IF(OR(C611="净世破魔击·日",C611="净世破魔击·月"),M611-'模拟-单技能数据'!$K$10,0)</f>
        <v>0.42185145527300216</v>
      </c>
      <c r="AT611" s="61">
        <f ca="1">IF(OR(C611="净世破魔击·日",C611="净世破魔击·月"),I611-'模拟-单技能数据'!$L$10,0)</f>
        <v>2.162482885499879</v>
      </c>
      <c r="AU611" s="62">
        <f t="shared" ca="1" si="574"/>
        <v>0.66753562034527525</v>
      </c>
      <c r="AV611" s="64">
        <f ca="1">IF(AS611&gt;0,('模拟-单技能数据'!$D$22+G611*'模拟-单技能数据'!$F$22)*(1+J611)*(1-S611)*IF(AU611&lt;$F$10,0,IF(AU611&lt;$F$10+$F$11,0.25,IF(AU611&lt;$F$10+$F$11+AS611,AT611,1)))*(1+U611),0)*'模拟-单技能数据'!$I$22</f>
        <v>7639.4517521048492</v>
      </c>
      <c r="AW611" s="108">
        <f t="shared" ca="1" si="575"/>
        <v>0.6275000000000065</v>
      </c>
      <c r="AX611" s="108" t="b">
        <f ca="1">AND(模拟模式!$P$10="有",AW610=0,RAND()&lt;IF(C611="净世破魔击·月",0.1*8/3,IF(C611="净世破魔击·日",0.1*4/3,0.1*2/3)))</f>
        <v>0</v>
      </c>
      <c r="AY611" s="47">
        <f ca="1">IF(AX611,(18+G611*0.722)*(1+J611)*(1-S611)*(1+$I$4)*IF(P611="会",'模拟-全程加成'!$J$3+'模拟-全程加成'!$J$4+'模拟-全程加成'!$J$5+('模拟-全程加成'!$I$4+'模拟-全程加成'!$I$5)/系数!$B$4+BG611*10%,IF(P611="命",1,IF(P611="识",0.25,0))),0)</f>
        <v>0</v>
      </c>
      <c r="AZ611" s="108">
        <f t="shared" si="576"/>
        <v>8.9300000000000068</v>
      </c>
      <c r="BA611" s="108" t="b">
        <f>AND(模拟模式!$Q$10="有",AZ610=0)</f>
        <v>0</v>
      </c>
      <c r="BB611" s="140">
        <f>IF(BA611,(0+G611*0.287)*(1+J611)*(1-S611)*(1+$I$4)*IF(P611="会",'模拟-全程加成'!$J$3+'模拟-全程加成'!$J$4+'模拟-全程加成'!$J$5+('模拟-全程加成'!$I$4+'模拟-全程加成'!$I$5)/系数!$B$4+BG611*10%,IF(P611="命",1,IF(P611="识",0.25,0))),0)</f>
        <v>0</v>
      </c>
      <c r="BC611" s="115" t="b">
        <f ca="1">AND(模拟模式!$R$7="伏明众生",E611=60,F611=20,DA611&lt;5,CZ610&lt;$F$4)</f>
        <v>0</v>
      </c>
      <c r="BD611" s="115">
        <f t="shared" ca="1" si="555"/>
        <v>0</v>
      </c>
      <c r="BE611" s="115" t="b">
        <f t="shared" ca="1" si="556"/>
        <v>0</v>
      </c>
      <c r="BF611" s="47">
        <f ca="1">IF(BC611,4*('模拟-单技能数据'!$D$24+G611*'模拟-单技能数据'!$F$24)*(1+J611)*(1+'模拟-单技能数据'!$J$24)*(1-S611)*(1+$I$3)*(('模拟-全程加成'!$J$3+'模拟-全程加成'!$J$4+'模拟-全程加成'!$J$5+('模拟-全程加成'!$I$4+'模拟-全程加成'!$I$5)/系数!$B$4+BG611*10%)*('模拟-全程加成'!$J$3+'模拟-全程加成'!$J$4+'模拟-全程加成'!$J$5+('模拟-全程加成'!$I$4+'模拟-全程加成'!$I$5)/系数!$B$4+BG611*10%)+(1-('模拟-全程加成'!$J$3+'模拟-全程加成'!$J$4+'模拟-全程加成'!$J$5+('模拟-全程加成'!$I$4+'模拟-全程加成'!$I$5)/系数!$B$4+BG611*10%)-$F$10-$F$11)+F597*0.25),0)*'模拟-单技能数据'!$I$24</f>
        <v>0</v>
      </c>
      <c r="BG611" s="115" t="b">
        <f ca="1">OR(AND(OR(C611="烈日斩",C611="银月斩"),模拟模式!$I$7="净身明礼"),AND(C611="净世破魔击·日",模拟模式!$J$7="洞若观火"),AND(C612="净世破魔击·月",模拟模式!$J$7="洞若观火"),AB611=1)</f>
        <v>1</v>
      </c>
      <c r="BH611" s="115" t="b">
        <f t="shared" ca="1" si="577"/>
        <v>0</v>
      </c>
      <c r="BI611" s="115">
        <f t="shared" ca="1" si="557"/>
        <v>0</v>
      </c>
      <c r="BJ611" s="115" t="b">
        <f t="shared" ca="1" si="558"/>
        <v>0</v>
      </c>
      <c r="BK611" s="115" t="b">
        <f ca="1">AND(C611="驱夜断愁",模拟模式!$P$7="天地诛戮")</f>
        <v>0</v>
      </c>
      <c r="BL611" s="57">
        <f t="shared" ca="1" si="559"/>
        <v>17.232500000000002</v>
      </c>
      <c r="BM611" s="115" t="b">
        <f t="shared" ca="1" si="560"/>
        <v>1</v>
      </c>
      <c r="BN611" s="115" t="b">
        <f ca="1">AND(OR(C611="赤日轮1",C611="赤日轮2",C611="赤日轮3",C611="幽月轮1",C611="幽月轮2",C611="幽月轮3"),AB611=1,模拟模式!$L$7="明光恒照")</f>
        <v>0</v>
      </c>
      <c r="BO611" s="117">
        <f t="shared" ca="1" si="561"/>
        <v>29.077500000000001</v>
      </c>
      <c r="BP611" s="115">
        <f t="shared" ca="1" si="578"/>
        <v>6</v>
      </c>
      <c r="BQ611" s="115" t="b">
        <f>模拟模式!$K$10="2600·水"</f>
        <v>0</v>
      </c>
      <c r="BR611" s="117">
        <f t="shared" si="579"/>
        <v>0</v>
      </c>
      <c r="BS611" s="115">
        <f t="shared" si="580"/>
        <v>0</v>
      </c>
      <c r="BT611" s="115">
        <f t="shared" ca="1" si="581"/>
        <v>0</v>
      </c>
      <c r="BU611" s="115" t="b">
        <f ca="1">AND(模拟模式!$K$10="2300·雷",BT610=0,RAND()&lt;IF(C611="净世破魔击·月",5*0.05*2/3,IF(C611="净世破魔击·日",3*0.05*2/3,0.05*2*2/3)))</f>
        <v>0</v>
      </c>
      <c r="BV611" s="115">
        <f t="shared" ca="1" si="582"/>
        <v>0</v>
      </c>
      <c r="BW611" s="115">
        <f t="shared" ca="1" si="583"/>
        <v>16.717499999999305</v>
      </c>
      <c r="BX611" s="164" t="b">
        <f t="shared" ca="1" si="584"/>
        <v>0</v>
      </c>
      <c r="BY611" s="115">
        <f t="shared" ca="1" si="585"/>
        <v>0</v>
      </c>
      <c r="BZ611" s="115">
        <f>IF(OR(模拟模式!$P$16="10人团",模拟模式!$P$16="25人团"),IF(B611/30&gt;CA610,1,0),0)</f>
        <v>0</v>
      </c>
      <c r="CA611" s="115">
        <f t="shared" si="562"/>
        <v>0</v>
      </c>
      <c r="CB611" s="115">
        <f ca="1">IF(BZ611=1,IF(模拟模式!$P$16="10人团",15,0)+IF(模拟模式!$P$16="25人团",IF(RAND()&lt;0.6,15,0)),MAX(0,CB610-$F$4))</f>
        <v>0</v>
      </c>
      <c r="CC611" s="115" t="b">
        <f t="shared" ca="1" si="563"/>
        <v>0</v>
      </c>
      <c r="CD611" s="115">
        <f>IF(模拟模式!$Q$16="1个",IF(B611/40&gt;CE610,1,0),0)</f>
        <v>0</v>
      </c>
      <c r="CE611" s="115">
        <f t="shared" si="564"/>
        <v>0</v>
      </c>
      <c r="CF611" s="115">
        <f>IF(OR(CD611=1,模拟模式!$Q$16="2个"),20,MAX(0,CF610-$F$4))</f>
        <v>0</v>
      </c>
      <c r="CG611" s="115" t="b">
        <f t="shared" si="565"/>
        <v>0</v>
      </c>
      <c r="CH611" s="115">
        <f t="shared" ca="1" si="586"/>
        <v>16.162500000000009</v>
      </c>
      <c r="CI611" s="115" t="b">
        <f t="shared" ca="1" si="587"/>
        <v>0</v>
      </c>
      <c r="CJ611" s="119">
        <f t="shared" ca="1" si="588"/>
        <v>0</v>
      </c>
      <c r="CK611" s="115">
        <f t="shared" ca="1" si="589"/>
        <v>0</v>
      </c>
      <c r="CL611" s="115" t="b">
        <f ca="1">AND(模拟模式!$S$7="驱夷逐法",OR(AND(C611="净世破魔击·月",E610&gt;59),AND(C611="净世破魔击·日",F610&gt;59)))</f>
        <v>1</v>
      </c>
      <c r="CM611" s="115" t="b">
        <f ca="1">OR(CL611,AND(C611="净世破魔击·日",CL610,RAND()&lt;模拟模式!$U$23))</f>
        <v>1</v>
      </c>
      <c r="CN611" s="115" t="b">
        <f ca="1">IF(模拟模式!$M$7="辉耀红尘",AND(C611="净世破魔击·月",CL611,CV611=0,E610&lt;80),AND(C611="净世破魔击·月",CL611,E610&lt;100))</f>
        <v>0</v>
      </c>
      <c r="CO611" s="115" t="b">
        <f t="shared" ca="1" si="566"/>
        <v>0</v>
      </c>
      <c r="CP611" s="115" t="b">
        <f ca="1">AND(模拟模式!$O$7="用晦而明",OR(C611="净世破魔击·日",C611="净世破魔击·月",C611="驱夜断愁"),AB611)</f>
        <v>1</v>
      </c>
      <c r="CQ611" s="115" t="b">
        <f ca="1">OR(CP611,AND(CP610,RAND()&lt;模拟模式!$U$23))</f>
        <v>1</v>
      </c>
      <c r="CR611" s="115" t="b">
        <f ca="1">AND(模拟模式!$S$7="日月齐光",OR(C611="幽月轮1",C611="幽月轮2",C611="幽月轮3",CR610),NOT(OR(C611="赤日轮1",C611="赤日轮2",C611="赤日轮3")))</f>
        <v>0</v>
      </c>
      <c r="CS611" s="115" t="b">
        <f ca="1">AND(模拟模式!$S$7="日月齐光",OR(C611="赤日轮1",C611="赤日轮2",C611="赤日轮3",CS610),NOT(OR(C611="幽月轮1",C611="幽月轮2",C611="幽月轮3")))</f>
        <v>0</v>
      </c>
      <c r="CT611" s="115">
        <f t="shared" ca="1" si="590"/>
        <v>6.9375000000000124</v>
      </c>
      <c r="CU611" s="115" t="b">
        <f ca="1">AND(模拟模式!$K$10="阴阳往极",CT610=0,RAND()&lt;IF(C611="净世破魔击·月",0.0275*7/3,IF(C611="净世破魔击·日",0.0275*3/3,0.0275*2/3)))</f>
        <v>0</v>
      </c>
      <c r="CV611" s="115">
        <f t="shared" ca="1" si="591"/>
        <v>0</v>
      </c>
      <c r="CW611" s="115">
        <f t="shared" ca="1" si="592"/>
        <v>4.1549999999999994</v>
      </c>
      <c r="CX611" s="115">
        <f t="shared" ca="1" si="593"/>
        <v>2.3099999999999996</v>
      </c>
      <c r="CY611" s="115">
        <f ca="1">MAX(IF($C611="驱夜断愁",IF(模拟模式!$R$7="万念俱寂",6,45),CY610-$F$4),0)</f>
        <v>3.2324999999999995</v>
      </c>
      <c r="CZ611" s="115">
        <f t="shared" ca="1" si="567"/>
        <v>0</v>
      </c>
      <c r="DA611" s="115">
        <f ca="1">IF(模拟模式!$N$7="日月同辉",IF(DB610=2,0,MIN(6,IF(AND(OR(C611="赤日轮1",C611="赤日轮2",C611="赤日轮3",C611="幽月轮1",C611="幽月轮2",C611="幽月轮3"),AB611=1),DA610+1,DA610))),0)</f>
        <v>3</v>
      </c>
      <c r="DB611" s="115">
        <f t="shared" ca="1" si="568"/>
        <v>0</v>
      </c>
      <c r="DC611" s="115"/>
      <c r="DD611" s="115"/>
      <c r="DE611" s="115"/>
      <c r="DF611" s="115"/>
      <c r="DG611" s="115"/>
      <c r="DH611" s="115"/>
      <c r="DI611" s="115"/>
      <c r="DJ611" s="115"/>
      <c r="DK611" s="115"/>
      <c r="DL611" s="115"/>
      <c r="DM611" s="115"/>
    </row>
    <row r="612" spans="2:117" x14ac:dyDescent="0.2">
      <c r="B612" s="117">
        <f t="shared" si="569"/>
        <v>539.66250000000593</v>
      </c>
      <c r="C612" s="167" t="str">
        <f t="shared" ca="1" si="538"/>
        <v>净世破魔击·日</v>
      </c>
      <c r="D612" s="115">
        <f ca="1">IF(C612="赤日轮1",1,IF(C612="赤日轮2",2,IF(C612="赤日轮3",3,IF(C612="幽月轮1",4,IF(C612="幽月轮2",5,IF(C612="幽月轮3",6,IF(C612="烈日斩",7,IF(C612="银月斩",8,IF(C612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612="净世破魔击·月",17,IF(C612="驱夜断愁",18,0)))))))))))</f>
        <v>9</v>
      </c>
      <c r="E612" s="115">
        <f ca="1">IF(AND(CU612,OR(C612="幽月轮1",C612="幽月轮2",C612="幽月轮3",C612="银月斩",C612="驱夜断愁",C612="净世破魔击·月")),100,MIN(IF(OR(CN612,BE612),0,IF(OR($C612="赤日轮1",$C612="赤日轮2",$C612="赤日轮3"),E611+20+IF(模拟模式!$I$7="日月凌天",4,0)+IF(CR611,20,0),IF($C612="烈日斩",E611+40,IF($C612="驱夜断愁",IF(模拟模式!$R$7="万念俱寂",E611+20,E611+60),IF($C612="净世破魔击·月",IF(OR(DB611&gt;0,CV611&gt;0),100,IF(模拟模式!$M$7="辉耀红尘",E611+20,E611)),IF($C612="净世破魔击·日",E611-100,E611)))))),100))</f>
        <v>0</v>
      </c>
      <c r="F612" s="115">
        <f ca="1">IF(AND(CU612,OR(C612="赤日轮1",C612="赤日轮2",C612="赤日轮3",C612="烈日斩",C612="净世破魔击·日")),100,MIN(IF(CO612,0,IF(OR($C612="幽月轮1",$C612="幽月轮2",$C612="幽月轮3"),F611+20+IF(模拟模式!$I$7="日月凌天",4,0)+IF(CS611,20,0),IF($C612="银月斩",F611+40+IF(模拟模式!$X$12=1,5,0),IF($C612="驱夜断愁",IF(模拟模式!$R$7="万念俱寂",F611+20,F611+60),IF($C612="净世破魔击·月",IF(模拟模式!$M$7="辉耀红尘",F611-80,F611-100),IF(AND(C612="净世破魔击·日",OR(DB611&gt;0,CV611&gt;0)),100,F611)))))),100))</f>
        <v>20</v>
      </c>
      <c r="G612" s="117">
        <f ca="1">('模拟-全程加成'!$E$3+'模拟-全程加成'!$E$4+'模拟-全程加成'!$E$5+('模拟-全程加成'!$C$6-'模拟-全程加成'!$C$3)*系数!$B$9+BS612*23)*(1+'模拟-全程加成'!$F$4+'模拟-全程加成'!$F$5+BJ612*10%+BM612*20%+BP612*4%+CG612*30%)+$F$7*系数!$B$12</f>
        <v>20583.127400000001</v>
      </c>
      <c r="H612" s="45">
        <f ca="1">'模拟-全程加成'!$H$3+'模拟-全程加成'!$H$4+'模拟-全程加成'!$H$5+('模拟-全程加成'!$G$4+'模拟-全程加成'!$G$5+('模拟-全程加成'!$C$6-'模拟-全程加成'!$C$3)*系数!$B$13)/系数!$B$3+LOOKUP(D612,'模拟-单技能数据'!$A$2:$A$19,'模拟-单技能数据'!$K$2:$K$19)+BG612*10%+IF(BV612&gt;0,378,0)</f>
        <v>0.54185145527300216</v>
      </c>
      <c r="I612" s="45">
        <f ca="1">'模拟-全程加成'!$J$3+'模拟-全程加成'!$J$4+'模拟-全程加成'!$J$5+('模拟-全程加成'!$I$4+'模拟-全程加成'!$I$5)/系数!$B$4+LOOKUP(D612,'模拟-单技能数据'!$A$2:$A$19,'模拟-单技能数据'!$L$2:$L$19)+BG612*10%</f>
        <v>2.162482885499879</v>
      </c>
      <c r="J612" s="45">
        <f ca="1">(('模拟-全程加成'!$K$3+'模拟-全程加成'!$K$4+'模拟-全程加成'!$K$5+('模拟-全程加成'!$C$6-'模拟-全程加成'!$C$3)*系数!$B$10+IF(BV612&gt;0,882,0)+IF(BY612&gt;0,1831,0))*(1+'模拟-全程加成'!$L$4+'模拟-全程加成'!$L$5+CC612*20%))/系数!$B$5</f>
        <v>0.69723220422048726</v>
      </c>
      <c r="K612" s="119">
        <f ca="1">LOOKUP(D612,'模拟-单技能数据'!$A$2:$A$19,'模拟-单技能数据'!$J$2:$J$19)+IF(CM612,60%,0)+IF(DB611-DB612&gt;0,30%,0)+IF(OR(AND(OR(C612="赤日轮1",C612="赤日轮2",C612="赤日轮3"),CR612),AND(OR(C612="幽月轮1",C612="幽月轮2",C612="幽月轮3"),CS612)),35%,0)+CJ612</f>
        <v>0.8</v>
      </c>
      <c r="L612" s="119">
        <f ca="1">IF(AND(C612="烈日斩",模拟模式!$X$11=1),10%,0)+IF(AND(C612="驱夜断愁",AB612=1),30%,0)</f>
        <v>0</v>
      </c>
      <c r="M612" s="45">
        <f t="shared" ca="1" si="539"/>
        <v>0.54185145527300216</v>
      </c>
      <c r="N612" s="45">
        <f t="shared" ca="1" si="540"/>
        <v>0.40424854472699789</v>
      </c>
      <c r="O612" s="46">
        <f t="shared" ca="1" si="570"/>
        <v>0.82764694316333609</v>
      </c>
      <c r="P612" s="46" t="str">
        <f t="shared" ca="1" si="541"/>
        <v>命</v>
      </c>
      <c r="Q612" s="45">
        <f t="shared" ca="1" si="542"/>
        <v>1</v>
      </c>
      <c r="R612" s="117">
        <f ca="1">模拟模式!$E$20*(1-IF(模拟模式!$J$19="有",0.15,0))*(1-IF(模拟模式!$K$19="有",0.3,0)-IF(CQ612,0.5,0))</f>
        <v>843.02999999999975</v>
      </c>
      <c r="S612" s="45">
        <f ca="1">R612/(R612+(185*模拟模式!$E$22-16800)*4.08224)</f>
        <v>8.389626085980037E-2</v>
      </c>
      <c r="T612" s="45" t="str">
        <f ca="1">LOOKUP(D612,'模拟-单技能数据'!$A$2:$A$19,'模拟-单技能数据'!$H$2:$H$19)</f>
        <v>阳</v>
      </c>
      <c r="U612" s="119">
        <f t="shared" ca="1" si="543"/>
        <v>0.2</v>
      </c>
      <c r="V612" s="47">
        <f ca="1">(1+L612)*(LOOKUP(D612,'模拟-单技能数据'!$A$2:$A$19,'模拟-单技能数据'!$D$2:$D$19)+G612*LOOKUP(D612,'模拟-单技能数据'!$A$2:$A$19,'模拟-单技能数据'!$F$2:$F$19))*(1+J612)*(1+K612)*(1-S612)*(1+U612)*Q612*LOOKUP(D612,'模拟-单技能数据'!$A$2:$A$19,'模拟-单技能数据'!$I$2:$I$20)</f>
        <v>90597.625627626709</v>
      </c>
      <c r="W612" s="47">
        <f ca="1">LOOKUP(D612,'模拟-单技能数据'!$A$2:$A$19,'模拟-单技能数据'!$G$2:$G$19)*$I$10</f>
        <v>723.0212870940959</v>
      </c>
      <c r="X612" s="47">
        <f t="shared" ca="1" si="571"/>
        <v>27574.694170325052</v>
      </c>
      <c r="Y612" s="47">
        <f t="shared" ca="1" si="544"/>
        <v>118895.34108504585</v>
      </c>
      <c r="Z612" s="49">
        <f t="shared" ca="1" si="545"/>
        <v>61207633.236246869</v>
      </c>
      <c r="AA612" s="97">
        <f t="shared" ca="1" si="546"/>
        <v>113418.35542815407</v>
      </c>
      <c r="AB612" s="115">
        <f ca="1">IF(OR(C612="赤日轮1",C612="赤日轮2",C612="赤日轮3"),IF(RAND()&lt;模拟模式!$Y$17,1,0),IF(OR(C612="幽月轮1",C612="幽月轮2",C612="幽月轮3"),IF(RAND()&lt;模拟模式!$Y$18,1,0),IF(C612="烈日斩",IF(RAND()&lt;模拟模式!$Y$19,1,0),IF(C612="银月斩",IF(RAND()&lt;模拟模式!$Y$20,1,0),IF(C612="驱夜断愁",IF(RAND()&lt;模拟模式!$Y$21,1,0),IF(C612="净世破魔击·日",IF(RAND()&lt;模拟模式!$Y$22,1,0),IF(C612="净世破魔击·月",IF(RAND()&lt;模拟模式!$Y$23,1,0),0)))))))</f>
        <v>1</v>
      </c>
      <c r="AC612" s="115" t="b">
        <f t="shared" ca="1" si="547"/>
        <v>0</v>
      </c>
      <c r="AD612" s="115" t="b">
        <f t="shared" ca="1" si="548"/>
        <v>1</v>
      </c>
      <c r="AE612" s="115">
        <f t="shared" ca="1" si="549"/>
        <v>3</v>
      </c>
      <c r="AF612" s="47">
        <f ca="1">IF(AC612,('模拟-单技能数据'!$D$20+G612*'模拟-单技能数据'!$F$20)*(1+J612)*(1+'模拟-单技能数据'!$J$20)*(1+U612),0)</f>
        <v>0</v>
      </c>
      <c r="AG612" s="61">
        <f t="shared" ca="1" si="550"/>
        <v>0.64185145527300214</v>
      </c>
      <c r="AH612" s="61">
        <f t="shared" ca="1" si="551"/>
        <v>2.2624828854998791</v>
      </c>
      <c r="AI612" s="62">
        <f t="shared" ca="1" si="572"/>
        <v>0.61288745271750833</v>
      </c>
      <c r="AJ612" s="47">
        <f ca="1">IF(AD612,IF(AI612&lt;$F$10,0,IF(AI612&lt;$F$10+$F$11,0.25,IF(AI612&lt;$F$10+$F$11+AG612,AH612,1)))*IF(AF612&gt;0,AF612,IF(AF611&gt;0,AF611,IF(AF610&gt;0,AF610,IF(AF609&gt;0,AF609,IF(AF608&gt;0,AF608,IF(AF607&gt;0,AF607,IF(AF606&gt;0,AF606,IF(AF605&gt;0,AF605,IF(AF604&gt;0,AF604,IF(AF602&gt;0,AF602,IF(AF601&gt;0,AF601,IF(AF600&gt;0,AF600,0)))))))))))),0)*(1-$S612)*'模拟-单技能数据'!$I$20</f>
        <v>9218.9345386263849</v>
      </c>
      <c r="AK612" s="115" t="b">
        <f t="shared" ca="1" si="552"/>
        <v>1</v>
      </c>
      <c r="AL612" s="115" t="b">
        <f t="shared" ca="1" si="553"/>
        <v>0</v>
      </c>
      <c r="AM612" s="115">
        <f t="shared" ca="1" si="554"/>
        <v>6</v>
      </c>
      <c r="AN612" s="47">
        <f ca="1">IF(AK612,('模拟-单技能数据'!$D$21+G612*'模拟-单技能数据'!$F$21)*(1+J612)*(1+'模拟-单技能数据'!$J$21)*(1+U612),0)</f>
        <v>12136.56601728573</v>
      </c>
      <c r="AO612" s="61">
        <f ca="1">IF(AN612&gt;0,M612-'模拟-单技能数据'!$K$10,AO611)</f>
        <v>0.42185145527300216</v>
      </c>
      <c r="AP612" s="61">
        <f ca="1">IF(AN612&gt;0,I612-'模拟-单技能数据'!$L$10,AP611)</f>
        <v>2.162482885499879</v>
      </c>
      <c r="AQ612" s="63">
        <f t="shared" ca="1" si="573"/>
        <v>0.90426523647344836</v>
      </c>
      <c r="AR612" s="64">
        <f ca="1">IF(AL612,IF(AQ612&lt;$F$10,0,IF(AQ612&lt;$F$10+$F$11,0.25,IF(AQ612&lt;$F$10+$F$11+AO612,AP612,1)))*IF(AN612&gt;0,AN612,IF(AN611&gt;0,AN611,IF(AN610&gt;0,AN610,IF(AN609&gt;0,AN609,IF(AN608&gt;0,AN608,IF(AN607&gt;0,AN607,IF(AN606&gt;0,AN606,IF(AN605&gt;0,AN605,IF(AN604&gt;0,AN604,IF(AN602&gt;0,AN602,IF(AN601&gt;0,AN601,IF(AN600&gt;0,AN600,0)))))))))))),0)*(1-$S612)*'模拟-单技能数据'!$I$21</f>
        <v>0</v>
      </c>
      <c r="AS612" s="61">
        <f ca="1">IF(OR(C612="净世破魔击·日",C612="净世破魔击·月"),M612-'模拟-单技能数据'!$K$10,0)</f>
        <v>0.42185145527300216</v>
      </c>
      <c r="AT612" s="61">
        <f ca="1">IF(OR(C612="净世破魔击·日",C612="净世破魔击·月"),I612-'模拟-单技能数据'!$L$10,0)</f>
        <v>2.162482885499879</v>
      </c>
      <c r="AU612" s="62">
        <f t="shared" ca="1" si="574"/>
        <v>0.13818947431987327</v>
      </c>
      <c r="AV612" s="64">
        <f ca="1">IF(AS612&gt;0,('模拟-单技能数据'!$D$22+G612*'模拟-单技能数据'!$F$22)*(1+J612)*(1-S612)*IF(AU612&lt;$F$10,0,IF(AU612&lt;$F$10+$F$11,0.25,IF(AU612&lt;$F$10+$F$11+AS612,AT612,1)))*(1+U612),0)*'模拟-单技能数据'!$I$22</f>
        <v>18355.759631698667</v>
      </c>
      <c r="AW612" s="108">
        <f t="shared" ca="1" si="575"/>
        <v>0</v>
      </c>
      <c r="AX612" s="108" t="b">
        <f ca="1">AND(模拟模式!$P$10="有",AW611=0,RAND()&lt;IF(C612="净世破魔击·月",0.1*8/3,IF(C612="净世破魔击·日",0.1*4/3,0.1*2/3)))</f>
        <v>0</v>
      </c>
      <c r="AY612" s="47">
        <f ca="1">IF(AX612,(18+G612*0.722)*(1+J612)*(1-S612)*(1+$I$4)*IF(P612="会",'模拟-全程加成'!$J$3+'模拟-全程加成'!$J$4+'模拟-全程加成'!$J$5+('模拟-全程加成'!$I$4+'模拟-全程加成'!$I$5)/系数!$B$4+BG612*10%,IF(P612="命",1,IF(P612="识",0.25,0))),0)</f>
        <v>0</v>
      </c>
      <c r="AZ612" s="108">
        <f t="shared" si="576"/>
        <v>8.0075000000000074</v>
      </c>
      <c r="BA612" s="108" t="b">
        <f>AND(模拟模式!$Q$10="有",AZ611=0)</f>
        <v>0</v>
      </c>
      <c r="BB612" s="140">
        <f>IF(BA612,(0+G612*0.287)*(1+J612)*(1-S612)*(1+$I$4)*IF(P612="会",'模拟-全程加成'!$J$3+'模拟-全程加成'!$J$4+'模拟-全程加成'!$J$5+('模拟-全程加成'!$I$4+'模拟-全程加成'!$I$5)/系数!$B$4+BG612*10%,IF(P612="命",1,IF(P612="识",0.25,0))),0)</f>
        <v>0</v>
      </c>
      <c r="BC612" s="115" t="b">
        <f ca="1">AND(模拟模式!$R$7="伏明众生",E612=60,F612=20,DA612&lt;5,CZ611&lt;$F$4)</f>
        <v>0</v>
      </c>
      <c r="BD612" s="115">
        <f t="shared" ca="1" si="555"/>
        <v>0</v>
      </c>
      <c r="BE612" s="115" t="b">
        <f t="shared" ca="1" si="556"/>
        <v>0</v>
      </c>
      <c r="BF612" s="47">
        <f ca="1">IF(BC612,4*('模拟-单技能数据'!$D$24+G612*'模拟-单技能数据'!$F$24)*(1+J612)*(1+'模拟-单技能数据'!$J$24)*(1-S612)*(1+$I$3)*(('模拟-全程加成'!$J$3+'模拟-全程加成'!$J$4+'模拟-全程加成'!$J$5+('模拟-全程加成'!$I$4+'模拟-全程加成'!$I$5)/系数!$B$4+BG612*10%)*('模拟-全程加成'!$J$3+'模拟-全程加成'!$J$4+'模拟-全程加成'!$J$5+('模拟-全程加成'!$I$4+'模拟-全程加成'!$I$5)/系数!$B$4+BG612*10%)+(1-('模拟-全程加成'!$J$3+'模拟-全程加成'!$J$4+'模拟-全程加成'!$J$5+('模拟-全程加成'!$I$4+'模拟-全程加成'!$I$5)/系数!$B$4+BG612*10%)-$F$10-$F$11)+F598*0.25),0)*'模拟-单技能数据'!$I$24</f>
        <v>0</v>
      </c>
      <c r="BG612" s="115" t="b">
        <f ca="1">OR(AND(OR(C612="烈日斩",C612="银月斩"),模拟模式!$I$7="净身明礼"),AND(C612="净世破魔击·日",模拟模式!$J$7="洞若观火"),AND(C613="净世破魔击·月",模拟模式!$J$7="洞若观火"),AB612=1)</f>
        <v>1</v>
      </c>
      <c r="BH612" s="115" t="b">
        <f t="shared" ca="1" si="577"/>
        <v>0</v>
      </c>
      <c r="BI612" s="115">
        <f t="shared" ca="1" si="557"/>
        <v>0</v>
      </c>
      <c r="BJ612" s="115" t="b">
        <f t="shared" ca="1" si="558"/>
        <v>0</v>
      </c>
      <c r="BK612" s="115" t="b">
        <f ca="1">AND(C612="驱夜断愁",模拟模式!$P$7="天地诛戮")</f>
        <v>0</v>
      </c>
      <c r="BL612" s="57">
        <f t="shared" ca="1" si="559"/>
        <v>16.310000000000002</v>
      </c>
      <c r="BM612" s="115" t="b">
        <f t="shared" ca="1" si="560"/>
        <v>1</v>
      </c>
      <c r="BN612" s="115" t="b">
        <f ca="1">AND(OR(C612="赤日轮1",C612="赤日轮2",C612="赤日轮3",C612="幽月轮1",C612="幽月轮2",C612="幽月轮3"),AB612=1,模拟模式!$L$7="明光恒照")</f>
        <v>0</v>
      </c>
      <c r="BO612" s="117">
        <f t="shared" ca="1" si="561"/>
        <v>28.155000000000001</v>
      </c>
      <c r="BP612" s="115">
        <f t="shared" ca="1" si="578"/>
        <v>6</v>
      </c>
      <c r="BQ612" s="115" t="b">
        <f>模拟模式!$K$10="2600·水"</f>
        <v>0</v>
      </c>
      <c r="BR612" s="117">
        <f t="shared" si="579"/>
        <v>0</v>
      </c>
      <c r="BS612" s="115">
        <f t="shared" si="580"/>
        <v>0</v>
      </c>
      <c r="BT612" s="115">
        <f t="shared" ca="1" si="581"/>
        <v>0</v>
      </c>
      <c r="BU612" s="115" t="b">
        <f ca="1">AND(模拟模式!$K$10="2300·雷",BT611=0,RAND()&lt;IF(C612="净世破魔击·月",5*0.05*2/3,IF(C612="净世破魔击·日",3*0.05*2/3,0.05*2*2/3)))</f>
        <v>0</v>
      </c>
      <c r="BV612" s="115">
        <f t="shared" ca="1" si="582"/>
        <v>0</v>
      </c>
      <c r="BW612" s="115">
        <f t="shared" ca="1" si="583"/>
        <v>15.794999999999305</v>
      </c>
      <c r="BX612" s="164" t="b">
        <f t="shared" ca="1" si="584"/>
        <v>0</v>
      </c>
      <c r="BY612" s="115">
        <f t="shared" ca="1" si="585"/>
        <v>0</v>
      </c>
      <c r="BZ612" s="115">
        <f>IF(OR(模拟模式!$P$16="10人团",模拟模式!$P$16="25人团"),IF(B612/30&gt;CA611,1,0),0)</f>
        <v>0</v>
      </c>
      <c r="CA612" s="115">
        <f t="shared" si="562"/>
        <v>0</v>
      </c>
      <c r="CB612" s="115">
        <f ca="1">IF(BZ612=1,IF(模拟模式!$P$16="10人团",15,0)+IF(模拟模式!$P$16="25人团",IF(RAND()&lt;0.6,15,0)),MAX(0,CB611-$F$4))</f>
        <v>0</v>
      </c>
      <c r="CC612" s="115" t="b">
        <f t="shared" ca="1" si="563"/>
        <v>0</v>
      </c>
      <c r="CD612" s="115">
        <f>IF(模拟模式!$Q$16="1个",IF(B612/40&gt;CE611,1,0),0)</f>
        <v>0</v>
      </c>
      <c r="CE612" s="115">
        <f t="shared" si="564"/>
        <v>0</v>
      </c>
      <c r="CF612" s="115">
        <f>IF(OR(CD612=1,模拟模式!$Q$16="2个"),20,MAX(0,CF611-$F$4))</f>
        <v>0</v>
      </c>
      <c r="CG612" s="115" t="b">
        <f t="shared" si="565"/>
        <v>0</v>
      </c>
      <c r="CH612" s="115">
        <f t="shared" ca="1" si="586"/>
        <v>15.240000000000009</v>
      </c>
      <c r="CI612" s="115" t="b">
        <f t="shared" ca="1" si="587"/>
        <v>0</v>
      </c>
      <c r="CJ612" s="119">
        <f t="shared" ca="1" si="588"/>
        <v>0</v>
      </c>
      <c r="CK612" s="115">
        <f t="shared" ca="1" si="589"/>
        <v>0</v>
      </c>
      <c r="CL612" s="115" t="b">
        <f ca="1">AND(模拟模式!$S$7="驱夷逐法",OR(AND(C612="净世破魔击·月",E611&gt;59),AND(C612="净世破魔击·日",F611&gt;59)))</f>
        <v>0</v>
      </c>
      <c r="CM612" s="115" t="b">
        <f ca="1">OR(CL612,AND(C612="净世破魔击·日",CL611,RAND()&lt;模拟模式!$U$23))</f>
        <v>1</v>
      </c>
      <c r="CN612" s="115" t="b">
        <f ca="1">IF(模拟模式!$M$7="辉耀红尘",AND(C612="净世破魔击·月",CL612,CV612=0,E611&lt;80),AND(C612="净世破魔击·月",CL612,E611&lt;100))</f>
        <v>0</v>
      </c>
      <c r="CO612" s="115" t="b">
        <f t="shared" ca="1" si="566"/>
        <v>0</v>
      </c>
      <c r="CP612" s="115" t="b">
        <f ca="1">AND(模拟模式!$O$7="用晦而明",OR(C612="净世破魔击·日",C612="净世破魔击·月",C612="驱夜断愁"),AB612)</f>
        <v>1</v>
      </c>
      <c r="CQ612" s="115" t="b">
        <f ca="1">OR(CP612,AND(CP611,RAND()&lt;模拟模式!$U$23))</f>
        <v>1</v>
      </c>
      <c r="CR612" s="115" t="b">
        <f ca="1">AND(模拟模式!$S$7="日月齐光",OR(C612="幽月轮1",C612="幽月轮2",C612="幽月轮3",CR611),NOT(OR(C612="赤日轮1",C612="赤日轮2",C612="赤日轮3")))</f>
        <v>0</v>
      </c>
      <c r="CS612" s="115" t="b">
        <f ca="1">AND(模拟模式!$S$7="日月齐光",OR(C612="赤日轮1",C612="赤日轮2",C612="赤日轮3",CS611),NOT(OR(C612="幽月轮1",C612="幽月轮2",C612="幽月轮3")))</f>
        <v>0</v>
      </c>
      <c r="CT612" s="115">
        <f t="shared" ca="1" si="590"/>
        <v>6.0150000000000121</v>
      </c>
      <c r="CU612" s="115" t="b">
        <f ca="1">AND(模拟模式!$K$10="阴阳往极",CT611=0,RAND()&lt;IF(C612="净世破魔击·月",0.0275*7/3,IF(C612="净世破魔击·日",0.0275*3/3,0.0275*2/3)))</f>
        <v>0</v>
      </c>
      <c r="CV612" s="115">
        <f t="shared" ca="1" si="591"/>
        <v>0</v>
      </c>
      <c r="CW612" s="115">
        <f t="shared" ca="1" si="592"/>
        <v>3.2324999999999995</v>
      </c>
      <c r="CX612" s="115">
        <f t="shared" ca="1" si="593"/>
        <v>1.3874999999999997</v>
      </c>
      <c r="CY612" s="115">
        <f ca="1">MAX(IF($C612="驱夜断愁",IF(模拟模式!$R$7="万念俱寂",6,45),CY611-$F$4),0)</f>
        <v>2.3099999999999996</v>
      </c>
      <c r="CZ612" s="115">
        <f t="shared" ca="1" si="567"/>
        <v>0</v>
      </c>
      <c r="DA612" s="115">
        <f ca="1">IF(模拟模式!$N$7="日月同辉",IF(DB611=2,0,MIN(6,IF(AND(OR(C612="赤日轮1",C612="赤日轮2",C612="赤日轮3",C612="幽月轮1",C612="幽月轮2",C612="幽月轮3"),AB612=1),DA611+1,DA611))),0)</f>
        <v>3</v>
      </c>
      <c r="DB612" s="115">
        <f t="shared" ca="1" si="568"/>
        <v>0</v>
      </c>
      <c r="DC612" s="115"/>
      <c r="DD612" s="115"/>
      <c r="DE612" s="115"/>
      <c r="DF612" s="115"/>
      <c r="DG612" s="115"/>
      <c r="DH612" s="115"/>
      <c r="DI612" s="115"/>
      <c r="DJ612" s="115"/>
      <c r="DK612" s="115"/>
      <c r="DL612" s="115"/>
      <c r="DM612" s="115"/>
    </row>
    <row r="613" spans="2:117" x14ac:dyDescent="0.2">
      <c r="B613" s="117">
        <f t="shared" si="569"/>
        <v>540.58500000000595</v>
      </c>
      <c r="C613" s="167" t="str">
        <f t="shared" ca="1" si="538"/>
        <v>赤日轮1</v>
      </c>
      <c r="D613" s="115">
        <f ca="1">IF(C613="赤日轮1",1,IF(C613="赤日轮2",2,IF(C613="赤日轮3",3,IF(C613="幽月轮1",4,IF(C613="幽月轮2",5,IF(C613="幽月轮3",6,IF(C613="烈日斩",7,IF(C613="银月斩",8,IF(C613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613="净世破魔击·月",17,IF(C613="驱夜断愁",18,0)))))))))))</f>
        <v>1</v>
      </c>
      <c r="E613" s="115">
        <f ca="1">IF(AND(CU613,OR(C613="幽月轮1",C613="幽月轮2",C613="幽月轮3",C613="银月斩",C613="驱夜断愁",C613="净世破魔击·月")),100,MIN(IF(OR(CN613,BE613),0,IF(OR($C613="赤日轮1",$C613="赤日轮2",$C613="赤日轮3"),E612+20+IF(模拟模式!$I$7="日月凌天",4,0)+IF(CR612,20,0),IF($C613="烈日斩",E612+40,IF($C613="驱夜断愁",IF(模拟模式!$R$7="万念俱寂",E612+20,E612+60),IF($C613="净世破魔击·月",IF(OR(DB612&gt;0,CV612&gt;0),100,IF(模拟模式!$M$7="辉耀红尘",E612+20,E612)),IF($C613="净世破魔击·日",E612-100,E612)))))),100))</f>
        <v>20</v>
      </c>
      <c r="F613" s="115">
        <f ca="1">IF(AND(CU613,OR(C613="赤日轮1",C613="赤日轮2",C613="赤日轮3",C613="烈日斩",C613="净世破魔击·日")),100,MIN(IF(CO613,0,IF(OR($C613="幽月轮1",$C613="幽月轮2",$C613="幽月轮3"),F612+20+IF(模拟模式!$I$7="日月凌天",4,0)+IF(CS612,20,0),IF($C613="银月斩",F612+40+IF(模拟模式!$X$12=1,5,0),IF($C613="驱夜断愁",IF(模拟模式!$R$7="万念俱寂",F612+20,F612+60),IF($C613="净世破魔击·月",IF(模拟模式!$M$7="辉耀红尘",F612-80,F612-100),IF(AND(C613="净世破魔击·日",OR(DB612&gt;0,CV612&gt;0)),100,F612)))))),100))</f>
        <v>20</v>
      </c>
      <c r="G613" s="117">
        <f ca="1">('模拟-全程加成'!$E$3+'模拟-全程加成'!$E$4+'模拟-全程加成'!$E$5+('模拟-全程加成'!$C$6-'模拟-全程加成'!$C$3)*系数!$B$9+BS613*23)*(1+'模拟-全程加成'!$F$4+'模拟-全程加成'!$F$5+BJ613*10%+BM613*20%+BP613*4%+CG613*30%)+$F$7*系数!$B$12</f>
        <v>20583.127400000001</v>
      </c>
      <c r="H613" s="45">
        <f ca="1">'模拟-全程加成'!$H$3+'模拟-全程加成'!$H$4+'模拟-全程加成'!$H$5+('模拟-全程加成'!$G$4+'模拟-全程加成'!$G$5+('模拟-全程加成'!$C$6-'模拟-全程加成'!$C$3)*系数!$B$13)/系数!$B$3+LOOKUP(D613,'模拟-单技能数据'!$A$2:$A$19,'模拟-单技能数据'!$K$2:$K$19)+BG613*10%+IF(BV613&gt;0,378,0)</f>
        <v>0.4618514552730022</v>
      </c>
      <c r="I613" s="45">
        <f ca="1">'模拟-全程加成'!$J$3+'模拟-全程加成'!$J$4+'模拟-全程加成'!$J$5+('模拟-全程加成'!$I$4+'模拟-全程加成'!$I$5)/系数!$B$4+LOOKUP(D613,'模拟-单技能数据'!$A$2:$A$19,'模拟-单技能数据'!$L$2:$L$19)+BG613*10%</f>
        <v>2.162482885499879</v>
      </c>
      <c r="J613" s="45">
        <f ca="1">(('模拟-全程加成'!$K$3+'模拟-全程加成'!$K$4+'模拟-全程加成'!$K$5+('模拟-全程加成'!$C$6-'模拟-全程加成'!$C$3)*系数!$B$10+IF(BV613&gt;0,882,0)+IF(BY613&gt;0,1831,0))*(1+'模拟-全程加成'!$L$4+'模拟-全程加成'!$L$5+CC613*20%))/系数!$B$5</f>
        <v>0.69723220422048726</v>
      </c>
      <c r="K613" s="119">
        <f ca="1">LOOKUP(D613,'模拟-单技能数据'!$A$2:$A$19,'模拟-单技能数据'!$J$2:$J$19)+IF(CM613,60%,0)+IF(DB612-DB613&gt;0,30%,0)+IF(OR(AND(OR(C613="赤日轮1",C613="赤日轮2",C613="赤日轮3"),CR613),AND(OR(C613="幽月轮1",C613="幽月轮2",C613="幽月轮3"),CS613)),35%,0)+CJ613</f>
        <v>0.12</v>
      </c>
      <c r="L613" s="119">
        <f ca="1">IF(AND(C613="烈日斩",模拟模式!$X$11=1),10%,0)+IF(AND(C613="驱夜断愁",AB613=1),30%,0)</f>
        <v>0</v>
      </c>
      <c r="M613" s="45">
        <f t="shared" ca="1" si="539"/>
        <v>0.4618514552730022</v>
      </c>
      <c r="N613" s="45">
        <f t="shared" ca="1" si="540"/>
        <v>0.48424854472699785</v>
      </c>
      <c r="O613" s="46">
        <f t="shared" ca="1" si="570"/>
        <v>0.2776220750732894</v>
      </c>
      <c r="P613" s="46" t="str">
        <f t="shared" ca="1" si="541"/>
        <v>会</v>
      </c>
      <c r="Q613" s="45">
        <f t="shared" ca="1" si="542"/>
        <v>2.162482885499879</v>
      </c>
      <c r="R613" s="117">
        <f ca="1">模拟模式!$E$20*(1-IF(模拟模式!$J$19="有",0.15,0))*(1-IF(模拟模式!$K$19="有",0.3,0)-IF(CQ613,0.5,0))</f>
        <v>843.02999999999975</v>
      </c>
      <c r="S613" s="45">
        <f ca="1">R613/(R613+(185*模拟模式!$E$22-16800)*4.08224)</f>
        <v>8.389626085980037E-2</v>
      </c>
      <c r="T613" s="45" t="str">
        <f ca="1">LOOKUP(D613,'模拟-单技能数据'!$A$2:$A$19,'模拟-单技能数据'!$H$2:$H$19)</f>
        <v>阳</v>
      </c>
      <c r="U613" s="119">
        <f t="shared" ca="1" si="543"/>
        <v>0.2</v>
      </c>
      <c r="V613" s="47">
        <f ca="1">(1+L613)*(LOOKUP(D613,'模拟-单技能数据'!$A$2:$A$19,'模拟-单技能数据'!$D$2:$D$19)+G613*LOOKUP(D613,'模拟-单技能数据'!$A$2:$A$19,'模拟-单技能数据'!$F$2:$F$19))*(1+J613)*(1+K613)*(1-S613)*(1+U613)*Q613*LOOKUP(D613,'模拟-单技能数据'!$A$2:$A$19,'模拟-单技能数据'!$I$2:$I$20)</f>
        <v>54482.562593809358</v>
      </c>
      <c r="W613" s="47">
        <f ca="1">LOOKUP(D613,'模拟-单技能数据'!$A$2:$A$19,'模拟-单技能数据'!$G$2:$G$19)*$I$10</f>
        <v>361.51064354704795</v>
      </c>
      <c r="X613" s="47">
        <f t="shared" ca="1" si="571"/>
        <v>24043.249177625272</v>
      </c>
      <c r="Y613" s="47">
        <f t="shared" ca="1" si="544"/>
        <v>78887.322414981682</v>
      </c>
      <c r="Z613" s="49">
        <f t="shared" ca="1" si="545"/>
        <v>61286520.558661848</v>
      </c>
      <c r="AA613" s="97">
        <f t="shared" ca="1" si="546"/>
        <v>113370.73829029879</v>
      </c>
      <c r="AB613" s="115">
        <f ca="1">IF(OR(C613="赤日轮1",C613="赤日轮2",C613="赤日轮3"),IF(RAND()&lt;模拟模式!$Y$17,1,0),IF(OR(C613="幽月轮1",C613="幽月轮2",C613="幽月轮3"),IF(RAND()&lt;模拟模式!$Y$18,1,0),IF(C613="烈日斩",IF(RAND()&lt;模拟模式!$Y$19,1,0),IF(C613="银月斩",IF(RAND()&lt;模拟模式!$Y$20,1,0),IF(C613="驱夜断愁",IF(RAND()&lt;模拟模式!$Y$21,1,0),IF(C613="净世破魔击·日",IF(RAND()&lt;模拟模式!$Y$22,1,0),IF(C613="净世破魔击·月",IF(RAND()&lt;模拟模式!$Y$23,1,0),0)))))))</f>
        <v>1</v>
      </c>
      <c r="AC613" s="115" t="b">
        <f t="shared" ca="1" si="547"/>
        <v>0</v>
      </c>
      <c r="AD613" s="115" t="b">
        <f t="shared" ca="1" si="548"/>
        <v>0</v>
      </c>
      <c r="AE613" s="115">
        <f t="shared" ca="1" si="549"/>
        <v>3</v>
      </c>
      <c r="AF613" s="47">
        <f ca="1">IF(AC613,('模拟-单技能数据'!$D$20+G613*'模拟-单技能数据'!$F$20)*(1+J613)*(1+'模拟-单技能数据'!$J$20)*(1+U613),0)</f>
        <v>0</v>
      </c>
      <c r="AG613" s="61">
        <f t="shared" ca="1" si="550"/>
        <v>0.64185145527300214</v>
      </c>
      <c r="AH613" s="61">
        <f t="shared" ca="1" si="551"/>
        <v>2.2624828854998791</v>
      </c>
      <c r="AI613" s="62">
        <f t="shared" ca="1" si="572"/>
        <v>3.2581371086964128E-2</v>
      </c>
      <c r="AJ613" s="47">
        <f ca="1">IF(AD613,IF(AI613&lt;$F$10,0,IF(AI613&lt;$F$10+$F$11,0.25,IF(AI613&lt;$F$10+$F$11+AG613,AH613,1)))*IF(AF613&gt;0,AF613,IF(AF612&gt;0,AF612,IF(AF611&gt;0,AF611,IF(AF610&gt;0,AF610,IF(AF609&gt;0,AF609,IF(AF608&gt;0,AF608,IF(AF607&gt;0,AF607,IF(AF606&gt;0,AF606,IF(AF605&gt;0,AF605,IF(AF603&gt;0,AF603,IF(AF602&gt;0,AF602,IF(AF601&gt;0,AF601,0)))))))))))),0)*(1-$S613)*'模拟-单技能数据'!$I$20</f>
        <v>0</v>
      </c>
      <c r="AK613" s="115" t="b">
        <f t="shared" ca="1" si="552"/>
        <v>0</v>
      </c>
      <c r="AL613" s="115" t="b">
        <f t="shared" ca="1" si="553"/>
        <v>1</v>
      </c>
      <c r="AM613" s="115">
        <f t="shared" ca="1" si="554"/>
        <v>5</v>
      </c>
      <c r="AN613" s="47">
        <f ca="1">IF(AK613,('模拟-单技能数据'!$D$21+G613*'模拟-单技能数据'!$F$21)*(1+J613)*(1+'模拟-单技能数据'!$J$21)*(1+U613),0)</f>
        <v>0</v>
      </c>
      <c r="AO613" s="61">
        <f ca="1">IF(AN613&gt;0,M613-'模拟-单技能数据'!$K$10,AO612)</f>
        <v>0.42185145527300216</v>
      </c>
      <c r="AP613" s="61">
        <f ca="1">IF(AN613&gt;0,I613-'模拟-单技能数据'!$L$10,AP612)</f>
        <v>2.162482885499879</v>
      </c>
      <c r="AQ613" s="63">
        <f t="shared" ca="1" si="573"/>
        <v>0.33620243329829402</v>
      </c>
      <c r="AR613" s="64">
        <f ca="1">IF(AL613,IF(AQ613&lt;$F$10,0,IF(AQ613&lt;$F$10+$F$11,0.25,IF(AQ613&lt;$F$10+$F$11+AO613,AP613,1)))*IF(AN613&gt;0,AN613,IF(AN612&gt;0,AN612,IF(AN611&gt;0,AN611,IF(AN610&gt;0,AN610,IF(AN609&gt;0,AN609,IF(AN608&gt;0,AN608,IF(AN607&gt;0,AN607,IF(AN606&gt;0,AN606,IF(AN605&gt;0,AN605,IF(AN603&gt;0,AN603,IF(AN602&gt;0,AN602,IF(AN601&gt;0,AN601,0)))))))))))),0)*(1-$S613)*'模拟-单技能数据'!$I$21</f>
        <v>24043.249177625272</v>
      </c>
      <c r="AS613" s="61">
        <f ca="1">IF(OR(C613="净世破魔击·日",C613="净世破魔击·月"),M613-'模拟-单技能数据'!$K$10,0)</f>
        <v>0</v>
      </c>
      <c r="AT613" s="61">
        <f ca="1">IF(OR(C613="净世破魔击·日",C613="净世破魔击·月"),I613-'模拟-单技能数据'!$L$10,0)</f>
        <v>0</v>
      </c>
      <c r="AU613" s="62">
        <f t="shared" ca="1" si="574"/>
        <v>0.28708252363500297</v>
      </c>
      <c r="AV613" s="64">
        <f ca="1">IF(AS613&gt;0,('模拟-单技能数据'!$D$22+G613*'模拟-单技能数据'!$F$22)*(1+J613)*(1-S613)*IF(AU613&lt;$F$10,0,IF(AU613&lt;$F$10+$F$11,0.25,IF(AU613&lt;$F$10+$F$11+AS613,AT613,1)))*(1+U613),0)*'模拟-单技能数据'!$I$22</f>
        <v>0</v>
      </c>
      <c r="AW613" s="108">
        <f t="shared" ca="1" si="575"/>
        <v>0</v>
      </c>
      <c r="AX613" s="108" t="b">
        <f ca="1">AND(模拟模式!$P$10="有",AW612=0,RAND()&lt;IF(C613="净世破魔击·月",0.1*8/3,IF(C613="净世破魔击·日",0.1*4/3,0.1*2/3)))</f>
        <v>0</v>
      </c>
      <c r="AY613" s="47">
        <f ca="1">IF(AX613,(18+G613*0.722)*(1+J613)*(1-S613)*(1+$I$4)*IF(P613="会",'模拟-全程加成'!$J$3+'模拟-全程加成'!$J$4+'模拟-全程加成'!$J$5+('模拟-全程加成'!$I$4+'模拟-全程加成'!$I$5)/系数!$B$4+BG613*10%,IF(P613="命",1,IF(P613="识",0.25,0))),0)</f>
        <v>0</v>
      </c>
      <c r="AZ613" s="108">
        <f t="shared" si="576"/>
        <v>7.0850000000000071</v>
      </c>
      <c r="BA613" s="108" t="b">
        <f>AND(模拟模式!$Q$10="有",AZ612=0)</f>
        <v>0</v>
      </c>
      <c r="BB613" s="140">
        <f>IF(BA613,(0+G613*0.287)*(1+J613)*(1-S613)*(1+$I$4)*IF(P613="会",'模拟-全程加成'!$J$3+'模拟-全程加成'!$J$4+'模拟-全程加成'!$J$5+('模拟-全程加成'!$I$4+'模拟-全程加成'!$I$5)/系数!$B$4+BG613*10%,IF(P613="命",1,IF(P613="识",0.25,0))),0)</f>
        <v>0</v>
      </c>
      <c r="BC613" s="115" t="b">
        <f ca="1">AND(模拟模式!$R$7="伏明众生",E613=60,F613=20,DA613&lt;5,CZ612&lt;$F$4)</f>
        <v>0</v>
      </c>
      <c r="BD613" s="115">
        <f t="shared" ca="1" si="555"/>
        <v>0</v>
      </c>
      <c r="BE613" s="115" t="b">
        <f t="shared" ca="1" si="556"/>
        <v>0</v>
      </c>
      <c r="BF613" s="47">
        <f ca="1">IF(BC613,4*('模拟-单技能数据'!$D$24+G613*'模拟-单技能数据'!$F$24)*(1+J613)*(1+'模拟-单技能数据'!$J$24)*(1-S613)*(1+$I$3)*(('模拟-全程加成'!$J$3+'模拟-全程加成'!$J$4+'模拟-全程加成'!$J$5+('模拟-全程加成'!$I$4+'模拟-全程加成'!$I$5)/系数!$B$4+BG613*10%)*('模拟-全程加成'!$J$3+'模拟-全程加成'!$J$4+'模拟-全程加成'!$J$5+('模拟-全程加成'!$I$4+'模拟-全程加成'!$I$5)/系数!$B$4+BG613*10%)+(1-('模拟-全程加成'!$J$3+'模拟-全程加成'!$J$4+'模拟-全程加成'!$J$5+('模拟-全程加成'!$I$4+'模拟-全程加成'!$I$5)/系数!$B$4+BG613*10%)-$F$10-$F$11)+F599*0.25),0)*'模拟-单技能数据'!$I$24</f>
        <v>0</v>
      </c>
      <c r="BG613" s="115" t="b">
        <f ca="1">OR(AND(OR(C613="烈日斩",C613="银月斩"),模拟模式!$I$7="净身明礼"),AND(C613="净世破魔击·日",模拟模式!$J$7="洞若观火"),AND(C614="净世破魔击·月",模拟模式!$J$7="洞若观火"),AB613=1)</f>
        <v>1</v>
      </c>
      <c r="BH613" s="115" t="b">
        <f t="shared" ca="1" si="577"/>
        <v>0</v>
      </c>
      <c r="BI613" s="115">
        <f t="shared" ca="1" si="557"/>
        <v>0</v>
      </c>
      <c r="BJ613" s="115" t="b">
        <f t="shared" ca="1" si="558"/>
        <v>0</v>
      </c>
      <c r="BK613" s="115" t="b">
        <f ca="1">AND(C613="驱夜断愁",模拟模式!$P$7="天地诛戮")</f>
        <v>0</v>
      </c>
      <c r="BL613" s="57">
        <f t="shared" ca="1" si="559"/>
        <v>15.387500000000003</v>
      </c>
      <c r="BM613" s="115" t="b">
        <f t="shared" ca="1" si="560"/>
        <v>1</v>
      </c>
      <c r="BN613" s="115" t="b">
        <f ca="1">AND(OR(C613="赤日轮1",C613="赤日轮2",C613="赤日轮3",C613="幽月轮1",C613="幽月轮2",C613="幽月轮3"),AB613=1,模拟模式!$L$7="明光恒照")</f>
        <v>1</v>
      </c>
      <c r="BO613" s="117">
        <f t="shared" ca="1" si="561"/>
        <v>30</v>
      </c>
      <c r="BP613" s="115">
        <f t="shared" ca="1" si="578"/>
        <v>6</v>
      </c>
      <c r="BQ613" s="115" t="b">
        <f>模拟模式!$K$10="2600·水"</f>
        <v>0</v>
      </c>
      <c r="BR613" s="117">
        <f t="shared" si="579"/>
        <v>0</v>
      </c>
      <c r="BS613" s="115">
        <f t="shared" si="580"/>
        <v>0</v>
      </c>
      <c r="BT613" s="115">
        <f t="shared" ca="1" si="581"/>
        <v>0</v>
      </c>
      <c r="BU613" s="115" t="b">
        <f ca="1">AND(模拟模式!$K$10="2300·雷",BT612=0,RAND()&lt;IF(C613="净世破魔击·月",5*0.05*2/3,IF(C613="净世破魔击·日",3*0.05*2/3,0.05*2*2/3)))</f>
        <v>0</v>
      </c>
      <c r="BV613" s="115">
        <f t="shared" ca="1" si="582"/>
        <v>0</v>
      </c>
      <c r="BW613" s="115">
        <f t="shared" ca="1" si="583"/>
        <v>14.872499999999306</v>
      </c>
      <c r="BX613" s="164" t="b">
        <f t="shared" ca="1" si="584"/>
        <v>0</v>
      </c>
      <c r="BY613" s="115">
        <f t="shared" ca="1" si="585"/>
        <v>0</v>
      </c>
      <c r="BZ613" s="115">
        <f>IF(OR(模拟模式!$P$16="10人团",模拟模式!$P$16="25人团"),IF(B613/30&gt;CA612,1,0),0)</f>
        <v>0</v>
      </c>
      <c r="CA613" s="115">
        <f t="shared" si="562"/>
        <v>0</v>
      </c>
      <c r="CB613" s="115">
        <f ca="1">IF(BZ613=1,IF(模拟模式!$P$16="10人团",15,0)+IF(模拟模式!$P$16="25人团",IF(RAND()&lt;0.6,15,0)),MAX(0,CB612-$F$4))</f>
        <v>0</v>
      </c>
      <c r="CC613" s="115" t="b">
        <f t="shared" ca="1" si="563"/>
        <v>0</v>
      </c>
      <c r="CD613" s="115">
        <f>IF(模拟模式!$Q$16="1个",IF(B613/40&gt;CE612,1,0),0)</f>
        <v>0</v>
      </c>
      <c r="CE613" s="115">
        <f t="shared" si="564"/>
        <v>0</v>
      </c>
      <c r="CF613" s="115">
        <f>IF(OR(CD613=1,模拟模式!$Q$16="2个"),20,MAX(0,CF612-$F$4))</f>
        <v>0</v>
      </c>
      <c r="CG613" s="115" t="b">
        <f t="shared" si="565"/>
        <v>0</v>
      </c>
      <c r="CH613" s="115">
        <f t="shared" ca="1" si="586"/>
        <v>14.31750000000001</v>
      </c>
      <c r="CI613" s="115" t="b">
        <f t="shared" ca="1" si="587"/>
        <v>0</v>
      </c>
      <c r="CJ613" s="119">
        <f t="shared" ca="1" si="588"/>
        <v>0</v>
      </c>
      <c r="CK613" s="115">
        <f t="shared" ca="1" si="589"/>
        <v>0</v>
      </c>
      <c r="CL613" s="115" t="b">
        <f ca="1">AND(模拟模式!$S$7="驱夷逐法",OR(AND(C613="净世破魔击·月",E612&gt;59),AND(C613="净世破魔击·日",F612&gt;59)))</f>
        <v>0</v>
      </c>
      <c r="CM613" s="115" t="b">
        <f ca="1">OR(CL613,AND(C613="净世破魔击·日",CL612,RAND()&lt;模拟模式!$U$23))</f>
        <v>0</v>
      </c>
      <c r="CN613" s="115" t="b">
        <f ca="1">IF(模拟模式!$M$7="辉耀红尘",AND(C613="净世破魔击·月",CL613,CV613=0,E612&lt;80),AND(C613="净世破魔击·月",CL613,E612&lt;100))</f>
        <v>0</v>
      </c>
      <c r="CO613" s="115" t="b">
        <f t="shared" ca="1" si="566"/>
        <v>0</v>
      </c>
      <c r="CP613" s="115" t="b">
        <f ca="1">AND(模拟模式!$O$7="用晦而明",OR(C613="净世破魔击·日",C613="净世破魔击·月",C613="驱夜断愁"),AB613)</f>
        <v>0</v>
      </c>
      <c r="CQ613" s="115" t="b">
        <f ca="1">OR(CP613,AND(CP612,RAND()&lt;模拟模式!$U$23))</f>
        <v>1</v>
      </c>
      <c r="CR613" s="115" t="b">
        <f ca="1">AND(模拟模式!$S$7="日月齐光",OR(C613="幽月轮1",C613="幽月轮2",C613="幽月轮3",CR612),NOT(OR(C613="赤日轮1",C613="赤日轮2",C613="赤日轮3")))</f>
        <v>0</v>
      </c>
      <c r="CS613" s="115" t="b">
        <f ca="1">AND(模拟模式!$S$7="日月齐光",OR(C613="赤日轮1",C613="赤日轮2",C613="赤日轮3",CS612),NOT(OR(C613="幽月轮1",C613="幽月轮2",C613="幽月轮3")))</f>
        <v>0</v>
      </c>
      <c r="CT613" s="115">
        <f t="shared" ca="1" si="590"/>
        <v>5.0925000000000118</v>
      </c>
      <c r="CU613" s="115" t="b">
        <f ca="1">AND(模拟模式!$K$10="阴阳往极",CT612=0,RAND()&lt;IF(C613="净世破魔击·月",0.0275*7/3,IF(C613="净世破魔击·日",0.0275*3/3,0.0275*2/3)))</f>
        <v>0</v>
      </c>
      <c r="CV613" s="115">
        <f t="shared" ca="1" si="591"/>
        <v>0</v>
      </c>
      <c r="CW613" s="115">
        <f t="shared" ca="1" si="592"/>
        <v>2.3099999999999996</v>
      </c>
      <c r="CX613" s="115">
        <f t="shared" ca="1" si="593"/>
        <v>0.46499999999999975</v>
      </c>
      <c r="CY613" s="115">
        <f ca="1">MAX(IF($C613="驱夜断愁",IF(模拟模式!$R$7="万念俱寂",6,45),CY612-$F$4),0)</f>
        <v>1.3874999999999997</v>
      </c>
      <c r="CZ613" s="115">
        <f t="shared" ca="1" si="567"/>
        <v>0</v>
      </c>
      <c r="DA613" s="115">
        <f ca="1">IF(模拟模式!$N$7="日月同辉",IF(DB612=2,0,MIN(6,IF(AND(OR(C613="赤日轮1",C613="赤日轮2",C613="赤日轮3",C613="幽月轮1",C613="幽月轮2",C613="幽月轮3"),AB613=1),DA612+1,DA612))),0)</f>
        <v>4</v>
      </c>
      <c r="DB613" s="115">
        <f t="shared" ca="1" si="568"/>
        <v>0</v>
      </c>
      <c r="DC613" s="115"/>
      <c r="DD613" s="115"/>
      <c r="DE613" s="115"/>
      <c r="DF613" s="115"/>
      <c r="DG613" s="115"/>
      <c r="DH613" s="115"/>
      <c r="DI613" s="115"/>
      <c r="DJ613" s="115"/>
      <c r="DK613" s="115"/>
      <c r="DL613" s="115"/>
      <c r="DM613" s="115"/>
    </row>
    <row r="614" spans="2:117" x14ac:dyDescent="0.2">
      <c r="B614" s="117">
        <f t="shared" si="569"/>
        <v>541.50750000000596</v>
      </c>
      <c r="C614" s="167" t="str">
        <f t="shared" ca="1" si="538"/>
        <v>银月斩</v>
      </c>
      <c r="D614" s="115">
        <f ca="1">IF(C614="赤日轮1",1,IF(C614="赤日轮2",2,IF(C614="赤日轮3",3,IF(C614="幽月轮1",4,IF(C614="幽月轮2",5,IF(C614="幽月轮3",6,IF(C614="烈日斩",7,IF(C614="银月斩",8,IF(C614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614="净世破魔击·月",17,IF(C614="驱夜断愁",18,0)))))))))))</f>
        <v>8</v>
      </c>
      <c r="E614" s="115">
        <f ca="1">IF(AND(CU614,OR(C614="幽月轮1",C614="幽月轮2",C614="幽月轮3",C614="银月斩",C614="驱夜断愁",C614="净世破魔击·月")),100,MIN(IF(OR(CN614,BE614),0,IF(OR($C614="赤日轮1",$C614="赤日轮2",$C614="赤日轮3"),E613+20+IF(模拟模式!$I$7="日月凌天",4,0)+IF(CR613,20,0),IF($C614="烈日斩",E613+40,IF($C614="驱夜断愁",IF(模拟模式!$R$7="万念俱寂",E613+20,E613+60),IF($C614="净世破魔击·月",IF(OR(DB613&gt;0,CV613&gt;0),100,IF(模拟模式!$M$7="辉耀红尘",E613+20,E613)),IF($C614="净世破魔击·日",E613-100,E613)))))),100))</f>
        <v>20</v>
      </c>
      <c r="F614" s="115">
        <f ca="1">IF(AND(CU614,OR(C614="赤日轮1",C614="赤日轮2",C614="赤日轮3",C614="烈日斩",C614="净世破魔击·日")),100,MIN(IF(CO614,0,IF(OR($C614="幽月轮1",$C614="幽月轮2",$C614="幽月轮3"),F613+20+IF(模拟模式!$I$7="日月凌天",4,0)+IF(CS613,20,0),IF($C614="银月斩",F613+40+IF(模拟模式!$X$12=1,5,0),IF($C614="驱夜断愁",IF(模拟模式!$R$7="万念俱寂",F613+20,F613+60),IF($C614="净世破魔击·月",IF(模拟模式!$M$7="辉耀红尘",F613-80,F613-100),IF(AND(C614="净世破魔击·日",OR(DB613&gt;0,CV613&gt;0)),100,F613)))))),100))</f>
        <v>65</v>
      </c>
      <c r="G614" s="117">
        <f ca="1">('模拟-全程加成'!$E$3+'模拟-全程加成'!$E$4+'模拟-全程加成'!$E$5+('模拟-全程加成'!$C$6-'模拟-全程加成'!$C$3)*系数!$B$9+BS614*23)*(1+'模拟-全程加成'!$F$4+'模拟-全程加成'!$F$5+BJ614*10%+BM614*20%+BP614*4%+CG614*30%)+$F$7*系数!$B$12</f>
        <v>20583.127400000001</v>
      </c>
      <c r="H614" s="45">
        <f ca="1">'模拟-全程加成'!$H$3+'模拟-全程加成'!$H$4+'模拟-全程加成'!$H$5+('模拟-全程加成'!$G$4+'模拟-全程加成'!$G$5+('模拟-全程加成'!$C$6-'模拟-全程加成'!$C$3)*系数!$B$13)/系数!$B$3+LOOKUP(D614,'模拟-单技能数据'!$A$2:$A$19,'模拟-单技能数据'!$K$2:$K$19)+BG614*10%+IF(BV614&gt;0,378,0)</f>
        <v>0.64185145527300214</v>
      </c>
      <c r="I614" s="45">
        <f ca="1">'模拟-全程加成'!$J$3+'模拟-全程加成'!$J$4+'模拟-全程加成'!$J$5+('模拟-全程加成'!$I$4+'模拟-全程加成'!$I$5)/系数!$B$4+LOOKUP(D614,'模拟-单技能数据'!$A$2:$A$19,'模拟-单技能数据'!$L$2:$L$19)+BG614*10%</f>
        <v>2.2624828854998791</v>
      </c>
      <c r="J614" s="45">
        <f ca="1">(('模拟-全程加成'!$K$3+'模拟-全程加成'!$K$4+'模拟-全程加成'!$K$5+('模拟-全程加成'!$C$6-'模拟-全程加成'!$C$3)*系数!$B$10+IF(BV614&gt;0,882,0)+IF(BY614&gt;0,1831,0))*(1+'模拟-全程加成'!$L$4+'模拟-全程加成'!$L$5+CC614*20%))/系数!$B$5</f>
        <v>0.69723220422048726</v>
      </c>
      <c r="K614" s="119">
        <f ca="1">LOOKUP(D614,'模拟-单技能数据'!$A$2:$A$19,'模拟-单技能数据'!$J$2:$J$19)+IF(CM614,60%,0)+IF(DB613-DB614&gt;0,30%,0)+IF(OR(AND(OR(C614="赤日轮1",C614="赤日轮2",C614="赤日轮3"),CR614),AND(OR(C614="幽月轮1",C614="幽月轮2",C614="幽月轮3"),CS614)),35%,0)+CJ614</f>
        <v>0.15</v>
      </c>
      <c r="L614" s="119">
        <f ca="1">IF(AND(C614="烈日斩",模拟模式!$X$11=1),10%,0)+IF(AND(C614="驱夜断愁",AB614=1),30%,0)</f>
        <v>0</v>
      </c>
      <c r="M614" s="45">
        <f t="shared" ca="1" si="539"/>
        <v>0.64185145527300214</v>
      </c>
      <c r="N614" s="45">
        <f t="shared" ca="1" si="540"/>
        <v>0.30424854472699792</v>
      </c>
      <c r="O614" s="46">
        <f t="shared" ca="1" si="570"/>
        <v>0.73293666678160363</v>
      </c>
      <c r="P614" s="46" t="str">
        <f t="shared" ca="1" si="541"/>
        <v>命</v>
      </c>
      <c r="Q614" s="45">
        <f t="shared" ca="1" si="542"/>
        <v>1</v>
      </c>
      <c r="R614" s="117">
        <f ca="1">模拟模式!$E$20*(1-IF(模拟模式!$J$19="有",0.15,0))*(1-IF(模拟模式!$K$19="有",0.3,0)-IF(CQ614,0.5,0))</f>
        <v>2950.6049999999996</v>
      </c>
      <c r="S614" s="45">
        <f ca="1">R614/(R614+(185*模拟模式!$E$22-16800)*4.08224)</f>
        <v>0.24272716014590323</v>
      </c>
      <c r="T614" s="45" t="str">
        <f ca="1">LOOKUP(D614,'模拟-单技能数据'!$A$2:$A$19,'模拟-单技能数据'!$H$2:$H$19)</f>
        <v>阴</v>
      </c>
      <c r="U614" s="119">
        <f t="shared" ca="1" si="543"/>
        <v>0.08</v>
      </c>
      <c r="V614" s="47">
        <f ca="1">(1+L614)*(LOOKUP(D614,'模拟-单技能数据'!$A$2:$A$19,'模拟-单技能数据'!$D$2:$D$19)+G614*LOOKUP(D614,'模拟-单技能数据'!$A$2:$A$19,'模拟-单技能数据'!$F$2:$F$19))*(1+J614)*(1+K614)*(1-S614)*(1+U614)*Q614*LOOKUP(D614,'模拟-单技能数据'!$A$2:$A$19,'模拟-单技能数据'!$I$2:$I$20)</f>
        <v>17450.434922549593</v>
      </c>
      <c r="W614" s="47">
        <f ca="1">LOOKUP(D614,'模拟-单技能数据'!$A$2:$A$19,'模拟-单技能数据'!$G$2:$G$19)*$I$10</f>
        <v>361.51064354704795</v>
      </c>
      <c r="X614" s="47">
        <f t="shared" ca="1" si="571"/>
        <v>7620.5875385322679</v>
      </c>
      <c r="Y614" s="47">
        <f t="shared" ca="1" si="544"/>
        <v>25432.53310462891</v>
      </c>
      <c r="Z614" s="49">
        <f t="shared" ca="1" si="545"/>
        <v>61311953.091766477</v>
      </c>
      <c r="AA614" s="97">
        <f t="shared" ca="1" si="546"/>
        <v>113224.56861957739</v>
      </c>
      <c r="AB614" s="115">
        <f ca="1">IF(OR(C614="赤日轮1",C614="赤日轮2",C614="赤日轮3"),IF(RAND()&lt;模拟模式!$Y$17,1,0),IF(OR(C614="幽月轮1",C614="幽月轮2",C614="幽月轮3"),IF(RAND()&lt;模拟模式!$Y$18,1,0),IF(C614="烈日斩",IF(RAND()&lt;模拟模式!$Y$19,1,0),IF(C614="银月斩",IF(RAND()&lt;模拟模式!$Y$20,1,0),IF(C614="驱夜断愁",IF(RAND()&lt;模拟模式!$Y$21,1,0),IF(C614="净世破魔击·日",IF(RAND()&lt;模拟模式!$Y$22,1,0),IF(C614="净世破魔击·月",IF(RAND()&lt;模拟模式!$Y$23,1,0),0)))))))</f>
        <v>1</v>
      </c>
      <c r="AC614" s="115" t="b">
        <f t="shared" ca="1" si="547"/>
        <v>1</v>
      </c>
      <c r="AD614" s="115" t="b">
        <f t="shared" ca="1" si="548"/>
        <v>1</v>
      </c>
      <c r="AE614" s="115">
        <f t="shared" ca="1" si="549"/>
        <v>5</v>
      </c>
      <c r="AF614" s="47">
        <f ca="1">IF(AC614,('模拟-单技能数据'!$D$20+G614*'模拟-单技能数据'!$F$20)*(1+J614)*(1+'模拟-单技能数据'!$J$20)*(1+U614),0)</f>
        <v>4447.8565560098323</v>
      </c>
      <c r="AG614" s="61">
        <f t="shared" ca="1" si="550"/>
        <v>0.64185145527300214</v>
      </c>
      <c r="AH614" s="61">
        <f t="shared" ca="1" si="551"/>
        <v>2.2624828854998791</v>
      </c>
      <c r="AI614" s="62">
        <f t="shared" ca="1" si="572"/>
        <v>0.52108595619352971</v>
      </c>
      <c r="AJ614" s="47">
        <f ca="1">IF(AD614,IF(AI614&lt;$F$10,0,IF(AI614&lt;$F$10+$F$11,0.25,IF(AI614&lt;$F$10+$F$11+AG614,AH614,1)))*IF(AF614&gt;0,AF614,IF(AF613&gt;0,AF613,IF(AF612&gt;0,AF612,IF(AF611&gt;0,AF611,IF(AF610&gt;0,AF610,IF(AF609&gt;0,AF609,IF(AF608&gt;0,AF608,IF(AF607&gt;0,AF607,IF(AF606&gt;0,AF606,IF(AF604&gt;0,AF604,IF(AF603&gt;0,AF603,IF(AF602&gt;0,AF602,0)))))))))))),0)*(1-$S614)*'模拟-单技能数据'!$I$20</f>
        <v>7620.5875385322679</v>
      </c>
      <c r="AK614" s="115" t="b">
        <f t="shared" ca="1" si="552"/>
        <v>0</v>
      </c>
      <c r="AL614" s="115" t="b">
        <f t="shared" ca="1" si="553"/>
        <v>0</v>
      </c>
      <c r="AM614" s="115">
        <f t="shared" ca="1" si="554"/>
        <v>5</v>
      </c>
      <c r="AN614" s="47">
        <f ca="1">IF(AK614,('模拟-单技能数据'!$D$21+G614*'模拟-单技能数据'!$F$21)*(1+J614)*(1+'模拟-单技能数据'!$J$21)*(1+U614),0)</f>
        <v>0</v>
      </c>
      <c r="AO614" s="61">
        <f ca="1">IF(AN614&gt;0,M614-'模拟-单技能数据'!$K$10,AO613)</f>
        <v>0.42185145527300216</v>
      </c>
      <c r="AP614" s="61">
        <f ca="1">IF(AN614&gt;0,I614-'模拟-单技能数据'!$L$10,AP613)</f>
        <v>2.162482885499879</v>
      </c>
      <c r="AQ614" s="63">
        <f t="shared" ca="1" si="573"/>
        <v>0.60254107029580573</v>
      </c>
      <c r="AR614" s="64">
        <f ca="1">IF(AL614,IF(AQ614&lt;$F$10,0,IF(AQ614&lt;$F$10+$F$11,0.25,IF(AQ614&lt;$F$10+$F$11+AO614,AP614,1)))*IF(AN614&gt;0,AN614,IF(AN613&gt;0,AN613,IF(AN612&gt;0,AN612,IF(AN611&gt;0,AN611,IF(AN610&gt;0,AN610,IF(AN609&gt;0,AN609,IF(AN608&gt;0,AN608,IF(AN607&gt;0,AN607,IF(AN606&gt;0,AN606,IF(AN604&gt;0,AN604,IF(AN603&gt;0,AN603,IF(AN602&gt;0,AN602,0)))))))))))),0)*(1-$S614)*'模拟-单技能数据'!$I$21</f>
        <v>0</v>
      </c>
      <c r="AS614" s="61">
        <f ca="1">IF(OR(C614="净世破魔击·日",C614="净世破魔击·月"),M614-'模拟-单技能数据'!$K$10,0)</f>
        <v>0</v>
      </c>
      <c r="AT614" s="61">
        <f ca="1">IF(OR(C614="净世破魔击·日",C614="净世破魔击·月"),I614-'模拟-单技能数据'!$L$10,0)</f>
        <v>0</v>
      </c>
      <c r="AU614" s="62">
        <f t="shared" ca="1" si="574"/>
        <v>0.66529697828715839</v>
      </c>
      <c r="AV614" s="64">
        <f ca="1">IF(AS614&gt;0,('模拟-单技能数据'!$D$22+G614*'模拟-单技能数据'!$F$22)*(1+J614)*(1-S614)*IF(AU614&lt;$F$10,0,IF(AU614&lt;$F$10+$F$11,0.25,IF(AU614&lt;$F$10+$F$11+AS614,AT614,1)))*(1+U614),0)*'模拟-单技能数据'!$I$22</f>
        <v>0</v>
      </c>
      <c r="AW614" s="108">
        <f t="shared" ca="1" si="575"/>
        <v>0</v>
      </c>
      <c r="AX614" s="108" t="b">
        <f ca="1">AND(模拟模式!$P$10="有",AW613=0,RAND()&lt;IF(C614="净世破魔击·月",0.1*8/3,IF(C614="净世破魔击·日",0.1*4/3,0.1*2/3)))</f>
        <v>0</v>
      </c>
      <c r="AY614" s="47">
        <f ca="1">IF(AX614,(18+G614*0.722)*(1+J614)*(1-S614)*(1+$I$4)*IF(P614="会",'模拟-全程加成'!$J$3+'模拟-全程加成'!$J$4+'模拟-全程加成'!$J$5+('模拟-全程加成'!$I$4+'模拟-全程加成'!$I$5)/系数!$B$4+BG614*10%,IF(P614="命",1,IF(P614="识",0.25,0))),0)</f>
        <v>0</v>
      </c>
      <c r="AZ614" s="108">
        <f t="shared" si="576"/>
        <v>6.1625000000000068</v>
      </c>
      <c r="BA614" s="108" t="b">
        <f>AND(模拟模式!$Q$10="有",AZ613=0)</f>
        <v>0</v>
      </c>
      <c r="BB614" s="140">
        <f>IF(BA614,(0+G614*0.287)*(1+J614)*(1-S614)*(1+$I$4)*IF(P614="会",'模拟-全程加成'!$J$3+'模拟-全程加成'!$J$4+'模拟-全程加成'!$J$5+('模拟-全程加成'!$I$4+'模拟-全程加成'!$I$5)/系数!$B$4+BG614*10%,IF(P614="命",1,IF(P614="识",0.25,0))),0)</f>
        <v>0</v>
      </c>
      <c r="BC614" s="115" t="b">
        <f ca="1">AND(模拟模式!$R$7="伏明众生",E614=60,F614=20,DA614&lt;5,CZ613&lt;$F$4)</f>
        <v>0</v>
      </c>
      <c r="BD614" s="115">
        <f t="shared" ca="1" si="555"/>
        <v>0</v>
      </c>
      <c r="BE614" s="115" t="b">
        <f t="shared" ca="1" si="556"/>
        <v>0</v>
      </c>
      <c r="BF614" s="47">
        <f ca="1">IF(BC614,4*('模拟-单技能数据'!$D$24+G614*'模拟-单技能数据'!$F$24)*(1+J614)*(1+'模拟-单技能数据'!$J$24)*(1-S614)*(1+$I$3)*(('模拟-全程加成'!$J$3+'模拟-全程加成'!$J$4+'模拟-全程加成'!$J$5+('模拟-全程加成'!$I$4+'模拟-全程加成'!$I$5)/系数!$B$4+BG614*10%)*('模拟-全程加成'!$J$3+'模拟-全程加成'!$J$4+'模拟-全程加成'!$J$5+('模拟-全程加成'!$I$4+'模拟-全程加成'!$I$5)/系数!$B$4+BG614*10%)+(1-('模拟-全程加成'!$J$3+'模拟-全程加成'!$J$4+'模拟-全程加成'!$J$5+('模拟-全程加成'!$I$4+'模拟-全程加成'!$I$5)/系数!$B$4+BG614*10%)-$F$10-$F$11)+F600*0.25),0)*'模拟-单技能数据'!$I$24</f>
        <v>0</v>
      </c>
      <c r="BG614" s="115" t="b">
        <f ca="1">OR(AND(OR(C614="烈日斩",C614="银月斩"),模拟模式!$I$7="净身明礼"),AND(C614="净世破魔击·日",模拟模式!$J$7="洞若观火"),AND(C615="净世破魔击·月",模拟模式!$J$7="洞若观火"),AB614=1)</f>
        <v>1</v>
      </c>
      <c r="BH614" s="115" t="b">
        <f t="shared" ca="1" si="577"/>
        <v>0</v>
      </c>
      <c r="BI614" s="115">
        <f t="shared" ca="1" si="557"/>
        <v>0</v>
      </c>
      <c r="BJ614" s="115" t="b">
        <f t="shared" ca="1" si="558"/>
        <v>0</v>
      </c>
      <c r="BK614" s="115" t="b">
        <f ca="1">AND(C614="驱夜断愁",模拟模式!$P$7="天地诛戮")</f>
        <v>0</v>
      </c>
      <c r="BL614" s="57">
        <f t="shared" ca="1" si="559"/>
        <v>14.465000000000003</v>
      </c>
      <c r="BM614" s="115" t="b">
        <f t="shared" ca="1" si="560"/>
        <v>1</v>
      </c>
      <c r="BN614" s="115" t="b">
        <f ca="1">AND(OR(C614="赤日轮1",C614="赤日轮2",C614="赤日轮3",C614="幽月轮1",C614="幽月轮2",C614="幽月轮3"),AB614=1,模拟模式!$L$7="明光恒照")</f>
        <v>0</v>
      </c>
      <c r="BO614" s="117">
        <f t="shared" ca="1" si="561"/>
        <v>29.077500000000001</v>
      </c>
      <c r="BP614" s="115">
        <f t="shared" ca="1" si="578"/>
        <v>6</v>
      </c>
      <c r="BQ614" s="115" t="b">
        <f>模拟模式!$K$10="2600·水"</f>
        <v>0</v>
      </c>
      <c r="BR614" s="117">
        <f t="shared" si="579"/>
        <v>0</v>
      </c>
      <c r="BS614" s="115">
        <f t="shared" si="580"/>
        <v>0</v>
      </c>
      <c r="BT614" s="115">
        <f t="shared" ca="1" si="581"/>
        <v>0</v>
      </c>
      <c r="BU614" s="115" t="b">
        <f ca="1">AND(模拟模式!$K$10="2300·雷",BT613=0,RAND()&lt;IF(C614="净世破魔击·月",5*0.05*2/3,IF(C614="净世破魔击·日",3*0.05*2/3,0.05*2*2/3)))</f>
        <v>0</v>
      </c>
      <c r="BV614" s="115">
        <f t="shared" ca="1" si="582"/>
        <v>0</v>
      </c>
      <c r="BW614" s="115">
        <f t="shared" ca="1" si="583"/>
        <v>13.949999999999307</v>
      </c>
      <c r="BX614" s="164" t="b">
        <f t="shared" ca="1" si="584"/>
        <v>0</v>
      </c>
      <c r="BY614" s="115">
        <f t="shared" ca="1" si="585"/>
        <v>0</v>
      </c>
      <c r="BZ614" s="115">
        <f>IF(OR(模拟模式!$P$16="10人团",模拟模式!$P$16="25人团"),IF(B614/30&gt;CA613,1,0),0)</f>
        <v>0</v>
      </c>
      <c r="CA614" s="115">
        <f t="shared" si="562"/>
        <v>0</v>
      </c>
      <c r="CB614" s="115">
        <f ca="1">IF(BZ614=1,IF(模拟模式!$P$16="10人团",15,0)+IF(模拟模式!$P$16="25人团",IF(RAND()&lt;0.6,15,0)),MAX(0,CB613-$F$4))</f>
        <v>0</v>
      </c>
      <c r="CC614" s="115" t="b">
        <f t="shared" ca="1" si="563"/>
        <v>0</v>
      </c>
      <c r="CD614" s="115">
        <f>IF(模拟模式!$Q$16="1个",IF(B614/40&gt;CE613,1,0),0)</f>
        <v>0</v>
      </c>
      <c r="CE614" s="115">
        <f t="shared" si="564"/>
        <v>0</v>
      </c>
      <c r="CF614" s="115">
        <f>IF(OR(CD614=1,模拟模式!$Q$16="2个"),20,MAX(0,CF613-$F$4))</f>
        <v>0</v>
      </c>
      <c r="CG614" s="115" t="b">
        <f t="shared" si="565"/>
        <v>0</v>
      </c>
      <c r="CH614" s="115">
        <f t="shared" ca="1" si="586"/>
        <v>13.39500000000001</v>
      </c>
      <c r="CI614" s="115" t="b">
        <f t="shared" ca="1" si="587"/>
        <v>0</v>
      </c>
      <c r="CJ614" s="119">
        <f t="shared" ca="1" si="588"/>
        <v>0</v>
      </c>
      <c r="CK614" s="115">
        <f t="shared" ca="1" si="589"/>
        <v>0</v>
      </c>
      <c r="CL614" s="115" t="b">
        <f ca="1">AND(模拟模式!$S$7="驱夷逐法",OR(AND(C614="净世破魔击·月",E613&gt;59),AND(C614="净世破魔击·日",F613&gt;59)))</f>
        <v>0</v>
      </c>
      <c r="CM614" s="115" t="b">
        <f ca="1">OR(CL614,AND(C614="净世破魔击·日",CL613,RAND()&lt;模拟模式!$U$23))</f>
        <v>0</v>
      </c>
      <c r="CN614" s="115" t="b">
        <f ca="1">IF(模拟模式!$M$7="辉耀红尘",AND(C614="净世破魔击·月",CL614,CV614=0,E613&lt;80),AND(C614="净世破魔击·月",CL614,E613&lt;100))</f>
        <v>0</v>
      </c>
      <c r="CO614" s="115" t="b">
        <f t="shared" ca="1" si="566"/>
        <v>0</v>
      </c>
      <c r="CP614" s="115" t="b">
        <f ca="1">AND(模拟模式!$O$7="用晦而明",OR(C614="净世破魔击·日",C614="净世破魔击·月",C614="驱夜断愁"),AB614)</f>
        <v>0</v>
      </c>
      <c r="CQ614" s="115" t="b">
        <f ca="1">OR(CP614,AND(CP613,RAND()&lt;模拟模式!$U$23))</f>
        <v>0</v>
      </c>
      <c r="CR614" s="115" t="b">
        <f ca="1">AND(模拟模式!$S$7="日月齐光",OR(C614="幽月轮1",C614="幽月轮2",C614="幽月轮3",CR613),NOT(OR(C614="赤日轮1",C614="赤日轮2",C614="赤日轮3")))</f>
        <v>0</v>
      </c>
      <c r="CS614" s="115" t="b">
        <f ca="1">AND(模拟模式!$S$7="日月齐光",OR(C614="赤日轮1",C614="赤日轮2",C614="赤日轮3",CS613),NOT(OR(C614="幽月轮1",C614="幽月轮2",C614="幽月轮3")))</f>
        <v>0</v>
      </c>
      <c r="CT614" s="115">
        <f t="shared" ca="1" si="590"/>
        <v>4.1700000000000115</v>
      </c>
      <c r="CU614" s="115" t="b">
        <f ca="1">AND(模拟模式!$K$10="阴阳往极",CT613=0,RAND()&lt;IF(C614="净世破魔击·月",0.0275*7/3,IF(C614="净世破魔击·日",0.0275*3/3,0.0275*2/3)))</f>
        <v>0</v>
      </c>
      <c r="CV614" s="115">
        <f t="shared" ca="1" si="591"/>
        <v>0</v>
      </c>
      <c r="CW614" s="115">
        <f t="shared" ca="1" si="592"/>
        <v>1.3874999999999997</v>
      </c>
      <c r="CX614" s="115">
        <f t="shared" ca="1" si="593"/>
        <v>6</v>
      </c>
      <c r="CY614" s="115">
        <f ca="1">MAX(IF($C614="驱夜断愁",IF(模拟模式!$R$7="万念俱寂",6,45),CY613-$F$4),0)</f>
        <v>0.46499999999999975</v>
      </c>
      <c r="CZ614" s="115">
        <f t="shared" ca="1" si="567"/>
        <v>0</v>
      </c>
      <c r="DA614" s="115">
        <f ca="1">IF(模拟模式!$N$7="日月同辉",IF(DB613=2,0,MIN(6,IF(AND(OR(C614="赤日轮1",C614="赤日轮2",C614="赤日轮3",C614="幽月轮1",C614="幽月轮2",C614="幽月轮3"),AB614=1),DA613+1,DA613))),0)</f>
        <v>4</v>
      </c>
      <c r="DB614" s="115">
        <f t="shared" ca="1" si="568"/>
        <v>0</v>
      </c>
      <c r="DC614" s="115"/>
      <c r="DD614" s="115"/>
      <c r="DE614" s="115"/>
      <c r="DF614" s="115"/>
      <c r="DG614" s="115"/>
      <c r="DH614" s="115"/>
      <c r="DI614" s="115"/>
      <c r="DJ614" s="115"/>
      <c r="DK614" s="115"/>
      <c r="DL614" s="115"/>
      <c r="DM614" s="115"/>
    </row>
    <row r="615" spans="2:117" x14ac:dyDescent="0.2">
      <c r="B615" s="117">
        <f t="shared" si="569"/>
        <v>542.43000000000598</v>
      </c>
      <c r="C615" s="167" t="str">
        <f t="shared" ca="1" si="538"/>
        <v>驱夜断愁</v>
      </c>
      <c r="D615" s="115">
        <f ca="1">IF(C615="赤日轮1",1,IF(C615="赤日轮2",2,IF(C615="赤日轮3",3,IF(C615="幽月轮1",4,IF(C615="幽月轮2",5,IF(C615="幽月轮3",6,IF(C615="烈日斩",7,IF(C615="银月斩",8,IF(C615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615="净世破魔击·月",17,IF(C615="驱夜断愁",18,0)))))))))))</f>
        <v>18</v>
      </c>
      <c r="E615" s="115">
        <f ca="1">IF(AND(CU615,OR(C615="幽月轮1",C615="幽月轮2",C615="幽月轮3",C615="银月斩",C615="驱夜断愁",C615="净世破魔击·月")),100,MIN(IF(OR(CN615,BE615),0,IF(OR($C615="赤日轮1",$C615="赤日轮2",$C615="赤日轮3"),E614+20+IF(模拟模式!$I$7="日月凌天",4,0)+IF(CR614,20,0),IF($C615="烈日斩",E614+40,IF($C615="驱夜断愁",IF(模拟模式!$R$7="万念俱寂",E614+20,E614+60),IF($C615="净世破魔击·月",IF(OR(DB614&gt;0,CV614&gt;0),100,IF(模拟模式!$M$7="辉耀红尘",E614+20,E614)),IF($C615="净世破魔击·日",E614-100,E614)))))),100))</f>
        <v>40</v>
      </c>
      <c r="F615" s="115">
        <f ca="1">IF(AND(CU615,OR(C615="赤日轮1",C615="赤日轮2",C615="赤日轮3",C615="烈日斩",C615="净世破魔击·日")),100,MIN(IF(CO615,0,IF(OR($C615="幽月轮1",$C615="幽月轮2",$C615="幽月轮3"),F614+20+IF(模拟模式!$I$7="日月凌天",4,0)+IF(CS614,20,0),IF($C615="银月斩",F614+40+IF(模拟模式!$X$12=1,5,0),IF($C615="驱夜断愁",IF(模拟模式!$R$7="万念俱寂",F614+20,F614+60),IF($C615="净世破魔击·月",IF(模拟模式!$M$7="辉耀红尘",F614-80,F614-100),IF(AND(C615="净世破魔击·日",OR(DB614&gt;0,CV614&gt;0)),100,F614)))))),100))</f>
        <v>85</v>
      </c>
      <c r="G615" s="117">
        <f ca="1">('模拟-全程加成'!$E$3+'模拟-全程加成'!$E$4+'模拟-全程加成'!$E$5+('模拟-全程加成'!$C$6-'模拟-全程加成'!$C$3)*系数!$B$9+BS615*23)*(1+'模拟-全程加成'!$F$4+'模拟-全程加成'!$F$5+BJ615*10%+BM615*20%+BP615*4%+CG615*30%)+$F$7*系数!$B$12</f>
        <v>20583.127400000001</v>
      </c>
      <c r="H615" s="45">
        <f ca="1">'模拟-全程加成'!$H$3+'模拟-全程加成'!$H$4+'模拟-全程加成'!$H$5+('模拟-全程加成'!$G$4+'模拟-全程加成'!$G$5+('模拟-全程加成'!$C$6-'模拟-全程加成'!$C$3)*系数!$B$13)/系数!$B$3+LOOKUP(D615,'模拟-单技能数据'!$A$2:$A$19,'模拟-单技能数据'!$K$2:$K$19)+BG615*10%+IF(BV615&gt;0,378,0)</f>
        <v>0.51185145527300213</v>
      </c>
      <c r="I615" s="45">
        <f ca="1">'模拟-全程加成'!$J$3+'模拟-全程加成'!$J$4+'模拟-全程加成'!$J$5+('模拟-全程加成'!$I$4+'模拟-全程加成'!$I$5)/系数!$B$4+LOOKUP(D615,'模拟-单技能数据'!$A$2:$A$19,'模拟-单技能数据'!$L$2:$L$19)+BG615*10%</f>
        <v>2.162482885499879</v>
      </c>
      <c r="J615" s="45">
        <f ca="1">(('模拟-全程加成'!$K$3+'模拟-全程加成'!$K$4+'模拟-全程加成'!$K$5+('模拟-全程加成'!$C$6-'模拟-全程加成'!$C$3)*系数!$B$10+IF(BV615&gt;0,882,0)+IF(BY615&gt;0,1831,0))*(1+'模拟-全程加成'!$L$4+'模拟-全程加成'!$L$5+CC615*20%))/系数!$B$5</f>
        <v>0.69723220422048726</v>
      </c>
      <c r="K615" s="119">
        <f ca="1">LOOKUP(D615,'模拟-单技能数据'!$A$2:$A$19,'模拟-单技能数据'!$J$2:$J$19)+IF(CM615,60%,0)+IF(DB614-DB615&gt;0,30%,0)+IF(OR(AND(OR(C615="赤日轮1",C615="赤日轮2",C615="赤日轮3"),CR615),AND(OR(C615="幽月轮1",C615="幽月轮2",C615="幽月轮3"),CS615)),35%,0)+CJ615</f>
        <v>0.14000000000000001</v>
      </c>
      <c r="L615" s="119">
        <f ca="1">IF(AND(C615="烈日斩",模拟模式!$X$11=1),10%,0)+IF(AND(C615="驱夜断愁",AB615=1),30%,0)</f>
        <v>0.3</v>
      </c>
      <c r="M615" s="45">
        <f t="shared" ca="1" si="539"/>
        <v>0.51185145527300213</v>
      </c>
      <c r="N615" s="45">
        <f t="shared" ca="1" si="540"/>
        <v>0.43424854472699792</v>
      </c>
      <c r="O615" s="46">
        <f t="shared" ca="1" si="570"/>
        <v>0.43196823944953078</v>
      </c>
      <c r="P615" s="46" t="str">
        <f t="shared" ca="1" si="541"/>
        <v>会</v>
      </c>
      <c r="Q615" s="45">
        <f t="shared" ca="1" si="542"/>
        <v>2.162482885499879</v>
      </c>
      <c r="R615" s="117">
        <f ca="1">模拟模式!$E$20*(1-IF(模拟模式!$J$19="有",0.15,0))*(1-IF(模拟模式!$K$19="有",0.3,0)-IF(CQ615,0.5,0))</f>
        <v>843.02999999999975</v>
      </c>
      <c r="S615" s="45">
        <f ca="1">R615/(R615+(185*模拟模式!$E$22-16800)*4.08224)</f>
        <v>8.389626085980037E-2</v>
      </c>
      <c r="T615" s="45" t="str">
        <f ca="1">LOOKUP(D615,'模拟-单技能数据'!$A$2:$A$19,'模拟-单技能数据'!$H$2:$H$19)</f>
        <v>阴</v>
      </c>
      <c r="U615" s="119">
        <f t="shared" ca="1" si="543"/>
        <v>0.08</v>
      </c>
      <c r="V615" s="47">
        <f ca="1">(1+L615)*(LOOKUP(D615,'模拟-单技能数据'!$A$2:$A$19,'模拟-单技能数据'!$D$2:$D$19)+G615*LOOKUP(D615,'模拟-单技能数据'!$A$2:$A$19,'模拟-单技能数据'!$F$2:$F$19))*(1+J615)*(1+K615)*(1-S615)*(1+U615)*Q615*LOOKUP(D615,'模拟-单技能数据'!$A$2:$A$19,'模拟-单技能数据'!$I$2:$I$20)</f>
        <v>127463.41908070058</v>
      </c>
      <c r="W615" s="47">
        <f ca="1">LOOKUP(D615,'模拟-单技能数据'!$A$2:$A$19,'模拟-单技能数据'!$G$2:$G$19)*$I$10</f>
        <v>723.0212870940959</v>
      </c>
      <c r="X615" s="47">
        <f t="shared" ca="1" si="571"/>
        <v>24043.249177625272</v>
      </c>
      <c r="Y615" s="47">
        <f t="shared" ca="1" si="544"/>
        <v>152229.68954541994</v>
      </c>
      <c r="Z615" s="49">
        <f t="shared" ca="1" si="545"/>
        <v>61464182.781311899</v>
      </c>
      <c r="AA615" s="97">
        <f t="shared" ca="1" si="546"/>
        <v>113312.65376419302</v>
      </c>
      <c r="AB615" s="115">
        <f ca="1">IF(OR(C615="赤日轮1",C615="赤日轮2",C615="赤日轮3"),IF(RAND()&lt;模拟模式!$Y$17,1,0),IF(OR(C615="幽月轮1",C615="幽月轮2",C615="幽月轮3"),IF(RAND()&lt;模拟模式!$Y$18,1,0),IF(C615="烈日斩",IF(RAND()&lt;模拟模式!$Y$19,1,0),IF(C615="银月斩",IF(RAND()&lt;模拟模式!$Y$20,1,0),IF(C615="驱夜断愁",IF(RAND()&lt;模拟模式!$Y$21,1,0),IF(C615="净世破魔击·日",IF(RAND()&lt;模拟模式!$Y$22,1,0),IF(C615="净世破魔击·月",IF(RAND()&lt;模拟模式!$Y$23,1,0),0)))))))</f>
        <v>1</v>
      </c>
      <c r="AC615" s="115" t="b">
        <f t="shared" ca="1" si="547"/>
        <v>0</v>
      </c>
      <c r="AD615" s="115" t="b">
        <f t="shared" ca="1" si="548"/>
        <v>0</v>
      </c>
      <c r="AE615" s="115">
        <f t="shared" ca="1" si="549"/>
        <v>5</v>
      </c>
      <c r="AF615" s="47">
        <f ca="1">IF(AC615,('模拟-单技能数据'!$D$20+G615*'模拟-单技能数据'!$F$20)*(1+J615)*(1+'模拟-单技能数据'!$J$20)*(1+U615),0)</f>
        <v>0</v>
      </c>
      <c r="AG615" s="61">
        <f t="shared" ca="1" si="550"/>
        <v>0.64185145527300214</v>
      </c>
      <c r="AH615" s="61">
        <f t="shared" ca="1" si="551"/>
        <v>2.2624828854998791</v>
      </c>
      <c r="AI615" s="62">
        <f t="shared" ca="1" si="572"/>
        <v>0.10544235232445631</v>
      </c>
      <c r="AJ615" s="47">
        <f ca="1">IF(AD615,IF(AI615&lt;$F$10,0,IF(AI615&lt;$F$10+$F$11,0.25,IF(AI615&lt;$F$10+$F$11+AG615,AH615,1)))*IF(AF615&gt;0,AF615,IF(AF614&gt;0,AF614,IF(AF613&gt;0,AF613,IF(AF612&gt;0,AF612,IF(AF611&gt;0,AF611,IF(AF610&gt;0,AF610,IF(AF609&gt;0,AF609,IF(AF608&gt;0,AF608,IF(AF607&gt;0,AF607,IF(AF605&gt;0,AF605,IF(AF604&gt;0,AF604,IF(AF603&gt;0,AF603,0)))))))))))),0)*(1-$S615)*'模拟-单技能数据'!$I$20</f>
        <v>0</v>
      </c>
      <c r="AK615" s="115" t="b">
        <f t="shared" ca="1" si="552"/>
        <v>0</v>
      </c>
      <c r="AL615" s="115" t="b">
        <f t="shared" ca="1" si="553"/>
        <v>1</v>
      </c>
      <c r="AM615" s="115">
        <f t="shared" ca="1" si="554"/>
        <v>4</v>
      </c>
      <c r="AN615" s="47">
        <f ca="1">IF(AK615,('模拟-单技能数据'!$D$21+G615*'模拟-单技能数据'!$F$21)*(1+J615)*(1+'模拟-单技能数据'!$J$21)*(1+U615),0)</f>
        <v>0</v>
      </c>
      <c r="AO615" s="61">
        <f ca="1">IF(AN615&gt;0,M615-'模拟-单技能数据'!$K$10,AO614)</f>
        <v>0.42185145527300216</v>
      </c>
      <c r="AP615" s="61">
        <f ca="1">IF(AN615&gt;0,I615-'模拟-单技能数据'!$L$10,AP614)</f>
        <v>2.162482885499879</v>
      </c>
      <c r="AQ615" s="63">
        <f t="shared" ca="1" si="573"/>
        <v>0.27399682032355044</v>
      </c>
      <c r="AR615" s="64">
        <f ca="1">IF(AL615,IF(AQ615&lt;$F$10,0,IF(AQ615&lt;$F$10+$F$11,0.25,IF(AQ615&lt;$F$10+$F$11+AO615,AP615,1)))*IF(AN615&gt;0,AN615,IF(AN614&gt;0,AN614,IF(AN613&gt;0,AN613,IF(AN612&gt;0,AN612,IF(AN611&gt;0,AN611,IF(AN610&gt;0,AN610,IF(AN609&gt;0,AN609,IF(AN608&gt;0,AN608,IF(AN607&gt;0,AN607,IF(AN605&gt;0,AN605,IF(AN604&gt;0,AN604,IF(AN603&gt;0,AN603,0)))))))))))),0)*(1-$S615)*'模拟-单技能数据'!$I$21</f>
        <v>24043.249177625272</v>
      </c>
      <c r="AS615" s="61">
        <f ca="1">IF(OR(C615="净世破魔击·日",C615="净世破魔击·月"),M615-'模拟-单技能数据'!$K$10,0)</f>
        <v>0</v>
      </c>
      <c r="AT615" s="61">
        <f ca="1">IF(OR(C615="净世破魔击·日",C615="净世破魔击·月"),I615-'模拟-单技能数据'!$L$10,0)</f>
        <v>0</v>
      </c>
      <c r="AU615" s="62">
        <f t="shared" ca="1" si="574"/>
        <v>0.13843817066975772</v>
      </c>
      <c r="AV615" s="64">
        <f ca="1">IF(AS615&gt;0,('模拟-单技能数据'!$D$22+G615*'模拟-单技能数据'!$F$22)*(1+J615)*(1-S615)*IF(AU615&lt;$F$10,0,IF(AU615&lt;$F$10+$F$11,0.25,IF(AU615&lt;$F$10+$F$11+AS615,AT615,1)))*(1+U615),0)*'模拟-单技能数据'!$I$22</f>
        <v>0</v>
      </c>
      <c r="AW615" s="108">
        <f t="shared" ca="1" si="575"/>
        <v>0</v>
      </c>
      <c r="AX615" s="108" t="b">
        <f ca="1">AND(模拟模式!$P$10="有",AW614=0,RAND()&lt;IF(C615="净世破魔击·月",0.1*8/3,IF(C615="净世破魔击·日",0.1*4/3,0.1*2/3)))</f>
        <v>0</v>
      </c>
      <c r="AY615" s="47">
        <f ca="1">IF(AX615,(18+G615*0.722)*(1+J615)*(1-S615)*(1+$I$4)*IF(P615="会",'模拟-全程加成'!$J$3+'模拟-全程加成'!$J$4+'模拟-全程加成'!$J$5+('模拟-全程加成'!$I$4+'模拟-全程加成'!$I$5)/系数!$B$4+BG615*10%,IF(P615="命",1,IF(P615="识",0.25,0))),0)</f>
        <v>0</v>
      </c>
      <c r="AZ615" s="108">
        <f t="shared" si="576"/>
        <v>5.2400000000000064</v>
      </c>
      <c r="BA615" s="108" t="b">
        <f>AND(模拟模式!$Q$10="有",AZ614=0)</f>
        <v>0</v>
      </c>
      <c r="BB615" s="140">
        <f>IF(BA615,(0+G615*0.287)*(1+J615)*(1-S615)*(1+$I$4)*IF(P615="会",'模拟-全程加成'!$J$3+'模拟-全程加成'!$J$4+'模拟-全程加成'!$J$5+('模拟-全程加成'!$I$4+'模拟-全程加成'!$I$5)/系数!$B$4+BG615*10%,IF(P615="命",1,IF(P615="识",0.25,0))),0)</f>
        <v>0</v>
      </c>
      <c r="BC615" s="115" t="b">
        <f ca="1">AND(模拟模式!$R$7="伏明众生",E615=60,F615=20,DA615&lt;5,CZ614&lt;$F$4)</f>
        <v>0</v>
      </c>
      <c r="BD615" s="115">
        <f t="shared" ca="1" si="555"/>
        <v>0</v>
      </c>
      <c r="BE615" s="115" t="b">
        <f t="shared" ca="1" si="556"/>
        <v>0</v>
      </c>
      <c r="BF615" s="47">
        <f ca="1">IF(BC615,4*('模拟-单技能数据'!$D$24+G615*'模拟-单技能数据'!$F$24)*(1+J615)*(1+'模拟-单技能数据'!$J$24)*(1-S615)*(1+$I$3)*(('模拟-全程加成'!$J$3+'模拟-全程加成'!$J$4+'模拟-全程加成'!$J$5+('模拟-全程加成'!$I$4+'模拟-全程加成'!$I$5)/系数!$B$4+BG615*10%)*('模拟-全程加成'!$J$3+'模拟-全程加成'!$J$4+'模拟-全程加成'!$J$5+('模拟-全程加成'!$I$4+'模拟-全程加成'!$I$5)/系数!$B$4+BG615*10%)+(1-('模拟-全程加成'!$J$3+'模拟-全程加成'!$J$4+'模拟-全程加成'!$J$5+('模拟-全程加成'!$I$4+'模拟-全程加成'!$I$5)/系数!$B$4+BG615*10%)-$F$10-$F$11)+F601*0.25),0)*'模拟-单技能数据'!$I$24</f>
        <v>0</v>
      </c>
      <c r="BG615" s="115" t="b">
        <f ca="1">OR(AND(OR(C615="烈日斩",C615="银月斩"),模拟模式!$I$7="净身明礼"),AND(C615="净世破魔击·日",模拟模式!$J$7="洞若观火"),AND(C616="净世破魔击·月",模拟模式!$J$7="洞若观火"),AB615=1)</f>
        <v>1</v>
      </c>
      <c r="BH615" s="115" t="b">
        <f t="shared" ca="1" si="577"/>
        <v>0</v>
      </c>
      <c r="BI615" s="115">
        <f t="shared" ca="1" si="557"/>
        <v>0</v>
      </c>
      <c r="BJ615" s="115" t="b">
        <f t="shared" ca="1" si="558"/>
        <v>0</v>
      </c>
      <c r="BK615" s="115" t="b">
        <f ca="1">AND(C615="驱夜断愁",模拟模式!$P$7="天地诛戮")</f>
        <v>1</v>
      </c>
      <c r="BL615" s="57">
        <f t="shared" ca="1" si="559"/>
        <v>20</v>
      </c>
      <c r="BM615" s="115" t="b">
        <f t="shared" ca="1" si="560"/>
        <v>1</v>
      </c>
      <c r="BN615" s="115" t="b">
        <f ca="1">AND(OR(C615="赤日轮1",C615="赤日轮2",C615="赤日轮3",C615="幽月轮1",C615="幽月轮2",C615="幽月轮3"),AB615=1,模拟模式!$L$7="明光恒照")</f>
        <v>0</v>
      </c>
      <c r="BO615" s="117">
        <f t="shared" ca="1" si="561"/>
        <v>28.155000000000001</v>
      </c>
      <c r="BP615" s="115">
        <f t="shared" ca="1" si="578"/>
        <v>6</v>
      </c>
      <c r="BQ615" s="115" t="b">
        <f>模拟模式!$K$10="2600·水"</f>
        <v>0</v>
      </c>
      <c r="BR615" s="117">
        <f t="shared" si="579"/>
        <v>0</v>
      </c>
      <c r="BS615" s="115">
        <f t="shared" si="580"/>
        <v>0</v>
      </c>
      <c r="BT615" s="115">
        <f t="shared" ca="1" si="581"/>
        <v>0</v>
      </c>
      <c r="BU615" s="115" t="b">
        <f ca="1">AND(模拟模式!$K$10="2300·雷",BT614=0,RAND()&lt;IF(C615="净世破魔击·月",5*0.05*2/3,IF(C615="净世破魔击·日",3*0.05*2/3,0.05*2*2/3)))</f>
        <v>0</v>
      </c>
      <c r="BV615" s="115">
        <f t="shared" ca="1" si="582"/>
        <v>0</v>
      </c>
      <c r="BW615" s="115">
        <f t="shared" ca="1" si="583"/>
        <v>13.027499999999307</v>
      </c>
      <c r="BX615" s="164" t="b">
        <f t="shared" ca="1" si="584"/>
        <v>0</v>
      </c>
      <c r="BY615" s="115">
        <f t="shared" ca="1" si="585"/>
        <v>0</v>
      </c>
      <c r="BZ615" s="115">
        <f>IF(OR(模拟模式!$P$16="10人团",模拟模式!$P$16="25人团"),IF(B615/30&gt;CA614,1,0),0)</f>
        <v>0</v>
      </c>
      <c r="CA615" s="115">
        <f t="shared" si="562"/>
        <v>0</v>
      </c>
      <c r="CB615" s="115">
        <f ca="1">IF(BZ615=1,IF(模拟模式!$P$16="10人团",15,0)+IF(模拟模式!$P$16="25人团",IF(RAND()&lt;0.6,15,0)),MAX(0,CB614-$F$4))</f>
        <v>0</v>
      </c>
      <c r="CC615" s="115" t="b">
        <f t="shared" ca="1" si="563"/>
        <v>0</v>
      </c>
      <c r="CD615" s="115">
        <f>IF(模拟模式!$Q$16="1个",IF(B615/40&gt;CE614,1,0),0)</f>
        <v>0</v>
      </c>
      <c r="CE615" s="115">
        <f t="shared" si="564"/>
        <v>0</v>
      </c>
      <c r="CF615" s="115">
        <f>IF(OR(CD615=1,模拟模式!$Q$16="2个"),20,MAX(0,CF614-$F$4))</f>
        <v>0</v>
      </c>
      <c r="CG615" s="115" t="b">
        <f t="shared" si="565"/>
        <v>0</v>
      </c>
      <c r="CH615" s="115">
        <f t="shared" ca="1" si="586"/>
        <v>12.472500000000011</v>
      </c>
      <c r="CI615" s="115" t="b">
        <f t="shared" ca="1" si="587"/>
        <v>0</v>
      </c>
      <c r="CJ615" s="119">
        <f t="shared" ca="1" si="588"/>
        <v>0</v>
      </c>
      <c r="CK615" s="115">
        <f t="shared" ca="1" si="589"/>
        <v>0</v>
      </c>
      <c r="CL615" s="115" t="b">
        <f ca="1">AND(模拟模式!$S$7="驱夷逐法",OR(AND(C615="净世破魔击·月",E614&gt;59),AND(C615="净世破魔击·日",F614&gt;59)))</f>
        <v>0</v>
      </c>
      <c r="CM615" s="115" t="b">
        <f ca="1">OR(CL615,AND(C615="净世破魔击·日",CL614,RAND()&lt;模拟模式!$U$23))</f>
        <v>0</v>
      </c>
      <c r="CN615" s="115" t="b">
        <f ca="1">IF(模拟模式!$M$7="辉耀红尘",AND(C615="净世破魔击·月",CL615,CV615=0,E614&lt;80),AND(C615="净世破魔击·月",CL615,E614&lt;100))</f>
        <v>0</v>
      </c>
      <c r="CO615" s="115" t="b">
        <f t="shared" ca="1" si="566"/>
        <v>0</v>
      </c>
      <c r="CP615" s="115" t="b">
        <f ca="1">AND(模拟模式!$O$7="用晦而明",OR(C615="净世破魔击·日",C615="净世破魔击·月",C615="驱夜断愁"),AB615)</f>
        <v>1</v>
      </c>
      <c r="CQ615" s="115" t="b">
        <f ca="1">OR(CP615,AND(CP614,RAND()&lt;模拟模式!$U$23))</f>
        <v>1</v>
      </c>
      <c r="CR615" s="115" t="b">
        <f ca="1">AND(模拟模式!$S$7="日月齐光",OR(C615="幽月轮1",C615="幽月轮2",C615="幽月轮3",CR614),NOT(OR(C615="赤日轮1",C615="赤日轮2",C615="赤日轮3")))</f>
        <v>0</v>
      </c>
      <c r="CS615" s="115" t="b">
        <f ca="1">AND(模拟模式!$S$7="日月齐光",OR(C615="赤日轮1",C615="赤日轮2",C615="赤日轮3",CS614),NOT(OR(C615="幽月轮1",C615="幽月轮2",C615="幽月轮3")))</f>
        <v>0</v>
      </c>
      <c r="CT615" s="115">
        <f t="shared" ca="1" si="590"/>
        <v>3.2475000000000116</v>
      </c>
      <c r="CU615" s="115" t="b">
        <f ca="1">AND(模拟模式!$K$10="阴阳往极",CT614=0,RAND()&lt;IF(C615="净世破魔击·月",0.0275*7/3,IF(C615="净世破魔击·日",0.0275*3/3,0.0275*2/3)))</f>
        <v>0</v>
      </c>
      <c r="CV615" s="115">
        <f t="shared" ca="1" si="591"/>
        <v>0</v>
      </c>
      <c r="CW615" s="115">
        <f t="shared" ca="1" si="592"/>
        <v>0.46499999999999975</v>
      </c>
      <c r="CX615" s="115">
        <f t="shared" ca="1" si="593"/>
        <v>5.0774999999999997</v>
      </c>
      <c r="CY615" s="115">
        <f ca="1">MAX(IF($C615="驱夜断愁",IF(模拟模式!$R$7="万念俱寂",6,45),CY614-$F$4),0)</f>
        <v>6</v>
      </c>
      <c r="CZ615" s="115">
        <f t="shared" ca="1" si="567"/>
        <v>0</v>
      </c>
      <c r="DA615" s="115">
        <f ca="1">IF(模拟模式!$N$7="日月同辉",IF(DB614=2,0,MIN(6,IF(AND(OR(C615="赤日轮1",C615="赤日轮2",C615="赤日轮3",C615="幽月轮1",C615="幽月轮2",C615="幽月轮3"),AB615=1),DA614+1,DA614))),0)</f>
        <v>4</v>
      </c>
      <c r="DB615" s="115">
        <f t="shared" ca="1" si="568"/>
        <v>0</v>
      </c>
      <c r="DC615" s="115"/>
      <c r="DD615" s="115"/>
      <c r="DE615" s="115"/>
      <c r="DF615" s="115"/>
      <c r="DG615" s="115"/>
      <c r="DH615" s="115"/>
      <c r="DI615" s="115"/>
      <c r="DJ615" s="115"/>
      <c r="DK615" s="115"/>
      <c r="DL615" s="115"/>
      <c r="DM615" s="115"/>
    </row>
    <row r="616" spans="2:117" x14ac:dyDescent="0.2">
      <c r="B616" s="117">
        <f t="shared" si="569"/>
        <v>543.35250000000599</v>
      </c>
      <c r="C616" s="167" t="str">
        <f t="shared" ca="1" si="538"/>
        <v>烈日斩</v>
      </c>
      <c r="D616" s="115">
        <f ca="1">IF(C616="赤日轮1",1,IF(C616="赤日轮2",2,IF(C616="赤日轮3",3,IF(C616="幽月轮1",4,IF(C616="幽月轮2",5,IF(C616="幽月轮3",6,IF(C616="烈日斩",7,IF(C616="银月斩",8,IF(C616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616="净世破魔击·月",17,IF(C616="驱夜断愁",18,0)))))))))))</f>
        <v>7</v>
      </c>
      <c r="E616" s="115">
        <f ca="1">IF(AND(CU616,OR(C616="幽月轮1",C616="幽月轮2",C616="幽月轮3",C616="银月斩",C616="驱夜断愁",C616="净世破魔击·月")),100,MIN(IF(OR(CN616,BE616),0,IF(OR($C616="赤日轮1",$C616="赤日轮2",$C616="赤日轮3"),E615+20+IF(模拟模式!$I$7="日月凌天",4,0)+IF(CR615,20,0),IF($C616="烈日斩",E615+40,IF($C616="驱夜断愁",IF(模拟模式!$R$7="万念俱寂",E615+20,E615+60),IF($C616="净世破魔击·月",IF(OR(DB615&gt;0,CV615&gt;0),100,IF(模拟模式!$M$7="辉耀红尘",E615+20,E615)),IF($C616="净世破魔击·日",E615-100,E615)))))),100))</f>
        <v>80</v>
      </c>
      <c r="F616" s="115">
        <f ca="1">IF(AND(CU616,OR(C616="赤日轮1",C616="赤日轮2",C616="赤日轮3",C616="烈日斩",C616="净世破魔击·日")),100,MIN(IF(CO616,0,IF(OR($C616="幽月轮1",$C616="幽月轮2",$C616="幽月轮3"),F615+20+IF(模拟模式!$I$7="日月凌天",4,0)+IF(CS615,20,0),IF($C616="银月斩",F615+40+IF(模拟模式!$X$12=1,5,0),IF($C616="驱夜断愁",IF(模拟模式!$R$7="万念俱寂",F615+20,F615+60),IF($C616="净世破魔击·月",IF(模拟模式!$M$7="辉耀红尘",F615-80,F615-100),IF(AND(C616="净世破魔击·日",OR(DB615&gt;0,CV615&gt;0)),100,F615)))))),100))</f>
        <v>85</v>
      </c>
      <c r="G616" s="117">
        <f ca="1">('模拟-全程加成'!$E$3+'模拟-全程加成'!$E$4+'模拟-全程加成'!$E$5+('模拟-全程加成'!$C$6-'模拟-全程加成'!$C$3)*系数!$B$9+BS616*23)*(1+'模拟-全程加成'!$F$4+'模拟-全程加成'!$F$5+BJ616*10%+BM616*20%+BP616*4%+CG616*30%)+$F$7*系数!$B$12</f>
        <v>20583.127400000001</v>
      </c>
      <c r="H616" s="45">
        <f ca="1">'模拟-全程加成'!$H$3+'模拟-全程加成'!$H$4+'模拟-全程加成'!$H$5+('模拟-全程加成'!$G$4+'模拟-全程加成'!$G$5+('模拟-全程加成'!$C$6-'模拟-全程加成'!$C$3)*系数!$B$13)/系数!$B$3+LOOKUP(D616,'模拟-单技能数据'!$A$2:$A$19,'模拟-单技能数据'!$K$2:$K$19)+BG616*10%+IF(BV616&gt;0,378,0)</f>
        <v>0.56185145527300218</v>
      </c>
      <c r="I616" s="45">
        <f ca="1">'模拟-全程加成'!$J$3+'模拟-全程加成'!$J$4+'模拟-全程加成'!$J$5+('模拟-全程加成'!$I$4+'模拟-全程加成'!$I$5)/系数!$B$4+LOOKUP(D616,'模拟-单技能数据'!$A$2:$A$19,'模拟-单技能数据'!$L$2:$L$19)+BG616*10%</f>
        <v>2.2624828854998791</v>
      </c>
      <c r="J616" s="45">
        <f ca="1">(('模拟-全程加成'!$K$3+'模拟-全程加成'!$K$4+'模拟-全程加成'!$K$5+('模拟-全程加成'!$C$6-'模拟-全程加成'!$C$3)*系数!$B$10+IF(BV616&gt;0,882,0)+IF(BY616&gt;0,1831,0))*(1+'模拟-全程加成'!$L$4+'模拟-全程加成'!$L$5+CC616*20%))/系数!$B$5</f>
        <v>0.69723220422048726</v>
      </c>
      <c r="K616" s="119">
        <f ca="1">LOOKUP(D616,'模拟-单技能数据'!$A$2:$A$19,'模拟-单技能数据'!$J$2:$J$19)+IF(CM616,60%,0)+IF(DB615-DB616&gt;0,30%,0)+IF(OR(AND(OR(C616="赤日轮1",C616="赤日轮2",C616="赤日轮3"),CR616),AND(OR(C616="幽月轮1",C616="幽月轮2",C616="幽月轮3"),CS616)),35%,0)+CJ616</f>
        <v>0.24</v>
      </c>
      <c r="L616" s="119">
        <f ca="1">IF(AND(C616="烈日斩",模拟模式!$X$11=1),10%,0)+IF(AND(C616="驱夜断愁",AB616=1),30%,0)</f>
        <v>0.1</v>
      </c>
      <c r="M616" s="45">
        <f t="shared" ca="1" si="539"/>
        <v>0.56185145527300218</v>
      </c>
      <c r="N616" s="45">
        <f t="shared" ca="1" si="540"/>
        <v>0.38424854472699788</v>
      </c>
      <c r="O616" s="46">
        <f t="shared" ca="1" si="570"/>
        <v>0.2373263476022005</v>
      </c>
      <c r="P616" s="46" t="str">
        <f t="shared" ca="1" si="541"/>
        <v>会</v>
      </c>
      <c r="Q616" s="45">
        <f t="shared" ca="1" si="542"/>
        <v>2.2624828854998791</v>
      </c>
      <c r="R616" s="117">
        <f ca="1">模拟模式!$E$20*(1-IF(模拟模式!$J$19="有",0.15,0))*(1-IF(模拟模式!$K$19="有",0.3,0)-IF(CQ616,0.5,0))</f>
        <v>843.02999999999975</v>
      </c>
      <c r="S616" s="45">
        <f ca="1">R616/(R616+(185*模拟模式!$E$22-16800)*4.08224)</f>
        <v>8.389626085980037E-2</v>
      </c>
      <c r="T616" s="45" t="str">
        <f ca="1">LOOKUP(D616,'模拟-单技能数据'!$A$2:$A$19,'模拟-单技能数据'!$H$2:$H$19)</f>
        <v>阳</v>
      </c>
      <c r="U616" s="119">
        <f t="shared" ca="1" si="543"/>
        <v>0.2</v>
      </c>
      <c r="V616" s="47">
        <f ca="1">(1+L616)*(LOOKUP(D616,'模拟-单技能数据'!$A$2:$A$19,'模拟-单技能数据'!$D$2:$D$19)+G616*LOOKUP(D616,'模拟-单技能数据'!$A$2:$A$19,'模拟-单技能数据'!$F$2:$F$19))*(1+J616)*(1+K616)*(1-S616)*(1+U616)*Q616*LOOKUP(D616,'模拟-单技能数据'!$A$2:$A$19,'模拟-单技能数据'!$I$2:$I$20)</f>
        <v>105861.05199666526</v>
      </c>
      <c r="W616" s="47">
        <f ca="1">LOOKUP(D616,'模拟-单技能数据'!$A$2:$A$19,'模拟-单技能数据'!$G$2:$G$19)*$I$10</f>
        <v>361.51064354704795</v>
      </c>
      <c r="X616" s="47">
        <f t="shared" ca="1" si="571"/>
        <v>4074.6980221198578</v>
      </c>
      <c r="Y616" s="47">
        <f t="shared" ca="1" si="544"/>
        <v>110297.26066233218</v>
      </c>
      <c r="Z616" s="49">
        <f t="shared" ca="1" si="545"/>
        <v>61574480.041974232</v>
      </c>
      <c r="AA616" s="97">
        <f t="shared" ca="1" si="546"/>
        <v>113323.26628104877</v>
      </c>
      <c r="AB616" s="115">
        <f ca="1">IF(OR(C616="赤日轮1",C616="赤日轮2",C616="赤日轮3"),IF(RAND()&lt;模拟模式!$Y$17,1,0),IF(OR(C616="幽月轮1",C616="幽月轮2",C616="幽月轮3"),IF(RAND()&lt;模拟模式!$Y$18,1,0),IF(C616="烈日斩",IF(RAND()&lt;模拟模式!$Y$19,1,0),IF(C616="银月斩",IF(RAND()&lt;模拟模式!$Y$20,1,0),IF(C616="驱夜断愁",IF(RAND()&lt;模拟模式!$Y$21,1,0),IF(C616="净世破魔击·日",IF(RAND()&lt;模拟模式!$Y$22,1,0),IF(C616="净世破魔击·月",IF(RAND()&lt;模拟模式!$Y$23,1,0),0)))))))</f>
        <v>1</v>
      </c>
      <c r="AC616" s="115" t="b">
        <f t="shared" ca="1" si="547"/>
        <v>0</v>
      </c>
      <c r="AD616" s="115" t="b">
        <f t="shared" ca="1" si="548"/>
        <v>1</v>
      </c>
      <c r="AE616" s="115">
        <f t="shared" ca="1" si="549"/>
        <v>4</v>
      </c>
      <c r="AF616" s="47">
        <f ca="1">IF(AC616,('模拟-单技能数据'!$D$20+G616*'模拟-单技能数据'!$F$20)*(1+J616)*(1+'模拟-单技能数据'!$J$20)*(1+U616),0)</f>
        <v>0</v>
      </c>
      <c r="AG616" s="61">
        <f t="shared" ca="1" si="550"/>
        <v>0.64185145527300214</v>
      </c>
      <c r="AH616" s="61">
        <f t="shared" ca="1" si="551"/>
        <v>2.2624828854998791</v>
      </c>
      <c r="AI616" s="62">
        <f t="shared" ca="1" si="572"/>
        <v>0.90100589229563111</v>
      </c>
      <c r="AJ616" s="47">
        <f ca="1">IF(AD616,IF(AI616&lt;$F$10,0,IF(AI616&lt;$F$10+$F$11,0.25,IF(AI616&lt;$F$10+$F$11+AG616,AH616,1)))*IF(AF616&gt;0,AF616,IF(AF615&gt;0,AF615,IF(AF614&gt;0,AF614,IF(AF613&gt;0,AF613,IF(AF612&gt;0,AF612,IF(AF611&gt;0,AF611,IF(AF610&gt;0,AF610,IF(AF609&gt;0,AF609,IF(AF608&gt;0,AF608,IF(AF606&gt;0,AF606,IF(AF605&gt;0,AF605,IF(AF604&gt;0,AF604,0)))))))))))),0)*(1-$S616)*'模拟-单技能数据'!$I$20</f>
        <v>4074.6980221198578</v>
      </c>
      <c r="AK616" s="115" t="b">
        <f t="shared" ca="1" si="552"/>
        <v>0</v>
      </c>
      <c r="AL616" s="115" t="b">
        <f t="shared" ca="1" si="553"/>
        <v>0</v>
      </c>
      <c r="AM616" s="115">
        <f t="shared" ca="1" si="554"/>
        <v>4</v>
      </c>
      <c r="AN616" s="47">
        <f ca="1">IF(AK616,('模拟-单技能数据'!$D$21+G616*'模拟-单技能数据'!$F$21)*(1+J616)*(1+'模拟-单技能数据'!$J$21)*(1+U616),0)</f>
        <v>0</v>
      </c>
      <c r="AO616" s="61">
        <f ca="1">IF(AN616&gt;0,M616-'模拟-单技能数据'!$K$10,AO615)</f>
        <v>0.42185145527300216</v>
      </c>
      <c r="AP616" s="61">
        <f ca="1">IF(AN616&gt;0,I616-'模拟-单技能数据'!$L$10,AP615)</f>
        <v>2.162482885499879</v>
      </c>
      <c r="AQ616" s="63">
        <f t="shared" ca="1" si="573"/>
        <v>0.64814103539623114</v>
      </c>
      <c r="AR616" s="64">
        <f ca="1">IF(AL616,IF(AQ616&lt;$F$10,0,IF(AQ616&lt;$F$10+$F$11,0.25,IF(AQ616&lt;$F$10+$F$11+AO616,AP616,1)))*IF(AN616&gt;0,AN616,IF(AN615&gt;0,AN615,IF(AN614&gt;0,AN614,IF(AN613&gt;0,AN613,IF(AN612&gt;0,AN612,IF(AN611&gt;0,AN611,IF(AN610&gt;0,AN610,IF(AN609&gt;0,AN609,IF(AN608&gt;0,AN608,IF(AN606&gt;0,AN606,IF(AN605&gt;0,AN605,IF(AN604&gt;0,AN604,0)))))))))))),0)*(1-$S616)*'模拟-单技能数据'!$I$21</f>
        <v>0</v>
      </c>
      <c r="AS616" s="61">
        <f ca="1">IF(OR(C616="净世破魔击·日",C616="净世破魔击·月"),M616-'模拟-单技能数据'!$K$10,0)</f>
        <v>0</v>
      </c>
      <c r="AT616" s="61">
        <f ca="1">IF(OR(C616="净世破魔击·日",C616="净世破魔击·月"),I616-'模拟-单技能数据'!$L$10,0)</f>
        <v>0</v>
      </c>
      <c r="AU616" s="62">
        <f t="shared" ca="1" si="574"/>
        <v>0.17012233135601429</v>
      </c>
      <c r="AV616" s="64">
        <f ca="1">IF(AS616&gt;0,('模拟-单技能数据'!$D$22+G616*'模拟-单技能数据'!$F$22)*(1+J616)*(1-S616)*IF(AU616&lt;$F$10,0,IF(AU616&lt;$F$10+$F$11,0.25,IF(AU616&lt;$F$10+$F$11+AS616,AT616,1)))*(1+U616),0)*'模拟-单技能数据'!$I$22</f>
        <v>0</v>
      </c>
      <c r="AW616" s="108">
        <f t="shared" ca="1" si="575"/>
        <v>0</v>
      </c>
      <c r="AX616" s="108" t="b">
        <f ca="1">AND(模拟模式!$P$10="有",AW615=0,RAND()&lt;IF(C616="净世破魔击·月",0.1*8/3,IF(C616="净世破魔击·日",0.1*4/3,0.1*2/3)))</f>
        <v>0</v>
      </c>
      <c r="AY616" s="47">
        <f ca="1">IF(AX616,(18+G616*0.722)*(1+J616)*(1-S616)*(1+$I$4)*IF(P616="会",'模拟-全程加成'!$J$3+'模拟-全程加成'!$J$4+'模拟-全程加成'!$J$5+('模拟-全程加成'!$I$4+'模拟-全程加成'!$I$5)/系数!$B$4+BG616*10%,IF(P616="命",1,IF(P616="识",0.25,0))),0)</f>
        <v>0</v>
      </c>
      <c r="AZ616" s="108">
        <f t="shared" si="576"/>
        <v>4.3175000000000061</v>
      </c>
      <c r="BA616" s="108" t="b">
        <f>AND(模拟模式!$Q$10="有",AZ615=0)</f>
        <v>0</v>
      </c>
      <c r="BB616" s="140">
        <f>IF(BA616,(0+G616*0.287)*(1+J616)*(1-S616)*(1+$I$4)*IF(P616="会",'模拟-全程加成'!$J$3+'模拟-全程加成'!$J$4+'模拟-全程加成'!$J$5+('模拟-全程加成'!$I$4+'模拟-全程加成'!$I$5)/系数!$B$4+BG616*10%,IF(P616="命",1,IF(P616="识",0.25,0))),0)</f>
        <v>0</v>
      </c>
      <c r="BC616" s="115" t="b">
        <f ca="1">AND(模拟模式!$R$7="伏明众生",E616=60,F616=20,DA616&lt;5,CZ615&lt;$F$4)</f>
        <v>0</v>
      </c>
      <c r="BD616" s="115">
        <f t="shared" ca="1" si="555"/>
        <v>0</v>
      </c>
      <c r="BE616" s="115" t="b">
        <f t="shared" ca="1" si="556"/>
        <v>0</v>
      </c>
      <c r="BF616" s="47">
        <f ca="1">IF(BC616,4*('模拟-单技能数据'!$D$24+G616*'模拟-单技能数据'!$F$24)*(1+J616)*(1+'模拟-单技能数据'!$J$24)*(1-S616)*(1+$I$3)*(('模拟-全程加成'!$J$3+'模拟-全程加成'!$J$4+'模拟-全程加成'!$J$5+('模拟-全程加成'!$I$4+'模拟-全程加成'!$I$5)/系数!$B$4+BG616*10%)*('模拟-全程加成'!$J$3+'模拟-全程加成'!$J$4+'模拟-全程加成'!$J$5+('模拟-全程加成'!$I$4+'模拟-全程加成'!$I$5)/系数!$B$4+BG616*10%)+(1-('模拟-全程加成'!$J$3+'模拟-全程加成'!$J$4+'模拟-全程加成'!$J$5+('模拟-全程加成'!$I$4+'模拟-全程加成'!$I$5)/系数!$B$4+BG616*10%)-$F$10-$F$11)+F602*0.25),0)*'模拟-单技能数据'!$I$24</f>
        <v>0</v>
      </c>
      <c r="BG616" s="115" t="b">
        <f ca="1">OR(AND(OR(C616="烈日斩",C616="银月斩"),模拟模式!$I$7="净身明礼"),AND(C616="净世破魔击·日",模拟模式!$J$7="洞若观火"),AND(C617="净世破魔击·月",模拟模式!$J$7="洞若观火"),AB616=1)</f>
        <v>1</v>
      </c>
      <c r="BH616" s="115" t="b">
        <f t="shared" ca="1" si="577"/>
        <v>0</v>
      </c>
      <c r="BI616" s="115">
        <f t="shared" ca="1" si="557"/>
        <v>0</v>
      </c>
      <c r="BJ616" s="115" t="b">
        <f t="shared" ca="1" si="558"/>
        <v>0</v>
      </c>
      <c r="BK616" s="115" t="b">
        <f ca="1">AND(C616="驱夜断愁",模拟模式!$P$7="天地诛戮")</f>
        <v>0</v>
      </c>
      <c r="BL616" s="57">
        <f t="shared" ca="1" si="559"/>
        <v>19.077500000000001</v>
      </c>
      <c r="BM616" s="115" t="b">
        <f t="shared" ca="1" si="560"/>
        <v>1</v>
      </c>
      <c r="BN616" s="115" t="b">
        <f ca="1">AND(OR(C616="赤日轮1",C616="赤日轮2",C616="赤日轮3",C616="幽月轮1",C616="幽月轮2",C616="幽月轮3"),AB616=1,模拟模式!$L$7="明光恒照")</f>
        <v>0</v>
      </c>
      <c r="BO616" s="117">
        <f t="shared" ca="1" si="561"/>
        <v>27.232500000000002</v>
      </c>
      <c r="BP616" s="115">
        <f t="shared" ca="1" si="578"/>
        <v>6</v>
      </c>
      <c r="BQ616" s="115" t="b">
        <f>模拟模式!$K$10="2600·水"</f>
        <v>0</v>
      </c>
      <c r="BR616" s="117">
        <f t="shared" si="579"/>
        <v>0</v>
      </c>
      <c r="BS616" s="115">
        <f t="shared" si="580"/>
        <v>0</v>
      </c>
      <c r="BT616" s="115">
        <f t="shared" ca="1" si="581"/>
        <v>0</v>
      </c>
      <c r="BU616" s="115" t="b">
        <f ca="1">AND(模拟模式!$K$10="2300·雷",BT615=0,RAND()&lt;IF(C616="净世破魔击·月",5*0.05*2/3,IF(C616="净世破魔击·日",3*0.05*2/3,0.05*2*2/3)))</f>
        <v>0</v>
      </c>
      <c r="BV616" s="115">
        <f t="shared" ca="1" si="582"/>
        <v>0</v>
      </c>
      <c r="BW616" s="115">
        <f t="shared" ca="1" si="583"/>
        <v>12.104999999999308</v>
      </c>
      <c r="BX616" s="164" t="b">
        <f t="shared" ca="1" si="584"/>
        <v>0</v>
      </c>
      <c r="BY616" s="115">
        <f t="shared" ca="1" si="585"/>
        <v>0</v>
      </c>
      <c r="BZ616" s="115">
        <f>IF(OR(模拟模式!$P$16="10人团",模拟模式!$P$16="25人团"),IF(B616/30&gt;CA615,1,0),0)</f>
        <v>0</v>
      </c>
      <c r="CA616" s="115">
        <f t="shared" si="562"/>
        <v>0</v>
      </c>
      <c r="CB616" s="115">
        <f ca="1">IF(BZ616=1,IF(模拟模式!$P$16="10人团",15,0)+IF(模拟模式!$P$16="25人团",IF(RAND()&lt;0.6,15,0)),MAX(0,CB615-$F$4))</f>
        <v>0</v>
      </c>
      <c r="CC616" s="115" t="b">
        <f t="shared" ca="1" si="563"/>
        <v>0</v>
      </c>
      <c r="CD616" s="115">
        <f>IF(模拟模式!$Q$16="1个",IF(B616/40&gt;CE615,1,0),0)</f>
        <v>0</v>
      </c>
      <c r="CE616" s="115">
        <f t="shared" si="564"/>
        <v>0</v>
      </c>
      <c r="CF616" s="115">
        <f>IF(OR(CD616=1,模拟模式!$Q$16="2个"),20,MAX(0,CF615-$F$4))</f>
        <v>0</v>
      </c>
      <c r="CG616" s="115" t="b">
        <f t="shared" si="565"/>
        <v>0</v>
      </c>
      <c r="CH616" s="115">
        <f t="shared" ca="1" si="586"/>
        <v>11.550000000000011</v>
      </c>
      <c r="CI616" s="115" t="b">
        <f t="shared" ca="1" si="587"/>
        <v>0</v>
      </c>
      <c r="CJ616" s="119">
        <f t="shared" ca="1" si="588"/>
        <v>0</v>
      </c>
      <c r="CK616" s="115">
        <f t="shared" ca="1" si="589"/>
        <v>0</v>
      </c>
      <c r="CL616" s="115" t="b">
        <f ca="1">AND(模拟模式!$S$7="驱夷逐法",OR(AND(C616="净世破魔击·月",E615&gt;59),AND(C616="净世破魔击·日",F615&gt;59)))</f>
        <v>0</v>
      </c>
      <c r="CM616" s="115" t="b">
        <f ca="1">OR(CL616,AND(C616="净世破魔击·日",CL615,RAND()&lt;模拟模式!$U$23))</f>
        <v>0</v>
      </c>
      <c r="CN616" s="115" t="b">
        <f ca="1">IF(模拟模式!$M$7="辉耀红尘",AND(C616="净世破魔击·月",CL616,CV616=0,E615&lt;80),AND(C616="净世破魔击·月",CL616,E615&lt;100))</f>
        <v>0</v>
      </c>
      <c r="CO616" s="115" t="b">
        <f t="shared" ca="1" si="566"/>
        <v>0</v>
      </c>
      <c r="CP616" s="115" t="b">
        <f ca="1">AND(模拟模式!$O$7="用晦而明",OR(C616="净世破魔击·日",C616="净世破魔击·月",C616="驱夜断愁"),AB616)</f>
        <v>0</v>
      </c>
      <c r="CQ616" s="115" t="b">
        <f ca="1">OR(CP616,AND(CP615,RAND()&lt;模拟模式!$U$23))</f>
        <v>1</v>
      </c>
      <c r="CR616" s="115" t="b">
        <f ca="1">AND(模拟模式!$S$7="日月齐光",OR(C616="幽月轮1",C616="幽月轮2",C616="幽月轮3",CR615),NOT(OR(C616="赤日轮1",C616="赤日轮2",C616="赤日轮3")))</f>
        <v>0</v>
      </c>
      <c r="CS616" s="115" t="b">
        <f ca="1">AND(模拟模式!$S$7="日月齐光",OR(C616="赤日轮1",C616="赤日轮2",C616="赤日轮3",CS615),NOT(OR(C616="幽月轮1",C616="幽月轮2",C616="幽月轮3")))</f>
        <v>0</v>
      </c>
      <c r="CT616" s="115">
        <f t="shared" ca="1" si="590"/>
        <v>2.3250000000000117</v>
      </c>
      <c r="CU616" s="115" t="b">
        <f ca="1">AND(模拟模式!$K$10="阴阳往极",CT615=0,RAND()&lt;IF(C616="净世破魔击·月",0.0275*7/3,IF(C616="净世破魔击·日",0.0275*3/3,0.0275*2/3)))</f>
        <v>0</v>
      </c>
      <c r="CV616" s="115">
        <f t="shared" ca="1" si="591"/>
        <v>0</v>
      </c>
      <c r="CW616" s="115">
        <f t="shared" ca="1" si="592"/>
        <v>6</v>
      </c>
      <c r="CX616" s="115">
        <f t="shared" ca="1" si="593"/>
        <v>4.1549999999999994</v>
      </c>
      <c r="CY616" s="115">
        <f ca="1">MAX(IF($C616="驱夜断愁",IF(模拟模式!$R$7="万念俱寂",6,45),CY615-$F$4),0)</f>
        <v>5.0774999999999997</v>
      </c>
      <c r="CZ616" s="115">
        <f t="shared" ca="1" si="567"/>
        <v>0</v>
      </c>
      <c r="DA616" s="115">
        <f ca="1">IF(模拟模式!$N$7="日月同辉",IF(DB615=2,0,MIN(6,IF(AND(OR(C616="赤日轮1",C616="赤日轮2",C616="赤日轮3",C616="幽月轮1",C616="幽月轮2",C616="幽月轮3"),AB616=1),DA615+1,DA615))),0)</f>
        <v>4</v>
      </c>
      <c r="DB616" s="115">
        <f t="shared" ca="1" si="568"/>
        <v>0</v>
      </c>
      <c r="DC616" s="115"/>
      <c r="DD616" s="115"/>
      <c r="DE616" s="115"/>
      <c r="DF616" s="115"/>
      <c r="DG616" s="115"/>
      <c r="DH616" s="115"/>
      <c r="DI616" s="115"/>
      <c r="DJ616" s="115"/>
      <c r="DK616" s="115"/>
      <c r="DL616" s="115"/>
      <c r="DM616" s="115"/>
    </row>
    <row r="617" spans="2:117" x14ac:dyDescent="0.2">
      <c r="B617" s="117">
        <f t="shared" si="569"/>
        <v>544.275000000006</v>
      </c>
      <c r="C617" s="167" t="str">
        <f t="shared" ca="1" si="538"/>
        <v>幽月轮1</v>
      </c>
      <c r="D617" s="115">
        <f ca="1">IF(C617="赤日轮1",1,IF(C617="赤日轮2",2,IF(C617="赤日轮3",3,IF(C617="幽月轮1",4,IF(C617="幽月轮2",5,IF(C617="幽月轮3",6,IF(C617="烈日斩",7,IF(C617="银月斩",8,IF(C617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617="净世破魔击·月",17,IF(C617="驱夜断愁",18,0)))))))))))</f>
        <v>4</v>
      </c>
      <c r="E617" s="115">
        <f ca="1">IF(AND(CU617,OR(C617="幽月轮1",C617="幽月轮2",C617="幽月轮3",C617="银月斩",C617="驱夜断愁",C617="净世破魔击·月")),100,MIN(IF(OR(CN617,BE617),0,IF(OR($C617="赤日轮1",$C617="赤日轮2",$C617="赤日轮3"),E616+20+IF(模拟模式!$I$7="日月凌天",4,0)+IF(CR616,20,0),IF($C617="烈日斩",E616+40,IF($C617="驱夜断愁",IF(模拟模式!$R$7="万念俱寂",E616+20,E616+60),IF($C617="净世破魔击·月",IF(OR(DB616&gt;0,CV616&gt;0),100,IF(模拟模式!$M$7="辉耀红尘",E616+20,E616)),IF($C617="净世破魔击·日",E616-100,E616)))))),100))</f>
        <v>80</v>
      </c>
      <c r="F617" s="115">
        <f ca="1">IF(AND(CU617,OR(C617="赤日轮1",C617="赤日轮2",C617="赤日轮3",C617="烈日斩",C617="净世破魔击·日")),100,MIN(IF(CO617,0,IF(OR($C617="幽月轮1",$C617="幽月轮2",$C617="幽月轮3"),F616+20+IF(模拟模式!$I$7="日月凌天",4,0)+IF(CS616,20,0),IF($C617="银月斩",F616+40+IF(模拟模式!$X$12=1,5,0),IF($C617="驱夜断愁",IF(模拟模式!$R$7="万念俱寂",F616+20,F616+60),IF($C617="净世破魔击·月",IF(模拟模式!$M$7="辉耀红尘",F616-80,F616-100),IF(AND(C617="净世破魔击·日",OR(DB616&gt;0,CV616&gt;0)),100,F616)))))),100))</f>
        <v>100</v>
      </c>
      <c r="G617" s="117">
        <f ca="1">('模拟-全程加成'!$E$3+'模拟-全程加成'!$E$4+'模拟-全程加成'!$E$5+('模拟-全程加成'!$C$6-'模拟-全程加成'!$C$3)*系数!$B$9+BS617*23)*(1+'模拟-全程加成'!$F$4+'模拟-全程加成'!$F$5+BJ617*10%+BM617*20%+BP617*4%+CG617*30%)+$F$7*系数!$B$12</f>
        <v>20583.127400000001</v>
      </c>
      <c r="H617" s="45">
        <f ca="1">'模拟-全程加成'!$H$3+'模拟-全程加成'!$H$4+'模拟-全程加成'!$H$5+('模拟-全程加成'!$G$4+'模拟-全程加成'!$G$5+('模拟-全程加成'!$C$6-'模拟-全程加成'!$C$3)*系数!$B$13)/系数!$B$3+LOOKUP(D617,'模拟-单技能数据'!$A$2:$A$19,'模拟-单技能数据'!$K$2:$K$19)+BG617*10%+IF(BV617&gt;0,378,0)</f>
        <v>0.51185145527300213</v>
      </c>
      <c r="I617" s="45">
        <f ca="1">'模拟-全程加成'!$J$3+'模拟-全程加成'!$J$4+'模拟-全程加成'!$J$5+('模拟-全程加成'!$I$4+'模拟-全程加成'!$I$5)/系数!$B$4+LOOKUP(D617,'模拟-单技能数据'!$A$2:$A$19,'模拟-单技能数据'!$L$2:$L$19)+BG617*10%</f>
        <v>2.162482885499879</v>
      </c>
      <c r="J617" s="45">
        <f ca="1">(('模拟-全程加成'!$K$3+'模拟-全程加成'!$K$4+'模拟-全程加成'!$K$5+('模拟-全程加成'!$C$6-'模拟-全程加成'!$C$3)*系数!$B$10+IF(BV617&gt;0,882,0)+IF(BY617&gt;0,1831,0))*(1+'模拟-全程加成'!$L$4+'模拟-全程加成'!$L$5+CC617*20%))/系数!$B$5</f>
        <v>0.69723220422048726</v>
      </c>
      <c r="K617" s="119">
        <f ca="1">LOOKUP(D617,'模拟-单技能数据'!$A$2:$A$19,'模拟-单技能数据'!$J$2:$J$19)+IF(CM617,60%,0)+IF(DB616-DB617&gt;0,30%,0)+IF(OR(AND(OR(C617="赤日轮1",C617="赤日轮2",C617="赤日轮3"),CR617),AND(OR(C617="幽月轮1",C617="幽月轮2",C617="幽月轮3"),CS617)),35%,0)+CJ617</f>
        <v>7.0000000000000007E-2</v>
      </c>
      <c r="L617" s="119">
        <f ca="1">IF(AND(C617="烈日斩",模拟模式!$X$11=1),10%,0)+IF(AND(C617="驱夜断愁",AB617=1),30%,0)</f>
        <v>0</v>
      </c>
      <c r="M617" s="45">
        <f t="shared" ca="1" si="539"/>
        <v>0.51185145527300213</v>
      </c>
      <c r="N617" s="45">
        <f t="shared" ca="1" si="540"/>
        <v>0.43424854472699792</v>
      </c>
      <c r="O617" s="46">
        <f t="shared" ca="1" si="570"/>
        <v>0.89599529869557049</v>
      </c>
      <c r="P617" s="46" t="str">
        <f t="shared" ca="1" si="541"/>
        <v>命</v>
      </c>
      <c r="Q617" s="45">
        <f t="shared" ca="1" si="542"/>
        <v>1</v>
      </c>
      <c r="R617" s="117">
        <f ca="1">模拟模式!$E$20*(1-IF(模拟模式!$J$19="有",0.15,0))*(1-IF(模拟模式!$K$19="有",0.3,0)-IF(CQ617,0.5,0))</f>
        <v>2950.6049999999996</v>
      </c>
      <c r="S617" s="45">
        <f ca="1">R617/(R617+(185*模拟模式!$E$22-16800)*4.08224)</f>
        <v>0.24272716014590323</v>
      </c>
      <c r="T617" s="45" t="str">
        <f ca="1">LOOKUP(D617,'模拟-单技能数据'!$A$2:$A$19,'模拟-单技能数据'!$H$2:$H$19)</f>
        <v>阴</v>
      </c>
      <c r="U617" s="119">
        <f t="shared" ca="1" si="543"/>
        <v>0.08</v>
      </c>
      <c r="V617" s="47">
        <f ca="1">(1+L617)*(LOOKUP(D617,'模拟-单技能数据'!$A$2:$A$19,'模拟-单技能数据'!$D$2:$D$19)+G617*LOOKUP(D617,'模拟-单技能数据'!$A$2:$A$19,'模拟-单技能数据'!$F$2:$F$19))*(1+J617)*(1+K617)*(1-S617)*(1+U617)*Q617*LOOKUP(D617,'模拟-单技能数据'!$A$2:$A$19,'模拟-单技能数据'!$I$2:$I$20)</f>
        <v>16226.218300318291</v>
      </c>
      <c r="W617" s="47">
        <f ca="1">LOOKUP(D617,'模拟-单技能数据'!$A$2:$A$19,'模拟-单技能数据'!$G$2:$G$19)*$I$10</f>
        <v>361.51064354704795</v>
      </c>
      <c r="X617" s="47">
        <f t="shared" ca="1" si="571"/>
        <v>9190.6918139866902</v>
      </c>
      <c r="Y617" s="47">
        <f t="shared" ca="1" si="544"/>
        <v>25778.420757852029</v>
      </c>
      <c r="Z617" s="49">
        <f t="shared" ca="1" si="545"/>
        <v>61600258.462732084</v>
      </c>
      <c r="AA617" s="97">
        <f t="shared" ca="1" si="546"/>
        <v>113178.55580861036</v>
      </c>
      <c r="AB617" s="115">
        <f ca="1">IF(OR(C617="赤日轮1",C617="赤日轮2",C617="赤日轮3"),IF(RAND()&lt;模拟模式!$Y$17,1,0),IF(OR(C617="幽月轮1",C617="幽月轮2",C617="幽月轮3"),IF(RAND()&lt;模拟模式!$Y$18,1,0),IF(C617="烈日斩",IF(RAND()&lt;模拟模式!$Y$19,1,0),IF(C617="银月斩",IF(RAND()&lt;模拟模式!$Y$20,1,0),IF(C617="驱夜断愁",IF(RAND()&lt;模拟模式!$Y$21,1,0),IF(C617="净世破魔击·日",IF(RAND()&lt;模拟模式!$Y$22,1,0),IF(C617="净世破魔击·月",IF(RAND()&lt;模拟模式!$Y$23,1,0),0)))))))</f>
        <v>1</v>
      </c>
      <c r="AC617" s="115" t="b">
        <f t="shared" ca="1" si="547"/>
        <v>0</v>
      </c>
      <c r="AD617" s="115" t="b">
        <f t="shared" ca="1" si="548"/>
        <v>0</v>
      </c>
      <c r="AE617" s="115">
        <f t="shared" ca="1" si="549"/>
        <v>4</v>
      </c>
      <c r="AF617" s="47">
        <f ca="1">IF(AC617,('模拟-单技能数据'!$D$20+G617*'模拟-单技能数据'!$F$20)*(1+J617)*(1+'模拟-单技能数据'!$J$20)*(1+U617),0)</f>
        <v>0</v>
      </c>
      <c r="AG617" s="61">
        <f t="shared" ca="1" si="550"/>
        <v>0.64185145527300214</v>
      </c>
      <c r="AH617" s="61">
        <f t="shared" ca="1" si="551"/>
        <v>2.2624828854998791</v>
      </c>
      <c r="AI617" s="62">
        <f t="shared" ca="1" si="572"/>
        <v>0.49407018728998042</v>
      </c>
      <c r="AJ617" s="47">
        <f ca="1">IF(AD617,IF(AI617&lt;$F$10,0,IF(AI617&lt;$F$10+$F$11,0.25,IF(AI617&lt;$F$10+$F$11+AG617,AH617,1)))*IF(AF617&gt;0,AF617,IF(AF616&gt;0,AF616,IF(AF615&gt;0,AF615,IF(AF614&gt;0,AF614,IF(AF613&gt;0,AF613,IF(AF612&gt;0,AF612,IF(AF611&gt;0,AF611,IF(AF610&gt;0,AF610,IF(AF609&gt;0,AF609,IF(AF607&gt;0,AF607,IF(AF606&gt;0,AF606,IF(AF605&gt;0,AF605,0)))))))))))),0)*(1-$S617)*'模拟-单技能数据'!$I$20</f>
        <v>0</v>
      </c>
      <c r="AK617" s="115" t="b">
        <f t="shared" ca="1" si="552"/>
        <v>0</v>
      </c>
      <c r="AL617" s="115" t="b">
        <f t="shared" ca="1" si="553"/>
        <v>1</v>
      </c>
      <c r="AM617" s="115">
        <f t="shared" ca="1" si="554"/>
        <v>3</v>
      </c>
      <c r="AN617" s="47">
        <f ca="1">IF(AK617,('模拟-单技能数据'!$D$21+G617*'模拟-单技能数据'!$F$21)*(1+J617)*(1+'模拟-单技能数据'!$J$21)*(1+U617),0)</f>
        <v>0</v>
      </c>
      <c r="AO617" s="61">
        <f ca="1">IF(AN617&gt;0,M617-'模拟-单技能数据'!$K$10,AO616)</f>
        <v>0.42185145527300216</v>
      </c>
      <c r="AP617" s="61">
        <f ca="1">IF(AN617&gt;0,I617-'模拟-单技能数据'!$L$10,AP616)</f>
        <v>2.162482885499879</v>
      </c>
      <c r="AQ617" s="63">
        <f t="shared" ca="1" si="573"/>
        <v>0.72196955826910769</v>
      </c>
      <c r="AR617" s="64">
        <f ca="1">IF(AL617,IF(AQ617&lt;$F$10,0,IF(AQ617&lt;$F$10+$F$11,0.25,IF(AQ617&lt;$F$10+$F$11+AO617,AP617,1)))*IF(AN617&gt;0,AN617,IF(AN616&gt;0,AN616,IF(AN615&gt;0,AN615,IF(AN614&gt;0,AN614,IF(AN613&gt;0,AN613,IF(AN612&gt;0,AN612,IF(AN611&gt;0,AN611,IF(AN610&gt;0,AN610,IF(AN609&gt;0,AN609,IF(AN607&gt;0,AN607,IF(AN606&gt;0,AN606,IF(AN605&gt;0,AN605,0)))))))))))),0)*(1-$S617)*'模拟-单技能数据'!$I$21</f>
        <v>9190.6918139866902</v>
      </c>
      <c r="AS617" s="61">
        <f ca="1">IF(OR(C617="净世破魔击·日",C617="净世破魔击·月"),M617-'模拟-单技能数据'!$K$10,0)</f>
        <v>0</v>
      </c>
      <c r="AT617" s="61">
        <f ca="1">IF(OR(C617="净世破魔击·日",C617="净世破魔击·月"),I617-'模拟-单技能数据'!$L$10,0)</f>
        <v>0</v>
      </c>
      <c r="AU617" s="62">
        <f t="shared" ca="1" si="574"/>
        <v>0.43990898364519071</v>
      </c>
      <c r="AV617" s="64">
        <f ca="1">IF(AS617&gt;0,('模拟-单技能数据'!$D$22+G617*'模拟-单技能数据'!$F$22)*(1+J617)*(1-S617)*IF(AU617&lt;$F$10,0,IF(AU617&lt;$F$10+$F$11,0.25,IF(AU617&lt;$F$10+$F$11+AS617,AT617,1)))*(1+U617),0)*'模拟-单技能数据'!$I$22</f>
        <v>0</v>
      </c>
      <c r="AW617" s="108">
        <f t="shared" ca="1" si="575"/>
        <v>0</v>
      </c>
      <c r="AX617" s="108" t="b">
        <f ca="1">AND(模拟模式!$P$10="有",AW616=0,RAND()&lt;IF(C617="净世破魔击·月",0.1*8/3,IF(C617="净世破魔击·日",0.1*4/3,0.1*2/3)))</f>
        <v>0</v>
      </c>
      <c r="AY617" s="47">
        <f ca="1">IF(AX617,(18+G617*0.722)*(1+J617)*(1-S617)*(1+$I$4)*IF(P617="会",'模拟-全程加成'!$J$3+'模拟-全程加成'!$J$4+'模拟-全程加成'!$J$5+('模拟-全程加成'!$I$4+'模拟-全程加成'!$I$5)/系数!$B$4+BG617*10%,IF(P617="命",1,IF(P617="识",0.25,0))),0)</f>
        <v>0</v>
      </c>
      <c r="AZ617" s="108">
        <f t="shared" si="576"/>
        <v>3.3950000000000062</v>
      </c>
      <c r="BA617" s="108" t="b">
        <f>AND(模拟模式!$Q$10="有",AZ616=0)</f>
        <v>0</v>
      </c>
      <c r="BB617" s="140">
        <f>IF(BA617,(0+G617*0.287)*(1+J617)*(1-S617)*(1+$I$4)*IF(P617="会",'模拟-全程加成'!$J$3+'模拟-全程加成'!$J$4+'模拟-全程加成'!$J$5+('模拟-全程加成'!$I$4+'模拟-全程加成'!$I$5)/系数!$B$4+BG617*10%,IF(P617="命",1,IF(P617="识",0.25,0))),0)</f>
        <v>0</v>
      </c>
      <c r="BC617" s="115" t="b">
        <f ca="1">AND(模拟模式!$R$7="伏明众生",E617=60,F617=20,DA617&lt;5,CZ616&lt;$F$4)</f>
        <v>0</v>
      </c>
      <c r="BD617" s="115">
        <f t="shared" ca="1" si="555"/>
        <v>0</v>
      </c>
      <c r="BE617" s="115" t="b">
        <f t="shared" ca="1" si="556"/>
        <v>0</v>
      </c>
      <c r="BF617" s="47">
        <f ca="1">IF(BC617,4*('模拟-单技能数据'!$D$24+G617*'模拟-单技能数据'!$F$24)*(1+J617)*(1+'模拟-单技能数据'!$J$24)*(1-S617)*(1+$I$3)*(('模拟-全程加成'!$J$3+'模拟-全程加成'!$J$4+'模拟-全程加成'!$J$5+('模拟-全程加成'!$I$4+'模拟-全程加成'!$I$5)/系数!$B$4+BG617*10%)*('模拟-全程加成'!$J$3+'模拟-全程加成'!$J$4+'模拟-全程加成'!$J$5+('模拟-全程加成'!$I$4+'模拟-全程加成'!$I$5)/系数!$B$4+BG617*10%)+(1-('模拟-全程加成'!$J$3+'模拟-全程加成'!$J$4+'模拟-全程加成'!$J$5+('模拟-全程加成'!$I$4+'模拟-全程加成'!$I$5)/系数!$B$4+BG617*10%)-$F$10-$F$11)+F603*0.25),0)*'模拟-单技能数据'!$I$24</f>
        <v>0</v>
      </c>
      <c r="BG617" s="115" t="b">
        <f ca="1">OR(AND(OR(C617="烈日斩",C617="银月斩"),模拟模式!$I$7="净身明礼"),AND(C617="净世破魔击·日",模拟模式!$J$7="洞若观火"),AND(C618="净世破魔击·月",模拟模式!$J$7="洞若观火"),AB617=1)</f>
        <v>1</v>
      </c>
      <c r="BH617" s="115" t="b">
        <f t="shared" ca="1" si="577"/>
        <v>0</v>
      </c>
      <c r="BI617" s="115">
        <f t="shared" ca="1" si="557"/>
        <v>0</v>
      </c>
      <c r="BJ617" s="115" t="b">
        <f t="shared" ca="1" si="558"/>
        <v>0</v>
      </c>
      <c r="BK617" s="115" t="b">
        <f ca="1">AND(C617="驱夜断愁",模拟模式!$P$7="天地诛戮")</f>
        <v>0</v>
      </c>
      <c r="BL617" s="57">
        <f t="shared" ca="1" si="559"/>
        <v>18.155000000000001</v>
      </c>
      <c r="BM617" s="115" t="b">
        <f t="shared" ca="1" si="560"/>
        <v>1</v>
      </c>
      <c r="BN617" s="115" t="b">
        <f ca="1">AND(OR(C617="赤日轮1",C617="赤日轮2",C617="赤日轮3",C617="幽月轮1",C617="幽月轮2",C617="幽月轮3"),AB617=1,模拟模式!$L$7="明光恒照")</f>
        <v>1</v>
      </c>
      <c r="BO617" s="117">
        <f t="shared" ca="1" si="561"/>
        <v>30</v>
      </c>
      <c r="BP617" s="115">
        <f t="shared" ca="1" si="578"/>
        <v>6</v>
      </c>
      <c r="BQ617" s="115" t="b">
        <f>模拟模式!$K$10="2600·水"</f>
        <v>0</v>
      </c>
      <c r="BR617" s="117">
        <f t="shared" si="579"/>
        <v>0</v>
      </c>
      <c r="BS617" s="115">
        <f t="shared" si="580"/>
        <v>0</v>
      </c>
      <c r="BT617" s="115">
        <f t="shared" ca="1" si="581"/>
        <v>0</v>
      </c>
      <c r="BU617" s="115" t="b">
        <f ca="1">AND(模拟模式!$K$10="2300·雷",BT616=0,RAND()&lt;IF(C617="净世破魔击·月",5*0.05*2/3,IF(C617="净世破魔击·日",3*0.05*2/3,0.05*2*2/3)))</f>
        <v>0</v>
      </c>
      <c r="BV617" s="115">
        <f t="shared" ca="1" si="582"/>
        <v>0</v>
      </c>
      <c r="BW617" s="115">
        <f t="shared" ca="1" si="583"/>
        <v>11.182499999999308</v>
      </c>
      <c r="BX617" s="164" t="b">
        <f t="shared" ca="1" si="584"/>
        <v>0</v>
      </c>
      <c r="BY617" s="115">
        <f t="shared" ca="1" si="585"/>
        <v>0</v>
      </c>
      <c r="BZ617" s="115">
        <f>IF(OR(模拟模式!$P$16="10人团",模拟模式!$P$16="25人团"),IF(B617/30&gt;CA616,1,0),0)</f>
        <v>0</v>
      </c>
      <c r="CA617" s="115">
        <f t="shared" si="562"/>
        <v>0</v>
      </c>
      <c r="CB617" s="115">
        <f ca="1">IF(BZ617=1,IF(模拟模式!$P$16="10人团",15,0)+IF(模拟模式!$P$16="25人团",IF(RAND()&lt;0.6,15,0)),MAX(0,CB616-$F$4))</f>
        <v>0</v>
      </c>
      <c r="CC617" s="115" t="b">
        <f t="shared" ca="1" si="563"/>
        <v>0</v>
      </c>
      <c r="CD617" s="115">
        <f>IF(模拟模式!$Q$16="1个",IF(B617/40&gt;CE616,1,0),0)</f>
        <v>0</v>
      </c>
      <c r="CE617" s="115">
        <f t="shared" si="564"/>
        <v>0</v>
      </c>
      <c r="CF617" s="115">
        <f>IF(OR(CD617=1,模拟模式!$Q$16="2个"),20,MAX(0,CF616-$F$4))</f>
        <v>0</v>
      </c>
      <c r="CG617" s="115" t="b">
        <f t="shared" si="565"/>
        <v>0</v>
      </c>
      <c r="CH617" s="115">
        <f t="shared" ca="1" si="586"/>
        <v>10.627500000000012</v>
      </c>
      <c r="CI617" s="115" t="b">
        <f t="shared" ca="1" si="587"/>
        <v>0</v>
      </c>
      <c r="CJ617" s="119">
        <f t="shared" ca="1" si="588"/>
        <v>0</v>
      </c>
      <c r="CK617" s="115">
        <f t="shared" ca="1" si="589"/>
        <v>0</v>
      </c>
      <c r="CL617" s="115" t="b">
        <f ca="1">AND(模拟模式!$S$7="驱夷逐法",OR(AND(C617="净世破魔击·月",E616&gt;59),AND(C617="净世破魔击·日",F616&gt;59)))</f>
        <v>0</v>
      </c>
      <c r="CM617" s="115" t="b">
        <f ca="1">OR(CL617,AND(C617="净世破魔击·日",CL616,RAND()&lt;模拟模式!$U$23))</f>
        <v>0</v>
      </c>
      <c r="CN617" s="115" t="b">
        <f ca="1">IF(模拟模式!$M$7="辉耀红尘",AND(C617="净世破魔击·月",CL617,CV617=0,E616&lt;80),AND(C617="净世破魔击·月",CL617,E616&lt;100))</f>
        <v>0</v>
      </c>
      <c r="CO617" s="115" t="b">
        <f t="shared" ca="1" si="566"/>
        <v>0</v>
      </c>
      <c r="CP617" s="115" t="b">
        <f ca="1">AND(模拟模式!$O$7="用晦而明",OR(C617="净世破魔击·日",C617="净世破魔击·月",C617="驱夜断愁"),AB617)</f>
        <v>0</v>
      </c>
      <c r="CQ617" s="115" t="b">
        <f ca="1">OR(CP617,AND(CP616,RAND()&lt;模拟模式!$U$23))</f>
        <v>0</v>
      </c>
      <c r="CR617" s="115" t="b">
        <f ca="1">AND(模拟模式!$S$7="日月齐光",OR(C617="幽月轮1",C617="幽月轮2",C617="幽月轮3",CR616),NOT(OR(C617="赤日轮1",C617="赤日轮2",C617="赤日轮3")))</f>
        <v>0</v>
      </c>
      <c r="CS617" s="115" t="b">
        <f ca="1">AND(模拟模式!$S$7="日月齐光",OR(C617="赤日轮1",C617="赤日轮2",C617="赤日轮3",CS616),NOT(OR(C617="幽月轮1",C617="幽月轮2",C617="幽月轮3")))</f>
        <v>0</v>
      </c>
      <c r="CT617" s="115">
        <f t="shared" ca="1" si="590"/>
        <v>1.4025000000000118</v>
      </c>
      <c r="CU617" s="115" t="b">
        <f ca="1">AND(模拟模式!$K$10="阴阳往极",CT616=0,RAND()&lt;IF(C617="净世破魔击·月",0.0275*7/3,IF(C617="净世破魔击·日",0.0275*3/3,0.0275*2/3)))</f>
        <v>0</v>
      </c>
      <c r="CV617" s="115">
        <f t="shared" ca="1" si="591"/>
        <v>0</v>
      </c>
      <c r="CW617" s="115">
        <f t="shared" ca="1" si="592"/>
        <v>5.0774999999999997</v>
      </c>
      <c r="CX617" s="115">
        <f t="shared" ca="1" si="593"/>
        <v>3.2324999999999995</v>
      </c>
      <c r="CY617" s="115">
        <f ca="1">MAX(IF($C617="驱夜断愁",IF(模拟模式!$R$7="万念俱寂",6,45),CY616-$F$4),0)</f>
        <v>4.1549999999999994</v>
      </c>
      <c r="CZ617" s="115">
        <f t="shared" ca="1" si="567"/>
        <v>0</v>
      </c>
      <c r="DA617" s="115">
        <f ca="1">IF(模拟模式!$N$7="日月同辉",IF(DB616=2,0,MIN(6,IF(AND(OR(C617="赤日轮1",C617="赤日轮2",C617="赤日轮3",C617="幽月轮1",C617="幽月轮2",C617="幽月轮3"),AB617=1),DA616+1,DA616))),0)</f>
        <v>5</v>
      </c>
      <c r="DB617" s="115">
        <f t="shared" ca="1" si="568"/>
        <v>0</v>
      </c>
      <c r="DC617" s="115"/>
      <c r="DD617" s="115"/>
      <c r="DE617" s="115"/>
      <c r="DF617" s="115"/>
      <c r="DG617" s="115"/>
      <c r="DH617" s="115"/>
      <c r="DI617" s="115"/>
      <c r="DJ617" s="115"/>
      <c r="DK617" s="115"/>
      <c r="DL617" s="115"/>
      <c r="DM617" s="115"/>
    </row>
    <row r="618" spans="2:117" x14ac:dyDescent="0.2">
      <c r="B618" s="117">
        <f t="shared" si="569"/>
        <v>545.19750000000602</v>
      </c>
      <c r="C618" s="167" t="str">
        <f t="shared" ca="1" si="538"/>
        <v>净世破魔击·月</v>
      </c>
      <c r="D618" s="115">
        <f ca="1">IF(C618="赤日轮1",1,IF(C618="赤日轮2",2,IF(C618="赤日轮3",3,IF(C618="幽月轮1",4,IF(C618="幽月轮2",5,IF(C618="幽月轮3",6,IF(C618="烈日斩",7,IF(C618="银月斩",8,IF(C618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618="净世破魔击·月",17,IF(C618="驱夜断愁",18,0)))))))))))</f>
        <v>17</v>
      </c>
      <c r="E618" s="115">
        <f ca="1">IF(AND(CU618,OR(C618="幽月轮1",C618="幽月轮2",C618="幽月轮3",C618="银月斩",C618="驱夜断愁",C618="净世破魔击·月")),100,MIN(IF(OR(CN618,BE618),0,IF(OR($C618="赤日轮1",$C618="赤日轮2",$C618="赤日轮3"),E617+20+IF(模拟模式!$I$7="日月凌天",4,0)+IF(CR617,20,0),IF($C618="烈日斩",E617+40,IF($C618="驱夜断愁",IF(模拟模式!$R$7="万念俱寂",E617+20,E617+60),IF($C618="净世破魔击·月",IF(OR(DB617&gt;0,CV617&gt;0),100,IF(模拟模式!$M$7="辉耀红尘",E617+20,E617)),IF($C618="净世破魔击·日",E617-100,E617)))))),100))</f>
        <v>100</v>
      </c>
      <c r="F618" s="115">
        <f ca="1">IF(AND(CU618,OR(C618="赤日轮1",C618="赤日轮2",C618="赤日轮3",C618="烈日斩",C618="净世破魔击·日")),100,MIN(IF(CO618,0,IF(OR($C618="幽月轮1",$C618="幽月轮2",$C618="幽月轮3"),F617+20+IF(模拟模式!$I$7="日月凌天",4,0)+IF(CS617,20,0),IF($C618="银月斩",F617+40+IF(模拟模式!$X$12=1,5,0),IF($C618="驱夜断愁",IF(模拟模式!$R$7="万念俱寂",F617+20,F617+60),IF($C618="净世破魔击·月",IF(模拟模式!$M$7="辉耀红尘",F617-80,F617-100),IF(AND(C618="净世破魔击·日",OR(DB617&gt;0,CV617&gt;0)),100,F617)))))),100))</f>
        <v>20</v>
      </c>
      <c r="G618" s="117">
        <f ca="1">('模拟-全程加成'!$E$3+'模拟-全程加成'!$E$4+'模拟-全程加成'!$E$5+('模拟-全程加成'!$C$6-'模拟-全程加成'!$C$3)*系数!$B$9+BS618*23)*(1+'模拟-全程加成'!$F$4+'模拟-全程加成'!$F$5+BJ618*10%+BM618*20%+BP618*4%+CG618*30%)+$F$7*系数!$B$12</f>
        <v>20583.127400000001</v>
      </c>
      <c r="H618" s="45">
        <f ca="1">'模拟-全程加成'!$H$3+'模拟-全程加成'!$H$4+'模拟-全程加成'!$H$5+('模拟-全程加成'!$G$4+'模拟-全程加成'!$G$5+('模拟-全程加成'!$C$6-'模拟-全程加成'!$C$3)*系数!$B$13)/系数!$B$3+LOOKUP(D618,'模拟-单技能数据'!$A$2:$A$19,'模拟-单技能数据'!$K$2:$K$19)+BG618*10%+IF(BV618&gt;0,378,0)</f>
        <v>0.54185145527300216</v>
      </c>
      <c r="I618" s="45">
        <f ca="1">'模拟-全程加成'!$J$3+'模拟-全程加成'!$J$4+'模拟-全程加成'!$J$5+('模拟-全程加成'!$I$4+'模拟-全程加成'!$I$5)/系数!$B$4+LOOKUP(D618,'模拟-单技能数据'!$A$2:$A$19,'模拟-单技能数据'!$L$2:$L$19)+BG618*10%</f>
        <v>2.162482885499879</v>
      </c>
      <c r="J618" s="45">
        <f ca="1">(('模拟-全程加成'!$K$3+'模拟-全程加成'!$K$4+'模拟-全程加成'!$K$5+('模拟-全程加成'!$C$6-'模拟-全程加成'!$C$3)*系数!$B$10+IF(BV618&gt;0,882,0)+IF(BY618&gt;0,1831,0))*(1+'模拟-全程加成'!$L$4+'模拟-全程加成'!$L$5+CC618*20%))/系数!$B$5</f>
        <v>0.69723220422048726</v>
      </c>
      <c r="K618" s="119">
        <f ca="1">LOOKUP(D618,'模拟-单技能数据'!$A$2:$A$19,'模拟-单技能数据'!$J$2:$J$19)+IF(CM618,60%,0)+IF(DB617-DB618&gt;0,30%,0)+IF(OR(AND(OR(C618="赤日轮1",C618="赤日轮2",C618="赤日轮3"),CR618),AND(OR(C618="幽月轮1",C618="幽月轮2",C618="幽月轮3"),CS618)),35%,0)+CJ618</f>
        <v>0.8</v>
      </c>
      <c r="L618" s="119">
        <f ca="1">IF(AND(C618="烈日斩",模拟模式!$X$11=1),10%,0)+IF(AND(C618="驱夜断愁",AB618=1),30%,0)</f>
        <v>0</v>
      </c>
      <c r="M618" s="45">
        <f t="shared" ca="1" si="539"/>
        <v>0.54185145527300216</v>
      </c>
      <c r="N618" s="45">
        <f t="shared" ca="1" si="540"/>
        <v>0.40424854472699789</v>
      </c>
      <c r="O618" s="46">
        <f t="shared" ca="1" si="570"/>
        <v>0.9022729508481282</v>
      </c>
      <c r="P618" s="46" t="str">
        <f t="shared" ca="1" si="541"/>
        <v>命</v>
      </c>
      <c r="Q618" s="45">
        <f t="shared" ca="1" si="542"/>
        <v>1</v>
      </c>
      <c r="R618" s="117">
        <f ca="1">模拟模式!$E$20*(1-IF(模拟模式!$J$19="有",0.15,0))*(1-IF(模拟模式!$K$19="有",0.3,0)-IF(CQ618,0.5,0))</f>
        <v>843.02999999999975</v>
      </c>
      <c r="S618" s="45">
        <f ca="1">R618/(R618+(185*模拟模式!$E$22-16800)*4.08224)</f>
        <v>8.389626085980037E-2</v>
      </c>
      <c r="T618" s="45" t="str">
        <f ca="1">LOOKUP(D618,'模拟-单技能数据'!$A$2:$A$19,'模拟-单技能数据'!$H$2:$H$19)</f>
        <v>阴</v>
      </c>
      <c r="U618" s="119">
        <f t="shared" ca="1" si="543"/>
        <v>0.08</v>
      </c>
      <c r="V618" s="47">
        <f ca="1">(1+L618)*(LOOKUP(D618,'模拟-单技能数据'!$A$2:$A$19,'模拟-单技能数据'!$D$2:$D$19)+G618*LOOKUP(D618,'模拟-单技能数据'!$A$2:$A$19,'模拟-单技能数据'!$F$2:$F$19))*(1+J618)*(1+K618)*(1-S618)*(1+U618)*Q618*LOOKUP(D618,'模拟-单技能数据'!$A$2:$A$19,'模拟-单技能数据'!$I$2:$I$20)</f>
        <v>80864.621558254468</v>
      </c>
      <c r="W618" s="47">
        <f ca="1">LOOKUP(D618,'模拟-单技能数据'!$A$2:$A$19,'模拟-单技能数据'!$G$2:$G$19)*$I$10</f>
        <v>361.51064354704795</v>
      </c>
      <c r="X618" s="47">
        <f t="shared" ca="1" si="571"/>
        <v>41843.650345632603</v>
      </c>
      <c r="Y618" s="47">
        <f t="shared" ca="1" si="544"/>
        <v>123069.78254743412</v>
      </c>
      <c r="Z618" s="49">
        <f t="shared" ca="1" si="545"/>
        <v>61723328.245279521</v>
      </c>
      <c r="AA618" s="97">
        <f t="shared" ca="1" si="546"/>
        <v>113212.7866420496</v>
      </c>
      <c r="AB618" s="115">
        <f ca="1">IF(OR(C618="赤日轮1",C618="赤日轮2",C618="赤日轮3"),IF(RAND()&lt;模拟模式!$Y$17,1,0),IF(OR(C618="幽月轮1",C618="幽月轮2",C618="幽月轮3"),IF(RAND()&lt;模拟模式!$Y$18,1,0),IF(C618="烈日斩",IF(RAND()&lt;模拟模式!$Y$19,1,0),IF(C618="银月斩",IF(RAND()&lt;模拟模式!$Y$20,1,0),IF(C618="驱夜断愁",IF(RAND()&lt;模拟模式!$Y$21,1,0),IF(C618="净世破魔击·日",IF(RAND()&lt;模拟模式!$Y$22,1,0),IF(C618="净世破魔击·月",IF(RAND()&lt;模拟模式!$Y$23,1,0),0)))))))</f>
        <v>1</v>
      </c>
      <c r="AC618" s="115" t="b">
        <f t="shared" ca="1" si="547"/>
        <v>0</v>
      </c>
      <c r="AD618" s="115" t="b">
        <f t="shared" ca="1" si="548"/>
        <v>1</v>
      </c>
      <c r="AE618" s="115">
        <f t="shared" ca="1" si="549"/>
        <v>3</v>
      </c>
      <c r="AF618" s="47">
        <f ca="1">IF(AC618,('模拟-单技能数据'!$D$20+G618*'模拟-单技能数据'!$F$20)*(1+J618)*(1+'模拟-单技能数据'!$J$20)*(1+U618),0)</f>
        <v>0</v>
      </c>
      <c r="AG618" s="61">
        <f t="shared" ca="1" si="550"/>
        <v>0.64185145527300214</v>
      </c>
      <c r="AH618" s="61">
        <f t="shared" ca="1" si="551"/>
        <v>2.2624828854998791</v>
      </c>
      <c r="AI618" s="62">
        <f t="shared" ca="1" si="572"/>
        <v>0.34978015810285468</v>
      </c>
      <c r="AJ618" s="47">
        <f ca="1">IF(AD618,IF(AI618&lt;$F$10,0,IF(AI618&lt;$F$10+$F$11,0.25,IF(AI618&lt;$F$10+$F$11+AG618,AH618,1)))*IF(AF618&gt;0,AF618,IF(AF617&gt;0,AF617,IF(AF616&gt;0,AF616,IF(AF615&gt;0,AF615,IF(AF614&gt;0,AF614,IF(AF613&gt;0,AF613,IF(AF612&gt;0,AF612,IF(AF611&gt;0,AF611,IF(AF610&gt;0,AF610,IF(AF608&gt;0,AF608,IF(AF607&gt;0,AF607,IF(AF606&gt;0,AF606,0)))))))))))),0)*(1-$S618)*'模拟-单技能数据'!$I$20</f>
        <v>9218.9345386263849</v>
      </c>
      <c r="AK618" s="115" t="b">
        <f t="shared" ca="1" si="552"/>
        <v>0</v>
      </c>
      <c r="AL618" s="115" t="b">
        <f t="shared" ca="1" si="553"/>
        <v>0</v>
      </c>
      <c r="AM618" s="115">
        <f t="shared" ca="1" si="554"/>
        <v>3</v>
      </c>
      <c r="AN618" s="47">
        <f ca="1">IF(AK618,('模拟-单技能数据'!$D$21+G618*'模拟-单技能数据'!$F$21)*(1+J618)*(1+'模拟-单技能数据'!$J$21)*(1+U618),0)</f>
        <v>0</v>
      </c>
      <c r="AO618" s="61">
        <f ca="1">IF(AN618&gt;0,M618-'模拟-单技能数据'!$K$10,AO617)</f>
        <v>0.42185145527300216</v>
      </c>
      <c r="AP618" s="61">
        <f ca="1">IF(AN618&gt;0,I618-'模拟-单技能数据'!$L$10,AP617)</f>
        <v>2.162482885499879</v>
      </c>
      <c r="AQ618" s="63">
        <f t="shared" ca="1" si="573"/>
        <v>0.13802563516520905</v>
      </c>
      <c r="AR618" s="64">
        <f ca="1">IF(AL618,IF(AQ618&lt;$F$10,0,IF(AQ618&lt;$F$10+$F$11,0.25,IF(AQ618&lt;$F$10+$F$11+AO618,AP618,1)))*IF(AN618&gt;0,AN618,IF(AN617&gt;0,AN617,IF(AN616&gt;0,AN616,IF(AN615&gt;0,AN615,IF(AN614&gt;0,AN614,IF(AN613&gt;0,AN613,IF(AN612&gt;0,AN612,IF(AN611&gt;0,AN611,IF(AN610&gt;0,AN610,IF(AN608&gt;0,AN608,IF(AN607&gt;0,AN607,IF(AN606&gt;0,AN606,0)))))))))))),0)*(1-$S618)*'模拟-单技能数据'!$I$21</f>
        <v>0</v>
      </c>
      <c r="AS618" s="61">
        <f ca="1">IF(OR(C618="净世破魔击·日",C618="净世破魔击·月"),M618-'模拟-单技能数据'!$K$10,0)</f>
        <v>0.42185145527300216</v>
      </c>
      <c r="AT618" s="61">
        <f ca="1">IF(OR(C618="净世破魔击·日",C618="净世破魔击·月"),I618-'模拟-单技能数据'!$L$10,0)</f>
        <v>2.162482885499879</v>
      </c>
      <c r="AU618" s="62">
        <f t="shared" ca="1" si="574"/>
        <v>0.97817594664199536</v>
      </c>
      <c r="AV618" s="64">
        <f ca="1">IF(AS618&gt;0,('模拟-单技能数据'!$D$22+G618*'模拟-单技能数据'!$F$22)*(1+J618)*(1-S618)*IF(AU618&lt;$F$10,0,IF(AU618&lt;$F$10+$F$11,0.25,IF(AU618&lt;$F$10+$F$11+AS618,AT618,1)))*(1+U618),0)*'模拟-单技能数据'!$I$22</f>
        <v>7639.4517521048492</v>
      </c>
      <c r="AW618" s="108">
        <f t="shared" ca="1" si="575"/>
        <v>19.077500000000001</v>
      </c>
      <c r="AX618" s="108" t="b">
        <f ca="1">AND(模拟模式!$P$10="有",AW617=0,RAND()&lt;IF(C618="净世破魔击·月",0.1*8/3,IF(C618="净世破魔击·日",0.1*4/3,0.1*2/3)))</f>
        <v>1</v>
      </c>
      <c r="AY618" s="47">
        <f ca="1">IF(AX618,(18+G618*0.722)*(1+J618)*(1-S618)*(1+$I$4)*IF(P618="会",'模拟-全程加成'!$J$3+'模拟-全程加成'!$J$4+'模拟-全程加成'!$J$5+('模拟-全程加成'!$I$4+'模拟-全程加成'!$I$5)/系数!$B$4+BG618*10%,IF(P618="命",1,IF(P618="识",0.25,0))),0)</f>
        <v>24985.264054901363</v>
      </c>
      <c r="AZ618" s="108">
        <f t="shared" si="576"/>
        <v>2.4725000000000064</v>
      </c>
      <c r="BA618" s="108" t="b">
        <f>AND(模拟模式!$Q$10="有",AZ617=0)</f>
        <v>0</v>
      </c>
      <c r="BB618" s="140">
        <f>IF(BA618,(0+G618*0.287)*(1+J618)*(1-S618)*(1+$I$4)*IF(P618="会",'模拟-全程加成'!$J$3+'模拟-全程加成'!$J$4+'模拟-全程加成'!$J$5+('模拟-全程加成'!$I$4+'模拟-全程加成'!$I$5)/系数!$B$4+BG618*10%,IF(P618="命",1,IF(P618="识",0.25,0))),0)</f>
        <v>0</v>
      </c>
      <c r="BC618" s="115" t="b">
        <f ca="1">AND(模拟模式!$R$7="伏明众生",E618=60,F618=20,DA618&lt;5,CZ617&lt;$F$4)</f>
        <v>0</v>
      </c>
      <c r="BD618" s="115">
        <f t="shared" ca="1" si="555"/>
        <v>0</v>
      </c>
      <c r="BE618" s="115" t="b">
        <f t="shared" ca="1" si="556"/>
        <v>0</v>
      </c>
      <c r="BF618" s="47">
        <f ca="1">IF(BC618,4*('模拟-单技能数据'!$D$24+G618*'模拟-单技能数据'!$F$24)*(1+J618)*(1+'模拟-单技能数据'!$J$24)*(1-S618)*(1+$I$3)*(('模拟-全程加成'!$J$3+'模拟-全程加成'!$J$4+'模拟-全程加成'!$J$5+('模拟-全程加成'!$I$4+'模拟-全程加成'!$I$5)/系数!$B$4+BG618*10%)*('模拟-全程加成'!$J$3+'模拟-全程加成'!$J$4+'模拟-全程加成'!$J$5+('模拟-全程加成'!$I$4+'模拟-全程加成'!$I$5)/系数!$B$4+BG618*10%)+(1-('模拟-全程加成'!$J$3+'模拟-全程加成'!$J$4+'模拟-全程加成'!$J$5+('模拟-全程加成'!$I$4+'模拟-全程加成'!$I$5)/系数!$B$4+BG618*10%)-$F$10-$F$11)+F604*0.25),0)*'模拟-单技能数据'!$I$24</f>
        <v>0</v>
      </c>
      <c r="BG618" s="115" t="b">
        <f ca="1">OR(AND(OR(C618="烈日斩",C618="银月斩"),模拟模式!$I$7="净身明礼"),AND(C618="净世破魔击·日",模拟模式!$J$7="洞若观火"),AND(C619="净世破魔击·月",模拟模式!$J$7="洞若观火"),AB618=1)</f>
        <v>1</v>
      </c>
      <c r="BH618" s="115" t="b">
        <f t="shared" ca="1" si="577"/>
        <v>0</v>
      </c>
      <c r="BI618" s="115">
        <f t="shared" ca="1" si="557"/>
        <v>0</v>
      </c>
      <c r="BJ618" s="115" t="b">
        <f t="shared" ca="1" si="558"/>
        <v>0</v>
      </c>
      <c r="BK618" s="115" t="b">
        <f ca="1">AND(C618="驱夜断愁",模拟模式!$P$7="天地诛戮")</f>
        <v>0</v>
      </c>
      <c r="BL618" s="57">
        <f t="shared" ca="1" si="559"/>
        <v>17.232500000000002</v>
      </c>
      <c r="BM618" s="115" t="b">
        <f t="shared" ca="1" si="560"/>
        <v>1</v>
      </c>
      <c r="BN618" s="115" t="b">
        <f ca="1">AND(OR(C618="赤日轮1",C618="赤日轮2",C618="赤日轮3",C618="幽月轮1",C618="幽月轮2",C618="幽月轮3"),AB618=1,模拟模式!$L$7="明光恒照")</f>
        <v>0</v>
      </c>
      <c r="BO618" s="117">
        <f t="shared" ca="1" si="561"/>
        <v>29.077500000000001</v>
      </c>
      <c r="BP618" s="115">
        <f t="shared" ca="1" si="578"/>
        <v>6</v>
      </c>
      <c r="BQ618" s="115" t="b">
        <f>模拟模式!$K$10="2600·水"</f>
        <v>0</v>
      </c>
      <c r="BR618" s="117">
        <f t="shared" si="579"/>
        <v>0</v>
      </c>
      <c r="BS618" s="115">
        <f t="shared" si="580"/>
        <v>0</v>
      </c>
      <c r="BT618" s="115">
        <f t="shared" ca="1" si="581"/>
        <v>0</v>
      </c>
      <c r="BU618" s="115" t="b">
        <f ca="1">AND(模拟模式!$K$10="2300·雷",BT617=0,RAND()&lt;IF(C618="净世破魔击·月",5*0.05*2/3,IF(C618="净世破魔击·日",3*0.05*2/3,0.05*2*2/3)))</f>
        <v>0</v>
      </c>
      <c r="BV618" s="115">
        <f t="shared" ca="1" si="582"/>
        <v>0</v>
      </c>
      <c r="BW618" s="115">
        <f t="shared" ca="1" si="583"/>
        <v>10.259999999999309</v>
      </c>
      <c r="BX618" s="164" t="b">
        <f t="shared" ca="1" si="584"/>
        <v>0</v>
      </c>
      <c r="BY618" s="115">
        <f t="shared" ca="1" si="585"/>
        <v>0</v>
      </c>
      <c r="BZ618" s="115">
        <f>IF(OR(模拟模式!$P$16="10人团",模拟模式!$P$16="25人团"),IF(B618/30&gt;CA617,1,0),0)</f>
        <v>0</v>
      </c>
      <c r="CA618" s="115">
        <f t="shared" si="562"/>
        <v>0</v>
      </c>
      <c r="CB618" s="115">
        <f ca="1">IF(BZ618=1,IF(模拟模式!$P$16="10人团",15,0)+IF(模拟模式!$P$16="25人团",IF(RAND()&lt;0.6,15,0)),MAX(0,CB617-$F$4))</f>
        <v>0</v>
      </c>
      <c r="CC618" s="115" t="b">
        <f t="shared" ca="1" si="563"/>
        <v>0</v>
      </c>
      <c r="CD618" s="115">
        <f>IF(模拟模式!$Q$16="1个",IF(B618/40&gt;CE617,1,0),0)</f>
        <v>0</v>
      </c>
      <c r="CE618" s="115">
        <f t="shared" si="564"/>
        <v>0</v>
      </c>
      <c r="CF618" s="115">
        <f>IF(OR(CD618=1,模拟模式!$Q$16="2个"),20,MAX(0,CF617-$F$4))</f>
        <v>0</v>
      </c>
      <c r="CG618" s="115" t="b">
        <f t="shared" si="565"/>
        <v>0</v>
      </c>
      <c r="CH618" s="115">
        <f t="shared" ca="1" si="586"/>
        <v>9.7050000000000125</v>
      </c>
      <c r="CI618" s="115" t="b">
        <f t="shared" ca="1" si="587"/>
        <v>0</v>
      </c>
      <c r="CJ618" s="119">
        <f t="shared" ca="1" si="588"/>
        <v>0</v>
      </c>
      <c r="CK618" s="115">
        <f t="shared" ca="1" si="589"/>
        <v>0</v>
      </c>
      <c r="CL618" s="115" t="b">
        <f ca="1">AND(模拟模式!$S$7="驱夷逐法",OR(AND(C618="净世破魔击·月",E617&gt;59),AND(C618="净世破魔击·日",F617&gt;59)))</f>
        <v>1</v>
      </c>
      <c r="CM618" s="115" t="b">
        <f ca="1">OR(CL618,AND(C618="净世破魔击·日",CL617,RAND()&lt;模拟模式!$U$23))</f>
        <v>1</v>
      </c>
      <c r="CN618" s="115" t="b">
        <f ca="1">IF(模拟模式!$M$7="辉耀红尘",AND(C618="净世破魔击·月",CL618,CV618=0,E617&lt;80),AND(C618="净世破魔击·月",CL618,E617&lt;100))</f>
        <v>0</v>
      </c>
      <c r="CO618" s="115" t="b">
        <f t="shared" ca="1" si="566"/>
        <v>0</v>
      </c>
      <c r="CP618" s="115" t="b">
        <f ca="1">AND(模拟模式!$O$7="用晦而明",OR(C618="净世破魔击·日",C618="净世破魔击·月",C618="驱夜断愁"),AB618)</f>
        <v>1</v>
      </c>
      <c r="CQ618" s="115" t="b">
        <f ca="1">OR(CP618,AND(CP617,RAND()&lt;模拟模式!$U$23))</f>
        <v>1</v>
      </c>
      <c r="CR618" s="115" t="b">
        <f ca="1">AND(模拟模式!$S$7="日月齐光",OR(C618="幽月轮1",C618="幽月轮2",C618="幽月轮3",CR617),NOT(OR(C618="赤日轮1",C618="赤日轮2",C618="赤日轮3")))</f>
        <v>0</v>
      </c>
      <c r="CS618" s="115" t="b">
        <f ca="1">AND(模拟模式!$S$7="日月齐光",OR(C618="赤日轮1",C618="赤日轮2",C618="赤日轮3",CS617),NOT(OR(C618="幽月轮1",C618="幽月轮2",C618="幽月轮3")))</f>
        <v>0</v>
      </c>
      <c r="CT618" s="115">
        <f t="shared" ca="1" si="590"/>
        <v>0.48000000000001186</v>
      </c>
      <c r="CU618" s="115" t="b">
        <f ca="1">AND(模拟模式!$K$10="阴阳往极",CT617=0,RAND()&lt;IF(C618="净世破魔击·月",0.0275*7/3,IF(C618="净世破魔击·日",0.0275*3/3,0.0275*2/3)))</f>
        <v>0</v>
      </c>
      <c r="CV618" s="115">
        <f t="shared" ca="1" si="591"/>
        <v>0</v>
      </c>
      <c r="CW618" s="115">
        <f t="shared" ca="1" si="592"/>
        <v>4.1549999999999994</v>
      </c>
      <c r="CX618" s="115">
        <f t="shared" ca="1" si="593"/>
        <v>2.3099999999999996</v>
      </c>
      <c r="CY618" s="115">
        <f ca="1">MAX(IF($C618="驱夜断愁",IF(模拟模式!$R$7="万念俱寂",6,45),CY617-$F$4),0)</f>
        <v>3.2324999999999995</v>
      </c>
      <c r="CZ618" s="115">
        <f t="shared" ca="1" si="567"/>
        <v>0</v>
      </c>
      <c r="DA618" s="115">
        <f ca="1">IF(模拟模式!$N$7="日月同辉",IF(DB617=2,0,MIN(6,IF(AND(OR(C618="赤日轮1",C618="赤日轮2",C618="赤日轮3",C618="幽月轮1",C618="幽月轮2",C618="幽月轮3"),AB618=1),DA617+1,DA617))),0)</f>
        <v>5</v>
      </c>
      <c r="DB618" s="115">
        <f t="shared" ca="1" si="568"/>
        <v>0</v>
      </c>
      <c r="DC618" s="115"/>
      <c r="DD618" s="115"/>
      <c r="DE618" s="115"/>
      <c r="DF618" s="115"/>
      <c r="DG618" s="115"/>
      <c r="DH618" s="115"/>
      <c r="DI618" s="115"/>
      <c r="DJ618" s="115"/>
      <c r="DK618" s="115"/>
      <c r="DL618" s="115"/>
      <c r="DM618" s="115"/>
    </row>
    <row r="619" spans="2:117" x14ac:dyDescent="0.2">
      <c r="B619" s="117">
        <f t="shared" si="569"/>
        <v>546.12000000000603</v>
      </c>
      <c r="C619" s="167" t="str">
        <f t="shared" ca="1" si="538"/>
        <v>净世破魔击·日</v>
      </c>
      <c r="D619" s="115">
        <f ca="1">IF(C619="赤日轮1",1,IF(C619="赤日轮2",2,IF(C619="赤日轮3",3,IF(C619="幽月轮1",4,IF(C619="幽月轮2",5,IF(C619="幽月轮3",6,IF(C619="烈日斩",7,IF(C619="银月斩",8,IF(C619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619="净世破魔击·月",17,IF(C619="驱夜断愁",18,0)))))))))))</f>
        <v>9</v>
      </c>
      <c r="E619" s="115">
        <f ca="1">IF(AND(CU619,OR(C619="幽月轮1",C619="幽月轮2",C619="幽月轮3",C619="银月斩",C619="驱夜断愁",C619="净世破魔击·月")),100,MIN(IF(OR(CN619,BE619),0,IF(OR($C619="赤日轮1",$C619="赤日轮2",$C619="赤日轮3"),E618+20+IF(模拟模式!$I$7="日月凌天",4,0)+IF(CR618,20,0),IF($C619="烈日斩",E618+40,IF($C619="驱夜断愁",IF(模拟模式!$R$7="万念俱寂",E618+20,E618+60),IF($C619="净世破魔击·月",IF(OR(DB618&gt;0,CV618&gt;0),100,IF(模拟模式!$M$7="辉耀红尘",E618+20,E618)),IF($C619="净世破魔击·日",E618-100,E618)))))),100))</f>
        <v>0</v>
      </c>
      <c r="F619" s="115">
        <f ca="1">IF(AND(CU619,OR(C619="赤日轮1",C619="赤日轮2",C619="赤日轮3",C619="烈日斩",C619="净世破魔击·日")),100,MIN(IF(CO619,0,IF(OR($C619="幽月轮1",$C619="幽月轮2",$C619="幽月轮3"),F618+20+IF(模拟模式!$I$7="日月凌天",4,0)+IF(CS618,20,0),IF($C619="银月斩",F618+40+IF(模拟模式!$X$12=1,5,0),IF($C619="驱夜断愁",IF(模拟模式!$R$7="万念俱寂",F618+20,F618+60),IF($C619="净世破魔击·月",IF(模拟模式!$M$7="辉耀红尘",F618-80,F618-100),IF(AND(C619="净世破魔击·日",OR(DB618&gt;0,CV618&gt;0)),100,F618)))))),100))</f>
        <v>20</v>
      </c>
      <c r="G619" s="117">
        <f ca="1">('模拟-全程加成'!$E$3+'模拟-全程加成'!$E$4+'模拟-全程加成'!$E$5+('模拟-全程加成'!$C$6-'模拟-全程加成'!$C$3)*系数!$B$9+BS619*23)*(1+'模拟-全程加成'!$F$4+'模拟-全程加成'!$F$5+BJ619*10%+BM619*20%+BP619*4%+CG619*30%)+$F$7*系数!$B$12</f>
        <v>20583.127400000001</v>
      </c>
      <c r="H619" s="45">
        <f ca="1">'模拟-全程加成'!$H$3+'模拟-全程加成'!$H$4+'模拟-全程加成'!$H$5+('模拟-全程加成'!$G$4+'模拟-全程加成'!$G$5+('模拟-全程加成'!$C$6-'模拟-全程加成'!$C$3)*系数!$B$13)/系数!$B$3+LOOKUP(D619,'模拟-单技能数据'!$A$2:$A$19,'模拟-单技能数据'!$K$2:$K$19)+BG619*10%+IF(BV619&gt;0,378,0)</f>
        <v>0.54185145527300216</v>
      </c>
      <c r="I619" s="45">
        <f ca="1">'模拟-全程加成'!$J$3+'模拟-全程加成'!$J$4+'模拟-全程加成'!$J$5+('模拟-全程加成'!$I$4+'模拟-全程加成'!$I$5)/系数!$B$4+LOOKUP(D619,'模拟-单技能数据'!$A$2:$A$19,'模拟-单技能数据'!$L$2:$L$19)+BG619*10%</f>
        <v>2.162482885499879</v>
      </c>
      <c r="J619" s="45">
        <f ca="1">(('模拟-全程加成'!$K$3+'模拟-全程加成'!$K$4+'模拟-全程加成'!$K$5+('模拟-全程加成'!$C$6-'模拟-全程加成'!$C$3)*系数!$B$10+IF(BV619&gt;0,882,0)+IF(BY619&gt;0,1831,0))*(1+'模拟-全程加成'!$L$4+'模拟-全程加成'!$L$5+CC619*20%))/系数!$B$5</f>
        <v>0.69723220422048726</v>
      </c>
      <c r="K619" s="119">
        <f ca="1">LOOKUP(D619,'模拟-单技能数据'!$A$2:$A$19,'模拟-单技能数据'!$J$2:$J$19)+IF(CM619,60%,0)+IF(DB618-DB619&gt;0,30%,0)+IF(OR(AND(OR(C619="赤日轮1",C619="赤日轮2",C619="赤日轮3"),CR619),AND(OR(C619="幽月轮1",C619="幽月轮2",C619="幽月轮3"),CS619)),35%,0)+CJ619</f>
        <v>0.8</v>
      </c>
      <c r="L619" s="119">
        <f ca="1">IF(AND(C619="烈日斩",模拟模式!$X$11=1),10%,0)+IF(AND(C619="驱夜断愁",AB619=1),30%,0)</f>
        <v>0</v>
      </c>
      <c r="M619" s="45">
        <f t="shared" ca="1" si="539"/>
        <v>0.54185145527300216</v>
      </c>
      <c r="N619" s="45">
        <f t="shared" ca="1" si="540"/>
        <v>0.40424854472699789</v>
      </c>
      <c r="O619" s="46">
        <f t="shared" ca="1" si="570"/>
        <v>0.67848399554277494</v>
      </c>
      <c r="P619" s="46" t="str">
        <f t="shared" ca="1" si="541"/>
        <v>命</v>
      </c>
      <c r="Q619" s="45">
        <f t="shared" ca="1" si="542"/>
        <v>1</v>
      </c>
      <c r="R619" s="117">
        <f ca="1">模拟模式!$E$20*(1-IF(模拟模式!$J$19="有",0.15,0))*(1-IF(模拟模式!$K$19="有",0.3,0)-IF(CQ619,0.5,0))</f>
        <v>843.02999999999975</v>
      </c>
      <c r="S619" s="45">
        <f ca="1">R619/(R619+(185*模拟模式!$E$22-16800)*4.08224)</f>
        <v>8.389626085980037E-2</v>
      </c>
      <c r="T619" s="45" t="str">
        <f ca="1">LOOKUP(D619,'模拟-单技能数据'!$A$2:$A$19,'模拟-单技能数据'!$H$2:$H$19)</f>
        <v>阳</v>
      </c>
      <c r="U619" s="119">
        <f t="shared" ca="1" si="543"/>
        <v>0.2</v>
      </c>
      <c r="V619" s="47">
        <f ca="1">(1+L619)*(LOOKUP(D619,'模拟-单技能数据'!$A$2:$A$19,'模拟-单技能数据'!$D$2:$D$19)+G619*LOOKUP(D619,'模拟-单技能数据'!$A$2:$A$19,'模拟-单技能数据'!$F$2:$F$19))*(1+J619)*(1+K619)*(1-S619)*(1+U619)*Q619*LOOKUP(D619,'模拟-单技能数据'!$A$2:$A$19,'模拟-单技能数据'!$I$2:$I$20)</f>
        <v>90597.625627626709</v>
      </c>
      <c r="W619" s="47">
        <f ca="1">LOOKUP(D619,'模拟-单技能数据'!$A$2:$A$19,'模拟-单技能数据'!$G$2:$G$19)*$I$10</f>
        <v>723.0212870940959</v>
      </c>
      <c r="X619" s="47">
        <f t="shared" ca="1" si="571"/>
        <v>29474.113140456007</v>
      </c>
      <c r="Y619" s="47">
        <f t="shared" ca="1" si="544"/>
        <v>120794.7600551768</v>
      </c>
      <c r="Z619" s="49">
        <f t="shared" ca="1" si="545"/>
        <v>61844123.005334698</v>
      </c>
      <c r="AA619" s="97">
        <f t="shared" ca="1" si="546"/>
        <v>113242.73603847875</v>
      </c>
      <c r="AB619" s="115">
        <f ca="1">IF(OR(C619="赤日轮1",C619="赤日轮2",C619="赤日轮3"),IF(RAND()&lt;模拟模式!$Y$17,1,0),IF(OR(C619="幽月轮1",C619="幽月轮2",C619="幽月轮3"),IF(RAND()&lt;模拟模式!$Y$18,1,0),IF(C619="烈日斩",IF(RAND()&lt;模拟模式!$Y$19,1,0),IF(C619="银月斩",IF(RAND()&lt;模拟模式!$Y$20,1,0),IF(C619="驱夜断愁",IF(RAND()&lt;模拟模式!$Y$21,1,0),IF(C619="净世破魔击·日",IF(RAND()&lt;模拟模式!$Y$22,1,0),IF(C619="净世破魔击·月",IF(RAND()&lt;模拟模式!$Y$23,1,0),0)))))))</f>
        <v>1</v>
      </c>
      <c r="AC619" s="115" t="b">
        <f t="shared" ca="1" si="547"/>
        <v>0</v>
      </c>
      <c r="AD619" s="115" t="b">
        <f t="shared" ca="1" si="548"/>
        <v>0</v>
      </c>
      <c r="AE619" s="115">
        <f t="shared" ca="1" si="549"/>
        <v>3</v>
      </c>
      <c r="AF619" s="47">
        <f ca="1">IF(AC619,('模拟-单技能数据'!$D$20+G619*'模拟-单技能数据'!$F$20)*(1+J619)*(1+'模拟-单技能数据'!$J$20)*(1+U619),0)</f>
        <v>0</v>
      </c>
      <c r="AG619" s="61">
        <f t="shared" ca="1" si="550"/>
        <v>0.64185145527300214</v>
      </c>
      <c r="AH619" s="61">
        <f t="shared" ca="1" si="551"/>
        <v>2.2624828854998791</v>
      </c>
      <c r="AI619" s="62">
        <f t="shared" ca="1" si="572"/>
        <v>0.7429555409122317</v>
      </c>
      <c r="AJ619" s="47">
        <f ca="1">IF(AD619,IF(AI619&lt;$F$10,0,IF(AI619&lt;$F$10+$F$11,0.25,IF(AI619&lt;$F$10+$F$11+AG619,AH619,1)))*IF(AF619&gt;0,AF619,IF(AF618&gt;0,AF618,IF(AF617&gt;0,AF617,IF(AF616&gt;0,AF616,IF(AF615&gt;0,AF615,IF(AF614&gt;0,AF614,IF(AF613&gt;0,AF613,IF(AF612&gt;0,AF612,IF(AF611&gt;0,AF611,IF(AF609&gt;0,AF609,IF(AF608&gt;0,AF608,IF(AF607&gt;0,AF607,0)))))))))))),0)*(1-$S619)*'模拟-单技能数据'!$I$20</f>
        <v>0</v>
      </c>
      <c r="AK619" s="115" t="b">
        <f t="shared" ca="1" si="552"/>
        <v>1</v>
      </c>
      <c r="AL619" s="115" t="b">
        <f t="shared" ca="1" si="553"/>
        <v>1</v>
      </c>
      <c r="AM619" s="115">
        <f t="shared" ca="1" si="554"/>
        <v>5</v>
      </c>
      <c r="AN619" s="47">
        <f ca="1">IF(AK619,('模拟-单技能数据'!$D$21+G619*'模拟-单技能数据'!$F$21)*(1+J619)*(1+'模拟-单技能数据'!$J$21)*(1+U619),0)</f>
        <v>12136.56601728573</v>
      </c>
      <c r="AO619" s="61">
        <f ca="1">IF(AN619&gt;0,M619-'模拟-单技能数据'!$K$10,AO618)</f>
        <v>0.42185145527300216</v>
      </c>
      <c r="AP619" s="61">
        <f ca="1">IF(AN619&gt;0,I619-'模拟-单技能数据'!$L$10,AP618)</f>
        <v>2.162482885499879</v>
      </c>
      <c r="AQ619" s="63">
        <f t="shared" ca="1" si="573"/>
        <v>0.84521227529715726</v>
      </c>
      <c r="AR619" s="64">
        <f ca="1">IF(AL619,IF(AQ619&lt;$F$10,0,IF(AQ619&lt;$F$10+$F$11,0.25,IF(AQ619&lt;$F$10+$F$11+AO619,AP619,1)))*IF(AN619&gt;0,AN619,IF(AN618&gt;0,AN618,IF(AN617&gt;0,AN617,IF(AN616&gt;0,AN616,IF(AN615&gt;0,AN615,IF(AN614&gt;0,AN614,IF(AN613&gt;0,AN613,IF(AN612&gt;0,AN612,IF(AN611&gt;0,AN611,IF(AN609&gt;0,AN609,IF(AN608&gt;0,AN608,IF(AN607&gt;0,AN607,0)))))))))))),0)*(1-$S619)*'模拟-单技能数据'!$I$21</f>
        <v>11118.353508757338</v>
      </c>
      <c r="AS619" s="61">
        <f ca="1">IF(OR(C619="净世破魔击·日",C619="净世破魔击·月"),M619-'模拟-单技能数据'!$K$10,0)</f>
        <v>0.42185145527300216</v>
      </c>
      <c r="AT619" s="61">
        <f ca="1">IF(OR(C619="净世破魔击·日",C619="净世破魔击·月"),I619-'模拟-单技能数据'!$L$10,0)</f>
        <v>2.162482885499879</v>
      </c>
      <c r="AU619" s="62">
        <f t="shared" ca="1" si="574"/>
        <v>0.14246948839658646</v>
      </c>
      <c r="AV619" s="64">
        <f ca="1">IF(AS619&gt;0,('模拟-单技能数据'!$D$22+G619*'模拟-单技能数据'!$F$22)*(1+J619)*(1-S619)*IF(AU619&lt;$F$10,0,IF(AU619&lt;$F$10+$F$11,0.25,IF(AU619&lt;$F$10+$F$11+AS619,AT619,1)))*(1+U619),0)*'模拟-单技能数据'!$I$22</f>
        <v>18355.759631698667</v>
      </c>
      <c r="AW619" s="108">
        <f t="shared" ca="1" si="575"/>
        <v>18.155000000000001</v>
      </c>
      <c r="AX619" s="108" t="b">
        <f ca="1">AND(模拟模式!$P$10="有",AW618=0,RAND()&lt;IF(C619="净世破魔击·月",0.1*8/3,IF(C619="净世破魔击·日",0.1*4/3,0.1*2/3)))</f>
        <v>0</v>
      </c>
      <c r="AY619" s="47">
        <f ca="1">IF(AX619,(18+G619*0.722)*(1+J619)*(1-S619)*(1+$I$4)*IF(P619="会",'模拟-全程加成'!$J$3+'模拟-全程加成'!$J$4+'模拟-全程加成'!$J$5+('模拟-全程加成'!$I$4+'模拟-全程加成'!$I$5)/系数!$B$4+BG619*10%,IF(P619="命",1,IF(P619="识",0.25,0))),0)</f>
        <v>0</v>
      </c>
      <c r="AZ619" s="108">
        <f t="shared" si="576"/>
        <v>1.5500000000000065</v>
      </c>
      <c r="BA619" s="108" t="b">
        <f>AND(模拟模式!$Q$10="有",AZ618=0)</f>
        <v>0</v>
      </c>
      <c r="BB619" s="140">
        <f>IF(BA619,(0+G619*0.287)*(1+J619)*(1-S619)*(1+$I$4)*IF(P619="会",'模拟-全程加成'!$J$3+'模拟-全程加成'!$J$4+'模拟-全程加成'!$J$5+('模拟-全程加成'!$I$4+'模拟-全程加成'!$I$5)/系数!$B$4+BG619*10%,IF(P619="命",1,IF(P619="识",0.25,0))),0)</f>
        <v>0</v>
      </c>
      <c r="BC619" s="115" t="b">
        <f ca="1">AND(模拟模式!$R$7="伏明众生",E619=60,F619=20,DA619&lt;5,CZ618&lt;$F$4)</f>
        <v>0</v>
      </c>
      <c r="BD619" s="115">
        <f t="shared" ca="1" si="555"/>
        <v>0</v>
      </c>
      <c r="BE619" s="115" t="b">
        <f t="shared" ca="1" si="556"/>
        <v>0</v>
      </c>
      <c r="BF619" s="47">
        <f ca="1">IF(BC619,4*('模拟-单技能数据'!$D$24+G619*'模拟-单技能数据'!$F$24)*(1+J619)*(1+'模拟-单技能数据'!$J$24)*(1-S619)*(1+$I$3)*(('模拟-全程加成'!$J$3+'模拟-全程加成'!$J$4+'模拟-全程加成'!$J$5+('模拟-全程加成'!$I$4+'模拟-全程加成'!$I$5)/系数!$B$4+BG619*10%)*('模拟-全程加成'!$J$3+'模拟-全程加成'!$J$4+'模拟-全程加成'!$J$5+('模拟-全程加成'!$I$4+'模拟-全程加成'!$I$5)/系数!$B$4+BG619*10%)+(1-('模拟-全程加成'!$J$3+'模拟-全程加成'!$J$4+'模拟-全程加成'!$J$5+('模拟-全程加成'!$I$4+'模拟-全程加成'!$I$5)/系数!$B$4+BG619*10%)-$F$10-$F$11)+F605*0.25),0)*'模拟-单技能数据'!$I$24</f>
        <v>0</v>
      </c>
      <c r="BG619" s="115" t="b">
        <f ca="1">OR(AND(OR(C619="烈日斩",C619="银月斩"),模拟模式!$I$7="净身明礼"),AND(C619="净世破魔击·日",模拟模式!$J$7="洞若观火"),AND(C620="净世破魔击·月",模拟模式!$J$7="洞若观火"),AB619=1)</f>
        <v>1</v>
      </c>
      <c r="BH619" s="115" t="b">
        <f t="shared" ca="1" si="577"/>
        <v>0</v>
      </c>
      <c r="BI619" s="115">
        <f t="shared" ca="1" si="557"/>
        <v>0</v>
      </c>
      <c r="BJ619" s="115" t="b">
        <f t="shared" ca="1" si="558"/>
        <v>0</v>
      </c>
      <c r="BK619" s="115" t="b">
        <f ca="1">AND(C619="驱夜断愁",模拟模式!$P$7="天地诛戮")</f>
        <v>0</v>
      </c>
      <c r="BL619" s="57">
        <f t="shared" ca="1" si="559"/>
        <v>16.310000000000002</v>
      </c>
      <c r="BM619" s="115" t="b">
        <f t="shared" ca="1" si="560"/>
        <v>1</v>
      </c>
      <c r="BN619" s="115" t="b">
        <f ca="1">AND(OR(C619="赤日轮1",C619="赤日轮2",C619="赤日轮3",C619="幽月轮1",C619="幽月轮2",C619="幽月轮3"),AB619=1,模拟模式!$L$7="明光恒照")</f>
        <v>0</v>
      </c>
      <c r="BO619" s="117">
        <f t="shared" ca="1" si="561"/>
        <v>28.155000000000001</v>
      </c>
      <c r="BP619" s="115">
        <f t="shared" ca="1" si="578"/>
        <v>6</v>
      </c>
      <c r="BQ619" s="115" t="b">
        <f>模拟模式!$K$10="2600·水"</f>
        <v>0</v>
      </c>
      <c r="BR619" s="117">
        <f t="shared" si="579"/>
        <v>0</v>
      </c>
      <c r="BS619" s="115">
        <f t="shared" si="580"/>
        <v>0</v>
      </c>
      <c r="BT619" s="115">
        <f t="shared" ca="1" si="581"/>
        <v>0</v>
      </c>
      <c r="BU619" s="115" t="b">
        <f ca="1">AND(模拟模式!$K$10="2300·雷",BT618=0,RAND()&lt;IF(C619="净世破魔击·月",5*0.05*2/3,IF(C619="净世破魔击·日",3*0.05*2/3,0.05*2*2/3)))</f>
        <v>0</v>
      </c>
      <c r="BV619" s="115">
        <f t="shared" ca="1" si="582"/>
        <v>0</v>
      </c>
      <c r="BW619" s="115">
        <f t="shared" ca="1" si="583"/>
        <v>9.3374999999993094</v>
      </c>
      <c r="BX619" s="164" t="b">
        <f t="shared" ca="1" si="584"/>
        <v>0</v>
      </c>
      <c r="BY619" s="115">
        <f t="shared" ca="1" si="585"/>
        <v>0</v>
      </c>
      <c r="BZ619" s="115">
        <f>IF(OR(模拟模式!$P$16="10人团",模拟模式!$P$16="25人团"),IF(B619/30&gt;CA618,1,0),0)</f>
        <v>0</v>
      </c>
      <c r="CA619" s="115">
        <f t="shared" si="562"/>
        <v>0</v>
      </c>
      <c r="CB619" s="115">
        <f ca="1">IF(BZ619=1,IF(模拟模式!$P$16="10人团",15,0)+IF(模拟模式!$P$16="25人团",IF(RAND()&lt;0.6,15,0)),MAX(0,CB618-$F$4))</f>
        <v>0</v>
      </c>
      <c r="CC619" s="115" t="b">
        <f t="shared" ca="1" si="563"/>
        <v>0</v>
      </c>
      <c r="CD619" s="115">
        <f>IF(模拟模式!$Q$16="1个",IF(B619/40&gt;CE618,1,0),0)</f>
        <v>0</v>
      </c>
      <c r="CE619" s="115">
        <f t="shared" si="564"/>
        <v>0</v>
      </c>
      <c r="CF619" s="115">
        <f>IF(OR(CD619=1,模拟模式!$Q$16="2个"),20,MAX(0,CF618-$F$4))</f>
        <v>0</v>
      </c>
      <c r="CG619" s="115" t="b">
        <f t="shared" si="565"/>
        <v>0</v>
      </c>
      <c r="CH619" s="115">
        <f t="shared" ca="1" si="586"/>
        <v>8.7825000000000131</v>
      </c>
      <c r="CI619" s="115" t="b">
        <f t="shared" ca="1" si="587"/>
        <v>0</v>
      </c>
      <c r="CJ619" s="119">
        <f t="shared" ca="1" si="588"/>
        <v>0</v>
      </c>
      <c r="CK619" s="115">
        <f t="shared" ca="1" si="589"/>
        <v>0</v>
      </c>
      <c r="CL619" s="115" t="b">
        <f ca="1">AND(模拟模式!$S$7="驱夷逐法",OR(AND(C619="净世破魔击·月",E618&gt;59),AND(C619="净世破魔击·日",F618&gt;59)))</f>
        <v>0</v>
      </c>
      <c r="CM619" s="115" t="b">
        <f ca="1">OR(CL619,AND(C619="净世破魔击·日",CL618,RAND()&lt;模拟模式!$U$23))</f>
        <v>1</v>
      </c>
      <c r="CN619" s="115" t="b">
        <f ca="1">IF(模拟模式!$M$7="辉耀红尘",AND(C619="净世破魔击·月",CL619,CV619=0,E618&lt;80),AND(C619="净世破魔击·月",CL619,E618&lt;100))</f>
        <v>0</v>
      </c>
      <c r="CO619" s="115" t="b">
        <f t="shared" ca="1" si="566"/>
        <v>0</v>
      </c>
      <c r="CP619" s="115" t="b">
        <f ca="1">AND(模拟模式!$O$7="用晦而明",OR(C619="净世破魔击·日",C619="净世破魔击·月",C619="驱夜断愁"),AB619)</f>
        <v>1</v>
      </c>
      <c r="CQ619" s="115" t="b">
        <f ca="1">OR(CP619,AND(CP618,RAND()&lt;模拟模式!$U$23))</f>
        <v>1</v>
      </c>
      <c r="CR619" s="115" t="b">
        <f ca="1">AND(模拟模式!$S$7="日月齐光",OR(C619="幽月轮1",C619="幽月轮2",C619="幽月轮3",CR618),NOT(OR(C619="赤日轮1",C619="赤日轮2",C619="赤日轮3")))</f>
        <v>0</v>
      </c>
      <c r="CS619" s="115" t="b">
        <f ca="1">AND(模拟模式!$S$7="日月齐光",OR(C619="赤日轮1",C619="赤日轮2",C619="赤日轮3",CS618),NOT(OR(C619="幽月轮1",C619="幽月轮2",C619="幽月轮3")))</f>
        <v>0</v>
      </c>
      <c r="CT619" s="115">
        <f t="shared" ca="1" si="590"/>
        <v>0</v>
      </c>
      <c r="CU619" s="115" t="b">
        <f ca="1">AND(模拟模式!$K$10="阴阳往极",CT618=0,RAND()&lt;IF(C619="净世破魔击·月",0.0275*7/3,IF(C619="净世破魔击·日",0.0275*3/3,0.0275*2/3)))</f>
        <v>0</v>
      </c>
      <c r="CV619" s="115">
        <f t="shared" ca="1" si="591"/>
        <v>0</v>
      </c>
      <c r="CW619" s="115">
        <f t="shared" ca="1" si="592"/>
        <v>3.2324999999999995</v>
      </c>
      <c r="CX619" s="115">
        <f t="shared" ca="1" si="593"/>
        <v>1.3874999999999997</v>
      </c>
      <c r="CY619" s="115">
        <f ca="1">MAX(IF($C619="驱夜断愁",IF(模拟模式!$R$7="万念俱寂",6,45),CY618-$F$4),0)</f>
        <v>2.3099999999999996</v>
      </c>
      <c r="CZ619" s="115">
        <f t="shared" ca="1" si="567"/>
        <v>0</v>
      </c>
      <c r="DA619" s="115">
        <f ca="1">IF(模拟模式!$N$7="日月同辉",IF(DB618=2,0,MIN(6,IF(AND(OR(C619="赤日轮1",C619="赤日轮2",C619="赤日轮3",C619="幽月轮1",C619="幽月轮2",C619="幽月轮3"),AB619=1),DA618+1,DA618))),0)</f>
        <v>5</v>
      </c>
      <c r="DB619" s="115">
        <f t="shared" ca="1" si="568"/>
        <v>0</v>
      </c>
      <c r="DC619" s="115"/>
      <c r="DD619" s="115"/>
      <c r="DE619" s="115"/>
      <c r="DF619" s="115"/>
      <c r="DG619" s="115"/>
      <c r="DH619" s="115"/>
      <c r="DI619" s="115"/>
      <c r="DJ619" s="115"/>
      <c r="DK619" s="115"/>
      <c r="DL619" s="115"/>
      <c r="DM619" s="115"/>
    </row>
    <row r="620" spans="2:117" x14ac:dyDescent="0.2">
      <c r="B620" s="117">
        <f t="shared" si="569"/>
        <v>547.04250000000604</v>
      </c>
      <c r="C620" s="167" t="str">
        <f t="shared" ca="1" si="538"/>
        <v>赤日轮1</v>
      </c>
      <c r="D620" s="115">
        <f ca="1">IF(C620="赤日轮1",1,IF(C620="赤日轮2",2,IF(C620="赤日轮3",3,IF(C620="幽月轮1",4,IF(C620="幽月轮2",5,IF(C620="幽月轮3",6,IF(C620="烈日斩",7,IF(C620="银月斩",8,IF(C620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620="净世破魔击·月",17,IF(C620="驱夜断愁",18,0)))))))))))</f>
        <v>1</v>
      </c>
      <c r="E620" s="115">
        <f ca="1">IF(AND(CU620,OR(C620="幽月轮1",C620="幽月轮2",C620="幽月轮3",C620="银月斩",C620="驱夜断愁",C620="净世破魔击·月")),100,MIN(IF(OR(CN620,BE620),0,IF(OR($C620="赤日轮1",$C620="赤日轮2",$C620="赤日轮3"),E619+20+IF(模拟模式!$I$7="日月凌天",4,0)+IF(CR619,20,0),IF($C620="烈日斩",E619+40,IF($C620="驱夜断愁",IF(模拟模式!$R$7="万念俱寂",E619+20,E619+60),IF($C620="净世破魔击·月",IF(OR(DB619&gt;0,CV619&gt;0),100,IF(模拟模式!$M$7="辉耀红尘",E619+20,E619)),IF($C620="净世破魔击·日",E619-100,E619)))))),100))</f>
        <v>20</v>
      </c>
      <c r="F620" s="115">
        <f ca="1">IF(AND(CU620,OR(C620="赤日轮1",C620="赤日轮2",C620="赤日轮3",C620="烈日斩",C620="净世破魔击·日")),100,MIN(IF(CO620,0,IF(OR($C620="幽月轮1",$C620="幽月轮2",$C620="幽月轮3"),F619+20+IF(模拟模式!$I$7="日月凌天",4,0)+IF(CS619,20,0),IF($C620="银月斩",F619+40+IF(模拟模式!$X$12=1,5,0),IF($C620="驱夜断愁",IF(模拟模式!$R$7="万念俱寂",F619+20,F619+60),IF($C620="净世破魔击·月",IF(模拟模式!$M$7="辉耀红尘",F619-80,F619-100),IF(AND(C620="净世破魔击·日",OR(DB619&gt;0,CV619&gt;0)),100,F619)))))),100))</f>
        <v>20</v>
      </c>
      <c r="G620" s="117">
        <f ca="1">('模拟-全程加成'!$E$3+'模拟-全程加成'!$E$4+'模拟-全程加成'!$E$5+('模拟-全程加成'!$C$6-'模拟-全程加成'!$C$3)*系数!$B$9+BS620*23)*(1+'模拟-全程加成'!$F$4+'模拟-全程加成'!$F$5+BJ620*10%+BM620*20%+BP620*4%+CG620*30%)+$F$7*系数!$B$12</f>
        <v>20583.127400000001</v>
      </c>
      <c r="H620" s="45">
        <f ca="1">'模拟-全程加成'!$H$3+'模拟-全程加成'!$H$4+'模拟-全程加成'!$H$5+('模拟-全程加成'!$G$4+'模拟-全程加成'!$G$5+('模拟-全程加成'!$C$6-'模拟-全程加成'!$C$3)*系数!$B$13)/系数!$B$3+LOOKUP(D620,'模拟-单技能数据'!$A$2:$A$19,'模拟-单技能数据'!$K$2:$K$19)+BG620*10%+IF(BV620&gt;0,378,0)</f>
        <v>0.4618514552730022</v>
      </c>
      <c r="I620" s="45">
        <f ca="1">'模拟-全程加成'!$J$3+'模拟-全程加成'!$J$4+'模拟-全程加成'!$J$5+('模拟-全程加成'!$I$4+'模拟-全程加成'!$I$5)/系数!$B$4+LOOKUP(D620,'模拟-单技能数据'!$A$2:$A$19,'模拟-单技能数据'!$L$2:$L$19)+BG620*10%</f>
        <v>2.162482885499879</v>
      </c>
      <c r="J620" s="45">
        <f ca="1">(('模拟-全程加成'!$K$3+'模拟-全程加成'!$K$4+'模拟-全程加成'!$K$5+('模拟-全程加成'!$C$6-'模拟-全程加成'!$C$3)*系数!$B$10+IF(BV620&gt;0,882,0)+IF(BY620&gt;0,1831,0))*(1+'模拟-全程加成'!$L$4+'模拟-全程加成'!$L$5+CC620*20%))/系数!$B$5</f>
        <v>0.69723220422048726</v>
      </c>
      <c r="K620" s="119">
        <f ca="1">LOOKUP(D620,'模拟-单技能数据'!$A$2:$A$19,'模拟-单技能数据'!$J$2:$J$19)+IF(CM620,60%,0)+IF(DB619-DB620&gt;0,30%,0)+IF(OR(AND(OR(C620="赤日轮1",C620="赤日轮2",C620="赤日轮3"),CR620),AND(OR(C620="幽月轮1",C620="幽月轮2",C620="幽月轮3"),CS620)),35%,0)+CJ620</f>
        <v>0.12</v>
      </c>
      <c r="L620" s="119">
        <f ca="1">IF(AND(C620="烈日斩",模拟模式!$X$11=1),10%,0)+IF(AND(C620="驱夜断愁",AB620=1),30%,0)</f>
        <v>0</v>
      </c>
      <c r="M620" s="45">
        <f t="shared" ca="1" si="539"/>
        <v>0.4618514552730022</v>
      </c>
      <c r="N620" s="45">
        <f t="shared" ca="1" si="540"/>
        <v>0.48424854472699785</v>
      </c>
      <c r="O620" s="46">
        <f t="shared" ca="1" si="570"/>
        <v>0.7299963806675609</v>
      </c>
      <c r="P620" s="46" t="str">
        <f t="shared" ca="1" si="541"/>
        <v>命</v>
      </c>
      <c r="Q620" s="45">
        <f t="shared" ca="1" si="542"/>
        <v>1</v>
      </c>
      <c r="R620" s="117">
        <f ca="1">模拟模式!$E$20*(1-IF(模拟模式!$J$19="有",0.15,0))*(1-IF(模拟模式!$K$19="有",0.3,0)-IF(CQ620,0.5,0))</f>
        <v>843.02999999999975</v>
      </c>
      <c r="S620" s="45">
        <f ca="1">R620/(R620+(185*模拟模式!$E$22-16800)*4.08224)</f>
        <v>8.389626085980037E-2</v>
      </c>
      <c r="T620" s="45" t="str">
        <f ca="1">LOOKUP(D620,'模拟-单技能数据'!$A$2:$A$19,'模拟-单技能数据'!$H$2:$H$19)</f>
        <v>阳</v>
      </c>
      <c r="U620" s="119">
        <f t="shared" ca="1" si="543"/>
        <v>0.2</v>
      </c>
      <c r="V620" s="47">
        <f ca="1">(1+L620)*(LOOKUP(D620,'模拟-单技能数据'!$A$2:$A$19,'模拟-单技能数据'!$D$2:$D$19)+G620*LOOKUP(D620,'模拟-单技能数据'!$A$2:$A$19,'模拟-单技能数据'!$F$2:$F$19))*(1+J620)*(1+K620)*(1-S620)*(1+U620)*Q620*LOOKUP(D620,'模拟-单技能数据'!$A$2:$A$19,'模拟-单技能数据'!$I$2:$I$20)</f>
        <v>25194.44799269021</v>
      </c>
      <c r="W620" s="47">
        <f ca="1">LOOKUP(D620,'模拟-单技能数据'!$A$2:$A$19,'模拟-单技能数据'!$G$2:$G$19)*$I$10</f>
        <v>361.51064354704795</v>
      </c>
      <c r="X620" s="47">
        <f t="shared" ca="1" si="571"/>
        <v>9218.9345386263849</v>
      </c>
      <c r="Y620" s="47">
        <f t="shared" ca="1" si="544"/>
        <v>34774.893174863639</v>
      </c>
      <c r="Z620" s="49">
        <f t="shared" ca="1" si="545"/>
        <v>61878897.898509562</v>
      </c>
      <c r="AA620" s="97">
        <f t="shared" ca="1" si="546"/>
        <v>113115.33911626405</v>
      </c>
      <c r="AB620" s="115">
        <f ca="1">IF(OR(C620="赤日轮1",C620="赤日轮2",C620="赤日轮3"),IF(RAND()&lt;模拟模式!$Y$17,1,0),IF(OR(C620="幽月轮1",C620="幽月轮2",C620="幽月轮3"),IF(RAND()&lt;模拟模式!$Y$18,1,0),IF(C620="烈日斩",IF(RAND()&lt;模拟模式!$Y$19,1,0),IF(C620="银月斩",IF(RAND()&lt;模拟模式!$Y$20,1,0),IF(C620="驱夜断愁",IF(RAND()&lt;模拟模式!$Y$21,1,0),IF(C620="净世破魔击·日",IF(RAND()&lt;模拟模式!$Y$22,1,0),IF(C620="净世破魔击·月",IF(RAND()&lt;模拟模式!$Y$23,1,0),0)))))))</f>
        <v>1</v>
      </c>
      <c r="AC620" s="115" t="b">
        <f t="shared" ca="1" si="547"/>
        <v>0</v>
      </c>
      <c r="AD620" s="115" t="b">
        <f t="shared" ca="1" si="548"/>
        <v>1</v>
      </c>
      <c r="AE620" s="115">
        <f t="shared" ca="1" si="549"/>
        <v>2</v>
      </c>
      <c r="AF620" s="47">
        <f ca="1">IF(AC620,('模拟-单技能数据'!$D$20+G620*'模拟-单技能数据'!$F$20)*(1+J620)*(1+'模拟-单技能数据'!$J$20)*(1+U620),0)</f>
        <v>0</v>
      </c>
      <c r="AG620" s="61">
        <f t="shared" ca="1" si="550"/>
        <v>0.64185145527300214</v>
      </c>
      <c r="AH620" s="61">
        <f t="shared" ca="1" si="551"/>
        <v>2.2624828854998791</v>
      </c>
      <c r="AI620" s="62">
        <f t="shared" ca="1" si="572"/>
        <v>0.33899938729661783</v>
      </c>
      <c r="AJ620" s="47">
        <f ca="1">IF(AD620,IF(AI620&lt;$F$10,0,IF(AI620&lt;$F$10+$F$11,0.25,IF(AI620&lt;$F$10+$F$11+AG620,AH620,1)))*IF(AF620&gt;0,AF620,IF(AF619&gt;0,AF619,IF(AF618&gt;0,AF618,IF(AF617&gt;0,AF617,IF(AF616&gt;0,AF616,IF(AF615&gt;0,AF615,IF(AF614&gt;0,AF614,IF(AF613&gt;0,AF613,IF(AF612&gt;0,AF612,IF(AF610&gt;0,AF610,IF(AF609&gt;0,AF609,IF(AF608&gt;0,AF608,0)))))))))))),0)*(1-$S620)*'模拟-单技能数据'!$I$20</f>
        <v>9218.9345386263849</v>
      </c>
      <c r="AK620" s="115" t="b">
        <f t="shared" ca="1" si="552"/>
        <v>0</v>
      </c>
      <c r="AL620" s="115" t="b">
        <f t="shared" ca="1" si="553"/>
        <v>0</v>
      </c>
      <c r="AM620" s="115">
        <f t="shared" ca="1" si="554"/>
        <v>5</v>
      </c>
      <c r="AN620" s="47">
        <f ca="1">IF(AK620,('模拟-单技能数据'!$D$21+G620*'模拟-单技能数据'!$F$21)*(1+J620)*(1+'模拟-单技能数据'!$J$21)*(1+U620),0)</f>
        <v>0</v>
      </c>
      <c r="AO620" s="61">
        <f ca="1">IF(AN620&gt;0,M620-'模拟-单技能数据'!$K$10,AO619)</f>
        <v>0.42185145527300216</v>
      </c>
      <c r="AP620" s="61">
        <f ca="1">IF(AN620&gt;0,I620-'模拟-单技能数据'!$L$10,AP619)</f>
        <v>2.162482885499879</v>
      </c>
      <c r="AQ620" s="63">
        <f t="shared" ca="1" si="573"/>
        <v>0.47295916206283095</v>
      </c>
      <c r="AR620" s="64">
        <f ca="1">IF(AL620,IF(AQ620&lt;$F$10,0,IF(AQ620&lt;$F$10+$F$11,0.25,IF(AQ620&lt;$F$10+$F$11+AO620,AP620,1)))*IF(AN620&gt;0,AN620,IF(AN619&gt;0,AN619,IF(AN618&gt;0,AN618,IF(AN617&gt;0,AN617,IF(AN616&gt;0,AN616,IF(AN615&gt;0,AN615,IF(AN614&gt;0,AN614,IF(AN613&gt;0,AN613,IF(AN612&gt;0,AN612,IF(AN610&gt;0,AN610,IF(AN609&gt;0,AN609,IF(AN608&gt;0,AN608,0)))))))))))),0)*(1-$S620)*'模拟-单技能数据'!$I$21</f>
        <v>0</v>
      </c>
      <c r="AS620" s="61">
        <f ca="1">IF(OR(C620="净世破魔击·日",C620="净世破魔击·月"),M620-'模拟-单技能数据'!$K$10,0)</f>
        <v>0</v>
      </c>
      <c r="AT620" s="61">
        <f ca="1">IF(OR(C620="净世破魔击·日",C620="净世破魔击·月"),I620-'模拟-单技能数据'!$L$10,0)</f>
        <v>0</v>
      </c>
      <c r="AU620" s="62">
        <f t="shared" ca="1" si="574"/>
        <v>0.84381218140864722</v>
      </c>
      <c r="AV620" s="64">
        <f ca="1">IF(AS620&gt;0,('模拟-单技能数据'!$D$22+G620*'模拟-单技能数据'!$F$22)*(1+J620)*(1-S620)*IF(AU620&lt;$F$10,0,IF(AU620&lt;$F$10+$F$11,0.25,IF(AU620&lt;$F$10+$F$11+AS620,AT620,1)))*(1+U620),0)*'模拟-单技能数据'!$I$22</f>
        <v>0</v>
      </c>
      <c r="AW620" s="108">
        <f t="shared" ca="1" si="575"/>
        <v>17.232500000000002</v>
      </c>
      <c r="AX620" s="108" t="b">
        <f ca="1">AND(模拟模式!$P$10="有",AW619=0,RAND()&lt;IF(C620="净世破魔击·月",0.1*8/3,IF(C620="净世破魔击·日",0.1*4/3,0.1*2/3)))</f>
        <v>0</v>
      </c>
      <c r="AY620" s="47">
        <f ca="1">IF(AX620,(18+G620*0.722)*(1+J620)*(1-S620)*(1+$I$4)*IF(P620="会",'模拟-全程加成'!$J$3+'模拟-全程加成'!$J$4+'模拟-全程加成'!$J$5+('模拟-全程加成'!$I$4+'模拟-全程加成'!$I$5)/系数!$B$4+BG620*10%,IF(P620="命",1,IF(P620="识",0.25,0))),0)</f>
        <v>0</v>
      </c>
      <c r="AZ620" s="108">
        <f t="shared" si="576"/>
        <v>0.6275000000000065</v>
      </c>
      <c r="BA620" s="108" t="b">
        <f>AND(模拟模式!$Q$10="有",AZ619=0)</f>
        <v>0</v>
      </c>
      <c r="BB620" s="140">
        <f>IF(BA620,(0+G620*0.287)*(1+J620)*(1-S620)*(1+$I$4)*IF(P620="会",'模拟-全程加成'!$J$3+'模拟-全程加成'!$J$4+'模拟-全程加成'!$J$5+('模拟-全程加成'!$I$4+'模拟-全程加成'!$I$5)/系数!$B$4+BG620*10%,IF(P620="命",1,IF(P620="识",0.25,0))),0)</f>
        <v>0</v>
      </c>
      <c r="BC620" s="115" t="b">
        <f ca="1">AND(模拟模式!$R$7="伏明众生",E620=60,F620=20,DA620&lt;5,CZ619&lt;$F$4)</f>
        <v>0</v>
      </c>
      <c r="BD620" s="115">
        <f t="shared" ca="1" si="555"/>
        <v>0</v>
      </c>
      <c r="BE620" s="115" t="b">
        <f t="shared" ca="1" si="556"/>
        <v>0</v>
      </c>
      <c r="BF620" s="47">
        <f ca="1">IF(BC620,4*('模拟-单技能数据'!$D$24+G620*'模拟-单技能数据'!$F$24)*(1+J620)*(1+'模拟-单技能数据'!$J$24)*(1-S620)*(1+$I$3)*(('模拟-全程加成'!$J$3+'模拟-全程加成'!$J$4+'模拟-全程加成'!$J$5+('模拟-全程加成'!$I$4+'模拟-全程加成'!$I$5)/系数!$B$4+BG620*10%)*('模拟-全程加成'!$J$3+'模拟-全程加成'!$J$4+'模拟-全程加成'!$J$5+('模拟-全程加成'!$I$4+'模拟-全程加成'!$I$5)/系数!$B$4+BG620*10%)+(1-('模拟-全程加成'!$J$3+'模拟-全程加成'!$J$4+'模拟-全程加成'!$J$5+('模拟-全程加成'!$I$4+'模拟-全程加成'!$I$5)/系数!$B$4+BG620*10%)-$F$10-$F$11)+F606*0.25),0)*'模拟-单技能数据'!$I$24</f>
        <v>0</v>
      </c>
      <c r="BG620" s="115" t="b">
        <f ca="1">OR(AND(OR(C620="烈日斩",C620="银月斩"),模拟模式!$I$7="净身明礼"),AND(C620="净世破魔击·日",模拟模式!$J$7="洞若观火"),AND(C621="净世破魔击·月",模拟模式!$J$7="洞若观火"),AB620=1)</f>
        <v>1</v>
      </c>
      <c r="BH620" s="115" t="b">
        <f t="shared" ca="1" si="577"/>
        <v>0</v>
      </c>
      <c r="BI620" s="115">
        <f t="shared" ca="1" si="557"/>
        <v>0</v>
      </c>
      <c r="BJ620" s="115" t="b">
        <f t="shared" ca="1" si="558"/>
        <v>0</v>
      </c>
      <c r="BK620" s="115" t="b">
        <f ca="1">AND(C620="驱夜断愁",模拟模式!$P$7="天地诛戮")</f>
        <v>0</v>
      </c>
      <c r="BL620" s="57">
        <f t="shared" ca="1" si="559"/>
        <v>15.387500000000003</v>
      </c>
      <c r="BM620" s="115" t="b">
        <f t="shared" ca="1" si="560"/>
        <v>1</v>
      </c>
      <c r="BN620" s="115" t="b">
        <f ca="1">AND(OR(C620="赤日轮1",C620="赤日轮2",C620="赤日轮3",C620="幽月轮1",C620="幽月轮2",C620="幽月轮3"),AB620=1,模拟模式!$L$7="明光恒照")</f>
        <v>1</v>
      </c>
      <c r="BO620" s="117">
        <f t="shared" ca="1" si="561"/>
        <v>30</v>
      </c>
      <c r="BP620" s="115">
        <f t="shared" ca="1" si="578"/>
        <v>6</v>
      </c>
      <c r="BQ620" s="115" t="b">
        <f>模拟模式!$K$10="2600·水"</f>
        <v>0</v>
      </c>
      <c r="BR620" s="117">
        <f t="shared" si="579"/>
        <v>0</v>
      </c>
      <c r="BS620" s="115">
        <f t="shared" si="580"/>
        <v>0</v>
      </c>
      <c r="BT620" s="115">
        <f t="shared" ca="1" si="581"/>
        <v>0</v>
      </c>
      <c r="BU620" s="115" t="b">
        <f ca="1">AND(模拟模式!$K$10="2300·雷",BT619=0,RAND()&lt;IF(C620="净世破魔击·月",5*0.05*2/3,IF(C620="净世破魔击·日",3*0.05*2/3,0.05*2*2/3)))</f>
        <v>0</v>
      </c>
      <c r="BV620" s="115">
        <f t="shared" ca="1" si="582"/>
        <v>0</v>
      </c>
      <c r="BW620" s="115">
        <f t="shared" ca="1" si="583"/>
        <v>8.4149999999993099</v>
      </c>
      <c r="BX620" s="164" t="b">
        <f t="shared" ca="1" si="584"/>
        <v>0</v>
      </c>
      <c r="BY620" s="115">
        <f t="shared" ca="1" si="585"/>
        <v>0</v>
      </c>
      <c r="BZ620" s="115">
        <f>IF(OR(模拟模式!$P$16="10人团",模拟模式!$P$16="25人团"),IF(B620/30&gt;CA619,1,0),0)</f>
        <v>0</v>
      </c>
      <c r="CA620" s="115">
        <f t="shared" si="562"/>
        <v>0</v>
      </c>
      <c r="CB620" s="115">
        <f ca="1">IF(BZ620=1,IF(模拟模式!$P$16="10人团",15,0)+IF(模拟模式!$P$16="25人团",IF(RAND()&lt;0.6,15,0)),MAX(0,CB619-$F$4))</f>
        <v>0</v>
      </c>
      <c r="CC620" s="115" t="b">
        <f t="shared" ca="1" si="563"/>
        <v>0</v>
      </c>
      <c r="CD620" s="115">
        <f>IF(模拟模式!$Q$16="1个",IF(B620/40&gt;CE619,1,0),0)</f>
        <v>0</v>
      </c>
      <c r="CE620" s="115">
        <f t="shared" si="564"/>
        <v>0</v>
      </c>
      <c r="CF620" s="115">
        <f>IF(OR(CD620=1,模拟模式!$Q$16="2个"),20,MAX(0,CF619-$F$4))</f>
        <v>0</v>
      </c>
      <c r="CG620" s="115" t="b">
        <f t="shared" si="565"/>
        <v>0</v>
      </c>
      <c r="CH620" s="115">
        <f t="shared" ca="1" si="586"/>
        <v>7.8600000000000128</v>
      </c>
      <c r="CI620" s="115" t="b">
        <f t="shared" ca="1" si="587"/>
        <v>0</v>
      </c>
      <c r="CJ620" s="119">
        <f t="shared" ca="1" si="588"/>
        <v>0</v>
      </c>
      <c r="CK620" s="115">
        <f t="shared" ca="1" si="589"/>
        <v>0</v>
      </c>
      <c r="CL620" s="115" t="b">
        <f ca="1">AND(模拟模式!$S$7="驱夷逐法",OR(AND(C620="净世破魔击·月",E619&gt;59),AND(C620="净世破魔击·日",F619&gt;59)))</f>
        <v>0</v>
      </c>
      <c r="CM620" s="115" t="b">
        <f ca="1">OR(CL620,AND(C620="净世破魔击·日",CL619,RAND()&lt;模拟模式!$U$23))</f>
        <v>0</v>
      </c>
      <c r="CN620" s="115" t="b">
        <f ca="1">IF(模拟模式!$M$7="辉耀红尘",AND(C620="净世破魔击·月",CL620,CV620=0,E619&lt;80),AND(C620="净世破魔击·月",CL620,E619&lt;100))</f>
        <v>0</v>
      </c>
      <c r="CO620" s="115" t="b">
        <f t="shared" ca="1" si="566"/>
        <v>0</v>
      </c>
      <c r="CP620" s="115" t="b">
        <f ca="1">AND(模拟模式!$O$7="用晦而明",OR(C620="净世破魔击·日",C620="净世破魔击·月",C620="驱夜断愁"),AB620)</f>
        <v>0</v>
      </c>
      <c r="CQ620" s="115" t="b">
        <f ca="1">OR(CP620,AND(CP619,RAND()&lt;模拟模式!$U$23))</f>
        <v>1</v>
      </c>
      <c r="CR620" s="115" t="b">
        <f ca="1">AND(模拟模式!$S$7="日月齐光",OR(C620="幽月轮1",C620="幽月轮2",C620="幽月轮3",CR619),NOT(OR(C620="赤日轮1",C620="赤日轮2",C620="赤日轮3")))</f>
        <v>0</v>
      </c>
      <c r="CS620" s="115" t="b">
        <f ca="1">AND(模拟模式!$S$7="日月齐光",OR(C620="赤日轮1",C620="赤日轮2",C620="赤日轮3",CS619),NOT(OR(C620="幽月轮1",C620="幽月轮2",C620="幽月轮3")))</f>
        <v>0</v>
      </c>
      <c r="CT620" s="115">
        <f t="shared" ca="1" si="590"/>
        <v>0</v>
      </c>
      <c r="CU620" s="115" t="b">
        <f ca="1">AND(模拟模式!$K$10="阴阳往极",CT619=0,RAND()&lt;IF(C620="净世破魔击·月",0.0275*7/3,IF(C620="净世破魔击·日",0.0275*3/3,0.0275*2/3)))</f>
        <v>0</v>
      </c>
      <c r="CV620" s="115">
        <f t="shared" ca="1" si="591"/>
        <v>0</v>
      </c>
      <c r="CW620" s="115">
        <f t="shared" ca="1" si="592"/>
        <v>2.3099999999999996</v>
      </c>
      <c r="CX620" s="115">
        <f t="shared" ca="1" si="593"/>
        <v>0.46499999999999975</v>
      </c>
      <c r="CY620" s="115">
        <f ca="1">MAX(IF($C620="驱夜断愁",IF(模拟模式!$R$7="万念俱寂",6,45),CY619-$F$4),0)</f>
        <v>1.3874999999999997</v>
      </c>
      <c r="CZ620" s="115">
        <f t="shared" ca="1" si="567"/>
        <v>0</v>
      </c>
      <c r="DA620" s="115">
        <f ca="1">IF(模拟模式!$N$7="日月同辉",IF(DB619=2,0,MIN(6,IF(AND(OR(C620="赤日轮1",C620="赤日轮2",C620="赤日轮3",C620="幽月轮1",C620="幽月轮2",C620="幽月轮3"),AB620=1),DA619+1,DA619))),0)</f>
        <v>6</v>
      </c>
      <c r="DB620" s="115">
        <f t="shared" ca="1" si="568"/>
        <v>2</v>
      </c>
      <c r="DC620" s="115"/>
      <c r="DD620" s="115"/>
      <c r="DE620" s="115"/>
      <c r="DF620" s="115"/>
      <c r="DG620" s="115"/>
      <c r="DH620" s="115"/>
      <c r="DI620" s="115"/>
      <c r="DJ620" s="115"/>
      <c r="DK620" s="115"/>
      <c r="DL620" s="115"/>
      <c r="DM620" s="115"/>
    </row>
    <row r="621" spans="2:117" x14ac:dyDescent="0.2">
      <c r="B621" s="117">
        <f t="shared" si="569"/>
        <v>547.96500000000606</v>
      </c>
      <c r="C621" s="167" t="str">
        <f t="shared" ca="1" si="538"/>
        <v>银月斩</v>
      </c>
      <c r="D621" s="115">
        <f ca="1">IF(C621="赤日轮1",1,IF(C621="赤日轮2",2,IF(C621="赤日轮3",3,IF(C621="幽月轮1",4,IF(C621="幽月轮2",5,IF(C621="幽月轮3",6,IF(C621="烈日斩",7,IF(C621="银月斩",8,IF(C621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621="净世破魔击·月",17,IF(C621="驱夜断愁",18,0)))))))))))</f>
        <v>8</v>
      </c>
      <c r="E621" s="115">
        <f ca="1">IF(AND(CU621,OR(C621="幽月轮1",C621="幽月轮2",C621="幽月轮3",C621="银月斩",C621="驱夜断愁",C621="净世破魔击·月")),100,MIN(IF(OR(CN621,BE621),0,IF(OR($C621="赤日轮1",$C621="赤日轮2",$C621="赤日轮3"),E620+20+IF(模拟模式!$I$7="日月凌天",4,0)+IF(CR620,20,0),IF($C621="烈日斩",E620+40,IF($C621="驱夜断愁",IF(模拟模式!$R$7="万念俱寂",E620+20,E620+60),IF($C621="净世破魔击·月",IF(OR(DB620&gt;0,CV620&gt;0),100,IF(模拟模式!$M$7="辉耀红尘",E620+20,E620)),IF($C621="净世破魔击·日",E620-100,E620)))))),100))</f>
        <v>20</v>
      </c>
      <c r="F621" s="115">
        <f ca="1">IF(AND(CU621,OR(C621="赤日轮1",C621="赤日轮2",C621="赤日轮3",C621="烈日斩",C621="净世破魔击·日")),100,MIN(IF(CO621,0,IF(OR($C621="幽月轮1",$C621="幽月轮2",$C621="幽月轮3"),F620+20+IF(模拟模式!$I$7="日月凌天",4,0)+IF(CS620,20,0),IF($C621="银月斩",F620+40+IF(模拟模式!$X$12=1,5,0),IF($C621="驱夜断愁",IF(模拟模式!$R$7="万念俱寂",F620+20,F620+60),IF($C621="净世破魔击·月",IF(模拟模式!$M$7="辉耀红尘",F620-80,F620-100),IF(AND(C621="净世破魔击·日",OR(DB620&gt;0,CV620&gt;0)),100,F620)))))),100))</f>
        <v>65</v>
      </c>
      <c r="G621" s="117">
        <f ca="1">('模拟-全程加成'!$E$3+'模拟-全程加成'!$E$4+'模拟-全程加成'!$E$5+('模拟-全程加成'!$C$6-'模拟-全程加成'!$C$3)*系数!$B$9+BS621*23)*(1+'模拟-全程加成'!$F$4+'模拟-全程加成'!$F$5+BJ621*10%+BM621*20%+BP621*4%+CG621*30%)+$F$7*系数!$B$12</f>
        <v>20583.127400000001</v>
      </c>
      <c r="H621" s="45">
        <f ca="1">'模拟-全程加成'!$H$3+'模拟-全程加成'!$H$4+'模拟-全程加成'!$H$5+('模拟-全程加成'!$G$4+'模拟-全程加成'!$G$5+('模拟-全程加成'!$C$6-'模拟-全程加成'!$C$3)*系数!$B$13)/系数!$B$3+LOOKUP(D621,'模拟-单技能数据'!$A$2:$A$19,'模拟-单技能数据'!$K$2:$K$19)+BG621*10%+IF(BV621&gt;0,378,0)</f>
        <v>0.64185145527300214</v>
      </c>
      <c r="I621" s="45">
        <f ca="1">'模拟-全程加成'!$J$3+'模拟-全程加成'!$J$4+'模拟-全程加成'!$J$5+('模拟-全程加成'!$I$4+'模拟-全程加成'!$I$5)/系数!$B$4+LOOKUP(D621,'模拟-单技能数据'!$A$2:$A$19,'模拟-单技能数据'!$L$2:$L$19)+BG621*10%</f>
        <v>2.2624828854998791</v>
      </c>
      <c r="J621" s="45">
        <f ca="1">(('模拟-全程加成'!$K$3+'模拟-全程加成'!$K$4+'模拟-全程加成'!$K$5+('模拟-全程加成'!$C$6-'模拟-全程加成'!$C$3)*系数!$B$10+IF(BV621&gt;0,882,0)+IF(BY621&gt;0,1831,0))*(1+'模拟-全程加成'!$L$4+'模拟-全程加成'!$L$5+CC621*20%))/系数!$B$5</f>
        <v>0.69723220422048726</v>
      </c>
      <c r="K621" s="119">
        <f ca="1">LOOKUP(D621,'模拟-单技能数据'!$A$2:$A$19,'模拟-单技能数据'!$J$2:$J$19)+IF(CM621,60%,0)+IF(DB620-DB621&gt;0,30%,0)+IF(OR(AND(OR(C621="赤日轮1",C621="赤日轮2",C621="赤日轮3"),CR621),AND(OR(C621="幽月轮1",C621="幽月轮2",C621="幽月轮3"),CS621)),35%,0)+CJ621</f>
        <v>0.15</v>
      </c>
      <c r="L621" s="119">
        <f ca="1">IF(AND(C621="烈日斩",模拟模式!$X$11=1),10%,0)+IF(AND(C621="驱夜断愁",AB621=1),30%,0)</f>
        <v>0</v>
      </c>
      <c r="M621" s="45">
        <f t="shared" ca="1" si="539"/>
        <v>0.64185145527300214</v>
      </c>
      <c r="N621" s="45">
        <f t="shared" ca="1" si="540"/>
        <v>0.30424854472699792</v>
      </c>
      <c r="O621" s="46">
        <f t="shared" ca="1" si="570"/>
        <v>0.32747945521234767</v>
      </c>
      <c r="P621" s="46" t="str">
        <f t="shared" ca="1" si="541"/>
        <v>会</v>
      </c>
      <c r="Q621" s="45">
        <f t="shared" ca="1" si="542"/>
        <v>2.2624828854998791</v>
      </c>
      <c r="R621" s="117">
        <f ca="1">模拟模式!$E$20*(1-IF(模拟模式!$J$19="有",0.15,0))*(1-IF(模拟模式!$K$19="有",0.3,0)-IF(CQ621,0.5,0))</f>
        <v>2950.6049999999996</v>
      </c>
      <c r="S621" s="45">
        <f ca="1">R621/(R621+(185*模拟模式!$E$22-16800)*4.08224)</f>
        <v>0.24272716014590323</v>
      </c>
      <c r="T621" s="45" t="str">
        <f ca="1">LOOKUP(D621,'模拟-单技能数据'!$A$2:$A$19,'模拟-单技能数据'!$H$2:$H$19)</f>
        <v>阴</v>
      </c>
      <c r="U621" s="119">
        <f t="shared" ca="1" si="543"/>
        <v>0.08</v>
      </c>
      <c r="V621" s="47">
        <f ca="1">(1+L621)*(LOOKUP(D621,'模拟-单技能数据'!$A$2:$A$19,'模拟-单技能数据'!$D$2:$D$19)+G621*LOOKUP(D621,'模拟-单技能数据'!$A$2:$A$19,'模拟-单技能数据'!$F$2:$F$19))*(1+J621)*(1+K621)*(1-S621)*(1+U621)*Q621*LOOKUP(D621,'模拟-单技能数据'!$A$2:$A$19,'模拟-单技能数据'!$I$2:$I$20)</f>
        <v>39481.310356797861</v>
      </c>
      <c r="W621" s="47">
        <f ca="1">LOOKUP(D621,'模拟-单技能数据'!$A$2:$A$19,'模拟-单技能数据'!$G$2:$G$19)*$I$10</f>
        <v>361.51064354704795</v>
      </c>
      <c r="X621" s="47">
        <f t="shared" ca="1" si="571"/>
        <v>19874.713753650052</v>
      </c>
      <c r="Y621" s="47">
        <f t="shared" ca="1" si="544"/>
        <v>59717.534753994958</v>
      </c>
      <c r="Z621" s="49">
        <f t="shared" ca="1" si="545"/>
        <v>61938615.433263555</v>
      </c>
      <c r="AA621" s="97">
        <f t="shared" ca="1" si="546"/>
        <v>113033.88981643513</v>
      </c>
      <c r="AB621" s="115">
        <f ca="1">IF(OR(C621="赤日轮1",C621="赤日轮2",C621="赤日轮3"),IF(RAND()&lt;模拟模式!$Y$17,1,0),IF(OR(C621="幽月轮1",C621="幽月轮2",C621="幽月轮3"),IF(RAND()&lt;模拟模式!$Y$18,1,0),IF(C621="烈日斩",IF(RAND()&lt;模拟模式!$Y$19,1,0),IF(C621="银月斩",IF(RAND()&lt;模拟模式!$Y$20,1,0),IF(C621="驱夜断愁",IF(RAND()&lt;模拟模式!$Y$21,1,0),IF(C621="净世破魔击·日",IF(RAND()&lt;模拟模式!$Y$22,1,0),IF(C621="净世破魔击·月",IF(RAND()&lt;模拟模式!$Y$23,1,0),0)))))))</f>
        <v>1</v>
      </c>
      <c r="AC621" s="115" t="b">
        <f t="shared" ca="1" si="547"/>
        <v>1</v>
      </c>
      <c r="AD621" s="115" t="b">
        <f t="shared" ca="1" si="548"/>
        <v>0</v>
      </c>
      <c r="AE621" s="115">
        <f t="shared" ca="1" si="549"/>
        <v>6</v>
      </c>
      <c r="AF621" s="47">
        <f ca="1">IF(AC621,('模拟-单技能数据'!$D$20+G621*'模拟-单技能数据'!$F$20)*(1+J621)*(1+'模拟-单技能数据'!$J$20)*(1+U621),0)</f>
        <v>4447.8565560098323</v>
      </c>
      <c r="AG621" s="61">
        <f t="shared" ca="1" si="550"/>
        <v>0.64185145527300214</v>
      </c>
      <c r="AH621" s="61">
        <f t="shared" ca="1" si="551"/>
        <v>2.2624828854998791</v>
      </c>
      <c r="AI621" s="62">
        <f t="shared" ca="1" si="572"/>
        <v>0.52759588378767874</v>
      </c>
      <c r="AJ621" s="47">
        <f ca="1">IF(AD621,IF(AI621&lt;$F$10,0,IF(AI621&lt;$F$10+$F$11,0.25,IF(AI621&lt;$F$10+$F$11+AG621,AH621,1)))*IF(AF621&gt;0,AF621,IF(AF620&gt;0,AF620,IF(AF619&gt;0,AF619,IF(AF618&gt;0,AF618,IF(AF617&gt;0,AF617,IF(AF616&gt;0,AF616,IF(AF615&gt;0,AF615,IF(AF614&gt;0,AF614,IF(AF613&gt;0,AF613,IF(AF611&gt;0,AF611,IF(AF610&gt;0,AF610,IF(AF609&gt;0,AF609,0)))))))))))),0)*(1-$S621)*'模拟-单技能数据'!$I$20</f>
        <v>0</v>
      </c>
      <c r="AK621" s="115" t="b">
        <f t="shared" ca="1" si="552"/>
        <v>0</v>
      </c>
      <c r="AL621" s="115" t="b">
        <f t="shared" ca="1" si="553"/>
        <v>1</v>
      </c>
      <c r="AM621" s="115">
        <f t="shared" ca="1" si="554"/>
        <v>4</v>
      </c>
      <c r="AN621" s="47">
        <f ca="1">IF(AK621,('模拟-单技能数据'!$D$21+G621*'模拟-单技能数据'!$F$21)*(1+J621)*(1+'模拟-单技能数据'!$J$21)*(1+U621),0)</f>
        <v>0</v>
      </c>
      <c r="AO621" s="61">
        <f ca="1">IF(AN621&gt;0,M621-'模拟-单技能数据'!$K$10,AO620)</f>
        <v>0.42185145527300216</v>
      </c>
      <c r="AP621" s="61">
        <f ca="1">IF(AN621&gt;0,I621-'模拟-单技能数据'!$L$10,AP620)</f>
        <v>2.162482885499879</v>
      </c>
      <c r="AQ621" s="63">
        <f t="shared" ca="1" si="573"/>
        <v>0.31260351902298544</v>
      </c>
      <c r="AR621" s="64">
        <f ca="1">IF(AL621,IF(AQ621&lt;$F$10,0,IF(AQ621&lt;$F$10+$F$11,0.25,IF(AQ621&lt;$F$10+$F$11+AO621,AP621,1)))*IF(AN621&gt;0,AN621,IF(AN620&gt;0,AN620,IF(AN619&gt;0,AN619,IF(AN618&gt;0,AN618,IF(AN617&gt;0,AN617,IF(AN616&gt;0,AN616,IF(AN615&gt;0,AN615,IF(AN614&gt;0,AN614,IF(AN613&gt;0,AN613,IF(AN611&gt;0,AN611,IF(AN610&gt;0,AN610,IF(AN609&gt;0,AN609,0)))))))))))),0)*(1-$S621)*'模拟-单技能数据'!$I$21</f>
        <v>19874.713753650052</v>
      </c>
      <c r="AS621" s="61">
        <f ca="1">IF(OR(C621="净世破魔击·日",C621="净世破魔击·月"),M621-'模拟-单技能数据'!$K$10,0)</f>
        <v>0</v>
      </c>
      <c r="AT621" s="61">
        <f ca="1">IF(OR(C621="净世破魔击·日",C621="净世破魔击·月"),I621-'模拟-单技能数据'!$L$10,0)</f>
        <v>0</v>
      </c>
      <c r="AU621" s="62">
        <f t="shared" ca="1" si="574"/>
        <v>0.30005839201159767</v>
      </c>
      <c r="AV621" s="64">
        <f ca="1">IF(AS621&gt;0,('模拟-单技能数据'!$D$22+G621*'模拟-单技能数据'!$F$22)*(1+J621)*(1-S621)*IF(AU621&lt;$F$10,0,IF(AU621&lt;$F$10+$F$11,0.25,IF(AU621&lt;$F$10+$F$11+AS621,AT621,1)))*(1+U621),0)*'模拟-单技能数据'!$I$22</f>
        <v>0</v>
      </c>
      <c r="AW621" s="108">
        <f t="shared" ca="1" si="575"/>
        <v>16.310000000000002</v>
      </c>
      <c r="AX621" s="108" t="b">
        <f ca="1">AND(模拟模式!$P$10="有",AW620=0,RAND()&lt;IF(C621="净世破魔击·月",0.1*8/3,IF(C621="净世破魔击·日",0.1*4/3,0.1*2/3)))</f>
        <v>0</v>
      </c>
      <c r="AY621" s="47">
        <f ca="1">IF(AX621,(18+G621*0.722)*(1+J621)*(1-S621)*(1+$I$4)*IF(P621="会",'模拟-全程加成'!$J$3+'模拟-全程加成'!$J$4+'模拟-全程加成'!$J$5+('模拟-全程加成'!$I$4+'模拟-全程加成'!$I$5)/系数!$B$4+BG621*10%,IF(P621="命",1,IF(P621="识",0.25,0))),0)</f>
        <v>0</v>
      </c>
      <c r="AZ621" s="108">
        <f t="shared" si="576"/>
        <v>0</v>
      </c>
      <c r="BA621" s="108" t="b">
        <f>AND(模拟模式!$Q$10="有",AZ620=0)</f>
        <v>0</v>
      </c>
      <c r="BB621" s="140">
        <f>IF(BA621,(0+G621*0.287)*(1+J621)*(1-S621)*(1+$I$4)*IF(P621="会",'模拟-全程加成'!$J$3+'模拟-全程加成'!$J$4+'模拟-全程加成'!$J$5+('模拟-全程加成'!$I$4+'模拟-全程加成'!$I$5)/系数!$B$4+BG621*10%,IF(P621="命",1,IF(P621="识",0.25,0))),0)</f>
        <v>0</v>
      </c>
      <c r="BC621" s="115" t="b">
        <f ca="1">AND(模拟模式!$R$7="伏明众生",E621=60,F621=20,DA621&lt;5,CZ620&lt;$F$4)</f>
        <v>0</v>
      </c>
      <c r="BD621" s="115">
        <f t="shared" ca="1" si="555"/>
        <v>0</v>
      </c>
      <c r="BE621" s="115" t="b">
        <f t="shared" ca="1" si="556"/>
        <v>0</v>
      </c>
      <c r="BF621" s="47">
        <f ca="1">IF(BC621,4*('模拟-单技能数据'!$D$24+G621*'模拟-单技能数据'!$F$24)*(1+J621)*(1+'模拟-单技能数据'!$J$24)*(1-S621)*(1+$I$3)*(('模拟-全程加成'!$J$3+'模拟-全程加成'!$J$4+'模拟-全程加成'!$J$5+('模拟-全程加成'!$I$4+'模拟-全程加成'!$I$5)/系数!$B$4+BG621*10%)*('模拟-全程加成'!$J$3+'模拟-全程加成'!$J$4+'模拟-全程加成'!$J$5+('模拟-全程加成'!$I$4+'模拟-全程加成'!$I$5)/系数!$B$4+BG621*10%)+(1-('模拟-全程加成'!$J$3+'模拟-全程加成'!$J$4+'模拟-全程加成'!$J$5+('模拟-全程加成'!$I$4+'模拟-全程加成'!$I$5)/系数!$B$4+BG621*10%)-$F$10-$F$11)+F607*0.25),0)*'模拟-单技能数据'!$I$24</f>
        <v>0</v>
      </c>
      <c r="BG621" s="115" t="b">
        <f ca="1">OR(AND(OR(C621="烈日斩",C621="银月斩"),模拟模式!$I$7="净身明礼"),AND(C621="净世破魔击·日",模拟模式!$J$7="洞若观火"),AND(C622="净世破魔击·月",模拟模式!$J$7="洞若观火"),AB621=1)</f>
        <v>1</v>
      </c>
      <c r="BH621" s="115" t="b">
        <f t="shared" ca="1" si="577"/>
        <v>0</v>
      </c>
      <c r="BI621" s="115">
        <f t="shared" ca="1" si="557"/>
        <v>0</v>
      </c>
      <c r="BJ621" s="115" t="b">
        <f t="shared" ca="1" si="558"/>
        <v>0</v>
      </c>
      <c r="BK621" s="115" t="b">
        <f ca="1">AND(C621="驱夜断愁",模拟模式!$P$7="天地诛戮")</f>
        <v>0</v>
      </c>
      <c r="BL621" s="57">
        <f t="shared" ca="1" si="559"/>
        <v>14.465000000000003</v>
      </c>
      <c r="BM621" s="115" t="b">
        <f t="shared" ca="1" si="560"/>
        <v>1</v>
      </c>
      <c r="BN621" s="115" t="b">
        <f ca="1">AND(OR(C621="赤日轮1",C621="赤日轮2",C621="赤日轮3",C621="幽月轮1",C621="幽月轮2",C621="幽月轮3"),AB621=1,模拟模式!$L$7="明光恒照")</f>
        <v>0</v>
      </c>
      <c r="BO621" s="117">
        <f t="shared" ca="1" si="561"/>
        <v>29.077500000000001</v>
      </c>
      <c r="BP621" s="115">
        <f t="shared" ca="1" si="578"/>
        <v>6</v>
      </c>
      <c r="BQ621" s="115" t="b">
        <f>模拟模式!$K$10="2600·水"</f>
        <v>0</v>
      </c>
      <c r="BR621" s="117">
        <f t="shared" si="579"/>
        <v>0</v>
      </c>
      <c r="BS621" s="115">
        <f t="shared" si="580"/>
        <v>0</v>
      </c>
      <c r="BT621" s="115">
        <f t="shared" ca="1" si="581"/>
        <v>0</v>
      </c>
      <c r="BU621" s="115" t="b">
        <f ca="1">AND(模拟模式!$K$10="2300·雷",BT620=0,RAND()&lt;IF(C621="净世破魔击·月",5*0.05*2/3,IF(C621="净世破魔击·日",3*0.05*2/3,0.05*2*2/3)))</f>
        <v>0</v>
      </c>
      <c r="BV621" s="115">
        <f t="shared" ca="1" si="582"/>
        <v>0</v>
      </c>
      <c r="BW621" s="115">
        <f t="shared" ca="1" si="583"/>
        <v>7.4924999999993096</v>
      </c>
      <c r="BX621" s="164" t="b">
        <f t="shared" ca="1" si="584"/>
        <v>0</v>
      </c>
      <c r="BY621" s="115">
        <f t="shared" ca="1" si="585"/>
        <v>0</v>
      </c>
      <c r="BZ621" s="115">
        <f>IF(OR(模拟模式!$P$16="10人团",模拟模式!$P$16="25人团"),IF(B621/30&gt;CA620,1,0),0)</f>
        <v>0</v>
      </c>
      <c r="CA621" s="115">
        <f t="shared" si="562"/>
        <v>0</v>
      </c>
      <c r="CB621" s="115">
        <f ca="1">IF(BZ621=1,IF(模拟模式!$P$16="10人团",15,0)+IF(模拟模式!$P$16="25人团",IF(RAND()&lt;0.6,15,0)),MAX(0,CB620-$F$4))</f>
        <v>0</v>
      </c>
      <c r="CC621" s="115" t="b">
        <f t="shared" ca="1" si="563"/>
        <v>0</v>
      </c>
      <c r="CD621" s="115">
        <f>IF(模拟模式!$Q$16="1个",IF(B621/40&gt;CE620,1,0),0)</f>
        <v>0</v>
      </c>
      <c r="CE621" s="115">
        <f t="shared" si="564"/>
        <v>0</v>
      </c>
      <c r="CF621" s="115">
        <f>IF(OR(CD621=1,模拟模式!$Q$16="2个"),20,MAX(0,CF620-$F$4))</f>
        <v>0</v>
      </c>
      <c r="CG621" s="115" t="b">
        <f t="shared" si="565"/>
        <v>0</v>
      </c>
      <c r="CH621" s="115">
        <f t="shared" ca="1" si="586"/>
        <v>6.9375000000000124</v>
      </c>
      <c r="CI621" s="115" t="b">
        <f t="shared" ca="1" si="587"/>
        <v>0</v>
      </c>
      <c r="CJ621" s="119">
        <f t="shared" ca="1" si="588"/>
        <v>0</v>
      </c>
      <c r="CK621" s="115">
        <f t="shared" ca="1" si="589"/>
        <v>0</v>
      </c>
      <c r="CL621" s="115" t="b">
        <f ca="1">AND(模拟模式!$S$7="驱夷逐法",OR(AND(C621="净世破魔击·月",E620&gt;59),AND(C621="净世破魔击·日",F620&gt;59)))</f>
        <v>0</v>
      </c>
      <c r="CM621" s="115" t="b">
        <f ca="1">OR(CL621,AND(C621="净世破魔击·日",CL620,RAND()&lt;模拟模式!$U$23))</f>
        <v>0</v>
      </c>
      <c r="CN621" s="115" t="b">
        <f ca="1">IF(模拟模式!$M$7="辉耀红尘",AND(C621="净世破魔击·月",CL621,CV621=0,E620&lt;80),AND(C621="净世破魔击·月",CL621,E620&lt;100))</f>
        <v>0</v>
      </c>
      <c r="CO621" s="115" t="b">
        <f t="shared" ca="1" si="566"/>
        <v>0</v>
      </c>
      <c r="CP621" s="115" t="b">
        <f ca="1">AND(模拟模式!$O$7="用晦而明",OR(C621="净世破魔击·日",C621="净世破魔击·月",C621="驱夜断愁"),AB621)</f>
        <v>0</v>
      </c>
      <c r="CQ621" s="115" t="b">
        <f ca="1">OR(CP621,AND(CP620,RAND()&lt;模拟模式!$U$23))</f>
        <v>0</v>
      </c>
      <c r="CR621" s="115" t="b">
        <f ca="1">AND(模拟模式!$S$7="日月齐光",OR(C621="幽月轮1",C621="幽月轮2",C621="幽月轮3",CR620),NOT(OR(C621="赤日轮1",C621="赤日轮2",C621="赤日轮3")))</f>
        <v>0</v>
      </c>
      <c r="CS621" s="115" t="b">
        <f ca="1">AND(模拟模式!$S$7="日月齐光",OR(C621="赤日轮1",C621="赤日轮2",C621="赤日轮3",CS620),NOT(OR(C621="幽月轮1",C621="幽月轮2",C621="幽月轮3")))</f>
        <v>0</v>
      </c>
      <c r="CT621" s="115">
        <f t="shared" ca="1" si="590"/>
        <v>0</v>
      </c>
      <c r="CU621" s="115" t="b">
        <f ca="1">AND(模拟模式!$K$10="阴阳往极",CT620=0,RAND()&lt;IF(C621="净世破魔击·月",0.0275*7/3,IF(C621="净世破魔击·日",0.0275*3/3,0.0275*2/3)))</f>
        <v>0</v>
      </c>
      <c r="CV621" s="115">
        <f t="shared" ca="1" si="591"/>
        <v>0</v>
      </c>
      <c r="CW621" s="115">
        <f t="shared" ca="1" si="592"/>
        <v>1.3874999999999997</v>
      </c>
      <c r="CX621" s="115">
        <f t="shared" ca="1" si="593"/>
        <v>6</v>
      </c>
      <c r="CY621" s="115">
        <f ca="1">MAX(IF($C621="驱夜断愁",IF(模拟模式!$R$7="万念俱寂",6,45),CY620-$F$4),0)</f>
        <v>0.46499999999999975</v>
      </c>
      <c r="CZ621" s="115">
        <f t="shared" ca="1" si="567"/>
        <v>0</v>
      </c>
      <c r="DA621" s="115">
        <f ca="1">IF(模拟模式!$N$7="日月同辉",IF(DB620=2,0,MIN(6,IF(AND(OR(C621="赤日轮1",C621="赤日轮2",C621="赤日轮3",C621="幽月轮1",C621="幽月轮2",C621="幽月轮3"),AB621=1),DA620+1,DA620))),0)</f>
        <v>0</v>
      </c>
      <c r="DB621" s="115">
        <f t="shared" ca="1" si="568"/>
        <v>2</v>
      </c>
      <c r="DC621" s="115"/>
      <c r="DD621" s="115"/>
      <c r="DE621" s="115"/>
      <c r="DF621" s="115"/>
      <c r="DG621" s="115"/>
      <c r="DH621" s="115"/>
      <c r="DI621" s="115"/>
      <c r="DJ621" s="115"/>
      <c r="DK621" s="115"/>
      <c r="DL621" s="115"/>
      <c r="DM621" s="115"/>
    </row>
    <row r="622" spans="2:117" x14ac:dyDescent="0.2">
      <c r="B622" s="117">
        <f t="shared" si="569"/>
        <v>548.88750000000607</v>
      </c>
      <c r="C622" s="167" t="str">
        <f t="shared" ca="1" si="538"/>
        <v>驱夜断愁</v>
      </c>
      <c r="D622" s="115">
        <f ca="1">IF(C622="赤日轮1",1,IF(C622="赤日轮2",2,IF(C622="赤日轮3",3,IF(C622="幽月轮1",4,IF(C622="幽月轮2",5,IF(C622="幽月轮3",6,IF(C622="烈日斩",7,IF(C622="银月斩",8,IF(C622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622="净世破魔击·月",17,IF(C622="驱夜断愁",18,0)))))))))))</f>
        <v>18</v>
      </c>
      <c r="E622" s="115">
        <f ca="1">IF(AND(CU622,OR(C622="幽月轮1",C622="幽月轮2",C622="幽月轮3",C622="银月斩",C622="驱夜断愁",C622="净世破魔击·月")),100,MIN(IF(OR(CN622,BE622),0,IF(OR($C622="赤日轮1",$C622="赤日轮2",$C622="赤日轮3"),E621+20+IF(模拟模式!$I$7="日月凌天",4,0)+IF(CR621,20,0),IF($C622="烈日斩",E621+40,IF($C622="驱夜断愁",IF(模拟模式!$R$7="万念俱寂",E621+20,E621+60),IF($C622="净世破魔击·月",IF(OR(DB621&gt;0,CV621&gt;0),100,IF(模拟模式!$M$7="辉耀红尘",E621+20,E621)),IF($C622="净世破魔击·日",E621-100,E621)))))),100))</f>
        <v>100</v>
      </c>
      <c r="F622" s="115">
        <f ca="1">IF(AND(CU622,OR(C622="赤日轮1",C622="赤日轮2",C622="赤日轮3",C622="烈日斩",C622="净世破魔击·日")),100,MIN(IF(CO622,0,IF(OR($C622="幽月轮1",$C622="幽月轮2",$C622="幽月轮3"),F621+20+IF(模拟模式!$I$7="日月凌天",4,0)+IF(CS621,20,0),IF($C622="银月斩",F621+40+IF(模拟模式!$X$12=1,5,0),IF($C622="驱夜断愁",IF(模拟模式!$R$7="万念俱寂",F621+20,F621+60),IF($C622="净世破魔击·月",IF(模拟模式!$M$7="辉耀红尘",F621-80,F621-100),IF(AND(C622="净世破魔击·日",OR(DB621&gt;0,CV621&gt;0)),100,F621)))))),100))</f>
        <v>85</v>
      </c>
      <c r="G622" s="117">
        <f ca="1">('模拟-全程加成'!$E$3+'模拟-全程加成'!$E$4+'模拟-全程加成'!$E$5+('模拟-全程加成'!$C$6-'模拟-全程加成'!$C$3)*系数!$B$9+BS622*23)*(1+'模拟-全程加成'!$F$4+'模拟-全程加成'!$F$5+BJ622*10%+BM622*20%+BP622*4%+CG622*30%)+$F$7*系数!$B$12</f>
        <v>20583.127400000001</v>
      </c>
      <c r="H622" s="45">
        <f ca="1">'模拟-全程加成'!$H$3+'模拟-全程加成'!$H$4+'模拟-全程加成'!$H$5+('模拟-全程加成'!$G$4+'模拟-全程加成'!$G$5+('模拟-全程加成'!$C$6-'模拟-全程加成'!$C$3)*系数!$B$13)/系数!$B$3+LOOKUP(D622,'模拟-单技能数据'!$A$2:$A$19,'模拟-单技能数据'!$K$2:$K$19)+BG622*10%+IF(BV622&gt;0,378,0)</f>
        <v>0.51185145527300213</v>
      </c>
      <c r="I622" s="45">
        <f ca="1">'模拟-全程加成'!$J$3+'模拟-全程加成'!$J$4+'模拟-全程加成'!$J$5+('模拟-全程加成'!$I$4+'模拟-全程加成'!$I$5)/系数!$B$4+LOOKUP(D622,'模拟-单技能数据'!$A$2:$A$19,'模拟-单技能数据'!$L$2:$L$19)+BG622*10%</f>
        <v>2.162482885499879</v>
      </c>
      <c r="J622" s="45">
        <f ca="1">(('模拟-全程加成'!$K$3+'模拟-全程加成'!$K$4+'模拟-全程加成'!$K$5+('模拟-全程加成'!$C$6-'模拟-全程加成'!$C$3)*系数!$B$10+IF(BV622&gt;0,882,0)+IF(BY622&gt;0,1831,0))*(1+'模拟-全程加成'!$L$4+'模拟-全程加成'!$L$5+CC622*20%))/系数!$B$5</f>
        <v>0.69723220422048726</v>
      </c>
      <c r="K622" s="119">
        <f ca="1">LOOKUP(D622,'模拟-单技能数据'!$A$2:$A$19,'模拟-单技能数据'!$J$2:$J$19)+IF(CM622,60%,0)+IF(DB621-DB622&gt;0,30%,0)+IF(OR(AND(OR(C622="赤日轮1",C622="赤日轮2",C622="赤日轮3"),CR622),AND(OR(C622="幽月轮1",C622="幽月轮2",C622="幽月轮3"),CS622)),35%,0)+CJ622</f>
        <v>0.14000000000000001</v>
      </c>
      <c r="L622" s="119">
        <f ca="1">IF(AND(C622="烈日斩",模拟模式!$X$11=1),10%,0)+IF(AND(C622="驱夜断愁",AB622=1),30%,0)</f>
        <v>0.3</v>
      </c>
      <c r="M622" s="45">
        <f t="shared" ca="1" si="539"/>
        <v>0.51185145527300213</v>
      </c>
      <c r="N622" s="45">
        <f t="shared" ca="1" si="540"/>
        <v>0.43424854472699792</v>
      </c>
      <c r="O622" s="46">
        <f t="shared" ca="1" si="570"/>
        <v>0.92284293439478282</v>
      </c>
      <c r="P622" s="46" t="str">
        <f t="shared" ca="1" si="541"/>
        <v>命</v>
      </c>
      <c r="Q622" s="45">
        <f t="shared" ca="1" si="542"/>
        <v>1</v>
      </c>
      <c r="R622" s="117">
        <f ca="1">模拟模式!$E$20*(1-IF(模拟模式!$J$19="有",0.15,0))*(1-IF(模拟模式!$K$19="有",0.3,0)-IF(CQ622,0.5,0))</f>
        <v>843.02999999999975</v>
      </c>
      <c r="S622" s="45">
        <f ca="1">R622/(R622+(185*模拟模式!$E$22-16800)*4.08224)</f>
        <v>8.389626085980037E-2</v>
      </c>
      <c r="T622" s="45" t="str">
        <f ca="1">LOOKUP(D622,'模拟-单技能数据'!$A$2:$A$19,'模拟-单技能数据'!$H$2:$H$19)</f>
        <v>阴</v>
      </c>
      <c r="U622" s="119">
        <f t="shared" ca="1" si="543"/>
        <v>0.08</v>
      </c>
      <c r="V622" s="47">
        <f ca="1">(1+L622)*(LOOKUP(D622,'模拟-单技能数据'!$A$2:$A$19,'模拟-单技能数据'!$D$2:$D$19)+G622*LOOKUP(D622,'模拟-单技能数据'!$A$2:$A$19,'模拟-单技能数据'!$F$2:$F$19))*(1+J622)*(1+K622)*(1-S622)*(1+U622)*Q622*LOOKUP(D622,'模拟-单技能数据'!$A$2:$A$19,'模拟-单技能数据'!$I$2:$I$20)</f>
        <v>58943.088028757353</v>
      </c>
      <c r="W622" s="47">
        <f ca="1">LOOKUP(D622,'模拟-单技能数据'!$A$2:$A$19,'模拟-单技能数据'!$G$2:$G$19)*$I$10</f>
        <v>723.0212870940959</v>
      </c>
      <c r="X622" s="47">
        <f t="shared" ca="1" si="571"/>
        <v>19138.734942717732</v>
      </c>
      <c r="Y622" s="47">
        <f t="shared" ca="1" si="544"/>
        <v>78804.844258569181</v>
      </c>
      <c r="Z622" s="49">
        <f t="shared" ca="1" si="545"/>
        <v>62017420.277522124</v>
      </c>
      <c r="AA622" s="97">
        <f t="shared" ca="1" si="546"/>
        <v>112987.48883427194</v>
      </c>
      <c r="AB622" s="115">
        <f ca="1">IF(OR(C622="赤日轮1",C622="赤日轮2",C622="赤日轮3"),IF(RAND()&lt;模拟模式!$Y$17,1,0),IF(OR(C622="幽月轮1",C622="幽月轮2",C622="幽月轮3"),IF(RAND()&lt;模拟模式!$Y$18,1,0),IF(C622="烈日斩",IF(RAND()&lt;模拟模式!$Y$19,1,0),IF(C622="银月斩",IF(RAND()&lt;模拟模式!$Y$20,1,0),IF(C622="驱夜断愁",IF(RAND()&lt;模拟模式!$Y$21,1,0),IF(C622="净世破魔击·日",IF(RAND()&lt;模拟模式!$Y$22,1,0),IF(C622="净世破魔击·月",IF(RAND()&lt;模拟模式!$Y$23,1,0),0)))))))</f>
        <v>1</v>
      </c>
      <c r="AC622" s="115" t="b">
        <f t="shared" ca="1" si="547"/>
        <v>0</v>
      </c>
      <c r="AD622" s="115" t="b">
        <f t="shared" ca="1" si="548"/>
        <v>1</v>
      </c>
      <c r="AE622" s="115">
        <f t="shared" ca="1" si="549"/>
        <v>5</v>
      </c>
      <c r="AF622" s="47">
        <f ca="1">IF(AC622,('模拟-单技能数据'!$D$20+G622*'模拟-单技能数据'!$F$20)*(1+J622)*(1+'模拟-单技能数据'!$J$20)*(1+U622),0)</f>
        <v>0</v>
      </c>
      <c r="AG622" s="61">
        <f t="shared" ca="1" si="550"/>
        <v>0.64185145527300214</v>
      </c>
      <c r="AH622" s="61">
        <f t="shared" ca="1" si="551"/>
        <v>2.2624828854998791</v>
      </c>
      <c r="AI622" s="62">
        <f t="shared" ca="1" si="572"/>
        <v>0.27031435780722102</v>
      </c>
      <c r="AJ622" s="47">
        <f ca="1">IF(AD622,IF(AI622&lt;$F$10,0,IF(AI622&lt;$F$10+$F$11,0.25,IF(AI622&lt;$F$10+$F$11+AG622,AH622,1)))*IF(AF622&gt;0,AF622,IF(AF621&gt;0,AF621,IF(AF620&gt;0,AF620,IF(AF619&gt;0,AF619,IF(AF618&gt;0,AF618,IF(AF617&gt;0,AF617,IF(AF616&gt;0,AF616,IF(AF615&gt;0,AF615,IF(AF614&gt;0,AF614,IF(AF612&gt;0,AF612,IF(AF611&gt;0,AF611,IF(AF610&gt;0,AF610,0)))))))))))),0)*(1-$S622)*'模拟-单技能数据'!$I$20</f>
        <v>9218.9345386263849</v>
      </c>
      <c r="AK622" s="115" t="b">
        <f t="shared" ca="1" si="552"/>
        <v>0</v>
      </c>
      <c r="AL622" s="115" t="b">
        <f t="shared" ca="1" si="553"/>
        <v>0</v>
      </c>
      <c r="AM622" s="115">
        <f t="shared" ca="1" si="554"/>
        <v>4</v>
      </c>
      <c r="AN622" s="47">
        <f ca="1">IF(AK622,('模拟-单技能数据'!$D$21+G622*'模拟-单技能数据'!$F$21)*(1+J622)*(1+'模拟-单技能数据'!$J$21)*(1+U622),0)</f>
        <v>0</v>
      </c>
      <c r="AO622" s="61">
        <f ca="1">IF(AN622&gt;0,M622-'模拟-单技能数据'!$K$10,AO621)</f>
        <v>0.42185145527300216</v>
      </c>
      <c r="AP622" s="61">
        <f ca="1">IF(AN622&gt;0,I622-'模拟-单技能数据'!$L$10,AP621)</f>
        <v>2.162482885499879</v>
      </c>
      <c r="AQ622" s="63">
        <f t="shared" ca="1" si="573"/>
        <v>0.75285555092343193</v>
      </c>
      <c r="AR622" s="64">
        <f ca="1">IF(AL622,IF(AQ622&lt;$F$10,0,IF(AQ622&lt;$F$10+$F$11,0.25,IF(AQ622&lt;$F$10+$F$11+AO622,AP622,1)))*IF(AN622&gt;0,AN622,IF(AN621&gt;0,AN621,IF(AN620&gt;0,AN620,IF(AN619&gt;0,AN619,IF(AN618&gt;0,AN618,IF(AN617&gt;0,AN617,IF(AN616&gt;0,AN616,IF(AN615&gt;0,AN615,IF(AN614&gt;0,AN614,IF(AN612&gt;0,AN612,IF(AN611&gt;0,AN611,IF(AN610&gt;0,AN610,0)))))))))))),0)*(1-$S622)*'模拟-单技能数据'!$I$21</f>
        <v>0</v>
      </c>
      <c r="AS622" s="61">
        <f ca="1">IF(OR(C622="净世破魔击·日",C622="净世破魔击·月"),M622-'模拟-单技能数据'!$K$10,0)</f>
        <v>0</v>
      </c>
      <c r="AT622" s="61">
        <f ca="1">IF(OR(C622="净世破魔击·日",C622="净世破魔击·月"),I622-'模拟-单技能数据'!$L$10,0)</f>
        <v>0</v>
      </c>
      <c r="AU622" s="62">
        <f t="shared" ca="1" si="574"/>
        <v>0.81198461528906485</v>
      </c>
      <c r="AV622" s="64">
        <f ca="1">IF(AS622&gt;0,('模拟-单技能数据'!$D$22+G622*'模拟-单技能数据'!$F$22)*(1+J622)*(1-S622)*IF(AU622&lt;$F$10,0,IF(AU622&lt;$F$10+$F$11,0.25,IF(AU622&lt;$F$10+$F$11+AS622,AT622,1)))*(1+U622),0)*'模拟-单技能数据'!$I$22</f>
        <v>0</v>
      </c>
      <c r="AW622" s="108">
        <f t="shared" ca="1" si="575"/>
        <v>15.387500000000003</v>
      </c>
      <c r="AX622" s="108" t="b">
        <f ca="1">AND(模拟模式!$P$10="有",AW621=0,RAND()&lt;IF(C622="净世破魔击·月",0.1*8/3,IF(C622="净世破魔击·日",0.1*4/3,0.1*2/3)))</f>
        <v>0</v>
      </c>
      <c r="AY622" s="47">
        <f ca="1">IF(AX622,(18+G622*0.722)*(1+J622)*(1-S622)*(1+$I$4)*IF(P622="会",'模拟-全程加成'!$J$3+'模拟-全程加成'!$J$4+'模拟-全程加成'!$J$5+('模拟-全程加成'!$I$4+'模拟-全程加成'!$I$5)/系数!$B$4+BG622*10%,IF(P622="命",1,IF(P622="识",0.25,0))),0)</f>
        <v>0</v>
      </c>
      <c r="AZ622" s="108">
        <f t="shared" si="576"/>
        <v>19.077500000000001</v>
      </c>
      <c r="BA622" s="108" t="b">
        <f>AND(模拟模式!$Q$10="有",AZ621=0)</f>
        <v>1</v>
      </c>
      <c r="BB622" s="140">
        <f ca="1">IF(BA622,(0+G622*0.287)*(1+J622)*(1-S622)*(1+$I$4)*IF(P622="会",'模拟-全程加成'!$J$3+'模拟-全程加成'!$J$4+'模拟-全程加成'!$J$5+('模拟-全程加成'!$I$4+'模拟-全程加成'!$I$5)/系数!$B$4+BG622*10%,IF(P622="命",1,IF(P622="识",0.25,0))),0)</f>
        <v>9919.8004040913456</v>
      </c>
      <c r="BC622" s="115" t="b">
        <f ca="1">AND(模拟模式!$R$7="伏明众生",E622=60,F622=20,DA622&lt;5,CZ621&lt;$F$4)</f>
        <v>0</v>
      </c>
      <c r="BD622" s="115">
        <f t="shared" ca="1" si="555"/>
        <v>0</v>
      </c>
      <c r="BE622" s="115" t="b">
        <f t="shared" ca="1" si="556"/>
        <v>0</v>
      </c>
      <c r="BF622" s="47">
        <f ca="1">IF(BC622,4*('模拟-单技能数据'!$D$24+G622*'模拟-单技能数据'!$F$24)*(1+J622)*(1+'模拟-单技能数据'!$J$24)*(1-S622)*(1+$I$3)*(('模拟-全程加成'!$J$3+'模拟-全程加成'!$J$4+'模拟-全程加成'!$J$5+('模拟-全程加成'!$I$4+'模拟-全程加成'!$I$5)/系数!$B$4+BG622*10%)*('模拟-全程加成'!$J$3+'模拟-全程加成'!$J$4+'模拟-全程加成'!$J$5+('模拟-全程加成'!$I$4+'模拟-全程加成'!$I$5)/系数!$B$4+BG622*10%)+(1-('模拟-全程加成'!$J$3+'模拟-全程加成'!$J$4+'模拟-全程加成'!$J$5+('模拟-全程加成'!$I$4+'模拟-全程加成'!$I$5)/系数!$B$4+BG622*10%)-$F$10-$F$11)+F608*0.25),0)*'模拟-单技能数据'!$I$24</f>
        <v>0</v>
      </c>
      <c r="BG622" s="115" t="b">
        <f ca="1">OR(AND(OR(C622="烈日斩",C622="银月斩"),模拟模式!$I$7="净身明礼"),AND(C622="净世破魔击·日",模拟模式!$J$7="洞若观火"),AND(C623="净世破魔击·月",模拟模式!$J$7="洞若观火"),AB622=1)</f>
        <v>1</v>
      </c>
      <c r="BH622" s="115" t="b">
        <f t="shared" ca="1" si="577"/>
        <v>0</v>
      </c>
      <c r="BI622" s="115">
        <f t="shared" ca="1" si="557"/>
        <v>0</v>
      </c>
      <c r="BJ622" s="115" t="b">
        <f t="shared" ca="1" si="558"/>
        <v>0</v>
      </c>
      <c r="BK622" s="115" t="b">
        <f ca="1">AND(C622="驱夜断愁",模拟模式!$P$7="天地诛戮")</f>
        <v>1</v>
      </c>
      <c r="BL622" s="57">
        <f t="shared" ca="1" si="559"/>
        <v>20</v>
      </c>
      <c r="BM622" s="115" t="b">
        <f t="shared" ca="1" si="560"/>
        <v>1</v>
      </c>
      <c r="BN622" s="115" t="b">
        <f ca="1">AND(OR(C622="赤日轮1",C622="赤日轮2",C622="赤日轮3",C622="幽月轮1",C622="幽月轮2",C622="幽月轮3"),AB622=1,模拟模式!$L$7="明光恒照")</f>
        <v>0</v>
      </c>
      <c r="BO622" s="117">
        <f t="shared" ca="1" si="561"/>
        <v>28.155000000000001</v>
      </c>
      <c r="BP622" s="115">
        <f t="shared" ca="1" si="578"/>
        <v>6</v>
      </c>
      <c r="BQ622" s="115" t="b">
        <f>模拟模式!$K$10="2600·水"</f>
        <v>0</v>
      </c>
      <c r="BR622" s="117">
        <f t="shared" si="579"/>
        <v>0</v>
      </c>
      <c r="BS622" s="115">
        <f t="shared" si="580"/>
        <v>0</v>
      </c>
      <c r="BT622" s="115">
        <f t="shared" ca="1" si="581"/>
        <v>0</v>
      </c>
      <c r="BU622" s="115" t="b">
        <f ca="1">AND(模拟模式!$K$10="2300·雷",BT621=0,RAND()&lt;IF(C622="净世破魔击·月",5*0.05*2/3,IF(C622="净世破魔击·日",3*0.05*2/3,0.05*2*2/3)))</f>
        <v>0</v>
      </c>
      <c r="BV622" s="115">
        <f t="shared" ca="1" si="582"/>
        <v>0</v>
      </c>
      <c r="BW622" s="115">
        <f t="shared" ca="1" si="583"/>
        <v>6.5699999999993093</v>
      </c>
      <c r="BX622" s="164" t="b">
        <f t="shared" ca="1" si="584"/>
        <v>0</v>
      </c>
      <c r="BY622" s="115">
        <f t="shared" ca="1" si="585"/>
        <v>0</v>
      </c>
      <c r="BZ622" s="115">
        <f>IF(OR(模拟模式!$P$16="10人团",模拟模式!$P$16="25人团"),IF(B622/30&gt;CA621,1,0),0)</f>
        <v>0</v>
      </c>
      <c r="CA622" s="115">
        <f t="shared" si="562"/>
        <v>0</v>
      </c>
      <c r="CB622" s="115">
        <f ca="1">IF(BZ622=1,IF(模拟模式!$P$16="10人团",15,0)+IF(模拟模式!$P$16="25人团",IF(RAND()&lt;0.6,15,0)),MAX(0,CB621-$F$4))</f>
        <v>0</v>
      </c>
      <c r="CC622" s="115" t="b">
        <f t="shared" ca="1" si="563"/>
        <v>0</v>
      </c>
      <c r="CD622" s="115">
        <f>IF(模拟模式!$Q$16="1个",IF(B622/40&gt;CE621,1,0),0)</f>
        <v>0</v>
      </c>
      <c r="CE622" s="115">
        <f t="shared" si="564"/>
        <v>0</v>
      </c>
      <c r="CF622" s="115">
        <f>IF(OR(CD622=1,模拟模式!$Q$16="2个"),20,MAX(0,CF621-$F$4))</f>
        <v>0</v>
      </c>
      <c r="CG622" s="115" t="b">
        <f t="shared" si="565"/>
        <v>0</v>
      </c>
      <c r="CH622" s="115">
        <f t="shared" ca="1" si="586"/>
        <v>6.0150000000000121</v>
      </c>
      <c r="CI622" s="115" t="b">
        <f t="shared" ca="1" si="587"/>
        <v>0</v>
      </c>
      <c r="CJ622" s="119">
        <f t="shared" ca="1" si="588"/>
        <v>0</v>
      </c>
      <c r="CK622" s="115">
        <f t="shared" ca="1" si="589"/>
        <v>0</v>
      </c>
      <c r="CL622" s="115" t="b">
        <f ca="1">AND(模拟模式!$S$7="驱夷逐法",OR(AND(C622="净世破魔击·月",E621&gt;59),AND(C622="净世破魔击·日",F621&gt;59)))</f>
        <v>0</v>
      </c>
      <c r="CM622" s="115" t="b">
        <f ca="1">OR(CL622,AND(C622="净世破魔击·日",CL621,RAND()&lt;模拟模式!$U$23))</f>
        <v>0</v>
      </c>
      <c r="CN622" s="115" t="b">
        <f ca="1">IF(模拟模式!$M$7="辉耀红尘",AND(C622="净世破魔击·月",CL622,CV622=0,E621&lt;80),AND(C622="净世破魔击·月",CL622,E621&lt;100))</f>
        <v>0</v>
      </c>
      <c r="CO622" s="115" t="b">
        <f t="shared" ca="1" si="566"/>
        <v>0</v>
      </c>
      <c r="CP622" s="115" t="b">
        <f ca="1">AND(模拟模式!$O$7="用晦而明",OR(C622="净世破魔击·日",C622="净世破魔击·月",C622="驱夜断愁"),AB622)</f>
        <v>1</v>
      </c>
      <c r="CQ622" s="115" t="b">
        <f ca="1">OR(CP622,AND(CP621,RAND()&lt;模拟模式!$U$23))</f>
        <v>1</v>
      </c>
      <c r="CR622" s="115" t="b">
        <f ca="1">AND(模拟模式!$S$7="日月齐光",OR(C622="幽月轮1",C622="幽月轮2",C622="幽月轮3",CR621),NOT(OR(C622="赤日轮1",C622="赤日轮2",C622="赤日轮3")))</f>
        <v>0</v>
      </c>
      <c r="CS622" s="115" t="b">
        <f ca="1">AND(模拟模式!$S$7="日月齐光",OR(C622="赤日轮1",C622="赤日轮2",C622="赤日轮3",CS621),NOT(OR(C622="幽月轮1",C622="幽月轮2",C622="幽月轮3")))</f>
        <v>0</v>
      </c>
      <c r="CT622" s="115">
        <f t="shared" ca="1" si="590"/>
        <v>30</v>
      </c>
      <c r="CU622" s="115" t="b">
        <f ca="1">AND(模拟模式!$K$10="阴阳往极",CT621=0,RAND()&lt;IF(C622="净世破魔击·月",0.0275*7/3,IF(C622="净世破魔击·日",0.0275*3/3,0.0275*2/3)))</f>
        <v>1</v>
      </c>
      <c r="CV622" s="115">
        <f t="shared" ca="1" si="591"/>
        <v>4.0774999999999997</v>
      </c>
      <c r="CW622" s="115">
        <f t="shared" ca="1" si="592"/>
        <v>0.46499999999999975</v>
      </c>
      <c r="CX622" s="115">
        <f t="shared" ca="1" si="593"/>
        <v>5.0774999999999997</v>
      </c>
      <c r="CY622" s="115">
        <f ca="1">MAX(IF($C622="驱夜断愁",IF(模拟模式!$R$7="万念俱寂",6,45),CY621-$F$4),0)</f>
        <v>6</v>
      </c>
      <c r="CZ622" s="115">
        <f t="shared" ca="1" si="567"/>
        <v>0</v>
      </c>
      <c r="DA622" s="115">
        <f ca="1">IF(模拟模式!$N$7="日月同辉",IF(DB621=2,0,MIN(6,IF(AND(OR(C622="赤日轮1",C622="赤日轮2",C622="赤日轮3",C622="幽月轮1",C622="幽月轮2",C622="幽月轮3"),AB622=1),DA621+1,DA621))),0)</f>
        <v>0</v>
      </c>
      <c r="DB622" s="115">
        <f t="shared" ca="1" si="568"/>
        <v>2</v>
      </c>
      <c r="DC622" s="115"/>
      <c r="DD622" s="115"/>
      <c r="DE622" s="115"/>
      <c r="DF622" s="115"/>
      <c r="DG622" s="115"/>
      <c r="DH622" s="115"/>
      <c r="DI622" s="115"/>
      <c r="DJ622" s="115"/>
      <c r="DK622" s="115"/>
      <c r="DL622" s="115"/>
      <c r="DM622" s="115"/>
    </row>
    <row r="623" spans="2:117" x14ac:dyDescent="0.2">
      <c r="B623" s="117">
        <f t="shared" si="569"/>
        <v>549.81000000000608</v>
      </c>
      <c r="C623" s="167" t="str">
        <f t="shared" ca="1" si="538"/>
        <v>净世破魔击·日</v>
      </c>
      <c r="D623" s="115">
        <f ca="1">IF(C623="赤日轮1",1,IF(C623="赤日轮2",2,IF(C623="赤日轮3",3,IF(C623="幽月轮1",4,IF(C623="幽月轮2",5,IF(C623="幽月轮3",6,IF(C623="烈日斩",7,IF(C623="银月斩",8,IF(C623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623="净世破魔击·月",17,IF(C623="驱夜断愁",18,0)))))))))))</f>
        <v>9</v>
      </c>
      <c r="E623" s="115">
        <f ca="1">IF(AND(CU623,OR(C623="幽月轮1",C623="幽月轮2",C623="幽月轮3",C623="银月斩",C623="驱夜断愁",C623="净世破魔击·月")),100,MIN(IF(OR(CN623,BE623),0,IF(OR($C623="赤日轮1",$C623="赤日轮2",$C623="赤日轮3"),E622+20+IF(模拟模式!$I$7="日月凌天",4,0)+IF(CR622,20,0),IF($C623="烈日斩",E622+40,IF($C623="驱夜断愁",IF(模拟模式!$R$7="万念俱寂",E622+20,E622+60),IF($C623="净世破魔击·月",IF(OR(DB622&gt;0,CV622&gt;0),100,IF(模拟模式!$M$7="辉耀红尘",E622+20,E622)),IF($C623="净世破魔击·日",E622-100,E622)))))),100))</f>
        <v>0</v>
      </c>
      <c r="F623" s="115">
        <f ca="1">IF(AND(CU623,OR(C623="赤日轮1",C623="赤日轮2",C623="赤日轮3",C623="烈日斩",C623="净世破魔击·日")),100,MIN(IF(CO623,0,IF(OR($C623="幽月轮1",$C623="幽月轮2",$C623="幽月轮3"),F622+20+IF(模拟模式!$I$7="日月凌天",4,0)+IF(CS622,20,0),IF($C623="银月斩",F622+40+IF(模拟模式!$X$12=1,5,0),IF($C623="驱夜断愁",IF(模拟模式!$R$7="万念俱寂",F622+20,F622+60),IF($C623="净世破魔击·月",IF(模拟模式!$M$7="辉耀红尘",F622-80,F622-100),IF(AND(C623="净世破魔击·日",OR(DB622&gt;0,CV622&gt;0)),100,F622)))))),100))</f>
        <v>100</v>
      </c>
      <c r="G623" s="117">
        <f ca="1">('模拟-全程加成'!$E$3+'模拟-全程加成'!$E$4+'模拟-全程加成'!$E$5+('模拟-全程加成'!$C$6-'模拟-全程加成'!$C$3)*系数!$B$9+BS623*23)*(1+'模拟-全程加成'!$F$4+'模拟-全程加成'!$F$5+BJ623*10%+BM623*20%+BP623*4%+CG623*30%)+$F$7*系数!$B$12</f>
        <v>20583.127400000001</v>
      </c>
      <c r="H623" s="45">
        <f ca="1">'模拟-全程加成'!$H$3+'模拟-全程加成'!$H$4+'模拟-全程加成'!$H$5+('模拟-全程加成'!$G$4+'模拟-全程加成'!$G$5+('模拟-全程加成'!$C$6-'模拟-全程加成'!$C$3)*系数!$B$13)/系数!$B$3+LOOKUP(D623,'模拟-单技能数据'!$A$2:$A$19,'模拟-单技能数据'!$K$2:$K$19)+BG623*10%+IF(BV623&gt;0,378,0)</f>
        <v>0.54185145527300216</v>
      </c>
      <c r="I623" s="45">
        <f ca="1">'模拟-全程加成'!$J$3+'模拟-全程加成'!$J$4+'模拟-全程加成'!$J$5+('模拟-全程加成'!$I$4+'模拟-全程加成'!$I$5)/系数!$B$4+LOOKUP(D623,'模拟-单技能数据'!$A$2:$A$19,'模拟-单技能数据'!$L$2:$L$19)+BG623*10%</f>
        <v>2.162482885499879</v>
      </c>
      <c r="J623" s="45">
        <f ca="1">(('模拟-全程加成'!$K$3+'模拟-全程加成'!$K$4+'模拟-全程加成'!$K$5+('模拟-全程加成'!$C$6-'模拟-全程加成'!$C$3)*系数!$B$10+IF(BV623&gt;0,882,0)+IF(BY623&gt;0,1831,0))*(1+'模拟-全程加成'!$L$4+'模拟-全程加成'!$L$5+CC623*20%))/系数!$B$5</f>
        <v>0.69723220422048726</v>
      </c>
      <c r="K623" s="119">
        <f ca="1">LOOKUP(D623,'模拟-单技能数据'!$A$2:$A$19,'模拟-单技能数据'!$J$2:$J$19)+IF(CM623,60%,0)+IF(DB622-DB623&gt;0,30%,0)+IF(OR(AND(OR(C623="赤日轮1",C623="赤日轮2",C623="赤日轮3"),CR623),AND(OR(C623="幽月轮1",C623="幽月轮2",C623="幽月轮3"),CS623)),35%,0)+CJ623</f>
        <v>1.1000000000000001</v>
      </c>
      <c r="L623" s="119">
        <f ca="1">IF(AND(C623="烈日斩",模拟模式!$X$11=1),10%,0)+IF(AND(C623="驱夜断愁",AB623=1),30%,0)</f>
        <v>0</v>
      </c>
      <c r="M623" s="45">
        <f t="shared" ca="1" si="539"/>
        <v>0.54185145527300216</v>
      </c>
      <c r="N623" s="45">
        <f t="shared" ca="1" si="540"/>
        <v>0.40424854472699789</v>
      </c>
      <c r="O623" s="46">
        <f t="shared" ca="1" si="570"/>
        <v>0.33414145996829314</v>
      </c>
      <c r="P623" s="46" t="str">
        <f t="shared" ca="1" si="541"/>
        <v>会</v>
      </c>
      <c r="Q623" s="45">
        <f t="shared" ca="1" si="542"/>
        <v>2.162482885499879</v>
      </c>
      <c r="R623" s="117">
        <f ca="1">模拟模式!$E$20*(1-IF(模拟模式!$J$19="有",0.15,0))*(1-IF(模拟模式!$K$19="有",0.3,0)-IF(CQ623,0.5,0))</f>
        <v>843.02999999999975</v>
      </c>
      <c r="S623" s="45">
        <f ca="1">R623/(R623+(185*模拟模式!$E$22-16800)*4.08224)</f>
        <v>8.389626085980037E-2</v>
      </c>
      <c r="T623" s="45" t="str">
        <f ca="1">LOOKUP(D623,'模拟-单技能数据'!$A$2:$A$19,'模拟-单技能数据'!$H$2:$H$19)</f>
        <v>阳</v>
      </c>
      <c r="U623" s="119">
        <f t="shared" ca="1" si="543"/>
        <v>0.2</v>
      </c>
      <c r="V623" s="47">
        <f ca="1">(1+L623)*(LOOKUP(D623,'模拟-单技能数据'!$A$2:$A$19,'模拟-单技能数据'!$D$2:$D$19)+G623*LOOKUP(D623,'模拟-单技能数据'!$A$2:$A$19,'模拟-单技能数据'!$F$2:$F$19))*(1+J623)*(1+K623)*(1-S623)*(1+U623)*Q623*LOOKUP(D623,'模拟-单技能数据'!$A$2:$A$19,'模拟-单技能数据'!$I$2:$I$20)</f>
        <v>228568.4507011126</v>
      </c>
      <c r="W623" s="47">
        <f ca="1">LOOKUP(D623,'模拟-单技能数据'!$A$2:$A$19,'模拟-单技能数据'!$G$2:$G$19)*$I$10</f>
        <v>723.0212870940959</v>
      </c>
      <c r="X623" s="47">
        <f t="shared" ca="1" si="571"/>
        <v>29474.113140456007</v>
      </c>
      <c r="Y623" s="47">
        <f t="shared" ca="1" si="544"/>
        <v>258765.5851286627</v>
      </c>
      <c r="Z623" s="49">
        <f t="shared" ca="1" si="545"/>
        <v>62276185.862650789</v>
      </c>
      <c r="AA623" s="97">
        <f t="shared" ca="1" si="546"/>
        <v>113268.55797939307</v>
      </c>
      <c r="AB623" s="115">
        <f ca="1">IF(OR(C623="赤日轮1",C623="赤日轮2",C623="赤日轮3"),IF(RAND()&lt;模拟模式!$Y$17,1,0),IF(OR(C623="幽月轮1",C623="幽月轮2",C623="幽月轮3"),IF(RAND()&lt;模拟模式!$Y$18,1,0),IF(C623="烈日斩",IF(RAND()&lt;模拟模式!$Y$19,1,0),IF(C623="银月斩",IF(RAND()&lt;模拟模式!$Y$20,1,0),IF(C623="驱夜断愁",IF(RAND()&lt;模拟模式!$Y$21,1,0),IF(C623="净世破魔击·日",IF(RAND()&lt;模拟模式!$Y$22,1,0),IF(C623="净世破魔击·月",IF(RAND()&lt;模拟模式!$Y$23,1,0),0)))))))</f>
        <v>1</v>
      </c>
      <c r="AC623" s="115" t="b">
        <f t="shared" ca="1" si="547"/>
        <v>0</v>
      </c>
      <c r="AD623" s="115" t="b">
        <f t="shared" ca="1" si="548"/>
        <v>0</v>
      </c>
      <c r="AE623" s="115">
        <f t="shared" ca="1" si="549"/>
        <v>5</v>
      </c>
      <c r="AF623" s="47">
        <f ca="1">IF(AC623,('模拟-单技能数据'!$D$20+G623*'模拟-单技能数据'!$F$20)*(1+J623)*(1+'模拟-单技能数据'!$J$20)*(1+U623),0)</f>
        <v>0</v>
      </c>
      <c r="AG623" s="61">
        <f t="shared" ca="1" si="550"/>
        <v>0.64185145527300214</v>
      </c>
      <c r="AH623" s="61">
        <f t="shared" ca="1" si="551"/>
        <v>2.2624828854998791</v>
      </c>
      <c r="AI623" s="62">
        <f t="shared" ca="1" si="572"/>
        <v>0.89077540483615092</v>
      </c>
      <c r="AJ623" s="47">
        <f ca="1">IF(AD623,IF(AI623&lt;$F$10,0,IF(AI623&lt;$F$10+$F$11,0.25,IF(AI623&lt;$F$10+$F$11+AG623,AH623,1)))*IF(AF623&gt;0,AF623,IF(AF622&gt;0,AF622,IF(AF621&gt;0,AF621,IF(AF620&gt;0,AF620,IF(AF619&gt;0,AF619,IF(AF618&gt;0,AF618,IF(AF617&gt;0,AF617,IF(AF616&gt;0,AF616,IF(AF615&gt;0,AF615,IF(AF613&gt;0,AF613,IF(AF612&gt;0,AF612,IF(AF611&gt;0,AF611,0)))))))))))),0)*(1-$S623)*'模拟-单技能数据'!$I$20</f>
        <v>0</v>
      </c>
      <c r="AK623" s="115" t="b">
        <f t="shared" ca="1" si="552"/>
        <v>1</v>
      </c>
      <c r="AL623" s="115" t="b">
        <f t="shared" ca="1" si="553"/>
        <v>1</v>
      </c>
      <c r="AM623" s="115">
        <f t="shared" ca="1" si="554"/>
        <v>5</v>
      </c>
      <c r="AN623" s="47">
        <f ca="1">IF(AK623,('模拟-单技能数据'!$D$21+G623*'模拟-单技能数据'!$F$21)*(1+J623)*(1+'模拟-单技能数据'!$J$21)*(1+U623),0)</f>
        <v>12136.56601728573</v>
      </c>
      <c r="AO623" s="61">
        <f ca="1">IF(AN623&gt;0,M623-'模拟-单技能数据'!$K$10,AO622)</f>
        <v>0.42185145527300216</v>
      </c>
      <c r="AP623" s="61">
        <f ca="1">IF(AN623&gt;0,I623-'模拟-单技能数据'!$L$10,AP622)</f>
        <v>2.162482885499879</v>
      </c>
      <c r="AQ623" s="63">
        <f t="shared" ca="1" si="573"/>
        <v>0.94470920250268808</v>
      </c>
      <c r="AR623" s="64">
        <f ca="1">IF(AL623,IF(AQ623&lt;$F$10,0,IF(AQ623&lt;$F$10+$F$11,0.25,IF(AQ623&lt;$F$10+$F$11+AO623,AP623,1)))*IF(AN623&gt;0,AN623,IF(AN622&gt;0,AN622,IF(AN621&gt;0,AN621,IF(AN620&gt;0,AN620,IF(AN619&gt;0,AN619,IF(AN618&gt;0,AN618,IF(AN617&gt;0,AN617,IF(AN616&gt;0,AN616,IF(AN615&gt;0,AN615,IF(AN613&gt;0,AN613,IF(AN612&gt;0,AN612,IF(AN611&gt;0,AN611,0)))))))))))),0)*(1-$S623)*'模拟-单技能数据'!$I$21</f>
        <v>11118.353508757338</v>
      </c>
      <c r="AS623" s="61">
        <f ca="1">IF(OR(C623="净世破魔击·日",C623="净世破魔击·月"),M623-'模拟-单技能数据'!$K$10,0)</f>
        <v>0.42185145527300216</v>
      </c>
      <c r="AT623" s="61">
        <f ca="1">IF(OR(C623="净世破魔击·日",C623="净世破魔击·月"),I623-'模拟-单技能数据'!$L$10,0)</f>
        <v>2.162482885499879</v>
      </c>
      <c r="AU623" s="62">
        <f t="shared" ca="1" si="574"/>
        <v>0.14398475710717906</v>
      </c>
      <c r="AV623" s="64">
        <f ca="1">IF(AS623&gt;0,('模拟-单技能数据'!$D$22+G623*'模拟-单技能数据'!$F$22)*(1+J623)*(1-S623)*IF(AU623&lt;$F$10,0,IF(AU623&lt;$F$10+$F$11,0.25,IF(AU623&lt;$F$10+$F$11+AS623,AT623,1)))*(1+U623),0)*'模拟-单技能数据'!$I$22</f>
        <v>18355.759631698667</v>
      </c>
      <c r="AW623" s="108">
        <f t="shared" ca="1" si="575"/>
        <v>14.465000000000003</v>
      </c>
      <c r="AX623" s="108" t="b">
        <f ca="1">AND(模拟模式!$P$10="有",AW622=0,RAND()&lt;IF(C623="净世破魔击·月",0.1*8/3,IF(C623="净世破魔击·日",0.1*4/3,0.1*2/3)))</f>
        <v>0</v>
      </c>
      <c r="AY623" s="47">
        <f ca="1">IF(AX623,(18+G623*0.722)*(1+J623)*(1-S623)*(1+$I$4)*IF(P623="会",'模拟-全程加成'!$J$3+'模拟-全程加成'!$J$4+'模拟-全程加成'!$J$5+('模拟-全程加成'!$I$4+'模拟-全程加成'!$I$5)/系数!$B$4+BG623*10%,IF(P623="命",1,IF(P623="识",0.25,0))),0)</f>
        <v>0</v>
      </c>
      <c r="AZ623" s="108">
        <f t="shared" si="576"/>
        <v>18.155000000000001</v>
      </c>
      <c r="BA623" s="108" t="b">
        <f>AND(模拟模式!$Q$10="有",AZ622=0)</f>
        <v>0</v>
      </c>
      <c r="BB623" s="140">
        <f>IF(BA623,(0+G623*0.287)*(1+J623)*(1-S623)*(1+$I$4)*IF(P623="会",'模拟-全程加成'!$J$3+'模拟-全程加成'!$J$4+'模拟-全程加成'!$J$5+('模拟-全程加成'!$I$4+'模拟-全程加成'!$I$5)/系数!$B$4+BG623*10%,IF(P623="命",1,IF(P623="识",0.25,0))),0)</f>
        <v>0</v>
      </c>
      <c r="BC623" s="115" t="b">
        <f ca="1">AND(模拟模式!$R$7="伏明众生",E623=60,F623=20,DA623&lt;5,CZ622&lt;$F$4)</f>
        <v>0</v>
      </c>
      <c r="BD623" s="115">
        <f t="shared" ca="1" si="555"/>
        <v>0</v>
      </c>
      <c r="BE623" s="115" t="b">
        <f t="shared" ca="1" si="556"/>
        <v>0</v>
      </c>
      <c r="BF623" s="47">
        <f ca="1">IF(BC623,4*('模拟-单技能数据'!$D$24+G623*'模拟-单技能数据'!$F$24)*(1+J623)*(1+'模拟-单技能数据'!$J$24)*(1-S623)*(1+$I$3)*(('模拟-全程加成'!$J$3+'模拟-全程加成'!$J$4+'模拟-全程加成'!$J$5+('模拟-全程加成'!$I$4+'模拟-全程加成'!$I$5)/系数!$B$4+BG623*10%)*('模拟-全程加成'!$J$3+'模拟-全程加成'!$J$4+'模拟-全程加成'!$J$5+('模拟-全程加成'!$I$4+'模拟-全程加成'!$I$5)/系数!$B$4+BG623*10%)+(1-('模拟-全程加成'!$J$3+'模拟-全程加成'!$J$4+'模拟-全程加成'!$J$5+('模拟-全程加成'!$I$4+'模拟-全程加成'!$I$5)/系数!$B$4+BG623*10%)-$F$10-$F$11)+F609*0.25),0)*'模拟-单技能数据'!$I$24</f>
        <v>0</v>
      </c>
      <c r="BG623" s="115" t="b">
        <f ca="1">OR(AND(OR(C623="烈日斩",C623="银月斩"),模拟模式!$I$7="净身明礼"),AND(C623="净世破魔击·日",模拟模式!$J$7="洞若观火"),AND(C624="净世破魔击·月",模拟模式!$J$7="洞若观火"),AB623=1)</f>
        <v>1</v>
      </c>
      <c r="BH623" s="115" t="b">
        <f t="shared" ca="1" si="577"/>
        <v>0</v>
      </c>
      <c r="BI623" s="115">
        <f t="shared" ca="1" si="557"/>
        <v>0</v>
      </c>
      <c r="BJ623" s="115" t="b">
        <f t="shared" ca="1" si="558"/>
        <v>0</v>
      </c>
      <c r="BK623" s="115" t="b">
        <f ca="1">AND(C623="驱夜断愁",模拟模式!$P$7="天地诛戮")</f>
        <v>0</v>
      </c>
      <c r="BL623" s="57">
        <f t="shared" ca="1" si="559"/>
        <v>19.077500000000001</v>
      </c>
      <c r="BM623" s="115" t="b">
        <f t="shared" ca="1" si="560"/>
        <v>1</v>
      </c>
      <c r="BN623" s="115" t="b">
        <f ca="1">AND(OR(C623="赤日轮1",C623="赤日轮2",C623="赤日轮3",C623="幽月轮1",C623="幽月轮2",C623="幽月轮3"),AB623=1,模拟模式!$L$7="明光恒照")</f>
        <v>0</v>
      </c>
      <c r="BO623" s="117">
        <f t="shared" ca="1" si="561"/>
        <v>27.232500000000002</v>
      </c>
      <c r="BP623" s="115">
        <f t="shared" ca="1" si="578"/>
        <v>6</v>
      </c>
      <c r="BQ623" s="115" t="b">
        <f>模拟模式!$K$10="2600·水"</f>
        <v>0</v>
      </c>
      <c r="BR623" s="117">
        <f t="shared" si="579"/>
        <v>0</v>
      </c>
      <c r="BS623" s="115">
        <f t="shared" si="580"/>
        <v>0</v>
      </c>
      <c r="BT623" s="115">
        <f t="shared" ca="1" si="581"/>
        <v>0</v>
      </c>
      <c r="BU623" s="115" t="b">
        <f ca="1">AND(模拟模式!$K$10="2300·雷",BT622=0,RAND()&lt;IF(C623="净世破魔击·月",5*0.05*2/3,IF(C623="净世破魔击·日",3*0.05*2/3,0.05*2*2/3)))</f>
        <v>0</v>
      </c>
      <c r="BV623" s="115">
        <f t="shared" ca="1" si="582"/>
        <v>0</v>
      </c>
      <c r="BW623" s="115">
        <f t="shared" ca="1" si="583"/>
        <v>5.647499999999309</v>
      </c>
      <c r="BX623" s="164" t="b">
        <f t="shared" ca="1" si="584"/>
        <v>0</v>
      </c>
      <c r="BY623" s="115">
        <f t="shared" ca="1" si="585"/>
        <v>0</v>
      </c>
      <c r="BZ623" s="115">
        <f>IF(OR(模拟模式!$P$16="10人团",模拟模式!$P$16="25人团"),IF(B623/30&gt;CA622,1,0),0)</f>
        <v>0</v>
      </c>
      <c r="CA623" s="115">
        <f t="shared" si="562"/>
        <v>0</v>
      </c>
      <c r="CB623" s="115">
        <f ca="1">IF(BZ623=1,IF(模拟模式!$P$16="10人团",15,0)+IF(模拟模式!$P$16="25人团",IF(RAND()&lt;0.6,15,0)),MAX(0,CB622-$F$4))</f>
        <v>0</v>
      </c>
      <c r="CC623" s="115" t="b">
        <f t="shared" ca="1" si="563"/>
        <v>0</v>
      </c>
      <c r="CD623" s="115">
        <f>IF(模拟模式!$Q$16="1个",IF(B623/40&gt;CE622,1,0),0)</f>
        <v>0</v>
      </c>
      <c r="CE623" s="115">
        <f t="shared" si="564"/>
        <v>0</v>
      </c>
      <c r="CF623" s="115">
        <f>IF(OR(CD623=1,模拟模式!$Q$16="2个"),20,MAX(0,CF622-$F$4))</f>
        <v>0</v>
      </c>
      <c r="CG623" s="115" t="b">
        <f t="shared" si="565"/>
        <v>0</v>
      </c>
      <c r="CH623" s="115">
        <f t="shared" ca="1" si="586"/>
        <v>5.0925000000000118</v>
      </c>
      <c r="CI623" s="115" t="b">
        <f t="shared" ca="1" si="587"/>
        <v>0</v>
      </c>
      <c r="CJ623" s="119">
        <f t="shared" ca="1" si="588"/>
        <v>0</v>
      </c>
      <c r="CK623" s="115">
        <f t="shared" ca="1" si="589"/>
        <v>0</v>
      </c>
      <c r="CL623" s="115" t="b">
        <f ca="1">AND(模拟模式!$S$7="驱夷逐法",OR(AND(C623="净世破魔击·月",E622&gt;59),AND(C623="净世破魔击·日",F622&gt;59)))</f>
        <v>1</v>
      </c>
      <c r="CM623" s="115" t="b">
        <f ca="1">OR(CL623,AND(C623="净世破魔击·日",CL622,RAND()&lt;模拟模式!$U$23))</f>
        <v>1</v>
      </c>
      <c r="CN623" s="115" t="b">
        <f ca="1">IF(模拟模式!$M$7="辉耀红尘",AND(C623="净世破魔击·月",CL623,CV623=0,E622&lt;80),AND(C623="净世破魔击·月",CL623,E622&lt;100))</f>
        <v>0</v>
      </c>
      <c r="CO623" s="115" t="b">
        <f t="shared" ca="1" si="566"/>
        <v>0</v>
      </c>
      <c r="CP623" s="115" t="b">
        <f ca="1">AND(模拟模式!$O$7="用晦而明",OR(C623="净世破魔击·日",C623="净世破魔击·月",C623="驱夜断愁"),AB623)</f>
        <v>1</v>
      </c>
      <c r="CQ623" s="115" t="b">
        <f ca="1">OR(CP623,AND(CP622,RAND()&lt;模拟模式!$U$23))</f>
        <v>1</v>
      </c>
      <c r="CR623" s="115" t="b">
        <f ca="1">AND(模拟模式!$S$7="日月齐光",OR(C623="幽月轮1",C623="幽月轮2",C623="幽月轮3",CR622),NOT(OR(C623="赤日轮1",C623="赤日轮2",C623="赤日轮3")))</f>
        <v>0</v>
      </c>
      <c r="CS623" s="115" t="b">
        <f ca="1">AND(模拟模式!$S$7="日月齐光",OR(C623="赤日轮1",C623="赤日轮2",C623="赤日轮3",CS622),NOT(OR(C623="幽月轮1",C623="幽月轮2",C623="幽月轮3")))</f>
        <v>0</v>
      </c>
      <c r="CT623" s="115">
        <f t="shared" ca="1" si="590"/>
        <v>29.077500000000001</v>
      </c>
      <c r="CU623" s="115" t="b">
        <f ca="1">AND(模拟模式!$K$10="阴阳往极",CT622=0,RAND()&lt;IF(C623="净世破魔击·月",0.0275*7/3,IF(C623="净世破魔击·日",0.0275*3/3,0.0275*2/3)))</f>
        <v>0</v>
      </c>
      <c r="CV623" s="115">
        <f t="shared" ca="1" si="591"/>
        <v>3.1549999999999998</v>
      </c>
      <c r="CW623" s="115">
        <f t="shared" ca="1" si="592"/>
        <v>0</v>
      </c>
      <c r="CX623" s="115">
        <f t="shared" ca="1" si="593"/>
        <v>4.1549999999999994</v>
      </c>
      <c r="CY623" s="115">
        <f ca="1">MAX(IF($C623="驱夜断愁",IF(模拟模式!$R$7="万念俱寂",6,45),CY622-$F$4),0)</f>
        <v>5.0774999999999997</v>
      </c>
      <c r="CZ623" s="115">
        <f t="shared" ca="1" si="567"/>
        <v>0</v>
      </c>
      <c r="DA623" s="115">
        <f ca="1">IF(模拟模式!$N$7="日月同辉",IF(DB622=2,0,MIN(6,IF(AND(OR(C623="赤日轮1",C623="赤日轮2",C623="赤日轮3",C623="幽月轮1",C623="幽月轮2",C623="幽月轮3"),AB623=1),DA622+1,DA622))),0)</f>
        <v>0</v>
      </c>
      <c r="DB623" s="115">
        <f t="shared" ca="1" si="568"/>
        <v>1</v>
      </c>
      <c r="DC623" s="115"/>
      <c r="DD623" s="115"/>
      <c r="DE623" s="115"/>
      <c r="DF623" s="115"/>
      <c r="DG623" s="115"/>
      <c r="DH623" s="115"/>
      <c r="DI623" s="115"/>
      <c r="DJ623" s="115"/>
      <c r="DK623" s="115"/>
      <c r="DL623" s="115"/>
      <c r="DM623" s="115"/>
    </row>
    <row r="624" spans="2:117" x14ac:dyDescent="0.2">
      <c r="B624" s="117">
        <f t="shared" si="569"/>
        <v>550.7325000000061</v>
      </c>
      <c r="C624" s="167" t="str">
        <f t="shared" ca="1" si="538"/>
        <v>净世破魔击·月</v>
      </c>
      <c r="D624" s="115">
        <f ca="1">IF(C624="赤日轮1",1,IF(C624="赤日轮2",2,IF(C624="赤日轮3",3,IF(C624="幽月轮1",4,IF(C624="幽月轮2",5,IF(C624="幽月轮3",6,IF(C624="烈日斩",7,IF(C624="银月斩",8,IF(C624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624="净世破魔击·月",17,IF(C624="驱夜断愁",18,0)))))))))))</f>
        <v>17</v>
      </c>
      <c r="E624" s="115">
        <f ca="1">IF(AND(CU624,OR(C624="幽月轮1",C624="幽月轮2",C624="幽月轮3",C624="银月斩",C624="驱夜断愁",C624="净世破魔击·月")),100,MIN(IF(OR(CN624,BE624),0,IF(OR($C624="赤日轮1",$C624="赤日轮2",$C624="赤日轮3"),E623+20+IF(模拟模式!$I$7="日月凌天",4,0)+IF(CR623,20,0),IF($C624="烈日斩",E623+40,IF($C624="驱夜断愁",IF(模拟模式!$R$7="万念俱寂",E623+20,E623+60),IF($C624="净世破魔击·月",IF(OR(DB623&gt;0,CV623&gt;0),100,IF(模拟模式!$M$7="辉耀红尘",E623+20,E623)),IF($C624="净世破魔击·日",E623-100,E623)))))),100))</f>
        <v>100</v>
      </c>
      <c r="F624" s="115">
        <f ca="1">IF(AND(CU624,OR(C624="赤日轮1",C624="赤日轮2",C624="赤日轮3",C624="烈日斩",C624="净世破魔击·日")),100,MIN(IF(CO624,0,IF(OR($C624="幽月轮1",$C624="幽月轮2",$C624="幽月轮3"),F623+20+IF(模拟模式!$I$7="日月凌天",4,0)+IF(CS623,20,0),IF($C624="银月斩",F623+40+IF(模拟模式!$X$12=1,5,0),IF($C624="驱夜断愁",IF(模拟模式!$R$7="万念俱寂",F623+20,F623+60),IF($C624="净世破魔击·月",IF(模拟模式!$M$7="辉耀红尘",F623-80,F623-100),IF(AND(C624="净世破魔击·日",OR(DB623&gt;0,CV623&gt;0)),100,F623)))))),100))</f>
        <v>20</v>
      </c>
      <c r="G624" s="117">
        <f ca="1">('模拟-全程加成'!$E$3+'模拟-全程加成'!$E$4+'模拟-全程加成'!$E$5+('模拟-全程加成'!$C$6-'模拟-全程加成'!$C$3)*系数!$B$9+BS624*23)*(1+'模拟-全程加成'!$F$4+'模拟-全程加成'!$F$5+BJ624*10%+BM624*20%+BP624*4%+CG624*30%)+$F$7*系数!$B$12</f>
        <v>20583.127400000001</v>
      </c>
      <c r="H624" s="45">
        <f ca="1">'模拟-全程加成'!$H$3+'模拟-全程加成'!$H$4+'模拟-全程加成'!$H$5+('模拟-全程加成'!$G$4+'模拟-全程加成'!$G$5+('模拟-全程加成'!$C$6-'模拟-全程加成'!$C$3)*系数!$B$13)/系数!$B$3+LOOKUP(D624,'模拟-单技能数据'!$A$2:$A$19,'模拟-单技能数据'!$K$2:$K$19)+BG624*10%+IF(BV624&gt;0,378,0)</f>
        <v>0.54185145527300216</v>
      </c>
      <c r="I624" s="45">
        <f ca="1">'模拟-全程加成'!$J$3+'模拟-全程加成'!$J$4+'模拟-全程加成'!$J$5+('模拟-全程加成'!$I$4+'模拟-全程加成'!$I$5)/系数!$B$4+LOOKUP(D624,'模拟-单技能数据'!$A$2:$A$19,'模拟-单技能数据'!$L$2:$L$19)+BG624*10%</f>
        <v>2.162482885499879</v>
      </c>
      <c r="J624" s="45">
        <f ca="1">(('模拟-全程加成'!$K$3+'模拟-全程加成'!$K$4+'模拟-全程加成'!$K$5+('模拟-全程加成'!$C$6-'模拟-全程加成'!$C$3)*系数!$B$10+IF(BV624&gt;0,882,0)+IF(BY624&gt;0,1831,0))*(1+'模拟-全程加成'!$L$4+'模拟-全程加成'!$L$5+CC624*20%))/系数!$B$5</f>
        <v>0.69723220422048726</v>
      </c>
      <c r="K624" s="119">
        <f ca="1">LOOKUP(D624,'模拟-单技能数据'!$A$2:$A$19,'模拟-单技能数据'!$J$2:$J$19)+IF(CM624,60%,0)+IF(DB623-DB624&gt;0,30%,0)+IF(OR(AND(OR(C624="赤日轮1",C624="赤日轮2",C624="赤日轮3"),CR624),AND(OR(C624="幽月轮1",C624="幽月轮2",C624="幽月轮3"),CS624)),35%,0)+CJ624</f>
        <v>0.5</v>
      </c>
      <c r="L624" s="119">
        <f ca="1">IF(AND(C624="烈日斩",模拟模式!$X$11=1),10%,0)+IF(AND(C624="驱夜断愁",AB624=1),30%,0)</f>
        <v>0</v>
      </c>
      <c r="M624" s="45">
        <f t="shared" ca="1" si="539"/>
        <v>0.54185145527300216</v>
      </c>
      <c r="N624" s="45">
        <f t="shared" ca="1" si="540"/>
        <v>0.40424854472699789</v>
      </c>
      <c r="O624" s="46">
        <f t="shared" ca="1" si="570"/>
        <v>0.1386387166952805</v>
      </c>
      <c r="P624" s="46" t="str">
        <f t="shared" ca="1" si="541"/>
        <v>会</v>
      </c>
      <c r="Q624" s="45">
        <f t="shared" ca="1" si="542"/>
        <v>2.162482885499879</v>
      </c>
      <c r="R624" s="117">
        <f ca="1">模拟模式!$E$20*(1-IF(模拟模式!$J$19="有",0.15,0))*(1-IF(模拟模式!$K$19="有",0.3,0)-IF(CQ624,0.5,0))</f>
        <v>843.02999999999975</v>
      </c>
      <c r="S624" s="45">
        <f ca="1">R624/(R624+(185*模拟模式!$E$22-16800)*4.08224)</f>
        <v>8.389626085980037E-2</v>
      </c>
      <c r="T624" s="45" t="str">
        <f ca="1">LOOKUP(D624,'模拟-单技能数据'!$A$2:$A$19,'模拟-单技能数据'!$H$2:$H$19)</f>
        <v>阴</v>
      </c>
      <c r="U624" s="119">
        <f t="shared" ca="1" si="543"/>
        <v>0.08</v>
      </c>
      <c r="V624" s="47">
        <f ca="1">(1+L624)*(LOOKUP(D624,'模拟-单技能数据'!$A$2:$A$19,'模拟-单技能数据'!$D$2:$D$19)+G624*LOOKUP(D624,'模拟-单技能数据'!$A$2:$A$19,'模拟-单技能数据'!$F$2:$F$19))*(1+J624)*(1+K624)*(1-S624)*(1+U624)*Q624*LOOKUP(D624,'模拟-单技能数据'!$A$2:$A$19,'模拟-单技能数据'!$I$2:$I$20)</f>
        <v>145723.63346845817</v>
      </c>
      <c r="W624" s="47">
        <f ca="1">LOOKUP(D624,'模拟-单技能数据'!$A$2:$A$19,'模拟-单技能数据'!$G$2:$G$19)*$I$10</f>
        <v>361.51064354704795</v>
      </c>
      <c r="X624" s="47">
        <f t="shared" ca="1" si="571"/>
        <v>8658.1262576348145</v>
      </c>
      <c r="Y624" s="47">
        <f t="shared" ca="1" si="544"/>
        <v>154743.27036964003</v>
      </c>
      <c r="Z624" s="49">
        <f t="shared" ca="1" si="545"/>
        <v>62430929.133020431</v>
      </c>
      <c r="AA624" s="97">
        <f t="shared" ca="1" si="546"/>
        <v>113359.8055916797</v>
      </c>
      <c r="AB624" s="115">
        <f ca="1">IF(OR(C624="赤日轮1",C624="赤日轮2",C624="赤日轮3"),IF(RAND()&lt;模拟模式!$Y$17,1,0),IF(OR(C624="幽月轮1",C624="幽月轮2",C624="幽月轮3"),IF(RAND()&lt;模拟模式!$Y$18,1,0),IF(C624="烈日斩",IF(RAND()&lt;模拟模式!$Y$19,1,0),IF(C624="银月斩",IF(RAND()&lt;模拟模式!$Y$20,1,0),IF(C624="驱夜断愁",IF(RAND()&lt;模拟模式!$Y$21,1,0),IF(C624="净世破魔击·日",IF(RAND()&lt;模拟模式!$Y$22,1,0),IF(C624="净世破魔击·月",IF(RAND()&lt;模拟模式!$Y$23,1,0),0)))))))</f>
        <v>1</v>
      </c>
      <c r="AC624" s="115" t="b">
        <f t="shared" ca="1" si="547"/>
        <v>0</v>
      </c>
      <c r="AD624" s="115" t="b">
        <f t="shared" ca="1" si="548"/>
        <v>1</v>
      </c>
      <c r="AE624" s="115">
        <f t="shared" ca="1" si="549"/>
        <v>4</v>
      </c>
      <c r="AF624" s="47">
        <f ca="1">IF(AC624,('模拟-单技能数据'!$D$20+G624*'模拟-单技能数据'!$F$20)*(1+J624)*(1+'模拟-单技能数据'!$J$20)*(1+U624),0)</f>
        <v>0</v>
      </c>
      <c r="AG624" s="61">
        <f t="shared" ca="1" si="550"/>
        <v>0.64185145527300214</v>
      </c>
      <c r="AH624" s="61">
        <f t="shared" ca="1" si="551"/>
        <v>2.2624828854998791</v>
      </c>
      <c r="AI624" s="62">
        <f t="shared" ca="1" si="572"/>
        <v>4.3347341667306361E-2</v>
      </c>
      <c r="AJ624" s="47">
        <f ca="1">IF(AD624,IF(AI624&lt;$F$10,0,IF(AI624&lt;$F$10+$F$11,0.25,IF(AI624&lt;$F$10+$F$11+AG624,AH624,1)))*IF(AF624&gt;0,AF624,IF(AF623&gt;0,AF623,IF(AF622&gt;0,AF622,IF(AF621&gt;0,AF621,IF(AF620&gt;0,AF620,IF(AF619&gt;0,AF619,IF(AF618&gt;0,AF618,IF(AF617&gt;0,AF617,IF(AF616&gt;0,AF616,IF(AF614&gt;0,AF614,IF(AF613&gt;0,AF613,IF(AF612&gt;0,AF612,0)))))))))))),0)*(1-$S624)*'模拟-单技能数据'!$I$20</f>
        <v>1018.6745055299644</v>
      </c>
      <c r="AK624" s="115" t="b">
        <f t="shared" ca="1" si="552"/>
        <v>0</v>
      </c>
      <c r="AL624" s="115" t="b">
        <f t="shared" ca="1" si="553"/>
        <v>0</v>
      </c>
      <c r="AM624" s="115">
        <f t="shared" ca="1" si="554"/>
        <v>5</v>
      </c>
      <c r="AN624" s="47">
        <f ca="1">IF(AK624,('模拟-单技能数据'!$D$21+G624*'模拟-单技能数据'!$F$21)*(1+J624)*(1+'模拟-单技能数据'!$J$21)*(1+U624),0)</f>
        <v>0</v>
      </c>
      <c r="AO624" s="61">
        <f ca="1">IF(AN624&gt;0,M624-'模拟-单技能数据'!$K$10,AO623)</f>
        <v>0.42185145527300216</v>
      </c>
      <c r="AP624" s="61">
        <f ca="1">IF(AN624&gt;0,I624-'模拟-单技能数据'!$L$10,AP623)</f>
        <v>2.162482885499879</v>
      </c>
      <c r="AQ624" s="63">
        <f t="shared" ca="1" si="573"/>
        <v>0.45180094391431735</v>
      </c>
      <c r="AR624" s="64">
        <f ca="1">IF(AL624,IF(AQ624&lt;$F$10,0,IF(AQ624&lt;$F$10+$F$11,0.25,IF(AQ624&lt;$F$10+$F$11+AO624,AP624,1)))*IF(AN624&gt;0,AN624,IF(AN623&gt;0,AN623,IF(AN622&gt;0,AN622,IF(AN621&gt;0,AN621,IF(AN620&gt;0,AN620,IF(AN619&gt;0,AN619,IF(AN618&gt;0,AN618,IF(AN617&gt;0,AN617,IF(AN616&gt;0,AN616,IF(AN614&gt;0,AN614,IF(AN613&gt;0,AN613,IF(AN612&gt;0,AN612,0)))))))))))),0)*(1-$S624)*'模拟-单技能数据'!$I$21</f>
        <v>0</v>
      </c>
      <c r="AS624" s="61">
        <f ca="1">IF(OR(C624="净世破魔击·日",C624="净世破魔击·月"),M624-'模拟-单技能数据'!$K$10,0)</f>
        <v>0.42185145527300216</v>
      </c>
      <c r="AT624" s="61">
        <f ca="1">IF(OR(C624="净世破魔击·日",C624="净世破魔击·月"),I624-'模拟-单技能数据'!$L$10,0)</f>
        <v>2.162482885499879</v>
      </c>
      <c r="AU624" s="62">
        <f t="shared" ca="1" si="574"/>
        <v>0.71886877711467434</v>
      </c>
      <c r="AV624" s="64">
        <f ca="1">IF(AS624&gt;0,('模拟-单技能数据'!$D$22+G624*'模拟-单技能数据'!$F$22)*(1+J624)*(1-S624)*IF(AU624&lt;$F$10,0,IF(AU624&lt;$F$10+$F$11,0.25,IF(AU624&lt;$F$10+$F$11+AS624,AT624,1)))*(1+U624),0)*'模拟-单技能数据'!$I$22</f>
        <v>7639.4517521048492</v>
      </c>
      <c r="AW624" s="108">
        <f t="shared" ca="1" si="575"/>
        <v>13.542500000000004</v>
      </c>
      <c r="AX624" s="108" t="b">
        <f ca="1">AND(模拟模式!$P$10="有",AW623=0,RAND()&lt;IF(C624="净世破魔击·月",0.1*8/3,IF(C624="净世破魔击·日",0.1*4/3,0.1*2/3)))</f>
        <v>0</v>
      </c>
      <c r="AY624" s="47">
        <f ca="1">IF(AX624,(18+G624*0.722)*(1+J624)*(1-S624)*(1+$I$4)*IF(P624="会",'模拟-全程加成'!$J$3+'模拟-全程加成'!$J$4+'模拟-全程加成'!$J$5+('模拟-全程加成'!$I$4+'模拟-全程加成'!$I$5)/系数!$B$4+BG624*10%,IF(P624="命",1,IF(P624="识",0.25,0))),0)</f>
        <v>0</v>
      </c>
      <c r="AZ624" s="108">
        <f t="shared" si="576"/>
        <v>17.232500000000002</v>
      </c>
      <c r="BA624" s="108" t="b">
        <f>AND(模拟模式!$Q$10="有",AZ623=0)</f>
        <v>0</v>
      </c>
      <c r="BB624" s="140">
        <f>IF(BA624,(0+G624*0.287)*(1+J624)*(1-S624)*(1+$I$4)*IF(P624="会",'模拟-全程加成'!$J$3+'模拟-全程加成'!$J$4+'模拟-全程加成'!$J$5+('模拟-全程加成'!$I$4+'模拟-全程加成'!$I$5)/系数!$B$4+BG624*10%,IF(P624="命",1,IF(P624="识",0.25,0))),0)</f>
        <v>0</v>
      </c>
      <c r="BC624" s="115" t="b">
        <f ca="1">AND(模拟模式!$R$7="伏明众生",E624=60,F624=20,DA624&lt;5,CZ623&lt;$F$4)</f>
        <v>0</v>
      </c>
      <c r="BD624" s="115">
        <f t="shared" ca="1" si="555"/>
        <v>0</v>
      </c>
      <c r="BE624" s="115" t="b">
        <f t="shared" ca="1" si="556"/>
        <v>0</v>
      </c>
      <c r="BF624" s="47">
        <f ca="1">IF(BC624,4*('模拟-单技能数据'!$D$24+G624*'模拟-单技能数据'!$F$24)*(1+J624)*(1+'模拟-单技能数据'!$J$24)*(1-S624)*(1+$I$3)*(('模拟-全程加成'!$J$3+'模拟-全程加成'!$J$4+'模拟-全程加成'!$J$5+('模拟-全程加成'!$I$4+'模拟-全程加成'!$I$5)/系数!$B$4+BG624*10%)*('模拟-全程加成'!$J$3+'模拟-全程加成'!$J$4+'模拟-全程加成'!$J$5+('模拟-全程加成'!$I$4+'模拟-全程加成'!$I$5)/系数!$B$4+BG624*10%)+(1-('模拟-全程加成'!$J$3+'模拟-全程加成'!$J$4+'模拟-全程加成'!$J$5+('模拟-全程加成'!$I$4+'模拟-全程加成'!$I$5)/系数!$B$4+BG624*10%)-$F$10-$F$11)+F610*0.25),0)*'模拟-单技能数据'!$I$24</f>
        <v>0</v>
      </c>
      <c r="BG624" s="115" t="b">
        <f ca="1">OR(AND(OR(C624="烈日斩",C624="银月斩"),模拟模式!$I$7="净身明礼"),AND(C624="净世破魔击·日",模拟模式!$J$7="洞若观火"),AND(C625="净世破魔击·月",模拟模式!$J$7="洞若观火"),AB624=1)</f>
        <v>1</v>
      </c>
      <c r="BH624" s="115" t="b">
        <f t="shared" ca="1" si="577"/>
        <v>0</v>
      </c>
      <c r="BI624" s="115">
        <f t="shared" ca="1" si="557"/>
        <v>0</v>
      </c>
      <c r="BJ624" s="115" t="b">
        <f t="shared" ca="1" si="558"/>
        <v>0</v>
      </c>
      <c r="BK624" s="115" t="b">
        <f ca="1">AND(C624="驱夜断愁",模拟模式!$P$7="天地诛戮")</f>
        <v>0</v>
      </c>
      <c r="BL624" s="57">
        <f t="shared" ca="1" si="559"/>
        <v>18.155000000000001</v>
      </c>
      <c r="BM624" s="115" t="b">
        <f t="shared" ca="1" si="560"/>
        <v>1</v>
      </c>
      <c r="BN624" s="115" t="b">
        <f ca="1">AND(OR(C624="赤日轮1",C624="赤日轮2",C624="赤日轮3",C624="幽月轮1",C624="幽月轮2",C624="幽月轮3"),AB624=1,模拟模式!$L$7="明光恒照")</f>
        <v>0</v>
      </c>
      <c r="BO624" s="117">
        <f t="shared" ca="1" si="561"/>
        <v>26.310000000000002</v>
      </c>
      <c r="BP624" s="115">
        <f t="shared" ca="1" si="578"/>
        <v>6</v>
      </c>
      <c r="BQ624" s="115" t="b">
        <f>模拟模式!$K$10="2600·水"</f>
        <v>0</v>
      </c>
      <c r="BR624" s="117">
        <f t="shared" si="579"/>
        <v>0</v>
      </c>
      <c r="BS624" s="115">
        <f t="shared" si="580"/>
        <v>0</v>
      </c>
      <c r="BT624" s="115">
        <f t="shared" ca="1" si="581"/>
        <v>0</v>
      </c>
      <c r="BU624" s="115" t="b">
        <f ca="1">AND(模拟模式!$K$10="2300·雷",BT623=0,RAND()&lt;IF(C624="净世破魔击·月",5*0.05*2/3,IF(C624="净世破魔击·日",3*0.05*2/3,0.05*2*2/3)))</f>
        <v>0</v>
      </c>
      <c r="BV624" s="115">
        <f t="shared" ca="1" si="582"/>
        <v>0</v>
      </c>
      <c r="BW624" s="115">
        <f t="shared" ca="1" si="583"/>
        <v>4.7249999999993086</v>
      </c>
      <c r="BX624" s="164" t="b">
        <f t="shared" ca="1" si="584"/>
        <v>0</v>
      </c>
      <c r="BY624" s="115">
        <f t="shared" ca="1" si="585"/>
        <v>0</v>
      </c>
      <c r="BZ624" s="115">
        <f>IF(OR(模拟模式!$P$16="10人团",模拟模式!$P$16="25人团"),IF(B624/30&gt;CA623,1,0),0)</f>
        <v>0</v>
      </c>
      <c r="CA624" s="115">
        <f t="shared" si="562"/>
        <v>0</v>
      </c>
      <c r="CB624" s="115">
        <f ca="1">IF(BZ624=1,IF(模拟模式!$P$16="10人团",15,0)+IF(模拟模式!$P$16="25人团",IF(RAND()&lt;0.6,15,0)),MAX(0,CB623-$F$4))</f>
        <v>0</v>
      </c>
      <c r="CC624" s="115" t="b">
        <f t="shared" ca="1" si="563"/>
        <v>0</v>
      </c>
      <c r="CD624" s="115">
        <f>IF(模拟模式!$Q$16="1个",IF(B624/40&gt;CE623,1,0),0)</f>
        <v>0</v>
      </c>
      <c r="CE624" s="115">
        <f t="shared" si="564"/>
        <v>0</v>
      </c>
      <c r="CF624" s="115">
        <f>IF(OR(CD624=1,模拟模式!$Q$16="2个"),20,MAX(0,CF623-$F$4))</f>
        <v>0</v>
      </c>
      <c r="CG624" s="115" t="b">
        <f t="shared" si="565"/>
        <v>0</v>
      </c>
      <c r="CH624" s="115">
        <f t="shared" ca="1" si="586"/>
        <v>4.1700000000000115</v>
      </c>
      <c r="CI624" s="115" t="b">
        <f t="shared" ca="1" si="587"/>
        <v>0</v>
      </c>
      <c r="CJ624" s="119">
        <f t="shared" ca="1" si="588"/>
        <v>0</v>
      </c>
      <c r="CK624" s="115">
        <f t="shared" ca="1" si="589"/>
        <v>0</v>
      </c>
      <c r="CL624" s="115" t="b">
        <f ca="1">AND(模拟模式!$S$7="驱夷逐法",OR(AND(C624="净世破魔击·月",E623&gt;59),AND(C624="净世破魔击·日",F623&gt;59)))</f>
        <v>0</v>
      </c>
      <c r="CM624" s="115" t="b">
        <f ca="1">OR(CL624,AND(C624="净世破魔击·日",CL623,RAND()&lt;模拟模式!$U$23))</f>
        <v>0</v>
      </c>
      <c r="CN624" s="115" t="b">
        <f ca="1">IF(模拟模式!$M$7="辉耀红尘",AND(C624="净世破魔击·月",CL624,CV624=0,E623&lt;80),AND(C624="净世破魔击·月",CL624,E623&lt;100))</f>
        <v>0</v>
      </c>
      <c r="CO624" s="115" t="b">
        <f t="shared" ca="1" si="566"/>
        <v>0</v>
      </c>
      <c r="CP624" s="115" t="b">
        <f ca="1">AND(模拟模式!$O$7="用晦而明",OR(C624="净世破魔击·日",C624="净世破魔击·月",C624="驱夜断愁"),AB624)</f>
        <v>1</v>
      </c>
      <c r="CQ624" s="115" t="b">
        <f ca="1">OR(CP624,AND(CP623,RAND()&lt;模拟模式!$U$23))</f>
        <v>1</v>
      </c>
      <c r="CR624" s="115" t="b">
        <f ca="1">AND(模拟模式!$S$7="日月齐光",OR(C624="幽月轮1",C624="幽月轮2",C624="幽月轮3",CR623),NOT(OR(C624="赤日轮1",C624="赤日轮2",C624="赤日轮3")))</f>
        <v>0</v>
      </c>
      <c r="CS624" s="115" t="b">
        <f ca="1">AND(模拟模式!$S$7="日月齐光",OR(C624="赤日轮1",C624="赤日轮2",C624="赤日轮3",CS623),NOT(OR(C624="幽月轮1",C624="幽月轮2",C624="幽月轮3")))</f>
        <v>0</v>
      </c>
      <c r="CT624" s="115">
        <f t="shared" ca="1" si="590"/>
        <v>28.155000000000001</v>
      </c>
      <c r="CU624" s="115" t="b">
        <f ca="1">AND(模拟模式!$K$10="阴阳往极",CT623=0,RAND()&lt;IF(C624="净世破魔击·月",0.0275*7/3,IF(C624="净世破魔击·日",0.0275*3/3,0.0275*2/3)))</f>
        <v>0</v>
      </c>
      <c r="CV624" s="115">
        <f t="shared" ca="1" si="591"/>
        <v>2.2324999999999999</v>
      </c>
      <c r="CW624" s="115">
        <f t="shared" ca="1" si="592"/>
        <v>0</v>
      </c>
      <c r="CX624" s="115">
        <f t="shared" ca="1" si="593"/>
        <v>3.2324999999999995</v>
      </c>
      <c r="CY624" s="115">
        <f ca="1">MAX(IF($C624="驱夜断愁",IF(模拟模式!$R$7="万念俱寂",6,45),CY623-$F$4),0)</f>
        <v>4.1549999999999994</v>
      </c>
      <c r="CZ624" s="115">
        <f t="shared" ca="1" si="567"/>
        <v>0</v>
      </c>
      <c r="DA624" s="115">
        <f ca="1">IF(模拟模式!$N$7="日月同辉",IF(DB623=2,0,MIN(6,IF(AND(OR(C624="赤日轮1",C624="赤日轮2",C624="赤日轮3",C624="幽月轮1",C624="幽月轮2",C624="幽月轮3"),AB624=1),DA623+1,DA623))),0)</f>
        <v>0</v>
      </c>
      <c r="DB624" s="115">
        <f t="shared" ca="1" si="568"/>
        <v>0</v>
      </c>
      <c r="DC624" s="115"/>
      <c r="DD624" s="115"/>
      <c r="DE624" s="115"/>
      <c r="DF624" s="115"/>
      <c r="DG624" s="115"/>
      <c r="DH624" s="115"/>
      <c r="DI624" s="115"/>
      <c r="DJ624" s="115"/>
      <c r="DK624" s="115"/>
      <c r="DL624" s="115"/>
      <c r="DM624" s="115"/>
    </row>
    <row r="625" spans="2:117" x14ac:dyDescent="0.2">
      <c r="B625" s="117">
        <f t="shared" si="569"/>
        <v>551.65500000000611</v>
      </c>
      <c r="C625" s="167" t="str">
        <f t="shared" ca="1" si="538"/>
        <v>净世破魔击·日</v>
      </c>
      <c r="D625" s="115">
        <f ca="1">IF(C625="赤日轮1",1,IF(C625="赤日轮2",2,IF(C625="赤日轮3",3,IF(C625="幽月轮1",4,IF(C625="幽月轮2",5,IF(C625="幽月轮3",6,IF(C625="烈日斩",7,IF(C625="银月斩",8,IF(C625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625="净世破魔击·月",17,IF(C625="驱夜断愁",18,0)))))))))))</f>
        <v>9</v>
      </c>
      <c r="E625" s="115">
        <f ca="1">IF(AND(CU625,OR(C625="幽月轮1",C625="幽月轮2",C625="幽月轮3",C625="银月斩",C625="驱夜断愁",C625="净世破魔击·月")),100,MIN(IF(OR(CN625,BE625),0,IF(OR($C625="赤日轮1",$C625="赤日轮2",$C625="赤日轮3"),E624+20+IF(模拟模式!$I$7="日月凌天",4,0)+IF(CR624,20,0),IF($C625="烈日斩",E624+40,IF($C625="驱夜断愁",IF(模拟模式!$R$7="万念俱寂",E624+20,E624+60),IF($C625="净世破魔击·月",IF(OR(DB624&gt;0,CV624&gt;0),100,IF(模拟模式!$M$7="辉耀红尘",E624+20,E624)),IF($C625="净世破魔击·日",E624-100,E624)))))),100))</f>
        <v>0</v>
      </c>
      <c r="F625" s="115">
        <f ca="1">IF(AND(CU625,OR(C625="赤日轮1",C625="赤日轮2",C625="赤日轮3",C625="烈日斩",C625="净世破魔击·日")),100,MIN(IF(CO625,0,IF(OR($C625="幽月轮1",$C625="幽月轮2",$C625="幽月轮3"),F624+20+IF(模拟模式!$I$7="日月凌天",4,0)+IF(CS624,20,0),IF($C625="银月斩",F624+40+IF(模拟模式!$X$12=1,5,0),IF($C625="驱夜断愁",IF(模拟模式!$R$7="万念俱寂",F624+20,F624+60),IF($C625="净世破魔击·月",IF(模拟模式!$M$7="辉耀红尘",F624-80,F624-100),IF(AND(C625="净世破魔击·日",OR(DB624&gt;0,CV624&gt;0)),100,F624)))))),100))</f>
        <v>100</v>
      </c>
      <c r="G625" s="117">
        <f ca="1">('模拟-全程加成'!$E$3+'模拟-全程加成'!$E$4+'模拟-全程加成'!$E$5+('模拟-全程加成'!$C$6-'模拟-全程加成'!$C$3)*系数!$B$9+BS625*23)*(1+'模拟-全程加成'!$F$4+'模拟-全程加成'!$F$5+BJ625*10%+BM625*20%+BP625*4%+CG625*30%)+$F$7*系数!$B$12</f>
        <v>20583.127400000001</v>
      </c>
      <c r="H625" s="45">
        <f ca="1">'模拟-全程加成'!$H$3+'模拟-全程加成'!$H$4+'模拟-全程加成'!$H$5+('模拟-全程加成'!$G$4+'模拟-全程加成'!$G$5+('模拟-全程加成'!$C$6-'模拟-全程加成'!$C$3)*系数!$B$13)/系数!$B$3+LOOKUP(D625,'模拟-单技能数据'!$A$2:$A$19,'模拟-单技能数据'!$K$2:$K$19)+BG625*10%+IF(BV625&gt;0,378,0)</f>
        <v>0.54185145527300216</v>
      </c>
      <c r="I625" s="45">
        <f ca="1">'模拟-全程加成'!$J$3+'模拟-全程加成'!$J$4+'模拟-全程加成'!$J$5+('模拟-全程加成'!$I$4+'模拟-全程加成'!$I$5)/系数!$B$4+LOOKUP(D625,'模拟-单技能数据'!$A$2:$A$19,'模拟-单技能数据'!$L$2:$L$19)+BG625*10%</f>
        <v>2.162482885499879</v>
      </c>
      <c r="J625" s="45">
        <f ca="1">(('模拟-全程加成'!$K$3+'模拟-全程加成'!$K$4+'模拟-全程加成'!$K$5+('模拟-全程加成'!$C$6-'模拟-全程加成'!$C$3)*系数!$B$10+IF(BV625&gt;0,882,0)+IF(BY625&gt;0,1831,0))*(1+'模拟-全程加成'!$L$4+'模拟-全程加成'!$L$5+CC625*20%))/系数!$B$5</f>
        <v>0.69723220422048726</v>
      </c>
      <c r="K625" s="119">
        <f ca="1">LOOKUP(D625,'模拟-单技能数据'!$A$2:$A$19,'模拟-单技能数据'!$J$2:$J$19)+IF(CM625,60%,0)+IF(DB624-DB625&gt;0,30%,0)+IF(OR(AND(OR(C625="赤日轮1",C625="赤日轮2",C625="赤日轮3"),CR625),AND(OR(C625="幽月轮1",C625="幽月轮2",C625="幽月轮3"),CS625)),35%,0)+CJ625</f>
        <v>0.2</v>
      </c>
      <c r="L625" s="119">
        <f ca="1">IF(AND(C625="烈日斩",模拟模式!$X$11=1),10%,0)+IF(AND(C625="驱夜断愁",AB625=1),30%,0)</f>
        <v>0</v>
      </c>
      <c r="M625" s="45">
        <f t="shared" ca="1" si="539"/>
        <v>0.54185145527300216</v>
      </c>
      <c r="N625" s="45">
        <f t="shared" ca="1" si="540"/>
        <v>0.40424854472699789</v>
      </c>
      <c r="O625" s="46">
        <f t="shared" ca="1" si="570"/>
        <v>0.1600643002649359</v>
      </c>
      <c r="P625" s="46" t="str">
        <f t="shared" ca="1" si="541"/>
        <v>会</v>
      </c>
      <c r="Q625" s="45">
        <f t="shared" ca="1" si="542"/>
        <v>2.162482885499879</v>
      </c>
      <c r="R625" s="117">
        <f ca="1">模拟模式!$E$20*(1-IF(模拟模式!$J$19="有",0.15,0))*(1-IF(模拟模式!$K$19="有",0.3,0)-IF(CQ625,0.5,0))</f>
        <v>843.02999999999975</v>
      </c>
      <c r="S625" s="45">
        <f ca="1">R625/(R625+(185*模拟模式!$E$22-16800)*4.08224)</f>
        <v>8.389626085980037E-2</v>
      </c>
      <c r="T625" s="45" t="str">
        <f ca="1">LOOKUP(D625,'模拟-单技能数据'!$A$2:$A$19,'模拟-单技能数据'!$H$2:$H$19)</f>
        <v>阳</v>
      </c>
      <c r="U625" s="119">
        <f t="shared" ca="1" si="543"/>
        <v>0.2</v>
      </c>
      <c r="V625" s="47">
        <f ca="1">(1+L625)*(LOOKUP(D625,'模拟-单技能数据'!$A$2:$A$19,'模拟-单技能数据'!$D$2:$D$19)+G625*LOOKUP(D625,'模拟-单技能数据'!$A$2:$A$19,'模拟-单技能数据'!$F$2:$F$19))*(1+J625)*(1+K625)*(1-S625)*(1+U625)*Q625*LOOKUP(D625,'模拟-单技能数据'!$A$2:$A$19,'模拟-单技能数据'!$I$2:$I$20)</f>
        <v>130610.54325777861</v>
      </c>
      <c r="W625" s="47">
        <f ca="1">LOOKUP(D625,'模拟-单技能数据'!$A$2:$A$19,'模拟-单技能数据'!$G$2:$G$19)*$I$10</f>
        <v>723.0212870940959</v>
      </c>
      <c r="X625" s="47">
        <f t="shared" ca="1" si="571"/>
        <v>29474.113140456007</v>
      </c>
      <c r="Y625" s="47">
        <f t="shared" ca="1" si="544"/>
        <v>160807.6776853287</v>
      </c>
      <c r="Z625" s="49">
        <f t="shared" ca="1" si="545"/>
        <v>62591736.810705759</v>
      </c>
      <c r="AA625" s="97">
        <f t="shared" ca="1" si="546"/>
        <v>113461.74114384002</v>
      </c>
      <c r="AB625" s="115">
        <f ca="1">IF(OR(C625="赤日轮1",C625="赤日轮2",C625="赤日轮3"),IF(RAND()&lt;模拟模式!$Y$17,1,0),IF(OR(C625="幽月轮1",C625="幽月轮2",C625="幽月轮3"),IF(RAND()&lt;模拟模式!$Y$18,1,0),IF(C625="烈日斩",IF(RAND()&lt;模拟模式!$Y$19,1,0),IF(C625="银月斩",IF(RAND()&lt;模拟模式!$Y$20,1,0),IF(C625="驱夜断愁",IF(RAND()&lt;模拟模式!$Y$21,1,0),IF(C625="净世破魔击·日",IF(RAND()&lt;模拟模式!$Y$22,1,0),IF(C625="净世破魔击·月",IF(RAND()&lt;模拟模式!$Y$23,1,0),0)))))))</f>
        <v>1</v>
      </c>
      <c r="AC625" s="115" t="b">
        <f t="shared" ca="1" si="547"/>
        <v>0</v>
      </c>
      <c r="AD625" s="115" t="b">
        <f t="shared" ca="1" si="548"/>
        <v>0</v>
      </c>
      <c r="AE625" s="115">
        <f t="shared" ca="1" si="549"/>
        <v>4</v>
      </c>
      <c r="AF625" s="47">
        <f ca="1">IF(AC625,('模拟-单技能数据'!$D$20+G625*'模拟-单技能数据'!$F$20)*(1+J625)*(1+'模拟-单技能数据'!$J$20)*(1+U625),0)</f>
        <v>0</v>
      </c>
      <c r="AG625" s="61">
        <f t="shared" ca="1" si="550"/>
        <v>0.64185145527300214</v>
      </c>
      <c r="AH625" s="61">
        <f t="shared" ca="1" si="551"/>
        <v>2.2624828854998791</v>
      </c>
      <c r="AI625" s="62">
        <f t="shared" ca="1" si="572"/>
        <v>0.50309023332174296</v>
      </c>
      <c r="AJ625" s="47">
        <f ca="1">IF(AD625,IF(AI625&lt;$F$10,0,IF(AI625&lt;$F$10+$F$11,0.25,IF(AI625&lt;$F$10+$F$11+AG625,AH625,1)))*IF(AF625&gt;0,AF625,IF(AF624&gt;0,AF624,IF(AF623&gt;0,AF623,IF(AF622&gt;0,AF622,IF(AF621&gt;0,AF621,IF(AF620&gt;0,AF620,IF(AF619&gt;0,AF619,IF(AF618&gt;0,AF618,IF(AF617&gt;0,AF617,IF(AF615&gt;0,AF615,IF(AF614&gt;0,AF614,IF(AF613&gt;0,AF613,0)))))))))))),0)*(1-$S625)*'模拟-单技能数据'!$I$20</f>
        <v>0</v>
      </c>
      <c r="AK625" s="115" t="b">
        <f t="shared" ca="1" si="552"/>
        <v>1</v>
      </c>
      <c r="AL625" s="115" t="b">
        <f t="shared" ca="1" si="553"/>
        <v>1</v>
      </c>
      <c r="AM625" s="115">
        <f t="shared" ca="1" si="554"/>
        <v>5</v>
      </c>
      <c r="AN625" s="47">
        <f ca="1">IF(AK625,('模拟-单技能数据'!$D$21+G625*'模拟-单技能数据'!$F$21)*(1+J625)*(1+'模拟-单技能数据'!$J$21)*(1+U625),0)</f>
        <v>12136.56601728573</v>
      </c>
      <c r="AO625" s="61">
        <f ca="1">IF(AN625&gt;0,M625-'模拟-单技能数据'!$K$10,AO624)</f>
        <v>0.42185145527300216</v>
      </c>
      <c r="AP625" s="61">
        <f ca="1">IF(AN625&gt;0,I625-'模拟-单技能数据'!$L$10,AP624)</f>
        <v>2.162482885499879</v>
      </c>
      <c r="AQ625" s="63">
        <f t="shared" ca="1" si="573"/>
        <v>0.70115471352112679</v>
      </c>
      <c r="AR625" s="64">
        <f ca="1">IF(AL625,IF(AQ625&lt;$F$10,0,IF(AQ625&lt;$F$10+$F$11,0.25,IF(AQ625&lt;$F$10+$F$11+AO625,AP625,1)))*IF(AN625&gt;0,AN625,IF(AN624&gt;0,AN624,IF(AN623&gt;0,AN623,IF(AN622&gt;0,AN622,IF(AN621&gt;0,AN621,IF(AN620&gt;0,AN620,IF(AN619&gt;0,AN619,IF(AN618&gt;0,AN618,IF(AN617&gt;0,AN617,IF(AN615&gt;0,AN615,IF(AN614&gt;0,AN614,IF(AN613&gt;0,AN613,0)))))))))))),0)*(1-$S625)*'模拟-单技能数据'!$I$21</f>
        <v>11118.353508757338</v>
      </c>
      <c r="AS625" s="61">
        <f ca="1">IF(OR(C625="净世破魔击·日",C625="净世破魔击·月"),M625-'模拟-单技能数据'!$K$10,0)</f>
        <v>0.42185145527300216</v>
      </c>
      <c r="AT625" s="61">
        <f ca="1">IF(OR(C625="净世破魔击·日",C625="净世破魔击·月"),I625-'模拟-单技能数据'!$L$10,0)</f>
        <v>2.162482885499879</v>
      </c>
      <c r="AU625" s="62">
        <f t="shared" ca="1" si="574"/>
        <v>0.43906789716426065</v>
      </c>
      <c r="AV625" s="64">
        <f ca="1">IF(AS625&gt;0,('模拟-单技能数据'!$D$22+G625*'模拟-单技能数据'!$F$22)*(1+J625)*(1-S625)*IF(AU625&lt;$F$10,0,IF(AU625&lt;$F$10+$F$11,0.25,IF(AU625&lt;$F$10+$F$11+AS625,AT625,1)))*(1+U625),0)*'模拟-单技能数据'!$I$22</f>
        <v>18355.759631698667</v>
      </c>
      <c r="AW625" s="108">
        <f t="shared" ca="1" si="575"/>
        <v>12.620000000000005</v>
      </c>
      <c r="AX625" s="108" t="b">
        <f ca="1">AND(模拟模式!$P$10="有",AW624=0,RAND()&lt;IF(C625="净世破魔击·月",0.1*8/3,IF(C625="净世破魔击·日",0.1*4/3,0.1*2/3)))</f>
        <v>0</v>
      </c>
      <c r="AY625" s="47">
        <f ca="1">IF(AX625,(18+G625*0.722)*(1+J625)*(1-S625)*(1+$I$4)*IF(P625="会",'模拟-全程加成'!$J$3+'模拟-全程加成'!$J$4+'模拟-全程加成'!$J$5+('模拟-全程加成'!$I$4+'模拟-全程加成'!$I$5)/系数!$B$4+BG625*10%,IF(P625="命",1,IF(P625="识",0.25,0))),0)</f>
        <v>0</v>
      </c>
      <c r="AZ625" s="108">
        <f t="shared" si="576"/>
        <v>16.310000000000002</v>
      </c>
      <c r="BA625" s="108" t="b">
        <f>AND(模拟模式!$Q$10="有",AZ624=0)</f>
        <v>0</v>
      </c>
      <c r="BB625" s="140">
        <f>IF(BA625,(0+G625*0.287)*(1+J625)*(1-S625)*(1+$I$4)*IF(P625="会",'模拟-全程加成'!$J$3+'模拟-全程加成'!$J$4+'模拟-全程加成'!$J$5+('模拟-全程加成'!$I$4+'模拟-全程加成'!$I$5)/系数!$B$4+BG625*10%,IF(P625="命",1,IF(P625="识",0.25,0))),0)</f>
        <v>0</v>
      </c>
      <c r="BC625" s="115" t="b">
        <f ca="1">AND(模拟模式!$R$7="伏明众生",E625=60,F625=20,DA625&lt;5,CZ624&lt;$F$4)</f>
        <v>0</v>
      </c>
      <c r="BD625" s="115">
        <f t="shared" ca="1" si="555"/>
        <v>0</v>
      </c>
      <c r="BE625" s="115" t="b">
        <f t="shared" ca="1" si="556"/>
        <v>0</v>
      </c>
      <c r="BF625" s="47">
        <f ca="1">IF(BC625,4*('模拟-单技能数据'!$D$24+G625*'模拟-单技能数据'!$F$24)*(1+J625)*(1+'模拟-单技能数据'!$J$24)*(1-S625)*(1+$I$3)*(('模拟-全程加成'!$J$3+'模拟-全程加成'!$J$4+'模拟-全程加成'!$J$5+('模拟-全程加成'!$I$4+'模拟-全程加成'!$I$5)/系数!$B$4+BG625*10%)*('模拟-全程加成'!$J$3+'模拟-全程加成'!$J$4+'模拟-全程加成'!$J$5+('模拟-全程加成'!$I$4+'模拟-全程加成'!$I$5)/系数!$B$4+BG625*10%)+(1-('模拟-全程加成'!$J$3+'模拟-全程加成'!$J$4+'模拟-全程加成'!$J$5+('模拟-全程加成'!$I$4+'模拟-全程加成'!$I$5)/系数!$B$4+BG625*10%)-$F$10-$F$11)+F611*0.25),0)*'模拟-单技能数据'!$I$24</f>
        <v>0</v>
      </c>
      <c r="BG625" s="115" t="b">
        <f ca="1">OR(AND(OR(C625="烈日斩",C625="银月斩"),模拟模式!$I$7="净身明礼"),AND(C625="净世破魔击·日",模拟模式!$J$7="洞若观火"),AND(C626="净世破魔击·月",模拟模式!$J$7="洞若观火"),AB625=1)</f>
        <v>1</v>
      </c>
      <c r="BH625" s="115" t="b">
        <f t="shared" ca="1" si="577"/>
        <v>0</v>
      </c>
      <c r="BI625" s="115">
        <f t="shared" ca="1" si="557"/>
        <v>0</v>
      </c>
      <c r="BJ625" s="115" t="b">
        <f t="shared" ca="1" si="558"/>
        <v>0</v>
      </c>
      <c r="BK625" s="115" t="b">
        <f ca="1">AND(C625="驱夜断愁",模拟模式!$P$7="天地诛戮")</f>
        <v>0</v>
      </c>
      <c r="BL625" s="57">
        <f t="shared" ca="1" si="559"/>
        <v>17.232500000000002</v>
      </c>
      <c r="BM625" s="115" t="b">
        <f t="shared" ca="1" si="560"/>
        <v>1</v>
      </c>
      <c r="BN625" s="115" t="b">
        <f ca="1">AND(OR(C625="赤日轮1",C625="赤日轮2",C625="赤日轮3",C625="幽月轮1",C625="幽月轮2",C625="幽月轮3"),AB625=1,模拟模式!$L$7="明光恒照")</f>
        <v>0</v>
      </c>
      <c r="BO625" s="117">
        <f t="shared" ca="1" si="561"/>
        <v>25.387500000000003</v>
      </c>
      <c r="BP625" s="115">
        <f t="shared" ca="1" si="578"/>
        <v>6</v>
      </c>
      <c r="BQ625" s="115" t="b">
        <f>模拟模式!$K$10="2600·水"</f>
        <v>0</v>
      </c>
      <c r="BR625" s="117">
        <f t="shared" si="579"/>
        <v>0</v>
      </c>
      <c r="BS625" s="115">
        <f t="shared" si="580"/>
        <v>0</v>
      </c>
      <c r="BT625" s="115">
        <f t="shared" ca="1" si="581"/>
        <v>0</v>
      </c>
      <c r="BU625" s="115" t="b">
        <f ca="1">AND(模拟模式!$K$10="2300·雷",BT624=0,RAND()&lt;IF(C625="净世破魔击·月",5*0.05*2/3,IF(C625="净世破魔击·日",3*0.05*2/3,0.05*2*2/3)))</f>
        <v>0</v>
      </c>
      <c r="BV625" s="115">
        <f t="shared" ca="1" si="582"/>
        <v>0</v>
      </c>
      <c r="BW625" s="115">
        <f t="shared" ca="1" si="583"/>
        <v>3.8024999999993088</v>
      </c>
      <c r="BX625" s="164" t="b">
        <f t="shared" ca="1" si="584"/>
        <v>0</v>
      </c>
      <c r="BY625" s="115">
        <f t="shared" ca="1" si="585"/>
        <v>0</v>
      </c>
      <c r="BZ625" s="115">
        <f>IF(OR(模拟模式!$P$16="10人团",模拟模式!$P$16="25人团"),IF(B625/30&gt;CA624,1,0),0)</f>
        <v>0</v>
      </c>
      <c r="CA625" s="115">
        <f t="shared" si="562"/>
        <v>0</v>
      </c>
      <c r="CB625" s="115">
        <f ca="1">IF(BZ625=1,IF(模拟模式!$P$16="10人团",15,0)+IF(模拟模式!$P$16="25人团",IF(RAND()&lt;0.6,15,0)),MAX(0,CB624-$F$4))</f>
        <v>0</v>
      </c>
      <c r="CC625" s="115" t="b">
        <f t="shared" ca="1" si="563"/>
        <v>0</v>
      </c>
      <c r="CD625" s="115">
        <f>IF(模拟模式!$Q$16="1个",IF(B625/40&gt;CE624,1,0),0)</f>
        <v>0</v>
      </c>
      <c r="CE625" s="115">
        <f t="shared" si="564"/>
        <v>0</v>
      </c>
      <c r="CF625" s="115">
        <f>IF(OR(CD625=1,模拟模式!$Q$16="2个"),20,MAX(0,CF624-$F$4))</f>
        <v>0</v>
      </c>
      <c r="CG625" s="115" t="b">
        <f t="shared" si="565"/>
        <v>0</v>
      </c>
      <c r="CH625" s="115">
        <f t="shared" ca="1" si="586"/>
        <v>3.2475000000000116</v>
      </c>
      <c r="CI625" s="115" t="b">
        <f t="shared" ca="1" si="587"/>
        <v>0</v>
      </c>
      <c r="CJ625" s="119">
        <f t="shared" ca="1" si="588"/>
        <v>0</v>
      </c>
      <c r="CK625" s="115">
        <f t="shared" ca="1" si="589"/>
        <v>0</v>
      </c>
      <c r="CL625" s="115" t="b">
        <f ca="1">AND(模拟模式!$S$7="驱夷逐法",OR(AND(C625="净世破魔击·月",E624&gt;59),AND(C625="净世破魔击·日",F624&gt;59)))</f>
        <v>0</v>
      </c>
      <c r="CM625" s="115" t="b">
        <f ca="1">OR(CL625,AND(C625="净世破魔击·日",CL624,RAND()&lt;模拟模式!$U$23))</f>
        <v>0</v>
      </c>
      <c r="CN625" s="115" t="b">
        <f ca="1">IF(模拟模式!$M$7="辉耀红尘",AND(C625="净世破魔击·月",CL625,CV625=0,E624&lt;80),AND(C625="净世破魔击·月",CL625,E624&lt;100))</f>
        <v>0</v>
      </c>
      <c r="CO625" s="115" t="b">
        <f t="shared" ca="1" si="566"/>
        <v>0</v>
      </c>
      <c r="CP625" s="115" t="b">
        <f ca="1">AND(模拟模式!$O$7="用晦而明",OR(C625="净世破魔击·日",C625="净世破魔击·月",C625="驱夜断愁"),AB625)</f>
        <v>1</v>
      </c>
      <c r="CQ625" s="115" t="b">
        <f ca="1">OR(CP625,AND(CP624,RAND()&lt;模拟模式!$U$23))</f>
        <v>1</v>
      </c>
      <c r="CR625" s="115" t="b">
        <f ca="1">AND(模拟模式!$S$7="日月齐光",OR(C625="幽月轮1",C625="幽月轮2",C625="幽月轮3",CR624),NOT(OR(C625="赤日轮1",C625="赤日轮2",C625="赤日轮3")))</f>
        <v>0</v>
      </c>
      <c r="CS625" s="115" t="b">
        <f ca="1">AND(模拟模式!$S$7="日月齐光",OR(C625="赤日轮1",C625="赤日轮2",C625="赤日轮3",CS624),NOT(OR(C625="幽月轮1",C625="幽月轮2",C625="幽月轮3")))</f>
        <v>0</v>
      </c>
      <c r="CT625" s="115">
        <f t="shared" ca="1" si="590"/>
        <v>27.232500000000002</v>
      </c>
      <c r="CU625" s="115" t="b">
        <f ca="1">AND(模拟模式!$K$10="阴阳往极",CT624=0,RAND()&lt;IF(C625="净世破魔击·月",0.0275*7/3,IF(C625="净世破魔击·日",0.0275*3/3,0.0275*2/3)))</f>
        <v>0</v>
      </c>
      <c r="CV625" s="115">
        <f t="shared" ca="1" si="591"/>
        <v>1.31</v>
      </c>
      <c r="CW625" s="115">
        <f t="shared" ca="1" si="592"/>
        <v>0</v>
      </c>
      <c r="CX625" s="115">
        <f t="shared" ca="1" si="593"/>
        <v>2.3099999999999996</v>
      </c>
      <c r="CY625" s="115">
        <f ca="1">MAX(IF($C625="驱夜断愁",IF(模拟模式!$R$7="万念俱寂",6,45),CY624-$F$4),0)</f>
        <v>3.2324999999999995</v>
      </c>
      <c r="CZ625" s="115">
        <f t="shared" ca="1" si="567"/>
        <v>0</v>
      </c>
      <c r="DA625" s="115">
        <f ca="1">IF(模拟模式!$N$7="日月同辉",IF(DB624=2,0,MIN(6,IF(AND(OR(C625="赤日轮1",C625="赤日轮2",C625="赤日轮3",C625="幽月轮1",C625="幽月轮2",C625="幽月轮3"),AB625=1),DA624+1,DA624))),0)</f>
        <v>0</v>
      </c>
      <c r="DB625" s="115">
        <f t="shared" ca="1" si="568"/>
        <v>0</v>
      </c>
      <c r="DC625" s="115"/>
      <c r="DD625" s="115"/>
      <c r="DE625" s="115"/>
      <c r="DF625" s="115"/>
      <c r="DG625" s="115"/>
      <c r="DH625" s="115"/>
      <c r="DI625" s="115"/>
      <c r="DJ625" s="115"/>
      <c r="DK625" s="115"/>
      <c r="DL625" s="115"/>
      <c r="DM625" s="115"/>
    </row>
    <row r="626" spans="2:117" x14ac:dyDescent="0.2">
      <c r="B626" s="117">
        <f t="shared" si="569"/>
        <v>552.57750000000613</v>
      </c>
      <c r="C626" s="167" t="str">
        <f t="shared" ca="1" si="538"/>
        <v>净世破魔击·月</v>
      </c>
      <c r="D626" s="115">
        <f ca="1">IF(C626="赤日轮1",1,IF(C626="赤日轮2",2,IF(C626="赤日轮3",3,IF(C626="幽月轮1",4,IF(C626="幽月轮2",5,IF(C626="幽月轮3",6,IF(C626="烈日斩",7,IF(C626="银月斩",8,IF(C626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626="净世破魔击·月",17,IF(C626="驱夜断愁",18,0)))))))))))</f>
        <v>17</v>
      </c>
      <c r="E626" s="115">
        <f ca="1">IF(AND(CU626,OR(C626="幽月轮1",C626="幽月轮2",C626="幽月轮3",C626="银月斩",C626="驱夜断愁",C626="净世破魔击·月")),100,MIN(IF(OR(CN626,BE626),0,IF(OR($C626="赤日轮1",$C626="赤日轮2",$C626="赤日轮3"),E625+20+IF(模拟模式!$I$7="日月凌天",4,0)+IF(CR625,20,0),IF($C626="烈日斩",E625+40,IF($C626="驱夜断愁",IF(模拟模式!$R$7="万念俱寂",E625+20,E625+60),IF($C626="净世破魔击·月",IF(OR(DB625&gt;0,CV625&gt;0),100,IF(模拟模式!$M$7="辉耀红尘",E625+20,E625)),IF($C626="净世破魔击·日",E625-100,E625)))))),100))</f>
        <v>100</v>
      </c>
      <c r="F626" s="115">
        <f ca="1">IF(AND(CU626,OR(C626="赤日轮1",C626="赤日轮2",C626="赤日轮3",C626="烈日斩",C626="净世破魔击·日")),100,MIN(IF(CO626,0,IF(OR($C626="幽月轮1",$C626="幽月轮2",$C626="幽月轮3"),F625+20+IF(模拟模式!$I$7="日月凌天",4,0)+IF(CS625,20,0),IF($C626="银月斩",F625+40+IF(模拟模式!$X$12=1,5,0),IF($C626="驱夜断愁",IF(模拟模式!$R$7="万念俱寂",F625+20,F625+60),IF($C626="净世破魔击·月",IF(模拟模式!$M$7="辉耀红尘",F625-80,F625-100),IF(AND(C626="净世破魔击·日",OR(DB625&gt;0,CV625&gt;0)),100,F625)))))),100))</f>
        <v>20</v>
      </c>
      <c r="G626" s="117">
        <f ca="1">('模拟-全程加成'!$E$3+'模拟-全程加成'!$E$4+'模拟-全程加成'!$E$5+('模拟-全程加成'!$C$6-'模拟-全程加成'!$C$3)*系数!$B$9+BS626*23)*(1+'模拟-全程加成'!$F$4+'模拟-全程加成'!$F$5+BJ626*10%+BM626*20%+BP626*4%+CG626*30%)+$F$7*系数!$B$12</f>
        <v>20583.127400000001</v>
      </c>
      <c r="H626" s="45">
        <f ca="1">'模拟-全程加成'!$H$3+'模拟-全程加成'!$H$4+'模拟-全程加成'!$H$5+('模拟-全程加成'!$G$4+'模拟-全程加成'!$G$5+('模拟-全程加成'!$C$6-'模拟-全程加成'!$C$3)*系数!$B$13)/系数!$B$3+LOOKUP(D626,'模拟-单技能数据'!$A$2:$A$19,'模拟-单技能数据'!$K$2:$K$19)+BG626*10%+IF(BV626&gt;0,378,0)</f>
        <v>0.54185145527300216</v>
      </c>
      <c r="I626" s="45">
        <f ca="1">'模拟-全程加成'!$J$3+'模拟-全程加成'!$J$4+'模拟-全程加成'!$J$5+('模拟-全程加成'!$I$4+'模拟-全程加成'!$I$5)/系数!$B$4+LOOKUP(D626,'模拟-单技能数据'!$A$2:$A$19,'模拟-单技能数据'!$L$2:$L$19)+BG626*10%</f>
        <v>2.162482885499879</v>
      </c>
      <c r="J626" s="45">
        <f ca="1">(('模拟-全程加成'!$K$3+'模拟-全程加成'!$K$4+'模拟-全程加成'!$K$5+('模拟-全程加成'!$C$6-'模拟-全程加成'!$C$3)*系数!$B$10+IF(BV626&gt;0,882,0)+IF(BY626&gt;0,1831,0))*(1+'模拟-全程加成'!$L$4+'模拟-全程加成'!$L$5+CC626*20%))/系数!$B$5</f>
        <v>0.69723220422048726</v>
      </c>
      <c r="K626" s="119">
        <f ca="1">LOOKUP(D626,'模拟-单技能数据'!$A$2:$A$19,'模拟-单技能数据'!$J$2:$J$19)+IF(CM626,60%,0)+IF(DB625-DB626&gt;0,30%,0)+IF(OR(AND(OR(C626="赤日轮1",C626="赤日轮2",C626="赤日轮3"),CR626),AND(OR(C626="幽月轮1",C626="幽月轮2",C626="幽月轮3"),CS626)),35%,0)+CJ626</f>
        <v>0.2</v>
      </c>
      <c r="L626" s="119">
        <f ca="1">IF(AND(C626="烈日斩",模拟模式!$X$11=1),10%,0)+IF(AND(C626="驱夜断愁",AB626=1),30%,0)</f>
        <v>0</v>
      </c>
      <c r="M626" s="45">
        <f t="shared" ca="1" si="539"/>
        <v>0.54185145527300216</v>
      </c>
      <c r="N626" s="45">
        <f t="shared" ca="1" si="540"/>
        <v>0.40424854472699789</v>
      </c>
      <c r="O626" s="46">
        <f t="shared" ca="1" si="570"/>
        <v>0.53414620664580104</v>
      </c>
      <c r="P626" s="46" t="str">
        <f t="shared" ca="1" si="541"/>
        <v>会</v>
      </c>
      <c r="Q626" s="45">
        <f t="shared" ca="1" si="542"/>
        <v>2.162482885499879</v>
      </c>
      <c r="R626" s="117">
        <f ca="1">模拟模式!$E$20*(1-IF(模拟模式!$J$19="有",0.15,0))*(1-IF(模拟模式!$K$19="有",0.3,0)-IF(CQ626,0.5,0))</f>
        <v>843.02999999999975</v>
      </c>
      <c r="S626" s="45">
        <f ca="1">R626/(R626+(185*模拟模式!$E$22-16800)*4.08224)</f>
        <v>8.389626085980037E-2</v>
      </c>
      <c r="T626" s="45" t="str">
        <f ca="1">LOOKUP(D626,'模拟-单技能数据'!$A$2:$A$19,'模拟-单技能数据'!$H$2:$H$19)</f>
        <v>阴</v>
      </c>
      <c r="U626" s="119">
        <f t="shared" ca="1" si="543"/>
        <v>0.08</v>
      </c>
      <c r="V626" s="47">
        <f ca="1">(1+L626)*(LOOKUP(D626,'模拟-单技能数据'!$A$2:$A$19,'模拟-单技能数据'!$D$2:$D$19)+G626*LOOKUP(D626,'模拟-单技能数据'!$A$2:$A$19,'模拟-单技能数据'!$F$2:$F$19))*(1+J626)*(1+K626)*(1-S626)*(1+U626)*Q626*LOOKUP(D626,'模拟-单技能数据'!$A$2:$A$19,'模拟-单技能数据'!$I$2:$I$20)</f>
        <v>116578.90677476654</v>
      </c>
      <c r="W626" s="47">
        <f ca="1">LOOKUP(D626,'模拟-单技能数据'!$A$2:$A$19,'模拟-单技能数据'!$G$2:$G$19)*$I$10</f>
        <v>361.51064354704795</v>
      </c>
      <c r="X626" s="47">
        <f t="shared" ca="1" si="571"/>
        <v>20594.881690648657</v>
      </c>
      <c r="Y626" s="47">
        <f t="shared" ca="1" si="544"/>
        <v>137535.29910896224</v>
      </c>
      <c r="Z626" s="49">
        <f t="shared" ca="1" si="545"/>
        <v>62729272.109814718</v>
      </c>
      <c r="AA626" s="97">
        <f t="shared" ca="1" si="546"/>
        <v>113521.22029907846</v>
      </c>
      <c r="AB626" s="115">
        <f ca="1">IF(OR(C626="赤日轮1",C626="赤日轮2",C626="赤日轮3"),IF(RAND()&lt;模拟模式!$Y$17,1,0),IF(OR(C626="幽月轮1",C626="幽月轮2",C626="幽月轮3"),IF(RAND()&lt;模拟模式!$Y$18,1,0),IF(C626="烈日斩",IF(RAND()&lt;模拟模式!$Y$19,1,0),IF(C626="银月斩",IF(RAND()&lt;模拟模式!$Y$20,1,0),IF(C626="驱夜断愁",IF(RAND()&lt;模拟模式!$Y$21,1,0),IF(C626="净世破魔击·日",IF(RAND()&lt;模拟模式!$Y$22,1,0),IF(C626="净世破魔击·月",IF(RAND()&lt;模拟模式!$Y$23,1,0),0)))))))</f>
        <v>1</v>
      </c>
      <c r="AC626" s="115" t="b">
        <f t="shared" ca="1" si="547"/>
        <v>0</v>
      </c>
      <c r="AD626" s="115" t="b">
        <f t="shared" ca="1" si="548"/>
        <v>1</v>
      </c>
      <c r="AE626" s="115">
        <f t="shared" ca="1" si="549"/>
        <v>3</v>
      </c>
      <c r="AF626" s="47">
        <f ca="1">IF(AC626,('模拟-单技能数据'!$D$20+G626*'模拟-单技能数据'!$F$20)*(1+J626)*(1+'模拟-单技能数据'!$J$20)*(1+U626),0)</f>
        <v>0</v>
      </c>
      <c r="AG626" s="61">
        <f t="shared" ca="1" si="550"/>
        <v>0.64185145527300214</v>
      </c>
      <c r="AH626" s="61">
        <f t="shared" ca="1" si="551"/>
        <v>2.2624828854998791</v>
      </c>
      <c r="AI626" s="62">
        <f t="shared" ca="1" si="572"/>
        <v>0.84822171397249813</v>
      </c>
      <c r="AJ626" s="47">
        <f ca="1">IF(AD626,IF(AI626&lt;$F$10,0,IF(AI626&lt;$F$10+$F$11,0.25,IF(AI626&lt;$F$10+$F$11+AG626,AH626,1)))*IF(AF626&gt;0,AF626,IF(AF625&gt;0,AF625,IF(AF624&gt;0,AF624,IF(AF623&gt;0,AF623,IF(AF622&gt;0,AF622,IF(AF621&gt;0,AF621,IF(AF620&gt;0,AF620,IF(AF619&gt;0,AF619,IF(AF618&gt;0,AF618,IF(AF616&gt;0,AF616,IF(AF615&gt;0,AF615,IF(AF614&gt;0,AF614,0)))))))))))),0)*(1-$S626)*'模拟-单技能数据'!$I$20</f>
        <v>4074.6980221198578</v>
      </c>
      <c r="AK626" s="115" t="b">
        <f t="shared" ca="1" si="552"/>
        <v>0</v>
      </c>
      <c r="AL626" s="115" t="b">
        <f t="shared" ca="1" si="553"/>
        <v>0</v>
      </c>
      <c r="AM626" s="115">
        <f t="shared" ca="1" si="554"/>
        <v>5</v>
      </c>
      <c r="AN626" s="47">
        <f ca="1">IF(AK626,('模拟-单技能数据'!$D$21+G626*'模拟-单技能数据'!$F$21)*(1+J626)*(1+'模拟-单技能数据'!$J$21)*(1+U626),0)</f>
        <v>0</v>
      </c>
      <c r="AO626" s="61">
        <f ca="1">IF(AN626&gt;0,M626-'模拟-单技能数据'!$K$10,AO625)</f>
        <v>0.42185145527300216</v>
      </c>
      <c r="AP626" s="61">
        <f ca="1">IF(AN626&gt;0,I626-'模拟-单技能数据'!$L$10,AP625)</f>
        <v>2.162482885499879</v>
      </c>
      <c r="AQ626" s="63">
        <f t="shared" ca="1" si="573"/>
        <v>0.951198867738275</v>
      </c>
      <c r="AR626" s="64">
        <f ca="1">IF(AL626,IF(AQ626&lt;$F$10,0,IF(AQ626&lt;$F$10+$F$11,0.25,IF(AQ626&lt;$F$10+$F$11+AO626,AP626,1)))*IF(AN626&gt;0,AN626,IF(AN625&gt;0,AN625,IF(AN624&gt;0,AN624,IF(AN623&gt;0,AN623,IF(AN622&gt;0,AN622,IF(AN621&gt;0,AN621,IF(AN620&gt;0,AN620,IF(AN619&gt;0,AN619,IF(AN618&gt;0,AN618,IF(AN616&gt;0,AN616,IF(AN615&gt;0,AN615,IF(AN614&gt;0,AN614,0)))))))))))),0)*(1-$S626)*'模拟-单技能数据'!$I$21</f>
        <v>0</v>
      </c>
      <c r="AS626" s="61">
        <f ca="1">IF(OR(C626="净世破魔击·日",C626="净世破魔击·月"),M626-'模拟-单技能数据'!$K$10,0)</f>
        <v>0.42185145527300216</v>
      </c>
      <c r="AT626" s="61">
        <f ca="1">IF(OR(C626="净世破魔击·日",C626="净世破魔击·月"),I626-'模拟-单技能数据'!$L$10,0)</f>
        <v>2.162482885499879</v>
      </c>
      <c r="AU626" s="62">
        <f t="shared" ca="1" si="574"/>
        <v>0.11603205101307812</v>
      </c>
      <c r="AV626" s="64">
        <f ca="1">IF(AS626&gt;0,('模拟-单技能数据'!$D$22+G626*'模拟-单技能数据'!$F$22)*(1+J626)*(1-S626)*IF(AU626&lt;$F$10,0,IF(AU626&lt;$F$10+$F$11,0.25,IF(AU626&lt;$F$10+$F$11+AS626,AT626,1)))*(1+U626),0)*'模拟-单技能数据'!$I$22</f>
        <v>16520.1836685288</v>
      </c>
      <c r="AW626" s="108">
        <f t="shared" ca="1" si="575"/>
        <v>11.697500000000005</v>
      </c>
      <c r="AX626" s="108" t="b">
        <f ca="1">AND(模拟模式!$P$10="有",AW625=0,RAND()&lt;IF(C626="净世破魔击·月",0.1*8/3,IF(C626="净世破魔击·日",0.1*4/3,0.1*2/3)))</f>
        <v>0</v>
      </c>
      <c r="AY626" s="47">
        <f ca="1">IF(AX626,(18+G626*0.722)*(1+J626)*(1-S626)*(1+$I$4)*IF(P626="会",'模拟-全程加成'!$J$3+'模拟-全程加成'!$J$4+'模拟-全程加成'!$J$5+('模拟-全程加成'!$I$4+'模拟-全程加成'!$I$5)/系数!$B$4+BG626*10%,IF(P626="命",1,IF(P626="识",0.25,0))),0)</f>
        <v>0</v>
      </c>
      <c r="AZ626" s="108">
        <f t="shared" si="576"/>
        <v>15.387500000000003</v>
      </c>
      <c r="BA626" s="108" t="b">
        <f>AND(模拟模式!$Q$10="有",AZ625=0)</f>
        <v>0</v>
      </c>
      <c r="BB626" s="140">
        <f>IF(BA626,(0+G626*0.287)*(1+J626)*(1-S626)*(1+$I$4)*IF(P626="会",'模拟-全程加成'!$J$3+'模拟-全程加成'!$J$4+'模拟-全程加成'!$J$5+('模拟-全程加成'!$I$4+'模拟-全程加成'!$I$5)/系数!$B$4+BG626*10%,IF(P626="命",1,IF(P626="识",0.25,0))),0)</f>
        <v>0</v>
      </c>
      <c r="BC626" s="115" t="b">
        <f ca="1">AND(模拟模式!$R$7="伏明众生",E626=60,F626=20,DA626&lt;5,CZ625&lt;$F$4)</f>
        <v>0</v>
      </c>
      <c r="BD626" s="115">
        <f t="shared" ca="1" si="555"/>
        <v>0</v>
      </c>
      <c r="BE626" s="115" t="b">
        <f t="shared" ca="1" si="556"/>
        <v>0</v>
      </c>
      <c r="BF626" s="47">
        <f ca="1">IF(BC626,4*('模拟-单技能数据'!$D$24+G626*'模拟-单技能数据'!$F$24)*(1+J626)*(1+'模拟-单技能数据'!$J$24)*(1-S626)*(1+$I$3)*(('模拟-全程加成'!$J$3+'模拟-全程加成'!$J$4+'模拟-全程加成'!$J$5+('模拟-全程加成'!$I$4+'模拟-全程加成'!$I$5)/系数!$B$4+BG626*10%)*('模拟-全程加成'!$J$3+'模拟-全程加成'!$J$4+'模拟-全程加成'!$J$5+('模拟-全程加成'!$I$4+'模拟-全程加成'!$I$5)/系数!$B$4+BG626*10%)+(1-('模拟-全程加成'!$J$3+'模拟-全程加成'!$J$4+'模拟-全程加成'!$J$5+('模拟-全程加成'!$I$4+'模拟-全程加成'!$I$5)/系数!$B$4+BG626*10%)-$F$10-$F$11)+F612*0.25),0)*'模拟-单技能数据'!$I$24</f>
        <v>0</v>
      </c>
      <c r="BG626" s="115" t="b">
        <f ca="1">OR(AND(OR(C626="烈日斩",C626="银月斩"),模拟模式!$I$7="净身明礼"),AND(C626="净世破魔击·日",模拟模式!$J$7="洞若观火"),AND(C627="净世破魔击·月",模拟模式!$J$7="洞若观火"),AB626=1)</f>
        <v>1</v>
      </c>
      <c r="BH626" s="115" t="b">
        <f t="shared" ca="1" si="577"/>
        <v>0</v>
      </c>
      <c r="BI626" s="115">
        <f t="shared" ca="1" si="557"/>
        <v>0</v>
      </c>
      <c r="BJ626" s="115" t="b">
        <f t="shared" ca="1" si="558"/>
        <v>0</v>
      </c>
      <c r="BK626" s="115" t="b">
        <f ca="1">AND(C626="驱夜断愁",模拟模式!$P$7="天地诛戮")</f>
        <v>0</v>
      </c>
      <c r="BL626" s="57">
        <f t="shared" ca="1" si="559"/>
        <v>16.310000000000002</v>
      </c>
      <c r="BM626" s="115" t="b">
        <f t="shared" ca="1" si="560"/>
        <v>1</v>
      </c>
      <c r="BN626" s="115" t="b">
        <f ca="1">AND(OR(C626="赤日轮1",C626="赤日轮2",C626="赤日轮3",C626="幽月轮1",C626="幽月轮2",C626="幽月轮3"),AB626=1,模拟模式!$L$7="明光恒照")</f>
        <v>0</v>
      </c>
      <c r="BO626" s="117">
        <f t="shared" ca="1" si="561"/>
        <v>24.465000000000003</v>
      </c>
      <c r="BP626" s="115">
        <f t="shared" ca="1" si="578"/>
        <v>6</v>
      </c>
      <c r="BQ626" s="115" t="b">
        <f>模拟模式!$K$10="2600·水"</f>
        <v>0</v>
      </c>
      <c r="BR626" s="117">
        <f t="shared" si="579"/>
        <v>0</v>
      </c>
      <c r="BS626" s="115">
        <f t="shared" si="580"/>
        <v>0</v>
      </c>
      <c r="BT626" s="115">
        <f t="shared" ca="1" si="581"/>
        <v>0</v>
      </c>
      <c r="BU626" s="115" t="b">
        <f ca="1">AND(模拟模式!$K$10="2300·雷",BT625=0,RAND()&lt;IF(C626="净世破魔击·月",5*0.05*2/3,IF(C626="净世破魔击·日",3*0.05*2/3,0.05*2*2/3)))</f>
        <v>0</v>
      </c>
      <c r="BV626" s="115">
        <f t="shared" ca="1" si="582"/>
        <v>0</v>
      </c>
      <c r="BW626" s="115">
        <f t="shared" ca="1" si="583"/>
        <v>2.8799999999993089</v>
      </c>
      <c r="BX626" s="164" t="b">
        <f t="shared" ca="1" si="584"/>
        <v>0</v>
      </c>
      <c r="BY626" s="115">
        <f t="shared" ca="1" si="585"/>
        <v>0</v>
      </c>
      <c r="BZ626" s="115">
        <f>IF(OR(模拟模式!$P$16="10人团",模拟模式!$P$16="25人团"),IF(B626/30&gt;CA625,1,0),0)</f>
        <v>0</v>
      </c>
      <c r="CA626" s="115">
        <f t="shared" si="562"/>
        <v>0</v>
      </c>
      <c r="CB626" s="115">
        <f ca="1">IF(BZ626=1,IF(模拟模式!$P$16="10人团",15,0)+IF(模拟模式!$P$16="25人团",IF(RAND()&lt;0.6,15,0)),MAX(0,CB625-$F$4))</f>
        <v>0</v>
      </c>
      <c r="CC626" s="115" t="b">
        <f t="shared" ca="1" si="563"/>
        <v>0</v>
      </c>
      <c r="CD626" s="115">
        <f>IF(模拟模式!$Q$16="1个",IF(B626/40&gt;CE625,1,0),0)</f>
        <v>0</v>
      </c>
      <c r="CE626" s="115">
        <f t="shared" si="564"/>
        <v>0</v>
      </c>
      <c r="CF626" s="115">
        <f>IF(OR(CD626=1,模拟模式!$Q$16="2个"),20,MAX(0,CF625-$F$4))</f>
        <v>0</v>
      </c>
      <c r="CG626" s="115" t="b">
        <f t="shared" si="565"/>
        <v>0</v>
      </c>
      <c r="CH626" s="115">
        <f t="shared" ca="1" si="586"/>
        <v>2.3250000000000117</v>
      </c>
      <c r="CI626" s="115" t="b">
        <f t="shared" ca="1" si="587"/>
        <v>0</v>
      </c>
      <c r="CJ626" s="119">
        <f t="shared" ca="1" si="588"/>
        <v>0</v>
      </c>
      <c r="CK626" s="115">
        <f t="shared" ca="1" si="589"/>
        <v>0</v>
      </c>
      <c r="CL626" s="115" t="b">
        <f ca="1">AND(模拟模式!$S$7="驱夷逐法",OR(AND(C626="净世破魔击·月",E625&gt;59),AND(C626="净世破魔击·日",F625&gt;59)))</f>
        <v>0</v>
      </c>
      <c r="CM626" s="115" t="b">
        <f ca="1">OR(CL626,AND(C626="净世破魔击·日",CL625,RAND()&lt;模拟模式!$U$23))</f>
        <v>0</v>
      </c>
      <c r="CN626" s="115" t="b">
        <f ca="1">IF(模拟模式!$M$7="辉耀红尘",AND(C626="净世破魔击·月",CL626,CV626=0,E625&lt;80),AND(C626="净世破魔击·月",CL626,E625&lt;100))</f>
        <v>0</v>
      </c>
      <c r="CO626" s="115" t="b">
        <f t="shared" ca="1" si="566"/>
        <v>0</v>
      </c>
      <c r="CP626" s="115" t="b">
        <f ca="1">AND(模拟模式!$O$7="用晦而明",OR(C626="净世破魔击·日",C626="净世破魔击·月",C626="驱夜断愁"),AB626)</f>
        <v>1</v>
      </c>
      <c r="CQ626" s="115" t="b">
        <f ca="1">OR(CP626,AND(CP625,RAND()&lt;模拟模式!$U$23))</f>
        <v>1</v>
      </c>
      <c r="CR626" s="115" t="b">
        <f ca="1">AND(模拟模式!$S$7="日月齐光",OR(C626="幽月轮1",C626="幽月轮2",C626="幽月轮3",CR625),NOT(OR(C626="赤日轮1",C626="赤日轮2",C626="赤日轮3")))</f>
        <v>0</v>
      </c>
      <c r="CS626" s="115" t="b">
        <f ca="1">AND(模拟模式!$S$7="日月齐光",OR(C626="赤日轮1",C626="赤日轮2",C626="赤日轮3",CS625),NOT(OR(C626="幽月轮1",C626="幽月轮2",C626="幽月轮3")))</f>
        <v>0</v>
      </c>
      <c r="CT626" s="115">
        <f t="shared" ca="1" si="590"/>
        <v>26.310000000000002</v>
      </c>
      <c r="CU626" s="115" t="b">
        <f ca="1">AND(模拟模式!$K$10="阴阳往极",CT625=0,RAND()&lt;IF(C626="净世破魔击·月",0.0275*7/3,IF(C626="净世破魔击·日",0.0275*3/3,0.0275*2/3)))</f>
        <v>0</v>
      </c>
      <c r="CV626" s="115">
        <f t="shared" ca="1" si="591"/>
        <v>0.38750000000000007</v>
      </c>
      <c r="CW626" s="115">
        <f t="shared" ca="1" si="592"/>
        <v>0</v>
      </c>
      <c r="CX626" s="115">
        <f t="shared" ca="1" si="593"/>
        <v>1.3874999999999997</v>
      </c>
      <c r="CY626" s="115">
        <f ca="1">MAX(IF($C626="驱夜断愁",IF(模拟模式!$R$7="万念俱寂",6,45),CY625-$F$4),0)</f>
        <v>2.3099999999999996</v>
      </c>
      <c r="CZ626" s="115">
        <f t="shared" ca="1" si="567"/>
        <v>0</v>
      </c>
      <c r="DA626" s="115">
        <f ca="1">IF(模拟模式!$N$7="日月同辉",IF(DB625=2,0,MIN(6,IF(AND(OR(C626="赤日轮1",C626="赤日轮2",C626="赤日轮3",C626="幽月轮1",C626="幽月轮2",C626="幽月轮3"),AB626=1),DA625+1,DA625))),0)</f>
        <v>0</v>
      </c>
      <c r="DB626" s="115">
        <f t="shared" ca="1" si="568"/>
        <v>0</v>
      </c>
      <c r="DC626" s="115"/>
      <c r="DD626" s="115"/>
      <c r="DE626" s="115"/>
      <c r="DF626" s="115"/>
      <c r="DG626" s="115"/>
      <c r="DH626" s="115"/>
      <c r="DI626" s="115"/>
      <c r="DJ626" s="115"/>
      <c r="DK626" s="115"/>
      <c r="DL626" s="115"/>
      <c r="DM626" s="115"/>
    </row>
    <row r="627" spans="2:117" x14ac:dyDescent="0.2">
      <c r="B627" s="117">
        <f t="shared" si="569"/>
        <v>553.50000000000614</v>
      </c>
      <c r="C627" s="167" t="str">
        <f t="shared" ca="1" si="538"/>
        <v>净世破魔击·日</v>
      </c>
      <c r="D627" s="115">
        <f ca="1">IF(C627="赤日轮1",1,IF(C627="赤日轮2",2,IF(C627="赤日轮3",3,IF(C627="幽月轮1",4,IF(C627="幽月轮2",5,IF(C627="幽月轮3",6,IF(C627="烈日斩",7,IF(C627="银月斩",8,IF(C627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627="净世破魔击·月",17,IF(C627="驱夜断愁",18,0)))))))))))</f>
        <v>9</v>
      </c>
      <c r="E627" s="115">
        <f ca="1">IF(AND(CU627,OR(C627="幽月轮1",C627="幽月轮2",C627="幽月轮3",C627="银月斩",C627="驱夜断愁",C627="净世破魔击·月")),100,MIN(IF(OR(CN627,BE627),0,IF(OR($C627="赤日轮1",$C627="赤日轮2",$C627="赤日轮3"),E626+20+IF(模拟模式!$I$7="日月凌天",4,0)+IF(CR626,20,0),IF($C627="烈日斩",E626+40,IF($C627="驱夜断愁",IF(模拟模式!$R$7="万念俱寂",E626+20,E626+60),IF($C627="净世破魔击·月",IF(OR(DB626&gt;0,CV626&gt;0),100,IF(模拟模式!$M$7="辉耀红尘",E626+20,E626)),IF($C627="净世破魔击·日",E626-100,E626)))))),100))</f>
        <v>0</v>
      </c>
      <c r="F627" s="115">
        <f ca="1">IF(AND(CU627,OR(C627="赤日轮1",C627="赤日轮2",C627="赤日轮3",C627="烈日斩",C627="净世破魔击·日")),100,MIN(IF(CO627,0,IF(OR($C627="幽月轮1",$C627="幽月轮2",$C627="幽月轮3"),F626+20+IF(模拟模式!$I$7="日月凌天",4,0)+IF(CS626,20,0),IF($C627="银月斩",F626+40+IF(模拟模式!$X$12=1,5,0),IF($C627="驱夜断愁",IF(模拟模式!$R$7="万念俱寂",F626+20,F626+60),IF($C627="净世破魔击·月",IF(模拟模式!$M$7="辉耀红尘",F626-80,F626-100),IF(AND(C627="净世破魔击·日",OR(DB626&gt;0,CV626&gt;0)),100,F626)))))),100))</f>
        <v>100</v>
      </c>
      <c r="G627" s="117">
        <f ca="1">('模拟-全程加成'!$E$3+'模拟-全程加成'!$E$4+'模拟-全程加成'!$E$5+('模拟-全程加成'!$C$6-'模拟-全程加成'!$C$3)*系数!$B$9+BS627*23)*(1+'模拟-全程加成'!$F$4+'模拟-全程加成'!$F$5+BJ627*10%+BM627*20%+BP627*4%+CG627*30%)+$F$7*系数!$B$12</f>
        <v>20583.127400000001</v>
      </c>
      <c r="H627" s="45">
        <f ca="1">'模拟-全程加成'!$H$3+'模拟-全程加成'!$H$4+'模拟-全程加成'!$H$5+('模拟-全程加成'!$G$4+'模拟-全程加成'!$G$5+('模拟-全程加成'!$C$6-'模拟-全程加成'!$C$3)*系数!$B$13)/系数!$B$3+LOOKUP(D627,'模拟-单技能数据'!$A$2:$A$19,'模拟-单技能数据'!$K$2:$K$19)+BG627*10%+IF(BV627&gt;0,378,0)</f>
        <v>0.54185145527300216</v>
      </c>
      <c r="I627" s="45">
        <f ca="1">'模拟-全程加成'!$J$3+'模拟-全程加成'!$J$4+'模拟-全程加成'!$J$5+('模拟-全程加成'!$I$4+'模拟-全程加成'!$I$5)/系数!$B$4+LOOKUP(D627,'模拟-单技能数据'!$A$2:$A$19,'模拟-单技能数据'!$L$2:$L$19)+BG627*10%</f>
        <v>2.162482885499879</v>
      </c>
      <c r="J627" s="45">
        <f ca="1">(('模拟-全程加成'!$K$3+'模拟-全程加成'!$K$4+'模拟-全程加成'!$K$5+('模拟-全程加成'!$C$6-'模拟-全程加成'!$C$3)*系数!$B$10+IF(BV627&gt;0,882,0)+IF(BY627&gt;0,1831,0))*(1+'模拟-全程加成'!$L$4+'模拟-全程加成'!$L$5+CC627*20%))/系数!$B$5</f>
        <v>0.69723220422048726</v>
      </c>
      <c r="K627" s="119">
        <f ca="1">LOOKUP(D627,'模拟-单技能数据'!$A$2:$A$19,'模拟-单技能数据'!$J$2:$J$19)+IF(CM627,60%,0)+IF(DB626-DB627&gt;0,30%,0)+IF(OR(AND(OR(C627="赤日轮1",C627="赤日轮2",C627="赤日轮3"),CR627),AND(OR(C627="幽月轮1",C627="幽月轮2",C627="幽月轮3"),CS627)),35%,0)+CJ627</f>
        <v>0.2</v>
      </c>
      <c r="L627" s="119">
        <f ca="1">IF(AND(C627="烈日斩",模拟模式!$X$11=1),10%,0)+IF(AND(C627="驱夜断愁",AB627=1),30%,0)</f>
        <v>0</v>
      </c>
      <c r="M627" s="45">
        <f t="shared" ca="1" si="539"/>
        <v>0.54185145527300216</v>
      </c>
      <c r="N627" s="45">
        <f t="shared" ca="1" si="540"/>
        <v>0.40424854472699789</v>
      </c>
      <c r="O627" s="46">
        <f t="shared" ca="1" si="570"/>
        <v>0.97276662785644419</v>
      </c>
      <c r="P627" s="46" t="str">
        <f t="shared" ca="1" si="541"/>
        <v>命</v>
      </c>
      <c r="Q627" s="45">
        <f t="shared" ca="1" si="542"/>
        <v>1</v>
      </c>
      <c r="R627" s="117">
        <f ca="1">模拟模式!$E$20*(1-IF(模拟模式!$J$19="有",0.15,0))*(1-IF(模拟模式!$K$19="有",0.3,0)-IF(CQ627,0.5,0))</f>
        <v>843.02999999999975</v>
      </c>
      <c r="S627" s="45">
        <f ca="1">R627/(R627+(185*模拟模式!$E$22-16800)*4.08224)</f>
        <v>8.389626085980037E-2</v>
      </c>
      <c r="T627" s="45" t="str">
        <f ca="1">LOOKUP(D627,'模拟-单技能数据'!$A$2:$A$19,'模拟-单技能数据'!$H$2:$H$19)</f>
        <v>阳</v>
      </c>
      <c r="U627" s="119">
        <f t="shared" ca="1" si="543"/>
        <v>0.2</v>
      </c>
      <c r="V627" s="47">
        <f ca="1">(1+L627)*(LOOKUP(D627,'模拟-单技能数据'!$A$2:$A$19,'模拟-单技能数据'!$D$2:$D$19)+G627*LOOKUP(D627,'模拟-单技能数据'!$A$2:$A$19,'模拟-单技能数据'!$F$2:$F$19))*(1+J627)*(1+K627)*(1-S627)*(1+U627)*Q627*LOOKUP(D627,'模拟-单技能数据'!$A$2:$A$19,'模拟-单技能数据'!$I$2:$I$20)</f>
        <v>60398.417085084453</v>
      </c>
      <c r="W627" s="47">
        <f ca="1">LOOKUP(D627,'模拟-单技能数据'!$A$2:$A$19,'模拟-单技能数据'!$G$2:$G$19)*$I$10</f>
        <v>723.0212870940959</v>
      </c>
      <c r="X627" s="47">
        <f t="shared" ca="1" si="571"/>
        <v>32531.528902186212</v>
      </c>
      <c r="Y627" s="47">
        <f t="shared" ca="1" si="544"/>
        <v>93652.967274364753</v>
      </c>
      <c r="Z627" s="49">
        <f t="shared" ca="1" si="545"/>
        <v>62822925.077089086</v>
      </c>
      <c r="AA627" s="97">
        <f t="shared" ca="1" si="546"/>
        <v>113501.21965146954</v>
      </c>
      <c r="AB627" s="115">
        <f ca="1">IF(OR(C627="赤日轮1",C627="赤日轮2",C627="赤日轮3"),IF(RAND()&lt;模拟模式!$Y$17,1,0),IF(OR(C627="幽月轮1",C627="幽月轮2",C627="幽月轮3"),IF(RAND()&lt;模拟模式!$Y$18,1,0),IF(C627="烈日斩",IF(RAND()&lt;模拟模式!$Y$19,1,0),IF(C627="银月斩",IF(RAND()&lt;模拟模式!$Y$20,1,0),IF(C627="驱夜断愁",IF(RAND()&lt;模拟模式!$Y$21,1,0),IF(C627="净世破魔击·日",IF(RAND()&lt;模拟模式!$Y$22,1,0),IF(C627="净世破魔击·月",IF(RAND()&lt;模拟模式!$Y$23,1,0),0)))))))</f>
        <v>1</v>
      </c>
      <c r="AC627" s="115" t="b">
        <f t="shared" ca="1" si="547"/>
        <v>0</v>
      </c>
      <c r="AD627" s="115" t="b">
        <f t="shared" ca="1" si="548"/>
        <v>0</v>
      </c>
      <c r="AE627" s="115">
        <f t="shared" ca="1" si="549"/>
        <v>3</v>
      </c>
      <c r="AF627" s="47">
        <f ca="1">IF(AC627,('模拟-单技能数据'!$D$20+G627*'模拟-单技能数据'!$F$20)*(1+J627)*(1+'模拟-单技能数据'!$J$20)*(1+U627),0)</f>
        <v>0</v>
      </c>
      <c r="AG627" s="61">
        <f t="shared" ca="1" si="550"/>
        <v>0.64185145527300214</v>
      </c>
      <c r="AH627" s="61">
        <f t="shared" ca="1" si="551"/>
        <v>2.2624828854998791</v>
      </c>
      <c r="AI627" s="62">
        <f t="shared" ca="1" si="572"/>
        <v>0.96351620552611172</v>
      </c>
      <c r="AJ627" s="47">
        <f ca="1">IF(AD627,IF(AI627&lt;$F$10,0,IF(AI627&lt;$F$10+$F$11,0.25,IF(AI627&lt;$F$10+$F$11+AG627,AH627,1)))*IF(AF627&gt;0,AF627,IF(AF626&gt;0,AF626,IF(AF625&gt;0,AF625,IF(AF624&gt;0,AF624,IF(AF623&gt;0,AF623,IF(AF622&gt;0,AF622,IF(AF621&gt;0,AF621,IF(AF620&gt;0,AF620,IF(AF619&gt;0,AF619,IF(AF617&gt;0,AF617,IF(AF616&gt;0,AF616,IF(AF615&gt;0,AF615,0)))))))))))),0)*(1-$S627)*'模拟-单技能数据'!$I$20</f>
        <v>0</v>
      </c>
      <c r="AK627" s="115" t="b">
        <f t="shared" ca="1" si="552"/>
        <v>1</v>
      </c>
      <c r="AL627" s="115" t="b">
        <f t="shared" ca="1" si="553"/>
        <v>1</v>
      </c>
      <c r="AM627" s="115">
        <f t="shared" ca="1" si="554"/>
        <v>5</v>
      </c>
      <c r="AN627" s="47">
        <f ca="1">IF(AK627,('模拟-单技能数据'!$D$21+G627*'模拟-单技能数据'!$F$21)*(1+J627)*(1+'模拟-单技能数据'!$J$21)*(1+U627),0)</f>
        <v>12136.56601728573</v>
      </c>
      <c r="AO627" s="61">
        <f ca="1">IF(AN627&gt;0,M627-'模拟-单技能数据'!$K$10,AO626)</f>
        <v>0.42185145527300216</v>
      </c>
      <c r="AP627" s="61">
        <f ca="1">IF(AN627&gt;0,I627-'模拟-单技能数据'!$L$10,AP626)</f>
        <v>2.162482885499879</v>
      </c>
      <c r="AQ627" s="63">
        <f t="shared" ca="1" si="573"/>
        <v>0.26775475206809252</v>
      </c>
      <c r="AR627" s="64">
        <f ca="1">IF(AL627,IF(AQ627&lt;$F$10,0,IF(AQ627&lt;$F$10+$F$11,0.25,IF(AQ627&lt;$F$10+$F$11+AO627,AP627,1)))*IF(AN627&gt;0,AN627,IF(AN626&gt;0,AN626,IF(AN625&gt;0,AN625,IF(AN624&gt;0,AN624,IF(AN623&gt;0,AN623,IF(AN622&gt;0,AN622,IF(AN621&gt;0,AN621,IF(AN620&gt;0,AN620,IF(AN619&gt;0,AN619,IF(AN617&gt;0,AN617,IF(AN616&gt;0,AN616,IF(AN615&gt;0,AN615,0)))))))))))),0)*(1-$S627)*'模拟-单技能数据'!$I$21</f>
        <v>24043.249177625272</v>
      </c>
      <c r="AS627" s="61">
        <f ca="1">IF(OR(C627="净世破魔击·日",C627="净世破魔击·月"),M627-'模拟-单技能数据'!$K$10,0)</f>
        <v>0.42185145527300216</v>
      </c>
      <c r="AT627" s="61">
        <f ca="1">IF(OR(C627="净世破魔击·日",C627="净世破魔击·月"),I627-'模拟-单技能数据'!$L$10,0)</f>
        <v>2.162482885499879</v>
      </c>
      <c r="AU627" s="62">
        <f t="shared" ca="1" si="574"/>
        <v>0.56561790759169062</v>
      </c>
      <c r="AV627" s="64">
        <f ca="1">IF(AS627&gt;0,('模拟-单技能数据'!$D$22+G627*'模拟-单技能数据'!$F$22)*(1+J627)*(1-S627)*IF(AU627&lt;$F$10,0,IF(AU627&lt;$F$10+$F$11,0.25,IF(AU627&lt;$F$10+$F$11+AS627,AT627,1)))*(1+U627),0)*'模拟-单技能数据'!$I$22</f>
        <v>8488.2797245609418</v>
      </c>
      <c r="AW627" s="108">
        <f t="shared" ca="1" si="575"/>
        <v>10.775000000000006</v>
      </c>
      <c r="AX627" s="108" t="b">
        <f ca="1">AND(模拟模式!$P$10="有",AW626=0,RAND()&lt;IF(C627="净世破魔击·月",0.1*8/3,IF(C627="净世破魔击·日",0.1*4/3,0.1*2/3)))</f>
        <v>0</v>
      </c>
      <c r="AY627" s="47">
        <f ca="1">IF(AX627,(18+G627*0.722)*(1+J627)*(1-S627)*(1+$I$4)*IF(P627="会",'模拟-全程加成'!$J$3+'模拟-全程加成'!$J$4+'模拟-全程加成'!$J$5+('模拟-全程加成'!$I$4+'模拟-全程加成'!$I$5)/系数!$B$4+BG627*10%,IF(P627="命",1,IF(P627="识",0.25,0))),0)</f>
        <v>0</v>
      </c>
      <c r="AZ627" s="108">
        <f t="shared" si="576"/>
        <v>14.465000000000003</v>
      </c>
      <c r="BA627" s="108" t="b">
        <f>AND(模拟模式!$Q$10="有",AZ626=0)</f>
        <v>0</v>
      </c>
      <c r="BB627" s="140">
        <f>IF(BA627,(0+G627*0.287)*(1+J627)*(1-S627)*(1+$I$4)*IF(P627="会",'模拟-全程加成'!$J$3+'模拟-全程加成'!$J$4+'模拟-全程加成'!$J$5+('模拟-全程加成'!$I$4+'模拟-全程加成'!$I$5)/系数!$B$4+BG627*10%,IF(P627="命",1,IF(P627="识",0.25,0))),0)</f>
        <v>0</v>
      </c>
      <c r="BC627" s="115" t="b">
        <f ca="1">AND(模拟模式!$R$7="伏明众生",E627=60,F627=20,DA627&lt;5,CZ626&lt;$F$4)</f>
        <v>0</v>
      </c>
      <c r="BD627" s="115">
        <f t="shared" ca="1" si="555"/>
        <v>0</v>
      </c>
      <c r="BE627" s="115" t="b">
        <f t="shared" ca="1" si="556"/>
        <v>0</v>
      </c>
      <c r="BF627" s="47">
        <f ca="1">IF(BC627,4*('模拟-单技能数据'!$D$24+G627*'模拟-单技能数据'!$F$24)*(1+J627)*(1+'模拟-单技能数据'!$J$24)*(1-S627)*(1+$I$3)*(('模拟-全程加成'!$J$3+'模拟-全程加成'!$J$4+'模拟-全程加成'!$J$5+('模拟-全程加成'!$I$4+'模拟-全程加成'!$I$5)/系数!$B$4+BG627*10%)*('模拟-全程加成'!$J$3+'模拟-全程加成'!$J$4+'模拟-全程加成'!$J$5+('模拟-全程加成'!$I$4+'模拟-全程加成'!$I$5)/系数!$B$4+BG627*10%)+(1-('模拟-全程加成'!$J$3+'模拟-全程加成'!$J$4+'模拟-全程加成'!$J$5+('模拟-全程加成'!$I$4+'模拟-全程加成'!$I$5)/系数!$B$4+BG627*10%)-$F$10-$F$11)+F613*0.25),0)*'模拟-单技能数据'!$I$24</f>
        <v>0</v>
      </c>
      <c r="BG627" s="115" t="b">
        <f ca="1">OR(AND(OR(C627="烈日斩",C627="银月斩"),模拟模式!$I$7="净身明礼"),AND(C627="净世破魔击·日",模拟模式!$J$7="洞若观火"),AND(C628="净世破魔击·月",模拟模式!$J$7="洞若观火"),AB627=1)</f>
        <v>1</v>
      </c>
      <c r="BH627" s="115" t="b">
        <f t="shared" ca="1" si="577"/>
        <v>0</v>
      </c>
      <c r="BI627" s="115">
        <f t="shared" ca="1" si="557"/>
        <v>0</v>
      </c>
      <c r="BJ627" s="115" t="b">
        <f t="shared" ca="1" si="558"/>
        <v>0</v>
      </c>
      <c r="BK627" s="115" t="b">
        <f ca="1">AND(C627="驱夜断愁",模拟模式!$P$7="天地诛戮")</f>
        <v>0</v>
      </c>
      <c r="BL627" s="57">
        <f t="shared" ca="1" si="559"/>
        <v>15.387500000000003</v>
      </c>
      <c r="BM627" s="115" t="b">
        <f t="shared" ca="1" si="560"/>
        <v>1</v>
      </c>
      <c r="BN627" s="115" t="b">
        <f ca="1">AND(OR(C627="赤日轮1",C627="赤日轮2",C627="赤日轮3",C627="幽月轮1",C627="幽月轮2",C627="幽月轮3"),AB627=1,模拟模式!$L$7="明光恒照")</f>
        <v>0</v>
      </c>
      <c r="BO627" s="117">
        <f t="shared" ca="1" si="561"/>
        <v>23.542500000000004</v>
      </c>
      <c r="BP627" s="115">
        <f t="shared" ca="1" si="578"/>
        <v>6</v>
      </c>
      <c r="BQ627" s="115" t="b">
        <f>模拟模式!$K$10="2600·水"</f>
        <v>0</v>
      </c>
      <c r="BR627" s="117">
        <f t="shared" si="579"/>
        <v>0</v>
      </c>
      <c r="BS627" s="115">
        <f t="shared" si="580"/>
        <v>0</v>
      </c>
      <c r="BT627" s="115">
        <f t="shared" ca="1" si="581"/>
        <v>0</v>
      </c>
      <c r="BU627" s="115" t="b">
        <f ca="1">AND(模拟模式!$K$10="2300·雷",BT626=0,RAND()&lt;IF(C627="净世破魔击·月",5*0.05*2/3,IF(C627="净世破魔击·日",3*0.05*2/3,0.05*2*2/3)))</f>
        <v>0</v>
      </c>
      <c r="BV627" s="115">
        <f t="shared" ca="1" si="582"/>
        <v>0</v>
      </c>
      <c r="BW627" s="115">
        <f t="shared" ca="1" si="583"/>
        <v>1.957499999999309</v>
      </c>
      <c r="BX627" s="164" t="b">
        <f t="shared" ca="1" si="584"/>
        <v>0</v>
      </c>
      <c r="BY627" s="115">
        <f t="shared" ca="1" si="585"/>
        <v>0</v>
      </c>
      <c r="BZ627" s="115">
        <f>IF(OR(模拟模式!$P$16="10人团",模拟模式!$P$16="25人团"),IF(B627/30&gt;CA626,1,0),0)</f>
        <v>0</v>
      </c>
      <c r="CA627" s="115">
        <f t="shared" si="562"/>
        <v>0</v>
      </c>
      <c r="CB627" s="115">
        <f ca="1">IF(BZ627=1,IF(模拟模式!$P$16="10人团",15,0)+IF(模拟模式!$P$16="25人团",IF(RAND()&lt;0.6,15,0)),MAX(0,CB626-$F$4))</f>
        <v>0</v>
      </c>
      <c r="CC627" s="115" t="b">
        <f t="shared" ca="1" si="563"/>
        <v>0</v>
      </c>
      <c r="CD627" s="115">
        <f>IF(模拟模式!$Q$16="1个",IF(B627/40&gt;CE626,1,0),0)</f>
        <v>0</v>
      </c>
      <c r="CE627" s="115">
        <f t="shared" si="564"/>
        <v>0</v>
      </c>
      <c r="CF627" s="115">
        <f>IF(OR(CD627=1,模拟模式!$Q$16="2个"),20,MAX(0,CF626-$F$4))</f>
        <v>0</v>
      </c>
      <c r="CG627" s="115" t="b">
        <f t="shared" si="565"/>
        <v>0</v>
      </c>
      <c r="CH627" s="115">
        <f t="shared" ca="1" si="586"/>
        <v>1.4025000000000118</v>
      </c>
      <c r="CI627" s="115" t="b">
        <f t="shared" ca="1" si="587"/>
        <v>0</v>
      </c>
      <c r="CJ627" s="119">
        <f t="shared" ca="1" si="588"/>
        <v>0</v>
      </c>
      <c r="CK627" s="115">
        <f t="shared" ca="1" si="589"/>
        <v>0</v>
      </c>
      <c r="CL627" s="115" t="b">
        <f ca="1">AND(模拟模式!$S$7="驱夷逐法",OR(AND(C627="净世破魔击·月",E626&gt;59),AND(C627="净世破魔击·日",F626&gt;59)))</f>
        <v>0</v>
      </c>
      <c r="CM627" s="115" t="b">
        <f ca="1">OR(CL627,AND(C627="净世破魔击·日",CL626,RAND()&lt;模拟模式!$U$23))</f>
        <v>0</v>
      </c>
      <c r="CN627" s="115" t="b">
        <f ca="1">IF(模拟模式!$M$7="辉耀红尘",AND(C627="净世破魔击·月",CL627,CV627=0,E626&lt;80),AND(C627="净世破魔击·月",CL627,E626&lt;100))</f>
        <v>0</v>
      </c>
      <c r="CO627" s="115" t="b">
        <f t="shared" ca="1" si="566"/>
        <v>0</v>
      </c>
      <c r="CP627" s="115" t="b">
        <f ca="1">AND(模拟模式!$O$7="用晦而明",OR(C627="净世破魔击·日",C627="净世破魔击·月",C627="驱夜断愁"),AB627)</f>
        <v>1</v>
      </c>
      <c r="CQ627" s="115" t="b">
        <f ca="1">OR(CP627,AND(CP626,RAND()&lt;模拟模式!$U$23))</f>
        <v>1</v>
      </c>
      <c r="CR627" s="115" t="b">
        <f ca="1">AND(模拟模式!$S$7="日月齐光",OR(C627="幽月轮1",C627="幽月轮2",C627="幽月轮3",CR626),NOT(OR(C627="赤日轮1",C627="赤日轮2",C627="赤日轮3")))</f>
        <v>0</v>
      </c>
      <c r="CS627" s="115" t="b">
        <f ca="1">AND(模拟模式!$S$7="日月齐光",OR(C627="赤日轮1",C627="赤日轮2",C627="赤日轮3",CS626),NOT(OR(C627="幽月轮1",C627="幽月轮2",C627="幽月轮3")))</f>
        <v>0</v>
      </c>
      <c r="CT627" s="115">
        <f t="shared" ca="1" si="590"/>
        <v>25.387500000000003</v>
      </c>
      <c r="CU627" s="115" t="b">
        <f ca="1">AND(模拟模式!$K$10="阴阳往极",CT626=0,RAND()&lt;IF(C627="净世破魔击·月",0.0275*7/3,IF(C627="净世破魔击·日",0.0275*3/3,0.0275*2/3)))</f>
        <v>0</v>
      </c>
      <c r="CV627" s="115">
        <f t="shared" ca="1" si="591"/>
        <v>0</v>
      </c>
      <c r="CW627" s="115">
        <f t="shared" ca="1" si="592"/>
        <v>0</v>
      </c>
      <c r="CX627" s="115">
        <f t="shared" ca="1" si="593"/>
        <v>0.46499999999999975</v>
      </c>
      <c r="CY627" s="115">
        <f ca="1">MAX(IF($C627="驱夜断愁",IF(模拟模式!$R$7="万念俱寂",6,45),CY626-$F$4),0)</f>
        <v>1.3874999999999997</v>
      </c>
      <c r="CZ627" s="115">
        <f t="shared" ca="1" si="567"/>
        <v>0</v>
      </c>
      <c r="DA627" s="115">
        <f ca="1">IF(模拟模式!$N$7="日月同辉",IF(DB626=2,0,MIN(6,IF(AND(OR(C627="赤日轮1",C627="赤日轮2",C627="赤日轮3",C627="幽月轮1",C627="幽月轮2",C627="幽月轮3"),AB627=1),DA626+1,DA626))),0)</f>
        <v>0</v>
      </c>
      <c r="DB627" s="115">
        <f t="shared" ca="1" si="568"/>
        <v>0</v>
      </c>
      <c r="DC627" s="115"/>
      <c r="DD627" s="115"/>
      <c r="DE627" s="115"/>
      <c r="DF627" s="115"/>
      <c r="DG627" s="115"/>
      <c r="DH627" s="115"/>
      <c r="DI627" s="115"/>
      <c r="DJ627" s="115"/>
      <c r="DK627" s="115"/>
      <c r="DL627" s="115"/>
      <c r="DM627" s="115"/>
    </row>
    <row r="628" spans="2:117" x14ac:dyDescent="0.2">
      <c r="B628" s="117">
        <f t="shared" si="569"/>
        <v>554.42250000000615</v>
      </c>
      <c r="C628" s="167" t="str">
        <f t="shared" ca="1" si="538"/>
        <v>净世破魔击·月</v>
      </c>
      <c r="D628" s="115">
        <f ca="1">IF(C628="赤日轮1",1,IF(C628="赤日轮2",2,IF(C628="赤日轮3",3,IF(C628="幽月轮1",4,IF(C628="幽月轮2",5,IF(C628="幽月轮3",6,IF(C628="烈日斩",7,IF(C628="银月斩",8,IF(C628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628="净世破魔击·月",17,IF(C628="驱夜断愁",18,0)))))))))))</f>
        <v>17</v>
      </c>
      <c r="E628" s="115">
        <f ca="1">IF(AND(CU628,OR(C628="幽月轮1",C628="幽月轮2",C628="幽月轮3",C628="银月斩",C628="驱夜断愁",C628="净世破魔击·月")),100,MIN(IF(OR(CN628,BE628),0,IF(OR($C628="赤日轮1",$C628="赤日轮2",$C628="赤日轮3"),E627+20+IF(模拟模式!$I$7="日月凌天",4,0)+IF(CR627,20,0),IF($C628="烈日斩",E627+40,IF($C628="驱夜断愁",IF(模拟模式!$R$7="万念俱寂",E627+20,E627+60),IF($C628="净世破魔击·月",IF(OR(DB627&gt;0,CV627&gt;0),100,IF(模拟模式!$M$7="辉耀红尘",E627+20,E627)),IF($C628="净世破魔击·日",E627-100,E627)))))),100))</f>
        <v>20</v>
      </c>
      <c r="F628" s="115">
        <f ca="1">IF(AND(CU628,OR(C628="赤日轮1",C628="赤日轮2",C628="赤日轮3",C628="烈日斩",C628="净世破魔击·日")),100,MIN(IF(CO628,0,IF(OR($C628="幽月轮1",$C628="幽月轮2",$C628="幽月轮3"),F627+20+IF(模拟模式!$I$7="日月凌天",4,0)+IF(CS627,20,0),IF($C628="银月斩",F627+40+IF(模拟模式!$X$12=1,5,0),IF($C628="驱夜断愁",IF(模拟模式!$R$7="万念俱寂",F627+20,F627+60),IF($C628="净世破魔击·月",IF(模拟模式!$M$7="辉耀红尘",F627-80,F627-100),IF(AND(C628="净世破魔击·日",OR(DB627&gt;0,CV627&gt;0)),100,F627)))))),100))</f>
        <v>20</v>
      </c>
      <c r="G628" s="117">
        <f ca="1">('模拟-全程加成'!$E$3+'模拟-全程加成'!$E$4+'模拟-全程加成'!$E$5+('模拟-全程加成'!$C$6-'模拟-全程加成'!$C$3)*系数!$B$9+BS628*23)*(1+'模拟-全程加成'!$F$4+'模拟-全程加成'!$F$5+BJ628*10%+BM628*20%+BP628*4%+CG628*30%)+$F$7*系数!$B$12</f>
        <v>20583.127400000001</v>
      </c>
      <c r="H628" s="45">
        <f ca="1">'模拟-全程加成'!$H$3+'模拟-全程加成'!$H$4+'模拟-全程加成'!$H$5+('模拟-全程加成'!$G$4+'模拟-全程加成'!$G$5+('模拟-全程加成'!$C$6-'模拟-全程加成'!$C$3)*系数!$B$13)/系数!$B$3+LOOKUP(D628,'模拟-单技能数据'!$A$2:$A$19,'模拟-单技能数据'!$K$2:$K$19)+BG628*10%+IF(BV628&gt;0,378,0)</f>
        <v>0.54185145527300216</v>
      </c>
      <c r="I628" s="45">
        <f ca="1">'模拟-全程加成'!$J$3+'模拟-全程加成'!$J$4+'模拟-全程加成'!$J$5+('模拟-全程加成'!$I$4+'模拟-全程加成'!$I$5)/系数!$B$4+LOOKUP(D628,'模拟-单技能数据'!$A$2:$A$19,'模拟-单技能数据'!$L$2:$L$19)+BG628*10%</f>
        <v>2.162482885499879</v>
      </c>
      <c r="J628" s="45">
        <f ca="1">(('模拟-全程加成'!$K$3+'模拟-全程加成'!$K$4+'模拟-全程加成'!$K$5+('模拟-全程加成'!$C$6-'模拟-全程加成'!$C$3)*系数!$B$10+IF(BV628&gt;0,882,0)+IF(BY628&gt;0,1831,0))*(1+'模拟-全程加成'!$L$4+'模拟-全程加成'!$L$5+CC628*20%))/系数!$B$5</f>
        <v>0.69723220422048726</v>
      </c>
      <c r="K628" s="119">
        <f ca="1">LOOKUP(D628,'模拟-单技能数据'!$A$2:$A$19,'模拟-单技能数据'!$J$2:$J$19)+IF(CM628,60%,0)+IF(DB627-DB628&gt;0,30%,0)+IF(OR(AND(OR(C628="赤日轮1",C628="赤日轮2",C628="赤日轮3"),CR628),AND(OR(C628="幽月轮1",C628="幽月轮2",C628="幽月轮3"),CS628)),35%,0)+CJ628</f>
        <v>0.2</v>
      </c>
      <c r="L628" s="119">
        <f ca="1">IF(AND(C628="烈日斩",模拟模式!$X$11=1),10%,0)+IF(AND(C628="驱夜断愁",AB628=1),30%,0)</f>
        <v>0</v>
      </c>
      <c r="M628" s="45">
        <f t="shared" ca="1" si="539"/>
        <v>0.54185145527300216</v>
      </c>
      <c r="N628" s="45">
        <f t="shared" ca="1" si="540"/>
        <v>0.40424854472699789</v>
      </c>
      <c r="O628" s="46">
        <f t="shared" ca="1" si="570"/>
        <v>0.93855372525580805</v>
      </c>
      <c r="P628" s="46" t="str">
        <f t="shared" ca="1" si="541"/>
        <v>命</v>
      </c>
      <c r="Q628" s="45">
        <f t="shared" ca="1" si="542"/>
        <v>1</v>
      </c>
      <c r="R628" s="117">
        <f ca="1">模拟模式!$E$20*(1-IF(模拟模式!$J$19="有",0.15,0))*(1-IF(模拟模式!$K$19="有",0.3,0)-IF(CQ628,0.5,0))</f>
        <v>843.02999999999975</v>
      </c>
      <c r="S628" s="45">
        <f ca="1">R628/(R628+(185*模拟模式!$E$22-16800)*4.08224)</f>
        <v>8.389626085980037E-2</v>
      </c>
      <c r="T628" s="45" t="str">
        <f ca="1">LOOKUP(D628,'模拟-单技能数据'!$A$2:$A$19,'模拟-单技能数据'!$H$2:$H$19)</f>
        <v>阴</v>
      </c>
      <c r="U628" s="119">
        <f t="shared" ca="1" si="543"/>
        <v>0.08</v>
      </c>
      <c r="V628" s="47">
        <f ca="1">(1+L628)*(LOOKUP(D628,'模拟-单技能数据'!$A$2:$A$19,'模拟-单技能数据'!$D$2:$D$19)+G628*LOOKUP(D628,'模拟-单技能数据'!$A$2:$A$19,'模拟-单技能数据'!$F$2:$F$19))*(1+J628)*(1+K628)*(1-S628)*(1+U628)*Q628*LOOKUP(D628,'模拟-单技能数据'!$A$2:$A$19,'模拟-单技能数据'!$I$2:$I$20)</f>
        <v>53909.747705502974</v>
      </c>
      <c r="W628" s="47">
        <f ca="1">LOOKUP(D628,'模拟-单技能数据'!$A$2:$A$19,'模拟-单技能数据'!$G$2:$G$19)*$I$10</f>
        <v>361.51064354704795</v>
      </c>
      <c r="X628" s="47">
        <f t="shared" ca="1" si="571"/>
        <v>16858.386290731236</v>
      </c>
      <c r="Y628" s="47">
        <f t="shared" ca="1" si="544"/>
        <v>71129.644639781269</v>
      </c>
      <c r="Z628" s="49">
        <f t="shared" ca="1" si="545"/>
        <v>62894054.721728869</v>
      </c>
      <c r="AA628" s="97">
        <f t="shared" ca="1" si="546"/>
        <v>113440.66072666274</v>
      </c>
      <c r="AB628" s="115">
        <f ca="1">IF(OR(C628="赤日轮1",C628="赤日轮2",C628="赤日轮3"),IF(RAND()&lt;模拟模式!$Y$17,1,0),IF(OR(C628="幽月轮1",C628="幽月轮2",C628="幽月轮3"),IF(RAND()&lt;模拟模式!$Y$18,1,0),IF(C628="烈日斩",IF(RAND()&lt;模拟模式!$Y$19,1,0),IF(C628="银月斩",IF(RAND()&lt;模拟模式!$Y$20,1,0),IF(C628="驱夜断愁",IF(RAND()&lt;模拟模式!$Y$21,1,0),IF(C628="净世破魔击·日",IF(RAND()&lt;模拟模式!$Y$22,1,0),IF(C628="净世破魔击·月",IF(RAND()&lt;模拟模式!$Y$23,1,0),0)))))))</f>
        <v>1</v>
      </c>
      <c r="AC628" s="115" t="b">
        <f t="shared" ca="1" si="547"/>
        <v>0</v>
      </c>
      <c r="AD628" s="115" t="b">
        <f t="shared" ca="1" si="548"/>
        <v>1</v>
      </c>
      <c r="AE628" s="115">
        <f t="shared" ca="1" si="549"/>
        <v>2</v>
      </c>
      <c r="AF628" s="47">
        <f ca="1">IF(AC628,('模拟-单技能数据'!$D$20+G628*'模拟-单技能数据'!$F$20)*(1+J628)*(1+'模拟-单技能数据'!$J$20)*(1+U628),0)</f>
        <v>0</v>
      </c>
      <c r="AG628" s="61">
        <f t="shared" ca="1" si="550"/>
        <v>0.64185145527300214</v>
      </c>
      <c r="AH628" s="61">
        <f t="shared" ca="1" si="551"/>
        <v>2.2624828854998791</v>
      </c>
      <c r="AI628" s="62">
        <f t="shared" ca="1" si="572"/>
        <v>0.57612497526718698</v>
      </c>
      <c r="AJ628" s="47">
        <f ca="1">IF(AD628,IF(AI628&lt;$F$10,0,IF(AI628&lt;$F$10+$F$11,0.25,IF(AI628&lt;$F$10+$F$11+AG628,AH628,1)))*IF(AF628&gt;0,AF628,IF(AF627&gt;0,AF627,IF(AF626&gt;0,AF626,IF(AF625&gt;0,AF625,IF(AF624&gt;0,AF624,IF(AF623&gt;0,AF623,IF(AF622&gt;0,AF622,IF(AF621&gt;0,AF621,IF(AF620&gt;0,AF620,IF(AF618&gt;0,AF618,IF(AF617&gt;0,AF617,IF(AF616&gt;0,AF616,0)))))))))))),0)*(1-$S628)*'模拟-单技能数据'!$I$20</f>
        <v>9218.9345386263849</v>
      </c>
      <c r="AK628" s="115" t="b">
        <f t="shared" ca="1" si="552"/>
        <v>0</v>
      </c>
      <c r="AL628" s="115" t="b">
        <f t="shared" ca="1" si="553"/>
        <v>0</v>
      </c>
      <c r="AM628" s="115">
        <f t="shared" ca="1" si="554"/>
        <v>5</v>
      </c>
      <c r="AN628" s="47">
        <f ca="1">IF(AK628,('模拟-单技能数据'!$D$21+G628*'模拟-单技能数据'!$F$21)*(1+J628)*(1+'模拟-单技能数据'!$J$21)*(1+U628),0)</f>
        <v>0</v>
      </c>
      <c r="AO628" s="61">
        <f ca="1">IF(AN628&gt;0,M628-'模拟-单技能数据'!$K$10,AO627)</f>
        <v>0.42185145527300216</v>
      </c>
      <c r="AP628" s="61">
        <f ca="1">IF(AN628&gt;0,I628-'模拟-单技能数据'!$L$10,AP627)</f>
        <v>2.162482885499879</v>
      </c>
      <c r="AQ628" s="63">
        <f t="shared" ca="1" si="573"/>
        <v>0.88299073731602584</v>
      </c>
      <c r="AR628" s="64">
        <f ca="1">IF(AL628,IF(AQ628&lt;$F$10,0,IF(AQ628&lt;$F$10+$F$11,0.25,IF(AQ628&lt;$F$10+$F$11+AO628,AP628,1)))*IF(AN628&gt;0,AN628,IF(AN627&gt;0,AN627,IF(AN626&gt;0,AN626,IF(AN625&gt;0,AN625,IF(AN624&gt;0,AN624,IF(AN623&gt;0,AN623,IF(AN622&gt;0,AN622,IF(AN621&gt;0,AN621,IF(AN620&gt;0,AN620,IF(AN618&gt;0,AN618,IF(AN617&gt;0,AN617,IF(AN616&gt;0,AN616,0)))))))))))),0)*(1-$S628)*'模拟-单技能数据'!$I$21</f>
        <v>0</v>
      </c>
      <c r="AS628" s="61">
        <f ca="1">IF(OR(C628="净世破魔击·日",C628="净世破魔击·月"),M628-'模拟-单技能数据'!$K$10,0)</f>
        <v>0.42185145527300216</v>
      </c>
      <c r="AT628" s="61">
        <f ca="1">IF(OR(C628="净世破魔击·日",C628="净世破魔击·月"),I628-'模拟-单技能数据'!$L$10,0)</f>
        <v>2.162482885499879</v>
      </c>
      <c r="AU628" s="62">
        <f t="shared" ca="1" si="574"/>
        <v>0.86944339068794285</v>
      </c>
      <c r="AV628" s="64">
        <f ca="1">IF(AS628&gt;0,('模拟-单技能数据'!$D$22+G628*'模拟-单技能数据'!$F$22)*(1+J628)*(1-S628)*IF(AU628&lt;$F$10,0,IF(AU628&lt;$F$10+$F$11,0.25,IF(AU628&lt;$F$10+$F$11+AS628,AT628,1)))*(1+U628),0)*'模拟-单技能数据'!$I$22</f>
        <v>7639.4517521048492</v>
      </c>
      <c r="AW628" s="108">
        <f t="shared" ca="1" si="575"/>
        <v>9.8525000000000063</v>
      </c>
      <c r="AX628" s="108" t="b">
        <f ca="1">AND(模拟模式!$P$10="有",AW627=0,RAND()&lt;IF(C628="净世破魔击·月",0.1*8/3,IF(C628="净世破魔击·日",0.1*4/3,0.1*2/3)))</f>
        <v>0</v>
      </c>
      <c r="AY628" s="47">
        <f ca="1">IF(AX628,(18+G628*0.722)*(1+J628)*(1-S628)*(1+$I$4)*IF(P628="会",'模拟-全程加成'!$J$3+'模拟-全程加成'!$J$4+'模拟-全程加成'!$J$5+('模拟-全程加成'!$I$4+'模拟-全程加成'!$I$5)/系数!$B$4+BG628*10%,IF(P628="命",1,IF(P628="识",0.25,0))),0)</f>
        <v>0</v>
      </c>
      <c r="AZ628" s="108">
        <f t="shared" si="576"/>
        <v>13.542500000000004</v>
      </c>
      <c r="BA628" s="108" t="b">
        <f>AND(模拟模式!$Q$10="有",AZ627=0)</f>
        <v>0</v>
      </c>
      <c r="BB628" s="140">
        <f>IF(BA628,(0+G628*0.287)*(1+J628)*(1-S628)*(1+$I$4)*IF(P628="会",'模拟-全程加成'!$J$3+'模拟-全程加成'!$J$4+'模拟-全程加成'!$J$5+('模拟-全程加成'!$I$4+'模拟-全程加成'!$I$5)/系数!$B$4+BG628*10%,IF(P628="命",1,IF(P628="识",0.25,0))),0)</f>
        <v>0</v>
      </c>
      <c r="BC628" s="115" t="b">
        <f ca="1">AND(模拟模式!$R$7="伏明众生",E628=60,F628=20,DA628&lt;5,CZ627&lt;$F$4)</f>
        <v>0</v>
      </c>
      <c r="BD628" s="115">
        <f t="shared" ca="1" si="555"/>
        <v>0</v>
      </c>
      <c r="BE628" s="115" t="b">
        <f t="shared" ca="1" si="556"/>
        <v>0</v>
      </c>
      <c r="BF628" s="47">
        <f ca="1">IF(BC628,4*('模拟-单技能数据'!$D$24+G628*'模拟-单技能数据'!$F$24)*(1+J628)*(1+'模拟-单技能数据'!$J$24)*(1-S628)*(1+$I$3)*(('模拟-全程加成'!$J$3+'模拟-全程加成'!$J$4+'模拟-全程加成'!$J$5+('模拟-全程加成'!$I$4+'模拟-全程加成'!$I$5)/系数!$B$4+BG628*10%)*('模拟-全程加成'!$J$3+'模拟-全程加成'!$J$4+'模拟-全程加成'!$J$5+('模拟-全程加成'!$I$4+'模拟-全程加成'!$I$5)/系数!$B$4+BG628*10%)+(1-('模拟-全程加成'!$J$3+'模拟-全程加成'!$J$4+'模拟-全程加成'!$J$5+('模拟-全程加成'!$I$4+'模拟-全程加成'!$I$5)/系数!$B$4+BG628*10%)-$F$10-$F$11)+F614*0.25),0)*'模拟-单技能数据'!$I$24</f>
        <v>0</v>
      </c>
      <c r="BG628" s="115" t="b">
        <f ca="1">OR(AND(OR(C628="烈日斩",C628="银月斩"),模拟模式!$I$7="净身明礼"),AND(C628="净世破魔击·日",模拟模式!$J$7="洞若观火"),AND(C629="净世破魔击·月",模拟模式!$J$7="洞若观火"),AB628=1)</f>
        <v>1</v>
      </c>
      <c r="BH628" s="115" t="b">
        <f t="shared" ca="1" si="577"/>
        <v>0</v>
      </c>
      <c r="BI628" s="115">
        <f t="shared" ca="1" si="557"/>
        <v>0</v>
      </c>
      <c r="BJ628" s="115" t="b">
        <f t="shared" ca="1" si="558"/>
        <v>0</v>
      </c>
      <c r="BK628" s="115" t="b">
        <f ca="1">AND(C628="驱夜断愁",模拟模式!$P$7="天地诛戮")</f>
        <v>0</v>
      </c>
      <c r="BL628" s="57">
        <f t="shared" ca="1" si="559"/>
        <v>14.465000000000003</v>
      </c>
      <c r="BM628" s="115" t="b">
        <f t="shared" ca="1" si="560"/>
        <v>1</v>
      </c>
      <c r="BN628" s="115" t="b">
        <f ca="1">AND(OR(C628="赤日轮1",C628="赤日轮2",C628="赤日轮3",C628="幽月轮1",C628="幽月轮2",C628="幽月轮3"),AB628=1,模拟模式!$L$7="明光恒照")</f>
        <v>0</v>
      </c>
      <c r="BO628" s="117">
        <f t="shared" ca="1" si="561"/>
        <v>22.620000000000005</v>
      </c>
      <c r="BP628" s="115">
        <f t="shared" ca="1" si="578"/>
        <v>6</v>
      </c>
      <c r="BQ628" s="115" t="b">
        <f>模拟模式!$K$10="2600·水"</f>
        <v>0</v>
      </c>
      <c r="BR628" s="117">
        <f t="shared" si="579"/>
        <v>0</v>
      </c>
      <c r="BS628" s="115">
        <f t="shared" si="580"/>
        <v>0</v>
      </c>
      <c r="BT628" s="115">
        <f t="shared" ca="1" si="581"/>
        <v>0</v>
      </c>
      <c r="BU628" s="115" t="b">
        <f ca="1">AND(模拟模式!$K$10="2300·雷",BT627=0,RAND()&lt;IF(C628="净世破魔击·月",5*0.05*2/3,IF(C628="净世破魔击·日",3*0.05*2/3,0.05*2*2/3)))</f>
        <v>0</v>
      </c>
      <c r="BV628" s="115">
        <f t="shared" ca="1" si="582"/>
        <v>0</v>
      </c>
      <c r="BW628" s="115">
        <f t="shared" ca="1" si="583"/>
        <v>1.0349999999993091</v>
      </c>
      <c r="BX628" s="164" t="b">
        <f t="shared" ca="1" si="584"/>
        <v>0</v>
      </c>
      <c r="BY628" s="115">
        <f t="shared" ca="1" si="585"/>
        <v>0</v>
      </c>
      <c r="BZ628" s="115">
        <f>IF(OR(模拟模式!$P$16="10人团",模拟模式!$P$16="25人团"),IF(B628/30&gt;CA627,1,0),0)</f>
        <v>0</v>
      </c>
      <c r="CA628" s="115">
        <f t="shared" si="562"/>
        <v>0</v>
      </c>
      <c r="CB628" s="115">
        <f ca="1">IF(BZ628=1,IF(模拟模式!$P$16="10人团",15,0)+IF(模拟模式!$P$16="25人团",IF(RAND()&lt;0.6,15,0)),MAX(0,CB627-$F$4))</f>
        <v>0</v>
      </c>
      <c r="CC628" s="115" t="b">
        <f t="shared" ca="1" si="563"/>
        <v>0</v>
      </c>
      <c r="CD628" s="115">
        <f>IF(模拟模式!$Q$16="1个",IF(B628/40&gt;CE627,1,0),0)</f>
        <v>0</v>
      </c>
      <c r="CE628" s="115">
        <f t="shared" si="564"/>
        <v>0</v>
      </c>
      <c r="CF628" s="115">
        <f>IF(OR(CD628=1,模拟模式!$Q$16="2个"),20,MAX(0,CF627-$F$4))</f>
        <v>0</v>
      </c>
      <c r="CG628" s="115" t="b">
        <f t="shared" si="565"/>
        <v>0</v>
      </c>
      <c r="CH628" s="115">
        <f t="shared" ca="1" si="586"/>
        <v>0.48000000000001186</v>
      </c>
      <c r="CI628" s="115" t="b">
        <f t="shared" ca="1" si="587"/>
        <v>0</v>
      </c>
      <c r="CJ628" s="119">
        <f t="shared" ca="1" si="588"/>
        <v>0</v>
      </c>
      <c r="CK628" s="115">
        <f t="shared" ca="1" si="589"/>
        <v>0</v>
      </c>
      <c r="CL628" s="115" t="b">
        <f ca="1">AND(模拟模式!$S$7="驱夷逐法",OR(AND(C628="净世破魔击·月",E627&gt;59),AND(C628="净世破魔击·日",F627&gt;59)))</f>
        <v>0</v>
      </c>
      <c r="CM628" s="115" t="b">
        <f ca="1">OR(CL628,AND(C628="净世破魔击·日",CL627,RAND()&lt;模拟模式!$U$23))</f>
        <v>0</v>
      </c>
      <c r="CN628" s="115" t="b">
        <f ca="1">IF(模拟模式!$M$7="辉耀红尘",AND(C628="净世破魔击·月",CL628,CV628=0,E627&lt;80),AND(C628="净世破魔击·月",CL628,E627&lt;100))</f>
        <v>0</v>
      </c>
      <c r="CO628" s="115" t="b">
        <f t="shared" ca="1" si="566"/>
        <v>0</v>
      </c>
      <c r="CP628" s="115" t="b">
        <f ca="1">AND(模拟模式!$O$7="用晦而明",OR(C628="净世破魔击·日",C628="净世破魔击·月",C628="驱夜断愁"),AB628)</f>
        <v>1</v>
      </c>
      <c r="CQ628" s="115" t="b">
        <f ca="1">OR(CP628,AND(CP627,RAND()&lt;模拟模式!$U$23))</f>
        <v>1</v>
      </c>
      <c r="CR628" s="115" t="b">
        <f ca="1">AND(模拟模式!$S$7="日月齐光",OR(C628="幽月轮1",C628="幽月轮2",C628="幽月轮3",CR627),NOT(OR(C628="赤日轮1",C628="赤日轮2",C628="赤日轮3")))</f>
        <v>0</v>
      </c>
      <c r="CS628" s="115" t="b">
        <f ca="1">AND(模拟模式!$S$7="日月齐光",OR(C628="赤日轮1",C628="赤日轮2",C628="赤日轮3",CS627),NOT(OR(C628="幽月轮1",C628="幽月轮2",C628="幽月轮3")))</f>
        <v>0</v>
      </c>
      <c r="CT628" s="115">
        <f t="shared" ca="1" si="590"/>
        <v>24.465000000000003</v>
      </c>
      <c r="CU628" s="115" t="b">
        <f ca="1">AND(模拟模式!$K$10="阴阳往极",CT627=0,RAND()&lt;IF(C628="净世破魔击·月",0.0275*7/3,IF(C628="净世破魔击·日",0.0275*3/3,0.0275*2/3)))</f>
        <v>0</v>
      </c>
      <c r="CV628" s="115">
        <f t="shared" ca="1" si="591"/>
        <v>0</v>
      </c>
      <c r="CW628" s="115">
        <f t="shared" ca="1" si="592"/>
        <v>0</v>
      </c>
      <c r="CX628" s="115">
        <f t="shared" ca="1" si="593"/>
        <v>0</v>
      </c>
      <c r="CY628" s="115">
        <f ca="1">MAX(IF($C628="驱夜断愁",IF(模拟模式!$R$7="万念俱寂",6,45),CY627-$F$4),0)</f>
        <v>0.46499999999999975</v>
      </c>
      <c r="CZ628" s="115">
        <f t="shared" ca="1" si="567"/>
        <v>0</v>
      </c>
      <c r="DA628" s="115">
        <f ca="1">IF(模拟模式!$N$7="日月同辉",IF(DB627=2,0,MIN(6,IF(AND(OR(C628="赤日轮1",C628="赤日轮2",C628="赤日轮3",C628="幽月轮1",C628="幽月轮2",C628="幽月轮3"),AB628=1),DA627+1,DA627))),0)</f>
        <v>0</v>
      </c>
      <c r="DB628" s="115">
        <f t="shared" ca="1" si="568"/>
        <v>0</v>
      </c>
      <c r="DC628" s="115"/>
      <c r="DD628" s="115"/>
      <c r="DE628" s="115"/>
      <c r="DF628" s="115"/>
      <c r="DG628" s="115"/>
      <c r="DH628" s="115"/>
      <c r="DI628" s="115"/>
      <c r="DJ628" s="115"/>
      <c r="DK628" s="115"/>
      <c r="DL628" s="115"/>
      <c r="DM628" s="115"/>
    </row>
    <row r="629" spans="2:117" x14ac:dyDescent="0.2">
      <c r="B629" s="117">
        <f t="shared" si="569"/>
        <v>555.34500000000617</v>
      </c>
      <c r="C629" s="167" t="str">
        <f t="shared" ca="1" si="538"/>
        <v>银月斩</v>
      </c>
      <c r="D629" s="115">
        <f ca="1">IF(C629="赤日轮1",1,IF(C629="赤日轮2",2,IF(C629="赤日轮3",3,IF(C629="幽月轮1",4,IF(C629="幽月轮2",5,IF(C629="幽月轮3",6,IF(C629="烈日斩",7,IF(C629="银月斩",8,IF(C629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629="净世破魔击·月",17,IF(C629="驱夜断愁",18,0)))))))))))</f>
        <v>8</v>
      </c>
      <c r="E629" s="115">
        <f ca="1">IF(AND(CU629,OR(C629="幽月轮1",C629="幽月轮2",C629="幽月轮3",C629="银月斩",C629="驱夜断愁",C629="净世破魔击·月")),100,MIN(IF(OR(CN629,BE629),0,IF(OR($C629="赤日轮1",$C629="赤日轮2",$C629="赤日轮3"),E628+20+IF(模拟模式!$I$7="日月凌天",4,0)+IF(CR628,20,0),IF($C629="烈日斩",E628+40,IF($C629="驱夜断愁",IF(模拟模式!$R$7="万念俱寂",E628+20,E628+60),IF($C629="净世破魔击·月",IF(OR(DB628&gt;0,CV628&gt;0),100,IF(模拟模式!$M$7="辉耀红尘",E628+20,E628)),IF($C629="净世破魔击·日",E628-100,E628)))))),100))</f>
        <v>20</v>
      </c>
      <c r="F629" s="115">
        <f ca="1">IF(AND(CU629,OR(C629="赤日轮1",C629="赤日轮2",C629="赤日轮3",C629="烈日斩",C629="净世破魔击·日")),100,MIN(IF(CO629,0,IF(OR($C629="幽月轮1",$C629="幽月轮2",$C629="幽月轮3"),F628+20+IF(模拟模式!$I$7="日月凌天",4,0)+IF(CS628,20,0),IF($C629="银月斩",F628+40+IF(模拟模式!$X$12=1,5,0),IF($C629="驱夜断愁",IF(模拟模式!$R$7="万念俱寂",F628+20,F628+60),IF($C629="净世破魔击·月",IF(模拟模式!$M$7="辉耀红尘",F628-80,F628-100),IF(AND(C629="净世破魔击·日",OR(DB628&gt;0,CV628&gt;0)),100,F628)))))),100))</f>
        <v>65</v>
      </c>
      <c r="G629" s="117">
        <f ca="1">('模拟-全程加成'!$E$3+'模拟-全程加成'!$E$4+'模拟-全程加成'!$E$5+('模拟-全程加成'!$C$6-'模拟-全程加成'!$C$3)*系数!$B$9+BS629*23)*(1+'模拟-全程加成'!$F$4+'模拟-全程加成'!$F$5+BJ629*10%+BM629*20%+BP629*4%+CG629*30%)+$F$7*系数!$B$12</f>
        <v>20583.127400000001</v>
      </c>
      <c r="H629" s="45">
        <f ca="1">'模拟-全程加成'!$H$3+'模拟-全程加成'!$H$4+'模拟-全程加成'!$H$5+('模拟-全程加成'!$G$4+'模拟-全程加成'!$G$5+('模拟-全程加成'!$C$6-'模拟-全程加成'!$C$3)*系数!$B$13)/系数!$B$3+LOOKUP(D629,'模拟-单技能数据'!$A$2:$A$19,'模拟-单技能数据'!$K$2:$K$19)+BG629*10%+IF(BV629&gt;0,378,0)</f>
        <v>0.64185145527300214</v>
      </c>
      <c r="I629" s="45">
        <f ca="1">'模拟-全程加成'!$J$3+'模拟-全程加成'!$J$4+'模拟-全程加成'!$J$5+('模拟-全程加成'!$I$4+'模拟-全程加成'!$I$5)/系数!$B$4+LOOKUP(D629,'模拟-单技能数据'!$A$2:$A$19,'模拟-单技能数据'!$L$2:$L$19)+BG629*10%</f>
        <v>2.2624828854998791</v>
      </c>
      <c r="J629" s="45">
        <f ca="1">(('模拟-全程加成'!$K$3+'模拟-全程加成'!$K$4+'模拟-全程加成'!$K$5+('模拟-全程加成'!$C$6-'模拟-全程加成'!$C$3)*系数!$B$10+IF(BV629&gt;0,882,0)+IF(BY629&gt;0,1831,0))*(1+'模拟-全程加成'!$L$4+'模拟-全程加成'!$L$5+CC629*20%))/系数!$B$5</f>
        <v>0.69723220422048726</v>
      </c>
      <c r="K629" s="119">
        <f ca="1">LOOKUP(D629,'模拟-单技能数据'!$A$2:$A$19,'模拟-单技能数据'!$J$2:$J$19)+IF(CM629,60%,0)+IF(DB628-DB629&gt;0,30%,0)+IF(OR(AND(OR(C629="赤日轮1",C629="赤日轮2",C629="赤日轮3"),CR629),AND(OR(C629="幽月轮1",C629="幽月轮2",C629="幽月轮3"),CS629)),35%,0)+CJ629</f>
        <v>0.15</v>
      </c>
      <c r="L629" s="119">
        <f ca="1">IF(AND(C629="烈日斩",模拟模式!$X$11=1),10%,0)+IF(AND(C629="驱夜断愁",AB629=1),30%,0)</f>
        <v>0</v>
      </c>
      <c r="M629" s="45">
        <f t="shared" ca="1" si="539"/>
        <v>0.64185145527300214</v>
      </c>
      <c r="N629" s="45">
        <f t="shared" ca="1" si="540"/>
        <v>0.30424854472699792</v>
      </c>
      <c r="O629" s="46">
        <f t="shared" ca="1" si="570"/>
        <v>0.9011466580718932</v>
      </c>
      <c r="P629" s="46" t="str">
        <f t="shared" ca="1" si="541"/>
        <v>命</v>
      </c>
      <c r="Q629" s="45">
        <f t="shared" ca="1" si="542"/>
        <v>1</v>
      </c>
      <c r="R629" s="117">
        <f ca="1">模拟模式!$E$20*(1-IF(模拟模式!$J$19="有",0.15,0))*(1-IF(模拟模式!$K$19="有",0.3,0)-IF(CQ629,0.5,0))</f>
        <v>843.02999999999975</v>
      </c>
      <c r="S629" s="45">
        <f ca="1">R629/(R629+(185*模拟模式!$E$22-16800)*4.08224)</f>
        <v>8.389626085980037E-2</v>
      </c>
      <c r="T629" s="45" t="str">
        <f ca="1">LOOKUP(D629,'模拟-单技能数据'!$A$2:$A$19,'模拟-单技能数据'!$H$2:$H$19)</f>
        <v>阴</v>
      </c>
      <c r="U629" s="119">
        <f t="shared" ca="1" si="543"/>
        <v>0.08</v>
      </c>
      <c r="V629" s="47">
        <f ca="1">(1+L629)*(LOOKUP(D629,'模拟-单技能数据'!$A$2:$A$19,'模拟-单技能数据'!$D$2:$D$19)+G629*LOOKUP(D629,'模拟-单技能数据'!$A$2:$A$19,'模拟-单技能数据'!$F$2:$F$19))*(1+J629)*(1+K629)*(1-S629)*(1+U629)*Q629*LOOKUP(D629,'模拟-单技能数据'!$A$2:$A$19,'模拟-单技能数据'!$I$2:$I$20)</f>
        <v>21110.500523497569</v>
      </c>
      <c r="W629" s="47">
        <f ca="1">LOOKUP(D629,'模拟-单技能数据'!$A$2:$A$19,'模拟-单技能数据'!$G$2:$G$19)*$I$10</f>
        <v>361.51064354704795</v>
      </c>
      <c r="X629" s="47">
        <f t="shared" ca="1" si="571"/>
        <v>11118.353508757338</v>
      </c>
      <c r="Y629" s="47">
        <f t="shared" ca="1" si="544"/>
        <v>32590.364675801953</v>
      </c>
      <c r="Z629" s="49">
        <f t="shared" ca="1" si="545"/>
        <v>62926645.086404674</v>
      </c>
      <c r="AA629" s="97">
        <f t="shared" ca="1" si="546"/>
        <v>113310.90598889695</v>
      </c>
      <c r="AB629" s="115">
        <f ca="1">IF(OR(C629="赤日轮1",C629="赤日轮2",C629="赤日轮3"),IF(RAND()&lt;模拟模式!$Y$17,1,0),IF(OR(C629="幽月轮1",C629="幽月轮2",C629="幽月轮3"),IF(RAND()&lt;模拟模式!$Y$18,1,0),IF(C629="烈日斩",IF(RAND()&lt;模拟模式!$Y$19,1,0),IF(C629="银月斩",IF(RAND()&lt;模拟模式!$Y$20,1,0),IF(C629="驱夜断愁",IF(RAND()&lt;模拟模式!$Y$21,1,0),IF(C629="净世破魔击·日",IF(RAND()&lt;模拟模式!$Y$22,1,0),IF(C629="净世破魔击·月",IF(RAND()&lt;模拟模式!$Y$23,1,0),0)))))))</f>
        <v>1</v>
      </c>
      <c r="AC629" s="115" t="b">
        <f t="shared" ca="1" si="547"/>
        <v>1</v>
      </c>
      <c r="AD629" s="115" t="b">
        <f t="shared" ca="1" si="548"/>
        <v>0</v>
      </c>
      <c r="AE629" s="115">
        <f t="shared" ca="1" si="549"/>
        <v>6</v>
      </c>
      <c r="AF629" s="47">
        <f ca="1">IF(AC629,('模拟-单技能数据'!$D$20+G629*'模拟-单技能数据'!$F$20)*(1+J629)*(1+'模拟-单技能数据'!$J$20)*(1+U629),0)</f>
        <v>4447.8565560098323</v>
      </c>
      <c r="AG629" s="61">
        <f t="shared" ca="1" si="550"/>
        <v>0.64185145527300214</v>
      </c>
      <c r="AH629" s="61">
        <f t="shared" ca="1" si="551"/>
        <v>2.2624828854998791</v>
      </c>
      <c r="AI629" s="62">
        <f t="shared" ca="1" si="572"/>
        <v>0.72996806584354235</v>
      </c>
      <c r="AJ629" s="47">
        <f ca="1">IF(AD629,IF(AI629&lt;$F$10,0,IF(AI629&lt;$F$10+$F$11,0.25,IF(AI629&lt;$F$10+$F$11+AG629,AH629,1)))*IF(AF629&gt;0,AF629,IF(AF628&gt;0,AF628,IF(AF627&gt;0,AF627,IF(AF626&gt;0,AF626,IF(AF625&gt;0,AF625,IF(AF624&gt;0,AF624,IF(AF623&gt;0,AF623,IF(AF622&gt;0,AF622,IF(AF621&gt;0,AF621,IF(AF619&gt;0,AF619,IF(AF618&gt;0,AF618,IF(AF617&gt;0,AF617,0)))))))))))),0)*(1-$S629)*'模拟-单技能数据'!$I$20</f>
        <v>0</v>
      </c>
      <c r="AK629" s="115" t="b">
        <f t="shared" ca="1" si="552"/>
        <v>0</v>
      </c>
      <c r="AL629" s="115" t="b">
        <f t="shared" ca="1" si="553"/>
        <v>1</v>
      </c>
      <c r="AM629" s="115">
        <f t="shared" ca="1" si="554"/>
        <v>4</v>
      </c>
      <c r="AN629" s="47">
        <f ca="1">IF(AK629,('模拟-单技能数据'!$D$21+G629*'模拟-单技能数据'!$F$21)*(1+J629)*(1+'模拟-单技能数据'!$J$21)*(1+U629),0)</f>
        <v>0</v>
      </c>
      <c r="AO629" s="61">
        <f ca="1">IF(AN629&gt;0,M629-'模拟-单技能数据'!$K$10,AO628)</f>
        <v>0.42185145527300216</v>
      </c>
      <c r="AP629" s="61">
        <f ca="1">IF(AN629&gt;0,I629-'模拟-单技能数据'!$L$10,AP628)</f>
        <v>2.162482885499879</v>
      </c>
      <c r="AQ629" s="63">
        <f t="shared" ca="1" si="573"/>
        <v>0.73780217884917232</v>
      </c>
      <c r="AR629" s="64">
        <f ca="1">IF(AL629,IF(AQ629&lt;$F$10,0,IF(AQ629&lt;$F$10+$F$11,0.25,IF(AQ629&lt;$F$10+$F$11+AO629,AP629,1)))*IF(AN629&gt;0,AN629,IF(AN628&gt;0,AN628,IF(AN627&gt;0,AN627,IF(AN626&gt;0,AN626,IF(AN625&gt;0,AN625,IF(AN624&gt;0,AN624,IF(AN623&gt;0,AN623,IF(AN622&gt;0,AN622,IF(AN621&gt;0,AN621,IF(AN619&gt;0,AN619,IF(AN618&gt;0,AN618,IF(AN617&gt;0,AN617,0)))))))))))),0)*(1-$S629)*'模拟-单技能数据'!$I$21</f>
        <v>11118.353508757338</v>
      </c>
      <c r="AS629" s="61">
        <f ca="1">IF(OR(C629="净世破魔击·日",C629="净世破魔击·月"),M629-'模拟-单技能数据'!$K$10,0)</f>
        <v>0</v>
      </c>
      <c r="AT629" s="61">
        <f ca="1">IF(OR(C629="净世破魔击·日",C629="净世破魔击·月"),I629-'模拟-单技能数据'!$L$10,0)</f>
        <v>0</v>
      </c>
      <c r="AU629" s="62">
        <f t="shared" ca="1" si="574"/>
        <v>0.81804017047032762</v>
      </c>
      <c r="AV629" s="64">
        <f ca="1">IF(AS629&gt;0,('模拟-单技能数据'!$D$22+G629*'模拟-单技能数据'!$F$22)*(1+J629)*(1-S629)*IF(AU629&lt;$F$10,0,IF(AU629&lt;$F$10+$F$11,0.25,IF(AU629&lt;$F$10+$F$11+AS629,AT629,1)))*(1+U629),0)*'模拟-单技能数据'!$I$22</f>
        <v>0</v>
      </c>
      <c r="AW629" s="108">
        <f t="shared" ca="1" si="575"/>
        <v>8.9300000000000068</v>
      </c>
      <c r="AX629" s="108" t="b">
        <f ca="1">AND(模拟模式!$P$10="有",AW628=0,RAND()&lt;IF(C629="净世破魔击·月",0.1*8/3,IF(C629="净世破魔击·日",0.1*4/3,0.1*2/3)))</f>
        <v>0</v>
      </c>
      <c r="AY629" s="47">
        <f ca="1">IF(AX629,(18+G629*0.722)*(1+J629)*(1-S629)*(1+$I$4)*IF(P629="会",'模拟-全程加成'!$J$3+'模拟-全程加成'!$J$4+'模拟-全程加成'!$J$5+('模拟-全程加成'!$I$4+'模拟-全程加成'!$I$5)/系数!$B$4+BG629*10%,IF(P629="命",1,IF(P629="识",0.25,0))),0)</f>
        <v>0</v>
      </c>
      <c r="AZ629" s="108">
        <f t="shared" si="576"/>
        <v>12.620000000000005</v>
      </c>
      <c r="BA629" s="108" t="b">
        <f>AND(模拟模式!$Q$10="有",AZ628=0)</f>
        <v>0</v>
      </c>
      <c r="BB629" s="140">
        <f>IF(BA629,(0+G629*0.287)*(1+J629)*(1-S629)*(1+$I$4)*IF(P629="会",'模拟-全程加成'!$J$3+'模拟-全程加成'!$J$4+'模拟-全程加成'!$J$5+('模拟-全程加成'!$I$4+'模拟-全程加成'!$I$5)/系数!$B$4+BG629*10%,IF(P629="命",1,IF(P629="识",0.25,0))),0)</f>
        <v>0</v>
      </c>
      <c r="BC629" s="115" t="b">
        <f ca="1">AND(模拟模式!$R$7="伏明众生",E629=60,F629=20,DA629&lt;5,CZ628&lt;$F$4)</f>
        <v>0</v>
      </c>
      <c r="BD629" s="115">
        <f t="shared" ca="1" si="555"/>
        <v>0</v>
      </c>
      <c r="BE629" s="115" t="b">
        <f t="shared" ca="1" si="556"/>
        <v>0</v>
      </c>
      <c r="BF629" s="47">
        <f ca="1">IF(BC629,4*('模拟-单技能数据'!$D$24+G629*'模拟-单技能数据'!$F$24)*(1+J629)*(1+'模拟-单技能数据'!$J$24)*(1-S629)*(1+$I$3)*(('模拟-全程加成'!$J$3+'模拟-全程加成'!$J$4+'模拟-全程加成'!$J$5+('模拟-全程加成'!$I$4+'模拟-全程加成'!$I$5)/系数!$B$4+BG629*10%)*('模拟-全程加成'!$J$3+'模拟-全程加成'!$J$4+'模拟-全程加成'!$J$5+('模拟-全程加成'!$I$4+'模拟-全程加成'!$I$5)/系数!$B$4+BG629*10%)+(1-('模拟-全程加成'!$J$3+'模拟-全程加成'!$J$4+'模拟-全程加成'!$J$5+('模拟-全程加成'!$I$4+'模拟-全程加成'!$I$5)/系数!$B$4+BG629*10%)-$F$10-$F$11)+F615*0.25),0)*'模拟-单技能数据'!$I$24</f>
        <v>0</v>
      </c>
      <c r="BG629" s="115" t="b">
        <f ca="1">OR(AND(OR(C629="烈日斩",C629="银月斩"),模拟模式!$I$7="净身明礼"),AND(C629="净世破魔击·日",模拟模式!$J$7="洞若观火"),AND(C630="净世破魔击·月",模拟模式!$J$7="洞若观火"),AB629=1)</f>
        <v>1</v>
      </c>
      <c r="BH629" s="115" t="b">
        <f t="shared" ca="1" si="577"/>
        <v>0</v>
      </c>
      <c r="BI629" s="115">
        <f t="shared" ca="1" si="557"/>
        <v>0</v>
      </c>
      <c r="BJ629" s="115" t="b">
        <f t="shared" ca="1" si="558"/>
        <v>0</v>
      </c>
      <c r="BK629" s="115" t="b">
        <f ca="1">AND(C629="驱夜断愁",模拟模式!$P$7="天地诛戮")</f>
        <v>0</v>
      </c>
      <c r="BL629" s="57">
        <f t="shared" ca="1" si="559"/>
        <v>13.542500000000004</v>
      </c>
      <c r="BM629" s="115" t="b">
        <f t="shared" ca="1" si="560"/>
        <v>1</v>
      </c>
      <c r="BN629" s="115" t="b">
        <f ca="1">AND(OR(C629="赤日轮1",C629="赤日轮2",C629="赤日轮3",C629="幽月轮1",C629="幽月轮2",C629="幽月轮3"),AB629=1,模拟模式!$L$7="明光恒照")</f>
        <v>0</v>
      </c>
      <c r="BO629" s="117">
        <f t="shared" ca="1" si="561"/>
        <v>21.697500000000005</v>
      </c>
      <c r="BP629" s="115">
        <f t="shared" ca="1" si="578"/>
        <v>6</v>
      </c>
      <c r="BQ629" s="115" t="b">
        <f>模拟模式!$K$10="2600·水"</f>
        <v>0</v>
      </c>
      <c r="BR629" s="117">
        <f t="shared" si="579"/>
        <v>0</v>
      </c>
      <c r="BS629" s="115">
        <f t="shared" si="580"/>
        <v>0</v>
      </c>
      <c r="BT629" s="115">
        <f t="shared" ca="1" si="581"/>
        <v>0</v>
      </c>
      <c r="BU629" s="115" t="b">
        <f ca="1">AND(模拟模式!$K$10="2300·雷",BT628=0,RAND()&lt;IF(C629="净世破魔击·月",5*0.05*2/3,IF(C629="净世破魔击·日",3*0.05*2/3,0.05*2*2/3)))</f>
        <v>0</v>
      </c>
      <c r="BV629" s="115">
        <f t="shared" ca="1" si="582"/>
        <v>0</v>
      </c>
      <c r="BW629" s="115">
        <f t="shared" ca="1" si="583"/>
        <v>0.11249999999930915</v>
      </c>
      <c r="BX629" s="164" t="b">
        <f t="shared" ca="1" si="584"/>
        <v>0</v>
      </c>
      <c r="BY629" s="115">
        <f t="shared" ca="1" si="585"/>
        <v>0</v>
      </c>
      <c r="BZ629" s="115">
        <f>IF(OR(模拟模式!$P$16="10人团",模拟模式!$P$16="25人团"),IF(B629/30&gt;CA628,1,0),0)</f>
        <v>0</v>
      </c>
      <c r="CA629" s="115">
        <f t="shared" si="562"/>
        <v>0</v>
      </c>
      <c r="CB629" s="115">
        <f ca="1">IF(BZ629=1,IF(模拟模式!$P$16="10人团",15,0)+IF(模拟模式!$P$16="25人团",IF(RAND()&lt;0.6,15,0)),MAX(0,CB628-$F$4))</f>
        <v>0</v>
      </c>
      <c r="CC629" s="115" t="b">
        <f t="shared" ca="1" si="563"/>
        <v>0</v>
      </c>
      <c r="CD629" s="115">
        <f>IF(模拟模式!$Q$16="1个",IF(B629/40&gt;CE628,1,0),0)</f>
        <v>0</v>
      </c>
      <c r="CE629" s="115">
        <f t="shared" si="564"/>
        <v>0</v>
      </c>
      <c r="CF629" s="115">
        <f>IF(OR(CD629=1,模拟模式!$Q$16="2个"),20,MAX(0,CF628-$F$4))</f>
        <v>0</v>
      </c>
      <c r="CG629" s="115" t="b">
        <f t="shared" si="565"/>
        <v>0</v>
      </c>
      <c r="CH629" s="115">
        <f t="shared" ca="1" si="586"/>
        <v>0</v>
      </c>
      <c r="CI629" s="115" t="b">
        <f t="shared" ca="1" si="587"/>
        <v>0</v>
      </c>
      <c r="CJ629" s="119">
        <f t="shared" ca="1" si="588"/>
        <v>0</v>
      </c>
      <c r="CK629" s="115">
        <f t="shared" ca="1" si="589"/>
        <v>0</v>
      </c>
      <c r="CL629" s="115" t="b">
        <f ca="1">AND(模拟模式!$S$7="驱夷逐法",OR(AND(C629="净世破魔击·月",E628&gt;59),AND(C629="净世破魔击·日",F628&gt;59)))</f>
        <v>0</v>
      </c>
      <c r="CM629" s="115" t="b">
        <f ca="1">OR(CL629,AND(C629="净世破魔击·日",CL628,RAND()&lt;模拟模式!$U$23))</f>
        <v>0</v>
      </c>
      <c r="CN629" s="115" t="b">
        <f ca="1">IF(模拟模式!$M$7="辉耀红尘",AND(C629="净世破魔击·月",CL629,CV629=0,E628&lt;80),AND(C629="净世破魔击·月",CL629,E628&lt;100))</f>
        <v>0</v>
      </c>
      <c r="CO629" s="115" t="b">
        <f t="shared" ca="1" si="566"/>
        <v>0</v>
      </c>
      <c r="CP629" s="115" t="b">
        <f ca="1">AND(模拟模式!$O$7="用晦而明",OR(C629="净世破魔击·日",C629="净世破魔击·月",C629="驱夜断愁"),AB629)</f>
        <v>0</v>
      </c>
      <c r="CQ629" s="115" t="b">
        <f ca="1">OR(CP629,AND(CP628,RAND()&lt;模拟模式!$U$23))</f>
        <v>1</v>
      </c>
      <c r="CR629" s="115" t="b">
        <f ca="1">AND(模拟模式!$S$7="日月齐光",OR(C629="幽月轮1",C629="幽月轮2",C629="幽月轮3",CR628),NOT(OR(C629="赤日轮1",C629="赤日轮2",C629="赤日轮3")))</f>
        <v>0</v>
      </c>
      <c r="CS629" s="115" t="b">
        <f ca="1">AND(模拟模式!$S$7="日月齐光",OR(C629="赤日轮1",C629="赤日轮2",C629="赤日轮3",CS628),NOT(OR(C629="幽月轮1",C629="幽月轮2",C629="幽月轮3")))</f>
        <v>0</v>
      </c>
      <c r="CT629" s="115">
        <f t="shared" ca="1" si="590"/>
        <v>23.542500000000004</v>
      </c>
      <c r="CU629" s="115" t="b">
        <f ca="1">AND(模拟模式!$K$10="阴阳往极",CT628=0,RAND()&lt;IF(C629="净世破魔击·月",0.0275*7/3,IF(C629="净世破魔击·日",0.0275*3/3,0.0275*2/3)))</f>
        <v>0</v>
      </c>
      <c r="CV629" s="115">
        <f t="shared" ca="1" si="591"/>
        <v>0</v>
      </c>
      <c r="CW629" s="115">
        <f t="shared" ca="1" si="592"/>
        <v>0</v>
      </c>
      <c r="CX629" s="115">
        <f t="shared" ca="1" si="593"/>
        <v>6</v>
      </c>
      <c r="CY629" s="115">
        <f ca="1">MAX(IF($C629="驱夜断愁",IF(模拟模式!$R$7="万念俱寂",6,45),CY628-$F$4),0)</f>
        <v>0</v>
      </c>
      <c r="CZ629" s="115">
        <f t="shared" ca="1" si="567"/>
        <v>0</v>
      </c>
      <c r="DA629" s="115">
        <f ca="1">IF(模拟模式!$N$7="日月同辉",IF(DB628=2,0,MIN(6,IF(AND(OR(C629="赤日轮1",C629="赤日轮2",C629="赤日轮3",C629="幽月轮1",C629="幽月轮2",C629="幽月轮3"),AB629=1),DA628+1,DA628))),0)</f>
        <v>0</v>
      </c>
      <c r="DB629" s="115">
        <f t="shared" ca="1" si="568"/>
        <v>0</v>
      </c>
      <c r="DC629" s="115"/>
      <c r="DD629" s="115"/>
      <c r="DE629" s="115"/>
      <c r="DF629" s="115"/>
      <c r="DG629" s="115"/>
      <c r="DH629" s="115"/>
      <c r="DI629" s="115"/>
      <c r="DJ629" s="115"/>
      <c r="DK629" s="115"/>
      <c r="DL629" s="115"/>
      <c r="DM629" s="115"/>
    </row>
    <row r="630" spans="2:117" x14ac:dyDescent="0.2">
      <c r="B630" s="117">
        <f t="shared" si="569"/>
        <v>556.26750000000618</v>
      </c>
      <c r="C630" s="167" t="str">
        <f t="shared" ca="1" si="538"/>
        <v>驱夜断愁</v>
      </c>
      <c r="D630" s="115">
        <f ca="1">IF(C630="赤日轮1",1,IF(C630="赤日轮2",2,IF(C630="赤日轮3",3,IF(C630="幽月轮1",4,IF(C630="幽月轮2",5,IF(C630="幽月轮3",6,IF(C630="烈日斩",7,IF(C630="银月斩",8,IF(C630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630="净世破魔击·月",17,IF(C630="驱夜断愁",18,0)))))))))))</f>
        <v>18</v>
      </c>
      <c r="E630" s="115">
        <f ca="1">IF(AND(CU630,OR(C630="幽月轮1",C630="幽月轮2",C630="幽月轮3",C630="银月斩",C630="驱夜断愁",C630="净世破魔击·月")),100,MIN(IF(OR(CN630,BE630),0,IF(OR($C630="赤日轮1",$C630="赤日轮2",$C630="赤日轮3"),E629+20+IF(模拟模式!$I$7="日月凌天",4,0)+IF(CR629,20,0),IF($C630="烈日斩",E629+40,IF($C630="驱夜断愁",IF(模拟模式!$R$7="万念俱寂",E629+20,E629+60),IF($C630="净世破魔击·月",IF(OR(DB629&gt;0,CV629&gt;0),100,IF(模拟模式!$M$7="辉耀红尘",E629+20,E629)),IF($C630="净世破魔击·日",E629-100,E629)))))),100))</f>
        <v>40</v>
      </c>
      <c r="F630" s="115">
        <f ca="1">IF(AND(CU630,OR(C630="赤日轮1",C630="赤日轮2",C630="赤日轮3",C630="烈日斩",C630="净世破魔击·日")),100,MIN(IF(CO630,0,IF(OR($C630="幽月轮1",$C630="幽月轮2",$C630="幽月轮3"),F629+20+IF(模拟模式!$I$7="日月凌天",4,0)+IF(CS629,20,0),IF($C630="银月斩",F629+40+IF(模拟模式!$X$12=1,5,0),IF($C630="驱夜断愁",IF(模拟模式!$R$7="万念俱寂",F629+20,F629+60),IF($C630="净世破魔击·月",IF(模拟模式!$M$7="辉耀红尘",F629-80,F629-100),IF(AND(C630="净世破魔击·日",OR(DB629&gt;0,CV629&gt;0)),100,F629)))))),100))</f>
        <v>85</v>
      </c>
      <c r="G630" s="117">
        <f ca="1">('模拟-全程加成'!$E$3+'模拟-全程加成'!$E$4+'模拟-全程加成'!$E$5+('模拟-全程加成'!$C$6-'模拟-全程加成'!$C$3)*系数!$B$9+BS630*23)*(1+'模拟-全程加成'!$F$4+'模拟-全程加成'!$F$5+BJ630*10%+BM630*20%+BP630*4%+CG630*30%)+$F$7*系数!$B$12</f>
        <v>20583.127400000001</v>
      </c>
      <c r="H630" s="45">
        <f ca="1">'模拟-全程加成'!$H$3+'模拟-全程加成'!$H$4+'模拟-全程加成'!$H$5+('模拟-全程加成'!$G$4+'模拟-全程加成'!$G$5+('模拟-全程加成'!$C$6-'模拟-全程加成'!$C$3)*系数!$B$13)/系数!$B$3+LOOKUP(D630,'模拟-单技能数据'!$A$2:$A$19,'模拟-单技能数据'!$K$2:$K$19)+BG630*10%+IF(BV630&gt;0,378,0)</f>
        <v>0.51185145527300213</v>
      </c>
      <c r="I630" s="45">
        <f ca="1">'模拟-全程加成'!$J$3+'模拟-全程加成'!$J$4+'模拟-全程加成'!$J$5+('模拟-全程加成'!$I$4+'模拟-全程加成'!$I$5)/系数!$B$4+LOOKUP(D630,'模拟-单技能数据'!$A$2:$A$19,'模拟-单技能数据'!$L$2:$L$19)+BG630*10%</f>
        <v>2.162482885499879</v>
      </c>
      <c r="J630" s="45">
        <f ca="1">(('模拟-全程加成'!$K$3+'模拟-全程加成'!$K$4+'模拟-全程加成'!$K$5+('模拟-全程加成'!$C$6-'模拟-全程加成'!$C$3)*系数!$B$10+IF(BV630&gt;0,882,0)+IF(BY630&gt;0,1831,0))*(1+'模拟-全程加成'!$L$4+'模拟-全程加成'!$L$5+CC630*20%))/系数!$B$5</f>
        <v>0.69723220422048726</v>
      </c>
      <c r="K630" s="119">
        <f ca="1">LOOKUP(D630,'模拟-单技能数据'!$A$2:$A$19,'模拟-单技能数据'!$J$2:$J$19)+IF(CM630,60%,0)+IF(DB629-DB630&gt;0,30%,0)+IF(OR(AND(OR(C630="赤日轮1",C630="赤日轮2",C630="赤日轮3"),CR630),AND(OR(C630="幽月轮1",C630="幽月轮2",C630="幽月轮3"),CS630)),35%,0)+CJ630</f>
        <v>0.14000000000000001</v>
      </c>
      <c r="L630" s="119">
        <f ca="1">IF(AND(C630="烈日斩",模拟模式!$X$11=1),10%,0)+IF(AND(C630="驱夜断愁",AB630=1),30%,0)</f>
        <v>0.3</v>
      </c>
      <c r="M630" s="45">
        <f t="shared" ca="1" si="539"/>
        <v>0.51185145527300213</v>
      </c>
      <c r="N630" s="45">
        <f t="shared" ca="1" si="540"/>
        <v>0.43424854472699792</v>
      </c>
      <c r="O630" s="46">
        <f t="shared" ca="1" si="570"/>
        <v>0.1887396654349669</v>
      </c>
      <c r="P630" s="46" t="str">
        <f t="shared" ca="1" si="541"/>
        <v>会</v>
      </c>
      <c r="Q630" s="45">
        <f t="shared" ca="1" si="542"/>
        <v>2.162482885499879</v>
      </c>
      <c r="R630" s="117">
        <f ca="1">模拟模式!$E$20*(1-IF(模拟模式!$J$19="有",0.15,0))*(1-IF(模拟模式!$K$19="有",0.3,0)-IF(CQ630,0.5,0))</f>
        <v>843.02999999999975</v>
      </c>
      <c r="S630" s="45">
        <f ca="1">R630/(R630+(185*模拟模式!$E$22-16800)*4.08224)</f>
        <v>8.389626085980037E-2</v>
      </c>
      <c r="T630" s="45" t="str">
        <f ca="1">LOOKUP(D630,'模拟-单技能数据'!$A$2:$A$19,'模拟-单技能数据'!$H$2:$H$19)</f>
        <v>阴</v>
      </c>
      <c r="U630" s="119">
        <f t="shared" ca="1" si="543"/>
        <v>0.08</v>
      </c>
      <c r="V630" s="47">
        <f ca="1">(1+L630)*(LOOKUP(D630,'模拟-单技能数据'!$A$2:$A$19,'模拟-单技能数据'!$D$2:$D$19)+G630*LOOKUP(D630,'模拟-单技能数据'!$A$2:$A$19,'模拟-单技能数据'!$F$2:$F$19))*(1+J630)*(1+K630)*(1-S630)*(1+U630)*Q630*LOOKUP(D630,'模拟-单技能数据'!$A$2:$A$19,'模拟-单技能数据'!$I$2:$I$20)</f>
        <v>127463.41908070058</v>
      </c>
      <c r="W630" s="47">
        <f ca="1">LOOKUP(D630,'模拟-单技能数据'!$A$2:$A$19,'模拟-单技能数据'!$G$2:$G$19)*$I$10</f>
        <v>723.0212870940959</v>
      </c>
      <c r="X630" s="47">
        <f t="shared" ca="1" si="571"/>
        <v>9218.9345386263849</v>
      </c>
      <c r="Y630" s="47">
        <f t="shared" ca="1" si="544"/>
        <v>137405.37490642106</v>
      </c>
      <c r="Z630" s="49">
        <f t="shared" ca="1" si="545"/>
        <v>63064050.461311094</v>
      </c>
      <c r="AA630" s="97">
        <f t="shared" ca="1" si="546"/>
        <v>113370.00716617526</v>
      </c>
      <c r="AB630" s="115">
        <f ca="1">IF(OR(C630="赤日轮1",C630="赤日轮2",C630="赤日轮3"),IF(RAND()&lt;模拟模式!$Y$17,1,0),IF(OR(C630="幽月轮1",C630="幽月轮2",C630="幽月轮3"),IF(RAND()&lt;模拟模式!$Y$18,1,0),IF(C630="烈日斩",IF(RAND()&lt;模拟模式!$Y$19,1,0),IF(C630="银月斩",IF(RAND()&lt;模拟模式!$Y$20,1,0),IF(C630="驱夜断愁",IF(RAND()&lt;模拟模式!$Y$21,1,0),IF(C630="净世破魔击·日",IF(RAND()&lt;模拟模式!$Y$22,1,0),IF(C630="净世破魔击·月",IF(RAND()&lt;模拟模式!$Y$23,1,0),0)))))))</f>
        <v>1</v>
      </c>
      <c r="AC630" s="115" t="b">
        <f t="shared" ca="1" si="547"/>
        <v>0</v>
      </c>
      <c r="AD630" s="115" t="b">
        <f t="shared" ca="1" si="548"/>
        <v>1</v>
      </c>
      <c r="AE630" s="115">
        <f t="shared" ca="1" si="549"/>
        <v>5</v>
      </c>
      <c r="AF630" s="47">
        <f ca="1">IF(AC630,('模拟-单技能数据'!$D$20+G630*'模拟-单技能数据'!$F$20)*(1+J630)*(1+'模拟-单技能数据'!$J$20)*(1+U630),0)</f>
        <v>0</v>
      </c>
      <c r="AG630" s="61">
        <f t="shared" ca="1" si="550"/>
        <v>0.64185145527300214</v>
      </c>
      <c r="AH630" s="61">
        <f t="shared" ca="1" si="551"/>
        <v>2.2624828854998791</v>
      </c>
      <c r="AI630" s="62">
        <f t="shared" ca="1" si="572"/>
        <v>0.2152111921583636</v>
      </c>
      <c r="AJ630" s="47">
        <f ca="1">IF(AD630,IF(AI630&lt;$F$10,0,IF(AI630&lt;$F$10+$F$11,0.25,IF(AI630&lt;$F$10+$F$11+AG630,AH630,1)))*IF(AF630&gt;0,AF630,IF(AF629&gt;0,AF629,IF(AF628&gt;0,AF628,IF(AF627&gt;0,AF627,IF(AF626&gt;0,AF626,IF(AF625&gt;0,AF625,IF(AF624&gt;0,AF624,IF(AF623&gt;0,AF623,IF(AF622&gt;0,AF622,IF(AF620&gt;0,AF620,IF(AF619&gt;0,AF619,IF(AF618&gt;0,AF618,0)))))))))))),0)*(1-$S630)*'模拟-单技能数据'!$I$20</f>
        <v>9218.9345386263849</v>
      </c>
      <c r="AK630" s="115" t="b">
        <f t="shared" ca="1" si="552"/>
        <v>0</v>
      </c>
      <c r="AL630" s="115" t="b">
        <f t="shared" ca="1" si="553"/>
        <v>0</v>
      </c>
      <c r="AM630" s="115">
        <f t="shared" ca="1" si="554"/>
        <v>4</v>
      </c>
      <c r="AN630" s="47">
        <f ca="1">IF(AK630,('模拟-单技能数据'!$D$21+G630*'模拟-单技能数据'!$F$21)*(1+J630)*(1+'模拟-单技能数据'!$J$21)*(1+U630),0)</f>
        <v>0</v>
      </c>
      <c r="AO630" s="61">
        <f ca="1">IF(AN630&gt;0,M630-'模拟-单技能数据'!$K$10,AO629)</f>
        <v>0.42185145527300216</v>
      </c>
      <c r="AP630" s="61">
        <f ca="1">IF(AN630&gt;0,I630-'模拟-单技能数据'!$L$10,AP629)</f>
        <v>2.162482885499879</v>
      </c>
      <c r="AQ630" s="63">
        <f t="shared" ca="1" si="573"/>
        <v>0.34288971815462665</v>
      </c>
      <c r="AR630" s="64">
        <f ca="1">IF(AL630,IF(AQ630&lt;$F$10,0,IF(AQ630&lt;$F$10+$F$11,0.25,IF(AQ630&lt;$F$10+$F$11+AO630,AP630,1)))*IF(AN630&gt;0,AN630,IF(AN629&gt;0,AN629,IF(AN628&gt;0,AN628,IF(AN627&gt;0,AN627,IF(AN626&gt;0,AN626,IF(AN625&gt;0,AN625,IF(AN624&gt;0,AN624,IF(AN623&gt;0,AN623,IF(AN622&gt;0,AN622,IF(AN620&gt;0,AN620,IF(AN619&gt;0,AN619,IF(AN618&gt;0,AN618,0)))))))))))),0)*(1-$S630)*'模拟-单技能数据'!$I$21</f>
        <v>0</v>
      </c>
      <c r="AS630" s="61">
        <f ca="1">IF(OR(C630="净世破魔击·日",C630="净世破魔击·月"),M630-'模拟-单技能数据'!$K$10,0)</f>
        <v>0</v>
      </c>
      <c r="AT630" s="61">
        <f ca="1">IF(OR(C630="净世破魔击·日",C630="净世破魔击·月"),I630-'模拟-单技能数据'!$L$10,0)</f>
        <v>0</v>
      </c>
      <c r="AU630" s="62">
        <f t="shared" ca="1" si="574"/>
        <v>0.3409770262662366</v>
      </c>
      <c r="AV630" s="64">
        <f ca="1">IF(AS630&gt;0,('模拟-单技能数据'!$D$22+G630*'模拟-单技能数据'!$F$22)*(1+J630)*(1-S630)*IF(AU630&lt;$F$10,0,IF(AU630&lt;$F$10+$F$11,0.25,IF(AU630&lt;$F$10+$F$11+AS630,AT630,1)))*(1+U630),0)*'模拟-单技能数据'!$I$22</f>
        <v>0</v>
      </c>
      <c r="AW630" s="108">
        <f t="shared" ca="1" si="575"/>
        <v>8.0075000000000074</v>
      </c>
      <c r="AX630" s="108" t="b">
        <f ca="1">AND(模拟模式!$P$10="有",AW629=0,RAND()&lt;IF(C630="净世破魔击·月",0.1*8/3,IF(C630="净世破魔击·日",0.1*4/3,0.1*2/3)))</f>
        <v>0</v>
      </c>
      <c r="AY630" s="47">
        <f ca="1">IF(AX630,(18+G630*0.722)*(1+J630)*(1-S630)*(1+$I$4)*IF(P630="会",'模拟-全程加成'!$J$3+'模拟-全程加成'!$J$4+'模拟-全程加成'!$J$5+('模拟-全程加成'!$I$4+'模拟-全程加成'!$I$5)/系数!$B$4+BG630*10%,IF(P630="命",1,IF(P630="识",0.25,0))),0)</f>
        <v>0</v>
      </c>
      <c r="AZ630" s="108">
        <f t="shared" si="576"/>
        <v>11.697500000000005</v>
      </c>
      <c r="BA630" s="108" t="b">
        <f>AND(模拟模式!$Q$10="有",AZ629=0)</f>
        <v>0</v>
      </c>
      <c r="BB630" s="140">
        <f>IF(BA630,(0+G630*0.287)*(1+J630)*(1-S630)*(1+$I$4)*IF(P630="会",'模拟-全程加成'!$J$3+'模拟-全程加成'!$J$4+'模拟-全程加成'!$J$5+('模拟-全程加成'!$I$4+'模拟-全程加成'!$I$5)/系数!$B$4+BG630*10%,IF(P630="命",1,IF(P630="识",0.25,0))),0)</f>
        <v>0</v>
      </c>
      <c r="BC630" s="115" t="b">
        <f ca="1">AND(模拟模式!$R$7="伏明众生",E630=60,F630=20,DA630&lt;5,CZ629&lt;$F$4)</f>
        <v>0</v>
      </c>
      <c r="BD630" s="115">
        <f t="shared" ca="1" si="555"/>
        <v>0</v>
      </c>
      <c r="BE630" s="115" t="b">
        <f t="shared" ca="1" si="556"/>
        <v>0</v>
      </c>
      <c r="BF630" s="47">
        <f ca="1">IF(BC630,4*('模拟-单技能数据'!$D$24+G630*'模拟-单技能数据'!$F$24)*(1+J630)*(1+'模拟-单技能数据'!$J$24)*(1-S630)*(1+$I$3)*(('模拟-全程加成'!$J$3+'模拟-全程加成'!$J$4+'模拟-全程加成'!$J$5+('模拟-全程加成'!$I$4+'模拟-全程加成'!$I$5)/系数!$B$4+BG630*10%)*('模拟-全程加成'!$J$3+'模拟-全程加成'!$J$4+'模拟-全程加成'!$J$5+('模拟-全程加成'!$I$4+'模拟-全程加成'!$I$5)/系数!$B$4+BG630*10%)+(1-('模拟-全程加成'!$J$3+'模拟-全程加成'!$J$4+'模拟-全程加成'!$J$5+('模拟-全程加成'!$I$4+'模拟-全程加成'!$I$5)/系数!$B$4+BG630*10%)-$F$10-$F$11)+F616*0.25),0)*'模拟-单技能数据'!$I$24</f>
        <v>0</v>
      </c>
      <c r="BG630" s="115" t="b">
        <f ca="1">OR(AND(OR(C630="烈日斩",C630="银月斩"),模拟模式!$I$7="净身明礼"),AND(C630="净世破魔击·日",模拟模式!$J$7="洞若观火"),AND(C631="净世破魔击·月",模拟模式!$J$7="洞若观火"),AB630=1)</f>
        <v>1</v>
      </c>
      <c r="BH630" s="115" t="b">
        <f t="shared" ca="1" si="577"/>
        <v>0</v>
      </c>
      <c r="BI630" s="115">
        <f t="shared" ca="1" si="557"/>
        <v>0</v>
      </c>
      <c r="BJ630" s="115" t="b">
        <f t="shared" ca="1" si="558"/>
        <v>0</v>
      </c>
      <c r="BK630" s="115" t="b">
        <f ca="1">AND(C630="驱夜断愁",模拟模式!$P$7="天地诛戮")</f>
        <v>1</v>
      </c>
      <c r="BL630" s="57">
        <f t="shared" ca="1" si="559"/>
        <v>20</v>
      </c>
      <c r="BM630" s="115" t="b">
        <f t="shared" ca="1" si="560"/>
        <v>1</v>
      </c>
      <c r="BN630" s="115" t="b">
        <f ca="1">AND(OR(C630="赤日轮1",C630="赤日轮2",C630="赤日轮3",C630="幽月轮1",C630="幽月轮2",C630="幽月轮3"),AB630=1,模拟模式!$L$7="明光恒照")</f>
        <v>0</v>
      </c>
      <c r="BO630" s="117">
        <f t="shared" ca="1" si="561"/>
        <v>20.775000000000006</v>
      </c>
      <c r="BP630" s="115">
        <f t="shared" ca="1" si="578"/>
        <v>6</v>
      </c>
      <c r="BQ630" s="115" t="b">
        <f>模拟模式!$K$10="2600·水"</f>
        <v>0</v>
      </c>
      <c r="BR630" s="117">
        <f t="shared" si="579"/>
        <v>0</v>
      </c>
      <c r="BS630" s="115">
        <f t="shared" si="580"/>
        <v>0</v>
      </c>
      <c r="BT630" s="115">
        <f t="shared" ca="1" si="581"/>
        <v>0</v>
      </c>
      <c r="BU630" s="115" t="b">
        <f ca="1">AND(模拟模式!$K$10="2300·雷",BT629=0,RAND()&lt;IF(C630="净世破魔击·月",5*0.05*2/3,IF(C630="净世破魔击·日",3*0.05*2/3,0.05*2*2/3)))</f>
        <v>0</v>
      </c>
      <c r="BV630" s="115">
        <f t="shared" ca="1" si="582"/>
        <v>0</v>
      </c>
      <c r="BW630" s="115">
        <f t="shared" ca="1" si="583"/>
        <v>0</v>
      </c>
      <c r="BX630" s="164" t="b">
        <f t="shared" ca="1" si="584"/>
        <v>0</v>
      </c>
      <c r="BY630" s="115">
        <f t="shared" ca="1" si="585"/>
        <v>0</v>
      </c>
      <c r="BZ630" s="115">
        <f>IF(OR(模拟模式!$P$16="10人团",模拟模式!$P$16="25人团"),IF(B630/30&gt;CA629,1,0),0)</f>
        <v>0</v>
      </c>
      <c r="CA630" s="115">
        <f t="shared" si="562"/>
        <v>0</v>
      </c>
      <c r="CB630" s="115">
        <f ca="1">IF(BZ630=1,IF(模拟模式!$P$16="10人团",15,0)+IF(模拟模式!$P$16="25人团",IF(RAND()&lt;0.6,15,0)),MAX(0,CB629-$F$4))</f>
        <v>0</v>
      </c>
      <c r="CC630" s="115" t="b">
        <f t="shared" ca="1" si="563"/>
        <v>0</v>
      </c>
      <c r="CD630" s="115">
        <f>IF(模拟模式!$Q$16="1个",IF(B630/40&gt;CE629,1,0),0)</f>
        <v>0</v>
      </c>
      <c r="CE630" s="115">
        <f t="shared" si="564"/>
        <v>0</v>
      </c>
      <c r="CF630" s="115">
        <f>IF(OR(CD630=1,模拟模式!$Q$16="2个"),20,MAX(0,CF629-$F$4))</f>
        <v>0</v>
      </c>
      <c r="CG630" s="115" t="b">
        <f t="shared" si="565"/>
        <v>0</v>
      </c>
      <c r="CH630" s="115">
        <f t="shared" ca="1" si="586"/>
        <v>0</v>
      </c>
      <c r="CI630" s="115" t="b">
        <f t="shared" ca="1" si="587"/>
        <v>0</v>
      </c>
      <c r="CJ630" s="119">
        <f t="shared" ca="1" si="588"/>
        <v>0</v>
      </c>
      <c r="CK630" s="115">
        <f t="shared" ca="1" si="589"/>
        <v>0</v>
      </c>
      <c r="CL630" s="115" t="b">
        <f ca="1">AND(模拟模式!$S$7="驱夷逐法",OR(AND(C630="净世破魔击·月",E629&gt;59),AND(C630="净世破魔击·日",F629&gt;59)))</f>
        <v>0</v>
      </c>
      <c r="CM630" s="115" t="b">
        <f ca="1">OR(CL630,AND(C630="净世破魔击·日",CL629,RAND()&lt;模拟模式!$U$23))</f>
        <v>0</v>
      </c>
      <c r="CN630" s="115" t="b">
        <f ca="1">IF(模拟模式!$M$7="辉耀红尘",AND(C630="净世破魔击·月",CL630,CV630=0,E629&lt;80),AND(C630="净世破魔击·月",CL630,E629&lt;100))</f>
        <v>0</v>
      </c>
      <c r="CO630" s="115" t="b">
        <f t="shared" ca="1" si="566"/>
        <v>0</v>
      </c>
      <c r="CP630" s="115" t="b">
        <f ca="1">AND(模拟模式!$O$7="用晦而明",OR(C630="净世破魔击·日",C630="净世破魔击·月",C630="驱夜断愁"),AB630)</f>
        <v>1</v>
      </c>
      <c r="CQ630" s="115" t="b">
        <f ca="1">OR(CP630,AND(CP629,RAND()&lt;模拟模式!$U$23))</f>
        <v>1</v>
      </c>
      <c r="CR630" s="115" t="b">
        <f ca="1">AND(模拟模式!$S$7="日月齐光",OR(C630="幽月轮1",C630="幽月轮2",C630="幽月轮3",CR629),NOT(OR(C630="赤日轮1",C630="赤日轮2",C630="赤日轮3")))</f>
        <v>0</v>
      </c>
      <c r="CS630" s="115" t="b">
        <f ca="1">AND(模拟模式!$S$7="日月齐光",OR(C630="赤日轮1",C630="赤日轮2",C630="赤日轮3",CS629),NOT(OR(C630="幽月轮1",C630="幽月轮2",C630="幽月轮3")))</f>
        <v>0</v>
      </c>
      <c r="CT630" s="115">
        <f t="shared" ca="1" si="590"/>
        <v>22.620000000000005</v>
      </c>
      <c r="CU630" s="115" t="b">
        <f ca="1">AND(模拟模式!$K$10="阴阳往极",CT629=0,RAND()&lt;IF(C630="净世破魔击·月",0.0275*7/3,IF(C630="净世破魔击·日",0.0275*3/3,0.0275*2/3)))</f>
        <v>0</v>
      </c>
      <c r="CV630" s="115">
        <f t="shared" ca="1" si="591"/>
        <v>0</v>
      </c>
      <c r="CW630" s="115">
        <f t="shared" ca="1" si="592"/>
        <v>0</v>
      </c>
      <c r="CX630" s="115">
        <f t="shared" ca="1" si="593"/>
        <v>5.0774999999999997</v>
      </c>
      <c r="CY630" s="115">
        <f ca="1">MAX(IF($C630="驱夜断愁",IF(模拟模式!$R$7="万念俱寂",6,45),CY629-$F$4),0)</f>
        <v>6</v>
      </c>
      <c r="CZ630" s="115">
        <f t="shared" ca="1" si="567"/>
        <v>0</v>
      </c>
      <c r="DA630" s="115">
        <f ca="1">IF(模拟模式!$N$7="日月同辉",IF(DB629=2,0,MIN(6,IF(AND(OR(C630="赤日轮1",C630="赤日轮2",C630="赤日轮3",C630="幽月轮1",C630="幽月轮2",C630="幽月轮3"),AB630=1),DA629+1,DA629))),0)</f>
        <v>0</v>
      </c>
      <c r="DB630" s="115">
        <f t="shared" ca="1" si="568"/>
        <v>0</v>
      </c>
      <c r="DC630" s="115"/>
      <c r="DD630" s="115"/>
      <c r="DE630" s="115"/>
      <c r="DF630" s="115"/>
      <c r="DG630" s="115"/>
      <c r="DH630" s="115"/>
      <c r="DI630" s="115"/>
      <c r="DJ630" s="115"/>
      <c r="DK630" s="115"/>
      <c r="DL630" s="115"/>
      <c r="DM630" s="115"/>
    </row>
    <row r="631" spans="2:117" x14ac:dyDescent="0.2">
      <c r="B631" s="117">
        <f t="shared" si="569"/>
        <v>557.19000000000619</v>
      </c>
      <c r="C631" s="167" t="str">
        <f t="shared" ca="1" si="538"/>
        <v>烈日斩</v>
      </c>
      <c r="D631" s="115">
        <f ca="1">IF(C631="赤日轮1",1,IF(C631="赤日轮2",2,IF(C631="赤日轮3",3,IF(C631="幽月轮1",4,IF(C631="幽月轮2",5,IF(C631="幽月轮3",6,IF(C631="烈日斩",7,IF(C631="银月斩",8,IF(C631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631="净世破魔击·月",17,IF(C631="驱夜断愁",18,0)))))))))))</f>
        <v>7</v>
      </c>
      <c r="E631" s="115">
        <f ca="1">IF(AND(CU631,OR(C631="幽月轮1",C631="幽月轮2",C631="幽月轮3",C631="银月斩",C631="驱夜断愁",C631="净世破魔击·月")),100,MIN(IF(OR(CN631,BE631),0,IF(OR($C631="赤日轮1",$C631="赤日轮2",$C631="赤日轮3"),E630+20+IF(模拟模式!$I$7="日月凌天",4,0)+IF(CR630,20,0),IF($C631="烈日斩",E630+40,IF($C631="驱夜断愁",IF(模拟模式!$R$7="万念俱寂",E630+20,E630+60),IF($C631="净世破魔击·月",IF(OR(DB630&gt;0,CV630&gt;0),100,IF(模拟模式!$M$7="辉耀红尘",E630+20,E630)),IF($C631="净世破魔击·日",E630-100,E630)))))),100))</f>
        <v>80</v>
      </c>
      <c r="F631" s="115">
        <f ca="1">IF(AND(CU631,OR(C631="赤日轮1",C631="赤日轮2",C631="赤日轮3",C631="烈日斩",C631="净世破魔击·日")),100,MIN(IF(CO631,0,IF(OR($C631="幽月轮1",$C631="幽月轮2",$C631="幽月轮3"),F630+20+IF(模拟模式!$I$7="日月凌天",4,0)+IF(CS630,20,0),IF($C631="银月斩",F630+40+IF(模拟模式!$X$12=1,5,0),IF($C631="驱夜断愁",IF(模拟模式!$R$7="万念俱寂",F630+20,F630+60),IF($C631="净世破魔击·月",IF(模拟模式!$M$7="辉耀红尘",F630-80,F630-100),IF(AND(C631="净世破魔击·日",OR(DB630&gt;0,CV630&gt;0)),100,F630)))))),100))</f>
        <v>85</v>
      </c>
      <c r="G631" s="117">
        <f ca="1">('模拟-全程加成'!$E$3+'模拟-全程加成'!$E$4+'模拟-全程加成'!$E$5+('模拟-全程加成'!$C$6-'模拟-全程加成'!$C$3)*系数!$B$9+BS631*23)*(1+'模拟-全程加成'!$F$4+'模拟-全程加成'!$F$5+BJ631*10%+BM631*20%+BP631*4%+CG631*30%)+$F$7*系数!$B$12</f>
        <v>20583.127400000001</v>
      </c>
      <c r="H631" s="45">
        <f ca="1">'模拟-全程加成'!$H$3+'模拟-全程加成'!$H$4+'模拟-全程加成'!$H$5+('模拟-全程加成'!$G$4+'模拟-全程加成'!$G$5+('模拟-全程加成'!$C$6-'模拟-全程加成'!$C$3)*系数!$B$13)/系数!$B$3+LOOKUP(D631,'模拟-单技能数据'!$A$2:$A$19,'模拟-单技能数据'!$K$2:$K$19)+BG631*10%+IF(BV631&gt;0,378,0)</f>
        <v>0.56185145527300218</v>
      </c>
      <c r="I631" s="45">
        <f ca="1">'模拟-全程加成'!$J$3+'模拟-全程加成'!$J$4+'模拟-全程加成'!$J$5+('模拟-全程加成'!$I$4+'模拟-全程加成'!$I$5)/系数!$B$4+LOOKUP(D631,'模拟-单技能数据'!$A$2:$A$19,'模拟-单技能数据'!$L$2:$L$19)+BG631*10%</f>
        <v>2.2624828854998791</v>
      </c>
      <c r="J631" s="45">
        <f ca="1">(('模拟-全程加成'!$K$3+'模拟-全程加成'!$K$4+'模拟-全程加成'!$K$5+('模拟-全程加成'!$C$6-'模拟-全程加成'!$C$3)*系数!$B$10+IF(BV631&gt;0,882,0)+IF(BY631&gt;0,1831,0))*(1+'模拟-全程加成'!$L$4+'模拟-全程加成'!$L$5+CC631*20%))/系数!$B$5</f>
        <v>0.69723220422048726</v>
      </c>
      <c r="K631" s="119">
        <f ca="1">LOOKUP(D631,'模拟-单技能数据'!$A$2:$A$19,'模拟-单技能数据'!$J$2:$J$19)+IF(CM631,60%,0)+IF(DB630-DB631&gt;0,30%,0)+IF(OR(AND(OR(C631="赤日轮1",C631="赤日轮2",C631="赤日轮3"),CR631),AND(OR(C631="幽月轮1",C631="幽月轮2",C631="幽月轮3"),CS631)),35%,0)+CJ631</f>
        <v>0.24</v>
      </c>
      <c r="L631" s="119">
        <f ca="1">IF(AND(C631="烈日斩",模拟模式!$X$11=1),10%,0)+IF(AND(C631="驱夜断愁",AB631=1),30%,0)</f>
        <v>0.1</v>
      </c>
      <c r="M631" s="45">
        <f t="shared" ca="1" si="539"/>
        <v>0.56185145527300218</v>
      </c>
      <c r="N631" s="45">
        <f t="shared" ca="1" si="540"/>
        <v>0.38424854472699788</v>
      </c>
      <c r="O631" s="46">
        <f t="shared" ca="1" si="570"/>
        <v>0.60869332758540462</v>
      </c>
      <c r="P631" s="46" t="str">
        <f t="shared" ca="1" si="541"/>
        <v>会</v>
      </c>
      <c r="Q631" s="45">
        <f t="shared" ca="1" si="542"/>
        <v>2.2624828854998791</v>
      </c>
      <c r="R631" s="117">
        <f ca="1">模拟模式!$E$20*(1-IF(模拟模式!$J$19="有",0.15,0))*(1-IF(模拟模式!$K$19="有",0.3,0)-IF(CQ631,0.5,0))</f>
        <v>843.02999999999975</v>
      </c>
      <c r="S631" s="45">
        <f ca="1">R631/(R631+(185*模拟模式!$E$22-16800)*4.08224)</f>
        <v>8.389626085980037E-2</v>
      </c>
      <c r="T631" s="45" t="str">
        <f ca="1">LOOKUP(D631,'模拟-单技能数据'!$A$2:$A$19,'模拟-单技能数据'!$H$2:$H$19)</f>
        <v>阳</v>
      </c>
      <c r="U631" s="119">
        <f t="shared" ca="1" si="543"/>
        <v>0.2</v>
      </c>
      <c r="V631" s="47">
        <f ca="1">(1+L631)*(LOOKUP(D631,'模拟-单技能数据'!$A$2:$A$19,'模拟-单技能数据'!$D$2:$D$19)+G631*LOOKUP(D631,'模拟-单技能数据'!$A$2:$A$19,'模拟-单技能数据'!$F$2:$F$19))*(1+J631)*(1+K631)*(1-S631)*(1+U631)*Q631*LOOKUP(D631,'模拟-单技能数据'!$A$2:$A$19,'模拟-单技能数据'!$I$2:$I$20)</f>
        <v>105861.05199666526</v>
      </c>
      <c r="W631" s="47">
        <f ca="1">LOOKUP(D631,'模拟-单技能数据'!$A$2:$A$19,'模拟-单技能数据'!$G$2:$G$19)*$I$10</f>
        <v>361.51064354704795</v>
      </c>
      <c r="X631" s="47">
        <f t="shared" ca="1" si="571"/>
        <v>11118.353508757338</v>
      </c>
      <c r="Y631" s="47">
        <f t="shared" ca="1" si="544"/>
        <v>117340.91614896966</v>
      </c>
      <c r="Z631" s="49">
        <f t="shared" ca="1" si="545"/>
        <v>63181391.377460063</v>
      </c>
      <c r="AA631" s="97">
        <f t="shared" ca="1" si="546"/>
        <v>113392.90256009506</v>
      </c>
      <c r="AB631" s="115">
        <f ca="1">IF(OR(C631="赤日轮1",C631="赤日轮2",C631="赤日轮3"),IF(RAND()&lt;模拟模式!$Y$17,1,0),IF(OR(C631="幽月轮1",C631="幽月轮2",C631="幽月轮3"),IF(RAND()&lt;模拟模式!$Y$18,1,0),IF(C631="烈日斩",IF(RAND()&lt;模拟模式!$Y$19,1,0),IF(C631="银月斩",IF(RAND()&lt;模拟模式!$Y$20,1,0),IF(C631="驱夜断愁",IF(RAND()&lt;模拟模式!$Y$21,1,0),IF(C631="净世破魔击·日",IF(RAND()&lt;模拟模式!$Y$22,1,0),IF(C631="净世破魔击·月",IF(RAND()&lt;模拟模式!$Y$23,1,0),0)))))))</f>
        <v>1</v>
      </c>
      <c r="AC631" s="115" t="b">
        <f t="shared" ca="1" si="547"/>
        <v>0</v>
      </c>
      <c r="AD631" s="115" t="b">
        <f t="shared" ca="1" si="548"/>
        <v>0</v>
      </c>
      <c r="AE631" s="115">
        <f t="shared" ca="1" si="549"/>
        <v>5</v>
      </c>
      <c r="AF631" s="47">
        <f ca="1">IF(AC631,('模拟-单技能数据'!$D$20+G631*'模拟-单技能数据'!$F$20)*(1+J631)*(1+'模拟-单技能数据'!$J$20)*(1+U631),0)</f>
        <v>0</v>
      </c>
      <c r="AG631" s="61">
        <f t="shared" ca="1" si="550"/>
        <v>0.64185145527300214</v>
      </c>
      <c r="AH631" s="61">
        <f t="shared" ca="1" si="551"/>
        <v>2.2624828854998791</v>
      </c>
      <c r="AI631" s="62">
        <f t="shared" ca="1" si="572"/>
        <v>0.74884424246550718</v>
      </c>
      <c r="AJ631" s="47">
        <f ca="1">IF(AD631,IF(AI631&lt;$F$10,0,IF(AI631&lt;$F$10+$F$11,0.25,IF(AI631&lt;$F$10+$F$11+AG631,AH631,1)))*IF(AF631&gt;0,AF631,IF(AF630&gt;0,AF630,IF(AF629&gt;0,AF629,IF(AF628&gt;0,AF628,IF(AF627&gt;0,AF627,IF(AF626&gt;0,AF626,IF(AF625&gt;0,AF625,IF(AF624&gt;0,AF624,IF(AF623&gt;0,AF623,IF(AF621&gt;0,AF621,IF(AF620&gt;0,AF620,IF(AF619&gt;0,AF619,0)))))))))))),0)*(1-$S631)*'模拟-单技能数据'!$I$20</f>
        <v>0</v>
      </c>
      <c r="AK631" s="115" t="b">
        <f t="shared" ca="1" si="552"/>
        <v>0</v>
      </c>
      <c r="AL631" s="115" t="b">
        <f t="shared" ca="1" si="553"/>
        <v>1</v>
      </c>
      <c r="AM631" s="115">
        <f t="shared" ca="1" si="554"/>
        <v>3</v>
      </c>
      <c r="AN631" s="47">
        <f ca="1">IF(AK631,('模拟-单技能数据'!$D$21+G631*'模拟-单技能数据'!$F$21)*(1+J631)*(1+'模拟-单技能数据'!$J$21)*(1+U631),0)</f>
        <v>0</v>
      </c>
      <c r="AO631" s="61">
        <f ca="1">IF(AN631&gt;0,M631-'模拟-单技能数据'!$K$10,AO630)</f>
        <v>0.42185145527300216</v>
      </c>
      <c r="AP631" s="61">
        <f ca="1">IF(AN631&gt;0,I631-'模拟-单技能数据'!$L$10,AP630)</f>
        <v>2.162482885499879</v>
      </c>
      <c r="AQ631" s="63">
        <f t="shared" ca="1" si="573"/>
        <v>0.71630777470100226</v>
      </c>
      <c r="AR631" s="64">
        <f ca="1">IF(AL631,IF(AQ631&lt;$F$10,0,IF(AQ631&lt;$F$10+$F$11,0.25,IF(AQ631&lt;$F$10+$F$11+AO631,AP631,1)))*IF(AN631&gt;0,AN631,IF(AN630&gt;0,AN630,IF(AN629&gt;0,AN629,IF(AN628&gt;0,AN628,IF(AN627&gt;0,AN627,IF(AN626&gt;0,AN626,IF(AN625&gt;0,AN625,IF(AN624&gt;0,AN624,IF(AN623&gt;0,AN623,IF(AN621&gt;0,AN621,IF(AN620&gt;0,AN620,IF(AN619&gt;0,AN619,0)))))))))))),0)*(1-$S631)*'模拟-单技能数据'!$I$21</f>
        <v>11118.353508757338</v>
      </c>
      <c r="AS631" s="61">
        <f ca="1">IF(OR(C631="净世破魔击·日",C631="净世破魔击·月"),M631-'模拟-单技能数据'!$K$10,0)</f>
        <v>0</v>
      </c>
      <c r="AT631" s="61">
        <f ca="1">IF(OR(C631="净世破魔击·日",C631="净世破魔击·月"),I631-'模拟-单技能数据'!$L$10,0)</f>
        <v>0</v>
      </c>
      <c r="AU631" s="62">
        <f t="shared" ca="1" si="574"/>
        <v>0.66908897721423055</v>
      </c>
      <c r="AV631" s="64">
        <f ca="1">IF(AS631&gt;0,('模拟-单技能数据'!$D$22+G631*'模拟-单技能数据'!$F$22)*(1+J631)*(1-S631)*IF(AU631&lt;$F$10,0,IF(AU631&lt;$F$10+$F$11,0.25,IF(AU631&lt;$F$10+$F$11+AS631,AT631,1)))*(1+U631),0)*'模拟-单技能数据'!$I$22</f>
        <v>0</v>
      </c>
      <c r="AW631" s="108">
        <f t="shared" ca="1" si="575"/>
        <v>7.0850000000000071</v>
      </c>
      <c r="AX631" s="108" t="b">
        <f ca="1">AND(模拟模式!$P$10="有",AW630=0,RAND()&lt;IF(C631="净世破魔击·月",0.1*8/3,IF(C631="净世破魔击·日",0.1*4/3,0.1*2/3)))</f>
        <v>0</v>
      </c>
      <c r="AY631" s="47">
        <f ca="1">IF(AX631,(18+G631*0.722)*(1+J631)*(1-S631)*(1+$I$4)*IF(P631="会",'模拟-全程加成'!$J$3+'模拟-全程加成'!$J$4+'模拟-全程加成'!$J$5+('模拟-全程加成'!$I$4+'模拟-全程加成'!$I$5)/系数!$B$4+BG631*10%,IF(P631="命",1,IF(P631="识",0.25,0))),0)</f>
        <v>0</v>
      </c>
      <c r="AZ631" s="108">
        <f t="shared" si="576"/>
        <v>10.775000000000006</v>
      </c>
      <c r="BA631" s="108" t="b">
        <f>AND(模拟模式!$Q$10="有",AZ630=0)</f>
        <v>0</v>
      </c>
      <c r="BB631" s="140">
        <f>IF(BA631,(0+G631*0.287)*(1+J631)*(1-S631)*(1+$I$4)*IF(P631="会",'模拟-全程加成'!$J$3+'模拟-全程加成'!$J$4+'模拟-全程加成'!$J$5+('模拟-全程加成'!$I$4+'模拟-全程加成'!$I$5)/系数!$B$4+BG631*10%,IF(P631="命",1,IF(P631="识",0.25,0))),0)</f>
        <v>0</v>
      </c>
      <c r="BC631" s="115" t="b">
        <f ca="1">AND(模拟模式!$R$7="伏明众生",E631=60,F631=20,DA631&lt;5,CZ630&lt;$F$4)</f>
        <v>0</v>
      </c>
      <c r="BD631" s="115">
        <f t="shared" ca="1" si="555"/>
        <v>0</v>
      </c>
      <c r="BE631" s="115" t="b">
        <f t="shared" ca="1" si="556"/>
        <v>0</v>
      </c>
      <c r="BF631" s="47">
        <f ca="1">IF(BC631,4*('模拟-单技能数据'!$D$24+G631*'模拟-单技能数据'!$F$24)*(1+J631)*(1+'模拟-单技能数据'!$J$24)*(1-S631)*(1+$I$3)*(('模拟-全程加成'!$J$3+'模拟-全程加成'!$J$4+'模拟-全程加成'!$J$5+('模拟-全程加成'!$I$4+'模拟-全程加成'!$I$5)/系数!$B$4+BG631*10%)*('模拟-全程加成'!$J$3+'模拟-全程加成'!$J$4+'模拟-全程加成'!$J$5+('模拟-全程加成'!$I$4+'模拟-全程加成'!$I$5)/系数!$B$4+BG631*10%)+(1-('模拟-全程加成'!$J$3+'模拟-全程加成'!$J$4+'模拟-全程加成'!$J$5+('模拟-全程加成'!$I$4+'模拟-全程加成'!$I$5)/系数!$B$4+BG631*10%)-$F$10-$F$11)+F617*0.25),0)*'模拟-单技能数据'!$I$24</f>
        <v>0</v>
      </c>
      <c r="BG631" s="115" t="b">
        <f ca="1">OR(AND(OR(C631="烈日斩",C631="银月斩"),模拟模式!$I$7="净身明礼"),AND(C631="净世破魔击·日",模拟模式!$J$7="洞若观火"),AND(C632="净世破魔击·月",模拟模式!$J$7="洞若观火"),AB631=1)</f>
        <v>1</v>
      </c>
      <c r="BH631" s="115" t="b">
        <f t="shared" ca="1" si="577"/>
        <v>0</v>
      </c>
      <c r="BI631" s="115">
        <f t="shared" ca="1" si="557"/>
        <v>0</v>
      </c>
      <c r="BJ631" s="115" t="b">
        <f t="shared" ca="1" si="558"/>
        <v>0</v>
      </c>
      <c r="BK631" s="115" t="b">
        <f ca="1">AND(C631="驱夜断愁",模拟模式!$P$7="天地诛戮")</f>
        <v>0</v>
      </c>
      <c r="BL631" s="57">
        <f t="shared" ca="1" si="559"/>
        <v>19.077500000000001</v>
      </c>
      <c r="BM631" s="115" t="b">
        <f t="shared" ca="1" si="560"/>
        <v>1</v>
      </c>
      <c r="BN631" s="115" t="b">
        <f ca="1">AND(OR(C631="赤日轮1",C631="赤日轮2",C631="赤日轮3",C631="幽月轮1",C631="幽月轮2",C631="幽月轮3"),AB631=1,模拟模式!$L$7="明光恒照")</f>
        <v>0</v>
      </c>
      <c r="BO631" s="117">
        <f t="shared" ca="1" si="561"/>
        <v>19.852500000000006</v>
      </c>
      <c r="BP631" s="115">
        <f t="shared" ca="1" si="578"/>
        <v>6</v>
      </c>
      <c r="BQ631" s="115" t="b">
        <f>模拟模式!$K$10="2600·水"</f>
        <v>0</v>
      </c>
      <c r="BR631" s="117">
        <f t="shared" si="579"/>
        <v>0</v>
      </c>
      <c r="BS631" s="115">
        <f t="shared" si="580"/>
        <v>0</v>
      </c>
      <c r="BT631" s="115">
        <f t="shared" ca="1" si="581"/>
        <v>0</v>
      </c>
      <c r="BU631" s="115" t="b">
        <f ca="1">AND(模拟模式!$K$10="2300·雷",BT630=0,RAND()&lt;IF(C631="净世破魔击·月",5*0.05*2/3,IF(C631="净世破魔击·日",3*0.05*2/3,0.05*2*2/3)))</f>
        <v>0</v>
      </c>
      <c r="BV631" s="115">
        <f t="shared" ca="1" si="582"/>
        <v>0</v>
      </c>
      <c r="BW631" s="115">
        <f t="shared" ca="1" si="583"/>
        <v>0</v>
      </c>
      <c r="BX631" s="164" t="b">
        <f t="shared" ca="1" si="584"/>
        <v>0</v>
      </c>
      <c r="BY631" s="115">
        <f t="shared" ca="1" si="585"/>
        <v>0</v>
      </c>
      <c r="BZ631" s="115">
        <f>IF(OR(模拟模式!$P$16="10人团",模拟模式!$P$16="25人团"),IF(B631/30&gt;CA630,1,0),0)</f>
        <v>0</v>
      </c>
      <c r="CA631" s="115">
        <f t="shared" si="562"/>
        <v>0</v>
      </c>
      <c r="CB631" s="115">
        <f ca="1">IF(BZ631=1,IF(模拟模式!$P$16="10人团",15,0)+IF(模拟模式!$P$16="25人团",IF(RAND()&lt;0.6,15,0)),MAX(0,CB630-$F$4))</f>
        <v>0</v>
      </c>
      <c r="CC631" s="115" t="b">
        <f t="shared" ca="1" si="563"/>
        <v>0</v>
      </c>
      <c r="CD631" s="115">
        <f>IF(模拟模式!$Q$16="1个",IF(B631/40&gt;CE630,1,0),0)</f>
        <v>0</v>
      </c>
      <c r="CE631" s="115">
        <f t="shared" si="564"/>
        <v>0</v>
      </c>
      <c r="CF631" s="115">
        <f>IF(OR(CD631=1,模拟模式!$Q$16="2个"),20,MAX(0,CF630-$F$4))</f>
        <v>0</v>
      </c>
      <c r="CG631" s="115" t="b">
        <f t="shared" si="565"/>
        <v>0</v>
      </c>
      <c r="CH631" s="115">
        <f t="shared" ca="1" si="586"/>
        <v>0</v>
      </c>
      <c r="CI631" s="115" t="b">
        <f t="shared" ca="1" si="587"/>
        <v>0</v>
      </c>
      <c r="CJ631" s="119">
        <f t="shared" ca="1" si="588"/>
        <v>0</v>
      </c>
      <c r="CK631" s="115">
        <f t="shared" ca="1" si="589"/>
        <v>0</v>
      </c>
      <c r="CL631" s="115" t="b">
        <f ca="1">AND(模拟模式!$S$7="驱夷逐法",OR(AND(C631="净世破魔击·月",E630&gt;59),AND(C631="净世破魔击·日",F630&gt;59)))</f>
        <v>0</v>
      </c>
      <c r="CM631" s="115" t="b">
        <f ca="1">OR(CL631,AND(C631="净世破魔击·日",CL630,RAND()&lt;模拟模式!$U$23))</f>
        <v>0</v>
      </c>
      <c r="CN631" s="115" t="b">
        <f ca="1">IF(模拟模式!$M$7="辉耀红尘",AND(C631="净世破魔击·月",CL631,CV631=0,E630&lt;80),AND(C631="净世破魔击·月",CL631,E630&lt;100))</f>
        <v>0</v>
      </c>
      <c r="CO631" s="115" t="b">
        <f t="shared" ca="1" si="566"/>
        <v>0</v>
      </c>
      <c r="CP631" s="115" t="b">
        <f ca="1">AND(模拟模式!$O$7="用晦而明",OR(C631="净世破魔击·日",C631="净世破魔击·月",C631="驱夜断愁"),AB631)</f>
        <v>0</v>
      </c>
      <c r="CQ631" s="115" t="b">
        <f ca="1">OR(CP631,AND(CP630,RAND()&lt;模拟模式!$U$23))</f>
        <v>1</v>
      </c>
      <c r="CR631" s="115" t="b">
        <f ca="1">AND(模拟模式!$S$7="日月齐光",OR(C631="幽月轮1",C631="幽月轮2",C631="幽月轮3",CR630),NOT(OR(C631="赤日轮1",C631="赤日轮2",C631="赤日轮3")))</f>
        <v>0</v>
      </c>
      <c r="CS631" s="115" t="b">
        <f ca="1">AND(模拟模式!$S$7="日月齐光",OR(C631="赤日轮1",C631="赤日轮2",C631="赤日轮3",CS630),NOT(OR(C631="幽月轮1",C631="幽月轮2",C631="幽月轮3")))</f>
        <v>0</v>
      </c>
      <c r="CT631" s="115">
        <f t="shared" ca="1" si="590"/>
        <v>21.697500000000005</v>
      </c>
      <c r="CU631" s="115" t="b">
        <f ca="1">AND(模拟模式!$K$10="阴阳往极",CT630=0,RAND()&lt;IF(C631="净世破魔击·月",0.0275*7/3,IF(C631="净世破魔击·日",0.0275*3/3,0.0275*2/3)))</f>
        <v>0</v>
      </c>
      <c r="CV631" s="115">
        <f t="shared" ca="1" si="591"/>
        <v>0</v>
      </c>
      <c r="CW631" s="115">
        <f t="shared" ca="1" si="592"/>
        <v>6</v>
      </c>
      <c r="CX631" s="115">
        <f t="shared" ca="1" si="593"/>
        <v>4.1549999999999994</v>
      </c>
      <c r="CY631" s="115">
        <f ca="1">MAX(IF($C631="驱夜断愁",IF(模拟模式!$R$7="万念俱寂",6,45),CY630-$F$4),0)</f>
        <v>5.0774999999999997</v>
      </c>
      <c r="CZ631" s="115">
        <f t="shared" ca="1" si="567"/>
        <v>0</v>
      </c>
      <c r="DA631" s="115">
        <f ca="1">IF(模拟模式!$N$7="日月同辉",IF(DB630=2,0,MIN(6,IF(AND(OR(C631="赤日轮1",C631="赤日轮2",C631="赤日轮3",C631="幽月轮1",C631="幽月轮2",C631="幽月轮3"),AB631=1),DA630+1,DA630))),0)</f>
        <v>0</v>
      </c>
      <c r="DB631" s="115">
        <f t="shared" ca="1" si="568"/>
        <v>0</v>
      </c>
      <c r="DC631" s="115"/>
      <c r="DD631" s="115"/>
      <c r="DE631" s="115"/>
      <c r="DF631" s="115"/>
      <c r="DG631" s="115"/>
      <c r="DH631" s="115"/>
      <c r="DI631" s="115"/>
      <c r="DJ631" s="115"/>
      <c r="DK631" s="115"/>
      <c r="DL631" s="115"/>
      <c r="DM631" s="115"/>
    </row>
    <row r="632" spans="2:117" x14ac:dyDescent="0.2">
      <c r="B632" s="117">
        <f t="shared" si="569"/>
        <v>558.11250000000621</v>
      </c>
      <c r="C632" s="167" t="str">
        <f t="shared" ca="1" si="538"/>
        <v>幽月轮1</v>
      </c>
      <c r="D632" s="115">
        <f ca="1">IF(C632="赤日轮1",1,IF(C632="赤日轮2",2,IF(C632="赤日轮3",3,IF(C632="幽月轮1",4,IF(C632="幽月轮2",5,IF(C632="幽月轮3",6,IF(C632="烈日斩",7,IF(C632="银月斩",8,IF(C632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632="净世破魔击·月",17,IF(C632="驱夜断愁",18,0)))))))))))</f>
        <v>4</v>
      </c>
      <c r="E632" s="115">
        <f ca="1">IF(AND(CU632,OR(C632="幽月轮1",C632="幽月轮2",C632="幽月轮3",C632="银月斩",C632="驱夜断愁",C632="净世破魔击·月")),100,MIN(IF(OR(CN632,BE632),0,IF(OR($C632="赤日轮1",$C632="赤日轮2",$C632="赤日轮3"),E631+20+IF(模拟模式!$I$7="日月凌天",4,0)+IF(CR631,20,0),IF($C632="烈日斩",E631+40,IF($C632="驱夜断愁",IF(模拟模式!$R$7="万念俱寂",E631+20,E631+60),IF($C632="净世破魔击·月",IF(OR(DB631&gt;0,CV631&gt;0),100,IF(模拟模式!$M$7="辉耀红尘",E631+20,E631)),IF($C632="净世破魔击·日",E631-100,E631)))))),100))</f>
        <v>80</v>
      </c>
      <c r="F632" s="115">
        <f ca="1">IF(AND(CU632,OR(C632="赤日轮1",C632="赤日轮2",C632="赤日轮3",C632="烈日斩",C632="净世破魔击·日")),100,MIN(IF(CO632,0,IF(OR($C632="幽月轮1",$C632="幽月轮2",$C632="幽月轮3"),F631+20+IF(模拟模式!$I$7="日月凌天",4,0)+IF(CS631,20,0),IF($C632="银月斩",F631+40+IF(模拟模式!$X$12=1,5,0),IF($C632="驱夜断愁",IF(模拟模式!$R$7="万念俱寂",F631+20,F631+60),IF($C632="净世破魔击·月",IF(模拟模式!$M$7="辉耀红尘",F631-80,F631-100),IF(AND(C632="净世破魔击·日",OR(DB631&gt;0,CV631&gt;0)),100,F631)))))),100))</f>
        <v>100</v>
      </c>
      <c r="G632" s="117">
        <f ca="1">('模拟-全程加成'!$E$3+'模拟-全程加成'!$E$4+'模拟-全程加成'!$E$5+('模拟-全程加成'!$C$6-'模拟-全程加成'!$C$3)*系数!$B$9+BS632*23)*(1+'模拟-全程加成'!$F$4+'模拟-全程加成'!$F$5+BJ632*10%+BM632*20%+BP632*4%+CG632*30%)+$F$7*系数!$B$12</f>
        <v>20583.127400000001</v>
      </c>
      <c r="H632" s="45">
        <f ca="1">'模拟-全程加成'!$H$3+'模拟-全程加成'!$H$4+'模拟-全程加成'!$H$5+('模拟-全程加成'!$G$4+'模拟-全程加成'!$G$5+('模拟-全程加成'!$C$6-'模拟-全程加成'!$C$3)*系数!$B$13)/系数!$B$3+LOOKUP(D632,'模拟-单技能数据'!$A$2:$A$19,'模拟-单技能数据'!$K$2:$K$19)+BG632*10%+IF(BV632&gt;0,378,0)</f>
        <v>0.51185145527300213</v>
      </c>
      <c r="I632" s="45">
        <f ca="1">'模拟-全程加成'!$J$3+'模拟-全程加成'!$J$4+'模拟-全程加成'!$J$5+('模拟-全程加成'!$I$4+'模拟-全程加成'!$I$5)/系数!$B$4+LOOKUP(D632,'模拟-单技能数据'!$A$2:$A$19,'模拟-单技能数据'!$L$2:$L$19)+BG632*10%</f>
        <v>2.162482885499879</v>
      </c>
      <c r="J632" s="45">
        <f ca="1">(('模拟-全程加成'!$K$3+'模拟-全程加成'!$K$4+'模拟-全程加成'!$K$5+('模拟-全程加成'!$C$6-'模拟-全程加成'!$C$3)*系数!$B$10+IF(BV632&gt;0,882,0)+IF(BY632&gt;0,1831,0))*(1+'模拟-全程加成'!$L$4+'模拟-全程加成'!$L$5+CC632*20%))/系数!$B$5</f>
        <v>0.69723220422048726</v>
      </c>
      <c r="K632" s="119">
        <f ca="1">LOOKUP(D632,'模拟-单技能数据'!$A$2:$A$19,'模拟-单技能数据'!$J$2:$J$19)+IF(CM632,60%,0)+IF(DB631-DB632&gt;0,30%,0)+IF(OR(AND(OR(C632="赤日轮1",C632="赤日轮2",C632="赤日轮3"),CR632),AND(OR(C632="幽月轮1",C632="幽月轮2",C632="幽月轮3"),CS632)),35%,0)+CJ632</f>
        <v>7.0000000000000007E-2</v>
      </c>
      <c r="L632" s="119">
        <f ca="1">IF(AND(C632="烈日斩",模拟模式!$X$11=1),10%,0)+IF(AND(C632="驱夜断愁",AB632=1),30%,0)</f>
        <v>0</v>
      </c>
      <c r="M632" s="45">
        <f t="shared" ca="1" si="539"/>
        <v>0.51185145527300213</v>
      </c>
      <c r="N632" s="45">
        <f t="shared" ca="1" si="540"/>
        <v>0.43424854472699792</v>
      </c>
      <c r="O632" s="46">
        <f t="shared" ca="1" si="570"/>
        <v>0.80410635204167002</v>
      </c>
      <c r="P632" s="46" t="str">
        <f t="shared" ca="1" si="541"/>
        <v>命</v>
      </c>
      <c r="Q632" s="45">
        <f t="shared" ca="1" si="542"/>
        <v>1</v>
      </c>
      <c r="R632" s="117">
        <f ca="1">模拟模式!$E$20*(1-IF(模拟模式!$J$19="有",0.15,0))*(1-IF(模拟模式!$K$19="有",0.3,0)-IF(CQ632,0.5,0))</f>
        <v>2950.6049999999996</v>
      </c>
      <c r="S632" s="45">
        <f ca="1">R632/(R632+(185*模拟模式!$E$22-16800)*4.08224)</f>
        <v>0.24272716014590323</v>
      </c>
      <c r="T632" s="45" t="str">
        <f ca="1">LOOKUP(D632,'模拟-单技能数据'!$A$2:$A$19,'模拟-单技能数据'!$H$2:$H$19)</f>
        <v>阴</v>
      </c>
      <c r="U632" s="119">
        <f t="shared" ca="1" si="543"/>
        <v>0.08</v>
      </c>
      <c r="V632" s="47">
        <f ca="1">(1+L632)*(LOOKUP(D632,'模拟-单技能数据'!$A$2:$A$19,'模拟-单技能数据'!$D$2:$D$19)+G632*LOOKUP(D632,'模拟-单技能数据'!$A$2:$A$19,'模拟-单技能数据'!$F$2:$F$19))*(1+J632)*(1+K632)*(1-S632)*(1+U632)*Q632*LOOKUP(D632,'模拟-单技能数据'!$A$2:$A$19,'模拟-单技能数据'!$I$2:$I$20)</f>
        <v>16226.218300318291</v>
      </c>
      <c r="W632" s="47">
        <f ca="1">LOOKUP(D632,'模拟-单技能数据'!$A$2:$A$19,'模拟-单技能数据'!$G$2:$G$19)*$I$10</f>
        <v>361.51064354704795</v>
      </c>
      <c r="X632" s="47">
        <f t="shared" ca="1" si="571"/>
        <v>3368.2409654332282</v>
      </c>
      <c r="Y632" s="47">
        <f t="shared" ca="1" si="544"/>
        <v>19955.969909298568</v>
      </c>
      <c r="Z632" s="49">
        <f t="shared" ca="1" si="545"/>
        <v>63201347.347369358</v>
      </c>
      <c r="AA632" s="97">
        <f t="shared" ca="1" si="546"/>
        <v>113241.23245289912</v>
      </c>
      <c r="AB632" s="115">
        <f ca="1">IF(OR(C632="赤日轮1",C632="赤日轮2",C632="赤日轮3"),IF(RAND()&lt;模拟模式!$Y$17,1,0),IF(OR(C632="幽月轮1",C632="幽月轮2",C632="幽月轮3"),IF(RAND()&lt;模拟模式!$Y$18,1,0),IF(C632="烈日斩",IF(RAND()&lt;模拟模式!$Y$19,1,0),IF(C632="银月斩",IF(RAND()&lt;模拟模式!$Y$20,1,0),IF(C632="驱夜断愁",IF(RAND()&lt;模拟模式!$Y$21,1,0),IF(C632="净世破魔击·日",IF(RAND()&lt;模拟模式!$Y$22,1,0),IF(C632="净世破魔击·月",IF(RAND()&lt;模拟模式!$Y$23,1,0),0)))))))</f>
        <v>1</v>
      </c>
      <c r="AC632" s="115" t="b">
        <f t="shared" ca="1" si="547"/>
        <v>0</v>
      </c>
      <c r="AD632" s="115" t="b">
        <f t="shared" ca="1" si="548"/>
        <v>1</v>
      </c>
      <c r="AE632" s="115">
        <f t="shared" ca="1" si="549"/>
        <v>4</v>
      </c>
      <c r="AF632" s="47">
        <f ca="1">IF(AC632,('模拟-单技能数据'!$D$20+G632*'模拟-单技能数据'!$F$20)*(1+J632)*(1+'模拟-单技能数据'!$J$20)*(1+U632),0)</f>
        <v>0</v>
      </c>
      <c r="AG632" s="61">
        <f t="shared" ca="1" si="550"/>
        <v>0.64185145527300214</v>
      </c>
      <c r="AH632" s="61">
        <f t="shared" ca="1" si="551"/>
        <v>2.2624828854998791</v>
      </c>
      <c r="AI632" s="62">
        <f t="shared" ca="1" si="572"/>
        <v>0.9343158348532774</v>
      </c>
      <c r="AJ632" s="47">
        <f ca="1">IF(AD632,IF(AI632&lt;$F$10,0,IF(AI632&lt;$F$10+$F$11,0.25,IF(AI632&lt;$F$10+$F$11+AG632,AH632,1)))*IF(AF632&gt;0,AF632,IF(AF631&gt;0,AF631,IF(AF630&gt;0,AF630,IF(AF629&gt;0,AF629,IF(AF628&gt;0,AF628,IF(AF627&gt;0,AF627,IF(AF626&gt;0,AF626,IF(AF625&gt;0,AF625,IF(AF624&gt;0,AF624,IF(AF622&gt;0,AF622,IF(AF621&gt;0,AF621,IF(AF620&gt;0,AF620,0)))))))))))),0)*(1-$S632)*'模拟-单技能数据'!$I$20</f>
        <v>3368.2409654332282</v>
      </c>
      <c r="AK632" s="115" t="b">
        <f t="shared" ca="1" si="552"/>
        <v>0</v>
      </c>
      <c r="AL632" s="115" t="b">
        <f t="shared" ca="1" si="553"/>
        <v>0</v>
      </c>
      <c r="AM632" s="115">
        <f t="shared" ca="1" si="554"/>
        <v>3</v>
      </c>
      <c r="AN632" s="47">
        <f ca="1">IF(AK632,('模拟-单技能数据'!$D$21+G632*'模拟-单技能数据'!$F$21)*(1+J632)*(1+'模拟-单技能数据'!$J$21)*(1+U632),0)</f>
        <v>0</v>
      </c>
      <c r="AO632" s="61">
        <f ca="1">IF(AN632&gt;0,M632-'模拟-单技能数据'!$K$10,AO631)</f>
        <v>0.42185145527300216</v>
      </c>
      <c r="AP632" s="61">
        <f ca="1">IF(AN632&gt;0,I632-'模拟-单技能数据'!$L$10,AP631)</f>
        <v>2.162482885499879</v>
      </c>
      <c r="AQ632" s="63">
        <f t="shared" ca="1" si="573"/>
        <v>0.39791298731022062</v>
      </c>
      <c r="AR632" s="64">
        <f ca="1">IF(AL632,IF(AQ632&lt;$F$10,0,IF(AQ632&lt;$F$10+$F$11,0.25,IF(AQ632&lt;$F$10+$F$11+AO632,AP632,1)))*IF(AN632&gt;0,AN632,IF(AN631&gt;0,AN631,IF(AN630&gt;0,AN630,IF(AN629&gt;0,AN629,IF(AN628&gt;0,AN628,IF(AN627&gt;0,AN627,IF(AN626&gt;0,AN626,IF(AN625&gt;0,AN625,IF(AN624&gt;0,AN624,IF(AN622&gt;0,AN622,IF(AN621&gt;0,AN621,IF(AN620&gt;0,AN620,0)))))))))))),0)*(1-$S632)*'模拟-单技能数据'!$I$21</f>
        <v>0</v>
      </c>
      <c r="AS632" s="61">
        <f ca="1">IF(OR(C632="净世破魔击·日",C632="净世破魔击·月"),M632-'模拟-单技能数据'!$K$10,0)</f>
        <v>0</v>
      </c>
      <c r="AT632" s="61">
        <f ca="1">IF(OR(C632="净世破魔击·日",C632="净世破魔击·月"),I632-'模拟-单技能数据'!$L$10,0)</f>
        <v>0</v>
      </c>
      <c r="AU632" s="62">
        <f t="shared" ca="1" si="574"/>
        <v>0.85958271222762661</v>
      </c>
      <c r="AV632" s="64">
        <f ca="1">IF(AS632&gt;0,('模拟-单技能数据'!$D$22+G632*'模拟-单技能数据'!$F$22)*(1+J632)*(1-S632)*IF(AU632&lt;$F$10,0,IF(AU632&lt;$F$10+$F$11,0.25,IF(AU632&lt;$F$10+$F$11+AS632,AT632,1)))*(1+U632),0)*'模拟-单技能数据'!$I$22</f>
        <v>0</v>
      </c>
      <c r="AW632" s="108">
        <f t="shared" ca="1" si="575"/>
        <v>6.1625000000000068</v>
      </c>
      <c r="AX632" s="108" t="b">
        <f ca="1">AND(模拟模式!$P$10="有",AW631=0,RAND()&lt;IF(C632="净世破魔击·月",0.1*8/3,IF(C632="净世破魔击·日",0.1*4/3,0.1*2/3)))</f>
        <v>0</v>
      </c>
      <c r="AY632" s="47">
        <f ca="1">IF(AX632,(18+G632*0.722)*(1+J632)*(1-S632)*(1+$I$4)*IF(P632="会",'模拟-全程加成'!$J$3+'模拟-全程加成'!$J$4+'模拟-全程加成'!$J$5+('模拟-全程加成'!$I$4+'模拟-全程加成'!$I$5)/系数!$B$4+BG632*10%,IF(P632="命",1,IF(P632="识",0.25,0))),0)</f>
        <v>0</v>
      </c>
      <c r="AZ632" s="108">
        <f t="shared" si="576"/>
        <v>9.8525000000000063</v>
      </c>
      <c r="BA632" s="108" t="b">
        <f>AND(模拟模式!$Q$10="有",AZ631=0)</f>
        <v>0</v>
      </c>
      <c r="BB632" s="140">
        <f>IF(BA632,(0+G632*0.287)*(1+J632)*(1-S632)*(1+$I$4)*IF(P632="会",'模拟-全程加成'!$J$3+'模拟-全程加成'!$J$4+'模拟-全程加成'!$J$5+('模拟-全程加成'!$I$4+'模拟-全程加成'!$I$5)/系数!$B$4+BG632*10%,IF(P632="命",1,IF(P632="识",0.25,0))),0)</f>
        <v>0</v>
      </c>
      <c r="BC632" s="115" t="b">
        <f ca="1">AND(模拟模式!$R$7="伏明众生",E632=60,F632=20,DA632&lt;5,CZ631&lt;$F$4)</f>
        <v>0</v>
      </c>
      <c r="BD632" s="115">
        <f t="shared" ca="1" si="555"/>
        <v>0</v>
      </c>
      <c r="BE632" s="115" t="b">
        <f t="shared" ca="1" si="556"/>
        <v>0</v>
      </c>
      <c r="BF632" s="47">
        <f ca="1">IF(BC632,4*('模拟-单技能数据'!$D$24+G632*'模拟-单技能数据'!$F$24)*(1+J632)*(1+'模拟-单技能数据'!$J$24)*(1-S632)*(1+$I$3)*(('模拟-全程加成'!$J$3+'模拟-全程加成'!$J$4+'模拟-全程加成'!$J$5+('模拟-全程加成'!$I$4+'模拟-全程加成'!$I$5)/系数!$B$4+BG632*10%)*('模拟-全程加成'!$J$3+'模拟-全程加成'!$J$4+'模拟-全程加成'!$J$5+('模拟-全程加成'!$I$4+'模拟-全程加成'!$I$5)/系数!$B$4+BG632*10%)+(1-('模拟-全程加成'!$J$3+'模拟-全程加成'!$J$4+'模拟-全程加成'!$J$5+('模拟-全程加成'!$I$4+'模拟-全程加成'!$I$5)/系数!$B$4+BG632*10%)-$F$10-$F$11)+F618*0.25),0)*'模拟-单技能数据'!$I$24</f>
        <v>0</v>
      </c>
      <c r="BG632" s="115" t="b">
        <f ca="1">OR(AND(OR(C632="烈日斩",C632="银月斩"),模拟模式!$I$7="净身明礼"),AND(C632="净世破魔击·日",模拟模式!$J$7="洞若观火"),AND(C633="净世破魔击·月",模拟模式!$J$7="洞若观火"),AB632=1)</f>
        <v>1</v>
      </c>
      <c r="BH632" s="115" t="b">
        <f t="shared" ca="1" si="577"/>
        <v>0</v>
      </c>
      <c r="BI632" s="115">
        <f t="shared" ca="1" si="557"/>
        <v>0</v>
      </c>
      <c r="BJ632" s="115" t="b">
        <f t="shared" ca="1" si="558"/>
        <v>0</v>
      </c>
      <c r="BK632" s="115" t="b">
        <f ca="1">AND(C632="驱夜断愁",模拟模式!$P$7="天地诛戮")</f>
        <v>0</v>
      </c>
      <c r="BL632" s="57">
        <f t="shared" ca="1" si="559"/>
        <v>18.155000000000001</v>
      </c>
      <c r="BM632" s="115" t="b">
        <f t="shared" ca="1" si="560"/>
        <v>1</v>
      </c>
      <c r="BN632" s="115" t="b">
        <f ca="1">AND(OR(C632="赤日轮1",C632="赤日轮2",C632="赤日轮3",C632="幽月轮1",C632="幽月轮2",C632="幽月轮3"),AB632=1,模拟模式!$L$7="明光恒照")</f>
        <v>1</v>
      </c>
      <c r="BO632" s="117">
        <f t="shared" ca="1" si="561"/>
        <v>30</v>
      </c>
      <c r="BP632" s="115">
        <f t="shared" ca="1" si="578"/>
        <v>6</v>
      </c>
      <c r="BQ632" s="115" t="b">
        <f>模拟模式!$K$10="2600·水"</f>
        <v>0</v>
      </c>
      <c r="BR632" s="117">
        <f t="shared" si="579"/>
        <v>0</v>
      </c>
      <c r="BS632" s="115">
        <f t="shared" si="580"/>
        <v>0</v>
      </c>
      <c r="BT632" s="115">
        <f t="shared" ca="1" si="581"/>
        <v>0</v>
      </c>
      <c r="BU632" s="115" t="b">
        <f ca="1">AND(模拟模式!$K$10="2300·雷",BT631=0,RAND()&lt;IF(C632="净世破魔击·月",5*0.05*2/3,IF(C632="净世破魔击·日",3*0.05*2/3,0.05*2*2/3)))</f>
        <v>0</v>
      </c>
      <c r="BV632" s="115">
        <f t="shared" ca="1" si="582"/>
        <v>0</v>
      </c>
      <c r="BW632" s="115">
        <f t="shared" ca="1" si="583"/>
        <v>0</v>
      </c>
      <c r="BX632" s="164" t="b">
        <f t="shared" ca="1" si="584"/>
        <v>0</v>
      </c>
      <c r="BY632" s="115">
        <f t="shared" ca="1" si="585"/>
        <v>0</v>
      </c>
      <c r="BZ632" s="115">
        <f>IF(OR(模拟模式!$P$16="10人团",模拟模式!$P$16="25人团"),IF(B632/30&gt;CA631,1,0),0)</f>
        <v>0</v>
      </c>
      <c r="CA632" s="115">
        <f t="shared" si="562"/>
        <v>0</v>
      </c>
      <c r="CB632" s="115">
        <f ca="1">IF(BZ632=1,IF(模拟模式!$P$16="10人团",15,0)+IF(模拟模式!$P$16="25人团",IF(RAND()&lt;0.6,15,0)),MAX(0,CB631-$F$4))</f>
        <v>0</v>
      </c>
      <c r="CC632" s="115" t="b">
        <f t="shared" ca="1" si="563"/>
        <v>0</v>
      </c>
      <c r="CD632" s="115">
        <f>IF(模拟模式!$Q$16="1个",IF(B632/40&gt;CE631,1,0),0)</f>
        <v>0</v>
      </c>
      <c r="CE632" s="115">
        <f t="shared" si="564"/>
        <v>0</v>
      </c>
      <c r="CF632" s="115">
        <f>IF(OR(CD632=1,模拟模式!$Q$16="2个"),20,MAX(0,CF631-$F$4))</f>
        <v>0</v>
      </c>
      <c r="CG632" s="115" t="b">
        <f t="shared" si="565"/>
        <v>0</v>
      </c>
      <c r="CH632" s="115">
        <f t="shared" ca="1" si="586"/>
        <v>0</v>
      </c>
      <c r="CI632" s="115" t="b">
        <f t="shared" ca="1" si="587"/>
        <v>0</v>
      </c>
      <c r="CJ632" s="119">
        <f t="shared" ca="1" si="588"/>
        <v>0</v>
      </c>
      <c r="CK632" s="115">
        <f t="shared" ca="1" si="589"/>
        <v>0</v>
      </c>
      <c r="CL632" s="115" t="b">
        <f ca="1">AND(模拟模式!$S$7="驱夷逐法",OR(AND(C632="净世破魔击·月",E631&gt;59),AND(C632="净世破魔击·日",F631&gt;59)))</f>
        <v>0</v>
      </c>
      <c r="CM632" s="115" t="b">
        <f ca="1">OR(CL632,AND(C632="净世破魔击·日",CL631,RAND()&lt;模拟模式!$U$23))</f>
        <v>0</v>
      </c>
      <c r="CN632" s="115" t="b">
        <f ca="1">IF(模拟模式!$M$7="辉耀红尘",AND(C632="净世破魔击·月",CL632,CV632=0,E631&lt;80),AND(C632="净世破魔击·月",CL632,E631&lt;100))</f>
        <v>0</v>
      </c>
      <c r="CO632" s="115" t="b">
        <f t="shared" ca="1" si="566"/>
        <v>0</v>
      </c>
      <c r="CP632" s="115" t="b">
        <f ca="1">AND(模拟模式!$O$7="用晦而明",OR(C632="净世破魔击·日",C632="净世破魔击·月",C632="驱夜断愁"),AB632)</f>
        <v>0</v>
      </c>
      <c r="CQ632" s="115" t="b">
        <f ca="1">OR(CP632,AND(CP631,RAND()&lt;模拟模式!$U$23))</f>
        <v>0</v>
      </c>
      <c r="CR632" s="115" t="b">
        <f ca="1">AND(模拟模式!$S$7="日月齐光",OR(C632="幽月轮1",C632="幽月轮2",C632="幽月轮3",CR631),NOT(OR(C632="赤日轮1",C632="赤日轮2",C632="赤日轮3")))</f>
        <v>0</v>
      </c>
      <c r="CS632" s="115" t="b">
        <f ca="1">AND(模拟模式!$S$7="日月齐光",OR(C632="赤日轮1",C632="赤日轮2",C632="赤日轮3",CS631),NOT(OR(C632="幽月轮1",C632="幽月轮2",C632="幽月轮3")))</f>
        <v>0</v>
      </c>
      <c r="CT632" s="115">
        <f t="shared" ca="1" si="590"/>
        <v>20.775000000000006</v>
      </c>
      <c r="CU632" s="115" t="b">
        <f ca="1">AND(模拟模式!$K$10="阴阳往极",CT631=0,RAND()&lt;IF(C632="净世破魔击·月",0.0275*7/3,IF(C632="净世破魔击·日",0.0275*3/3,0.0275*2/3)))</f>
        <v>0</v>
      </c>
      <c r="CV632" s="115">
        <f t="shared" ca="1" si="591"/>
        <v>0</v>
      </c>
      <c r="CW632" s="115">
        <f t="shared" ca="1" si="592"/>
        <v>5.0774999999999997</v>
      </c>
      <c r="CX632" s="115">
        <f t="shared" ca="1" si="593"/>
        <v>3.2324999999999995</v>
      </c>
      <c r="CY632" s="115">
        <f ca="1">MAX(IF($C632="驱夜断愁",IF(模拟模式!$R$7="万念俱寂",6,45),CY631-$F$4),0)</f>
        <v>4.1549999999999994</v>
      </c>
      <c r="CZ632" s="115">
        <f t="shared" ca="1" si="567"/>
        <v>0</v>
      </c>
      <c r="DA632" s="115">
        <f ca="1">IF(模拟模式!$N$7="日月同辉",IF(DB631=2,0,MIN(6,IF(AND(OR(C632="赤日轮1",C632="赤日轮2",C632="赤日轮3",C632="幽月轮1",C632="幽月轮2",C632="幽月轮3"),AB632=1),DA631+1,DA631))),0)</f>
        <v>1</v>
      </c>
      <c r="DB632" s="115">
        <f t="shared" ca="1" si="568"/>
        <v>0</v>
      </c>
      <c r="DC632" s="115"/>
      <c r="DD632" s="115"/>
      <c r="DE632" s="115"/>
      <c r="DF632" s="115"/>
      <c r="DG632" s="115"/>
      <c r="DH632" s="115"/>
      <c r="DI632" s="115"/>
      <c r="DJ632" s="115"/>
      <c r="DK632" s="115"/>
      <c r="DL632" s="115"/>
      <c r="DM632" s="115"/>
    </row>
    <row r="633" spans="2:117" x14ac:dyDescent="0.2">
      <c r="B633" s="117">
        <f t="shared" si="569"/>
        <v>559.03500000000622</v>
      </c>
      <c r="C633" s="167" t="str">
        <f t="shared" ca="1" si="538"/>
        <v>净世破魔击·月</v>
      </c>
      <c r="D633" s="115">
        <f ca="1">IF(C633="赤日轮1",1,IF(C633="赤日轮2",2,IF(C633="赤日轮3",3,IF(C633="幽月轮1",4,IF(C633="幽月轮2",5,IF(C633="幽月轮3",6,IF(C633="烈日斩",7,IF(C633="银月斩",8,IF(C633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633="净世破魔击·月",17,IF(C633="驱夜断愁",18,0)))))))))))</f>
        <v>17</v>
      </c>
      <c r="E633" s="115">
        <f ca="1">IF(AND(CU633,OR(C633="幽月轮1",C633="幽月轮2",C633="幽月轮3",C633="银月斩",C633="驱夜断愁",C633="净世破魔击·月")),100,MIN(IF(OR(CN633,BE633),0,IF(OR($C633="赤日轮1",$C633="赤日轮2",$C633="赤日轮3"),E632+20+IF(模拟模式!$I$7="日月凌天",4,0)+IF(CR632,20,0),IF($C633="烈日斩",E632+40,IF($C633="驱夜断愁",IF(模拟模式!$R$7="万念俱寂",E632+20,E632+60),IF($C633="净世破魔击·月",IF(OR(DB632&gt;0,CV632&gt;0),100,IF(模拟模式!$M$7="辉耀红尘",E632+20,E632)),IF($C633="净世破魔击·日",E632-100,E632)))))),100))</f>
        <v>100</v>
      </c>
      <c r="F633" s="115">
        <f ca="1">IF(AND(CU633,OR(C633="赤日轮1",C633="赤日轮2",C633="赤日轮3",C633="烈日斩",C633="净世破魔击·日")),100,MIN(IF(CO633,0,IF(OR($C633="幽月轮1",$C633="幽月轮2",$C633="幽月轮3"),F632+20+IF(模拟模式!$I$7="日月凌天",4,0)+IF(CS632,20,0),IF($C633="银月斩",F632+40+IF(模拟模式!$X$12=1,5,0),IF($C633="驱夜断愁",IF(模拟模式!$R$7="万念俱寂",F632+20,F632+60),IF($C633="净世破魔击·月",IF(模拟模式!$M$7="辉耀红尘",F632-80,F632-100),IF(AND(C633="净世破魔击·日",OR(DB632&gt;0,CV632&gt;0)),100,F632)))))),100))</f>
        <v>20</v>
      </c>
      <c r="G633" s="117">
        <f ca="1">('模拟-全程加成'!$E$3+'模拟-全程加成'!$E$4+'模拟-全程加成'!$E$5+('模拟-全程加成'!$C$6-'模拟-全程加成'!$C$3)*系数!$B$9+BS633*23)*(1+'模拟-全程加成'!$F$4+'模拟-全程加成'!$F$5+BJ633*10%+BM633*20%+BP633*4%+CG633*30%)+$F$7*系数!$B$12</f>
        <v>20583.127400000001</v>
      </c>
      <c r="H633" s="45">
        <f ca="1">'模拟-全程加成'!$H$3+'模拟-全程加成'!$H$4+'模拟-全程加成'!$H$5+('模拟-全程加成'!$G$4+'模拟-全程加成'!$G$5+('模拟-全程加成'!$C$6-'模拟-全程加成'!$C$3)*系数!$B$13)/系数!$B$3+LOOKUP(D633,'模拟-单技能数据'!$A$2:$A$19,'模拟-单技能数据'!$K$2:$K$19)+BG633*10%+IF(BV633&gt;0,378,0)</f>
        <v>0.54185145527300216</v>
      </c>
      <c r="I633" s="45">
        <f ca="1">'模拟-全程加成'!$J$3+'模拟-全程加成'!$J$4+'模拟-全程加成'!$J$5+('模拟-全程加成'!$I$4+'模拟-全程加成'!$I$5)/系数!$B$4+LOOKUP(D633,'模拟-单技能数据'!$A$2:$A$19,'模拟-单技能数据'!$L$2:$L$19)+BG633*10%</f>
        <v>2.162482885499879</v>
      </c>
      <c r="J633" s="45">
        <f ca="1">(('模拟-全程加成'!$K$3+'模拟-全程加成'!$K$4+'模拟-全程加成'!$K$5+('模拟-全程加成'!$C$6-'模拟-全程加成'!$C$3)*系数!$B$10+IF(BV633&gt;0,882,0)+IF(BY633&gt;0,1831,0))*(1+'模拟-全程加成'!$L$4+'模拟-全程加成'!$L$5+CC633*20%))/系数!$B$5</f>
        <v>0.85832564669386491</v>
      </c>
      <c r="K633" s="119">
        <f ca="1">LOOKUP(D633,'模拟-单技能数据'!$A$2:$A$19,'模拟-单技能数据'!$J$2:$J$19)+IF(CM633,60%,0)+IF(DB632-DB633&gt;0,30%,0)+IF(OR(AND(OR(C633="赤日轮1",C633="赤日轮2",C633="赤日轮3"),CR633),AND(OR(C633="幽月轮1",C633="幽月轮2",C633="幽月轮3"),CS633)),35%,0)+CJ633</f>
        <v>0.85000000000000009</v>
      </c>
      <c r="L633" s="119">
        <f ca="1">IF(AND(C633="烈日斩",模拟模式!$X$11=1),10%,0)+IF(AND(C633="驱夜断愁",AB633=1),30%,0)</f>
        <v>0</v>
      </c>
      <c r="M633" s="45">
        <f t="shared" ca="1" si="539"/>
        <v>0.54185145527300216</v>
      </c>
      <c r="N633" s="45">
        <f t="shared" ca="1" si="540"/>
        <v>0.40424854472699789</v>
      </c>
      <c r="O633" s="46">
        <f t="shared" ca="1" si="570"/>
        <v>0.18029897348140644</v>
      </c>
      <c r="P633" s="46" t="str">
        <f t="shared" ca="1" si="541"/>
        <v>会</v>
      </c>
      <c r="Q633" s="45">
        <f t="shared" ca="1" si="542"/>
        <v>2.162482885499879</v>
      </c>
      <c r="R633" s="117">
        <f ca="1">模拟模式!$E$20*(1-IF(模拟模式!$J$19="有",0.15,0))*(1-IF(模拟模式!$K$19="有",0.3,0)-IF(CQ633,0.5,0))</f>
        <v>843.02999999999975</v>
      </c>
      <c r="S633" s="45">
        <f ca="1">R633/(R633+(185*模拟模式!$E$22-16800)*4.08224)</f>
        <v>8.389626085980037E-2</v>
      </c>
      <c r="T633" s="45" t="str">
        <f ca="1">LOOKUP(D633,'模拟-单技能数据'!$A$2:$A$19,'模拟-单技能数据'!$H$2:$H$19)</f>
        <v>阴</v>
      </c>
      <c r="U633" s="119">
        <f t="shared" ca="1" si="543"/>
        <v>0.08</v>
      </c>
      <c r="V633" s="47">
        <f ca="1">(1+L633)*(LOOKUP(D633,'模拟-单技能数据'!$A$2:$A$19,'模拟-单技能数据'!$D$2:$D$19)+G633*LOOKUP(D633,'模拟-单技能数据'!$A$2:$A$19,'模拟-单技能数据'!$F$2:$F$19))*(1+J633)*(1+K633)*(1-S633)*(1+U633)*Q633*LOOKUP(D633,'模拟-单技能数据'!$A$2:$A$19,'模拟-单技能数据'!$I$2:$I$20)</f>
        <v>196784.55890374014</v>
      </c>
      <c r="W633" s="47">
        <f ca="1">LOOKUP(D633,'模拟-单技能数据'!$A$2:$A$19,'模拟-单技能数据'!$G$2:$G$19)*$I$10</f>
        <v>361.51064354704795</v>
      </c>
      <c r="X633" s="47">
        <f t="shared" ca="1" si="571"/>
        <v>32407.80240865302</v>
      </c>
      <c r="Y633" s="47">
        <f t="shared" ca="1" si="544"/>
        <v>229553.87195594021</v>
      </c>
      <c r="Z633" s="49">
        <f t="shared" ca="1" si="545"/>
        <v>63430901.219325297</v>
      </c>
      <c r="AA633" s="97">
        <f t="shared" ca="1" si="546"/>
        <v>113464.99095642418</v>
      </c>
      <c r="AB633" s="115">
        <f ca="1">IF(OR(C633="赤日轮1",C633="赤日轮2",C633="赤日轮3"),IF(RAND()&lt;模拟模式!$Y$17,1,0),IF(OR(C633="幽月轮1",C633="幽月轮2",C633="幽月轮3"),IF(RAND()&lt;模拟模式!$Y$18,1,0),IF(C633="烈日斩",IF(RAND()&lt;模拟模式!$Y$19,1,0),IF(C633="银月斩",IF(RAND()&lt;模拟模式!$Y$20,1,0),IF(C633="驱夜断愁",IF(RAND()&lt;模拟模式!$Y$21,1,0),IF(C633="净世破魔击·日",IF(RAND()&lt;模拟模式!$Y$22,1,0),IF(C633="净世破魔击·月",IF(RAND()&lt;模拟模式!$Y$23,1,0),0)))))))</f>
        <v>1</v>
      </c>
      <c r="AC633" s="115" t="b">
        <f t="shared" ca="1" si="547"/>
        <v>0</v>
      </c>
      <c r="AD633" s="115" t="b">
        <f t="shared" ca="1" si="548"/>
        <v>0</v>
      </c>
      <c r="AE633" s="115">
        <f t="shared" ca="1" si="549"/>
        <v>4</v>
      </c>
      <c r="AF633" s="47">
        <f ca="1">IF(AC633,('模拟-单技能数据'!$D$20+G633*'模拟-单技能数据'!$F$20)*(1+J633)*(1+'模拟-单技能数据'!$J$20)*(1+U633),0)</f>
        <v>0</v>
      </c>
      <c r="AG633" s="61">
        <f t="shared" ca="1" si="550"/>
        <v>0.64185145527300214</v>
      </c>
      <c r="AH633" s="61">
        <f t="shared" ca="1" si="551"/>
        <v>2.2624828854998791</v>
      </c>
      <c r="AI633" s="62">
        <f t="shared" ca="1" si="572"/>
        <v>2.1332210800895091E-2</v>
      </c>
      <c r="AJ633" s="47">
        <f ca="1">IF(AD633,IF(AI633&lt;$F$10,0,IF(AI633&lt;$F$10+$F$11,0.25,IF(AI633&lt;$F$10+$F$11+AG633,AH633,1)))*IF(AF633&gt;0,AF633,IF(AF632&gt;0,AF632,IF(AF631&gt;0,AF631,IF(AF630&gt;0,AF630,IF(AF629&gt;0,AF629,IF(AF628&gt;0,AF628,IF(AF627&gt;0,AF627,IF(AF626&gt;0,AF626,IF(AF625&gt;0,AF625,IF(AF623&gt;0,AF623,IF(AF622&gt;0,AF622,IF(AF621&gt;0,AF621,0)))))))))))),0)*(1-$S633)*'模拟-单技能数据'!$I$20</f>
        <v>0</v>
      </c>
      <c r="AK633" s="115" t="b">
        <f t="shared" ca="1" si="552"/>
        <v>0</v>
      </c>
      <c r="AL633" s="115" t="b">
        <f t="shared" ca="1" si="553"/>
        <v>1</v>
      </c>
      <c r="AM633" s="115">
        <f t="shared" ca="1" si="554"/>
        <v>2</v>
      </c>
      <c r="AN633" s="47">
        <f ca="1">IF(AK633,('模拟-单技能数据'!$D$21+G633*'模拟-单技能数据'!$F$21)*(1+J633)*(1+'模拟-单技能数据'!$J$21)*(1+U633),0)</f>
        <v>0</v>
      </c>
      <c r="AO633" s="61">
        <f ca="1">IF(AN633&gt;0,M633-'模拟-单技能数据'!$K$10,AO632)</f>
        <v>0.42185145527300216</v>
      </c>
      <c r="AP633" s="61">
        <f ca="1">IF(AN633&gt;0,I633-'模拟-单技能数据'!$L$10,AP632)</f>
        <v>2.162482885499879</v>
      </c>
      <c r="AQ633" s="63">
        <f t="shared" ca="1" si="573"/>
        <v>0.11793689984597944</v>
      </c>
      <c r="AR633" s="64">
        <f ca="1">IF(AL633,IF(AQ633&lt;$F$10,0,IF(AQ633&lt;$F$10+$F$11,0.25,IF(AQ633&lt;$F$10+$F$11+AO633,AP633,1)))*IF(AN633&gt;0,AN633,IF(AN632&gt;0,AN632,IF(AN631&gt;0,AN631,IF(AN630&gt;0,AN630,IF(AN629&gt;0,AN629,IF(AN628&gt;0,AN628,IF(AN627&gt;0,AN627,IF(AN626&gt;0,AN626,IF(AN625&gt;0,AN625,IF(AN623&gt;0,AN623,IF(AN622&gt;0,AN622,IF(AN621&gt;0,AN621,0)))))))))))),0)*(1-$S633)*'模拟-单技能数据'!$I$21</f>
        <v>24043.249177625272</v>
      </c>
      <c r="AS633" s="61">
        <f ca="1">IF(OR(C633="净世破魔击·日",C633="净世破魔击·月"),M633-'模拟-单技能数据'!$K$10,0)</f>
        <v>0.42185145527300216</v>
      </c>
      <c r="AT633" s="61">
        <f ca="1">IF(OR(C633="净世破魔击·日",C633="净世破魔击·月"),I633-'模拟-单技能数据'!$L$10,0)</f>
        <v>2.162482885499879</v>
      </c>
      <c r="AU633" s="62">
        <f t="shared" ca="1" si="574"/>
        <v>0.7560450624281424</v>
      </c>
      <c r="AV633" s="64">
        <f ca="1">IF(AS633&gt;0,('模拟-单技能数据'!$D$22+G633*'模拟-单技能数据'!$F$22)*(1+J633)*(1-S633)*IF(AU633&lt;$F$10,0,IF(AU633&lt;$F$10+$F$11,0.25,IF(AU633&lt;$F$10+$F$11+AS633,AT633,1)))*(1+U633),0)*'模拟-单技能数据'!$I$22</f>
        <v>8364.5532310277467</v>
      </c>
      <c r="AW633" s="108">
        <f t="shared" ca="1" si="575"/>
        <v>5.2400000000000064</v>
      </c>
      <c r="AX633" s="108" t="b">
        <f ca="1">AND(模拟模式!$P$10="有",AW632=0,RAND()&lt;IF(C633="净世破魔击·月",0.1*8/3,IF(C633="净世破魔击·日",0.1*4/3,0.1*2/3)))</f>
        <v>0</v>
      </c>
      <c r="AY633" s="47">
        <f ca="1">IF(AX633,(18+G633*0.722)*(1+J633)*(1-S633)*(1+$I$4)*IF(P633="会",'模拟-全程加成'!$J$3+'模拟-全程加成'!$J$4+'模拟-全程加成'!$J$5+('模拟-全程加成'!$I$4+'模拟-全程加成'!$I$5)/系数!$B$4+BG633*10%,IF(P633="命",1,IF(P633="识",0.25,0))),0)</f>
        <v>0</v>
      </c>
      <c r="AZ633" s="108">
        <f t="shared" si="576"/>
        <v>8.9300000000000068</v>
      </c>
      <c r="BA633" s="108" t="b">
        <f>AND(模拟模式!$Q$10="有",AZ632=0)</f>
        <v>0</v>
      </c>
      <c r="BB633" s="140">
        <f>IF(BA633,(0+G633*0.287)*(1+J633)*(1-S633)*(1+$I$4)*IF(P633="会",'模拟-全程加成'!$J$3+'模拟-全程加成'!$J$4+'模拟-全程加成'!$J$5+('模拟-全程加成'!$I$4+'模拟-全程加成'!$I$5)/系数!$B$4+BG633*10%,IF(P633="命",1,IF(P633="识",0.25,0))),0)</f>
        <v>0</v>
      </c>
      <c r="BC633" s="115" t="b">
        <f ca="1">AND(模拟模式!$R$7="伏明众生",E633=60,F633=20,DA633&lt;5,CZ632&lt;$F$4)</f>
        <v>0</v>
      </c>
      <c r="BD633" s="115">
        <f t="shared" ca="1" si="555"/>
        <v>0</v>
      </c>
      <c r="BE633" s="115" t="b">
        <f t="shared" ca="1" si="556"/>
        <v>0</v>
      </c>
      <c r="BF633" s="47">
        <f ca="1">IF(BC633,4*('模拟-单技能数据'!$D$24+G633*'模拟-单技能数据'!$F$24)*(1+J633)*(1+'模拟-单技能数据'!$J$24)*(1-S633)*(1+$I$3)*(('模拟-全程加成'!$J$3+'模拟-全程加成'!$J$4+'模拟-全程加成'!$J$5+('模拟-全程加成'!$I$4+'模拟-全程加成'!$I$5)/系数!$B$4+BG633*10%)*('模拟-全程加成'!$J$3+'模拟-全程加成'!$J$4+'模拟-全程加成'!$J$5+('模拟-全程加成'!$I$4+'模拟-全程加成'!$I$5)/系数!$B$4+BG633*10%)+(1-('模拟-全程加成'!$J$3+'模拟-全程加成'!$J$4+'模拟-全程加成'!$J$5+('模拟-全程加成'!$I$4+'模拟-全程加成'!$I$5)/系数!$B$4+BG633*10%)-$F$10-$F$11)+F619*0.25),0)*'模拟-单技能数据'!$I$24</f>
        <v>0</v>
      </c>
      <c r="BG633" s="115" t="b">
        <f ca="1">OR(AND(OR(C633="烈日斩",C633="银月斩"),模拟模式!$I$7="净身明礼"),AND(C633="净世破魔击·日",模拟模式!$J$7="洞若观火"),AND(C634="净世破魔击·月",模拟模式!$J$7="洞若观火"),AB633=1)</f>
        <v>1</v>
      </c>
      <c r="BH633" s="115" t="b">
        <f t="shared" ca="1" si="577"/>
        <v>0</v>
      </c>
      <c r="BI633" s="115">
        <f t="shared" ca="1" si="557"/>
        <v>0</v>
      </c>
      <c r="BJ633" s="115" t="b">
        <f t="shared" ca="1" si="558"/>
        <v>0</v>
      </c>
      <c r="BK633" s="115" t="b">
        <f ca="1">AND(C633="驱夜断愁",模拟模式!$P$7="天地诛戮")</f>
        <v>0</v>
      </c>
      <c r="BL633" s="57">
        <f t="shared" ca="1" si="559"/>
        <v>17.232500000000002</v>
      </c>
      <c r="BM633" s="115" t="b">
        <f t="shared" ca="1" si="560"/>
        <v>1</v>
      </c>
      <c r="BN633" s="115" t="b">
        <f ca="1">AND(OR(C633="赤日轮1",C633="赤日轮2",C633="赤日轮3",C633="幽月轮1",C633="幽月轮2",C633="幽月轮3"),AB633=1,模拟模式!$L$7="明光恒照")</f>
        <v>0</v>
      </c>
      <c r="BO633" s="117">
        <f t="shared" ca="1" si="561"/>
        <v>29.077500000000001</v>
      </c>
      <c r="BP633" s="115">
        <f t="shared" ca="1" si="578"/>
        <v>6</v>
      </c>
      <c r="BQ633" s="115" t="b">
        <f>模拟模式!$K$10="2600·水"</f>
        <v>0</v>
      </c>
      <c r="BR633" s="117">
        <f t="shared" si="579"/>
        <v>0</v>
      </c>
      <c r="BS633" s="115">
        <f t="shared" si="580"/>
        <v>0</v>
      </c>
      <c r="BT633" s="115">
        <f t="shared" ca="1" si="581"/>
        <v>0</v>
      </c>
      <c r="BU633" s="115" t="b">
        <f ca="1">AND(模拟模式!$K$10="2300·雷",BT632=0,RAND()&lt;IF(C633="净世破魔击·月",5*0.05*2/3,IF(C633="净世破魔击·日",3*0.05*2/3,0.05*2*2/3)))</f>
        <v>0</v>
      </c>
      <c r="BV633" s="115">
        <f t="shared" ca="1" si="582"/>
        <v>0</v>
      </c>
      <c r="BW633" s="115">
        <f t="shared" ca="1" si="583"/>
        <v>179.07749999999999</v>
      </c>
      <c r="BX633" s="164" t="b">
        <f t="shared" ca="1" si="584"/>
        <v>1</v>
      </c>
      <c r="BY633" s="115">
        <f t="shared" ca="1" si="585"/>
        <v>14.077500000000001</v>
      </c>
      <c r="BZ633" s="115">
        <f>IF(OR(模拟模式!$P$16="10人团",模拟模式!$P$16="25人团"),IF(B633/30&gt;CA632,1,0),0)</f>
        <v>0</v>
      </c>
      <c r="CA633" s="115">
        <f t="shared" si="562"/>
        <v>0</v>
      </c>
      <c r="CB633" s="115">
        <f ca="1">IF(BZ633=1,IF(模拟模式!$P$16="10人团",15,0)+IF(模拟模式!$P$16="25人团",IF(RAND()&lt;0.6,15,0)),MAX(0,CB632-$F$4))</f>
        <v>0</v>
      </c>
      <c r="CC633" s="115" t="b">
        <f t="shared" ca="1" si="563"/>
        <v>0</v>
      </c>
      <c r="CD633" s="115">
        <f>IF(模拟模式!$Q$16="1个",IF(B633/40&gt;CE632,1,0),0)</f>
        <v>0</v>
      </c>
      <c r="CE633" s="115">
        <f t="shared" si="564"/>
        <v>0</v>
      </c>
      <c r="CF633" s="115">
        <f>IF(OR(CD633=1,模拟模式!$Q$16="2个"),20,MAX(0,CF632-$F$4))</f>
        <v>0</v>
      </c>
      <c r="CG633" s="115" t="b">
        <f t="shared" si="565"/>
        <v>0</v>
      </c>
      <c r="CH633" s="115">
        <f t="shared" ca="1" si="586"/>
        <v>29.077500000000001</v>
      </c>
      <c r="CI633" s="115" t="b">
        <f t="shared" ca="1" si="587"/>
        <v>1</v>
      </c>
      <c r="CJ633" s="119">
        <f t="shared" ca="1" si="588"/>
        <v>0.05</v>
      </c>
      <c r="CK633" s="115">
        <f t="shared" ca="1" si="589"/>
        <v>7.0774999999999997</v>
      </c>
      <c r="CL633" s="115" t="b">
        <f ca="1">AND(模拟模式!$S$7="驱夷逐法",OR(AND(C633="净世破魔击·月",E632&gt;59),AND(C633="净世破魔击·日",F632&gt;59)))</f>
        <v>1</v>
      </c>
      <c r="CM633" s="115" t="b">
        <f ca="1">OR(CL633,AND(C633="净世破魔击·日",CL632,RAND()&lt;模拟模式!$U$23))</f>
        <v>1</v>
      </c>
      <c r="CN633" s="115" t="b">
        <f ca="1">IF(模拟模式!$M$7="辉耀红尘",AND(C633="净世破魔击·月",CL633,CV633=0,E632&lt;80),AND(C633="净世破魔击·月",CL633,E632&lt;100))</f>
        <v>0</v>
      </c>
      <c r="CO633" s="115" t="b">
        <f t="shared" ca="1" si="566"/>
        <v>0</v>
      </c>
      <c r="CP633" s="115" t="b">
        <f ca="1">AND(模拟模式!$O$7="用晦而明",OR(C633="净世破魔击·日",C633="净世破魔击·月",C633="驱夜断愁"),AB633)</f>
        <v>1</v>
      </c>
      <c r="CQ633" s="115" t="b">
        <f ca="1">OR(CP633,AND(CP632,RAND()&lt;模拟模式!$U$23))</f>
        <v>1</v>
      </c>
      <c r="CR633" s="115" t="b">
        <f ca="1">AND(模拟模式!$S$7="日月齐光",OR(C633="幽月轮1",C633="幽月轮2",C633="幽月轮3",CR632),NOT(OR(C633="赤日轮1",C633="赤日轮2",C633="赤日轮3")))</f>
        <v>0</v>
      </c>
      <c r="CS633" s="115" t="b">
        <f ca="1">AND(模拟模式!$S$7="日月齐光",OR(C633="赤日轮1",C633="赤日轮2",C633="赤日轮3",CS632),NOT(OR(C633="幽月轮1",C633="幽月轮2",C633="幽月轮3")))</f>
        <v>0</v>
      </c>
      <c r="CT633" s="115">
        <f t="shared" ca="1" si="590"/>
        <v>19.852500000000006</v>
      </c>
      <c r="CU633" s="115" t="b">
        <f ca="1">AND(模拟模式!$K$10="阴阳往极",CT632=0,RAND()&lt;IF(C633="净世破魔击·月",0.0275*7/3,IF(C633="净世破魔击·日",0.0275*3/3,0.0275*2/3)))</f>
        <v>0</v>
      </c>
      <c r="CV633" s="115">
        <f t="shared" ca="1" si="591"/>
        <v>0</v>
      </c>
      <c r="CW633" s="115">
        <f t="shared" ca="1" si="592"/>
        <v>4.1549999999999994</v>
      </c>
      <c r="CX633" s="115">
        <f t="shared" ca="1" si="593"/>
        <v>2.3099999999999996</v>
      </c>
      <c r="CY633" s="115">
        <f ca="1">MAX(IF($C633="驱夜断愁",IF(模拟模式!$R$7="万念俱寂",6,45),CY632-$F$4),0)</f>
        <v>3.2324999999999995</v>
      </c>
      <c r="CZ633" s="115">
        <f t="shared" ca="1" si="567"/>
        <v>0</v>
      </c>
      <c r="DA633" s="115">
        <f ca="1">IF(模拟模式!$N$7="日月同辉",IF(DB632=2,0,MIN(6,IF(AND(OR(C633="赤日轮1",C633="赤日轮2",C633="赤日轮3",C633="幽月轮1",C633="幽月轮2",C633="幽月轮3"),AB633=1),DA632+1,DA632))),0)</f>
        <v>1</v>
      </c>
      <c r="DB633" s="115">
        <f t="shared" ca="1" si="568"/>
        <v>0</v>
      </c>
      <c r="DC633" s="115"/>
      <c r="DD633" s="115"/>
      <c r="DE633" s="115"/>
      <c r="DF633" s="115"/>
      <c r="DG633" s="115"/>
      <c r="DH633" s="115"/>
      <c r="DI633" s="115"/>
      <c r="DJ633" s="115"/>
      <c r="DK633" s="115"/>
      <c r="DL633" s="115"/>
      <c r="DM633" s="115"/>
    </row>
    <row r="634" spans="2:117" x14ac:dyDescent="0.2">
      <c r="B634" s="117">
        <f t="shared" si="569"/>
        <v>559.95750000000623</v>
      </c>
      <c r="C634" s="167" t="str">
        <f t="shared" ca="1" si="538"/>
        <v>净世破魔击·日</v>
      </c>
      <c r="D634" s="115">
        <f ca="1">IF(C634="赤日轮1",1,IF(C634="赤日轮2",2,IF(C634="赤日轮3",3,IF(C634="幽月轮1",4,IF(C634="幽月轮2",5,IF(C634="幽月轮3",6,IF(C634="烈日斩",7,IF(C634="银月斩",8,IF(C634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634="净世破魔击·月",17,IF(C634="驱夜断愁",18,0)))))))))))</f>
        <v>9</v>
      </c>
      <c r="E634" s="115">
        <f ca="1">IF(AND(CU634,OR(C634="幽月轮1",C634="幽月轮2",C634="幽月轮3",C634="银月斩",C634="驱夜断愁",C634="净世破魔击·月")),100,MIN(IF(OR(CN634,BE634),0,IF(OR($C634="赤日轮1",$C634="赤日轮2",$C634="赤日轮3"),E633+20+IF(模拟模式!$I$7="日月凌天",4,0)+IF(CR633,20,0),IF($C634="烈日斩",E633+40,IF($C634="驱夜断愁",IF(模拟模式!$R$7="万念俱寂",E633+20,E633+60),IF($C634="净世破魔击·月",IF(OR(DB633&gt;0,CV633&gt;0),100,IF(模拟模式!$M$7="辉耀红尘",E633+20,E633)),IF($C634="净世破魔击·日",E633-100,E633)))))),100))</f>
        <v>0</v>
      </c>
      <c r="F634" s="115">
        <f ca="1">IF(AND(CU634,OR(C634="赤日轮1",C634="赤日轮2",C634="赤日轮3",C634="烈日斩",C634="净世破魔击·日")),100,MIN(IF(CO634,0,IF(OR($C634="幽月轮1",$C634="幽月轮2",$C634="幽月轮3"),F633+20+IF(模拟模式!$I$7="日月凌天",4,0)+IF(CS633,20,0),IF($C634="银月斩",F633+40+IF(模拟模式!$X$12=1,5,0),IF($C634="驱夜断愁",IF(模拟模式!$R$7="万念俱寂",F633+20,F633+60),IF($C634="净世破魔击·月",IF(模拟模式!$M$7="辉耀红尘",F633-80,F633-100),IF(AND(C634="净世破魔击·日",OR(DB633&gt;0,CV633&gt;0)),100,F633)))))),100))</f>
        <v>20</v>
      </c>
      <c r="G634" s="117">
        <f ca="1">('模拟-全程加成'!$E$3+'模拟-全程加成'!$E$4+'模拟-全程加成'!$E$5+('模拟-全程加成'!$C$6-'模拟-全程加成'!$C$3)*系数!$B$9+BS634*23)*(1+'模拟-全程加成'!$F$4+'模拟-全程加成'!$F$5+BJ634*10%+BM634*20%+BP634*4%+CG634*30%)+$F$7*系数!$B$12</f>
        <v>20583.127400000001</v>
      </c>
      <c r="H634" s="45">
        <f ca="1">'模拟-全程加成'!$H$3+'模拟-全程加成'!$H$4+'模拟-全程加成'!$H$5+('模拟-全程加成'!$G$4+'模拟-全程加成'!$G$5+('模拟-全程加成'!$C$6-'模拟-全程加成'!$C$3)*系数!$B$13)/系数!$B$3+LOOKUP(D634,'模拟-单技能数据'!$A$2:$A$19,'模拟-单技能数据'!$K$2:$K$19)+BG634*10%+IF(BV634&gt;0,378,0)</f>
        <v>0.54185145527300216</v>
      </c>
      <c r="I634" s="45">
        <f ca="1">'模拟-全程加成'!$J$3+'模拟-全程加成'!$J$4+'模拟-全程加成'!$J$5+('模拟-全程加成'!$I$4+'模拟-全程加成'!$I$5)/系数!$B$4+LOOKUP(D634,'模拟-单技能数据'!$A$2:$A$19,'模拟-单技能数据'!$L$2:$L$19)+BG634*10%</f>
        <v>2.162482885499879</v>
      </c>
      <c r="J634" s="45">
        <f ca="1">(('模拟-全程加成'!$K$3+'模拟-全程加成'!$K$4+'模拟-全程加成'!$K$5+('模拟-全程加成'!$C$6-'模拟-全程加成'!$C$3)*系数!$B$10+IF(BV634&gt;0,882,0)+IF(BY634&gt;0,1831,0))*(1+'模拟-全程加成'!$L$4+'模拟-全程加成'!$L$5+CC634*20%))/系数!$B$5</f>
        <v>0.85832564669386491</v>
      </c>
      <c r="K634" s="119">
        <f ca="1">LOOKUP(D634,'模拟-单技能数据'!$A$2:$A$19,'模拟-单技能数据'!$J$2:$J$19)+IF(CM634,60%,0)+IF(DB633-DB634&gt;0,30%,0)+IF(OR(AND(OR(C634="赤日轮1",C634="赤日轮2",C634="赤日轮3"),CR634),AND(OR(C634="幽月轮1",C634="幽月轮2",C634="幽月轮3"),CS634)),35%,0)+CJ634</f>
        <v>0.85000000000000009</v>
      </c>
      <c r="L634" s="119">
        <f ca="1">IF(AND(C634="烈日斩",模拟模式!$X$11=1),10%,0)+IF(AND(C634="驱夜断愁",AB634=1),30%,0)</f>
        <v>0</v>
      </c>
      <c r="M634" s="45">
        <f t="shared" ca="1" si="539"/>
        <v>0.54185145527300216</v>
      </c>
      <c r="N634" s="45">
        <f t="shared" ca="1" si="540"/>
        <v>0.40424854472699789</v>
      </c>
      <c r="O634" s="46">
        <f t="shared" ca="1" si="570"/>
        <v>0.19165794281727677</v>
      </c>
      <c r="P634" s="46" t="str">
        <f t="shared" ca="1" si="541"/>
        <v>会</v>
      </c>
      <c r="Q634" s="45">
        <f t="shared" ca="1" si="542"/>
        <v>2.162482885499879</v>
      </c>
      <c r="R634" s="117">
        <f ca="1">模拟模式!$E$20*(1-IF(模拟模式!$J$19="有",0.15,0))*(1-IF(模拟模式!$K$19="有",0.3,0)-IF(CQ634,0.5,0))</f>
        <v>843.02999999999975</v>
      </c>
      <c r="S634" s="45">
        <f ca="1">R634/(R634+(185*模拟模式!$E$22-16800)*4.08224)</f>
        <v>8.389626085980037E-2</v>
      </c>
      <c r="T634" s="45" t="str">
        <f ca="1">LOOKUP(D634,'模拟-单技能数据'!$A$2:$A$19,'模拟-单技能数据'!$H$2:$H$19)</f>
        <v>阳</v>
      </c>
      <c r="U634" s="119">
        <f t="shared" ca="1" si="543"/>
        <v>0.2</v>
      </c>
      <c r="V634" s="47">
        <f ca="1">(1+L634)*(LOOKUP(D634,'模拟-单技能数据'!$A$2:$A$19,'模拟-单技能数据'!$D$2:$D$19)+G634*LOOKUP(D634,'模拟-单技能数据'!$A$2:$A$19,'模拟-单技能数据'!$F$2:$F$19))*(1+J634)*(1+K634)*(1-S634)*(1+U634)*Q634*LOOKUP(D634,'模拟-单技能数据'!$A$2:$A$19,'模拟-单技能数据'!$I$2:$I$20)</f>
        <v>220469.88476926647</v>
      </c>
      <c r="W634" s="47">
        <f ca="1">LOOKUP(D634,'模拟-单技能数据'!$A$2:$A$19,'模拟-单技能数据'!$G$2:$G$19)*$I$10</f>
        <v>723.0212870940959</v>
      </c>
      <c r="X634" s="47">
        <f t="shared" ca="1" si="571"/>
        <v>29316.938101904405</v>
      </c>
      <c r="Y634" s="47">
        <f t="shared" ca="1" si="544"/>
        <v>250509.84415826498</v>
      </c>
      <c r="Z634" s="49">
        <f t="shared" ca="1" si="545"/>
        <v>63681411.063483559</v>
      </c>
      <c r="AA634" s="97">
        <f t="shared" ca="1" si="546"/>
        <v>113725.43641880473</v>
      </c>
      <c r="AB634" s="115">
        <f ca="1">IF(OR(C634="赤日轮1",C634="赤日轮2",C634="赤日轮3"),IF(RAND()&lt;模拟模式!$Y$17,1,0),IF(OR(C634="幽月轮1",C634="幽月轮2",C634="幽月轮3"),IF(RAND()&lt;模拟模式!$Y$18,1,0),IF(C634="烈日斩",IF(RAND()&lt;模拟模式!$Y$19,1,0),IF(C634="银月斩",IF(RAND()&lt;模拟模式!$Y$20,1,0),IF(C634="驱夜断愁",IF(RAND()&lt;模拟模式!$Y$21,1,0),IF(C634="净世破魔击·日",IF(RAND()&lt;模拟模式!$Y$22,1,0),IF(C634="净世破魔击·月",IF(RAND()&lt;模拟模式!$Y$23,1,0),0)))))))</f>
        <v>1</v>
      </c>
      <c r="AC634" s="115" t="b">
        <f t="shared" ca="1" si="547"/>
        <v>0</v>
      </c>
      <c r="AD634" s="115" t="b">
        <f t="shared" ca="1" si="548"/>
        <v>1</v>
      </c>
      <c r="AE634" s="115">
        <f t="shared" ca="1" si="549"/>
        <v>3</v>
      </c>
      <c r="AF634" s="47">
        <f ca="1">IF(AC634,('模拟-单技能数据'!$D$20+G634*'模拟-单技能数据'!$F$20)*(1+J634)*(1+'模拟-单技能数据'!$J$20)*(1+U634),0)</f>
        <v>0</v>
      </c>
      <c r="AG634" s="61">
        <f t="shared" ca="1" si="550"/>
        <v>0.64185145527300214</v>
      </c>
      <c r="AH634" s="61">
        <f t="shared" ca="1" si="551"/>
        <v>2.2624828854998791</v>
      </c>
      <c r="AI634" s="62">
        <f t="shared" ca="1" si="572"/>
        <v>0.2790270202612285</v>
      </c>
      <c r="AJ634" s="47">
        <f ca="1">IF(AD634,IF(AI634&lt;$F$10,0,IF(AI634&lt;$F$10+$F$11,0.25,IF(AI634&lt;$F$10+$F$11+AG634,AH634,1)))*IF(AF634&gt;0,AF634,IF(AF633&gt;0,AF633,IF(AF632&gt;0,AF632,IF(AF631&gt;0,AF631,IF(AF630&gt;0,AF630,IF(AF629&gt;0,AF629,IF(AF628&gt;0,AF628,IF(AF627&gt;0,AF627,IF(AF626&gt;0,AF626,IF(AF624&gt;0,AF624,IF(AF623&gt;0,AF623,IF(AF622&gt;0,AF622,0)))))))))))),0)*(1-$S634)*'模拟-单技能数据'!$I$20</f>
        <v>9218.9345386263849</v>
      </c>
      <c r="AK634" s="115" t="b">
        <f t="shared" ca="1" si="552"/>
        <v>1</v>
      </c>
      <c r="AL634" s="115" t="b">
        <f t="shared" ca="1" si="553"/>
        <v>0</v>
      </c>
      <c r="AM634" s="115">
        <f t="shared" ca="1" si="554"/>
        <v>6</v>
      </c>
      <c r="AN634" s="47">
        <f ca="1">IF(AK634,('模拟-单技能数据'!$D$21+G634*'模拟-单技能数据'!$F$21)*(1+J634)*(1+'模拟-单技能数据'!$J$21)*(1+U634),0)</f>
        <v>13288.512813173878</v>
      </c>
      <c r="AO634" s="61">
        <f ca="1">IF(AN634&gt;0,M634-'模拟-单技能数据'!$K$10,AO633)</f>
        <v>0.42185145527300216</v>
      </c>
      <c r="AP634" s="61">
        <f ca="1">IF(AN634&gt;0,I634-'模拟-单技能数据'!$L$10,AP633)</f>
        <v>2.162482885499879</v>
      </c>
      <c r="AQ634" s="63">
        <f t="shared" ca="1" si="573"/>
        <v>0.69384454164418319</v>
      </c>
      <c r="AR634" s="64">
        <f ca="1">IF(AL634,IF(AQ634&lt;$F$10,0,IF(AQ634&lt;$F$10+$F$11,0.25,IF(AQ634&lt;$F$10+$F$11+AO634,AP634,1)))*IF(AN634&gt;0,AN634,IF(AN633&gt;0,AN633,IF(AN632&gt;0,AN632,IF(AN631&gt;0,AN631,IF(AN630&gt;0,AN630,IF(AN629&gt;0,AN629,IF(AN628&gt;0,AN628,IF(AN627&gt;0,AN627,IF(AN626&gt;0,AN626,IF(AN624&gt;0,AN624,IF(AN623&gt;0,AN623,IF(AN622&gt;0,AN622,0)))))))))))),0)*(1-$S634)*'模拟-单技能数据'!$I$21</f>
        <v>0</v>
      </c>
      <c r="AS634" s="61">
        <f ca="1">IF(OR(C634="净世破魔击·日",C634="净世破魔击·月"),M634-'模拟-单技能数据'!$K$10,0)</f>
        <v>0.42185145527300216</v>
      </c>
      <c r="AT634" s="61">
        <f ca="1">IF(OR(C634="净世破魔击·日",C634="净世破魔击·月"),I634-'模拟-单技能数据'!$L$10,0)</f>
        <v>2.162482885499879</v>
      </c>
      <c r="AU634" s="62">
        <f t="shared" ca="1" si="574"/>
        <v>0.22587154463646886</v>
      </c>
      <c r="AV634" s="64">
        <f ca="1">IF(AS634&gt;0,('模拟-单技能数据'!$D$22+G634*'模拟-单技能数据'!$F$22)*(1+J634)*(1-S634)*IF(AU634&lt;$F$10,0,IF(AU634&lt;$F$10+$F$11,0.25,IF(AU634&lt;$F$10+$F$11+AS634,AT634,1)))*(1+U634),0)*'模拟-单技能数据'!$I$22</f>
        <v>20098.00356327802</v>
      </c>
      <c r="AW634" s="108">
        <f t="shared" ca="1" si="575"/>
        <v>4.3175000000000061</v>
      </c>
      <c r="AX634" s="108" t="b">
        <f ca="1">AND(模拟模式!$P$10="有",AW633=0,RAND()&lt;IF(C634="净世破魔击·月",0.1*8/3,IF(C634="净世破魔击·日",0.1*4/3,0.1*2/3)))</f>
        <v>0</v>
      </c>
      <c r="AY634" s="47">
        <f ca="1">IF(AX634,(18+G634*0.722)*(1+J634)*(1-S634)*(1+$I$4)*IF(P634="会",'模拟-全程加成'!$J$3+'模拟-全程加成'!$J$4+'模拟-全程加成'!$J$5+('模拟-全程加成'!$I$4+'模拟-全程加成'!$I$5)/系数!$B$4+BG634*10%,IF(P634="命",1,IF(P634="识",0.25,0))),0)</f>
        <v>0</v>
      </c>
      <c r="AZ634" s="108">
        <f t="shared" si="576"/>
        <v>8.0075000000000074</v>
      </c>
      <c r="BA634" s="108" t="b">
        <f>AND(模拟模式!$Q$10="有",AZ633=0)</f>
        <v>0</v>
      </c>
      <c r="BB634" s="140">
        <f>IF(BA634,(0+G634*0.287)*(1+J634)*(1-S634)*(1+$I$4)*IF(P634="会",'模拟-全程加成'!$J$3+'模拟-全程加成'!$J$4+'模拟-全程加成'!$J$5+('模拟-全程加成'!$I$4+'模拟-全程加成'!$I$5)/系数!$B$4+BG634*10%,IF(P634="命",1,IF(P634="识",0.25,0))),0)</f>
        <v>0</v>
      </c>
      <c r="BC634" s="115" t="b">
        <f ca="1">AND(模拟模式!$R$7="伏明众生",E634=60,F634=20,DA634&lt;5,CZ633&lt;$F$4)</f>
        <v>0</v>
      </c>
      <c r="BD634" s="115">
        <f t="shared" ca="1" si="555"/>
        <v>0</v>
      </c>
      <c r="BE634" s="115" t="b">
        <f t="shared" ca="1" si="556"/>
        <v>0</v>
      </c>
      <c r="BF634" s="47">
        <f ca="1">IF(BC634,4*('模拟-单技能数据'!$D$24+G634*'模拟-单技能数据'!$F$24)*(1+J634)*(1+'模拟-单技能数据'!$J$24)*(1-S634)*(1+$I$3)*(('模拟-全程加成'!$J$3+'模拟-全程加成'!$J$4+'模拟-全程加成'!$J$5+('模拟-全程加成'!$I$4+'模拟-全程加成'!$I$5)/系数!$B$4+BG634*10%)*('模拟-全程加成'!$J$3+'模拟-全程加成'!$J$4+'模拟-全程加成'!$J$5+('模拟-全程加成'!$I$4+'模拟-全程加成'!$I$5)/系数!$B$4+BG634*10%)+(1-('模拟-全程加成'!$J$3+'模拟-全程加成'!$J$4+'模拟-全程加成'!$J$5+('模拟-全程加成'!$I$4+'模拟-全程加成'!$I$5)/系数!$B$4+BG634*10%)-$F$10-$F$11)+F620*0.25),0)*'模拟-单技能数据'!$I$24</f>
        <v>0</v>
      </c>
      <c r="BG634" s="115" t="b">
        <f ca="1">OR(AND(OR(C634="烈日斩",C634="银月斩"),模拟模式!$I$7="净身明礼"),AND(C634="净世破魔击·日",模拟模式!$J$7="洞若观火"),AND(C635="净世破魔击·月",模拟模式!$J$7="洞若观火"),AB634=1)</f>
        <v>1</v>
      </c>
      <c r="BH634" s="115" t="b">
        <f t="shared" ca="1" si="577"/>
        <v>0</v>
      </c>
      <c r="BI634" s="115">
        <f t="shared" ca="1" si="557"/>
        <v>0</v>
      </c>
      <c r="BJ634" s="115" t="b">
        <f t="shared" ca="1" si="558"/>
        <v>0</v>
      </c>
      <c r="BK634" s="115" t="b">
        <f ca="1">AND(C634="驱夜断愁",模拟模式!$P$7="天地诛戮")</f>
        <v>0</v>
      </c>
      <c r="BL634" s="57">
        <f t="shared" ca="1" si="559"/>
        <v>16.310000000000002</v>
      </c>
      <c r="BM634" s="115" t="b">
        <f t="shared" ca="1" si="560"/>
        <v>1</v>
      </c>
      <c r="BN634" s="115" t="b">
        <f ca="1">AND(OR(C634="赤日轮1",C634="赤日轮2",C634="赤日轮3",C634="幽月轮1",C634="幽月轮2",C634="幽月轮3"),AB634=1,模拟模式!$L$7="明光恒照")</f>
        <v>0</v>
      </c>
      <c r="BO634" s="117">
        <f t="shared" ca="1" si="561"/>
        <v>28.155000000000001</v>
      </c>
      <c r="BP634" s="115">
        <f t="shared" ca="1" si="578"/>
        <v>6</v>
      </c>
      <c r="BQ634" s="115" t="b">
        <f>模拟模式!$K$10="2600·水"</f>
        <v>0</v>
      </c>
      <c r="BR634" s="117">
        <f t="shared" si="579"/>
        <v>0</v>
      </c>
      <c r="BS634" s="115">
        <f t="shared" si="580"/>
        <v>0</v>
      </c>
      <c r="BT634" s="115">
        <f t="shared" ca="1" si="581"/>
        <v>0</v>
      </c>
      <c r="BU634" s="115" t="b">
        <f ca="1">AND(模拟模式!$K$10="2300·雷",BT633=0,RAND()&lt;IF(C634="净世破魔击·月",5*0.05*2/3,IF(C634="净世破魔击·日",3*0.05*2/3,0.05*2*2/3)))</f>
        <v>0</v>
      </c>
      <c r="BV634" s="115">
        <f t="shared" ca="1" si="582"/>
        <v>0</v>
      </c>
      <c r="BW634" s="115">
        <f t="shared" ca="1" si="583"/>
        <v>178.15499999999997</v>
      </c>
      <c r="BX634" s="164" t="b">
        <f t="shared" ca="1" si="584"/>
        <v>0</v>
      </c>
      <c r="BY634" s="115">
        <f t="shared" ca="1" si="585"/>
        <v>13.155000000000001</v>
      </c>
      <c r="BZ634" s="115">
        <f>IF(OR(模拟模式!$P$16="10人团",模拟模式!$P$16="25人团"),IF(B634/30&gt;CA633,1,0),0)</f>
        <v>0</v>
      </c>
      <c r="CA634" s="115">
        <f t="shared" si="562"/>
        <v>0</v>
      </c>
      <c r="CB634" s="115">
        <f ca="1">IF(BZ634=1,IF(模拟模式!$P$16="10人团",15,0)+IF(模拟模式!$P$16="25人团",IF(RAND()&lt;0.6,15,0)),MAX(0,CB633-$F$4))</f>
        <v>0</v>
      </c>
      <c r="CC634" s="115" t="b">
        <f t="shared" ca="1" si="563"/>
        <v>0</v>
      </c>
      <c r="CD634" s="115">
        <f>IF(模拟模式!$Q$16="1个",IF(B634/40&gt;CE633,1,0),0)</f>
        <v>0</v>
      </c>
      <c r="CE634" s="115">
        <f t="shared" si="564"/>
        <v>0</v>
      </c>
      <c r="CF634" s="115">
        <f>IF(OR(CD634=1,模拟模式!$Q$16="2个"),20,MAX(0,CF633-$F$4))</f>
        <v>0</v>
      </c>
      <c r="CG634" s="115" t="b">
        <f t="shared" si="565"/>
        <v>0</v>
      </c>
      <c r="CH634" s="115">
        <f t="shared" ca="1" si="586"/>
        <v>28.155000000000001</v>
      </c>
      <c r="CI634" s="115" t="b">
        <f t="shared" ca="1" si="587"/>
        <v>0</v>
      </c>
      <c r="CJ634" s="119">
        <f t="shared" ca="1" si="588"/>
        <v>0.05</v>
      </c>
      <c r="CK634" s="115">
        <f t="shared" ca="1" si="589"/>
        <v>6.1549999999999994</v>
      </c>
      <c r="CL634" s="115" t="b">
        <f ca="1">AND(模拟模式!$S$7="驱夷逐法",OR(AND(C634="净世破魔击·月",E633&gt;59),AND(C634="净世破魔击·日",F633&gt;59)))</f>
        <v>0</v>
      </c>
      <c r="CM634" s="115" t="b">
        <f ca="1">OR(CL634,AND(C634="净世破魔击·日",CL633,RAND()&lt;模拟模式!$U$23))</f>
        <v>1</v>
      </c>
      <c r="CN634" s="115" t="b">
        <f ca="1">IF(模拟模式!$M$7="辉耀红尘",AND(C634="净世破魔击·月",CL634,CV634=0,E633&lt;80),AND(C634="净世破魔击·月",CL634,E633&lt;100))</f>
        <v>0</v>
      </c>
      <c r="CO634" s="115" t="b">
        <f t="shared" ca="1" si="566"/>
        <v>0</v>
      </c>
      <c r="CP634" s="115" t="b">
        <f ca="1">AND(模拟模式!$O$7="用晦而明",OR(C634="净世破魔击·日",C634="净世破魔击·月",C634="驱夜断愁"),AB634)</f>
        <v>1</v>
      </c>
      <c r="CQ634" s="115" t="b">
        <f ca="1">OR(CP634,AND(CP633,RAND()&lt;模拟模式!$U$23))</f>
        <v>1</v>
      </c>
      <c r="CR634" s="115" t="b">
        <f ca="1">AND(模拟模式!$S$7="日月齐光",OR(C634="幽月轮1",C634="幽月轮2",C634="幽月轮3",CR633),NOT(OR(C634="赤日轮1",C634="赤日轮2",C634="赤日轮3")))</f>
        <v>0</v>
      </c>
      <c r="CS634" s="115" t="b">
        <f ca="1">AND(模拟模式!$S$7="日月齐光",OR(C634="赤日轮1",C634="赤日轮2",C634="赤日轮3",CS633),NOT(OR(C634="幽月轮1",C634="幽月轮2",C634="幽月轮3")))</f>
        <v>0</v>
      </c>
      <c r="CT634" s="115">
        <f t="shared" ca="1" si="590"/>
        <v>18.930000000000007</v>
      </c>
      <c r="CU634" s="115" t="b">
        <f ca="1">AND(模拟模式!$K$10="阴阳往极",CT633=0,RAND()&lt;IF(C634="净世破魔击·月",0.0275*7/3,IF(C634="净世破魔击·日",0.0275*3/3,0.0275*2/3)))</f>
        <v>0</v>
      </c>
      <c r="CV634" s="115">
        <f t="shared" ca="1" si="591"/>
        <v>0</v>
      </c>
      <c r="CW634" s="115">
        <f t="shared" ca="1" si="592"/>
        <v>3.2324999999999995</v>
      </c>
      <c r="CX634" s="115">
        <f t="shared" ca="1" si="593"/>
        <v>1.3874999999999997</v>
      </c>
      <c r="CY634" s="115">
        <f ca="1">MAX(IF($C634="驱夜断愁",IF(模拟模式!$R$7="万念俱寂",6,45),CY633-$F$4),0)</f>
        <v>2.3099999999999996</v>
      </c>
      <c r="CZ634" s="115">
        <f t="shared" ca="1" si="567"/>
        <v>0</v>
      </c>
      <c r="DA634" s="115">
        <f ca="1">IF(模拟模式!$N$7="日月同辉",IF(DB633=2,0,MIN(6,IF(AND(OR(C634="赤日轮1",C634="赤日轮2",C634="赤日轮3",C634="幽月轮1",C634="幽月轮2",C634="幽月轮3"),AB634=1),DA633+1,DA633))),0)</f>
        <v>1</v>
      </c>
      <c r="DB634" s="115">
        <f t="shared" ca="1" si="568"/>
        <v>0</v>
      </c>
      <c r="DC634" s="115"/>
      <c r="DD634" s="115"/>
      <c r="DE634" s="115"/>
      <c r="DF634" s="115"/>
      <c r="DG634" s="115"/>
      <c r="DH634" s="115"/>
      <c r="DI634" s="115"/>
      <c r="DJ634" s="115"/>
      <c r="DK634" s="115"/>
      <c r="DL634" s="115"/>
      <c r="DM634" s="115"/>
    </row>
    <row r="635" spans="2:117" x14ac:dyDescent="0.2">
      <c r="B635" s="117">
        <f t="shared" si="569"/>
        <v>560.88000000000625</v>
      </c>
      <c r="C635" s="167" t="str">
        <f t="shared" ca="1" si="538"/>
        <v>赤日轮1</v>
      </c>
      <c r="D635" s="115">
        <f ca="1">IF(C635="赤日轮1",1,IF(C635="赤日轮2",2,IF(C635="赤日轮3",3,IF(C635="幽月轮1",4,IF(C635="幽月轮2",5,IF(C635="幽月轮3",6,IF(C635="烈日斩",7,IF(C635="银月斩",8,IF(C635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635="净世破魔击·月",17,IF(C635="驱夜断愁",18,0)))))))))))</f>
        <v>1</v>
      </c>
      <c r="E635" s="115">
        <f ca="1">IF(AND(CU635,OR(C635="幽月轮1",C635="幽月轮2",C635="幽月轮3",C635="银月斩",C635="驱夜断愁",C635="净世破魔击·月")),100,MIN(IF(OR(CN635,BE635),0,IF(OR($C635="赤日轮1",$C635="赤日轮2",$C635="赤日轮3"),E634+20+IF(模拟模式!$I$7="日月凌天",4,0)+IF(CR634,20,0),IF($C635="烈日斩",E634+40,IF($C635="驱夜断愁",IF(模拟模式!$R$7="万念俱寂",E634+20,E634+60),IF($C635="净世破魔击·月",IF(OR(DB634&gt;0,CV634&gt;0),100,IF(模拟模式!$M$7="辉耀红尘",E634+20,E634)),IF($C635="净世破魔击·日",E634-100,E634)))))),100))</f>
        <v>20</v>
      </c>
      <c r="F635" s="115">
        <f ca="1">IF(AND(CU635,OR(C635="赤日轮1",C635="赤日轮2",C635="赤日轮3",C635="烈日斩",C635="净世破魔击·日")),100,MIN(IF(CO635,0,IF(OR($C635="幽月轮1",$C635="幽月轮2",$C635="幽月轮3"),F634+20+IF(模拟模式!$I$7="日月凌天",4,0)+IF(CS634,20,0),IF($C635="银月斩",F634+40+IF(模拟模式!$X$12=1,5,0),IF($C635="驱夜断愁",IF(模拟模式!$R$7="万念俱寂",F634+20,F634+60),IF($C635="净世破魔击·月",IF(模拟模式!$M$7="辉耀红尘",F634-80,F634-100),IF(AND(C635="净世破魔击·日",OR(DB634&gt;0,CV634&gt;0)),100,F634)))))),100))</f>
        <v>20</v>
      </c>
      <c r="G635" s="117">
        <f ca="1">('模拟-全程加成'!$E$3+'模拟-全程加成'!$E$4+'模拟-全程加成'!$E$5+('模拟-全程加成'!$C$6-'模拟-全程加成'!$C$3)*系数!$B$9+BS635*23)*(1+'模拟-全程加成'!$F$4+'模拟-全程加成'!$F$5+BJ635*10%+BM635*20%+BP635*4%+CG635*30%)+$F$7*系数!$B$12</f>
        <v>20583.127400000001</v>
      </c>
      <c r="H635" s="45">
        <f ca="1">'模拟-全程加成'!$H$3+'模拟-全程加成'!$H$4+'模拟-全程加成'!$H$5+('模拟-全程加成'!$G$4+'模拟-全程加成'!$G$5+('模拟-全程加成'!$C$6-'模拟-全程加成'!$C$3)*系数!$B$13)/系数!$B$3+LOOKUP(D635,'模拟-单技能数据'!$A$2:$A$19,'模拟-单技能数据'!$K$2:$K$19)+BG635*10%+IF(BV635&gt;0,378,0)</f>
        <v>0.4618514552730022</v>
      </c>
      <c r="I635" s="45">
        <f ca="1">'模拟-全程加成'!$J$3+'模拟-全程加成'!$J$4+'模拟-全程加成'!$J$5+('模拟-全程加成'!$I$4+'模拟-全程加成'!$I$5)/系数!$B$4+LOOKUP(D635,'模拟-单技能数据'!$A$2:$A$19,'模拟-单技能数据'!$L$2:$L$19)+BG635*10%</f>
        <v>2.162482885499879</v>
      </c>
      <c r="J635" s="45">
        <f ca="1">(('模拟-全程加成'!$K$3+'模拟-全程加成'!$K$4+'模拟-全程加成'!$K$5+('模拟-全程加成'!$C$6-'模拟-全程加成'!$C$3)*系数!$B$10+IF(BV635&gt;0,882,0)+IF(BY635&gt;0,1831,0))*(1+'模拟-全程加成'!$L$4+'模拟-全程加成'!$L$5+CC635*20%))/系数!$B$5</f>
        <v>0.85832564669386491</v>
      </c>
      <c r="K635" s="119">
        <f ca="1">LOOKUP(D635,'模拟-单技能数据'!$A$2:$A$19,'模拟-单技能数据'!$J$2:$J$19)+IF(CM635,60%,0)+IF(DB634-DB635&gt;0,30%,0)+IF(OR(AND(OR(C635="赤日轮1",C635="赤日轮2",C635="赤日轮3"),CR635),AND(OR(C635="幽月轮1",C635="幽月轮2",C635="幽月轮3"),CS635)),35%,0)+CJ635</f>
        <v>0.16999999999999998</v>
      </c>
      <c r="L635" s="119">
        <f ca="1">IF(AND(C635="烈日斩",模拟模式!$X$11=1),10%,0)+IF(AND(C635="驱夜断愁",AB635=1),30%,0)</f>
        <v>0</v>
      </c>
      <c r="M635" s="45">
        <f t="shared" ca="1" si="539"/>
        <v>0.4618514552730022</v>
      </c>
      <c r="N635" s="45">
        <f t="shared" ca="1" si="540"/>
        <v>0.48424854472699785</v>
      </c>
      <c r="O635" s="46">
        <f t="shared" ca="1" si="570"/>
        <v>0.50251535894316735</v>
      </c>
      <c r="P635" s="46" t="str">
        <f t="shared" ca="1" si="541"/>
        <v>会</v>
      </c>
      <c r="Q635" s="45">
        <f t="shared" ca="1" si="542"/>
        <v>2.162482885499879</v>
      </c>
      <c r="R635" s="117">
        <f ca="1">模拟模式!$E$20*(1-IF(模拟模式!$J$19="有",0.15,0))*(1-IF(模拟模式!$K$19="有",0.3,0)-IF(CQ635,0.5,0))</f>
        <v>843.02999999999975</v>
      </c>
      <c r="S635" s="45">
        <f ca="1">R635/(R635+(185*模拟模式!$E$22-16800)*4.08224)</f>
        <v>8.389626085980037E-2</v>
      </c>
      <c r="T635" s="45" t="str">
        <f ca="1">LOOKUP(D635,'模拟-单技能数据'!$A$2:$A$19,'模拟-单技能数据'!$H$2:$H$19)</f>
        <v>阳</v>
      </c>
      <c r="U635" s="119">
        <f t="shared" ca="1" si="543"/>
        <v>0.2</v>
      </c>
      <c r="V635" s="47">
        <f ca="1">(1+L635)*(LOOKUP(D635,'模拟-单技能数据'!$A$2:$A$19,'模拟-单技能数据'!$D$2:$D$19)+G635*LOOKUP(D635,'模拟-单技能数据'!$A$2:$A$19,'模拟-单技能数据'!$F$2:$F$19))*(1+J635)*(1+K635)*(1-S635)*(1+U635)*Q635*LOOKUP(D635,'模拟-单技能数据'!$A$2:$A$19,'模拟-单技能数据'!$I$2:$I$20)</f>
        <v>62316.911702348516</v>
      </c>
      <c r="W635" s="47">
        <f ca="1">LOOKUP(D635,'模拟-单技能数据'!$A$2:$A$19,'模拟-单技能数据'!$G$2:$G$19)*$I$10</f>
        <v>361.51064354704795</v>
      </c>
      <c r="X635" s="47">
        <f t="shared" ca="1" si="571"/>
        <v>12173.656275761043</v>
      </c>
      <c r="Y635" s="47">
        <f t="shared" ca="1" si="544"/>
        <v>74852.078621656605</v>
      </c>
      <c r="Z635" s="49">
        <f t="shared" ca="1" si="545"/>
        <v>63756263.142105214</v>
      </c>
      <c r="AA635" s="97">
        <f t="shared" ca="1" si="546"/>
        <v>113671.84271520558</v>
      </c>
      <c r="AB635" s="115">
        <f ca="1">IF(OR(C635="赤日轮1",C635="赤日轮2",C635="赤日轮3"),IF(RAND()&lt;模拟模式!$Y$17,1,0),IF(OR(C635="幽月轮1",C635="幽月轮2",C635="幽月轮3"),IF(RAND()&lt;模拟模式!$Y$18,1,0),IF(C635="烈日斩",IF(RAND()&lt;模拟模式!$Y$19,1,0),IF(C635="银月斩",IF(RAND()&lt;模拟模式!$Y$20,1,0),IF(C635="驱夜断愁",IF(RAND()&lt;模拟模式!$Y$21,1,0),IF(C635="净世破魔击·日",IF(RAND()&lt;模拟模式!$Y$22,1,0),IF(C635="净世破魔击·月",IF(RAND()&lt;模拟模式!$Y$23,1,0),0)))))))</f>
        <v>1</v>
      </c>
      <c r="AC635" s="115" t="b">
        <f t="shared" ca="1" si="547"/>
        <v>0</v>
      </c>
      <c r="AD635" s="115" t="b">
        <f t="shared" ca="1" si="548"/>
        <v>0</v>
      </c>
      <c r="AE635" s="115">
        <f t="shared" ca="1" si="549"/>
        <v>3</v>
      </c>
      <c r="AF635" s="47">
        <f ca="1">IF(AC635,('模拟-单技能数据'!$D$20+G635*'模拟-单技能数据'!$F$20)*(1+J635)*(1+'模拟-单技能数据'!$J$20)*(1+U635),0)</f>
        <v>0</v>
      </c>
      <c r="AG635" s="61">
        <f t="shared" ca="1" si="550"/>
        <v>0.64185145527300214</v>
      </c>
      <c r="AH635" s="61">
        <f t="shared" ca="1" si="551"/>
        <v>2.2624828854998791</v>
      </c>
      <c r="AI635" s="62">
        <f t="shared" ca="1" si="572"/>
        <v>0.88416429017868547</v>
      </c>
      <c r="AJ635" s="47">
        <f ca="1">IF(AD635,IF(AI635&lt;$F$10,0,IF(AI635&lt;$F$10+$F$11,0.25,IF(AI635&lt;$F$10+$F$11+AG635,AH635,1)))*IF(AF635&gt;0,AF635,IF(AF634&gt;0,AF634,IF(AF633&gt;0,AF633,IF(AF632&gt;0,AF632,IF(AF631&gt;0,AF631,IF(AF630&gt;0,AF630,IF(AF629&gt;0,AF629,IF(AF628&gt;0,AF628,IF(AF627&gt;0,AF627,IF(AF625&gt;0,AF625,IF(AF624&gt;0,AF624,IF(AF623&gt;0,AF623,0)))))))))))),0)*(1-$S635)*'模拟-单技能数据'!$I$20</f>
        <v>0</v>
      </c>
      <c r="AK635" s="115" t="b">
        <f t="shared" ca="1" si="552"/>
        <v>0</v>
      </c>
      <c r="AL635" s="115" t="b">
        <f t="shared" ca="1" si="553"/>
        <v>1</v>
      </c>
      <c r="AM635" s="115">
        <f t="shared" ca="1" si="554"/>
        <v>5</v>
      </c>
      <c r="AN635" s="47">
        <f ca="1">IF(AK635,('模拟-单技能数据'!$D$21+G635*'模拟-单技能数据'!$F$21)*(1+J635)*(1+'模拟-单技能数据'!$J$21)*(1+U635),0)</f>
        <v>0</v>
      </c>
      <c r="AO635" s="61">
        <f ca="1">IF(AN635&gt;0,M635-'模拟-单技能数据'!$K$10,AO634)</f>
        <v>0.42185145527300216</v>
      </c>
      <c r="AP635" s="61">
        <f ca="1">IF(AN635&gt;0,I635-'模拟-单技能数据'!$L$10,AP634)</f>
        <v>2.162482885499879</v>
      </c>
      <c r="AQ635" s="63">
        <f t="shared" ca="1" si="573"/>
        <v>0.60640187492860798</v>
      </c>
      <c r="AR635" s="64">
        <f ca="1">IF(AL635,IF(AQ635&lt;$F$10,0,IF(AQ635&lt;$F$10+$F$11,0.25,IF(AQ635&lt;$F$10+$F$11+AO635,AP635,1)))*IF(AN635&gt;0,AN635,IF(AN634&gt;0,AN634,IF(AN633&gt;0,AN633,IF(AN632&gt;0,AN632,IF(AN631&gt;0,AN631,IF(AN630&gt;0,AN630,IF(AN629&gt;0,AN629,IF(AN628&gt;0,AN628,IF(AN627&gt;0,AN627,IF(AN625&gt;0,AN625,IF(AN624&gt;0,AN624,IF(AN623&gt;0,AN623,0)))))))))))),0)*(1-$S635)*'模拟-单技能数据'!$I$21</f>
        <v>12173.656275761043</v>
      </c>
      <c r="AS635" s="61">
        <f ca="1">IF(OR(C635="净世破魔击·日",C635="净世破魔击·月"),M635-'模拟-单技能数据'!$K$10,0)</f>
        <v>0</v>
      </c>
      <c r="AT635" s="61">
        <f ca="1">IF(OR(C635="净世破魔击·日",C635="净世破魔击·月"),I635-'模拟-单技能数据'!$L$10,0)</f>
        <v>0</v>
      </c>
      <c r="AU635" s="62">
        <f t="shared" ca="1" si="574"/>
        <v>0.4999510164218427</v>
      </c>
      <c r="AV635" s="64">
        <f ca="1">IF(AS635&gt;0,('模拟-单技能数据'!$D$22+G635*'模拟-单技能数据'!$F$22)*(1+J635)*(1-S635)*IF(AU635&lt;$F$10,0,IF(AU635&lt;$F$10+$F$11,0.25,IF(AU635&lt;$F$10+$F$11+AS635,AT635,1)))*(1+U635),0)*'模拟-单技能数据'!$I$22</f>
        <v>0</v>
      </c>
      <c r="AW635" s="108">
        <f t="shared" ca="1" si="575"/>
        <v>3.3950000000000062</v>
      </c>
      <c r="AX635" s="108" t="b">
        <f ca="1">AND(模拟模式!$P$10="有",AW634=0,RAND()&lt;IF(C635="净世破魔击·月",0.1*8/3,IF(C635="净世破魔击·日",0.1*4/3,0.1*2/3)))</f>
        <v>0</v>
      </c>
      <c r="AY635" s="47">
        <f ca="1">IF(AX635,(18+G635*0.722)*(1+J635)*(1-S635)*(1+$I$4)*IF(P635="会",'模拟-全程加成'!$J$3+'模拟-全程加成'!$J$4+'模拟-全程加成'!$J$5+('模拟-全程加成'!$I$4+'模拟-全程加成'!$I$5)/系数!$B$4+BG635*10%,IF(P635="命",1,IF(P635="识",0.25,0))),0)</f>
        <v>0</v>
      </c>
      <c r="AZ635" s="108">
        <f t="shared" si="576"/>
        <v>7.0850000000000071</v>
      </c>
      <c r="BA635" s="108" t="b">
        <f>AND(模拟模式!$Q$10="有",AZ634=0)</f>
        <v>0</v>
      </c>
      <c r="BB635" s="140">
        <f>IF(BA635,(0+G635*0.287)*(1+J635)*(1-S635)*(1+$I$4)*IF(P635="会",'模拟-全程加成'!$J$3+'模拟-全程加成'!$J$4+'模拟-全程加成'!$J$5+('模拟-全程加成'!$I$4+'模拟-全程加成'!$I$5)/系数!$B$4+BG635*10%,IF(P635="命",1,IF(P635="识",0.25,0))),0)</f>
        <v>0</v>
      </c>
      <c r="BC635" s="115" t="b">
        <f ca="1">AND(模拟模式!$R$7="伏明众生",E635=60,F635=20,DA635&lt;5,CZ634&lt;$F$4)</f>
        <v>0</v>
      </c>
      <c r="BD635" s="115">
        <f t="shared" ca="1" si="555"/>
        <v>0</v>
      </c>
      <c r="BE635" s="115" t="b">
        <f t="shared" ca="1" si="556"/>
        <v>0</v>
      </c>
      <c r="BF635" s="47">
        <f ca="1">IF(BC635,4*('模拟-单技能数据'!$D$24+G635*'模拟-单技能数据'!$F$24)*(1+J635)*(1+'模拟-单技能数据'!$J$24)*(1-S635)*(1+$I$3)*(('模拟-全程加成'!$J$3+'模拟-全程加成'!$J$4+'模拟-全程加成'!$J$5+('模拟-全程加成'!$I$4+'模拟-全程加成'!$I$5)/系数!$B$4+BG635*10%)*('模拟-全程加成'!$J$3+'模拟-全程加成'!$J$4+'模拟-全程加成'!$J$5+('模拟-全程加成'!$I$4+'模拟-全程加成'!$I$5)/系数!$B$4+BG635*10%)+(1-('模拟-全程加成'!$J$3+'模拟-全程加成'!$J$4+'模拟-全程加成'!$J$5+('模拟-全程加成'!$I$4+'模拟-全程加成'!$I$5)/系数!$B$4+BG635*10%)-$F$10-$F$11)+F621*0.25),0)*'模拟-单技能数据'!$I$24</f>
        <v>0</v>
      </c>
      <c r="BG635" s="115" t="b">
        <f ca="1">OR(AND(OR(C635="烈日斩",C635="银月斩"),模拟模式!$I$7="净身明礼"),AND(C635="净世破魔击·日",模拟模式!$J$7="洞若观火"),AND(C636="净世破魔击·月",模拟模式!$J$7="洞若观火"),AB635=1)</f>
        <v>1</v>
      </c>
      <c r="BH635" s="115" t="b">
        <f t="shared" ca="1" si="577"/>
        <v>0</v>
      </c>
      <c r="BI635" s="115">
        <f t="shared" ca="1" si="557"/>
        <v>0</v>
      </c>
      <c r="BJ635" s="115" t="b">
        <f t="shared" ca="1" si="558"/>
        <v>0</v>
      </c>
      <c r="BK635" s="115" t="b">
        <f ca="1">AND(C635="驱夜断愁",模拟模式!$P$7="天地诛戮")</f>
        <v>0</v>
      </c>
      <c r="BL635" s="57">
        <f t="shared" ca="1" si="559"/>
        <v>15.387500000000003</v>
      </c>
      <c r="BM635" s="115" t="b">
        <f t="shared" ca="1" si="560"/>
        <v>1</v>
      </c>
      <c r="BN635" s="115" t="b">
        <f ca="1">AND(OR(C635="赤日轮1",C635="赤日轮2",C635="赤日轮3",C635="幽月轮1",C635="幽月轮2",C635="幽月轮3"),AB635=1,模拟模式!$L$7="明光恒照")</f>
        <v>1</v>
      </c>
      <c r="BO635" s="117">
        <f t="shared" ca="1" si="561"/>
        <v>30</v>
      </c>
      <c r="BP635" s="115">
        <f t="shared" ca="1" si="578"/>
        <v>6</v>
      </c>
      <c r="BQ635" s="115" t="b">
        <f>模拟模式!$K$10="2600·水"</f>
        <v>0</v>
      </c>
      <c r="BR635" s="117">
        <f t="shared" si="579"/>
        <v>0</v>
      </c>
      <c r="BS635" s="115">
        <f t="shared" si="580"/>
        <v>0</v>
      </c>
      <c r="BT635" s="115">
        <f t="shared" ca="1" si="581"/>
        <v>0</v>
      </c>
      <c r="BU635" s="115" t="b">
        <f ca="1">AND(模拟模式!$K$10="2300·雷",BT634=0,RAND()&lt;IF(C635="净世破魔击·月",5*0.05*2/3,IF(C635="净世破魔击·日",3*0.05*2/3,0.05*2*2/3)))</f>
        <v>0</v>
      </c>
      <c r="BV635" s="115">
        <f t="shared" ca="1" si="582"/>
        <v>0</v>
      </c>
      <c r="BW635" s="115">
        <f t="shared" ca="1" si="583"/>
        <v>177.23249999999996</v>
      </c>
      <c r="BX635" s="164" t="b">
        <f t="shared" ca="1" si="584"/>
        <v>0</v>
      </c>
      <c r="BY635" s="115">
        <f t="shared" ca="1" si="585"/>
        <v>12.232500000000002</v>
      </c>
      <c r="BZ635" s="115">
        <f>IF(OR(模拟模式!$P$16="10人团",模拟模式!$P$16="25人团"),IF(B635/30&gt;CA634,1,0),0)</f>
        <v>0</v>
      </c>
      <c r="CA635" s="115">
        <f t="shared" si="562"/>
        <v>0</v>
      </c>
      <c r="CB635" s="115">
        <f ca="1">IF(BZ635=1,IF(模拟模式!$P$16="10人团",15,0)+IF(模拟模式!$P$16="25人团",IF(RAND()&lt;0.6,15,0)),MAX(0,CB634-$F$4))</f>
        <v>0</v>
      </c>
      <c r="CC635" s="115" t="b">
        <f t="shared" ca="1" si="563"/>
        <v>0</v>
      </c>
      <c r="CD635" s="115">
        <f>IF(模拟模式!$Q$16="1个",IF(B635/40&gt;CE634,1,0),0)</f>
        <v>0</v>
      </c>
      <c r="CE635" s="115">
        <f t="shared" si="564"/>
        <v>0</v>
      </c>
      <c r="CF635" s="115">
        <f>IF(OR(CD635=1,模拟模式!$Q$16="2个"),20,MAX(0,CF634-$F$4))</f>
        <v>0</v>
      </c>
      <c r="CG635" s="115" t="b">
        <f t="shared" si="565"/>
        <v>0</v>
      </c>
      <c r="CH635" s="115">
        <f t="shared" ca="1" si="586"/>
        <v>27.232500000000002</v>
      </c>
      <c r="CI635" s="115" t="b">
        <f t="shared" ca="1" si="587"/>
        <v>0</v>
      </c>
      <c r="CJ635" s="119">
        <f t="shared" ca="1" si="588"/>
        <v>0.05</v>
      </c>
      <c r="CK635" s="115">
        <f t="shared" ca="1" si="589"/>
        <v>5.232499999999999</v>
      </c>
      <c r="CL635" s="115" t="b">
        <f ca="1">AND(模拟模式!$S$7="驱夷逐法",OR(AND(C635="净世破魔击·月",E634&gt;59),AND(C635="净世破魔击·日",F634&gt;59)))</f>
        <v>0</v>
      </c>
      <c r="CM635" s="115" t="b">
        <f ca="1">OR(CL635,AND(C635="净世破魔击·日",CL634,RAND()&lt;模拟模式!$U$23))</f>
        <v>0</v>
      </c>
      <c r="CN635" s="115" t="b">
        <f ca="1">IF(模拟模式!$M$7="辉耀红尘",AND(C635="净世破魔击·月",CL635,CV635=0,E634&lt;80),AND(C635="净世破魔击·月",CL635,E634&lt;100))</f>
        <v>0</v>
      </c>
      <c r="CO635" s="115" t="b">
        <f t="shared" ca="1" si="566"/>
        <v>0</v>
      </c>
      <c r="CP635" s="115" t="b">
        <f ca="1">AND(模拟模式!$O$7="用晦而明",OR(C635="净世破魔击·日",C635="净世破魔击·月",C635="驱夜断愁"),AB635)</f>
        <v>0</v>
      </c>
      <c r="CQ635" s="115" t="b">
        <f ca="1">OR(CP635,AND(CP634,RAND()&lt;模拟模式!$U$23))</f>
        <v>1</v>
      </c>
      <c r="CR635" s="115" t="b">
        <f ca="1">AND(模拟模式!$S$7="日月齐光",OR(C635="幽月轮1",C635="幽月轮2",C635="幽月轮3",CR634),NOT(OR(C635="赤日轮1",C635="赤日轮2",C635="赤日轮3")))</f>
        <v>0</v>
      </c>
      <c r="CS635" s="115" t="b">
        <f ca="1">AND(模拟模式!$S$7="日月齐光",OR(C635="赤日轮1",C635="赤日轮2",C635="赤日轮3",CS634),NOT(OR(C635="幽月轮1",C635="幽月轮2",C635="幽月轮3")))</f>
        <v>0</v>
      </c>
      <c r="CT635" s="115">
        <f t="shared" ca="1" si="590"/>
        <v>18.007500000000007</v>
      </c>
      <c r="CU635" s="115" t="b">
        <f ca="1">AND(模拟模式!$K$10="阴阳往极",CT634=0,RAND()&lt;IF(C635="净世破魔击·月",0.0275*7/3,IF(C635="净世破魔击·日",0.0275*3/3,0.0275*2/3)))</f>
        <v>0</v>
      </c>
      <c r="CV635" s="115">
        <f t="shared" ca="1" si="591"/>
        <v>0</v>
      </c>
      <c r="CW635" s="115">
        <f t="shared" ca="1" si="592"/>
        <v>2.3099999999999996</v>
      </c>
      <c r="CX635" s="115">
        <f t="shared" ca="1" si="593"/>
        <v>0.46499999999999975</v>
      </c>
      <c r="CY635" s="115">
        <f ca="1">MAX(IF($C635="驱夜断愁",IF(模拟模式!$R$7="万念俱寂",6,45),CY634-$F$4),0)</f>
        <v>1.3874999999999997</v>
      </c>
      <c r="CZ635" s="115">
        <f t="shared" ca="1" si="567"/>
        <v>0</v>
      </c>
      <c r="DA635" s="115">
        <f ca="1">IF(模拟模式!$N$7="日月同辉",IF(DB634=2,0,MIN(6,IF(AND(OR(C635="赤日轮1",C635="赤日轮2",C635="赤日轮3",C635="幽月轮1",C635="幽月轮2",C635="幽月轮3"),AB635=1),DA634+1,DA634))),0)</f>
        <v>2</v>
      </c>
      <c r="DB635" s="115">
        <f t="shared" ca="1" si="568"/>
        <v>0</v>
      </c>
      <c r="DC635" s="115"/>
      <c r="DD635" s="115"/>
      <c r="DE635" s="115"/>
      <c r="DF635" s="115"/>
      <c r="DG635" s="115"/>
      <c r="DH635" s="115"/>
      <c r="DI635" s="115"/>
      <c r="DJ635" s="115"/>
      <c r="DK635" s="115"/>
      <c r="DL635" s="115"/>
      <c r="DM635" s="115"/>
    </row>
    <row r="636" spans="2:117" x14ac:dyDescent="0.2">
      <c r="B636" s="117">
        <f t="shared" si="569"/>
        <v>561.80250000000626</v>
      </c>
      <c r="C636" s="167" t="str">
        <f t="shared" ca="1" si="538"/>
        <v>银月斩</v>
      </c>
      <c r="D636" s="115">
        <f ca="1">IF(C636="赤日轮1",1,IF(C636="赤日轮2",2,IF(C636="赤日轮3",3,IF(C636="幽月轮1",4,IF(C636="幽月轮2",5,IF(C636="幽月轮3",6,IF(C636="烈日斩",7,IF(C636="银月斩",8,IF(C636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636="净世破魔击·月",17,IF(C636="驱夜断愁",18,0)))))))))))</f>
        <v>8</v>
      </c>
      <c r="E636" s="115">
        <f ca="1">IF(AND(CU636,OR(C636="幽月轮1",C636="幽月轮2",C636="幽月轮3",C636="银月斩",C636="驱夜断愁",C636="净世破魔击·月")),100,MIN(IF(OR(CN636,BE636),0,IF(OR($C636="赤日轮1",$C636="赤日轮2",$C636="赤日轮3"),E635+20+IF(模拟模式!$I$7="日月凌天",4,0)+IF(CR635,20,0),IF($C636="烈日斩",E635+40,IF($C636="驱夜断愁",IF(模拟模式!$R$7="万念俱寂",E635+20,E635+60),IF($C636="净世破魔击·月",IF(OR(DB635&gt;0,CV635&gt;0),100,IF(模拟模式!$M$7="辉耀红尘",E635+20,E635)),IF($C636="净世破魔击·日",E635-100,E635)))))),100))</f>
        <v>20</v>
      </c>
      <c r="F636" s="115">
        <f ca="1">IF(AND(CU636,OR(C636="赤日轮1",C636="赤日轮2",C636="赤日轮3",C636="烈日斩",C636="净世破魔击·日")),100,MIN(IF(CO636,0,IF(OR($C636="幽月轮1",$C636="幽月轮2",$C636="幽月轮3"),F635+20+IF(模拟模式!$I$7="日月凌天",4,0)+IF(CS635,20,0),IF($C636="银月斩",F635+40+IF(模拟模式!$X$12=1,5,0),IF($C636="驱夜断愁",IF(模拟模式!$R$7="万念俱寂",F635+20,F635+60),IF($C636="净世破魔击·月",IF(模拟模式!$M$7="辉耀红尘",F635-80,F635-100),IF(AND(C636="净世破魔击·日",OR(DB635&gt;0,CV635&gt;0)),100,F635)))))),100))</f>
        <v>65</v>
      </c>
      <c r="G636" s="117">
        <f ca="1">('模拟-全程加成'!$E$3+'模拟-全程加成'!$E$4+'模拟-全程加成'!$E$5+('模拟-全程加成'!$C$6-'模拟-全程加成'!$C$3)*系数!$B$9+BS636*23)*(1+'模拟-全程加成'!$F$4+'模拟-全程加成'!$F$5+BJ636*10%+BM636*20%+BP636*4%+CG636*30%)+$F$7*系数!$B$12</f>
        <v>20583.127400000001</v>
      </c>
      <c r="H636" s="45">
        <f ca="1">'模拟-全程加成'!$H$3+'模拟-全程加成'!$H$4+'模拟-全程加成'!$H$5+('模拟-全程加成'!$G$4+'模拟-全程加成'!$G$5+('模拟-全程加成'!$C$6-'模拟-全程加成'!$C$3)*系数!$B$13)/系数!$B$3+LOOKUP(D636,'模拟-单技能数据'!$A$2:$A$19,'模拟-单技能数据'!$K$2:$K$19)+BG636*10%+IF(BV636&gt;0,378,0)</f>
        <v>0.64185145527300214</v>
      </c>
      <c r="I636" s="45">
        <f ca="1">'模拟-全程加成'!$J$3+'模拟-全程加成'!$J$4+'模拟-全程加成'!$J$5+('模拟-全程加成'!$I$4+'模拟-全程加成'!$I$5)/系数!$B$4+LOOKUP(D636,'模拟-单技能数据'!$A$2:$A$19,'模拟-单技能数据'!$L$2:$L$19)+BG636*10%</f>
        <v>2.2624828854998791</v>
      </c>
      <c r="J636" s="45">
        <f ca="1">(('模拟-全程加成'!$K$3+'模拟-全程加成'!$K$4+'模拟-全程加成'!$K$5+('模拟-全程加成'!$C$6-'模拟-全程加成'!$C$3)*系数!$B$10+IF(BV636&gt;0,882,0)+IF(BY636&gt;0,1831,0))*(1+'模拟-全程加成'!$L$4+'模拟-全程加成'!$L$5+CC636*20%))/系数!$B$5</f>
        <v>0.85832564669386491</v>
      </c>
      <c r="K636" s="119">
        <f ca="1">LOOKUP(D636,'模拟-单技能数据'!$A$2:$A$19,'模拟-单技能数据'!$J$2:$J$19)+IF(CM636,60%,0)+IF(DB635-DB636&gt;0,30%,0)+IF(OR(AND(OR(C636="赤日轮1",C636="赤日轮2",C636="赤日轮3"),CR636),AND(OR(C636="幽月轮1",C636="幽月轮2",C636="幽月轮3"),CS636)),35%,0)+CJ636</f>
        <v>0.2</v>
      </c>
      <c r="L636" s="119">
        <f ca="1">IF(AND(C636="烈日斩",模拟模式!$X$11=1),10%,0)+IF(AND(C636="驱夜断愁",AB636=1),30%,0)</f>
        <v>0</v>
      </c>
      <c r="M636" s="45">
        <f t="shared" ca="1" si="539"/>
        <v>0.64185145527300214</v>
      </c>
      <c r="N636" s="45">
        <f t="shared" ca="1" si="540"/>
        <v>0.30424854472699792</v>
      </c>
      <c r="O636" s="46">
        <f t="shared" ca="1" si="570"/>
        <v>0.8527179343406327</v>
      </c>
      <c r="P636" s="46" t="str">
        <f t="shared" ca="1" si="541"/>
        <v>命</v>
      </c>
      <c r="Q636" s="45">
        <f t="shared" ca="1" si="542"/>
        <v>1</v>
      </c>
      <c r="R636" s="117">
        <f ca="1">模拟模式!$E$20*(1-IF(模拟模式!$J$19="有",0.15,0))*(1-IF(模拟模式!$K$19="有",0.3,0)-IF(CQ636,0.5,0))</f>
        <v>2950.6049999999996</v>
      </c>
      <c r="S636" s="45">
        <f ca="1">R636/(R636+(185*模拟模式!$E$22-16800)*4.08224)</f>
        <v>0.24272716014590323</v>
      </c>
      <c r="T636" s="45" t="str">
        <f ca="1">LOOKUP(D636,'模拟-单技能数据'!$A$2:$A$19,'模拟-单技能数据'!$H$2:$H$19)</f>
        <v>阴</v>
      </c>
      <c r="U636" s="119">
        <f t="shared" ca="1" si="543"/>
        <v>0.08</v>
      </c>
      <c r="V636" s="47">
        <f ca="1">(1+L636)*(LOOKUP(D636,'模拟-单技能数据'!$A$2:$A$19,'模拟-单技能数据'!$D$2:$D$19)+G636*LOOKUP(D636,'模拟-单技能数据'!$A$2:$A$19,'模拟-单技能数据'!$F$2:$F$19))*(1+J636)*(1+K636)*(1-S636)*(1+U636)*Q636*LOOKUP(D636,'模拟-单技能数据'!$A$2:$A$19,'模拟-单技能数据'!$I$2:$I$20)</f>
        <v>19937.477857888993</v>
      </c>
      <c r="W636" s="47">
        <f ca="1">LOOKUP(D636,'模拟-单技能数据'!$A$2:$A$19,'模拟-单技能数据'!$G$2:$G$19)*$I$10</f>
        <v>361.51064354704795</v>
      </c>
      <c r="X636" s="47">
        <f t="shared" ca="1" si="571"/>
        <v>3687.9388422777829</v>
      </c>
      <c r="Y636" s="47">
        <f t="shared" ca="1" si="544"/>
        <v>23986.927343713825</v>
      </c>
      <c r="Z636" s="49">
        <f t="shared" ca="1" si="545"/>
        <v>63780250.069448926</v>
      </c>
      <c r="AA636" s="97">
        <f t="shared" ca="1" si="546"/>
        <v>113527.8858129827</v>
      </c>
      <c r="AB636" s="115">
        <f ca="1">IF(OR(C636="赤日轮1",C636="赤日轮2",C636="赤日轮3"),IF(RAND()&lt;模拟模式!$Y$17,1,0),IF(OR(C636="幽月轮1",C636="幽月轮2",C636="幽月轮3"),IF(RAND()&lt;模拟模式!$Y$18,1,0),IF(C636="烈日斩",IF(RAND()&lt;模拟模式!$Y$19,1,0),IF(C636="银月斩",IF(RAND()&lt;模拟模式!$Y$20,1,0),IF(C636="驱夜断愁",IF(RAND()&lt;模拟模式!$Y$21,1,0),IF(C636="净世破魔击·日",IF(RAND()&lt;模拟模式!$Y$22,1,0),IF(C636="净世破魔击·月",IF(RAND()&lt;模拟模式!$Y$23,1,0),0)))))))</f>
        <v>1</v>
      </c>
      <c r="AC636" s="115" t="b">
        <f t="shared" ca="1" si="547"/>
        <v>1</v>
      </c>
      <c r="AD636" s="115" t="b">
        <f t="shared" ca="1" si="548"/>
        <v>1</v>
      </c>
      <c r="AE636" s="115">
        <f t="shared" ca="1" si="549"/>
        <v>5</v>
      </c>
      <c r="AF636" s="47">
        <f ca="1">IF(AC636,('模拟-单技能数据'!$D$20+G636*'模拟-单技能数据'!$F$20)*(1+J636)*(1+'模拟-单技能数据'!$J$20)*(1+U636),0)</f>
        <v>4870.026558708134</v>
      </c>
      <c r="AG636" s="61">
        <f t="shared" ca="1" si="550"/>
        <v>0.64185145527300214</v>
      </c>
      <c r="AH636" s="61">
        <f t="shared" ca="1" si="551"/>
        <v>2.2624828854998791</v>
      </c>
      <c r="AI636" s="62">
        <f t="shared" ca="1" si="572"/>
        <v>0.89697169335634575</v>
      </c>
      <c r="AJ636" s="47">
        <f ca="1">IF(AD636,IF(AI636&lt;$F$10,0,IF(AI636&lt;$F$10+$F$11,0.25,IF(AI636&lt;$F$10+$F$11+AG636,AH636,1)))*IF(AF636&gt;0,AF636,IF(AF635&gt;0,AF635,IF(AF634&gt;0,AF634,IF(AF633&gt;0,AF633,IF(AF632&gt;0,AF632,IF(AF631&gt;0,AF631,IF(AF630&gt;0,AF630,IF(AF629&gt;0,AF629,IF(AF628&gt;0,AF628,IF(AF626&gt;0,AF626,IF(AF625&gt;0,AF625,IF(AF624&gt;0,AF624,0)))))))))))),0)*(1-$S636)*'模拟-单技能数据'!$I$20</f>
        <v>3687.9388422777829</v>
      </c>
      <c r="AK636" s="115" t="b">
        <f t="shared" ca="1" si="552"/>
        <v>0</v>
      </c>
      <c r="AL636" s="115" t="b">
        <f t="shared" ca="1" si="553"/>
        <v>0</v>
      </c>
      <c r="AM636" s="115">
        <f t="shared" ca="1" si="554"/>
        <v>5</v>
      </c>
      <c r="AN636" s="47">
        <f ca="1">IF(AK636,('模拟-单技能数据'!$D$21+G636*'模拟-单技能数据'!$F$21)*(1+J636)*(1+'模拟-单技能数据'!$J$21)*(1+U636),0)</f>
        <v>0</v>
      </c>
      <c r="AO636" s="61">
        <f ca="1">IF(AN636&gt;0,M636-'模拟-单技能数据'!$K$10,AO635)</f>
        <v>0.42185145527300216</v>
      </c>
      <c r="AP636" s="61">
        <f ca="1">IF(AN636&gt;0,I636-'模拟-单技能数据'!$L$10,AP635)</f>
        <v>2.162482885499879</v>
      </c>
      <c r="AQ636" s="63">
        <f t="shared" ca="1" si="573"/>
        <v>0.95233893265197522</v>
      </c>
      <c r="AR636" s="64">
        <f ca="1">IF(AL636,IF(AQ636&lt;$F$10,0,IF(AQ636&lt;$F$10+$F$11,0.25,IF(AQ636&lt;$F$10+$F$11+AO636,AP636,1)))*IF(AN636&gt;0,AN636,IF(AN635&gt;0,AN635,IF(AN634&gt;0,AN634,IF(AN633&gt;0,AN633,IF(AN632&gt;0,AN632,IF(AN631&gt;0,AN631,IF(AN630&gt;0,AN630,IF(AN629&gt;0,AN629,IF(AN628&gt;0,AN628,IF(AN626&gt;0,AN626,IF(AN625&gt;0,AN625,IF(AN624&gt;0,AN624,0)))))))))))),0)*(1-$S636)*'模拟-单技能数据'!$I$21</f>
        <v>0</v>
      </c>
      <c r="AS636" s="61">
        <f ca="1">IF(OR(C636="净世破魔击·日",C636="净世破魔击·月"),M636-'模拟-单技能数据'!$K$10,0)</f>
        <v>0</v>
      </c>
      <c r="AT636" s="61">
        <f ca="1">IF(OR(C636="净世破魔击·日",C636="净世破魔击·月"),I636-'模拟-单技能数据'!$L$10,0)</f>
        <v>0</v>
      </c>
      <c r="AU636" s="62">
        <f t="shared" ca="1" si="574"/>
        <v>0.25692236515123479</v>
      </c>
      <c r="AV636" s="64">
        <f ca="1">IF(AS636&gt;0,('模拟-单技能数据'!$D$22+G636*'模拟-单技能数据'!$F$22)*(1+J636)*(1-S636)*IF(AU636&lt;$F$10,0,IF(AU636&lt;$F$10+$F$11,0.25,IF(AU636&lt;$F$10+$F$11+AS636,AT636,1)))*(1+U636),0)*'模拟-单技能数据'!$I$22</f>
        <v>0</v>
      </c>
      <c r="AW636" s="108">
        <f t="shared" ca="1" si="575"/>
        <v>2.4725000000000064</v>
      </c>
      <c r="AX636" s="108" t="b">
        <f ca="1">AND(模拟模式!$P$10="有",AW635=0,RAND()&lt;IF(C636="净世破魔击·月",0.1*8/3,IF(C636="净世破魔击·日",0.1*4/3,0.1*2/3)))</f>
        <v>0</v>
      </c>
      <c r="AY636" s="47">
        <f ca="1">IF(AX636,(18+G636*0.722)*(1+J636)*(1-S636)*(1+$I$4)*IF(P636="会",'模拟-全程加成'!$J$3+'模拟-全程加成'!$J$4+'模拟-全程加成'!$J$5+('模拟-全程加成'!$I$4+'模拟-全程加成'!$I$5)/系数!$B$4+BG636*10%,IF(P636="命",1,IF(P636="识",0.25,0))),0)</f>
        <v>0</v>
      </c>
      <c r="AZ636" s="108">
        <f t="shared" si="576"/>
        <v>6.1625000000000068</v>
      </c>
      <c r="BA636" s="108" t="b">
        <f>AND(模拟模式!$Q$10="有",AZ635=0)</f>
        <v>0</v>
      </c>
      <c r="BB636" s="140">
        <f>IF(BA636,(0+G636*0.287)*(1+J636)*(1-S636)*(1+$I$4)*IF(P636="会",'模拟-全程加成'!$J$3+'模拟-全程加成'!$J$4+'模拟-全程加成'!$J$5+('模拟-全程加成'!$I$4+'模拟-全程加成'!$I$5)/系数!$B$4+BG636*10%,IF(P636="命",1,IF(P636="识",0.25,0))),0)</f>
        <v>0</v>
      </c>
      <c r="BC636" s="115" t="b">
        <f ca="1">AND(模拟模式!$R$7="伏明众生",E636=60,F636=20,DA636&lt;5,CZ635&lt;$F$4)</f>
        <v>0</v>
      </c>
      <c r="BD636" s="115">
        <f t="shared" ca="1" si="555"/>
        <v>0</v>
      </c>
      <c r="BE636" s="115" t="b">
        <f t="shared" ca="1" si="556"/>
        <v>0</v>
      </c>
      <c r="BF636" s="47">
        <f ca="1">IF(BC636,4*('模拟-单技能数据'!$D$24+G636*'模拟-单技能数据'!$F$24)*(1+J636)*(1+'模拟-单技能数据'!$J$24)*(1-S636)*(1+$I$3)*(('模拟-全程加成'!$J$3+'模拟-全程加成'!$J$4+'模拟-全程加成'!$J$5+('模拟-全程加成'!$I$4+'模拟-全程加成'!$I$5)/系数!$B$4+BG636*10%)*('模拟-全程加成'!$J$3+'模拟-全程加成'!$J$4+'模拟-全程加成'!$J$5+('模拟-全程加成'!$I$4+'模拟-全程加成'!$I$5)/系数!$B$4+BG636*10%)+(1-('模拟-全程加成'!$J$3+'模拟-全程加成'!$J$4+'模拟-全程加成'!$J$5+('模拟-全程加成'!$I$4+'模拟-全程加成'!$I$5)/系数!$B$4+BG636*10%)-$F$10-$F$11)+F622*0.25),0)*'模拟-单技能数据'!$I$24</f>
        <v>0</v>
      </c>
      <c r="BG636" s="115" t="b">
        <f ca="1">OR(AND(OR(C636="烈日斩",C636="银月斩"),模拟模式!$I$7="净身明礼"),AND(C636="净世破魔击·日",模拟模式!$J$7="洞若观火"),AND(C637="净世破魔击·月",模拟模式!$J$7="洞若观火"),AB636=1)</f>
        <v>1</v>
      </c>
      <c r="BH636" s="115" t="b">
        <f t="shared" ca="1" si="577"/>
        <v>0</v>
      </c>
      <c r="BI636" s="115">
        <f t="shared" ca="1" si="557"/>
        <v>0</v>
      </c>
      <c r="BJ636" s="115" t="b">
        <f t="shared" ca="1" si="558"/>
        <v>0</v>
      </c>
      <c r="BK636" s="115" t="b">
        <f ca="1">AND(C636="驱夜断愁",模拟模式!$P$7="天地诛戮")</f>
        <v>0</v>
      </c>
      <c r="BL636" s="57">
        <f t="shared" ca="1" si="559"/>
        <v>14.465000000000003</v>
      </c>
      <c r="BM636" s="115" t="b">
        <f t="shared" ca="1" si="560"/>
        <v>1</v>
      </c>
      <c r="BN636" s="115" t="b">
        <f ca="1">AND(OR(C636="赤日轮1",C636="赤日轮2",C636="赤日轮3",C636="幽月轮1",C636="幽月轮2",C636="幽月轮3"),AB636=1,模拟模式!$L$7="明光恒照")</f>
        <v>0</v>
      </c>
      <c r="BO636" s="117">
        <f t="shared" ca="1" si="561"/>
        <v>29.077500000000001</v>
      </c>
      <c r="BP636" s="115">
        <f t="shared" ca="1" si="578"/>
        <v>6</v>
      </c>
      <c r="BQ636" s="115" t="b">
        <f>模拟模式!$K$10="2600·水"</f>
        <v>0</v>
      </c>
      <c r="BR636" s="117">
        <f t="shared" si="579"/>
        <v>0</v>
      </c>
      <c r="BS636" s="115">
        <f t="shared" si="580"/>
        <v>0</v>
      </c>
      <c r="BT636" s="115">
        <f t="shared" ca="1" si="581"/>
        <v>0</v>
      </c>
      <c r="BU636" s="115" t="b">
        <f ca="1">AND(模拟模式!$K$10="2300·雷",BT635=0,RAND()&lt;IF(C636="净世破魔击·月",5*0.05*2/3,IF(C636="净世破魔击·日",3*0.05*2/3,0.05*2*2/3)))</f>
        <v>0</v>
      </c>
      <c r="BV636" s="115">
        <f t="shared" ca="1" si="582"/>
        <v>0</v>
      </c>
      <c r="BW636" s="115">
        <f t="shared" ca="1" si="583"/>
        <v>176.30999999999995</v>
      </c>
      <c r="BX636" s="164" t="b">
        <f t="shared" ca="1" si="584"/>
        <v>0</v>
      </c>
      <c r="BY636" s="115">
        <f t="shared" ca="1" si="585"/>
        <v>11.310000000000002</v>
      </c>
      <c r="BZ636" s="115">
        <f>IF(OR(模拟模式!$P$16="10人团",模拟模式!$P$16="25人团"),IF(B636/30&gt;CA635,1,0),0)</f>
        <v>0</v>
      </c>
      <c r="CA636" s="115">
        <f t="shared" si="562"/>
        <v>0</v>
      </c>
      <c r="CB636" s="115">
        <f ca="1">IF(BZ636=1,IF(模拟模式!$P$16="10人团",15,0)+IF(模拟模式!$P$16="25人团",IF(RAND()&lt;0.6,15,0)),MAX(0,CB635-$F$4))</f>
        <v>0</v>
      </c>
      <c r="CC636" s="115" t="b">
        <f t="shared" ca="1" si="563"/>
        <v>0</v>
      </c>
      <c r="CD636" s="115">
        <f>IF(模拟模式!$Q$16="1个",IF(B636/40&gt;CE635,1,0),0)</f>
        <v>0</v>
      </c>
      <c r="CE636" s="115">
        <f t="shared" si="564"/>
        <v>0</v>
      </c>
      <c r="CF636" s="115">
        <f>IF(OR(CD636=1,模拟模式!$Q$16="2个"),20,MAX(0,CF635-$F$4))</f>
        <v>0</v>
      </c>
      <c r="CG636" s="115" t="b">
        <f t="shared" si="565"/>
        <v>0</v>
      </c>
      <c r="CH636" s="115">
        <f t="shared" ca="1" si="586"/>
        <v>26.310000000000002</v>
      </c>
      <c r="CI636" s="115" t="b">
        <f t="shared" ca="1" si="587"/>
        <v>0</v>
      </c>
      <c r="CJ636" s="119">
        <f t="shared" ca="1" si="588"/>
        <v>0.05</v>
      </c>
      <c r="CK636" s="115">
        <f t="shared" ca="1" si="589"/>
        <v>4.3099999999999987</v>
      </c>
      <c r="CL636" s="115" t="b">
        <f ca="1">AND(模拟模式!$S$7="驱夷逐法",OR(AND(C636="净世破魔击·月",E635&gt;59),AND(C636="净世破魔击·日",F635&gt;59)))</f>
        <v>0</v>
      </c>
      <c r="CM636" s="115" t="b">
        <f ca="1">OR(CL636,AND(C636="净世破魔击·日",CL635,RAND()&lt;模拟模式!$U$23))</f>
        <v>0</v>
      </c>
      <c r="CN636" s="115" t="b">
        <f ca="1">IF(模拟模式!$M$7="辉耀红尘",AND(C636="净世破魔击·月",CL636,CV636=0,E635&lt;80),AND(C636="净世破魔击·月",CL636,E635&lt;100))</f>
        <v>0</v>
      </c>
      <c r="CO636" s="115" t="b">
        <f t="shared" ca="1" si="566"/>
        <v>0</v>
      </c>
      <c r="CP636" s="115" t="b">
        <f ca="1">AND(模拟模式!$O$7="用晦而明",OR(C636="净世破魔击·日",C636="净世破魔击·月",C636="驱夜断愁"),AB636)</f>
        <v>0</v>
      </c>
      <c r="CQ636" s="115" t="b">
        <f ca="1">OR(CP636,AND(CP635,RAND()&lt;模拟模式!$U$23))</f>
        <v>0</v>
      </c>
      <c r="CR636" s="115" t="b">
        <f ca="1">AND(模拟模式!$S$7="日月齐光",OR(C636="幽月轮1",C636="幽月轮2",C636="幽月轮3",CR635),NOT(OR(C636="赤日轮1",C636="赤日轮2",C636="赤日轮3")))</f>
        <v>0</v>
      </c>
      <c r="CS636" s="115" t="b">
        <f ca="1">AND(模拟模式!$S$7="日月齐光",OR(C636="赤日轮1",C636="赤日轮2",C636="赤日轮3",CS635),NOT(OR(C636="幽月轮1",C636="幽月轮2",C636="幽月轮3")))</f>
        <v>0</v>
      </c>
      <c r="CT636" s="115">
        <f t="shared" ca="1" si="590"/>
        <v>17.085000000000008</v>
      </c>
      <c r="CU636" s="115" t="b">
        <f ca="1">AND(模拟模式!$K$10="阴阳往极",CT635=0,RAND()&lt;IF(C636="净世破魔击·月",0.0275*7/3,IF(C636="净世破魔击·日",0.0275*3/3,0.0275*2/3)))</f>
        <v>0</v>
      </c>
      <c r="CV636" s="115">
        <f t="shared" ca="1" si="591"/>
        <v>0</v>
      </c>
      <c r="CW636" s="115">
        <f t="shared" ca="1" si="592"/>
        <v>1.3874999999999997</v>
      </c>
      <c r="CX636" s="115">
        <f t="shared" ca="1" si="593"/>
        <v>6</v>
      </c>
      <c r="CY636" s="115">
        <f ca="1">MAX(IF($C636="驱夜断愁",IF(模拟模式!$R$7="万念俱寂",6,45),CY635-$F$4),0)</f>
        <v>0.46499999999999975</v>
      </c>
      <c r="CZ636" s="115">
        <f t="shared" ca="1" si="567"/>
        <v>0</v>
      </c>
      <c r="DA636" s="115">
        <f ca="1">IF(模拟模式!$N$7="日月同辉",IF(DB635=2,0,MIN(6,IF(AND(OR(C636="赤日轮1",C636="赤日轮2",C636="赤日轮3",C636="幽月轮1",C636="幽月轮2",C636="幽月轮3"),AB636=1),DA635+1,DA635))),0)</f>
        <v>2</v>
      </c>
      <c r="DB636" s="115">
        <f t="shared" ca="1" si="568"/>
        <v>0</v>
      </c>
      <c r="DC636" s="115"/>
      <c r="DD636" s="115"/>
      <c r="DE636" s="115"/>
      <c r="DF636" s="115"/>
      <c r="DG636" s="115"/>
      <c r="DH636" s="115"/>
      <c r="DI636" s="115"/>
      <c r="DJ636" s="115"/>
      <c r="DK636" s="115"/>
      <c r="DL636" s="115"/>
      <c r="DM636" s="115"/>
    </row>
    <row r="637" spans="2:117" x14ac:dyDescent="0.2">
      <c r="B637" s="117">
        <f t="shared" si="569"/>
        <v>562.72500000000628</v>
      </c>
      <c r="C637" s="167" t="str">
        <f t="shared" ca="1" si="538"/>
        <v>驱夜断愁</v>
      </c>
      <c r="D637" s="115">
        <f ca="1">IF(C637="赤日轮1",1,IF(C637="赤日轮2",2,IF(C637="赤日轮3",3,IF(C637="幽月轮1",4,IF(C637="幽月轮2",5,IF(C637="幽月轮3",6,IF(C637="烈日斩",7,IF(C637="银月斩",8,IF(C637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637="净世破魔击·月",17,IF(C637="驱夜断愁",18,0)))))))))))</f>
        <v>18</v>
      </c>
      <c r="E637" s="115">
        <f ca="1">IF(AND(CU637,OR(C637="幽月轮1",C637="幽月轮2",C637="幽月轮3",C637="银月斩",C637="驱夜断愁",C637="净世破魔击·月")),100,MIN(IF(OR(CN637,BE637),0,IF(OR($C637="赤日轮1",$C637="赤日轮2",$C637="赤日轮3"),E636+20+IF(模拟模式!$I$7="日月凌天",4,0)+IF(CR636,20,0),IF($C637="烈日斩",E636+40,IF($C637="驱夜断愁",IF(模拟模式!$R$7="万念俱寂",E636+20,E636+60),IF($C637="净世破魔击·月",IF(OR(DB636&gt;0,CV636&gt;0),100,IF(模拟模式!$M$7="辉耀红尘",E636+20,E636)),IF($C637="净世破魔击·日",E636-100,E636)))))),100))</f>
        <v>40</v>
      </c>
      <c r="F637" s="115">
        <f ca="1">IF(AND(CU637,OR(C637="赤日轮1",C637="赤日轮2",C637="赤日轮3",C637="烈日斩",C637="净世破魔击·日")),100,MIN(IF(CO637,0,IF(OR($C637="幽月轮1",$C637="幽月轮2",$C637="幽月轮3"),F636+20+IF(模拟模式!$I$7="日月凌天",4,0)+IF(CS636,20,0),IF($C637="银月斩",F636+40+IF(模拟模式!$X$12=1,5,0),IF($C637="驱夜断愁",IF(模拟模式!$R$7="万念俱寂",F636+20,F636+60),IF($C637="净世破魔击·月",IF(模拟模式!$M$7="辉耀红尘",F636-80,F636-100),IF(AND(C637="净世破魔击·日",OR(DB636&gt;0,CV636&gt;0)),100,F636)))))),100))</f>
        <v>85</v>
      </c>
      <c r="G637" s="117">
        <f ca="1">('模拟-全程加成'!$E$3+'模拟-全程加成'!$E$4+'模拟-全程加成'!$E$5+('模拟-全程加成'!$C$6-'模拟-全程加成'!$C$3)*系数!$B$9+BS637*23)*(1+'模拟-全程加成'!$F$4+'模拟-全程加成'!$F$5+BJ637*10%+BM637*20%+BP637*4%+CG637*30%)+$F$7*系数!$B$12</f>
        <v>20583.127400000001</v>
      </c>
      <c r="H637" s="45">
        <f ca="1">'模拟-全程加成'!$H$3+'模拟-全程加成'!$H$4+'模拟-全程加成'!$H$5+('模拟-全程加成'!$G$4+'模拟-全程加成'!$G$5+('模拟-全程加成'!$C$6-'模拟-全程加成'!$C$3)*系数!$B$13)/系数!$B$3+LOOKUP(D637,'模拟-单技能数据'!$A$2:$A$19,'模拟-单技能数据'!$K$2:$K$19)+BG637*10%+IF(BV637&gt;0,378,0)</f>
        <v>0.51185145527300213</v>
      </c>
      <c r="I637" s="45">
        <f ca="1">'模拟-全程加成'!$J$3+'模拟-全程加成'!$J$4+'模拟-全程加成'!$J$5+('模拟-全程加成'!$I$4+'模拟-全程加成'!$I$5)/系数!$B$4+LOOKUP(D637,'模拟-单技能数据'!$A$2:$A$19,'模拟-单技能数据'!$L$2:$L$19)+BG637*10%</f>
        <v>2.162482885499879</v>
      </c>
      <c r="J637" s="45">
        <f ca="1">(('模拟-全程加成'!$K$3+'模拟-全程加成'!$K$4+'模拟-全程加成'!$K$5+('模拟-全程加成'!$C$6-'模拟-全程加成'!$C$3)*系数!$B$10+IF(BV637&gt;0,882,0)+IF(BY637&gt;0,1831,0))*(1+'模拟-全程加成'!$L$4+'模拟-全程加成'!$L$5+CC637*20%))/系数!$B$5</f>
        <v>0.85832564669386491</v>
      </c>
      <c r="K637" s="119">
        <f ca="1">LOOKUP(D637,'模拟-单技能数据'!$A$2:$A$19,'模拟-单技能数据'!$J$2:$J$19)+IF(CM637,60%,0)+IF(DB636-DB637&gt;0,30%,0)+IF(OR(AND(OR(C637="赤日轮1",C637="赤日轮2",C637="赤日轮3"),CR637),AND(OR(C637="幽月轮1",C637="幽月轮2",C637="幽月轮3"),CS637)),35%,0)+CJ637</f>
        <v>0.19</v>
      </c>
      <c r="L637" s="119">
        <f ca="1">IF(AND(C637="烈日斩",模拟模式!$X$11=1),10%,0)+IF(AND(C637="驱夜断愁",AB637=1),30%,0)</f>
        <v>0.3</v>
      </c>
      <c r="M637" s="45">
        <f t="shared" ca="1" si="539"/>
        <v>0.51185145527300213</v>
      </c>
      <c r="N637" s="45">
        <f t="shared" ca="1" si="540"/>
        <v>0.43424854472699792</v>
      </c>
      <c r="O637" s="46">
        <f t="shared" ca="1" si="570"/>
        <v>0.28707076366790019</v>
      </c>
      <c r="P637" s="46" t="str">
        <f t="shared" ca="1" si="541"/>
        <v>会</v>
      </c>
      <c r="Q637" s="45">
        <f t="shared" ca="1" si="542"/>
        <v>2.162482885499879</v>
      </c>
      <c r="R637" s="117">
        <f ca="1">模拟模式!$E$20*(1-IF(模拟模式!$J$19="有",0.15,0))*(1-IF(模拟模式!$K$19="有",0.3,0)-IF(CQ637,0.5,0))</f>
        <v>843.02999999999975</v>
      </c>
      <c r="S637" s="45">
        <f ca="1">R637/(R637+(185*模拟模式!$E$22-16800)*4.08224)</f>
        <v>8.389626085980037E-2</v>
      </c>
      <c r="T637" s="45" t="str">
        <f ca="1">LOOKUP(D637,'模拟-单技能数据'!$A$2:$A$19,'模拟-单技能数据'!$H$2:$H$19)</f>
        <v>阴</v>
      </c>
      <c r="U637" s="119">
        <f t="shared" ca="1" si="543"/>
        <v>0.08</v>
      </c>
      <c r="V637" s="47">
        <f ca="1">(1+L637)*(LOOKUP(D637,'模拟-单技能数据'!$A$2:$A$19,'模拟-单技能数据'!$D$2:$D$19)+G637*LOOKUP(D637,'模拟-单技能数据'!$A$2:$A$19,'模拟-单技能数据'!$F$2:$F$19))*(1+J637)*(1+K637)*(1-S637)*(1+U637)*Q637*LOOKUP(D637,'模拟-单技能数据'!$A$2:$A$19,'模拟-单技能数据'!$I$2:$I$20)</f>
        <v>145682.78351136984</v>
      </c>
      <c r="W637" s="47">
        <f ca="1">LOOKUP(D637,'模拟-单技能数据'!$A$2:$A$19,'模拟-单技能数据'!$G$2:$G$19)*$I$10</f>
        <v>723.0212870940959</v>
      </c>
      <c r="X637" s="47">
        <f t="shared" ca="1" si="571"/>
        <v>26325.323350291452</v>
      </c>
      <c r="Y637" s="47">
        <f t="shared" ca="1" si="544"/>
        <v>172731.12814875541</v>
      </c>
      <c r="Z637" s="49">
        <f t="shared" ca="1" si="545"/>
        <v>63952981.197597682</v>
      </c>
      <c r="AA637" s="97">
        <f t="shared" ca="1" si="546"/>
        <v>113648.72930400634</v>
      </c>
      <c r="AB637" s="115">
        <f ca="1">IF(OR(C637="赤日轮1",C637="赤日轮2",C637="赤日轮3"),IF(RAND()&lt;模拟模式!$Y$17,1,0),IF(OR(C637="幽月轮1",C637="幽月轮2",C637="幽月轮3"),IF(RAND()&lt;模拟模式!$Y$18,1,0),IF(C637="烈日斩",IF(RAND()&lt;模拟模式!$Y$19,1,0),IF(C637="银月斩",IF(RAND()&lt;模拟模式!$Y$20,1,0),IF(C637="驱夜断愁",IF(RAND()&lt;模拟模式!$Y$21,1,0),IF(C637="净世破魔击·日",IF(RAND()&lt;模拟模式!$Y$22,1,0),IF(C637="净世破魔击·月",IF(RAND()&lt;模拟模式!$Y$23,1,0),0)))))))</f>
        <v>1</v>
      </c>
      <c r="AC637" s="115" t="b">
        <f t="shared" ca="1" si="547"/>
        <v>0</v>
      </c>
      <c r="AD637" s="115" t="b">
        <f t="shared" ca="1" si="548"/>
        <v>0</v>
      </c>
      <c r="AE637" s="115">
        <f t="shared" ca="1" si="549"/>
        <v>5</v>
      </c>
      <c r="AF637" s="47">
        <f ca="1">IF(AC637,('模拟-单技能数据'!$D$20+G637*'模拟-单技能数据'!$F$20)*(1+J637)*(1+'模拟-单技能数据'!$J$20)*(1+U637),0)</f>
        <v>0</v>
      </c>
      <c r="AG637" s="61">
        <f t="shared" ca="1" si="550"/>
        <v>0.64185145527300214</v>
      </c>
      <c r="AH637" s="61">
        <f t="shared" ca="1" si="551"/>
        <v>2.2624828854998791</v>
      </c>
      <c r="AI637" s="62">
        <f t="shared" ca="1" si="572"/>
        <v>0.23836704390906094</v>
      </c>
      <c r="AJ637" s="47">
        <f ca="1">IF(AD637,IF(AI637&lt;$F$10,0,IF(AI637&lt;$F$10+$F$11,0.25,IF(AI637&lt;$F$10+$F$11+AG637,AH637,1)))*IF(AF637&gt;0,AF637,IF(AF636&gt;0,AF636,IF(AF635&gt;0,AF635,IF(AF634&gt;0,AF634,IF(AF633&gt;0,AF633,IF(AF632&gt;0,AF632,IF(AF631&gt;0,AF631,IF(AF630&gt;0,AF630,IF(AF629&gt;0,AF629,IF(AF627&gt;0,AF627,IF(AF626&gt;0,AF626,IF(AF625&gt;0,AF625,0)))))))))))),0)*(1-$S637)*'模拟-单技能数据'!$I$20</f>
        <v>0</v>
      </c>
      <c r="AK637" s="115" t="b">
        <f t="shared" ca="1" si="552"/>
        <v>0</v>
      </c>
      <c r="AL637" s="115" t="b">
        <f t="shared" ca="1" si="553"/>
        <v>1</v>
      </c>
      <c r="AM637" s="115">
        <f t="shared" ca="1" si="554"/>
        <v>4</v>
      </c>
      <c r="AN637" s="47">
        <f ca="1">IF(AK637,('模拟-单技能数据'!$D$21+G637*'模拟-单技能数据'!$F$21)*(1+J637)*(1+'模拟-单技能数据'!$J$21)*(1+U637),0)</f>
        <v>0</v>
      </c>
      <c r="AO637" s="61">
        <f ca="1">IF(AN637&gt;0,M637-'模拟-单技能数据'!$K$10,AO636)</f>
        <v>0.42185145527300216</v>
      </c>
      <c r="AP637" s="61">
        <f ca="1">IF(AN637&gt;0,I637-'模拟-单技能数据'!$L$10,AP636)</f>
        <v>2.162482885499879</v>
      </c>
      <c r="AQ637" s="63">
        <f t="shared" ca="1" si="573"/>
        <v>0.28571098154218988</v>
      </c>
      <c r="AR637" s="64">
        <f ca="1">IF(AL637,IF(AQ637&lt;$F$10,0,IF(AQ637&lt;$F$10+$F$11,0.25,IF(AQ637&lt;$F$10+$F$11+AO637,AP637,1)))*IF(AN637&gt;0,AN637,IF(AN636&gt;0,AN636,IF(AN635&gt;0,AN635,IF(AN634&gt;0,AN634,IF(AN633&gt;0,AN633,IF(AN632&gt;0,AN632,IF(AN631&gt;0,AN631,IF(AN630&gt;0,AN630,IF(AN629&gt;0,AN629,IF(AN627&gt;0,AN627,IF(AN626&gt;0,AN626,IF(AN625&gt;0,AN625,0)))))))))))),0)*(1-$S637)*'模拟-单技能数据'!$I$21</f>
        <v>26325.323350291452</v>
      </c>
      <c r="AS637" s="61">
        <f ca="1">IF(OR(C637="净世破魔击·日",C637="净世破魔击·月"),M637-'模拟-单技能数据'!$K$10,0)</f>
        <v>0</v>
      </c>
      <c r="AT637" s="61">
        <f ca="1">IF(OR(C637="净世破魔击·日",C637="净世破魔击·月"),I637-'模拟-单技能数据'!$L$10,0)</f>
        <v>0</v>
      </c>
      <c r="AU637" s="62">
        <f t="shared" ca="1" si="574"/>
        <v>0.94666143547161319</v>
      </c>
      <c r="AV637" s="64">
        <f ca="1">IF(AS637&gt;0,('模拟-单技能数据'!$D$22+G637*'模拟-单技能数据'!$F$22)*(1+J637)*(1-S637)*IF(AU637&lt;$F$10,0,IF(AU637&lt;$F$10+$F$11,0.25,IF(AU637&lt;$F$10+$F$11+AS637,AT637,1)))*(1+U637),0)*'模拟-单技能数据'!$I$22</f>
        <v>0</v>
      </c>
      <c r="AW637" s="108">
        <f t="shared" ca="1" si="575"/>
        <v>1.5500000000000065</v>
      </c>
      <c r="AX637" s="108" t="b">
        <f ca="1">AND(模拟模式!$P$10="有",AW636=0,RAND()&lt;IF(C637="净世破魔击·月",0.1*8/3,IF(C637="净世破魔击·日",0.1*4/3,0.1*2/3)))</f>
        <v>0</v>
      </c>
      <c r="AY637" s="47">
        <f ca="1">IF(AX637,(18+G637*0.722)*(1+J637)*(1-S637)*(1+$I$4)*IF(P637="会",'模拟-全程加成'!$J$3+'模拟-全程加成'!$J$4+'模拟-全程加成'!$J$5+('模拟-全程加成'!$I$4+'模拟-全程加成'!$I$5)/系数!$B$4+BG637*10%,IF(P637="命",1,IF(P637="识",0.25,0))),0)</f>
        <v>0</v>
      </c>
      <c r="AZ637" s="108">
        <f t="shared" si="576"/>
        <v>5.2400000000000064</v>
      </c>
      <c r="BA637" s="108" t="b">
        <f>AND(模拟模式!$Q$10="有",AZ636=0)</f>
        <v>0</v>
      </c>
      <c r="BB637" s="140">
        <f>IF(BA637,(0+G637*0.287)*(1+J637)*(1-S637)*(1+$I$4)*IF(P637="会",'模拟-全程加成'!$J$3+'模拟-全程加成'!$J$4+'模拟-全程加成'!$J$5+('模拟-全程加成'!$I$4+'模拟-全程加成'!$I$5)/系数!$B$4+BG637*10%,IF(P637="命",1,IF(P637="识",0.25,0))),0)</f>
        <v>0</v>
      </c>
      <c r="BC637" s="115" t="b">
        <f ca="1">AND(模拟模式!$R$7="伏明众生",E637=60,F637=20,DA637&lt;5,CZ636&lt;$F$4)</f>
        <v>0</v>
      </c>
      <c r="BD637" s="115">
        <f t="shared" ca="1" si="555"/>
        <v>0</v>
      </c>
      <c r="BE637" s="115" t="b">
        <f t="shared" ca="1" si="556"/>
        <v>0</v>
      </c>
      <c r="BF637" s="47">
        <f ca="1">IF(BC637,4*('模拟-单技能数据'!$D$24+G637*'模拟-单技能数据'!$F$24)*(1+J637)*(1+'模拟-单技能数据'!$J$24)*(1-S637)*(1+$I$3)*(('模拟-全程加成'!$J$3+'模拟-全程加成'!$J$4+'模拟-全程加成'!$J$5+('模拟-全程加成'!$I$4+'模拟-全程加成'!$I$5)/系数!$B$4+BG637*10%)*('模拟-全程加成'!$J$3+'模拟-全程加成'!$J$4+'模拟-全程加成'!$J$5+('模拟-全程加成'!$I$4+'模拟-全程加成'!$I$5)/系数!$B$4+BG637*10%)+(1-('模拟-全程加成'!$J$3+'模拟-全程加成'!$J$4+'模拟-全程加成'!$J$5+('模拟-全程加成'!$I$4+'模拟-全程加成'!$I$5)/系数!$B$4+BG637*10%)-$F$10-$F$11)+F623*0.25),0)*'模拟-单技能数据'!$I$24</f>
        <v>0</v>
      </c>
      <c r="BG637" s="115" t="b">
        <f ca="1">OR(AND(OR(C637="烈日斩",C637="银月斩"),模拟模式!$I$7="净身明礼"),AND(C637="净世破魔击·日",模拟模式!$J$7="洞若观火"),AND(C638="净世破魔击·月",模拟模式!$J$7="洞若观火"),AB637=1)</f>
        <v>1</v>
      </c>
      <c r="BH637" s="115" t="b">
        <f t="shared" ca="1" si="577"/>
        <v>0</v>
      </c>
      <c r="BI637" s="115">
        <f t="shared" ca="1" si="557"/>
        <v>0</v>
      </c>
      <c r="BJ637" s="115" t="b">
        <f t="shared" ca="1" si="558"/>
        <v>0</v>
      </c>
      <c r="BK637" s="115" t="b">
        <f ca="1">AND(C637="驱夜断愁",模拟模式!$P$7="天地诛戮")</f>
        <v>1</v>
      </c>
      <c r="BL637" s="57">
        <f t="shared" ca="1" si="559"/>
        <v>20</v>
      </c>
      <c r="BM637" s="115" t="b">
        <f t="shared" ca="1" si="560"/>
        <v>1</v>
      </c>
      <c r="BN637" s="115" t="b">
        <f ca="1">AND(OR(C637="赤日轮1",C637="赤日轮2",C637="赤日轮3",C637="幽月轮1",C637="幽月轮2",C637="幽月轮3"),AB637=1,模拟模式!$L$7="明光恒照")</f>
        <v>0</v>
      </c>
      <c r="BO637" s="117">
        <f t="shared" ca="1" si="561"/>
        <v>28.155000000000001</v>
      </c>
      <c r="BP637" s="115">
        <f t="shared" ca="1" si="578"/>
        <v>6</v>
      </c>
      <c r="BQ637" s="115" t="b">
        <f>模拟模式!$K$10="2600·水"</f>
        <v>0</v>
      </c>
      <c r="BR637" s="117">
        <f t="shared" si="579"/>
        <v>0</v>
      </c>
      <c r="BS637" s="115">
        <f t="shared" si="580"/>
        <v>0</v>
      </c>
      <c r="BT637" s="115">
        <f t="shared" ca="1" si="581"/>
        <v>0</v>
      </c>
      <c r="BU637" s="115" t="b">
        <f ca="1">AND(模拟模式!$K$10="2300·雷",BT636=0,RAND()&lt;IF(C637="净世破魔击·月",5*0.05*2/3,IF(C637="净世破魔击·日",3*0.05*2/3,0.05*2*2/3)))</f>
        <v>0</v>
      </c>
      <c r="BV637" s="115">
        <f t="shared" ca="1" si="582"/>
        <v>0</v>
      </c>
      <c r="BW637" s="115">
        <f t="shared" ca="1" si="583"/>
        <v>175.38749999999993</v>
      </c>
      <c r="BX637" s="164" t="b">
        <f t="shared" ca="1" si="584"/>
        <v>0</v>
      </c>
      <c r="BY637" s="115">
        <f t="shared" ca="1" si="585"/>
        <v>10.387500000000003</v>
      </c>
      <c r="BZ637" s="115">
        <f>IF(OR(模拟模式!$P$16="10人团",模拟模式!$P$16="25人团"),IF(B637/30&gt;CA636,1,0),0)</f>
        <v>0</v>
      </c>
      <c r="CA637" s="115">
        <f t="shared" si="562"/>
        <v>0</v>
      </c>
      <c r="CB637" s="115">
        <f ca="1">IF(BZ637=1,IF(模拟模式!$P$16="10人团",15,0)+IF(模拟模式!$P$16="25人团",IF(RAND()&lt;0.6,15,0)),MAX(0,CB636-$F$4))</f>
        <v>0</v>
      </c>
      <c r="CC637" s="115" t="b">
        <f t="shared" ca="1" si="563"/>
        <v>0</v>
      </c>
      <c r="CD637" s="115">
        <f>IF(模拟模式!$Q$16="1个",IF(B637/40&gt;CE636,1,0),0)</f>
        <v>0</v>
      </c>
      <c r="CE637" s="115">
        <f t="shared" si="564"/>
        <v>0</v>
      </c>
      <c r="CF637" s="115">
        <f>IF(OR(CD637=1,模拟模式!$Q$16="2个"),20,MAX(0,CF636-$F$4))</f>
        <v>0</v>
      </c>
      <c r="CG637" s="115" t="b">
        <f t="shared" si="565"/>
        <v>0</v>
      </c>
      <c r="CH637" s="115">
        <f t="shared" ca="1" si="586"/>
        <v>25.387500000000003</v>
      </c>
      <c r="CI637" s="115" t="b">
        <f t="shared" ca="1" si="587"/>
        <v>0</v>
      </c>
      <c r="CJ637" s="119">
        <f t="shared" ca="1" si="588"/>
        <v>0.05</v>
      </c>
      <c r="CK637" s="115">
        <f t="shared" ca="1" si="589"/>
        <v>3.3874999999999988</v>
      </c>
      <c r="CL637" s="115" t="b">
        <f ca="1">AND(模拟模式!$S$7="驱夷逐法",OR(AND(C637="净世破魔击·月",E636&gt;59),AND(C637="净世破魔击·日",F636&gt;59)))</f>
        <v>0</v>
      </c>
      <c r="CM637" s="115" t="b">
        <f ca="1">OR(CL637,AND(C637="净世破魔击·日",CL636,RAND()&lt;模拟模式!$U$23))</f>
        <v>0</v>
      </c>
      <c r="CN637" s="115" t="b">
        <f ca="1">IF(模拟模式!$M$7="辉耀红尘",AND(C637="净世破魔击·月",CL637,CV637=0,E636&lt;80),AND(C637="净世破魔击·月",CL637,E636&lt;100))</f>
        <v>0</v>
      </c>
      <c r="CO637" s="115" t="b">
        <f t="shared" ca="1" si="566"/>
        <v>0</v>
      </c>
      <c r="CP637" s="115" t="b">
        <f ca="1">AND(模拟模式!$O$7="用晦而明",OR(C637="净世破魔击·日",C637="净世破魔击·月",C637="驱夜断愁"),AB637)</f>
        <v>1</v>
      </c>
      <c r="CQ637" s="115" t="b">
        <f ca="1">OR(CP637,AND(CP636,RAND()&lt;模拟模式!$U$23))</f>
        <v>1</v>
      </c>
      <c r="CR637" s="115" t="b">
        <f ca="1">AND(模拟模式!$S$7="日月齐光",OR(C637="幽月轮1",C637="幽月轮2",C637="幽月轮3",CR636),NOT(OR(C637="赤日轮1",C637="赤日轮2",C637="赤日轮3")))</f>
        <v>0</v>
      </c>
      <c r="CS637" s="115" t="b">
        <f ca="1">AND(模拟模式!$S$7="日月齐光",OR(C637="赤日轮1",C637="赤日轮2",C637="赤日轮3",CS636),NOT(OR(C637="幽月轮1",C637="幽月轮2",C637="幽月轮3")))</f>
        <v>0</v>
      </c>
      <c r="CT637" s="115">
        <f t="shared" ca="1" si="590"/>
        <v>16.162500000000009</v>
      </c>
      <c r="CU637" s="115" t="b">
        <f ca="1">AND(模拟模式!$K$10="阴阳往极",CT636=0,RAND()&lt;IF(C637="净世破魔击·月",0.0275*7/3,IF(C637="净世破魔击·日",0.0275*3/3,0.0275*2/3)))</f>
        <v>0</v>
      </c>
      <c r="CV637" s="115">
        <f t="shared" ca="1" si="591"/>
        <v>0</v>
      </c>
      <c r="CW637" s="115">
        <f t="shared" ca="1" si="592"/>
        <v>0.46499999999999975</v>
      </c>
      <c r="CX637" s="115">
        <f t="shared" ca="1" si="593"/>
        <v>5.0774999999999997</v>
      </c>
      <c r="CY637" s="115">
        <f ca="1">MAX(IF($C637="驱夜断愁",IF(模拟模式!$R$7="万念俱寂",6,45),CY636-$F$4),0)</f>
        <v>6</v>
      </c>
      <c r="CZ637" s="115">
        <f t="shared" ca="1" si="567"/>
        <v>0</v>
      </c>
      <c r="DA637" s="115">
        <f ca="1">IF(模拟模式!$N$7="日月同辉",IF(DB636=2,0,MIN(6,IF(AND(OR(C637="赤日轮1",C637="赤日轮2",C637="赤日轮3",C637="幽月轮1",C637="幽月轮2",C637="幽月轮3"),AB637=1),DA636+1,DA636))),0)</f>
        <v>2</v>
      </c>
      <c r="DB637" s="115">
        <f t="shared" ca="1" si="568"/>
        <v>0</v>
      </c>
      <c r="DC637" s="115"/>
      <c r="DD637" s="115"/>
      <c r="DE637" s="115"/>
      <c r="DF637" s="115"/>
      <c r="DG637" s="115"/>
      <c r="DH637" s="115"/>
      <c r="DI637" s="115"/>
      <c r="DJ637" s="115"/>
      <c r="DK637" s="115"/>
      <c r="DL637" s="115"/>
      <c r="DM637" s="115"/>
    </row>
    <row r="638" spans="2:117" x14ac:dyDescent="0.2">
      <c r="B638" s="117">
        <f t="shared" si="569"/>
        <v>563.64750000000629</v>
      </c>
      <c r="C638" s="167" t="str">
        <f t="shared" ca="1" si="538"/>
        <v>烈日斩</v>
      </c>
      <c r="D638" s="115">
        <f ca="1">IF(C638="赤日轮1",1,IF(C638="赤日轮2",2,IF(C638="赤日轮3",3,IF(C638="幽月轮1",4,IF(C638="幽月轮2",5,IF(C638="幽月轮3",6,IF(C638="烈日斩",7,IF(C638="银月斩",8,IF(C638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638="净世破魔击·月",17,IF(C638="驱夜断愁",18,0)))))))))))</f>
        <v>7</v>
      </c>
      <c r="E638" s="115">
        <f ca="1">IF(AND(CU638,OR(C638="幽月轮1",C638="幽月轮2",C638="幽月轮3",C638="银月斩",C638="驱夜断愁",C638="净世破魔击·月")),100,MIN(IF(OR(CN638,BE638),0,IF(OR($C638="赤日轮1",$C638="赤日轮2",$C638="赤日轮3"),E637+20+IF(模拟模式!$I$7="日月凌天",4,0)+IF(CR637,20,0),IF($C638="烈日斩",E637+40,IF($C638="驱夜断愁",IF(模拟模式!$R$7="万念俱寂",E637+20,E637+60),IF($C638="净世破魔击·月",IF(OR(DB637&gt;0,CV637&gt;0),100,IF(模拟模式!$M$7="辉耀红尘",E637+20,E637)),IF($C638="净世破魔击·日",E637-100,E637)))))),100))</f>
        <v>80</v>
      </c>
      <c r="F638" s="115">
        <f ca="1">IF(AND(CU638,OR(C638="赤日轮1",C638="赤日轮2",C638="赤日轮3",C638="烈日斩",C638="净世破魔击·日")),100,MIN(IF(CO638,0,IF(OR($C638="幽月轮1",$C638="幽月轮2",$C638="幽月轮3"),F637+20+IF(模拟模式!$I$7="日月凌天",4,0)+IF(CS637,20,0),IF($C638="银月斩",F637+40+IF(模拟模式!$X$12=1,5,0),IF($C638="驱夜断愁",IF(模拟模式!$R$7="万念俱寂",F637+20,F637+60),IF($C638="净世破魔击·月",IF(模拟模式!$M$7="辉耀红尘",F637-80,F637-100),IF(AND(C638="净世破魔击·日",OR(DB637&gt;0,CV637&gt;0)),100,F637)))))),100))</f>
        <v>85</v>
      </c>
      <c r="G638" s="117">
        <f ca="1">('模拟-全程加成'!$E$3+'模拟-全程加成'!$E$4+'模拟-全程加成'!$E$5+('模拟-全程加成'!$C$6-'模拟-全程加成'!$C$3)*系数!$B$9+BS638*23)*(1+'模拟-全程加成'!$F$4+'模拟-全程加成'!$F$5+BJ638*10%+BM638*20%+BP638*4%+CG638*30%)+$F$7*系数!$B$12</f>
        <v>20583.127400000001</v>
      </c>
      <c r="H638" s="45">
        <f ca="1">'模拟-全程加成'!$H$3+'模拟-全程加成'!$H$4+'模拟-全程加成'!$H$5+('模拟-全程加成'!$G$4+'模拟-全程加成'!$G$5+('模拟-全程加成'!$C$6-'模拟-全程加成'!$C$3)*系数!$B$13)/系数!$B$3+LOOKUP(D638,'模拟-单技能数据'!$A$2:$A$19,'模拟-单技能数据'!$K$2:$K$19)+BG638*10%+IF(BV638&gt;0,378,0)</f>
        <v>0.56185145527300218</v>
      </c>
      <c r="I638" s="45">
        <f ca="1">'模拟-全程加成'!$J$3+'模拟-全程加成'!$J$4+'模拟-全程加成'!$J$5+('模拟-全程加成'!$I$4+'模拟-全程加成'!$I$5)/系数!$B$4+LOOKUP(D638,'模拟-单技能数据'!$A$2:$A$19,'模拟-单技能数据'!$L$2:$L$19)+BG638*10%</f>
        <v>2.2624828854998791</v>
      </c>
      <c r="J638" s="45">
        <f ca="1">(('模拟-全程加成'!$K$3+'模拟-全程加成'!$K$4+'模拟-全程加成'!$K$5+('模拟-全程加成'!$C$6-'模拟-全程加成'!$C$3)*系数!$B$10+IF(BV638&gt;0,882,0)+IF(BY638&gt;0,1831,0))*(1+'模拟-全程加成'!$L$4+'模拟-全程加成'!$L$5+CC638*20%))/系数!$B$5</f>
        <v>0.85832564669386491</v>
      </c>
      <c r="K638" s="119">
        <f ca="1">LOOKUP(D638,'模拟-单技能数据'!$A$2:$A$19,'模拟-单技能数据'!$J$2:$J$19)+IF(CM638,60%,0)+IF(DB637-DB638&gt;0,30%,0)+IF(OR(AND(OR(C638="赤日轮1",C638="赤日轮2",C638="赤日轮3"),CR638),AND(OR(C638="幽月轮1",C638="幽月轮2",C638="幽月轮3"),CS638)),35%,0)+CJ638</f>
        <v>0.28999999999999998</v>
      </c>
      <c r="L638" s="119">
        <f ca="1">IF(AND(C638="烈日斩",模拟模式!$X$11=1),10%,0)+IF(AND(C638="驱夜断愁",AB638=1),30%,0)</f>
        <v>0.1</v>
      </c>
      <c r="M638" s="45">
        <f t="shared" ca="1" si="539"/>
        <v>0.56185145527300218</v>
      </c>
      <c r="N638" s="45">
        <f t="shared" ca="1" si="540"/>
        <v>0.38424854472699788</v>
      </c>
      <c r="O638" s="46">
        <f t="shared" ca="1" si="570"/>
        <v>0.67309955848508218</v>
      </c>
      <c r="P638" s="46" t="str">
        <f t="shared" ca="1" si="541"/>
        <v>命</v>
      </c>
      <c r="Q638" s="45">
        <f t="shared" ca="1" si="542"/>
        <v>1</v>
      </c>
      <c r="R638" s="117">
        <f ca="1">模拟模式!$E$20*(1-IF(模拟模式!$J$19="有",0.15,0))*(1-IF(模拟模式!$K$19="有",0.3,0)-IF(CQ638,0.5,0))</f>
        <v>843.02999999999975</v>
      </c>
      <c r="S638" s="45">
        <f ca="1">R638/(R638+(185*模拟模式!$E$22-16800)*4.08224)</f>
        <v>8.389626085980037E-2</v>
      </c>
      <c r="T638" s="45" t="str">
        <f ca="1">LOOKUP(D638,'模拟-单技能数据'!$A$2:$A$19,'模拟-单技能数据'!$H$2:$H$19)</f>
        <v>阳</v>
      </c>
      <c r="U638" s="119">
        <f t="shared" ca="1" si="543"/>
        <v>0.2</v>
      </c>
      <c r="V638" s="47">
        <f ca="1">(1+L638)*(LOOKUP(D638,'模拟-单技能数据'!$A$2:$A$19,'模拟-单技能数据'!$D$2:$D$19)+G638*LOOKUP(D638,'模拟-单技能数据'!$A$2:$A$19,'模拟-单技能数据'!$F$2:$F$19))*(1+J638)*(1+K638)*(1-S638)*(1+U638)*Q638*LOOKUP(D638,'模拟-单技能数据'!$A$2:$A$19,'模拟-单技能数据'!$I$2:$I$20)</f>
        <v>53296.597581965674</v>
      </c>
      <c r="W638" s="47">
        <f ca="1">LOOKUP(D638,'模拟-单技能数据'!$A$2:$A$19,'模拟-单技能数据'!$G$2:$G$19)*$I$10</f>
        <v>361.51064354704795</v>
      </c>
      <c r="X638" s="47">
        <f t="shared" ca="1" si="571"/>
        <v>10093.953229098464</v>
      </c>
      <c r="Y638" s="47">
        <f t="shared" ca="1" si="544"/>
        <v>63752.06145461119</v>
      </c>
      <c r="Z638" s="49">
        <f t="shared" ca="1" si="545"/>
        <v>64016733.259052292</v>
      </c>
      <c r="AA638" s="97">
        <f t="shared" ca="1" si="546"/>
        <v>113575.83109842868</v>
      </c>
      <c r="AB638" s="115">
        <f ca="1">IF(OR(C638="赤日轮1",C638="赤日轮2",C638="赤日轮3"),IF(RAND()&lt;模拟模式!$Y$17,1,0),IF(OR(C638="幽月轮1",C638="幽月轮2",C638="幽月轮3"),IF(RAND()&lt;模拟模式!$Y$18,1,0),IF(C638="烈日斩",IF(RAND()&lt;模拟模式!$Y$19,1,0),IF(C638="银月斩",IF(RAND()&lt;模拟模式!$Y$20,1,0),IF(C638="驱夜断愁",IF(RAND()&lt;模拟模式!$Y$21,1,0),IF(C638="净世破魔击·日",IF(RAND()&lt;模拟模式!$Y$22,1,0),IF(C638="净世破魔击·月",IF(RAND()&lt;模拟模式!$Y$23,1,0),0)))))))</f>
        <v>1</v>
      </c>
      <c r="AC638" s="115" t="b">
        <f t="shared" ca="1" si="547"/>
        <v>0</v>
      </c>
      <c r="AD638" s="115" t="b">
        <f t="shared" ca="1" si="548"/>
        <v>1</v>
      </c>
      <c r="AE638" s="115">
        <f t="shared" ca="1" si="549"/>
        <v>4</v>
      </c>
      <c r="AF638" s="47">
        <f ca="1">IF(AC638,('模拟-单技能数据'!$D$20+G638*'模拟-单技能数据'!$F$20)*(1+J638)*(1+'模拟-单技能数据'!$J$20)*(1+U638),0)</f>
        <v>0</v>
      </c>
      <c r="AG638" s="61">
        <f t="shared" ca="1" si="550"/>
        <v>0.64185145527300214</v>
      </c>
      <c r="AH638" s="61">
        <f t="shared" ca="1" si="551"/>
        <v>2.2624828854998791</v>
      </c>
      <c r="AI638" s="62">
        <f t="shared" ca="1" si="572"/>
        <v>0.44635257820826391</v>
      </c>
      <c r="AJ638" s="47">
        <f ca="1">IF(AD638,IF(AI638&lt;$F$10,0,IF(AI638&lt;$F$10+$F$11,0.25,IF(AI638&lt;$F$10+$F$11+AG638,AH638,1)))*IF(AF638&gt;0,AF638,IF(AF637&gt;0,AF637,IF(AF636&gt;0,AF636,IF(AF635&gt;0,AF635,IF(AF634&gt;0,AF634,IF(AF633&gt;0,AF633,IF(AF632&gt;0,AF632,IF(AF631&gt;0,AF631,IF(AF630&gt;0,AF630,IF(AF628&gt;0,AF628,IF(AF627&gt;0,AF627,IF(AF626&gt;0,AF626,0)))))))))))),0)*(1-$S638)*'模拟-单技能数据'!$I$20</f>
        <v>10093.953229098464</v>
      </c>
      <c r="AK638" s="115" t="b">
        <f t="shared" ca="1" si="552"/>
        <v>0</v>
      </c>
      <c r="AL638" s="115" t="b">
        <f t="shared" ca="1" si="553"/>
        <v>0</v>
      </c>
      <c r="AM638" s="115">
        <f t="shared" ca="1" si="554"/>
        <v>4</v>
      </c>
      <c r="AN638" s="47">
        <f ca="1">IF(AK638,('模拟-单技能数据'!$D$21+G638*'模拟-单技能数据'!$F$21)*(1+J638)*(1+'模拟-单技能数据'!$J$21)*(1+U638),0)</f>
        <v>0</v>
      </c>
      <c r="AO638" s="61">
        <f ca="1">IF(AN638&gt;0,M638-'模拟-单技能数据'!$K$10,AO637)</f>
        <v>0.42185145527300216</v>
      </c>
      <c r="AP638" s="61">
        <f ca="1">IF(AN638&gt;0,I638-'模拟-单技能数据'!$L$10,AP637)</f>
        <v>2.162482885499879</v>
      </c>
      <c r="AQ638" s="63">
        <f t="shared" ca="1" si="573"/>
        <v>0.46669255502930951</v>
      </c>
      <c r="AR638" s="64">
        <f ca="1">IF(AL638,IF(AQ638&lt;$F$10,0,IF(AQ638&lt;$F$10+$F$11,0.25,IF(AQ638&lt;$F$10+$F$11+AO638,AP638,1)))*IF(AN638&gt;0,AN638,IF(AN637&gt;0,AN637,IF(AN636&gt;0,AN636,IF(AN635&gt;0,AN635,IF(AN634&gt;0,AN634,IF(AN633&gt;0,AN633,IF(AN632&gt;0,AN632,IF(AN631&gt;0,AN631,IF(AN630&gt;0,AN630,IF(AN628&gt;0,AN628,IF(AN627&gt;0,AN627,IF(AN626&gt;0,AN626,0)))))))))))),0)*(1-$S638)*'模拟-单技能数据'!$I$21</f>
        <v>0</v>
      </c>
      <c r="AS638" s="61">
        <f ca="1">IF(OR(C638="净世破魔击·日",C638="净世破魔击·月"),M638-'模拟-单技能数据'!$K$10,0)</f>
        <v>0</v>
      </c>
      <c r="AT638" s="61">
        <f ca="1">IF(OR(C638="净世破魔击·日",C638="净世破魔击·月"),I638-'模拟-单技能数据'!$L$10,0)</f>
        <v>0</v>
      </c>
      <c r="AU638" s="62">
        <f t="shared" ca="1" si="574"/>
        <v>0.7992264971724552</v>
      </c>
      <c r="AV638" s="64">
        <f ca="1">IF(AS638&gt;0,('模拟-单技能数据'!$D$22+G638*'模拟-单技能数据'!$F$22)*(1+J638)*(1-S638)*IF(AU638&lt;$F$10,0,IF(AU638&lt;$F$10+$F$11,0.25,IF(AU638&lt;$F$10+$F$11+AS638,AT638,1)))*(1+U638),0)*'模拟-单技能数据'!$I$22</f>
        <v>0</v>
      </c>
      <c r="AW638" s="108">
        <f t="shared" ca="1" si="575"/>
        <v>0.6275000000000065</v>
      </c>
      <c r="AX638" s="108" t="b">
        <f ca="1">AND(模拟模式!$P$10="有",AW637=0,RAND()&lt;IF(C638="净世破魔击·月",0.1*8/3,IF(C638="净世破魔击·日",0.1*4/3,0.1*2/3)))</f>
        <v>0</v>
      </c>
      <c r="AY638" s="47">
        <f ca="1">IF(AX638,(18+G638*0.722)*(1+J638)*(1-S638)*(1+$I$4)*IF(P638="会",'模拟-全程加成'!$J$3+'模拟-全程加成'!$J$4+'模拟-全程加成'!$J$5+('模拟-全程加成'!$I$4+'模拟-全程加成'!$I$5)/系数!$B$4+BG638*10%,IF(P638="命",1,IF(P638="识",0.25,0))),0)</f>
        <v>0</v>
      </c>
      <c r="AZ638" s="108">
        <f t="shared" si="576"/>
        <v>4.3175000000000061</v>
      </c>
      <c r="BA638" s="108" t="b">
        <f>AND(模拟模式!$Q$10="有",AZ637=0)</f>
        <v>0</v>
      </c>
      <c r="BB638" s="140">
        <f>IF(BA638,(0+G638*0.287)*(1+J638)*(1-S638)*(1+$I$4)*IF(P638="会",'模拟-全程加成'!$J$3+'模拟-全程加成'!$J$4+'模拟-全程加成'!$J$5+('模拟-全程加成'!$I$4+'模拟-全程加成'!$I$5)/系数!$B$4+BG638*10%,IF(P638="命",1,IF(P638="识",0.25,0))),0)</f>
        <v>0</v>
      </c>
      <c r="BC638" s="115" t="b">
        <f ca="1">AND(模拟模式!$R$7="伏明众生",E638=60,F638=20,DA638&lt;5,CZ637&lt;$F$4)</f>
        <v>0</v>
      </c>
      <c r="BD638" s="115">
        <f t="shared" ca="1" si="555"/>
        <v>0</v>
      </c>
      <c r="BE638" s="115" t="b">
        <f t="shared" ca="1" si="556"/>
        <v>0</v>
      </c>
      <c r="BF638" s="47">
        <f ca="1">IF(BC638,4*('模拟-单技能数据'!$D$24+G638*'模拟-单技能数据'!$F$24)*(1+J638)*(1+'模拟-单技能数据'!$J$24)*(1-S638)*(1+$I$3)*(('模拟-全程加成'!$J$3+'模拟-全程加成'!$J$4+'模拟-全程加成'!$J$5+('模拟-全程加成'!$I$4+'模拟-全程加成'!$I$5)/系数!$B$4+BG638*10%)*('模拟-全程加成'!$J$3+'模拟-全程加成'!$J$4+'模拟-全程加成'!$J$5+('模拟-全程加成'!$I$4+'模拟-全程加成'!$I$5)/系数!$B$4+BG638*10%)+(1-('模拟-全程加成'!$J$3+'模拟-全程加成'!$J$4+'模拟-全程加成'!$J$5+('模拟-全程加成'!$I$4+'模拟-全程加成'!$I$5)/系数!$B$4+BG638*10%)-$F$10-$F$11)+F624*0.25),0)*'模拟-单技能数据'!$I$24</f>
        <v>0</v>
      </c>
      <c r="BG638" s="115" t="b">
        <f ca="1">OR(AND(OR(C638="烈日斩",C638="银月斩"),模拟模式!$I$7="净身明礼"),AND(C638="净世破魔击·日",模拟模式!$J$7="洞若观火"),AND(C639="净世破魔击·月",模拟模式!$J$7="洞若观火"),AB638=1)</f>
        <v>1</v>
      </c>
      <c r="BH638" s="115" t="b">
        <f t="shared" ca="1" si="577"/>
        <v>0</v>
      </c>
      <c r="BI638" s="115">
        <f t="shared" ca="1" si="557"/>
        <v>0</v>
      </c>
      <c r="BJ638" s="115" t="b">
        <f t="shared" ca="1" si="558"/>
        <v>0</v>
      </c>
      <c r="BK638" s="115" t="b">
        <f ca="1">AND(C638="驱夜断愁",模拟模式!$P$7="天地诛戮")</f>
        <v>0</v>
      </c>
      <c r="BL638" s="57">
        <f t="shared" ca="1" si="559"/>
        <v>19.077500000000001</v>
      </c>
      <c r="BM638" s="115" t="b">
        <f t="shared" ca="1" si="560"/>
        <v>1</v>
      </c>
      <c r="BN638" s="115" t="b">
        <f ca="1">AND(OR(C638="赤日轮1",C638="赤日轮2",C638="赤日轮3",C638="幽月轮1",C638="幽月轮2",C638="幽月轮3"),AB638=1,模拟模式!$L$7="明光恒照")</f>
        <v>0</v>
      </c>
      <c r="BO638" s="117">
        <f t="shared" ca="1" si="561"/>
        <v>27.232500000000002</v>
      </c>
      <c r="BP638" s="115">
        <f t="shared" ca="1" si="578"/>
        <v>6</v>
      </c>
      <c r="BQ638" s="115" t="b">
        <f>模拟模式!$K$10="2600·水"</f>
        <v>0</v>
      </c>
      <c r="BR638" s="117">
        <f t="shared" si="579"/>
        <v>0</v>
      </c>
      <c r="BS638" s="115">
        <f t="shared" si="580"/>
        <v>0</v>
      </c>
      <c r="BT638" s="115">
        <f t="shared" ca="1" si="581"/>
        <v>0</v>
      </c>
      <c r="BU638" s="115" t="b">
        <f ca="1">AND(模拟模式!$K$10="2300·雷",BT637=0,RAND()&lt;IF(C638="净世破魔击·月",5*0.05*2/3,IF(C638="净世破魔击·日",3*0.05*2/3,0.05*2*2/3)))</f>
        <v>0</v>
      </c>
      <c r="BV638" s="115">
        <f t="shared" ca="1" si="582"/>
        <v>0</v>
      </c>
      <c r="BW638" s="115">
        <f t="shared" ca="1" si="583"/>
        <v>174.46499999999992</v>
      </c>
      <c r="BX638" s="164" t="b">
        <f t="shared" ca="1" si="584"/>
        <v>0</v>
      </c>
      <c r="BY638" s="115">
        <f t="shared" ca="1" si="585"/>
        <v>9.4650000000000034</v>
      </c>
      <c r="BZ638" s="115">
        <f>IF(OR(模拟模式!$P$16="10人团",模拟模式!$P$16="25人团"),IF(B638/30&gt;CA637,1,0),0)</f>
        <v>0</v>
      </c>
      <c r="CA638" s="115">
        <f t="shared" si="562"/>
        <v>0</v>
      </c>
      <c r="CB638" s="115">
        <f ca="1">IF(BZ638=1,IF(模拟模式!$P$16="10人团",15,0)+IF(模拟模式!$P$16="25人团",IF(RAND()&lt;0.6,15,0)),MAX(0,CB637-$F$4))</f>
        <v>0</v>
      </c>
      <c r="CC638" s="115" t="b">
        <f t="shared" ca="1" si="563"/>
        <v>0</v>
      </c>
      <c r="CD638" s="115">
        <f>IF(模拟模式!$Q$16="1个",IF(B638/40&gt;CE637,1,0),0)</f>
        <v>0</v>
      </c>
      <c r="CE638" s="115">
        <f t="shared" si="564"/>
        <v>0</v>
      </c>
      <c r="CF638" s="115">
        <f>IF(OR(CD638=1,模拟模式!$Q$16="2个"),20,MAX(0,CF637-$F$4))</f>
        <v>0</v>
      </c>
      <c r="CG638" s="115" t="b">
        <f t="shared" si="565"/>
        <v>0</v>
      </c>
      <c r="CH638" s="115">
        <f t="shared" ca="1" si="586"/>
        <v>24.465000000000003</v>
      </c>
      <c r="CI638" s="115" t="b">
        <f t="shared" ca="1" si="587"/>
        <v>0</v>
      </c>
      <c r="CJ638" s="119">
        <f t="shared" ca="1" si="588"/>
        <v>0.05</v>
      </c>
      <c r="CK638" s="115">
        <f t="shared" ca="1" si="589"/>
        <v>2.464999999999999</v>
      </c>
      <c r="CL638" s="115" t="b">
        <f ca="1">AND(模拟模式!$S$7="驱夷逐法",OR(AND(C638="净世破魔击·月",E637&gt;59),AND(C638="净世破魔击·日",F637&gt;59)))</f>
        <v>0</v>
      </c>
      <c r="CM638" s="115" t="b">
        <f ca="1">OR(CL638,AND(C638="净世破魔击·日",CL637,RAND()&lt;模拟模式!$U$23))</f>
        <v>0</v>
      </c>
      <c r="CN638" s="115" t="b">
        <f ca="1">IF(模拟模式!$M$7="辉耀红尘",AND(C638="净世破魔击·月",CL638,CV638=0,E637&lt;80),AND(C638="净世破魔击·月",CL638,E637&lt;100))</f>
        <v>0</v>
      </c>
      <c r="CO638" s="115" t="b">
        <f t="shared" ca="1" si="566"/>
        <v>0</v>
      </c>
      <c r="CP638" s="115" t="b">
        <f ca="1">AND(模拟模式!$O$7="用晦而明",OR(C638="净世破魔击·日",C638="净世破魔击·月",C638="驱夜断愁"),AB638)</f>
        <v>0</v>
      </c>
      <c r="CQ638" s="115" t="b">
        <f ca="1">OR(CP638,AND(CP637,RAND()&lt;模拟模式!$U$23))</f>
        <v>1</v>
      </c>
      <c r="CR638" s="115" t="b">
        <f ca="1">AND(模拟模式!$S$7="日月齐光",OR(C638="幽月轮1",C638="幽月轮2",C638="幽月轮3",CR637),NOT(OR(C638="赤日轮1",C638="赤日轮2",C638="赤日轮3")))</f>
        <v>0</v>
      </c>
      <c r="CS638" s="115" t="b">
        <f ca="1">AND(模拟模式!$S$7="日月齐光",OR(C638="赤日轮1",C638="赤日轮2",C638="赤日轮3",CS637),NOT(OR(C638="幽月轮1",C638="幽月轮2",C638="幽月轮3")))</f>
        <v>0</v>
      </c>
      <c r="CT638" s="115">
        <f t="shared" ca="1" si="590"/>
        <v>15.240000000000009</v>
      </c>
      <c r="CU638" s="115" t="b">
        <f ca="1">AND(模拟模式!$K$10="阴阳往极",CT637=0,RAND()&lt;IF(C638="净世破魔击·月",0.0275*7/3,IF(C638="净世破魔击·日",0.0275*3/3,0.0275*2/3)))</f>
        <v>0</v>
      </c>
      <c r="CV638" s="115">
        <f t="shared" ca="1" si="591"/>
        <v>0</v>
      </c>
      <c r="CW638" s="115">
        <f t="shared" ca="1" si="592"/>
        <v>6</v>
      </c>
      <c r="CX638" s="115">
        <f t="shared" ca="1" si="593"/>
        <v>4.1549999999999994</v>
      </c>
      <c r="CY638" s="115">
        <f ca="1">MAX(IF($C638="驱夜断愁",IF(模拟模式!$R$7="万念俱寂",6,45),CY637-$F$4),0)</f>
        <v>5.0774999999999997</v>
      </c>
      <c r="CZ638" s="115">
        <f t="shared" ca="1" si="567"/>
        <v>0</v>
      </c>
      <c r="DA638" s="115">
        <f ca="1">IF(模拟模式!$N$7="日月同辉",IF(DB637=2,0,MIN(6,IF(AND(OR(C638="赤日轮1",C638="赤日轮2",C638="赤日轮3",C638="幽月轮1",C638="幽月轮2",C638="幽月轮3"),AB638=1),DA637+1,DA637))),0)</f>
        <v>2</v>
      </c>
      <c r="DB638" s="115">
        <f t="shared" ca="1" si="568"/>
        <v>0</v>
      </c>
      <c r="DC638" s="115"/>
      <c r="DD638" s="115"/>
      <c r="DE638" s="115"/>
      <c r="DF638" s="115"/>
      <c r="DG638" s="115"/>
      <c r="DH638" s="115"/>
      <c r="DI638" s="115"/>
      <c r="DJ638" s="115"/>
      <c r="DK638" s="115"/>
      <c r="DL638" s="115"/>
      <c r="DM638" s="115"/>
    </row>
    <row r="639" spans="2:117" x14ac:dyDescent="0.2">
      <c r="B639" s="117">
        <f t="shared" si="569"/>
        <v>564.5700000000063</v>
      </c>
      <c r="C639" s="167" t="str">
        <f t="shared" ca="1" si="538"/>
        <v>幽月轮1</v>
      </c>
      <c r="D639" s="115">
        <f ca="1">IF(C639="赤日轮1",1,IF(C639="赤日轮2",2,IF(C639="赤日轮3",3,IF(C639="幽月轮1",4,IF(C639="幽月轮2",5,IF(C639="幽月轮3",6,IF(C639="烈日斩",7,IF(C639="银月斩",8,IF(C639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639="净世破魔击·月",17,IF(C639="驱夜断愁",18,0)))))))))))</f>
        <v>4</v>
      </c>
      <c r="E639" s="115">
        <f ca="1">IF(AND(CU639,OR(C639="幽月轮1",C639="幽月轮2",C639="幽月轮3",C639="银月斩",C639="驱夜断愁",C639="净世破魔击·月")),100,MIN(IF(OR(CN639,BE639),0,IF(OR($C639="赤日轮1",$C639="赤日轮2",$C639="赤日轮3"),E638+20+IF(模拟模式!$I$7="日月凌天",4,0)+IF(CR638,20,0),IF($C639="烈日斩",E638+40,IF($C639="驱夜断愁",IF(模拟模式!$R$7="万念俱寂",E638+20,E638+60),IF($C639="净世破魔击·月",IF(OR(DB638&gt;0,CV638&gt;0),100,IF(模拟模式!$M$7="辉耀红尘",E638+20,E638)),IF($C639="净世破魔击·日",E638-100,E638)))))),100))</f>
        <v>80</v>
      </c>
      <c r="F639" s="115">
        <f ca="1">IF(AND(CU639,OR(C639="赤日轮1",C639="赤日轮2",C639="赤日轮3",C639="烈日斩",C639="净世破魔击·日")),100,MIN(IF(CO639,0,IF(OR($C639="幽月轮1",$C639="幽月轮2",$C639="幽月轮3"),F638+20+IF(模拟模式!$I$7="日月凌天",4,0)+IF(CS638,20,0),IF($C639="银月斩",F638+40+IF(模拟模式!$X$12=1,5,0),IF($C639="驱夜断愁",IF(模拟模式!$R$7="万念俱寂",F638+20,F638+60),IF($C639="净世破魔击·月",IF(模拟模式!$M$7="辉耀红尘",F638-80,F638-100),IF(AND(C639="净世破魔击·日",OR(DB638&gt;0,CV638&gt;0)),100,F638)))))),100))</f>
        <v>100</v>
      </c>
      <c r="G639" s="117">
        <f ca="1">('模拟-全程加成'!$E$3+'模拟-全程加成'!$E$4+'模拟-全程加成'!$E$5+('模拟-全程加成'!$C$6-'模拟-全程加成'!$C$3)*系数!$B$9+BS639*23)*(1+'模拟-全程加成'!$F$4+'模拟-全程加成'!$F$5+BJ639*10%+BM639*20%+BP639*4%+CG639*30%)+$F$7*系数!$B$12</f>
        <v>20583.127400000001</v>
      </c>
      <c r="H639" s="45">
        <f ca="1">'模拟-全程加成'!$H$3+'模拟-全程加成'!$H$4+'模拟-全程加成'!$H$5+('模拟-全程加成'!$G$4+'模拟-全程加成'!$G$5+('模拟-全程加成'!$C$6-'模拟-全程加成'!$C$3)*系数!$B$13)/系数!$B$3+LOOKUP(D639,'模拟-单技能数据'!$A$2:$A$19,'模拟-单技能数据'!$K$2:$K$19)+BG639*10%+IF(BV639&gt;0,378,0)</f>
        <v>0.51185145527300213</v>
      </c>
      <c r="I639" s="45">
        <f ca="1">'模拟-全程加成'!$J$3+'模拟-全程加成'!$J$4+'模拟-全程加成'!$J$5+('模拟-全程加成'!$I$4+'模拟-全程加成'!$I$5)/系数!$B$4+LOOKUP(D639,'模拟-单技能数据'!$A$2:$A$19,'模拟-单技能数据'!$L$2:$L$19)+BG639*10%</f>
        <v>2.162482885499879</v>
      </c>
      <c r="J639" s="45">
        <f ca="1">(('模拟-全程加成'!$K$3+'模拟-全程加成'!$K$4+'模拟-全程加成'!$K$5+('模拟-全程加成'!$C$6-'模拟-全程加成'!$C$3)*系数!$B$10+IF(BV639&gt;0,882,0)+IF(BY639&gt;0,1831,0))*(1+'模拟-全程加成'!$L$4+'模拟-全程加成'!$L$5+CC639*20%))/系数!$B$5</f>
        <v>0.85832564669386491</v>
      </c>
      <c r="K639" s="119">
        <f ca="1">LOOKUP(D639,'模拟-单技能数据'!$A$2:$A$19,'模拟-单技能数据'!$J$2:$J$19)+IF(CM639,60%,0)+IF(DB638-DB639&gt;0,30%,0)+IF(OR(AND(OR(C639="赤日轮1",C639="赤日轮2",C639="赤日轮3"),CR639),AND(OR(C639="幽月轮1",C639="幽月轮2",C639="幽月轮3"),CS639)),35%,0)+CJ639</f>
        <v>0.12000000000000001</v>
      </c>
      <c r="L639" s="119">
        <f ca="1">IF(AND(C639="烈日斩",模拟模式!$X$11=1),10%,0)+IF(AND(C639="驱夜断愁",AB639=1),30%,0)</f>
        <v>0</v>
      </c>
      <c r="M639" s="45">
        <f t="shared" ca="1" si="539"/>
        <v>0.51185145527300213</v>
      </c>
      <c r="N639" s="45">
        <f t="shared" ca="1" si="540"/>
        <v>0.43424854472699792</v>
      </c>
      <c r="O639" s="46">
        <f t="shared" ca="1" si="570"/>
        <v>0.42395316024244101</v>
      </c>
      <c r="P639" s="46" t="str">
        <f t="shared" ca="1" si="541"/>
        <v>会</v>
      </c>
      <c r="Q639" s="45">
        <f t="shared" ca="1" si="542"/>
        <v>2.162482885499879</v>
      </c>
      <c r="R639" s="117">
        <f ca="1">模拟模式!$E$20*(1-IF(模拟模式!$J$19="有",0.15,0))*(1-IF(模拟模式!$K$19="有",0.3,0)-IF(CQ639,0.5,0))</f>
        <v>2950.6049999999996</v>
      </c>
      <c r="S639" s="45">
        <f ca="1">R639/(R639+(185*模拟模式!$E$22-16800)*4.08224)</f>
        <v>0.24272716014590323</v>
      </c>
      <c r="T639" s="45" t="str">
        <f ca="1">LOOKUP(D639,'模拟-单技能数据'!$A$2:$A$19,'模拟-单技能数据'!$H$2:$H$19)</f>
        <v>阴</v>
      </c>
      <c r="U639" s="119">
        <f t="shared" ca="1" si="543"/>
        <v>0.08</v>
      </c>
      <c r="V639" s="47">
        <f ca="1">(1+L639)*(LOOKUP(D639,'模拟-单技能数据'!$A$2:$A$19,'模拟-单技能数据'!$D$2:$D$19)+G639*LOOKUP(D639,'模拟-单技能数据'!$A$2:$A$19,'模拟-单技能数据'!$F$2:$F$19))*(1+J639)*(1+K639)*(1-S639)*(1+U639)*Q639*LOOKUP(D639,'模拟-单技能数据'!$A$2:$A$19,'模拟-单技能数据'!$I$2:$I$20)</f>
        <v>40214.696496595476</v>
      </c>
      <c r="W639" s="47">
        <f ca="1">LOOKUP(D639,'模拟-单技能数据'!$A$2:$A$19,'模拟-单技能数据'!$G$2:$G$19)*$I$10</f>
        <v>361.51064354704795</v>
      </c>
      <c r="X639" s="47">
        <f t="shared" ca="1" si="571"/>
        <v>10063.029835469735</v>
      </c>
      <c r="Y639" s="47">
        <f t="shared" ca="1" si="544"/>
        <v>50639.236975612257</v>
      </c>
      <c r="Z639" s="49">
        <f t="shared" ca="1" si="545"/>
        <v>64067372.496027902</v>
      </c>
      <c r="AA639" s="97">
        <f t="shared" ca="1" si="546"/>
        <v>113479.94490679134</v>
      </c>
      <c r="AB639" s="115">
        <f ca="1">IF(OR(C639="赤日轮1",C639="赤日轮2",C639="赤日轮3"),IF(RAND()&lt;模拟模式!$Y$17,1,0),IF(OR(C639="幽月轮1",C639="幽月轮2",C639="幽月轮3"),IF(RAND()&lt;模拟模式!$Y$18,1,0),IF(C639="烈日斩",IF(RAND()&lt;模拟模式!$Y$19,1,0),IF(C639="银月斩",IF(RAND()&lt;模拟模式!$Y$20,1,0),IF(C639="驱夜断愁",IF(RAND()&lt;模拟模式!$Y$21,1,0),IF(C639="净世破魔击·日",IF(RAND()&lt;模拟模式!$Y$22,1,0),IF(C639="净世破魔击·月",IF(RAND()&lt;模拟模式!$Y$23,1,0),0)))))))</f>
        <v>1</v>
      </c>
      <c r="AC639" s="115" t="b">
        <f t="shared" ca="1" si="547"/>
        <v>0</v>
      </c>
      <c r="AD639" s="115" t="b">
        <f t="shared" ca="1" si="548"/>
        <v>0</v>
      </c>
      <c r="AE639" s="115">
        <f t="shared" ca="1" si="549"/>
        <v>4</v>
      </c>
      <c r="AF639" s="47">
        <f ca="1">IF(AC639,('模拟-单技能数据'!$D$20+G639*'模拟-单技能数据'!$F$20)*(1+J639)*(1+'模拟-单技能数据'!$J$20)*(1+U639),0)</f>
        <v>0</v>
      </c>
      <c r="AG639" s="61">
        <f t="shared" ca="1" si="550"/>
        <v>0.64185145527300214</v>
      </c>
      <c r="AH639" s="61">
        <f t="shared" ca="1" si="551"/>
        <v>2.2624828854998791</v>
      </c>
      <c r="AI639" s="62">
        <f t="shared" ca="1" si="572"/>
        <v>0.33803555593255818</v>
      </c>
      <c r="AJ639" s="47">
        <f ca="1">IF(AD639,IF(AI639&lt;$F$10,0,IF(AI639&lt;$F$10+$F$11,0.25,IF(AI639&lt;$F$10+$F$11+AG639,AH639,1)))*IF(AF639&gt;0,AF639,IF(AF638&gt;0,AF638,IF(AF637&gt;0,AF637,IF(AF636&gt;0,AF636,IF(AF635&gt;0,AF635,IF(AF634&gt;0,AF634,IF(AF633&gt;0,AF633,IF(AF632&gt;0,AF632,IF(AF631&gt;0,AF631,IF(AF629&gt;0,AF629,IF(AF628&gt;0,AF628,IF(AF627&gt;0,AF627,0)))))))))))),0)*(1-$S639)*'模拟-单技能数据'!$I$20</f>
        <v>0</v>
      </c>
      <c r="AK639" s="115" t="b">
        <f t="shared" ca="1" si="552"/>
        <v>0</v>
      </c>
      <c r="AL639" s="115" t="b">
        <f t="shared" ca="1" si="553"/>
        <v>1</v>
      </c>
      <c r="AM639" s="115">
        <f t="shared" ca="1" si="554"/>
        <v>3</v>
      </c>
      <c r="AN639" s="47">
        <f ca="1">IF(AK639,('模拟-单技能数据'!$D$21+G639*'模拟-单技能数据'!$F$21)*(1+J639)*(1+'模拟-单技能数据'!$J$21)*(1+U639),0)</f>
        <v>0</v>
      </c>
      <c r="AO639" s="61">
        <f ca="1">IF(AN639&gt;0,M639-'模拟-单技能数据'!$K$10,AO638)</f>
        <v>0.42185145527300216</v>
      </c>
      <c r="AP639" s="61">
        <f ca="1">IF(AN639&gt;0,I639-'模拟-单技能数据'!$L$10,AP638)</f>
        <v>2.162482885499879</v>
      </c>
      <c r="AQ639" s="63">
        <f t="shared" ca="1" si="573"/>
        <v>0.48429496941944028</v>
      </c>
      <c r="AR639" s="64">
        <f ca="1">IF(AL639,IF(AQ639&lt;$F$10,0,IF(AQ639&lt;$F$10+$F$11,0.25,IF(AQ639&lt;$F$10+$F$11+AO639,AP639,1)))*IF(AN639&gt;0,AN639,IF(AN638&gt;0,AN638,IF(AN637&gt;0,AN637,IF(AN636&gt;0,AN636,IF(AN635&gt;0,AN635,IF(AN634&gt;0,AN634,IF(AN633&gt;0,AN633,IF(AN632&gt;0,AN632,IF(AN631&gt;0,AN631,IF(AN629&gt;0,AN629,IF(AN628&gt;0,AN628,IF(AN627&gt;0,AN627,0)))))))))))),0)*(1-$S639)*'模拟-单技能数据'!$I$21</f>
        <v>10063.029835469735</v>
      </c>
      <c r="AS639" s="61">
        <f ca="1">IF(OR(C639="净世破魔击·日",C639="净世破魔击·月"),M639-'模拟-单技能数据'!$K$10,0)</f>
        <v>0</v>
      </c>
      <c r="AT639" s="61">
        <f ca="1">IF(OR(C639="净世破魔击·日",C639="净世破魔击·月"),I639-'模拟-单技能数据'!$L$10,0)</f>
        <v>0</v>
      </c>
      <c r="AU639" s="62">
        <f t="shared" ca="1" si="574"/>
        <v>0.7635044999180467</v>
      </c>
      <c r="AV639" s="64">
        <f ca="1">IF(AS639&gt;0,('模拟-单技能数据'!$D$22+G639*'模拟-单技能数据'!$F$22)*(1+J639)*(1-S639)*IF(AU639&lt;$F$10,0,IF(AU639&lt;$F$10+$F$11,0.25,IF(AU639&lt;$F$10+$F$11+AS639,AT639,1)))*(1+U639),0)*'模拟-单技能数据'!$I$22</f>
        <v>0</v>
      </c>
      <c r="AW639" s="108">
        <f t="shared" ca="1" si="575"/>
        <v>0</v>
      </c>
      <c r="AX639" s="108" t="b">
        <f ca="1">AND(模拟模式!$P$10="有",AW638=0,RAND()&lt;IF(C639="净世破魔击·月",0.1*8/3,IF(C639="净世破魔击·日",0.1*4/3,0.1*2/3)))</f>
        <v>0</v>
      </c>
      <c r="AY639" s="47">
        <f ca="1">IF(AX639,(18+G639*0.722)*(1+J639)*(1-S639)*(1+$I$4)*IF(P639="会",'模拟-全程加成'!$J$3+'模拟-全程加成'!$J$4+'模拟-全程加成'!$J$5+('模拟-全程加成'!$I$4+'模拟-全程加成'!$I$5)/系数!$B$4+BG639*10%,IF(P639="命",1,IF(P639="识",0.25,0))),0)</f>
        <v>0</v>
      </c>
      <c r="AZ639" s="108">
        <f t="shared" si="576"/>
        <v>3.3950000000000062</v>
      </c>
      <c r="BA639" s="108" t="b">
        <f>AND(模拟模式!$Q$10="有",AZ638=0)</f>
        <v>0</v>
      </c>
      <c r="BB639" s="140">
        <f>IF(BA639,(0+G639*0.287)*(1+J639)*(1-S639)*(1+$I$4)*IF(P639="会",'模拟-全程加成'!$J$3+'模拟-全程加成'!$J$4+'模拟-全程加成'!$J$5+('模拟-全程加成'!$I$4+'模拟-全程加成'!$I$5)/系数!$B$4+BG639*10%,IF(P639="命",1,IF(P639="识",0.25,0))),0)</f>
        <v>0</v>
      </c>
      <c r="BC639" s="115" t="b">
        <f ca="1">AND(模拟模式!$R$7="伏明众生",E639=60,F639=20,DA639&lt;5,CZ638&lt;$F$4)</f>
        <v>0</v>
      </c>
      <c r="BD639" s="115">
        <f t="shared" ca="1" si="555"/>
        <v>0</v>
      </c>
      <c r="BE639" s="115" t="b">
        <f t="shared" ca="1" si="556"/>
        <v>0</v>
      </c>
      <c r="BF639" s="47">
        <f ca="1">IF(BC639,4*('模拟-单技能数据'!$D$24+G639*'模拟-单技能数据'!$F$24)*(1+J639)*(1+'模拟-单技能数据'!$J$24)*(1-S639)*(1+$I$3)*(('模拟-全程加成'!$J$3+'模拟-全程加成'!$J$4+'模拟-全程加成'!$J$5+('模拟-全程加成'!$I$4+'模拟-全程加成'!$I$5)/系数!$B$4+BG639*10%)*('模拟-全程加成'!$J$3+'模拟-全程加成'!$J$4+'模拟-全程加成'!$J$5+('模拟-全程加成'!$I$4+'模拟-全程加成'!$I$5)/系数!$B$4+BG639*10%)+(1-('模拟-全程加成'!$J$3+'模拟-全程加成'!$J$4+'模拟-全程加成'!$J$5+('模拟-全程加成'!$I$4+'模拟-全程加成'!$I$5)/系数!$B$4+BG639*10%)-$F$10-$F$11)+F625*0.25),0)*'模拟-单技能数据'!$I$24</f>
        <v>0</v>
      </c>
      <c r="BG639" s="115" t="b">
        <f ca="1">OR(AND(OR(C639="烈日斩",C639="银月斩"),模拟模式!$I$7="净身明礼"),AND(C639="净世破魔击·日",模拟模式!$J$7="洞若观火"),AND(C640="净世破魔击·月",模拟模式!$J$7="洞若观火"),AB639=1)</f>
        <v>1</v>
      </c>
      <c r="BH639" s="115" t="b">
        <f t="shared" ca="1" si="577"/>
        <v>0</v>
      </c>
      <c r="BI639" s="115">
        <f t="shared" ca="1" si="557"/>
        <v>0</v>
      </c>
      <c r="BJ639" s="115" t="b">
        <f t="shared" ca="1" si="558"/>
        <v>0</v>
      </c>
      <c r="BK639" s="115" t="b">
        <f ca="1">AND(C639="驱夜断愁",模拟模式!$P$7="天地诛戮")</f>
        <v>0</v>
      </c>
      <c r="BL639" s="57">
        <f t="shared" ca="1" si="559"/>
        <v>18.155000000000001</v>
      </c>
      <c r="BM639" s="115" t="b">
        <f t="shared" ca="1" si="560"/>
        <v>1</v>
      </c>
      <c r="BN639" s="115" t="b">
        <f ca="1">AND(OR(C639="赤日轮1",C639="赤日轮2",C639="赤日轮3",C639="幽月轮1",C639="幽月轮2",C639="幽月轮3"),AB639=1,模拟模式!$L$7="明光恒照")</f>
        <v>1</v>
      </c>
      <c r="BO639" s="117">
        <f t="shared" ca="1" si="561"/>
        <v>30</v>
      </c>
      <c r="BP639" s="115">
        <f t="shared" ca="1" si="578"/>
        <v>6</v>
      </c>
      <c r="BQ639" s="115" t="b">
        <f>模拟模式!$K$10="2600·水"</f>
        <v>0</v>
      </c>
      <c r="BR639" s="117">
        <f t="shared" si="579"/>
        <v>0</v>
      </c>
      <c r="BS639" s="115">
        <f t="shared" si="580"/>
        <v>0</v>
      </c>
      <c r="BT639" s="115">
        <f t="shared" ca="1" si="581"/>
        <v>0</v>
      </c>
      <c r="BU639" s="115" t="b">
        <f ca="1">AND(模拟模式!$K$10="2300·雷",BT638=0,RAND()&lt;IF(C639="净世破魔击·月",5*0.05*2/3,IF(C639="净世破魔击·日",3*0.05*2/3,0.05*2*2/3)))</f>
        <v>0</v>
      </c>
      <c r="BV639" s="115">
        <f t="shared" ca="1" si="582"/>
        <v>0</v>
      </c>
      <c r="BW639" s="115">
        <f t="shared" ca="1" si="583"/>
        <v>173.5424999999999</v>
      </c>
      <c r="BX639" s="164" t="b">
        <f t="shared" ca="1" si="584"/>
        <v>0</v>
      </c>
      <c r="BY639" s="115">
        <f t="shared" ca="1" si="585"/>
        <v>8.542500000000004</v>
      </c>
      <c r="BZ639" s="115">
        <f>IF(OR(模拟模式!$P$16="10人团",模拟模式!$P$16="25人团"),IF(B639/30&gt;CA638,1,0),0)</f>
        <v>0</v>
      </c>
      <c r="CA639" s="115">
        <f t="shared" si="562"/>
        <v>0</v>
      </c>
      <c r="CB639" s="115">
        <f ca="1">IF(BZ639=1,IF(模拟模式!$P$16="10人团",15,0)+IF(模拟模式!$P$16="25人团",IF(RAND()&lt;0.6,15,0)),MAX(0,CB638-$F$4))</f>
        <v>0</v>
      </c>
      <c r="CC639" s="115" t="b">
        <f t="shared" ca="1" si="563"/>
        <v>0</v>
      </c>
      <c r="CD639" s="115">
        <f>IF(模拟模式!$Q$16="1个",IF(B639/40&gt;CE638,1,0),0)</f>
        <v>0</v>
      </c>
      <c r="CE639" s="115">
        <f t="shared" si="564"/>
        <v>0</v>
      </c>
      <c r="CF639" s="115">
        <f>IF(OR(CD639=1,模拟模式!$Q$16="2个"),20,MAX(0,CF638-$F$4))</f>
        <v>0</v>
      </c>
      <c r="CG639" s="115" t="b">
        <f t="shared" si="565"/>
        <v>0</v>
      </c>
      <c r="CH639" s="115">
        <f t="shared" ca="1" si="586"/>
        <v>23.542500000000004</v>
      </c>
      <c r="CI639" s="115" t="b">
        <f t="shared" ca="1" si="587"/>
        <v>0</v>
      </c>
      <c r="CJ639" s="119">
        <f t="shared" ca="1" si="588"/>
        <v>0.05</v>
      </c>
      <c r="CK639" s="115">
        <f t="shared" ca="1" si="589"/>
        <v>1.5424999999999991</v>
      </c>
      <c r="CL639" s="115" t="b">
        <f ca="1">AND(模拟模式!$S$7="驱夷逐法",OR(AND(C639="净世破魔击·月",E638&gt;59),AND(C639="净世破魔击·日",F638&gt;59)))</f>
        <v>0</v>
      </c>
      <c r="CM639" s="115" t="b">
        <f ca="1">OR(CL639,AND(C639="净世破魔击·日",CL638,RAND()&lt;模拟模式!$U$23))</f>
        <v>0</v>
      </c>
      <c r="CN639" s="115" t="b">
        <f ca="1">IF(模拟模式!$M$7="辉耀红尘",AND(C639="净世破魔击·月",CL639,CV639=0,E638&lt;80),AND(C639="净世破魔击·月",CL639,E638&lt;100))</f>
        <v>0</v>
      </c>
      <c r="CO639" s="115" t="b">
        <f t="shared" ca="1" si="566"/>
        <v>0</v>
      </c>
      <c r="CP639" s="115" t="b">
        <f ca="1">AND(模拟模式!$O$7="用晦而明",OR(C639="净世破魔击·日",C639="净世破魔击·月",C639="驱夜断愁"),AB639)</f>
        <v>0</v>
      </c>
      <c r="CQ639" s="115" t="b">
        <f ca="1">OR(CP639,AND(CP638,RAND()&lt;模拟模式!$U$23))</f>
        <v>0</v>
      </c>
      <c r="CR639" s="115" t="b">
        <f ca="1">AND(模拟模式!$S$7="日月齐光",OR(C639="幽月轮1",C639="幽月轮2",C639="幽月轮3",CR638),NOT(OR(C639="赤日轮1",C639="赤日轮2",C639="赤日轮3")))</f>
        <v>0</v>
      </c>
      <c r="CS639" s="115" t="b">
        <f ca="1">AND(模拟模式!$S$7="日月齐光",OR(C639="赤日轮1",C639="赤日轮2",C639="赤日轮3",CS638),NOT(OR(C639="幽月轮1",C639="幽月轮2",C639="幽月轮3")))</f>
        <v>0</v>
      </c>
      <c r="CT639" s="115">
        <f t="shared" ca="1" si="590"/>
        <v>14.31750000000001</v>
      </c>
      <c r="CU639" s="115" t="b">
        <f ca="1">AND(模拟模式!$K$10="阴阳往极",CT638=0,RAND()&lt;IF(C639="净世破魔击·月",0.0275*7/3,IF(C639="净世破魔击·日",0.0275*3/3,0.0275*2/3)))</f>
        <v>0</v>
      </c>
      <c r="CV639" s="115">
        <f t="shared" ca="1" si="591"/>
        <v>0</v>
      </c>
      <c r="CW639" s="115">
        <f t="shared" ca="1" si="592"/>
        <v>5.0774999999999997</v>
      </c>
      <c r="CX639" s="115">
        <f t="shared" ca="1" si="593"/>
        <v>3.2324999999999995</v>
      </c>
      <c r="CY639" s="115">
        <f ca="1">MAX(IF($C639="驱夜断愁",IF(模拟模式!$R$7="万念俱寂",6,45),CY638-$F$4),0)</f>
        <v>4.1549999999999994</v>
      </c>
      <c r="CZ639" s="115">
        <f t="shared" ca="1" si="567"/>
        <v>0</v>
      </c>
      <c r="DA639" s="115">
        <f ca="1">IF(模拟模式!$N$7="日月同辉",IF(DB638=2,0,MIN(6,IF(AND(OR(C639="赤日轮1",C639="赤日轮2",C639="赤日轮3",C639="幽月轮1",C639="幽月轮2",C639="幽月轮3"),AB639=1),DA638+1,DA638))),0)</f>
        <v>3</v>
      </c>
      <c r="DB639" s="115">
        <f t="shared" ca="1" si="568"/>
        <v>0</v>
      </c>
      <c r="DC639" s="115"/>
      <c r="DD639" s="115"/>
      <c r="DE639" s="115"/>
      <c r="DF639" s="115"/>
      <c r="DG639" s="115"/>
      <c r="DH639" s="115"/>
      <c r="DI639" s="115"/>
      <c r="DJ639" s="115"/>
      <c r="DK639" s="115"/>
      <c r="DL639" s="115"/>
      <c r="DM639" s="115"/>
    </row>
    <row r="640" spans="2:117" x14ac:dyDescent="0.2">
      <c r="B640" s="117">
        <f t="shared" si="569"/>
        <v>565.49250000000632</v>
      </c>
      <c r="C640" s="167" t="str">
        <f t="shared" ca="1" si="538"/>
        <v>净世破魔击·月</v>
      </c>
      <c r="D640" s="115">
        <f ca="1">IF(C640="赤日轮1",1,IF(C640="赤日轮2",2,IF(C640="赤日轮3",3,IF(C640="幽月轮1",4,IF(C640="幽月轮2",5,IF(C640="幽月轮3",6,IF(C640="烈日斩",7,IF(C640="银月斩",8,IF(C640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640="净世破魔击·月",17,IF(C640="驱夜断愁",18,0)))))))))))</f>
        <v>17</v>
      </c>
      <c r="E640" s="115">
        <f ca="1">IF(AND(CU640,OR(C640="幽月轮1",C640="幽月轮2",C640="幽月轮3",C640="银月斩",C640="驱夜断愁",C640="净世破魔击·月")),100,MIN(IF(OR(CN640,BE640),0,IF(OR($C640="赤日轮1",$C640="赤日轮2",$C640="赤日轮3"),E639+20+IF(模拟模式!$I$7="日月凌天",4,0)+IF(CR639,20,0),IF($C640="烈日斩",E639+40,IF($C640="驱夜断愁",IF(模拟模式!$R$7="万念俱寂",E639+20,E639+60),IF($C640="净世破魔击·月",IF(OR(DB639&gt;0,CV639&gt;0),100,IF(模拟模式!$M$7="辉耀红尘",E639+20,E639)),IF($C640="净世破魔击·日",E639-100,E639)))))),100))</f>
        <v>100</v>
      </c>
      <c r="F640" s="115">
        <f ca="1">IF(AND(CU640,OR(C640="赤日轮1",C640="赤日轮2",C640="赤日轮3",C640="烈日斩",C640="净世破魔击·日")),100,MIN(IF(CO640,0,IF(OR($C640="幽月轮1",$C640="幽月轮2",$C640="幽月轮3"),F639+20+IF(模拟模式!$I$7="日月凌天",4,0)+IF(CS639,20,0),IF($C640="银月斩",F639+40+IF(模拟模式!$X$12=1,5,0),IF($C640="驱夜断愁",IF(模拟模式!$R$7="万念俱寂",F639+20,F639+60),IF($C640="净世破魔击·月",IF(模拟模式!$M$7="辉耀红尘",F639-80,F639-100),IF(AND(C640="净世破魔击·日",OR(DB639&gt;0,CV639&gt;0)),100,F639)))))),100))</f>
        <v>20</v>
      </c>
      <c r="G640" s="117">
        <f ca="1">('模拟-全程加成'!$E$3+'模拟-全程加成'!$E$4+'模拟-全程加成'!$E$5+('模拟-全程加成'!$C$6-'模拟-全程加成'!$C$3)*系数!$B$9+BS640*23)*(1+'模拟-全程加成'!$F$4+'模拟-全程加成'!$F$5+BJ640*10%+BM640*20%+BP640*4%+CG640*30%)+$F$7*系数!$B$12</f>
        <v>20583.127400000001</v>
      </c>
      <c r="H640" s="45">
        <f ca="1">'模拟-全程加成'!$H$3+'模拟-全程加成'!$H$4+'模拟-全程加成'!$H$5+('模拟-全程加成'!$G$4+'模拟-全程加成'!$G$5+('模拟-全程加成'!$C$6-'模拟-全程加成'!$C$3)*系数!$B$13)/系数!$B$3+LOOKUP(D640,'模拟-单技能数据'!$A$2:$A$19,'模拟-单技能数据'!$K$2:$K$19)+BG640*10%+IF(BV640&gt;0,378,0)</f>
        <v>0.54185145527300216</v>
      </c>
      <c r="I640" s="45">
        <f ca="1">'模拟-全程加成'!$J$3+'模拟-全程加成'!$J$4+'模拟-全程加成'!$J$5+('模拟-全程加成'!$I$4+'模拟-全程加成'!$I$5)/系数!$B$4+LOOKUP(D640,'模拟-单技能数据'!$A$2:$A$19,'模拟-单技能数据'!$L$2:$L$19)+BG640*10%</f>
        <v>2.162482885499879</v>
      </c>
      <c r="J640" s="45">
        <f ca="1">(('模拟-全程加成'!$K$3+'模拟-全程加成'!$K$4+'模拟-全程加成'!$K$5+('模拟-全程加成'!$C$6-'模拟-全程加成'!$C$3)*系数!$B$10+IF(BV640&gt;0,882,0)+IF(BY640&gt;0,1831,0))*(1+'模拟-全程加成'!$L$4+'模拟-全程加成'!$L$5+CC640*20%))/系数!$B$5</f>
        <v>0.85832564669386491</v>
      </c>
      <c r="K640" s="119">
        <f ca="1">LOOKUP(D640,'模拟-单技能数据'!$A$2:$A$19,'模拟-单技能数据'!$J$2:$J$19)+IF(CM640,60%,0)+IF(DB639-DB640&gt;0,30%,0)+IF(OR(AND(OR(C640="赤日轮1",C640="赤日轮2",C640="赤日轮3"),CR640),AND(OR(C640="幽月轮1",C640="幽月轮2",C640="幽月轮3"),CS640)),35%,0)+CJ640</f>
        <v>0.85000000000000009</v>
      </c>
      <c r="L640" s="119">
        <f ca="1">IF(AND(C640="烈日斩",模拟模式!$X$11=1),10%,0)+IF(AND(C640="驱夜断愁",AB640=1),30%,0)</f>
        <v>0</v>
      </c>
      <c r="M640" s="45">
        <f t="shared" ca="1" si="539"/>
        <v>0.54185145527300216</v>
      </c>
      <c r="N640" s="45">
        <f t="shared" ca="1" si="540"/>
        <v>0.40424854472699789</v>
      </c>
      <c r="O640" s="46">
        <f t="shared" ca="1" si="570"/>
        <v>0.22765286560240861</v>
      </c>
      <c r="P640" s="46" t="str">
        <f t="shared" ca="1" si="541"/>
        <v>会</v>
      </c>
      <c r="Q640" s="45">
        <f t="shared" ca="1" si="542"/>
        <v>2.162482885499879</v>
      </c>
      <c r="R640" s="117">
        <f ca="1">模拟模式!$E$20*(1-IF(模拟模式!$J$19="有",0.15,0))*(1-IF(模拟模式!$K$19="有",0.3,0)-IF(CQ640,0.5,0))</f>
        <v>843.02999999999975</v>
      </c>
      <c r="S640" s="45">
        <f ca="1">R640/(R640+(185*模拟模式!$E$22-16800)*4.08224)</f>
        <v>8.389626085980037E-2</v>
      </c>
      <c r="T640" s="45" t="str">
        <f ca="1">LOOKUP(D640,'模拟-单技能数据'!$A$2:$A$19,'模拟-单技能数据'!$H$2:$H$19)</f>
        <v>阴</v>
      </c>
      <c r="U640" s="119">
        <f t="shared" ca="1" si="543"/>
        <v>0.08</v>
      </c>
      <c r="V640" s="47">
        <f ca="1">(1+L640)*(LOOKUP(D640,'模拟-单技能数据'!$A$2:$A$19,'模拟-单技能数据'!$D$2:$D$19)+G640*LOOKUP(D640,'模拟-单技能数据'!$A$2:$A$19,'模拟-单技能数据'!$F$2:$F$19))*(1+J640)*(1+K640)*(1-S640)*(1+U640)*Q640*LOOKUP(D640,'模拟-单技能数据'!$A$2:$A$19,'模拟-单技能数据'!$I$2:$I$20)</f>
        <v>196784.55890374014</v>
      </c>
      <c r="W640" s="47">
        <f ca="1">LOOKUP(D640,'模拟-单技能数据'!$A$2:$A$19,'模拟-单技能数据'!$G$2:$G$19)*$I$10</f>
        <v>361.51064354704795</v>
      </c>
      <c r="X640" s="47">
        <f t="shared" ca="1" si="571"/>
        <v>18458.506460126213</v>
      </c>
      <c r="Y640" s="47">
        <f t="shared" ca="1" si="544"/>
        <v>215604.57600741339</v>
      </c>
      <c r="Z640" s="49">
        <f t="shared" ca="1" si="545"/>
        <v>64282977.072035313</v>
      </c>
      <c r="AA640" s="97">
        <f t="shared" ca="1" si="546"/>
        <v>113676.09132222725</v>
      </c>
      <c r="AB640" s="115">
        <f ca="1">IF(OR(C640="赤日轮1",C640="赤日轮2",C640="赤日轮3"),IF(RAND()&lt;模拟模式!$Y$17,1,0),IF(OR(C640="幽月轮1",C640="幽月轮2",C640="幽月轮3"),IF(RAND()&lt;模拟模式!$Y$18,1,0),IF(C640="烈日斩",IF(RAND()&lt;模拟模式!$Y$19,1,0),IF(C640="银月斩",IF(RAND()&lt;模拟模式!$Y$20,1,0),IF(C640="驱夜断愁",IF(RAND()&lt;模拟模式!$Y$21,1,0),IF(C640="净世破魔击·日",IF(RAND()&lt;模拟模式!$Y$22,1,0),IF(C640="净世破魔击·月",IF(RAND()&lt;模拟模式!$Y$23,1,0),0)))))))</f>
        <v>1</v>
      </c>
      <c r="AC640" s="115" t="b">
        <f t="shared" ca="1" si="547"/>
        <v>0</v>
      </c>
      <c r="AD640" s="115" t="b">
        <f t="shared" ca="1" si="548"/>
        <v>1</v>
      </c>
      <c r="AE640" s="115">
        <f t="shared" ca="1" si="549"/>
        <v>3</v>
      </c>
      <c r="AF640" s="47">
        <f ca="1">IF(AC640,('模拟-单技能数据'!$D$20+G640*'模拟-单技能数据'!$F$20)*(1+J640)*(1+'模拟-单技能数据'!$J$20)*(1+U640),0)</f>
        <v>0</v>
      </c>
      <c r="AG640" s="61">
        <f t="shared" ca="1" si="550"/>
        <v>0.64185145527300214</v>
      </c>
      <c r="AH640" s="61">
        <f t="shared" ca="1" si="551"/>
        <v>2.2624828854998791</v>
      </c>
      <c r="AI640" s="62">
        <f t="shared" ca="1" si="572"/>
        <v>0.38149616560247424</v>
      </c>
      <c r="AJ640" s="47">
        <f ca="1">IF(AD640,IF(AI640&lt;$F$10,0,IF(AI640&lt;$F$10+$F$11,0.25,IF(AI640&lt;$F$10+$F$11+AG640,AH640,1)))*IF(AF640&gt;0,AF640,IF(AF639&gt;0,AF639,IF(AF638&gt;0,AF638,IF(AF637&gt;0,AF637,IF(AF636&gt;0,AF636,IF(AF635&gt;0,AF635,IF(AF634&gt;0,AF634,IF(AF633&gt;0,AF633,IF(AF632&gt;0,AF632,IF(AF630&gt;0,AF630,IF(AF629&gt;0,AF629,IF(AF628&gt;0,AF628,0)))))))))))),0)*(1-$S640)*'模拟-单技能数据'!$I$20</f>
        <v>10093.953229098464</v>
      </c>
      <c r="AK640" s="115" t="b">
        <f t="shared" ca="1" si="552"/>
        <v>0</v>
      </c>
      <c r="AL640" s="115" t="b">
        <f t="shared" ca="1" si="553"/>
        <v>0</v>
      </c>
      <c r="AM640" s="115">
        <f t="shared" ca="1" si="554"/>
        <v>3</v>
      </c>
      <c r="AN640" s="47">
        <f ca="1">IF(AK640,('模拟-单技能数据'!$D$21+G640*'模拟-单技能数据'!$F$21)*(1+J640)*(1+'模拟-单技能数据'!$J$21)*(1+U640),0)</f>
        <v>0</v>
      </c>
      <c r="AO640" s="61">
        <f ca="1">IF(AN640&gt;0,M640-'模拟-单技能数据'!$K$10,AO639)</f>
        <v>0.42185145527300216</v>
      </c>
      <c r="AP640" s="61">
        <f ca="1">IF(AN640&gt;0,I640-'模拟-单技能数据'!$L$10,AP639)</f>
        <v>2.162482885499879</v>
      </c>
      <c r="AQ640" s="63">
        <f t="shared" ca="1" si="573"/>
        <v>0.37818212155725495</v>
      </c>
      <c r="AR640" s="64">
        <f ca="1">IF(AL640,IF(AQ640&lt;$F$10,0,IF(AQ640&lt;$F$10+$F$11,0.25,IF(AQ640&lt;$F$10+$F$11+AO640,AP640,1)))*IF(AN640&gt;0,AN640,IF(AN639&gt;0,AN639,IF(AN638&gt;0,AN638,IF(AN637&gt;0,AN637,IF(AN636&gt;0,AN636,IF(AN635&gt;0,AN635,IF(AN634&gt;0,AN634,IF(AN633&gt;0,AN633,IF(AN632&gt;0,AN632,IF(AN630&gt;0,AN630,IF(AN629&gt;0,AN629,IF(AN628&gt;0,AN628,0)))))))))))),0)*(1-$S640)*'模拟-单技能数据'!$I$21</f>
        <v>0</v>
      </c>
      <c r="AS640" s="61">
        <f ca="1">IF(OR(C640="净世破魔击·日",C640="净世破魔击·月"),M640-'模拟-单技能数据'!$K$10,0)</f>
        <v>0.42185145527300216</v>
      </c>
      <c r="AT640" s="61">
        <f ca="1">IF(OR(C640="净世破魔击·日",C640="净世破魔击·月"),I640-'模拟-单技能数据'!$L$10,0)</f>
        <v>2.162482885499879</v>
      </c>
      <c r="AU640" s="62">
        <f t="shared" ca="1" si="574"/>
        <v>0.69448366729860056</v>
      </c>
      <c r="AV640" s="64">
        <f ca="1">IF(AS640&gt;0,('模拟-单技能数据'!$D$22+G640*'模拟-单技能数据'!$F$22)*(1+J640)*(1-S640)*IF(AU640&lt;$F$10,0,IF(AU640&lt;$F$10+$F$11,0.25,IF(AU640&lt;$F$10+$F$11+AS640,AT640,1)))*(1+U640),0)*'模拟-单技能数据'!$I$22</f>
        <v>8364.5532310277467</v>
      </c>
      <c r="AW640" s="108">
        <f t="shared" ca="1" si="575"/>
        <v>0</v>
      </c>
      <c r="AX640" s="108" t="b">
        <f ca="1">AND(模拟模式!$P$10="有",AW639=0,RAND()&lt;IF(C640="净世破魔击·月",0.1*8/3,IF(C640="净世破魔击·日",0.1*4/3,0.1*2/3)))</f>
        <v>0</v>
      </c>
      <c r="AY640" s="47">
        <f ca="1">IF(AX640,(18+G640*0.722)*(1+J640)*(1-S640)*(1+$I$4)*IF(P640="会",'模拟-全程加成'!$J$3+'模拟-全程加成'!$J$4+'模拟-全程加成'!$J$5+('模拟-全程加成'!$I$4+'模拟-全程加成'!$I$5)/系数!$B$4+BG640*10%,IF(P640="命",1,IF(P640="识",0.25,0))),0)</f>
        <v>0</v>
      </c>
      <c r="AZ640" s="108">
        <f t="shared" si="576"/>
        <v>2.4725000000000064</v>
      </c>
      <c r="BA640" s="108" t="b">
        <f>AND(模拟模式!$Q$10="有",AZ639=0)</f>
        <v>0</v>
      </c>
      <c r="BB640" s="140">
        <f>IF(BA640,(0+G640*0.287)*(1+J640)*(1-S640)*(1+$I$4)*IF(P640="会",'模拟-全程加成'!$J$3+'模拟-全程加成'!$J$4+'模拟-全程加成'!$J$5+('模拟-全程加成'!$I$4+'模拟-全程加成'!$I$5)/系数!$B$4+BG640*10%,IF(P640="命",1,IF(P640="识",0.25,0))),0)</f>
        <v>0</v>
      </c>
      <c r="BC640" s="115" t="b">
        <f ca="1">AND(模拟模式!$R$7="伏明众生",E640=60,F640=20,DA640&lt;5,CZ639&lt;$F$4)</f>
        <v>0</v>
      </c>
      <c r="BD640" s="115">
        <f t="shared" ca="1" si="555"/>
        <v>0</v>
      </c>
      <c r="BE640" s="115" t="b">
        <f t="shared" ca="1" si="556"/>
        <v>0</v>
      </c>
      <c r="BF640" s="47">
        <f ca="1">IF(BC640,4*('模拟-单技能数据'!$D$24+G640*'模拟-单技能数据'!$F$24)*(1+J640)*(1+'模拟-单技能数据'!$J$24)*(1-S640)*(1+$I$3)*(('模拟-全程加成'!$J$3+'模拟-全程加成'!$J$4+'模拟-全程加成'!$J$5+('模拟-全程加成'!$I$4+'模拟-全程加成'!$I$5)/系数!$B$4+BG640*10%)*('模拟-全程加成'!$J$3+'模拟-全程加成'!$J$4+'模拟-全程加成'!$J$5+('模拟-全程加成'!$I$4+'模拟-全程加成'!$I$5)/系数!$B$4+BG640*10%)+(1-('模拟-全程加成'!$J$3+'模拟-全程加成'!$J$4+'模拟-全程加成'!$J$5+('模拟-全程加成'!$I$4+'模拟-全程加成'!$I$5)/系数!$B$4+BG640*10%)-$F$10-$F$11)+F626*0.25),0)*'模拟-单技能数据'!$I$24</f>
        <v>0</v>
      </c>
      <c r="BG640" s="115" t="b">
        <f ca="1">OR(AND(OR(C640="烈日斩",C640="银月斩"),模拟模式!$I$7="净身明礼"),AND(C640="净世破魔击·日",模拟模式!$J$7="洞若观火"),AND(C641="净世破魔击·月",模拟模式!$J$7="洞若观火"),AB640=1)</f>
        <v>1</v>
      </c>
      <c r="BH640" s="115" t="b">
        <f t="shared" ca="1" si="577"/>
        <v>0</v>
      </c>
      <c r="BI640" s="115">
        <f t="shared" ca="1" si="557"/>
        <v>0</v>
      </c>
      <c r="BJ640" s="115" t="b">
        <f t="shared" ca="1" si="558"/>
        <v>0</v>
      </c>
      <c r="BK640" s="115" t="b">
        <f ca="1">AND(C640="驱夜断愁",模拟模式!$P$7="天地诛戮")</f>
        <v>0</v>
      </c>
      <c r="BL640" s="57">
        <f t="shared" ca="1" si="559"/>
        <v>17.232500000000002</v>
      </c>
      <c r="BM640" s="115" t="b">
        <f t="shared" ca="1" si="560"/>
        <v>1</v>
      </c>
      <c r="BN640" s="115" t="b">
        <f ca="1">AND(OR(C640="赤日轮1",C640="赤日轮2",C640="赤日轮3",C640="幽月轮1",C640="幽月轮2",C640="幽月轮3"),AB640=1,模拟模式!$L$7="明光恒照")</f>
        <v>0</v>
      </c>
      <c r="BO640" s="117">
        <f t="shared" ca="1" si="561"/>
        <v>29.077500000000001</v>
      </c>
      <c r="BP640" s="115">
        <f t="shared" ca="1" si="578"/>
        <v>6</v>
      </c>
      <c r="BQ640" s="115" t="b">
        <f>模拟模式!$K$10="2600·水"</f>
        <v>0</v>
      </c>
      <c r="BR640" s="117">
        <f t="shared" si="579"/>
        <v>0</v>
      </c>
      <c r="BS640" s="115">
        <f t="shared" si="580"/>
        <v>0</v>
      </c>
      <c r="BT640" s="115">
        <f t="shared" ca="1" si="581"/>
        <v>0</v>
      </c>
      <c r="BU640" s="115" t="b">
        <f ca="1">AND(模拟模式!$K$10="2300·雷",BT639=0,RAND()&lt;IF(C640="净世破魔击·月",5*0.05*2/3,IF(C640="净世破魔击·日",3*0.05*2/3,0.05*2*2/3)))</f>
        <v>0</v>
      </c>
      <c r="BV640" s="115">
        <f t="shared" ca="1" si="582"/>
        <v>0</v>
      </c>
      <c r="BW640" s="115">
        <f t="shared" ca="1" si="583"/>
        <v>172.61999999999989</v>
      </c>
      <c r="BX640" s="164" t="b">
        <f t="shared" ca="1" si="584"/>
        <v>0</v>
      </c>
      <c r="BY640" s="115">
        <f t="shared" ca="1" si="585"/>
        <v>7.6200000000000037</v>
      </c>
      <c r="BZ640" s="115">
        <f>IF(OR(模拟模式!$P$16="10人团",模拟模式!$P$16="25人团"),IF(B640/30&gt;CA639,1,0),0)</f>
        <v>0</v>
      </c>
      <c r="CA640" s="115">
        <f t="shared" si="562"/>
        <v>0</v>
      </c>
      <c r="CB640" s="115">
        <f ca="1">IF(BZ640=1,IF(模拟模式!$P$16="10人团",15,0)+IF(模拟模式!$P$16="25人团",IF(RAND()&lt;0.6,15,0)),MAX(0,CB639-$F$4))</f>
        <v>0</v>
      </c>
      <c r="CC640" s="115" t="b">
        <f t="shared" ca="1" si="563"/>
        <v>0</v>
      </c>
      <c r="CD640" s="115">
        <f>IF(模拟模式!$Q$16="1个",IF(B640/40&gt;CE639,1,0),0)</f>
        <v>0</v>
      </c>
      <c r="CE640" s="115">
        <f t="shared" si="564"/>
        <v>0</v>
      </c>
      <c r="CF640" s="115">
        <f>IF(OR(CD640=1,模拟模式!$Q$16="2个"),20,MAX(0,CF639-$F$4))</f>
        <v>0</v>
      </c>
      <c r="CG640" s="115" t="b">
        <f t="shared" si="565"/>
        <v>0</v>
      </c>
      <c r="CH640" s="115">
        <f t="shared" ca="1" si="586"/>
        <v>22.620000000000005</v>
      </c>
      <c r="CI640" s="115" t="b">
        <f t="shared" ca="1" si="587"/>
        <v>0</v>
      </c>
      <c r="CJ640" s="119">
        <f t="shared" ca="1" si="588"/>
        <v>0.05</v>
      </c>
      <c r="CK640" s="115">
        <f t="shared" ca="1" si="589"/>
        <v>0.61999999999999911</v>
      </c>
      <c r="CL640" s="115" t="b">
        <f ca="1">AND(模拟模式!$S$7="驱夷逐法",OR(AND(C640="净世破魔击·月",E639&gt;59),AND(C640="净世破魔击·日",F639&gt;59)))</f>
        <v>1</v>
      </c>
      <c r="CM640" s="115" t="b">
        <f ca="1">OR(CL640,AND(C640="净世破魔击·日",CL639,RAND()&lt;模拟模式!$U$23))</f>
        <v>1</v>
      </c>
      <c r="CN640" s="115" t="b">
        <f ca="1">IF(模拟模式!$M$7="辉耀红尘",AND(C640="净世破魔击·月",CL640,CV640=0,E639&lt;80),AND(C640="净世破魔击·月",CL640,E639&lt;100))</f>
        <v>0</v>
      </c>
      <c r="CO640" s="115" t="b">
        <f t="shared" ca="1" si="566"/>
        <v>0</v>
      </c>
      <c r="CP640" s="115" t="b">
        <f ca="1">AND(模拟模式!$O$7="用晦而明",OR(C640="净世破魔击·日",C640="净世破魔击·月",C640="驱夜断愁"),AB640)</f>
        <v>1</v>
      </c>
      <c r="CQ640" s="115" t="b">
        <f ca="1">OR(CP640,AND(CP639,RAND()&lt;模拟模式!$U$23))</f>
        <v>1</v>
      </c>
      <c r="CR640" s="115" t="b">
        <f ca="1">AND(模拟模式!$S$7="日月齐光",OR(C640="幽月轮1",C640="幽月轮2",C640="幽月轮3",CR639),NOT(OR(C640="赤日轮1",C640="赤日轮2",C640="赤日轮3")))</f>
        <v>0</v>
      </c>
      <c r="CS640" s="115" t="b">
        <f ca="1">AND(模拟模式!$S$7="日月齐光",OR(C640="赤日轮1",C640="赤日轮2",C640="赤日轮3",CS639),NOT(OR(C640="幽月轮1",C640="幽月轮2",C640="幽月轮3")))</f>
        <v>0</v>
      </c>
      <c r="CT640" s="115">
        <f t="shared" ca="1" si="590"/>
        <v>13.39500000000001</v>
      </c>
      <c r="CU640" s="115" t="b">
        <f ca="1">AND(模拟模式!$K$10="阴阳往极",CT639=0,RAND()&lt;IF(C640="净世破魔击·月",0.0275*7/3,IF(C640="净世破魔击·日",0.0275*3/3,0.0275*2/3)))</f>
        <v>0</v>
      </c>
      <c r="CV640" s="115">
        <f t="shared" ca="1" si="591"/>
        <v>0</v>
      </c>
      <c r="CW640" s="115">
        <f t="shared" ca="1" si="592"/>
        <v>4.1549999999999994</v>
      </c>
      <c r="CX640" s="115">
        <f t="shared" ca="1" si="593"/>
        <v>2.3099999999999996</v>
      </c>
      <c r="CY640" s="115">
        <f ca="1">MAX(IF($C640="驱夜断愁",IF(模拟模式!$R$7="万念俱寂",6,45),CY639-$F$4),0)</f>
        <v>3.2324999999999995</v>
      </c>
      <c r="CZ640" s="115">
        <f t="shared" ca="1" si="567"/>
        <v>0</v>
      </c>
      <c r="DA640" s="115">
        <f ca="1">IF(模拟模式!$N$7="日月同辉",IF(DB639=2,0,MIN(6,IF(AND(OR(C640="赤日轮1",C640="赤日轮2",C640="赤日轮3",C640="幽月轮1",C640="幽月轮2",C640="幽月轮3"),AB640=1),DA639+1,DA639))),0)</f>
        <v>3</v>
      </c>
      <c r="DB640" s="115">
        <f t="shared" ca="1" si="568"/>
        <v>0</v>
      </c>
      <c r="DC640" s="115"/>
      <c r="DD640" s="115"/>
      <c r="DE640" s="115"/>
      <c r="DF640" s="115"/>
      <c r="DG640" s="115"/>
      <c r="DH640" s="115"/>
      <c r="DI640" s="115"/>
      <c r="DJ640" s="115"/>
      <c r="DK640" s="115"/>
      <c r="DL640" s="115"/>
      <c r="DM640" s="115"/>
    </row>
    <row r="641" spans="2:117" x14ac:dyDescent="0.2">
      <c r="B641" s="117">
        <f t="shared" si="569"/>
        <v>566.41500000000633</v>
      </c>
      <c r="C641" s="167" t="str">
        <f t="shared" ca="1" si="538"/>
        <v>净世破魔击·日</v>
      </c>
      <c r="D641" s="115">
        <f ca="1">IF(C641="赤日轮1",1,IF(C641="赤日轮2",2,IF(C641="赤日轮3",3,IF(C641="幽月轮1",4,IF(C641="幽月轮2",5,IF(C641="幽月轮3",6,IF(C641="烈日斩",7,IF(C641="银月斩",8,IF(C641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641="净世破魔击·月",17,IF(C641="驱夜断愁",18,0)))))))))))</f>
        <v>9</v>
      </c>
      <c r="E641" s="115">
        <f ca="1">IF(AND(CU641,OR(C641="幽月轮1",C641="幽月轮2",C641="幽月轮3",C641="银月斩",C641="驱夜断愁",C641="净世破魔击·月")),100,MIN(IF(OR(CN641,BE641),0,IF(OR($C641="赤日轮1",$C641="赤日轮2",$C641="赤日轮3"),E640+20+IF(模拟模式!$I$7="日月凌天",4,0)+IF(CR640,20,0),IF($C641="烈日斩",E640+40,IF($C641="驱夜断愁",IF(模拟模式!$R$7="万念俱寂",E640+20,E640+60),IF($C641="净世破魔击·月",IF(OR(DB640&gt;0,CV640&gt;0),100,IF(模拟模式!$M$7="辉耀红尘",E640+20,E640)),IF($C641="净世破魔击·日",E640-100,E640)))))),100))</f>
        <v>0</v>
      </c>
      <c r="F641" s="115">
        <f ca="1">IF(AND(CU641,OR(C641="赤日轮1",C641="赤日轮2",C641="赤日轮3",C641="烈日斩",C641="净世破魔击·日")),100,MIN(IF(CO641,0,IF(OR($C641="幽月轮1",$C641="幽月轮2",$C641="幽月轮3"),F640+20+IF(模拟模式!$I$7="日月凌天",4,0)+IF(CS640,20,0),IF($C641="银月斩",F640+40+IF(模拟模式!$X$12=1,5,0),IF($C641="驱夜断愁",IF(模拟模式!$R$7="万念俱寂",F640+20,F640+60),IF($C641="净世破魔击·月",IF(模拟模式!$M$7="辉耀红尘",F640-80,F640-100),IF(AND(C641="净世破魔击·日",OR(DB640&gt;0,CV640&gt;0)),100,F640)))))),100))</f>
        <v>20</v>
      </c>
      <c r="G641" s="117">
        <f ca="1">('模拟-全程加成'!$E$3+'模拟-全程加成'!$E$4+'模拟-全程加成'!$E$5+('模拟-全程加成'!$C$6-'模拟-全程加成'!$C$3)*系数!$B$9+BS641*23)*(1+'模拟-全程加成'!$F$4+'模拟-全程加成'!$F$5+BJ641*10%+BM641*20%+BP641*4%+CG641*30%)+$F$7*系数!$B$12</f>
        <v>20583.127400000001</v>
      </c>
      <c r="H641" s="45">
        <f ca="1">'模拟-全程加成'!$H$3+'模拟-全程加成'!$H$4+'模拟-全程加成'!$H$5+('模拟-全程加成'!$G$4+'模拟-全程加成'!$G$5+('模拟-全程加成'!$C$6-'模拟-全程加成'!$C$3)*系数!$B$13)/系数!$B$3+LOOKUP(D641,'模拟-单技能数据'!$A$2:$A$19,'模拟-单技能数据'!$K$2:$K$19)+BG641*10%+IF(BV641&gt;0,378,0)</f>
        <v>0.54185145527300216</v>
      </c>
      <c r="I641" s="45">
        <f ca="1">'模拟-全程加成'!$J$3+'模拟-全程加成'!$J$4+'模拟-全程加成'!$J$5+('模拟-全程加成'!$I$4+'模拟-全程加成'!$I$5)/系数!$B$4+LOOKUP(D641,'模拟-单技能数据'!$A$2:$A$19,'模拟-单技能数据'!$L$2:$L$19)+BG641*10%</f>
        <v>2.162482885499879</v>
      </c>
      <c r="J641" s="45">
        <f ca="1">(('模拟-全程加成'!$K$3+'模拟-全程加成'!$K$4+'模拟-全程加成'!$K$5+('模拟-全程加成'!$C$6-'模拟-全程加成'!$C$3)*系数!$B$10+IF(BV641&gt;0,882,0)+IF(BY641&gt;0,1831,0))*(1+'模拟-全程加成'!$L$4+'模拟-全程加成'!$L$5+CC641*20%))/系数!$B$5</f>
        <v>0.85832564669386491</v>
      </c>
      <c r="K641" s="119">
        <f ca="1">LOOKUP(D641,'模拟-单技能数据'!$A$2:$A$19,'模拟-单技能数据'!$J$2:$J$19)+IF(CM641,60%,0)+IF(DB640-DB641&gt;0,30%,0)+IF(OR(AND(OR(C641="赤日轮1",C641="赤日轮2",C641="赤日轮3"),CR641),AND(OR(C641="幽月轮1",C641="幽月轮2",C641="幽月轮3"),CS641)),35%,0)+CJ641</f>
        <v>0.8</v>
      </c>
      <c r="L641" s="119">
        <f ca="1">IF(AND(C641="烈日斩",模拟模式!$X$11=1),10%,0)+IF(AND(C641="驱夜断愁",AB641=1),30%,0)</f>
        <v>0</v>
      </c>
      <c r="M641" s="45">
        <f t="shared" ca="1" si="539"/>
        <v>0.54185145527300216</v>
      </c>
      <c r="N641" s="45">
        <f t="shared" ca="1" si="540"/>
        <v>0.40424854472699789</v>
      </c>
      <c r="O641" s="46">
        <f t="shared" ca="1" si="570"/>
        <v>0.98583301490597297</v>
      </c>
      <c r="P641" s="46" t="str">
        <f t="shared" ca="1" si="541"/>
        <v>命</v>
      </c>
      <c r="Q641" s="45">
        <f t="shared" ca="1" si="542"/>
        <v>1</v>
      </c>
      <c r="R641" s="117">
        <f ca="1">模拟模式!$E$20*(1-IF(模拟模式!$J$19="有",0.15,0))*(1-IF(模拟模式!$K$19="有",0.3,0)-IF(CQ641,0.5,0))</f>
        <v>843.02999999999975</v>
      </c>
      <c r="S641" s="45">
        <f ca="1">R641/(R641+(185*模拟模式!$E$22-16800)*4.08224)</f>
        <v>8.389626085980037E-2</v>
      </c>
      <c r="T641" s="45" t="str">
        <f ca="1">LOOKUP(D641,'模拟-单技能数据'!$A$2:$A$19,'模拟-单技能数据'!$H$2:$H$19)</f>
        <v>阳</v>
      </c>
      <c r="U641" s="119">
        <f t="shared" ca="1" si="543"/>
        <v>0.2</v>
      </c>
      <c r="V641" s="47">
        <f ca="1">(1+L641)*(LOOKUP(D641,'模拟-单技能数据'!$A$2:$A$19,'模拟-单技能数据'!$D$2:$D$19)+G641*LOOKUP(D641,'模拟-单技能数据'!$A$2:$A$19,'模拟-单技能数据'!$F$2:$F$19))*(1+J641)*(1+K641)*(1-S641)*(1+U641)*Q641*LOOKUP(D641,'模拟-单技能数据'!$A$2:$A$19,'模拟-单技能数据'!$I$2:$I$20)</f>
        <v>99196.733843919224</v>
      </c>
      <c r="W641" s="47">
        <f ca="1">LOOKUP(D641,'模拟-单技能数据'!$A$2:$A$19,'模拟-单技能数据'!$G$2:$G$19)*$I$10</f>
        <v>723.0212870940959</v>
      </c>
      <c r="X641" s="47">
        <f t="shared" ca="1" si="571"/>
        <v>32271.659839039065</v>
      </c>
      <c r="Y641" s="47">
        <f t="shared" ca="1" si="544"/>
        <v>132191.41497005237</v>
      </c>
      <c r="Z641" s="49">
        <f t="shared" ca="1" si="545"/>
        <v>64415168.487005368</v>
      </c>
      <c r="AA641" s="97">
        <f t="shared" ca="1" si="546"/>
        <v>113724.33372528032</v>
      </c>
      <c r="AB641" s="115">
        <f ca="1">IF(OR(C641="赤日轮1",C641="赤日轮2",C641="赤日轮3"),IF(RAND()&lt;模拟模式!$Y$17,1,0),IF(OR(C641="幽月轮1",C641="幽月轮2",C641="幽月轮3"),IF(RAND()&lt;模拟模式!$Y$18,1,0),IF(C641="烈日斩",IF(RAND()&lt;模拟模式!$Y$19,1,0),IF(C641="银月斩",IF(RAND()&lt;模拟模式!$Y$20,1,0),IF(C641="驱夜断愁",IF(RAND()&lt;模拟模式!$Y$21,1,0),IF(C641="净世破魔击·日",IF(RAND()&lt;模拟模式!$Y$22,1,0),IF(C641="净世破魔击·月",IF(RAND()&lt;模拟模式!$Y$23,1,0),0)))))))</f>
        <v>1</v>
      </c>
      <c r="AC641" s="115" t="b">
        <f t="shared" ca="1" si="547"/>
        <v>0</v>
      </c>
      <c r="AD641" s="115" t="b">
        <f t="shared" ca="1" si="548"/>
        <v>0</v>
      </c>
      <c r="AE641" s="115">
        <f t="shared" ca="1" si="549"/>
        <v>3</v>
      </c>
      <c r="AF641" s="47">
        <f ca="1">IF(AC641,('模拟-单技能数据'!$D$20+G641*'模拟-单技能数据'!$F$20)*(1+J641)*(1+'模拟-单技能数据'!$J$20)*(1+U641),0)</f>
        <v>0</v>
      </c>
      <c r="AG641" s="61">
        <f t="shared" ca="1" si="550"/>
        <v>0.64185145527300214</v>
      </c>
      <c r="AH641" s="61">
        <f t="shared" ca="1" si="551"/>
        <v>2.2624828854998791</v>
      </c>
      <c r="AI641" s="62">
        <f t="shared" ca="1" si="572"/>
        <v>0.90988605299795067</v>
      </c>
      <c r="AJ641" s="47">
        <f ca="1">IF(AD641,IF(AI641&lt;$F$10,0,IF(AI641&lt;$F$10+$F$11,0.25,IF(AI641&lt;$F$10+$F$11+AG641,AH641,1)))*IF(AF641&gt;0,AF641,IF(AF640&gt;0,AF640,IF(AF639&gt;0,AF639,IF(AF638&gt;0,AF638,IF(AF637&gt;0,AF637,IF(AF636&gt;0,AF636,IF(AF635&gt;0,AF635,IF(AF634&gt;0,AF634,IF(AF633&gt;0,AF633,IF(AF631&gt;0,AF631,IF(AF630&gt;0,AF630,IF(AF629&gt;0,AF629,0)))))))))))),0)*(1-$S641)*'模拟-单技能数据'!$I$20</f>
        <v>0</v>
      </c>
      <c r="AK641" s="115" t="b">
        <f t="shared" ca="1" si="552"/>
        <v>1</v>
      </c>
      <c r="AL641" s="115" t="b">
        <f t="shared" ca="1" si="553"/>
        <v>1</v>
      </c>
      <c r="AM641" s="115">
        <f t="shared" ca="1" si="554"/>
        <v>5</v>
      </c>
      <c r="AN641" s="47">
        <f ca="1">IF(AK641,('模拟-单技能数据'!$D$21+G641*'模拟-单技能数据'!$F$21)*(1+J641)*(1+'模拟-单技能数据'!$J$21)*(1+U641),0)</f>
        <v>13288.512813173878</v>
      </c>
      <c r="AO641" s="61">
        <f ca="1">IF(AN641&gt;0,M641-'模拟-单技能数据'!$K$10,AO640)</f>
        <v>0.42185145527300216</v>
      </c>
      <c r="AP641" s="61">
        <f ca="1">IF(AN641&gt;0,I641-'模拟-单技能数据'!$L$10,AP640)</f>
        <v>2.162482885499879</v>
      </c>
      <c r="AQ641" s="63">
        <f t="shared" ca="1" si="573"/>
        <v>0.93882872244914339</v>
      </c>
      <c r="AR641" s="64">
        <f ca="1">IF(AL641,IF(AQ641&lt;$F$10,0,IF(AQ641&lt;$F$10+$F$11,0.25,IF(AQ641&lt;$F$10+$F$11+AO641,AP641,1)))*IF(AN641&gt;0,AN641,IF(AN640&gt;0,AN640,IF(AN639&gt;0,AN639,IF(AN638&gt;0,AN638,IF(AN637&gt;0,AN637,IF(AN636&gt;0,AN636,IF(AN635&gt;0,AN635,IF(AN634&gt;0,AN634,IF(AN633&gt;0,AN633,IF(AN631&gt;0,AN631,IF(AN630&gt;0,AN630,IF(AN629&gt;0,AN629,0)))))))))))),0)*(1-$S641)*'模拟-单技能数据'!$I$21</f>
        <v>12173.656275761043</v>
      </c>
      <c r="AS641" s="61">
        <f ca="1">IF(OR(C641="净世破魔击·日",C641="净世破魔击·月"),M641-'模拟-单技能数据'!$K$10,0)</f>
        <v>0.42185145527300216</v>
      </c>
      <c r="AT641" s="61">
        <f ca="1">IF(OR(C641="净世破魔击·日",C641="净世破魔击·月"),I641-'模拟-单技能数据'!$L$10,0)</f>
        <v>2.162482885499879</v>
      </c>
      <c r="AU641" s="62">
        <f t="shared" ca="1" si="574"/>
        <v>0.16513920320318209</v>
      </c>
      <c r="AV641" s="64">
        <f ca="1">IF(AS641&gt;0,('模拟-单技能数据'!$D$22+G641*'模拟-单技能数据'!$F$22)*(1+J641)*(1-S641)*IF(AU641&lt;$F$10,0,IF(AU641&lt;$F$10+$F$11,0.25,IF(AU641&lt;$F$10+$F$11+AS641,AT641,1)))*(1+U641),0)*'模拟-单技能数据'!$I$22</f>
        <v>20098.00356327802</v>
      </c>
      <c r="AW641" s="108">
        <f t="shared" ca="1" si="575"/>
        <v>0</v>
      </c>
      <c r="AX641" s="108" t="b">
        <f ca="1">AND(模拟模式!$P$10="有",AW640=0,RAND()&lt;IF(C641="净世破魔击·月",0.1*8/3,IF(C641="净世破魔击·日",0.1*4/3,0.1*2/3)))</f>
        <v>0</v>
      </c>
      <c r="AY641" s="47">
        <f ca="1">IF(AX641,(18+G641*0.722)*(1+J641)*(1-S641)*(1+$I$4)*IF(P641="会",'模拟-全程加成'!$J$3+'模拟-全程加成'!$J$4+'模拟-全程加成'!$J$5+('模拟-全程加成'!$I$4+'模拟-全程加成'!$I$5)/系数!$B$4+BG641*10%,IF(P641="命",1,IF(P641="识",0.25,0))),0)</f>
        <v>0</v>
      </c>
      <c r="AZ641" s="108">
        <f t="shared" si="576"/>
        <v>1.5500000000000065</v>
      </c>
      <c r="BA641" s="108" t="b">
        <f>AND(模拟模式!$Q$10="有",AZ640=0)</f>
        <v>0</v>
      </c>
      <c r="BB641" s="140">
        <f>IF(BA641,(0+G641*0.287)*(1+J641)*(1-S641)*(1+$I$4)*IF(P641="会",'模拟-全程加成'!$J$3+'模拟-全程加成'!$J$4+'模拟-全程加成'!$J$5+('模拟-全程加成'!$I$4+'模拟-全程加成'!$I$5)/系数!$B$4+BG641*10%,IF(P641="命",1,IF(P641="识",0.25,0))),0)</f>
        <v>0</v>
      </c>
      <c r="BC641" s="115" t="b">
        <f ca="1">AND(模拟模式!$R$7="伏明众生",E641=60,F641=20,DA641&lt;5,CZ640&lt;$F$4)</f>
        <v>0</v>
      </c>
      <c r="BD641" s="115">
        <f t="shared" ca="1" si="555"/>
        <v>0</v>
      </c>
      <c r="BE641" s="115" t="b">
        <f t="shared" ca="1" si="556"/>
        <v>0</v>
      </c>
      <c r="BF641" s="47">
        <f ca="1">IF(BC641,4*('模拟-单技能数据'!$D$24+G641*'模拟-单技能数据'!$F$24)*(1+J641)*(1+'模拟-单技能数据'!$J$24)*(1-S641)*(1+$I$3)*(('模拟-全程加成'!$J$3+'模拟-全程加成'!$J$4+'模拟-全程加成'!$J$5+('模拟-全程加成'!$I$4+'模拟-全程加成'!$I$5)/系数!$B$4+BG641*10%)*('模拟-全程加成'!$J$3+'模拟-全程加成'!$J$4+'模拟-全程加成'!$J$5+('模拟-全程加成'!$I$4+'模拟-全程加成'!$I$5)/系数!$B$4+BG641*10%)+(1-('模拟-全程加成'!$J$3+'模拟-全程加成'!$J$4+'模拟-全程加成'!$J$5+('模拟-全程加成'!$I$4+'模拟-全程加成'!$I$5)/系数!$B$4+BG641*10%)-$F$10-$F$11)+F627*0.25),0)*'模拟-单技能数据'!$I$24</f>
        <v>0</v>
      </c>
      <c r="BG641" s="115" t="b">
        <f ca="1">OR(AND(OR(C641="烈日斩",C641="银月斩"),模拟模式!$I$7="净身明礼"),AND(C641="净世破魔击·日",模拟模式!$J$7="洞若观火"),AND(C642="净世破魔击·月",模拟模式!$J$7="洞若观火"),AB641=1)</f>
        <v>1</v>
      </c>
      <c r="BH641" s="115" t="b">
        <f t="shared" ca="1" si="577"/>
        <v>0</v>
      </c>
      <c r="BI641" s="115">
        <f t="shared" ca="1" si="557"/>
        <v>0</v>
      </c>
      <c r="BJ641" s="115" t="b">
        <f t="shared" ca="1" si="558"/>
        <v>0</v>
      </c>
      <c r="BK641" s="115" t="b">
        <f ca="1">AND(C641="驱夜断愁",模拟模式!$P$7="天地诛戮")</f>
        <v>0</v>
      </c>
      <c r="BL641" s="57">
        <f t="shared" ca="1" si="559"/>
        <v>16.310000000000002</v>
      </c>
      <c r="BM641" s="115" t="b">
        <f t="shared" ca="1" si="560"/>
        <v>1</v>
      </c>
      <c r="BN641" s="115" t="b">
        <f ca="1">AND(OR(C641="赤日轮1",C641="赤日轮2",C641="赤日轮3",C641="幽月轮1",C641="幽月轮2",C641="幽月轮3"),AB641=1,模拟模式!$L$7="明光恒照")</f>
        <v>0</v>
      </c>
      <c r="BO641" s="117">
        <f t="shared" ca="1" si="561"/>
        <v>28.155000000000001</v>
      </c>
      <c r="BP641" s="115">
        <f t="shared" ca="1" si="578"/>
        <v>6</v>
      </c>
      <c r="BQ641" s="115" t="b">
        <f>模拟模式!$K$10="2600·水"</f>
        <v>0</v>
      </c>
      <c r="BR641" s="117">
        <f t="shared" si="579"/>
        <v>0</v>
      </c>
      <c r="BS641" s="115">
        <f t="shared" si="580"/>
        <v>0</v>
      </c>
      <c r="BT641" s="115">
        <f t="shared" ca="1" si="581"/>
        <v>0</v>
      </c>
      <c r="BU641" s="115" t="b">
        <f ca="1">AND(模拟模式!$K$10="2300·雷",BT640=0,RAND()&lt;IF(C641="净世破魔击·月",5*0.05*2/3,IF(C641="净世破魔击·日",3*0.05*2/3,0.05*2*2/3)))</f>
        <v>0</v>
      </c>
      <c r="BV641" s="115">
        <f t="shared" ca="1" si="582"/>
        <v>0</v>
      </c>
      <c r="BW641" s="115">
        <f t="shared" ca="1" si="583"/>
        <v>171.69749999999988</v>
      </c>
      <c r="BX641" s="164" t="b">
        <f t="shared" ca="1" si="584"/>
        <v>0</v>
      </c>
      <c r="BY641" s="115">
        <f t="shared" ca="1" si="585"/>
        <v>6.6975000000000033</v>
      </c>
      <c r="BZ641" s="115">
        <f>IF(OR(模拟模式!$P$16="10人团",模拟模式!$P$16="25人团"),IF(B641/30&gt;CA640,1,0),0)</f>
        <v>0</v>
      </c>
      <c r="CA641" s="115">
        <f t="shared" si="562"/>
        <v>0</v>
      </c>
      <c r="CB641" s="115">
        <f ca="1">IF(BZ641=1,IF(模拟模式!$P$16="10人团",15,0)+IF(模拟模式!$P$16="25人团",IF(RAND()&lt;0.6,15,0)),MAX(0,CB640-$F$4))</f>
        <v>0</v>
      </c>
      <c r="CC641" s="115" t="b">
        <f t="shared" ca="1" si="563"/>
        <v>0</v>
      </c>
      <c r="CD641" s="115">
        <f>IF(模拟模式!$Q$16="1个",IF(B641/40&gt;CE640,1,0),0)</f>
        <v>0</v>
      </c>
      <c r="CE641" s="115">
        <f t="shared" si="564"/>
        <v>0</v>
      </c>
      <c r="CF641" s="115">
        <f>IF(OR(CD641=1,模拟模式!$Q$16="2个"),20,MAX(0,CF640-$F$4))</f>
        <v>0</v>
      </c>
      <c r="CG641" s="115" t="b">
        <f t="shared" si="565"/>
        <v>0</v>
      </c>
      <c r="CH641" s="115">
        <f t="shared" ca="1" si="586"/>
        <v>21.697500000000005</v>
      </c>
      <c r="CI641" s="115" t="b">
        <f t="shared" ca="1" si="587"/>
        <v>0</v>
      </c>
      <c r="CJ641" s="119">
        <f t="shared" ca="1" si="588"/>
        <v>0</v>
      </c>
      <c r="CK641" s="115">
        <f t="shared" ca="1" si="589"/>
        <v>0</v>
      </c>
      <c r="CL641" s="115" t="b">
        <f ca="1">AND(模拟模式!$S$7="驱夷逐法",OR(AND(C641="净世破魔击·月",E640&gt;59),AND(C641="净世破魔击·日",F640&gt;59)))</f>
        <v>0</v>
      </c>
      <c r="CM641" s="115" t="b">
        <f ca="1">OR(CL641,AND(C641="净世破魔击·日",CL640,RAND()&lt;模拟模式!$U$23))</f>
        <v>1</v>
      </c>
      <c r="CN641" s="115" t="b">
        <f ca="1">IF(模拟模式!$M$7="辉耀红尘",AND(C641="净世破魔击·月",CL641,CV641=0,E640&lt;80),AND(C641="净世破魔击·月",CL641,E640&lt;100))</f>
        <v>0</v>
      </c>
      <c r="CO641" s="115" t="b">
        <f t="shared" ca="1" si="566"/>
        <v>0</v>
      </c>
      <c r="CP641" s="115" t="b">
        <f ca="1">AND(模拟模式!$O$7="用晦而明",OR(C641="净世破魔击·日",C641="净世破魔击·月",C641="驱夜断愁"),AB641)</f>
        <v>1</v>
      </c>
      <c r="CQ641" s="115" t="b">
        <f ca="1">OR(CP641,AND(CP640,RAND()&lt;模拟模式!$U$23))</f>
        <v>1</v>
      </c>
      <c r="CR641" s="115" t="b">
        <f ca="1">AND(模拟模式!$S$7="日月齐光",OR(C641="幽月轮1",C641="幽月轮2",C641="幽月轮3",CR640),NOT(OR(C641="赤日轮1",C641="赤日轮2",C641="赤日轮3")))</f>
        <v>0</v>
      </c>
      <c r="CS641" s="115" t="b">
        <f ca="1">AND(模拟模式!$S$7="日月齐光",OR(C641="赤日轮1",C641="赤日轮2",C641="赤日轮3",CS640),NOT(OR(C641="幽月轮1",C641="幽月轮2",C641="幽月轮3")))</f>
        <v>0</v>
      </c>
      <c r="CT641" s="115">
        <f t="shared" ca="1" si="590"/>
        <v>12.472500000000011</v>
      </c>
      <c r="CU641" s="115" t="b">
        <f ca="1">AND(模拟模式!$K$10="阴阳往极",CT640=0,RAND()&lt;IF(C641="净世破魔击·月",0.0275*7/3,IF(C641="净世破魔击·日",0.0275*3/3,0.0275*2/3)))</f>
        <v>0</v>
      </c>
      <c r="CV641" s="115">
        <f t="shared" ca="1" si="591"/>
        <v>0</v>
      </c>
      <c r="CW641" s="115">
        <f t="shared" ca="1" si="592"/>
        <v>3.2324999999999995</v>
      </c>
      <c r="CX641" s="115">
        <f t="shared" ca="1" si="593"/>
        <v>1.3874999999999997</v>
      </c>
      <c r="CY641" s="115">
        <f ca="1">MAX(IF($C641="驱夜断愁",IF(模拟模式!$R$7="万念俱寂",6,45),CY640-$F$4),0)</f>
        <v>2.3099999999999996</v>
      </c>
      <c r="CZ641" s="115">
        <f t="shared" ca="1" si="567"/>
        <v>0</v>
      </c>
      <c r="DA641" s="115">
        <f ca="1">IF(模拟模式!$N$7="日月同辉",IF(DB640=2,0,MIN(6,IF(AND(OR(C641="赤日轮1",C641="赤日轮2",C641="赤日轮3",C641="幽月轮1",C641="幽月轮2",C641="幽月轮3"),AB641=1),DA640+1,DA640))),0)</f>
        <v>3</v>
      </c>
      <c r="DB641" s="115">
        <f t="shared" ca="1" si="568"/>
        <v>0</v>
      </c>
      <c r="DC641" s="115"/>
      <c r="DD641" s="115"/>
      <c r="DE641" s="115"/>
      <c r="DF641" s="115"/>
      <c r="DG641" s="115"/>
      <c r="DH641" s="115"/>
      <c r="DI641" s="115"/>
      <c r="DJ641" s="115"/>
      <c r="DK641" s="115"/>
      <c r="DL641" s="115"/>
      <c r="DM641" s="115"/>
    </row>
    <row r="642" spans="2:117" x14ac:dyDescent="0.2">
      <c r="B642" s="117">
        <f t="shared" si="569"/>
        <v>567.33750000000634</v>
      </c>
      <c r="C642" s="167" t="str">
        <f t="shared" ca="1" si="538"/>
        <v>赤日轮1</v>
      </c>
      <c r="D642" s="115">
        <f ca="1">IF(C642="赤日轮1",1,IF(C642="赤日轮2",2,IF(C642="赤日轮3",3,IF(C642="幽月轮1",4,IF(C642="幽月轮2",5,IF(C642="幽月轮3",6,IF(C642="烈日斩",7,IF(C642="银月斩",8,IF(C642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642="净世破魔击·月",17,IF(C642="驱夜断愁",18,0)))))))))))</f>
        <v>1</v>
      </c>
      <c r="E642" s="115">
        <f ca="1">IF(AND(CU642,OR(C642="幽月轮1",C642="幽月轮2",C642="幽月轮3",C642="银月斩",C642="驱夜断愁",C642="净世破魔击·月")),100,MIN(IF(OR(CN642,BE642),0,IF(OR($C642="赤日轮1",$C642="赤日轮2",$C642="赤日轮3"),E641+20+IF(模拟模式!$I$7="日月凌天",4,0)+IF(CR641,20,0),IF($C642="烈日斩",E641+40,IF($C642="驱夜断愁",IF(模拟模式!$R$7="万念俱寂",E641+20,E641+60),IF($C642="净世破魔击·月",IF(OR(DB641&gt;0,CV641&gt;0),100,IF(模拟模式!$M$7="辉耀红尘",E641+20,E641)),IF($C642="净世破魔击·日",E641-100,E641)))))),100))</f>
        <v>20</v>
      </c>
      <c r="F642" s="115">
        <f ca="1">IF(AND(CU642,OR(C642="赤日轮1",C642="赤日轮2",C642="赤日轮3",C642="烈日斩",C642="净世破魔击·日")),100,MIN(IF(CO642,0,IF(OR($C642="幽月轮1",$C642="幽月轮2",$C642="幽月轮3"),F641+20+IF(模拟模式!$I$7="日月凌天",4,0)+IF(CS641,20,0),IF($C642="银月斩",F641+40+IF(模拟模式!$X$12=1,5,0),IF($C642="驱夜断愁",IF(模拟模式!$R$7="万念俱寂",F641+20,F641+60),IF($C642="净世破魔击·月",IF(模拟模式!$M$7="辉耀红尘",F641-80,F641-100),IF(AND(C642="净世破魔击·日",OR(DB641&gt;0,CV641&gt;0)),100,F641)))))),100))</f>
        <v>20</v>
      </c>
      <c r="G642" s="117">
        <f ca="1">('模拟-全程加成'!$E$3+'模拟-全程加成'!$E$4+'模拟-全程加成'!$E$5+('模拟-全程加成'!$C$6-'模拟-全程加成'!$C$3)*系数!$B$9+BS642*23)*(1+'模拟-全程加成'!$F$4+'模拟-全程加成'!$F$5+BJ642*10%+BM642*20%+BP642*4%+CG642*30%)+$F$7*系数!$B$12</f>
        <v>20583.127400000001</v>
      </c>
      <c r="H642" s="45">
        <f ca="1">'模拟-全程加成'!$H$3+'模拟-全程加成'!$H$4+'模拟-全程加成'!$H$5+('模拟-全程加成'!$G$4+'模拟-全程加成'!$G$5+('模拟-全程加成'!$C$6-'模拟-全程加成'!$C$3)*系数!$B$13)/系数!$B$3+LOOKUP(D642,'模拟-单技能数据'!$A$2:$A$19,'模拟-单技能数据'!$K$2:$K$19)+BG642*10%+IF(BV642&gt;0,378,0)</f>
        <v>0.4618514552730022</v>
      </c>
      <c r="I642" s="45">
        <f ca="1">'模拟-全程加成'!$J$3+'模拟-全程加成'!$J$4+'模拟-全程加成'!$J$5+('模拟-全程加成'!$I$4+'模拟-全程加成'!$I$5)/系数!$B$4+LOOKUP(D642,'模拟-单技能数据'!$A$2:$A$19,'模拟-单技能数据'!$L$2:$L$19)+BG642*10%</f>
        <v>2.162482885499879</v>
      </c>
      <c r="J642" s="45">
        <f ca="1">(('模拟-全程加成'!$K$3+'模拟-全程加成'!$K$4+'模拟-全程加成'!$K$5+('模拟-全程加成'!$C$6-'模拟-全程加成'!$C$3)*系数!$B$10+IF(BV642&gt;0,882,0)+IF(BY642&gt;0,1831,0))*(1+'模拟-全程加成'!$L$4+'模拟-全程加成'!$L$5+CC642*20%))/系数!$B$5</f>
        <v>0.85832564669386491</v>
      </c>
      <c r="K642" s="119">
        <f ca="1">LOOKUP(D642,'模拟-单技能数据'!$A$2:$A$19,'模拟-单技能数据'!$J$2:$J$19)+IF(CM642,60%,0)+IF(DB641-DB642&gt;0,30%,0)+IF(OR(AND(OR(C642="赤日轮1",C642="赤日轮2",C642="赤日轮3"),CR642),AND(OR(C642="幽月轮1",C642="幽月轮2",C642="幽月轮3"),CS642)),35%,0)+CJ642</f>
        <v>0.12</v>
      </c>
      <c r="L642" s="119">
        <f ca="1">IF(AND(C642="烈日斩",模拟模式!$X$11=1),10%,0)+IF(AND(C642="驱夜断愁",AB642=1),30%,0)</f>
        <v>0</v>
      </c>
      <c r="M642" s="45">
        <f t="shared" ca="1" si="539"/>
        <v>0.4618514552730022</v>
      </c>
      <c r="N642" s="45">
        <f t="shared" ca="1" si="540"/>
        <v>0.48424854472699785</v>
      </c>
      <c r="O642" s="46">
        <f t="shared" ca="1" si="570"/>
        <v>0.67145798360752296</v>
      </c>
      <c r="P642" s="46" t="str">
        <f t="shared" ca="1" si="541"/>
        <v>命</v>
      </c>
      <c r="Q642" s="45">
        <f t="shared" ca="1" si="542"/>
        <v>1</v>
      </c>
      <c r="R642" s="117">
        <f ca="1">模拟模式!$E$20*(1-IF(模拟模式!$J$19="有",0.15,0))*(1-IF(模拟模式!$K$19="有",0.3,0)-IF(CQ642,0.5,0))</f>
        <v>843.02999999999975</v>
      </c>
      <c r="S642" s="45">
        <f ca="1">R642/(R642+(185*模拟模式!$E$22-16800)*4.08224)</f>
        <v>8.389626085980037E-2</v>
      </c>
      <c r="T642" s="45" t="str">
        <f ca="1">LOOKUP(D642,'模拟-单技能数据'!$A$2:$A$19,'模拟-单技能数据'!$H$2:$H$19)</f>
        <v>阳</v>
      </c>
      <c r="U642" s="119">
        <f t="shared" ca="1" si="543"/>
        <v>0.2</v>
      </c>
      <c r="V642" s="47">
        <f ca="1">(1+L642)*(LOOKUP(D642,'模拟-单技能数据'!$A$2:$A$19,'模拟-单技能数据'!$D$2:$D$19)+G642*LOOKUP(D642,'模拟-单技能数据'!$A$2:$A$19,'模拟-单技能数据'!$F$2:$F$19))*(1+J642)*(1+K642)*(1-S642)*(1+U642)*Q642*LOOKUP(D642,'模拟-单技能数据'!$A$2:$A$19,'模拟-单技能数据'!$I$2:$I$20)</f>
        <v>27585.788640284762</v>
      </c>
      <c r="W642" s="47">
        <f ca="1">LOOKUP(D642,'模拟-单技能数据'!$A$2:$A$19,'模拟-单技能数据'!$G$2:$G$19)*$I$10</f>
        <v>361.51064354704795</v>
      </c>
      <c r="X642" s="47">
        <f t="shared" ca="1" si="571"/>
        <v>10093.953229098464</v>
      </c>
      <c r="Y642" s="47">
        <f t="shared" ca="1" si="544"/>
        <v>38041.252512930274</v>
      </c>
      <c r="Z642" s="49">
        <f t="shared" ca="1" si="545"/>
        <v>64453209.7395183</v>
      </c>
      <c r="AA642" s="97">
        <f t="shared" ca="1" si="546"/>
        <v>113606.46835352428</v>
      </c>
      <c r="AB642" s="115">
        <f ca="1">IF(OR(C642="赤日轮1",C642="赤日轮2",C642="赤日轮3"),IF(RAND()&lt;模拟模式!$Y$17,1,0),IF(OR(C642="幽月轮1",C642="幽月轮2",C642="幽月轮3"),IF(RAND()&lt;模拟模式!$Y$18,1,0),IF(C642="烈日斩",IF(RAND()&lt;模拟模式!$Y$19,1,0),IF(C642="银月斩",IF(RAND()&lt;模拟模式!$Y$20,1,0),IF(C642="驱夜断愁",IF(RAND()&lt;模拟模式!$Y$21,1,0),IF(C642="净世破魔击·日",IF(RAND()&lt;模拟模式!$Y$22,1,0),IF(C642="净世破魔击·月",IF(RAND()&lt;模拟模式!$Y$23,1,0),0)))))))</f>
        <v>1</v>
      </c>
      <c r="AC642" s="115" t="b">
        <f t="shared" ca="1" si="547"/>
        <v>0</v>
      </c>
      <c r="AD642" s="115" t="b">
        <f t="shared" ca="1" si="548"/>
        <v>1</v>
      </c>
      <c r="AE642" s="115">
        <f t="shared" ca="1" si="549"/>
        <v>2</v>
      </c>
      <c r="AF642" s="47">
        <f ca="1">IF(AC642,('模拟-单技能数据'!$D$20+G642*'模拟-单技能数据'!$F$20)*(1+J642)*(1+'模拟-单技能数据'!$J$20)*(1+U642),0)</f>
        <v>0</v>
      </c>
      <c r="AG642" s="61">
        <f t="shared" ca="1" si="550"/>
        <v>0.64185145527300214</v>
      </c>
      <c r="AH642" s="61">
        <f t="shared" ca="1" si="551"/>
        <v>2.2624828854998791</v>
      </c>
      <c r="AI642" s="62">
        <f t="shared" ca="1" si="572"/>
        <v>0.40871000911002209</v>
      </c>
      <c r="AJ642" s="47">
        <f ca="1">IF(AD642,IF(AI642&lt;$F$10,0,IF(AI642&lt;$F$10+$F$11,0.25,IF(AI642&lt;$F$10+$F$11+AG642,AH642,1)))*IF(AF642&gt;0,AF642,IF(AF641&gt;0,AF641,IF(AF640&gt;0,AF640,IF(AF639&gt;0,AF639,IF(AF638&gt;0,AF638,IF(AF637&gt;0,AF637,IF(AF636&gt;0,AF636,IF(AF635&gt;0,AF635,IF(AF634&gt;0,AF634,IF(AF632&gt;0,AF632,IF(AF631&gt;0,AF631,IF(AF630&gt;0,AF630,0)))))))))))),0)*(1-$S642)*'模拟-单技能数据'!$I$20</f>
        <v>10093.953229098464</v>
      </c>
      <c r="AK642" s="115" t="b">
        <f t="shared" ca="1" si="552"/>
        <v>0</v>
      </c>
      <c r="AL642" s="115" t="b">
        <f t="shared" ca="1" si="553"/>
        <v>0</v>
      </c>
      <c r="AM642" s="115">
        <f t="shared" ca="1" si="554"/>
        <v>5</v>
      </c>
      <c r="AN642" s="47">
        <f ca="1">IF(AK642,('模拟-单技能数据'!$D$21+G642*'模拟-单技能数据'!$F$21)*(1+J642)*(1+'模拟-单技能数据'!$J$21)*(1+U642),0)</f>
        <v>0</v>
      </c>
      <c r="AO642" s="61">
        <f ca="1">IF(AN642&gt;0,M642-'模拟-单技能数据'!$K$10,AO641)</f>
        <v>0.42185145527300216</v>
      </c>
      <c r="AP642" s="61">
        <f ca="1">IF(AN642&gt;0,I642-'模拟-单技能数据'!$L$10,AP641)</f>
        <v>2.162482885499879</v>
      </c>
      <c r="AQ642" s="63">
        <f t="shared" ca="1" si="573"/>
        <v>0.98664921270286288</v>
      </c>
      <c r="AR642" s="64">
        <f ca="1">IF(AL642,IF(AQ642&lt;$F$10,0,IF(AQ642&lt;$F$10+$F$11,0.25,IF(AQ642&lt;$F$10+$F$11+AO642,AP642,1)))*IF(AN642&gt;0,AN642,IF(AN641&gt;0,AN641,IF(AN640&gt;0,AN640,IF(AN639&gt;0,AN639,IF(AN638&gt;0,AN638,IF(AN637&gt;0,AN637,IF(AN636&gt;0,AN636,IF(AN635&gt;0,AN635,IF(AN634&gt;0,AN634,IF(AN632&gt;0,AN632,IF(AN631&gt;0,AN631,IF(AN630&gt;0,AN630,0)))))))))))),0)*(1-$S642)*'模拟-单技能数据'!$I$21</f>
        <v>0</v>
      </c>
      <c r="AS642" s="61">
        <f ca="1">IF(OR(C642="净世破魔击·日",C642="净世破魔击·月"),M642-'模拟-单技能数据'!$K$10,0)</f>
        <v>0</v>
      </c>
      <c r="AT642" s="61">
        <f ca="1">IF(OR(C642="净世破魔击·日",C642="净世破魔击·月"),I642-'模拟-单技能数据'!$L$10,0)</f>
        <v>0</v>
      </c>
      <c r="AU642" s="62">
        <f t="shared" ca="1" si="574"/>
        <v>0.66307922232297378</v>
      </c>
      <c r="AV642" s="64">
        <f ca="1">IF(AS642&gt;0,('模拟-单技能数据'!$D$22+G642*'模拟-单技能数据'!$F$22)*(1+J642)*(1-S642)*IF(AU642&lt;$F$10,0,IF(AU642&lt;$F$10+$F$11,0.25,IF(AU642&lt;$F$10+$F$11+AS642,AT642,1)))*(1+U642),0)*'模拟-单技能数据'!$I$22</f>
        <v>0</v>
      </c>
      <c r="AW642" s="108">
        <f t="shared" ca="1" si="575"/>
        <v>0</v>
      </c>
      <c r="AX642" s="108" t="b">
        <f ca="1">AND(模拟模式!$P$10="有",AW641=0,RAND()&lt;IF(C642="净世破魔击·月",0.1*8/3,IF(C642="净世破魔击·日",0.1*4/3,0.1*2/3)))</f>
        <v>0</v>
      </c>
      <c r="AY642" s="47">
        <f ca="1">IF(AX642,(18+G642*0.722)*(1+J642)*(1-S642)*(1+$I$4)*IF(P642="会",'模拟-全程加成'!$J$3+'模拟-全程加成'!$J$4+'模拟-全程加成'!$J$5+('模拟-全程加成'!$I$4+'模拟-全程加成'!$I$5)/系数!$B$4+BG642*10%,IF(P642="命",1,IF(P642="识",0.25,0))),0)</f>
        <v>0</v>
      </c>
      <c r="AZ642" s="108">
        <f t="shared" si="576"/>
        <v>0.6275000000000065</v>
      </c>
      <c r="BA642" s="108" t="b">
        <f>AND(模拟模式!$Q$10="有",AZ641=0)</f>
        <v>0</v>
      </c>
      <c r="BB642" s="140">
        <f>IF(BA642,(0+G642*0.287)*(1+J642)*(1-S642)*(1+$I$4)*IF(P642="会",'模拟-全程加成'!$J$3+'模拟-全程加成'!$J$4+'模拟-全程加成'!$J$5+('模拟-全程加成'!$I$4+'模拟-全程加成'!$I$5)/系数!$B$4+BG642*10%,IF(P642="命",1,IF(P642="识",0.25,0))),0)</f>
        <v>0</v>
      </c>
      <c r="BC642" s="115" t="b">
        <f ca="1">AND(模拟模式!$R$7="伏明众生",E642=60,F642=20,DA642&lt;5,CZ641&lt;$F$4)</f>
        <v>0</v>
      </c>
      <c r="BD642" s="115">
        <f t="shared" ca="1" si="555"/>
        <v>0</v>
      </c>
      <c r="BE642" s="115" t="b">
        <f t="shared" ca="1" si="556"/>
        <v>0</v>
      </c>
      <c r="BF642" s="47">
        <f ca="1">IF(BC642,4*('模拟-单技能数据'!$D$24+G642*'模拟-单技能数据'!$F$24)*(1+J642)*(1+'模拟-单技能数据'!$J$24)*(1-S642)*(1+$I$3)*(('模拟-全程加成'!$J$3+'模拟-全程加成'!$J$4+'模拟-全程加成'!$J$5+('模拟-全程加成'!$I$4+'模拟-全程加成'!$I$5)/系数!$B$4+BG642*10%)*('模拟-全程加成'!$J$3+'模拟-全程加成'!$J$4+'模拟-全程加成'!$J$5+('模拟-全程加成'!$I$4+'模拟-全程加成'!$I$5)/系数!$B$4+BG642*10%)+(1-('模拟-全程加成'!$J$3+'模拟-全程加成'!$J$4+'模拟-全程加成'!$J$5+('模拟-全程加成'!$I$4+'模拟-全程加成'!$I$5)/系数!$B$4+BG642*10%)-$F$10-$F$11)+F628*0.25),0)*'模拟-单技能数据'!$I$24</f>
        <v>0</v>
      </c>
      <c r="BG642" s="115" t="b">
        <f ca="1">OR(AND(OR(C642="烈日斩",C642="银月斩"),模拟模式!$I$7="净身明礼"),AND(C642="净世破魔击·日",模拟模式!$J$7="洞若观火"),AND(C643="净世破魔击·月",模拟模式!$J$7="洞若观火"),AB642=1)</f>
        <v>1</v>
      </c>
      <c r="BH642" s="115" t="b">
        <f t="shared" ca="1" si="577"/>
        <v>0</v>
      </c>
      <c r="BI642" s="115">
        <f t="shared" ca="1" si="557"/>
        <v>0</v>
      </c>
      <c r="BJ642" s="115" t="b">
        <f t="shared" ca="1" si="558"/>
        <v>0</v>
      </c>
      <c r="BK642" s="115" t="b">
        <f ca="1">AND(C642="驱夜断愁",模拟模式!$P$7="天地诛戮")</f>
        <v>0</v>
      </c>
      <c r="BL642" s="57">
        <f t="shared" ca="1" si="559"/>
        <v>15.387500000000003</v>
      </c>
      <c r="BM642" s="115" t="b">
        <f t="shared" ca="1" si="560"/>
        <v>1</v>
      </c>
      <c r="BN642" s="115" t="b">
        <f ca="1">AND(OR(C642="赤日轮1",C642="赤日轮2",C642="赤日轮3",C642="幽月轮1",C642="幽月轮2",C642="幽月轮3"),AB642=1,模拟模式!$L$7="明光恒照")</f>
        <v>1</v>
      </c>
      <c r="BO642" s="117">
        <f t="shared" ca="1" si="561"/>
        <v>30</v>
      </c>
      <c r="BP642" s="115">
        <f t="shared" ca="1" si="578"/>
        <v>6</v>
      </c>
      <c r="BQ642" s="115" t="b">
        <f>模拟模式!$K$10="2600·水"</f>
        <v>0</v>
      </c>
      <c r="BR642" s="117">
        <f t="shared" si="579"/>
        <v>0</v>
      </c>
      <c r="BS642" s="115">
        <f t="shared" si="580"/>
        <v>0</v>
      </c>
      <c r="BT642" s="115">
        <f t="shared" ca="1" si="581"/>
        <v>0</v>
      </c>
      <c r="BU642" s="115" t="b">
        <f ca="1">AND(模拟模式!$K$10="2300·雷",BT641=0,RAND()&lt;IF(C642="净世破魔击·月",5*0.05*2/3,IF(C642="净世破魔击·日",3*0.05*2/3,0.05*2*2/3)))</f>
        <v>0</v>
      </c>
      <c r="BV642" s="115">
        <f t="shared" ca="1" si="582"/>
        <v>0</v>
      </c>
      <c r="BW642" s="115">
        <f t="shared" ca="1" si="583"/>
        <v>170.77499999999986</v>
      </c>
      <c r="BX642" s="164" t="b">
        <f t="shared" ca="1" si="584"/>
        <v>0</v>
      </c>
      <c r="BY642" s="115">
        <f t="shared" ca="1" si="585"/>
        <v>5.775000000000003</v>
      </c>
      <c r="BZ642" s="115">
        <f>IF(OR(模拟模式!$P$16="10人团",模拟模式!$P$16="25人团"),IF(B642/30&gt;CA641,1,0),0)</f>
        <v>0</v>
      </c>
      <c r="CA642" s="115">
        <f t="shared" si="562"/>
        <v>0</v>
      </c>
      <c r="CB642" s="115">
        <f ca="1">IF(BZ642=1,IF(模拟模式!$P$16="10人团",15,0)+IF(模拟模式!$P$16="25人团",IF(RAND()&lt;0.6,15,0)),MAX(0,CB641-$F$4))</f>
        <v>0</v>
      </c>
      <c r="CC642" s="115" t="b">
        <f t="shared" ca="1" si="563"/>
        <v>0</v>
      </c>
      <c r="CD642" s="115">
        <f>IF(模拟模式!$Q$16="1个",IF(B642/40&gt;CE641,1,0),0)</f>
        <v>0</v>
      </c>
      <c r="CE642" s="115">
        <f t="shared" si="564"/>
        <v>0</v>
      </c>
      <c r="CF642" s="115">
        <f>IF(OR(CD642=1,模拟模式!$Q$16="2个"),20,MAX(0,CF641-$F$4))</f>
        <v>0</v>
      </c>
      <c r="CG642" s="115" t="b">
        <f t="shared" si="565"/>
        <v>0</v>
      </c>
      <c r="CH642" s="115">
        <f t="shared" ca="1" si="586"/>
        <v>20.775000000000006</v>
      </c>
      <c r="CI642" s="115" t="b">
        <f t="shared" ca="1" si="587"/>
        <v>0</v>
      </c>
      <c r="CJ642" s="119">
        <f t="shared" ca="1" si="588"/>
        <v>0</v>
      </c>
      <c r="CK642" s="115">
        <f t="shared" ca="1" si="589"/>
        <v>0</v>
      </c>
      <c r="CL642" s="115" t="b">
        <f ca="1">AND(模拟模式!$S$7="驱夷逐法",OR(AND(C642="净世破魔击·月",E641&gt;59),AND(C642="净世破魔击·日",F641&gt;59)))</f>
        <v>0</v>
      </c>
      <c r="CM642" s="115" t="b">
        <f ca="1">OR(CL642,AND(C642="净世破魔击·日",CL641,RAND()&lt;模拟模式!$U$23))</f>
        <v>0</v>
      </c>
      <c r="CN642" s="115" t="b">
        <f ca="1">IF(模拟模式!$M$7="辉耀红尘",AND(C642="净世破魔击·月",CL642,CV642=0,E641&lt;80),AND(C642="净世破魔击·月",CL642,E641&lt;100))</f>
        <v>0</v>
      </c>
      <c r="CO642" s="115" t="b">
        <f t="shared" ca="1" si="566"/>
        <v>0</v>
      </c>
      <c r="CP642" s="115" t="b">
        <f ca="1">AND(模拟模式!$O$7="用晦而明",OR(C642="净世破魔击·日",C642="净世破魔击·月",C642="驱夜断愁"),AB642)</f>
        <v>0</v>
      </c>
      <c r="CQ642" s="115" t="b">
        <f ca="1">OR(CP642,AND(CP641,RAND()&lt;模拟模式!$U$23))</f>
        <v>1</v>
      </c>
      <c r="CR642" s="115" t="b">
        <f ca="1">AND(模拟模式!$S$7="日月齐光",OR(C642="幽月轮1",C642="幽月轮2",C642="幽月轮3",CR641),NOT(OR(C642="赤日轮1",C642="赤日轮2",C642="赤日轮3")))</f>
        <v>0</v>
      </c>
      <c r="CS642" s="115" t="b">
        <f ca="1">AND(模拟模式!$S$7="日月齐光",OR(C642="赤日轮1",C642="赤日轮2",C642="赤日轮3",CS641),NOT(OR(C642="幽月轮1",C642="幽月轮2",C642="幽月轮3")))</f>
        <v>0</v>
      </c>
      <c r="CT642" s="115">
        <f t="shared" ca="1" si="590"/>
        <v>11.550000000000011</v>
      </c>
      <c r="CU642" s="115" t="b">
        <f ca="1">AND(模拟模式!$K$10="阴阳往极",CT641=0,RAND()&lt;IF(C642="净世破魔击·月",0.0275*7/3,IF(C642="净世破魔击·日",0.0275*3/3,0.0275*2/3)))</f>
        <v>0</v>
      </c>
      <c r="CV642" s="115">
        <f t="shared" ca="1" si="591"/>
        <v>0</v>
      </c>
      <c r="CW642" s="115">
        <f t="shared" ca="1" si="592"/>
        <v>2.3099999999999996</v>
      </c>
      <c r="CX642" s="115">
        <f t="shared" ca="1" si="593"/>
        <v>0.46499999999999975</v>
      </c>
      <c r="CY642" s="115">
        <f ca="1">MAX(IF($C642="驱夜断愁",IF(模拟模式!$R$7="万念俱寂",6,45),CY641-$F$4),0)</f>
        <v>1.3874999999999997</v>
      </c>
      <c r="CZ642" s="115">
        <f t="shared" ca="1" si="567"/>
        <v>0</v>
      </c>
      <c r="DA642" s="115">
        <f ca="1">IF(模拟模式!$N$7="日月同辉",IF(DB641=2,0,MIN(6,IF(AND(OR(C642="赤日轮1",C642="赤日轮2",C642="赤日轮3",C642="幽月轮1",C642="幽月轮2",C642="幽月轮3"),AB642=1),DA641+1,DA641))),0)</f>
        <v>4</v>
      </c>
      <c r="DB642" s="115">
        <f t="shared" ca="1" si="568"/>
        <v>0</v>
      </c>
      <c r="DC642" s="115"/>
      <c r="DD642" s="115"/>
      <c r="DE642" s="115"/>
      <c r="DF642" s="115"/>
      <c r="DG642" s="115"/>
      <c r="DH642" s="115"/>
      <c r="DI642" s="115"/>
      <c r="DJ642" s="115"/>
      <c r="DK642" s="115"/>
      <c r="DL642" s="115"/>
      <c r="DM642" s="115"/>
    </row>
    <row r="643" spans="2:117" x14ac:dyDescent="0.2">
      <c r="B643" s="117">
        <f t="shared" si="569"/>
        <v>568.26000000000636</v>
      </c>
      <c r="C643" s="167" t="str">
        <f t="shared" ca="1" si="538"/>
        <v>银月斩</v>
      </c>
      <c r="D643" s="115">
        <f ca="1">IF(C643="赤日轮1",1,IF(C643="赤日轮2",2,IF(C643="赤日轮3",3,IF(C643="幽月轮1",4,IF(C643="幽月轮2",5,IF(C643="幽月轮3",6,IF(C643="烈日斩",7,IF(C643="银月斩",8,IF(C643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643="净世破魔击·月",17,IF(C643="驱夜断愁",18,0)))))))))))</f>
        <v>8</v>
      </c>
      <c r="E643" s="115">
        <f ca="1">IF(AND(CU643,OR(C643="幽月轮1",C643="幽月轮2",C643="幽月轮3",C643="银月斩",C643="驱夜断愁",C643="净世破魔击·月")),100,MIN(IF(OR(CN643,BE643),0,IF(OR($C643="赤日轮1",$C643="赤日轮2",$C643="赤日轮3"),E642+20+IF(模拟模式!$I$7="日月凌天",4,0)+IF(CR642,20,0),IF($C643="烈日斩",E642+40,IF($C643="驱夜断愁",IF(模拟模式!$R$7="万念俱寂",E642+20,E642+60),IF($C643="净世破魔击·月",IF(OR(DB642&gt;0,CV642&gt;0),100,IF(模拟模式!$M$7="辉耀红尘",E642+20,E642)),IF($C643="净世破魔击·日",E642-100,E642)))))),100))</f>
        <v>20</v>
      </c>
      <c r="F643" s="115">
        <f ca="1">IF(AND(CU643,OR(C643="赤日轮1",C643="赤日轮2",C643="赤日轮3",C643="烈日斩",C643="净世破魔击·日")),100,MIN(IF(CO643,0,IF(OR($C643="幽月轮1",$C643="幽月轮2",$C643="幽月轮3"),F642+20+IF(模拟模式!$I$7="日月凌天",4,0)+IF(CS642,20,0),IF($C643="银月斩",F642+40+IF(模拟模式!$X$12=1,5,0),IF($C643="驱夜断愁",IF(模拟模式!$R$7="万念俱寂",F642+20,F642+60),IF($C643="净世破魔击·月",IF(模拟模式!$M$7="辉耀红尘",F642-80,F642-100),IF(AND(C643="净世破魔击·日",OR(DB642&gt;0,CV642&gt;0)),100,F642)))))),100))</f>
        <v>65</v>
      </c>
      <c r="G643" s="117">
        <f ca="1">('模拟-全程加成'!$E$3+'模拟-全程加成'!$E$4+'模拟-全程加成'!$E$5+('模拟-全程加成'!$C$6-'模拟-全程加成'!$C$3)*系数!$B$9+BS643*23)*(1+'模拟-全程加成'!$F$4+'模拟-全程加成'!$F$5+BJ643*10%+BM643*20%+BP643*4%+CG643*30%)+$F$7*系数!$B$12</f>
        <v>20583.127400000001</v>
      </c>
      <c r="H643" s="45">
        <f ca="1">'模拟-全程加成'!$H$3+'模拟-全程加成'!$H$4+'模拟-全程加成'!$H$5+('模拟-全程加成'!$G$4+'模拟-全程加成'!$G$5+('模拟-全程加成'!$C$6-'模拟-全程加成'!$C$3)*系数!$B$13)/系数!$B$3+LOOKUP(D643,'模拟-单技能数据'!$A$2:$A$19,'模拟-单技能数据'!$K$2:$K$19)+BG643*10%+IF(BV643&gt;0,378,0)</f>
        <v>0.64185145527300214</v>
      </c>
      <c r="I643" s="45">
        <f ca="1">'模拟-全程加成'!$J$3+'模拟-全程加成'!$J$4+'模拟-全程加成'!$J$5+('模拟-全程加成'!$I$4+'模拟-全程加成'!$I$5)/系数!$B$4+LOOKUP(D643,'模拟-单技能数据'!$A$2:$A$19,'模拟-单技能数据'!$L$2:$L$19)+BG643*10%</f>
        <v>2.2624828854998791</v>
      </c>
      <c r="J643" s="45">
        <f ca="1">(('模拟-全程加成'!$K$3+'模拟-全程加成'!$K$4+'模拟-全程加成'!$K$5+('模拟-全程加成'!$C$6-'模拟-全程加成'!$C$3)*系数!$B$10+IF(BV643&gt;0,882,0)+IF(BY643&gt;0,1831,0))*(1+'模拟-全程加成'!$L$4+'模拟-全程加成'!$L$5+CC643*20%))/系数!$B$5</f>
        <v>0.85832564669386491</v>
      </c>
      <c r="K643" s="119">
        <f ca="1">LOOKUP(D643,'模拟-单技能数据'!$A$2:$A$19,'模拟-单技能数据'!$J$2:$J$19)+IF(CM643,60%,0)+IF(DB642-DB643&gt;0,30%,0)+IF(OR(AND(OR(C643="赤日轮1",C643="赤日轮2",C643="赤日轮3"),CR643),AND(OR(C643="幽月轮1",C643="幽月轮2",C643="幽月轮3"),CS643)),35%,0)+CJ643</f>
        <v>0.15</v>
      </c>
      <c r="L643" s="119">
        <f ca="1">IF(AND(C643="烈日斩",模拟模式!$X$11=1),10%,0)+IF(AND(C643="驱夜断愁",AB643=1),30%,0)</f>
        <v>0</v>
      </c>
      <c r="M643" s="45">
        <f t="shared" ca="1" si="539"/>
        <v>0.64185145527300214</v>
      </c>
      <c r="N643" s="45">
        <f t="shared" ca="1" si="540"/>
        <v>0.30424854472699792</v>
      </c>
      <c r="O643" s="46">
        <f t="shared" ca="1" si="570"/>
        <v>0.51003680817521135</v>
      </c>
      <c r="P643" s="46" t="str">
        <f t="shared" ca="1" si="541"/>
        <v>会</v>
      </c>
      <c r="Q643" s="45">
        <f t="shared" ca="1" si="542"/>
        <v>2.2624828854998791</v>
      </c>
      <c r="R643" s="117">
        <f ca="1">模拟模式!$E$20*(1-IF(模拟模式!$J$19="有",0.15,0))*(1-IF(模拟模式!$K$19="有",0.3,0)-IF(CQ643,0.5,0))</f>
        <v>2950.6049999999996</v>
      </c>
      <c r="S643" s="45">
        <f ca="1">R643/(R643+(185*模拟模式!$E$22-16800)*4.08224)</f>
        <v>0.24272716014590323</v>
      </c>
      <c r="T643" s="45" t="str">
        <f ca="1">LOOKUP(D643,'模拟-单技能数据'!$A$2:$A$19,'模拟-单技能数据'!$H$2:$H$19)</f>
        <v>阴</v>
      </c>
      <c r="U643" s="119">
        <f t="shared" ca="1" si="543"/>
        <v>0.08</v>
      </c>
      <c r="V643" s="47">
        <f ca="1">(1+L643)*(LOOKUP(D643,'模拟-单技能数据'!$A$2:$A$19,'模拟-单技能数据'!$D$2:$D$19)+G643*LOOKUP(D643,'模拟-单技能数据'!$A$2:$A$19,'模拟-单技能数据'!$F$2:$F$19))*(1+J643)*(1+K643)*(1-S643)*(1+U643)*Q643*LOOKUP(D643,'模拟-单技能数据'!$A$2:$A$19,'模拟-单技能数据'!$I$2:$I$20)</f>
        <v>43228.693998777198</v>
      </c>
      <c r="W643" s="47">
        <f ca="1">LOOKUP(D643,'模拟-单技能数据'!$A$2:$A$19,'模拟-单技能数据'!$G$2:$G$19)*$I$10</f>
        <v>361.51064354704795</v>
      </c>
      <c r="X643" s="47">
        <f t="shared" ca="1" si="571"/>
        <v>10063.029835469735</v>
      </c>
      <c r="Y643" s="47">
        <f t="shared" ca="1" si="544"/>
        <v>53653.23447779398</v>
      </c>
      <c r="Z643" s="49">
        <f t="shared" ca="1" si="545"/>
        <v>64506862.973996095</v>
      </c>
      <c r="AA643" s="97">
        <f t="shared" ca="1" si="546"/>
        <v>113516.45896947765</v>
      </c>
      <c r="AB643" s="115">
        <f ca="1">IF(OR(C643="赤日轮1",C643="赤日轮2",C643="赤日轮3"),IF(RAND()&lt;模拟模式!$Y$17,1,0),IF(OR(C643="幽月轮1",C643="幽月轮2",C643="幽月轮3"),IF(RAND()&lt;模拟模式!$Y$18,1,0),IF(C643="烈日斩",IF(RAND()&lt;模拟模式!$Y$19,1,0),IF(C643="银月斩",IF(RAND()&lt;模拟模式!$Y$20,1,0),IF(C643="驱夜断愁",IF(RAND()&lt;模拟模式!$Y$21,1,0),IF(C643="净世破魔击·日",IF(RAND()&lt;模拟模式!$Y$22,1,0),IF(C643="净世破魔击·月",IF(RAND()&lt;模拟模式!$Y$23,1,0),0)))))))</f>
        <v>1</v>
      </c>
      <c r="AC643" s="115" t="b">
        <f t="shared" ca="1" si="547"/>
        <v>1</v>
      </c>
      <c r="AD643" s="115" t="b">
        <f t="shared" ca="1" si="548"/>
        <v>0</v>
      </c>
      <c r="AE643" s="115">
        <f t="shared" ca="1" si="549"/>
        <v>6</v>
      </c>
      <c r="AF643" s="47">
        <f ca="1">IF(AC643,('模拟-单技能数据'!$D$20+G643*'模拟-单技能数据'!$F$20)*(1+J643)*(1+'模拟-单技能数据'!$J$20)*(1+U643),0)</f>
        <v>4870.026558708134</v>
      </c>
      <c r="AG643" s="61">
        <f t="shared" ca="1" si="550"/>
        <v>0.64185145527300214</v>
      </c>
      <c r="AH643" s="61">
        <f t="shared" ca="1" si="551"/>
        <v>2.2624828854998791</v>
      </c>
      <c r="AI643" s="62">
        <f t="shared" ca="1" si="572"/>
        <v>0.14956898055826651</v>
      </c>
      <c r="AJ643" s="47">
        <f ca="1">IF(AD643,IF(AI643&lt;$F$10,0,IF(AI643&lt;$F$10+$F$11,0.25,IF(AI643&lt;$F$10+$F$11+AG643,AH643,1)))*IF(AF643&gt;0,AF643,IF(AF642&gt;0,AF642,IF(AF641&gt;0,AF641,IF(AF640&gt;0,AF640,IF(AF639&gt;0,AF639,IF(AF638&gt;0,AF638,IF(AF637&gt;0,AF637,IF(AF636&gt;0,AF636,IF(AF635&gt;0,AF635,IF(AF633&gt;0,AF633,IF(AF632&gt;0,AF632,IF(AF631&gt;0,AF631,0)))))))))))),0)*(1-$S643)*'模拟-单技能数据'!$I$20</f>
        <v>0</v>
      </c>
      <c r="AK643" s="115" t="b">
        <f t="shared" ca="1" si="552"/>
        <v>0</v>
      </c>
      <c r="AL643" s="115" t="b">
        <f t="shared" ca="1" si="553"/>
        <v>1</v>
      </c>
      <c r="AM643" s="115">
        <f t="shared" ca="1" si="554"/>
        <v>4</v>
      </c>
      <c r="AN643" s="47">
        <f ca="1">IF(AK643,('模拟-单技能数据'!$D$21+G643*'模拟-单技能数据'!$F$21)*(1+J643)*(1+'模拟-单技能数据'!$J$21)*(1+U643),0)</f>
        <v>0</v>
      </c>
      <c r="AO643" s="61">
        <f ca="1">IF(AN643&gt;0,M643-'模拟-单技能数据'!$K$10,AO642)</f>
        <v>0.42185145527300216</v>
      </c>
      <c r="AP643" s="61">
        <f ca="1">IF(AN643&gt;0,I643-'模拟-单技能数据'!$L$10,AP642)</f>
        <v>2.162482885499879</v>
      </c>
      <c r="AQ643" s="63">
        <f t="shared" ca="1" si="573"/>
        <v>0.97817221604098559</v>
      </c>
      <c r="AR643" s="64">
        <f ca="1">IF(AL643,IF(AQ643&lt;$F$10,0,IF(AQ643&lt;$F$10+$F$11,0.25,IF(AQ643&lt;$F$10+$F$11+AO643,AP643,1)))*IF(AN643&gt;0,AN643,IF(AN642&gt;0,AN642,IF(AN641&gt;0,AN641,IF(AN640&gt;0,AN640,IF(AN639&gt;0,AN639,IF(AN638&gt;0,AN638,IF(AN637&gt;0,AN637,IF(AN636&gt;0,AN636,IF(AN635&gt;0,AN635,IF(AN633&gt;0,AN633,IF(AN632&gt;0,AN632,IF(AN631&gt;0,AN631,0)))))))))))),0)*(1-$S643)*'模拟-单技能数据'!$I$21</f>
        <v>10063.029835469735</v>
      </c>
      <c r="AS643" s="61">
        <f ca="1">IF(OR(C643="净世破魔击·日",C643="净世破魔击·月"),M643-'模拟-单技能数据'!$K$10,0)</f>
        <v>0</v>
      </c>
      <c r="AT643" s="61">
        <f ca="1">IF(OR(C643="净世破魔击·日",C643="净世破魔击·月"),I643-'模拟-单技能数据'!$L$10,0)</f>
        <v>0</v>
      </c>
      <c r="AU643" s="62">
        <f t="shared" ca="1" si="574"/>
        <v>0.2273953242146749</v>
      </c>
      <c r="AV643" s="64">
        <f ca="1">IF(AS643&gt;0,('模拟-单技能数据'!$D$22+G643*'模拟-单技能数据'!$F$22)*(1+J643)*(1-S643)*IF(AU643&lt;$F$10,0,IF(AU643&lt;$F$10+$F$11,0.25,IF(AU643&lt;$F$10+$F$11+AS643,AT643,1)))*(1+U643),0)*'模拟-单技能数据'!$I$22</f>
        <v>0</v>
      </c>
      <c r="AW643" s="108">
        <f t="shared" ca="1" si="575"/>
        <v>0</v>
      </c>
      <c r="AX643" s="108" t="b">
        <f ca="1">AND(模拟模式!$P$10="有",AW642=0,RAND()&lt;IF(C643="净世破魔击·月",0.1*8/3,IF(C643="净世破魔击·日",0.1*4/3,0.1*2/3)))</f>
        <v>0</v>
      </c>
      <c r="AY643" s="47">
        <f ca="1">IF(AX643,(18+G643*0.722)*(1+J643)*(1-S643)*(1+$I$4)*IF(P643="会",'模拟-全程加成'!$J$3+'模拟-全程加成'!$J$4+'模拟-全程加成'!$J$5+('模拟-全程加成'!$I$4+'模拟-全程加成'!$I$5)/系数!$B$4+BG643*10%,IF(P643="命",1,IF(P643="识",0.25,0))),0)</f>
        <v>0</v>
      </c>
      <c r="AZ643" s="108">
        <f t="shared" si="576"/>
        <v>0</v>
      </c>
      <c r="BA643" s="108" t="b">
        <f>AND(模拟模式!$Q$10="有",AZ642=0)</f>
        <v>0</v>
      </c>
      <c r="BB643" s="140">
        <f>IF(BA643,(0+G643*0.287)*(1+J643)*(1-S643)*(1+$I$4)*IF(P643="会",'模拟-全程加成'!$J$3+'模拟-全程加成'!$J$4+'模拟-全程加成'!$J$5+('模拟-全程加成'!$I$4+'模拟-全程加成'!$I$5)/系数!$B$4+BG643*10%,IF(P643="命",1,IF(P643="识",0.25,0))),0)</f>
        <v>0</v>
      </c>
      <c r="BC643" s="115" t="b">
        <f ca="1">AND(模拟模式!$R$7="伏明众生",E643=60,F643=20,DA643&lt;5,CZ642&lt;$F$4)</f>
        <v>0</v>
      </c>
      <c r="BD643" s="115">
        <f t="shared" ca="1" si="555"/>
        <v>0</v>
      </c>
      <c r="BE643" s="115" t="b">
        <f t="shared" ca="1" si="556"/>
        <v>0</v>
      </c>
      <c r="BF643" s="47">
        <f ca="1">IF(BC643,4*('模拟-单技能数据'!$D$24+G643*'模拟-单技能数据'!$F$24)*(1+J643)*(1+'模拟-单技能数据'!$J$24)*(1-S643)*(1+$I$3)*(('模拟-全程加成'!$J$3+'模拟-全程加成'!$J$4+'模拟-全程加成'!$J$5+('模拟-全程加成'!$I$4+'模拟-全程加成'!$I$5)/系数!$B$4+BG643*10%)*('模拟-全程加成'!$J$3+'模拟-全程加成'!$J$4+'模拟-全程加成'!$J$5+('模拟-全程加成'!$I$4+'模拟-全程加成'!$I$5)/系数!$B$4+BG643*10%)+(1-('模拟-全程加成'!$J$3+'模拟-全程加成'!$J$4+'模拟-全程加成'!$J$5+('模拟-全程加成'!$I$4+'模拟-全程加成'!$I$5)/系数!$B$4+BG643*10%)-$F$10-$F$11)+F629*0.25),0)*'模拟-单技能数据'!$I$24</f>
        <v>0</v>
      </c>
      <c r="BG643" s="115" t="b">
        <f ca="1">OR(AND(OR(C643="烈日斩",C643="银月斩"),模拟模式!$I$7="净身明礼"),AND(C643="净世破魔击·日",模拟模式!$J$7="洞若观火"),AND(C644="净世破魔击·月",模拟模式!$J$7="洞若观火"),AB643=1)</f>
        <v>1</v>
      </c>
      <c r="BH643" s="115" t="b">
        <f t="shared" ca="1" si="577"/>
        <v>0</v>
      </c>
      <c r="BI643" s="115">
        <f t="shared" ca="1" si="557"/>
        <v>0</v>
      </c>
      <c r="BJ643" s="115" t="b">
        <f t="shared" ca="1" si="558"/>
        <v>0</v>
      </c>
      <c r="BK643" s="115" t="b">
        <f ca="1">AND(C643="驱夜断愁",模拟模式!$P$7="天地诛戮")</f>
        <v>0</v>
      </c>
      <c r="BL643" s="57">
        <f t="shared" ca="1" si="559"/>
        <v>14.465000000000003</v>
      </c>
      <c r="BM643" s="115" t="b">
        <f t="shared" ca="1" si="560"/>
        <v>1</v>
      </c>
      <c r="BN643" s="115" t="b">
        <f ca="1">AND(OR(C643="赤日轮1",C643="赤日轮2",C643="赤日轮3",C643="幽月轮1",C643="幽月轮2",C643="幽月轮3"),AB643=1,模拟模式!$L$7="明光恒照")</f>
        <v>0</v>
      </c>
      <c r="BO643" s="117">
        <f t="shared" ca="1" si="561"/>
        <v>29.077500000000001</v>
      </c>
      <c r="BP643" s="115">
        <f t="shared" ca="1" si="578"/>
        <v>6</v>
      </c>
      <c r="BQ643" s="115" t="b">
        <f>模拟模式!$K$10="2600·水"</f>
        <v>0</v>
      </c>
      <c r="BR643" s="117">
        <f t="shared" si="579"/>
        <v>0</v>
      </c>
      <c r="BS643" s="115">
        <f t="shared" si="580"/>
        <v>0</v>
      </c>
      <c r="BT643" s="115">
        <f t="shared" ca="1" si="581"/>
        <v>0</v>
      </c>
      <c r="BU643" s="115" t="b">
        <f ca="1">AND(模拟模式!$K$10="2300·雷",BT642=0,RAND()&lt;IF(C643="净世破魔击·月",5*0.05*2/3,IF(C643="净世破魔击·日",3*0.05*2/3,0.05*2*2/3)))</f>
        <v>0</v>
      </c>
      <c r="BV643" s="115">
        <f t="shared" ca="1" si="582"/>
        <v>0</v>
      </c>
      <c r="BW643" s="115">
        <f t="shared" ca="1" si="583"/>
        <v>169.85249999999985</v>
      </c>
      <c r="BX643" s="164" t="b">
        <f t="shared" ca="1" si="584"/>
        <v>0</v>
      </c>
      <c r="BY643" s="115">
        <f t="shared" ca="1" si="585"/>
        <v>4.8525000000000027</v>
      </c>
      <c r="BZ643" s="115">
        <f>IF(OR(模拟模式!$P$16="10人团",模拟模式!$P$16="25人团"),IF(B643/30&gt;CA642,1,0),0)</f>
        <v>0</v>
      </c>
      <c r="CA643" s="115">
        <f t="shared" si="562"/>
        <v>0</v>
      </c>
      <c r="CB643" s="115">
        <f ca="1">IF(BZ643=1,IF(模拟模式!$P$16="10人团",15,0)+IF(模拟模式!$P$16="25人团",IF(RAND()&lt;0.6,15,0)),MAX(0,CB642-$F$4))</f>
        <v>0</v>
      </c>
      <c r="CC643" s="115" t="b">
        <f t="shared" ca="1" si="563"/>
        <v>0</v>
      </c>
      <c r="CD643" s="115">
        <f>IF(模拟模式!$Q$16="1个",IF(B643/40&gt;CE642,1,0),0)</f>
        <v>0</v>
      </c>
      <c r="CE643" s="115">
        <f t="shared" si="564"/>
        <v>0</v>
      </c>
      <c r="CF643" s="115">
        <f>IF(OR(CD643=1,模拟模式!$Q$16="2个"),20,MAX(0,CF642-$F$4))</f>
        <v>0</v>
      </c>
      <c r="CG643" s="115" t="b">
        <f t="shared" si="565"/>
        <v>0</v>
      </c>
      <c r="CH643" s="115">
        <f t="shared" ca="1" si="586"/>
        <v>19.852500000000006</v>
      </c>
      <c r="CI643" s="115" t="b">
        <f t="shared" ca="1" si="587"/>
        <v>0</v>
      </c>
      <c r="CJ643" s="119">
        <f t="shared" ca="1" si="588"/>
        <v>0</v>
      </c>
      <c r="CK643" s="115">
        <f t="shared" ca="1" si="589"/>
        <v>0</v>
      </c>
      <c r="CL643" s="115" t="b">
        <f ca="1">AND(模拟模式!$S$7="驱夷逐法",OR(AND(C643="净世破魔击·月",E642&gt;59),AND(C643="净世破魔击·日",F642&gt;59)))</f>
        <v>0</v>
      </c>
      <c r="CM643" s="115" t="b">
        <f ca="1">OR(CL643,AND(C643="净世破魔击·日",CL642,RAND()&lt;模拟模式!$U$23))</f>
        <v>0</v>
      </c>
      <c r="CN643" s="115" t="b">
        <f ca="1">IF(模拟模式!$M$7="辉耀红尘",AND(C643="净世破魔击·月",CL643,CV643=0,E642&lt;80),AND(C643="净世破魔击·月",CL643,E642&lt;100))</f>
        <v>0</v>
      </c>
      <c r="CO643" s="115" t="b">
        <f t="shared" ca="1" si="566"/>
        <v>0</v>
      </c>
      <c r="CP643" s="115" t="b">
        <f ca="1">AND(模拟模式!$O$7="用晦而明",OR(C643="净世破魔击·日",C643="净世破魔击·月",C643="驱夜断愁"),AB643)</f>
        <v>0</v>
      </c>
      <c r="CQ643" s="115" t="b">
        <f ca="1">OR(CP643,AND(CP642,RAND()&lt;模拟模式!$U$23))</f>
        <v>0</v>
      </c>
      <c r="CR643" s="115" t="b">
        <f ca="1">AND(模拟模式!$S$7="日月齐光",OR(C643="幽月轮1",C643="幽月轮2",C643="幽月轮3",CR642),NOT(OR(C643="赤日轮1",C643="赤日轮2",C643="赤日轮3")))</f>
        <v>0</v>
      </c>
      <c r="CS643" s="115" t="b">
        <f ca="1">AND(模拟模式!$S$7="日月齐光",OR(C643="赤日轮1",C643="赤日轮2",C643="赤日轮3",CS642),NOT(OR(C643="幽月轮1",C643="幽月轮2",C643="幽月轮3")))</f>
        <v>0</v>
      </c>
      <c r="CT643" s="115">
        <f t="shared" ca="1" si="590"/>
        <v>10.627500000000012</v>
      </c>
      <c r="CU643" s="115" t="b">
        <f ca="1">AND(模拟模式!$K$10="阴阳往极",CT642=0,RAND()&lt;IF(C643="净世破魔击·月",0.0275*7/3,IF(C643="净世破魔击·日",0.0275*3/3,0.0275*2/3)))</f>
        <v>0</v>
      </c>
      <c r="CV643" s="115">
        <f t="shared" ca="1" si="591"/>
        <v>0</v>
      </c>
      <c r="CW643" s="115">
        <f t="shared" ca="1" si="592"/>
        <v>1.3874999999999997</v>
      </c>
      <c r="CX643" s="115">
        <f t="shared" ca="1" si="593"/>
        <v>6</v>
      </c>
      <c r="CY643" s="115">
        <f ca="1">MAX(IF($C643="驱夜断愁",IF(模拟模式!$R$7="万念俱寂",6,45),CY642-$F$4),0)</f>
        <v>0.46499999999999975</v>
      </c>
      <c r="CZ643" s="115">
        <f t="shared" ca="1" si="567"/>
        <v>0</v>
      </c>
      <c r="DA643" s="115">
        <f ca="1">IF(模拟模式!$N$7="日月同辉",IF(DB642=2,0,MIN(6,IF(AND(OR(C643="赤日轮1",C643="赤日轮2",C643="赤日轮3",C643="幽月轮1",C643="幽月轮2",C643="幽月轮3"),AB643=1),DA642+1,DA642))),0)</f>
        <v>4</v>
      </c>
      <c r="DB643" s="115">
        <f t="shared" ca="1" si="568"/>
        <v>0</v>
      </c>
      <c r="DC643" s="115"/>
      <c r="DD643" s="115"/>
      <c r="DE643" s="115"/>
      <c r="DF643" s="115"/>
      <c r="DG643" s="115"/>
      <c r="DH643" s="115"/>
      <c r="DI643" s="115"/>
      <c r="DJ643" s="115"/>
      <c r="DK643" s="115"/>
      <c r="DL643" s="115"/>
      <c r="DM643" s="115"/>
    </row>
    <row r="644" spans="2:117" x14ac:dyDescent="0.2">
      <c r="B644" s="117">
        <f t="shared" si="569"/>
        <v>569.18250000000637</v>
      </c>
      <c r="C644" s="167" t="str">
        <f t="shared" ca="1" si="538"/>
        <v>驱夜断愁</v>
      </c>
      <c r="D644" s="115">
        <f ca="1">IF(C644="赤日轮1",1,IF(C644="赤日轮2",2,IF(C644="赤日轮3",3,IF(C644="幽月轮1",4,IF(C644="幽月轮2",5,IF(C644="幽月轮3",6,IF(C644="烈日斩",7,IF(C644="银月斩",8,IF(C644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644="净世破魔击·月",17,IF(C644="驱夜断愁",18,0)))))))))))</f>
        <v>18</v>
      </c>
      <c r="E644" s="115">
        <f ca="1">IF(AND(CU644,OR(C644="幽月轮1",C644="幽月轮2",C644="幽月轮3",C644="银月斩",C644="驱夜断愁",C644="净世破魔击·月")),100,MIN(IF(OR(CN644,BE644),0,IF(OR($C644="赤日轮1",$C644="赤日轮2",$C644="赤日轮3"),E643+20+IF(模拟模式!$I$7="日月凌天",4,0)+IF(CR643,20,0),IF($C644="烈日斩",E643+40,IF($C644="驱夜断愁",IF(模拟模式!$R$7="万念俱寂",E643+20,E643+60),IF($C644="净世破魔击·月",IF(OR(DB643&gt;0,CV643&gt;0),100,IF(模拟模式!$M$7="辉耀红尘",E643+20,E643)),IF($C644="净世破魔击·日",E643-100,E643)))))),100))</f>
        <v>40</v>
      </c>
      <c r="F644" s="115">
        <f ca="1">IF(AND(CU644,OR(C644="赤日轮1",C644="赤日轮2",C644="赤日轮3",C644="烈日斩",C644="净世破魔击·日")),100,MIN(IF(CO644,0,IF(OR($C644="幽月轮1",$C644="幽月轮2",$C644="幽月轮3"),F643+20+IF(模拟模式!$I$7="日月凌天",4,0)+IF(CS643,20,0),IF($C644="银月斩",F643+40+IF(模拟模式!$X$12=1,5,0),IF($C644="驱夜断愁",IF(模拟模式!$R$7="万念俱寂",F643+20,F643+60),IF($C644="净世破魔击·月",IF(模拟模式!$M$7="辉耀红尘",F643-80,F643-100),IF(AND(C644="净世破魔击·日",OR(DB643&gt;0,CV643&gt;0)),100,F643)))))),100))</f>
        <v>85</v>
      </c>
      <c r="G644" s="117">
        <f ca="1">('模拟-全程加成'!$E$3+'模拟-全程加成'!$E$4+'模拟-全程加成'!$E$5+('模拟-全程加成'!$C$6-'模拟-全程加成'!$C$3)*系数!$B$9+BS644*23)*(1+'模拟-全程加成'!$F$4+'模拟-全程加成'!$F$5+BJ644*10%+BM644*20%+BP644*4%+CG644*30%)+$F$7*系数!$B$12</f>
        <v>20583.127400000001</v>
      </c>
      <c r="H644" s="45">
        <f ca="1">'模拟-全程加成'!$H$3+'模拟-全程加成'!$H$4+'模拟-全程加成'!$H$5+('模拟-全程加成'!$G$4+'模拟-全程加成'!$G$5+('模拟-全程加成'!$C$6-'模拟-全程加成'!$C$3)*系数!$B$13)/系数!$B$3+LOOKUP(D644,'模拟-单技能数据'!$A$2:$A$19,'模拟-单技能数据'!$K$2:$K$19)+BG644*10%+IF(BV644&gt;0,378,0)</f>
        <v>0.51185145527300213</v>
      </c>
      <c r="I644" s="45">
        <f ca="1">'模拟-全程加成'!$J$3+'模拟-全程加成'!$J$4+'模拟-全程加成'!$J$5+('模拟-全程加成'!$I$4+'模拟-全程加成'!$I$5)/系数!$B$4+LOOKUP(D644,'模拟-单技能数据'!$A$2:$A$19,'模拟-单技能数据'!$L$2:$L$19)+BG644*10%</f>
        <v>2.162482885499879</v>
      </c>
      <c r="J644" s="45">
        <f ca="1">(('模拟-全程加成'!$K$3+'模拟-全程加成'!$K$4+'模拟-全程加成'!$K$5+('模拟-全程加成'!$C$6-'模拟-全程加成'!$C$3)*系数!$B$10+IF(BV644&gt;0,882,0)+IF(BY644&gt;0,1831,0))*(1+'模拟-全程加成'!$L$4+'模拟-全程加成'!$L$5+CC644*20%))/系数!$B$5</f>
        <v>0.85832564669386491</v>
      </c>
      <c r="K644" s="119">
        <f ca="1">LOOKUP(D644,'模拟-单技能数据'!$A$2:$A$19,'模拟-单技能数据'!$J$2:$J$19)+IF(CM644,60%,0)+IF(DB643-DB644&gt;0,30%,0)+IF(OR(AND(OR(C644="赤日轮1",C644="赤日轮2",C644="赤日轮3"),CR644),AND(OR(C644="幽月轮1",C644="幽月轮2",C644="幽月轮3"),CS644)),35%,0)+CJ644</f>
        <v>0.14000000000000001</v>
      </c>
      <c r="L644" s="119">
        <f ca="1">IF(AND(C644="烈日斩",模拟模式!$X$11=1),10%,0)+IF(AND(C644="驱夜断愁",AB644=1),30%,0)</f>
        <v>0.3</v>
      </c>
      <c r="M644" s="45">
        <f t="shared" ca="1" si="539"/>
        <v>0.51185145527300213</v>
      </c>
      <c r="N644" s="45">
        <f t="shared" ca="1" si="540"/>
        <v>0.43424854472699792</v>
      </c>
      <c r="O644" s="46">
        <f t="shared" ca="1" si="570"/>
        <v>0.82128146947574354</v>
      </c>
      <c r="P644" s="46" t="str">
        <f t="shared" ca="1" si="541"/>
        <v>命</v>
      </c>
      <c r="Q644" s="45">
        <f t="shared" ca="1" si="542"/>
        <v>1</v>
      </c>
      <c r="R644" s="117">
        <f ca="1">模拟模式!$E$20*(1-IF(模拟模式!$J$19="有",0.15,0))*(1-IF(模拟模式!$K$19="有",0.3,0)-IF(CQ644,0.5,0))</f>
        <v>843.02999999999975</v>
      </c>
      <c r="S644" s="45">
        <f ca="1">R644/(R644+(185*模拟模式!$E$22-16800)*4.08224)</f>
        <v>8.389626085980037E-2</v>
      </c>
      <c r="T644" s="45" t="str">
        <f ca="1">LOOKUP(D644,'模拟-单技能数据'!$A$2:$A$19,'模拟-单技能数据'!$H$2:$H$19)</f>
        <v>阴</v>
      </c>
      <c r="U644" s="119">
        <f t="shared" ca="1" si="543"/>
        <v>0.08</v>
      </c>
      <c r="V644" s="47">
        <f ca="1">(1+L644)*(LOOKUP(D644,'模拟-单技能数据'!$A$2:$A$19,'模拟-单技能数据'!$D$2:$D$19)+G644*LOOKUP(D644,'模拟-单技能数据'!$A$2:$A$19,'模拟-单技能数据'!$F$2:$F$19))*(1+J644)*(1+K644)*(1-S644)*(1+U644)*Q644*LOOKUP(D644,'模拟-单技能数据'!$A$2:$A$19,'模拟-单技能数据'!$I$2:$I$20)</f>
        <v>64537.693726759018</v>
      </c>
      <c r="W644" s="47">
        <f ca="1">LOOKUP(D644,'模拟-单技能数据'!$A$2:$A$19,'模拟-单技能数据'!$G$2:$G$19)*$I$10</f>
        <v>723.0212870940959</v>
      </c>
      <c r="X644" s="47">
        <f t="shared" ca="1" si="571"/>
        <v>15322.791585839323</v>
      </c>
      <c r="Y644" s="47">
        <f t="shared" ca="1" si="544"/>
        <v>80583.506599692439</v>
      </c>
      <c r="Z644" s="49">
        <f t="shared" ca="1" si="545"/>
        <v>64587446.48059579</v>
      </c>
      <c r="AA644" s="97">
        <f t="shared" ca="1" si="546"/>
        <v>113474.05529965357</v>
      </c>
      <c r="AB644" s="115">
        <f ca="1">IF(OR(C644="赤日轮1",C644="赤日轮2",C644="赤日轮3"),IF(RAND()&lt;模拟模式!$Y$17,1,0),IF(OR(C644="幽月轮1",C644="幽月轮2",C644="幽月轮3"),IF(RAND()&lt;模拟模式!$Y$18,1,0),IF(C644="烈日斩",IF(RAND()&lt;模拟模式!$Y$19,1,0),IF(C644="银月斩",IF(RAND()&lt;模拟模式!$Y$20,1,0),IF(C644="驱夜断愁",IF(RAND()&lt;模拟模式!$Y$21,1,0),IF(C644="净世破魔击·日",IF(RAND()&lt;模拟模式!$Y$22,1,0),IF(C644="净世破魔击·月",IF(RAND()&lt;模拟模式!$Y$23,1,0),0)))))))</f>
        <v>1</v>
      </c>
      <c r="AC644" s="115" t="b">
        <f t="shared" ca="1" si="547"/>
        <v>0</v>
      </c>
      <c r="AD644" s="115" t="b">
        <f t="shared" ca="1" si="548"/>
        <v>1</v>
      </c>
      <c r="AE644" s="115">
        <f t="shared" ca="1" si="549"/>
        <v>5</v>
      </c>
      <c r="AF644" s="47">
        <f ca="1">IF(AC644,('模拟-单技能数据'!$D$20+G644*'模拟-单技能数据'!$F$20)*(1+J644)*(1+'模拟-单技能数据'!$J$20)*(1+U644),0)</f>
        <v>0</v>
      </c>
      <c r="AG644" s="61">
        <f t="shared" ca="1" si="550"/>
        <v>0.64185145527300214</v>
      </c>
      <c r="AH644" s="61">
        <f t="shared" ca="1" si="551"/>
        <v>2.2624828854998791</v>
      </c>
      <c r="AI644" s="62">
        <f t="shared" ca="1" si="572"/>
        <v>0.84934375623744252</v>
      </c>
      <c r="AJ644" s="47">
        <f ca="1">IF(AD644,IF(AI644&lt;$F$10,0,IF(AI644&lt;$F$10+$F$11,0.25,IF(AI644&lt;$F$10+$F$11+AG644,AH644,1)))*IF(AF644&gt;0,AF644,IF(AF643&gt;0,AF643,IF(AF642&gt;0,AF642,IF(AF641&gt;0,AF641,IF(AF640&gt;0,AF640,IF(AF639&gt;0,AF639,IF(AF638&gt;0,AF638,IF(AF637&gt;0,AF637,IF(AF636&gt;0,AF636,IF(AF634&gt;0,AF634,IF(AF633&gt;0,AF633,IF(AF632&gt;0,AF632,0)))))))))))),0)*(1-$S644)*'模拟-单技能数据'!$I$20</f>
        <v>4461.4495401446002</v>
      </c>
      <c r="AK644" s="115" t="b">
        <f t="shared" ca="1" si="552"/>
        <v>0</v>
      </c>
      <c r="AL644" s="115" t="b">
        <f t="shared" ca="1" si="553"/>
        <v>0</v>
      </c>
      <c r="AM644" s="115">
        <f t="shared" ca="1" si="554"/>
        <v>4</v>
      </c>
      <c r="AN644" s="47">
        <f ca="1">IF(AK644,('模拟-单技能数据'!$D$21+G644*'模拟-单技能数据'!$F$21)*(1+J644)*(1+'模拟-单技能数据'!$J$21)*(1+U644),0)</f>
        <v>0</v>
      </c>
      <c r="AO644" s="61">
        <f ca="1">IF(AN644&gt;0,M644-'模拟-单技能数据'!$K$10,AO643)</f>
        <v>0.42185145527300216</v>
      </c>
      <c r="AP644" s="61">
        <f ca="1">IF(AN644&gt;0,I644-'模拟-单技能数据'!$L$10,AP643)</f>
        <v>2.162482885499879</v>
      </c>
      <c r="AQ644" s="63">
        <f t="shared" ca="1" si="573"/>
        <v>0.77304834218195018</v>
      </c>
      <c r="AR644" s="64">
        <f ca="1">IF(AL644,IF(AQ644&lt;$F$10,0,IF(AQ644&lt;$F$10+$F$11,0.25,IF(AQ644&lt;$F$10+$F$11+AO644,AP644,1)))*IF(AN644&gt;0,AN644,IF(AN643&gt;0,AN643,IF(AN642&gt;0,AN642,IF(AN641&gt;0,AN641,IF(AN640&gt;0,AN640,IF(AN639&gt;0,AN639,IF(AN638&gt;0,AN638,IF(AN637&gt;0,AN637,IF(AN636&gt;0,AN636,IF(AN634&gt;0,AN634,IF(AN633&gt;0,AN633,IF(AN632&gt;0,AN632,0)))))))))))),0)*(1-$S644)*'模拟-单技能数据'!$I$21</f>
        <v>0</v>
      </c>
      <c r="AS644" s="61">
        <f ca="1">IF(OR(C644="净世破魔击·日",C644="净世破魔击·月"),M644-'模拟-单技能数据'!$K$10,0)</f>
        <v>0</v>
      </c>
      <c r="AT644" s="61">
        <f ca="1">IF(OR(C644="净世破魔击·日",C644="净世破魔击·月"),I644-'模拟-单技能数据'!$L$10,0)</f>
        <v>0</v>
      </c>
      <c r="AU644" s="62">
        <f t="shared" ca="1" si="574"/>
        <v>0.33276836361525397</v>
      </c>
      <c r="AV644" s="64">
        <f ca="1">IF(AS644&gt;0,('模拟-单技能数据'!$D$22+G644*'模拟-单技能数据'!$F$22)*(1+J644)*(1-S644)*IF(AU644&lt;$F$10,0,IF(AU644&lt;$F$10+$F$11,0.25,IF(AU644&lt;$F$10+$F$11+AS644,AT644,1)))*(1+U644),0)*'模拟-单技能数据'!$I$22</f>
        <v>0</v>
      </c>
      <c r="AW644" s="108">
        <f t="shared" ca="1" si="575"/>
        <v>0</v>
      </c>
      <c r="AX644" s="108" t="b">
        <f ca="1">AND(模拟模式!$P$10="有",AW643=0,RAND()&lt;IF(C644="净世破魔击·月",0.1*8/3,IF(C644="净世破魔击·日",0.1*4/3,0.1*2/3)))</f>
        <v>0</v>
      </c>
      <c r="AY644" s="47">
        <f ca="1">IF(AX644,(18+G644*0.722)*(1+J644)*(1-S644)*(1+$I$4)*IF(P644="会",'模拟-全程加成'!$J$3+'模拟-全程加成'!$J$4+'模拟-全程加成'!$J$5+('模拟-全程加成'!$I$4+'模拟-全程加成'!$I$5)/系数!$B$4+BG644*10%,IF(P644="命",1,IF(P644="识",0.25,0))),0)</f>
        <v>0</v>
      </c>
      <c r="AZ644" s="108">
        <f t="shared" si="576"/>
        <v>19.077500000000001</v>
      </c>
      <c r="BA644" s="108" t="b">
        <f>AND(模拟模式!$Q$10="有",AZ643=0)</f>
        <v>1</v>
      </c>
      <c r="BB644" s="140">
        <f ca="1">IF(BA644,(0+G644*0.287)*(1+J644)*(1-S644)*(1+$I$4)*IF(P644="会",'模拟-全程加成'!$J$3+'模拟-全程加成'!$J$4+'模拟-全程加成'!$J$5+('模拟-全程加成'!$I$4+'模拟-全程加成'!$I$5)/系数!$B$4+BG644*10%,IF(P644="命",1,IF(P644="识",0.25,0))),0)</f>
        <v>10861.342045694722</v>
      </c>
      <c r="BC644" s="115" t="b">
        <f ca="1">AND(模拟模式!$R$7="伏明众生",E644=60,F644=20,DA644&lt;5,CZ643&lt;$F$4)</f>
        <v>0</v>
      </c>
      <c r="BD644" s="115">
        <f t="shared" ca="1" si="555"/>
        <v>0</v>
      </c>
      <c r="BE644" s="115" t="b">
        <f t="shared" ca="1" si="556"/>
        <v>0</v>
      </c>
      <c r="BF644" s="47">
        <f ca="1">IF(BC644,4*('模拟-单技能数据'!$D$24+G644*'模拟-单技能数据'!$F$24)*(1+J644)*(1+'模拟-单技能数据'!$J$24)*(1-S644)*(1+$I$3)*(('模拟-全程加成'!$J$3+'模拟-全程加成'!$J$4+'模拟-全程加成'!$J$5+('模拟-全程加成'!$I$4+'模拟-全程加成'!$I$5)/系数!$B$4+BG644*10%)*('模拟-全程加成'!$J$3+'模拟-全程加成'!$J$4+'模拟-全程加成'!$J$5+('模拟-全程加成'!$I$4+'模拟-全程加成'!$I$5)/系数!$B$4+BG644*10%)+(1-('模拟-全程加成'!$J$3+'模拟-全程加成'!$J$4+'模拟-全程加成'!$J$5+('模拟-全程加成'!$I$4+'模拟-全程加成'!$I$5)/系数!$B$4+BG644*10%)-$F$10-$F$11)+F630*0.25),0)*'模拟-单技能数据'!$I$24</f>
        <v>0</v>
      </c>
      <c r="BG644" s="115" t="b">
        <f ca="1">OR(AND(OR(C644="烈日斩",C644="银月斩"),模拟模式!$I$7="净身明礼"),AND(C644="净世破魔击·日",模拟模式!$J$7="洞若观火"),AND(C645="净世破魔击·月",模拟模式!$J$7="洞若观火"),AB644=1)</f>
        <v>1</v>
      </c>
      <c r="BH644" s="115" t="b">
        <f t="shared" ca="1" si="577"/>
        <v>0</v>
      </c>
      <c r="BI644" s="115">
        <f t="shared" ca="1" si="557"/>
        <v>0</v>
      </c>
      <c r="BJ644" s="115" t="b">
        <f t="shared" ca="1" si="558"/>
        <v>0</v>
      </c>
      <c r="BK644" s="115" t="b">
        <f ca="1">AND(C644="驱夜断愁",模拟模式!$P$7="天地诛戮")</f>
        <v>1</v>
      </c>
      <c r="BL644" s="57">
        <f t="shared" ca="1" si="559"/>
        <v>20</v>
      </c>
      <c r="BM644" s="115" t="b">
        <f t="shared" ca="1" si="560"/>
        <v>1</v>
      </c>
      <c r="BN644" s="115" t="b">
        <f ca="1">AND(OR(C644="赤日轮1",C644="赤日轮2",C644="赤日轮3",C644="幽月轮1",C644="幽月轮2",C644="幽月轮3"),AB644=1,模拟模式!$L$7="明光恒照")</f>
        <v>0</v>
      </c>
      <c r="BO644" s="117">
        <f t="shared" ca="1" si="561"/>
        <v>28.155000000000001</v>
      </c>
      <c r="BP644" s="115">
        <f t="shared" ca="1" si="578"/>
        <v>6</v>
      </c>
      <c r="BQ644" s="115" t="b">
        <f>模拟模式!$K$10="2600·水"</f>
        <v>0</v>
      </c>
      <c r="BR644" s="117">
        <f t="shared" si="579"/>
        <v>0</v>
      </c>
      <c r="BS644" s="115">
        <f t="shared" si="580"/>
        <v>0</v>
      </c>
      <c r="BT644" s="115">
        <f t="shared" ca="1" si="581"/>
        <v>0</v>
      </c>
      <c r="BU644" s="115" t="b">
        <f ca="1">AND(模拟模式!$K$10="2300·雷",BT643=0,RAND()&lt;IF(C644="净世破魔击·月",5*0.05*2/3,IF(C644="净世破魔击·日",3*0.05*2/3,0.05*2*2/3)))</f>
        <v>0</v>
      </c>
      <c r="BV644" s="115">
        <f t="shared" ca="1" si="582"/>
        <v>0</v>
      </c>
      <c r="BW644" s="115">
        <f t="shared" ca="1" si="583"/>
        <v>168.92999999999984</v>
      </c>
      <c r="BX644" s="164" t="b">
        <f t="shared" ca="1" si="584"/>
        <v>0</v>
      </c>
      <c r="BY644" s="115">
        <f t="shared" ca="1" si="585"/>
        <v>3.9300000000000028</v>
      </c>
      <c r="BZ644" s="115">
        <f>IF(OR(模拟模式!$P$16="10人团",模拟模式!$P$16="25人团"),IF(B644/30&gt;CA643,1,0),0)</f>
        <v>0</v>
      </c>
      <c r="CA644" s="115">
        <f t="shared" si="562"/>
        <v>0</v>
      </c>
      <c r="CB644" s="115">
        <f ca="1">IF(BZ644=1,IF(模拟模式!$P$16="10人团",15,0)+IF(模拟模式!$P$16="25人团",IF(RAND()&lt;0.6,15,0)),MAX(0,CB643-$F$4))</f>
        <v>0</v>
      </c>
      <c r="CC644" s="115" t="b">
        <f t="shared" ca="1" si="563"/>
        <v>0</v>
      </c>
      <c r="CD644" s="115">
        <f>IF(模拟模式!$Q$16="1个",IF(B644/40&gt;CE643,1,0),0)</f>
        <v>0</v>
      </c>
      <c r="CE644" s="115">
        <f t="shared" si="564"/>
        <v>0</v>
      </c>
      <c r="CF644" s="115">
        <f>IF(OR(CD644=1,模拟模式!$Q$16="2个"),20,MAX(0,CF643-$F$4))</f>
        <v>0</v>
      </c>
      <c r="CG644" s="115" t="b">
        <f t="shared" si="565"/>
        <v>0</v>
      </c>
      <c r="CH644" s="115">
        <f t="shared" ca="1" si="586"/>
        <v>18.930000000000007</v>
      </c>
      <c r="CI644" s="115" t="b">
        <f t="shared" ca="1" si="587"/>
        <v>0</v>
      </c>
      <c r="CJ644" s="119">
        <f t="shared" ca="1" si="588"/>
        <v>0</v>
      </c>
      <c r="CK644" s="115">
        <f t="shared" ca="1" si="589"/>
        <v>0</v>
      </c>
      <c r="CL644" s="115" t="b">
        <f ca="1">AND(模拟模式!$S$7="驱夷逐法",OR(AND(C644="净世破魔击·月",E643&gt;59),AND(C644="净世破魔击·日",F643&gt;59)))</f>
        <v>0</v>
      </c>
      <c r="CM644" s="115" t="b">
        <f ca="1">OR(CL644,AND(C644="净世破魔击·日",CL643,RAND()&lt;模拟模式!$U$23))</f>
        <v>0</v>
      </c>
      <c r="CN644" s="115" t="b">
        <f ca="1">IF(模拟模式!$M$7="辉耀红尘",AND(C644="净世破魔击·月",CL644,CV644=0,E643&lt;80),AND(C644="净世破魔击·月",CL644,E643&lt;100))</f>
        <v>0</v>
      </c>
      <c r="CO644" s="115" t="b">
        <f t="shared" ca="1" si="566"/>
        <v>0</v>
      </c>
      <c r="CP644" s="115" t="b">
        <f ca="1">AND(模拟模式!$O$7="用晦而明",OR(C644="净世破魔击·日",C644="净世破魔击·月",C644="驱夜断愁"),AB644)</f>
        <v>1</v>
      </c>
      <c r="CQ644" s="115" t="b">
        <f ca="1">OR(CP644,AND(CP643,RAND()&lt;模拟模式!$U$23))</f>
        <v>1</v>
      </c>
      <c r="CR644" s="115" t="b">
        <f ca="1">AND(模拟模式!$S$7="日月齐光",OR(C644="幽月轮1",C644="幽月轮2",C644="幽月轮3",CR643),NOT(OR(C644="赤日轮1",C644="赤日轮2",C644="赤日轮3")))</f>
        <v>0</v>
      </c>
      <c r="CS644" s="115" t="b">
        <f ca="1">AND(模拟模式!$S$7="日月齐光",OR(C644="赤日轮1",C644="赤日轮2",C644="赤日轮3",CS643),NOT(OR(C644="幽月轮1",C644="幽月轮2",C644="幽月轮3")))</f>
        <v>0</v>
      </c>
      <c r="CT644" s="115">
        <f t="shared" ca="1" si="590"/>
        <v>9.7050000000000125</v>
      </c>
      <c r="CU644" s="115" t="b">
        <f ca="1">AND(模拟模式!$K$10="阴阳往极",CT643=0,RAND()&lt;IF(C644="净世破魔击·月",0.0275*7/3,IF(C644="净世破魔击·日",0.0275*3/3,0.0275*2/3)))</f>
        <v>0</v>
      </c>
      <c r="CV644" s="115">
        <f t="shared" ca="1" si="591"/>
        <v>0</v>
      </c>
      <c r="CW644" s="115">
        <f t="shared" ca="1" si="592"/>
        <v>0.46499999999999975</v>
      </c>
      <c r="CX644" s="115">
        <f t="shared" ca="1" si="593"/>
        <v>5.0774999999999997</v>
      </c>
      <c r="CY644" s="115">
        <f ca="1">MAX(IF($C644="驱夜断愁",IF(模拟模式!$R$7="万念俱寂",6,45),CY643-$F$4),0)</f>
        <v>6</v>
      </c>
      <c r="CZ644" s="115">
        <f t="shared" ca="1" si="567"/>
        <v>0</v>
      </c>
      <c r="DA644" s="115">
        <f ca="1">IF(模拟模式!$N$7="日月同辉",IF(DB643=2,0,MIN(6,IF(AND(OR(C644="赤日轮1",C644="赤日轮2",C644="赤日轮3",C644="幽月轮1",C644="幽月轮2",C644="幽月轮3"),AB644=1),DA643+1,DA643))),0)</f>
        <v>4</v>
      </c>
      <c r="DB644" s="115">
        <f t="shared" ca="1" si="568"/>
        <v>0</v>
      </c>
      <c r="DC644" s="115"/>
      <c r="DD644" s="115"/>
      <c r="DE644" s="115"/>
      <c r="DF644" s="115"/>
      <c r="DG644" s="115"/>
      <c r="DH644" s="115"/>
      <c r="DI644" s="115"/>
      <c r="DJ644" s="115"/>
      <c r="DK644" s="115"/>
      <c r="DL644" s="115"/>
      <c r="DM644" s="115"/>
    </row>
    <row r="645" spans="2:117" x14ac:dyDescent="0.2">
      <c r="B645" s="117">
        <f t="shared" si="569"/>
        <v>570.10500000000638</v>
      </c>
      <c r="C645" s="167" t="str">
        <f t="shared" ca="1" si="538"/>
        <v>烈日斩</v>
      </c>
      <c r="D645" s="115">
        <f ca="1">IF(C645="赤日轮1",1,IF(C645="赤日轮2",2,IF(C645="赤日轮3",3,IF(C645="幽月轮1",4,IF(C645="幽月轮2",5,IF(C645="幽月轮3",6,IF(C645="烈日斩",7,IF(C645="银月斩",8,IF(C645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645="净世破魔击·月",17,IF(C645="驱夜断愁",18,0)))))))))))</f>
        <v>7</v>
      </c>
      <c r="E645" s="115">
        <f ca="1">IF(AND(CU645,OR(C645="幽月轮1",C645="幽月轮2",C645="幽月轮3",C645="银月斩",C645="驱夜断愁",C645="净世破魔击·月")),100,MIN(IF(OR(CN645,BE645),0,IF(OR($C645="赤日轮1",$C645="赤日轮2",$C645="赤日轮3"),E644+20+IF(模拟模式!$I$7="日月凌天",4,0)+IF(CR644,20,0),IF($C645="烈日斩",E644+40,IF($C645="驱夜断愁",IF(模拟模式!$R$7="万念俱寂",E644+20,E644+60),IF($C645="净世破魔击·月",IF(OR(DB644&gt;0,CV644&gt;0),100,IF(模拟模式!$M$7="辉耀红尘",E644+20,E644)),IF($C645="净世破魔击·日",E644-100,E644)))))),100))</f>
        <v>80</v>
      </c>
      <c r="F645" s="115">
        <f ca="1">IF(AND(CU645,OR(C645="赤日轮1",C645="赤日轮2",C645="赤日轮3",C645="烈日斩",C645="净世破魔击·日")),100,MIN(IF(CO645,0,IF(OR($C645="幽月轮1",$C645="幽月轮2",$C645="幽月轮3"),F644+20+IF(模拟模式!$I$7="日月凌天",4,0)+IF(CS644,20,0),IF($C645="银月斩",F644+40+IF(模拟模式!$X$12=1,5,0),IF($C645="驱夜断愁",IF(模拟模式!$R$7="万念俱寂",F644+20,F644+60),IF($C645="净世破魔击·月",IF(模拟模式!$M$7="辉耀红尘",F644-80,F644-100),IF(AND(C645="净世破魔击·日",OR(DB644&gt;0,CV644&gt;0)),100,F644)))))),100))</f>
        <v>85</v>
      </c>
      <c r="G645" s="117">
        <f ca="1">('模拟-全程加成'!$E$3+'模拟-全程加成'!$E$4+'模拟-全程加成'!$E$5+('模拟-全程加成'!$C$6-'模拟-全程加成'!$C$3)*系数!$B$9+BS645*23)*(1+'模拟-全程加成'!$F$4+'模拟-全程加成'!$F$5+BJ645*10%+BM645*20%+BP645*4%+CG645*30%)+$F$7*系数!$B$12</f>
        <v>20583.127400000001</v>
      </c>
      <c r="H645" s="45">
        <f ca="1">'模拟-全程加成'!$H$3+'模拟-全程加成'!$H$4+'模拟-全程加成'!$H$5+('模拟-全程加成'!$G$4+'模拟-全程加成'!$G$5+('模拟-全程加成'!$C$6-'模拟-全程加成'!$C$3)*系数!$B$13)/系数!$B$3+LOOKUP(D645,'模拟-单技能数据'!$A$2:$A$19,'模拟-单技能数据'!$K$2:$K$19)+BG645*10%+IF(BV645&gt;0,378,0)</f>
        <v>0.56185145527300218</v>
      </c>
      <c r="I645" s="45">
        <f ca="1">'模拟-全程加成'!$J$3+'模拟-全程加成'!$J$4+'模拟-全程加成'!$J$5+('模拟-全程加成'!$I$4+'模拟-全程加成'!$I$5)/系数!$B$4+LOOKUP(D645,'模拟-单技能数据'!$A$2:$A$19,'模拟-单技能数据'!$L$2:$L$19)+BG645*10%</f>
        <v>2.2624828854998791</v>
      </c>
      <c r="J645" s="45">
        <f ca="1">(('模拟-全程加成'!$K$3+'模拟-全程加成'!$K$4+'模拟-全程加成'!$K$5+('模拟-全程加成'!$C$6-'模拟-全程加成'!$C$3)*系数!$B$10+IF(BV645&gt;0,882,0)+IF(BY645&gt;0,1831,0))*(1+'模拟-全程加成'!$L$4+'模拟-全程加成'!$L$5+CC645*20%))/系数!$B$5</f>
        <v>0.85832564669386491</v>
      </c>
      <c r="K645" s="119">
        <f ca="1">LOOKUP(D645,'模拟-单技能数据'!$A$2:$A$19,'模拟-单技能数据'!$J$2:$J$19)+IF(CM645,60%,0)+IF(DB644-DB645&gt;0,30%,0)+IF(OR(AND(OR(C645="赤日轮1",C645="赤日轮2",C645="赤日轮3"),CR645),AND(OR(C645="幽月轮1",C645="幽月轮2",C645="幽月轮3"),CS645)),35%,0)+CJ645</f>
        <v>0.24</v>
      </c>
      <c r="L645" s="119">
        <f ca="1">IF(AND(C645="烈日斩",模拟模式!$X$11=1),10%,0)+IF(AND(C645="驱夜断愁",AB645=1),30%,0)</f>
        <v>0.1</v>
      </c>
      <c r="M645" s="45">
        <f t="shared" ca="1" si="539"/>
        <v>0.56185145527300218</v>
      </c>
      <c r="N645" s="45">
        <f t="shared" ca="1" si="540"/>
        <v>0.38424854472699788</v>
      </c>
      <c r="O645" s="46">
        <f t="shared" ca="1" si="570"/>
        <v>0.38327654639688924</v>
      </c>
      <c r="P645" s="46" t="str">
        <f t="shared" ca="1" si="541"/>
        <v>会</v>
      </c>
      <c r="Q645" s="45">
        <f t="shared" ca="1" si="542"/>
        <v>2.2624828854998791</v>
      </c>
      <c r="R645" s="117">
        <f ca="1">模拟模式!$E$20*(1-IF(模拟模式!$J$19="有",0.15,0))*(1-IF(模拟模式!$K$19="有",0.3,0)-IF(CQ645,0.5,0))</f>
        <v>843.02999999999975</v>
      </c>
      <c r="S645" s="45">
        <f ca="1">R645/(R645+(185*模拟模式!$E$22-16800)*4.08224)</f>
        <v>8.389626085980037E-2</v>
      </c>
      <c r="T645" s="45" t="str">
        <f ca="1">LOOKUP(D645,'模拟-单技能数据'!$A$2:$A$19,'模拟-单技能数据'!$H$2:$H$19)</f>
        <v>阳</v>
      </c>
      <c r="U645" s="119">
        <f t="shared" ca="1" si="543"/>
        <v>0.2</v>
      </c>
      <c r="V645" s="47">
        <f ca="1">(1+L645)*(LOOKUP(D645,'模拟-单技能数据'!$A$2:$A$19,'模拟-单技能数据'!$D$2:$D$19)+G645*LOOKUP(D645,'模拟-单技能数据'!$A$2:$A$19,'模拟-单技能数据'!$F$2:$F$19))*(1+J645)*(1+K645)*(1-S645)*(1+U645)*Q645*LOOKUP(D645,'模拟-单技能数据'!$A$2:$A$19,'模拟-单技能数据'!$I$2:$I$20)</f>
        <v>115908.89415261145</v>
      </c>
      <c r="W645" s="47">
        <f ca="1">LOOKUP(D645,'模拟-单技能数据'!$A$2:$A$19,'模拟-单技能数据'!$G$2:$G$19)*$I$10</f>
        <v>361.51064354704795</v>
      </c>
      <c r="X645" s="47">
        <f t="shared" ca="1" si="571"/>
        <v>12173.656275761043</v>
      </c>
      <c r="Y645" s="47">
        <f t="shared" ca="1" si="544"/>
        <v>128444.06107191954</v>
      </c>
      <c r="Z645" s="49">
        <f t="shared" ca="1" si="545"/>
        <v>64715890.541667707</v>
      </c>
      <c r="AA645" s="97">
        <f t="shared" ca="1" si="546"/>
        <v>113515.73927902225</v>
      </c>
      <c r="AB645" s="115">
        <f ca="1">IF(OR(C645="赤日轮1",C645="赤日轮2",C645="赤日轮3"),IF(RAND()&lt;模拟模式!$Y$17,1,0),IF(OR(C645="幽月轮1",C645="幽月轮2",C645="幽月轮3"),IF(RAND()&lt;模拟模式!$Y$18,1,0),IF(C645="烈日斩",IF(RAND()&lt;模拟模式!$Y$19,1,0),IF(C645="银月斩",IF(RAND()&lt;模拟模式!$Y$20,1,0),IF(C645="驱夜断愁",IF(RAND()&lt;模拟模式!$Y$21,1,0),IF(C645="净世破魔击·日",IF(RAND()&lt;模拟模式!$Y$22,1,0),IF(C645="净世破魔击·月",IF(RAND()&lt;模拟模式!$Y$23,1,0),0)))))))</f>
        <v>1</v>
      </c>
      <c r="AC645" s="115" t="b">
        <f t="shared" ca="1" si="547"/>
        <v>0</v>
      </c>
      <c r="AD645" s="115" t="b">
        <f t="shared" ca="1" si="548"/>
        <v>0</v>
      </c>
      <c r="AE645" s="115">
        <f t="shared" ca="1" si="549"/>
        <v>5</v>
      </c>
      <c r="AF645" s="47">
        <f ca="1">IF(AC645,('模拟-单技能数据'!$D$20+G645*'模拟-单技能数据'!$F$20)*(1+J645)*(1+'模拟-单技能数据'!$J$20)*(1+U645),0)</f>
        <v>0</v>
      </c>
      <c r="AG645" s="61">
        <f t="shared" ca="1" si="550"/>
        <v>0.64185145527300214</v>
      </c>
      <c r="AH645" s="61">
        <f t="shared" ca="1" si="551"/>
        <v>2.2624828854998791</v>
      </c>
      <c r="AI645" s="62">
        <f t="shared" ca="1" si="572"/>
        <v>0.62969100781971876</v>
      </c>
      <c r="AJ645" s="47">
        <f ca="1">IF(AD645,IF(AI645&lt;$F$10,0,IF(AI645&lt;$F$10+$F$11,0.25,IF(AI645&lt;$F$10+$F$11+AG645,AH645,1)))*IF(AF645&gt;0,AF645,IF(AF644&gt;0,AF644,IF(AF643&gt;0,AF643,IF(AF642&gt;0,AF642,IF(AF641&gt;0,AF641,IF(AF640&gt;0,AF640,IF(AF639&gt;0,AF639,IF(AF638&gt;0,AF638,IF(AF637&gt;0,AF637,IF(AF635&gt;0,AF635,IF(AF634&gt;0,AF634,IF(AF633&gt;0,AF633,0)))))))))))),0)*(1-$S645)*'模拟-单技能数据'!$I$20</f>
        <v>0</v>
      </c>
      <c r="AK645" s="115" t="b">
        <f t="shared" ca="1" si="552"/>
        <v>0</v>
      </c>
      <c r="AL645" s="115" t="b">
        <f t="shared" ca="1" si="553"/>
        <v>1</v>
      </c>
      <c r="AM645" s="115">
        <f t="shared" ca="1" si="554"/>
        <v>3</v>
      </c>
      <c r="AN645" s="47">
        <f ca="1">IF(AK645,('模拟-单技能数据'!$D$21+G645*'模拟-单技能数据'!$F$21)*(1+J645)*(1+'模拟-单技能数据'!$J$21)*(1+U645),0)</f>
        <v>0</v>
      </c>
      <c r="AO645" s="61">
        <f ca="1">IF(AN645&gt;0,M645-'模拟-单技能数据'!$K$10,AO644)</f>
        <v>0.42185145527300216</v>
      </c>
      <c r="AP645" s="61">
        <f ca="1">IF(AN645&gt;0,I645-'模拟-单技能数据'!$L$10,AP644)</f>
        <v>2.162482885499879</v>
      </c>
      <c r="AQ645" s="63">
        <f t="shared" ca="1" si="573"/>
        <v>0.89687901111031088</v>
      </c>
      <c r="AR645" s="64">
        <f ca="1">IF(AL645,IF(AQ645&lt;$F$10,0,IF(AQ645&lt;$F$10+$F$11,0.25,IF(AQ645&lt;$F$10+$F$11+AO645,AP645,1)))*IF(AN645&gt;0,AN645,IF(AN644&gt;0,AN644,IF(AN643&gt;0,AN643,IF(AN642&gt;0,AN642,IF(AN641&gt;0,AN641,IF(AN640&gt;0,AN640,IF(AN639&gt;0,AN639,IF(AN638&gt;0,AN638,IF(AN637&gt;0,AN637,IF(AN635&gt;0,AN635,IF(AN634&gt;0,AN634,IF(AN633&gt;0,AN633,0)))))))))))),0)*(1-$S645)*'模拟-单技能数据'!$I$21</f>
        <v>12173.656275761043</v>
      </c>
      <c r="AS645" s="61">
        <f ca="1">IF(OR(C645="净世破魔击·日",C645="净世破魔击·月"),M645-'模拟-单技能数据'!$K$10,0)</f>
        <v>0</v>
      </c>
      <c r="AT645" s="61">
        <f ca="1">IF(OR(C645="净世破魔击·日",C645="净世破魔击·月"),I645-'模拟-单技能数据'!$L$10,0)</f>
        <v>0</v>
      </c>
      <c r="AU645" s="62">
        <f t="shared" ca="1" si="574"/>
        <v>0.75798913919481103</v>
      </c>
      <c r="AV645" s="64">
        <f ca="1">IF(AS645&gt;0,('模拟-单技能数据'!$D$22+G645*'模拟-单技能数据'!$F$22)*(1+J645)*(1-S645)*IF(AU645&lt;$F$10,0,IF(AU645&lt;$F$10+$F$11,0.25,IF(AU645&lt;$F$10+$F$11+AS645,AT645,1)))*(1+U645),0)*'模拟-单技能数据'!$I$22</f>
        <v>0</v>
      </c>
      <c r="AW645" s="108">
        <f t="shared" ca="1" si="575"/>
        <v>0</v>
      </c>
      <c r="AX645" s="108" t="b">
        <f ca="1">AND(模拟模式!$P$10="有",AW644=0,RAND()&lt;IF(C645="净世破魔击·月",0.1*8/3,IF(C645="净世破魔击·日",0.1*4/3,0.1*2/3)))</f>
        <v>0</v>
      </c>
      <c r="AY645" s="47">
        <f ca="1">IF(AX645,(18+G645*0.722)*(1+J645)*(1-S645)*(1+$I$4)*IF(P645="会",'模拟-全程加成'!$J$3+'模拟-全程加成'!$J$4+'模拟-全程加成'!$J$5+('模拟-全程加成'!$I$4+'模拟-全程加成'!$I$5)/系数!$B$4+BG645*10%,IF(P645="命",1,IF(P645="识",0.25,0))),0)</f>
        <v>0</v>
      </c>
      <c r="AZ645" s="108">
        <f t="shared" si="576"/>
        <v>18.155000000000001</v>
      </c>
      <c r="BA645" s="108" t="b">
        <f>AND(模拟模式!$Q$10="有",AZ644=0)</f>
        <v>0</v>
      </c>
      <c r="BB645" s="140">
        <f>IF(BA645,(0+G645*0.287)*(1+J645)*(1-S645)*(1+$I$4)*IF(P645="会",'模拟-全程加成'!$J$3+'模拟-全程加成'!$J$4+'模拟-全程加成'!$J$5+('模拟-全程加成'!$I$4+'模拟-全程加成'!$I$5)/系数!$B$4+BG645*10%,IF(P645="命",1,IF(P645="识",0.25,0))),0)</f>
        <v>0</v>
      </c>
      <c r="BC645" s="115" t="b">
        <f ca="1">AND(模拟模式!$R$7="伏明众生",E645=60,F645=20,DA645&lt;5,CZ644&lt;$F$4)</f>
        <v>0</v>
      </c>
      <c r="BD645" s="115">
        <f t="shared" ca="1" si="555"/>
        <v>0</v>
      </c>
      <c r="BE645" s="115" t="b">
        <f t="shared" ca="1" si="556"/>
        <v>0</v>
      </c>
      <c r="BF645" s="47">
        <f ca="1">IF(BC645,4*('模拟-单技能数据'!$D$24+G645*'模拟-单技能数据'!$F$24)*(1+J645)*(1+'模拟-单技能数据'!$J$24)*(1-S645)*(1+$I$3)*(('模拟-全程加成'!$J$3+'模拟-全程加成'!$J$4+'模拟-全程加成'!$J$5+('模拟-全程加成'!$I$4+'模拟-全程加成'!$I$5)/系数!$B$4+BG645*10%)*('模拟-全程加成'!$J$3+'模拟-全程加成'!$J$4+'模拟-全程加成'!$J$5+('模拟-全程加成'!$I$4+'模拟-全程加成'!$I$5)/系数!$B$4+BG645*10%)+(1-('模拟-全程加成'!$J$3+'模拟-全程加成'!$J$4+'模拟-全程加成'!$J$5+('模拟-全程加成'!$I$4+'模拟-全程加成'!$I$5)/系数!$B$4+BG645*10%)-$F$10-$F$11)+F631*0.25),0)*'模拟-单技能数据'!$I$24</f>
        <v>0</v>
      </c>
      <c r="BG645" s="115" t="b">
        <f ca="1">OR(AND(OR(C645="烈日斩",C645="银月斩"),模拟模式!$I$7="净身明礼"),AND(C645="净世破魔击·日",模拟模式!$J$7="洞若观火"),AND(C646="净世破魔击·月",模拟模式!$J$7="洞若观火"),AB645=1)</f>
        <v>1</v>
      </c>
      <c r="BH645" s="115" t="b">
        <f t="shared" ca="1" si="577"/>
        <v>0</v>
      </c>
      <c r="BI645" s="115">
        <f t="shared" ca="1" si="557"/>
        <v>0</v>
      </c>
      <c r="BJ645" s="115" t="b">
        <f t="shared" ca="1" si="558"/>
        <v>0</v>
      </c>
      <c r="BK645" s="115" t="b">
        <f ca="1">AND(C645="驱夜断愁",模拟模式!$P$7="天地诛戮")</f>
        <v>0</v>
      </c>
      <c r="BL645" s="57">
        <f t="shared" ca="1" si="559"/>
        <v>19.077500000000001</v>
      </c>
      <c r="BM645" s="115" t="b">
        <f t="shared" ca="1" si="560"/>
        <v>1</v>
      </c>
      <c r="BN645" s="115" t="b">
        <f ca="1">AND(OR(C645="赤日轮1",C645="赤日轮2",C645="赤日轮3",C645="幽月轮1",C645="幽月轮2",C645="幽月轮3"),AB645=1,模拟模式!$L$7="明光恒照")</f>
        <v>0</v>
      </c>
      <c r="BO645" s="117">
        <f t="shared" ca="1" si="561"/>
        <v>27.232500000000002</v>
      </c>
      <c r="BP645" s="115">
        <f t="shared" ca="1" si="578"/>
        <v>6</v>
      </c>
      <c r="BQ645" s="115" t="b">
        <f>模拟模式!$K$10="2600·水"</f>
        <v>0</v>
      </c>
      <c r="BR645" s="117">
        <f t="shared" si="579"/>
        <v>0</v>
      </c>
      <c r="BS645" s="115">
        <f t="shared" si="580"/>
        <v>0</v>
      </c>
      <c r="BT645" s="115">
        <f t="shared" ca="1" si="581"/>
        <v>0</v>
      </c>
      <c r="BU645" s="115" t="b">
        <f ca="1">AND(模拟模式!$K$10="2300·雷",BT644=0,RAND()&lt;IF(C645="净世破魔击·月",5*0.05*2/3,IF(C645="净世破魔击·日",3*0.05*2/3,0.05*2*2/3)))</f>
        <v>0</v>
      </c>
      <c r="BV645" s="115">
        <f t="shared" ca="1" si="582"/>
        <v>0</v>
      </c>
      <c r="BW645" s="115">
        <f t="shared" ca="1" si="583"/>
        <v>168.00749999999982</v>
      </c>
      <c r="BX645" s="164" t="b">
        <f t="shared" ca="1" si="584"/>
        <v>0</v>
      </c>
      <c r="BY645" s="115">
        <f t="shared" ca="1" si="585"/>
        <v>3.0075000000000029</v>
      </c>
      <c r="BZ645" s="115">
        <f>IF(OR(模拟模式!$P$16="10人团",模拟模式!$P$16="25人团"),IF(B645/30&gt;CA644,1,0),0)</f>
        <v>0</v>
      </c>
      <c r="CA645" s="115">
        <f t="shared" si="562"/>
        <v>0</v>
      </c>
      <c r="CB645" s="115">
        <f ca="1">IF(BZ645=1,IF(模拟模式!$P$16="10人团",15,0)+IF(模拟模式!$P$16="25人团",IF(RAND()&lt;0.6,15,0)),MAX(0,CB644-$F$4))</f>
        <v>0</v>
      </c>
      <c r="CC645" s="115" t="b">
        <f t="shared" ca="1" si="563"/>
        <v>0</v>
      </c>
      <c r="CD645" s="115">
        <f>IF(模拟模式!$Q$16="1个",IF(B645/40&gt;CE644,1,0),0)</f>
        <v>0</v>
      </c>
      <c r="CE645" s="115">
        <f t="shared" si="564"/>
        <v>0</v>
      </c>
      <c r="CF645" s="115">
        <f>IF(OR(CD645=1,模拟模式!$Q$16="2个"),20,MAX(0,CF644-$F$4))</f>
        <v>0</v>
      </c>
      <c r="CG645" s="115" t="b">
        <f t="shared" si="565"/>
        <v>0</v>
      </c>
      <c r="CH645" s="115">
        <f t="shared" ca="1" si="586"/>
        <v>18.007500000000007</v>
      </c>
      <c r="CI645" s="115" t="b">
        <f t="shared" ca="1" si="587"/>
        <v>0</v>
      </c>
      <c r="CJ645" s="119">
        <f t="shared" ca="1" si="588"/>
        <v>0</v>
      </c>
      <c r="CK645" s="115">
        <f t="shared" ca="1" si="589"/>
        <v>0</v>
      </c>
      <c r="CL645" s="115" t="b">
        <f ca="1">AND(模拟模式!$S$7="驱夷逐法",OR(AND(C645="净世破魔击·月",E644&gt;59),AND(C645="净世破魔击·日",F644&gt;59)))</f>
        <v>0</v>
      </c>
      <c r="CM645" s="115" t="b">
        <f ca="1">OR(CL645,AND(C645="净世破魔击·日",CL644,RAND()&lt;模拟模式!$U$23))</f>
        <v>0</v>
      </c>
      <c r="CN645" s="115" t="b">
        <f ca="1">IF(模拟模式!$M$7="辉耀红尘",AND(C645="净世破魔击·月",CL645,CV645=0,E644&lt;80),AND(C645="净世破魔击·月",CL645,E644&lt;100))</f>
        <v>0</v>
      </c>
      <c r="CO645" s="115" t="b">
        <f t="shared" ca="1" si="566"/>
        <v>0</v>
      </c>
      <c r="CP645" s="115" t="b">
        <f ca="1">AND(模拟模式!$O$7="用晦而明",OR(C645="净世破魔击·日",C645="净世破魔击·月",C645="驱夜断愁"),AB645)</f>
        <v>0</v>
      </c>
      <c r="CQ645" s="115" t="b">
        <f ca="1">OR(CP645,AND(CP644,RAND()&lt;模拟模式!$U$23))</f>
        <v>1</v>
      </c>
      <c r="CR645" s="115" t="b">
        <f ca="1">AND(模拟模式!$S$7="日月齐光",OR(C645="幽月轮1",C645="幽月轮2",C645="幽月轮3",CR644),NOT(OR(C645="赤日轮1",C645="赤日轮2",C645="赤日轮3")))</f>
        <v>0</v>
      </c>
      <c r="CS645" s="115" t="b">
        <f ca="1">AND(模拟模式!$S$7="日月齐光",OR(C645="赤日轮1",C645="赤日轮2",C645="赤日轮3",CS644),NOT(OR(C645="幽月轮1",C645="幽月轮2",C645="幽月轮3")))</f>
        <v>0</v>
      </c>
      <c r="CT645" s="115">
        <f t="shared" ca="1" si="590"/>
        <v>8.7825000000000131</v>
      </c>
      <c r="CU645" s="115" t="b">
        <f ca="1">AND(模拟模式!$K$10="阴阳往极",CT644=0,RAND()&lt;IF(C645="净世破魔击·月",0.0275*7/3,IF(C645="净世破魔击·日",0.0275*3/3,0.0275*2/3)))</f>
        <v>0</v>
      </c>
      <c r="CV645" s="115">
        <f t="shared" ca="1" si="591"/>
        <v>0</v>
      </c>
      <c r="CW645" s="115">
        <f t="shared" ca="1" si="592"/>
        <v>6</v>
      </c>
      <c r="CX645" s="115">
        <f t="shared" ca="1" si="593"/>
        <v>4.1549999999999994</v>
      </c>
      <c r="CY645" s="115">
        <f ca="1">MAX(IF($C645="驱夜断愁",IF(模拟模式!$R$7="万念俱寂",6,45),CY644-$F$4),0)</f>
        <v>5.0774999999999997</v>
      </c>
      <c r="CZ645" s="115">
        <f t="shared" ca="1" si="567"/>
        <v>0</v>
      </c>
      <c r="DA645" s="115">
        <f ca="1">IF(模拟模式!$N$7="日月同辉",IF(DB644=2,0,MIN(6,IF(AND(OR(C645="赤日轮1",C645="赤日轮2",C645="赤日轮3",C645="幽月轮1",C645="幽月轮2",C645="幽月轮3"),AB645=1),DA644+1,DA644))),0)</f>
        <v>4</v>
      </c>
      <c r="DB645" s="115">
        <f t="shared" ca="1" si="568"/>
        <v>0</v>
      </c>
      <c r="DC645" s="115"/>
      <c r="DD645" s="115"/>
      <c r="DE645" s="115"/>
      <c r="DF645" s="115"/>
      <c r="DG645" s="115"/>
      <c r="DH645" s="115"/>
      <c r="DI645" s="115"/>
      <c r="DJ645" s="115"/>
      <c r="DK645" s="115"/>
      <c r="DL645" s="115"/>
      <c r="DM645" s="115"/>
    </row>
    <row r="646" spans="2:117" x14ac:dyDescent="0.2">
      <c r="B646" s="117">
        <f t="shared" si="569"/>
        <v>571.0275000000064</v>
      </c>
      <c r="C646" s="167" t="str">
        <f t="shared" ca="1" si="538"/>
        <v>幽月轮1</v>
      </c>
      <c r="D646" s="115">
        <f ca="1">IF(C646="赤日轮1",1,IF(C646="赤日轮2",2,IF(C646="赤日轮3",3,IF(C646="幽月轮1",4,IF(C646="幽月轮2",5,IF(C646="幽月轮3",6,IF(C646="烈日斩",7,IF(C646="银月斩",8,IF(C646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646="净世破魔击·月",17,IF(C646="驱夜断愁",18,0)))))))))))</f>
        <v>4</v>
      </c>
      <c r="E646" s="115">
        <f ca="1">IF(AND(CU646,OR(C646="幽月轮1",C646="幽月轮2",C646="幽月轮3",C646="银月斩",C646="驱夜断愁",C646="净世破魔击·月")),100,MIN(IF(OR(CN646,BE646),0,IF(OR($C646="赤日轮1",$C646="赤日轮2",$C646="赤日轮3"),E645+20+IF(模拟模式!$I$7="日月凌天",4,0)+IF(CR645,20,0),IF($C646="烈日斩",E645+40,IF($C646="驱夜断愁",IF(模拟模式!$R$7="万念俱寂",E645+20,E645+60),IF($C646="净世破魔击·月",IF(OR(DB645&gt;0,CV645&gt;0),100,IF(模拟模式!$M$7="辉耀红尘",E645+20,E645)),IF($C646="净世破魔击·日",E645-100,E645)))))),100))</f>
        <v>80</v>
      </c>
      <c r="F646" s="115">
        <f ca="1">IF(AND(CU646,OR(C646="赤日轮1",C646="赤日轮2",C646="赤日轮3",C646="烈日斩",C646="净世破魔击·日")),100,MIN(IF(CO646,0,IF(OR($C646="幽月轮1",$C646="幽月轮2",$C646="幽月轮3"),F645+20+IF(模拟模式!$I$7="日月凌天",4,0)+IF(CS645,20,0),IF($C646="银月斩",F645+40+IF(模拟模式!$X$12=1,5,0),IF($C646="驱夜断愁",IF(模拟模式!$R$7="万念俱寂",F645+20,F645+60),IF($C646="净世破魔击·月",IF(模拟模式!$M$7="辉耀红尘",F645-80,F645-100),IF(AND(C646="净世破魔击·日",OR(DB645&gt;0,CV645&gt;0)),100,F645)))))),100))</f>
        <v>100</v>
      </c>
      <c r="G646" s="117">
        <f ca="1">('模拟-全程加成'!$E$3+'模拟-全程加成'!$E$4+'模拟-全程加成'!$E$5+('模拟-全程加成'!$C$6-'模拟-全程加成'!$C$3)*系数!$B$9+BS646*23)*(1+'模拟-全程加成'!$F$4+'模拟-全程加成'!$F$5+BJ646*10%+BM646*20%+BP646*4%+CG646*30%)+$F$7*系数!$B$12</f>
        <v>20583.127400000001</v>
      </c>
      <c r="H646" s="45">
        <f ca="1">'模拟-全程加成'!$H$3+'模拟-全程加成'!$H$4+'模拟-全程加成'!$H$5+('模拟-全程加成'!$G$4+'模拟-全程加成'!$G$5+('模拟-全程加成'!$C$6-'模拟-全程加成'!$C$3)*系数!$B$13)/系数!$B$3+LOOKUP(D646,'模拟-单技能数据'!$A$2:$A$19,'模拟-单技能数据'!$K$2:$K$19)+BG646*10%+IF(BV646&gt;0,378,0)</f>
        <v>0.51185145527300213</v>
      </c>
      <c r="I646" s="45">
        <f ca="1">'模拟-全程加成'!$J$3+'模拟-全程加成'!$J$4+'模拟-全程加成'!$J$5+('模拟-全程加成'!$I$4+'模拟-全程加成'!$I$5)/系数!$B$4+LOOKUP(D646,'模拟-单技能数据'!$A$2:$A$19,'模拟-单技能数据'!$L$2:$L$19)+BG646*10%</f>
        <v>2.162482885499879</v>
      </c>
      <c r="J646" s="45">
        <f ca="1">(('模拟-全程加成'!$K$3+'模拟-全程加成'!$K$4+'模拟-全程加成'!$K$5+('模拟-全程加成'!$C$6-'模拟-全程加成'!$C$3)*系数!$B$10+IF(BV646&gt;0,882,0)+IF(BY646&gt;0,1831,0))*(1+'模拟-全程加成'!$L$4+'模拟-全程加成'!$L$5+CC646*20%))/系数!$B$5</f>
        <v>0.85832564669386491</v>
      </c>
      <c r="K646" s="119">
        <f ca="1">LOOKUP(D646,'模拟-单技能数据'!$A$2:$A$19,'模拟-单技能数据'!$J$2:$J$19)+IF(CM646,60%,0)+IF(DB645-DB646&gt;0,30%,0)+IF(OR(AND(OR(C646="赤日轮1",C646="赤日轮2",C646="赤日轮3"),CR646),AND(OR(C646="幽月轮1",C646="幽月轮2",C646="幽月轮3"),CS646)),35%,0)+CJ646</f>
        <v>7.0000000000000007E-2</v>
      </c>
      <c r="L646" s="119">
        <f ca="1">IF(AND(C646="烈日斩",模拟模式!$X$11=1),10%,0)+IF(AND(C646="驱夜断愁",AB646=1),30%,0)</f>
        <v>0</v>
      </c>
      <c r="M646" s="45">
        <f t="shared" ca="1" si="539"/>
        <v>0.51185145527300213</v>
      </c>
      <c r="N646" s="45">
        <f t="shared" ca="1" si="540"/>
        <v>0.43424854472699792</v>
      </c>
      <c r="O646" s="46">
        <f t="shared" ca="1" si="570"/>
        <v>0.43970463450705999</v>
      </c>
      <c r="P646" s="46" t="str">
        <f t="shared" ca="1" si="541"/>
        <v>会</v>
      </c>
      <c r="Q646" s="45">
        <f t="shared" ca="1" si="542"/>
        <v>2.162482885499879</v>
      </c>
      <c r="R646" s="117">
        <f ca="1">模拟模式!$E$20*(1-IF(模拟模式!$J$19="有",0.15,0))*(1-IF(模拟模式!$K$19="有",0.3,0)-IF(CQ646,0.5,0))</f>
        <v>2950.6049999999996</v>
      </c>
      <c r="S646" s="45">
        <f ca="1">R646/(R646+(185*模拟模式!$E$22-16800)*4.08224)</f>
        <v>0.24272716014590323</v>
      </c>
      <c r="T646" s="45" t="str">
        <f ca="1">LOOKUP(D646,'模拟-单技能数据'!$A$2:$A$19,'模拟-单技能数据'!$H$2:$H$19)</f>
        <v>阴</v>
      </c>
      <c r="U646" s="119">
        <f t="shared" ca="1" si="543"/>
        <v>0.08</v>
      </c>
      <c r="V646" s="47">
        <f ca="1">(1+L646)*(LOOKUP(D646,'模拟-单技能数据'!$A$2:$A$19,'模拟-单技能数据'!$D$2:$D$19)+G646*LOOKUP(D646,'模拟-单技能数据'!$A$2:$A$19,'模拟-单技能数据'!$F$2:$F$19))*(1+J646)*(1+K646)*(1-S646)*(1+U646)*Q646*LOOKUP(D646,'模拟-单技能数据'!$A$2:$A$19,'模拟-单技能数据'!$I$2:$I$20)</f>
        <v>38419.397545854597</v>
      </c>
      <c r="W646" s="47">
        <f ca="1">LOOKUP(D646,'模拟-单技能数据'!$A$2:$A$19,'模拟-单技能数据'!$G$2:$G$19)*$I$10</f>
        <v>361.51064354704795</v>
      </c>
      <c r="X646" s="47">
        <f t="shared" ca="1" si="571"/>
        <v>8343.8985134237209</v>
      </c>
      <c r="Y646" s="47">
        <f t="shared" ca="1" si="544"/>
        <v>47124.806702825364</v>
      </c>
      <c r="Z646" s="49">
        <f t="shared" ca="1" si="545"/>
        <v>64763015.34837053</v>
      </c>
      <c r="AA646" s="97">
        <f t="shared" ca="1" si="546"/>
        <v>113414.87992849697</v>
      </c>
      <c r="AB646" s="115">
        <f ca="1">IF(OR(C646="赤日轮1",C646="赤日轮2",C646="赤日轮3"),IF(RAND()&lt;模拟模式!$Y$17,1,0),IF(OR(C646="幽月轮1",C646="幽月轮2",C646="幽月轮3"),IF(RAND()&lt;模拟模式!$Y$18,1,0),IF(C646="烈日斩",IF(RAND()&lt;模拟模式!$Y$19,1,0),IF(C646="银月斩",IF(RAND()&lt;模拟模式!$Y$20,1,0),IF(C646="驱夜断愁",IF(RAND()&lt;模拟模式!$Y$21,1,0),IF(C646="净世破魔击·日",IF(RAND()&lt;模拟模式!$Y$22,1,0),IF(C646="净世破魔击·月",IF(RAND()&lt;模拟模式!$Y$23,1,0),0)))))))</f>
        <v>1</v>
      </c>
      <c r="AC646" s="115" t="b">
        <f t="shared" ca="1" si="547"/>
        <v>0</v>
      </c>
      <c r="AD646" s="115" t="b">
        <f t="shared" ca="1" si="548"/>
        <v>1</v>
      </c>
      <c r="AE646" s="115">
        <f t="shared" ca="1" si="549"/>
        <v>4</v>
      </c>
      <c r="AF646" s="47">
        <f ca="1">IF(AC646,('模拟-单技能数据'!$D$20+G646*'模拟-单技能数据'!$F$20)*(1+J646)*(1+'模拟-单技能数据'!$J$20)*(1+U646),0)</f>
        <v>0</v>
      </c>
      <c r="AG646" s="61">
        <f t="shared" ca="1" si="550"/>
        <v>0.64185145527300214</v>
      </c>
      <c r="AH646" s="61">
        <f t="shared" ca="1" si="551"/>
        <v>2.2624828854998791</v>
      </c>
      <c r="AI646" s="62">
        <f t="shared" ca="1" si="572"/>
        <v>0.12052180808449808</v>
      </c>
      <c r="AJ646" s="47">
        <f ca="1">IF(AD646,IF(AI646&lt;$F$10,0,IF(AI646&lt;$F$10+$F$11,0.25,IF(AI646&lt;$F$10+$F$11+AG646,AH646,1)))*IF(AF646&gt;0,AF646,IF(AF645&gt;0,AF645,IF(AF644&gt;0,AF644,IF(AF643&gt;0,AF643,IF(AF642&gt;0,AF642,IF(AF641&gt;0,AF641,IF(AF640&gt;0,AF640,IF(AF639&gt;0,AF639,IF(AF638&gt;0,AF638,IF(AF636&gt;0,AF636,IF(AF635&gt;0,AF635,IF(AF634&gt;0,AF634,0)))))))))))),0)*(1-$S646)*'模拟-单技能数据'!$I$20</f>
        <v>8343.8985134237209</v>
      </c>
      <c r="AK646" s="115" t="b">
        <f t="shared" ca="1" si="552"/>
        <v>0</v>
      </c>
      <c r="AL646" s="115" t="b">
        <f t="shared" ca="1" si="553"/>
        <v>0</v>
      </c>
      <c r="AM646" s="115">
        <f t="shared" ca="1" si="554"/>
        <v>3</v>
      </c>
      <c r="AN646" s="47">
        <f ca="1">IF(AK646,('模拟-单技能数据'!$D$21+G646*'模拟-单技能数据'!$F$21)*(1+J646)*(1+'模拟-单技能数据'!$J$21)*(1+U646),0)</f>
        <v>0</v>
      </c>
      <c r="AO646" s="61">
        <f ca="1">IF(AN646&gt;0,M646-'模拟-单技能数据'!$K$10,AO645)</f>
        <v>0.42185145527300216</v>
      </c>
      <c r="AP646" s="61">
        <f ca="1">IF(AN646&gt;0,I646-'模拟-单技能数据'!$L$10,AP645)</f>
        <v>2.162482885499879</v>
      </c>
      <c r="AQ646" s="63">
        <f t="shared" ca="1" si="573"/>
        <v>0.1024390514395056</v>
      </c>
      <c r="AR646" s="64">
        <f ca="1">IF(AL646,IF(AQ646&lt;$F$10,0,IF(AQ646&lt;$F$10+$F$11,0.25,IF(AQ646&lt;$F$10+$F$11+AO646,AP646,1)))*IF(AN646&gt;0,AN646,IF(AN645&gt;0,AN645,IF(AN644&gt;0,AN644,IF(AN643&gt;0,AN643,IF(AN642&gt;0,AN642,IF(AN641&gt;0,AN641,IF(AN640&gt;0,AN640,IF(AN639&gt;0,AN639,IF(AN638&gt;0,AN638,IF(AN636&gt;0,AN636,IF(AN635&gt;0,AN635,IF(AN634&gt;0,AN634,0)))))))))))),0)*(1-$S646)*'模拟-单技能数据'!$I$21</f>
        <v>0</v>
      </c>
      <c r="AS646" s="61">
        <f ca="1">IF(OR(C646="净世破魔击·日",C646="净世破魔击·月"),M646-'模拟-单技能数据'!$K$10,0)</f>
        <v>0</v>
      </c>
      <c r="AT646" s="61">
        <f ca="1">IF(OR(C646="净世破魔击·日",C646="净世破魔击·月"),I646-'模拟-单技能数据'!$L$10,0)</f>
        <v>0</v>
      </c>
      <c r="AU646" s="62">
        <f t="shared" ca="1" si="574"/>
        <v>0.69249253915608588</v>
      </c>
      <c r="AV646" s="64">
        <f ca="1">IF(AS646&gt;0,('模拟-单技能数据'!$D$22+G646*'模拟-单技能数据'!$F$22)*(1+J646)*(1-S646)*IF(AU646&lt;$F$10,0,IF(AU646&lt;$F$10+$F$11,0.25,IF(AU646&lt;$F$10+$F$11+AS646,AT646,1)))*(1+U646),0)*'模拟-单技能数据'!$I$22</f>
        <v>0</v>
      </c>
      <c r="AW646" s="108">
        <f t="shared" ca="1" si="575"/>
        <v>0</v>
      </c>
      <c r="AX646" s="108" t="b">
        <f ca="1">AND(模拟模式!$P$10="有",AW645=0,RAND()&lt;IF(C646="净世破魔击·月",0.1*8/3,IF(C646="净世破魔击·日",0.1*4/3,0.1*2/3)))</f>
        <v>0</v>
      </c>
      <c r="AY646" s="47">
        <f ca="1">IF(AX646,(18+G646*0.722)*(1+J646)*(1-S646)*(1+$I$4)*IF(P646="会",'模拟-全程加成'!$J$3+'模拟-全程加成'!$J$4+'模拟-全程加成'!$J$5+('模拟-全程加成'!$I$4+'模拟-全程加成'!$I$5)/系数!$B$4+BG646*10%,IF(P646="命",1,IF(P646="识",0.25,0))),0)</f>
        <v>0</v>
      </c>
      <c r="AZ646" s="108">
        <f t="shared" si="576"/>
        <v>17.232500000000002</v>
      </c>
      <c r="BA646" s="108" t="b">
        <f>AND(模拟模式!$Q$10="有",AZ645=0)</f>
        <v>0</v>
      </c>
      <c r="BB646" s="140">
        <f>IF(BA646,(0+G646*0.287)*(1+J646)*(1-S646)*(1+$I$4)*IF(P646="会",'模拟-全程加成'!$J$3+'模拟-全程加成'!$J$4+'模拟-全程加成'!$J$5+('模拟-全程加成'!$I$4+'模拟-全程加成'!$I$5)/系数!$B$4+BG646*10%,IF(P646="命",1,IF(P646="识",0.25,0))),0)</f>
        <v>0</v>
      </c>
      <c r="BC646" s="115" t="b">
        <f ca="1">AND(模拟模式!$R$7="伏明众生",E646=60,F646=20,DA646&lt;5,CZ645&lt;$F$4)</f>
        <v>0</v>
      </c>
      <c r="BD646" s="115">
        <f t="shared" ca="1" si="555"/>
        <v>0</v>
      </c>
      <c r="BE646" s="115" t="b">
        <f t="shared" ca="1" si="556"/>
        <v>0</v>
      </c>
      <c r="BF646" s="47">
        <f ca="1">IF(BC646,4*('模拟-单技能数据'!$D$24+G646*'模拟-单技能数据'!$F$24)*(1+J646)*(1+'模拟-单技能数据'!$J$24)*(1-S646)*(1+$I$3)*(('模拟-全程加成'!$J$3+'模拟-全程加成'!$J$4+'模拟-全程加成'!$J$5+('模拟-全程加成'!$I$4+'模拟-全程加成'!$I$5)/系数!$B$4+BG646*10%)*('模拟-全程加成'!$J$3+'模拟-全程加成'!$J$4+'模拟-全程加成'!$J$5+('模拟-全程加成'!$I$4+'模拟-全程加成'!$I$5)/系数!$B$4+BG646*10%)+(1-('模拟-全程加成'!$J$3+'模拟-全程加成'!$J$4+'模拟-全程加成'!$J$5+('模拟-全程加成'!$I$4+'模拟-全程加成'!$I$5)/系数!$B$4+BG646*10%)-$F$10-$F$11)+F632*0.25),0)*'模拟-单技能数据'!$I$24</f>
        <v>0</v>
      </c>
      <c r="BG646" s="115" t="b">
        <f ca="1">OR(AND(OR(C646="烈日斩",C646="银月斩"),模拟模式!$I$7="净身明礼"),AND(C646="净世破魔击·日",模拟模式!$J$7="洞若观火"),AND(C647="净世破魔击·月",模拟模式!$J$7="洞若观火"),AB646=1)</f>
        <v>1</v>
      </c>
      <c r="BH646" s="115" t="b">
        <f t="shared" ca="1" si="577"/>
        <v>0</v>
      </c>
      <c r="BI646" s="115">
        <f t="shared" ca="1" si="557"/>
        <v>0</v>
      </c>
      <c r="BJ646" s="115" t="b">
        <f t="shared" ca="1" si="558"/>
        <v>0</v>
      </c>
      <c r="BK646" s="115" t="b">
        <f ca="1">AND(C646="驱夜断愁",模拟模式!$P$7="天地诛戮")</f>
        <v>0</v>
      </c>
      <c r="BL646" s="57">
        <f t="shared" ca="1" si="559"/>
        <v>18.155000000000001</v>
      </c>
      <c r="BM646" s="115" t="b">
        <f t="shared" ca="1" si="560"/>
        <v>1</v>
      </c>
      <c r="BN646" s="115" t="b">
        <f ca="1">AND(OR(C646="赤日轮1",C646="赤日轮2",C646="赤日轮3",C646="幽月轮1",C646="幽月轮2",C646="幽月轮3"),AB646=1,模拟模式!$L$7="明光恒照")</f>
        <v>1</v>
      </c>
      <c r="BO646" s="117">
        <f t="shared" ca="1" si="561"/>
        <v>30</v>
      </c>
      <c r="BP646" s="115">
        <f t="shared" ca="1" si="578"/>
        <v>6</v>
      </c>
      <c r="BQ646" s="115" t="b">
        <f>模拟模式!$K$10="2600·水"</f>
        <v>0</v>
      </c>
      <c r="BR646" s="117">
        <f t="shared" si="579"/>
        <v>0</v>
      </c>
      <c r="BS646" s="115">
        <f t="shared" si="580"/>
        <v>0</v>
      </c>
      <c r="BT646" s="115">
        <f t="shared" ca="1" si="581"/>
        <v>0</v>
      </c>
      <c r="BU646" s="115" t="b">
        <f ca="1">AND(模拟模式!$K$10="2300·雷",BT645=0,RAND()&lt;IF(C646="净世破魔击·月",5*0.05*2/3,IF(C646="净世破魔击·日",3*0.05*2/3,0.05*2*2/3)))</f>
        <v>0</v>
      </c>
      <c r="BV646" s="115">
        <f t="shared" ca="1" si="582"/>
        <v>0</v>
      </c>
      <c r="BW646" s="115">
        <f t="shared" ca="1" si="583"/>
        <v>167.08499999999981</v>
      </c>
      <c r="BX646" s="164" t="b">
        <f t="shared" ca="1" si="584"/>
        <v>0</v>
      </c>
      <c r="BY646" s="115">
        <f t="shared" ca="1" si="585"/>
        <v>2.0850000000000031</v>
      </c>
      <c r="BZ646" s="115">
        <f>IF(OR(模拟模式!$P$16="10人团",模拟模式!$P$16="25人团"),IF(B646/30&gt;CA645,1,0),0)</f>
        <v>0</v>
      </c>
      <c r="CA646" s="115">
        <f t="shared" si="562"/>
        <v>0</v>
      </c>
      <c r="CB646" s="115">
        <f ca="1">IF(BZ646=1,IF(模拟模式!$P$16="10人团",15,0)+IF(模拟模式!$P$16="25人团",IF(RAND()&lt;0.6,15,0)),MAX(0,CB645-$F$4))</f>
        <v>0</v>
      </c>
      <c r="CC646" s="115" t="b">
        <f t="shared" ca="1" si="563"/>
        <v>0</v>
      </c>
      <c r="CD646" s="115">
        <f>IF(模拟模式!$Q$16="1个",IF(B646/40&gt;CE645,1,0),0)</f>
        <v>0</v>
      </c>
      <c r="CE646" s="115">
        <f t="shared" si="564"/>
        <v>0</v>
      </c>
      <c r="CF646" s="115">
        <f>IF(OR(CD646=1,模拟模式!$Q$16="2个"),20,MAX(0,CF645-$F$4))</f>
        <v>0</v>
      </c>
      <c r="CG646" s="115" t="b">
        <f t="shared" si="565"/>
        <v>0</v>
      </c>
      <c r="CH646" s="115">
        <f t="shared" ca="1" si="586"/>
        <v>17.085000000000008</v>
      </c>
      <c r="CI646" s="115" t="b">
        <f t="shared" ca="1" si="587"/>
        <v>0</v>
      </c>
      <c r="CJ646" s="119">
        <f t="shared" ca="1" si="588"/>
        <v>0</v>
      </c>
      <c r="CK646" s="115">
        <f t="shared" ca="1" si="589"/>
        <v>0</v>
      </c>
      <c r="CL646" s="115" t="b">
        <f ca="1">AND(模拟模式!$S$7="驱夷逐法",OR(AND(C646="净世破魔击·月",E645&gt;59),AND(C646="净世破魔击·日",F645&gt;59)))</f>
        <v>0</v>
      </c>
      <c r="CM646" s="115" t="b">
        <f ca="1">OR(CL646,AND(C646="净世破魔击·日",CL645,RAND()&lt;模拟模式!$U$23))</f>
        <v>0</v>
      </c>
      <c r="CN646" s="115" t="b">
        <f ca="1">IF(模拟模式!$M$7="辉耀红尘",AND(C646="净世破魔击·月",CL646,CV646=0,E645&lt;80),AND(C646="净世破魔击·月",CL646,E645&lt;100))</f>
        <v>0</v>
      </c>
      <c r="CO646" s="115" t="b">
        <f t="shared" ca="1" si="566"/>
        <v>0</v>
      </c>
      <c r="CP646" s="115" t="b">
        <f ca="1">AND(模拟模式!$O$7="用晦而明",OR(C646="净世破魔击·日",C646="净世破魔击·月",C646="驱夜断愁"),AB646)</f>
        <v>0</v>
      </c>
      <c r="CQ646" s="115" t="b">
        <f ca="1">OR(CP646,AND(CP645,RAND()&lt;模拟模式!$U$23))</f>
        <v>0</v>
      </c>
      <c r="CR646" s="115" t="b">
        <f ca="1">AND(模拟模式!$S$7="日月齐光",OR(C646="幽月轮1",C646="幽月轮2",C646="幽月轮3",CR645),NOT(OR(C646="赤日轮1",C646="赤日轮2",C646="赤日轮3")))</f>
        <v>0</v>
      </c>
      <c r="CS646" s="115" t="b">
        <f ca="1">AND(模拟模式!$S$7="日月齐光",OR(C646="赤日轮1",C646="赤日轮2",C646="赤日轮3",CS645),NOT(OR(C646="幽月轮1",C646="幽月轮2",C646="幽月轮3")))</f>
        <v>0</v>
      </c>
      <c r="CT646" s="115">
        <f t="shared" ca="1" si="590"/>
        <v>7.8600000000000128</v>
      </c>
      <c r="CU646" s="115" t="b">
        <f ca="1">AND(模拟模式!$K$10="阴阳往极",CT645=0,RAND()&lt;IF(C646="净世破魔击·月",0.0275*7/3,IF(C646="净世破魔击·日",0.0275*3/3,0.0275*2/3)))</f>
        <v>0</v>
      </c>
      <c r="CV646" s="115">
        <f t="shared" ca="1" si="591"/>
        <v>0</v>
      </c>
      <c r="CW646" s="115">
        <f t="shared" ca="1" si="592"/>
        <v>5.0774999999999997</v>
      </c>
      <c r="CX646" s="115">
        <f t="shared" ca="1" si="593"/>
        <v>3.2324999999999995</v>
      </c>
      <c r="CY646" s="115">
        <f ca="1">MAX(IF($C646="驱夜断愁",IF(模拟模式!$R$7="万念俱寂",6,45),CY645-$F$4),0)</f>
        <v>4.1549999999999994</v>
      </c>
      <c r="CZ646" s="115">
        <f t="shared" ca="1" si="567"/>
        <v>0</v>
      </c>
      <c r="DA646" s="115">
        <f ca="1">IF(模拟模式!$N$7="日月同辉",IF(DB645=2,0,MIN(6,IF(AND(OR(C646="赤日轮1",C646="赤日轮2",C646="赤日轮3",C646="幽月轮1",C646="幽月轮2",C646="幽月轮3"),AB646=1),DA645+1,DA645))),0)</f>
        <v>5</v>
      </c>
      <c r="DB646" s="115">
        <f t="shared" ca="1" si="568"/>
        <v>0</v>
      </c>
      <c r="DC646" s="115"/>
      <c r="DD646" s="115"/>
      <c r="DE646" s="115"/>
      <c r="DF646" s="115"/>
      <c r="DG646" s="115"/>
      <c r="DH646" s="115"/>
      <c r="DI646" s="115"/>
      <c r="DJ646" s="115"/>
      <c r="DK646" s="115"/>
      <c r="DL646" s="115"/>
      <c r="DM646" s="115"/>
    </row>
    <row r="647" spans="2:117" x14ac:dyDescent="0.2">
      <c r="B647" s="117">
        <f t="shared" si="569"/>
        <v>571.95000000000641</v>
      </c>
      <c r="C647" s="167" t="str">
        <f t="shared" ca="1" si="538"/>
        <v>净世破魔击·月</v>
      </c>
      <c r="D647" s="115">
        <f ca="1">IF(C647="赤日轮1",1,IF(C647="赤日轮2",2,IF(C647="赤日轮3",3,IF(C647="幽月轮1",4,IF(C647="幽月轮2",5,IF(C647="幽月轮3",6,IF(C647="烈日斩",7,IF(C647="银月斩",8,IF(C647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647="净世破魔击·月",17,IF(C647="驱夜断愁",18,0)))))))))))</f>
        <v>17</v>
      </c>
      <c r="E647" s="115">
        <f ca="1">IF(AND(CU647,OR(C647="幽月轮1",C647="幽月轮2",C647="幽月轮3",C647="银月斩",C647="驱夜断愁",C647="净世破魔击·月")),100,MIN(IF(OR(CN647,BE647),0,IF(OR($C647="赤日轮1",$C647="赤日轮2",$C647="赤日轮3"),E646+20+IF(模拟模式!$I$7="日月凌天",4,0)+IF(CR646,20,0),IF($C647="烈日斩",E646+40,IF($C647="驱夜断愁",IF(模拟模式!$R$7="万念俱寂",E646+20,E646+60),IF($C647="净世破魔击·月",IF(OR(DB646&gt;0,CV646&gt;0),100,IF(模拟模式!$M$7="辉耀红尘",E646+20,E646)),IF($C647="净世破魔击·日",E646-100,E646)))))),100))</f>
        <v>100</v>
      </c>
      <c r="F647" s="115">
        <f ca="1">IF(AND(CU647,OR(C647="赤日轮1",C647="赤日轮2",C647="赤日轮3",C647="烈日斩",C647="净世破魔击·日")),100,MIN(IF(CO647,0,IF(OR($C647="幽月轮1",$C647="幽月轮2",$C647="幽月轮3"),F646+20+IF(模拟模式!$I$7="日月凌天",4,0)+IF(CS646,20,0),IF($C647="银月斩",F646+40+IF(模拟模式!$X$12=1,5,0),IF($C647="驱夜断愁",IF(模拟模式!$R$7="万念俱寂",F646+20,F646+60),IF($C647="净世破魔击·月",IF(模拟模式!$M$7="辉耀红尘",F646-80,F646-100),IF(AND(C647="净世破魔击·日",OR(DB646&gt;0,CV646&gt;0)),100,F646)))))),100))</f>
        <v>20</v>
      </c>
      <c r="G647" s="117">
        <f ca="1">('模拟-全程加成'!$E$3+'模拟-全程加成'!$E$4+'模拟-全程加成'!$E$5+('模拟-全程加成'!$C$6-'模拟-全程加成'!$C$3)*系数!$B$9+BS647*23)*(1+'模拟-全程加成'!$F$4+'模拟-全程加成'!$F$5+BJ647*10%+BM647*20%+BP647*4%+CG647*30%)+$F$7*系数!$B$12</f>
        <v>20583.127400000001</v>
      </c>
      <c r="H647" s="45">
        <f ca="1">'模拟-全程加成'!$H$3+'模拟-全程加成'!$H$4+'模拟-全程加成'!$H$5+('模拟-全程加成'!$G$4+'模拟-全程加成'!$G$5+('模拟-全程加成'!$C$6-'模拟-全程加成'!$C$3)*系数!$B$13)/系数!$B$3+LOOKUP(D647,'模拟-单技能数据'!$A$2:$A$19,'模拟-单技能数据'!$K$2:$K$19)+BG647*10%+IF(BV647&gt;0,378,0)</f>
        <v>0.54185145527300216</v>
      </c>
      <c r="I647" s="45">
        <f ca="1">'模拟-全程加成'!$J$3+'模拟-全程加成'!$J$4+'模拟-全程加成'!$J$5+('模拟-全程加成'!$I$4+'模拟-全程加成'!$I$5)/系数!$B$4+LOOKUP(D647,'模拟-单技能数据'!$A$2:$A$19,'模拟-单技能数据'!$L$2:$L$19)+BG647*10%</f>
        <v>2.162482885499879</v>
      </c>
      <c r="J647" s="45">
        <f ca="1">(('模拟-全程加成'!$K$3+'模拟-全程加成'!$K$4+'模拟-全程加成'!$K$5+('模拟-全程加成'!$C$6-'模拟-全程加成'!$C$3)*系数!$B$10+IF(BV647&gt;0,882,0)+IF(BY647&gt;0,1831,0))*(1+'模拟-全程加成'!$L$4+'模拟-全程加成'!$L$5+CC647*20%))/系数!$B$5</f>
        <v>0.85832564669386491</v>
      </c>
      <c r="K647" s="119">
        <f ca="1">LOOKUP(D647,'模拟-单技能数据'!$A$2:$A$19,'模拟-单技能数据'!$J$2:$J$19)+IF(CM647,60%,0)+IF(DB646-DB647&gt;0,30%,0)+IF(OR(AND(OR(C647="赤日轮1",C647="赤日轮2",C647="赤日轮3"),CR647),AND(OR(C647="幽月轮1",C647="幽月轮2",C647="幽月轮3"),CS647)),35%,0)+CJ647</f>
        <v>0.8</v>
      </c>
      <c r="L647" s="119">
        <f ca="1">IF(AND(C647="烈日斩",模拟模式!$X$11=1),10%,0)+IF(AND(C647="驱夜断愁",AB647=1),30%,0)</f>
        <v>0</v>
      </c>
      <c r="M647" s="45">
        <f t="shared" ca="1" si="539"/>
        <v>0.54185145527300216</v>
      </c>
      <c r="N647" s="45">
        <f t="shared" ca="1" si="540"/>
        <v>0.40424854472699789</v>
      </c>
      <c r="O647" s="46">
        <f t="shared" ca="1" si="570"/>
        <v>0.96505882169987878</v>
      </c>
      <c r="P647" s="46" t="str">
        <f t="shared" ca="1" si="541"/>
        <v>命</v>
      </c>
      <c r="Q647" s="45">
        <f t="shared" ca="1" si="542"/>
        <v>1</v>
      </c>
      <c r="R647" s="117">
        <f ca="1">模拟模式!$E$20*(1-IF(模拟模式!$J$19="有",0.15,0))*(1-IF(模拟模式!$K$19="有",0.3,0)-IF(CQ647,0.5,0))</f>
        <v>843.02999999999975</v>
      </c>
      <c r="S647" s="45">
        <f ca="1">R647/(R647+(185*模拟模式!$E$22-16800)*4.08224)</f>
        <v>8.389626085980037E-2</v>
      </c>
      <c r="T647" s="45" t="str">
        <f ca="1">LOOKUP(D647,'模拟-单技能数据'!$A$2:$A$19,'模拟-单技能数据'!$H$2:$H$19)</f>
        <v>阴</v>
      </c>
      <c r="U647" s="119">
        <f t="shared" ca="1" si="543"/>
        <v>0.08</v>
      </c>
      <c r="V647" s="47">
        <f ca="1">(1+L647)*(LOOKUP(D647,'模拟-单技能数据'!$A$2:$A$19,'模拟-单技能数据'!$D$2:$D$19)+G647*LOOKUP(D647,'模拟-单技能数据'!$A$2:$A$19,'模拟-单技能数据'!$F$2:$F$19))*(1+J647)*(1+K647)*(1-S647)*(1+U647)*Q647*LOOKUP(D647,'模拟-单技能数据'!$A$2:$A$19,'模拟-单技能数据'!$I$2:$I$20)</f>
        <v>88539.917978351034</v>
      </c>
      <c r="W647" s="47">
        <f ca="1">LOOKUP(D647,'模拟-单技能数据'!$A$2:$A$19,'模拟-单技能数据'!$G$2:$G$19)*$I$10</f>
        <v>361.51064354704795</v>
      </c>
      <c r="X647" s="47">
        <f t="shared" ca="1" si="571"/>
        <v>20538.209506788789</v>
      </c>
      <c r="Y647" s="47">
        <f t="shared" ca="1" si="544"/>
        <v>109439.63812868687</v>
      </c>
      <c r="Z647" s="49">
        <f t="shared" ca="1" si="545"/>
        <v>64872454.98649922</v>
      </c>
      <c r="AA647" s="97">
        <f t="shared" ca="1" si="546"/>
        <v>113423.29746743332</v>
      </c>
      <c r="AB647" s="115">
        <f ca="1">IF(OR(C647="赤日轮1",C647="赤日轮2",C647="赤日轮3"),IF(RAND()&lt;模拟模式!$Y$17,1,0),IF(OR(C647="幽月轮1",C647="幽月轮2",C647="幽月轮3"),IF(RAND()&lt;模拟模式!$Y$18,1,0),IF(C647="烈日斩",IF(RAND()&lt;模拟模式!$Y$19,1,0),IF(C647="银月斩",IF(RAND()&lt;模拟模式!$Y$20,1,0),IF(C647="驱夜断愁",IF(RAND()&lt;模拟模式!$Y$21,1,0),IF(C647="净世破魔击·日",IF(RAND()&lt;模拟模式!$Y$22,1,0),IF(C647="净世破魔击·月",IF(RAND()&lt;模拟模式!$Y$23,1,0),0)))))))</f>
        <v>1</v>
      </c>
      <c r="AC647" s="115" t="b">
        <f t="shared" ca="1" si="547"/>
        <v>0</v>
      </c>
      <c r="AD647" s="115" t="b">
        <f t="shared" ca="1" si="548"/>
        <v>0</v>
      </c>
      <c r="AE647" s="115">
        <f t="shared" ca="1" si="549"/>
        <v>4</v>
      </c>
      <c r="AF647" s="47">
        <f ca="1">IF(AC647,('模拟-单技能数据'!$D$20+G647*'模拟-单技能数据'!$F$20)*(1+J647)*(1+'模拟-单技能数据'!$J$20)*(1+U647),0)</f>
        <v>0</v>
      </c>
      <c r="AG647" s="61">
        <f t="shared" ca="1" si="550"/>
        <v>0.64185145527300214</v>
      </c>
      <c r="AH647" s="61">
        <f t="shared" ca="1" si="551"/>
        <v>2.2624828854998791</v>
      </c>
      <c r="AI647" s="62">
        <f t="shared" ca="1" si="572"/>
        <v>0.3970104103566463</v>
      </c>
      <c r="AJ647" s="47">
        <f ca="1">IF(AD647,IF(AI647&lt;$F$10,0,IF(AI647&lt;$F$10+$F$11,0.25,IF(AI647&lt;$F$10+$F$11+AG647,AH647,1)))*IF(AF647&gt;0,AF647,IF(AF646&gt;0,AF646,IF(AF645&gt;0,AF645,IF(AF644&gt;0,AF644,IF(AF643&gt;0,AF643,IF(AF642&gt;0,AF642,IF(AF641&gt;0,AF641,IF(AF640&gt;0,AF640,IF(AF639&gt;0,AF639,IF(AF637&gt;0,AF637,IF(AF636&gt;0,AF636,IF(AF635&gt;0,AF635,0)))))))))))),0)*(1-$S647)*'模拟-单技能数据'!$I$20</f>
        <v>0</v>
      </c>
      <c r="AK647" s="115" t="b">
        <f t="shared" ca="1" si="552"/>
        <v>0</v>
      </c>
      <c r="AL647" s="115" t="b">
        <f t="shared" ca="1" si="553"/>
        <v>1</v>
      </c>
      <c r="AM647" s="115">
        <f t="shared" ca="1" si="554"/>
        <v>2</v>
      </c>
      <c r="AN647" s="47">
        <f ca="1">IF(AK647,('模拟-单技能数据'!$D$21+G647*'模拟-单技能数据'!$F$21)*(1+J647)*(1+'模拟-单技能数据'!$J$21)*(1+U647),0)</f>
        <v>0</v>
      </c>
      <c r="AO647" s="61">
        <f ca="1">IF(AN647&gt;0,M647-'模拟-单技能数据'!$K$10,AO646)</f>
        <v>0.42185145527300216</v>
      </c>
      <c r="AP647" s="61">
        <f ca="1">IF(AN647&gt;0,I647-'模拟-单技能数据'!$L$10,AP646)</f>
        <v>2.162482885499879</v>
      </c>
      <c r="AQ647" s="63">
        <f t="shared" ca="1" si="573"/>
        <v>0.94849663667866668</v>
      </c>
      <c r="AR647" s="64">
        <f ca="1">IF(AL647,IF(AQ647&lt;$F$10,0,IF(AQ647&lt;$F$10+$F$11,0.25,IF(AQ647&lt;$F$10+$F$11+AO647,AP647,1)))*IF(AN647&gt;0,AN647,IF(AN646&gt;0,AN646,IF(AN645&gt;0,AN645,IF(AN644&gt;0,AN644,IF(AN643&gt;0,AN643,IF(AN642&gt;0,AN642,IF(AN641&gt;0,AN641,IF(AN640&gt;0,AN640,IF(AN639&gt;0,AN639,IF(AN637&gt;0,AN637,IF(AN636&gt;0,AN636,IF(AN635&gt;0,AN635,0)))))))))))),0)*(1-$S647)*'模拟-单技能数据'!$I$21</f>
        <v>12173.656275761043</v>
      </c>
      <c r="AS647" s="61">
        <f ca="1">IF(OR(C647="净世破魔击·日",C647="净世破魔击·月"),M647-'模拟-单技能数据'!$K$10,0)</f>
        <v>0.42185145527300216</v>
      </c>
      <c r="AT647" s="61">
        <f ca="1">IF(OR(C647="净世破魔击·日",C647="净世破魔击·月"),I647-'模拟-单技能数据'!$L$10,0)</f>
        <v>2.162482885499879</v>
      </c>
      <c r="AU647" s="62">
        <f t="shared" ca="1" si="574"/>
        <v>0.63339229795870566</v>
      </c>
      <c r="AV647" s="64">
        <f ca="1">IF(AS647&gt;0,('模拟-单技能数据'!$D$22+G647*'模拟-单技能数据'!$F$22)*(1+J647)*(1-S647)*IF(AU647&lt;$F$10,0,IF(AU647&lt;$F$10+$F$11,0.25,IF(AU647&lt;$F$10+$F$11+AS647,AT647,1)))*(1+U647),0)*'模拟-单技能数据'!$I$22</f>
        <v>8364.5532310277467</v>
      </c>
      <c r="AW647" s="108">
        <f t="shared" ca="1" si="575"/>
        <v>0</v>
      </c>
      <c r="AX647" s="108" t="b">
        <f ca="1">AND(模拟模式!$P$10="有",AW646=0,RAND()&lt;IF(C647="净世破魔击·月",0.1*8/3,IF(C647="净世破魔击·日",0.1*4/3,0.1*2/3)))</f>
        <v>0</v>
      </c>
      <c r="AY647" s="47">
        <f ca="1">IF(AX647,(18+G647*0.722)*(1+J647)*(1-S647)*(1+$I$4)*IF(P647="会",'模拟-全程加成'!$J$3+'模拟-全程加成'!$J$4+'模拟-全程加成'!$J$5+('模拟-全程加成'!$I$4+'模拟-全程加成'!$I$5)/系数!$B$4+BG647*10%,IF(P647="命",1,IF(P647="识",0.25,0))),0)</f>
        <v>0</v>
      </c>
      <c r="AZ647" s="108">
        <f t="shared" si="576"/>
        <v>16.310000000000002</v>
      </c>
      <c r="BA647" s="108" t="b">
        <f>AND(模拟模式!$Q$10="有",AZ646=0)</f>
        <v>0</v>
      </c>
      <c r="BB647" s="140">
        <f>IF(BA647,(0+G647*0.287)*(1+J647)*(1-S647)*(1+$I$4)*IF(P647="会",'模拟-全程加成'!$J$3+'模拟-全程加成'!$J$4+'模拟-全程加成'!$J$5+('模拟-全程加成'!$I$4+'模拟-全程加成'!$I$5)/系数!$B$4+BG647*10%,IF(P647="命",1,IF(P647="识",0.25,0))),0)</f>
        <v>0</v>
      </c>
      <c r="BC647" s="115" t="b">
        <f ca="1">AND(模拟模式!$R$7="伏明众生",E647=60,F647=20,DA647&lt;5,CZ646&lt;$F$4)</f>
        <v>0</v>
      </c>
      <c r="BD647" s="115">
        <f t="shared" ca="1" si="555"/>
        <v>0</v>
      </c>
      <c r="BE647" s="115" t="b">
        <f t="shared" ca="1" si="556"/>
        <v>0</v>
      </c>
      <c r="BF647" s="47">
        <f ca="1">IF(BC647,4*('模拟-单技能数据'!$D$24+G647*'模拟-单技能数据'!$F$24)*(1+J647)*(1+'模拟-单技能数据'!$J$24)*(1-S647)*(1+$I$3)*(('模拟-全程加成'!$J$3+'模拟-全程加成'!$J$4+'模拟-全程加成'!$J$5+('模拟-全程加成'!$I$4+'模拟-全程加成'!$I$5)/系数!$B$4+BG647*10%)*('模拟-全程加成'!$J$3+'模拟-全程加成'!$J$4+'模拟-全程加成'!$J$5+('模拟-全程加成'!$I$4+'模拟-全程加成'!$I$5)/系数!$B$4+BG647*10%)+(1-('模拟-全程加成'!$J$3+'模拟-全程加成'!$J$4+'模拟-全程加成'!$J$5+('模拟-全程加成'!$I$4+'模拟-全程加成'!$I$5)/系数!$B$4+BG647*10%)-$F$10-$F$11)+F633*0.25),0)*'模拟-单技能数据'!$I$24</f>
        <v>0</v>
      </c>
      <c r="BG647" s="115" t="b">
        <f ca="1">OR(AND(OR(C647="烈日斩",C647="银月斩"),模拟模式!$I$7="净身明礼"),AND(C647="净世破魔击·日",模拟模式!$J$7="洞若观火"),AND(C648="净世破魔击·月",模拟模式!$J$7="洞若观火"),AB647=1)</f>
        <v>1</v>
      </c>
      <c r="BH647" s="115" t="b">
        <f t="shared" ca="1" si="577"/>
        <v>0</v>
      </c>
      <c r="BI647" s="115">
        <f t="shared" ca="1" si="557"/>
        <v>0</v>
      </c>
      <c r="BJ647" s="115" t="b">
        <f t="shared" ca="1" si="558"/>
        <v>0</v>
      </c>
      <c r="BK647" s="115" t="b">
        <f ca="1">AND(C647="驱夜断愁",模拟模式!$P$7="天地诛戮")</f>
        <v>0</v>
      </c>
      <c r="BL647" s="57">
        <f t="shared" ca="1" si="559"/>
        <v>17.232500000000002</v>
      </c>
      <c r="BM647" s="115" t="b">
        <f t="shared" ca="1" si="560"/>
        <v>1</v>
      </c>
      <c r="BN647" s="115" t="b">
        <f ca="1">AND(OR(C647="赤日轮1",C647="赤日轮2",C647="赤日轮3",C647="幽月轮1",C647="幽月轮2",C647="幽月轮3"),AB647=1,模拟模式!$L$7="明光恒照")</f>
        <v>0</v>
      </c>
      <c r="BO647" s="117">
        <f t="shared" ca="1" si="561"/>
        <v>29.077500000000001</v>
      </c>
      <c r="BP647" s="115">
        <f t="shared" ca="1" si="578"/>
        <v>6</v>
      </c>
      <c r="BQ647" s="115" t="b">
        <f>模拟模式!$K$10="2600·水"</f>
        <v>0</v>
      </c>
      <c r="BR647" s="117">
        <f t="shared" si="579"/>
        <v>0</v>
      </c>
      <c r="BS647" s="115">
        <f t="shared" si="580"/>
        <v>0</v>
      </c>
      <c r="BT647" s="115">
        <f t="shared" ca="1" si="581"/>
        <v>0</v>
      </c>
      <c r="BU647" s="115" t="b">
        <f ca="1">AND(模拟模式!$K$10="2300·雷",BT646=0,RAND()&lt;IF(C647="净世破魔击·月",5*0.05*2/3,IF(C647="净世破魔击·日",3*0.05*2/3,0.05*2*2/3)))</f>
        <v>0</v>
      </c>
      <c r="BV647" s="115">
        <f t="shared" ca="1" si="582"/>
        <v>0</v>
      </c>
      <c r="BW647" s="115">
        <f t="shared" ca="1" si="583"/>
        <v>166.1624999999998</v>
      </c>
      <c r="BX647" s="164" t="b">
        <f t="shared" ca="1" si="584"/>
        <v>0</v>
      </c>
      <c r="BY647" s="115">
        <f t="shared" ca="1" si="585"/>
        <v>1.1625000000000032</v>
      </c>
      <c r="BZ647" s="115">
        <f>IF(OR(模拟模式!$P$16="10人团",模拟模式!$P$16="25人团"),IF(B647/30&gt;CA646,1,0),0)</f>
        <v>0</v>
      </c>
      <c r="CA647" s="115">
        <f t="shared" si="562"/>
        <v>0</v>
      </c>
      <c r="CB647" s="115">
        <f ca="1">IF(BZ647=1,IF(模拟模式!$P$16="10人团",15,0)+IF(模拟模式!$P$16="25人团",IF(RAND()&lt;0.6,15,0)),MAX(0,CB646-$F$4))</f>
        <v>0</v>
      </c>
      <c r="CC647" s="115" t="b">
        <f t="shared" ca="1" si="563"/>
        <v>0</v>
      </c>
      <c r="CD647" s="115">
        <f>IF(模拟模式!$Q$16="1个",IF(B647/40&gt;CE646,1,0),0)</f>
        <v>0</v>
      </c>
      <c r="CE647" s="115">
        <f t="shared" si="564"/>
        <v>0</v>
      </c>
      <c r="CF647" s="115">
        <f>IF(OR(CD647=1,模拟模式!$Q$16="2个"),20,MAX(0,CF646-$F$4))</f>
        <v>0</v>
      </c>
      <c r="CG647" s="115" t="b">
        <f t="shared" si="565"/>
        <v>0</v>
      </c>
      <c r="CH647" s="115">
        <f t="shared" ca="1" si="586"/>
        <v>16.162500000000009</v>
      </c>
      <c r="CI647" s="115" t="b">
        <f t="shared" ca="1" si="587"/>
        <v>0</v>
      </c>
      <c r="CJ647" s="119">
        <f t="shared" ca="1" si="588"/>
        <v>0</v>
      </c>
      <c r="CK647" s="115">
        <f t="shared" ca="1" si="589"/>
        <v>0</v>
      </c>
      <c r="CL647" s="115" t="b">
        <f ca="1">AND(模拟模式!$S$7="驱夷逐法",OR(AND(C647="净世破魔击·月",E646&gt;59),AND(C647="净世破魔击·日",F646&gt;59)))</f>
        <v>1</v>
      </c>
      <c r="CM647" s="115" t="b">
        <f ca="1">OR(CL647,AND(C647="净世破魔击·日",CL646,RAND()&lt;模拟模式!$U$23))</f>
        <v>1</v>
      </c>
      <c r="CN647" s="115" t="b">
        <f ca="1">IF(模拟模式!$M$7="辉耀红尘",AND(C647="净世破魔击·月",CL647,CV647=0,E646&lt;80),AND(C647="净世破魔击·月",CL647,E646&lt;100))</f>
        <v>0</v>
      </c>
      <c r="CO647" s="115" t="b">
        <f t="shared" ca="1" si="566"/>
        <v>0</v>
      </c>
      <c r="CP647" s="115" t="b">
        <f ca="1">AND(模拟模式!$O$7="用晦而明",OR(C647="净世破魔击·日",C647="净世破魔击·月",C647="驱夜断愁"),AB647)</f>
        <v>1</v>
      </c>
      <c r="CQ647" s="115" t="b">
        <f ca="1">OR(CP647,AND(CP646,RAND()&lt;模拟模式!$U$23))</f>
        <v>1</v>
      </c>
      <c r="CR647" s="115" t="b">
        <f ca="1">AND(模拟模式!$S$7="日月齐光",OR(C647="幽月轮1",C647="幽月轮2",C647="幽月轮3",CR646),NOT(OR(C647="赤日轮1",C647="赤日轮2",C647="赤日轮3")))</f>
        <v>0</v>
      </c>
      <c r="CS647" s="115" t="b">
        <f ca="1">AND(模拟模式!$S$7="日月齐光",OR(C647="赤日轮1",C647="赤日轮2",C647="赤日轮3",CS646),NOT(OR(C647="幽月轮1",C647="幽月轮2",C647="幽月轮3")))</f>
        <v>0</v>
      </c>
      <c r="CT647" s="115">
        <f t="shared" ca="1" si="590"/>
        <v>6.9375000000000124</v>
      </c>
      <c r="CU647" s="115" t="b">
        <f ca="1">AND(模拟模式!$K$10="阴阳往极",CT646=0,RAND()&lt;IF(C647="净世破魔击·月",0.0275*7/3,IF(C647="净世破魔击·日",0.0275*3/3,0.0275*2/3)))</f>
        <v>0</v>
      </c>
      <c r="CV647" s="115">
        <f t="shared" ca="1" si="591"/>
        <v>0</v>
      </c>
      <c r="CW647" s="115">
        <f t="shared" ca="1" si="592"/>
        <v>4.1549999999999994</v>
      </c>
      <c r="CX647" s="115">
        <f t="shared" ca="1" si="593"/>
        <v>2.3099999999999996</v>
      </c>
      <c r="CY647" s="115">
        <f ca="1">MAX(IF($C647="驱夜断愁",IF(模拟模式!$R$7="万念俱寂",6,45),CY646-$F$4),0)</f>
        <v>3.2324999999999995</v>
      </c>
      <c r="CZ647" s="115">
        <f t="shared" ca="1" si="567"/>
        <v>0</v>
      </c>
      <c r="DA647" s="115">
        <f ca="1">IF(模拟模式!$N$7="日月同辉",IF(DB646=2,0,MIN(6,IF(AND(OR(C647="赤日轮1",C647="赤日轮2",C647="赤日轮3",C647="幽月轮1",C647="幽月轮2",C647="幽月轮3"),AB647=1),DA646+1,DA646))),0)</f>
        <v>5</v>
      </c>
      <c r="DB647" s="115">
        <f t="shared" ca="1" si="568"/>
        <v>0</v>
      </c>
      <c r="DC647" s="115"/>
      <c r="DD647" s="115"/>
      <c r="DE647" s="115"/>
      <c r="DF647" s="115"/>
      <c r="DG647" s="115"/>
      <c r="DH647" s="115"/>
      <c r="DI647" s="115"/>
      <c r="DJ647" s="115"/>
      <c r="DK647" s="115"/>
      <c r="DL647" s="115"/>
      <c r="DM647" s="115"/>
    </row>
    <row r="648" spans="2:117" x14ac:dyDescent="0.2">
      <c r="B648" s="117">
        <f t="shared" si="569"/>
        <v>572.87250000000643</v>
      </c>
      <c r="C648" s="167" t="str">
        <f t="shared" ca="1" si="538"/>
        <v>净世破魔击·日</v>
      </c>
      <c r="D648" s="115">
        <f ca="1">IF(C648="赤日轮1",1,IF(C648="赤日轮2",2,IF(C648="赤日轮3",3,IF(C648="幽月轮1",4,IF(C648="幽月轮2",5,IF(C648="幽月轮3",6,IF(C648="烈日斩",7,IF(C648="银月斩",8,IF(C648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648="净世破魔击·月",17,IF(C648="驱夜断愁",18,0)))))))))))</f>
        <v>9</v>
      </c>
      <c r="E648" s="115">
        <f ca="1">IF(AND(CU648,OR(C648="幽月轮1",C648="幽月轮2",C648="幽月轮3",C648="银月斩",C648="驱夜断愁",C648="净世破魔击·月")),100,MIN(IF(OR(CN648,BE648),0,IF(OR($C648="赤日轮1",$C648="赤日轮2",$C648="赤日轮3"),E647+20+IF(模拟模式!$I$7="日月凌天",4,0)+IF(CR647,20,0),IF($C648="烈日斩",E647+40,IF($C648="驱夜断愁",IF(模拟模式!$R$7="万念俱寂",E647+20,E647+60),IF($C648="净世破魔击·月",IF(OR(DB647&gt;0,CV647&gt;0),100,IF(模拟模式!$M$7="辉耀红尘",E647+20,E647)),IF($C648="净世破魔击·日",E647-100,E647)))))),100))</f>
        <v>0</v>
      </c>
      <c r="F648" s="115">
        <f ca="1">IF(AND(CU648,OR(C648="赤日轮1",C648="赤日轮2",C648="赤日轮3",C648="烈日斩",C648="净世破魔击·日")),100,MIN(IF(CO648,0,IF(OR($C648="幽月轮1",$C648="幽月轮2",$C648="幽月轮3"),F647+20+IF(模拟模式!$I$7="日月凌天",4,0)+IF(CS647,20,0),IF($C648="银月斩",F647+40+IF(模拟模式!$X$12=1,5,0),IF($C648="驱夜断愁",IF(模拟模式!$R$7="万念俱寂",F647+20,F647+60),IF($C648="净世破魔击·月",IF(模拟模式!$M$7="辉耀红尘",F647-80,F647-100),IF(AND(C648="净世破魔击·日",OR(DB647&gt;0,CV647&gt;0)),100,F647)))))),100))</f>
        <v>20</v>
      </c>
      <c r="G648" s="117">
        <f ca="1">('模拟-全程加成'!$E$3+'模拟-全程加成'!$E$4+'模拟-全程加成'!$E$5+('模拟-全程加成'!$C$6-'模拟-全程加成'!$C$3)*系数!$B$9+BS648*23)*(1+'模拟-全程加成'!$F$4+'模拟-全程加成'!$F$5+BJ648*10%+BM648*20%+BP648*4%+CG648*30%)+$F$7*系数!$B$12</f>
        <v>20583.127400000001</v>
      </c>
      <c r="H648" s="45">
        <f ca="1">'模拟-全程加成'!$H$3+'模拟-全程加成'!$H$4+'模拟-全程加成'!$H$5+('模拟-全程加成'!$G$4+'模拟-全程加成'!$G$5+('模拟-全程加成'!$C$6-'模拟-全程加成'!$C$3)*系数!$B$13)/系数!$B$3+LOOKUP(D648,'模拟-单技能数据'!$A$2:$A$19,'模拟-单技能数据'!$K$2:$K$19)+BG648*10%+IF(BV648&gt;0,378,0)</f>
        <v>0.54185145527300216</v>
      </c>
      <c r="I648" s="45">
        <f ca="1">'模拟-全程加成'!$J$3+'模拟-全程加成'!$J$4+'模拟-全程加成'!$J$5+('模拟-全程加成'!$I$4+'模拟-全程加成'!$I$5)/系数!$B$4+LOOKUP(D648,'模拟-单技能数据'!$A$2:$A$19,'模拟-单技能数据'!$L$2:$L$19)+BG648*10%</f>
        <v>2.162482885499879</v>
      </c>
      <c r="J648" s="45">
        <f ca="1">(('模拟-全程加成'!$K$3+'模拟-全程加成'!$K$4+'模拟-全程加成'!$K$5+('模拟-全程加成'!$C$6-'模拟-全程加成'!$C$3)*系数!$B$10+IF(BV648&gt;0,882,0)+IF(BY648&gt;0,1831,0))*(1+'模拟-全程加成'!$L$4+'模拟-全程加成'!$L$5+CC648*20%))/系数!$B$5</f>
        <v>0.85832564669386491</v>
      </c>
      <c r="K648" s="119">
        <f ca="1">LOOKUP(D648,'模拟-单技能数据'!$A$2:$A$19,'模拟-单技能数据'!$J$2:$J$19)+IF(CM648,60%,0)+IF(DB647-DB648&gt;0,30%,0)+IF(OR(AND(OR(C648="赤日轮1",C648="赤日轮2",C648="赤日轮3"),CR648),AND(OR(C648="幽月轮1",C648="幽月轮2",C648="幽月轮3"),CS648)),35%,0)+CJ648</f>
        <v>0.8</v>
      </c>
      <c r="L648" s="119">
        <f ca="1">IF(AND(C648="烈日斩",模拟模式!$X$11=1),10%,0)+IF(AND(C648="驱夜断愁",AB648=1),30%,0)</f>
        <v>0</v>
      </c>
      <c r="M648" s="45">
        <f t="shared" ca="1" si="539"/>
        <v>0.54185145527300216</v>
      </c>
      <c r="N648" s="45">
        <f t="shared" ca="1" si="540"/>
        <v>0.40424854472699789</v>
      </c>
      <c r="O648" s="46">
        <f t="shared" ca="1" si="570"/>
        <v>0.47301214758432408</v>
      </c>
      <c r="P648" s="46" t="str">
        <f t="shared" ca="1" si="541"/>
        <v>会</v>
      </c>
      <c r="Q648" s="45">
        <f t="shared" ca="1" si="542"/>
        <v>2.162482885499879</v>
      </c>
      <c r="R648" s="117">
        <f ca="1">模拟模式!$E$20*(1-IF(模拟模式!$J$19="有",0.15,0))*(1-IF(模拟模式!$K$19="有",0.3,0)-IF(CQ648,0.5,0))</f>
        <v>843.02999999999975</v>
      </c>
      <c r="S648" s="45">
        <f ca="1">R648/(R648+(185*模拟模式!$E$22-16800)*4.08224)</f>
        <v>8.389626085980037E-2</v>
      </c>
      <c r="T648" s="45" t="str">
        <f ca="1">LOOKUP(D648,'模拟-单技能数据'!$A$2:$A$19,'模拟-单技能数据'!$H$2:$H$19)</f>
        <v>阳</v>
      </c>
      <c r="U648" s="119">
        <f t="shared" ca="1" si="543"/>
        <v>0.2</v>
      </c>
      <c r="V648" s="47">
        <f ca="1">(1+L648)*(LOOKUP(D648,'模拟-单技能数据'!$A$2:$A$19,'模拟-单技能数据'!$D$2:$D$19)+G648*LOOKUP(D648,'模拟-单技能数据'!$A$2:$A$19,'模拟-单技能数据'!$F$2:$F$19))*(1+J648)*(1+K648)*(1-S648)*(1+U648)*Q648*LOOKUP(D648,'模拟-单技能数据'!$A$2:$A$19,'模拟-单技能数据'!$I$2:$I$20)</f>
        <v>214511.23923496195</v>
      </c>
      <c r="W648" s="47">
        <f ca="1">LOOKUP(D648,'模拟-单技能数据'!$A$2:$A$19,'模拟-单技能数据'!$G$2:$G$19)*$I$10</f>
        <v>723.0212870940959</v>
      </c>
      <c r="X648" s="47">
        <f t="shared" ca="1" si="571"/>
        <v>13755.397574619874</v>
      </c>
      <c r="Y648" s="47">
        <f t="shared" ca="1" si="544"/>
        <v>228989.65809667594</v>
      </c>
      <c r="Z648" s="49">
        <f t="shared" ca="1" si="545"/>
        <v>65101444.644595899</v>
      </c>
      <c r="AA648" s="97">
        <f t="shared" ca="1" si="546"/>
        <v>113640.37311023861</v>
      </c>
      <c r="AB648" s="115">
        <f ca="1">IF(OR(C648="赤日轮1",C648="赤日轮2",C648="赤日轮3"),IF(RAND()&lt;模拟模式!$Y$17,1,0),IF(OR(C648="幽月轮1",C648="幽月轮2",C648="幽月轮3"),IF(RAND()&lt;模拟模式!$Y$18,1,0),IF(C648="烈日斩",IF(RAND()&lt;模拟模式!$Y$19,1,0),IF(C648="银月斩",IF(RAND()&lt;模拟模式!$Y$20,1,0),IF(C648="驱夜断愁",IF(RAND()&lt;模拟模式!$Y$21,1,0),IF(C648="净世破魔击·日",IF(RAND()&lt;模拟模式!$Y$22,1,0),IF(C648="净世破魔击·月",IF(RAND()&lt;模拟模式!$Y$23,1,0),0)))))))</f>
        <v>1</v>
      </c>
      <c r="AC648" s="115" t="b">
        <f t="shared" ca="1" si="547"/>
        <v>0</v>
      </c>
      <c r="AD648" s="115" t="b">
        <f t="shared" ca="1" si="548"/>
        <v>1</v>
      </c>
      <c r="AE648" s="115">
        <f t="shared" ca="1" si="549"/>
        <v>3</v>
      </c>
      <c r="AF648" s="47">
        <f ca="1">IF(AC648,('模拟-单技能数据'!$D$20+G648*'模拟-单技能数据'!$F$20)*(1+J648)*(1+'模拟-单技能数据'!$J$20)*(1+U648),0)</f>
        <v>0</v>
      </c>
      <c r="AG648" s="61">
        <f t="shared" ca="1" si="550"/>
        <v>0.64185145527300214</v>
      </c>
      <c r="AH648" s="61">
        <f t="shared" ca="1" si="551"/>
        <v>2.2624828854998791</v>
      </c>
      <c r="AI648" s="62">
        <f t="shared" ca="1" si="572"/>
        <v>0.88320946351485774</v>
      </c>
      <c r="AJ648" s="47">
        <f ca="1">IF(AD648,IF(AI648&lt;$F$10,0,IF(AI648&lt;$F$10+$F$11,0.25,IF(AI648&lt;$F$10+$F$11+AG648,AH648,1)))*IF(AF648&gt;0,AF648,IF(AF647&gt;0,AF647,IF(AF646&gt;0,AF646,IF(AF645&gt;0,AF645,IF(AF644&gt;0,AF644,IF(AF643&gt;0,AF643,IF(AF642&gt;0,AF642,IF(AF641&gt;0,AF641,IF(AF640&gt;0,AF640,IF(AF638&gt;0,AF638,IF(AF637&gt;0,AF637,IF(AF636&gt;0,AF636,0)))))))))))),0)*(1-$S648)*'模拟-单技能数据'!$I$20</f>
        <v>4461.4495401446002</v>
      </c>
      <c r="AK648" s="115" t="b">
        <f t="shared" ca="1" si="552"/>
        <v>1</v>
      </c>
      <c r="AL648" s="115" t="b">
        <f t="shared" ca="1" si="553"/>
        <v>0</v>
      </c>
      <c r="AM648" s="115">
        <f t="shared" ca="1" si="554"/>
        <v>6</v>
      </c>
      <c r="AN648" s="47">
        <f ca="1">IF(AK648,('模拟-单技能数据'!$D$21+G648*'模拟-单技能数据'!$F$21)*(1+J648)*(1+'模拟-单技能数据'!$J$21)*(1+U648),0)</f>
        <v>13288.512813173878</v>
      </c>
      <c r="AO648" s="61">
        <f ca="1">IF(AN648&gt;0,M648-'模拟-单技能数据'!$K$10,AO647)</f>
        <v>0.42185145527300216</v>
      </c>
      <c r="AP648" s="61">
        <f ca="1">IF(AN648&gt;0,I648-'模拟-单技能数据'!$L$10,AP647)</f>
        <v>2.162482885499879</v>
      </c>
      <c r="AQ648" s="63">
        <f t="shared" ca="1" si="573"/>
        <v>0.83130453981449581</v>
      </c>
      <c r="AR648" s="64">
        <f ca="1">IF(AL648,IF(AQ648&lt;$F$10,0,IF(AQ648&lt;$F$10+$F$11,0.25,IF(AQ648&lt;$F$10+$F$11+AO648,AP648,1)))*IF(AN648&gt;0,AN648,IF(AN647&gt;0,AN647,IF(AN646&gt;0,AN646,IF(AN645&gt;0,AN645,IF(AN644&gt;0,AN644,IF(AN643&gt;0,AN643,IF(AN642&gt;0,AN642,IF(AN641&gt;0,AN641,IF(AN640&gt;0,AN640,IF(AN638&gt;0,AN638,IF(AN637&gt;0,AN637,IF(AN636&gt;0,AN636,0)))))))))))),0)*(1-$S648)*'模拟-单技能数据'!$I$21</f>
        <v>0</v>
      </c>
      <c r="AS648" s="61">
        <f ca="1">IF(OR(C648="净世破魔击·日",C648="净世破魔击·月"),M648-'模拟-单技能数据'!$K$10,0)</f>
        <v>0.42185145527300216</v>
      </c>
      <c r="AT648" s="61">
        <f ca="1">IF(OR(C648="净世破魔击·日",C648="净世破魔击·月"),I648-'模拟-单技能数据'!$L$10,0)</f>
        <v>2.162482885499879</v>
      </c>
      <c r="AU648" s="62">
        <f t="shared" ca="1" si="574"/>
        <v>0.81439500303169221</v>
      </c>
      <c r="AV648" s="64">
        <f ca="1">IF(AS648&gt;0,('模拟-单技能数据'!$D$22+G648*'模拟-单技能数据'!$F$22)*(1+J648)*(1-S648)*IF(AU648&lt;$F$10,0,IF(AU648&lt;$F$10+$F$11,0.25,IF(AU648&lt;$F$10+$F$11+AS648,AT648,1)))*(1+U648),0)*'模拟-单技能数据'!$I$22</f>
        <v>9293.9480344752737</v>
      </c>
      <c r="AW648" s="108">
        <f t="shared" ca="1" si="575"/>
        <v>0</v>
      </c>
      <c r="AX648" s="108" t="b">
        <f ca="1">AND(模拟模式!$P$10="有",AW647=0,RAND()&lt;IF(C648="净世破魔击·月",0.1*8/3,IF(C648="净世破魔击·日",0.1*4/3,0.1*2/3)))</f>
        <v>0</v>
      </c>
      <c r="AY648" s="47">
        <f ca="1">IF(AX648,(18+G648*0.722)*(1+J648)*(1-S648)*(1+$I$4)*IF(P648="会",'模拟-全程加成'!$J$3+'模拟-全程加成'!$J$4+'模拟-全程加成'!$J$5+('模拟-全程加成'!$I$4+'模拟-全程加成'!$I$5)/系数!$B$4+BG648*10%,IF(P648="命",1,IF(P648="识",0.25,0))),0)</f>
        <v>0</v>
      </c>
      <c r="AZ648" s="108">
        <f t="shared" si="576"/>
        <v>15.387500000000003</v>
      </c>
      <c r="BA648" s="108" t="b">
        <f>AND(模拟模式!$Q$10="有",AZ647=0)</f>
        <v>0</v>
      </c>
      <c r="BB648" s="140">
        <f>IF(BA648,(0+G648*0.287)*(1+J648)*(1-S648)*(1+$I$4)*IF(P648="会",'模拟-全程加成'!$J$3+'模拟-全程加成'!$J$4+'模拟-全程加成'!$J$5+('模拟-全程加成'!$I$4+'模拟-全程加成'!$I$5)/系数!$B$4+BG648*10%,IF(P648="命",1,IF(P648="识",0.25,0))),0)</f>
        <v>0</v>
      </c>
      <c r="BC648" s="115" t="b">
        <f ca="1">AND(模拟模式!$R$7="伏明众生",E648=60,F648=20,DA648&lt;5,CZ647&lt;$F$4)</f>
        <v>0</v>
      </c>
      <c r="BD648" s="115">
        <f t="shared" ca="1" si="555"/>
        <v>0</v>
      </c>
      <c r="BE648" s="115" t="b">
        <f t="shared" ca="1" si="556"/>
        <v>0</v>
      </c>
      <c r="BF648" s="47">
        <f ca="1">IF(BC648,4*('模拟-单技能数据'!$D$24+G648*'模拟-单技能数据'!$F$24)*(1+J648)*(1+'模拟-单技能数据'!$J$24)*(1-S648)*(1+$I$3)*(('模拟-全程加成'!$J$3+'模拟-全程加成'!$J$4+'模拟-全程加成'!$J$5+('模拟-全程加成'!$I$4+'模拟-全程加成'!$I$5)/系数!$B$4+BG648*10%)*('模拟-全程加成'!$J$3+'模拟-全程加成'!$J$4+'模拟-全程加成'!$J$5+('模拟-全程加成'!$I$4+'模拟-全程加成'!$I$5)/系数!$B$4+BG648*10%)+(1-('模拟-全程加成'!$J$3+'模拟-全程加成'!$J$4+'模拟-全程加成'!$J$5+('模拟-全程加成'!$I$4+'模拟-全程加成'!$I$5)/系数!$B$4+BG648*10%)-$F$10-$F$11)+F634*0.25),0)*'模拟-单技能数据'!$I$24</f>
        <v>0</v>
      </c>
      <c r="BG648" s="115" t="b">
        <f ca="1">OR(AND(OR(C648="烈日斩",C648="银月斩"),模拟模式!$I$7="净身明礼"),AND(C648="净世破魔击·日",模拟模式!$J$7="洞若观火"),AND(C649="净世破魔击·月",模拟模式!$J$7="洞若观火"),AB648=1)</f>
        <v>1</v>
      </c>
      <c r="BH648" s="115" t="b">
        <f t="shared" ca="1" si="577"/>
        <v>0</v>
      </c>
      <c r="BI648" s="115">
        <f t="shared" ca="1" si="557"/>
        <v>0</v>
      </c>
      <c r="BJ648" s="115" t="b">
        <f t="shared" ca="1" si="558"/>
        <v>0</v>
      </c>
      <c r="BK648" s="115" t="b">
        <f ca="1">AND(C648="驱夜断愁",模拟模式!$P$7="天地诛戮")</f>
        <v>0</v>
      </c>
      <c r="BL648" s="57">
        <f t="shared" ca="1" si="559"/>
        <v>16.310000000000002</v>
      </c>
      <c r="BM648" s="115" t="b">
        <f t="shared" ca="1" si="560"/>
        <v>1</v>
      </c>
      <c r="BN648" s="115" t="b">
        <f ca="1">AND(OR(C648="赤日轮1",C648="赤日轮2",C648="赤日轮3",C648="幽月轮1",C648="幽月轮2",C648="幽月轮3"),AB648=1,模拟模式!$L$7="明光恒照")</f>
        <v>0</v>
      </c>
      <c r="BO648" s="117">
        <f t="shared" ca="1" si="561"/>
        <v>28.155000000000001</v>
      </c>
      <c r="BP648" s="115">
        <f t="shared" ca="1" si="578"/>
        <v>6</v>
      </c>
      <c r="BQ648" s="115" t="b">
        <f>模拟模式!$K$10="2600·水"</f>
        <v>0</v>
      </c>
      <c r="BR648" s="117">
        <f t="shared" si="579"/>
        <v>0</v>
      </c>
      <c r="BS648" s="115">
        <f t="shared" si="580"/>
        <v>0</v>
      </c>
      <c r="BT648" s="115">
        <f t="shared" ca="1" si="581"/>
        <v>0</v>
      </c>
      <c r="BU648" s="115" t="b">
        <f ca="1">AND(模拟模式!$K$10="2300·雷",BT647=0,RAND()&lt;IF(C648="净世破魔击·月",5*0.05*2/3,IF(C648="净世破魔击·日",3*0.05*2/3,0.05*2*2/3)))</f>
        <v>0</v>
      </c>
      <c r="BV648" s="115">
        <f t="shared" ca="1" si="582"/>
        <v>0</v>
      </c>
      <c r="BW648" s="115">
        <f t="shared" ca="1" si="583"/>
        <v>165.23999999999978</v>
      </c>
      <c r="BX648" s="164" t="b">
        <f t="shared" ca="1" si="584"/>
        <v>0</v>
      </c>
      <c r="BY648" s="115">
        <f t="shared" ca="1" si="585"/>
        <v>0.24000000000000321</v>
      </c>
      <c r="BZ648" s="115">
        <f>IF(OR(模拟模式!$P$16="10人团",模拟模式!$P$16="25人团"),IF(B648/30&gt;CA647,1,0),0)</f>
        <v>0</v>
      </c>
      <c r="CA648" s="115">
        <f t="shared" si="562"/>
        <v>0</v>
      </c>
      <c r="CB648" s="115">
        <f ca="1">IF(BZ648=1,IF(模拟模式!$P$16="10人团",15,0)+IF(模拟模式!$P$16="25人团",IF(RAND()&lt;0.6,15,0)),MAX(0,CB647-$F$4))</f>
        <v>0</v>
      </c>
      <c r="CC648" s="115" t="b">
        <f t="shared" ca="1" si="563"/>
        <v>0</v>
      </c>
      <c r="CD648" s="115">
        <f>IF(模拟模式!$Q$16="1个",IF(B648/40&gt;CE647,1,0),0)</f>
        <v>0</v>
      </c>
      <c r="CE648" s="115">
        <f t="shared" si="564"/>
        <v>0</v>
      </c>
      <c r="CF648" s="115">
        <f>IF(OR(CD648=1,模拟模式!$Q$16="2个"),20,MAX(0,CF647-$F$4))</f>
        <v>0</v>
      </c>
      <c r="CG648" s="115" t="b">
        <f t="shared" si="565"/>
        <v>0</v>
      </c>
      <c r="CH648" s="115">
        <f t="shared" ca="1" si="586"/>
        <v>15.240000000000009</v>
      </c>
      <c r="CI648" s="115" t="b">
        <f t="shared" ca="1" si="587"/>
        <v>0</v>
      </c>
      <c r="CJ648" s="119">
        <f t="shared" ca="1" si="588"/>
        <v>0</v>
      </c>
      <c r="CK648" s="115">
        <f t="shared" ca="1" si="589"/>
        <v>0</v>
      </c>
      <c r="CL648" s="115" t="b">
        <f ca="1">AND(模拟模式!$S$7="驱夷逐法",OR(AND(C648="净世破魔击·月",E647&gt;59),AND(C648="净世破魔击·日",F647&gt;59)))</f>
        <v>0</v>
      </c>
      <c r="CM648" s="115" t="b">
        <f ca="1">OR(CL648,AND(C648="净世破魔击·日",CL647,RAND()&lt;模拟模式!$U$23))</f>
        <v>1</v>
      </c>
      <c r="CN648" s="115" t="b">
        <f ca="1">IF(模拟模式!$M$7="辉耀红尘",AND(C648="净世破魔击·月",CL648,CV648=0,E647&lt;80),AND(C648="净世破魔击·月",CL648,E647&lt;100))</f>
        <v>0</v>
      </c>
      <c r="CO648" s="115" t="b">
        <f t="shared" ca="1" si="566"/>
        <v>0</v>
      </c>
      <c r="CP648" s="115" t="b">
        <f ca="1">AND(模拟模式!$O$7="用晦而明",OR(C648="净世破魔击·日",C648="净世破魔击·月",C648="驱夜断愁"),AB648)</f>
        <v>1</v>
      </c>
      <c r="CQ648" s="115" t="b">
        <f ca="1">OR(CP648,AND(CP647,RAND()&lt;模拟模式!$U$23))</f>
        <v>1</v>
      </c>
      <c r="CR648" s="115" t="b">
        <f ca="1">AND(模拟模式!$S$7="日月齐光",OR(C648="幽月轮1",C648="幽月轮2",C648="幽月轮3",CR647),NOT(OR(C648="赤日轮1",C648="赤日轮2",C648="赤日轮3")))</f>
        <v>0</v>
      </c>
      <c r="CS648" s="115" t="b">
        <f ca="1">AND(模拟模式!$S$7="日月齐光",OR(C648="赤日轮1",C648="赤日轮2",C648="赤日轮3",CS647),NOT(OR(C648="幽月轮1",C648="幽月轮2",C648="幽月轮3")))</f>
        <v>0</v>
      </c>
      <c r="CT648" s="115">
        <f t="shared" ca="1" si="590"/>
        <v>6.0150000000000121</v>
      </c>
      <c r="CU648" s="115" t="b">
        <f ca="1">AND(模拟模式!$K$10="阴阳往极",CT647=0,RAND()&lt;IF(C648="净世破魔击·月",0.0275*7/3,IF(C648="净世破魔击·日",0.0275*3/3,0.0275*2/3)))</f>
        <v>0</v>
      </c>
      <c r="CV648" s="115">
        <f t="shared" ca="1" si="591"/>
        <v>0</v>
      </c>
      <c r="CW648" s="115">
        <f t="shared" ca="1" si="592"/>
        <v>3.2324999999999995</v>
      </c>
      <c r="CX648" s="115">
        <f t="shared" ca="1" si="593"/>
        <v>1.3874999999999997</v>
      </c>
      <c r="CY648" s="115">
        <f ca="1">MAX(IF($C648="驱夜断愁",IF(模拟模式!$R$7="万念俱寂",6,45),CY647-$F$4),0)</f>
        <v>2.3099999999999996</v>
      </c>
      <c r="CZ648" s="115">
        <f t="shared" ca="1" si="567"/>
        <v>0</v>
      </c>
      <c r="DA648" s="115">
        <f ca="1">IF(模拟模式!$N$7="日月同辉",IF(DB647=2,0,MIN(6,IF(AND(OR(C648="赤日轮1",C648="赤日轮2",C648="赤日轮3",C648="幽月轮1",C648="幽月轮2",C648="幽月轮3"),AB648=1),DA647+1,DA647))),0)</f>
        <v>5</v>
      </c>
      <c r="DB648" s="115">
        <f t="shared" ca="1" si="568"/>
        <v>0</v>
      </c>
      <c r="DC648" s="115"/>
      <c r="DD648" s="115"/>
      <c r="DE648" s="115"/>
      <c r="DF648" s="115"/>
      <c r="DG648" s="115"/>
      <c r="DH648" s="115"/>
      <c r="DI648" s="115"/>
      <c r="DJ648" s="115"/>
      <c r="DK648" s="115"/>
      <c r="DL648" s="115"/>
      <c r="DM648" s="115"/>
    </row>
    <row r="649" spans="2:117" x14ac:dyDescent="0.2">
      <c r="B649" s="117">
        <f t="shared" si="569"/>
        <v>573.79500000000644</v>
      </c>
      <c r="C649" s="167" t="str">
        <f t="shared" ca="1" si="538"/>
        <v>赤日轮1</v>
      </c>
      <c r="D649" s="115">
        <f ca="1">IF(C649="赤日轮1",1,IF(C649="赤日轮2",2,IF(C649="赤日轮3",3,IF(C649="幽月轮1",4,IF(C649="幽月轮2",5,IF(C649="幽月轮3",6,IF(C649="烈日斩",7,IF(C649="银月斩",8,IF(C649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649="净世破魔击·月",17,IF(C649="驱夜断愁",18,0)))))))))))</f>
        <v>1</v>
      </c>
      <c r="E649" s="115">
        <f ca="1">IF(AND(CU649,OR(C649="幽月轮1",C649="幽月轮2",C649="幽月轮3",C649="银月斩",C649="驱夜断愁",C649="净世破魔击·月")),100,MIN(IF(OR(CN649,BE649),0,IF(OR($C649="赤日轮1",$C649="赤日轮2",$C649="赤日轮3"),E648+20+IF(模拟模式!$I$7="日月凌天",4,0)+IF(CR648,20,0),IF($C649="烈日斩",E648+40,IF($C649="驱夜断愁",IF(模拟模式!$R$7="万念俱寂",E648+20,E648+60),IF($C649="净世破魔击·月",IF(OR(DB648&gt;0,CV648&gt;0),100,IF(模拟模式!$M$7="辉耀红尘",E648+20,E648)),IF($C649="净世破魔击·日",E648-100,E648)))))),100))</f>
        <v>20</v>
      </c>
      <c r="F649" s="115">
        <f ca="1">IF(AND(CU649,OR(C649="赤日轮1",C649="赤日轮2",C649="赤日轮3",C649="烈日斩",C649="净世破魔击·日")),100,MIN(IF(CO649,0,IF(OR($C649="幽月轮1",$C649="幽月轮2",$C649="幽月轮3"),F648+20+IF(模拟模式!$I$7="日月凌天",4,0)+IF(CS648,20,0),IF($C649="银月斩",F648+40+IF(模拟模式!$X$12=1,5,0),IF($C649="驱夜断愁",IF(模拟模式!$R$7="万念俱寂",F648+20,F648+60),IF($C649="净世破魔击·月",IF(模拟模式!$M$7="辉耀红尘",F648-80,F648-100),IF(AND(C649="净世破魔击·日",OR(DB648&gt;0,CV648&gt;0)),100,F648)))))),100))</f>
        <v>20</v>
      </c>
      <c r="G649" s="117">
        <f ca="1">('模拟-全程加成'!$E$3+'模拟-全程加成'!$E$4+'模拟-全程加成'!$E$5+('模拟-全程加成'!$C$6-'模拟-全程加成'!$C$3)*系数!$B$9+BS649*23)*(1+'模拟-全程加成'!$F$4+'模拟-全程加成'!$F$5+BJ649*10%+BM649*20%+BP649*4%+CG649*30%)+$F$7*系数!$B$12</f>
        <v>20583.127400000001</v>
      </c>
      <c r="H649" s="45">
        <f ca="1">'模拟-全程加成'!$H$3+'模拟-全程加成'!$H$4+'模拟-全程加成'!$H$5+('模拟-全程加成'!$G$4+'模拟-全程加成'!$G$5+('模拟-全程加成'!$C$6-'模拟-全程加成'!$C$3)*系数!$B$13)/系数!$B$3+LOOKUP(D649,'模拟-单技能数据'!$A$2:$A$19,'模拟-单技能数据'!$K$2:$K$19)+BG649*10%+IF(BV649&gt;0,378,0)</f>
        <v>0.4618514552730022</v>
      </c>
      <c r="I649" s="45">
        <f ca="1">'模拟-全程加成'!$J$3+'模拟-全程加成'!$J$4+'模拟-全程加成'!$J$5+('模拟-全程加成'!$I$4+'模拟-全程加成'!$I$5)/系数!$B$4+LOOKUP(D649,'模拟-单技能数据'!$A$2:$A$19,'模拟-单技能数据'!$L$2:$L$19)+BG649*10%</f>
        <v>2.162482885499879</v>
      </c>
      <c r="J649" s="45">
        <f ca="1">(('模拟-全程加成'!$K$3+'模拟-全程加成'!$K$4+'模拟-全程加成'!$K$5+('模拟-全程加成'!$C$6-'模拟-全程加成'!$C$3)*系数!$B$10+IF(BV649&gt;0,882,0)+IF(BY649&gt;0,1831,0))*(1+'模拟-全程加成'!$L$4+'模拟-全程加成'!$L$5+CC649*20%))/系数!$B$5</f>
        <v>0.69723220422048726</v>
      </c>
      <c r="K649" s="119">
        <f ca="1">LOOKUP(D649,'模拟-单技能数据'!$A$2:$A$19,'模拟-单技能数据'!$J$2:$J$19)+IF(CM649,60%,0)+IF(DB648-DB649&gt;0,30%,0)+IF(OR(AND(OR(C649="赤日轮1",C649="赤日轮2",C649="赤日轮3"),CR649),AND(OR(C649="幽月轮1",C649="幽月轮2",C649="幽月轮3"),CS649)),35%,0)+CJ649</f>
        <v>0.12</v>
      </c>
      <c r="L649" s="119">
        <f ca="1">IF(AND(C649="烈日斩",模拟模式!$X$11=1),10%,0)+IF(AND(C649="驱夜断愁",AB649=1),30%,0)</f>
        <v>0</v>
      </c>
      <c r="M649" s="45">
        <f t="shared" ca="1" si="539"/>
        <v>0.4618514552730022</v>
      </c>
      <c r="N649" s="45">
        <f t="shared" ca="1" si="540"/>
        <v>0.48424854472699785</v>
      </c>
      <c r="O649" s="46">
        <f t="shared" ca="1" si="570"/>
        <v>0.67909321413778934</v>
      </c>
      <c r="P649" s="46" t="str">
        <f t="shared" ca="1" si="541"/>
        <v>命</v>
      </c>
      <c r="Q649" s="45">
        <f t="shared" ca="1" si="542"/>
        <v>1</v>
      </c>
      <c r="R649" s="117">
        <f ca="1">模拟模式!$E$20*(1-IF(模拟模式!$J$19="有",0.15,0))*(1-IF(模拟模式!$K$19="有",0.3,0)-IF(CQ649,0.5,0))</f>
        <v>843.02999999999975</v>
      </c>
      <c r="S649" s="45">
        <f ca="1">R649/(R649+(185*模拟模式!$E$22-16800)*4.08224)</f>
        <v>8.389626085980037E-2</v>
      </c>
      <c r="T649" s="45" t="str">
        <f ca="1">LOOKUP(D649,'模拟-单技能数据'!$A$2:$A$19,'模拟-单技能数据'!$H$2:$H$19)</f>
        <v>阳</v>
      </c>
      <c r="U649" s="119">
        <f t="shared" ca="1" si="543"/>
        <v>0.2</v>
      </c>
      <c r="V649" s="47">
        <f ca="1">(1+L649)*(LOOKUP(D649,'模拟-单技能数据'!$A$2:$A$19,'模拟-单技能数据'!$D$2:$D$19)+G649*LOOKUP(D649,'模拟-单技能数据'!$A$2:$A$19,'模拟-单技能数据'!$F$2:$F$19))*(1+J649)*(1+K649)*(1-S649)*(1+U649)*Q649*LOOKUP(D649,'模拟-单技能数据'!$A$2:$A$19,'模拟-单技能数据'!$I$2:$I$20)</f>
        <v>25194.44799269021</v>
      </c>
      <c r="W649" s="47">
        <f ca="1">LOOKUP(D649,'模拟-单技能数据'!$A$2:$A$19,'模拟-单技能数据'!$G$2:$G$19)*$I$10</f>
        <v>361.51064354704795</v>
      </c>
      <c r="X649" s="47">
        <f t="shared" ca="1" si="571"/>
        <v>12173.656275761043</v>
      </c>
      <c r="Y649" s="47">
        <f t="shared" ca="1" si="544"/>
        <v>37729.614911998302</v>
      </c>
      <c r="Z649" s="49">
        <f t="shared" ca="1" si="545"/>
        <v>65139174.259507895</v>
      </c>
      <c r="AA649" s="97">
        <f t="shared" ca="1" si="546"/>
        <v>113523.42606594195</v>
      </c>
      <c r="AB649" s="115">
        <f ca="1">IF(OR(C649="赤日轮1",C649="赤日轮2",C649="赤日轮3"),IF(RAND()&lt;模拟模式!$Y$17,1,0),IF(OR(C649="幽月轮1",C649="幽月轮2",C649="幽月轮3"),IF(RAND()&lt;模拟模式!$Y$18,1,0),IF(C649="烈日斩",IF(RAND()&lt;模拟模式!$Y$19,1,0),IF(C649="银月斩",IF(RAND()&lt;模拟模式!$Y$20,1,0),IF(C649="驱夜断愁",IF(RAND()&lt;模拟模式!$Y$21,1,0),IF(C649="净世破魔击·日",IF(RAND()&lt;模拟模式!$Y$22,1,0),IF(C649="净世破魔击·月",IF(RAND()&lt;模拟模式!$Y$23,1,0),0)))))))</f>
        <v>1</v>
      </c>
      <c r="AC649" s="115" t="b">
        <f t="shared" ca="1" si="547"/>
        <v>0</v>
      </c>
      <c r="AD649" s="115" t="b">
        <f t="shared" ca="1" si="548"/>
        <v>0</v>
      </c>
      <c r="AE649" s="115">
        <f t="shared" ca="1" si="549"/>
        <v>3</v>
      </c>
      <c r="AF649" s="47">
        <f ca="1">IF(AC649,('模拟-单技能数据'!$D$20+G649*'模拟-单技能数据'!$F$20)*(1+J649)*(1+'模拟-单技能数据'!$J$20)*(1+U649),0)</f>
        <v>0</v>
      </c>
      <c r="AG649" s="61">
        <f t="shared" ca="1" si="550"/>
        <v>0.64185145527300214</v>
      </c>
      <c r="AH649" s="61">
        <f t="shared" ca="1" si="551"/>
        <v>2.2624828854998791</v>
      </c>
      <c r="AI649" s="62">
        <f t="shared" ca="1" si="572"/>
        <v>0.32131501133570872</v>
      </c>
      <c r="AJ649" s="47">
        <f ca="1">IF(AD649,IF(AI649&lt;$F$10,0,IF(AI649&lt;$F$10+$F$11,0.25,IF(AI649&lt;$F$10+$F$11+AG649,AH649,1)))*IF(AF649&gt;0,AF649,IF(AF648&gt;0,AF648,IF(AF647&gt;0,AF647,IF(AF646&gt;0,AF646,IF(AF645&gt;0,AF645,IF(AF644&gt;0,AF644,IF(AF643&gt;0,AF643,IF(AF642&gt;0,AF642,IF(AF641&gt;0,AF641,IF(AF639&gt;0,AF639,IF(AF638&gt;0,AF638,IF(AF637&gt;0,AF637,0)))))))))))),0)*(1-$S649)*'模拟-单技能数据'!$I$20</f>
        <v>0</v>
      </c>
      <c r="AK649" s="115" t="b">
        <f t="shared" ca="1" si="552"/>
        <v>0</v>
      </c>
      <c r="AL649" s="115" t="b">
        <f t="shared" ca="1" si="553"/>
        <v>1</v>
      </c>
      <c r="AM649" s="115">
        <f t="shared" ca="1" si="554"/>
        <v>5</v>
      </c>
      <c r="AN649" s="47">
        <f ca="1">IF(AK649,('模拟-单技能数据'!$D$21+G649*'模拟-单技能数据'!$F$21)*(1+J649)*(1+'模拟-单技能数据'!$J$21)*(1+U649),0)</f>
        <v>0</v>
      </c>
      <c r="AO649" s="61">
        <f ca="1">IF(AN649&gt;0,M649-'模拟-单技能数据'!$K$10,AO648)</f>
        <v>0.42185145527300216</v>
      </c>
      <c r="AP649" s="61">
        <f ca="1">IF(AN649&gt;0,I649-'模拟-单技能数据'!$L$10,AP648)</f>
        <v>2.162482885499879</v>
      </c>
      <c r="AQ649" s="63">
        <f t="shared" ca="1" si="573"/>
        <v>0.67451512072772535</v>
      </c>
      <c r="AR649" s="64">
        <f ca="1">IF(AL649,IF(AQ649&lt;$F$10,0,IF(AQ649&lt;$F$10+$F$11,0.25,IF(AQ649&lt;$F$10+$F$11+AO649,AP649,1)))*IF(AN649&gt;0,AN649,IF(AN648&gt;0,AN648,IF(AN647&gt;0,AN647,IF(AN646&gt;0,AN646,IF(AN645&gt;0,AN645,IF(AN644&gt;0,AN644,IF(AN643&gt;0,AN643,IF(AN642&gt;0,AN642,IF(AN641&gt;0,AN641,IF(AN639&gt;0,AN639,IF(AN638&gt;0,AN638,IF(AN637&gt;0,AN637,0)))))))))))),0)*(1-$S649)*'模拟-单技能数据'!$I$21</f>
        <v>12173.656275761043</v>
      </c>
      <c r="AS649" s="61">
        <f ca="1">IF(OR(C649="净世破魔击·日",C649="净世破魔击·月"),M649-'模拟-单技能数据'!$K$10,0)</f>
        <v>0</v>
      </c>
      <c r="AT649" s="61">
        <f ca="1">IF(OR(C649="净世破魔击·日",C649="净世破魔击·月"),I649-'模拟-单技能数据'!$L$10,0)</f>
        <v>0</v>
      </c>
      <c r="AU649" s="62">
        <f t="shared" ca="1" si="574"/>
        <v>0.73840706321527383</v>
      </c>
      <c r="AV649" s="64">
        <f ca="1">IF(AS649&gt;0,('模拟-单技能数据'!$D$22+G649*'模拟-单技能数据'!$F$22)*(1+J649)*(1-S649)*IF(AU649&lt;$F$10,0,IF(AU649&lt;$F$10+$F$11,0.25,IF(AU649&lt;$F$10+$F$11+AS649,AT649,1)))*(1+U649),0)*'模拟-单技能数据'!$I$22</f>
        <v>0</v>
      </c>
      <c r="AW649" s="108">
        <f t="shared" ca="1" si="575"/>
        <v>0</v>
      </c>
      <c r="AX649" s="108" t="b">
        <f ca="1">AND(模拟模式!$P$10="有",AW648=0,RAND()&lt;IF(C649="净世破魔击·月",0.1*8/3,IF(C649="净世破魔击·日",0.1*4/3,0.1*2/3)))</f>
        <v>0</v>
      </c>
      <c r="AY649" s="47">
        <f ca="1">IF(AX649,(18+G649*0.722)*(1+J649)*(1-S649)*(1+$I$4)*IF(P649="会",'模拟-全程加成'!$J$3+'模拟-全程加成'!$J$4+'模拟-全程加成'!$J$5+('模拟-全程加成'!$I$4+'模拟-全程加成'!$I$5)/系数!$B$4+BG649*10%,IF(P649="命",1,IF(P649="识",0.25,0))),0)</f>
        <v>0</v>
      </c>
      <c r="AZ649" s="108">
        <f t="shared" si="576"/>
        <v>14.465000000000003</v>
      </c>
      <c r="BA649" s="108" t="b">
        <f>AND(模拟模式!$Q$10="有",AZ648=0)</f>
        <v>0</v>
      </c>
      <c r="BB649" s="140">
        <f>IF(BA649,(0+G649*0.287)*(1+J649)*(1-S649)*(1+$I$4)*IF(P649="会",'模拟-全程加成'!$J$3+'模拟-全程加成'!$J$4+'模拟-全程加成'!$J$5+('模拟-全程加成'!$I$4+'模拟-全程加成'!$I$5)/系数!$B$4+BG649*10%,IF(P649="命",1,IF(P649="识",0.25,0))),0)</f>
        <v>0</v>
      </c>
      <c r="BC649" s="115" t="b">
        <f ca="1">AND(模拟模式!$R$7="伏明众生",E649=60,F649=20,DA649&lt;5,CZ648&lt;$F$4)</f>
        <v>0</v>
      </c>
      <c r="BD649" s="115">
        <f t="shared" ca="1" si="555"/>
        <v>0</v>
      </c>
      <c r="BE649" s="115" t="b">
        <f t="shared" ca="1" si="556"/>
        <v>0</v>
      </c>
      <c r="BF649" s="47">
        <f ca="1">IF(BC649,4*('模拟-单技能数据'!$D$24+G649*'模拟-单技能数据'!$F$24)*(1+J649)*(1+'模拟-单技能数据'!$J$24)*(1-S649)*(1+$I$3)*(('模拟-全程加成'!$J$3+'模拟-全程加成'!$J$4+'模拟-全程加成'!$J$5+('模拟-全程加成'!$I$4+'模拟-全程加成'!$I$5)/系数!$B$4+BG649*10%)*('模拟-全程加成'!$J$3+'模拟-全程加成'!$J$4+'模拟-全程加成'!$J$5+('模拟-全程加成'!$I$4+'模拟-全程加成'!$I$5)/系数!$B$4+BG649*10%)+(1-('模拟-全程加成'!$J$3+'模拟-全程加成'!$J$4+'模拟-全程加成'!$J$5+('模拟-全程加成'!$I$4+'模拟-全程加成'!$I$5)/系数!$B$4+BG649*10%)-$F$10-$F$11)+F635*0.25),0)*'模拟-单技能数据'!$I$24</f>
        <v>0</v>
      </c>
      <c r="BG649" s="115" t="b">
        <f ca="1">OR(AND(OR(C649="烈日斩",C649="银月斩"),模拟模式!$I$7="净身明礼"),AND(C649="净世破魔击·日",模拟模式!$J$7="洞若观火"),AND(C650="净世破魔击·月",模拟模式!$J$7="洞若观火"),AB649=1)</f>
        <v>1</v>
      </c>
      <c r="BH649" s="115" t="b">
        <f t="shared" ca="1" si="577"/>
        <v>0</v>
      </c>
      <c r="BI649" s="115">
        <f t="shared" ca="1" si="557"/>
        <v>0</v>
      </c>
      <c r="BJ649" s="115" t="b">
        <f t="shared" ca="1" si="558"/>
        <v>0</v>
      </c>
      <c r="BK649" s="115" t="b">
        <f ca="1">AND(C649="驱夜断愁",模拟模式!$P$7="天地诛戮")</f>
        <v>0</v>
      </c>
      <c r="BL649" s="57">
        <f t="shared" ca="1" si="559"/>
        <v>15.387500000000003</v>
      </c>
      <c r="BM649" s="115" t="b">
        <f t="shared" ca="1" si="560"/>
        <v>1</v>
      </c>
      <c r="BN649" s="115" t="b">
        <f ca="1">AND(OR(C649="赤日轮1",C649="赤日轮2",C649="赤日轮3",C649="幽月轮1",C649="幽月轮2",C649="幽月轮3"),AB649=1,模拟模式!$L$7="明光恒照")</f>
        <v>1</v>
      </c>
      <c r="BO649" s="117">
        <f t="shared" ca="1" si="561"/>
        <v>30</v>
      </c>
      <c r="BP649" s="115">
        <f t="shared" ca="1" si="578"/>
        <v>6</v>
      </c>
      <c r="BQ649" s="115" t="b">
        <f>模拟模式!$K$10="2600·水"</f>
        <v>0</v>
      </c>
      <c r="BR649" s="117">
        <f t="shared" si="579"/>
        <v>0</v>
      </c>
      <c r="BS649" s="115">
        <f t="shared" si="580"/>
        <v>0</v>
      </c>
      <c r="BT649" s="115">
        <f t="shared" ca="1" si="581"/>
        <v>0</v>
      </c>
      <c r="BU649" s="115" t="b">
        <f ca="1">AND(模拟模式!$K$10="2300·雷",BT648=0,RAND()&lt;IF(C649="净世破魔击·月",5*0.05*2/3,IF(C649="净世破魔击·日",3*0.05*2/3,0.05*2*2/3)))</f>
        <v>0</v>
      </c>
      <c r="BV649" s="115">
        <f t="shared" ca="1" si="582"/>
        <v>0</v>
      </c>
      <c r="BW649" s="115">
        <f t="shared" ca="1" si="583"/>
        <v>164.31749999999977</v>
      </c>
      <c r="BX649" s="164" t="b">
        <f t="shared" ca="1" si="584"/>
        <v>0</v>
      </c>
      <c r="BY649" s="115">
        <f t="shared" ca="1" si="585"/>
        <v>0</v>
      </c>
      <c r="BZ649" s="115">
        <f>IF(OR(模拟模式!$P$16="10人团",模拟模式!$P$16="25人团"),IF(B649/30&gt;CA648,1,0),0)</f>
        <v>0</v>
      </c>
      <c r="CA649" s="115">
        <f t="shared" si="562"/>
        <v>0</v>
      </c>
      <c r="CB649" s="115">
        <f ca="1">IF(BZ649=1,IF(模拟模式!$P$16="10人团",15,0)+IF(模拟模式!$P$16="25人团",IF(RAND()&lt;0.6,15,0)),MAX(0,CB648-$F$4))</f>
        <v>0</v>
      </c>
      <c r="CC649" s="115" t="b">
        <f t="shared" ca="1" si="563"/>
        <v>0</v>
      </c>
      <c r="CD649" s="115">
        <f>IF(模拟模式!$Q$16="1个",IF(B649/40&gt;CE648,1,0),0)</f>
        <v>0</v>
      </c>
      <c r="CE649" s="115">
        <f t="shared" si="564"/>
        <v>0</v>
      </c>
      <c r="CF649" s="115">
        <f>IF(OR(CD649=1,模拟模式!$Q$16="2个"),20,MAX(0,CF648-$F$4))</f>
        <v>0</v>
      </c>
      <c r="CG649" s="115" t="b">
        <f t="shared" si="565"/>
        <v>0</v>
      </c>
      <c r="CH649" s="115">
        <f t="shared" ca="1" si="586"/>
        <v>14.31750000000001</v>
      </c>
      <c r="CI649" s="115" t="b">
        <f t="shared" ca="1" si="587"/>
        <v>0</v>
      </c>
      <c r="CJ649" s="119">
        <f t="shared" ca="1" si="588"/>
        <v>0</v>
      </c>
      <c r="CK649" s="115">
        <f t="shared" ca="1" si="589"/>
        <v>0</v>
      </c>
      <c r="CL649" s="115" t="b">
        <f ca="1">AND(模拟模式!$S$7="驱夷逐法",OR(AND(C649="净世破魔击·月",E648&gt;59),AND(C649="净世破魔击·日",F648&gt;59)))</f>
        <v>0</v>
      </c>
      <c r="CM649" s="115" t="b">
        <f ca="1">OR(CL649,AND(C649="净世破魔击·日",CL648,RAND()&lt;模拟模式!$U$23))</f>
        <v>0</v>
      </c>
      <c r="CN649" s="115" t="b">
        <f ca="1">IF(模拟模式!$M$7="辉耀红尘",AND(C649="净世破魔击·月",CL649,CV649=0,E648&lt;80),AND(C649="净世破魔击·月",CL649,E648&lt;100))</f>
        <v>0</v>
      </c>
      <c r="CO649" s="115" t="b">
        <f t="shared" ca="1" si="566"/>
        <v>0</v>
      </c>
      <c r="CP649" s="115" t="b">
        <f ca="1">AND(模拟模式!$O$7="用晦而明",OR(C649="净世破魔击·日",C649="净世破魔击·月",C649="驱夜断愁"),AB649)</f>
        <v>0</v>
      </c>
      <c r="CQ649" s="115" t="b">
        <f ca="1">OR(CP649,AND(CP648,RAND()&lt;模拟模式!$U$23))</f>
        <v>1</v>
      </c>
      <c r="CR649" s="115" t="b">
        <f ca="1">AND(模拟模式!$S$7="日月齐光",OR(C649="幽月轮1",C649="幽月轮2",C649="幽月轮3",CR648),NOT(OR(C649="赤日轮1",C649="赤日轮2",C649="赤日轮3")))</f>
        <v>0</v>
      </c>
      <c r="CS649" s="115" t="b">
        <f ca="1">AND(模拟模式!$S$7="日月齐光",OR(C649="赤日轮1",C649="赤日轮2",C649="赤日轮3",CS648),NOT(OR(C649="幽月轮1",C649="幽月轮2",C649="幽月轮3")))</f>
        <v>0</v>
      </c>
      <c r="CT649" s="115">
        <f t="shared" ca="1" si="590"/>
        <v>5.0925000000000118</v>
      </c>
      <c r="CU649" s="115" t="b">
        <f ca="1">AND(模拟模式!$K$10="阴阳往极",CT648=0,RAND()&lt;IF(C649="净世破魔击·月",0.0275*7/3,IF(C649="净世破魔击·日",0.0275*3/3,0.0275*2/3)))</f>
        <v>0</v>
      </c>
      <c r="CV649" s="115">
        <f t="shared" ca="1" si="591"/>
        <v>0</v>
      </c>
      <c r="CW649" s="115">
        <f t="shared" ca="1" si="592"/>
        <v>2.3099999999999996</v>
      </c>
      <c r="CX649" s="115">
        <f t="shared" ca="1" si="593"/>
        <v>0.46499999999999975</v>
      </c>
      <c r="CY649" s="115">
        <f ca="1">MAX(IF($C649="驱夜断愁",IF(模拟模式!$R$7="万念俱寂",6,45),CY648-$F$4),0)</f>
        <v>1.3874999999999997</v>
      </c>
      <c r="CZ649" s="115">
        <f t="shared" ca="1" si="567"/>
        <v>0</v>
      </c>
      <c r="DA649" s="115">
        <f ca="1">IF(模拟模式!$N$7="日月同辉",IF(DB648=2,0,MIN(6,IF(AND(OR(C649="赤日轮1",C649="赤日轮2",C649="赤日轮3",C649="幽月轮1",C649="幽月轮2",C649="幽月轮3"),AB649=1),DA648+1,DA648))),0)</f>
        <v>6</v>
      </c>
      <c r="DB649" s="115">
        <f t="shared" ca="1" si="568"/>
        <v>2</v>
      </c>
      <c r="DC649" s="115"/>
      <c r="DD649" s="115"/>
      <c r="DE649" s="115"/>
      <c r="DF649" s="115"/>
      <c r="DG649" s="115"/>
      <c r="DH649" s="115"/>
      <c r="DI649" s="115"/>
      <c r="DJ649" s="115"/>
      <c r="DK649" s="115"/>
      <c r="DL649" s="115"/>
      <c r="DM649" s="115"/>
    </row>
    <row r="650" spans="2:117" x14ac:dyDescent="0.2">
      <c r="B650" s="117">
        <f t="shared" si="569"/>
        <v>574.71750000000645</v>
      </c>
      <c r="C650" s="167" t="str">
        <f t="shared" ca="1" si="538"/>
        <v>银月斩</v>
      </c>
      <c r="D650" s="115">
        <f ca="1">IF(C650="赤日轮1",1,IF(C650="赤日轮2",2,IF(C650="赤日轮3",3,IF(C650="幽月轮1",4,IF(C650="幽月轮2",5,IF(C650="幽月轮3",6,IF(C650="烈日斩",7,IF(C650="银月斩",8,IF(C650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650="净世破魔击·月",17,IF(C650="驱夜断愁",18,0)))))))))))</f>
        <v>8</v>
      </c>
      <c r="E650" s="115">
        <f ca="1">IF(AND(CU650,OR(C650="幽月轮1",C650="幽月轮2",C650="幽月轮3",C650="银月斩",C650="驱夜断愁",C650="净世破魔击·月")),100,MIN(IF(OR(CN650,BE650),0,IF(OR($C650="赤日轮1",$C650="赤日轮2",$C650="赤日轮3"),E649+20+IF(模拟模式!$I$7="日月凌天",4,0)+IF(CR649,20,0),IF($C650="烈日斩",E649+40,IF($C650="驱夜断愁",IF(模拟模式!$R$7="万念俱寂",E649+20,E649+60),IF($C650="净世破魔击·月",IF(OR(DB649&gt;0,CV649&gt;0),100,IF(模拟模式!$M$7="辉耀红尘",E649+20,E649)),IF($C650="净世破魔击·日",E649-100,E649)))))),100))</f>
        <v>20</v>
      </c>
      <c r="F650" s="115">
        <f ca="1">IF(AND(CU650,OR(C650="赤日轮1",C650="赤日轮2",C650="赤日轮3",C650="烈日斩",C650="净世破魔击·日")),100,MIN(IF(CO650,0,IF(OR($C650="幽月轮1",$C650="幽月轮2",$C650="幽月轮3"),F649+20+IF(模拟模式!$I$7="日月凌天",4,0)+IF(CS649,20,0),IF($C650="银月斩",F649+40+IF(模拟模式!$X$12=1,5,0),IF($C650="驱夜断愁",IF(模拟模式!$R$7="万念俱寂",F649+20,F649+60),IF($C650="净世破魔击·月",IF(模拟模式!$M$7="辉耀红尘",F649-80,F649-100),IF(AND(C650="净世破魔击·日",OR(DB649&gt;0,CV649&gt;0)),100,F649)))))),100))</f>
        <v>65</v>
      </c>
      <c r="G650" s="117">
        <f ca="1">('模拟-全程加成'!$E$3+'模拟-全程加成'!$E$4+'模拟-全程加成'!$E$5+('模拟-全程加成'!$C$6-'模拟-全程加成'!$C$3)*系数!$B$9+BS650*23)*(1+'模拟-全程加成'!$F$4+'模拟-全程加成'!$F$5+BJ650*10%+BM650*20%+BP650*4%+CG650*30%)+$F$7*系数!$B$12</f>
        <v>20583.127400000001</v>
      </c>
      <c r="H650" s="45">
        <f ca="1">'模拟-全程加成'!$H$3+'模拟-全程加成'!$H$4+'模拟-全程加成'!$H$5+('模拟-全程加成'!$G$4+'模拟-全程加成'!$G$5+('模拟-全程加成'!$C$6-'模拟-全程加成'!$C$3)*系数!$B$13)/系数!$B$3+LOOKUP(D650,'模拟-单技能数据'!$A$2:$A$19,'模拟-单技能数据'!$K$2:$K$19)+BG650*10%+IF(BV650&gt;0,378,0)</f>
        <v>0.64185145527300214</v>
      </c>
      <c r="I650" s="45">
        <f ca="1">'模拟-全程加成'!$J$3+'模拟-全程加成'!$J$4+'模拟-全程加成'!$J$5+('模拟-全程加成'!$I$4+'模拟-全程加成'!$I$5)/系数!$B$4+LOOKUP(D650,'模拟-单技能数据'!$A$2:$A$19,'模拟-单技能数据'!$L$2:$L$19)+BG650*10%</f>
        <v>2.2624828854998791</v>
      </c>
      <c r="J650" s="45">
        <f ca="1">(('模拟-全程加成'!$K$3+'模拟-全程加成'!$K$4+'模拟-全程加成'!$K$5+('模拟-全程加成'!$C$6-'模拟-全程加成'!$C$3)*系数!$B$10+IF(BV650&gt;0,882,0)+IF(BY650&gt;0,1831,0))*(1+'模拟-全程加成'!$L$4+'模拟-全程加成'!$L$5+CC650*20%))/系数!$B$5</f>
        <v>0.69723220422048726</v>
      </c>
      <c r="K650" s="119">
        <f ca="1">LOOKUP(D650,'模拟-单技能数据'!$A$2:$A$19,'模拟-单技能数据'!$J$2:$J$19)+IF(CM650,60%,0)+IF(DB649-DB650&gt;0,30%,0)+IF(OR(AND(OR(C650="赤日轮1",C650="赤日轮2",C650="赤日轮3"),CR650),AND(OR(C650="幽月轮1",C650="幽月轮2",C650="幽月轮3"),CS650)),35%,0)+CJ650</f>
        <v>0.15</v>
      </c>
      <c r="L650" s="119">
        <f ca="1">IF(AND(C650="烈日斩",模拟模式!$X$11=1),10%,0)+IF(AND(C650="驱夜断愁",AB650=1),30%,0)</f>
        <v>0</v>
      </c>
      <c r="M650" s="45">
        <f t="shared" ca="1" si="539"/>
        <v>0.64185145527300214</v>
      </c>
      <c r="N650" s="45">
        <f t="shared" ca="1" si="540"/>
        <v>0.30424854472699792</v>
      </c>
      <c r="O650" s="46">
        <f t="shared" ca="1" si="570"/>
        <v>0.78626203617174129</v>
      </c>
      <c r="P650" s="46" t="str">
        <f t="shared" ca="1" si="541"/>
        <v>命</v>
      </c>
      <c r="Q650" s="45">
        <f t="shared" ca="1" si="542"/>
        <v>1</v>
      </c>
      <c r="R650" s="117">
        <f ca="1">模拟模式!$E$20*(1-IF(模拟模式!$J$19="有",0.15,0))*(1-IF(模拟模式!$K$19="有",0.3,0)-IF(CQ650,0.5,0))</f>
        <v>2950.6049999999996</v>
      </c>
      <c r="S650" s="45">
        <f ca="1">R650/(R650+(185*模拟模式!$E$22-16800)*4.08224)</f>
        <v>0.24272716014590323</v>
      </c>
      <c r="T650" s="45" t="str">
        <f ca="1">LOOKUP(D650,'模拟-单技能数据'!$A$2:$A$19,'模拟-单技能数据'!$H$2:$H$19)</f>
        <v>阴</v>
      </c>
      <c r="U650" s="119">
        <f t="shared" ca="1" si="543"/>
        <v>0.08</v>
      </c>
      <c r="V650" s="47">
        <f ca="1">(1+L650)*(LOOKUP(D650,'模拟-单技能数据'!$A$2:$A$19,'模拟-单技能数据'!$D$2:$D$19)+G650*LOOKUP(D650,'模拟-单技能数据'!$A$2:$A$19,'模拟-单技能数据'!$F$2:$F$19))*(1+J650)*(1+K650)*(1-S650)*(1+U650)*Q650*LOOKUP(D650,'模拟-单技能数据'!$A$2:$A$19,'模拟-单技能数据'!$I$2:$I$20)</f>
        <v>17450.434922549593</v>
      </c>
      <c r="W650" s="47">
        <f ca="1">LOOKUP(D650,'模拟-单技能数据'!$A$2:$A$19,'模拟-单技能数据'!$G$2:$G$19)*$I$10</f>
        <v>361.51064354704795</v>
      </c>
      <c r="X650" s="47">
        <f t="shared" ca="1" si="571"/>
        <v>3368.2409654332282</v>
      </c>
      <c r="Y650" s="47">
        <f t="shared" ca="1" si="544"/>
        <v>21180.186531529871</v>
      </c>
      <c r="Z650" s="49">
        <f t="shared" ca="1" si="545"/>
        <v>65160354.446039423</v>
      </c>
      <c r="AA650" s="97">
        <f t="shared" ca="1" si="546"/>
        <v>113378.05869151138</v>
      </c>
      <c r="AB650" s="115">
        <f ca="1">IF(OR(C650="赤日轮1",C650="赤日轮2",C650="赤日轮3"),IF(RAND()&lt;模拟模式!$Y$17,1,0),IF(OR(C650="幽月轮1",C650="幽月轮2",C650="幽月轮3"),IF(RAND()&lt;模拟模式!$Y$18,1,0),IF(C650="烈日斩",IF(RAND()&lt;模拟模式!$Y$19,1,0),IF(C650="银月斩",IF(RAND()&lt;模拟模式!$Y$20,1,0),IF(C650="驱夜断愁",IF(RAND()&lt;模拟模式!$Y$21,1,0),IF(C650="净世破魔击·日",IF(RAND()&lt;模拟模式!$Y$22,1,0),IF(C650="净世破魔击·月",IF(RAND()&lt;模拟模式!$Y$23,1,0),0)))))))</f>
        <v>1</v>
      </c>
      <c r="AC650" s="115" t="b">
        <f t="shared" ca="1" si="547"/>
        <v>1</v>
      </c>
      <c r="AD650" s="115" t="b">
        <f t="shared" ca="1" si="548"/>
        <v>1</v>
      </c>
      <c r="AE650" s="115">
        <f t="shared" ca="1" si="549"/>
        <v>5</v>
      </c>
      <c r="AF650" s="47">
        <f ca="1">IF(AC650,('模拟-单技能数据'!$D$20+G650*'模拟-单技能数据'!$F$20)*(1+J650)*(1+'模拟-单技能数据'!$J$20)*(1+U650),0)</f>
        <v>4447.8565560098323</v>
      </c>
      <c r="AG650" s="61">
        <f t="shared" ca="1" si="550"/>
        <v>0.64185145527300214</v>
      </c>
      <c r="AH650" s="61">
        <f t="shared" ca="1" si="551"/>
        <v>2.2624828854998791</v>
      </c>
      <c r="AI650" s="62">
        <f t="shared" ca="1" si="572"/>
        <v>0.99817849537130987</v>
      </c>
      <c r="AJ650" s="47">
        <f ca="1">IF(AD650,IF(AI650&lt;$F$10,0,IF(AI650&lt;$F$10+$F$11,0.25,IF(AI650&lt;$F$10+$F$11+AG650,AH650,1)))*IF(AF650&gt;0,AF650,IF(AF649&gt;0,AF649,IF(AF648&gt;0,AF648,IF(AF647&gt;0,AF647,IF(AF646&gt;0,AF646,IF(AF645&gt;0,AF645,IF(AF644&gt;0,AF644,IF(AF643&gt;0,AF643,IF(AF642&gt;0,AF642,IF(AF640&gt;0,AF640,IF(AF639&gt;0,AF639,IF(AF638&gt;0,AF638,0)))))))))))),0)*(1-$S650)*'模拟-单技能数据'!$I$20</f>
        <v>3368.2409654332282</v>
      </c>
      <c r="AK650" s="115" t="b">
        <f t="shared" ca="1" si="552"/>
        <v>0</v>
      </c>
      <c r="AL650" s="115" t="b">
        <f t="shared" ca="1" si="553"/>
        <v>0</v>
      </c>
      <c r="AM650" s="115">
        <f t="shared" ca="1" si="554"/>
        <v>5</v>
      </c>
      <c r="AN650" s="47">
        <f ca="1">IF(AK650,('模拟-单技能数据'!$D$21+G650*'模拟-单技能数据'!$F$21)*(1+J650)*(1+'模拟-单技能数据'!$J$21)*(1+U650),0)</f>
        <v>0</v>
      </c>
      <c r="AO650" s="61">
        <f ca="1">IF(AN650&gt;0,M650-'模拟-单技能数据'!$K$10,AO649)</f>
        <v>0.42185145527300216</v>
      </c>
      <c r="AP650" s="61">
        <f ca="1">IF(AN650&gt;0,I650-'模拟-单技能数据'!$L$10,AP649)</f>
        <v>2.162482885499879</v>
      </c>
      <c r="AQ650" s="63">
        <f t="shared" ca="1" si="573"/>
        <v>0.49222925403217332</v>
      </c>
      <c r="AR650" s="64">
        <f ca="1">IF(AL650,IF(AQ650&lt;$F$10,0,IF(AQ650&lt;$F$10+$F$11,0.25,IF(AQ650&lt;$F$10+$F$11+AO650,AP650,1)))*IF(AN650&gt;0,AN650,IF(AN649&gt;0,AN649,IF(AN648&gt;0,AN648,IF(AN647&gt;0,AN647,IF(AN646&gt;0,AN646,IF(AN645&gt;0,AN645,IF(AN644&gt;0,AN644,IF(AN643&gt;0,AN643,IF(AN642&gt;0,AN642,IF(AN640&gt;0,AN640,IF(AN639&gt;0,AN639,IF(AN638&gt;0,AN638,0)))))))))))),0)*(1-$S650)*'模拟-单技能数据'!$I$21</f>
        <v>0</v>
      </c>
      <c r="AS650" s="61">
        <f ca="1">IF(OR(C650="净世破魔击·日",C650="净世破魔击·月"),M650-'模拟-单技能数据'!$K$10,0)</f>
        <v>0</v>
      </c>
      <c r="AT650" s="61">
        <f ca="1">IF(OR(C650="净世破魔击·日",C650="净世破魔击·月"),I650-'模拟-单技能数据'!$L$10,0)</f>
        <v>0</v>
      </c>
      <c r="AU650" s="62">
        <f t="shared" ca="1" si="574"/>
        <v>0.12602592638481791</v>
      </c>
      <c r="AV650" s="64">
        <f ca="1">IF(AS650&gt;0,('模拟-单技能数据'!$D$22+G650*'模拟-单技能数据'!$F$22)*(1+J650)*(1-S650)*IF(AU650&lt;$F$10,0,IF(AU650&lt;$F$10+$F$11,0.25,IF(AU650&lt;$F$10+$F$11+AS650,AT650,1)))*(1+U650),0)*'模拟-单技能数据'!$I$22</f>
        <v>0</v>
      </c>
      <c r="AW650" s="108">
        <f t="shared" ca="1" si="575"/>
        <v>0</v>
      </c>
      <c r="AX650" s="108" t="b">
        <f ca="1">AND(模拟模式!$P$10="有",AW649=0,RAND()&lt;IF(C650="净世破魔击·月",0.1*8/3,IF(C650="净世破魔击·日",0.1*4/3,0.1*2/3)))</f>
        <v>0</v>
      </c>
      <c r="AY650" s="47">
        <f ca="1">IF(AX650,(18+G650*0.722)*(1+J650)*(1-S650)*(1+$I$4)*IF(P650="会",'模拟-全程加成'!$J$3+'模拟-全程加成'!$J$4+'模拟-全程加成'!$J$5+('模拟-全程加成'!$I$4+'模拟-全程加成'!$I$5)/系数!$B$4+BG650*10%,IF(P650="命",1,IF(P650="识",0.25,0))),0)</f>
        <v>0</v>
      </c>
      <c r="AZ650" s="108">
        <f t="shared" si="576"/>
        <v>13.542500000000004</v>
      </c>
      <c r="BA650" s="108" t="b">
        <f>AND(模拟模式!$Q$10="有",AZ649=0)</f>
        <v>0</v>
      </c>
      <c r="BB650" s="140">
        <f>IF(BA650,(0+G650*0.287)*(1+J650)*(1-S650)*(1+$I$4)*IF(P650="会",'模拟-全程加成'!$J$3+'模拟-全程加成'!$J$4+'模拟-全程加成'!$J$5+('模拟-全程加成'!$I$4+'模拟-全程加成'!$I$5)/系数!$B$4+BG650*10%,IF(P650="命",1,IF(P650="识",0.25,0))),0)</f>
        <v>0</v>
      </c>
      <c r="BC650" s="115" t="b">
        <f ca="1">AND(模拟模式!$R$7="伏明众生",E650=60,F650=20,DA650&lt;5,CZ649&lt;$F$4)</f>
        <v>0</v>
      </c>
      <c r="BD650" s="115">
        <f t="shared" ca="1" si="555"/>
        <v>0</v>
      </c>
      <c r="BE650" s="115" t="b">
        <f t="shared" ca="1" si="556"/>
        <v>0</v>
      </c>
      <c r="BF650" s="47">
        <f ca="1">IF(BC650,4*('模拟-单技能数据'!$D$24+G650*'模拟-单技能数据'!$F$24)*(1+J650)*(1+'模拟-单技能数据'!$J$24)*(1-S650)*(1+$I$3)*(('模拟-全程加成'!$J$3+'模拟-全程加成'!$J$4+'模拟-全程加成'!$J$5+('模拟-全程加成'!$I$4+'模拟-全程加成'!$I$5)/系数!$B$4+BG650*10%)*('模拟-全程加成'!$J$3+'模拟-全程加成'!$J$4+'模拟-全程加成'!$J$5+('模拟-全程加成'!$I$4+'模拟-全程加成'!$I$5)/系数!$B$4+BG650*10%)+(1-('模拟-全程加成'!$J$3+'模拟-全程加成'!$J$4+'模拟-全程加成'!$J$5+('模拟-全程加成'!$I$4+'模拟-全程加成'!$I$5)/系数!$B$4+BG650*10%)-$F$10-$F$11)+F636*0.25),0)*'模拟-单技能数据'!$I$24</f>
        <v>0</v>
      </c>
      <c r="BG650" s="115" t="b">
        <f ca="1">OR(AND(OR(C650="烈日斩",C650="银月斩"),模拟模式!$I$7="净身明礼"),AND(C650="净世破魔击·日",模拟模式!$J$7="洞若观火"),AND(C651="净世破魔击·月",模拟模式!$J$7="洞若观火"),AB650=1)</f>
        <v>1</v>
      </c>
      <c r="BH650" s="115" t="b">
        <f t="shared" ca="1" si="577"/>
        <v>0</v>
      </c>
      <c r="BI650" s="115">
        <f t="shared" ca="1" si="557"/>
        <v>0</v>
      </c>
      <c r="BJ650" s="115" t="b">
        <f t="shared" ca="1" si="558"/>
        <v>0</v>
      </c>
      <c r="BK650" s="115" t="b">
        <f ca="1">AND(C650="驱夜断愁",模拟模式!$P$7="天地诛戮")</f>
        <v>0</v>
      </c>
      <c r="BL650" s="57">
        <f t="shared" ca="1" si="559"/>
        <v>14.465000000000003</v>
      </c>
      <c r="BM650" s="115" t="b">
        <f t="shared" ca="1" si="560"/>
        <v>1</v>
      </c>
      <c r="BN650" s="115" t="b">
        <f ca="1">AND(OR(C650="赤日轮1",C650="赤日轮2",C650="赤日轮3",C650="幽月轮1",C650="幽月轮2",C650="幽月轮3"),AB650=1,模拟模式!$L$7="明光恒照")</f>
        <v>0</v>
      </c>
      <c r="BO650" s="117">
        <f t="shared" ca="1" si="561"/>
        <v>29.077500000000001</v>
      </c>
      <c r="BP650" s="115">
        <f t="shared" ca="1" si="578"/>
        <v>6</v>
      </c>
      <c r="BQ650" s="115" t="b">
        <f>模拟模式!$K$10="2600·水"</f>
        <v>0</v>
      </c>
      <c r="BR650" s="117">
        <f t="shared" si="579"/>
        <v>0</v>
      </c>
      <c r="BS650" s="115">
        <f t="shared" si="580"/>
        <v>0</v>
      </c>
      <c r="BT650" s="115">
        <f t="shared" ca="1" si="581"/>
        <v>0</v>
      </c>
      <c r="BU650" s="115" t="b">
        <f ca="1">AND(模拟模式!$K$10="2300·雷",BT649=0,RAND()&lt;IF(C650="净世破魔击·月",5*0.05*2/3,IF(C650="净世破魔击·日",3*0.05*2/3,0.05*2*2/3)))</f>
        <v>0</v>
      </c>
      <c r="BV650" s="115">
        <f t="shared" ca="1" si="582"/>
        <v>0</v>
      </c>
      <c r="BW650" s="115">
        <f t="shared" ca="1" si="583"/>
        <v>163.39499999999975</v>
      </c>
      <c r="BX650" s="164" t="b">
        <f t="shared" ca="1" si="584"/>
        <v>0</v>
      </c>
      <c r="BY650" s="115">
        <f t="shared" ca="1" si="585"/>
        <v>0</v>
      </c>
      <c r="BZ650" s="115">
        <f>IF(OR(模拟模式!$P$16="10人团",模拟模式!$P$16="25人团"),IF(B650/30&gt;CA649,1,0),0)</f>
        <v>0</v>
      </c>
      <c r="CA650" s="115">
        <f t="shared" si="562"/>
        <v>0</v>
      </c>
      <c r="CB650" s="115">
        <f ca="1">IF(BZ650=1,IF(模拟模式!$P$16="10人团",15,0)+IF(模拟模式!$P$16="25人团",IF(RAND()&lt;0.6,15,0)),MAX(0,CB649-$F$4))</f>
        <v>0</v>
      </c>
      <c r="CC650" s="115" t="b">
        <f t="shared" ca="1" si="563"/>
        <v>0</v>
      </c>
      <c r="CD650" s="115">
        <f>IF(模拟模式!$Q$16="1个",IF(B650/40&gt;CE649,1,0),0)</f>
        <v>0</v>
      </c>
      <c r="CE650" s="115">
        <f t="shared" si="564"/>
        <v>0</v>
      </c>
      <c r="CF650" s="115">
        <f>IF(OR(CD650=1,模拟模式!$Q$16="2个"),20,MAX(0,CF649-$F$4))</f>
        <v>0</v>
      </c>
      <c r="CG650" s="115" t="b">
        <f t="shared" si="565"/>
        <v>0</v>
      </c>
      <c r="CH650" s="115">
        <f t="shared" ca="1" si="586"/>
        <v>13.39500000000001</v>
      </c>
      <c r="CI650" s="115" t="b">
        <f t="shared" ca="1" si="587"/>
        <v>0</v>
      </c>
      <c r="CJ650" s="119">
        <f t="shared" ca="1" si="588"/>
        <v>0</v>
      </c>
      <c r="CK650" s="115">
        <f t="shared" ca="1" si="589"/>
        <v>0</v>
      </c>
      <c r="CL650" s="115" t="b">
        <f ca="1">AND(模拟模式!$S$7="驱夷逐法",OR(AND(C650="净世破魔击·月",E649&gt;59),AND(C650="净世破魔击·日",F649&gt;59)))</f>
        <v>0</v>
      </c>
      <c r="CM650" s="115" t="b">
        <f ca="1">OR(CL650,AND(C650="净世破魔击·日",CL649,RAND()&lt;模拟模式!$U$23))</f>
        <v>0</v>
      </c>
      <c r="CN650" s="115" t="b">
        <f ca="1">IF(模拟模式!$M$7="辉耀红尘",AND(C650="净世破魔击·月",CL650,CV650=0,E649&lt;80),AND(C650="净世破魔击·月",CL650,E649&lt;100))</f>
        <v>0</v>
      </c>
      <c r="CO650" s="115" t="b">
        <f t="shared" ca="1" si="566"/>
        <v>0</v>
      </c>
      <c r="CP650" s="115" t="b">
        <f ca="1">AND(模拟模式!$O$7="用晦而明",OR(C650="净世破魔击·日",C650="净世破魔击·月",C650="驱夜断愁"),AB650)</f>
        <v>0</v>
      </c>
      <c r="CQ650" s="115" t="b">
        <f ca="1">OR(CP650,AND(CP649,RAND()&lt;模拟模式!$U$23))</f>
        <v>0</v>
      </c>
      <c r="CR650" s="115" t="b">
        <f ca="1">AND(模拟模式!$S$7="日月齐光",OR(C650="幽月轮1",C650="幽月轮2",C650="幽月轮3",CR649),NOT(OR(C650="赤日轮1",C650="赤日轮2",C650="赤日轮3")))</f>
        <v>0</v>
      </c>
      <c r="CS650" s="115" t="b">
        <f ca="1">AND(模拟模式!$S$7="日月齐光",OR(C650="赤日轮1",C650="赤日轮2",C650="赤日轮3",CS649),NOT(OR(C650="幽月轮1",C650="幽月轮2",C650="幽月轮3")))</f>
        <v>0</v>
      </c>
      <c r="CT650" s="115">
        <f t="shared" ca="1" si="590"/>
        <v>4.1700000000000115</v>
      </c>
      <c r="CU650" s="115" t="b">
        <f ca="1">AND(模拟模式!$K$10="阴阳往极",CT649=0,RAND()&lt;IF(C650="净世破魔击·月",0.0275*7/3,IF(C650="净世破魔击·日",0.0275*3/3,0.0275*2/3)))</f>
        <v>0</v>
      </c>
      <c r="CV650" s="115">
        <f t="shared" ca="1" si="591"/>
        <v>0</v>
      </c>
      <c r="CW650" s="115">
        <f t="shared" ca="1" si="592"/>
        <v>1.3874999999999997</v>
      </c>
      <c r="CX650" s="115">
        <f t="shared" ca="1" si="593"/>
        <v>6</v>
      </c>
      <c r="CY650" s="115">
        <f ca="1">MAX(IF($C650="驱夜断愁",IF(模拟模式!$R$7="万念俱寂",6,45),CY649-$F$4),0)</f>
        <v>0.46499999999999975</v>
      </c>
      <c r="CZ650" s="115">
        <f t="shared" ca="1" si="567"/>
        <v>0</v>
      </c>
      <c r="DA650" s="115">
        <f ca="1">IF(模拟模式!$N$7="日月同辉",IF(DB649=2,0,MIN(6,IF(AND(OR(C650="赤日轮1",C650="赤日轮2",C650="赤日轮3",C650="幽月轮1",C650="幽月轮2",C650="幽月轮3"),AB650=1),DA649+1,DA649))),0)</f>
        <v>0</v>
      </c>
      <c r="DB650" s="115">
        <f t="shared" ca="1" si="568"/>
        <v>2</v>
      </c>
      <c r="DC650" s="115"/>
      <c r="DD650" s="115"/>
      <c r="DE650" s="115"/>
      <c r="DF650" s="115"/>
      <c r="DG650" s="115"/>
      <c r="DH650" s="115"/>
      <c r="DI650" s="115"/>
      <c r="DJ650" s="115"/>
      <c r="DK650" s="115"/>
      <c r="DL650" s="115"/>
      <c r="DM650" s="115"/>
    </row>
    <row r="651" spans="2:117" x14ac:dyDescent="0.2">
      <c r="B651" s="117">
        <f t="shared" si="569"/>
        <v>575.64000000000647</v>
      </c>
      <c r="C651" s="167" t="str">
        <f t="shared" ca="1" si="538"/>
        <v>驱夜断愁</v>
      </c>
      <c r="D651" s="115">
        <f ca="1">IF(C651="赤日轮1",1,IF(C651="赤日轮2",2,IF(C651="赤日轮3",3,IF(C651="幽月轮1",4,IF(C651="幽月轮2",5,IF(C651="幽月轮3",6,IF(C651="烈日斩",7,IF(C651="银月斩",8,IF(C651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651="净世破魔击·月",17,IF(C651="驱夜断愁",18,0)))))))))))</f>
        <v>18</v>
      </c>
      <c r="E651" s="115">
        <f ca="1">IF(AND(CU651,OR(C651="幽月轮1",C651="幽月轮2",C651="幽月轮3",C651="银月斩",C651="驱夜断愁",C651="净世破魔击·月")),100,MIN(IF(OR(CN651,BE651),0,IF(OR($C651="赤日轮1",$C651="赤日轮2",$C651="赤日轮3"),E650+20+IF(模拟模式!$I$7="日月凌天",4,0)+IF(CR650,20,0),IF($C651="烈日斩",E650+40,IF($C651="驱夜断愁",IF(模拟模式!$R$7="万念俱寂",E650+20,E650+60),IF($C651="净世破魔击·月",IF(OR(DB650&gt;0,CV650&gt;0),100,IF(模拟模式!$M$7="辉耀红尘",E650+20,E650)),IF($C651="净世破魔击·日",E650-100,E650)))))),100))</f>
        <v>40</v>
      </c>
      <c r="F651" s="115">
        <f ca="1">IF(AND(CU651,OR(C651="赤日轮1",C651="赤日轮2",C651="赤日轮3",C651="烈日斩",C651="净世破魔击·日")),100,MIN(IF(CO651,0,IF(OR($C651="幽月轮1",$C651="幽月轮2",$C651="幽月轮3"),F650+20+IF(模拟模式!$I$7="日月凌天",4,0)+IF(CS650,20,0),IF($C651="银月斩",F650+40+IF(模拟模式!$X$12=1,5,0),IF($C651="驱夜断愁",IF(模拟模式!$R$7="万念俱寂",F650+20,F650+60),IF($C651="净世破魔击·月",IF(模拟模式!$M$7="辉耀红尘",F650-80,F650-100),IF(AND(C651="净世破魔击·日",OR(DB650&gt;0,CV650&gt;0)),100,F650)))))),100))</f>
        <v>85</v>
      </c>
      <c r="G651" s="117">
        <f ca="1">('模拟-全程加成'!$E$3+'模拟-全程加成'!$E$4+'模拟-全程加成'!$E$5+('模拟-全程加成'!$C$6-'模拟-全程加成'!$C$3)*系数!$B$9+BS651*23)*(1+'模拟-全程加成'!$F$4+'模拟-全程加成'!$F$5+BJ651*10%+BM651*20%+BP651*4%+CG651*30%)+$F$7*系数!$B$12</f>
        <v>20583.127400000001</v>
      </c>
      <c r="H651" s="45">
        <f ca="1">'模拟-全程加成'!$H$3+'模拟-全程加成'!$H$4+'模拟-全程加成'!$H$5+('模拟-全程加成'!$G$4+'模拟-全程加成'!$G$5+('模拟-全程加成'!$C$6-'模拟-全程加成'!$C$3)*系数!$B$13)/系数!$B$3+LOOKUP(D651,'模拟-单技能数据'!$A$2:$A$19,'模拟-单技能数据'!$K$2:$K$19)+BG651*10%+IF(BV651&gt;0,378,0)</f>
        <v>0.51185145527300213</v>
      </c>
      <c r="I651" s="45">
        <f ca="1">'模拟-全程加成'!$J$3+'模拟-全程加成'!$J$4+'模拟-全程加成'!$J$5+('模拟-全程加成'!$I$4+'模拟-全程加成'!$I$5)/系数!$B$4+LOOKUP(D651,'模拟-单技能数据'!$A$2:$A$19,'模拟-单技能数据'!$L$2:$L$19)+BG651*10%</f>
        <v>2.162482885499879</v>
      </c>
      <c r="J651" s="45">
        <f ca="1">(('模拟-全程加成'!$K$3+'模拟-全程加成'!$K$4+'模拟-全程加成'!$K$5+('模拟-全程加成'!$C$6-'模拟-全程加成'!$C$3)*系数!$B$10+IF(BV651&gt;0,882,0)+IF(BY651&gt;0,1831,0))*(1+'模拟-全程加成'!$L$4+'模拟-全程加成'!$L$5+CC651*20%))/系数!$B$5</f>
        <v>0.69723220422048726</v>
      </c>
      <c r="K651" s="119">
        <f ca="1">LOOKUP(D651,'模拟-单技能数据'!$A$2:$A$19,'模拟-单技能数据'!$J$2:$J$19)+IF(CM651,60%,0)+IF(DB650-DB651&gt;0,30%,0)+IF(OR(AND(OR(C651="赤日轮1",C651="赤日轮2",C651="赤日轮3"),CR651),AND(OR(C651="幽月轮1",C651="幽月轮2",C651="幽月轮3"),CS651)),35%,0)+CJ651</f>
        <v>0.14000000000000001</v>
      </c>
      <c r="L651" s="119">
        <f ca="1">IF(AND(C651="烈日斩",模拟模式!$X$11=1),10%,0)+IF(AND(C651="驱夜断愁",AB651=1),30%,0)</f>
        <v>0.3</v>
      </c>
      <c r="M651" s="45">
        <f t="shared" ca="1" si="539"/>
        <v>0.51185145527300213</v>
      </c>
      <c r="N651" s="45">
        <f t="shared" ca="1" si="540"/>
        <v>0.43424854472699792</v>
      </c>
      <c r="O651" s="46">
        <f t="shared" ca="1" si="570"/>
        <v>0.5472123141285864</v>
      </c>
      <c r="P651" s="46" t="str">
        <f t="shared" ca="1" si="541"/>
        <v>会</v>
      </c>
      <c r="Q651" s="45">
        <f t="shared" ca="1" si="542"/>
        <v>2.162482885499879</v>
      </c>
      <c r="R651" s="117">
        <f ca="1">模拟模式!$E$20*(1-IF(模拟模式!$J$19="有",0.15,0))*(1-IF(模拟模式!$K$19="有",0.3,0)-IF(CQ651,0.5,0))</f>
        <v>843.02999999999975</v>
      </c>
      <c r="S651" s="45">
        <f ca="1">R651/(R651+(185*模拟模式!$E$22-16800)*4.08224)</f>
        <v>8.389626085980037E-2</v>
      </c>
      <c r="T651" s="45" t="str">
        <f ca="1">LOOKUP(D651,'模拟-单技能数据'!$A$2:$A$19,'模拟-单技能数据'!$H$2:$H$19)</f>
        <v>阴</v>
      </c>
      <c r="U651" s="119">
        <f t="shared" ca="1" si="543"/>
        <v>0.08</v>
      </c>
      <c r="V651" s="47">
        <f ca="1">(1+L651)*(LOOKUP(D651,'模拟-单技能数据'!$A$2:$A$19,'模拟-单技能数据'!$D$2:$D$19)+G651*LOOKUP(D651,'模拟-单技能数据'!$A$2:$A$19,'模拟-单技能数据'!$F$2:$F$19))*(1+J651)*(1+K651)*(1-S651)*(1+U651)*Q651*LOOKUP(D651,'模拟-单技能数据'!$A$2:$A$19,'模拟-单技能数据'!$I$2:$I$20)</f>
        <v>127463.41908070058</v>
      </c>
      <c r="W651" s="47">
        <f ca="1">LOOKUP(D651,'模拟-单技能数据'!$A$2:$A$19,'模拟-单技能数据'!$G$2:$G$19)*$I$10</f>
        <v>723.0212870940959</v>
      </c>
      <c r="X651" s="47">
        <f t="shared" ca="1" si="571"/>
        <v>26325.323350291452</v>
      </c>
      <c r="Y651" s="47">
        <f t="shared" ca="1" si="544"/>
        <v>154511.76371808612</v>
      </c>
      <c r="Z651" s="49">
        <f t="shared" ca="1" si="545"/>
        <v>65314866.209757507</v>
      </c>
      <c r="AA651" s="97">
        <f t="shared" ca="1" si="546"/>
        <v>113464.78043526644</v>
      </c>
      <c r="AB651" s="115">
        <f ca="1">IF(OR(C651="赤日轮1",C651="赤日轮2",C651="赤日轮3"),IF(RAND()&lt;模拟模式!$Y$17,1,0),IF(OR(C651="幽月轮1",C651="幽月轮2",C651="幽月轮3"),IF(RAND()&lt;模拟模式!$Y$18,1,0),IF(C651="烈日斩",IF(RAND()&lt;模拟模式!$Y$19,1,0),IF(C651="银月斩",IF(RAND()&lt;模拟模式!$Y$20,1,0),IF(C651="驱夜断愁",IF(RAND()&lt;模拟模式!$Y$21,1,0),IF(C651="净世破魔击·日",IF(RAND()&lt;模拟模式!$Y$22,1,0),IF(C651="净世破魔击·月",IF(RAND()&lt;模拟模式!$Y$23,1,0),0)))))))</f>
        <v>1</v>
      </c>
      <c r="AC651" s="115" t="b">
        <f t="shared" ca="1" si="547"/>
        <v>0</v>
      </c>
      <c r="AD651" s="115" t="b">
        <f t="shared" ca="1" si="548"/>
        <v>0</v>
      </c>
      <c r="AE651" s="115">
        <f t="shared" ca="1" si="549"/>
        <v>5</v>
      </c>
      <c r="AF651" s="47">
        <f ca="1">IF(AC651,('模拟-单技能数据'!$D$20+G651*'模拟-单技能数据'!$F$20)*(1+J651)*(1+'模拟-单技能数据'!$J$20)*(1+U651),0)</f>
        <v>0</v>
      </c>
      <c r="AG651" s="61">
        <f t="shared" ca="1" si="550"/>
        <v>0.64185145527300214</v>
      </c>
      <c r="AH651" s="61">
        <f t="shared" ca="1" si="551"/>
        <v>2.2624828854998791</v>
      </c>
      <c r="AI651" s="62">
        <f t="shared" ca="1" si="572"/>
        <v>0.92696730123880022</v>
      </c>
      <c r="AJ651" s="47">
        <f ca="1">IF(AD651,IF(AI651&lt;$F$10,0,IF(AI651&lt;$F$10+$F$11,0.25,IF(AI651&lt;$F$10+$F$11+AG651,AH651,1)))*IF(AF651&gt;0,AF651,IF(AF650&gt;0,AF650,IF(AF649&gt;0,AF649,IF(AF648&gt;0,AF648,IF(AF647&gt;0,AF647,IF(AF646&gt;0,AF646,IF(AF645&gt;0,AF645,IF(AF644&gt;0,AF644,IF(AF643&gt;0,AF643,IF(AF641&gt;0,AF641,IF(AF640&gt;0,AF640,IF(AF639&gt;0,AF639,0)))))))))))),0)*(1-$S651)*'模拟-单技能数据'!$I$20</f>
        <v>0</v>
      </c>
      <c r="AK651" s="115" t="b">
        <f t="shared" ca="1" si="552"/>
        <v>0</v>
      </c>
      <c r="AL651" s="115" t="b">
        <f t="shared" ca="1" si="553"/>
        <v>1</v>
      </c>
      <c r="AM651" s="115">
        <f t="shared" ca="1" si="554"/>
        <v>4</v>
      </c>
      <c r="AN651" s="47">
        <f ca="1">IF(AK651,('模拟-单技能数据'!$D$21+G651*'模拟-单技能数据'!$F$21)*(1+J651)*(1+'模拟-单技能数据'!$J$21)*(1+U651),0)</f>
        <v>0</v>
      </c>
      <c r="AO651" s="61">
        <f ca="1">IF(AN651&gt;0,M651-'模拟-单技能数据'!$K$10,AO650)</f>
        <v>0.42185145527300216</v>
      </c>
      <c r="AP651" s="61">
        <f ca="1">IF(AN651&gt;0,I651-'模拟-单技能数据'!$L$10,AP650)</f>
        <v>2.162482885499879</v>
      </c>
      <c r="AQ651" s="63">
        <f t="shared" ca="1" si="573"/>
        <v>0.42939497699432982</v>
      </c>
      <c r="AR651" s="64">
        <f ca="1">IF(AL651,IF(AQ651&lt;$F$10,0,IF(AQ651&lt;$F$10+$F$11,0.25,IF(AQ651&lt;$F$10+$F$11+AO651,AP651,1)))*IF(AN651&gt;0,AN651,IF(AN650&gt;0,AN650,IF(AN649&gt;0,AN649,IF(AN648&gt;0,AN648,IF(AN647&gt;0,AN647,IF(AN646&gt;0,AN646,IF(AN645&gt;0,AN645,IF(AN644&gt;0,AN644,IF(AN643&gt;0,AN643,IF(AN641&gt;0,AN641,IF(AN640&gt;0,AN640,IF(AN639&gt;0,AN639,0)))))))))))),0)*(1-$S651)*'模拟-单技能数据'!$I$21</f>
        <v>26325.323350291452</v>
      </c>
      <c r="AS651" s="61">
        <f ca="1">IF(OR(C651="净世破魔击·日",C651="净世破魔击·月"),M651-'模拟-单技能数据'!$K$10,0)</f>
        <v>0</v>
      </c>
      <c r="AT651" s="61">
        <f ca="1">IF(OR(C651="净世破魔击·日",C651="净世破魔击·月"),I651-'模拟-单技能数据'!$L$10,0)</f>
        <v>0</v>
      </c>
      <c r="AU651" s="62">
        <f t="shared" ca="1" si="574"/>
        <v>3.7030443323091911E-2</v>
      </c>
      <c r="AV651" s="64">
        <f ca="1">IF(AS651&gt;0,('模拟-单技能数据'!$D$22+G651*'模拟-单技能数据'!$F$22)*(1+J651)*(1-S651)*IF(AU651&lt;$F$10,0,IF(AU651&lt;$F$10+$F$11,0.25,IF(AU651&lt;$F$10+$F$11+AS651,AT651,1)))*(1+U651),0)*'模拟-单技能数据'!$I$22</f>
        <v>0</v>
      </c>
      <c r="AW651" s="108">
        <f t="shared" ca="1" si="575"/>
        <v>0</v>
      </c>
      <c r="AX651" s="108" t="b">
        <f ca="1">AND(模拟模式!$P$10="有",AW650=0,RAND()&lt;IF(C651="净世破魔击·月",0.1*8/3,IF(C651="净世破魔击·日",0.1*4/3,0.1*2/3)))</f>
        <v>0</v>
      </c>
      <c r="AY651" s="47">
        <f ca="1">IF(AX651,(18+G651*0.722)*(1+J651)*(1-S651)*(1+$I$4)*IF(P651="会",'模拟-全程加成'!$J$3+'模拟-全程加成'!$J$4+'模拟-全程加成'!$J$5+('模拟-全程加成'!$I$4+'模拟-全程加成'!$I$5)/系数!$B$4+BG651*10%,IF(P651="命",1,IF(P651="识",0.25,0))),0)</f>
        <v>0</v>
      </c>
      <c r="AZ651" s="108">
        <f t="shared" si="576"/>
        <v>12.620000000000005</v>
      </c>
      <c r="BA651" s="108" t="b">
        <f>AND(模拟模式!$Q$10="有",AZ650=0)</f>
        <v>0</v>
      </c>
      <c r="BB651" s="140">
        <f>IF(BA651,(0+G651*0.287)*(1+J651)*(1-S651)*(1+$I$4)*IF(P651="会",'模拟-全程加成'!$J$3+'模拟-全程加成'!$J$4+'模拟-全程加成'!$J$5+('模拟-全程加成'!$I$4+'模拟-全程加成'!$I$5)/系数!$B$4+BG651*10%,IF(P651="命",1,IF(P651="识",0.25,0))),0)</f>
        <v>0</v>
      </c>
      <c r="BC651" s="115" t="b">
        <f ca="1">AND(模拟模式!$R$7="伏明众生",E651=60,F651=20,DA651&lt;5,CZ650&lt;$F$4)</f>
        <v>0</v>
      </c>
      <c r="BD651" s="115">
        <f t="shared" ca="1" si="555"/>
        <v>0</v>
      </c>
      <c r="BE651" s="115" t="b">
        <f t="shared" ca="1" si="556"/>
        <v>0</v>
      </c>
      <c r="BF651" s="47">
        <f ca="1">IF(BC651,4*('模拟-单技能数据'!$D$24+G651*'模拟-单技能数据'!$F$24)*(1+J651)*(1+'模拟-单技能数据'!$J$24)*(1-S651)*(1+$I$3)*(('模拟-全程加成'!$J$3+'模拟-全程加成'!$J$4+'模拟-全程加成'!$J$5+('模拟-全程加成'!$I$4+'模拟-全程加成'!$I$5)/系数!$B$4+BG651*10%)*('模拟-全程加成'!$J$3+'模拟-全程加成'!$J$4+'模拟-全程加成'!$J$5+('模拟-全程加成'!$I$4+'模拟-全程加成'!$I$5)/系数!$B$4+BG651*10%)+(1-('模拟-全程加成'!$J$3+'模拟-全程加成'!$J$4+'模拟-全程加成'!$J$5+('模拟-全程加成'!$I$4+'模拟-全程加成'!$I$5)/系数!$B$4+BG651*10%)-$F$10-$F$11)+F637*0.25),0)*'模拟-单技能数据'!$I$24</f>
        <v>0</v>
      </c>
      <c r="BG651" s="115" t="b">
        <f ca="1">OR(AND(OR(C651="烈日斩",C651="银月斩"),模拟模式!$I$7="净身明礼"),AND(C651="净世破魔击·日",模拟模式!$J$7="洞若观火"),AND(C652="净世破魔击·月",模拟模式!$J$7="洞若观火"),AB651=1)</f>
        <v>1</v>
      </c>
      <c r="BH651" s="115" t="b">
        <f t="shared" ca="1" si="577"/>
        <v>0</v>
      </c>
      <c r="BI651" s="115">
        <f t="shared" ca="1" si="557"/>
        <v>0</v>
      </c>
      <c r="BJ651" s="115" t="b">
        <f t="shared" ca="1" si="558"/>
        <v>0</v>
      </c>
      <c r="BK651" s="115" t="b">
        <f ca="1">AND(C651="驱夜断愁",模拟模式!$P$7="天地诛戮")</f>
        <v>1</v>
      </c>
      <c r="BL651" s="57">
        <f t="shared" ca="1" si="559"/>
        <v>20</v>
      </c>
      <c r="BM651" s="115" t="b">
        <f t="shared" ca="1" si="560"/>
        <v>1</v>
      </c>
      <c r="BN651" s="115" t="b">
        <f ca="1">AND(OR(C651="赤日轮1",C651="赤日轮2",C651="赤日轮3",C651="幽月轮1",C651="幽月轮2",C651="幽月轮3"),AB651=1,模拟模式!$L$7="明光恒照")</f>
        <v>0</v>
      </c>
      <c r="BO651" s="117">
        <f t="shared" ca="1" si="561"/>
        <v>28.155000000000001</v>
      </c>
      <c r="BP651" s="115">
        <f t="shared" ca="1" si="578"/>
        <v>6</v>
      </c>
      <c r="BQ651" s="115" t="b">
        <f>模拟模式!$K$10="2600·水"</f>
        <v>0</v>
      </c>
      <c r="BR651" s="117">
        <f t="shared" si="579"/>
        <v>0</v>
      </c>
      <c r="BS651" s="115">
        <f t="shared" si="580"/>
        <v>0</v>
      </c>
      <c r="BT651" s="115">
        <f t="shared" ca="1" si="581"/>
        <v>0</v>
      </c>
      <c r="BU651" s="115" t="b">
        <f ca="1">AND(模拟模式!$K$10="2300·雷",BT650=0,RAND()&lt;IF(C651="净世破魔击·月",5*0.05*2/3,IF(C651="净世破魔击·日",3*0.05*2/3,0.05*2*2/3)))</f>
        <v>0</v>
      </c>
      <c r="BV651" s="115">
        <f t="shared" ca="1" si="582"/>
        <v>0</v>
      </c>
      <c r="BW651" s="115">
        <f t="shared" ca="1" si="583"/>
        <v>162.47249999999974</v>
      </c>
      <c r="BX651" s="164" t="b">
        <f t="shared" ca="1" si="584"/>
        <v>0</v>
      </c>
      <c r="BY651" s="115">
        <f t="shared" ca="1" si="585"/>
        <v>0</v>
      </c>
      <c r="BZ651" s="115">
        <f>IF(OR(模拟模式!$P$16="10人团",模拟模式!$P$16="25人团"),IF(B651/30&gt;CA650,1,0),0)</f>
        <v>0</v>
      </c>
      <c r="CA651" s="115">
        <f t="shared" si="562"/>
        <v>0</v>
      </c>
      <c r="CB651" s="115">
        <f ca="1">IF(BZ651=1,IF(模拟模式!$P$16="10人团",15,0)+IF(模拟模式!$P$16="25人团",IF(RAND()&lt;0.6,15,0)),MAX(0,CB650-$F$4))</f>
        <v>0</v>
      </c>
      <c r="CC651" s="115" t="b">
        <f t="shared" ca="1" si="563"/>
        <v>0</v>
      </c>
      <c r="CD651" s="115">
        <f>IF(模拟模式!$Q$16="1个",IF(B651/40&gt;CE650,1,0),0)</f>
        <v>0</v>
      </c>
      <c r="CE651" s="115">
        <f t="shared" si="564"/>
        <v>0</v>
      </c>
      <c r="CF651" s="115">
        <f>IF(OR(CD651=1,模拟模式!$Q$16="2个"),20,MAX(0,CF650-$F$4))</f>
        <v>0</v>
      </c>
      <c r="CG651" s="115" t="b">
        <f t="shared" si="565"/>
        <v>0</v>
      </c>
      <c r="CH651" s="115">
        <f t="shared" ca="1" si="586"/>
        <v>12.472500000000011</v>
      </c>
      <c r="CI651" s="115" t="b">
        <f t="shared" ca="1" si="587"/>
        <v>0</v>
      </c>
      <c r="CJ651" s="119">
        <f t="shared" ca="1" si="588"/>
        <v>0</v>
      </c>
      <c r="CK651" s="115">
        <f t="shared" ca="1" si="589"/>
        <v>0</v>
      </c>
      <c r="CL651" s="115" t="b">
        <f ca="1">AND(模拟模式!$S$7="驱夷逐法",OR(AND(C651="净世破魔击·月",E650&gt;59),AND(C651="净世破魔击·日",F650&gt;59)))</f>
        <v>0</v>
      </c>
      <c r="CM651" s="115" t="b">
        <f ca="1">OR(CL651,AND(C651="净世破魔击·日",CL650,RAND()&lt;模拟模式!$U$23))</f>
        <v>0</v>
      </c>
      <c r="CN651" s="115" t="b">
        <f ca="1">IF(模拟模式!$M$7="辉耀红尘",AND(C651="净世破魔击·月",CL651,CV651=0,E650&lt;80),AND(C651="净世破魔击·月",CL651,E650&lt;100))</f>
        <v>0</v>
      </c>
      <c r="CO651" s="115" t="b">
        <f t="shared" ca="1" si="566"/>
        <v>0</v>
      </c>
      <c r="CP651" s="115" t="b">
        <f ca="1">AND(模拟模式!$O$7="用晦而明",OR(C651="净世破魔击·日",C651="净世破魔击·月",C651="驱夜断愁"),AB651)</f>
        <v>1</v>
      </c>
      <c r="CQ651" s="115" t="b">
        <f ca="1">OR(CP651,AND(CP650,RAND()&lt;模拟模式!$U$23))</f>
        <v>1</v>
      </c>
      <c r="CR651" s="115" t="b">
        <f ca="1">AND(模拟模式!$S$7="日月齐光",OR(C651="幽月轮1",C651="幽月轮2",C651="幽月轮3",CR650),NOT(OR(C651="赤日轮1",C651="赤日轮2",C651="赤日轮3")))</f>
        <v>0</v>
      </c>
      <c r="CS651" s="115" t="b">
        <f ca="1">AND(模拟模式!$S$7="日月齐光",OR(C651="赤日轮1",C651="赤日轮2",C651="赤日轮3",CS650),NOT(OR(C651="幽月轮1",C651="幽月轮2",C651="幽月轮3")))</f>
        <v>0</v>
      </c>
      <c r="CT651" s="115">
        <f t="shared" ca="1" si="590"/>
        <v>3.2475000000000116</v>
      </c>
      <c r="CU651" s="115" t="b">
        <f ca="1">AND(模拟模式!$K$10="阴阳往极",CT650=0,RAND()&lt;IF(C651="净世破魔击·月",0.0275*7/3,IF(C651="净世破魔击·日",0.0275*3/3,0.0275*2/3)))</f>
        <v>0</v>
      </c>
      <c r="CV651" s="115">
        <f t="shared" ca="1" si="591"/>
        <v>0</v>
      </c>
      <c r="CW651" s="115">
        <f t="shared" ca="1" si="592"/>
        <v>0.46499999999999975</v>
      </c>
      <c r="CX651" s="115">
        <f t="shared" ca="1" si="593"/>
        <v>5.0774999999999997</v>
      </c>
      <c r="CY651" s="115">
        <f ca="1">MAX(IF($C651="驱夜断愁",IF(模拟模式!$R$7="万念俱寂",6,45),CY650-$F$4),0)</f>
        <v>6</v>
      </c>
      <c r="CZ651" s="115">
        <f t="shared" ca="1" si="567"/>
        <v>0</v>
      </c>
      <c r="DA651" s="115">
        <f ca="1">IF(模拟模式!$N$7="日月同辉",IF(DB650=2,0,MIN(6,IF(AND(OR(C651="赤日轮1",C651="赤日轮2",C651="赤日轮3",C651="幽月轮1",C651="幽月轮2",C651="幽月轮3"),AB651=1),DA650+1,DA650))),0)</f>
        <v>0</v>
      </c>
      <c r="DB651" s="115">
        <f t="shared" ca="1" si="568"/>
        <v>2</v>
      </c>
      <c r="DC651" s="115"/>
      <c r="DD651" s="115"/>
      <c r="DE651" s="115"/>
      <c r="DF651" s="115"/>
      <c r="DG651" s="115"/>
      <c r="DH651" s="115"/>
      <c r="DI651" s="115"/>
      <c r="DJ651" s="115"/>
      <c r="DK651" s="115"/>
      <c r="DL651" s="115"/>
      <c r="DM651" s="115"/>
    </row>
    <row r="652" spans="2:117" x14ac:dyDescent="0.2">
      <c r="B652" s="117">
        <f t="shared" si="569"/>
        <v>576.56250000000648</v>
      </c>
      <c r="C652" s="167" t="str">
        <f t="shared" ca="1" si="538"/>
        <v>烈日斩</v>
      </c>
      <c r="D652" s="115">
        <f ca="1">IF(C652="赤日轮1",1,IF(C652="赤日轮2",2,IF(C652="赤日轮3",3,IF(C652="幽月轮1",4,IF(C652="幽月轮2",5,IF(C652="幽月轮3",6,IF(C652="烈日斩",7,IF(C652="银月斩",8,IF(C652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652="净世破魔击·月",17,IF(C652="驱夜断愁",18,0)))))))))))</f>
        <v>7</v>
      </c>
      <c r="E652" s="115">
        <f ca="1">IF(AND(CU652,OR(C652="幽月轮1",C652="幽月轮2",C652="幽月轮3",C652="银月斩",C652="驱夜断愁",C652="净世破魔击·月")),100,MIN(IF(OR(CN652,BE652),0,IF(OR($C652="赤日轮1",$C652="赤日轮2",$C652="赤日轮3"),E651+20+IF(模拟模式!$I$7="日月凌天",4,0)+IF(CR651,20,0),IF($C652="烈日斩",E651+40,IF($C652="驱夜断愁",IF(模拟模式!$R$7="万念俱寂",E651+20,E651+60),IF($C652="净世破魔击·月",IF(OR(DB651&gt;0,CV651&gt;0),100,IF(模拟模式!$M$7="辉耀红尘",E651+20,E651)),IF($C652="净世破魔击·日",E651-100,E651)))))),100))</f>
        <v>80</v>
      </c>
      <c r="F652" s="115">
        <f ca="1">IF(AND(CU652,OR(C652="赤日轮1",C652="赤日轮2",C652="赤日轮3",C652="烈日斩",C652="净世破魔击·日")),100,MIN(IF(CO652,0,IF(OR($C652="幽月轮1",$C652="幽月轮2",$C652="幽月轮3"),F651+20+IF(模拟模式!$I$7="日月凌天",4,0)+IF(CS651,20,0),IF($C652="银月斩",F651+40+IF(模拟模式!$X$12=1,5,0),IF($C652="驱夜断愁",IF(模拟模式!$R$7="万念俱寂",F651+20,F651+60),IF($C652="净世破魔击·月",IF(模拟模式!$M$7="辉耀红尘",F651-80,F651-100),IF(AND(C652="净世破魔击·日",OR(DB651&gt;0,CV651&gt;0)),100,F651)))))),100))</f>
        <v>85</v>
      </c>
      <c r="G652" s="117">
        <f ca="1">('模拟-全程加成'!$E$3+'模拟-全程加成'!$E$4+'模拟-全程加成'!$E$5+('模拟-全程加成'!$C$6-'模拟-全程加成'!$C$3)*系数!$B$9+BS652*23)*(1+'模拟-全程加成'!$F$4+'模拟-全程加成'!$F$5+BJ652*10%+BM652*20%+BP652*4%+CG652*30%)+$F$7*系数!$B$12</f>
        <v>20583.127400000001</v>
      </c>
      <c r="H652" s="45">
        <f ca="1">'模拟-全程加成'!$H$3+'模拟-全程加成'!$H$4+'模拟-全程加成'!$H$5+('模拟-全程加成'!$G$4+'模拟-全程加成'!$G$5+('模拟-全程加成'!$C$6-'模拟-全程加成'!$C$3)*系数!$B$13)/系数!$B$3+LOOKUP(D652,'模拟-单技能数据'!$A$2:$A$19,'模拟-单技能数据'!$K$2:$K$19)+BG652*10%+IF(BV652&gt;0,378,0)</f>
        <v>0.56185145527300218</v>
      </c>
      <c r="I652" s="45">
        <f ca="1">'模拟-全程加成'!$J$3+'模拟-全程加成'!$J$4+'模拟-全程加成'!$J$5+('模拟-全程加成'!$I$4+'模拟-全程加成'!$I$5)/系数!$B$4+LOOKUP(D652,'模拟-单技能数据'!$A$2:$A$19,'模拟-单技能数据'!$L$2:$L$19)+BG652*10%</f>
        <v>2.2624828854998791</v>
      </c>
      <c r="J652" s="45">
        <f ca="1">(('模拟-全程加成'!$K$3+'模拟-全程加成'!$K$4+'模拟-全程加成'!$K$5+('模拟-全程加成'!$C$6-'模拟-全程加成'!$C$3)*系数!$B$10+IF(BV652&gt;0,882,0)+IF(BY652&gt;0,1831,0))*(1+'模拟-全程加成'!$L$4+'模拟-全程加成'!$L$5+CC652*20%))/系数!$B$5</f>
        <v>0.69723220422048726</v>
      </c>
      <c r="K652" s="119">
        <f ca="1">LOOKUP(D652,'模拟-单技能数据'!$A$2:$A$19,'模拟-单技能数据'!$J$2:$J$19)+IF(CM652,60%,0)+IF(DB651-DB652&gt;0,30%,0)+IF(OR(AND(OR(C652="赤日轮1",C652="赤日轮2",C652="赤日轮3"),CR652),AND(OR(C652="幽月轮1",C652="幽月轮2",C652="幽月轮3"),CS652)),35%,0)+CJ652</f>
        <v>0.24</v>
      </c>
      <c r="L652" s="119">
        <f ca="1">IF(AND(C652="烈日斩",模拟模式!$X$11=1),10%,0)+IF(AND(C652="驱夜断愁",AB652=1),30%,0)</f>
        <v>0.1</v>
      </c>
      <c r="M652" s="45">
        <f t="shared" ca="1" si="539"/>
        <v>0.56185145527300218</v>
      </c>
      <c r="N652" s="45">
        <f t="shared" ca="1" si="540"/>
        <v>0.38424854472699788</v>
      </c>
      <c r="O652" s="46">
        <f t="shared" ca="1" si="570"/>
        <v>0.20536384720626777</v>
      </c>
      <c r="P652" s="46" t="str">
        <f t="shared" ca="1" si="541"/>
        <v>会</v>
      </c>
      <c r="Q652" s="45">
        <f t="shared" ca="1" si="542"/>
        <v>2.2624828854998791</v>
      </c>
      <c r="R652" s="117">
        <f ca="1">模拟模式!$E$20*(1-IF(模拟模式!$J$19="有",0.15,0))*(1-IF(模拟模式!$K$19="有",0.3,0)-IF(CQ652,0.5,0))</f>
        <v>843.02999999999975</v>
      </c>
      <c r="S652" s="45">
        <f ca="1">R652/(R652+(185*模拟模式!$E$22-16800)*4.08224)</f>
        <v>8.389626085980037E-2</v>
      </c>
      <c r="T652" s="45" t="str">
        <f ca="1">LOOKUP(D652,'模拟-单技能数据'!$A$2:$A$19,'模拟-单技能数据'!$H$2:$H$19)</f>
        <v>阳</v>
      </c>
      <c r="U652" s="119">
        <f t="shared" ca="1" si="543"/>
        <v>0.2</v>
      </c>
      <c r="V652" s="47">
        <f ca="1">(1+L652)*(LOOKUP(D652,'模拟-单技能数据'!$A$2:$A$19,'模拟-单技能数据'!$D$2:$D$19)+G652*LOOKUP(D652,'模拟-单技能数据'!$A$2:$A$19,'模拟-单技能数据'!$F$2:$F$19))*(1+J652)*(1+K652)*(1-S652)*(1+U652)*Q652*LOOKUP(D652,'模拟-单技能数据'!$A$2:$A$19,'模拟-单技能数据'!$I$2:$I$20)</f>
        <v>105861.05199666526</v>
      </c>
      <c r="W652" s="47">
        <f ca="1">LOOKUP(D652,'模拟-单技能数据'!$A$2:$A$19,'模拟-单技能数据'!$G$2:$G$19)*$I$10</f>
        <v>361.51064354704795</v>
      </c>
      <c r="X652" s="47">
        <f t="shared" ca="1" si="571"/>
        <v>9218.9345386263849</v>
      </c>
      <c r="Y652" s="47">
        <f t="shared" ca="1" si="544"/>
        <v>115441.4971788387</v>
      </c>
      <c r="Z652" s="49">
        <f t="shared" ca="1" si="545"/>
        <v>65430307.706936345</v>
      </c>
      <c r="AA652" s="97">
        <f t="shared" ca="1" si="546"/>
        <v>113483.46052151434</v>
      </c>
      <c r="AB652" s="115">
        <f ca="1">IF(OR(C652="赤日轮1",C652="赤日轮2",C652="赤日轮3"),IF(RAND()&lt;模拟模式!$Y$17,1,0),IF(OR(C652="幽月轮1",C652="幽月轮2",C652="幽月轮3"),IF(RAND()&lt;模拟模式!$Y$18,1,0),IF(C652="烈日斩",IF(RAND()&lt;模拟模式!$Y$19,1,0),IF(C652="银月斩",IF(RAND()&lt;模拟模式!$Y$20,1,0),IF(C652="驱夜断愁",IF(RAND()&lt;模拟模式!$Y$21,1,0),IF(C652="净世破魔击·日",IF(RAND()&lt;模拟模式!$Y$22,1,0),IF(C652="净世破魔击·月",IF(RAND()&lt;模拟模式!$Y$23,1,0),0)))))))</f>
        <v>1</v>
      </c>
      <c r="AC652" s="115" t="b">
        <f t="shared" ca="1" si="547"/>
        <v>0</v>
      </c>
      <c r="AD652" s="115" t="b">
        <f t="shared" ca="1" si="548"/>
        <v>1</v>
      </c>
      <c r="AE652" s="115">
        <f t="shared" ca="1" si="549"/>
        <v>4</v>
      </c>
      <c r="AF652" s="47">
        <f ca="1">IF(AC652,('模拟-单技能数据'!$D$20+G652*'模拟-单技能数据'!$F$20)*(1+J652)*(1+'模拟-单技能数据'!$J$20)*(1+U652),0)</f>
        <v>0</v>
      </c>
      <c r="AG652" s="61">
        <f t="shared" ca="1" si="550"/>
        <v>0.64185145527300214</v>
      </c>
      <c r="AH652" s="61">
        <f t="shared" ca="1" si="551"/>
        <v>2.2624828854998791</v>
      </c>
      <c r="AI652" s="62">
        <f t="shared" ca="1" si="572"/>
        <v>0.48004514654353625</v>
      </c>
      <c r="AJ652" s="47">
        <f ca="1">IF(AD652,IF(AI652&lt;$F$10,0,IF(AI652&lt;$F$10+$F$11,0.25,IF(AI652&lt;$F$10+$F$11+AG652,AH652,1)))*IF(AF652&gt;0,AF652,IF(AF651&gt;0,AF651,IF(AF650&gt;0,AF650,IF(AF649&gt;0,AF649,IF(AF648&gt;0,AF648,IF(AF647&gt;0,AF647,IF(AF646&gt;0,AF646,IF(AF645&gt;0,AF645,IF(AF644&gt;0,AF644,IF(AF642&gt;0,AF642,IF(AF641&gt;0,AF641,IF(AF640&gt;0,AF640,0)))))))))))),0)*(1-$S652)*'模拟-单技能数据'!$I$20</f>
        <v>9218.9345386263849</v>
      </c>
      <c r="AK652" s="115" t="b">
        <f t="shared" ca="1" si="552"/>
        <v>0</v>
      </c>
      <c r="AL652" s="115" t="b">
        <f t="shared" ca="1" si="553"/>
        <v>0</v>
      </c>
      <c r="AM652" s="115">
        <f t="shared" ca="1" si="554"/>
        <v>4</v>
      </c>
      <c r="AN652" s="47">
        <f ca="1">IF(AK652,('模拟-单技能数据'!$D$21+G652*'模拟-单技能数据'!$F$21)*(1+J652)*(1+'模拟-单技能数据'!$J$21)*(1+U652),0)</f>
        <v>0</v>
      </c>
      <c r="AO652" s="61">
        <f ca="1">IF(AN652&gt;0,M652-'模拟-单技能数据'!$K$10,AO651)</f>
        <v>0.42185145527300216</v>
      </c>
      <c r="AP652" s="61">
        <f ca="1">IF(AN652&gt;0,I652-'模拟-单技能数据'!$L$10,AP651)</f>
        <v>2.162482885499879</v>
      </c>
      <c r="AQ652" s="63">
        <f t="shared" ca="1" si="573"/>
        <v>0.1460542764229199</v>
      </c>
      <c r="AR652" s="64">
        <f ca="1">IF(AL652,IF(AQ652&lt;$F$10,0,IF(AQ652&lt;$F$10+$F$11,0.25,IF(AQ652&lt;$F$10+$F$11+AO652,AP652,1)))*IF(AN652&gt;0,AN652,IF(AN651&gt;0,AN651,IF(AN650&gt;0,AN650,IF(AN649&gt;0,AN649,IF(AN648&gt;0,AN648,IF(AN647&gt;0,AN647,IF(AN646&gt;0,AN646,IF(AN645&gt;0,AN645,IF(AN644&gt;0,AN644,IF(AN642&gt;0,AN642,IF(AN641&gt;0,AN641,IF(AN640&gt;0,AN640,0)))))))))))),0)*(1-$S652)*'模拟-单技能数据'!$I$21</f>
        <v>0</v>
      </c>
      <c r="AS652" s="61">
        <f ca="1">IF(OR(C652="净世破魔击·日",C652="净世破魔击·月"),M652-'模拟-单技能数据'!$K$10,0)</f>
        <v>0</v>
      </c>
      <c r="AT652" s="61">
        <f ca="1">IF(OR(C652="净世破魔击·日",C652="净世破魔击·月"),I652-'模拟-单技能数据'!$L$10,0)</f>
        <v>0</v>
      </c>
      <c r="AU652" s="62">
        <f t="shared" ca="1" si="574"/>
        <v>7.9453648653021958E-2</v>
      </c>
      <c r="AV652" s="64">
        <f ca="1">IF(AS652&gt;0,('模拟-单技能数据'!$D$22+G652*'模拟-单技能数据'!$F$22)*(1+J652)*(1-S652)*IF(AU652&lt;$F$10,0,IF(AU652&lt;$F$10+$F$11,0.25,IF(AU652&lt;$F$10+$F$11+AS652,AT652,1)))*(1+U652),0)*'模拟-单技能数据'!$I$22</f>
        <v>0</v>
      </c>
      <c r="AW652" s="108">
        <f t="shared" ca="1" si="575"/>
        <v>0</v>
      </c>
      <c r="AX652" s="108" t="b">
        <f ca="1">AND(模拟模式!$P$10="有",AW651=0,RAND()&lt;IF(C652="净世破魔击·月",0.1*8/3,IF(C652="净世破魔击·日",0.1*4/3,0.1*2/3)))</f>
        <v>0</v>
      </c>
      <c r="AY652" s="47">
        <f ca="1">IF(AX652,(18+G652*0.722)*(1+J652)*(1-S652)*(1+$I$4)*IF(P652="会",'模拟-全程加成'!$J$3+'模拟-全程加成'!$J$4+'模拟-全程加成'!$J$5+('模拟-全程加成'!$I$4+'模拟-全程加成'!$I$5)/系数!$B$4+BG652*10%,IF(P652="命",1,IF(P652="识",0.25,0))),0)</f>
        <v>0</v>
      </c>
      <c r="AZ652" s="108">
        <f t="shared" si="576"/>
        <v>11.697500000000005</v>
      </c>
      <c r="BA652" s="108" t="b">
        <f>AND(模拟模式!$Q$10="有",AZ651=0)</f>
        <v>0</v>
      </c>
      <c r="BB652" s="140">
        <f>IF(BA652,(0+G652*0.287)*(1+J652)*(1-S652)*(1+$I$4)*IF(P652="会",'模拟-全程加成'!$J$3+'模拟-全程加成'!$J$4+'模拟-全程加成'!$J$5+('模拟-全程加成'!$I$4+'模拟-全程加成'!$I$5)/系数!$B$4+BG652*10%,IF(P652="命",1,IF(P652="识",0.25,0))),0)</f>
        <v>0</v>
      </c>
      <c r="BC652" s="115" t="b">
        <f ca="1">AND(模拟模式!$R$7="伏明众生",E652=60,F652=20,DA652&lt;5,CZ651&lt;$F$4)</f>
        <v>0</v>
      </c>
      <c r="BD652" s="115">
        <f t="shared" ca="1" si="555"/>
        <v>0</v>
      </c>
      <c r="BE652" s="115" t="b">
        <f t="shared" ca="1" si="556"/>
        <v>0</v>
      </c>
      <c r="BF652" s="47">
        <f ca="1">IF(BC652,4*('模拟-单技能数据'!$D$24+G652*'模拟-单技能数据'!$F$24)*(1+J652)*(1+'模拟-单技能数据'!$J$24)*(1-S652)*(1+$I$3)*(('模拟-全程加成'!$J$3+'模拟-全程加成'!$J$4+'模拟-全程加成'!$J$5+('模拟-全程加成'!$I$4+'模拟-全程加成'!$I$5)/系数!$B$4+BG652*10%)*('模拟-全程加成'!$J$3+'模拟-全程加成'!$J$4+'模拟-全程加成'!$J$5+('模拟-全程加成'!$I$4+'模拟-全程加成'!$I$5)/系数!$B$4+BG652*10%)+(1-('模拟-全程加成'!$J$3+'模拟-全程加成'!$J$4+'模拟-全程加成'!$J$5+('模拟-全程加成'!$I$4+'模拟-全程加成'!$I$5)/系数!$B$4+BG652*10%)-$F$10-$F$11)+F638*0.25),0)*'模拟-单技能数据'!$I$24</f>
        <v>0</v>
      </c>
      <c r="BG652" s="115" t="b">
        <f ca="1">OR(AND(OR(C652="烈日斩",C652="银月斩"),模拟模式!$I$7="净身明礼"),AND(C652="净世破魔击·日",模拟模式!$J$7="洞若观火"),AND(C653="净世破魔击·月",模拟模式!$J$7="洞若观火"),AB652=1)</f>
        <v>1</v>
      </c>
      <c r="BH652" s="115" t="b">
        <f t="shared" ca="1" si="577"/>
        <v>0</v>
      </c>
      <c r="BI652" s="115">
        <f t="shared" ca="1" si="557"/>
        <v>0</v>
      </c>
      <c r="BJ652" s="115" t="b">
        <f t="shared" ca="1" si="558"/>
        <v>0</v>
      </c>
      <c r="BK652" s="115" t="b">
        <f ca="1">AND(C652="驱夜断愁",模拟模式!$P$7="天地诛戮")</f>
        <v>0</v>
      </c>
      <c r="BL652" s="57">
        <f t="shared" ca="1" si="559"/>
        <v>19.077500000000001</v>
      </c>
      <c r="BM652" s="115" t="b">
        <f t="shared" ca="1" si="560"/>
        <v>1</v>
      </c>
      <c r="BN652" s="115" t="b">
        <f ca="1">AND(OR(C652="赤日轮1",C652="赤日轮2",C652="赤日轮3",C652="幽月轮1",C652="幽月轮2",C652="幽月轮3"),AB652=1,模拟模式!$L$7="明光恒照")</f>
        <v>0</v>
      </c>
      <c r="BO652" s="117">
        <f t="shared" ca="1" si="561"/>
        <v>27.232500000000002</v>
      </c>
      <c r="BP652" s="115">
        <f t="shared" ca="1" si="578"/>
        <v>6</v>
      </c>
      <c r="BQ652" s="115" t="b">
        <f>模拟模式!$K$10="2600·水"</f>
        <v>0</v>
      </c>
      <c r="BR652" s="117">
        <f t="shared" si="579"/>
        <v>0</v>
      </c>
      <c r="BS652" s="115">
        <f t="shared" si="580"/>
        <v>0</v>
      </c>
      <c r="BT652" s="115">
        <f t="shared" ca="1" si="581"/>
        <v>0</v>
      </c>
      <c r="BU652" s="115" t="b">
        <f ca="1">AND(模拟模式!$K$10="2300·雷",BT651=0,RAND()&lt;IF(C652="净世破魔击·月",5*0.05*2/3,IF(C652="净世破魔击·日",3*0.05*2/3,0.05*2*2/3)))</f>
        <v>0</v>
      </c>
      <c r="BV652" s="115">
        <f t="shared" ca="1" si="582"/>
        <v>0</v>
      </c>
      <c r="BW652" s="115">
        <f t="shared" ca="1" si="583"/>
        <v>161.54999999999973</v>
      </c>
      <c r="BX652" s="164" t="b">
        <f t="shared" ca="1" si="584"/>
        <v>0</v>
      </c>
      <c r="BY652" s="115">
        <f t="shared" ca="1" si="585"/>
        <v>0</v>
      </c>
      <c r="BZ652" s="115">
        <f>IF(OR(模拟模式!$P$16="10人团",模拟模式!$P$16="25人团"),IF(B652/30&gt;CA651,1,0),0)</f>
        <v>0</v>
      </c>
      <c r="CA652" s="115">
        <f t="shared" si="562"/>
        <v>0</v>
      </c>
      <c r="CB652" s="115">
        <f ca="1">IF(BZ652=1,IF(模拟模式!$P$16="10人团",15,0)+IF(模拟模式!$P$16="25人团",IF(RAND()&lt;0.6,15,0)),MAX(0,CB651-$F$4))</f>
        <v>0</v>
      </c>
      <c r="CC652" s="115" t="b">
        <f t="shared" ca="1" si="563"/>
        <v>0</v>
      </c>
      <c r="CD652" s="115">
        <f>IF(模拟模式!$Q$16="1个",IF(B652/40&gt;CE651,1,0),0)</f>
        <v>0</v>
      </c>
      <c r="CE652" s="115">
        <f t="shared" si="564"/>
        <v>0</v>
      </c>
      <c r="CF652" s="115">
        <f>IF(OR(CD652=1,模拟模式!$Q$16="2个"),20,MAX(0,CF651-$F$4))</f>
        <v>0</v>
      </c>
      <c r="CG652" s="115" t="b">
        <f t="shared" si="565"/>
        <v>0</v>
      </c>
      <c r="CH652" s="115">
        <f t="shared" ca="1" si="586"/>
        <v>11.550000000000011</v>
      </c>
      <c r="CI652" s="115" t="b">
        <f t="shared" ca="1" si="587"/>
        <v>0</v>
      </c>
      <c r="CJ652" s="119">
        <f t="shared" ca="1" si="588"/>
        <v>0</v>
      </c>
      <c r="CK652" s="115">
        <f t="shared" ca="1" si="589"/>
        <v>0</v>
      </c>
      <c r="CL652" s="115" t="b">
        <f ca="1">AND(模拟模式!$S$7="驱夷逐法",OR(AND(C652="净世破魔击·月",E651&gt;59),AND(C652="净世破魔击·日",F651&gt;59)))</f>
        <v>0</v>
      </c>
      <c r="CM652" s="115" t="b">
        <f ca="1">OR(CL652,AND(C652="净世破魔击·日",CL651,RAND()&lt;模拟模式!$U$23))</f>
        <v>0</v>
      </c>
      <c r="CN652" s="115" t="b">
        <f ca="1">IF(模拟模式!$M$7="辉耀红尘",AND(C652="净世破魔击·月",CL652,CV652=0,E651&lt;80),AND(C652="净世破魔击·月",CL652,E651&lt;100))</f>
        <v>0</v>
      </c>
      <c r="CO652" s="115" t="b">
        <f t="shared" ca="1" si="566"/>
        <v>0</v>
      </c>
      <c r="CP652" s="115" t="b">
        <f ca="1">AND(模拟模式!$O$7="用晦而明",OR(C652="净世破魔击·日",C652="净世破魔击·月",C652="驱夜断愁"),AB652)</f>
        <v>0</v>
      </c>
      <c r="CQ652" s="115" t="b">
        <f ca="1">OR(CP652,AND(CP651,RAND()&lt;模拟模式!$U$23))</f>
        <v>1</v>
      </c>
      <c r="CR652" s="115" t="b">
        <f ca="1">AND(模拟模式!$S$7="日月齐光",OR(C652="幽月轮1",C652="幽月轮2",C652="幽月轮3",CR651),NOT(OR(C652="赤日轮1",C652="赤日轮2",C652="赤日轮3")))</f>
        <v>0</v>
      </c>
      <c r="CS652" s="115" t="b">
        <f ca="1">AND(模拟模式!$S$7="日月齐光",OR(C652="赤日轮1",C652="赤日轮2",C652="赤日轮3",CS651),NOT(OR(C652="幽月轮1",C652="幽月轮2",C652="幽月轮3")))</f>
        <v>0</v>
      </c>
      <c r="CT652" s="115">
        <f t="shared" ca="1" si="590"/>
        <v>2.3250000000000117</v>
      </c>
      <c r="CU652" s="115" t="b">
        <f ca="1">AND(模拟模式!$K$10="阴阳往极",CT651=0,RAND()&lt;IF(C652="净世破魔击·月",0.0275*7/3,IF(C652="净世破魔击·日",0.0275*3/3,0.0275*2/3)))</f>
        <v>0</v>
      </c>
      <c r="CV652" s="115">
        <f t="shared" ca="1" si="591"/>
        <v>0</v>
      </c>
      <c r="CW652" s="115">
        <f t="shared" ca="1" si="592"/>
        <v>6</v>
      </c>
      <c r="CX652" s="115">
        <f t="shared" ca="1" si="593"/>
        <v>4.1549999999999994</v>
      </c>
      <c r="CY652" s="115">
        <f ca="1">MAX(IF($C652="驱夜断愁",IF(模拟模式!$R$7="万念俱寂",6,45),CY651-$F$4),0)</f>
        <v>5.0774999999999997</v>
      </c>
      <c r="CZ652" s="115">
        <f t="shared" ca="1" si="567"/>
        <v>0</v>
      </c>
      <c r="DA652" s="115">
        <f ca="1">IF(模拟模式!$N$7="日月同辉",IF(DB651=2,0,MIN(6,IF(AND(OR(C652="赤日轮1",C652="赤日轮2",C652="赤日轮3",C652="幽月轮1",C652="幽月轮2",C652="幽月轮3"),AB652=1),DA651+1,DA651))),0)</f>
        <v>0</v>
      </c>
      <c r="DB652" s="115">
        <f t="shared" ca="1" si="568"/>
        <v>2</v>
      </c>
      <c r="DC652" s="115"/>
      <c r="DD652" s="115"/>
      <c r="DE652" s="115"/>
      <c r="DF652" s="115"/>
      <c r="DG652" s="115"/>
      <c r="DH652" s="115"/>
      <c r="DI652" s="115"/>
      <c r="DJ652" s="115"/>
      <c r="DK652" s="115"/>
      <c r="DL652" s="115"/>
      <c r="DM652" s="115"/>
    </row>
    <row r="653" spans="2:117" x14ac:dyDescent="0.2">
      <c r="B653" s="117">
        <f t="shared" si="569"/>
        <v>577.48500000000649</v>
      </c>
      <c r="C653" s="167" t="str">
        <f t="shared" ca="1" si="538"/>
        <v>幽月轮1</v>
      </c>
      <c r="D653" s="115">
        <f ca="1">IF(C653="赤日轮1",1,IF(C653="赤日轮2",2,IF(C653="赤日轮3",3,IF(C653="幽月轮1",4,IF(C653="幽月轮2",5,IF(C653="幽月轮3",6,IF(C653="烈日斩",7,IF(C653="银月斩",8,IF(C653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653="净世破魔击·月",17,IF(C653="驱夜断愁",18,0)))))))))))</f>
        <v>4</v>
      </c>
      <c r="E653" s="115">
        <f ca="1">IF(AND(CU653,OR(C653="幽月轮1",C653="幽月轮2",C653="幽月轮3",C653="银月斩",C653="驱夜断愁",C653="净世破魔击·月")),100,MIN(IF(OR(CN653,BE653),0,IF(OR($C653="赤日轮1",$C653="赤日轮2",$C653="赤日轮3"),E652+20+IF(模拟模式!$I$7="日月凌天",4,0)+IF(CR652,20,0),IF($C653="烈日斩",E652+40,IF($C653="驱夜断愁",IF(模拟模式!$R$7="万念俱寂",E652+20,E652+60),IF($C653="净世破魔击·月",IF(OR(DB652&gt;0,CV652&gt;0),100,IF(模拟模式!$M$7="辉耀红尘",E652+20,E652)),IF($C653="净世破魔击·日",E652-100,E652)))))),100))</f>
        <v>80</v>
      </c>
      <c r="F653" s="115">
        <f ca="1">IF(AND(CU653,OR(C653="赤日轮1",C653="赤日轮2",C653="赤日轮3",C653="烈日斩",C653="净世破魔击·日")),100,MIN(IF(CO653,0,IF(OR($C653="幽月轮1",$C653="幽月轮2",$C653="幽月轮3"),F652+20+IF(模拟模式!$I$7="日月凌天",4,0)+IF(CS652,20,0),IF($C653="银月斩",F652+40+IF(模拟模式!$X$12=1,5,0),IF($C653="驱夜断愁",IF(模拟模式!$R$7="万念俱寂",F652+20,F652+60),IF($C653="净世破魔击·月",IF(模拟模式!$M$7="辉耀红尘",F652-80,F652-100),IF(AND(C653="净世破魔击·日",OR(DB652&gt;0,CV652&gt;0)),100,F652)))))),100))</f>
        <v>100</v>
      </c>
      <c r="G653" s="117">
        <f ca="1">('模拟-全程加成'!$E$3+'模拟-全程加成'!$E$4+'模拟-全程加成'!$E$5+('模拟-全程加成'!$C$6-'模拟-全程加成'!$C$3)*系数!$B$9+BS653*23)*(1+'模拟-全程加成'!$F$4+'模拟-全程加成'!$F$5+BJ653*10%+BM653*20%+BP653*4%+CG653*30%)+$F$7*系数!$B$12</f>
        <v>20583.127400000001</v>
      </c>
      <c r="H653" s="45">
        <f ca="1">'模拟-全程加成'!$H$3+'模拟-全程加成'!$H$4+'模拟-全程加成'!$H$5+('模拟-全程加成'!$G$4+'模拟-全程加成'!$G$5+('模拟-全程加成'!$C$6-'模拟-全程加成'!$C$3)*系数!$B$13)/系数!$B$3+LOOKUP(D653,'模拟-单技能数据'!$A$2:$A$19,'模拟-单技能数据'!$K$2:$K$19)+BG653*10%+IF(BV653&gt;0,378,0)</f>
        <v>0.51185145527300213</v>
      </c>
      <c r="I653" s="45">
        <f ca="1">'模拟-全程加成'!$J$3+'模拟-全程加成'!$J$4+'模拟-全程加成'!$J$5+('模拟-全程加成'!$I$4+'模拟-全程加成'!$I$5)/系数!$B$4+LOOKUP(D653,'模拟-单技能数据'!$A$2:$A$19,'模拟-单技能数据'!$L$2:$L$19)+BG653*10%</f>
        <v>2.162482885499879</v>
      </c>
      <c r="J653" s="45">
        <f ca="1">(('模拟-全程加成'!$K$3+'模拟-全程加成'!$K$4+'模拟-全程加成'!$K$5+('模拟-全程加成'!$C$6-'模拟-全程加成'!$C$3)*系数!$B$10+IF(BV653&gt;0,882,0)+IF(BY653&gt;0,1831,0))*(1+'模拟-全程加成'!$L$4+'模拟-全程加成'!$L$5+CC653*20%))/系数!$B$5</f>
        <v>0.69723220422048726</v>
      </c>
      <c r="K653" s="119">
        <f ca="1">LOOKUP(D653,'模拟-单技能数据'!$A$2:$A$19,'模拟-单技能数据'!$J$2:$J$19)+IF(CM653,60%,0)+IF(DB652-DB653&gt;0,30%,0)+IF(OR(AND(OR(C653="赤日轮1",C653="赤日轮2",C653="赤日轮3"),CR653),AND(OR(C653="幽月轮1",C653="幽月轮2",C653="幽月轮3"),CS653)),35%,0)+CJ653</f>
        <v>7.0000000000000007E-2</v>
      </c>
      <c r="L653" s="119">
        <f ca="1">IF(AND(C653="烈日斩",模拟模式!$X$11=1),10%,0)+IF(AND(C653="驱夜断愁",AB653=1),30%,0)</f>
        <v>0</v>
      </c>
      <c r="M653" s="45">
        <f t="shared" ca="1" si="539"/>
        <v>0.51185145527300213</v>
      </c>
      <c r="N653" s="45">
        <f t="shared" ca="1" si="540"/>
        <v>0.43424854472699792</v>
      </c>
      <c r="O653" s="46">
        <f t="shared" ca="1" si="570"/>
        <v>0.84796319242652796</v>
      </c>
      <c r="P653" s="46" t="str">
        <f t="shared" ca="1" si="541"/>
        <v>命</v>
      </c>
      <c r="Q653" s="45">
        <f t="shared" ca="1" si="542"/>
        <v>1</v>
      </c>
      <c r="R653" s="117">
        <f ca="1">模拟模式!$E$20*(1-IF(模拟模式!$J$19="有",0.15,0))*(1-IF(模拟模式!$K$19="有",0.3,0)-IF(CQ653,0.5,0))</f>
        <v>2950.6049999999996</v>
      </c>
      <c r="S653" s="45">
        <f ca="1">R653/(R653+(185*模拟模式!$E$22-16800)*4.08224)</f>
        <v>0.24272716014590323</v>
      </c>
      <c r="T653" s="45" t="str">
        <f ca="1">LOOKUP(D653,'模拟-单技能数据'!$A$2:$A$19,'模拟-单技能数据'!$H$2:$H$19)</f>
        <v>阴</v>
      </c>
      <c r="U653" s="119">
        <f t="shared" ca="1" si="543"/>
        <v>0.08</v>
      </c>
      <c r="V653" s="47">
        <f ca="1">(1+L653)*(LOOKUP(D653,'模拟-单技能数据'!$A$2:$A$19,'模拟-单技能数据'!$D$2:$D$19)+G653*LOOKUP(D653,'模拟-单技能数据'!$A$2:$A$19,'模拟-单技能数据'!$F$2:$F$19))*(1+J653)*(1+K653)*(1-S653)*(1+U653)*Q653*LOOKUP(D653,'模拟-单技能数据'!$A$2:$A$19,'模拟-单技能数据'!$I$2:$I$20)</f>
        <v>16226.218300318291</v>
      </c>
      <c r="W653" s="47">
        <f ca="1">LOOKUP(D653,'模拟-单技能数据'!$A$2:$A$19,'模拟-单技能数据'!$G$2:$G$19)*$I$10</f>
        <v>361.51064354704795</v>
      </c>
      <c r="X653" s="47">
        <f t="shared" ca="1" si="571"/>
        <v>21761.129795477966</v>
      </c>
      <c r="Y653" s="47">
        <f t="shared" ca="1" si="544"/>
        <v>38348.858739343304</v>
      </c>
      <c r="Z653" s="49">
        <f t="shared" ca="1" si="545"/>
        <v>65468656.565675691</v>
      </c>
      <c r="AA653" s="97">
        <f t="shared" ca="1" si="546"/>
        <v>113368.58371329983</v>
      </c>
      <c r="AB653" s="115">
        <f ca="1">IF(OR(C653="赤日轮1",C653="赤日轮2",C653="赤日轮3"),IF(RAND()&lt;模拟模式!$Y$17,1,0),IF(OR(C653="幽月轮1",C653="幽月轮2",C653="幽月轮3"),IF(RAND()&lt;模拟模式!$Y$18,1,0),IF(C653="烈日斩",IF(RAND()&lt;模拟模式!$Y$19,1,0),IF(C653="银月斩",IF(RAND()&lt;模拟模式!$Y$20,1,0),IF(C653="驱夜断愁",IF(RAND()&lt;模拟模式!$Y$21,1,0),IF(C653="净世破魔击·日",IF(RAND()&lt;模拟模式!$Y$22,1,0),IF(C653="净世破魔击·月",IF(RAND()&lt;模拟模式!$Y$23,1,0),0)))))))</f>
        <v>1</v>
      </c>
      <c r="AC653" s="115" t="b">
        <f t="shared" ca="1" si="547"/>
        <v>0</v>
      </c>
      <c r="AD653" s="115" t="b">
        <f t="shared" ca="1" si="548"/>
        <v>0</v>
      </c>
      <c r="AE653" s="115">
        <f t="shared" ca="1" si="549"/>
        <v>4</v>
      </c>
      <c r="AF653" s="47">
        <f ca="1">IF(AC653,('模拟-单技能数据'!$D$20+G653*'模拟-单技能数据'!$F$20)*(1+J653)*(1+'模拟-单技能数据'!$J$20)*(1+U653),0)</f>
        <v>0</v>
      </c>
      <c r="AG653" s="61">
        <f t="shared" ca="1" si="550"/>
        <v>0.64185145527300214</v>
      </c>
      <c r="AH653" s="61">
        <f t="shared" ca="1" si="551"/>
        <v>2.2624828854998791</v>
      </c>
      <c r="AI653" s="62">
        <f t="shared" ca="1" si="572"/>
        <v>0.12305483732686284</v>
      </c>
      <c r="AJ653" s="47">
        <f ca="1">IF(AD653,IF(AI653&lt;$F$10,0,IF(AI653&lt;$F$10+$F$11,0.25,IF(AI653&lt;$F$10+$F$11+AG653,AH653,1)))*IF(AF653&gt;0,AF653,IF(AF652&gt;0,AF652,IF(AF651&gt;0,AF651,IF(AF650&gt;0,AF650,IF(AF649&gt;0,AF649,IF(AF648&gt;0,AF648,IF(AF647&gt;0,AF647,IF(AF646&gt;0,AF646,IF(AF645&gt;0,AF645,IF(AF643&gt;0,AF643,IF(AF642&gt;0,AF642,IF(AF641&gt;0,AF641,0)))))))))))),0)*(1-$S653)*'模拟-单技能数据'!$I$20</f>
        <v>0</v>
      </c>
      <c r="AK653" s="115" t="b">
        <f t="shared" ca="1" si="552"/>
        <v>0</v>
      </c>
      <c r="AL653" s="115" t="b">
        <f t="shared" ca="1" si="553"/>
        <v>1</v>
      </c>
      <c r="AM653" s="115">
        <f t="shared" ca="1" si="554"/>
        <v>3</v>
      </c>
      <c r="AN653" s="47">
        <f ca="1">IF(AK653,('模拟-单技能数据'!$D$21+G653*'模拟-单技能数据'!$F$21)*(1+J653)*(1+'模拟-单技能数据'!$J$21)*(1+U653),0)</f>
        <v>0</v>
      </c>
      <c r="AO653" s="61">
        <f ca="1">IF(AN653&gt;0,M653-'模拟-单技能数据'!$K$10,AO652)</f>
        <v>0.42185145527300216</v>
      </c>
      <c r="AP653" s="61">
        <f ca="1">IF(AN653&gt;0,I653-'模拟-单技能数据'!$L$10,AP652)</f>
        <v>2.162482885499879</v>
      </c>
      <c r="AQ653" s="63">
        <f t="shared" ca="1" si="573"/>
        <v>0.22172903508378705</v>
      </c>
      <c r="AR653" s="64">
        <f ca="1">IF(AL653,IF(AQ653&lt;$F$10,0,IF(AQ653&lt;$F$10+$F$11,0.25,IF(AQ653&lt;$F$10+$F$11+AO653,AP653,1)))*IF(AN653&gt;0,AN653,IF(AN652&gt;0,AN652,IF(AN651&gt;0,AN651,IF(AN650&gt;0,AN650,IF(AN649&gt;0,AN649,IF(AN648&gt;0,AN648,IF(AN647&gt;0,AN647,IF(AN646&gt;0,AN646,IF(AN645&gt;0,AN645,IF(AN643&gt;0,AN643,IF(AN642&gt;0,AN642,IF(AN641&gt;0,AN641,0)))))))))))),0)*(1-$S653)*'模拟-单技能数据'!$I$21</f>
        <v>21761.129795477966</v>
      </c>
      <c r="AS653" s="61">
        <f ca="1">IF(OR(C653="净世破魔击·日",C653="净世破魔击·月"),M653-'模拟-单技能数据'!$K$10,0)</f>
        <v>0</v>
      </c>
      <c r="AT653" s="61">
        <f ca="1">IF(OR(C653="净世破魔击·日",C653="净世破魔击·月"),I653-'模拟-单技能数据'!$L$10,0)</f>
        <v>0</v>
      </c>
      <c r="AU653" s="62">
        <f t="shared" ca="1" si="574"/>
        <v>0.68404096115783153</v>
      </c>
      <c r="AV653" s="64">
        <f ca="1">IF(AS653&gt;0,('模拟-单技能数据'!$D$22+G653*'模拟-单技能数据'!$F$22)*(1+J653)*(1-S653)*IF(AU653&lt;$F$10,0,IF(AU653&lt;$F$10+$F$11,0.25,IF(AU653&lt;$F$10+$F$11+AS653,AT653,1)))*(1+U653),0)*'模拟-单技能数据'!$I$22</f>
        <v>0</v>
      </c>
      <c r="AW653" s="108">
        <f t="shared" ca="1" si="575"/>
        <v>0</v>
      </c>
      <c r="AX653" s="108" t="b">
        <f ca="1">AND(模拟模式!$P$10="有",AW652=0,RAND()&lt;IF(C653="净世破魔击·月",0.1*8/3,IF(C653="净世破魔击·日",0.1*4/3,0.1*2/3)))</f>
        <v>0</v>
      </c>
      <c r="AY653" s="47">
        <f ca="1">IF(AX653,(18+G653*0.722)*(1+J653)*(1-S653)*(1+$I$4)*IF(P653="会",'模拟-全程加成'!$J$3+'模拟-全程加成'!$J$4+'模拟-全程加成'!$J$5+('模拟-全程加成'!$I$4+'模拟-全程加成'!$I$5)/系数!$B$4+BG653*10%,IF(P653="命",1,IF(P653="识",0.25,0))),0)</f>
        <v>0</v>
      </c>
      <c r="AZ653" s="108">
        <f t="shared" si="576"/>
        <v>10.775000000000006</v>
      </c>
      <c r="BA653" s="108" t="b">
        <f>AND(模拟模式!$Q$10="有",AZ652=0)</f>
        <v>0</v>
      </c>
      <c r="BB653" s="140">
        <f>IF(BA653,(0+G653*0.287)*(1+J653)*(1-S653)*(1+$I$4)*IF(P653="会",'模拟-全程加成'!$J$3+'模拟-全程加成'!$J$4+'模拟-全程加成'!$J$5+('模拟-全程加成'!$I$4+'模拟-全程加成'!$I$5)/系数!$B$4+BG653*10%,IF(P653="命",1,IF(P653="识",0.25,0))),0)</f>
        <v>0</v>
      </c>
      <c r="BC653" s="115" t="b">
        <f ca="1">AND(模拟模式!$R$7="伏明众生",E653=60,F653=20,DA653&lt;5,CZ652&lt;$F$4)</f>
        <v>0</v>
      </c>
      <c r="BD653" s="115">
        <f t="shared" ca="1" si="555"/>
        <v>0</v>
      </c>
      <c r="BE653" s="115" t="b">
        <f t="shared" ca="1" si="556"/>
        <v>0</v>
      </c>
      <c r="BF653" s="47">
        <f ca="1">IF(BC653,4*('模拟-单技能数据'!$D$24+G653*'模拟-单技能数据'!$F$24)*(1+J653)*(1+'模拟-单技能数据'!$J$24)*(1-S653)*(1+$I$3)*(('模拟-全程加成'!$J$3+'模拟-全程加成'!$J$4+'模拟-全程加成'!$J$5+('模拟-全程加成'!$I$4+'模拟-全程加成'!$I$5)/系数!$B$4+BG653*10%)*('模拟-全程加成'!$J$3+'模拟-全程加成'!$J$4+'模拟-全程加成'!$J$5+('模拟-全程加成'!$I$4+'模拟-全程加成'!$I$5)/系数!$B$4+BG653*10%)+(1-('模拟-全程加成'!$J$3+'模拟-全程加成'!$J$4+'模拟-全程加成'!$J$5+('模拟-全程加成'!$I$4+'模拟-全程加成'!$I$5)/系数!$B$4+BG653*10%)-$F$10-$F$11)+F639*0.25),0)*'模拟-单技能数据'!$I$24</f>
        <v>0</v>
      </c>
      <c r="BG653" s="115" t="b">
        <f ca="1">OR(AND(OR(C653="烈日斩",C653="银月斩"),模拟模式!$I$7="净身明礼"),AND(C653="净世破魔击·日",模拟模式!$J$7="洞若观火"),AND(C654="净世破魔击·月",模拟模式!$J$7="洞若观火"),AB653=1)</f>
        <v>1</v>
      </c>
      <c r="BH653" s="115" t="b">
        <f t="shared" ca="1" si="577"/>
        <v>0</v>
      </c>
      <c r="BI653" s="115">
        <f t="shared" ca="1" si="557"/>
        <v>0</v>
      </c>
      <c r="BJ653" s="115" t="b">
        <f t="shared" ca="1" si="558"/>
        <v>0</v>
      </c>
      <c r="BK653" s="115" t="b">
        <f ca="1">AND(C653="驱夜断愁",模拟模式!$P$7="天地诛戮")</f>
        <v>0</v>
      </c>
      <c r="BL653" s="57">
        <f t="shared" ca="1" si="559"/>
        <v>18.155000000000001</v>
      </c>
      <c r="BM653" s="115" t="b">
        <f t="shared" ca="1" si="560"/>
        <v>1</v>
      </c>
      <c r="BN653" s="115" t="b">
        <f ca="1">AND(OR(C653="赤日轮1",C653="赤日轮2",C653="赤日轮3",C653="幽月轮1",C653="幽月轮2",C653="幽月轮3"),AB653=1,模拟模式!$L$7="明光恒照")</f>
        <v>1</v>
      </c>
      <c r="BO653" s="117">
        <f t="shared" ca="1" si="561"/>
        <v>30</v>
      </c>
      <c r="BP653" s="115">
        <f t="shared" ca="1" si="578"/>
        <v>6</v>
      </c>
      <c r="BQ653" s="115" t="b">
        <f>模拟模式!$K$10="2600·水"</f>
        <v>0</v>
      </c>
      <c r="BR653" s="117">
        <f t="shared" si="579"/>
        <v>0</v>
      </c>
      <c r="BS653" s="115">
        <f t="shared" si="580"/>
        <v>0</v>
      </c>
      <c r="BT653" s="115">
        <f t="shared" ca="1" si="581"/>
        <v>0</v>
      </c>
      <c r="BU653" s="115" t="b">
        <f ca="1">AND(模拟模式!$K$10="2300·雷",BT652=0,RAND()&lt;IF(C653="净世破魔击·月",5*0.05*2/3,IF(C653="净世破魔击·日",3*0.05*2/3,0.05*2*2/3)))</f>
        <v>0</v>
      </c>
      <c r="BV653" s="115">
        <f t="shared" ca="1" si="582"/>
        <v>0</v>
      </c>
      <c r="BW653" s="115">
        <f t="shared" ca="1" si="583"/>
        <v>160.62749999999971</v>
      </c>
      <c r="BX653" s="164" t="b">
        <f t="shared" ca="1" si="584"/>
        <v>0</v>
      </c>
      <c r="BY653" s="115">
        <f t="shared" ca="1" si="585"/>
        <v>0</v>
      </c>
      <c r="BZ653" s="115">
        <f>IF(OR(模拟模式!$P$16="10人团",模拟模式!$P$16="25人团"),IF(B653/30&gt;CA652,1,0),0)</f>
        <v>0</v>
      </c>
      <c r="CA653" s="115">
        <f t="shared" si="562"/>
        <v>0</v>
      </c>
      <c r="CB653" s="115">
        <f ca="1">IF(BZ653=1,IF(模拟模式!$P$16="10人团",15,0)+IF(模拟模式!$P$16="25人团",IF(RAND()&lt;0.6,15,0)),MAX(0,CB652-$F$4))</f>
        <v>0</v>
      </c>
      <c r="CC653" s="115" t="b">
        <f t="shared" ca="1" si="563"/>
        <v>0</v>
      </c>
      <c r="CD653" s="115">
        <f>IF(模拟模式!$Q$16="1个",IF(B653/40&gt;CE652,1,0),0)</f>
        <v>0</v>
      </c>
      <c r="CE653" s="115">
        <f t="shared" si="564"/>
        <v>0</v>
      </c>
      <c r="CF653" s="115">
        <f>IF(OR(CD653=1,模拟模式!$Q$16="2个"),20,MAX(0,CF652-$F$4))</f>
        <v>0</v>
      </c>
      <c r="CG653" s="115" t="b">
        <f t="shared" si="565"/>
        <v>0</v>
      </c>
      <c r="CH653" s="115">
        <f t="shared" ca="1" si="586"/>
        <v>10.627500000000012</v>
      </c>
      <c r="CI653" s="115" t="b">
        <f t="shared" ca="1" si="587"/>
        <v>0</v>
      </c>
      <c r="CJ653" s="119">
        <f t="shared" ca="1" si="588"/>
        <v>0</v>
      </c>
      <c r="CK653" s="115">
        <f t="shared" ca="1" si="589"/>
        <v>0</v>
      </c>
      <c r="CL653" s="115" t="b">
        <f ca="1">AND(模拟模式!$S$7="驱夷逐法",OR(AND(C653="净世破魔击·月",E652&gt;59),AND(C653="净世破魔击·日",F652&gt;59)))</f>
        <v>0</v>
      </c>
      <c r="CM653" s="115" t="b">
        <f ca="1">OR(CL653,AND(C653="净世破魔击·日",CL652,RAND()&lt;模拟模式!$U$23))</f>
        <v>0</v>
      </c>
      <c r="CN653" s="115" t="b">
        <f ca="1">IF(模拟模式!$M$7="辉耀红尘",AND(C653="净世破魔击·月",CL653,CV653=0,E652&lt;80),AND(C653="净世破魔击·月",CL653,E652&lt;100))</f>
        <v>0</v>
      </c>
      <c r="CO653" s="115" t="b">
        <f t="shared" ca="1" si="566"/>
        <v>0</v>
      </c>
      <c r="CP653" s="115" t="b">
        <f ca="1">AND(模拟模式!$O$7="用晦而明",OR(C653="净世破魔击·日",C653="净世破魔击·月",C653="驱夜断愁"),AB653)</f>
        <v>0</v>
      </c>
      <c r="CQ653" s="115" t="b">
        <f ca="1">OR(CP653,AND(CP652,RAND()&lt;模拟模式!$U$23))</f>
        <v>0</v>
      </c>
      <c r="CR653" s="115" t="b">
        <f ca="1">AND(模拟模式!$S$7="日月齐光",OR(C653="幽月轮1",C653="幽月轮2",C653="幽月轮3",CR652),NOT(OR(C653="赤日轮1",C653="赤日轮2",C653="赤日轮3")))</f>
        <v>0</v>
      </c>
      <c r="CS653" s="115" t="b">
        <f ca="1">AND(模拟模式!$S$7="日月齐光",OR(C653="赤日轮1",C653="赤日轮2",C653="赤日轮3",CS652),NOT(OR(C653="幽月轮1",C653="幽月轮2",C653="幽月轮3")))</f>
        <v>0</v>
      </c>
      <c r="CT653" s="115">
        <f t="shared" ca="1" si="590"/>
        <v>1.4025000000000118</v>
      </c>
      <c r="CU653" s="115" t="b">
        <f ca="1">AND(模拟模式!$K$10="阴阳往极",CT652=0,RAND()&lt;IF(C653="净世破魔击·月",0.0275*7/3,IF(C653="净世破魔击·日",0.0275*3/3,0.0275*2/3)))</f>
        <v>0</v>
      </c>
      <c r="CV653" s="115">
        <f t="shared" ca="1" si="591"/>
        <v>0</v>
      </c>
      <c r="CW653" s="115">
        <f t="shared" ca="1" si="592"/>
        <v>5.0774999999999997</v>
      </c>
      <c r="CX653" s="115">
        <f t="shared" ca="1" si="593"/>
        <v>3.2324999999999995</v>
      </c>
      <c r="CY653" s="115">
        <f ca="1">MAX(IF($C653="驱夜断愁",IF(模拟模式!$R$7="万念俱寂",6,45),CY652-$F$4),0)</f>
        <v>4.1549999999999994</v>
      </c>
      <c r="CZ653" s="115">
        <f t="shared" ca="1" si="567"/>
        <v>0</v>
      </c>
      <c r="DA653" s="115">
        <f ca="1">IF(模拟模式!$N$7="日月同辉",IF(DB652=2,0,MIN(6,IF(AND(OR(C653="赤日轮1",C653="赤日轮2",C653="赤日轮3",C653="幽月轮1",C653="幽月轮2",C653="幽月轮3"),AB653=1),DA652+1,DA652))),0)</f>
        <v>0</v>
      </c>
      <c r="DB653" s="115">
        <f t="shared" ca="1" si="568"/>
        <v>2</v>
      </c>
      <c r="DC653" s="115"/>
      <c r="DD653" s="115"/>
      <c r="DE653" s="115"/>
      <c r="DF653" s="115"/>
      <c r="DG653" s="115"/>
      <c r="DH653" s="115"/>
      <c r="DI653" s="115"/>
      <c r="DJ653" s="115"/>
      <c r="DK653" s="115"/>
      <c r="DL653" s="115"/>
      <c r="DM653" s="115"/>
    </row>
    <row r="654" spans="2:117" x14ac:dyDescent="0.2">
      <c r="B654" s="117">
        <f t="shared" si="569"/>
        <v>578.40750000000651</v>
      </c>
      <c r="C654" s="167" t="str">
        <f t="shared" ca="1" si="538"/>
        <v>净世破魔击·月</v>
      </c>
      <c r="D654" s="115">
        <f ca="1">IF(C654="赤日轮1",1,IF(C654="赤日轮2",2,IF(C654="赤日轮3",3,IF(C654="幽月轮1",4,IF(C654="幽月轮2",5,IF(C654="幽月轮3",6,IF(C654="烈日斩",7,IF(C654="银月斩",8,IF(C654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654="净世破魔击·月",17,IF(C654="驱夜断愁",18,0)))))))))))</f>
        <v>17</v>
      </c>
      <c r="E654" s="115">
        <f ca="1">IF(AND(CU654,OR(C654="幽月轮1",C654="幽月轮2",C654="幽月轮3",C654="银月斩",C654="驱夜断愁",C654="净世破魔击·月")),100,MIN(IF(OR(CN654,BE654),0,IF(OR($C654="赤日轮1",$C654="赤日轮2",$C654="赤日轮3"),E653+20+IF(模拟模式!$I$7="日月凌天",4,0)+IF(CR653,20,0),IF($C654="烈日斩",E653+40,IF($C654="驱夜断愁",IF(模拟模式!$R$7="万念俱寂",E653+20,E653+60),IF($C654="净世破魔击·月",IF(OR(DB653&gt;0,CV653&gt;0),100,IF(模拟模式!$M$7="辉耀红尘",E653+20,E653)),IF($C654="净世破魔击·日",E653-100,E653)))))),100))</f>
        <v>100</v>
      </c>
      <c r="F654" s="115">
        <f ca="1">IF(AND(CU654,OR(C654="赤日轮1",C654="赤日轮2",C654="赤日轮3",C654="烈日斩",C654="净世破魔击·日")),100,MIN(IF(CO654,0,IF(OR($C654="幽月轮1",$C654="幽月轮2",$C654="幽月轮3"),F653+20+IF(模拟模式!$I$7="日月凌天",4,0)+IF(CS653,20,0),IF($C654="银月斩",F653+40+IF(模拟模式!$X$12=1,5,0),IF($C654="驱夜断愁",IF(模拟模式!$R$7="万念俱寂",F653+20,F653+60),IF($C654="净世破魔击·月",IF(模拟模式!$M$7="辉耀红尘",F653-80,F653-100),IF(AND(C654="净世破魔击·日",OR(DB653&gt;0,CV653&gt;0)),100,F653)))))),100))</f>
        <v>20</v>
      </c>
      <c r="G654" s="117">
        <f ca="1">('模拟-全程加成'!$E$3+'模拟-全程加成'!$E$4+'模拟-全程加成'!$E$5+('模拟-全程加成'!$C$6-'模拟-全程加成'!$C$3)*系数!$B$9+BS654*23)*(1+'模拟-全程加成'!$F$4+'模拟-全程加成'!$F$5+BJ654*10%+BM654*20%+BP654*4%+CG654*30%)+$F$7*系数!$B$12</f>
        <v>20583.127400000001</v>
      </c>
      <c r="H654" s="45">
        <f ca="1">'模拟-全程加成'!$H$3+'模拟-全程加成'!$H$4+'模拟-全程加成'!$H$5+('模拟-全程加成'!$G$4+'模拟-全程加成'!$G$5+('模拟-全程加成'!$C$6-'模拟-全程加成'!$C$3)*系数!$B$13)/系数!$B$3+LOOKUP(D654,'模拟-单技能数据'!$A$2:$A$19,'模拟-单技能数据'!$K$2:$K$19)+BG654*10%+IF(BV654&gt;0,378,0)</f>
        <v>0.54185145527300216</v>
      </c>
      <c r="I654" s="45">
        <f ca="1">'模拟-全程加成'!$J$3+'模拟-全程加成'!$J$4+'模拟-全程加成'!$J$5+('模拟-全程加成'!$I$4+'模拟-全程加成'!$I$5)/系数!$B$4+LOOKUP(D654,'模拟-单技能数据'!$A$2:$A$19,'模拟-单技能数据'!$L$2:$L$19)+BG654*10%</f>
        <v>2.162482885499879</v>
      </c>
      <c r="J654" s="45">
        <f ca="1">(('模拟-全程加成'!$K$3+'模拟-全程加成'!$K$4+'模拟-全程加成'!$K$5+('模拟-全程加成'!$C$6-'模拟-全程加成'!$C$3)*系数!$B$10+IF(BV654&gt;0,882,0)+IF(BY654&gt;0,1831,0))*(1+'模拟-全程加成'!$L$4+'模拟-全程加成'!$L$5+CC654*20%))/系数!$B$5</f>
        <v>0.69723220422048726</v>
      </c>
      <c r="K654" s="119">
        <f ca="1">LOOKUP(D654,'模拟-单技能数据'!$A$2:$A$19,'模拟-单技能数据'!$J$2:$J$19)+IF(CM654,60%,0)+IF(DB653-DB654&gt;0,30%,0)+IF(OR(AND(OR(C654="赤日轮1",C654="赤日轮2",C654="赤日轮3"),CR654),AND(OR(C654="幽月轮1",C654="幽月轮2",C654="幽月轮3"),CS654)),35%,0)+CJ654</f>
        <v>1.1000000000000001</v>
      </c>
      <c r="L654" s="119">
        <f ca="1">IF(AND(C654="烈日斩",模拟模式!$X$11=1),10%,0)+IF(AND(C654="驱夜断愁",AB654=1),30%,0)</f>
        <v>0</v>
      </c>
      <c r="M654" s="45">
        <f t="shared" ca="1" si="539"/>
        <v>0.54185145527300216</v>
      </c>
      <c r="N654" s="45">
        <f t="shared" ca="1" si="540"/>
        <v>0.40424854472699789</v>
      </c>
      <c r="O654" s="46">
        <f t="shared" ca="1" si="570"/>
        <v>0.32509635763835776</v>
      </c>
      <c r="P654" s="46" t="str">
        <f t="shared" ca="1" si="541"/>
        <v>会</v>
      </c>
      <c r="Q654" s="45">
        <f t="shared" ca="1" si="542"/>
        <v>2.162482885499879</v>
      </c>
      <c r="R654" s="117">
        <f ca="1">模拟模式!$E$20*(1-IF(模拟模式!$J$19="有",0.15,0))*(1-IF(模拟模式!$K$19="有",0.3,0)-IF(CQ654,0.5,0))</f>
        <v>843.02999999999975</v>
      </c>
      <c r="S654" s="45">
        <f ca="1">R654/(R654+(185*模拟模式!$E$22-16800)*4.08224)</f>
        <v>8.389626085980037E-2</v>
      </c>
      <c r="T654" s="45" t="str">
        <f ca="1">LOOKUP(D654,'模拟-单技能数据'!$A$2:$A$19,'模拟-单技能数据'!$H$2:$H$19)</f>
        <v>阴</v>
      </c>
      <c r="U654" s="119">
        <f t="shared" ca="1" si="543"/>
        <v>0.08</v>
      </c>
      <c r="V654" s="47">
        <f ca="1">(1+L654)*(LOOKUP(D654,'模拟-单技能数据'!$A$2:$A$19,'模拟-单技能数据'!$D$2:$D$19)+G654*LOOKUP(D654,'模拟-单技能数据'!$A$2:$A$19,'模拟-单技能数据'!$F$2:$F$19))*(1+J654)*(1+K654)*(1-S654)*(1+U654)*Q654*LOOKUP(D654,'模拟-单技能数据'!$A$2:$A$19,'模拟-单技能数据'!$I$2:$I$20)</f>
        <v>204013.08685584151</v>
      </c>
      <c r="W654" s="47">
        <f ca="1">LOOKUP(D654,'模拟-单技能数据'!$A$2:$A$19,'模拟-单技能数据'!$G$2:$G$19)*$I$10</f>
        <v>361.51064354704795</v>
      </c>
      <c r="X654" s="47">
        <f t="shared" ca="1" si="571"/>
        <v>16858.386290731236</v>
      </c>
      <c r="Y654" s="47">
        <f t="shared" ca="1" si="544"/>
        <v>221232.98379011979</v>
      </c>
      <c r="Z654" s="49">
        <f t="shared" ca="1" si="545"/>
        <v>65689889.549465813</v>
      </c>
      <c r="AA654" s="97">
        <f t="shared" ca="1" si="546"/>
        <v>113570.25894281294</v>
      </c>
      <c r="AB654" s="115">
        <f ca="1">IF(OR(C654="赤日轮1",C654="赤日轮2",C654="赤日轮3"),IF(RAND()&lt;模拟模式!$Y$17,1,0),IF(OR(C654="幽月轮1",C654="幽月轮2",C654="幽月轮3"),IF(RAND()&lt;模拟模式!$Y$18,1,0),IF(C654="烈日斩",IF(RAND()&lt;模拟模式!$Y$19,1,0),IF(C654="银月斩",IF(RAND()&lt;模拟模式!$Y$20,1,0),IF(C654="驱夜断愁",IF(RAND()&lt;模拟模式!$Y$21,1,0),IF(C654="净世破魔击·日",IF(RAND()&lt;模拟模式!$Y$22,1,0),IF(C654="净世破魔击·月",IF(RAND()&lt;模拟模式!$Y$23,1,0),0)))))))</f>
        <v>1</v>
      </c>
      <c r="AC654" s="115" t="b">
        <f t="shared" ca="1" si="547"/>
        <v>0</v>
      </c>
      <c r="AD654" s="115" t="b">
        <f t="shared" ca="1" si="548"/>
        <v>1</v>
      </c>
      <c r="AE654" s="115">
        <f t="shared" ca="1" si="549"/>
        <v>3</v>
      </c>
      <c r="AF654" s="47">
        <f ca="1">IF(AC654,('模拟-单技能数据'!$D$20+G654*'模拟-单技能数据'!$F$20)*(1+J654)*(1+'模拟-单技能数据'!$J$20)*(1+U654),0)</f>
        <v>0</v>
      </c>
      <c r="AG654" s="61">
        <f t="shared" ca="1" si="550"/>
        <v>0.64185145527300214</v>
      </c>
      <c r="AH654" s="61">
        <f t="shared" ca="1" si="551"/>
        <v>2.2624828854998791</v>
      </c>
      <c r="AI654" s="62">
        <f t="shared" ca="1" si="572"/>
        <v>0.64506826512991289</v>
      </c>
      <c r="AJ654" s="47">
        <f ca="1">IF(AD654,IF(AI654&lt;$F$10,0,IF(AI654&lt;$F$10+$F$11,0.25,IF(AI654&lt;$F$10+$F$11+AG654,AH654,1)))*IF(AF654&gt;0,AF654,IF(AF653&gt;0,AF653,IF(AF652&gt;0,AF652,IF(AF651&gt;0,AF651,IF(AF650&gt;0,AF650,IF(AF649&gt;0,AF649,IF(AF648&gt;0,AF648,IF(AF647&gt;0,AF647,IF(AF646&gt;0,AF646,IF(AF644&gt;0,AF644,IF(AF643&gt;0,AF643,IF(AF642&gt;0,AF642,0)))))))))))),0)*(1-$S654)*'模拟-单技能数据'!$I$20</f>
        <v>9218.9345386263849</v>
      </c>
      <c r="AK654" s="115" t="b">
        <f t="shared" ca="1" si="552"/>
        <v>0</v>
      </c>
      <c r="AL654" s="115" t="b">
        <f t="shared" ca="1" si="553"/>
        <v>0</v>
      </c>
      <c r="AM654" s="115">
        <f t="shared" ca="1" si="554"/>
        <v>3</v>
      </c>
      <c r="AN654" s="47">
        <f ca="1">IF(AK654,('模拟-单技能数据'!$D$21+G654*'模拟-单技能数据'!$F$21)*(1+J654)*(1+'模拟-单技能数据'!$J$21)*(1+U654),0)</f>
        <v>0</v>
      </c>
      <c r="AO654" s="61">
        <f ca="1">IF(AN654&gt;0,M654-'模拟-单技能数据'!$K$10,AO653)</f>
        <v>0.42185145527300216</v>
      </c>
      <c r="AP654" s="61">
        <f ca="1">IF(AN654&gt;0,I654-'模拟-单技能数据'!$L$10,AP653)</f>
        <v>2.162482885499879</v>
      </c>
      <c r="AQ654" s="63">
        <f t="shared" ca="1" si="573"/>
        <v>0.66184489587024631</v>
      </c>
      <c r="AR654" s="64">
        <f ca="1">IF(AL654,IF(AQ654&lt;$F$10,0,IF(AQ654&lt;$F$10+$F$11,0.25,IF(AQ654&lt;$F$10+$F$11+AO654,AP654,1)))*IF(AN654&gt;0,AN654,IF(AN653&gt;0,AN653,IF(AN652&gt;0,AN652,IF(AN651&gt;0,AN651,IF(AN650&gt;0,AN650,IF(AN649&gt;0,AN649,IF(AN648&gt;0,AN648,IF(AN647&gt;0,AN647,IF(AN646&gt;0,AN646,IF(AN644&gt;0,AN644,IF(AN643&gt;0,AN643,IF(AN642&gt;0,AN642,0)))))))))))),0)*(1-$S654)*'模拟-单技能数据'!$I$21</f>
        <v>0</v>
      </c>
      <c r="AS654" s="61">
        <f ca="1">IF(OR(C654="净世破魔击·日",C654="净世破魔击·月"),M654-'模拟-单技能数据'!$K$10,0)</f>
        <v>0.42185145527300216</v>
      </c>
      <c r="AT654" s="61">
        <f ca="1">IF(OR(C654="净世破魔击·日",C654="净世破魔击·月"),I654-'模拟-单技能数据'!$L$10,0)</f>
        <v>2.162482885499879</v>
      </c>
      <c r="AU654" s="62">
        <f t="shared" ca="1" si="574"/>
        <v>0.56834161548204509</v>
      </c>
      <c r="AV654" s="64">
        <f ca="1">IF(AS654&gt;0,('模拟-单技能数据'!$D$22+G654*'模拟-单技能数据'!$F$22)*(1+J654)*(1-S654)*IF(AU654&lt;$F$10,0,IF(AU654&lt;$F$10+$F$11,0.25,IF(AU654&lt;$F$10+$F$11+AS654,AT654,1)))*(1+U654),0)*'模拟-单技能数据'!$I$22</f>
        <v>7639.4517521048492</v>
      </c>
      <c r="AW654" s="108">
        <f t="shared" ca="1" si="575"/>
        <v>0</v>
      </c>
      <c r="AX654" s="108" t="b">
        <f ca="1">AND(模拟模式!$P$10="有",AW653=0,RAND()&lt;IF(C654="净世破魔击·月",0.1*8/3,IF(C654="净世破魔击·日",0.1*4/3,0.1*2/3)))</f>
        <v>0</v>
      </c>
      <c r="AY654" s="47">
        <f ca="1">IF(AX654,(18+G654*0.722)*(1+J654)*(1-S654)*(1+$I$4)*IF(P654="会",'模拟-全程加成'!$J$3+'模拟-全程加成'!$J$4+'模拟-全程加成'!$J$5+('模拟-全程加成'!$I$4+'模拟-全程加成'!$I$5)/系数!$B$4+BG654*10%,IF(P654="命",1,IF(P654="识",0.25,0))),0)</f>
        <v>0</v>
      </c>
      <c r="AZ654" s="108">
        <f t="shared" si="576"/>
        <v>9.8525000000000063</v>
      </c>
      <c r="BA654" s="108" t="b">
        <f>AND(模拟模式!$Q$10="有",AZ653=0)</f>
        <v>0</v>
      </c>
      <c r="BB654" s="140">
        <f>IF(BA654,(0+G654*0.287)*(1+J654)*(1-S654)*(1+$I$4)*IF(P654="会",'模拟-全程加成'!$J$3+'模拟-全程加成'!$J$4+'模拟-全程加成'!$J$5+('模拟-全程加成'!$I$4+'模拟-全程加成'!$I$5)/系数!$B$4+BG654*10%,IF(P654="命",1,IF(P654="识",0.25,0))),0)</f>
        <v>0</v>
      </c>
      <c r="BC654" s="115" t="b">
        <f ca="1">AND(模拟模式!$R$7="伏明众生",E654=60,F654=20,DA654&lt;5,CZ653&lt;$F$4)</f>
        <v>0</v>
      </c>
      <c r="BD654" s="115">
        <f t="shared" ca="1" si="555"/>
        <v>0</v>
      </c>
      <c r="BE654" s="115" t="b">
        <f t="shared" ca="1" si="556"/>
        <v>0</v>
      </c>
      <c r="BF654" s="47">
        <f ca="1">IF(BC654,4*('模拟-单技能数据'!$D$24+G654*'模拟-单技能数据'!$F$24)*(1+J654)*(1+'模拟-单技能数据'!$J$24)*(1-S654)*(1+$I$3)*(('模拟-全程加成'!$J$3+'模拟-全程加成'!$J$4+'模拟-全程加成'!$J$5+('模拟-全程加成'!$I$4+'模拟-全程加成'!$I$5)/系数!$B$4+BG654*10%)*('模拟-全程加成'!$J$3+'模拟-全程加成'!$J$4+'模拟-全程加成'!$J$5+('模拟-全程加成'!$I$4+'模拟-全程加成'!$I$5)/系数!$B$4+BG654*10%)+(1-('模拟-全程加成'!$J$3+'模拟-全程加成'!$J$4+'模拟-全程加成'!$J$5+('模拟-全程加成'!$I$4+'模拟-全程加成'!$I$5)/系数!$B$4+BG654*10%)-$F$10-$F$11)+F640*0.25),0)*'模拟-单技能数据'!$I$24</f>
        <v>0</v>
      </c>
      <c r="BG654" s="115" t="b">
        <f ca="1">OR(AND(OR(C654="烈日斩",C654="银月斩"),模拟模式!$I$7="净身明礼"),AND(C654="净世破魔击·日",模拟模式!$J$7="洞若观火"),AND(C655="净世破魔击·月",模拟模式!$J$7="洞若观火"),AB654=1)</f>
        <v>1</v>
      </c>
      <c r="BH654" s="115" t="b">
        <f t="shared" ca="1" si="577"/>
        <v>0</v>
      </c>
      <c r="BI654" s="115">
        <f t="shared" ca="1" si="557"/>
        <v>0</v>
      </c>
      <c r="BJ654" s="115" t="b">
        <f t="shared" ca="1" si="558"/>
        <v>0</v>
      </c>
      <c r="BK654" s="115" t="b">
        <f ca="1">AND(C654="驱夜断愁",模拟模式!$P$7="天地诛戮")</f>
        <v>0</v>
      </c>
      <c r="BL654" s="57">
        <f t="shared" ca="1" si="559"/>
        <v>17.232500000000002</v>
      </c>
      <c r="BM654" s="115" t="b">
        <f t="shared" ca="1" si="560"/>
        <v>1</v>
      </c>
      <c r="BN654" s="115" t="b">
        <f ca="1">AND(OR(C654="赤日轮1",C654="赤日轮2",C654="赤日轮3",C654="幽月轮1",C654="幽月轮2",C654="幽月轮3"),AB654=1,模拟模式!$L$7="明光恒照")</f>
        <v>0</v>
      </c>
      <c r="BO654" s="117">
        <f t="shared" ca="1" si="561"/>
        <v>29.077500000000001</v>
      </c>
      <c r="BP654" s="115">
        <f t="shared" ca="1" si="578"/>
        <v>6</v>
      </c>
      <c r="BQ654" s="115" t="b">
        <f>模拟模式!$K$10="2600·水"</f>
        <v>0</v>
      </c>
      <c r="BR654" s="117">
        <f t="shared" si="579"/>
        <v>0</v>
      </c>
      <c r="BS654" s="115">
        <f t="shared" si="580"/>
        <v>0</v>
      </c>
      <c r="BT654" s="115">
        <f t="shared" ca="1" si="581"/>
        <v>0</v>
      </c>
      <c r="BU654" s="115" t="b">
        <f ca="1">AND(模拟模式!$K$10="2300·雷",BT653=0,RAND()&lt;IF(C654="净世破魔击·月",5*0.05*2/3,IF(C654="净世破魔击·日",3*0.05*2/3,0.05*2*2/3)))</f>
        <v>0</v>
      </c>
      <c r="BV654" s="115">
        <f t="shared" ca="1" si="582"/>
        <v>0</v>
      </c>
      <c r="BW654" s="115">
        <f t="shared" ca="1" si="583"/>
        <v>159.7049999999997</v>
      </c>
      <c r="BX654" s="164" t="b">
        <f t="shared" ca="1" si="584"/>
        <v>0</v>
      </c>
      <c r="BY654" s="115">
        <f t="shared" ca="1" si="585"/>
        <v>0</v>
      </c>
      <c r="BZ654" s="115">
        <f>IF(OR(模拟模式!$P$16="10人团",模拟模式!$P$16="25人团"),IF(B654/30&gt;CA653,1,0),0)</f>
        <v>0</v>
      </c>
      <c r="CA654" s="115">
        <f t="shared" si="562"/>
        <v>0</v>
      </c>
      <c r="CB654" s="115">
        <f ca="1">IF(BZ654=1,IF(模拟模式!$P$16="10人团",15,0)+IF(模拟模式!$P$16="25人团",IF(RAND()&lt;0.6,15,0)),MAX(0,CB653-$F$4))</f>
        <v>0</v>
      </c>
      <c r="CC654" s="115" t="b">
        <f t="shared" ca="1" si="563"/>
        <v>0</v>
      </c>
      <c r="CD654" s="115">
        <f>IF(模拟模式!$Q$16="1个",IF(B654/40&gt;CE653,1,0),0)</f>
        <v>0</v>
      </c>
      <c r="CE654" s="115">
        <f t="shared" si="564"/>
        <v>0</v>
      </c>
      <c r="CF654" s="115">
        <f>IF(OR(CD654=1,模拟模式!$Q$16="2个"),20,MAX(0,CF653-$F$4))</f>
        <v>0</v>
      </c>
      <c r="CG654" s="115" t="b">
        <f t="shared" si="565"/>
        <v>0</v>
      </c>
      <c r="CH654" s="115">
        <f t="shared" ca="1" si="586"/>
        <v>9.7050000000000125</v>
      </c>
      <c r="CI654" s="115" t="b">
        <f t="shared" ca="1" si="587"/>
        <v>0</v>
      </c>
      <c r="CJ654" s="119">
        <f t="shared" ca="1" si="588"/>
        <v>0</v>
      </c>
      <c r="CK654" s="115">
        <f t="shared" ca="1" si="589"/>
        <v>0</v>
      </c>
      <c r="CL654" s="115" t="b">
        <f ca="1">AND(模拟模式!$S$7="驱夷逐法",OR(AND(C654="净世破魔击·月",E653&gt;59),AND(C654="净世破魔击·日",F653&gt;59)))</f>
        <v>1</v>
      </c>
      <c r="CM654" s="115" t="b">
        <f ca="1">OR(CL654,AND(C654="净世破魔击·日",CL653,RAND()&lt;模拟模式!$U$23))</f>
        <v>1</v>
      </c>
      <c r="CN654" s="115" t="b">
        <f ca="1">IF(模拟模式!$M$7="辉耀红尘",AND(C654="净世破魔击·月",CL654,CV654=0,E653&lt;80),AND(C654="净世破魔击·月",CL654,E653&lt;100))</f>
        <v>0</v>
      </c>
      <c r="CO654" s="115" t="b">
        <f t="shared" ca="1" si="566"/>
        <v>0</v>
      </c>
      <c r="CP654" s="115" t="b">
        <f ca="1">AND(模拟模式!$O$7="用晦而明",OR(C654="净世破魔击·日",C654="净世破魔击·月",C654="驱夜断愁"),AB654)</f>
        <v>1</v>
      </c>
      <c r="CQ654" s="115" t="b">
        <f ca="1">OR(CP654,AND(CP653,RAND()&lt;模拟模式!$U$23))</f>
        <v>1</v>
      </c>
      <c r="CR654" s="115" t="b">
        <f ca="1">AND(模拟模式!$S$7="日月齐光",OR(C654="幽月轮1",C654="幽月轮2",C654="幽月轮3",CR653),NOT(OR(C654="赤日轮1",C654="赤日轮2",C654="赤日轮3")))</f>
        <v>0</v>
      </c>
      <c r="CS654" s="115" t="b">
        <f ca="1">AND(模拟模式!$S$7="日月齐光",OR(C654="赤日轮1",C654="赤日轮2",C654="赤日轮3",CS653),NOT(OR(C654="幽月轮1",C654="幽月轮2",C654="幽月轮3")))</f>
        <v>0</v>
      </c>
      <c r="CT654" s="115">
        <f t="shared" ca="1" si="590"/>
        <v>0.48000000000001186</v>
      </c>
      <c r="CU654" s="115" t="b">
        <f ca="1">AND(模拟模式!$K$10="阴阳往极",CT653=0,RAND()&lt;IF(C654="净世破魔击·月",0.0275*7/3,IF(C654="净世破魔击·日",0.0275*3/3,0.0275*2/3)))</f>
        <v>0</v>
      </c>
      <c r="CV654" s="115">
        <f t="shared" ca="1" si="591"/>
        <v>0</v>
      </c>
      <c r="CW654" s="115">
        <f t="shared" ca="1" si="592"/>
        <v>4.1549999999999994</v>
      </c>
      <c r="CX654" s="115">
        <f t="shared" ca="1" si="593"/>
        <v>2.3099999999999996</v>
      </c>
      <c r="CY654" s="115">
        <f ca="1">MAX(IF($C654="驱夜断愁",IF(模拟模式!$R$7="万念俱寂",6,45),CY653-$F$4),0)</f>
        <v>3.2324999999999995</v>
      </c>
      <c r="CZ654" s="115">
        <f t="shared" ca="1" si="567"/>
        <v>0</v>
      </c>
      <c r="DA654" s="115">
        <f ca="1">IF(模拟模式!$N$7="日月同辉",IF(DB653=2,0,MIN(6,IF(AND(OR(C654="赤日轮1",C654="赤日轮2",C654="赤日轮3",C654="幽月轮1",C654="幽月轮2",C654="幽月轮3"),AB654=1),DA653+1,DA653))),0)</f>
        <v>0</v>
      </c>
      <c r="DB654" s="115">
        <f t="shared" ca="1" si="568"/>
        <v>1</v>
      </c>
      <c r="DC654" s="115"/>
      <c r="DD654" s="115"/>
      <c r="DE654" s="115"/>
      <c r="DF654" s="115"/>
      <c r="DG654" s="115"/>
      <c r="DH654" s="115"/>
      <c r="DI654" s="115"/>
      <c r="DJ654" s="115"/>
      <c r="DK654" s="115"/>
      <c r="DL654" s="115"/>
      <c r="DM654" s="115"/>
    </row>
    <row r="655" spans="2:117" x14ac:dyDescent="0.2">
      <c r="B655" s="117">
        <f t="shared" si="569"/>
        <v>579.33000000000652</v>
      </c>
      <c r="C655" s="167" t="str">
        <f t="shared" ca="1" si="538"/>
        <v>净世破魔击·日</v>
      </c>
      <c r="D655" s="115">
        <f ca="1">IF(C655="赤日轮1",1,IF(C655="赤日轮2",2,IF(C655="赤日轮3",3,IF(C655="幽月轮1",4,IF(C655="幽月轮2",5,IF(C655="幽月轮3",6,IF(C655="烈日斩",7,IF(C655="银月斩",8,IF(C655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655="净世破魔击·月",17,IF(C655="驱夜断愁",18,0)))))))))))</f>
        <v>9</v>
      </c>
      <c r="E655" s="115">
        <f ca="1">IF(AND(CU655,OR(C655="幽月轮1",C655="幽月轮2",C655="幽月轮3",C655="银月斩",C655="驱夜断愁",C655="净世破魔击·月")),100,MIN(IF(OR(CN655,BE655),0,IF(OR($C655="赤日轮1",$C655="赤日轮2",$C655="赤日轮3"),E654+20+IF(模拟模式!$I$7="日月凌天",4,0)+IF(CR654,20,0),IF($C655="烈日斩",E654+40,IF($C655="驱夜断愁",IF(模拟模式!$R$7="万念俱寂",E654+20,E654+60),IF($C655="净世破魔击·月",IF(OR(DB654&gt;0,CV654&gt;0),100,IF(模拟模式!$M$7="辉耀红尘",E654+20,E654)),IF($C655="净世破魔击·日",E654-100,E654)))))),100))</f>
        <v>0</v>
      </c>
      <c r="F655" s="115">
        <f ca="1">IF(AND(CU655,OR(C655="赤日轮1",C655="赤日轮2",C655="赤日轮3",C655="烈日斩",C655="净世破魔击·日")),100,MIN(IF(CO655,0,IF(OR($C655="幽月轮1",$C655="幽月轮2",$C655="幽月轮3"),F654+20+IF(模拟模式!$I$7="日月凌天",4,0)+IF(CS654,20,0),IF($C655="银月斩",F654+40+IF(模拟模式!$X$12=1,5,0),IF($C655="驱夜断愁",IF(模拟模式!$R$7="万念俱寂",F654+20,F654+60),IF($C655="净世破魔击·月",IF(模拟模式!$M$7="辉耀红尘",F654-80,F654-100),IF(AND(C655="净世破魔击·日",OR(DB654&gt;0,CV654&gt;0)),100,F654)))))),100))</f>
        <v>100</v>
      </c>
      <c r="G655" s="117">
        <f ca="1">('模拟-全程加成'!$E$3+'模拟-全程加成'!$E$4+'模拟-全程加成'!$E$5+('模拟-全程加成'!$C$6-'模拟-全程加成'!$C$3)*系数!$B$9+BS655*23)*(1+'模拟-全程加成'!$F$4+'模拟-全程加成'!$F$5+BJ655*10%+BM655*20%+BP655*4%+CG655*30%)+$F$7*系数!$B$12</f>
        <v>20583.127400000001</v>
      </c>
      <c r="H655" s="45">
        <f ca="1">'模拟-全程加成'!$H$3+'模拟-全程加成'!$H$4+'模拟-全程加成'!$H$5+('模拟-全程加成'!$G$4+'模拟-全程加成'!$G$5+('模拟-全程加成'!$C$6-'模拟-全程加成'!$C$3)*系数!$B$13)/系数!$B$3+LOOKUP(D655,'模拟-单技能数据'!$A$2:$A$19,'模拟-单技能数据'!$K$2:$K$19)+BG655*10%+IF(BV655&gt;0,378,0)</f>
        <v>0.54185145527300216</v>
      </c>
      <c r="I655" s="45">
        <f ca="1">'模拟-全程加成'!$J$3+'模拟-全程加成'!$J$4+'模拟-全程加成'!$J$5+('模拟-全程加成'!$I$4+'模拟-全程加成'!$I$5)/系数!$B$4+LOOKUP(D655,'模拟-单技能数据'!$A$2:$A$19,'模拟-单技能数据'!$L$2:$L$19)+BG655*10%</f>
        <v>2.162482885499879</v>
      </c>
      <c r="J655" s="45">
        <f ca="1">(('模拟-全程加成'!$K$3+'模拟-全程加成'!$K$4+'模拟-全程加成'!$K$5+('模拟-全程加成'!$C$6-'模拟-全程加成'!$C$3)*系数!$B$10+IF(BV655&gt;0,882,0)+IF(BY655&gt;0,1831,0))*(1+'模拟-全程加成'!$L$4+'模拟-全程加成'!$L$5+CC655*20%))/系数!$B$5</f>
        <v>0.69723220422048726</v>
      </c>
      <c r="K655" s="119">
        <f ca="1">LOOKUP(D655,'模拟-单技能数据'!$A$2:$A$19,'模拟-单技能数据'!$J$2:$J$19)+IF(CM655,60%,0)+IF(DB654-DB655&gt;0,30%,0)+IF(OR(AND(OR(C655="赤日轮1",C655="赤日轮2",C655="赤日轮3"),CR655),AND(OR(C655="幽月轮1",C655="幽月轮2",C655="幽月轮3"),CS655)),35%,0)+CJ655</f>
        <v>1.1000000000000001</v>
      </c>
      <c r="L655" s="119">
        <f ca="1">IF(AND(C655="烈日斩",模拟模式!$X$11=1),10%,0)+IF(AND(C655="驱夜断愁",AB655=1),30%,0)</f>
        <v>0</v>
      </c>
      <c r="M655" s="45">
        <f t="shared" ca="1" si="539"/>
        <v>0.54185145527300216</v>
      </c>
      <c r="N655" s="45">
        <f t="shared" ca="1" si="540"/>
        <v>0.40424854472699789</v>
      </c>
      <c r="O655" s="46">
        <f t="shared" ca="1" si="570"/>
        <v>0.59057678141562753</v>
      </c>
      <c r="P655" s="46" t="str">
        <f t="shared" ca="1" si="541"/>
        <v>会</v>
      </c>
      <c r="Q655" s="45">
        <f t="shared" ca="1" si="542"/>
        <v>2.162482885499879</v>
      </c>
      <c r="R655" s="117">
        <f ca="1">模拟模式!$E$20*(1-IF(模拟模式!$J$19="有",0.15,0))*(1-IF(模拟模式!$K$19="有",0.3,0)-IF(CQ655,0.5,0))</f>
        <v>843.02999999999975</v>
      </c>
      <c r="S655" s="45">
        <f ca="1">R655/(R655+(185*模拟模式!$E$22-16800)*4.08224)</f>
        <v>8.389626085980037E-2</v>
      </c>
      <c r="T655" s="45" t="str">
        <f ca="1">LOOKUP(D655,'模拟-单技能数据'!$A$2:$A$19,'模拟-单技能数据'!$H$2:$H$19)</f>
        <v>阳</v>
      </c>
      <c r="U655" s="119">
        <f t="shared" ca="1" si="543"/>
        <v>0.2</v>
      </c>
      <c r="V655" s="47">
        <f ca="1">(1+L655)*(LOOKUP(D655,'模拟-单技能数据'!$A$2:$A$19,'模拟-单技能数据'!$D$2:$D$19)+G655*LOOKUP(D655,'模拟-单技能数据'!$A$2:$A$19,'模拟-单技能数据'!$F$2:$F$19))*(1+J655)*(1+K655)*(1-S655)*(1+U655)*Q655*LOOKUP(D655,'模拟-单技能数据'!$A$2:$A$19,'模拟-单技能数据'!$I$2:$I$20)</f>
        <v>228568.4507011126</v>
      </c>
      <c r="W655" s="47">
        <f ca="1">LOOKUP(D655,'模拟-单技能数据'!$A$2:$A$19,'模拟-单技能数据'!$G$2:$G$19)*$I$10</f>
        <v>723.0212870940959</v>
      </c>
      <c r="X655" s="47">
        <f t="shared" ca="1" si="571"/>
        <v>96429.214717743453</v>
      </c>
      <c r="Y655" s="47">
        <f t="shared" ca="1" si="544"/>
        <v>325720.68670595018</v>
      </c>
      <c r="Z655" s="49">
        <f t="shared" ca="1" si="545"/>
        <v>66015610.23617176</v>
      </c>
      <c r="AA655" s="97">
        <f t="shared" ca="1" si="546"/>
        <v>113951.6514528352</v>
      </c>
      <c r="AB655" s="115">
        <f ca="1">IF(OR(C655="赤日轮1",C655="赤日轮2",C655="赤日轮3"),IF(RAND()&lt;模拟模式!$Y$17,1,0),IF(OR(C655="幽月轮1",C655="幽月轮2",C655="幽月轮3"),IF(RAND()&lt;模拟模式!$Y$18,1,0),IF(C655="烈日斩",IF(RAND()&lt;模拟模式!$Y$19,1,0),IF(C655="银月斩",IF(RAND()&lt;模拟模式!$Y$20,1,0),IF(C655="驱夜断愁",IF(RAND()&lt;模拟模式!$Y$21,1,0),IF(C655="净世破魔击·日",IF(RAND()&lt;模拟模式!$Y$22,1,0),IF(C655="净世破魔击·月",IF(RAND()&lt;模拟模式!$Y$23,1,0),0)))))))</f>
        <v>1</v>
      </c>
      <c r="AC655" s="115" t="b">
        <f t="shared" ca="1" si="547"/>
        <v>0</v>
      </c>
      <c r="AD655" s="115" t="b">
        <f t="shared" ca="1" si="548"/>
        <v>0</v>
      </c>
      <c r="AE655" s="115">
        <f t="shared" ca="1" si="549"/>
        <v>3</v>
      </c>
      <c r="AF655" s="47">
        <f ca="1">IF(AC655,('模拟-单技能数据'!$D$20+G655*'模拟-单技能数据'!$F$20)*(1+J655)*(1+'模拟-单技能数据'!$J$20)*(1+U655),0)</f>
        <v>0</v>
      </c>
      <c r="AG655" s="61">
        <f t="shared" ca="1" si="550"/>
        <v>0.64185145527300214</v>
      </c>
      <c r="AH655" s="61">
        <f t="shared" ca="1" si="551"/>
        <v>2.2624828854998791</v>
      </c>
      <c r="AI655" s="62">
        <f t="shared" ca="1" si="572"/>
        <v>3.0967549302651665E-2</v>
      </c>
      <c r="AJ655" s="47">
        <f ca="1">IF(AD655,IF(AI655&lt;$F$10,0,IF(AI655&lt;$F$10+$F$11,0.25,IF(AI655&lt;$F$10+$F$11+AG655,AH655,1)))*IF(AF655&gt;0,AF655,IF(AF654&gt;0,AF654,IF(AF653&gt;0,AF653,IF(AF652&gt;0,AF652,IF(AF651&gt;0,AF651,IF(AF650&gt;0,AF650,IF(AF649&gt;0,AF649,IF(AF648&gt;0,AF648,IF(AF647&gt;0,AF647,IF(AF645&gt;0,AF645,IF(AF644&gt;0,AF644,IF(AF643&gt;0,AF643,0)))))))))))),0)*(1-$S655)*'模拟-单技能数据'!$I$20</f>
        <v>0</v>
      </c>
      <c r="AK655" s="115" t="b">
        <f t="shared" ca="1" si="552"/>
        <v>1</v>
      </c>
      <c r="AL655" s="115" t="b">
        <f t="shared" ca="1" si="553"/>
        <v>1</v>
      </c>
      <c r="AM655" s="115">
        <f t="shared" ca="1" si="554"/>
        <v>5</v>
      </c>
      <c r="AN655" s="47">
        <f ca="1">IF(AK655,('模拟-单技能数据'!$D$21+G655*'模拟-单技能数据'!$F$21)*(1+J655)*(1+'模拟-单技能数据'!$J$21)*(1+U655),0)</f>
        <v>12136.56601728573</v>
      </c>
      <c r="AO655" s="61">
        <f ca="1">IF(AN655&gt;0,M655-'模拟-单技能数据'!$K$10,AO654)</f>
        <v>0.42185145527300216</v>
      </c>
      <c r="AP655" s="61">
        <f ca="1">IF(AN655&gt;0,I655-'模拟-单技能数据'!$L$10,AP654)</f>
        <v>2.162482885499879</v>
      </c>
      <c r="AQ655" s="63">
        <f t="shared" ca="1" si="573"/>
        <v>0.25870908583211061</v>
      </c>
      <c r="AR655" s="64">
        <f ca="1">IF(AL655,IF(AQ655&lt;$F$10,0,IF(AQ655&lt;$F$10+$F$11,0.25,IF(AQ655&lt;$F$10+$F$11+AO655,AP655,1)))*IF(AN655&gt;0,AN655,IF(AN654&gt;0,AN654,IF(AN653&gt;0,AN653,IF(AN652&gt;0,AN652,IF(AN651&gt;0,AN651,IF(AN650&gt;0,AN650,IF(AN649&gt;0,AN649,IF(AN648&gt;0,AN648,IF(AN647&gt;0,AN647,IF(AN645&gt;0,AN645,IF(AN644&gt;0,AN644,IF(AN643&gt;0,AN643,0)))))))))))),0)*(1-$S655)*'模拟-单技能数据'!$I$21</f>
        <v>24043.249177625272</v>
      </c>
      <c r="AS655" s="61">
        <f ca="1">IF(OR(C655="净世破魔击·日",C655="净世破魔击·月"),M655-'模拟-单技能数据'!$K$10,0)</f>
        <v>0.42185145527300216</v>
      </c>
      <c r="AT655" s="61">
        <f ca="1">IF(OR(C655="净世破魔击·日",C655="净世破魔击·月"),I655-'模拟-单技能数据'!$L$10,0)</f>
        <v>2.162482885499879</v>
      </c>
      <c r="AU655" s="62">
        <f t="shared" ca="1" si="574"/>
        <v>0.20970188688686953</v>
      </c>
      <c r="AV655" s="64">
        <f ca="1">IF(AS655&gt;0,('模拟-单技能数据'!$D$22+G655*'模拟-单技能数据'!$F$22)*(1+J655)*(1-S655)*IF(AU655&lt;$F$10,0,IF(AU655&lt;$F$10+$F$11,0.25,IF(AU655&lt;$F$10+$F$11+AS655,AT655,1)))*(1+U655),0)*'模拟-单技能数据'!$I$22</f>
        <v>18355.759631698667</v>
      </c>
      <c r="AW655" s="108">
        <f t="shared" ca="1" si="575"/>
        <v>19.077500000000001</v>
      </c>
      <c r="AX655" s="108" t="b">
        <f ca="1">AND(模拟模式!$P$10="有",AW654=0,RAND()&lt;IF(C655="净世破魔击·月",0.1*8/3,IF(C655="净世破魔击·日",0.1*4/3,0.1*2/3)))</f>
        <v>1</v>
      </c>
      <c r="AY655" s="47">
        <f ca="1">IF(AX655,(18+G655*0.722)*(1+J655)*(1-S655)*(1+$I$4)*IF(P655="会",'模拟-全程加成'!$J$3+'模拟-全程加成'!$J$4+'模拟-全程加成'!$J$5+('模拟-全程加成'!$I$4+'模拟-全程加成'!$I$5)/系数!$B$4+BG655*10%,IF(P655="命",1,IF(P655="识",0.25,0))),0)</f>
        <v>54030.205908419506</v>
      </c>
      <c r="AZ655" s="108">
        <f t="shared" si="576"/>
        <v>8.9300000000000068</v>
      </c>
      <c r="BA655" s="108" t="b">
        <f>AND(模拟模式!$Q$10="有",AZ654=0)</f>
        <v>0</v>
      </c>
      <c r="BB655" s="140">
        <f>IF(BA655,(0+G655*0.287)*(1+J655)*(1-S655)*(1+$I$4)*IF(P655="会",'模拟-全程加成'!$J$3+'模拟-全程加成'!$J$4+'模拟-全程加成'!$J$5+('模拟-全程加成'!$I$4+'模拟-全程加成'!$I$5)/系数!$B$4+BG655*10%,IF(P655="命",1,IF(P655="识",0.25,0))),0)</f>
        <v>0</v>
      </c>
      <c r="BC655" s="115" t="b">
        <f ca="1">AND(模拟模式!$R$7="伏明众生",E655=60,F655=20,DA655&lt;5,CZ654&lt;$F$4)</f>
        <v>0</v>
      </c>
      <c r="BD655" s="115">
        <f t="shared" ca="1" si="555"/>
        <v>0</v>
      </c>
      <c r="BE655" s="115" t="b">
        <f t="shared" ca="1" si="556"/>
        <v>0</v>
      </c>
      <c r="BF655" s="47">
        <f ca="1">IF(BC655,4*('模拟-单技能数据'!$D$24+G655*'模拟-单技能数据'!$F$24)*(1+J655)*(1+'模拟-单技能数据'!$J$24)*(1-S655)*(1+$I$3)*(('模拟-全程加成'!$J$3+'模拟-全程加成'!$J$4+'模拟-全程加成'!$J$5+('模拟-全程加成'!$I$4+'模拟-全程加成'!$I$5)/系数!$B$4+BG655*10%)*('模拟-全程加成'!$J$3+'模拟-全程加成'!$J$4+'模拟-全程加成'!$J$5+('模拟-全程加成'!$I$4+'模拟-全程加成'!$I$5)/系数!$B$4+BG655*10%)+(1-('模拟-全程加成'!$J$3+'模拟-全程加成'!$J$4+'模拟-全程加成'!$J$5+('模拟-全程加成'!$I$4+'模拟-全程加成'!$I$5)/系数!$B$4+BG655*10%)-$F$10-$F$11)+F641*0.25),0)*'模拟-单技能数据'!$I$24</f>
        <v>0</v>
      </c>
      <c r="BG655" s="115" t="b">
        <f ca="1">OR(AND(OR(C655="烈日斩",C655="银月斩"),模拟模式!$I$7="净身明礼"),AND(C655="净世破魔击·日",模拟模式!$J$7="洞若观火"),AND(C656="净世破魔击·月",模拟模式!$J$7="洞若观火"),AB655=1)</f>
        <v>1</v>
      </c>
      <c r="BH655" s="115" t="b">
        <f t="shared" ca="1" si="577"/>
        <v>0</v>
      </c>
      <c r="BI655" s="115">
        <f t="shared" ca="1" si="557"/>
        <v>0</v>
      </c>
      <c r="BJ655" s="115" t="b">
        <f t="shared" ca="1" si="558"/>
        <v>0</v>
      </c>
      <c r="BK655" s="115" t="b">
        <f ca="1">AND(C655="驱夜断愁",模拟模式!$P$7="天地诛戮")</f>
        <v>0</v>
      </c>
      <c r="BL655" s="57">
        <f t="shared" ca="1" si="559"/>
        <v>16.310000000000002</v>
      </c>
      <c r="BM655" s="115" t="b">
        <f t="shared" ca="1" si="560"/>
        <v>1</v>
      </c>
      <c r="BN655" s="115" t="b">
        <f ca="1">AND(OR(C655="赤日轮1",C655="赤日轮2",C655="赤日轮3",C655="幽月轮1",C655="幽月轮2",C655="幽月轮3"),AB655=1,模拟模式!$L$7="明光恒照")</f>
        <v>0</v>
      </c>
      <c r="BO655" s="117">
        <f t="shared" ca="1" si="561"/>
        <v>28.155000000000001</v>
      </c>
      <c r="BP655" s="115">
        <f t="shared" ca="1" si="578"/>
        <v>6</v>
      </c>
      <c r="BQ655" s="115" t="b">
        <f>模拟模式!$K$10="2600·水"</f>
        <v>0</v>
      </c>
      <c r="BR655" s="117">
        <f t="shared" si="579"/>
        <v>0</v>
      </c>
      <c r="BS655" s="115">
        <f t="shared" si="580"/>
        <v>0</v>
      </c>
      <c r="BT655" s="115">
        <f t="shared" ca="1" si="581"/>
        <v>0</v>
      </c>
      <c r="BU655" s="115" t="b">
        <f ca="1">AND(模拟模式!$K$10="2300·雷",BT654=0,RAND()&lt;IF(C655="净世破魔击·月",5*0.05*2/3,IF(C655="净世破魔击·日",3*0.05*2/3,0.05*2*2/3)))</f>
        <v>0</v>
      </c>
      <c r="BV655" s="115">
        <f t="shared" ca="1" si="582"/>
        <v>0</v>
      </c>
      <c r="BW655" s="115">
        <f t="shared" ca="1" si="583"/>
        <v>158.78249999999969</v>
      </c>
      <c r="BX655" s="164" t="b">
        <f t="shared" ca="1" si="584"/>
        <v>0</v>
      </c>
      <c r="BY655" s="115">
        <f t="shared" ca="1" si="585"/>
        <v>0</v>
      </c>
      <c r="BZ655" s="115">
        <f>IF(OR(模拟模式!$P$16="10人团",模拟模式!$P$16="25人团"),IF(B655/30&gt;CA654,1,0),0)</f>
        <v>0</v>
      </c>
      <c r="CA655" s="115">
        <f t="shared" si="562"/>
        <v>0</v>
      </c>
      <c r="CB655" s="115">
        <f ca="1">IF(BZ655=1,IF(模拟模式!$P$16="10人团",15,0)+IF(模拟模式!$P$16="25人团",IF(RAND()&lt;0.6,15,0)),MAX(0,CB654-$F$4))</f>
        <v>0</v>
      </c>
      <c r="CC655" s="115" t="b">
        <f t="shared" ca="1" si="563"/>
        <v>0</v>
      </c>
      <c r="CD655" s="115">
        <f>IF(模拟模式!$Q$16="1个",IF(B655/40&gt;CE654,1,0),0)</f>
        <v>0</v>
      </c>
      <c r="CE655" s="115">
        <f t="shared" si="564"/>
        <v>0</v>
      </c>
      <c r="CF655" s="115">
        <f>IF(OR(CD655=1,模拟模式!$Q$16="2个"),20,MAX(0,CF654-$F$4))</f>
        <v>0</v>
      </c>
      <c r="CG655" s="115" t="b">
        <f t="shared" si="565"/>
        <v>0</v>
      </c>
      <c r="CH655" s="115">
        <f t="shared" ca="1" si="586"/>
        <v>8.7825000000000131</v>
      </c>
      <c r="CI655" s="115" t="b">
        <f t="shared" ca="1" si="587"/>
        <v>0</v>
      </c>
      <c r="CJ655" s="119">
        <f t="shared" ca="1" si="588"/>
        <v>0</v>
      </c>
      <c r="CK655" s="115">
        <f t="shared" ca="1" si="589"/>
        <v>0</v>
      </c>
      <c r="CL655" s="115" t="b">
        <f ca="1">AND(模拟模式!$S$7="驱夷逐法",OR(AND(C655="净世破魔击·月",E654&gt;59),AND(C655="净世破魔击·日",F654&gt;59)))</f>
        <v>0</v>
      </c>
      <c r="CM655" s="115" t="b">
        <f ca="1">OR(CL655,AND(C655="净世破魔击·日",CL654,RAND()&lt;模拟模式!$U$23))</f>
        <v>1</v>
      </c>
      <c r="CN655" s="115" t="b">
        <f ca="1">IF(模拟模式!$M$7="辉耀红尘",AND(C655="净世破魔击·月",CL655,CV655=0,E654&lt;80),AND(C655="净世破魔击·月",CL655,E654&lt;100))</f>
        <v>0</v>
      </c>
      <c r="CO655" s="115" t="b">
        <f t="shared" ca="1" si="566"/>
        <v>0</v>
      </c>
      <c r="CP655" s="115" t="b">
        <f ca="1">AND(模拟模式!$O$7="用晦而明",OR(C655="净世破魔击·日",C655="净世破魔击·月",C655="驱夜断愁"),AB655)</f>
        <v>1</v>
      </c>
      <c r="CQ655" s="115" t="b">
        <f ca="1">OR(CP655,AND(CP654,RAND()&lt;模拟模式!$U$23))</f>
        <v>1</v>
      </c>
      <c r="CR655" s="115" t="b">
        <f ca="1">AND(模拟模式!$S$7="日月齐光",OR(C655="幽月轮1",C655="幽月轮2",C655="幽月轮3",CR654),NOT(OR(C655="赤日轮1",C655="赤日轮2",C655="赤日轮3")))</f>
        <v>0</v>
      </c>
      <c r="CS655" s="115" t="b">
        <f ca="1">AND(模拟模式!$S$7="日月齐光",OR(C655="赤日轮1",C655="赤日轮2",C655="赤日轮3",CS654),NOT(OR(C655="幽月轮1",C655="幽月轮2",C655="幽月轮3")))</f>
        <v>0</v>
      </c>
      <c r="CT655" s="115">
        <f t="shared" ca="1" si="590"/>
        <v>0</v>
      </c>
      <c r="CU655" s="115" t="b">
        <f ca="1">AND(模拟模式!$K$10="阴阳往极",CT654=0,RAND()&lt;IF(C655="净世破魔击·月",0.0275*7/3,IF(C655="净世破魔击·日",0.0275*3/3,0.0275*2/3)))</f>
        <v>0</v>
      </c>
      <c r="CV655" s="115">
        <f t="shared" ca="1" si="591"/>
        <v>0</v>
      </c>
      <c r="CW655" s="115">
        <f t="shared" ca="1" si="592"/>
        <v>3.2324999999999995</v>
      </c>
      <c r="CX655" s="115">
        <f t="shared" ca="1" si="593"/>
        <v>1.3874999999999997</v>
      </c>
      <c r="CY655" s="115">
        <f ca="1">MAX(IF($C655="驱夜断愁",IF(模拟模式!$R$7="万念俱寂",6,45),CY654-$F$4),0)</f>
        <v>2.3099999999999996</v>
      </c>
      <c r="CZ655" s="115">
        <f t="shared" ca="1" si="567"/>
        <v>0</v>
      </c>
      <c r="DA655" s="115">
        <f ca="1">IF(模拟模式!$N$7="日月同辉",IF(DB654=2,0,MIN(6,IF(AND(OR(C655="赤日轮1",C655="赤日轮2",C655="赤日轮3",C655="幽月轮1",C655="幽月轮2",C655="幽月轮3"),AB655=1),DA654+1,DA654))),0)</f>
        <v>0</v>
      </c>
      <c r="DB655" s="115">
        <f t="shared" ca="1" si="568"/>
        <v>0</v>
      </c>
      <c r="DC655" s="115"/>
      <c r="DD655" s="115"/>
      <c r="DE655" s="115"/>
      <c r="DF655" s="115"/>
      <c r="DG655" s="115"/>
      <c r="DH655" s="115"/>
      <c r="DI655" s="115"/>
      <c r="DJ655" s="115"/>
      <c r="DK655" s="115"/>
      <c r="DL655" s="115"/>
      <c r="DM655" s="115"/>
    </row>
    <row r="656" spans="2:117" x14ac:dyDescent="0.2">
      <c r="B656" s="117">
        <f t="shared" si="569"/>
        <v>580.25250000000653</v>
      </c>
      <c r="C656" s="167" t="str">
        <f t="shared" ca="1" si="538"/>
        <v>净世破魔击·月</v>
      </c>
      <c r="D656" s="115">
        <f ca="1">IF(C656="赤日轮1",1,IF(C656="赤日轮2",2,IF(C656="赤日轮3",3,IF(C656="幽月轮1",4,IF(C656="幽月轮2",5,IF(C656="幽月轮3",6,IF(C656="烈日斩",7,IF(C656="银月斩",8,IF(C656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656="净世破魔击·月",17,IF(C656="驱夜断愁",18,0)))))))))))</f>
        <v>17</v>
      </c>
      <c r="E656" s="115">
        <f ca="1">IF(AND(CU656,OR(C656="幽月轮1",C656="幽月轮2",C656="幽月轮3",C656="银月斩",C656="驱夜断愁",C656="净世破魔击·月")),100,MIN(IF(OR(CN656,BE656),0,IF(OR($C656="赤日轮1",$C656="赤日轮2",$C656="赤日轮3"),E655+20+IF(模拟模式!$I$7="日月凌天",4,0)+IF(CR655,20,0),IF($C656="烈日斩",E655+40,IF($C656="驱夜断愁",IF(模拟模式!$R$7="万念俱寂",E655+20,E655+60),IF($C656="净世破魔击·月",IF(OR(DB655&gt;0,CV655&gt;0),100,IF(模拟模式!$M$7="辉耀红尘",E655+20,E655)),IF($C656="净世破魔击·日",E655-100,E655)))))),100))</f>
        <v>20</v>
      </c>
      <c r="F656" s="115">
        <f ca="1">IF(AND(CU656,OR(C656="赤日轮1",C656="赤日轮2",C656="赤日轮3",C656="烈日斩",C656="净世破魔击·日")),100,MIN(IF(CO656,0,IF(OR($C656="幽月轮1",$C656="幽月轮2",$C656="幽月轮3"),F655+20+IF(模拟模式!$I$7="日月凌天",4,0)+IF(CS655,20,0),IF($C656="银月斩",F655+40+IF(模拟模式!$X$12=1,5,0),IF($C656="驱夜断愁",IF(模拟模式!$R$7="万念俱寂",F655+20,F655+60),IF($C656="净世破魔击·月",IF(模拟模式!$M$7="辉耀红尘",F655-80,F655-100),IF(AND(C656="净世破魔击·日",OR(DB655&gt;0,CV655&gt;0)),100,F655)))))),100))</f>
        <v>20</v>
      </c>
      <c r="G656" s="117">
        <f ca="1">('模拟-全程加成'!$E$3+'模拟-全程加成'!$E$4+'模拟-全程加成'!$E$5+('模拟-全程加成'!$C$6-'模拟-全程加成'!$C$3)*系数!$B$9+BS656*23)*(1+'模拟-全程加成'!$F$4+'模拟-全程加成'!$F$5+BJ656*10%+BM656*20%+BP656*4%+CG656*30%)+$F$7*系数!$B$12</f>
        <v>20583.127400000001</v>
      </c>
      <c r="H656" s="45">
        <f ca="1">'模拟-全程加成'!$H$3+'模拟-全程加成'!$H$4+'模拟-全程加成'!$H$5+('模拟-全程加成'!$G$4+'模拟-全程加成'!$G$5+('模拟-全程加成'!$C$6-'模拟-全程加成'!$C$3)*系数!$B$13)/系数!$B$3+LOOKUP(D656,'模拟-单技能数据'!$A$2:$A$19,'模拟-单技能数据'!$K$2:$K$19)+BG656*10%+IF(BV656&gt;0,378,0)</f>
        <v>0.54185145527300216</v>
      </c>
      <c r="I656" s="45">
        <f ca="1">'模拟-全程加成'!$J$3+'模拟-全程加成'!$J$4+'模拟-全程加成'!$J$5+('模拟-全程加成'!$I$4+'模拟-全程加成'!$I$5)/系数!$B$4+LOOKUP(D656,'模拟-单技能数据'!$A$2:$A$19,'模拟-单技能数据'!$L$2:$L$19)+BG656*10%</f>
        <v>2.162482885499879</v>
      </c>
      <c r="J656" s="45">
        <f ca="1">(('模拟-全程加成'!$K$3+'模拟-全程加成'!$K$4+'模拟-全程加成'!$K$5+('模拟-全程加成'!$C$6-'模拟-全程加成'!$C$3)*系数!$B$10+IF(BV656&gt;0,882,0)+IF(BY656&gt;0,1831,0))*(1+'模拟-全程加成'!$L$4+'模拟-全程加成'!$L$5+CC656*20%))/系数!$B$5</f>
        <v>0.69723220422048726</v>
      </c>
      <c r="K656" s="119">
        <f ca="1">LOOKUP(D656,'模拟-单技能数据'!$A$2:$A$19,'模拟-单技能数据'!$J$2:$J$19)+IF(CM656,60%,0)+IF(DB655-DB656&gt;0,30%,0)+IF(OR(AND(OR(C656="赤日轮1",C656="赤日轮2",C656="赤日轮3"),CR656),AND(OR(C656="幽月轮1",C656="幽月轮2",C656="幽月轮3"),CS656)),35%,0)+CJ656</f>
        <v>0.2</v>
      </c>
      <c r="L656" s="119">
        <f ca="1">IF(AND(C656="烈日斩",模拟模式!$X$11=1),10%,0)+IF(AND(C656="驱夜断愁",AB656=1),30%,0)</f>
        <v>0</v>
      </c>
      <c r="M656" s="45">
        <f t="shared" ca="1" si="539"/>
        <v>0.54185145527300216</v>
      </c>
      <c r="N656" s="45">
        <f t="shared" ca="1" si="540"/>
        <v>0.40424854472699789</v>
      </c>
      <c r="O656" s="46">
        <f t="shared" ca="1" si="570"/>
        <v>0.14324827321833555</v>
      </c>
      <c r="P656" s="46" t="str">
        <f t="shared" ca="1" si="541"/>
        <v>会</v>
      </c>
      <c r="Q656" s="45">
        <f t="shared" ca="1" si="542"/>
        <v>2.162482885499879</v>
      </c>
      <c r="R656" s="117">
        <f ca="1">模拟模式!$E$20*(1-IF(模拟模式!$J$19="有",0.15,0))*(1-IF(模拟模式!$K$19="有",0.3,0)-IF(CQ656,0.5,0))</f>
        <v>843.02999999999975</v>
      </c>
      <c r="S656" s="45">
        <f ca="1">R656/(R656+(185*模拟模式!$E$22-16800)*4.08224)</f>
        <v>8.389626085980037E-2</v>
      </c>
      <c r="T656" s="45" t="str">
        <f ca="1">LOOKUP(D656,'模拟-单技能数据'!$A$2:$A$19,'模拟-单技能数据'!$H$2:$H$19)</f>
        <v>阴</v>
      </c>
      <c r="U656" s="119">
        <f t="shared" ca="1" si="543"/>
        <v>0.08</v>
      </c>
      <c r="V656" s="47">
        <f ca="1">(1+L656)*(LOOKUP(D656,'模拟-单技能数据'!$A$2:$A$19,'模拟-单技能数据'!$D$2:$D$19)+G656*LOOKUP(D656,'模拟-单技能数据'!$A$2:$A$19,'模拟-单技能数据'!$F$2:$F$19))*(1+J656)*(1+K656)*(1-S656)*(1+U656)*Q656*LOOKUP(D656,'模拟-单技能数据'!$A$2:$A$19,'模拟-单技能数据'!$I$2:$I$20)</f>
        <v>116578.90677476654</v>
      </c>
      <c r="W656" s="47">
        <f ca="1">LOOKUP(D656,'模拟-单技能数据'!$A$2:$A$19,'模拟-单技能数据'!$G$2:$G$19)*$I$10</f>
        <v>361.51064354704795</v>
      </c>
      <c r="X656" s="47">
        <f t="shared" ca="1" si="571"/>
        <v>16858.386290731236</v>
      </c>
      <c r="Y656" s="47">
        <f t="shared" ca="1" si="544"/>
        <v>133798.80370904482</v>
      </c>
      <c r="Z656" s="49">
        <f t="shared" ca="1" si="545"/>
        <v>66149409.039880805</v>
      </c>
      <c r="AA656" s="97">
        <f t="shared" ca="1" si="546"/>
        <v>114001.0754626306</v>
      </c>
      <c r="AB656" s="115">
        <f ca="1">IF(OR(C656="赤日轮1",C656="赤日轮2",C656="赤日轮3"),IF(RAND()&lt;模拟模式!$Y$17,1,0),IF(OR(C656="幽月轮1",C656="幽月轮2",C656="幽月轮3"),IF(RAND()&lt;模拟模式!$Y$18,1,0),IF(C656="烈日斩",IF(RAND()&lt;模拟模式!$Y$19,1,0),IF(C656="银月斩",IF(RAND()&lt;模拟模式!$Y$20,1,0),IF(C656="驱夜断愁",IF(RAND()&lt;模拟模式!$Y$21,1,0),IF(C656="净世破魔击·日",IF(RAND()&lt;模拟模式!$Y$22,1,0),IF(C656="净世破魔击·月",IF(RAND()&lt;模拟模式!$Y$23,1,0),0)))))))</f>
        <v>1</v>
      </c>
      <c r="AC656" s="115" t="b">
        <f t="shared" ca="1" si="547"/>
        <v>0</v>
      </c>
      <c r="AD656" s="115" t="b">
        <f t="shared" ca="1" si="548"/>
        <v>1</v>
      </c>
      <c r="AE656" s="115">
        <f t="shared" ca="1" si="549"/>
        <v>2</v>
      </c>
      <c r="AF656" s="47">
        <f ca="1">IF(AC656,('模拟-单技能数据'!$D$20+G656*'模拟-单技能数据'!$F$20)*(1+J656)*(1+'模拟-单技能数据'!$J$20)*(1+U656),0)</f>
        <v>0</v>
      </c>
      <c r="AG656" s="61">
        <f t="shared" ca="1" si="550"/>
        <v>0.64185145527300214</v>
      </c>
      <c r="AH656" s="61">
        <f t="shared" ca="1" si="551"/>
        <v>2.2624828854998791</v>
      </c>
      <c r="AI656" s="62">
        <f t="shared" ca="1" si="572"/>
        <v>9.0393836317412601E-2</v>
      </c>
      <c r="AJ656" s="47">
        <f ca="1">IF(AD656,IF(AI656&lt;$F$10,0,IF(AI656&lt;$F$10+$F$11,0.25,IF(AI656&lt;$F$10+$F$11+AG656,AH656,1)))*IF(AF656&gt;0,AF656,IF(AF655&gt;0,AF655,IF(AF654&gt;0,AF654,IF(AF653&gt;0,AF653,IF(AF652&gt;0,AF652,IF(AF651&gt;0,AF651,IF(AF650&gt;0,AF650,IF(AF649&gt;0,AF649,IF(AF648&gt;0,AF648,IF(AF646&gt;0,AF646,IF(AF645&gt;0,AF645,IF(AF644&gt;0,AF644,0)))))))))))),0)*(1-$S656)*'模拟-单技能数据'!$I$20</f>
        <v>9218.9345386263849</v>
      </c>
      <c r="AK656" s="115" t="b">
        <f t="shared" ca="1" si="552"/>
        <v>0</v>
      </c>
      <c r="AL656" s="115" t="b">
        <f t="shared" ca="1" si="553"/>
        <v>0</v>
      </c>
      <c r="AM656" s="115">
        <f t="shared" ca="1" si="554"/>
        <v>5</v>
      </c>
      <c r="AN656" s="47">
        <f ca="1">IF(AK656,('模拟-单技能数据'!$D$21+G656*'模拟-单技能数据'!$F$21)*(1+J656)*(1+'模拟-单技能数据'!$J$21)*(1+U656),0)</f>
        <v>0</v>
      </c>
      <c r="AO656" s="61">
        <f ca="1">IF(AN656&gt;0,M656-'模拟-单技能数据'!$K$10,AO655)</f>
        <v>0.42185145527300216</v>
      </c>
      <c r="AP656" s="61">
        <f ca="1">IF(AN656&gt;0,I656-'模拟-单技能数据'!$L$10,AP655)</f>
        <v>2.162482885499879</v>
      </c>
      <c r="AQ656" s="63">
        <f t="shared" ca="1" si="573"/>
        <v>0.44214174189810296</v>
      </c>
      <c r="AR656" s="64">
        <f ca="1">IF(AL656,IF(AQ656&lt;$F$10,0,IF(AQ656&lt;$F$10+$F$11,0.25,IF(AQ656&lt;$F$10+$F$11+AO656,AP656,1)))*IF(AN656&gt;0,AN656,IF(AN655&gt;0,AN655,IF(AN654&gt;0,AN654,IF(AN653&gt;0,AN653,IF(AN652&gt;0,AN652,IF(AN651&gt;0,AN651,IF(AN650&gt;0,AN650,IF(AN649&gt;0,AN649,IF(AN648&gt;0,AN648,IF(AN646&gt;0,AN646,IF(AN645&gt;0,AN645,IF(AN644&gt;0,AN644,0)))))))))))),0)*(1-$S656)*'模拟-单技能数据'!$I$21</f>
        <v>0</v>
      </c>
      <c r="AS656" s="61">
        <f ca="1">IF(OR(C656="净世破魔击·日",C656="净世破魔击·月"),M656-'模拟-单技能数据'!$K$10,0)</f>
        <v>0.42185145527300216</v>
      </c>
      <c r="AT656" s="61">
        <f ca="1">IF(OR(C656="净世破魔击·日",C656="净世破魔击·月"),I656-'模拟-单技能数据'!$L$10,0)</f>
        <v>2.162482885499879</v>
      </c>
      <c r="AU656" s="62">
        <f t="shared" ca="1" si="574"/>
        <v>0.90961699916901484</v>
      </c>
      <c r="AV656" s="64">
        <f ca="1">IF(AS656&gt;0,('模拟-单技能数据'!$D$22+G656*'模拟-单技能数据'!$F$22)*(1+J656)*(1-S656)*IF(AU656&lt;$F$10,0,IF(AU656&lt;$F$10+$F$11,0.25,IF(AU656&lt;$F$10+$F$11+AS656,AT656,1)))*(1+U656),0)*'模拟-单技能数据'!$I$22</f>
        <v>7639.4517521048492</v>
      </c>
      <c r="AW656" s="108">
        <f t="shared" ca="1" si="575"/>
        <v>18.155000000000001</v>
      </c>
      <c r="AX656" s="108" t="b">
        <f ca="1">AND(模拟模式!$P$10="有",AW655=0,RAND()&lt;IF(C656="净世破魔击·月",0.1*8/3,IF(C656="净世破魔击·日",0.1*4/3,0.1*2/3)))</f>
        <v>0</v>
      </c>
      <c r="AY656" s="47">
        <f ca="1">IF(AX656,(18+G656*0.722)*(1+J656)*(1-S656)*(1+$I$4)*IF(P656="会",'模拟-全程加成'!$J$3+'模拟-全程加成'!$J$4+'模拟-全程加成'!$J$5+('模拟-全程加成'!$I$4+'模拟-全程加成'!$I$5)/系数!$B$4+BG656*10%,IF(P656="命",1,IF(P656="识",0.25,0))),0)</f>
        <v>0</v>
      </c>
      <c r="AZ656" s="108">
        <f t="shared" si="576"/>
        <v>8.0075000000000074</v>
      </c>
      <c r="BA656" s="108" t="b">
        <f>AND(模拟模式!$Q$10="有",AZ655=0)</f>
        <v>0</v>
      </c>
      <c r="BB656" s="140">
        <f>IF(BA656,(0+G656*0.287)*(1+J656)*(1-S656)*(1+$I$4)*IF(P656="会",'模拟-全程加成'!$J$3+'模拟-全程加成'!$J$4+'模拟-全程加成'!$J$5+('模拟-全程加成'!$I$4+'模拟-全程加成'!$I$5)/系数!$B$4+BG656*10%,IF(P656="命",1,IF(P656="识",0.25,0))),0)</f>
        <v>0</v>
      </c>
      <c r="BC656" s="115" t="b">
        <f ca="1">AND(模拟模式!$R$7="伏明众生",E656=60,F656=20,DA656&lt;5,CZ655&lt;$F$4)</f>
        <v>0</v>
      </c>
      <c r="BD656" s="115">
        <f t="shared" ca="1" si="555"/>
        <v>0</v>
      </c>
      <c r="BE656" s="115" t="b">
        <f t="shared" ca="1" si="556"/>
        <v>0</v>
      </c>
      <c r="BF656" s="47">
        <f ca="1">IF(BC656,4*('模拟-单技能数据'!$D$24+G656*'模拟-单技能数据'!$F$24)*(1+J656)*(1+'模拟-单技能数据'!$J$24)*(1-S656)*(1+$I$3)*(('模拟-全程加成'!$J$3+'模拟-全程加成'!$J$4+'模拟-全程加成'!$J$5+('模拟-全程加成'!$I$4+'模拟-全程加成'!$I$5)/系数!$B$4+BG656*10%)*('模拟-全程加成'!$J$3+'模拟-全程加成'!$J$4+'模拟-全程加成'!$J$5+('模拟-全程加成'!$I$4+'模拟-全程加成'!$I$5)/系数!$B$4+BG656*10%)+(1-('模拟-全程加成'!$J$3+'模拟-全程加成'!$J$4+'模拟-全程加成'!$J$5+('模拟-全程加成'!$I$4+'模拟-全程加成'!$I$5)/系数!$B$4+BG656*10%)-$F$10-$F$11)+F642*0.25),0)*'模拟-单技能数据'!$I$24</f>
        <v>0</v>
      </c>
      <c r="BG656" s="115" t="b">
        <f ca="1">OR(AND(OR(C656="烈日斩",C656="银月斩"),模拟模式!$I$7="净身明礼"),AND(C656="净世破魔击·日",模拟模式!$J$7="洞若观火"),AND(C657="净世破魔击·月",模拟模式!$J$7="洞若观火"),AB656=1)</f>
        <v>1</v>
      </c>
      <c r="BH656" s="115" t="b">
        <f t="shared" ca="1" si="577"/>
        <v>0</v>
      </c>
      <c r="BI656" s="115">
        <f t="shared" ca="1" si="557"/>
        <v>0</v>
      </c>
      <c r="BJ656" s="115" t="b">
        <f t="shared" ca="1" si="558"/>
        <v>0</v>
      </c>
      <c r="BK656" s="115" t="b">
        <f ca="1">AND(C656="驱夜断愁",模拟模式!$P$7="天地诛戮")</f>
        <v>0</v>
      </c>
      <c r="BL656" s="57">
        <f t="shared" ca="1" si="559"/>
        <v>15.387500000000003</v>
      </c>
      <c r="BM656" s="115" t="b">
        <f t="shared" ca="1" si="560"/>
        <v>1</v>
      </c>
      <c r="BN656" s="115" t="b">
        <f ca="1">AND(OR(C656="赤日轮1",C656="赤日轮2",C656="赤日轮3",C656="幽月轮1",C656="幽月轮2",C656="幽月轮3"),AB656=1,模拟模式!$L$7="明光恒照")</f>
        <v>0</v>
      </c>
      <c r="BO656" s="117">
        <f t="shared" ca="1" si="561"/>
        <v>27.232500000000002</v>
      </c>
      <c r="BP656" s="115">
        <f t="shared" ca="1" si="578"/>
        <v>6</v>
      </c>
      <c r="BQ656" s="115" t="b">
        <f>模拟模式!$K$10="2600·水"</f>
        <v>0</v>
      </c>
      <c r="BR656" s="117">
        <f t="shared" si="579"/>
        <v>0</v>
      </c>
      <c r="BS656" s="115">
        <f t="shared" si="580"/>
        <v>0</v>
      </c>
      <c r="BT656" s="115">
        <f t="shared" ca="1" si="581"/>
        <v>0</v>
      </c>
      <c r="BU656" s="115" t="b">
        <f ca="1">AND(模拟模式!$K$10="2300·雷",BT655=0,RAND()&lt;IF(C656="净世破魔击·月",5*0.05*2/3,IF(C656="净世破魔击·日",3*0.05*2/3,0.05*2*2/3)))</f>
        <v>0</v>
      </c>
      <c r="BV656" s="115">
        <f t="shared" ca="1" si="582"/>
        <v>0</v>
      </c>
      <c r="BW656" s="115">
        <f t="shared" ca="1" si="583"/>
        <v>157.85999999999967</v>
      </c>
      <c r="BX656" s="164" t="b">
        <f t="shared" ca="1" si="584"/>
        <v>0</v>
      </c>
      <c r="BY656" s="115">
        <f t="shared" ca="1" si="585"/>
        <v>0</v>
      </c>
      <c r="BZ656" s="115">
        <f>IF(OR(模拟模式!$P$16="10人团",模拟模式!$P$16="25人团"),IF(B656/30&gt;CA655,1,0),0)</f>
        <v>0</v>
      </c>
      <c r="CA656" s="115">
        <f t="shared" si="562"/>
        <v>0</v>
      </c>
      <c r="CB656" s="115">
        <f ca="1">IF(BZ656=1,IF(模拟模式!$P$16="10人团",15,0)+IF(模拟模式!$P$16="25人团",IF(RAND()&lt;0.6,15,0)),MAX(0,CB655-$F$4))</f>
        <v>0</v>
      </c>
      <c r="CC656" s="115" t="b">
        <f t="shared" ca="1" si="563"/>
        <v>0</v>
      </c>
      <c r="CD656" s="115">
        <f>IF(模拟模式!$Q$16="1个",IF(B656/40&gt;CE655,1,0),0)</f>
        <v>0</v>
      </c>
      <c r="CE656" s="115">
        <f t="shared" si="564"/>
        <v>0</v>
      </c>
      <c r="CF656" s="115">
        <f>IF(OR(CD656=1,模拟模式!$Q$16="2个"),20,MAX(0,CF655-$F$4))</f>
        <v>0</v>
      </c>
      <c r="CG656" s="115" t="b">
        <f t="shared" si="565"/>
        <v>0</v>
      </c>
      <c r="CH656" s="115">
        <f t="shared" ca="1" si="586"/>
        <v>7.8600000000000128</v>
      </c>
      <c r="CI656" s="115" t="b">
        <f t="shared" ca="1" si="587"/>
        <v>0</v>
      </c>
      <c r="CJ656" s="119">
        <f t="shared" ca="1" si="588"/>
        <v>0</v>
      </c>
      <c r="CK656" s="115">
        <f t="shared" ca="1" si="589"/>
        <v>0</v>
      </c>
      <c r="CL656" s="115" t="b">
        <f ca="1">AND(模拟模式!$S$7="驱夷逐法",OR(AND(C656="净世破魔击·月",E655&gt;59),AND(C656="净世破魔击·日",F655&gt;59)))</f>
        <v>0</v>
      </c>
      <c r="CM656" s="115" t="b">
        <f ca="1">OR(CL656,AND(C656="净世破魔击·日",CL655,RAND()&lt;模拟模式!$U$23))</f>
        <v>0</v>
      </c>
      <c r="CN656" s="115" t="b">
        <f ca="1">IF(模拟模式!$M$7="辉耀红尘",AND(C656="净世破魔击·月",CL656,CV656=0,E655&lt;80),AND(C656="净世破魔击·月",CL656,E655&lt;100))</f>
        <v>0</v>
      </c>
      <c r="CO656" s="115" t="b">
        <f t="shared" ca="1" si="566"/>
        <v>0</v>
      </c>
      <c r="CP656" s="115" t="b">
        <f ca="1">AND(模拟模式!$O$7="用晦而明",OR(C656="净世破魔击·日",C656="净世破魔击·月",C656="驱夜断愁"),AB656)</f>
        <v>1</v>
      </c>
      <c r="CQ656" s="115" t="b">
        <f ca="1">OR(CP656,AND(CP655,RAND()&lt;模拟模式!$U$23))</f>
        <v>1</v>
      </c>
      <c r="CR656" s="115" t="b">
        <f ca="1">AND(模拟模式!$S$7="日月齐光",OR(C656="幽月轮1",C656="幽月轮2",C656="幽月轮3",CR655),NOT(OR(C656="赤日轮1",C656="赤日轮2",C656="赤日轮3")))</f>
        <v>0</v>
      </c>
      <c r="CS656" s="115" t="b">
        <f ca="1">AND(模拟模式!$S$7="日月齐光",OR(C656="赤日轮1",C656="赤日轮2",C656="赤日轮3",CS655),NOT(OR(C656="幽月轮1",C656="幽月轮2",C656="幽月轮3")))</f>
        <v>0</v>
      </c>
      <c r="CT656" s="115">
        <f t="shared" ca="1" si="590"/>
        <v>0</v>
      </c>
      <c r="CU656" s="115" t="b">
        <f ca="1">AND(模拟模式!$K$10="阴阳往极",CT655=0,RAND()&lt;IF(C656="净世破魔击·月",0.0275*7/3,IF(C656="净世破魔击·日",0.0275*3/3,0.0275*2/3)))</f>
        <v>0</v>
      </c>
      <c r="CV656" s="115">
        <f t="shared" ca="1" si="591"/>
        <v>0</v>
      </c>
      <c r="CW656" s="115">
        <f t="shared" ca="1" si="592"/>
        <v>2.3099999999999996</v>
      </c>
      <c r="CX656" s="115">
        <f t="shared" ca="1" si="593"/>
        <v>0.46499999999999975</v>
      </c>
      <c r="CY656" s="115">
        <f ca="1">MAX(IF($C656="驱夜断愁",IF(模拟模式!$R$7="万念俱寂",6,45),CY655-$F$4),0)</f>
        <v>1.3874999999999997</v>
      </c>
      <c r="CZ656" s="115">
        <f t="shared" ca="1" si="567"/>
        <v>0</v>
      </c>
      <c r="DA656" s="115">
        <f ca="1">IF(模拟模式!$N$7="日月同辉",IF(DB655=2,0,MIN(6,IF(AND(OR(C656="赤日轮1",C656="赤日轮2",C656="赤日轮3",C656="幽月轮1",C656="幽月轮2",C656="幽月轮3"),AB656=1),DA655+1,DA655))),0)</f>
        <v>0</v>
      </c>
      <c r="DB656" s="115">
        <f t="shared" ca="1" si="568"/>
        <v>0</v>
      </c>
      <c r="DC656" s="115"/>
      <c r="DD656" s="115"/>
      <c r="DE656" s="115"/>
      <c r="DF656" s="115"/>
      <c r="DG656" s="115"/>
      <c r="DH656" s="115"/>
      <c r="DI656" s="115"/>
      <c r="DJ656" s="115"/>
      <c r="DK656" s="115"/>
      <c r="DL656" s="115"/>
      <c r="DM656" s="115"/>
    </row>
    <row r="657" spans="2:117" x14ac:dyDescent="0.2">
      <c r="B657" s="117">
        <f t="shared" si="569"/>
        <v>581.17500000000655</v>
      </c>
      <c r="C657" s="167" t="str">
        <f t="shared" ca="1" si="538"/>
        <v>银月斩</v>
      </c>
      <c r="D657" s="115">
        <f ca="1">IF(C657="赤日轮1",1,IF(C657="赤日轮2",2,IF(C657="赤日轮3",3,IF(C657="幽月轮1",4,IF(C657="幽月轮2",5,IF(C657="幽月轮3",6,IF(C657="烈日斩",7,IF(C657="银月斩",8,IF(C657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657="净世破魔击·月",17,IF(C657="驱夜断愁",18,0)))))))))))</f>
        <v>8</v>
      </c>
      <c r="E657" s="115">
        <f ca="1">IF(AND(CU657,OR(C657="幽月轮1",C657="幽月轮2",C657="幽月轮3",C657="银月斩",C657="驱夜断愁",C657="净世破魔击·月")),100,MIN(IF(OR(CN657,BE657),0,IF(OR($C657="赤日轮1",$C657="赤日轮2",$C657="赤日轮3"),E656+20+IF(模拟模式!$I$7="日月凌天",4,0)+IF(CR656,20,0),IF($C657="烈日斩",E656+40,IF($C657="驱夜断愁",IF(模拟模式!$R$7="万念俱寂",E656+20,E656+60),IF($C657="净世破魔击·月",IF(OR(DB656&gt;0,CV656&gt;0),100,IF(模拟模式!$M$7="辉耀红尘",E656+20,E656)),IF($C657="净世破魔击·日",E656-100,E656)))))),100))</f>
        <v>20</v>
      </c>
      <c r="F657" s="115">
        <f ca="1">IF(AND(CU657,OR(C657="赤日轮1",C657="赤日轮2",C657="赤日轮3",C657="烈日斩",C657="净世破魔击·日")),100,MIN(IF(CO657,0,IF(OR($C657="幽月轮1",$C657="幽月轮2",$C657="幽月轮3"),F656+20+IF(模拟模式!$I$7="日月凌天",4,0)+IF(CS656,20,0),IF($C657="银月斩",F656+40+IF(模拟模式!$X$12=1,5,0),IF($C657="驱夜断愁",IF(模拟模式!$R$7="万念俱寂",F656+20,F656+60),IF($C657="净世破魔击·月",IF(模拟模式!$M$7="辉耀红尘",F656-80,F656-100),IF(AND(C657="净世破魔击·日",OR(DB656&gt;0,CV656&gt;0)),100,F656)))))),100))</f>
        <v>65</v>
      </c>
      <c r="G657" s="117">
        <f ca="1">('模拟-全程加成'!$E$3+'模拟-全程加成'!$E$4+'模拟-全程加成'!$E$5+('模拟-全程加成'!$C$6-'模拟-全程加成'!$C$3)*系数!$B$9+BS657*23)*(1+'模拟-全程加成'!$F$4+'模拟-全程加成'!$F$5+BJ657*10%+BM657*20%+BP657*4%+CG657*30%)+$F$7*系数!$B$12</f>
        <v>20583.127400000001</v>
      </c>
      <c r="H657" s="45">
        <f ca="1">'模拟-全程加成'!$H$3+'模拟-全程加成'!$H$4+'模拟-全程加成'!$H$5+('模拟-全程加成'!$G$4+'模拟-全程加成'!$G$5+('模拟-全程加成'!$C$6-'模拟-全程加成'!$C$3)*系数!$B$13)/系数!$B$3+LOOKUP(D657,'模拟-单技能数据'!$A$2:$A$19,'模拟-单技能数据'!$K$2:$K$19)+BG657*10%+IF(BV657&gt;0,378,0)</f>
        <v>0.64185145527300214</v>
      </c>
      <c r="I657" s="45">
        <f ca="1">'模拟-全程加成'!$J$3+'模拟-全程加成'!$J$4+'模拟-全程加成'!$J$5+('模拟-全程加成'!$I$4+'模拟-全程加成'!$I$5)/系数!$B$4+LOOKUP(D657,'模拟-单技能数据'!$A$2:$A$19,'模拟-单技能数据'!$L$2:$L$19)+BG657*10%</f>
        <v>2.2624828854998791</v>
      </c>
      <c r="J657" s="45">
        <f ca="1">(('模拟-全程加成'!$K$3+'模拟-全程加成'!$K$4+'模拟-全程加成'!$K$5+('模拟-全程加成'!$C$6-'模拟-全程加成'!$C$3)*系数!$B$10+IF(BV657&gt;0,882,0)+IF(BY657&gt;0,1831,0))*(1+'模拟-全程加成'!$L$4+'模拟-全程加成'!$L$5+CC657*20%))/系数!$B$5</f>
        <v>0.69723220422048726</v>
      </c>
      <c r="K657" s="119">
        <f ca="1">LOOKUP(D657,'模拟-单技能数据'!$A$2:$A$19,'模拟-单技能数据'!$J$2:$J$19)+IF(CM657,60%,0)+IF(DB656-DB657&gt;0,30%,0)+IF(OR(AND(OR(C657="赤日轮1",C657="赤日轮2",C657="赤日轮3"),CR657),AND(OR(C657="幽月轮1",C657="幽月轮2",C657="幽月轮3"),CS657)),35%,0)+CJ657</f>
        <v>0.15</v>
      </c>
      <c r="L657" s="119">
        <f ca="1">IF(AND(C657="烈日斩",模拟模式!$X$11=1),10%,0)+IF(AND(C657="驱夜断愁",AB657=1),30%,0)</f>
        <v>0</v>
      </c>
      <c r="M657" s="45">
        <f t="shared" ca="1" si="539"/>
        <v>0.64185145527300214</v>
      </c>
      <c r="N657" s="45">
        <f t="shared" ca="1" si="540"/>
        <v>0.30424854472699792</v>
      </c>
      <c r="O657" s="46">
        <f t="shared" ca="1" si="570"/>
        <v>0.97525385526458896</v>
      </c>
      <c r="P657" s="46" t="str">
        <f t="shared" ca="1" si="541"/>
        <v>命</v>
      </c>
      <c r="Q657" s="45">
        <f t="shared" ca="1" si="542"/>
        <v>1</v>
      </c>
      <c r="R657" s="117">
        <f ca="1">模拟模式!$E$20*(1-IF(模拟模式!$J$19="有",0.15,0))*(1-IF(模拟模式!$K$19="有",0.3,0)-IF(CQ657,0.5,0))</f>
        <v>843.02999999999975</v>
      </c>
      <c r="S657" s="45">
        <f ca="1">R657/(R657+(185*模拟模式!$E$22-16800)*4.08224)</f>
        <v>8.389626085980037E-2</v>
      </c>
      <c r="T657" s="45" t="str">
        <f ca="1">LOOKUP(D657,'模拟-单技能数据'!$A$2:$A$19,'模拟-单技能数据'!$H$2:$H$19)</f>
        <v>阴</v>
      </c>
      <c r="U657" s="119">
        <f t="shared" ca="1" si="543"/>
        <v>0.08</v>
      </c>
      <c r="V657" s="47">
        <f ca="1">(1+L657)*(LOOKUP(D657,'模拟-单技能数据'!$A$2:$A$19,'模拟-单技能数据'!$D$2:$D$19)+G657*LOOKUP(D657,'模拟-单技能数据'!$A$2:$A$19,'模拟-单技能数据'!$F$2:$F$19))*(1+J657)*(1+K657)*(1-S657)*(1+U657)*Q657*LOOKUP(D657,'模拟-单技能数据'!$A$2:$A$19,'模拟-单技能数据'!$I$2:$I$20)</f>
        <v>21110.500523497569</v>
      </c>
      <c r="W657" s="47">
        <f ca="1">LOOKUP(D657,'模拟-单技能数据'!$A$2:$A$19,'模拟-单技能数据'!$G$2:$G$19)*$I$10</f>
        <v>361.51064354704795</v>
      </c>
      <c r="X657" s="47">
        <f t="shared" ca="1" si="571"/>
        <v>11118.353508757338</v>
      </c>
      <c r="Y657" s="47">
        <f t="shared" ca="1" si="544"/>
        <v>32590.364675801953</v>
      </c>
      <c r="Z657" s="49">
        <f t="shared" ca="1" si="545"/>
        <v>66181999.40455661</v>
      </c>
      <c r="AA657" s="97">
        <f t="shared" ca="1" si="546"/>
        <v>113876.19805489889</v>
      </c>
      <c r="AB657" s="115">
        <f ca="1">IF(OR(C657="赤日轮1",C657="赤日轮2",C657="赤日轮3"),IF(RAND()&lt;模拟模式!$Y$17,1,0),IF(OR(C657="幽月轮1",C657="幽月轮2",C657="幽月轮3"),IF(RAND()&lt;模拟模式!$Y$18,1,0),IF(C657="烈日斩",IF(RAND()&lt;模拟模式!$Y$19,1,0),IF(C657="银月斩",IF(RAND()&lt;模拟模式!$Y$20,1,0),IF(C657="驱夜断愁",IF(RAND()&lt;模拟模式!$Y$21,1,0),IF(C657="净世破魔击·日",IF(RAND()&lt;模拟模式!$Y$22,1,0),IF(C657="净世破魔击·月",IF(RAND()&lt;模拟模式!$Y$23,1,0),0)))))))</f>
        <v>1</v>
      </c>
      <c r="AC657" s="115" t="b">
        <f t="shared" ca="1" si="547"/>
        <v>1</v>
      </c>
      <c r="AD657" s="115" t="b">
        <f t="shared" ca="1" si="548"/>
        <v>0</v>
      </c>
      <c r="AE657" s="115">
        <f t="shared" ca="1" si="549"/>
        <v>6</v>
      </c>
      <c r="AF657" s="47">
        <f ca="1">IF(AC657,('模拟-单技能数据'!$D$20+G657*'模拟-单技能数据'!$F$20)*(1+J657)*(1+'模拟-单技能数据'!$J$20)*(1+U657),0)</f>
        <v>4447.8565560098323</v>
      </c>
      <c r="AG657" s="61">
        <f t="shared" ca="1" si="550"/>
        <v>0.64185145527300214</v>
      </c>
      <c r="AH657" s="61">
        <f t="shared" ca="1" si="551"/>
        <v>2.2624828854998791</v>
      </c>
      <c r="AI657" s="62">
        <f t="shared" ca="1" si="572"/>
        <v>0.46802693095995695</v>
      </c>
      <c r="AJ657" s="47">
        <f ca="1">IF(AD657,IF(AI657&lt;$F$10,0,IF(AI657&lt;$F$10+$F$11,0.25,IF(AI657&lt;$F$10+$F$11+AG657,AH657,1)))*IF(AF657&gt;0,AF657,IF(AF656&gt;0,AF656,IF(AF655&gt;0,AF655,IF(AF654&gt;0,AF654,IF(AF653&gt;0,AF653,IF(AF652&gt;0,AF652,IF(AF651&gt;0,AF651,IF(AF650&gt;0,AF650,IF(AF649&gt;0,AF649,IF(AF647&gt;0,AF647,IF(AF646&gt;0,AF646,IF(AF645&gt;0,AF645,0)))))))))))),0)*(1-$S657)*'模拟-单技能数据'!$I$20</f>
        <v>0</v>
      </c>
      <c r="AK657" s="115" t="b">
        <f t="shared" ca="1" si="552"/>
        <v>0</v>
      </c>
      <c r="AL657" s="115" t="b">
        <f t="shared" ca="1" si="553"/>
        <v>1</v>
      </c>
      <c r="AM657" s="115">
        <f t="shared" ca="1" si="554"/>
        <v>4</v>
      </c>
      <c r="AN657" s="47">
        <f ca="1">IF(AK657,('模拟-单技能数据'!$D$21+G657*'模拟-单技能数据'!$F$21)*(1+J657)*(1+'模拟-单技能数据'!$J$21)*(1+U657),0)</f>
        <v>0</v>
      </c>
      <c r="AO657" s="61">
        <f ca="1">IF(AN657&gt;0,M657-'模拟-单技能数据'!$K$10,AO656)</f>
        <v>0.42185145527300216</v>
      </c>
      <c r="AP657" s="61">
        <f ca="1">IF(AN657&gt;0,I657-'模拟-单技能数据'!$L$10,AP656)</f>
        <v>2.162482885499879</v>
      </c>
      <c r="AQ657" s="63">
        <f t="shared" ca="1" si="573"/>
        <v>0.68801611912253513</v>
      </c>
      <c r="AR657" s="64">
        <f ca="1">IF(AL657,IF(AQ657&lt;$F$10,0,IF(AQ657&lt;$F$10+$F$11,0.25,IF(AQ657&lt;$F$10+$F$11+AO657,AP657,1)))*IF(AN657&gt;0,AN657,IF(AN656&gt;0,AN656,IF(AN655&gt;0,AN655,IF(AN654&gt;0,AN654,IF(AN653&gt;0,AN653,IF(AN652&gt;0,AN652,IF(AN651&gt;0,AN651,IF(AN650&gt;0,AN650,IF(AN649&gt;0,AN649,IF(AN647&gt;0,AN647,IF(AN646&gt;0,AN646,IF(AN645&gt;0,AN645,0)))))))))))),0)*(1-$S657)*'模拟-单技能数据'!$I$21</f>
        <v>11118.353508757338</v>
      </c>
      <c r="AS657" s="61">
        <f ca="1">IF(OR(C657="净世破魔击·日",C657="净世破魔击·月"),M657-'模拟-单技能数据'!$K$10,0)</f>
        <v>0</v>
      </c>
      <c r="AT657" s="61">
        <f ca="1">IF(OR(C657="净世破魔击·日",C657="净世破魔击·月"),I657-'模拟-单技能数据'!$L$10,0)</f>
        <v>0</v>
      </c>
      <c r="AU657" s="62">
        <f t="shared" ca="1" si="574"/>
        <v>0.686062864456496</v>
      </c>
      <c r="AV657" s="64">
        <f ca="1">IF(AS657&gt;0,('模拟-单技能数据'!$D$22+G657*'模拟-单技能数据'!$F$22)*(1+J657)*(1-S657)*IF(AU657&lt;$F$10,0,IF(AU657&lt;$F$10+$F$11,0.25,IF(AU657&lt;$F$10+$F$11+AS657,AT657,1)))*(1+U657),0)*'模拟-单技能数据'!$I$22</f>
        <v>0</v>
      </c>
      <c r="AW657" s="108">
        <f t="shared" ca="1" si="575"/>
        <v>17.232500000000002</v>
      </c>
      <c r="AX657" s="108" t="b">
        <f ca="1">AND(模拟模式!$P$10="有",AW656=0,RAND()&lt;IF(C657="净世破魔击·月",0.1*8/3,IF(C657="净世破魔击·日",0.1*4/3,0.1*2/3)))</f>
        <v>0</v>
      </c>
      <c r="AY657" s="47">
        <f ca="1">IF(AX657,(18+G657*0.722)*(1+J657)*(1-S657)*(1+$I$4)*IF(P657="会",'模拟-全程加成'!$J$3+'模拟-全程加成'!$J$4+'模拟-全程加成'!$J$5+('模拟-全程加成'!$I$4+'模拟-全程加成'!$I$5)/系数!$B$4+BG657*10%,IF(P657="命",1,IF(P657="识",0.25,0))),0)</f>
        <v>0</v>
      </c>
      <c r="AZ657" s="108">
        <f t="shared" si="576"/>
        <v>7.0850000000000071</v>
      </c>
      <c r="BA657" s="108" t="b">
        <f>AND(模拟模式!$Q$10="有",AZ656=0)</f>
        <v>0</v>
      </c>
      <c r="BB657" s="140">
        <f>IF(BA657,(0+G657*0.287)*(1+J657)*(1-S657)*(1+$I$4)*IF(P657="会",'模拟-全程加成'!$J$3+'模拟-全程加成'!$J$4+'模拟-全程加成'!$J$5+('模拟-全程加成'!$I$4+'模拟-全程加成'!$I$5)/系数!$B$4+BG657*10%,IF(P657="命",1,IF(P657="识",0.25,0))),0)</f>
        <v>0</v>
      </c>
      <c r="BC657" s="115" t="b">
        <f ca="1">AND(模拟模式!$R$7="伏明众生",E657=60,F657=20,DA657&lt;5,CZ656&lt;$F$4)</f>
        <v>0</v>
      </c>
      <c r="BD657" s="115">
        <f t="shared" ca="1" si="555"/>
        <v>0</v>
      </c>
      <c r="BE657" s="115" t="b">
        <f t="shared" ca="1" si="556"/>
        <v>0</v>
      </c>
      <c r="BF657" s="47">
        <f ca="1">IF(BC657,4*('模拟-单技能数据'!$D$24+G657*'模拟-单技能数据'!$F$24)*(1+J657)*(1+'模拟-单技能数据'!$J$24)*(1-S657)*(1+$I$3)*(('模拟-全程加成'!$J$3+'模拟-全程加成'!$J$4+'模拟-全程加成'!$J$5+('模拟-全程加成'!$I$4+'模拟-全程加成'!$I$5)/系数!$B$4+BG657*10%)*('模拟-全程加成'!$J$3+'模拟-全程加成'!$J$4+'模拟-全程加成'!$J$5+('模拟-全程加成'!$I$4+'模拟-全程加成'!$I$5)/系数!$B$4+BG657*10%)+(1-('模拟-全程加成'!$J$3+'模拟-全程加成'!$J$4+'模拟-全程加成'!$J$5+('模拟-全程加成'!$I$4+'模拟-全程加成'!$I$5)/系数!$B$4+BG657*10%)-$F$10-$F$11)+F643*0.25),0)*'模拟-单技能数据'!$I$24</f>
        <v>0</v>
      </c>
      <c r="BG657" s="115" t="b">
        <f ca="1">OR(AND(OR(C657="烈日斩",C657="银月斩"),模拟模式!$I$7="净身明礼"),AND(C657="净世破魔击·日",模拟模式!$J$7="洞若观火"),AND(C658="净世破魔击·月",模拟模式!$J$7="洞若观火"),AB657=1)</f>
        <v>1</v>
      </c>
      <c r="BH657" s="115" t="b">
        <f t="shared" ca="1" si="577"/>
        <v>0</v>
      </c>
      <c r="BI657" s="115">
        <f t="shared" ca="1" si="557"/>
        <v>0</v>
      </c>
      <c r="BJ657" s="115" t="b">
        <f t="shared" ca="1" si="558"/>
        <v>0</v>
      </c>
      <c r="BK657" s="115" t="b">
        <f ca="1">AND(C657="驱夜断愁",模拟模式!$P$7="天地诛戮")</f>
        <v>0</v>
      </c>
      <c r="BL657" s="57">
        <f t="shared" ca="1" si="559"/>
        <v>14.465000000000003</v>
      </c>
      <c r="BM657" s="115" t="b">
        <f t="shared" ca="1" si="560"/>
        <v>1</v>
      </c>
      <c r="BN657" s="115" t="b">
        <f ca="1">AND(OR(C657="赤日轮1",C657="赤日轮2",C657="赤日轮3",C657="幽月轮1",C657="幽月轮2",C657="幽月轮3"),AB657=1,模拟模式!$L$7="明光恒照")</f>
        <v>0</v>
      </c>
      <c r="BO657" s="117">
        <f t="shared" ca="1" si="561"/>
        <v>26.310000000000002</v>
      </c>
      <c r="BP657" s="115">
        <f t="shared" ca="1" si="578"/>
        <v>6</v>
      </c>
      <c r="BQ657" s="115" t="b">
        <f>模拟模式!$K$10="2600·水"</f>
        <v>0</v>
      </c>
      <c r="BR657" s="117">
        <f t="shared" si="579"/>
        <v>0</v>
      </c>
      <c r="BS657" s="115">
        <f t="shared" si="580"/>
        <v>0</v>
      </c>
      <c r="BT657" s="115">
        <f t="shared" ca="1" si="581"/>
        <v>0</v>
      </c>
      <c r="BU657" s="115" t="b">
        <f ca="1">AND(模拟模式!$K$10="2300·雷",BT656=0,RAND()&lt;IF(C657="净世破魔击·月",5*0.05*2/3,IF(C657="净世破魔击·日",3*0.05*2/3,0.05*2*2/3)))</f>
        <v>0</v>
      </c>
      <c r="BV657" s="115">
        <f t="shared" ca="1" si="582"/>
        <v>0</v>
      </c>
      <c r="BW657" s="115">
        <f t="shared" ca="1" si="583"/>
        <v>156.93749999999966</v>
      </c>
      <c r="BX657" s="164" t="b">
        <f t="shared" ca="1" si="584"/>
        <v>0</v>
      </c>
      <c r="BY657" s="115">
        <f t="shared" ca="1" si="585"/>
        <v>0</v>
      </c>
      <c r="BZ657" s="115">
        <f>IF(OR(模拟模式!$P$16="10人团",模拟模式!$P$16="25人团"),IF(B657/30&gt;CA656,1,0),0)</f>
        <v>0</v>
      </c>
      <c r="CA657" s="115">
        <f t="shared" si="562"/>
        <v>0</v>
      </c>
      <c r="CB657" s="115">
        <f ca="1">IF(BZ657=1,IF(模拟模式!$P$16="10人团",15,0)+IF(模拟模式!$P$16="25人团",IF(RAND()&lt;0.6,15,0)),MAX(0,CB656-$F$4))</f>
        <v>0</v>
      </c>
      <c r="CC657" s="115" t="b">
        <f t="shared" ca="1" si="563"/>
        <v>0</v>
      </c>
      <c r="CD657" s="115">
        <f>IF(模拟模式!$Q$16="1个",IF(B657/40&gt;CE656,1,0),0)</f>
        <v>0</v>
      </c>
      <c r="CE657" s="115">
        <f t="shared" si="564"/>
        <v>0</v>
      </c>
      <c r="CF657" s="115">
        <f>IF(OR(CD657=1,模拟模式!$Q$16="2个"),20,MAX(0,CF656-$F$4))</f>
        <v>0</v>
      </c>
      <c r="CG657" s="115" t="b">
        <f t="shared" si="565"/>
        <v>0</v>
      </c>
      <c r="CH657" s="115">
        <f t="shared" ca="1" si="586"/>
        <v>6.9375000000000124</v>
      </c>
      <c r="CI657" s="115" t="b">
        <f t="shared" ca="1" si="587"/>
        <v>0</v>
      </c>
      <c r="CJ657" s="119">
        <f t="shared" ca="1" si="588"/>
        <v>0</v>
      </c>
      <c r="CK657" s="115">
        <f t="shared" ca="1" si="589"/>
        <v>0</v>
      </c>
      <c r="CL657" s="115" t="b">
        <f ca="1">AND(模拟模式!$S$7="驱夷逐法",OR(AND(C657="净世破魔击·月",E656&gt;59),AND(C657="净世破魔击·日",F656&gt;59)))</f>
        <v>0</v>
      </c>
      <c r="CM657" s="115" t="b">
        <f ca="1">OR(CL657,AND(C657="净世破魔击·日",CL656,RAND()&lt;模拟模式!$U$23))</f>
        <v>0</v>
      </c>
      <c r="CN657" s="115" t="b">
        <f ca="1">IF(模拟模式!$M$7="辉耀红尘",AND(C657="净世破魔击·月",CL657,CV657=0,E656&lt;80),AND(C657="净世破魔击·月",CL657,E656&lt;100))</f>
        <v>0</v>
      </c>
      <c r="CO657" s="115" t="b">
        <f t="shared" ca="1" si="566"/>
        <v>0</v>
      </c>
      <c r="CP657" s="115" t="b">
        <f ca="1">AND(模拟模式!$O$7="用晦而明",OR(C657="净世破魔击·日",C657="净世破魔击·月",C657="驱夜断愁"),AB657)</f>
        <v>0</v>
      </c>
      <c r="CQ657" s="115" t="b">
        <f ca="1">OR(CP657,AND(CP656,RAND()&lt;模拟模式!$U$23))</f>
        <v>1</v>
      </c>
      <c r="CR657" s="115" t="b">
        <f ca="1">AND(模拟模式!$S$7="日月齐光",OR(C657="幽月轮1",C657="幽月轮2",C657="幽月轮3",CR656),NOT(OR(C657="赤日轮1",C657="赤日轮2",C657="赤日轮3")))</f>
        <v>0</v>
      </c>
      <c r="CS657" s="115" t="b">
        <f ca="1">AND(模拟模式!$S$7="日月齐光",OR(C657="赤日轮1",C657="赤日轮2",C657="赤日轮3",CS656),NOT(OR(C657="幽月轮1",C657="幽月轮2",C657="幽月轮3")))</f>
        <v>0</v>
      </c>
      <c r="CT657" s="115">
        <f t="shared" ca="1" si="590"/>
        <v>0</v>
      </c>
      <c r="CU657" s="115" t="b">
        <f ca="1">AND(模拟模式!$K$10="阴阳往极",CT656=0,RAND()&lt;IF(C657="净世破魔击·月",0.0275*7/3,IF(C657="净世破魔击·日",0.0275*3/3,0.0275*2/3)))</f>
        <v>0</v>
      </c>
      <c r="CV657" s="115">
        <f t="shared" ca="1" si="591"/>
        <v>0</v>
      </c>
      <c r="CW657" s="115">
        <f t="shared" ca="1" si="592"/>
        <v>1.3874999999999997</v>
      </c>
      <c r="CX657" s="115">
        <f t="shared" ca="1" si="593"/>
        <v>6</v>
      </c>
      <c r="CY657" s="115">
        <f ca="1">MAX(IF($C657="驱夜断愁",IF(模拟模式!$R$7="万念俱寂",6,45),CY656-$F$4),0)</f>
        <v>0.46499999999999975</v>
      </c>
      <c r="CZ657" s="115">
        <f t="shared" ca="1" si="567"/>
        <v>0</v>
      </c>
      <c r="DA657" s="115">
        <f ca="1">IF(模拟模式!$N$7="日月同辉",IF(DB656=2,0,MIN(6,IF(AND(OR(C657="赤日轮1",C657="赤日轮2",C657="赤日轮3",C657="幽月轮1",C657="幽月轮2",C657="幽月轮3"),AB657=1),DA656+1,DA656))),0)</f>
        <v>0</v>
      </c>
      <c r="DB657" s="115">
        <f t="shared" ca="1" si="568"/>
        <v>0</v>
      </c>
      <c r="DC657" s="115"/>
      <c r="DD657" s="115"/>
      <c r="DE657" s="115"/>
      <c r="DF657" s="115"/>
      <c r="DG657" s="115"/>
      <c r="DH657" s="115"/>
      <c r="DI657" s="115"/>
      <c r="DJ657" s="115"/>
      <c r="DK657" s="115"/>
      <c r="DL657" s="115"/>
      <c r="DM657" s="115"/>
    </row>
    <row r="658" spans="2:117" x14ac:dyDescent="0.2">
      <c r="B658" s="117">
        <f t="shared" si="569"/>
        <v>582.09750000000656</v>
      </c>
      <c r="C658" s="167" t="str">
        <f t="shared" ca="1" si="538"/>
        <v>驱夜断愁</v>
      </c>
      <c r="D658" s="115">
        <f ca="1">IF(C658="赤日轮1",1,IF(C658="赤日轮2",2,IF(C658="赤日轮3",3,IF(C658="幽月轮1",4,IF(C658="幽月轮2",5,IF(C658="幽月轮3",6,IF(C658="烈日斩",7,IF(C658="银月斩",8,IF(C658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658="净世破魔击·月",17,IF(C658="驱夜断愁",18,0)))))))))))</f>
        <v>18</v>
      </c>
      <c r="E658" s="115">
        <f ca="1">IF(AND(CU658,OR(C658="幽月轮1",C658="幽月轮2",C658="幽月轮3",C658="银月斩",C658="驱夜断愁",C658="净世破魔击·月")),100,MIN(IF(OR(CN658,BE658),0,IF(OR($C658="赤日轮1",$C658="赤日轮2",$C658="赤日轮3"),E657+20+IF(模拟模式!$I$7="日月凌天",4,0)+IF(CR657,20,0),IF($C658="烈日斩",E657+40,IF($C658="驱夜断愁",IF(模拟模式!$R$7="万念俱寂",E657+20,E657+60),IF($C658="净世破魔击·月",IF(OR(DB657&gt;0,CV657&gt;0),100,IF(模拟模式!$M$7="辉耀红尘",E657+20,E657)),IF($C658="净世破魔击·日",E657-100,E657)))))),100))</f>
        <v>40</v>
      </c>
      <c r="F658" s="115">
        <f ca="1">IF(AND(CU658,OR(C658="赤日轮1",C658="赤日轮2",C658="赤日轮3",C658="烈日斩",C658="净世破魔击·日")),100,MIN(IF(CO658,0,IF(OR($C658="幽月轮1",$C658="幽月轮2",$C658="幽月轮3"),F657+20+IF(模拟模式!$I$7="日月凌天",4,0)+IF(CS657,20,0),IF($C658="银月斩",F657+40+IF(模拟模式!$X$12=1,5,0),IF($C658="驱夜断愁",IF(模拟模式!$R$7="万念俱寂",F657+20,F657+60),IF($C658="净世破魔击·月",IF(模拟模式!$M$7="辉耀红尘",F657-80,F657-100),IF(AND(C658="净世破魔击·日",OR(DB657&gt;0,CV657&gt;0)),100,F657)))))),100))</f>
        <v>85</v>
      </c>
      <c r="G658" s="117">
        <f ca="1">('模拟-全程加成'!$E$3+'模拟-全程加成'!$E$4+'模拟-全程加成'!$E$5+('模拟-全程加成'!$C$6-'模拟-全程加成'!$C$3)*系数!$B$9+BS658*23)*(1+'模拟-全程加成'!$F$4+'模拟-全程加成'!$F$5+BJ658*10%+BM658*20%+BP658*4%+CG658*30%)+$F$7*系数!$B$12</f>
        <v>20583.127400000001</v>
      </c>
      <c r="H658" s="45">
        <f ca="1">'模拟-全程加成'!$H$3+'模拟-全程加成'!$H$4+'模拟-全程加成'!$H$5+('模拟-全程加成'!$G$4+'模拟-全程加成'!$G$5+('模拟-全程加成'!$C$6-'模拟-全程加成'!$C$3)*系数!$B$13)/系数!$B$3+LOOKUP(D658,'模拟-单技能数据'!$A$2:$A$19,'模拟-单技能数据'!$K$2:$K$19)+BG658*10%+IF(BV658&gt;0,378,0)</f>
        <v>0.51185145527300213</v>
      </c>
      <c r="I658" s="45">
        <f ca="1">'模拟-全程加成'!$J$3+'模拟-全程加成'!$J$4+'模拟-全程加成'!$J$5+('模拟-全程加成'!$I$4+'模拟-全程加成'!$I$5)/系数!$B$4+LOOKUP(D658,'模拟-单技能数据'!$A$2:$A$19,'模拟-单技能数据'!$L$2:$L$19)+BG658*10%</f>
        <v>2.162482885499879</v>
      </c>
      <c r="J658" s="45">
        <f ca="1">(('模拟-全程加成'!$K$3+'模拟-全程加成'!$K$4+'模拟-全程加成'!$K$5+('模拟-全程加成'!$C$6-'模拟-全程加成'!$C$3)*系数!$B$10+IF(BV658&gt;0,882,0)+IF(BY658&gt;0,1831,0))*(1+'模拟-全程加成'!$L$4+'模拟-全程加成'!$L$5+CC658*20%))/系数!$B$5</f>
        <v>0.69723220422048726</v>
      </c>
      <c r="K658" s="119">
        <f ca="1">LOOKUP(D658,'模拟-单技能数据'!$A$2:$A$19,'模拟-单技能数据'!$J$2:$J$19)+IF(CM658,60%,0)+IF(DB657-DB658&gt;0,30%,0)+IF(OR(AND(OR(C658="赤日轮1",C658="赤日轮2",C658="赤日轮3"),CR658),AND(OR(C658="幽月轮1",C658="幽月轮2",C658="幽月轮3"),CS658)),35%,0)+CJ658</f>
        <v>0.14000000000000001</v>
      </c>
      <c r="L658" s="119">
        <f ca="1">IF(AND(C658="烈日斩",模拟模式!$X$11=1),10%,0)+IF(AND(C658="驱夜断愁",AB658=1),30%,0)</f>
        <v>0.3</v>
      </c>
      <c r="M658" s="45">
        <f t="shared" ca="1" si="539"/>
        <v>0.51185145527300213</v>
      </c>
      <c r="N658" s="45">
        <f t="shared" ca="1" si="540"/>
        <v>0.43424854472699792</v>
      </c>
      <c r="O658" s="46">
        <f t="shared" ca="1" si="570"/>
        <v>0.89741852016954748</v>
      </c>
      <c r="P658" s="46" t="str">
        <f t="shared" ca="1" si="541"/>
        <v>命</v>
      </c>
      <c r="Q658" s="45">
        <f t="shared" ca="1" si="542"/>
        <v>1</v>
      </c>
      <c r="R658" s="117">
        <f ca="1">模拟模式!$E$20*(1-IF(模拟模式!$J$19="有",0.15,0))*(1-IF(模拟模式!$K$19="有",0.3,0)-IF(CQ658,0.5,0))</f>
        <v>843.02999999999975</v>
      </c>
      <c r="S658" s="45">
        <f ca="1">R658/(R658+(185*模拟模式!$E$22-16800)*4.08224)</f>
        <v>8.389626085980037E-2</v>
      </c>
      <c r="T658" s="45" t="str">
        <f ca="1">LOOKUP(D658,'模拟-单技能数据'!$A$2:$A$19,'模拟-单技能数据'!$H$2:$H$19)</f>
        <v>阴</v>
      </c>
      <c r="U658" s="119">
        <f t="shared" ca="1" si="543"/>
        <v>0.08</v>
      </c>
      <c r="V658" s="47">
        <f ca="1">(1+L658)*(LOOKUP(D658,'模拟-单技能数据'!$A$2:$A$19,'模拟-单技能数据'!$D$2:$D$19)+G658*LOOKUP(D658,'模拟-单技能数据'!$A$2:$A$19,'模拟-单技能数据'!$F$2:$F$19))*(1+J658)*(1+K658)*(1-S658)*(1+U658)*Q658*LOOKUP(D658,'模拟-单技能数据'!$A$2:$A$19,'模拟-单技能数据'!$I$2:$I$20)</f>
        <v>58943.088028757353</v>
      </c>
      <c r="W658" s="47">
        <f ca="1">LOOKUP(D658,'模拟-单技能数据'!$A$2:$A$19,'模拟-单技能数据'!$G$2:$G$19)*$I$10</f>
        <v>723.0212870940959</v>
      </c>
      <c r="X658" s="47">
        <f t="shared" ca="1" si="571"/>
        <v>4074.6980221198578</v>
      </c>
      <c r="Y658" s="47">
        <f t="shared" ca="1" si="544"/>
        <v>63740.80733797131</v>
      </c>
      <c r="Z658" s="49">
        <f t="shared" ca="1" si="545"/>
        <v>66245740.211894579</v>
      </c>
      <c r="AA658" s="97">
        <f t="shared" ca="1" si="546"/>
        <v>113805.23058747689</v>
      </c>
      <c r="AB658" s="115">
        <f ca="1">IF(OR(C658="赤日轮1",C658="赤日轮2",C658="赤日轮3"),IF(RAND()&lt;模拟模式!$Y$17,1,0),IF(OR(C658="幽月轮1",C658="幽月轮2",C658="幽月轮3"),IF(RAND()&lt;模拟模式!$Y$18,1,0),IF(C658="烈日斩",IF(RAND()&lt;模拟模式!$Y$19,1,0),IF(C658="银月斩",IF(RAND()&lt;模拟模式!$Y$20,1,0),IF(C658="驱夜断愁",IF(RAND()&lt;模拟模式!$Y$21,1,0),IF(C658="净世破魔击·日",IF(RAND()&lt;模拟模式!$Y$22,1,0),IF(C658="净世破魔击·月",IF(RAND()&lt;模拟模式!$Y$23,1,0),0)))))))</f>
        <v>1</v>
      </c>
      <c r="AC658" s="115" t="b">
        <f t="shared" ca="1" si="547"/>
        <v>0</v>
      </c>
      <c r="AD658" s="115" t="b">
        <f t="shared" ca="1" si="548"/>
        <v>1</v>
      </c>
      <c r="AE658" s="115">
        <f t="shared" ca="1" si="549"/>
        <v>5</v>
      </c>
      <c r="AF658" s="47">
        <f ca="1">IF(AC658,('模拟-单技能数据'!$D$20+G658*'模拟-单技能数据'!$F$20)*(1+J658)*(1+'模拟-单技能数据'!$J$20)*(1+U658),0)</f>
        <v>0</v>
      </c>
      <c r="AG658" s="61">
        <f t="shared" ca="1" si="550"/>
        <v>0.64185145527300214</v>
      </c>
      <c r="AH658" s="61">
        <f t="shared" ca="1" si="551"/>
        <v>2.2624828854998791</v>
      </c>
      <c r="AI658" s="62">
        <f t="shared" ca="1" si="572"/>
        <v>0.9520871056190543</v>
      </c>
      <c r="AJ658" s="47">
        <f ca="1">IF(AD658,IF(AI658&lt;$F$10,0,IF(AI658&lt;$F$10+$F$11,0.25,IF(AI658&lt;$F$10+$F$11+AG658,AH658,1)))*IF(AF658&gt;0,AF658,IF(AF657&gt;0,AF657,IF(AF656&gt;0,AF656,IF(AF655&gt;0,AF655,IF(AF654&gt;0,AF654,IF(AF653&gt;0,AF653,IF(AF652&gt;0,AF652,IF(AF651&gt;0,AF651,IF(AF650&gt;0,AF650,IF(AF648&gt;0,AF648,IF(AF647&gt;0,AF647,IF(AF646&gt;0,AF646,0)))))))))))),0)*(1-$S658)*'模拟-单技能数据'!$I$20</f>
        <v>4074.6980221198578</v>
      </c>
      <c r="AK658" s="115" t="b">
        <f t="shared" ca="1" si="552"/>
        <v>0</v>
      </c>
      <c r="AL658" s="115" t="b">
        <f t="shared" ca="1" si="553"/>
        <v>0</v>
      </c>
      <c r="AM658" s="115">
        <f t="shared" ca="1" si="554"/>
        <v>4</v>
      </c>
      <c r="AN658" s="47">
        <f ca="1">IF(AK658,('模拟-单技能数据'!$D$21+G658*'模拟-单技能数据'!$F$21)*(1+J658)*(1+'模拟-单技能数据'!$J$21)*(1+U658),0)</f>
        <v>0</v>
      </c>
      <c r="AO658" s="61">
        <f ca="1">IF(AN658&gt;0,M658-'模拟-单技能数据'!$K$10,AO657)</f>
        <v>0.42185145527300216</v>
      </c>
      <c r="AP658" s="61">
        <f ca="1">IF(AN658&gt;0,I658-'模拟-单技能数据'!$L$10,AP657)</f>
        <v>2.162482885499879</v>
      </c>
      <c r="AQ658" s="63">
        <f t="shared" ca="1" si="573"/>
        <v>0.46886979524269823</v>
      </c>
      <c r="AR658" s="64">
        <f ca="1">IF(AL658,IF(AQ658&lt;$F$10,0,IF(AQ658&lt;$F$10+$F$11,0.25,IF(AQ658&lt;$F$10+$F$11+AO658,AP658,1)))*IF(AN658&gt;0,AN658,IF(AN657&gt;0,AN657,IF(AN656&gt;0,AN656,IF(AN655&gt;0,AN655,IF(AN654&gt;0,AN654,IF(AN653&gt;0,AN653,IF(AN652&gt;0,AN652,IF(AN651&gt;0,AN651,IF(AN650&gt;0,AN650,IF(AN648&gt;0,AN648,IF(AN647&gt;0,AN647,IF(AN646&gt;0,AN646,0)))))))))))),0)*(1-$S658)*'模拟-单技能数据'!$I$21</f>
        <v>0</v>
      </c>
      <c r="AS658" s="61">
        <f ca="1">IF(OR(C658="净世破魔击·日",C658="净世破魔击·月"),M658-'模拟-单技能数据'!$K$10,0)</f>
        <v>0</v>
      </c>
      <c r="AT658" s="61">
        <f ca="1">IF(OR(C658="净世破魔击·日",C658="净世破魔击·月"),I658-'模拟-单技能数据'!$L$10,0)</f>
        <v>0</v>
      </c>
      <c r="AU658" s="62">
        <f t="shared" ca="1" si="574"/>
        <v>0.94714335540880223</v>
      </c>
      <c r="AV658" s="64">
        <f ca="1">IF(AS658&gt;0,('模拟-单技能数据'!$D$22+G658*'模拟-单技能数据'!$F$22)*(1+J658)*(1-S658)*IF(AU658&lt;$F$10,0,IF(AU658&lt;$F$10+$F$11,0.25,IF(AU658&lt;$F$10+$F$11+AS658,AT658,1)))*(1+U658),0)*'模拟-单技能数据'!$I$22</f>
        <v>0</v>
      </c>
      <c r="AW658" s="108">
        <f t="shared" ca="1" si="575"/>
        <v>16.310000000000002</v>
      </c>
      <c r="AX658" s="108" t="b">
        <f ca="1">AND(模拟模式!$P$10="有",AW657=0,RAND()&lt;IF(C658="净世破魔击·月",0.1*8/3,IF(C658="净世破魔击·日",0.1*4/3,0.1*2/3)))</f>
        <v>0</v>
      </c>
      <c r="AY658" s="47">
        <f ca="1">IF(AX658,(18+G658*0.722)*(1+J658)*(1-S658)*(1+$I$4)*IF(P658="会",'模拟-全程加成'!$J$3+'模拟-全程加成'!$J$4+'模拟-全程加成'!$J$5+('模拟-全程加成'!$I$4+'模拟-全程加成'!$I$5)/系数!$B$4+BG658*10%,IF(P658="命",1,IF(P658="识",0.25,0))),0)</f>
        <v>0</v>
      </c>
      <c r="AZ658" s="108">
        <f t="shared" si="576"/>
        <v>6.1625000000000068</v>
      </c>
      <c r="BA658" s="108" t="b">
        <f>AND(模拟模式!$Q$10="有",AZ657=0)</f>
        <v>0</v>
      </c>
      <c r="BB658" s="140">
        <f>IF(BA658,(0+G658*0.287)*(1+J658)*(1-S658)*(1+$I$4)*IF(P658="会",'模拟-全程加成'!$J$3+'模拟-全程加成'!$J$4+'模拟-全程加成'!$J$5+('模拟-全程加成'!$I$4+'模拟-全程加成'!$I$5)/系数!$B$4+BG658*10%,IF(P658="命",1,IF(P658="识",0.25,0))),0)</f>
        <v>0</v>
      </c>
      <c r="BC658" s="115" t="b">
        <f ca="1">AND(模拟模式!$R$7="伏明众生",E658=60,F658=20,DA658&lt;5,CZ657&lt;$F$4)</f>
        <v>0</v>
      </c>
      <c r="BD658" s="115">
        <f t="shared" ca="1" si="555"/>
        <v>0</v>
      </c>
      <c r="BE658" s="115" t="b">
        <f t="shared" ca="1" si="556"/>
        <v>0</v>
      </c>
      <c r="BF658" s="47">
        <f ca="1">IF(BC658,4*('模拟-单技能数据'!$D$24+G658*'模拟-单技能数据'!$F$24)*(1+J658)*(1+'模拟-单技能数据'!$J$24)*(1-S658)*(1+$I$3)*(('模拟-全程加成'!$J$3+'模拟-全程加成'!$J$4+'模拟-全程加成'!$J$5+('模拟-全程加成'!$I$4+'模拟-全程加成'!$I$5)/系数!$B$4+BG658*10%)*('模拟-全程加成'!$J$3+'模拟-全程加成'!$J$4+'模拟-全程加成'!$J$5+('模拟-全程加成'!$I$4+'模拟-全程加成'!$I$5)/系数!$B$4+BG658*10%)+(1-('模拟-全程加成'!$J$3+'模拟-全程加成'!$J$4+'模拟-全程加成'!$J$5+('模拟-全程加成'!$I$4+'模拟-全程加成'!$I$5)/系数!$B$4+BG658*10%)-$F$10-$F$11)+F644*0.25),0)*'模拟-单技能数据'!$I$24</f>
        <v>0</v>
      </c>
      <c r="BG658" s="115" t="b">
        <f ca="1">OR(AND(OR(C658="烈日斩",C658="银月斩"),模拟模式!$I$7="净身明礼"),AND(C658="净世破魔击·日",模拟模式!$J$7="洞若观火"),AND(C659="净世破魔击·月",模拟模式!$J$7="洞若观火"),AB658=1)</f>
        <v>1</v>
      </c>
      <c r="BH658" s="115" t="b">
        <f t="shared" ca="1" si="577"/>
        <v>0</v>
      </c>
      <c r="BI658" s="115">
        <f t="shared" ca="1" si="557"/>
        <v>0</v>
      </c>
      <c r="BJ658" s="115" t="b">
        <f t="shared" ca="1" si="558"/>
        <v>0</v>
      </c>
      <c r="BK658" s="115" t="b">
        <f ca="1">AND(C658="驱夜断愁",模拟模式!$P$7="天地诛戮")</f>
        <v>1</v>
      </c>
      <c r="BL658" s="57">
        <f t="shared" ca="1" si="559"/>
        <v>20</v>
      </c>
      <c r="BM658" s="115" t="b">
        <f t="shared" ca="1" si="560"/>
        <v>1</v>
      </c>
      <c r="BN658" s="115" t="b">
        <f ca="1">AND(OR(C658="赤日轮1",C658="赤日轮2",C658="赤日轮3",C658="幽月轮1",C658="幽月轮2",C658="幽月轮3"),AB658=1,模拟模式!$L$7="明光恒照")</f>
        <v>0</v>
      </c>
      <c r="BO658" s="117">
        <f t="shared" ca="1" si="561"/>
        <v>25.387500000000003</v>
      </c>
      <c r="BP658" s="115">
        <f t="shared" ca="1" si="578"/>
        <v>6</v>
      </c>
      <c r="BQ658" s="115" t="b">
        <f>模拟模式!$K$10="2600·水"</f>
        <v>0</v>
      </c>
      <c r="BR658" s="117">
        <f t="shared" si="579"/>
        <v>0</v>
      </c>
      <c r="BS658" s="115">
        <f t="shared" si="580"/>
        <v>0</v>
      </c>
      <c r="BT658" s="115">
        <f t="shared" ca="1" si="581"/>
        <v>0</v>
      </c>
      <c r="BU658" s="115" t="b">
        <f ca="1">AND(模拟模式!$K$10="2300·雷",BT657=0,RAND()&lt;IF(C658="净世破魔击·月",5*0.05*2/3,IF(C658="净世破魔击·日",3*0.05*2/3,0.05*2*2/3)))</f>
        <v>0</v>
      </c>
      <c r="BV658" s="115">
        <f t="shared" ca="1" si="582"/>
        <v>0</v>
      </c>
      <c r="BW658" s="115">
        <f t="shared" ca="1" si="583"/>
        <v>156.01499999999965</v>
      </c>
      <c r="BX658" s="164" t="b">
        <f t="shared" ca="1" si="584"/>
        <v>0</v>
      </c>
      <c r="BY658" s="115">
        <f t="shared" ca="1" si="585"/>
        <v>0</v>
      </c>
      <c r="BZ658" s="115">
        <f>IF(OR(模拟模式!$P$16="10人团",模拟模式!$P$16="25人团"),IF(B658/30&gt;CA657,1,0),0)</f>
        <v>0</v>
      </c>
      <c r="CA658" s="115">
        <f t="shared" si="562"/>
        <v>0</v>
      </c>
      <c r="CB658" s="115">
        <f ca="1">IF(BZ658=1,IF(模拟模式!$P$16="10人团",15,0)+IF(模拟模式!$P$16="25人团",IF(RAND()&lt;0.6,15,0)),MAX(0,CB657-$F$4))</f>
        <v>0</v>
      </c>
      <c r="CC658" s="115" t="b">
        <f t="shared" ca="1" si="563"/>
        <v>0</v>
      </c>
      <c r="CD658" s="115">
        <f>IF(模拟模式!$Q$16="1个",IF(B658/40&gt;CE657,1,0),0)</f>
        <v>0</v>
      </c>
      <c r="CE658" s="115">
        <f t="shared" si="564"/>
        <v>0</v>
      </c>
      <c r="CF658" s="115">
        <f>IF(OR(CD658=1,模拟模式!$Q$16="2个"),20,MAX(0,CF657-$F$4))</f>
        <v>0</v>
      </c>
      <c r="CG658" s="115" t="b">
        <f t="shared" si="565"/>
        <v>0</v>
      </c>
      <c r="CH658" s="115">
        <f t="shared" ca="1" si="586"/>
        <v>6.0150000000000121</v>
      </c>
      <c r="CI658" s="115" t="b">
        <f t="shared" ca="1" si="587"/>
        <v>0</v>
      </c>
      <c r="CJ658" s="119">
        <f t="shared" ca="1" si="588"/>
        <v>0</v>
      </c>
      <c r="CK658" s="115">
        <f t="shared" ca="1" si="589"/>
        <v>0</v>
      </c>
      <c r="CL658" s="115" t="b">
        <f ca="1">AND(模拟模式!$S$7="驱夷逐法",OR(AND(C658="净世破魔击·月",E657&gt;59),AND(C658="净世破魔击·日",F657&gt;59)))</f>
        <v>0</v>
      </c>
      <c r="CM658" s="115" t="b">
        <f ca="1">OR(CL658,AND(C658="净世破魔击·日",CL657,RAND()&lt;模拟模式!$U$23))</f>
        <v>0</v>
      </c>
      <c r="CN658" s="115" t="b">
        <f ca="1">IF(模拟模式!$M$7="辉耀红尘",AND(C658="净世破魔击·月",CL658,CV658=0,E657&lt;80),AND(C658="净世破魔击·月",CL658,E657&lt;100))</f>
        <v>0</v>
      </c>
      <c r="CO658" s="115" t="b">
        <f t="shared" ca="1" si="566"/>
        <v>0</v>
      </c>
      <c r="CP658" s="115" t="b">
        <f ca="1">AND(模拟模式!$O$7="用晦而明",OR(C658="净世破魔击·日",C658="净世破魔击·月",C658="驱夜断愁"),AB658)</f>
        <v>1</v>
      </c>
      <c r="CQ658" s="115" t="b">
        <f ca="1">OR(CP658,AND(CP657,RAND()&lt;模拟模式!$U$23))</f>
        <v>1</v>
      </c>
      <c r="CR658" s="115" t="b">
        <f ca="1">AND(模拟模式!$S$7="日月齐光",OR(C658="幽月轮1",C658="幽月轮2",C658="幽月轮3",CR657),NOT(OR(C658="赤日轮1",C658="赤日轮2",C658="赤日轮3")))</f>
        <v>0</v>
      </c>
      <c r="CS658" s="115" t="b">
        <f ca="1">AND(模拟模式!$S$7="日月齐光",OR(C658="赤日轮1",C658="赤日轮2",C658="赤日轮3",CS657),NOT(OR(C658="幽月轮1",C658="幽月轮2",C658="幽月轮3")))</f>
        <v>0</v>
      </c>
      <c r="CT658" s="115">
        <f t="shared" ca="1" si="590"/>
        <v>0</v>
      </c>
      <c r="CU658" s="115" t="b">
        <f ca="1">AND(模拟模式!$K$10="阴阳往极",CT657=0,RAND()&lt;IF(C658="净世破魔击·月",0.0275*7/3,IF(C658="净世破魔击·日",0.0275*3/3,0.0275*2/3)))</f>
        <v>0</v>
      </c>
      <c r="CV658" s="115">
        <f t="shared" ca="1" si="591"/>
        <v>0</v>
      </c>
      <c r="CW658" s="115">
        <f t="shared" ca="1" si="592"/>
        <v>0.46499999999999975</v>
      </c>
      <c r="CX658" s="115">
        <f t="shared" ca="1" si="593"/>
        <v>5.0774999999999997</v>
      </c>
      <c r="CY658" s="115">
        <f ca="1">MAX(IF($C658="驱夜断愁",IF(模拟模式!$R$7="万念俱寂",6,45),CY657-$F$4),0)</f>
        <v>6</v>
      </c>
      <c r="CZ658" s="115">
        <f t="shared" ca="1" si="567"/>
        <v>0</v>
      </c>
      <c r="DA658" s="115">
        <f ca="1">IF(模拟模式!$N$7="日月同辉",IF(DB657=2,0,MIN(6,IF(AND(OR(C658="赤日轮1",C658="赤日轮2",C658="赤日轮3",C658="幽月轮1",C658="幽月轮2",C658="幽月轮3"),AB658=1),DA657+1,DA657))),0)</f>
        <v>0</v>
      </c>
      <c r="DB658" s="115">
        <f t="shared" ca="1" si="568"/>
        <v>0</v>
      </c>
      <c r="DC658" s="115"/>
      <c r="DD658" s="115"/>
      <c r="DE658" s="115"/>
      <c r="DF658" s="115"/>
      <c r="DG658" s="115"/>
      <c r="DH658" s="115"/>
      <c r="DI658" s="115"/>
      <c r="DJ658" s="115"/>
      <c r="DK658" s="115"/>
      <c r="DL658" s="115"/>
      <c r="DM658" s="115"/>
    </row>
    <row r="659" spans="2:117" x14ac:dyDescent="0.2">
      <c r="B659" s="117">
        <f t="shared" si="569"/>
        <v>583.02000000000658</v>
      </c>
      <c r="C659" s="167" t="str">
        <f t="shared" ca="1" si="538"/>
        <v>烈日斩</v>
      </c>
      <c r="D659" s="115">
        <f ca="1">IF(C659="赤日轮1",1,IF(C659="赤日轮2",2,IF(C659="赤日轮3",3,IF(C659="幽月轮1",4,IF(C659="幽月轮2",5,IF(C659="幽月轮3",6,IF(C659="烈日斩",7,IF(C659="银月斩",8,IF(C659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659="净世破魔击·月",17,IF(C659="驱夜断愁",18,0)))))))))))</f>
        <v>7</v>
      </c>
      <c r="E659" s="115">
        <f ca="1">IF(AND(CU659,OR(C659="幽月轮1",C659="幽月轮2",C659="幽月轮3",C659="银月斩",C659="驱夜断愁",C659="净世破魔击·月")),100,MIN(IF(OR(CN659,BE659),0,IF(OR($C659="赤日轮1",$C659="赤日轮2",$C659="赤日轮3"),E658+20+IF(模拟模式!$I$7="日月凌天",4,0)+IF(CR658,20,0),IF($C659="烈日斩",E658+40,IF($C659="驱夜断愁",IF(模拟模式!$R$7="万念俱寂",E658+20,E658+60),IF($C659="净世破魔击·月",IF(OR(DB658&gt;0,CV658&gt;0),100,IF(模拟模式!$M$7="辉耀红尘",E658+20,E658)),IF($C659="净世破魔击·日",E658-100,E658)))))),100))</f>
        <v>80</v>
      </c>
      <c r="F659" s="115">
        <f ca="1">IF(AND(CU659,OR(C659="赤日轮1",C659="赤日轮2",C659="赤日轮3",C659="烈日斩",C659="净世破魔击·日")),100,MIN(IF(CO659,0,IF(OR($C659="幽月轮1",$C659="幽月轮2",$C659="幽月轮3"),F658+20+IF(模拟模式!$I$7="日月凌天",4,0)+IF(CS658,20,0),IF($C659="银月斩",F658+40+IF(模拟模式!$X$12=1,5,0),IF($C659="驱夜断愁",IF(模拟模式!$R$7="万念俱寂",F658+20,F658+60),IF($C659="净世破魔击·月",IF(模拟模式!$M$7="辉耀红尘",F658-80,F658-100),IF(AND(C659="净世破魔击·日",OR(DB658&gt;0,CV658&gt;0)),100,F658)))))),100))</f>
        <v>85</v>
      </c>
      <c r="G659" s="117">
        <f ca="1">('模拟-全程加成'!$E$3+'模拟-全程加成'!$E$4+'模拟-全程加成'!$E$5+('模拟-全程加成'!$C$6-'模拟-全程加成'!$C$3)*系数!$B$9+BS659*23)*(1+'模拟-全程加成'!$F$4+'模拟-全程加成'!$F$5+BJ659*10%+BM659*20%+BP659*4%+CG659*30%)+$F$7*系数!$B$12</f>
        <v>20583.127400000001</v>
      </c>
      <c r="H659" s="45">
        <f ca="1">'模拟-全程加成'!$H$3+'模拟-全程加成'!$H$4+'模拟-全程加成'!$H$5+('模拟-全程加成'!$G$4+'模拟-全程加成'!$G$5+('模拟-全程加成'!$C$6-'模拟-全程加成'!$C$3)*系数!$B$13)/系数!$B$3+LOOKUP(D659,'模拟-单技能数据'!$A$2:$A$19,'模拟-单技能数据'!$K$2:$K$19)+BG659*10%+IF(BV659&gt;0,378,0)</f>
        <v>0.56185145527300218</v>
      </c>
      <c r="I659" s="45">
        <f ca="1">'模拟-全程加成'!$J$3+'模拟-全程加成'!$J$4+'模拟-全程加成'!$J$5+('模拟-全程加成'!$I$4+'模拟-全程加成'!$I$5)/系数!$B$4+LOOKUP(D659,'模拟-单技能数据'!$A$2:$A$19,'模拟-单技能数据'!$L$2:$L$19)+BG659*10%</f>
        <v>2.2624828854998791</v>
      </c>
      <c r="J659" s="45">
        <f ca="1">(('模拟-全程加成'!$K$3+'模拟-全程加成'!$K$4+'模拟-全程加成'!$K$5+('模拟-全程加成'!$C$6-'模拟-全程加成'!$C$3)*系数!$B$10+IF(BV659&gt;0,882,0)+IF(BY659&gt;0,1831,0))*(1+'模拟-全程加成'!$L$4+'模拟-全程加成'!$L$5+CC659*20%))/系数!$B$5</f>
        <v>0.69723220422048726</v>
      </c>
      <c r="K659" s="119">
        <f ca="1">LOOKUP(D659,'模拟-单技能数据'!$A$2:$A$19,'模拟-单技能数据'!$J$2:$J$19)+IF(CM659,60%,0)+IF(DB658-DB659&gt;0,30%,0)+IF(OR(AND(OR(C659="赤日轮1",C659="赤日轮2",C659="赤日轮3"),CR659),AND(OR(C659="幽月轮1",C659="幽月轮2",C659="幽月轮3"),CS659)),35%,0)+CJ659</f>
        <v>0.24</v>
      </c>
      <c r="L659" s="119">
        <f ca="1">IF(AND(C659="烈日斩",模拟模式!$X$11=1),10%,0)+IF(AND(C659="驱夜断愁",AB659=1),30%,0)</f>
        <v>0.1</v>
      </c>
      <c r="M659" s="45">
        <f t="shared" ca="1" si="539"/>
        <v>0.56185145527300218</v>
      </c>
      <c r="N659" s="45">
        <f t="shared" ca="1" si="540"/>
        <v>0.38424854472699788</v>
      </c>
      <c r="O659" s="46">
        <f t="shared" ca="1" si="570"/>
        <v>0.43687195493557918</v>
      </c>
      <c r="P659" s="46" t="str">
        <f t="shared" ca="1" si="541"/>
        <v>会</v>
      </c>
      <c r="Q659" s="45">
        <f t="shared" ca="1" si="542"/>
        <v>2.2624828854998791</v>
      </c>
      <c r="R659" s="117">
        <f ca="1">模拟模式!$E$20*(1-IF(模拟模式!$J$19="有",0.15,0))*(1-IF(模拟模式!$K$19="有",0.3,0)-IF(CQ659,0.5,0))</f>
        <v>843.02999999999975</v>
      </c>
      <c r="S659" s="45">
        <f ca="1">R659/(R659+(185*模拟模式!$E$22-16800)*4.08224)</f>
        <v>8.389626085980037E-2</v>
      </c>
      <c r="T659" s="45" t="str">
        <f ca="1">LOOKUP(D659,'模拟-单技能数据'!$A$2:$A$19,'模拟-单技能数据'!$H$2:$H$19)</f>
        <v>阳</v>
      </c>
      <c r="U659" s="119">
        <f t="shared" ca="1" si="543"/>
        <v>0.2</v>
      </c>
      <c r="V659" s="47">
        <f ca="1">(1+L659)*(LOOKUP(D659,'模拟-单技能数据'!$A$2:$A$19,'模拟-单技能数据'!$D$2:$D$19)+G659*LOOKUP(D659,'模拟-单技能数据'!$A$2:$A$19,'模拟-单技能数据'!$F$2:$F$19))*(1+J659)*(1+K659)*(1-S659)*(1+U659)*Q659*LOOKUP(D659,'模拟-单技能数据'!$A$2:$A$19,'模拟-单技能数据'!$I$2:$I$20)</f>
        <v>105861.05199666526</v>
      </c>
      <c r="W659" s="47">
        <f ca="1">LOOKUP(D659,'模拟-单技能数据'!$A$2:$A$19,'模拟-单技能数据'!$G$2:$G$19)*$I$10</f>
        <v>361.51064354704795</v>
      </c>
      <c r="X659" s="47">
        <f t="shared" ca="1" si="571"/>
        <v>11118.353508757338</v>
      </c>
      <c r="Y659" s="47">
        <f t="shared" ca="1" si="544"/>
        <v>117340.91614896966</v>
      </c>
      <c r="Z659" s="49">
        <f t="shared" ca="1" si="545"/>
        <v>66363081.128043547</v>
      </c>
      <c r="AA659" s="97">
        <f t="shared" ca="1" si="546"/>
        <v>113826.42298384754</v>
      </c>
      <c r="AB659" s="115">
        <f ca="1">IF(OR(C659="赤日轮1",C659="赤日轮2",C659="赤日轮3"),IF(RAND()&lt;模拟模式!$Y$17,1,0),IF(OR(C659="幽月轮1",C659="幽月轮2",C659="幽月轮3"),IF(RAND()&lt;模拟模式!$Y$18,1,0),IF(C659="烈日斩",IF(RAND()&lt;模拟模式!$Y$19,1,0),IF(C659="银月斩",IF(RAND()&lt;模拟模式!$Y$20,1,0),IF(C659="驱夜断愁",IF(RAND()&lt;模拟模式!$Y$21,1,0),IF(C659="净世破魔击·日",IF(RAND()&lt;模拟模式!$Y$22,1,0),IF(C659="净世破魔击·月",IF(RAND()&lt;模拟模式!$Y$23,1,0),0)))))))</f>
        <v>1</v>
      </c>
      <c r="AC659" s="115" t="b">
        <f t="shared" ca="1" si="547"/>
        <v>0</v>
      </c>
      <c r="AD659" s="115" t="b">
        <f t="shared" ca="1" si="548"/>
        <v>0</v>
      </c>
      <c r="AE659" s="115">
        <f t="shared" ca="1" si="549"/>
        <v>5</v>
      </c>
      <c r="AF659" s="47">
        <f ca="1">IF(AC659,('模拟-单技能数据'!$D$20+G659*'模拟-单技能数据'!$F$20)*(1+J659)*(1+'模拟-单技能数据'!$J$20)*(1+U659),0)</f>
        <v>0</v>
      </c>
      <c r="AG659" s="61">
        <f t="shared" ca="1" si="550"/>
        <v>0.64185145527300214</v>
      </c>
      <c r="AH659" s="61">
        <f t="shared" ca="1" si="551"/>
        <v>2.2624828854998791</v>
      </c>
      <c r="AI659" s="62">
        <f t="shared" ca="1" si="572"/>
        <v>0.70926541752751127</v>
      </c>
      <c r="AJ659" s="47">
        <f ca="1">IF(AD659,IF(AI659&lt;$F$10,0,IF(AI659&lt;$F$10+$F$11,0.25,IF(AI659&lt;$F$10+$F$11+AG659,AH659,1)))*IF(AF659&gt;0,AF659,IF(AF658&gt;0,AF658,IF(AF657&gt;0,AF657,IF(AF656&gt;0,AF656,IF(AF655&gt;0,AF655,IF(AF654&gt;0,AF654,IF(AF653&gt;0,AF653,IF(AF652&gt;0,AF652,IF(AF651&gt;0,AF651,IF(AF649&gt;0,AF649,IF(AF648&gt;0,AF648,IF(AF647&gt;0,AF647,0)))))))))))),0)*(1-$S659)*'模拟-单技能数据'!$I$20</f>
        <v>0</v>
      </c>
      <c r="AK659" s="115" t="b">
        <f t="shared" ca="1" si="552"/>
        <v>0</v>
      </c>
      <c r="AL659" s="115" t="b">
        <f t="shared" ca="1" si="553"/>
        <v>1</v>
      </c>
      <c r="AM659" s="115">
        <f t="shared" ca="1" si="554"/>
        <v>3</v>
      </c>
      <c r="AN659" s="47">
        <f ca="1">IF(AK659,('模拟-单技能数据'!$D$21+G659*'模拟-单技能数据'!$F$21)*(1+J659)*(1+'模拟-单技能数据'!$J$21)*(1+U659),0)</f>
        <v>0</v>
      </c>
      <c r="AO659" s="61">
        <f ca="1">IF(AN659&gt;0,M659-'模拟-单技能数据'!$K$10,AO658)</f>
        <v>0.42185145527300216</v>
      </c>
      <c r="AP659" s="61">
        <f ca="1">IF(AN659&gt;0,I659-'模拟-单技能数据'!$L$10,AP658)</f>
        <v>2.162482885499879</v>
      </c>
      <c r="AQ659" s="63">
        <f t="shared" ca="1" si="573"/>
        <v>0.86032161992617329</v>
      </c>
      <c r="AR659" s="64">
        <f ca="1">IF(AL659,IF(AQ659&lt;$F$10,0,IF(AQ659&lt;$F$10+$F$11,0.25,IF(AQ659&lt;$F$10+$F$11+AO659,AP659,1)))*IF(AN659&gt;0,AN659,IF(AN658&gt;0,AN658,IF(AN657&gt;0,AN657,IF(AN656&gt;0,AN656,IF(AN655&gt;0,AN655,IF(AN654&gt;0,AN654,IF(AN653&gt;0,AN653,IF(AN652&gt;0,AN652,IF(AN651&gt;0,AN651,IF(AN649&gt;0,AN649,IF(AN648&gt;0,AN648,IF(AN647&gt;0,AN647,0)))))))))))),0)*(1-$S659)*'模拟-单技能数据'!$I$21</f>
        <v>11118.353508757338</v>
      </c>
      <c r="AS659" s="61">
        <f ca="1">IF(OR(C659="净世破魔击·日",C659="净世破魔击·月"),M659-'模拟-单技能数据'!$K$10,0)</f>
        <v>0</v>
      </c>
      <c r="AT659" s="61">
        <f ca="1">IF(OR(C659="净世破魔击·日",C659="净世破魔击·月"),I659-'模拟-单技能数据'!$L$10,0)</f>
        <v>0</v>
      </c>
      <c r="AU659" s="62">
        <f t="shared" ca="1" si="574"/>
        <v>8.6721206000360151E-2</v>
      </c>
      <c r="AV659" s="64">
        <f ca="1">IF(AS659&gt;0,('模拟-单技能数据'!$D$22+G659*'模拟-单技能数据'!$F$22)*(1+J659)*(1-S659)*IF(AU659&lt;$F$10,0,IF(AU659&lt;$F$10+$F$11,0.25,IF(AU659&lt;$F$10+$F$11+AS659,AT659,1)))*(1+U659),0)*'模拟-单技能数据'!$I$22</f>
        <v>0</v>
      </c>
      <c r="AW659" s="108">
        <f t="shared" ca="1" si="575"/>
        <v>15.387500000000003</v>
      </c>
      <c r="AX659" s="108" t="b">
        <f ca="1">AND(模拟模式!$P$10="有",AW658=0,RAND()&lt;IF(C659="净世破魔击·月",0.1*8/3,IF(C659="净世破魔击·日",0.1*4/3,0.1*2/3)))</f>
        <v>0</v>
      </c>
      <c r="AY659" s="47">
        <f ca="1">IF(AX659,(18+G659*0.722)*(1+J659)*(1-S659)*(1+$I$4)*IF(P659="会",'模拟-全程加成'!$J$3+'模拟-全程加成'!$J$4+'模拟-全程加成'!$J$5+('模拟-全程加成'!$I$4+'模拟-全程加成'!$I$5)/系数!$B$4+BG659*10%,IF(P659="命",1,IF(P659="识",0.25,0))),0)</f>
        <v>0</v>
      </c>
      <c r="AZ659" s="108">
        <f t="shared" si="576"/>
        <v>5.2400000000000064</v>
      </c>
      <c r="BA659" s="108" t="b">
        <f>AND(模拟模式!$Q$10="有",AZ658=0)</f>
        <v>0</v>
      </c>
      <c r="BB659" s="140">
        <f>IF(BA659,(0+G659*0.287)*(1+J659)*(1-S659)*(1+$I$4)*IF(P659="会",'模拟-全程加成'!$J$3+'模拟-全程加成'!$J$4+'模拟-全程加成'!$J$5+('模拟-全程加成'!$I$4+'模拟-全程加成'!$I$5)/系数!$B$4+BG659*10%,IF(P659="命",1,IF(P659="识",0.25,0))),0)</f>
        <v>0</v>
      </c>
      <c r="BC659" s="115" t="b">
        <f ca="1">AND(模拟模式!$R$7="伏明众生",E659=60,F659=20,DA659&lt;5,CZ658&lt;$F$4)</f>
        <v>0</v>
      </c>
      <c r="BD659" s="115">
        <f t="shared" ca="1" si="555"/>
        <v>0</v>
      </c>
      <c r="BE659" s="115" t="b">
        <f t="shared" ca="1" si="556"/>
        <v>0</v>
      </c>
      <c r="BF659" s="47">
        <f ca="1">IF(BC659,4*('模拟-单技能数据'!$D$24+G659*'模拟-单技能数据'!$F$24)*(1+J659)*(1+'模拟-单技能数据'!$J$24)*(1-S659)*(1+$I$3)*(('模拟-全程加成'!$J$3+'模拟-全程加成'!$J$4+'模拟-全程加成'!$J$5+('模拟-全程加成'!$I$4+'模拟-全程加成'!$I$5)/系数!$B$4+BG659*10%)*('模拟-全程加成'!$J$3+'模拟-全程加成'!$J$4+'模拟-全程加成'!$J$5+('模拟-全程加成'!$I$4+'模拟-全程加成'!$I$5)/系数!$B$4+BG659*10%)+(1-('模拟-全程加成'!$J$3+'模拟-全程加成'!$J$4+'模拟-全程加成'!$J$5+('模拟-全程加成'!$I$4+'模拟-全程加成'!$I$5)/系数!$B$4+BG659*10%)-$F$10-$F$11)+F645*0.25),0)*'模拟-单技能数据'!$I$24</f>
        <v>0</v>
      </c>
      <c r="BG659" s="115" t="b">
        <f ca="1">OR(AND(OR(C659="烈日斩",C659="银月斩"),模拟模式!$I$7="净身明礼"),AND(C659="净世破魔击·日",模拟模式!$J$7="洞若观火"),AND(C660="净世破魔击·月",模拟模式!$J$7="洞若观火"),AB659=1)</f>
        <v>1</v>
      </c>
      <c r="BH659" s="115" t="b">
        <f t="shared" ca="1" si="577"/>
        <v>0</v>
      </c>
      <c r="BI659" s="115">
        <f t="shared" ca="1" si="557"/>
        <v>0</v>
      </c>
      <c r="BJ659" s="115" t="b">
        <f t="shared" ca="1" si="558"/>
        <v>0</v>
      </c>
      <c r="BK659" s="115" t="b">
        <f ca="1">AND(C659="驱夜断愁",模拟模式!$P$7="天地诛戮")</f>
        <v>0</v>
      </c>
      <c r="BL659" s="57">
        <f t="shared" ca="1" si="559"/>
        <v>19.077500000000001</v>
      </c>
      <c r="BM659" s="115" t="b">
        <f t="shared" ca="1" si="560"/>
        <v>1</v>
      </c>
      <c r="BN659" s="115" t="b">
        <f ca="1">AND(OR(C659="赤日轮1",C659="赤日轮2",C659="赤日轮3",C659="幽月轮1",C659="幽月轮2",C659="幽月轮3"),AB659=1,模拟模式!$L$7="明光恒照")</f>
        <v>0</v>
      </c>
      <c r="BO659" s="117">
        <f t="shared" ca="1" si="561"/>
        <v>24.465000000000003</v>
      </c>
      <c r="BP659" s="115">
        <f t="shared" ca="1" si="578"/>
        <v>6</v>
      </c>
      <c r="BQ659" s="115" t="b">
        <f>模拟模式!$K$10="2600·水"</f>
        <v>0</v>
      </c>
      <c r="BR659" s="117">
        <f t="shared" si="579"/>
        <v>0</v>
      </c>
      <c r="BS659" s="115">
        <f t="shared" si="580"/>
        <v>0</v>
      </c>
      <c r="BT659" s="115">
        <f t="shared" ca="1" si="581"/>
        <v>0</v>
      </c>
      <c r="BU659" s="115" t="b">
        <f ca="1">AND(模拟模式!$K$10="2300·雷",BT658=0,RAND()&lt;IF(C659="净世破魔击·月",5*0.05*2/3,IF(C659="净世破魔击·日",3*0.05*2/3,0.05*2*2/3)))</f>
        <v>0</v>
      </c>
      <c r="BV659" s="115">
        <f t="shared" ca="1" si="582"/>
        <v>0</v>
      </c>
      <c r="BW659" s="115">
        <f t="shared" ca="1" si="583"/>
        <v>155.09249999999963</v>
      </c>
      <c r="BX659" s="164" t="b">
        <f t="shared" ca="1" si="584"/>
        <v>0</v>
      </c>
      <c r="BY659" s="115">
        <f t="shared" ca="1" si="585"/>
        <v>0</v>
      </c>
      <c r="BZ659" s="115">
        <f>IF(OR(模拟模式!$P$16="10人团",模拟模式!$P$16="25人团"),IF(B659/30&gt;CA658,1,0),0)</f>
        <v>0</v>
      </c>
      <c r="CA659" s="115">
        <f t="shared" si="562"/>
        <v>0</v>
      </c>
      <c r="CB659" s="115">
        <f ca="1">IF(BZ659=1,IF(模拟模式!$P$16="10人团",15,0)+IF(模拟模式!$P$16="25人团",IF(RAND()&lt;0.6,15,0)),MAX(0,CB658-$F$4))</f>
        <v>0</v>
      </c>
      <c r="CC659" s="115" t="b">
        <f t="shared" ca="1" si="563"/>
        <v>0</v>
      </c>
      <c r="CD659" s="115">
        <f>IF(模拟模式!$Q$16="1个",IF(B659/40&gt;CE658,1,0),0)</f>
        <v>0</v>
      </c>
      <c r="CE659" s="115">
        <f t="shared" si="564"/>
        <v>0</v>
      </c>
      <c r="CF659" s="115">
        <f>IF(OR(CD659=1,模拟模式!$Q$16="2个"),20,MAX(0,CF658-$F$4))</f>
        <v>0</v>
      </c>
      <c r="CG659" s="115" t="b">
        <f t="shared" si="565"/>
        <v>0</v>
      </c>
      <c r="CH659" s="115">
        <f t="shared" ca="1" si="586"/>
        <v>5.0925000000000118</v>
      </c>
      <c r="CI659" s="115" t="b">
        <f t="shared" ca="1" si="587"/>
        <v>0</v>
      </c>
      <c r="CJ659" s="119">
        <f t="shared" ca="1" si="588"/>
        <v>0</v>
      </c>
      <c r="CK659" s="115">
        <f t="shared" ca="1" si="589"/>
        <v>0</v>
      </c>
      <c r="CL659" s="115" t="b">
        <f ca="1">AND(模拟模式!$S$7="驱夷逐法",OR(AND(C659="净世破魔击·月",E658&gt;59),AND(C659="净世破魔击·日",F658&gt;59)))</f>
        <v>0</v>
      </c>
      <c r="CM659" s="115" t="b">
        <f ca="1">OR(CL659,AND(C659="净世破魔击·日",CL658,RAND()&lt;模拟模式!$U$23))</f>
        <v>0</v>
      </c>
      <c r="CN659" s="115" t="b">
        <f ca="1">IF(模拟模式!$M$7="辉耀红尘",AND(C659="净世破魔击·月",CL659,CV659=0,E658&lt;80),AND(C659="净世破魔击·月",CL659,E658&lt;100))</f>
        <v>0</v>
      </c>
      <c r="CO659" s="115" t="b">
        <f t="shared" ca="1" si="566"/>
        <v>0</v>
      </c>
      <c r="CP659" s="115" t="b">
        <f ca="1">AND(模拟模式!$O$7="用晦而明",OR(C659="净世破魔击·日",C659="净世破魔击·月",C659="驱夜断愁"),AB659)</f>
        <v>0</v>
      </c>
      <c r="CQ659" s="115" t="b">
        <f ca="1">OR(CP659,AND(CP658,RAND()&lt;模拟模式!$U$23))</f>
        <v>1</v>
      </c>
      <c r="CR659" s="115" t="b">
        <f ca="1">AND(模拟模式!$S$7="日月齐光",OR(C659="幽月轮1",C659="幽月轮2",C659="幽月轮3",CR658),NOT(OR(C659="赤日轮1",C659="赤日轮2",C659="赤日轮3")))</f>
        <v>0</v>
      </c>
      <c r="CS659" s="115" t="b">
        <f ca="1">AND(模拟模式!$S$7="日月齐光",OR(C659="赤日轮1",C659="赤日轮2",C659="赤日轮3",CS658),NOT(OR(C659="幽月轮1",C659="幽月轮2",C659="幽月轮3")))</f>
        <v>0</v>
      </c>
      <c r="CT659" s="115">
        <f t="shared" ca="1" si="590"/>
        <v>0</v>
      </c>
      <c r="CU659" s="115" t="b">
        <f ca="1">AND(模拟模式!$K$10="阴阳往极",CT658=0,RAND()&lt;IF(C659="净世破魔击·月",0.0275*7/3,IF(C659="净世破魔击·日",0.0275*3/3,0.0275*2/3)))</f>
        <v>0</v>
      </c>
      <c r="CV659" s="115">
        <f t="shared" ca="1" si="591"/>
        <v>0</v>
      </c>
      <c r="CW659" s="115">
        <f t="shared" ca="1" si="592"/>
        <v>6</v>
      </c>
      <c r="CX659" s="115">
        <f t="shared" ca="1" si="593"/>
        <v>4.1549999999999994</v>
      </c>
      <c r="CY659" s="115">
        <f ca="1">MAX(IF($C659="驱夜断愁",IF(模拟模式!$R$7="万念俱寂",6,45),CY658-$F$4),0)</f>
        <v>5.0774999999999997</v>
      </c>
      <c r="CZ659" s="115">
        <f t="shared" ca="1" si="567"/>
        <v>0</v>
      </c>
      <c r="DA659" s="115">
        <f ca="1">IF(模拟模式!$N$7="日月同辉",IF(DB658=2,0,MIN(6,IF(AND(OR(C659="赤日轮1",C659="赤日轮2",C659="赤日轮3",C659="幽月轮1",C659="幽月轮2",C659="幽月轮3"),AB659=1),DA658+1,DA658))),0)</f>
        <v>0</v>
      </c>
      <c r="DB659" s="115">
        <f t="shared" ca="1" si="568"/>
        <v>0</v>
      </c>
      <c r="DC659" s="115"/>
      <c r="DD659" s="115"/>
      <c r="DE659" s="115"/>
      <c r="DF659" s="115"/>
      <c r="DG659" s="115"/>
      <c r="DH659" s="115"/>
      <c r="DI659" s="115"/>
      <c r="DJ659" s="115"/>
      <c r="DK659" s="115"/>
      <c r="DL659" s="115"/>
      <c r="DM659" s="115"/>
    </row>
    <row r="660" spans="2:117" x14ac:dyDescent="0.2">
      <c r="B660" s="117">
        <f t="shared" si="569"/>
        <v>583.94250000000659</v>
      </c>
      <c r="C660" s="167" t="str">
        <f t="shared" ca="1" si="538"/>
        <v>幽月轮1</v>
      </c>
      <c r="D660" s="115">
        <f ca="1">IF(C660="赤日轮1",1,IF(C660="赤日轮2",2,IF(C660="赤日轮3",3,IF(C660="幽月轮1",4,IF(C660="幽月轮2",5,IF(C660="幽月轮3",6,IF(C660="烈日斩",7,IF(C660="银月斩",8,IF(C660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660="净世破魔击·月",17,IF(C660="驱夜断愁",18,0)))))))))))</f>
        <v>4</v>
      </c>
      <c r="E660" s="115">
        <f ca="1">IF(AND(CU660,OR(C660="幽月轮1",C660="幽月轮2",C660="幽月轮3",C660="银月斩",C660="驱夜断愁",C660="净世破魔击·月")),100,MIN(IF(OR(CN660,BE660),0,IF(OR($C660="赤日轮1",$C660="赤日轮2",$C660="赤日轮3"),E659+20+IF(模拟模式!$I$7="日月凌天",4,0)+IF(CR659,20,0),IF($C660="烈日斩",E659+40,IF($C660="驱夜断愁",IF(模拟模式!$R$7="万念俱寂",E659+20,E659+60),IF($C660="净世破魔击·月",IF(OR(DB659&gt;0,CV659&gt;0),100,IF(模拟模式!$M$7="辉耀红尘",E659+20,E659)),IF($C660="净世破魔击·日",E659-100,E659)))))),100))</f>
        <v>80</v>
      </c>
      <c r="F660" s="115">
        <f ca="1">IF(AND(CU660,OR(C660="赤日轮1",C660="赤日轮2",C660="赤日轮3",C660="烈日斩",C660="净世破魔击·日")),100,MIN(IF(CO660,0,IF(OR($C660="幽月轮1",$C660="幽月轮2",$C660="幽月轮3"),F659+20+IF(模拟模式!$I$7="日月凌天",4,0)+IF(CS659,20,0),IF($C660="银月斩",F659+40+IF(模拟模式!$X$12=1,5,0),IF($C660="驱夜断愁",IF(模拟模式!$R$7="万念俱寂",F659+20,F659+60),IF($C660="净世破魔击·月",IF(模拟模式!$M$7="辉耀红尘",F659-80,F659-100),IF(AND(C660="净世破魔击·日",OR(DB659&gt;0,CV659&gt;0)),100,F659)))))),100))</f>
        <v>100</v>
      </c>
      <c r="G660" s="117">
        <f ca="1">('模拟-全程加成'!$E$3+'模拟-全程加成'!$E$4+'模拟-全程加成'!$E$5+('模拟-全程加成'!$C$6-'模拟-全程加成'!$C$3)*系数!$B$9+BS660*23)*(1+'模拟-全程加成'!$F$4+'模拟-全程加成'!$F$5+BJ660*10%+BM660*20%+BP660*4%+CG660*30%)+$F$7*系数!$B$12</f>
        <v>20583.127400000001</v>
      </c>
      <c r="H660" s="45">
        <f ca="1">'模拟-全程加成'!$H$3+'模拟-全程加成'!$H$4+'模拟-全程加成'!$H$5+('模拟-全程加成'!$G$4+'模拟-全程加成'!$G$5+('模拟-全程加成'!$C$6-'模拟-全程加成'!$C$3)*系数!$B$13)/系数!$B$3+LOOKUP(D660,'模拟-单技能数据'!$A$2:$A$19,'模拟-单技能数据'!$K$2:$K$19)+BG660*10%+IF(BV660&gt;0,378,0)</f>
        <v>0.51185145527300213</v>
      </c>
      <c r="I660" s="45">
        <f ca="1">'模拟-全程加成'!$J$3+'模拟-全程加成'!$J$4+'模拟-全程加成'!$J$5+('模拟-全程加成'!$I$4+'模拟-全程加成'!$I$5)/系数!$B$4+LOOKUP(D660,'模拟-单技能数据'!$A$2:$A$19,'模拟-单技能数据'!$L$2:$L$19)+BG660*10%</f>
        <v>2.162482885499879</v>
      </c>
      <c r="J660" s="45">
        <f ca="1">(('模拟-全程加成'!$K$3+'模拟-全程加成'!$K$4+'模拟-全程加成'!$K$5+('模拟-全程加成'!$C$6-'模拟-全程加成'!$C$3)*系数!$B$10+IF(BV660&gt;0,882,0)+IF(BY660&gt;0,1831,0))*(1+'模拟-全程加成'!$L$4+'模拟-全程加成'!$L$5+CC660*20%))/系数!$B$5</f>
        <v>0.69723220422048726</v>
      </c>
      <c r="K660" s="119">
        <f ca="1">LOOKUP(D660,'模拟-单技能数据'!$A$2:$A$19,'模拟-单技能数据'!$J$2:$J$19)+IF(CM660,60%,0)+IF(DB659-DB660&gt;0,30%,0)+IF(OR(AND(OR(C660="赤日轮1",C660="赤日轮2",C660="赤日轮3"),CR660),AND(OR(C660="幽月轮1",C660="幽月轮2",C660="幽月轮3"),CS660)),35%,0)+CJ660</f>
        <v>7.0000000000000007E-2</v>
      </c>
      <c r="L660" s="119">
        <f ca="1">IF(AND(C660="烈日斩",模拟模式!$X$11=1),10%,0)+IF(AND(C660="驱夜断愁",AB660=1),30%,0)</f>
        <v>0</v>
      </c>
      <c r="M660" s="45">
        <f t="shared" ca="1" si="539"/>
        <v>0.51185145527300213</v>
      </c>
      <c r="N660" s="45">
        <f t="shared" ca="1" si="540"/>
        <v>0.43424854472699792</v>
      </c>
      <c r="O660" s="46">
        <f t="shared" ca="1" si="570"/>
        <v>0.1461738758543345</v>
      </c>
      <c r="P660" s="46" t="str">
        <f t="shared" ca="1" si="541"/>
        <v>会</v>
      </c>
      <c r="Q660" s="45">
        <f t="shared" ca="1" si="542"/>
        <v>2.162482885499879</v>
      </c>
      <c r="R660" s="117">
        <f ca="1">模拟模式!$E$20*(1-IF(模拟模式!$J$19="有",0.15,0))*(1-IF(模拟模式!$K$19="有",0.3,0)-IF(CQ660,0.5,0))</f>
        <v>2950.6049999999996</v>
      </c>
      <c r="S660" s="45">
        <f ca="1">R660/(R660+(185*模拟模式!$E$22-16800)*4.08224)</f>
        <v>0.24272716014590323</v>
      </c>
      <c r="T660" s="45" t="str">
        <f ca="1">LOOKUP(D660,'模拟-单技能数据'!$A$2:$A$19,'模拟-单技能数据'!$H$2:$H$19)</f>
        <v>阴</v>
      </c>
      <c r="U660" s="119">
        <f t="shared" ca="1" si="543"/>
        <v>0.08</v>
      </c>
      <c r="V660" s="47">
        <f ca="1">(1+L660)*(LOOKUP(D660,'模拟-单技能数据'!$A$2:$A$19,'模拟-单技能数据'!$D$2:$D$19)+G660*LOOKUP(D660,'模拟-单技能数据'!$A$2:$A$19,'模拟-单技能数据'!$F$2:$F$19))*(1+J660)*(1+K660)*(1-S660)*(1+U660)*Q660*LOOKUP(D660,'模拟-单技能数据'!$A$2:$A$19,'模拟-单技能数据'!$I$2:$I$20)</f>
        <v>35088.919370823241</v>
      </c>
      <c r="W660" s="47">
        <f ca="1">LOOKUP(D660,'模拟-单技能数据'!$A$2:$A$19,'模拟-单技能数据'!$G$2:$G$19)*$I$10</f>
        <v>361.51064354704795</v>
      </c>
      <c r="X660" s="47">
        <f t="shared" ca="1" si="571"/>
        <v>7620.5875385322679</v>
      </c>
      <c r="Y660" s="47">
        <f t="shared" ca="1" si="544"/>
        <v>43071.017552902551</v>
      </c>
      <c r="Z660" s="49">
        <f t="shared" ca="1" si="545"/>
        <v>66406152.145596452</v>
      </c>
      <c r="AA660" s="97">
        <f t="shared" ca="1" si="546"/>
        <v>113720.36141502923</v>
      </c>
      <c r="AB660" s="115">
        <f ca="1">IF(OR(C660="赤日轮1",C660="赤日轮2",C660="赤日轮3"),IF(RAND()&lt;模拟模式!$Y$17,1,0),IF(OR(C660="幽月轮1",C660="幽月轮2",C660="幽月轮3"),IF(RAND()&lt;模拟模式!$Y$18,1,0),IF(C660="烈日斩",IF(RAND()&lt;模拟模式!$Y$19,1,0),IF(C660="银月斩",IF(RAND()&lt;模拟模式!$Y$20,1,0),IF(C660="驱夜断愁",IF(RAND()&lt;模拟模式!$Y$21,1,0),IF(C660="净世破魔击·日",IF(RAND()&lt;模拟模式!$Y$22,1,0),IF(C660="净世破魔击·月",IF(RAND()&lt;模拟模式!$Y$23,1,0),0)))))))</f>
        <v>1</v>
      </c>
      <c r="AC660" s="115" t="b">
        <f t="shared" ca="1" si="547"/>
        <v>0</v>
      </c>
      <c r="AD660" s="115" t="b">
        <f t="shared" ca="1" si="548"/>
        <v>1</v>
      </c>
      <c r="AE660" s="115">
        <f t="shared" ca="1" si="549"/>
        <v>4</v>
      </c>
      <c r="AF660" s="47">
        <f ca="1">IF(AC660,('模拟-单技能数据'!$D$20+G660*'模拟-单技能数据'!$F$20)*(1+J660)*(1+'模拟-单技能数据'!$J$20)*(1+U660),0)</f>
        <v>0</v>
      </c>
      <c r="AG660" s="61">
        <f t="shared" ca="1" si="550"/>
        <v>0.64185145527300214</v>
      </c>
      <c r="AH660" s="61">
        <f t="shared" ca="1" si="551"/>
        <v>2.2624828854998791</v>
      </c>
      <c r="AI660" s="62">
        <f t="shared" ca="1" si="572"/>
        <v>0.4283441612406117</v>
      </c>
      <c r="AJ660" s="47">
        <f ca="1">IF(AD660,IF(AI660&lt;$F$10,0,IF(AI660&lt;$F$10+$F$11,0.25,IF(AI660&lt;$F$10+$F$11+AG660,AH660,1)))*IF(AF660&gt;0,AF660,IF(AF659&gt;0,AF659,IF(AF658&gt;0,AF658,IF(AF657&gt;0,AF657,IF(AF656&gt;0,AF656,IF(AF655&gt;0,AF655,IF(AF654&gt;0,AF654,IF(AF653&gt;0,AF653,IF(AF652&gt;0,AF652,IF(AF650&gt;0,AF650,IF(AF649&gt;0,AF649,IF(AF648&gt;0,AF648,0)))))))))))),0)*(1-$S660)*'模拟-单技能数据'!$I$20</f>
        <v>7620.5875385322679</v>
      </c>
      <c r="AK660" s="115" t="b">
        <f t="shared" ca="1" si="552"/>
        <v>0</v>
      </c>
      <c r="AL660" s="115" t="b">
        <f t="shared" ca="1" si="553"/>
        <v>0</v>
      </c>
      <c r="AM660" s="115">
        <f t="shared" ca="1" si="554"/>
        <v>3</v>
      </c>
      <c r="AN660" s="47">
        <f ca="1">IF(AK660,('模拟-单技能数据'!$D$21+G660*'模拟-单技能数据'!$F$21)*(1+J660)*(1+'模拟-单技能数据'!$J$21)*(1+U660),0)</f>
        <v>0</v>
      </c>
      <c r="AO660" s="61">
        <f ca="1">IF(AN660&gt;0,M660-'模拟-单技能数据'!$K$10,AO659)</f>
        <v>0.42185145527300216</v>
      </c>
      <c r="AP660" s="61">
        <f ca="1">IF(AN660&gt;0,I660-'模拟-单技能数据'!$L$10,AP659)</f>
        <v>2.162482885499879</v>
      </c>
      <c r="AQ660" s="63">
        <f t="shared" ca="1" si="573"/>
        <v>2.4970861268188704E-2</v>
      </c>
      <c r="AR660" s="64">
        <f ca="1">IF(AL660,IF(AQ660&lt;$F$10,0,IF(AQ660&lt;$F$10+$F$11,0.25,IF(AQ660&lt;$F$10+$F$11+AO660,AP660,1)))*IF(AN660&gt;0,AN660,IF(AN659&gt;0,AN659,IF(AN658&gt;0,AN658,IF(AN657&gt;0,AN657,IF(AN656&gt;0,AN656,IF(AN655&gt;0,AN655,IF(AN654&gt;0,AN654,IF(AN653&gt;0,AN653,IF(AN652&gt;0,AN652,IF(AN650&gt;0,AN650,IF(AN649&gt;0,AN649,IF(AN648&gt;0,AN648,0)))))))))))),0)*(1-$S660)*'模拟-单技能数据'!$I$21</f>
        <v>0</v>
      </c>
      <c r="AS660" s="61">
        <f ca="1">IF(OR(C660="净世破魔击·日",C660="净世破魔击·月"),M660-'模拟-单技能数据'!$K$10,0)</f>
        <v>0</v>
      </c>
      <c r="AT660" s="61">
        <f ca="1">IF(OR(C660="净世破魔击·日",C660="净世破魔击·月"),I660-'模拟-单技能数据'!$L$10,0)</f>
        <v>0</v>
      </c>
      <c r="AU660" s="62">
        <f t="shared" ca="1" si="574"/>
        <v>0.38610027194079743</v>
      </c>
      <c r="AV660" s="64">
        <f ca="1">IF(AS660&gt;0,('模拟-单技能数据'!$D$22+G660*'模拟-单技能数据'!$F$22)*(1+J660)*(1-S660)*IF(AU660&lt;$F$10,0,IF(AU660&lt;$F$10+$F$11,0.25,IF(AU660&lt;$F$10+$F$11+AS660,AT660,1)))*(1+U660),0)*'模拟-单技能数据'!$I$22</f>
        <v>0</v>
      </c>
      <c r="AW660" s="108">
        <f t="shared" ca="1" si="575"/>
        <v>14.465000000000003</v>
      </c>
      <c r="AX660" s="108" t="b">
        <f ca="1">AND(模拟模式!$P$10="有",AW659=0,RAND()&lt;IF(C660="净世破魔击·月",0.1*8/3,IF(C660="净世破魔击·日",0.1*4/3,0.1*2/3)))</f>
        <v>0</v>
      </c>
      <c r="AY660" s="47">
        <f ca="1">IF(AX660,(18+G660*0.722)*(1+J660)*(1-S660)*(1+$I$4)*IF(P660="会",'模拟-全程加成'!$J$3+'模拟-全程加成'!$J$4+'模拟-全程加成'!$J$5+('模拟-全程加成'!$I$4+'模拟-全程加成'!$I$5)/系数!$B$4+BG660*10%,IF(P660="命",1,IF(P660="识",0.25,0))),0)</f>
        <v>0</v>
      </c>
      <c r="AZ660" s="108">
        <f t="shared" si="576"/>
        <v>4.3175000000000061</v>
      </c>
      <c r="BA660" s="108" t="b">
        <f>AND(模拟模式!$Q$10="有",AZ659=0)</f>
        <v>0</v>
      </c>
      <c r="BB660" s="140">
        <f>IF(BA660,(0+G660*0.287)*(1+J660)*(1-S660)*(1+$I$4)*IF(P660="会",'模拟-全程加成'!$J$3+'模拟-全程加成'!$J$4+'模拟-全程加成'!$J$5+('模拟-全程加成'!$I$4+'模拟-全程加成'!$I$5)/系数!$B$4+BG660*10%,IF(P660="命",1,IF(P660="识",0.25,0))),0)</f>
        <v>0</v>
      </c>
      <c r="BC660" s="115" t="b">
        <f ca="1">AND(模拟模式!$R$7="伏明众生",E660=60,F660=20,DA660&lt;5,CZ659&lt;$F$4)</f>
        <v>0</v>
      </c>
      <c r="BD660" s="115">
        <f t="shared" ca="1" si="555"/>
        <v>0</v>
      </c>
      <c r="BE660" s="115" t="b">
        <f t="shared" ca="1" si="556"/>
        <v>0</v>
      </c>
      <c r="BF660" s="47">
        <f ca="1">IF(BC660,4*('模拟-单技能数据'!$D$24+G660*'模拟-单技能数据'!$F$24)*(1+J660)*(1+'模拟-单技能数据'!$J$24)*(1-S660)*(1+$I$3)*(('模拟-全程加成'!$J$3+'模拟-全程加成'!$J$4+'模拟-全程加成'!$J$5+('模拟-全程加成'!$I$4+'模拟-全程加成'!$I$5)/系数!$B$4+BG660*10%)*('模拟-全程加成'!$J$3+'模拟-全程加成'!$J$4+'模拟-全程加成'!$J$5+('模拟-全程加成'!$I$4+'模拟-全程加成'!$I$5)/系数!$B$4+BG660*10%)+(1-('模拟-全程加成'!$J$3+'模拟-全程加成'!$J$4+'模拟-全程加成'!$J$5+('模拟-全程加成'!$I$4+'模拟-全程加成'!$I$5)/系数!$B$4+BG660*10%)-$F$10-$F$11)+F646*0.25),0)*'模拟-单技能数据'!$I$24</f>
        <v>0</v>
      </c>
      <c r="BG660" s="115" t="b">
        <f ca="1">OR(AND(OR(C660="烈日斩",C660="银月斩"),模拟模式!$I$7="净身明礼"),AND(C660="净世破魔击·日",模拟模式!$J$7="洞若观火"),AND(C661="净世破魔击·月",模拟模式!$J$7="洞若观火"),AB660=1)</f>
        <v>1</v>
      </c>
      <c r="BH660" s="115" t="b">
        <f t="shared" ca="1" si="577"/>
        <v>0</v>
      </c>
      <c r="BI660" s="115">
        <f t="shared" ca="1" si="557"/>
        <v>0</v>
      </c>
      <c r="BJ660" s="115" t="b">
        <f t="shared" ca="1" si="558"/>
        <v>0</v>
      </c>
      <c r="BK660" s="115" t="b">
        <f ca="1">AND(C660="驱夜断愁",模拟模式!$P$7="天地诛戮")</f>
        <v>0</v>
      </c>
      <c r="BL660" s="57">
        <f t="shared" ca="1" si="559"/>
        <v>18.155000000000001</v>
      </c>
      <c r="BM660" s="115" t="b">
        <f t="shared" ca="1" si="560"/>
        <v>1</v>
      </c>
      <c r="BN660" s="115" t="b">
        <f ca="1">AND(OR(C660="赤日轮1",C660="赤日轮2",C660="赤日轮3",C660="幽月轮1",C660="幽月轮2",C660="幽月轮3"),AB660=1,模拟模式!$L$7="明光恒照")</f>
        <v>1</v>
      </c>
      <c r="BO660" s="117">
        <f t="shared" ca="1" si="561"/>
        <v>30</v>
      </c>
      <c r="BP660" s="115">
        <f t="shared" ca="1" si="578"/>
        <v>6</v>
      </c>
      <c r="BQ660" s="115" t="b">
        <f>模拟模式!$K$10="2600·水"</f>
        <v>0</v>
      </c>
      <c r="BR660" s="117">
        <f t="shared" si="579"/>
        <v>0</v>
      </c>
      <c r="BS660" s="115">
        <f t="shared" si="580"/>
        <v>0</v>
      </c>
      <c r="BT660" s="115">
        <f t="shared" ca="1" si="581"/>
        <v>0</v>
      </c>
      <c r="BU660" s="115" t="b">
        <f ca="1">AND(模拟模式!$K$10="2300·雷",BT659=0,RAND()&lt;IF(C660="净世破魔击·月",5*0.05*2/3,IF(C660="净世破魔击·日",3*0.05*2/3,0.05*2*2/3)))</f>
        <v>0</v>
      </c>
      <c r="BV660" s="115">
        <f t="shared" ca="1" si="582"/>
        <v>0</v>
      </c>
      <c r="BW660" s="115">
        <f t="shared" ca="1" si="583"/>
        <v>154.16999999999962</v>
      </c>
      <c r="BX660" s="164" t="b">
        <f t="shared" ca="1" si="584"/>
        <v>0</v>
      </c>
      <c r="BY660" s="115">
        <f t="shared" ca="1" si="585"/>
        <v>0</v>
      </c>
      <c r="BZ660" s="115">
        <f>IF(OR(模拟模式!$P$16="10人团",模拟模式!$P$16="25人团"),IF(B660/30&gt;CA659,1,0),0)</f>
        <v>0</v>
      </c>
      <c r="CA660" s="115">
        <f t="shared" si="562"/>
        <v>0</v>
      </c>
      <c r="CB660" s="115">
        <f ca="1">IF(BZ660=1,IF(模拟模式!$P$16="10人团",15,0)+IF(模拟模式!$P$16="25人团",IF(RAND()&lt;0.6,15,0)),MAX(0,CB659-$F$4))</f>
        <v>0</v>
      </c>
      <c r="CC660" s="115" t="b">
        <f t="shared" ca="1" si="563"/>
        <v>0</v>
      </c>
      <c r="CD660" s="115">
        <f>IF(模拟模式!$Q$16="1个",IF(B660/40&gt;CE659,1,0),0)</f>
        <v>0</v>
      </c>
      <c r="CE660" s="115">
        <f t="shared" si="564"/>
        <v>0</v>
      </c>
      <c r="CF660" s="115">
        <f>IF(OR(CD660=1,模拟模式!$Q$16="2个"),20,MAX(0,CF659-$F$4))</f>
        <v>0</v>
      </c>
      <c r="CG660" s="115" t="b">
        <f t="shared" si="565"/>
        <v>0</v>
      </c>
      <c r="CH660" s="115">
        <f t="shared" ca="1" si="586"/>
        <v>4.1700000000000115</v>
      </c>
      <c r="CI660" s="115" t="b">
        <f t="shared" ca="1" si="587"/>
        <v>0</v>
      </c>
      <c r="CJ660" s="119">
        <f t="shared" ca="1" si="588"/>
        <v>0</v>
      </c>
      <c r="CK660" s="115">
        <f t="shared" ca="1" si="589"/>
        <v>0</v>
      </c>
      <c r="CL660" s="115" t="b">
        <f ca="1">AND(模拟模式!$S$7="驱夷逐法",OR(AND(C660="净世破魔击·月",E659&gt;59),AND(C660="净世破魔击·日",F659&gt;59)))</f>
        <v>0</v>
      </c>
      <c r="CM660" s="115" t="b">
        <f ca="1">OR(CL660,AND(C660="净世破魔击·日",CL659,RAND()&lt;模拟模式!$U$23))</f>
        <v>0</v>
      </c>
      <c r="CN660" s="115" t="b">
        <f ca="1">IF(模拟模式!$M$7="辉耀红尘",AND(C660="净世破魔击·月",CL660,CV660=0,E659&lt;80),AND(C660="净世破魔击·月",CL660,E659&lt;100))</f>
        <v>0</v>
      </c>
      <c r="CO660" s="115" t="b">
        <f t="shared" ca="1" si="566"/>
        <v>0</v>
      </c>
      <c r="CP660" s="115" t="b">
        <f ca="1">AND(模拟模式!$O$7="用晦而明",OR(C660="净世破魔击·日",C660="净世破魔击·月",C660="驱夜断愁"),AB660)</f>
        <v>0</v>
      </c>
      <c r="CQ660" s="115" t="b">
        <f ca="1">OR(CP660,AND(CP659,RAND()&lt;模拟模式!$U$23))</f>
        <v>0</v>
      </c>
      <c r="CR660" s="115" t="b">
        <f ca="1">AND(模拟模式!$S$7="日月齐光",OR(C660="幽月轮1",C660="幽月轮2",C660="幽月轮3",CR659),NOT(OR(C660="赤日轮1",C660="赤日轮2",C660="赤日轮3")))</f>
        <v>0</v>
      </c>
      <c r="CS660" s="115" t="b">
        <f ca="1">AND(模拟模式!$S$7="日月齐光",OR(C660="赤日轮1",C660="赤日轮2",C660="赤日轮3",CS659),NOT(OR(C660="幽月轮1",C660="幽月轮2",C660="幽月轮3")))</f>
        <v>0</v>
      </c>
      <c r="CT660" s="115">
        <f t="shared" ca="1" si="590"/>
        <v>0</v>
      </c>
      <c r="CU660" s="115" t="b">
        <f ca="1">AND(模拟模式!$K$10="阴阳往极",CT659=0,RAND()&lt;IF(C660="净世破魔击·月",0.0275*7/3,IF(C660="净世破魔击·日",0.0275*3/3,0.0275*2/3)))</f>
        <v>0</v>
      </c>
      <c r="CV660" s="115">
        <f t="shared" ca="1" si="591"/>
        <v>0</v>
      </c>
      <c r="CW660" s="115">
        <f t="shared" ca="1" si="592"/>
        <v>5.0774999999999997</v>
      </c>
      <c r="CX660" s="115">
        <f t="shared" ca="1" si="593"/>
        <v>3.2324999999999995</v>
      </c>
      <c r="CY660" s="115">
        <f ca="1">MAX(IF($C660="驱夜断愁",IF(模拟模式!$R$7="万念俱寂",6,45),CY659-$F$4),0)</f>
        <v>4.1549999999999994</v>
      </c>
      <c r="CZ660" s="115">
        <f t="shared" ca="1" si="567"/>
        <v>0</v>
      </c>
      <c r="DA660" s="115">
        <f ca="1">IF(模拟模式!$N$7="日月同辉",IF(DB659=2,0,MIN(6,IF(AND(OR(C660="赤日轮1",C660="赤日轮2",C660="赤日轮3",C660="幽月轮1",C660="幽月轮2",C660="幽月轮3"),AB660=1),DA659+1,DA659))),0)</f>
        <v>1</v>
      </c>
      <c r="DB660" s="115">
        <f t="shared" ca="1" si="568"/>
        <v>0</v>
      </c>
      <c r="DC660" s="115"/>
      <c r="DD660" s="115"/>
      <c r="DE660" s="115"/>
      <c r="DF660" s="115"/>
      <c r="DG660" s="115"/>
      <c r="DH660" s="115"/>
      <c r="DI660" s="115"/>
      <c r="DJ660" s="115"/>
      <c r="DK660" s="115"/>
      <c r="DL660" s="115"/>
      <c r="DM660" s="115"/>
    </row>
    <row r="661" spans="2:117" x14ac:dyDescent="0.2">
      <c r="B661" s="117">
        <f t="shared" si="569"/>
        <v>584.8650000000066</v>
      </c>
      <c r="C661" s="167" t="str">
        <f t="shared" ca="1" si="538"/>
        <v>净世破魔击·月</v>
      </c>
      <c r="D661" s="115">
        <f ca="1">IF(C661="赤日轮1",1,IF(C661="赤日轮2",2,IF(C661="赤日轮3",3,IF(C661="幽月轮1",4,IF(C661="幽月轮2",5,IF(C661="幽月轮3",6,IF(C661="烈日斩",7,IF(C661="银月斩",8,IF(C661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661="净世破魔击·月",17,IF(C661="驱夜断愁",18,0)))))))))))</f>
        <v>17</v>
      </c>
      <c r="E661" s="115">
        <f ca="1">IF(AND(CU661,OR(C661="幽月轮1",C661="幽月轮2",C661="幽月轮3",C661="银月斩",C661="驱夜断愁",C661="净世破魔击·月")),100,MIN(IF(OR(CN661,BE661),0,IF(OR($C661="赤日轮1",$C661="赤日轮2",$C661="赤日轮3"),E660+20+IF(模拟模式!$I$7="日月凌天",4,0)+IF(CR660,20,0),IF($C661="烈日斩",E660+40,IF($C661="驱夜断愁",IF(模拟模式!$R$7="万念俱寂",E660+20,E660+60),IF($C661="净世破魔击·月",IF(OR(DB660&gt;0,CV660&gt;0),100,IF(模拟模式!$M$7="辉耀红尘",E660+20,E660)),IF($C661="净世破魔击·日",E660-100,E660)))))),100))</f>
        <v>100</v>
      </c>
      <c r="F661" s="115">
        <f ca="1">IF(AND(CU661,OR(C661="赤日轮1",C661="赤日轮2",C661="赤日轮3",C661="烈日斩",C661="净世破魔击·日")),100,MIN(IF(CO661,0,IF(OR($C661="幽月轮1",$C661="幽月轮2",$C661="幽月轮3"),F660+20+IF(模拟模式!$I$7="日月凌天",4,0)+IF(CS660,20,0),IF($C661="银月斩",F660+40+IF(模拟模式!$X$12=1,5,0),IF($C661="驱夜断愁",IF(模拟模式!$R$7="万念俱寂",F660+20,F660+60),IF($C661="净世破魔击·月",IF(模拟模式!$M$7="辉耀红尘",F660-80,F660-100),IF(AND(C661="净世破魔击·日",OR(DB660&gt;0,CV660&gt;0)),100,F660)))))),100))</f>
        <v>20</v>
      </c>
      <c r="G661" s="117">
        <f ca="1">('模拟-全程加成'!$E$3+'模拟-全程加成'!$E$4+'模拟-全程加成'!$E$5+('模拟-全程加成'!$C$6-'模拟-全程加成'!$C$3)*系数!$B$9+BS661*23)*(1+'模拟-全程加成'!$F$4+'模拟-全程加成'!$F$5+BJ661*10%+BM661*20%+BP661*4%+CG661*30%)+$F$7*系数!$B$12</f>
        <v>20583.127400000001</v>
      </c>
      <c r="H661" s="45">
        <f ca="1">'模拟-全程加成'!$H$3+'模拟-全程加成'!$H$4+'模拟-全程加成'!$H$5+('模拟-全程加成'!$G$4+'模拟-全程加成'!$G$5+('模拟-全程加成'!$C$6-'模拟-全程加成'!$C$3)*系数!$B$13)/系数!$B$3+LOOKUP(D661,'模拟-单技能数据'!$A$2:$A$19,'模拟-单技能数据'!$K$2:$K$19)+BG661*10%+IF(BV661&gt;0,378,0)</f>
        <v>0.54185145527300216</v>
      </c>
      <c r="I661" s="45">
        <f ca="1">'模拟-全程加成'!$J$3+'模拟-全程加成'!$J$4+'模拟-全程加成'!$J$5+('模拟-全程加成'!$I$4+'模拟-全程加成'!$I$5)/系数!$B$4+LOOKUP(D661,'模拟-单技能数据'!$A$2:$A$19,'模拟-单技能数据'!$L$2:$L$19)+BG661*10%</f>
        <v>2.162482885499879</v>
      </c>
      <c r="J661" s="45">
        <f ca="1">(('模拟-全程加成'!$K$3+'模拟-全程加成'!$K$4+'模拟-全程加成'!$K$5+('模拟-全程加成'!$C$6-'模拟-全程加成'!$C$3)*系数!$B$10+IF(BV661&gt;0,882,0)+IF(BY661&gt;0,1831,0))*(1+'模拟-全程加成'!$L$4+'模拟-全程加成'!$L$5+CC661*20%))/系数!$B$5</f>
        <v>0.69723220422048726</v>
      </c>
      <c r="K661" s="119">
        <f ca="1">LOOKUP(D661,'模拟-单技能数据'!$A$2:$A$19,'模拟-单技能数据'!$J$2:$J$19)+IF(CM661,60%,0)+IF(DB660-DB661&gt;0,30%,0)+IF(OR(AND(OR(C661="赤日轮1",C661="赤日轮2",C661="赤日轮3"),CR661),AND(OR(C661="幽月轮1",C661="幽月轮2",C661="幽月轮3"),CS661)),35%,0)+CJ661</f>
        <v>0.8</v>
      </c>
      <c r="L661" s="119">
        <f ca="1">IF(AND(C661="烈日斩",模拟模式!$X$11=1),10%,0)+IF(AND(C661="驱夜断愁",AB661=1),30%,0)</f>
        <v>0</v>
      </c>
      <c r="M661" s="45">
        <f t="shared" ca="1" si="539"/>
        <v>0.54185145527300216</v>
      </c>
      <c r="N661" s="45">
        <f t="shared" ca="1" si="540"/>
        <v>0.40424854472699789</v>
      </c>
      <c r="O661" s="46">
        <f t="shared" ca="1" si="570"/>
        <v>0.42421110468335577</v>
      </c>
      <c r="P661" s="46" t="str">
        <f t="shared" ca="1" si="541"/>
        <v>会</v>
      </c>
      <c r="Q661" s="45">
        <f t="shared" ca="1" si="542"/>
        <v>2.162482885499879</v>
      </c>
      <c r="R661" s="117">
        <f ca="1">模拟模式!$E$20*(1-IF(模拟模式!$J$19="有",0.15,0))*(1-IF(模拟模式!$K$19="有",0.3,0)-IF(CQ661,0.5,0))</f>
        <v>843.02999999999975</v>
      </c>
      <c r="S661" s="45">
        <f ca="1">R661/(R661+(185*模拟模式!$E$22-16800)*4.08224)</f>
        <v>8.389626085980037E-2</v>
      </c>
      <c r="T661" s="45" t="str">
        <f ca="1">LOOKUP(D661,'模拟-单技能数据'!$A$2:$A$19,'模拟-单技能数据'!$H$2:$H$19)</f>
        <v>阴</v>
      </c>
      <c r="U661" s="119">
        <f t="shared" ca="1" si="543"/>
        <v>0.08</v>
      </c>
      <c r="V661" s="47">
        <f ca="1">(1+L661)*(LOOKUP(D661,'模拟-单技能数据'!$A$2:$A$19,'模拟-单技能数据'!$D$2:$D$19)+G661*LOOKUP(D661,'模拟-单技能数据'!$A$2:$A$19,'模拟-单技能数据'!$F$2:$F$19))*(1+J661)*(1+K661)*(1-S661)*(1+U661)*Q661*LOOKUP(D661,'模拟-单技能数据'!$A$2:$A$19,'模拟-单技能数据'!$I$2:$I$20)</f>
        <v>174868.36016214982</v>
      </c>
      <c r="W661" s="47">
        <f ca="1">LOOKUP(D661,'模拟-单技能数据'!$A$2:$A$19,'模拟-单技能数据'!$G$2:$G$19)*$I$10</f>
        <v>361.51064354704795</v>
      </c>
      <c r="X661" s="47">
        <f t="shared" ca="1" si="571"/>
        <v>18757.805260862187</v>
      </c>
      <c r="Y661" s="47">
        <f t="shared" ca="1" si="544"/>
        <v>193987.67606655907</v>
      </c>
      <c r="Z661" s="49">
        <f t="shared" ca="1" si="545"/>
        <v>66600139.821663015</v>
      </c>
      <c r="AA661" s="97">
        <f t="shared" ca="1" si="546"/>
        <v>113872.67116627301</v>
      </c>
      <c r="AB661" s="115">
        <f ca="1">IF(OR(C661="赤日轮1",C661="赤日轮2",C661="赤日轮3"),IF(RAND()&lt;模拟模式!$Y$17,1,0),IF(OR(C661="幽月轮1",C661="幽月轮2",C661="幽月轮3"),IF(RAND()&lt;模拟模式!$Y$18,1,0),IF(C661="烈日斩",IF(RAND()&lt;模拟模式!$Y$19,1,0),IF(C661="银月斩",IF(RAND()&lt;模拟模式!$Y$20,1,0),IF(C661="驱夜断愁",IF(RAND()&lt;模拟模式!$Y$21,1,0),IF(C661="净世破魔击·日",IF(RAND()&lt;模拟模式!$Y$22,1,0),IF(C661="净世破魔击·月",IF(RAND()&lt;模拟模式!$Y$23,1,0),0)))))))</f>
        <v>1</v>
      </c>
      <c r="AC661" s="115" t="b">
        <f t="shared" ca="1" si="547"/>
        <v>0</v>
      </c>
      <c r="AD661" s="115" t="b">
        <f t="shared" ca="1" si="548"/>
        <v>0</v>
      </c>
      <c r="AE661" s="115">
        <f t="shared" ca="1" si="549"/>
        <v>4</v>
      </c>
      <c r="AF661" s="47">
        <f ca="1">IF(AC661,('模拟-单技能数据'!$D$20+G661*'模拟-单技能数据'!$F$20)*(1+J661)*(1+'模拟-单技能数据'!$J$20)*(1+U661),0)</f>
        <v>0</v>
      </c>
      <c r="AG661" s="61">
        <f t="shared" ca="1" si="550"/>
        <v>0.64185145527300214</v>
      </c>
      <c r="AH661" s="61">
        <f t="shared" ca="1" si="551"/>
        <v>2.2624828854998791</v>
      </c>
      <c r="AI661" s="62">
        <f t="shared" ca="1" si="572"/>
        <v>8.3011403424662844E-2</v>
      </c>
      <c r="AJ661" s="47">
        <f ca="1">IF(AD661,IF(AI661&lt;$F$10,0,IF(AI661&lt;$F$10+$F$11,0.25,IF(AI661&lt;$F$10+$F$11+AG661,AH661,1)))*IF(AF661&gt;0,AF661,IF(AF660&gt;0,AF660,IF(AF659&gt;0,AF659,IF(AF658&gt;0,AF658,IF(AF657&gt;0,AF657,IF(AF656&gt;0,AF656,IF(AF655&gt;0,AF655,IF(AF654&gt;0,AF654,IF(AF653&gt;0,AF653,IF(AF651&gt;0,AF651,IF(AF650&gt;0,AF650,IF(AF649&gt;0,AF649,0)))))))))))),0)*(1-$S661)*'模拟-单技能数据'!$I$20</f>
        <v>0</v>
      </c>
      <c r="AK661" s="115" t="b">
        <f t="shared" ca="1" si="552"/>
        <v>0</v>
      </c>
      <c r="AL661" s="115" t="b">
        <f t="shared" ca="1" si="553"/>
        <v>1</v>
      </c>
      <c r="AM661" s="115">
        <f t="shared" ca="1" si="554"/>
        <v>2</v>
      </c>
      <c r="AN661" s="47">
        <f ca="1">IF(AK661,('模拟-单技能数据'!$D$21+G661*'模拟-单技能数据'!$F$21)*(1+J661)*(1+'模拟-单技能数据'!$J$21)*(1+U661),0)</f>
        <v>0</v>
      </c>
      <c r="AO661" s="61">
        <f ca="1">IF(AN661&gt;0,M661-'模拟-单技能数据'!$K$10,AO660)</f>
        <v>0.42185145527300216</v>
      </c>
      <c r="AP661" s="61">
        <f ca="1">IF(AN661&gt;0,I661-'模拟-单技能数据'!$L$10,AP660)</f>
        <v>2.162482885499879</v>
      </c>
      <c r="AQ661" s="63">
        <f t="shared" ca="1" si="573"/>
        <v>0.97840384431602001</v>
      </c>
      <c r="AR661" s="64">
        <f ca="1">IF(AL661,IF(AQ661&lt;$F$10,0,IF(AQ661&lt;$F$10+$F$11,0.25,IF(AQ661&lt;$F$10+$F$11+AO661,AP661,1)))*IF(AN661&gt;0,AN661,IF(AN660&gt;0,AN660,IF(AN659&gt;0,AN659,IF(AN658&gt;0,AN658,IF(AN657&gt;0,AN657,IF(AN656&gt;0,AN656,IF(AN655&gt;0,AN655,IF(AN654&gt;0,AN654,IF(AN653&gt;0,AN653,IF(AN651&gt;0,AN651,IF(AN650&gt;0,AN650,IF(AN649&gt;0,AN649,0)))))))))))),0)*(1-$S661)*'模拟-单技能数据'!$I$21</f>
        <v>11118.353508757338</v>
      </c>
      <c r="AS661" s="61">
        <f ca="1">IF(OR(C661="净世破魔击·日",C661="净世破魔击·月"),M661-'模拟-单技能数据'!$K$10,0)</f>
        <v>0.42185145527300216</v>
      </c>
      <c r="AT661" s="61">
        <f ca="1">IF(OR(C661="净世破魔击·日",C661="净世破魔击·月"),I661-'模拟-单技能数据'!$L$10,0)</f>
        <v>2.162482885499879</v>
      </c>
      <c r="AU661" s="62">
        <f t="shared" ca="1" si="574"/>
        <v>0.8306732049233887</v>
      </c>
      <c r="AV661" s="64">
        <f ca="1">IF(AS661&gt;0,('模拟-单技能数据'!$D$22+G661*'模拟-单技能数据'!$F$22)*(1+J661)*(1-S661)*IF(AU661&lt;$F$10,0,IF(AU661&lt;$F$10+$F$11,0.25,IF(AU661&lt;$F$10+$F$11+AS661,AT661,1)))*(1+U661),0)*'模拟-单技能数据'!$I$22</f>
        <v>7639.4517521048492</v>
      </c>
      <c r="AW661" s="108">
        <f t="shared" ca="1" si="575"/>
        <v>13.542500000000004</v>
      </c>
      <c r="AX661" s="108" t="b">
        <f ca="1">AND(模拟模式!$P$10="有",AW660=0,RAND()&lt;IF(C661="净世破魔击·月",0.1*8/3,IF(C661="净世破魔击·日",0.1*4/3,0.1*2/3)))</f>
        <v>0</v>
      </c>
      <c r="AY661" s="47">
        <f ca="1">IF(AX661,(18+G661*0.722)*(1+J661)*(1-S661)*(1+$I$4)*IF(P661="会",'模拟-全程加成'!$J$3+'模拟-全程加成'!$J$4+'模拟-全程加成'!$J$5+('模拟-全程加成'!$I$4+'模拟-全程加成'!$I$5)/系数!$B$4+BG661*10%,IF(P661="命",1,IF(P661="识",0.25,0))),0)</f>
        <v>0</v>
      </c>
      <c r="AZ661" s="108">
        <f t="shared" si="576"/>
        <v>3.3950000000000062</v>
      </c>
      <c r="BA661" s="108" t="b">
        <f>AND(模拟模式!$Q$10="有",AZ660=0)</f>
        <v>0</v>
      </c>
      <c r="BB661" s="140">
        <f>IF(BA661,(0+G661*0.287)*(1+J661)*(1-S661)*(1+$I$4)*IF(P661="会",'模拟-全程加成'!$J$3+'模拟-全程加成'!$J$4+'模拟-全程加成'!$J$5+('模拟-全程加成'!$I$4+'模拟-全程加成'!$I$5)/系数!$B$4+BG661*10%,IF(P661="命",1,IF(P661="识",0.25,0))),0)</f>
        <v>0</v>
      </c>
      <c r="BC661" s="115" t="b">
        <f ca="1">AND(模拟模式!$R$7="伏明众生",E661=60,F661=20,DA661&lt;5,CZ660&lt;$F$4)</f>
        <v>0</v>
      </c>
      <c r="BD661" s="115">
        <f t="shared" ca="1" si="555"/>
        <v>0</v>
      </c>
      <c r="BE661" s="115" t="b">
        <f t="shared" ca="1" si="556"/>
        <v>0</v>
      </c>
      <c r="BF661" s="47">
        <f ca="1">IF(BC661,4*('模拟-单技能数据'!$D$24+G661*'模拟-单技能数据'!$F$24)*(1+J661)*(1+'模拟-单技能数据'!$J$24)*(1-S661)*(1+$I$3)*(('模拟-全程加成'!$J$3+'模拟-全程加成'!$J$4+'模拟-全程加成'!$J$5+('模拟-全程加成'!$I$4+'模拟-全程加成'!$I$5)/系数!$B$4+BG661*10%)*('模拟-全程加成'!$J$3+'模拟-全程加成'!$J$4+'模拟-全程加成'!$J$5+('模拟-全程加成'!$I$4+'模拟-全程加成'!$I$5)/系数!$B$4+BG661*10%)+(1-('模拟-全程加成'!$J$3+'模拟-全程加成'!$J$4+'模拟-全程加成'!$J$5+('模拟-全程加成'!$I$4+'模拟-全程加成'!$I$5)/系数!$B$4+BG661*10%)-$F$10-$F$11)+F647*0.25),0)*'模拟-单技能数据'!$I$24</f>
        <v>0</v>
      </c>
      <c r="BG661" s="115" t="b">
        <f ca="1">OR(AND(OR(C661="烈日斩",C661="银月斩"),模拟模式!$I$7="净身明礼"),AND(C661="净世破魔击·日",模拟模式!$J$7="洞若观火"),AND(C662="净世破魔击·月",模拟模式!$J$7="洞若观火"),AB661=1)</f>
        <v>1</v>
      </c>
      <c r="BH661" s="115" t="b">
        <f t="shared" ca="1" si="577"/>
        <v>0</v>
      </c>
      <c r="BI661" s="115">
        <f t="shared" ca="1" si="557"/>
        <v>0</v>
      </c>
      <c r="BJ661" s="115" t="b">
        <f t="shared" ca="1" si="558"/>
        <v>0</v>
      </c>
      <c r="BK661" s="115" t="b">
        <f ca="1">AND(C661="驱夜断愁",模拟模式!$P$7="天地诛戮")</f>
        <v>0</v>
      </c>
      <c r="BL661" s="57">
        <f t="shared" ca="1" si="559"/>
        <v>17.232500000000002</v>
      </c>
      <c r="BM661" s="115" t="b">
        <f t="shared" ca="1" si="560"/>
        <v>1</v>
      </c>
      <c r="BN661" s="115" t="b">
        <f ca="1">AND(OR(C661="赤日轮1",C661="赤日轮2",C661="赤日轮3",C661="幽月轮1",C661="幽月轮2",C661="幽月轮3"),AB661=1,模拟模式!$L$7="明光恒照")</f>
        <v>0</v>
      </c>
      <c r="BO661" s="117">
        <f t="shared" ca="1" si="561"/>
        <v>29.077500000000001</v>
      </c>
      <c r="BP661" s="115">
        <f t="shared" ca="1" si="578"/>
        <v>6</v>
      </c>
      <c r="BQ661" s="115" t="b">
        <f>模拟模式!$K$10="2600·水"</f>
        <v>0</v>
      </c>
      <c r="BR661" s="117">
        <f t="shared" si="579"/>
        <v>0</v>
      </c>
      <c r="BS661" s="115">
        <f t="shared" si="580"/>
        <v>0</v>
      </c>
      <c r="BT661" s="115">
        <f t="shared" ca="1" si="581"/>
        <v>0</v>
      </c>
      <c r="BU661" s="115" t="b">
        <f ca="1">AND(模拟模式!$K$10="2300·雷",BT660=0,RAND()&lt;IF(C661="净世破魔击·月",5*0.05*2/3,IF(C661="净世破魔击·日",3*0.05*2/3,0.05*2*2/3)))</f>
        <v>0</v>
      </c>
      <c r="BV661" s="115">
        <f t="shared" ca="1" si="582"/>
        <v>0</v>
      </c>
      <c r="BW661" s="115">
        <f t="shared" ca="1" si="583"/>
        <v>153.2474999999996</v>
      </c>
      <c r="BX661" s="164" t="b">
        <f t="shared" ca="1" si="584"/>
        <v>0</v>
      </c>
      <c r="BY661" s="115">
        <f t="shared" ca="1" si="585"/>
        <v>0</v>
      </c>
      <c r="BZ661" s="115">
        <f>IF(OR(模拟模式!$P$16="10人团",模拟模式!$P$16="25人团"),IF(B661/30&gt;CA660,1,0),0)</f>
        <v>0</v>
      </c>
      <c r="CA661" s="115">
        <f t="shared" si="562"/>
        <v>0</v>
      </c>
      <c r="CB661" s="115">
        <f ca="1">IF(BZ661=1,IF(模拟模式!$P$16="10人团",15,0)+IF(模拟模式!$P$16="25人团",IF(RAND()&lt;0.6,15,0)),MAX(0,CB660-$F$4))</f>
        <v>0</v>
      </c>
      <c r="CC661" s="115" t="b">
        <f t="shared" ca="1" si="563"/>
        <v>0</v>
      </c>
      <c r="CD661" s="115">
        <f>IF(模拟模式!$Q$16="1个",IF(B661/40&gt;CE660,1,0),0)</f>
        <v>0</v>
      </c>
      <c r="CE661" s="115">
        <f t="shared" si="564"/>
        <v>0</v>
      </c>
      <c r="CF661" s="115">
        <f>IF(OR(CD661=1,模拟模式!$Q$16="2个"),20,MAX(0,CF660-$F$4))</f>
        <v>0</v>
      </c>
      <c r="CG661" s="115" t="b">
        <f t="shared" si="565"/>
        <v>0</v>
      </c>
      <c r="CH661" s="115">
        <f t="shared" ca="1" si="586"/>
        <v>3.2475000000000116</v>
      </c>
      <c r="CI661" s="115" t="b">
        <f t="shared" ca="1" si="587"/>
        <v>0</v>
      </c>
      <c r="CJ661" s="119">
        <f t="shared" ca="1" si="588"/>
        <v>0</v>
      </c>
      <c r="CK661" s="115">
        <f t="shared" ca="1" si="589"/>
        <v>0</v>
      </c>
      <c r="CL661" s="115" t="b">
        <f ca="1">AND(模拟模式!$S$7="驱夷逐法",OR(AND(C661="净世破魔击·月",E660&gt;59),AND(C661="净世破魔击·日",F660&gt;59)))</f>
        <v>1</v>
      </c>
      <c r="CM661" s="115" t="b">
        <f ca="1">OR(CL661,AND(C661="净世破魔击·日",CL660,RAND()&lt;模拟模式!$U$23))</f>
        <v>1</v>
      </c>
      <c r="CN661" s="115" t="b">
        <f ca="1">IF(模拟模式!$M$7="辉耀红尘",AND(C661="净世破魔击·月",CL661,CV661=0,E660&lt;80),AND(C661="净世破魔击·月",CL661,E660&lt;100))</f>
        <v>0</v>
      </c>
      <c r="CO661" s="115" t="b">
        <f t="shared" ca="1" si="566"/>
        <v>0</v>
      </c>
      <c r="CP661" s="115" t="b">
        <f ca="1">AND(模拟模式!$O$7="用晦而明",OR(C661="净世破魔击·日",C661="净世破魔击·月",C661="驱夜断愁"),AB661)</f>
        <v>1</v>
      </c>
      <c r="CQ661" s="115" t="b">
        <f ca="1">OR(CP661,AND(CP660,RAND()&lt;模拟模式!$U$23))</f>
        <v>1</v>
      </c>
      <c r="CR661" s="115" t="b">
        <f ca="1">AND(模拟模式!$S$7="日月齐光",OR(C661="幽月轮1",C661="幽月轮2",C661="幽月轮3",CR660),NOT(OR(C661="赤日轮1",C661="赤日轮2",C661="赤日轮3")))</f>
        <v>0</v>
      </c>
      <c r="CS661" s="115" t="b">
        <f ca="1">AND(模拟模式!$S$7="日月齐光",OR(C661="赤日轮1",C661="赤日轮2",C661="赤日轮3",CS660),NOT(OR(C661="幽月轮1",C661="幽月轮2",C661="幽月轮3")))</f>
        <v>0</v>
      </c>
      <c r="CT661" s="115">
        <f t="shared" ca="1" si="590"/>
        <v>0</v>
      </c>
      <c r="CU661" s="115" t="b">
        <f ca="1">AND(模拟模式!$K$10="阴阳往极",CT660=0,RAND()&lt;IF(C661="净世破魔击·月",0.0275*7/3,IF(C661="净世破魔击·日",0.0275*3/3,0.0275*2/3)))</f>
        <v>0</v>
      </c>
      <c r="CV661" s="115">
        <f t="shared" ca="1" si="591"/>
        <v>0</v>
      </c>
      <c r="CW661" s="115">
        <f t="shared" ca="1" si="592"/>
        <v>4.1549999999999994</v>
      </c>
      <c r="CX661" s="115">
        <f t="shared" ca="1" si="593"/>
        <v>2.3099999999999996</v>
      </c>
      <c r="CY661" s="115">
        <f ca="1">MAX(IF($C661="驱夜断愁",IF(模拟模式!$R$7="万念俱寂",6,45),CY660-$F$4),0)</f>
        <v>3.2324999999999995</v>
      </c>
      <c r="CZ661" s="115">
        <f t="shared" ca="1" si="567"/>
        <v>0</v>
      </c>
      <c r="DA661" s="115">
        <f ca="1">IF(模拟模式!$N$7="日月同辉",IF(DB660=2,0,MIN(6,IF(AND(OR(C661="赤日轮1",C661="赤日轮2",C661="赤日轮3",C661="幽月轮1",C661="幽月轮2",C661="幽月轮3"),AB661=1),DA660+1,DA660))),0)</f>
        <v>1</v>
      </c>
      <c r="DB661" s="115">
        <f t="shared" ca="1" si="568"/>
        <v>0</v>
      </c>
      <c r="DC661" s="115"/>
      <c r="DD661" s="115"/>
      <c r="DE661" s="115"/>
      <c r="DF661" s="115"/>
      <c r="DG661" s="115"/>
      <c r="DH661" s="115"/>
      <c r="DI661" s="115"/>
      <c r="DJ661" s="115"/>
      <c r="DK661" s="115"/>
      <c r="DL661" s="115"/>
      <c r="DM661" s="115"/>
    </row>
    <row r="662" spans="2:117" x14ac:dyDescent="0.2">
      <c r="B662" s="117">
        <f t="shared" si="569"/>
        <v>585.78750000000662</v>
      </c>
      <c r="C662" s="167" t="str">
        <f t="shared" ca="1" si="538"/>
        <v>净世破魔击·日</v>
      </c>
      <c r="D662" s="115">
        <f ca="1">IF(C662="赤日轮1",1,IF(C662="赤日轮2",2,IF(C662="赤日轮3",3,IF(C662="幽月轮1",4,IF(C662="幽月轮2",5,IF(C662="幽月轮3",6,IF(C662="烈日斩",7,IF(C662="银月斩",8,IF(C662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662="净世破魔击·月",17,IF(C662="驱夜断愁",18,0)))))))))))</f>
        <v>9</v>
      </c>
      <c r="E662" s="115">
        <f ca="1">IF(AND(CU662,OR(C662="幽月轮1",C662="幽月轮2",C662="幽月轮3",C662="银月斩",C662="驱夜断愁",C662="净世破魔击·月")),100,MIN(IF(OR(CN662,BE662),0,IF(OR($C662="赤日轮1",$C662="赤日轮2",$C662="赤日轮3"),E661+20+IF(模拟模式!$I$7="日月凌天",4,0)+IF(CR661,20,0),IF($C662="烈日斩",E661+40,IF($C662="驱夜断愁",IF(模拟模式!$R$7="万念俱寂",E661+20,E661+60),IF($C662="净世破魔击·月",IF(OR(DB661&gt;0,CV661&gt;0),100,IF(模拟模式!$M$7="辉耀红尘",E661+20,E661)),IF($C662="净世破魔击·日",E661-100,E661)))))),100))</f>
        <v>0</v>
      </c>
      <c r="F662" s="115">
        <f ca="1">IF(AND(CU662,OR(C662="赤日轮1",C662="赤日轮2",C662="赤日轮3",C662="烈日斩",C662="净世破魔击·日")),100,MIN(IF(CO662,0,IF(OR($C662="幽月轮1",$C662="幽月轮2",$C662="幽月轮3"),F661+20+IF(模拟模式!$I$7="日月凌天",4,0)+IF(CS661,20,0),IF($C662="银月斩",F661+40+IF(模拟模式!$X$12=1,5,0),IF($C662="驱夜断愁",IF(模拟模式!$R$7="万念俱寂",F661+20,F661+60),IF($C662="净世破魔击·月",IF(模拟模式!$M$7="辉耀红尘",F661-80,F661-100),IF(AND(C662="净世破魔击·日",OR(DB661&gt;0,CV661&gt;0)),100,F661)))))),100))</f>
        <v>100</v>
      </c>
      <c r="G662" s="117">
        <f ca="1">('模拟-全程加成'!$E$3+'模拟-全程加成'!$E$4+'模拟-全程加成'!$E$5+('模拟-全程加成'!$C$6-'模拟-全程加成'!$C$3)*系数!$B$9+BS662*23)*(1+'模拟-全程加成'!$F$4+'模拟-全程加成'!$F$5+BJ662*10%+BM662*20%+BP662*4%+CG662*30%)+$F$7*系数!$B$12</f>
        <v>20583.127400000001</v>
      </c>
      <c r="H662" s="45">
        <f ca="1">'模拟-全程加成'!$H$3+'模拟-全程加成'!$H$4+'模拟-全程加成'!$H$5+('模拟-全程加成'!$G$4+'模拟-全程加成'!$G$5+('模拟-全程加成'!$C$6-'模拟-全程加成'!$C$3)*系数!$B$13)/系数!$B$3+LOOKUP(D662,'模拟-单技能数据'!$A$2:$A$19,'模拟-单技能数据'!$K$2:$K$19)+BG662*10%+IF(BV662&gt;0,378,0)</f>
        <v>0.54185145527300216</v>
      </c>
      <c r="I662" s="45">
        <f ca="1">'模拟-全程加成'!$J$3+'模拟-全程加成'!$J$4+'模拟-全程加成'!$J$5+('模拟-全程加成'!$I$4+'模拟-全程加成'!$I$5)/系数!$B$4+LOOKUP(D662,'模拟-单技能数据'!$A$2:$A$19,'模拟-单技能数据'!$L$2:$L$19)+BG662*10%</f>
        <v>2.162482885499879</v>
      </c>
      <c r="J662" s="45">
        <f ca="1">(('模拟-全程加成'!$K$3+'模拟-全程加成'!$K$4+'模拟-全程加成'!$K$5+('模拟-全程加成'!$C$6-'模拟-全程加成'!$C$3)*系数!$B$10+IF(BV662&gt;0,882,0)+IF(BY662&gt;0,1831,0))*(1+'模拟-全程加成'!$L$4+'模拟-全程加成'!$L$5+CC662*20%))/系数!$B$5</f>
        <v>0.69723220422048726</v>
      </c>
      <c r="K662" s="119">
        <f ca="1">LOOKUP(D662,'模拟-单技能数据'!$A$2:$A$19,'模拟-单技能数据'!$J$2:$J$19)+IF(CM662,60%,0)+IF(DB661-DB662&gt;0,30%,0)+IF(OR(AND(OR(C662="赤日轮1",C662="赤日轮2",C662="赤日轮3"),CR662),AND(OR(C662="幽月轮1",C662="幽月轮2",C662="幽月轮3"),CS662)),35%,0)+CJ662</f>
        <v>0.8</v>
      </c>
      <c r="L662" s="119">
        <f ca="1">IF(AND(C662="烈日斩",模拟模式!$X$11=1),10%,0)+IF(AND(C662="驱夜断愁",AB662=1),30%,0)</f>
        <v>0</v>
      </c>
      <c r="M662" s="45">
        <f t="shared" ca="1" si="539"/>
        <v>0.54185145527300216</v>
      </c>
      <c r="N662" s="45">
        <f t="shared" ca="1" si="540"/>
        <v>0.40424854472699789</v>
      </c>
      <c r="O662" s="46">
        <f t="shared" ca="1" si="570"/>
        <v>0.35234232784311725</v>
      </c>
      <c r="P662" s="46" t="str">
        <f t="shared" ca="1" si="541"/>
        <v>会</v>
      </c>
      <c r="Q662" s="45">
        <f t="shared" ca="1" si="542"/>
        <v>2.162482885499879</v>
      </c>
      <c r="R662" s="117">
        <f ca="1">模拟模式!$E$20*(1-IF(模拟模式!$J$19="有",0.15,0))*(1-IF(模拟模式!$K$19="有",0.3,0)-IF(CQ662,0.5,0))</f>
        <v>843.02999999999975</v>
      </c>
      <c r="S662" s="45">
        <f ca="1">R662/(R662+(185*模拟模式!$E$22-16800)*4.08224)</f>
        <v>8.389626085980037E-2</v>
      </c>
      <c r="T662" s="45" t="str">
        <f ca="1">LOOKUP(D662,'模拟-单技能数据'!$A$2:$A$19,'模拟-单技能数据'!$H$2:$H$19)</f>
        <v>阳</v>
      </c>
      <c r="U662" s="119">
        <f t="shared" ca="1" si="543"/>
        <v>0.2</v>
      </c>
      <c r="V662" s="47">
        <f ca="1">(1+L662)*(LOOKUP(D662,'模拟-单技能数据'!$A$2:$A$19,'模拟-单技能数据'!$D$2:$D$19)+G662*LOOKUP(D662,'模拟-单技能数据'!$A$2:$A$19,'模拟-单技能数据'!$F$2:$F$19))*(1+J662)*(1+K662)*(1-S662)*(1+U662)*Q662*LOOKUP(D662,'模拟-单技能数据'!$A$2:$A$19,'模拟-单技能数据'!$I$2:$I$20)</f>
        <v>195915.814886668</v>
      </c>
      <c r="W662" s="47">
        <f ca="1">LOOKUP(D662,'模拟-单技能数据'!$A$2:$A$19,'模拟-单技能数据'!$G$2:$G$19)*$I$10</f>
        <v>723.0212870940959</v>
      </c>
      <c r="X662" s="47">
        <f t="shared" ca="1" si="571"/>
        <v>22430.457653818525</v>
      </c>
      <c r="Y662" s="47">
        <f t="shared" ca="1" si="544"/>
        <v>219069.29382758064</v>
      </c>
      <c r="Z662" s="49">
        <f t="shared" ca="1" si="545"/>
        <v>66819209.115490593</v>
      </c>
      <c r="AA662" s="97">
        <f t="shared" ca="1" si="546"/>
        <v>114067.31812387571</v>
      </c>
      <c r="AB662" s="115">
        <f ca="1">IF(OR(C662="赤日轮1",C662="赤日轮2",C662="赤日轮3"),IF(RAND()&lt;模拟模式!$Y$17,1,0),IF(OR(C662="幽月轮1",C662="幽月轮2",C662="幽月轮3"),IF(RAND()&lt;模拟模式!$Y$18,1,0),IF(C662="烈日斩",IF(RAND()&lt;模拟模式!$Y$19,1,0),IF(C662="银月斩",IF(RAND()&lt;模拟模式!$Y$20,1,0),IF(C662="驱夜断愁",IF(RAND()&lt;模拟模式!$Y$21,1,0),IF(C662="净世破魔击·日",IF(RAND()&lt;模拟模式!$Y$22,1,0),IF(C662="净世破魔击·月",IF(RAND()&lt;模拟模式!$Y$23,1,0),0)))))))</f>
        <v>1</v>
      </c>
      <c r="AC662" s="115" t="b">
        <f t="shared" ca="1" si="547"/>
        <v>0</v>
      </c>
      <c r="AD662" s="115" t="b">
        <f t="shared" ca="1" si="548"/>
        <v>1</v>
      </c>
      <c r="AE662" s="115">
        <f t="shared" ca="1" si="549"/>
        <v>3</v>
      </c>
      <c r="AF662" s="47">
        <f ca="1">IF(AC662,('模拟-单技能数据'!$D$20+G662*'模拟-单技能数据'!$F$20)*(1+J662)*(1+'模拟-单技能数据'!$J$20)*(1+U662),0)</f>
        <v>0</v>
      </c>
      <c r="AG662" s="61">
        <f t="shared" ca="1" si="550"/>
        <v>0.64185145527300214</v>
      </c>
      <c r="AH662" s="61">
        <f t="shared" ca="1" si="551"/>
        <v>2.2624828854998791</v>
      </c>
      <c r="AI662" s="62">
        <f t="shared" ca="1" si="572"/>
        <v>0.77819041344504347</v>
      </c>
      <c r="AJ662" s="47">
        <f ca="1">IF(AD662,IF(AI662&lt;$F$10,0,IF(AI662&lt;$F$10+$F$11,0.25,IF(AI662&lt;$F$10+$F$11+AG662,AH662,1)))*IF(AF662&gt;0,AF662,IF(AF661&gt;0,AF661,IF(AF660&gt;0,AF660,IF(AF659&gt;0,AF659,IF(AF658&gt;0,AF658,IF(AF657&gt;0,AF657,IF(AF656&gt;0,AF656,IF(AF655&gt;0,AF655,IF(AF654&gt;0,AF654,IF(AF652&gt;0,AF652,IF(AF651&gt;0,AF651,IF(AF650&gt;0,AF650,0)))))))))))),0)*(1-$S662)*'模拟-单技能数据'!$I$20</f>
        <v>4074.6980221198578</v>
      </c>
      <c r="AK662" s="115" t="b">
        <f t="shared" ca="1" si="552"/>
        <v>1</v>
      </c>
      <c r="AL662" s="115" t="b">
        <f t="shared" ca="1" si="553"/>
        <v>0</v>
      </c>
      <c r="AM662" s="115">
        <f t="shared" ca="1" si="554"/>
        <v>6</v>
      </c>
      <c r="AN662" s="47">
        <f ca="1">IF(AK662,('模拟-单技能数据'!$D$21+G662*'模拟-单技能数据'!$F$21)*(1+J662)*(1+'模拟-单技能数据'!$J$21)*(1+U662),0)</f>
        <v>12136.56601728573</v>
      </c>
      <c r="AO662" s="61">
        <f ca="1">IF(AN662&gt;0,M662-'模拟-单技能数据'!$K$10,AO661)</f>
        <v>0.42185145527300216</v>
      </c>
      <c r="AP662" s="61">
        <f ca="1">IF(AN662&gt;0,I662-'模拟-单技能数据'!$L$10,AP661)</f>
        <v>2.162482885499879</v>
      </c>
      <c r="AQ662" s="63">
        <f t="shared" ca="1" si="573"/>
        <v>0.42365096589672846</v>
      </c>
      <c r="AR662" s="64">
        <f ca="1">IF(AL662,IF(AQ662&lt;$F$10,0,IF(AQ662&lt;$F$10+$F$11,0.25,IF(AQ662&lt;$F$10+$F$11+AO662,AP662,1)))*IF(AN662&gt;0,AN662,IF(AN661&gt;0,AN661,IF(AN660&gt;0,AN660,IF(AN659&gt;0,AN659,IF(AN658&gt;0,AN658,IF(AN657&gt;0,AN657,IF(AN656&gt;0,AN656,IF(AN655&gt;0,AN655,IF(AN654&gt;0,AN654,IF(AN652&gt;0,AN652,IF(AN651&gt;0,AN651,IF(AN650&gt;0,AN650,0)))))))))))),0)*(1-$S662)*'模拟-单技能数据'!$I$21</f>
        <v>0</v>
      </c>
      <c r="AS662" s="61">
        <f ca="1">IF(OR(C662="净世破魔击·日",C662="净世破魔击·月"),M662-'模拟-单技能数据'!$K$10,0)</f>
        <v>0.42185145527300216</v>
      </c>
      <c r="AT662" s="61">
        <f ca="1">IF(OR(C662="净世破魔击·日",C662="净世破魔击·月"),I662-'模拟-单技能数据'!$L$10,0)</f>
        <v>2.162482885499879</v>
      </c>
      <c r="AU662" s="62">
        <f t="shared" ca="1" si="574"/>
        <v>0.22738604396262074</v>
      </c>
      <c r="AV662" s="64">
        <f ca="1">IF(AS662&gt;0,('模拟-单技能数据'!$D$22+G662*'模拟-单技能数据'!$F$22)*(1+J662)*(1-S662)*IF(AU662&lt;$F$10,0,IF(AU662&lt;$F$10+$F$11,0.25,IF(AU662&lt;$F$10+$F$11+AS662,AT662,1)))*(1+U662),0)*'模拟-单技能数据'!$I$22</f>
        <v>18355.759631698667</v>
      </c>
      <c r="AW662" s="108">
        <f t="shared" ca="1" si="575"/>
        <v>12.620000000000005</v>
      </c>
      <c r="AX662" s="108" t="b">
        <f ca="1">AND(模拟模式!$P$10="有",AW661=0,RAND()&lt;IF(C662="净世破魔击·月",0.1*8/3,IF(C662="净世破魔击·日",0.1*4/3,0.1*2/3)))</f>
        <v>0</v>
      </c>
      <c r="AY662" s="47">
        <f ca="1">IF(AX662,(18+G662*0.722)*(1+J662)*(1-S662)*(1+$I$4)*IF(P662="会",'模拟-全程加成'!$J$3+'模拟-全程加成'!$J$4+'模拟-全程加成'!$J$5+('模拟-全程加成'!$I$4+'模拟-全程加成'!$I$5)/系数!$B$4+BG662*10%,IF(P662="命",1,IF(P662="识",0.25,0))),0)</f>
        <v>0</v>
      </c>
      <c r="AZ662" s="108">
        <f t="shared" si="576"/>
        <v>2.4725000000000064</v>
      </c>
      <c r="BA662" s="108" t="b">
        <f>AND(模拟模式!$Q$10="有",AZ661=0)</f>
        <v>0</v>
      </c>
      <c r="BB662" s="140">
        <f>IF(BA662,(0+G662*0.287)*(1+J662)*(1-S662)*(1+$I$4)*IF(P662="会",'模拟-全程加成'!$J$3+'模拟-全程加成'!$J$4+'模拟-全程加成'!$J$5+('模拟-全程加成'!$I$4+'模拟-全程加成'!$I$5)/系数!$B$4+BG662*10%,IF(P662="命",1,IF(P662="识",0.25,0))),0)</f>
        <v>0</v>
      </c>
      <c r="BC662" s="115" t="b">
        <f ca="1">AND(模拟模式!$R$7="伏明众生",E662=60,F662=20,DA662&lt;5,CZ661&lt;$F$4)</f>
        <v>0</v>
      </c>
      <c r="BD662" s="115">
        <f t="shared" ca="1" si="555"/>
        <v>0</v>
      </c>
      <c r="BE662" s="115" t="b">
        <f t="shared" ca="1" si="556"/>
        <v>0</v>
      </c>
      <c r="BF662" s="47">
        <f ca="1">IF(BC662,4*('模拟-单技能数据'!$D$24+G662*'模拟-单技能数据'!$F$24)*(1+J662)*(1+'模拟-单技能数据'!$J$24)*(1-S662)*(1+$I$3)*(('模拟-全程加成'!$J$3+'模拟-全程加成'!$J$4+'模拟-全程加成'!$J$5+('模拟-全程加成'!$I$4+'模拟-全程加成'!$I$5)/系数!$B$4+BG662*10%)*('模拟-全程加成'!$J$3+'模拟-全程加成'!$J$4+'模拟-全程加成'!$J$5+('模拟-全程加成'!$I$4+'模拟-全程加成'!$I$5)/系数!$B$4+BG662*10%)+(1-('模拟-全程加成'!$J$3+'模拟-全程加成'!$J$4+'模拟-全程加成'!$J$5+('模拟-全程加成'!$I$4+'模拟-全程加成'!$I$5)/系数!$B$4+BG662*10%)-$F$10-$F$11)+F648*0.25),0)*'模拟-单技能数据'!$I$24</f>
        <v>0</v>
      </c>
      <c r="BG662" s="115" t="b">
        <f ca="1">OR(AND(OR(C662="烈日斩",C662="银月斩"),模拟模式!$I$7="净身明礼"),AND(C662="净世破魔击·日",模拟模式!$J$7="洞若观火"),AND(C663="净世破魔击·月",模拟模式!$J$7="洞若观火"),AB662=1)</f>
        <v>1</v>
      </c>
      <c r="BH662" s="115" t="b">
        <f t="shared" ca="1" si="577"/>
        <v>0</v>
      </c>
      <c r="BI662" s="115">
        <f t="shared" ca="1" si="557"/>
        <v>0</v>
      </c>
      <c r="BJ662" s="115" t="b">
        <f t="shared" ca="1" si="558"/>
        <v>0</v>
      </c>
      <c r="BK662" s="115" t="b">
        <f ca="1">AND(C662="驱夜断愁",模拟模式!$P$7="天地诛戮")</f>
        <v>0</v>
      </c>
      <c r="BL662" s="57">
        <f t="shared" ca="1" si="559"/>
        <v>16.310000000000002</v>
      </c>
      <c r="BM662" s="115" t="b">
        <f t="shared" ca="1" si="560"/>
        <v>1</v>
      </c>
      <c r="BN662" s="115" t="b">
        <f ca="1">AND(OR(C662="赤日轮1",C662="赤日轮2",C662="赤日轮3",C662="幽月轮1",C662="幽月轮2",C662="幽月轮3"),AB662=1,模拟模式!$L$7="明光恒照")</f>
        <v>0</v>
      </c>
      <c r="BO662" s="117">
        <f t="shared" ca="1" si="561"/>
        <v>28.155000000000001</v>
      </c>
      <c r="BP662" s="115">
        <f t="shared" ca="1" si="578"/>
        <v>6</v>
      </c>
      <c r="BQ662" s="115" t="b">
        <f>模拟模式!$K$10="2600·水"</f>
        <v>0</v>
      </c>
      <c r="BR662" s="117">
        <f t="shared" si="579"/>
        <v>0</v>
      </c>
      <c r="BS662" s="115">
        <f t="shared" si="580"/>
        <v>0</v>
      </c>
      <c r="BT662" s="115">
        <f t="shared" ca="1" si="581"/>
        <v>0</v>
      </c>
      <c r="BU662" s="115" t="b">
        <f ca="1">AND(模拟模式!$K$10="2300·雷",BT661=0,RAND()&lt;IF(C662="净世破魔击·月",5*0.05*2/3,IF(C662="净世破魔击·日",3*0.05*2/3,0.05*2*2/3)))</f>
        <v>0</v>
      </c>
      <c r="BV662" s="115">
        <f t="shared" ca="1" si="582"/>
        <v>0</v>
      </c>
      <c r="BW662" s="115">
        <f t="shared" ca="1" si="583"/>
        <v>152.32499999999959</v>
      </c>
      <c r="BX662" s="164" t="b">
        <f t="shared" ca="1" si="584"/>
        <v>0</v>
      </c>
      <c r="BY662" s="115">
        <f t="shared" ca="1" si="585"/>
        <v>0</v>
      </c>
      <c r="BZ662" s="115">
        <f>IF(OR(模拟模式!$P$16="10人团",模拟模式!$P$16="25人团"),IF(B662/30&gt;CA661,1,0),0)</f>
        <v>0</v>
      </c>
      <c r="CA662" s="115">
        <f t="shared" si="562"/>
        <v>0</v>
      </c>
      <c r="CB662" s="115">
        <f ca="1">IF(BZ662=1,IF(模拟模式!$P$16="10人团",15,0)+IF(模拟模式!$P$16="25人团",IF(RAND()&lt;0.6,15,0)),MAX(0,CB661-$F$4))</f>
        <v>0</v>
      </c>
      <c r="CC662" s="115" t="b">
        <f t="shared" ca="1" si="563"/>
        <v>0</v>
      </c>
      <c r="CD662" s="115">
        <f>IF(模拟模式!$Q$16="1个",IF(B662/40&gt;CE661,1,0),0)</f>
        <v>0</v>
      </c>
      <c r="CE662" s="115">
        <f t="shared" si="564"/>
        <v>0</v>
      </c>
      <c r="CF662" s="115">
        <f>IF(OR(CD662=1,模拟模式!$Q$16="2个"),20,MAX(0,CF661-$F$4))</f>
        <v>0</v>
      </c>
      <c r="CG662" s="115" t="b">
        <f t="shared" si="565"/>
        <v>0</v>
      </c>
      <c r="CH662" s="115">
        <f t="shared" ca="1" si="586"/>
        <v>2.3250000000000117</v>
      </c>
      <c r="CI662" s="115" t="b">
        <f t="shared" ca="1" si="587"/>
        <v>0</v>
      </c>
      <c r="CJ662" s="119">
        <f t="shared" ca="1" si="588"/>
        <v>0</v>
      </c>
      <c r="CK662" s="115">
        <f t="shared" ca="1" si="589"/>
        <v>0</v>
      </c>
      <c r="CL662" s="115" t="b">
        <f ca="1">AND(模拟模式!$S$7="驱夷逐法",OR(AND(C662="净世破魔击·月",E661&gt;59),AND(C662="净世破魔击·日",F661&gt;59)))</f>
        <v>0</v>
      </c>
      <c r="CM662" s="115" t="b">
        <f ca="1">OR(CL662,AND(C662="净世破魔击·日",CL661,RAND()&lt;模拟模式!$U$23))</f>
        <v>1</v>
      </c>
      <c r="CN662" s="115" t="b">
        <f ca="1">IF(模拟模式!$M$7="辉耀红尘",AND(C662="净世破魔击·月",CL662,CV662=0,E661&lt;80),AND(C662="净世破魔击·月",CL662,E661&lt;100))</f>
        <v>0</v>
      </c>
      <c r="CO662" s="115" t="b">
        <f t="shared" ca="1" si="566"/>
        <v>0</v>
      </c>
      <c r="CP662" s="115" t="b">
        <f ca="1">AND(模拟模式!$O$7="用晦而明",OR(C662="净世破魔击·日",C662="净世破魔击·月",C662="驱夜断愁"),AB662)</f>
        <v>1</v>
      </c>
      <c r="CQ662" s="115" t="b">
        <f ca="1">OR(CP662,AND(CP661,RAND()&lt;模拟模式!$U$23))</f>
        <v>1</v>
      </c>
      <c r="CR662" s="115" t="b">
        <f ca="1">AND(模拟模式!$S$7="日月齐光",OR(C662="幽月轮1",C662="幽月轮2",C662="幽月轮3",CR661),NOT(OR(C662="赤日轮1",C662="赤日轮2",C662="赤日轮3")))</f>
        <v>0</v>
      </c>
      <c r="CS662" s="115" t="b">
        <f ca="1">AND(模拟模式!$S$7="日月齐光",OR(C662="赤日轮1",C662="赤日轮2",C662="赤日轮3",CS661),NOT(OR(C662="幽月轮1",C662="幽月轮2",C662="幽月轮3")))</f>
        <v>0</v>
      </c>
      <c r="CT662" s="115">
        <f t="shared" ca="1" si="590"/>
        <v>30</v>
      </c>
      <c r="CU662" s="115" t="b">
        <f ca="1">AND(模拟模式!$K$10="阴阳往极",CT661=0,RAND()&lt;IF(C662="净世破魔击·月",0.0275*7/3,IF(C662="净世破魔击·日",0.0275*3/3,0.0275*2/3)))</f>
        <v>1</v>
      </c>
      <c r="CV662" s="115">
        <f t="shared" ca="1" si="591"/>
        <v>4.0774999999999997</v>
      </c>
      <c r="CW662" s="115">
        <f t="shared" ca="1" si="592"/>
        <v>3.2324999999999995</v>
      </c>
      <c r="CX662" s="115">
        <f t="shared" ca="1" si="593"/>
        <v>1.3874999999999997</v>
      </c>
      <c r="CY662" s="115">
        <f ca="1">MAX(IF($C662="驱夜断愁",IF(模拟模式!$R$7="万念俱寂",6,45),CY661-$F$4),0)</f>
        <v>2.3099999999999996</v>
      </c>
      <c r="CZ662" s="115">
        <f t="shared" ca="1" si="567"/>
        <v>0</v>
      </c>
      <c r="DA662" s="115">
        <f ca="1">IF(模拟模式!$N$7="日月同辉",IF(DB661=2,0,MIN(6,IF(AND(OR(C662="赤日轮1",C662="赤日轮2",C662="赤日轮3",C662="幽月轮1",C662="幽月轮2",C662="幽月轮3"),AB662=1),DA661+1,DA661))),0)</f>
        <v>1</v>
      </c>
      <c r="DB662" s="115">
        <f t="shared" ca="1" si="568"/>
        <v>0</v>
      </c>
      <c r="DC662" s="115"/>
      <c r="DD662" s="115"/>
      <c r="DE662" s="115"/>
      <c r="DF662" s="115"/>
      <c r="DG662" s="115"/>
      <c r="DH662" s="115"/>
      <c r="DI662" s="115"/>
      <c r="DJ662" s="115"/>
      <c r="DK662" s="115"/>
      <c r="DL662" s="115"/>
      <c r="DM662" s="115"/>
    </row>
    <row r="663" spans="2:117" x14ac:dyDescent="0.2">
      <c r="B663" s="117">
        <f t="shared" si="569"/>
        <v>586.71000000000663</v>
      </c>
      <c r="C663" s="167" t="str">
        <f t="shared" ca="1" si="538"/>
        <v>净世破魔击·月</v>
      </c>
      <c r="D663" s="115">
        <f ca="1">IF(C663="赤日轮1",1,IF(C663="赤日轮2",2,IF(C663="赤日轮3",3,IF(C663="幽月轮1",4,IF(C663="幽月轮2",5,IF(C663="幽月轮3",6,IF(C663="烈日斩",7,IF(C663="银月斩",8,IF(C663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663="净世破魔击·月",17,IF(C663="驱夜断愁",18,0)))))))))))</f>
        <v>17</v>
      </c>
      <c r="E663" s="115">
        <f ca="1">IF(AND(CU663,OR(C663="幽月轮1",C663="幽月轮2",C663="幽月轮3",C663="银月斩",C663="驱夜断愁",C663="净世破魔击·月")),100,MIN(IF(OR(CN663,BE663),0,IF(OR($C663="赤日轮1",$C663="赤日轮2",$C663="赤日轮3"),E662+20+IF(模拟模式!$I$7="日月凌天",4,0)+IF(CR662,20,0),IF($C663="烈日斩",E662+40,IF($C663="驱夜断愁",IF(模拟模式!$R$7="万念俱寂",E662+20,E662+60),IF($C663="净世破魔击·月",IF(OR(DB662&gt;0,CV662&gt;0),100,IF(模拟模式!$M$7="辉耀红尘",E662+20,E662)),IF($C663="净世破魔击·日",E662-100,E662)))))),100))</f>
        <v>100</v>
      </c>
      <c r="F663" s="115">
        <f ca="1">IF(AND(CU663,OR(C663="赤日轮1",C663="赤日轮2",C663="赤日轮3",C663="烈日斩",C663="净世破魔击·日")),100,MIN(IF(CO663,0,IF(OR($C663="幽月轮1",$C663="幽月轮2",$C663="幽月轮3"),F662+20+IF(模拟模式!$I$7="日月凌天",4,0)+IF(CS662,20,0),IF($C663="银月斩",F662+40+IF(模拟模式!$X$12=1,5,0),IF($C663="驱夜断愁",IF(模拟模式!$R$7="万念俱寂",F662+20,F662+60),IF($C663="净世破魔击·月",IF(模拟模式!$M$7="辉耀红尘",F662-80,F662-100),IF(AND(C663="净世破魔击·日",OR(DB662&gt;0,CV662&gt;0)),100,F662)))))),100))</f>
        <v>20</v>
      </c>
      <c r="G663" s="117">
        <f ca="1">('模拟-全程加成'!$E$3+'模拟-全程加成'!$E$4+'模拟-全程加成'!$E$5+('模拟-全程加成'!$C$6-'模拟-全程加成'!$C$3)*系数!$B$9+BS663*23)*(1+'模拟-全程加成'!$F$4+'模拟-全程加成'!$F$5+BJ663*10%+BM663*20%+BP663*4%+CG663*30%)+$F$7*系数!$B$12</f>
        <v>20583.127400000001</v>
      </c>
      <c r="H663" s="45">
        <f ca="1">'模拟-全程加成'!$H$3+'模拟-全程加成'!$H$4+'模拟-全程加成'!$H$5+('模拟-全程加成'!$G$4+'模拟-全程加成'!$G$5+('模拟-全程加成'!$C$6-'模拟-全程加成'!$C$3)*系数!$B$13)/系数!$B$3+LOOKUP(D663,'模拟-单技能数据'!$A$2:$A$19,'模拟-单技能数据'!$K$2:$K$19)+BG663*10%+IF(BV663&gt;0,378,0)</f>
        <v>0.54185145527300216</v>
      </c>
      <c r="I663" s="45">
        <f ca="1">'模拟-全程加成'!$J$3+'模拟-全程加成'!$J$4+'模拟-全程加成'!$J$5+('模拟-全程加成'!$I$4+'模拟-全程加成'!$I$5)/系数!$B$4+LOOKUP(D663,'模拟-单技能数据'!$A$2:$A$19,'模拟-单技能数据'!$L$2:$L$19)+BG663*10%</f>
        <v>2.162482885499879</v>
      </c>
      <c r="J663" s="45">
        <f ca="1">(('模拟-全程加成'!$K$3+'模拟-全程加成'!$K$4+'模拟-全程加成'!$K$5+('模拟-全程加成'!$C$6-'模拟-全程加成'!$C$3)*系数!$B$10+IF(BV663&gt;0,882,0)+IF(BY663&gt;0,1831,0))*(1+'模拟-全程加成'!$L$4+'模拟-全程加成'!$L$5+CC663*20%))/系数!$B$5</f>
        <v>0.69723220422048726</v>
      </c>
      <c r="K663" s="119">
        <f ca="1">LOOKUP(D663,'模拟-单技能数据'!$A$2:$A$19,'模拟-单技能数据'!$J$2:$J$19)+IF(CM663,60%,0)+IF(DB662-DB663&gt;0,30%,0)+IF(OR(AND(OR(C663="赤日轮1",C663="赤日轮2",C663="赤日轮3"),CR663),AND(OR(C663="幽月轮1",C663="幽月轮2",C663="幽月轮3"),CS663)),35%,0)+CJ663</f>
        <v>0.2</v>
      </c>
      <c r="L663" s="119">
        <f ca="1">IF(AND(C663="烈日斩",模拟模式!$X$11=1),10%,0)+IF(AND(C663="驱夜断愁",AB663=1),30%,0)</f>
        <v>0</v>
      </c>
      <c r="M663" s="45">
        <f t="shared" ca="1" si="539"/>
        <v>0.54185145527300216</v>
      </c>
      <c r="N663" s="45">
        <f t="shared" ca="1" si="540"/>
        <v>0.40424854472699789</v>
      </c>
      <c r="O663" s="46">
        <f t="shared" ca="1" si="570"/>
        <v>0.34576483524169088</v>
      </c>
      <c r="P663" s="46" t="str">
        <f t="shared" ca="1" si="541"/>
        <v>会</v>
      </c>
      <c r="Q663" s="45">
        <f t="shared" ca="1" si="542"/>
        <v>2.162482885499879</v>
      </c>
      <c r="R663" s="117">
        <f ca="1">模拟模式!$E$20*(1-IF(模拟模式!$J$19="有",0.15,0))*(1-IF(模拟模式!$K$19="有",0.3,0)-IF(CQ663,0.5,0))</f>
        <v>843.02999999999975</v>
      </c>
      <c r="S663" s="45">
        <f ca="1">R663/(R663+(185*模拟模式!$E$22-16800)*4.08224)</f>
        <v>8.389626085980037E-2</v>
      </c>
      <c r="T663" s="45" t="str">
        <f ca="1">LOOKUP(D663,'模拟-单技能数据'!$A$2:$A$19,'模拟-单技能数据'!$H$2:$H$19)</f>
        <v>阴</v>
      </c>
      <c r="U663" s="119">
        <f t="shared" ca="1" si="543"/>
        <v>0.08</v>
      </c>
      <c r="V663" s="47">
        <f ca="1">(1+L663)*(LOOKUP(D663,'模拟-单技能数据'!$A$2:$A$19,'模拟-单技能数据'!$D$2:$D$19)+G663*LOOKUP(D663,'模拟-单技能数据'!$A$2:$A$19,'模拟-单技能数据'!$F$2:$F$19))*(1+J663)*(1+K663)*(1-S663)*(1+U663)*Q663*LOOKUP(D663,'模拟-单技能数据'!$A$2:$A$19,'模拟-单技能数据'!$I$2:$I$20)</f>
        <v>116578.90677476654</v>
      </c>
      <c r="W663" s="47">
        <f ca="1">LOOKUP(D663,'模拟-单技能数据'!$A$2:$A$19,'模拟-单技能数据'!$G$2:$G$19)*$I$10</f>
        <v>361.51064354704795</v>
      </c>
      <c r="X663" s="47">
        <f t="shared" ca="1" si="571"/>
        <v>31682.700929730119</v>
      </c>
      <c r="Y663" s="47">
        <f t="shared" ca="1" si="544"/>
        <v>148623.1183480437</v>
      </c>
      <c r="Z663" s="49">
        <f t="shared" ca="1" si="545"/>
        <v>66967832.23383864</v>
      </c>
      <c r="AA663" s="97">
        <f t="shared" ca="1" si="546"/>
        <v>114141.28314471866</v>
      </c>
      <c r="AB663" s="115">
        <f ca="1">IF(OR(C663="赤日轮1",C663="赤日轮2",C663="赤日轮3"),IF(RAND()&lt;模拟模式!$Y$17,1,0),IF(OR(C663="幽月轮1",C663="幽月轮2",C663="幽月轮3"),IF(RAND()&lt;模拟模式!$Y$18,1,0),IF(C663="烈日斩",IF(RAND()&lt;模拟模式!$Y$19,1,0),IF(C663="银月斩",IF(RAND()&lt;模拟模式!$Y$20,1,0),IF(C663="驱夜断愁",IF(RAND()&lt;模拟模式!$Y$21,1,0),IF(C663="净世破魔击·日",IF(RAND()&lt;模拟模式!$Y$22,1,0),IF(C663="净世破魔击·月",IF(RAND()&lt;模拟模式!$Y$23,1,0),0)))))))</f>
        <v>1</v>
      </c>
      <c r="AC663" s="115" t="b">
        <f t="shared" ca="1" si="547"/>
        <v>0</v>
      </c>
      <c r="AD663" s="115" t="b">
        <f t="shared" ca="1" si="548"/>
        <v>0</v>
      </c>
      <c r="AE663" s="115">
        <f t="shared" ca="1" si="549"/>
        <v>3</v>
      </c>
      <c r="AF663" s="47">
        <f ca="1">IF(AC663,('模拟-单技能数据'!$D$20+G663*'模拟-单技能数据'!$F$20)*(1+J663)*(1+'模拟-单技能数据'!$J$20)*(1+U663),0)</f>
        <v>0</v>
      </c>
      <c r="AG663" s="61">
        <f t="shared" ca="1" si="550"/>
        <v>0.64185145527300214</v>
      </c>
      <c r="AH663" s="61">
        <f t="shared" ca="1" si="551"/>
        <v>2.2624828854998791</v>
      </c>
      <c r="AI663" s="62">
        <f t="shared" ca="1" si="572"/>
        <v>2.887260740543407E-2</v>
      </c>
      <c r="AJ663" s="47">
        <f ca="1">IF(AD663,IF(AI663&lt;$F$10,0,IF(AI663&lt;$F$10+$F$11,0.25,IF(AI663&lt;$F$10+$F$11+AG663,AH663,1)))*IF(AF663&gt;0,AF663,IF(AF662&gt;0,AF662,IF(AF661&gt;0,AF661,IF(AF660&gt;0,AF660,IF(AF659&gt;0,AF659,IF(AF658&gt;0,AF658,IF(AF657&gt;0,AF657,IF(AF656&gt;0,AF656,IF(AF655&gt;0,AF655,IF(AF653&gt;0,AF653,IF(AF652&gt;0,AF652,IF(AF651&gt;0,AF651,0)))))))))))),0)*(1-$S663)*'模拟-单技能数据'!$I$20</f>
        <v>0</v>
      </c>
      <c r="AK663" s="115" t="b">
        <f t="shared" ca="1" si="552"/>
        <v>0</v>
      </c>
      <c r="AL663" s="115" t="b">
        <f t="shared" ca="1" si="553"/>
        <v>1</v>
      </c>
      <c r="AM663" s="115">
        <f t="shared" ca="1" si="554"/>
        <v>5</v>
      </c>
      <c r="AN663" s="47">
        <f ca="1">IF(AK663,('模拟-单技能数据'!$D$21+G663*'模拟-单技能数据'!$F$21)*(1+J663)*(1+'模拟-单技能数据'!$J$21)*(1+U663),0)</f>
        <v>0</v>
      </c>
      <c r="AO663" s="61">
        <f ca="1">IF(AN663&gt;0,M663-'模拟-单技能数据'!$K$10,AO662)</f>
        <v>0.42185145527300216</v>
      </c>
      <c r="AP663" s="61">
        <f ca="1">IF(AN663&gt;0,I663-'模拟-单技能数据'!$L$10,AP662)</f>
        <v>2.162482885499879</v>
      </c>
      <c r="AQ663" s="63">
        <f t="shared" ca="1" si="573"/>
        <v>0.23698892424197782</v>
      </c>
      <c r="AR663" s="64">
        <f ca="1">IF(AL663,IF(AQ663&lt;$F$10,0,IF(AQ663&lt;$F$10+$F$11,0.25,IF(AQ663&lt;$F$10+$F$11+AO663,AP663,1)))*IF(AN663&gt;0,AN663,IF(AN662&gt;0,AN662,IF(AN661&gt;0,AN661,IF(AN660&gt;0,AN660,IF(AN659&gt;0,AN659,IF(AN658&gt;0,AN658,IF(AN657&gt;0,AN657,IF(AN656&gt;0,AN656,IF(AN655&gt;0,AN655,IF(AN653&gt;0,AN653,IF(AN652&gt;0,AN652,IF(AN651&gt;0,AN651,0)))))))))))),0)*(1-$S663)*'模拟-单技能数据'!$I$21</f>
        <v>24043.249177625272</v>
      </c>
      <c r="AS663" s="61">
        <f ca="1">IF(OR(C663="净世破魔击·日",C663="净世破魔击·月"),M663-'模拟-单技能数据'!$K$10,0)</f>
        <v>0.42185145527300216</v>
      </c>
      <c r="AT663" s="61">
        <f ca="1">IF(OR(C663="净世破魔击·日",C663="净世破魔击·月"),I663-'模拟-单技能数据'!$L$10,0)</f>
        <v>2.162482885499879</v>
      </c>
      <c r="AU663" s="62">
        <f t="shared" ca="1" si="574"/>
        <v>0.73331423808259066</v>
      </c>
      <c r="AV663" s="64">
        <f ca="1">IF(AS663&gt;0,('模拟-单技能数据'!$D$22+G663*'模拟-单技能数据'!$F$22)*(1+J663)*(1-S663)*IF(AU663&lt;$F$10,0,IF(AU663&lt;$F$10+$F$11,0.25,IF(AU663&lt;$F$10+$F$11+AS663,AT663,1)))*(1+U663),0)*'模拟-单技能数据'!$I$22</f>
        <v>7639.4517521048492</v>
      </c>
      <c r="AW663" s="108">
        <f t="shared" ca="1" si="575"/>
        <v>11.697500000000005</v>
      </c>
      <c r="AX663" s="108" t="b">
        <f ca="1">AND(模拟模式!$P$10="有",AW662=0,RAND()&lt;IF(C663="净世破魔击·月",0.1*8/3,IF(C663="净世破魔击·日",0.1*4/3,0.1*2/3)))</f>
        <v>0</v>
      </c>
      <c r="AY663" s="47">
        <f ca="1">IF(AX663,(18+G663*0.722)*(1+J663)*(1-S663)*(1+$I$4)*IF(P663="会",'模拟-全程加成'!$J$3+'模拟-全程加成'!$J$4+'模拟-全程加成'!$J$5+('模拟-全程加成'!$I$4+'模拟-全程加成'!$I$5)/系数!$B$4+BG663*10%,IF(P663="命",1,IF(P663="识",0.25,0))),0)</f>
        <v>0</v>
      </c>
      <c r="AZ663" s="108">
        <f t="shared" si="576"/>
        <v>1.5500000000000065</v>
      </c>
      <c r="BA663" s="108" t="b">
        <f>AND(模拟模式!$Q$10="有",AZ662=0)</f>
        <v>0</v>
      </c>
      <c r="BB663" s="140">
        <f>IF(BA663,(0+G663*0.287)*(1+J663)*(1-S663)*(1+$I$4)*IF(P663="会",'模拟-全程加成'!$J$3+'模拟-全程加成'!$J$4+'模拟-全程加成'!$J$5+('模拟-全程加成'!$I$4+'模拟-全程加成'!$I$5)/系数!$B$4+BG663*10%,IF(P663="命",1,IF(P663="识",0.25,0))),0)</f>
        <v>0</v>
      </c>
      <c r="BC663" s="115" t="b">
        <f ca="1">AND(模拟模式!$R$7="伏明众生",E663=60,F663=20,DA663&lt;5,CZ662&lt;$F$4)</f>
        <v>0</v>
      </c>
      <c r="BD663" s="115">
        <f t="shared" ca="1" si="555"/>
        <v>0</v>
      </c>
      <c r="BE663" s="115" t="b">
        <f t="shared" ca="1" si="556"/>
        <v>0</v>
      </c>
      <c r="BF663" s="47">
        <f ca="1">IF(BC663,4*('模拟-单技能数据'!$D$24+G663*'模拟-单技能数据'!$F$24)*(1+J663)*(1+'模拟-单技能数据'!$J$24)*(1-S663)*(1+$I$3)*(('模拟-全程加成'!$J$3+'模拟-全程加成'!$J$4+'模拟-全程加成'!$J$5+('模拟-全程加成'!$I$4+'模拟-全程加成'!$I$5)/系数!$B$4+BG663*10%)*('模拟-全程加成'!$J$3+'模拟-全程加成'!$J$4+'模拟-全程加成'!$J$5+('模拟-全程加成'!$I$4+'模拟-全程加成'!$I$5)/系数!$B$4+BG663*10%)+(1-('模拟-全程加成'!$J$3+'模拟-全程加成'!$J$4+'模拟-全程加成'!$J$5+('模拟-全程加成'!$I$4+'模拟-全程加成'!$I$5)/系数!$B$4+BG663*10%)-$F$10-$F$11)+F649*0.25),0)*'模拟-单技能数据'!$I$24</f>
        <v>0</v>
      </c>
      <c r="BG663" s="115" t="b">
        <f ca="1">OR(AND(OR(C663="烈日斩",C663="银月斩"),模拟模式!$I$7="净身明礼"),AND(C663="净世破魔击·日",模拟模式!$J$7="洞若观火"),AND(C664="净世破魔击·月",模拟模式!$J$7="洞若观火"),AB663=1)</f>
        <v>1</v>
      </c>
      <c r="BH663" s="115" t="b">
        <f t="shared" ca="1" si="577"/>
        <v>0</v>
      </c>
      <c r="BI663" s="115">
        <f t="shared" ca="1" si="557"/>
        <v>0</v>
      </c>
      <c r="BJ663" s="115" t="b">
        <f t="shared" ca="1" si="558"/>
        <v>0</v>
      </c>
      <c r="BK663" s="115" t="b">
        <f ca="1">AND(C663="驱夜断愁",模拟模式!$P$7="天地诛戮")</f>
        <v>0</v>
      </c>
      <c r="BL663" s="57">
        <f t="shared" ca="1" si="559"/>
        <v>15.387500000000003</v>
      </c>
      <c r="BM663" s="115" t="b">
        <f t="shared" ca="1" si="560"/>
        <v>1</v>
      </c>
      <c r="BN663" s="115" t="b">
        <f ca="1">AND(OR(C663="赤日轮1",C663="赤日轮2",C663="赤日轮3",C663="幽月轮1",C663="幽月轮2",C663="幽月轮3"),AB663=1,模拟模式!$L$7="明光恒照")</f>
        <v>0</v>
      </c>
      <c r="BO663" s="117">
        <f t="shared" ca="1" si="561"/>
        <v>27.232500000000002</v>
      </c>
      <c r="BP663" s="115">
        <f t="shared" ca="1" si="578"/>
        <v>6</v>
      </c>
      <c r="BQ663" s="115" t="b">
        <f>模拟模式!$K$10="2600·水"</f>
        <v>0</v>
      </c>
      <c r="BR663" s="117">
        <f t="shared" si="579"/>
        <v>0</v>
      </c>
      <c r="BS663" s="115">
        <f t="shared" si="580"/>
        <v>0</v>
      </c>
      <c r="BT663" s="115">
        <f t="shared" ca="1" si="581"/>
        <v>0</v>
      </c>
      <c r="BU663" s="115" t="b">
        <f ca="1">AND(模拟模式!$K$10="2300·雷",BT662=0,RAND()&lt;IF(C663="净世破魔击·月",5*0.05*2/3,IF(C663="净世破魔击·日",3*0.05*2/3,0.05*2*2/3)))</f>
        <v>0</v>
      </c>
      <c r="BV663" s="115">
        <f t="shared" ca="1" si="582"/>
        <v>0</v>
      </c>
      <c r="BW663" s="115">
        <f t="shared" ca="1" si="583"/>
        <v>151.40249999999958</v>
      </c>
      <c r="BX663" s="164" t="b">
        <f t="shared" ca="1" si="584"/>
        <v>0</v>
      </c>
      <c r="BY663" s="115">
        <f t="shared" ca="1" si="585"/>
        <v>0</v>
      </c>
      <c r="BZ663" s="115">
        <f>IF(OR(模拟模式!$P$16="10人团",模拟模式!$P$16="25人团"),IF(B663/30&gt;CA662,1,0),0)</f>
        <v>0</v>
      </c>
      <c r="CA663" s="115">
        <f t="shared" si="562"/>
        <v>0</v>
      </c>
      <c r="CB663" s="115">
        <f ca="1">IF(BZ663=1,IF(模拟模式!$P$16="10人团",15,0)+IF(模拟模式!$P$16="25人团",IF(RAND()&lt;0.6,15,0)),MAX(0,CB662-$F$4))</f>
        <v>0</v>
      </c>
      <c r="CC663" s="115" t="b">
        <f t="shared" ca="1" si="563"/>
        <v>0</v>
      </c>
      <c r="CD663" s="115">
        <f>IF(模拟模式!$Q$16="1个",IF(B663/40&gt;CE662,1,0),0)</f>
        <v>0</v>
      </c>
      <c r="CE663" s="115">
        <f t="shared" si="564"/>
        <v>0</v>
      </c>
      <c r="CF663" s="115">
        <f>IF(OR(CD663=1,模拟模式!$Q$16="2个"),20,MAX(0,CF662-$F$4))</f>
        <v>0</v>
      </c>
      <c r="CG663" s="115" t="b">
        <f t="shared" si="565"/>
        <v>0</v>
      </c>
      <c r="CH663" s="115">
        <f t="shared" ca="1" si="586"/>
        <v>1.4025000000000118</v>
      </c>
      <c r="CI663" s="115" t="b">
        <f t="shared" ca="1" si="587"/>
        <v>0</v>
      </c>
      <c r="CJ663" s="119">
        <f t="shared" ca="1" si="588"/>
        <v>0</v>
      </c>
      <c r="CK663" s="115">
        <f t="shared" ca="1" si="589"/>
        <v>0</v>
      </c>
      <c r="CL663" s="115" t="b">
        <f ca="1">AND(模拟模式!$S$7="驱夷逐法",OR(AND(C663="净世破魔击·月",E662&gt;59),AND(C663="净世破魔击·日",F662&gt;59)))</f>
        <v>0</v>
      </c>
      <c r="CM663" s="115" t="b">
        <f ca="1">OR(CL663,AND(C663="净世破魔击·日",CL662,RAND()&lt;模拟模式!$U$23))</f>
        <v>0</v>
      </c>
      <c r="CN663" s="115" t="b">
        <f ca="1">IF(模拟模式!$M$7="辉耀红尘",AND(C663="净世破魔击·月",CL663,CV663=0,E662&lt;80),AND(C663="净世破魔击·月",CL663,E662&lt;100))</f>
        <v>0</v>
      </c>
      <c r="CO663" s="115" t="b">
        <f t="shared" ca="1" si="566"/>
        <v>0</v>
      </c>
      <c r="CP663" s="115" t="b">
        <f ca="1">AND(模拟模式!$O$7="用晦而明",OR(C663="净世破魔击·日",C663="净世破魔击·月",C663="驱夜断愁"),AB663)</f>
        <v>1</v>
      </c>
      <c r="CQ663" s="115" t="b">
        <f ca="1">OR(CP663,AND(CP662,RAND()&lt;模拟模式!$U$23))</f>
        <v>1</v>
      </c>
      <c r="CR663" s="115" t="b">
        <f ca="1">AND(模拟模式!$S$7="日月齐光",OR(C663="幽月轮1",C663="幽月轮2",C663="幽月轮3",CR662),NOT(OR(C663="赤日轮1",C663="赤日轮2",C663="赤日轮3")))</f>
        <v>0</v>
      </c>
      <c r="CS663" s="115" t="b">
        <f ca="1">AND(模拟模式!$S$7="日月齐光",OR(C663="赤日轮1",C663="赤日轮2",C663="赤日轮3",CS662),NOT(OR(C663="幽月轮1",C663="幽月轮2",C663="幽月轮3")))</f>
        <v>0</v>
      </c>
      <c r="CT663" s="115">
        <f t="shared" ca="1" si="590"/>
        <v>29.077500000000001</v>
      </c>
      <c r="CU663" s="115" t="b">
        <f ca="1">AND(模拟模式!$K$10="阴阳往极",CT662=0,RAND()&lt;IF(C663="净世破魔击·月",0.0275*7/3,IF(C663="净世破魔击·日",0.0275*3/3,0.0275*2/3)))</f>
        <v>0</v>
      </c>
      <c r="CV663" s="115">
        <f t="shared" ca="1" si="591"/>
        <v>3.1549999999999998</v>
      </c>
      <c r="CW663" s="115">
        <f t="shared" ca="1" si="592"/>
        <v>2.3099999999999996</v>
      </c>
      <c r="CX663" s="115">
        <f t="shared" ca="1" si="593"/>
        <v>0.46499999999999975</v>
      </c>
      <c r="CY663" s="115">
        <f ca="1">MAX(IF($C663="驱夜断愁",IF(模拟模式!$R$7="万念俱寂",6,45),CY662-$F$4),0)</f>
        <v>1.3874999999999997</v>
      </c>
      <c r="CZ663" s="115">
        <f t="shared" ca="1" si="567"/>
        <v>0</v>
      </c>
      <c r="DA663" s="115">
        <f ca="1">IF(模拟模式!$N$7="日月同辉",IF(DB662=2,0,MIN(6,IF(AND(OR(C663="赤日轮1",C663="赤日轮2",C663="赤日轮3",C663="幽月轮1",C663="幽月轮2",C663="幽月轮3"),AB663=1),DA662+1,DA662))),0)</f>
        <v>1</v>
      </c>
      <c r="DB663" s="115">
        <f t="shared" ca="1" si="568"/>
        <v>0</v>
      </c>
      <c r="DC663" s="115"/>
      <c r="DD663" s="115"/>
      <c r="DE663" s="115"/>
      <c r="DF663" s="115"/>
      <c r="DG663" s="115"/>
      <c r="DH663" s="115"/>
      <c r="DI663" s="115"/>
      <c r="DJ663" s="115"/>
      <c r="DK663" s="115"/>
      <c r="DL663" s="115"/>
      <c r="DM663" s="115"/>
    </row>
    <row r="664" spans="2:117" x14ac:dyDescent="0.2">
      <c r="B664" s="117">
        <f t="shared" si="569"/>
        <v>587.63250000000664</v>
      </c>
      <c r="C664" s="167" t="str">
        <f t="shared" ca="1" si="538"/>
        <v>净世破魔击·日</v>
      </c>
      <c r="D664" s="115">
        <f ca="1">IF(C664="赤日轮1",1,IF(C664="赤日轮2",2,IF(C664="赤日轮3",3,IF(C664="幽月轮1",4,IF(C664="幽月轮2",5,IF(C664="幽月轮3",6,IF(C664="烈日斩",7,IF(C664="银月斩",8,IF(C664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664="净世破魔击·月",17,IF(C664="驱夜断愁",18,0)))))))))))</f>
        <v>9</v>
      </c>
      <c r="E664" s="115">
        <f ca="1">IF(AND(CU664,OR(C664="幽月轮1",C664="幽月轮2",C664="幽月轮3",C664="银月斩",C664="驱夜断愁",C664="净世破魔击·月")),100,MIN(IF(OR(CN664,BE664),0,IF(OR($C664="赤日轮1",$C664="赤日轮2",$C664="赤日轮3"),E663+20+IF(模拟模式!$I$7="日月凌天",4,0)+IF(CR663,20,0),IF($C664="烈日斩",E663+40,IF($C664="驱夜断愁",IF(模拟模式!$R$7="万念俱寂",E663+20,E663+60),IF($C664="净世破魔击·月",IF(OR(DB663&gt;0,CV663&gt;0),100,IF(模拟模式!$M$7="辉耀红尘",E663+20,E663)),IF($C664="净世破魔击·日",E663-100,E663)))))),100))</f>
        <v>0</v>
      </c>
      <c r="F664" s="115">
        <f ca="1">IF(AND(CU664,OR(C664="赤日轮1",C664="赤日轮2",C664="赤日轮3",C664="烈日斩",C664="净世破魔击·日")),100,MIN(IF(CO664,0,IF(OR($C664="幽月轮1",$C664="幽月轮2",$C664="幽月轮3"),F663+20+IF(模拟模式!$I$7="日月凌天",4,0)+IF(CS663,20,0),IF($C664="银月斩",F663+40+IF(模拟模式!$X$12=1,5,0),IF($C664="驱夜断愁",IF(模拟模式!$R$7="万念俱寂",F663+20,F663+60),IF($C664="净世破魔击·月",IF(模拟模式!$M$7="辉耀红尘",F663-80,F663-100),IF(AND(C664="净世破魔击·日",OR(DB663&gt;0,CV663&gt;0)),100,F663)))))),100))</f>
        <v>100</v>
      </c>
      <c r="G664" s="117">
        <f ca="1">('模拟-全程加成'!$E$3+'模拟-全程加成'!$E$4+'模拟-全程加成'!$E$5+('模拟-全程加成'!$C$6-'模拟-全程加成'!$C$3)*系数!$B$9+BS664*23)*(1+'模拟-全程加成'!$F$4+'模拟-全程加成'!$F$5+BJ664*10%+BM664*20%+BP664*4%+CG664*30%)+$F$7*系数!$B$12</f>
        <v>20583.127400000001</v>
      </c>
      <c r="H664" s="45">
        <f ca="1">'模拟-全程加成'!$H$3+'模拟-全程加成'!$H$4+'模拟-全程加成'!$H$5+('模拟-全程加成'!$G$4+'模拟-全程加成'!$G$5+('模拟-全程加成'!$C$6-'模拟-全程加成'!$C$3)*系数!$B$13)/系数!$B$3+LOOKUP(D664,'模拟-单技能数据'!$A$2:$A$19,'模拟-单技能数据'!$K$2:$K$19)+BG664*10%+IF(BV664&gt;0,378,0)</f>
        <v>0.54185145527300216</v>
      </c>
      <c r="I664" s="45">
        <f ca="1">'模拟-全程加成'!$J$3+'模拟-全程加成'!$J$4+'模拟-全程加成'!$J$5+('模拟-全程加成'!$I$4+'模拟-全程加成'!$I$5)/系数!$B$4+LOOKUP(D664,'模拟-单技能数据'!$A$2:$A$19,'模拟-单技能数据'!$L$2:$L$19)+BG664*10%</f>
        <v>2.162482885499879</v>
      </c>
      <c r="J664" s="45">
        <f ca="1">(('模拟-全程加成'!$K$3+'模拟-全程加成'!$K$4+'模拟-全程加成'!$K$5+('模拟-全程加成'!$C$6-'模拟-全程加成'!$C$3)*系数!$B$10+IF(BV664&gt;0,882,0)+IF(BY664&gt;0,1831,0))*(1+'模拟-全程加成'!$L$4+'模拟-全程加成'!$L$5+CC664*20%))/系数!$B$5</f>
        <v>0.69723220422048726</v>
      </c>
      <c r="K664" s="119">
        <f ca="1">LOOKUP(D664,'模拟-单技能数据'!$A$2:$A$19,'模拟-单技能数据'!$J$2:$J$19)+IF(CM664,60%,0)+IF(DB663-DB664&gt;0,30%,0)+IF(OR(AND(OR(C664="赤日轮1",C664="赤日轮2",C664="赤日轮3"),CR664),AND(OR(C664="幽月轮1",C664="幽月轮2",C664="幽月轮3"),CS664)),35%,0)+CJ664</f>
        <v>0.2</v>
      </c>
      <c r="L664" s="119">
        <f ca="1">IF(AND(C664="烈日斩",模拟模式!$X$11=1),10%,0)+IF(AND(C664="驱夜断愁",AB664=1),30%,0)</f>
        <v>0</v>
      </c>
      <c r="M664" s="45">
        <f t="shared" ca="1" si="539"/>
        <v>0.54185145527300216</v>
      </c>
      <c r="N664" s="45">
        <f t="shared" ca="1" si="540"/>
        <v>0.40424854472699789</v>
      </c>
      <c r="O664" s="46">
        <f t="shared" ca="1" si="570"/>
        <v>0.84016789372627976</v>
      </c>
      <c r="P664" s="46" t="str">
        <f t="shared" ca="1" si="541"/>
        <v>命</v>
      </c>
      <c r="Q664" s="45">
        <f t="shared" ca="1" si="542"/>
        <v>1</v>
      </c>
      <c r="R664" s="117">
        <f ca="1">模拟模式!$E$20*(1-IF(模拟模式!$J$19="有",0.15,0))*(1-IF(模拟模式!$K$19="有",0.3,0)-IF(CQ664,0.5,0))</f>
        <v>843.02999999999975</v>
      </c>
      <c r="S664" s="45">
        <f ca="1">R664/(R664+(185*模拟模式!$E$22-16800)*4.08224)</f>
        <v>8.389626085980037E-2</v>
      </c>
      <c r="T664" s="45" t="str">
        <f ca="1">LOOKUP(D664,'模拟-单技能数据'!$A$2:$A$19,'模拟-单技能数据'!$H$2:$H$19)</f>
        <v>阳</v>
      </c>
      <c r="U664" s="119">
        <f t="shared" ca="1" si="543"/>
        <v>0.2</v>
      </c>
      <c r="V664" s="47">
        <f ca="1">(1+L664)*(LOOKUP(D664,'模拟-单技能数据'!$A$2:$A$19,'模拟-单技能数据'!$D$2:$D$19)+G664*LOOKUP(D664,'模拟-单技能数据'!$A$2:$A$19,'模拟-单技能数据'!$F$2:$F$19))*(1+J664)*(1+K664)*(1-S664)*(1+U664)*Q664*LOOKUP(D664,'模拟-单技能数据'!$A$2:$A$19,'模拟-单技能数据'!$I$2:$I$20)</f>
        <v>60398.417085084453</v>
      </c>
      <c r="W664" s="47">
        <f ca="1">LOOKUP(D664,'模拟-单技能数据'!$A$2:$A$19,'模拟-单技能数据'!$G$2:$G$19)*$I$10</f>
        <v>723.0212870940959</v>
      </c>
      <c r="X664" s="47">
        <f t="shared" ca="1" si="571"/>
        <v>12562.977746680799</v>
      </c>
      <c r="Y664" s="47">
        <f t="shared" ca="1" si="544"/>
        <v>73684.416118859343</v>
      </c>
      <c r="Z664" s="49">
        <f t="shared" ca="1" si="545"/>
        <v>67041516.6499575</v>
      </c>
      <c r="AA664" s="97">
        <f t="shared" ca="1" si="546"/>
        <v>114087.48945975034</v>
      </c>
      <c r="AB664" s="115">
        <f ca="1">IF(OR(C664="赤日轮1",C664="赤日轮2",C664="赤日轮3"),IF(RAND()&lt;模拟模式!$Y$17,1,0),IF(OR(C664="幽月轮1",C664="幽月轮2",C664="幽月轮3"),IF(RAND()&lt;模拟模式!$Y$18,1,0),IF(C664="烈日斩",IF(RAND()&lt;模拟模式!$Y$19,1,0),IF(C664="银月斩",IF(RAND()&lt;模拟模式!$Y$20,1,0),IF(C664="驱夜断愁",IF(RAND()&lt;模拟模式!$Y$21,1,0),IF(C664="净世破魔击·日",IF(RAND()&lt;模拟模式!$Y$22,1,0),IF(C664="净世破魔击·月",IF(RAND()&lt;模拟模式!$Y$23,1,0),0)))))))</f>
        <v>1</v>
      </c>
      <c r="AC664" s="115" t="b">
        <f t="shared" ca="1" si="547"/>
        <v>0</v>
      </c>
      <c r="AD664" s="115" t="b">
        <f t="shared" ca="1" si="548"/>
        <v>1</v>
      </c>
      <c r="AE664" s="115">
        <f t="shared" ca="1" si="549"/>
        <v>2</v>
      </c>
      <c r="AF664" s="47">
        <f ca="1">IF(AC664,('模拟-单技能数据'!$D$20+G664*'模拟-单技能数据'!$F$20)*(1+J664)*(1+'模拟-单技能数据'!$J$20)*(1+U664),0)</f>
        <v>0</v>
      </c>
      <c r="AG664" s="61">
        <f t="shared" ca="1" si="550"/>
        <v>0.64185145527300214</v>
      </c>
      <c r="AH664" s="61">
        <f t="shared" ca="1" si="551"/>
        <v>2.2624828854998791</v>
      </c>
      <c r="AI664" s="62">
        <f t="shared" ca="1" si="572"/>
        <v>0.76262035743438217</v>
      </c>
      <c r="AJ664" s="47">
        <f ca="1">IF(AD664,IF(AI664&lt;$F$10,0,IF(AI664&lt;$F$10+$F$11,0.25,IF(AI664&lt;$F$10+$F$11+AG664,AH664,1)))*IF(AF664&gt;0,AF664,IF(AF663&gt;0,AF663,IF(AF662&gt;0,AF662,IF(AF661&gt;0,AF661,IF(AF660&gt;0,AF660,IF(AF659&gt;0,AF659,IF(AF658&gt;0,AF658,IF(AF657&gt;0,AF657,IF(AF656&gt;0,AF656,IF(AF654&gt;0,AF654,IF(AF653&gt;0,AF653,IF(AF652&gt;0,AF652,0)))))))))))),0)*(1-$S664)*'模拟-单技能数据'!$I$20</f>
        <v>4074.6980221198578</v>
      </c>
      <c r="AK664" s="115" t="b">
        <f t="shared" ca="1" si="552"/>
        <v>1</v>
      </c>
      <c r="AL664" s="115" t="b">
        <f t="shared" ca="1" si="553"/>
        <v>0</v>
      </c>
      <c r="AM664" s="115">
        <f t="shared" ca="1" si="554"/>
        <v>6</v>
      </c>
      <c r="AN664" s="47">
        <f ca="1">IF(AK664,('模拟-单技能数据'!$D$21+G664*'模拟-单技能数据'!$F$21)*(1+J664)*(1+'模拟-单技能数据'!$J$21)*(1+U664),0)</f>
        <v>12136.56601728573</v>
      </c>
      <c r="AO664" s="61">
        <f ca="1">IF(AN664&gt;0,M664-'模拟-单技能数据'!$K$10,AO663)</f>
        <v>0.42185145527300216</v>
      </c>
      <c r="AP664" s="61">
        <f ca="1">IF(AN664&gt;0,I664-'模拟-单技能数据'!$L$10,AP663)</f>
        <v>2.162482885499879</v>
      </c>
      <c r="AQ664" s="63">
        <f t="shared" ca="1" si="573"/>
        <v>0.48017224573925288</v>
      </c>
      <c r="AR664" s="64">
        <f ca="1">IF(AL664,IF(AQ664&lt;$F$10,0,IF(AQ664&lt;$F$10+$F$11,0.25,IF(AQ664&lt;$F$10+$F$11+AO664,AP664,1)))*IF(AN664&gt;0,AN664,IF(AN663&gt;0,AN663,IF(AN662&gt;0,AN662,IF(AN661&gt;0,AN661,IF(AN660&gt;0,AN660,IF(AN659&gt;0,AN659,IF(AN658&gt;0,AN658,IF(AN657&gt;0,AN657,IF(AN656&gt;0,AN656,IF(AN654&gt;0,AN654,IF(AN653&gt;0,AN653,IF(AN652&gt;0,AN652,0)))))))))))),0)*(1-$S664)*'模拟-单技能数据'!$I$21</f>
        <v>0</v>
      </c>
      <c r="AS664" s="61">
        <f ca="1">IF(OR(C664="净世破魔击·日",C664="净世破魔击·月"),M664-'模拟-单技能数据'!$K$10,0)</f>
        <v>0.42185145527300216</v>
      </c>
      <c r="AT664" s="61">
        <f ca="1">IF(OR(C664="净世破魔击·日",C664="净世破魔击·月"),I664-'模拟-单技能数据'!$L$10,0)</f>
        <v>2.162482885499879</v>
      </c>
      <c r="AU664" s="62">
        <f t="shared" ca="1" si="574"/>
        <v>0.90034328554063481</v>
      </c>
      <c r="AV664" s="64">
        <f ca="1">IF(AS664&gt;0,('模拟-单技能数据'!$D$22+G664*'模拟-单技能数据'!$F$22)*(1+J664)*(1-S664)*IF(AU664&lt;$F$10,0,IF(AU664&lt;$F$10+$F$11,0.25,IF(AU664&lt;$F$10+$F$11+AS664,AT664,1)))*(1+U664),0)*'模拟-单技能数据'!$I$22</f>
        <v>8488.2797245609418</v>
      </c>
      <c r="AW664" s="108">
        <f t="shared" ca="1" si="575"/>
        <v>10.775000000000006</v>
      </c>
      <c r="AX664" s="108" t="b">
        <f ca="1">AND(模拟模式!$P$10="有",AW663=0,RAND()&lt;IF(C664="净世破魔击·月",0.1*8/3,IF(C664="净世破魔击·日",0.1*4/3,0.1*2/3)))</f>
        <v>0</v>
      </c>
      <c r="AY664" s="47">
        <f ca="1">IF(AX664,(18+G664*0.722)*(1+J664)*(1-S664)*(1+$I$4)*IF(P664="会",'模拟-全程加成'!$J$3+'模拟-全程加成'!$J$4+'模拟-全程加成'!$J$5+('模拟-全程加成'!$I$4+'模拟-全程加成'!$I$5)/系数!$B$4+BG664*10%,IF(P664="命",1,IF(P664="识",0.25,0))),0)</f>
        <v>0</v>
      </c>
      <c r="AZ664" s="108">
        <f t="shared" si="576"/>
        <v>0.6275000000000065</v>
      </c>
      <c r="BA664" s="108" t="b">
        <f>AND(模拟模式!$Q$10="有",AZ663=0)</f>
        <v>0</v>
      </c>
      <c r="BB664" s="140">
        <f>IF(BA664,(0+G664*0.287)*(1+J664)*(1-S664)*(1+$I$4)*IF(P664="会",'模拟-全程加成'!$J$3+'模拟-全程加成'!$J$4+'模拟-全程加成'!$J$5+('模拟-全程加成'!$I$4+'模拟-全程加成'!$I$5)/系数!$B$4+BG664*10%,IF(P664="命",1,IF(P664="识",0.25,0))),0)</f>
        <v>0</v>
      </c>
      <c r="BC664" s="115" t="b">
        <f ca="1">AND(模拟模式!$R$7="伏明众生",E664=60,F664=20,DA664&lt;5,CZ663&lt;$F$4)</f>
        <v>0</v>
      </c>
      <c r="BD664" s="115">
        <f t="shared" ca="1" si="555"/>
        <v>0</v>
      </c>
      <c r="BE664" s="115" t="b">
        <f t="shared" ca="1" si="556"/>
        <v>0</v>
      </c>
      <c r="BF664" s="47">
        <f ca="1">IF(BC664,4*('模拟-单技能数据'!$D$24+G664*'模拟-单技能数据'!$F$24)*(1+J664)*(1+'模拟-单技能数据'!$J$24)*(1-S664)*(1+$I$3)*(('模拟-全程加成'!$J$3+'模拟-全程加成'!$J$4+'模拟-全程加成'!$J$5+('模拟-全程加成'!$I$4+'模拟-全程加成'!$I$5)/系数!$B$4+BG664*10%)*('模拟-全程加成'!$J$3+'模拟-全程加成'!$J$4+'模拟-全程加成'!$J$5+('模拟-全程加成'!$I$4+'模拟-全程加成'!$I$5)/系数!$B$4+BG664*10%)+(1-('模拟-全程加成'!$J$3+'模拟-全程加成'!$J$4+'模拟-全程加成'!$J$5+('模拟-全程加成'!$I$4+'模拟-全程加成'!$I$5)/系数!$B$4+BG664*10%)-$F$10-$F$11)+F650*0.25),0)*'模拟-单技能数据'!$I$24</f>
        <v>0</v>
      </c>
      <c r="BG664" s="115" t="b">
        <f ca="1">OR(AND(OR(C664="烈日斩",C664="银月斩"),模拟模式!$I$7="净身明礼"),AND(C664="净世破魔击·日",模拟模式!$J$7="洞若观火"),AND(C665="净世破魔击·月",模拟模式!$J$7="洞若观火"),AB664=1)</f>
        <v>1</v>
      </c>
      <c r="BH664" s="115" t="b">
        <f t="shared" ca="1" si="577"/>
        <v>0</v>
      </c>
      <c r="BI664" s="115">
        <f t="shared" ca="1" si="557"/>
        <v>0</v>
      </c>
      <c r="BJ664" s="115" t="b">
        <f t="shared" ca="1" si="558"/>
        <v>0</v>
      </c>
      <c r="BK664" s="115" t="b">
        <f ca="1">AND(C664="驱夜断愁",模拟模式!$P$7="天地诛戮")</f>
        <v>0</v>
      </c>
      <c r="BL664" s="57">
        <f t="shared" ca="1" si="559"/>
        <v>14.465000000000003</v>
      </c>
      <c r="BM664" s="115" t="b">
        <f t="shared" ca="1" si="560"/>
        <v>1</v>
      </c>
      <c r="BN664" s="115" t="b">
        <f ca="1">AND(OR(C664="赤日轮1",C664="赤日轮2",C664="赤日轮3",C664="幽月轮1",C664="幽月轮2",C664="幽月轮3"),AB664=1,模拟模式!$L$7="明光恒照")</f>
        <v>0</v>
      </c>
      <c r="BO664" s="117">
        <f t="shared" ca="1" si="561"/>
        <v>26.310000000000002</v>
      </c>
      <c r="BP664" s="115">
        <f t="shared" ca="1" si="578"/>
        <v>6</v>
      </c>
      <c r="BQ664" s="115" t="b">
        <f>模拟模式!$K$10="2600·水"</f>
        <v>0</v>
      </c>
      <c r="BR664" s="117">
        <f t="shared" si="579"/>
        <v>0</v>
      </c>
      <c r="BS664" s="115">
        <f t="shared" si="580"/>
        <v>0</v>
      </c>
      <c r="BT664" s="115">
        <f t="shared" ca="1" si="581"/>
        <v>0</v>
      </c>
      <c r="BU664" s="115" t="b">
        <f ca="1">AND(模拟模式!$K$10="2300·雷",BT663=0,RAND()&lt;IF(C664="净世破魔击·月",5*0.05*2/3,IF(C664="净世破魔击·日",3*0.05*2/3,0.05*2*2/3)))</f>
        <v>0</v>
      </c>
      <c r="BV664" s="115">
        <f t="shared" ca="1" si="582"/>
        <v>0</v>
      </c>
      <c r="BW664" s="115">
        <f t="shared" ca="1" si="583"/>
        <v>150.47999999999956</v>
      </c>
      <c r="BX664" s="164" t="b">
        <f t="shared" ca="1" si="584"/>
        <v>0</v>
      </c>
      <c r="BY664" s="115">
        <f t="shared" ca="1" si="585"/>
        <v>0</v>
      </c>
      <c r="BZ664" s="115">
        <f>IF(OR(模拟模式!$P$16="10人团",模拟模式!$P$16="25人团"),IF(B664/30&gt;CA663,1,0),0)</f>
        <v>0</v>
      </c>
      <c r="CA664" s="115">
        <f t="shared" si="562"/>
        <v>0</v>
      </c>
      <c r="CB664" s="115">
        <f ca="1">IF(BZ664=1,IF(模拟模式!$P$16="10人团",15,0)+IF(模拟模式!$P$16="25人团",IF(RAND()&lt;0.6,15,0)),MAX(0,CB663-$F$4))</f>
        <v>0</v>
      </c>
      <c r="CC664" s="115" t="b">
        <f t="shared" ca="1" si="563"/>
        <v>0</v>
      </c>
      <c r="CD664" s="115">
        <f>IF(模拟模式!$Q$16="1个",IF(B664/40&gt;CE663,1,0),0)</f>
        <v>0</v>
      </c>
      <c r="CE664" s="115">
        <f t="shared" si="564"/>
        <v>0</v>
      </c>
      <c r="CF664" s="115">
        <f>IF(OR(CD664=1,模拟模式!$Q$16="2个"),20,MAX(0,CF663-$F$4))</f>
        <v>0</v>
      </c>
      <c r="CG664" s="115" t="b">
        <f t="shared" si="565"/>
        <v>0</v>
      </c>
      <c r="CH664" s="115">
        <f t="shared" ca="1" si="586"/>
        <v>0.48000000000001186</v>
      </c>
      <c r="CI664" s="115" t="b">
        <f t="shared" ca="1" si="587"/>
        <v>0</v>
      </c>
      <c r="CJ664" s="119">
        <f t="shared" ca="1" si="588"/>
        <v>0</v>
      </c>
      <c r="CK664" s="115">
        <f t="shared" ca="1" si="589"/>
        <v>0</v>
      </c>
      <c r="CL664" s="115" t="b">
        <f ca="1">AND(模拟模式!$S$7="驱夷逐法",OR(AND(C664="净世破魔击·月",E663&gt;59),AND(C664="净世破魔击·日",F663&gt;59)))</f>
        <v>0</v>
      </c>
      <c r="CM664" s="115" t="b">
        <f ca="1">OR(CL664,AND(C664="净世破魔击·日",CL663,RAND()&lt;模拟模式!$U$23))</f>
        <v>0</v>
      </c>
      <c r="CN664" s="115" t="b">
        <f ca="1">IF(模拟模式!$M$7="辉耀红尘",AND(C664="净世破魔击·月",CL664,CV664=0,E663&lt;80),AND(C664="净世破魔击·月",CL664,E663&lt;100))</f>
        <v>0</v>
      </c>
      <c r="CO664" s="115" t="b">
        <f t="shared" ca="1" si="566"/>
        <v>0</v>
      </c>
      <c r="CP664" s="115" t="b">
        <f ca="1">AND(模拟模式!$O$7="用晦而明",OR(C664="净世破魔击·日",C664="净世破魔击·月",C664="驱夜断愁"),AB664)</f>
        <v>1</v>
      </c>
      <c r="CQ664" s="115" t="b">
        <f ca="1">OR(CP664,AND(CP663,RAND()&lt;模拟模式!$U$23))</f>
        <v>1</v>
      </c>
      <c r="CR664" s="115" t="b">
        <f ca="1">AND(模拟模式!$S$7="日月齐光",OR(C664="幽月轮1",C664="幽月轮2",C664="幽月轮3",CR663),NOT(OR(C664="赤日轮1",C664="赤日轮2",C664="赤日轮3")))</f>
        <v>0</v>
      </c>
      <c r="CS664" s="115" t="b">
        <f ca="1">AND(模拟模式!$S$7="日月齐光",OR(C664="赤日轮1",C664="赤日轮2",C664="赤日轮3",CS663),NOT(OR(C664="幽月轮1",C664="幽月轮2",C664="幽月轮3")))</f>
        <v>0</v>
      </c>
      <c r="CT664" s="115">
        <f t="shared" ca="1" si="590"/>
        <v>28.155000000000001</v>
      </c>
      <c r="CU664" s="115" t="b">
        <f ca="1">AND(模拟模式!$K$10="阴阳往极",CT663=0,RAND()&lt;IF(C664="净世破魔击·月",0.0275*7/3,IF(C664="净世破魔击·日",0.0275*3/3,0.0275*2/3)))</f>
        <v>0</v>
      </c>
      <c r="CV664" s="115">
        <f t="shared" ca="1" si="591"/>
        <v>2.2324999999999999</v>
      </c>
      <c r="CW664" s="115">
        <f t="shared" ca="1" si="592"/>
        <v>1.3874999999999997</v>
      </c>
      <c r="CX664" s="115">
        <f t="shared" ca="1" si="593"/>
        <v>0</v>
      </c>
      <c r="CY664" s="115">
        <f ca="1">MAX(IF($C664="驱夜断愁",IF(模拟模式!$R$7="万念俱寂",6,45),CY663-$F$4),0)</f>
        <v>0.46499999999999975</v>
      </c>
      <c r="CZ664" s="115">
        <f t="shared" ca="1" si="567"/>
        <v>0</v>
      </c>
      <c r="DA664" s="115">
        <f ca="1">IF(模拟模式!$N$7="日月同辉",IF(DB663=2,0,MIN(6,IF(AND(OR(C664="赤日轮1",C664="赤日轮2",C664="赤日轮3",C664="幽月轮1",C664="幽月轮2",C664="幽月轮3"),AB664=1),DA663+1,DA663))),0)</f>
        <v>1</v>
      </c>
      <c r="DB664" s="115">
        <f t="shared" ca="1" si="568"/>
        <v>0</v>
      </c>
      <c r="DC664" s="115"/>
      <c r="DD664" s="115"/>
      <c r="DE664" s="115"/>
      <c r="DF664" s="115"/>
      <c r="DG664" s="115"/>
      <c r="DH664" s="115"/>
      <c r="DI664" s="115"/>
      <c r="DJ664" s="115"/>
      <c r="DK664" s="115"/>
      <c r="DL664" s="115"/>
      <c r="DM664" s="115"/>
    </row>
    <row r="665" spans="2:117" x14ac:dyDescent="0.2">
      <c r="B665" s="117">
        <f t="shared" si="569"/>
        <v>588.55500000000666</v>
      </c>
      <c r="C665" s="167" t="str">
        <f t="shared" ca="1" si="538"/>
        <v>净世破魔击·月</v>
      </c>
      <c r="D665" s="115">
        <f ca="1">IF(C665="赤日轮1",1,IF(C665="赤日轮2",2,IF(C665="赤日轮3",3,IF(C665="幽月轮1",4,IF(C665="幽月轮2",5,IF(C665="幽月轮3",6,IF(C665="烈日斩",7,IF(C665="银月斩",8,IF(C665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665="净世破魔击·月",17,IF(C665="驱夜断愁",18,0)))))))))))</f>
        <v>17</v>
      </c>
      <c r="E665" s="115">
        <f ca="1">IF(AND(CU665,OR(C665="幽月轮1",C665="幽月轮2",C665="幽月轮3",C665="银月斩",C665="驱夜断愁",C665="净世破魔击·月")),100,MIN(IF(OR(CN665,BE665),0,IF(OR($C665="赤日轮1",$C665="赤日轮2",$C665="赤日轮3"),E664+20+IF(模拟模式!$I$7="日月凌天",4,0)+IF(CR664,20,0),IF($C665="烈日斩",E664+40,IF($C665="驱夜断愁",IF(模拟模式!$R$7="万念俱寂",E664+20,E664+60),IF($C665="净世破魔击·月",IF(OR(DB664&gt;0,CV664&gt;0),100,IF(模拟模式!$M$7="辉耀红尘",E664+20,E664)),IF($C665="净世破魔击·日",E664-100,E664)))))),100))</f>
        <v>100</v>
      </c>
      <c r="F665" s="115">
        <f ca="1">IF(AND(CU665,OR(C665="赤日轮1",C665="赤日轮2",C665="赤日轮3",C665="烈日斩",C665="净世破魔击·日")),100,MIN(IF(CO665,0,IF(OR($C665="幽月轮1",$C665="幽月轮2",$C665="幽月轮3"),F664+20+IF(模拟模式!$I$7="日月凌天",4,0)+IF(CS664,20,0),IF($C665="银月斩",F664+40+IF(模拟模式!$X$12=1,5,0),IF($C665="驱夜断愁",IF(模拟模式!$R$7="万念俱寂",F664+20,F664+60),IF($C665="净世破魔击·月",IF(模拟模式!$M$7="辉耀红尘",F664-80,F664-100),IF(AND(C665="净世破魔击·日",OR(DB664&gt;0,CV664&gt;0)),100,F664)))))),100))</f>
        <v>20</v>
      </c>
      <c r="G665" s="117">
        <f ca="1">('模拟-全程加成'!$E$3+'模拟-全程加成'!$E$4+'模拟-全程加成'!$E$5+('模拟-全程加成'!$C$6-'模拟-全程加成'!$C$3)*系数!$B$9+BS665*23)*(1+'模拟-全程加成'!$F$4+'模拟-全程加成'!$F$5+BJ665*10%+BM665*20%+BP665*4%+CG665*30%)+$F$7*系数!$B$12</f>
        <v>20583.127400000001</v>
      </c>
      <c r="H665" s="45">
        <f ca="1">'模拟-全程加成'!$H$3+'模拟-全程加成'!$H$4+'模拟-全程加成'!$H$5+('模拟-全程加成'!$G$4+'模拟-全程加成'!$G$5+('模拟-全程加成'!$C$6-'模拟-全程加成'!$C$3)*系数!$B$13)/系数!$B$3+LOOKUP(D665,'模拟-单技能数据'!$A$2:$A$19,'模拟-单技能数据'!$K$2:$K$19)+BG665*10%+IF(BV665&gt;0,378,0)</f>
        <v>0.54185145527300216</v>
      </c>
      <c r="I665" s="45">
        <f ca="1">'模拟-全程加成'!$J$3+'模拟-全程加成'!$J$4+'模拟-全程加成'!$J$5+('模拟-全程加成'!$I$4+'模拟-全程加成'!$I$5)/系数!$B$4+LOOKUP(D665,'模拟-单技能数据'!$A$2:$A$19,'模拟-单技能数据'!$L$2:$L$19)+BG665*10%</f>
        <v>2.162482885499879</v>
      </c>
      <c r="J665" s="45">
        <f ca="1">(('模拟-全程加成'!$K$3+'模拟-全程加成'!$K$4+'模拟-全程加成'!$K$5+('模拟-全程加成'!$C$6-'模拟-全程加成'!$C$3)*系数!$B$10+IF(BV665&gt;0,882,0)+IF(BY665&gt;0,1831,0))*(1+'模拟-全程加成'!$L$4+'模拟-全程加成'!$L$5+CC665*20%))/系数!$B$5</f>
        <v>0.69723220422048726</v>
      </c>
      <c r="K665" s="119">
        <f ca="1">LOOKUP(D665,'模拟-单技能数据'!$A$2:$A$19,'模拟-单技能数据'!$J$2:$J$19)+IF(CM665,60%,0)+IF(DB664-DB665&gt;0,30%,0)+IF(OR(AND(OR(C665="赤日轮1",C665="赤日轮2",C665="赤日轮3"),CR665),AND(OR(C665="幽月轮1",C665="幽月轮2",C665="幽月轮3"),CS665)),35%,0)+CJ665</f>
        <v>0.2</v>
      </c>
      <c r="L665" s="119">
        <f ca="1">IF(AND(C665="烈日斩",模拟模式!$X$11=1),10%,0)+IF(AND(C665="驱夜断愁",AB665=1),30%,0)</f>
        <v>0</v>
      </c>
      <c r="M665" s="45">
        <f t="shared" ca="1" si="539"/>
        <v>0.54185145527300216</v>
      </c>
      <c r="N665" s="45">
        <f t="shared" ca="1" si="540"/>
        <v>0.40424854472699789</v>
      </c>
      <c r="O665" s="46">
        <f t="shared" ca="1" si="570"/>
        <v>0.74727590073495054</v>
      </c>
      <c r="P665" s="46" t="str">
        <f t="shared" ca="1" si="541"/>
        <v>命</v>
      </c>
      <c r="Q665" s="45">
        <f t="shared" ca="1" si="542"/>
        <v>1</v>
      </c>
      <c r="R665" s="117">
        <f ca="1">模拟模式!$E$20*(1-IF(模拟模式!$J$19="有",0.15,0))*(1-IF(模拟模式!$K$19="有",0.3,0)-IF(CQ665,0.5,0))</f>
        <v>843.02999999999975</v>
      </c>
      <c r="S665" s="45">
        <f ca="1">R665/(R665+(185*模拟模式!$E$22-16800)*4.08224)</f>
        <v>8.389626085980037E-2</v>
      </c>
      <c r="T665" s="45" t="str">
        <f ca="1">LOOKUP(D665,'模拟-单技能数据'!$A$2:$A$19,'模拟-单技能数据'!$H$2:$H$19)</f>
        <v>阴</v>
      </c>
      <c r="U665" s="119">
        <f t="shared" ca="1" si="543"/>
        <v>0.08</v>
      </c>
      <c r="V665" s="47">
        <f ca="1">(1+L665)*(LOOKUP(D665,'模拟-单技能数据'!$A$2:$A$19,'模拟-单技能数据'!$D$2:$D$19)+G665*LOOKUP(D665,'模拟-单技能数据'!$A$2:$A$19,'模拟-单技能数据'!$F$2:$F$19))*(1+J665)*(1+K665)*(1-S665)*(1+U665)*Q665*LOOKUP(D665,'模拟-单技能数据'!$A$2:$A$19,'模拟-单技能数据'!$I$2:$I$20)</f>
        <v>53909.747705502974</v>
      </c>
      <c r="W665" s="47">
        <f ca="1">LOOKUP(D665,'模拟-单技能数据'!$A$2:$A$19,'模拟-单技能数据'!$G$2:$G$19)*$I$10</f>
        <v>361.51064354704795</v>
      </c>
      <c r="X665" s="47">
        <f t="shared" ca="1" si="571"/>
        <v>27638.53717728614</v>
      </c>
      <c r="Y665" s="47">
        <f t="shared" ca="1" si="544"/>
        <v>81909.795526336165</v>
      </c>
      <c r="Z665" s="49">
        <f t="shared" ca="1" si="545"/>
        <v>67123426.445483834</v>
      </c>
      <c r="AA665" s="97">
        <f t="shared" ca="1" si="546"/>
        <v>114047.83995630498</v>
      </c>
      <c r="AB665" s="115">
        <f ca="1">IF(OR(C665="赤日轮1",C665="赤日轮2",C665="赤日轮3"),IF(RAND()&lt;模拟模式!$Y$17,1,0),IF(OR(C665="幽月轮1",C665="幽月轮2",C665="幽月轮3"),IF(RAND()&lt;模拟模式!$Y$18,1,0),IF(C665="烈日斩",IF(RAND()&lt;模拟模式!$Y$19,1,0),IF(C665="银月斩",IF(RAND()&lt;模拟模式!$Y$20,1,0),IF(C665="驱夜断愁",IF(RAND()&lt;模拟模式!$Y$21,1,0),IF(C665="净世破魔击·日",IF(RAND()&lt;模拟模式!$Y$22,1,0),IF(C665="净世破魔击·月",IF(RAND()&lt;模拟模式!$Y$23,1,0),0)))))))</f>
        <v>1</v>
      </c>
      <c r="AC665" s="115" t="b">
        <f t="shared" ca="1" si="547"/>
        <v>0</v>
      </c>
      <c r="AD665" s="115" t="b">
        <f t="shared" ca="1" si="548"/>
        <v>0</v>
      </c>
      <c r="AE665" s="115">
        <f t="shared" ca="1" si="549"/>
        <v>2</v>
      </c>
      <c r="AF665" s="47">
        <f ca="1">IF(AC665,('模拟-单技能数据'!$D$20+G665*'模拟-单技能数据'!$F$20)*(1+J665)*(1+'模拟-单技能数据'!$J$20)*(1+U665),0)</f>
        <v>0</v>
      </c>
      <c r="AG665" s="61">
        <f t="shared" ca="1" si="550"/>
        <v>0.64185145527300214</v>
      </c>
      <c r="AH665" s="61">
        <f t="shared" ca="1" si="551"/>
        <v>2.2624828854998791</v>
      </c>
      <c r="AI665" s="62">
        <f t="shared" ca="1" si="572"/>
        <v>0.78544647356493003</v>
      </c>
      <c r="AJ665" s="47">
        <f ca="1">IF(AD665,IF(AI665&lt;$F$10,0,IF(AI665&lt;$F$10+$F$11,0.25,IF(AI665&lt;$F$10+$F$11+AG665,AH665,1)))*IF(AF665&gt;0,AF665,IF(AF664&gt;0,AF664,IF(AF663&gt;0,AF663,IF(AF662&gt;0,AF662,IF(AF661&gt;0,AF661,IF(AF660&gt;0,AF660,IF(AF659&gt;0,AF659,IF(AF658&gt;0,AF658,IF(AF657&gt;0,AF657,IF(AF655&gt;0,AF655,IF(AF654&gt;0,AF654,IF(AF653&gt;0,AF653,0)))))))))))),0)*(1-$S665)*'模拟-单技能数据'!$I$20</f>
        <v>0</v>
      </c>
      <c r="AK665" s="115" t="b">
        <f t="shared" ca="1" si="552"/>
        <v>0</v>
      </c>
      <c r="AL665" s="115" t="b">
        <f t="shared" ca="1" si="553"/>
        <v>1</v>
      </c>
      <c r="AM665" s="115">
        <f t="shared" ca="1" si="554"/>
        <v>5</v>
      </c>
      <c r="AN665" s="47">
        <f ca="1">IF(AK665,('模拟-单技能数据'!$D$21+G665*'模拟-单技能数据'!$F$21)*(1+J665)*(1+'模拟-单技能数据'!$J$21)*(1+U665),0)</f>
        <v>0</v>
      </c>
      <c r="AO665" s="61">
        <f ca="1">IF(AN665&gt;0,M665-'模拟-单技能数据'!$K$10,AO664)</f>
        <v>0.42185145527300216</v>
      </c>
      <c r="AP665" s="61">
        <f ca="1">IF(AN665&gt;0,I665-'模拟-单技能数据'!$L$10,AP664)</f>
        <v>2.162482885499879</v>
      </c>
      <c r="AQ665" s="63">
        <f t="shared" ca="1" si="573"/>
        <v>0.71222012125127065</v>
      </c>
      <c r="AR665" s="64">
        <f ca="1">IF(AL665,IF(AQ665&lt;$F$10,0,IF(AQ665&lt;$F$10+$F$11,0.25,IF(AQ665&lt;$F$10+$F$11+AO665,AP665,1)))*IF(AN665&gt;0,AN665,IF(AN664&gt;0,AN664,IF(AN663&gt;0,AN663,IF(AN662&gt;0,AN662,IF(AN661&gt;0,AN661,IF(AN660&gt;0,AN660,IF(AN659&gt;0,AN659,IF(AN658&gt;0,AN658,IF(AN657&gt;0,AN657,IF(AN655&gt;0,AN655,IF(AN654&gt;0,AN654,IF(AN653&gt;0,AN653,0)))))))))))),0)*(1-$S665)*'模拟-单技能数据'!$I$21</f>
        <v>11118.353508757338</v>
      </c>
      <c r="AS665" s="61">
        <f ca="1">IF(OR(C665="净世破魔击·日",C665="净世破魔击·月"),M665-'模拟-单技能数据'!$K$10,0)</f>
        <v>0.42185145527300216</v>
      </c>
      <c r="AT665" s="61">
        <f ca="1">IF(OR(C665="净世破魔击·日",C665="净世破魔击·月"),I665-'模拟-单技能数据'!$L$10,0)</f>
        <v>2.162482885499879</v>
      </c>
      <c r="AU665" s="62">
        <f t="shared" ca="1" si="574"/>
        <v>0.19938940508816072</v>
      </c>
      <c r="AV665" s="64">
        <f ca="1">IF(AS665&gt;0,('模拟-单技能数据'!$D$22+G665*'模拟-单技能数据'!$F$22)*(1+J665)*(1-S665)*IF(AU665&lt;$F$10,0,IF(AU665&lt;$F$10+$F$11,0.25,IF(AU665&lt;$F$10+$F$11+AS665,AT665,1)))*(1+U665),0)*'模拟-单技能数据'!$I$22</f>
        <v>16520.1836685288</v>
      </c>
      <c r="AW665" s="108">
        <f t="shared" ca="1" si="575"/>
        <v>9.8525000000000063</v>
      </c>
      <c r="AX665" s="108" t="b">
        <f ca="1">AND(模拟模式!$P$10="有",AW664=0,RAND()&lt;IF(C665="净世破魔击·月",0.1*8/3,IF(C665="净世破魔击·日",0.1*4/3,0.1*2/3)))</f>
        <v>0</v>
      </c>
      <c r="AY665" s="47">
        <f ca="1">IF(AX665,(18+G665*0.722)*(1+J665)*(1-S665)*(1+$I$4)*IF(P665="会",'模拟-全程加成'!$J$3+'模拟-全程加成'!$J$4+'模拟-全程加成'!$J$5+('模拟-全程加成'!$I$4+'模拟-全程加成'!$I$5)/系数!$B$4+BG665*10%,IF(P665="命",1,IF(P665="识",0.25,0))),0)</f>
        <v>0</v>
      </c>
      <c r="AZ665" s="108">
        <f t="shared" si="576"/>
        <v>0</v>
      </c>
      <c r="BA665" s="108" t="b">
        <f>AND(模拟模式!$Q$10="有",AZ664=0)</f>
        <v>0</v>
      </c>
      <c r="BB665" s="140">
        <f>IF(BA665,(0+G665*0.287)*(1+J665)*(1-S665)*(1+$I$4)*IF(P665="会",'模拟-全程加成'!$J$3+'模拟-全程加成'!$J$4+'模拟-全程加成'!$J$5+('模拟-全程加成'!$I$4+'模拟-全程加成'!$I$5)/系数!$B$4+BG665*10%,IF(P665="命",1,IF(P665="识",0.25,0))),0)</f>
        <v>0</v>
      </c>
      <c r="BC665" s="115" t="b">
        <f ca="1">AND(模拟模式!$R$7="伏明众生",E665=60,F665=20,DA665&lt;5,CZ664&lt;$F$4)</f>
        <v>0</v>
      </c>
      <c r="BD665" s="115">
        <f t="shared" ca="1" si="555"/>
        <v>0</v>
      </c>
      <c r="BE665" s="115" t="b">
        <f t="shared" ca="1" si="556"/>
        <v>0</v>
      </c>
      <c r="BF665" s="47">
        <f ca="1">IF(BC665,4*('模拟-单技能数据'!$D$24+G665*'模拟-单技能数据'!$F$24)*(1+J665)*(1+'模拟-单技能数据'!$J$24)*(1-S665)*(1+$I$3)*(('模拟-全程加成'!$J$3+'模拟-全程加成'!$J$4+'模拟-全程加成'!$J$5+('模拟-全程加成'!$I$4+'模拟-全程加成'!$I$5)/系数!$B$4+BG665*10%)*('模拟-全程加成'!$J$3+'模拟-全程加成'!$J$4+'模拟-全程加成'!$J$5+('模拟-全程加成'!$I$4+'模拟-全程加成'!$I$5)/系数!$B$4+BG665*10%)+(1-('模拟-全程加成'!$J$3+'模拟-全程加成'!$J$4+'模拟-全程加成'!$J$5+('模拟-全程加成'!$I$4+'模拟-全程加成'!$I$5)/系数!$B$4+BG665*10%)-$F$10-$F$11)+F651*0.25),0)*'模拟-单技能数据'!$I$24</f>
        <v>0</v>
      </c>
      <c r="BG665" s="115" t="b">
        <f ca="1">OR(AND(OR(C665="烈日斩",C665="银月斩"),模拟模式!$I$7="净身明礼"),AND(C665="净世破魔击·日",模拟模式!$J$7="洞若观火"),AND(C666="净世破魔击·月",模拟模式!$J$7="洞若观火"),AB665=1)</f>
        <v>1</v>
      </c>
      <c r="BH665" s="115" t="b">
        <f t="shared" ca="1" si="577"/>
        <v>0</v>
      </c>
      <c r="BI665" s="115">
        <f t="shared" ca="1" si="557"/>
        <v>0</v>
      </c>
      <c r="BJ665" s="115" t="b">
        <f t="shared" ca="1" si="558"/>
        <v>0</v>
      </c>
      <c r="BK665" s="115" t="b">
        <f ca="1">AND(C665="驱夜断愁",模拟模式!$P$7="天地诛戮")</f>
        <v>0</v>
      </c>
      <c r="BL665" s="57">
        <f t="shared" ca="1" si="559"/>
        <v>13.542500000000004</v>
      </c>
      <c r="BM665" s="115" t="b">
        <f t="shared" ca="1" si="560"/>
        <v>1</v>
      </c>
      <c r="BN665" s="115" t="b">
        <f ca="1">AND(OR(C665="赤日轮1",C665="赤日轮2",C665="赤日轮3",C665="幽月轮1",C665="幽月轮2",C665="幽月轮3"),AB665=1,模拟模式!$L$7="明光恒照")</f>
        <v>0</v>
      </c>
      <c r="BO665" s="117">
        <f t="shared" ca="1" si="561"/>
        <v>25.387500000000003</v>
      </c>
      <c r="BP665" s="115">
        <f t="shared" ca="1" si="578"/>
        <v>6</v>
      </c>
      <c r="BQ665" s="115" t="b">
        <f>模拟模式!$K$10="2600·水"</f>
        <v>0</v>
      </c>
      <c r="BR665" s="117">
        <f t="shared" si="579"/>
        <v>0</v>
      </c>
      <c r="BS665" s="115">
        <f t="shared" si="580"/>
        <v>0</v>
      </c>
      <c r="BT665" s="115">
        <f t="shared" ca="1" si="581"/>
        <v>0</v>
      </c>
      <c r="BU665" s="115" t="b">
        <f ca="1">AND(模拟模式!$K$10="2300·雷",BT664=0,RAND()&lt;IF(C665="净世破魔击·月",5*0.05*2/3,IF(C665="净世破魔击·日",3*0.05*2/3,0.05*2*2/3)))</f>
        <v>0</v>
      </c>
      <c r="BV665" s="115">
        <f t="shared" ca="1" si="582"/>
        <v>0</v>
      </c>
      <c r="BW665" s="115">
        <f t="shared" ca="1" si="583"/>
        <v>149.55749999999955</v>
      </c>
      <c r="BX665" s="164" t="b">
        <f t="shared" ca="1" si="584"/>
        <v>0</v>
      </c>
      <c r="BY665" s="115">
        <f t="shared" ca="1" si="585"/>
        <v>0</v>
      </c>
      <c r="BZ665" s="115">
        <f>IF(OR(模拟模式!$P$16="10人团",模拟模式!$P$16="25人团"),IF(B665/30&gt;CA664,1,0),0)</f>
        <v>0</v>
      </c>
      <c r="CA665" s="115">
        <f t="shared" si="562"/>
        <v>0</v>
      </c>
      <c r="CB665" s="115">
        <f ca="1">IF(BZ665=1,IF(模拟模式!$P$16="10人团",15,0)+IF(模拟模式!$P$16="25人团",IF(RAND()&lt;0.6,15,0)),MAX(0,CB664-$F$4))</f>
        <v>0</v>
      </c>
      <c r="CC665" s="115" t="b">
        <f t="shared" ca="1" si="563"/>
        <v>0</v>
      </c>
      <c r="CD665" s="115">
        <f>IF(模拟模式!$Q$16="1个",IF(B665/40&gt;CE664,1,0),0)</f>
        <v>0</v>
      </c>
      <c r="CE665" s="115">
        <f t="shared" si="564"/>
        <v>0</v>
      </c>
      <c r="CF665" s="115">
        <f>IF(OR(CD665=1,模拟模式!$Q$16="2个"),20,MAX(0,CF664-$F$4))</f>
        <v>0</v>
      </c>
      <c r="CG665" s="115" t="b">
        <f t="shared" si="565"/>
        <v>0</v>
      </c>
      <c r="CH665" s="115">
        <f t="shared" ca="1" si="586"/>
        <v>0</v>
      </c>
      <c r="CI665" s="115" t="b">
        <f t="shared" ca="1" si="587"/>
        <v>0</v>
      </c>
      <c r="CJ665" s="119">
        <f t="shared" ca="1" si="588"/>
        <v>0</v>
      </c>
      <c r="CK665" s="115">
        <f t="shared" ca="1" si="589"/>
        <v>0</v>
      </c>
      <c r="CL665" s="115" t="b">
        <f ca="1">AND(模拟模式!$S$7="驱夷逐法",OR(AND(C665="净世破魔击·月",E664&gt;59),AND(C665="净世破魔击·日",F664&gt;59)))</f>
        <v>0</v>
      </c>
      <c r="CM665" s="115" t="b">
        <f ca="1">OR(CL665,AND(C665="净世破魔击·日",CL664,RAND()&lt;模拟模式!$U$23))</f>
        <v>0</v>
      </c>
      <c r="CN665" s="115" t="b">
        <f ca="1">IF(模拟模式!$M$7="辉耀红尘",AND(C665="净世破魔击·月",CL665,CV665=0,E664&lt;80),AND(C665="净世破魔击·月",CL665,E664&lt;100))</f>
        <v>0</v>
      </c>
      <c r="CO665" s="115" t="b">
        <f t="shared" ca="1" si="566"/>
        <v>0</v>
      </c>
      <c r="CP665" s="115" t="b">
        <f ca="1">AND(模拟模式!$O$7="用晦而明",OR(C665="净世破魔击·日",C665="净世破魔击·月",C665="驱夜断愁"),AB665)</f>
        <v>1</v>
      </c>
      <c r="CQ665" s="115" t="b">
        <f ca="1">OR(CP665,AND(CP664,RAND()&lt;模拟模式!$U$23))</f>
        <v>1</v>
      </c>
      <c r="CR665" s="115" t="b">
        <f ca="1">AND(模拟模式!$S$7="日月齐光",OR(C665="幽月轮1",C665="幽月轮2",C665="幽月轮3",CR664),NOT(OR(C665="赤日轮1",C665="赤日轮2",C665="赤日轮3")))</f>
        <v>0</v>
      </c>
      <c r="CS665" s="115" t="b">
        <f ca="1">AND(模拟模式!$S$7="日月齐光",OR(C665="赤日轮1",C665="赤日轮2",C665="赤日轮3",CS664),NOT(OR(C665="幽月轮1",C665="幽月轮2",C665="幽月轮3")))</f>
        <v>0</v>
      </c>
      <c r="CT665" s="115">
        <f t="shared" ca="1" si="590"/>
        <v>27.232500000000002</v>
      </c>
      <c r="CU665" s="115" t="b">
        <f ca="1">AND(模拟模式!$K$10="阴阳往极",CT664=0,RAND()&lt;IF(C665="净世破魔击·月",0.0275*7/3,IF(C665="净世破魔击·日",0.0275*3/3,0.0275*2/3)))</f>
        <v>0</v>
      </c>
      <c r="CV665" s="115">
        <f t="shared" ca="1" si="591"/>
        <v>1.31</v>
      </c>
      <c r="CW665" s="115">
        <f t="shared" ca="1" si="592"/>
        <v>0.46499999999999975</v>
      </c>
      <c r="CX665" s="115">
        <f t="shared" ca="1" si="593"/>
        <v>0</v>
      </c>
      <c r="CY665" s="115">
        <f ca="1">MAX(IF($C665="驱夜断愁",IF(模拟模式!$R$7="万念俱寂",6,45),CY664-$F$4),0)</f>
        <v>0</v>
      </c>
      <c r="CZ665" s="115">
        <f t="shared" ca="1" si="567"/>
        <v>0</v>
      </c>
      <c r="DA665" s="115">
        <f ca="1">IF(模拟模式!$N$7="日月同辉",IF(DB664=2,0,MIN(6,IF(AND(OR(C665="赤日轮1",C665="赤日轮2",C665="赤日轮3",C665="幽月轮1",C665="幽月轮2",C665="幽月轮3"),AB665=1),DA664+1,DA664))),0)</f>
        <v>1</v>
      </c>
      <c r="DB665" s="115">
        <f t="shared" ca="1" si="568"/>
        <v>0</v>
      </c>
      <c r="DC665" s="115"/>
      <c r="DD665" s="115"/>
      <c r="DE665" s="115"/>
      <c r="DF665" s="115"/>
      <c r="DG665" s="115"/>
      <c r="DH665" s="115"/>
      <c r="DI665" s="115"/>
      <c r="DJ665" s="115"/>
      <c r="DK665" s="115"/>
      <c r="DL665" s="115"/>
      <c r="DM665" s="115"/>
    </row>
    <row r="666" spans="2:117" x14ac:dyDescent="0.2">
      <c r="B666" s="117">
        <f t="shared" si="569"/>
        <v>589.47750000000667</v>
      </c>
      <c r="C666" s="167" t="str">
        <f t="shared" ca="1" si="538"/>
        <v>净世破魔击·日</v>
      </c>
      <c r="D666" s="115">
        <f ca="1">IF(C666="赤日轮1",1,IF(C666="赤日轮2",2,IF(C666="赤日轮3",3,IF(C666="幽月轮1",4,IF(C666="幽月轮2",5,IF(C666="幽月轮3",6,IF(C666="烈日斩",7,IF(C666="银月斩",8,IF(C666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666="净世破魔击·月",17,IF(C666="驱夜断愁",18,0)))))))))))</f>
        <v>9</v>
      </c>
      <c r="E666" s="115">
        <f ca="1">IF(AND(CU666,OR(C666="幽月轮1",C666="幽月轮2",C666="幽月轮3",C666="银月斩",C666="驱夜断愁",C666="净世破魔击·月")),100,MIN(IF(OR(CN666,BE666),0,IF(OR($C666="赤日轮1",$C666="赤日轮2",$C666="赤日轮3"),E665+20+IF(模拟模式!$I$7="日月凌天",4,0)+IF(CR665,20,0),IF($C666="烈日斩",E665+40,IF($C666="驱夜断愁",IF(模拟模式!$R$7="万念俱寂",E665+20,E665+60),IF($C666="净世破魔击·月",IF(OR(DB665&gt;0,CV665&gt;0),100,IF(模拟模式!$M$7="辉耀红尘",E665+20,E665)),IF($C666="净世破魔击·日",E665-100,E665)))))),100))</f>
        <v>0</v>
      </c>
      <c r="F666" s="115">
        <f ca="1">IF(AND(CU666,OR(C666="赤日轮1",C666="赤日轮2",C666="赤日轮3",C666="烈日斩",C666="净世破魔击·日")),100,MIN(IF(CO666,0,IF(OR($C666="幽月轮1",$C666="幽月轮2",$C666="幽月轮3"),F665+20+IF(模拟模式!$I$7="日月凌天",4,0)+IF(CS665,20,0),IF($C666="银月斩",F665+40+IF(模拟模式!$X$12=1,5,0),IF($C666="驱夜断愁",IF(模拟模式!$R$7="万念俱寂",F665+20,F665+60),IF($C666="净世破魔击·月",IF(模拟模式!$M$7="辉耀红尘",F665-80,F665-100),IF(AND(C666="净世破魔击·日",OR(DB665&gt;0,CV665&gt;0)),100,F665)))))),100))</f>
        <v>100</v>
      </c>
      <c r="G666" s="117">
        <f ca="1">('模拟-全程加成'!$E$3+'模拟-全程加成'!$E$4+'模拟-全程加成'!$E$5+('模拟-全程加成'!$C$6-'模拟-全程加成'!$C$3)*系数!$B$9+BS666*23)*(1+'模拟-全程加成'!$F$4+'模拟-全程加成'!$F$5+BJ666*10%+BM666*20%+BP666*4%+CG666*30%)+$F$7*系数!$B$12</f>
        <v>20583.127400000001</v>
      </c>
      <c r="H666" s="45">
        <f ca="1">'模拟-全程加成'!$H$3+'模拟-全程加成'!$H$4+'模拟-全程加成'!$H$5+('模拟-全程加成'!$G$4+'模拟-全程加成'!$G$5+('模拟-全程加成'!$C$6-'模拟-全程加成'!$C$3)*系数!$B$13)/系数!$B$3+LOOKUP(D666,'模拟-单技能数据'!$A$2:$A$19,'模拟-单技能数据'!$K$2:$K$19)+BG666*10%+IF(BV666&gt;0,378,0)</f>
        <v>0.54185145527300216</v>
      </c>
      <c r="I666" s="45">
        <f ca="1">'模拟-全程加成'!$J$3+'模拟-全程加成'!$J$4+'模拟-全程加成'!$J$5+('模拟-全程加成'!$I$4+'模拟-全程加成'!$I$5)/系数!$B$4+LOOKUP(D666,'模拟-单技能数据'!$A$2:$A$19,'模拟-单技能数据'!$L$2:$L$19)+BG666*10%</f>
        <v>2.162482885499879</v>
      </c>
      <c r="J666" s="45">
        <f ca="1">(('模拟-全程加成'!$K$3+'模拟-全程加成'!$K$4+'模拟-全程加成'!$K$5+('模拟-全程加成'!$C$6-'模拟-全程加成'!$C$3)*系数!$B$10+IF(BV666&gt;0,882,0)+IF(BY666&gt;0,1831,0))*(1+'模拟-全程加成'!$L$4+'模拟-全程加成'!$L$5+CC666*20%))/系数!$B$5</f>
        <v>0.69723220422048726</v>
      </c>
      <c r="K666" s="119">
        <f ca="1">LOOKUP(D666,'模拟-单技能数据'!$A$2:$A$19,'模拟-单技能数据'!$J$2:$J$19)+IF(CM666,60%,0)+IF(DB665-DB666&gt;0,30%,0)+IF(OR(AND(OR(C666="赤日轮1",C666="赤日轮2",C666="赤日轮3"),CR666),AND(OR(C666="幽月轮1",C666="幽月轮2",C666="幽月轮3"),CS666)),35%,0)+CJ666</f>
        <v>0.2</v>
      </c>
      <c r="L666" s="119">
        <f ca="1">IF(AND(C666="烈日斩",模拟模式!$X$11=1),10%,0)+IF(AND(C666="驱夜断愁",AB666=1),30%,0)</f>
        <v>0</v>
      </c>
      <c r="M666" s="45">
        <f t="shared" ca="1" si="539"/>
        <v>0.54185145527300216</v>
      </c>
      <c r="N666" s="45">
        <f t="shared" ca="1" si="540"/>
        <v>0.40424854472699789</v>
      </c>
      <c r="O666" s="46">
        <f t="shared" ca="1" si="570"/>
        <v>0.52595467582186206</v>
      </c>
      <c r="P666" s="46" t="str">
        <f t="shared" ca="1" si="541"/>
        <v>会</v>
      </c>
      <c r="Q666" s="45">
        <f t="shared" ca="1" si="542"/>
        <v>2.162482885499879</v>
      </c>
      <c r="R666" s="117">
        <f ca="1">模拟模式!$E$20*(1-IF(模拟模式!$J$19="有",0.15,0))*(1-IF(模拟模式!$K$19="有",0.3,0)-IF(CQ666,0.5,0))</f>
        <v>843.02999999999975</v>
      </c>
      <c r="S666" s="45">
        <f ca="1">R666/(R666+(185*模拟模式!$E$22-16800)*4.08224)</f>
        <v>8.389626085980037E-2</v>
      </c>
      <c r="T666" s="45" t="str">
        <f ca="1">LOOKUP(D666,'模拟-单技能数据'!$A$2:$A$19,'模拟-单技能数据'!$H$2:$H$19)</f>
        <v>阳</v>
      </c>
      <c r="U666" s="119">
        <f t="shared" ca="1" si="543"/>
        <v>0.2</v>
      </c>
      <c r="V666" s="47">
        <f ca="1">(1+L666)*(LOOKUP(D666,'模拟-单技能数据'!$A$2:$A$19,'模拟-单技能数据'!$D$2:$D$19)+G666*LOOKUP(D666,'模拟-单技能数据'!$A$2:$A$19,'模拟-单技能数据'!$F$2:$F$19))*(1+J666)*(1+K666)*(1-S666)*(1+U666)*Q666*LOOKUP(D666,'模拟-单技能数据'!$A$2:$A$19,'模拟-单技能数据'!$I$2:$I$20)</f>
        <v>130610.54325777861</v>
      </c>
      <c r="W666" s="47">
        <f ca="1">LOOKUP(D666,'模拟-单技能数据'!$A$2:$A$19,'模拟-单技能数据'!$G$2:$G$19)*$I$10</f>
        <v>723.0212870940959</v>
      </c>
      <c r="X666" s="47">
        <f t="shared" ca="1" si="571"/>
        <v>39807.158233120987</v>
      </c>
      <c r="Y666" s="47">
        <f t="shared" ca="1" si="544"/>
        <v>171140.72277799368</v>
      </c>
      <c r="Z666" s="49">
        <f t="shared" ca="1" si="545"/>
        <v>67294567.168261826</v>
      </c>
      <c r="AA666" s="97">
        <f t="shared" ca="1" si="546"/>
        <v>114159.6874660374</v>
      </c>
      <c r="AB666" s="115">
        <f ca="1">IF(OR(C666="赤日轮1",C666="赤日轮2",C666="赤日轮3"),IF(RAND()&lt;模拟模式!$Y$17,1,0),IF(OR(C666="幽月轮1",C666="幽月轮2",C666="幽月轮3"),IF(RAND()&lt;模拟模式!$Y$18,1,0),IF(C666="烈日斩",IF(RAND()&lt;模拟模式!$Y$19,1,0),IF(C666="银月斩",IF(RAND()&lt;模拟模式!$Y$20,1,0),IF(C666="驱夜断愁",IF(RAND()&lt;模拟模式!$Y$21,1,0),IF(C666="净世破魔击·日",IF(RAND()&lt;模拟模式!$Y$22,1,0),IF(C666="净世破魔击·月",IF(RAND()&lt;模拟模式!$Y$23,1,0),0)))))))</f>
        <v>1</v>
      </c>
      <c r="AC666" s="115" t="b">
        <f t="shared" ca="1" si="547"/>
        <v>0</v>
      </c>
      <c r="AD666" s="115" t="b">
        <f t="shared" ca="1" si="548"/>
        <v>1</v>
      </c>
      <c r="AE666" s="115">
        <f t="shared" ca="1" si="549"/>
        <v>1</v>
      </c>
      <c r="AF666" s="47">
        <f ca="1">IF(AC666,('模拟-单技能数据'!$D$20+G666*'模拟-单技能数据'!$F$20)*(1+J666)*(1+'模拟-单技能数据'!$J$20)*(1+U666),0)</f>
        <v>0</v>
      </c>
      <c r="AG666" s="61">
        <f t="shared" ca="1" si="550"/>
        <v>0.64185145527300214</v>
      </c>
      <c r="AH666" s="61">
        <f t="shared" ca="1" si="551"/>
        <v>2.2624828854998791</v>
      </c>
      <c r="AI666" s="62">
        <f t="shared" ca="1" si="572"/>
        <v>0.12288350280510885</v>
      </c>
      <c r="AJ666" s="47">
        <f ca="1">IF(AD666,IF(AI666&lt;$F$10,0,IF(AI666&lt;$F$10+$F$11,0.25,IF(AI666&lt;$F$10+$F$11+AG666,AH666,1)))*IF(AF666&gt;0,AF666,IF(AF665&gt;0,AF665,IF(AF664&gt;0,AF664,IF(AF663&gt;0,AF663,IF(AF662&gt;0,AF662,IF(AF661&gt;0,AF661,IF(AF660&gt;0,AF660,IF(AF659&gt;0,AF659,IF(AF658&gt;0,AF658,IF(AF656&gt;0,AF656,IF(AF655&gt;0,AF655,IF(AF654&gt;0,AF654,0)))))))))))),0)*(1-$S666)*'模拟-单技能数据'!$I$20</f>
        <v>0</v>
      </c>
      <c r="AK666" s="115" t="b">
        <f t="shared" ca="1" si="552"/>
        <v>1</v>
      </c>
      <c r="AL666" s="115" t="b">
        <f t="shared" ca="1" si="553"/>
        <v>0</v>
      </c>
      <c r="AM666" s="115">
        <f t="shared" ca="1" si="554"/>
        <v>6</v>
      </c>
      <c r="AN666" s="47">
        <f ca="1">IF(AK666,('模拟-单技能数据'!$D$21+G666*'模拟-单技能数据'!$F$21)*(1+J666)*(1+'模拟-单技能数据'!$J$21)*(1+U666),0)</f>
        <v>12136.56601728573</v>
      </c>
      <c r="AO666" s="61">
        <f ca="1">IF(AN666&gt;0,M666-'模拟-单技能数据'!$K$10,AO665)</f>
        <v>0.42185145527300216</v>
      </c>
      <c r="AP666" s="61">
        <f ca="1">IF(AN666&gt;0,I666-'模拟-单技能数据'!$L$10,AP665)</f>
        <v>2.162482885499879</v>
      </c>
      <c r="AQ666" s="63">
        <f t="shared" ca="1" si="573"/>
        <v>0.18172299352106447</v>
      </c>
      <c r="AR666" s="64">
        <f ca="1">IF(AL666,IF(AQ666&lt;$F$10,0,IF(AQ666&lt;$F$10+$F$11,0.25,IF(AQ666&lt;$F$10+$F$11+AO666,AP666,1)))*IF(AN666&gt;0,AN666,IF(AN665&gt;0,AN665,IF(AN664&gt;0,AN664,IF(AN663&gt;0,AN663,IF(AN662&gt;0,AN662,IF(AN661&gt;0,AN661,IF(AN660&gt;0,AN660,IF(AN659&gt;0,AN659,IF(AN658&gt;0,AN658,IF(AN656&gt;0,AN656,IF(AN655&gt;0,AN655,IF(AN654&gt;0,AN654,0)))))))))))),0)*(1-$S666)*'模拟-单技能数据'!$I$21</f>
        <v>0</v>
      </c>
      <c r="AS666" s="61">
        <f ca="1">IF(OR(C666="净世破魔击·日",C666="净世破魔击·月"),M666-'模拟-单技能数据'!$K$10,0)</f>
        <v>0.42185145527300216</v>
      </c>
      <c r="AT666" s="61">
        <f ca="1">IF(OR(C666="净世破魔击·日",C666="净世破魔击·月"),I666-'模拟-单技能数据'!$L$10,0)</f>
        <v>2.162482885499879</v>
      </c>
      <c r="AU666" s="62">
        <f t="shared" ca="1" si="574"/>
        <v>0.43082546326031668</v>
      </c>
      <c r="AV666" s="64">
        <f ca="1">IF(AS666&gt;0,('模拟-单技能数据'!$D$22+G666*'模拟-单技能数据'!$F$22)*(1+J666)*(1-S666)*IF(AU666&lt;$F$10,0,IF(AU666&lt;$F$10+$F$11,0.25,IF(AU666&lt;$F$10+$F$11+AS666,AT666,1)))*(1+U666),0)*'模拟-单技能数据'!$I$22</f>
        <v>18355.759631698667</v>
      </c>
      <c r="AW666" s="108">
        <f t="shared" ca="1" si="575"/>
        <v>8.9300000000000068</v>
      </c>
      <c r="AX666" s="108" t="b">
        <f ca="1">AND(模拟模式!$P$10="有",AW665=0,RAND()&lt;IF(C666="净世破魔击·月",0.1*8/3,IF(C666="净世破魔击·日",0.1*4/3,0.1*2/3)))</f>
        <v>0</v>
      </c>
      <c r="AY666" s="47">
        <f ca="1">IF(AX666,(18+G666*0.722)*(1+J666)*(1-S666)*(1+$I$4)*IF(P666="会",'模拟-全程加成'!$J$3+'模拟-全程加成'!$J$4+'模拟-全程加成'!$J$5+('模拟-全程加成'!$I$4+'模拟-全程加成'!$I$5)/系数!$B$4+BG666*10%,IF(P666="命",1,IF(P666="识",0.25,0))),0)</f>
        <v>0</v>
      </c>
      <c r="AZ666" s="108">
        <f t="shared" si="576"/>
        <v>19.077500000000001</v>
      </c>
      <c r="BA666" s="108" t="b">
        <f>AND(模拟模式!$Q$10="有",AZ665=0)</f>
        <v>1</v>
      </c>
      <c r="BB666" s="140">
        <f ca="1">IF(BA666,(0+G666*0.287)*(1+J666)*(1-S666)*(1+$I$4)*IF(P666="会",'模拟-全程加成'!$J$3+'模拟-全程加成'!$J$4+'模拟-全程加成'!$J$5+('模拟-全程加成'!$I$4+'模拟-全程加成'!$I$5)/系数!$B$4+BG666*10%,IF(P666="命",1,IF(P666="识",0.25,0))),0)</f>
        <v>21451.398601422319</v>
      </c>
      <c r="BC666" s="115" t="b">
        <f ca="1">AND(模拟模式!$R$7="伏明众生",E666=60,F666=20,DA666&lt;5,CZ665&lt;$F$4)</f>
        <v>0</v>
      </c>
      <c r="BD666" s="115">
        <f t="shared" ca="1" si="555"/>
        <v>0</v>
      </c>
      <c r="BE666" s="115" t="b">
        <f t="shared" ca="1" si="556"/>
        <v>0</v>
      </c>
      <c r="BF666" s="47">
        <f ca="1">IF(BC666,4*('模拟-单技能数据'!$D$24+G666*'模拟-单技能数据'!$F$24)*(1+J666)*(1+'模拟-单技能数据'!$J$24)*(1-S666)*(1+$I$3)*(('模拟-全程加成'!$J$3+'模拟-全程加成'!$J$4+'模拟-全程加成'!$J$5+('模拟-全程加成'!$I$4+'模拟-全程加成'!$I$5)/系数!$B$4+BG666*10%)*('模拟-全程加成'!$J$3+'模拟-全程加成'!$J$4+'模拟-全程加成'!$J$5+('模拟-全程加成'!$I$4+'模拟-全程加成'!$I$5)/系数!$B$4+BG666*10%)+(1-('模拟-全程加成'!$J$3+'模拟-全程加成'!$J$4+'模拟-全程加成'!$J$5+('模拟-全程加成'!$I$4+'模拟-全程加成'!$I$5)/系数!$B$4+BG666*10%)-$F$10-$F$11)+F652*0.25),0)*'模拟-单技能数据'!$I$24</f>
        <v>0</v>
      </c>
      <c r="BG666" s="115" t="b">
        <f ca="1">OR(AND(OR(C666="烈日斩",C666="银月斩"),模拟模式!$I$7="净身明礼"),AND(C666="净世破魔击·日",模拟模式!$J$7="洞若观火"),AND(C667="净世破魔击·月",模拟模式!$J$7="洞若观火"),AB666=1)</f>
        <v>1</v>
      </c>
      <c r="BH666" s="115" t="b">
        <f t="shared" ca="1" si="577"/>
        <v>0</v>
      </c>
      <c r="BI666" s="115">
        <f t="shared" ca="1" si="557"/>
        <v>0</v>
      </c>
      <c r="BJ666" s="115" t="b">
        <f t="shared" ca="1" si="558"/>
        <v>0</v>
      </c>
      <c r="BK666" s="115" t="b">
        <f ca="1">AND(C666="驱夜断愁",模拟模式!$P$7="天地诛戮")</f>
        <v>0</v>
      </c>
      <c r="BL666" s="57">
        <f t="shared" ca="1" si="559"/>
        <v>12.620000000000005</v>
      </c>
      <c r="BM666" s="115" t="b">
        <f t="shared" ca="1" si="560"/>
        <v>1</v>
      </c>
      <c r="BN666" s="115" t="b">
        <f ca="1">AND(OR(C666="赤日轮1",C666="赤日轮2",C666="赤日轮3",C666="幽月轮1",C666="幽月轮2",C666="幽月轮3"),AB666=1,模拟模式!$L$7="明光恒照")</f>
        <v>0</v>
      </c>
      <c r="BO666" s="117">
        <f t="shared" ca="1" si="561"/>
        <v>24.465000000000003</v>
      </c>
      <c r="BP666" s="115">
        <f t="shared" ca="1" si="578"/>
        <v>6</v>
      </c>
      <c r="BQ666" s="115" t="b">
        <f>模拟模式!$K$10="2600·水"</f>
        <v>0</v>
      </c>
      <c r="BR666" s="117">
        <f t="shared" si="579"/>
        <v>0</v>
      </c>
      <c r="BS666" s="115">
        <f t="shared" si="580"/>
        <v>0</v>
      </c>
      <c r="BT666" s="115">
        <f t="shared" ca="1" si="581"/>
        <v>0</v>
      </c>
      <c r="BU666" s="115" t="b">
        <f ca="1">AND(模拟模式!$K$10="2300·雷",BT665=0,RAND()&lt;IF(C666="净世破魔击·月",5*0.05*2/3,IF(C666="净世破魔击·日",3*0.05*2/3,0.05*2*2/3)))</f>
        <v>0</v>
      </c>
      <c r="BV666" s="115">
        <f t="shared" ca="1" si="582"/>
        <v>0</v>
      </c>
      <c r="BW666" s="115">
        <f t="shared" ca="1" si="583"/>
        <v>148.63499999999954</v>
      </c>
      <c r="BX666" s="164" t="b">
        <f t="shared" ca="1" si="584"/>
        <v>0</v>
      </c>
      <c r="BY666" s="115">
        <f t="shared" ca="1" si="585"/>
        <v>0</v>
      </c>
      <c r="BZ666" s="115">
        <f>IF(OR(模拟模式!$P$16="10人团",模拟模式!$P$16="25人团"),IF(B666/30&gt;CA665,1,0),0)</f>
        <v>0</v>
      </c>
      <c r="CA666" s="115">
        <f t="shared" si="562"/>
        <v>0</v>
      </c>
      <c r="CB666" s="115">
        <f ca="1">IF(BZ666=1,IF(模拟模式!$P$16="10人团",15,0)+IF(模拟模式!$P$16="25人团",IF(RAND()&lt;0.6,15,0)),MAX(0,CB665-$F$4))</f>
        <v>0</v>
      </c>
      <c r="CC666" s="115" t="b">
        <f t="shared" ca="1" si="563"/>
        <v>0</v>
      </c>
      <c r="CD666" s="115">
        <f>IF(模拟模式!$Q$16="1个",IF(B666/40&gt;CE665,1,0),0)</f>
        <v>0</v>
      </c>
      <c r="CE666" s="115">
        <f t="shared" si="564"/>
        <v>0</v>
      </c>
      <c r="CF666" s="115">
        <f>IF(OR(CD666=1,模拟模式!$Q$16="2个"),20,MAX(0,CF665-$F$4))</f>
        <v>0</v>
      </c>
      <c r="CG666" s="115" t="b">
        <f t="shared" si="565"/>
        <v>0</v>
      </c>
      <c r="CH666" s="115">
        <f t="shared" ca="1" si="586"/>
        <v>0</v>
      </c>
      <c r="CI666" s="115" t="b">
        <f t="shared" ca="1" si="587"/>
        <v>0</v>
      </c>
      <c r="CJ666" s="119">
        <f t="shared" ca="1" si="588"/>
        <v>0</v>
      </c>
      <c r="CK666" s="115">
        <f t="shared" ca="1" si="589"/>
        <v>0</v>
      </c>
      <c r="CL666" s="115" t="b">
        <f ca="1">AND(模拟模式!$S$7="驱夷逐法",OR(AND(C666="净世破魔击·月",E665&gt;59),AND(C666="净世破魔击·日",F665&gt;59)))</f>
        <v>0</v>
      </c>
      <c r="CM666" s="115" t="b">
        <f ca="1">OR(CL666,AND(C666="净世破魔击·日",CL665,RAND()&lt;模拟模式!$U$23))</f>
        <v>0</v>
      </c>
      <c r="CN666" s="115" t="b">
        <f ca="1">IF(模拟模式!$M$7="辉耀红尘",AND(C666="净世破魔击·月",CL666,CV666=0,E665&lt;80),AND(C666="净世破魔击·月",CL666,E665&lt;100))</f>
        <v>0</v>
      </c>
      <c r="CO666" s="115" t="b">
        <f t="shared" ca="1" si="566"/>
        <v>0</v>
      </c>
      <c r="CP666" s="115" t="b">
        <f ca="1">AND(模拟模式!$O$7="用晦而明",OR(C666="净世破魔击·日",C666="净世破魔击·月",C666="驱夜断愁"),AB666)</f>
        <v>1</v>
      </c>
      <c r="CQ666" s="115" t="b">
        <f ca="1">OR(CP666,AND(CP665,RAND()&lt;模拟模式!$U$23))</f>
        <v>1</v>
      </c>
      <c r="CR666" s="115" t="b">
        <f ca="1">AND(模拟模式!$S$7="日月齐光",OR(C666="幽月轮1",C666="幽月轮2",C666="幽月轮3",CR665),NOT(OR(C666="赤日轮1",C666="赤日轮2",C666="赤日轮3")))</f>
        <v>0</v>
      </c>
      <c r="CS666" s="115" t="b">
        <f ca="1">AND(模拟模式!$S$7="日月齐光",OR(C666="赤日轮1",C666="赤日轮2",C666="赤日轮3",CS665),NOT(OR(C666="幽月轮1",C666="幽月轮2",C666="幽月轮3")))</f>
        <v>0</v>
      </c>
      <c r="CT666" s="115">
        <f t="shared" ca="1" si="590"/>
        <v>26.310000000000002</v>
      </c>
      <c r="CU666" s="115" t="b">
        <f ca="1">AND(模拟模式!$K$10="阴阳往极",CT665=0,RAND()&lt;IF(C666="净世破魔击·月",0.0275*7/3,IF(C666="净世破魔击·日",0.0275*3/3,0.0275*2/3)))</f>
        <v>0</v>
      </c>
      <c r="CV666" s="115">
        <f t="shared" ca="1" si="591"/>
        <v>0.38750000000000007</v>
      </c>
      <c r="CW666" s="115">
        <f t="shared" ca="1" si="592"/>
        <v>0</v>
      </c>
      <c r="CX666" s="115">
        <f t="shared" ca="1" si="593"/>
        <v>0</v>
      </c>
      <c r="CY666" s="115">
        <f ca="1">MAX(IF($C666="驱夜断愁",IF(模拟模式!$R$7="万念俱寂",6,45),CY665-$F$4),0)</f>
        <v>0</v>
      </c>
      <c r="CZ666" s="115">
        <f t="shared" ca="1" si="567"/>
        <v>0</v>
      </c>
      <c r="DA666" s="115">
        <f ca="1">IF(模拟模式!$N$7="日月同辉",IF(DB665=2,0,MIN(6,IF(AND(OR(C666="赤日轮1",C666="赤日轮2",C666="赤日轮3",C666="幽月轮1",C666="幽月轮2",C666="幽月轮3"),AB666=1),DA665+1,DA665))),0)</f>
        <v>1</v>
      </c>
      <c r="DB666" s="115">
        <f t="shared" ca="1" si="568"/>
        <v>0</v>
      </c>
      <c r="DC666" s="115"/>
      <c r="DD666" s="115"/>
      <c r="DE666" s="115"/>
      <c r="DF666" s="115"/>
      <c r="DG666" s="115"/>
      <c r="DH666" s="115"/>
      <c r="DI666" s="115"/>
      <c r="DJ666" s="115"/>
      <c r="DK666" s="115"/>
      <c r="DL666" s="115"/>
      <c r="DM666" s="115"/>
    </row>
    <row r="667" spans="2:117" x14ac:dyDescent="0.2">
      <c r="B667" s="117">
        <f t="shared" si="569"/>
        <v>590.40000000000668</v>
      </c>
      <c r="C667" s="167" t="str">
        <f t="shared" ca="1" si="538"/>
        <v>净世破魔击·月</v>
      </c>
      <c r="D667" s="115">
        <f ca="1">IF(C667="赤日轮1",1,IF(C667="赤日轮2",2,IF(C667="赤日轮3",3,IF(C667="幽月轮1",4,IF(C667="幽月轮2",5,IF(C667="幽月轮3",6,IF(C667="烈日斩",7,IF(C667="银月斩",8,IF(C667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667="净世破魔击·月",17,IF(C667="驱夜断愁",18,0)))))))))))</f>
        <v>17</v>
      </c>
      <c r="E667" s="115">
        <f ca="1">IF(AND(CU667,OR(C667="幽月轮1",C667="幽月轮2",C667="幽月轮3",C667="银月斩",C667="驱夜断愁",C667="净世破魔击·月")),100,MIN(IF(OR(CN667,BE667),0,IF(OR($C667="赤日轮1",$C667="赤日轮2",$C667="赤日轮3"),E666+20+IF(模拟模式!$I$7="日月凌天",4,0)+IF(CR666,20,0),IF($C667="烈日斩",E666+40,IF($C667="驱夜断愁",IF(模拟模式!$R$7="万念俱寂",E666+20,E666+60),IF($C667="净世破魔击·月",IF(OR(DB666&gt;0,CV666&gt;0),100,IF(模拟模式!$M$7="辉耀红尘",E666+20,E666)),IF($C667="净世破魔击·日",E666-100,E666)))))),100))</f>
        <v>100</v>
      </c>
      <c r="F667" s="115">
        <f ca="1">IF(AND(CU667,OR(C667="赤日轮1",C667="赤日轮2",C667="赤日轮3",C667="烈日斩",C667="净世破魔击·日")),100,MIN(IF(CO667,0,IF(OR($C667="幽月轮1",$C667="幽月轮2",$C667="幽月轮3"),F666+20+IF(模拟模式!$I$7="日月凌天",4,0)+IF(CS666,20,0),IF($C667="银月斩",F666+40+IF(模拟模式!$X$12=1,5,0),IF($C667="驱夜断愁",IF(模拟模式!$R$7="万念俱寂",F666+20,F666+60),IF($C667="净世破魔击·月",IF(模拟模式!$M$7="辉耀红尘",F666-80,F666-100),IF(AND(C667="净世破魔击·日",OR(DB666&gt;0,CV666&gt;0)),100,F666)))))),100))</f>
        <v>20</v>
      </c>
      <c r="G667" s="117">
        <f ca="1">('模拟-全程加成'!$E$3+'模拟-全程加成'!$E$4+'模拟-全程加成'!$E$5+('模拟-全程加成'!$C$6-'模拟-全程加成'!$C$3)*系数!$B$9+BS667*23)*(1+'模拟-全程加成'!$F$4+'模拟-全程加成'!$F$5+BJ667*10%+BM667*20%+BP667*4%+CG667*30%)+$F$7*系数!$B$12</f>
        <v>20583.127400000001</v>
      </c>
      <c r="H667" s="45">
        <f ca="1">'模拟-全程加成'!$H$3+'模拟-全程加成'!$H$4+'模拟-全程加成'!$H$5+('模拟-全程加成'!$G$4+'模拟-全程加成'!$G$5+('模拟-全程加成'!$C$6-'模拟-全程加成'!$C$3)*系数!$B$13)/系数!$B$3+LOOKUP(D667,'模拟-单技能数据'!$A$2:$A$19,'模拟-单技能数据'!$K$2:$K$19)+BG667*10%+IF(BV667&gt;0,378,0)</f>
        <v>0.54185145527300216</v>
      </c>
      <c r="I667" s="45">
        <f ca="1">'模拟-全程加成'!$J$3+'模拟-全程加成'!$J$4+'模拟-全程加成'!$J$5+('模拟-全程加成'!$I$4+'模拟-全程加成'!$I$5)/系数!$B$4+LOOKUP(D667,'模拟-单技能数据'!$A$2:$A$19,'模拟-单技能数据'!$L$2:$L$19)+BG667*10%</f>
        <v>2.162482885499879</v>
      </c>
      <c r="J667" s="45">
        <f ca="1">(('模拟-全程加成'!$K$3+'模拟-全程加成'!$K$4+'模拟-全程加成'!$K$5+('模拟-全程加成'!$C$6-'模拟-全程加成'!$C$3)*系数!$B$10+IF(BV667&gt;0,882,0)+IF(BY667&gt;0,1831,0))*(1+'模拟-全程加成'!$L$4+'模拟-全程加成'!$L$5+CC667*20%))/系数!$B$5</f>
        <v>0.69723220422048726</v>
      </c>
      <c r="K667" s="119">
        <f ca="1">LOOKUP(D667,'模拟-单技能数据'!$A$2:$A$19,'模拟-单技能数据'!$J$2:$J$19)+IF(CM667,60%,0)+IF(DB666-DB667&gt;0,30%,0)+IF(OR(AND(OR(C667="赤日轮1",C667="赤日轮2",C667="赤日轮3"),CR667),AND(OR(C667="幽月轮1",C667="幽月轮2",C667="幽月轮3"),CS667)),35%,0)+CJ667</f>
        <v>0.25</v>
      </c>
      <c r="L667" s="119">
        <f ca="1">IF(AND(C667="烈日斩",模拟模式!$X$11=1),10%,0)+IF(AND(C667="驱夜断愁",AB667=1),30%,0)</f>
        <v>0</v>
      </c>
      <c r="M667" s="45">
        <f t="shared" ca="1" si="539"/>
        <v>0.54185145527300216</v>
      </c>
      <c r="N667" s="45">
        <f t="shared" ca="1" si="540"/>
        <v>0.40424854472699789</v>
      </c>
      <c r="O667" s="46">
        <f t="shared" ca="1" si="570"/>
        <v>0.73673355711387234</v>
      </c>
      <c r="P667" s="46" t="str">
        <f t="shared" ca="1" si="541"/>
        <v>命</v>
      </c>
      <c r="Q667" s="45">
        <f t="shared" ca="1" si="542"/>
        <v>1</v>
      </c>
      <c r="R667" s="117">
        <f ca="1">模拟模式!$E$20*(1-IF(模拟模式!$J$19="有",0.15,0))*(1-IF(模拟模式!$K$19="有",0.3,0)-IF(CQ667,0.5,0))</f>
        <v>843.02999999999975</v>
      </c>
      <c r="S667" s="45">
        <f ca="1">R667/(R667+(185*模拟模式!$E$22-16800)*4.08224)</f>
        <v>8.389626085980037E-2</v>
      </c>
      <c r="T667" s="45" t="str">
        <f ca="1">LOOKUP(D667,'模拟-单技能数据'!$A$2:$A$19,'模拟-单技能数据'!$H$2:$H$19)</f>
        <v>阴</v>
      </c>
      <c r="U667" s="119">
        <f t="shared" ca="1" si="543"/>
        <v>0.08</v>
      </c>
      <c r="V667" s="47">
        <f ca="1">(1+L667)*(LOOKUP(D667,'模拟-单技能数据'!$A$2:$A$19,'模拟-单技能数据'!$D$2:$D$19)+G667*LOOKUP(D667,'模拟-单技能数据'!$A$2:$A$19,'模拟-单技能数据'!$F$2:$F$19))*(1+J667)*(1+K667)*(1-S667)*(1+U667)*Q667*LOOKUP(D667,'模拟-单技能数据'!$A$2:$A$19,'模拟-单技能数据'!$I$2:$I$20)</f>
        <v>56155.987193232257</v>
      </c>
      <c r="W667" s="47">
        <f ca="1">LOOKUP(D667,'模拟-单技能数据'!$A$2:$A$19,'模拟-单技能数据'!$G$2:$G$19)*$I$10</f>
        <v>361.51064354704795</v>
      </c>
      <c r="X667" s="47">
        <f t="shared" ca="1" si="571"/>
        <v>40563.432846154072</v>
      </c>
      <c r="Y667" s="47">
        <f t="shared" ca="1" si="544"/>
        <v>97080.93068293338</v>
      </c>
      <c r="Z667" s="49">
        <f t="shared" ca="1" si="545"/>
        <v>67391648.098944753</v>
      </c>
      <c r="AA667" s="97">
        <f t="shared" ca="1" si="546"/>
        <v>114145.74542504063</v>
      </c>
      <c r="AB667" s="115">
        <f ca="1">IF(OR(C667="赤日轮1",C667="赤日轮2",C667="赤日轮3"),IF(RAND()&lt;模拟模式!$Y$17,1,0),IF(OR(C667="幽月轮1",C667="幽月轮2",C667="幽月轮3"),IF(RAND()&lt;模拟模式!$Y$18,1,0),IF(C667="烈日斩",IF(RAND()&lt;模拟模式!$Y$19,1,0),IF(C667="银月斩",IF(RAND()&lt;模拟模式!$Y$20,1,0),IF(C667="驱夜断愁",IF(RAND()&lt;模拟模式!$Y$21,1,0),IF(C667="净世破魔击·日",IF(RAND()&lt;模拟模式!$Y$22,1,0),IF(C667="净世破魔击·月",IF(RAND()&lt;模拟模式!$Y$23,1,0),0)))))))</f>
        <v>1</v>
      </c>
      <c r="AC667" s="115" t="b">
        <f t="shared" ca="1" si="547"/>
        <v>0</v>
      </c>
      <c r="AD667" s="115" t="b">
        <f t="shared" ca="1" si="548"/>
        <v>0</v>
      </c>
      <c r="AE667" s="115">
        <f t="shared" ca="1" si="549"/>
        <v>1</v>
      </c>
      <c r="AF667" s="47">
        <f ca="1">IF(AC667,('模拟-单技能数据'!$D$20+G667*'模拟-单技能数据'!$F$20)*(1+J667)*(1+'模拟-单技能数据'!$J$20)*(1+U667),0)</f>
        <v>0</v>
      </c>
      <c r="AG667" s="61">
        <f t="shared" ca="1" si="550"/>
        <v>0.64185145527300214</v>
      </c>
      <c r="AH667" s="61">
        <f t="shared" ca="1" si="551"/>
        <v>2.2624828854998791</v>
      </c>
      <c r="AI667" s="62">
        <f t="shared" ca="1" si="572"/>
        <v>0.88751206731765964</v>
      </c>
      <c r="AJ667" s="47">
        <f ca="1">IF(AD667,IF(AI667&lt;$F$10,0,IF(AI667&lt;$F$10+$F$11,0.25,IF(AI667&lt;$F$10+$F$11+AG667,AH667,1)))*IF(AF667&gt;0,AF667,IF(AF666&gt;0,AF666,IF(AF665&gt;0,AF665,IF(AF664&gt;0,AF664,IF(AF663&gt;0,AF663,IF(AF662&gt;0,AF662,IF(AF661&gt;0,AF661,IF(AF660&gt;0,AF660,IF(AF659&gt;0,AF659,IF(AF657&gt;0,AF657,IF(AF656&gt;0,AF656,IF(AF655&gt;0,AF655,0)))))))))))),0)*(1-$S667)*'模拟-单技能数据'!$I$20</f>
        <v>0</v>
      </c>
      <c r="AK667" s="115" t="b">
        <f t="shared" ca="1" si="552"/>
        <v>0</v>
      </c>
      <c r="AL667" s="115" t="b">
        <f t="shared" ca="1" si="553"/>
        <v>1</v>
      </c>
      <c r="AM667" s="115">
        <f t="shared" ca="1" si="554"/>
        <v>5</v>
      </c>
      <c r="AN667" s="47">
        <f ca="1">IF(AK667,('模拟-单技能数据'!$D$21+G667*'模拟-单技能数据'!$F$21)*(1+J667)*(1+'模拟-单技能数据'!$J$21)*(1+U667),0)</f>
        <v>0</v>
      </c>
      <c r="AO667" s="61">
        <f ca="1">IF(AN667&gt;0,M667-'模拟-单技能数据'!$K$10,AO666)</f>
        <v>0.42185145527300216</v>
      </c>
      <c r="AP667" s="61">
        <f ca="1">IF(AN667&gt;0,I667-'模拟-单技能数据'!$L$10,AP666)</f>
        <v>2.162482885499879</v>
      </c>
      <c r="AQ667" s="63">
        <f t="shared" ca="1" si="573"/>
        <v>8.3328797144715527E-2</v>
      </c>
      <c r="AR667" s="64">
        <f ca="1">IF(AL667,IF(AQ667&lt;$F$10,0,IF(AQ667&lt;$F$10+$F$11,0.25,IF(AQ667&lt;$F$10+$F$11+AO667,AP667,1)))*IF(AN667&gt;0,AN667,IF(AN666&gt;0,AN666,IF(AN665&gt;0,AN665,IF(AN664&gt;0,AN664,IF(AN663&gt;0,AN663,IF(AN662&gt;0,AN662,IF(AN661&gt;0,AN661,IF(AN660&gt;0,AN660,IF(AN659&gt;0,AN659,IF(AN657&gt;0,AN657,IF(AN656&gt;0,AN656,IF(AN655&gt;0,AN655,0)))))))))))),0)*(1-$S667)*'模拟-单技能数据'!$I$21</f>
        <v>24043.249177625272</v>
      </c>
      <c r="AS667" s="61">
        <f ca="1">IF(OR(C667="净世破魔击·日",C667="净世破魔击·月"),M667-'模拟-单技能数据'!$K$10,0)</f>
        <v>0.42185145527300216</v>
      </c>
      <c r="AT667" s="61">
        <f ca="1">IF(OR(C667="净世破魔击·日",C667="净世破魔击·月"),I667-'模拟-单技能数据'!$L$10,0)</f>
        <v>2.162482885499879</v>
      </c>
      <c r="AU667" s="62">
        <f t="shared" ca="1" si="574"/>
        <v>0.39071715313489652</v>
      </c>
      <c r="AV667" s="64">
        <f ca="1">IF(AS667&gt;0,('模拟-单技能数据'!$D$22+G667*'模拟-单技能数据'!$F$22)*(1+J667)*(1-S667)*IF(AU667&lt;$F$10,0,IF(AU667&lt;$F$10+$F$11,0.25,IF(AU667&lt;$F$10+$F$11+AS667,AT667,1)))*(1+U667),0)*'模拟-单技能数据'!$I$22</f>
        <v>16520.1836685288</v>
      </c>
      <c r="AW667" s="108">
        <f t="shared" ca="1" si="575"/>
        <v>8.0075000000000074</v>
      </c>
      <c r="AX667" s="108" t="b">
        <f ca="1">AND(模拟模式!$P$10="有",AW666=0,RAND()&lt;IF(C667="净世破魔击·月",0.1*8/3,IF(C667="净世破魔击·日",0.1*4/3,0.1*2/3)))</f>
        <v>0</v>
      </c>
      <c r="AY667" s="47">
        <f ca="1">IF(AX667,(18+G667*0.722)*(1+J667)*(1-S667)*(1+$I$4)*IF(P667="会",'模拟-全程加成'!$J$3+'模拟-全程加成'!$J$4+'模拟-全程加成'!$J$5+('模拟-全程加成'!$I$4+'模拟-全程加成'!$I$5)/系数!$B$4+BG667*10%,IF(P667="命",1,IF(P667="识",0.25,0))),0)</f>
        <v>0</v>
      </c>
      <c r="AZ667" s="108">
        <f t="shared" si="576"/>
        <v>18.155000000000001</v>
      </c>
      <c r="BA667" s="108" t="b">
        <f>AND(模拟模式!$Q$10="有",AZ666=0)</f>
        <v>0</v>
      </c>
      <c r="BB667" s="140">
        <f>IF(BA667,(0+G667*0.287)*(1+J667)*(1-S667)*(1+$I$4)*IF(P667="会",'模拟-全程加成'!$J$3+'模拟-全程加成'!$J$4+'模拟-全程加成'!$J$5+('模拟-全程加成'!$I$4+'模拟-全程加成'!$I$5)/系数!$B$4+BG667*10%,IF(P667="命",1,IF(P667="识",0.25,0))),0)</f>
        <v>0</v>
      </c>
      <c r="BC667" s="115" t="b">
        <f ca="1">AND(模拟模式!$R$7="伏明众生",E667=60,F667=20,DA667&lt;5,CZ666&lt;$F$4)</f>
        <v>0</v>
      </c>
      <c r="BD667" s="115">
        <f t="shared" ca="1" si="555"/>
        <v>0</v>
      </c>
      <c r="BE667" s="115" t="b">
        <f t="shared" ca="1" si="556"/>
        <v>0</v>
      </c>
      <c r="BF667" s="47">
        <f ca="1">IF(BC667,4*('模拟-单技能数据'!$D$24+G667*'模拟-单技能数据'!$F$24)*(1+J667)*(1+'模拟-单技能数据'!$J$24)*(1-S667)*(1+$I$3)*(('模拟-全程加成'!$J$3+'模拟-全程加成'!$J$4+'模拟-全程加成'!$J$5+('模拟-全程加成'!$I$4+'模拟-全程加成'!$I$5)/系数!$B$4+BG667*10%)*('模拟-全程加成'!$J$3+'模拟-全程加成'!$J$4+'模拟-全程加成'!$J$5+('模拟-全程加成'!$I$4+'模拟-全程加成'!$I$5)/系数!$B$4+BG667*10%)+(1-('模拟-全程加成'!$J$3+'模拟-全程加成'!$J$4+'模拟-全程加成'!$J$5+('模拟-全程加成'!$I$4+'模拟-全程加成'!$I$5)/系数!$B$4+BG667*10%)-$F$10-$F$11)+F653*0.25),0)*'模拟-单技能数据'!$I$24</f>
        <v>0</v>
      </c>
      <c r="BG667" s="115" t="b">
        <f ca="1">OR(AND(OR(C667="烈日斩",C667="银月斩"),模拟模式!$I$7="净身明礼"),AND(C667="净世破魔击·日",模拟模式!$J$7="洞若观火"),AND(C668="净世破魔击·月",模拟模式!$J$7="洞若观火"),AB667=1)</f>
        <v>1</v>
      </c>
      <c r="BH667" s="115" t="b">
        <f t="shared" ca="1" si="577"/>
        <v>0</v>
      </c>
      <c r="BI667" s="115">
        <f t="shared" ca="1" si="557"/>
        <v>0</v>
      </c>
      <c r="BJ667" s="115" t="b">
        <f t="shared" ca="1" si="558"/>
        <v>0</v>
      </c>
      <c r="BK667" s="115" t="b">
        <f ca="1">AND(C667="驱夜断愁",模拟模式!$P$7="天地诛戮")</f>
        <v>0</v>
      </c>
      <c r="BL667" s="57">
        <f t="shared" ca="1" si="559"/>
        <v>11.697500000000005</v>
      </c>
      <c r="BM667" s="115" t="b">
        <f t="shared" ca="1" si="560"/>
        <v>1</v>
      </c>
      <c r="BN667" s="115" t="b">
        <f ca="1">AND(OR(C667="赤日轮1",C667="赤日轮2",C667="赤日轮3",C667="幽月轮1",C667="幽月轮2",C667="幽月轮3"),AB667=1,模拟模式!$L$7="明光恒照")</f>
        <v>0</v>
      </c>
      <c r="BO667" s="117">
        <f t="shared" ca="1" si="561"/>
        <v>23.542500000000004</v>
      </c>
      <c r="BP667" s="115">
        <f t="shared" ca="1" si="578"/>
        <v>6</v>
      </c>
      <c r="BQ667" s="115" t="b">
        <f>模拟模式!$K$10="2600·水"</f>
        <v>0</v>
      </c>
      <c r="BR667" s="117">
        <f t="shared" si="579"/>
        <v>0</v>
      </c>
      <c r="BS667" s="115">
        <f t="shared" si="580"/>
        <v>0</v>
      </c>
      <c r="BT667" s="115">
        <f t="shared" ca="1" si="581"/>
        <v>0</v>
      </c>
      <c r="BU667" s="115" t="b">
        <f ca="1">AND(模拟模式!$K$10="2300·雷",BT666=0,RAND()&lt;IF(C667="净世破魔击·月",5*0.05*2/3,IF(C667="净世破魔击·日",3*0.05*2/3,0.05*2*2/3)))</f>
        <v>0</v>
      </c>
      <c r="BV667" s="115">
        <f t="shared" ca="1" si="582"/>
        <v>0</v>
      </c>
      <c r="BW667" s="115">
        <f t="shared" ca="1" si="583"/>
        <v>147.71249999999952</v>
      </c>
      <c r="BX667" s="164" t="b">
        <f t="shared" ca="1" si="584"/>
        <v>0</v>
      </c>
      <c r="BY667" s="115">
        <f t="shared" ca="1" si="585"/>
        <v>0</v>
      </c>
      <c r="BZ667" s="115">
        <f>IF(OR(模拟模式!$P$16="10人团",模拟模式!$P$16="25人团"),IF(B667/30&gt;CA666,1,0),0)</f>
        <v>0</v>
      </c>
      <c r="CA667" s="115">
        <f t="shared" si="562"/>
        <v>0</v>
      </c>
      <c r="CB667" s="115">
        <f ca="1">IF(BZ667=1,IF(模拟模式!$P$16="10人团",15,0)+IF(模拟模式!$P$16="25人团",IF(RAND()&lt;0.6,15,0)),MAX(0,CB666-$F$4))</f>
        <v>0</v>
      </c>
      <c r="CC667" s="115" t="b">
        <f t="shared" ca="1" si="563"/>
        <v>0</v>
      </c>
      <c r="CD667" s="115">
        <f>IF(模拟模式!$Q$16="1个",IF(B667/40&gt;CE666,1,0),0)</f>
        <v>0</v>
      </c>
      <c r="CE667" s="115">
        <f t="shared" si="564"/>
        <v>0</v>
      </c>
      <c r="CF667" s="115">
        <f>IF(OR(CD667=1,模拟模式!$Q$16="2个"),20,MAX(0,CF666-$F$4))</f>
        <v>0</v>
      </c>
      <c r="CG667" s="115" t="b">
        <f t="shared" si="565"/>
        <v>0</v>
      </c>
      <c r="CH667" s="115">
        <f t="shared" ca="1" si="586"/>
        <v>29.077500000000001</v>
      </c>
      <c r="CI667" s="115" t="b">
        <f t="shared" ca="1" si="587"/>
        <v>1</v>
      </c>
      <c r="CJ667" s="119">
        <f t="shared" ca="1" si="588"/>
        <v>0.05</v>
      </c>
      <c r="CK667" s="115">
        <f t="shared" ca="1" si="589"/>
        <v>7.0774999999999997</v>
      </c>
      <c r="CL667" s="115" t="b">
        <f ca="1">AND(模拟模式!$S$7="驱夷逐法",OR(AND(C667="净世破魔击·月",E666&gt;59),AND(C667="净世破魔击·日",F666&gt;59)))</f>
        <v>0</v>
      </c>
      <c r="CM667" s="115" t="b">
        <f ca="1">OR(CL667,AND(C667="净世破魔击·日",CL666,RAND()&lt;模拟模式!$U$23))</f>
        <v>0</v>
      </c>
      <c r="CN667" s="115" t="b">
        <f ca="1">IF(模拟模式!$M$7="辉耀红尘",AND(C667="净世破魔击·月",CL667,CV667=0,E666&lt;80),AND(C667="净世破魔击·月",CL667,E666&lt;100))</f>
        <v>0</v>
      </c>
      <c r="CO667" s="115" t="b">
        <f t="shared" ca="1" si="566"/>
        <v>0</v>
      </c>
      <c r="CP667" s="115" t="b">
        <f ca="1">AND(模拟模式!$O$7="用晦而明",OR(C667="净世破魔击·日",C667="净世破魔击·月",C667="驱夜断愁"),AB667)</f>
        <v>1</v>
      </c>
      <c r="CQ667" s="115" t="b">
        <f ca="1">OR(CP667,AND(CP666,RAND()&lt;模拟模式!$U$23))</f>
        <v>1</v>
      </c>
      <c r="CR667" s="115" t="b">
        <f ca="1">AND(模拟模式!$S$7="日月齐光",OR(C667="幽月轮1",C667="幽月轮2",C667="幽月轮3",CR666),NOT(OR(C667="赤日轮1",C667="赤日轮2",C667="赤日轮3")))</f>
        <v>0</v>
      </c>
      <c r="CS667" s="115" t="b">
        <f ca="1">AND(模拟模式!$S$7="日月齐光",OR(C667="赤日轮1",C667="赤日轮2",C667="赤日轮3",CS666),NOT(OR(C667="幽月轮1",C667="幽月轮2",C667="幽月轮3")))</f>
        <v>0</v>
      </c>
      <c r="CT667" s="115">
        <f t="shared" ca="1" si="590"/>
        <v>25.387500000000003</v>
      </c>
      <c r="CU667" s="115" t="b">
        <f ca="1">AND(模拟模式!$K$10="阴阳往极",CT666=0,RAND()&lt;IF(C667="净世破魔击·月",0.0275*7/3,IF(C667="净世破魔击·日",0.0275*3/3,0.0275*2/3)))</f>
        <v>0</v>
      </c>
      <c r="CV667" s="115">
        <f t="shared" ca="1" si="591"/>
        <v>0</v>
      </c>
      <c r="CW667" s="115">
        <f t="shared" ca="1" si="592"/>
        <v>0</v>
      </c>
      <c r="CX667" s="115">
        <f t="shared" ca="1" si="593"/>
        <v>0</v>
      </c>
      <c r="CY667" s="115">
        <f ca="1">MAX(IF($C667="驱夜断愁",IF(模拟模式!$R$7="万念俱寂",6,45),CY666-$F$4),0)</f>
        <v>0</v>
      </c>
      <c r="CZ667" s="115">
        <f t="shared" ca="1" si="567"/>
        <v>0</v>
      </c>
      <c r="DA667" s="115">
        <f ca="1">IF(模拟模式!$N$7="日月同辉",IF(DB666=2,0,MIN(6,IF(AND(OR(C667="赤日轮1",C667="赤日轮2",C667="赤日轮3",C667="幽月轮1",C667="幽月轮2",C667="幽月轮3"),AB667=1),DA666+1,DA666))),0)</f>
        <v>1</v>
      </c>
      <c r="DB667" s="115">
        <f t="shared" ca="1" si="568"/>
        <v>0</v>
      </c>
      <c r="DC667" s="115"/>
      <c r="DD667" s="115"/>
      <c r="DE667" s="115"/>
      <c r="DF667" s="115"/>
      <c r="DG667" s="115"/>
      <c r="DH667" s="115"/>
      <c r="DI667" s="115"/>
      <c r="DJ667" s="115"/>
      <c r="DK667" s="115"/>
      <c r="DL667" s="115"/>
      <c r="DM667" s="115"/>
    </row>
    <row r="668" spans="2:117" x14ac:dyDescent="0.2">
      <c r="B668" s="117">
        <f t="shared" si="569"/>
        <v>591.3225000000067</v>
      </c>
      <c r="C668" s="167" t="str">
        <f t="shared" ref="C668:C731" ca="1" si="594">IF(F667=100,"净世破魔击·月",IF(E667=100,"净世破魔击·日",IF(E667&lt;20,IF(C667="赤日轮1","赤日轮2",IF(C667="赤日轮2","赤日轮3","赤日轮1")),IF(AND(E667&gt;19,F667&lt;44,CX667&lt;$F$4),"银月斩",IF(AND(E667&lt;40,CY667&lt;$F$4),"驱夜断愁",IF(AND(E667&lt;60,CW667&lt;$F$4),"烈日斩",IF(C667="幽月轮1","幽月轮2",IF(C667="幽月轮2","幽月轮3","幽月轮1"))))))))</f>
        <v>净世破魔击·日</v>
      </c>
      <c r="D668" s="115">
        <f ca="1">IF(C668="赤日轮1",1,IF(C668="赤日轮2",2,IF(C668="赤日轮3",3,IF(C668="幽月轮1",4,IF(C668="幽月轮2",5,IF(C668="幽月轮3",6,IF(C668="烈日斩",7,IF(C668="银月斩",8,IF(C668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668="净世破魔击·月",17,IF(C668="驱夜断愁",18,0)))))))))))</f>
        <v>9</v>
      </c>
      <c r="E668" s="115">
        <f ca="1">IF(AND(CU668,OR(C668="幽月轮1",C668="幽月轮2",C668="幽月轮3",C668="银月斩",C668="驱夜断愁",C668="净世破魔击·月")),100,MIN(IF(OR(CN668,BE668),0,IF(OR($C668="赤日轮1",$C668="赤日轮2",$C668="赤日轮3"),E667+20+IF(模拟模式!$I$7="日月凌天",4,0)+IF(CR667,20,0),IF($C668="烈日斩",E667+40,IF($C668="驱夜断愁",IF(模拟模式!$R$7="万念俱寂",E667+20,E667+60),IF($C668="净世破魔击·月",IF(OR(DB667&gt;0,CV667&gt;0),100,IF(模拟模式!$M$7="辉耀红尘",E667+20,E667)),IF($C668="净世破魔击·日",E667-100,E667)))))),100))</f>
        <v>0</v>
      </c>
      <c r="F668" s="115">
        <f ca="1">IF(AND(CU668,OR(C668="赤日轮1",C668="赤日轮2",C668="赤日轮3",C668="烈日斩",C668="净世破魔击·日")),100,MIN(IF(CO668,0,IF(OR($C668="幽月轮1",$C668="幽月轮2",$C668="幽月轮3"),F667+20+IF(模拟模式!$I$7="日月凌天",4,0)+IF(CS667,20,0),IF($C668="银月斩",F667+40+IF(模拟模式!$X$12=1,5,0),IF($C668="驱夜断愁",IF(模拟模式!$R$7="万念俱寂",F667+20,F667+60),IF($C668="净世破魔击·月",IF(模拟模式!$M$7="辉耀红尘",F667-80,F667-100),IF(AND(C668="净世破魔击·日",OR(DB667&gt;0,CV667&gt;0)),100,F667)))))),100))</f>
        <v>20</v>
      </c>
      <c r="G668" s="117">
        <f ca="1">('模拟-全程加成'!$E$3+'模拟-全程加成'!$E$4+'模拟-全程加成'!$E$5+('模拟-全程加成'!$C$6-'模拟-全程加成'!$C$3)*系数!$B$9+BS668*23)*(1+'模拟-全程加成'!$F$4+'模拟-全程加成'!$F$5+BJ668*10%+BM668*20%+BP668*4%+CG668*30%)+$F$7*系数!$B$12</f>
        <v>20583.127400000001</v>
      </c>
      <c r="H668" s="45">
        <f ca="1">'模拟-全程加成'!$H$3+'模拟-全程加成'!$H$4+'模拟-全程加成'!$H$5+('模拟-全程加成'!$G$4+'模拟-全程加成'!$G$5+('模拟-全程加成'!$C$6-'模拟-全程加成'!$C$3)*系数!$B$13)/系数!$B$3+LOOKUP(D668,'模拟-单技能数据'!$A$2:$A$19,'模拟-单技能数据'!$K$2:$K$19)+BG668*10%+IF(BV668&gt;0,378,0)</f>
        <v>0.54185145527300216</v>
      </c>
      <c r="I668" s="45">
        <f ca="1">'模拟-全程加成'!$J$3+'模拟-全程加成'!$J$4+'模拟-全程加成'!$J$5+('模拟-全程加成'!$I$4+'模拟-全程加成'!$I$5)/系数!$B$4+LOOKUP(D668,'模拟-单技能数据'!$A$2:$A$19,'模拟-单技能数据'!$L$2:$L$19)+BG668*10%</f>
        <v>2.162482885499879</v>
      </c>
      <c r="J668" s="45">
        <f ca="1">(('模拟-全程加成'!$K$3+'模拟-全程加成'!$K$4+'模拟-全程加成'!$K$5+('模拟-全程加成'!$C$6-'模拟-全程加成'!$C$3)*系数!$B$10+IF(BV668&gt;0,882,0)+IF(BY668&gt;0,1831,0))*(1+'模拟-全程加成'!$L$4+'模拟-全程加成'!$L$5+CC668*20%))/系数!$B$5</f>
        <v>0.69723220422048726</v>
      </c>
      <c r="K668" s="119">
        <f ca="1">LOOKUP(D668,'模拟-单技能数据'!$A$2:$A$19,'模拟-单技能数据'!$J$2:$J$19)+IF(CM668,60%,0)+IF(DB667-DB668&gt;0,30%,0)+IF(OR(AND(OR(C668="赤日轮1",C668="赤日轮2",C668="赤日轮3"),CR668),AND(OR(C668="幽月轮1",C668="幽月轮2",C668="幽月轮3"),CS668)),35%,0)+CJ668</f>
        <v>0.25</v>
      </c>
      <c r="L668" s="119">
        <f ca="1">IF(AND(C668="烈日斩",模拟模式!$X$11=1),10%,0)+IF(AND(C668="驱夜断愁",AB668=1),30%,0)</f>
        <v>0</v>
      </c>
      <c r="M668" s="45">
        <f t="shared" ref="M668:M731" ca="1" si="595">MIN(H668,1-$F$10-$F$11)</f>
        <v>0.54185145527300216</v>
      </c>
      <c r="N668" s="45">
        <f t="shared" ref="N668:N731" ca="1" si="596">1-$F$10-$F$11-M668</f>
        <v>0.40424854472699789</v>
      </c>
      <c r="O668" s="46">
        <f t="shared" ca="1" si="570"/>
        <v>0.51612280240858832</v>
      </c>
      <c r="P668" s="46" t="str">
        <f t="shared" ref="P668:P731" ca="1" si="597">IF(O668&lt;$F$10,"偏",IF(O668&lt;$F$10+$F$11,"识",IF(O668&lt;$F$10+$F$11+H668,"会","命")))</f>
        <v>会</v>
      </c>
      <c r="Q668" s="45">
        <f t="shared" ref="Q668:Q731" ca="1" si="598">IF(P668="会",I668,IF(P668="命",1,IF(P668="识",0.25,0)))</f>
        <v>2.162482885499879</v>
      </c>
      <c r="R668" s="117">
        <f ca="1">模拟模式!$E$20*(1-IF(模拟模式!$J$19="有",0.15,0))*(1-IF(模拟模式!$K$19="有",0.3,0)-IF(CQ668,0.5,0))</f>
        <v>843.02999999999975</v>
      </c>
      <c r="S668" s="45">
        <f ca="1">R668/(R668+(185*模拟模式!$E$22-16800)*4.08224)</f>
        <v>8.389626085980037E-2</v>
      </c>
      <c r="T668" s="45" t="str">
        <f ca="1">LOOKUP(D668,'模拟-单技能数据'!$A$2:$A$19,'模拟-单技能数据'!$H$2:$H$19)</f>
        <v>阳</v>
      </c>
      <c r="U668" s="119">
        <f t="shared" ref="U668:U731" ca="1" si="599">IF(T668="阳",$I$3,IF(T668="阴",$I$4,0))</f>
        <v>0.2</v>
      </c>
      <c r="V668" s="47">
        <f ca="1">(1+L668)*(LOOKUP(D668,'模拟-单技能数据'!$A$2:$A$19,'模拟-单技能数据'!$D$2:$D$19)+G668*LOOKUP(D668,'模拟-单技能数据'!$A$2:$A$19,'模拟-单技能数据'!$F$2:$F$19))*(1+J668)*(1+K668)*(1-S668)*(1+U668)*Q668*LOOKUP(D668,'模拟-单技能数据'!$A$2:$A$19,'模拟-单技能数据'!$I$2:$I$20)</f>
        <v>136052.64922685275</v>
      </c>
      <c r="W668" s="47">
        <f ca="1">LOOKUP(D668,'模拟-单技能数据'!$A$2:$A$19,'模拟-单技能数据'!$G$2:$G$19)*$I$10</f>
        <v>723.0212870940959</v>
      </c>
      <c r="X668" s="47">
        <f t="shared" ca="1" si="571"/>
        <v>27574.694170325052</v>
      </c>
      <c r="Y668" s="47">
        <f t="shared" ref="Y668:Y731" ca="1" si="600">V668+W668+X668</f>
        <v>164350.36468427192</v>
      </c>
      <c r="Z668" s="49">
        <f t="shared" ref="Z668:Z731" ca="1" si="601">Z667+Y668</f>
        <v>67555998.463629022</v>
      </c>
      <c r="AA668" s="97">
        <f t="shared" ref="AA668:AA731" ca="1" si="602">Z668/B668</f>
        <v>114245.60787662951</v>
      </c>
      <c r="AB668" s="115">
        <f ca="1">IF(OR(C668="赤日轮1",C668="赤日轮2",C668="赤日轮3"),IF(RAND()&lt;模拟模式!$Y$17,1,0),IF(OR(C668="幽月轮1",C668="幽月轮2",C668="幽月轮3"),IF(RAND()&lt;模拟模式!$Y$18,1,0),IF(C668="烈日斩",IF(RAND()&lt;模拟模式!$Y$19,1,0),IF(C668="银月斩",IF(RAND()&lt;模拟模式!$Y$20,1,0),IF(C668="驱夜断愁",IF(RAND()&lt;模拟模式!$Y$21,1,0),IF(C668="净世破魔击·日",IF(RAND()&lt;模拟模式!$Y$22,1,0),IF(C668="净世破魔击·月",IF(RAND()&lt;模拟模式!$Y$23,1,0),0)))))))</f>
        <v>1</v>
      </c>
      <c r="AC668" s="115" t="b">
        <f t="shared" ref="AC668:AC731" ca="1" si="603">C668="银月斩"</f>
        <v>0</v>
      </c>
      <c r="AD668" s="115" t="b">
        <f t="shared" ref="AD668:AD731" ca="1" si="604">IF(AD667+AD666=1,IF(AE667&gt;0,NOT(AD667),FALSE),AC668)</f>
        <v>1</v>
      </c>
      <c r="AE668" s="115">
        <f t="shared" ref="AE668:AE731" ca="1" si="605">IF(AC668,IF(AD666+AD667=0,6,6-AD668),AE667-AD668)</f>
        <v>0</v>
      </c>
      <c r="AF668" s="47">
        <f ca="1">IF(AC668,('模拟-单技能数据'!$D$20+G668*'模拟-单技能数据'!$F$20)*(1+J668)*(1+'模拟-单技能数据'!$J$20)*(1+U668),0)</f>
        <v>0</v>
      </c>
      <c r="AG668" s="61">
        <f t="shared" ref="AG668:AG731" ca="1" si="606">IF(AF668&gt;0,M668,AG667)</f>
        <v>0.64185145527300214</v>
      </c>
      <c r="AH668" s="61">
        <f t="shared" ref="AH668:AH731" ca="1" si="607">IF(AF668&gt;0,I668,AH667)</f>
        <v>2.2624828854998791</v>
      </c>
      <c r="AI668" s="62">
        <f t="shared" ca="1" si="572"/>
        <v>0.21585830561139241</v>
      </c>
      <c r="AJ668" s="47">
        <f ca="1">IF(AD668,IF(AI668&lt;$F$10,0,IF(AI668&lt;$F$10+$F$11,0.25,IF(AI668&lt;$F$10+$F$11+AG668,AH668,1)))*IF(AF668&gt;0,AF668,IF(AF667&gt;0,AF667,IF(AF666&gt;0,AF666,IF(AF665&gt;0,AF665,IF(AF664&gt;0,AF664,IF(AF663&gt;0,AF663,IF(AF662&gt;0,AF662,IF(AF661&gt;0,AF661,IF(AF660&gt;0,AF660,IF(AF658&gt;0,AF658,IF(AF657&gt;0,AF657,IF(AF656&gt;0,AF656,0)))))))))))),0)*(1-$S668)*'模拟-单技能数据'!$I$20</f>
        <v>9218.9345386263849</v>
      </c>
      <c r="AK668" s="115" t="b">
        <f t="shared" ref="AK668:AK731" ca="1" si="608">C668="净世破魔击·日"</f>
        <v>1</v>
      </c>
      <c r="AL668" s="115" t="b">
        <f t="shared" ref="AL668:AL731" ca="1" si="609">IF(AL667+AL666=1,IF(AM667&gt;0,NOT(AL667),FALSE),AK668)</f>
        <v>0</v>
      </c>
      <c r="AM668" s="115">
        <f t="shared" ref="AM668:AM731" ca="1" si="610">IF(AK668,IF(AL666+AL667=0,6,6-AL668),AM667-AL668)</f>
        <v>6</v>
      </c>
      <c r="AN668" s="47">
        <f ca="1">IF(AK668,('模拟-单技能数据'!$D$21+G668*'模拟-单技能数据'!$F$21)*(1+J668)*(1+'模拟-单技能数据'!$J$21)*(1+U668),0)</f>
        <v>12136.56601728573</v>
      </c>
      <c r="AO668" s="61">
        <f ca="1">IF(AN668&gt;0,M668-'模拟-单技能数据'!$K$10,AO667)</f>
        <v>0.42185145527300216</v>
      </c>
      <c r="AP668" s="61">
        <f ca="1">IF(AN668&gt;0,I668-'模拟-单技能数据'!$L$10,AP667)</f>
        <v>2.162482885499879</v>
      </c>
      <c r="AQ668" s="63">
        <f t="shared" ca="1" si="573"/>
        <v>0.50438840907382487</v>
      </c>
      <c r="AR668" s="64">
        <f ca="1">IF(AL668,IF(AQ668&lt;$F$10,0,IF(AQ668&lt;$F$10+$F$11,0.25,IF(AQ668&lt;$F$10+$F$11+AO668,AP668,1)))*IF(AN668&gt;0,AN668,IF(AN667&gt;0,AN667,IF(AN666&gt;0,AN666,IF(AN665&gt;0,AN665,IF(AN664&gt;0,AN664,IF(AN663&gt;0,AN663,IF(AN662&gt;0,AN662,IF(AN661&gt;0,AN661,IF(AN660&gt;0,AN660,IF(AN658&gt;0,AN658,IF(AN657&gt;0,AN657,IF(AN656&gt;0,AN656,0)))))))))))),0)*(1-$S668)*'模拟-单技能数据'!$I$21</f>
        <v>0</v>
      </c>
      <c r="AS668" s="61">
        <f ca="1">IF(OR(C668="净世破魔击·日",C668="净世破魔击·月"),M668-'模拟-单技能数据'!$K$10,0)</f>
        <v>0.42185145527300216</v>
      </c>
      <c r="AT668" s="61">
        <f ca="1">IF(OR(C668="净世破魔击·日",C668="净世破魔击·月"),I668-'模拟-单技能数据'!$L$10,0)</f>
        <v>2.162482885499879</v>
      </c>
      <c r="AU668" s="62">
        <f t="shared" ca="1" si="574"/>
        <v>0.20204358476613715</v>
      </c>
      <c r="AV668" s="64">
        <f ca="1">IF(AS668&gt;0,('模拟-单技能数据'!$D$22+G668*'模拟-单技能数据'!$F$22)*(1+J668)*(1-S668)*IF(AU668&lt;$F$10,0,IF(AU668&lt;$F$10+$F$11,0.25,IF(AU668&lt;$F$10+$F$11+AS668,AT668,1)))*(1+U668),0)*'模拟-单技能数据'!$I$22</f>
        <v>18355.759631698667</v>
      </c>
      <c r="AW668" s="108">
        <f t="shared" ca="1" si="575"/>
        <v>7.0850000000000071</v>
      </c>
      <c r="AX668" s="108" t="b">
        <f ca="1">AND(模拟模式!$P$10="有",AW667=0,RAND()&lt;IF(C668="净世破魔击·月",0.1*8/3,IF(C668="净世破魔击·日",0.1*4/3,0.1*2/3)))</f>
        <v>0</v>
      </c>
      <c r="AY668" s="47">
        <f ca="1">IF(AX668,(18+G668*0.722)*(1+J668)*(1-S668)*(1+$I$4)*IF(P668="会",'模拟-全程加成'!$J$3+'模拟-全程加成'!$J$4+'模拟-全程加成'!$J$5+('模拟-全程加成'!$I$4+'模拟-全程加成'!$I$5)/系数!$B$4+BG668*10%,IF(P668="命",1,IF(P668="识",0.25,0))),0)</f>
        <v>0</v>
      </c>
      <c r="AZ668" s="108">
        <f t="shared" si="576"/>
        <v>17.232500000000002</v>
      </c>
      <c r="BA668" s="108" t="b">
        <f>AND(模拟模式!$Q$10="有",AZ667=0)</f>
        <v>0</v>
      </c>
      <c r="BB668" s="140">
        <f>IF(BA668,(0+G668*0.287)*(1+J668)*(1-S668)*(1+$I$4)*IF(P668="会",'模拟-全程加成'!$J$3+'模拟-全程加成'!$J$4+'模拟-全程加成'!$J$5+('模拟-全程加成'!$I$4+'模拟-全程加成'!$I$5)/系数!$B$4+BG668*10%,IF(P668="命",1,IF(P668="识",0.25,0))),0)</f>
        <v>0</v>
      </c>
      <c r="BC668" s="115" t="b">
        <f ca="1">AND(模拟模式!$R$7="伏明众生",E668=60,F668=20,DA668&lt;5,CZ667&lt;$F$4)</f>
        <v>0</v>
      </c>
      <c r="BD668" s="115">
        <f t="shared" ref="BD668:BD731" ca="1" si="611">IF(BC668,6-$F$4,MAX(0,BD667-$F$4))</f>
        <v>0</v>
      </c>
      <c r="BE668" s="115" t="b">
        <f t="shared" ref="BE668:BE731" ca="1" si="612">AND(BD667&gt;0,BD667-$F$4&lt;0)</f>
        <v>0</v>
      </c>
      <c r="BF668" s="47">
        <f ca="1">IF(BC668,4*('模拟-单技能数据'!$D$24+G668*'模拟-单技能数据'!$F$24)*(1+J668)*(1+'模拟-单技能数据'!$J$24)*(1-S668)*(1+$I$3)*(('模拟-全程加成'!$J$3+'模拟-全程加成'!$J$4+'模拟-全程加成'!$J$5+('模拟-全程加成'!$I$4+'模拟-全程加成'!$I$5)/系数!$B$4+BG668*10%)*('模拟-全程加成'!$J$3+'模拟-全程加成'!$J$4+'模拟-全程加成'!$J$5+('模拟-全程加成'!$I$4+'模拟-全程加成'!$I$5)/系数!$B$4+BG668*10%)+(1-('模拟-全程加成'!$J$3+'模拟-全程加成'!$J$4+'模拟-全程加成'!$J$5+('模拟-全程加成'!$I$4+'模拟-全程加成'!$I$5)/系数!$B$4+BG668*10%)-$F$10-$F$11)+F654*0.25),0)*'模拟-单技能数据'!$I$24</f>
        <v>0</v>
      </c>
      <c r="BG668" s="115" t="b">
        <f ca="1">OR(AND(OR(C668="烈日斩",C668="银月斩"),模拟模式!$I$7="净身明礼"),AND(C668="净世破魔击·日",模拟模式!$J$7="洞若观火"),AND(C669="净世破魔击·月",模拟模式!$J$7="洞若观火"),AB668=1)</f>
        <v>1</v>
      </c>
      <c r="BH668" s="115" t="b">
        <f t="shared" ca="1" si="577"/>
        <v>0</v>
      </c>
      <c r="BI668" s="115">
        <f t="shared" ref="BI668:BI731" ca="1" si="613">IF(BH668,6,MAX(0,BI667-$F$4))</f>
        <v>0</v>
      </c>
      <c r="BJ668" s="115" t="b">
        <f t="shared" ref="BJ668:BJ731" ca="1" si="614">BI668&gt;0</f>
        <v>0</v>
      </c>
      <c r="BK668" s="115" t="b">
        <f ca="1">AND(C668="驱夜断愁",模拟模式!$P$7="天地诛戮")</f>
        <v>0</v>
      </c>
      <c r="BL668" s="57">
        <f t="shared" ref="BL668:BL731" ca="1" si="615">IF(BK668,20,MAX(0,BL667-$F$4))</f>
        <v>10.775000000000006</v>
      </c>
      <c r="BM668" s="115" t="b">
        <f t="shared" ref="BM668:BM731" ca="1" si="616">BL668&gt;0</f>
        <v>1</v>
      </c>
      <c r="BN668" s="115" t="b">
        <f ca="1">AND(OR(C668="赤日轮1",C668="赤日轮2",C668="赤日轮3",C668="幽月轮1",C668="幽月轮2",C668="幽月轮3"),AB668=1,模拟模式!$L$7="明光恒照")</f>
        <v>0</v>
      </c>
      <c r="BO668" s="117">
        <f t="shared" ref="BO668:BO731" ca="1" si="617">IF(BN668,30,MAX(0,BO667-$F$4))</f>
        <v>22.620000000000005</v>
      </c>
      <c r="BP668" s="115">
        <f t="shared" ca="1" si="578"/>
        <v>6</v>
      </c>
      <c r="BQ668" s="115" t="b">
        <f>模拟模式!$K$10="2600·水"</f>
        <v>0</v>
      </c>
      <c r="BR668" s="117">
        <f t="shared" si="579"/>
        <v>0</v>
      </c>
      <c r="BS668" s="115">
        <f t="shared" si="580"/>
        <v>0</v>
      </c>
      <c r="BT668" s="115">
        <f t="shared" ca="1" si="581"/>
        <v>0</v>
      </c>
      <c r="BU668" s="115" t="b">
        <f ca="1">AND(模拟模式!$K$10="2300·雷",BT667=0,RAND()&lt;IF(C668="净世破魔击·月",5*0.05*2/3,IF(C668="净世破魔击·日",3*0.05*2/3,0.05*2*2/3)))</f>
        <v>0</v>
      </c>
      <c r="BV668" s="115">
        <f t="shared" ca="1" si="582"/>
        <v>0</v>
      </c>
      <c r="BW668" s="115">
        <f t="shared" ca="1" si="583"/>
        <v>146.78999999999951</v>
      </c>
      <c r="BX668" s="164" t="b">
        <f t="shared" ca="1" si="584"/>
        <v>0</v>
      </c>
      <c r="BY668" s="115">
        <f t="shared" ca="1" si="585"/>
        <v>0</v>
      </c>
      <c r="BZ668" s="115">
        <f>IF(OR(模拟模式!$P$16="10人团",模拟模式!$P$16="25人团"),IF(B668/30&gt;CA667,1,0),0)</f>
        <v>0</v>
      </c>
      <c r="CA668" s="115">
        <f t="shared" ref="CA668:CA731" si="618">CA667+BZ668</f>
        <v>0</v>
      </c>
      <c r="CB668" s="115">
        <f ca="1">IF(BZ668=1,IF(模拟模式!$P$16="10人团",15,0)+IF(模拟模式!$P$16="25人团",IF(RAND()&lt;0.6,15,0)),MAX(0,CB667-$F$4))</f>
        <v>0</v>
      </c>
      <c r="CC668" s="115" t="b">
        <f t="shared" ref="CC668:CC731" ca="1" si="619">CB668&gt;0</f>
        <v>0</v>
      </c>
      <c r="CD668" s="115">
        <f>IF(模拟模式!$Q$16="1个",IF(B668/40&gt;CE667,1,0),0)</f>
        <v>0</v>
      </c>
      <c r="CE668" s="115">
        <f t="shared" ref="CE668:CE731" si="620">CE667+CD668</f>
        <v>0</v>
      </c>
      <c r="CF668" s="115">
        <f>IF(OR(CD668=1,模拟模式!$Q$16="2个"),20,MAX(0,CF667-$F$4))</f>
        <v>0</v>
      </c>
      <c r="CG668" s="115" t="b">
        <f t="shared" ref="CG668:CG731" si="621">CF668&gt;0</f>
        <v>0</v>
      </c>
      <c r="CH668" s="115">
        <f t="shared" ca="1" si="586"/>
        <v>28.155000000000001</v>
      </c>
      <c r="CI668" s="115" t="b">
        <f t="shared" ca="1" si="587"/>
        <v>0</v>
      </c>
      <c r="CJ668" s="119">
        <f t="shared" ca="1" si="588"/>
        <v>0.05</v>
      </c>
      <c r="CK668" s="115">
        <f t="shared" ca="1" si="589"/>
        <v>6.1549999999999994</v>
      </c>
      <c r="CL668" s="115" t="b">
        <f ca="1">AND(模拟模式!$S$7="驱夷逐法",OR(AND(C668="净世破魔击·月",E667&gt;59),AND(C668="净世破魔击·日",F667&gt;59)))</f>
        <v>0</v>
      </c>
      <c r="CM668" s="115" t="b">
        <f ca="1">OR(CL668,AND(C668="净世破魔击·日",CL667,RAND()&lt;模拟模式!$U$23))</f>
        <v>0</v>
      </c>
      <c r="CN668" s="115" t="b">
        <f ca="1">IF(模拟模式!$M$7="辉耀红尘",AND(C668="净世破魔击·月",CL668,CV668=0,E667&lt;80),AND(C668="净世破魔击·月",CL668,E667&lt;100))</f>
        <v>0</v>
      </c>
      <c r="CO668" s="115" t="b">
        <f t="shared" ref="CO668:CO731" ca="1" si="622">AND(C668="净世破魔击·日",CL668,CV668=0)</f>
        <v>0</v>
      </c>
      <c r="CP668" s="115" t="b">
        <f ca="1">AND(模拟模式!$O$7="用晦而明",OR(C668="净世破魔击·日",C668="净世破魔击·月",C668="驱夜断愁"),AB668)</f>
        <v>1</v>
      </c>
      <c r="CQ668" s="115" t="b">
        <f ca="1">OR(CP668,AND(CP667,RAND()&lt;模拟模式!$U$23))</f>
        <v>1</v>
      </c>
      <c r="CR668" s="115" t="b">
        <f ca="1">AND(模拟模式!$S$7="日月齐光",OR(C668="幽月轮1",C668="幽月轮2",C668="幽月轮3",CR667),NOT(OR(C668="赤日轮1",C668="赤日轮2",C668="赤日轮3")))</f>
        <v>0</v>
      </c>
      <c r="CS668" s="115" t="b">
        <f ca="1">AND(模拟模式!$S$7="日月齐光",OR(C668="赤日轮1",C668="赤日轮2",C668="赤日轮3",CS667),NOT(OR(C668="幽月轮1",C668="幽月轮2",C668="幽月轮3")))</f>
        <v>0</v>
      </c>
      <c r="CT668" s="115">
        <f t="shared" ca="1" si="590"/>
        <v>24.465000000000003</v>
      </c>
      <c r="CU668" s="115" t="b">
        <f ca="1">AND(模拟模式!$K$10="阴阳往极",CT667=0,RAND()&lt;IF(C668="净世破魔击·月",0.0275*7/3,IF(C668="净世破魔击·日",0.0275*3/3,0.0275*2/3)))</f>
        <v>0</v>
      </c>
      <c r="CV668" s="115">
        <f t="shared" ca="1" si="591"/>
        <v>0</v>
      </c>
      <c r="CW668" s="115">
        <f t="shared" ca="1" si="592"/>
        <v>0</v>
      </c>
      <c r="CX668" s="115">
        <f t="shared" ca="1" si="593"/>
        <v>0</v>
      </c>
      <c r="CY668" s="115">
        <f ca="1">MAX(IF($C668="驱夜断愁",IF(模拟模式!$R$7="万念俱寂",6,45),CY667-$F$4),0)</f>
        <v>0</v>
      </c>
      <c r="CZ668" s="115">
        <f t="shared" ref="CZ668:CZ731" ca="1" si="623">IF(BC668,25,MAX(0,CZ667-$F$4))</f>
        <v>0</v>
      </c>
      <c r="DA668" s="115">
        <f ca="1">IF(模拟模式!$N$7="日月同辉",IF(DB667=2,0,MIN(6,IF(AND(OR(C668="赤日轮1",C668="赤日轮2",C668="赤日轮3",C668="幽月轮1",C668="幽月轮2",C668="幽月轮3"),AB668=1),DA667+1,DA667))),0)</f>
        <v>1</v>
      </c>
      <c r="DB668" s="115">
        <f t="shared" ref="DB668:DB731" ca="1" si="624">MAX(0,IF(DA668=6,2,IF(OR(C668="净世破魔击·月",C668="净世破魔击·日"),DB667-1,DB667)))</f>
        <v>0</v>
      </c>
      <c r="DC668" s="115"/>
      <c r="DD668" s="115"/>
      <c r="DE668" s="115"/>
      <c r="DF668" s="115"/>
      <c r="DG668" s="115"/>
      <c r="DH668" s="115"/>
      <c r="DI668" s="115"/>
      <c r="DJ668" s="115"/>
      <c r="DK668" s="115"/>
      <c r="DL668" s="115"/>
      <c r="DM668" s="115"/>
    </row>
    <row r="669" spans="2:117" x14ac:dyDescent="0.2">
      <c r="B669" s="117">
        <f t="shared" ref="B669:B732" si="625">B668+$F$4</f>
        <v>592.24500000000671</v>
      </c>
      <c r="C669" s="167" t="str">
        <f t="shared" ca="1" si="594"/>
        <v>赤日轮1</v>
      </c>
      <c r="D669" s="115">
        <f ca="1">IF(C669="赤日轮1",1,IF(C669="赤日轮2",2,IF(C669="赤日轮3",3,IF(C669="幽月轮1",4,IF(C669="幽月轮2",5,IF(C669="幽月轮3",6,IF(C669="烈日斩",7,IF(C669="银月斩",8,IF(C669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669="净世破魔击·月",17,IF(C669="驱夜断愁",18,0)))))))))))</f>
        <v>1</v>
      </c>
      <c r="E669" s="115">
        <f ca="1">IF(AND(CU669,OR(C669="幽月轮1",C669="幽月轮2",C669="幽月轮3",C669="银月斩",C669="驱夜断愁",C669="净世破魔击·月")),100,MIN(IF(OR(CN669,BE669),0,IF(OR($C669="赤日轮1",$C669="赤日轮2",$C669="赤日轮3"),E668+20+IF(模拟模式!$I$7="日月凌天",4,0)+IF(CR668,20,0),IF($C669="烈日斩",E668+40,IF($C669="驱夜断愁",IF(模拟模式!$R$7="万念俱寂",E668+20,E668+60),IF($C669="净世破魔击·月",IF(OR(DB668&gt;0,CV668&gt;0),100,IF(模拟模式!$M$7="辉耀红尘",E668+20,E668)),IF($C669="净世破魔击·日",E668-100,E668)))))),100))</f>
        <v>20</v>
      </c>
      <c r="F669" s="115">
        <f ca="1">IF(AND(CU669,OR(C669="赤日轮1",C669="赤日轮2",C669="赤日轮3",C669="烈日斩",C669="净世破魔击·日")),100,MIN(IF(CO669,0,IF(OR($C669="幽月轮1",$C669="幽月轮2",$C669="幽月轮3"),F668+20+IF(模拟模式!$I$7="日月凌天",4,0)+IF(CS668,20,0),IF($C669="银月斩",F668+40+IF(模拟模式!$X$12=1,5,0),IF($C669="驱夜断愁",IF(模拟模式!$R$7="万念俱寂",F668+20,F668+60),IF($C669="净世破魔击·月",IF(模拟模式!$M$7="辉耀红尘",F668-80,F668-100),IF(AND(C669="净世破魔击·日",OR(DB668&gt;0,CV668&gt;0)),100,F668)))))),100))</f>
        <v>20</v>
      </c>
      <c r="G669" s="117">
        <f ca="1">('模拟-全程加成'!$E$3+'模拟-全程加成'!$E$4+'模拟-全程加成'!$E$5+('模拟-全程加成'!$C$6-'模拟-全程加成'!$C$3)*系数!$B$9+BS669*23)*(1+'模拟-全程加成'!$F$4+'模拟-全程加成'!$F$5+BJ669*10%+BM669*20%+BP669*4%+CG669*30%)+$F$7*系数!$B$12</f>
        <v>20583.127400000001</v>
      </c>
      <c r="H669" s="45">
        <f ca="1">'模拟-全程加成'!$H$3+'模拟-全程加成'!$H$4+'模拟-全程加成'!$H$5+('模拟-全程加成'!$G$4+'模拟-全程加成'!$G$5+('模拟-全程加成'!$C$6-'模拟-全程加成'!$C$3)*系数!$B$13)/系数!$B$3+LOOKUP(D669,'模拟-单技能数据'!$A$2:$A$19,'模拟-单技能数据'!$K$2:$K$19)+BG669*10%+IF(BV669&gt;0,378,0)</f>
        <v>0.4618514552730022</v>
      </c>
      <c r="I669" s="45">
        <f ca="1">'模拟-全程加成'!$J$3+'模拟-全程加成'!$J$4+'模拟-全程加成'!$J$5+('模拟-全程加成'!$I$4+'模拟-全程加成'!$I$5)/系数!$B$4+LOOKUP(D669,'模拟-单技能数据'!$A$2:$A$19,'模拟-单技能数据'!$L$2:$L$19)+BG669*10%</f>
        <v>2.162482885499879</v>
      </c>
      <c r="J669" s="45">
        <f ca="1">(('模拟-全程加成'!$K$3+'模拟-全程加成'!$K$4+'模拟-全程加成'!$K$5+('模拟-全程加成'!$C$6-'模拟-全程加成'!$C$3)*系数!$B$10+IF(BV669&gt;0,882,0)+IF(BY669&gt;0,1831,0))*(1+'模拟-全程加成'!$L$4+'模拟-全程加成'!$L$5+CC669*20%))/系数!$B$5</f>
        <v>0.69723220422048726</v>
      </c>
      <c r="K669" s="119">
        <f ca="1">LOOKUP(D669,'模拟-单技能数据'!$A$2:$A$19,'模拟-单技能数据'!$J$2:$J$19)+IF(CM669,60%,0)+IF(DB668-DB669&gt;0,30%,0)+IF(OR(AND(OR(C669="赤日轮1",C669="赤日轮2",C669="赤日轮3"),CR669),AND(OR(C669="幽月轮1",C669="幽月轮2",C669="幽月轮3"),CS669)),35%,0)+CJ669</f>
        <v>0.16999999999999998</v>
      </c>
      <c r="L669" s="119">
        <f ca="1">IF(AND(C669="烈日斩",模拟模式!$X$11=1),10%,0)+IF(AND(C669="驱夜断愁",AB669=1),30%,0)</f>
        <v>0</v>
      </c>
      <c r="M669" s="45">
        <f t="shared" ca="1" si="595"/>
        <v>0.4618514552730022</v>
      </c>
      <c r="N669" s="45">
        <f t="shared" ca="1" si="596"/>
        <v>0.48424854472699785</v>
      </c>
      <c r="O669" s="46">
        <f t="shared" ref="O669:O732" ca="1" si="626">RAND()</f>
        <v>0.94448432633440971</v>
      </c>
      <c r="P669" s="46" t="str">
        <f t="shared" ca="1" si="597"/>
        <v>命</v>
      </c>
      <c r="Q669" s="45">
        <f t="shared" ca="1" si="598"/>
        <v>1</v>
      </c>
      <c r="R669" s="117">
        <f ca="1">模拟模式!$E$20*(1-IF(模拟模式!$J$19="有",0.15,0))*(1-IF(模拟模式!$K$19="有",0.3,0)-IF(CQ669,0.5,0))</f>
        <v>843.02999999999975</v>
      </c>
      <c r="S669" s="45">
        <f ca="1">R669/(R669+(185*模拟模式!$E$22-16800)*4.08224)</f>
        <v>8.389626085980037E-2</v>
      </c>
      <c r="T669" s="45" t="str">
        <f ca="1">LOOKUP(D669,'模拟-单技能数据'!$A$2:$A$19,'模拟-单技能数据'!$H$2:$H$19)</f>
        <v>阳</v>
      </c>
      <c r="U669" s="119">
        <f t="shared" ca="1" si="599"/>
        <v>0.2</v>
      </c>
      <c r="V669" s="47">
        <f ca="1">(1+L669)*(LOOKUP(D669,'模拟-单技能数据'!$A$2:$A$19,'模拟-单技能数据'!$D$2:$D$19)+G669*LOOKUP(D669,'模拟-单技能数据'!$A$2:$A$19,'模拟-单技能数据'!$F$2:$F$19))*(1+J669)*(1+K669)*(1-S669)*(1+U669)*Q669*LOOKUP(D669,'模拟-单技能数据'!$A$2:$A$19,'模拟-单技能数据'!$I$2:$I$20)</f>
        <v>26319.200135221025</v>
      </c>
      <c r="W669" s="47">
        <f ca="1">LOOKUP(D669,'模拟-单技能数据'!$A$2:$A$19,'模拟-单技能数据'!$G$2:$G$19)*$I$10</f>
        <v>361.51064354704795</v>
      </c>
      <c r="X669" s="47">
        <f t="shared" ref="X669:X732" ca="1" si="627">AJ669+AR669+AV669+BF669+AY669+BB669</f>
        <v>24043.249177625272</v>
      </c>
      <c r="Y669" s="47">
        <f t="shared" ca="1" si="600"/>
        <v>50723.959956393344</v>
      </c>
      <c r="Z669" s="49">
        <f t="shared" ca="1" si="601"/>
        <v>67606722.423585415</v>
      </c>
      <c r="AA669" s="97">
        <f t="shared" ca="1" si="602"/>
        <v>114153.30213608329</v>
      </c>
      <c r="AB669" s="115">
        <f ca="1">IF(OR(C669="赤日轮1",C669="赤日轮2",C669="赤日轮3"),IF(RAND()&lt;模拟模式!$Y$17,1,0),IF(OR(C669="幽月轮1",C669="幽月轮2",C669="幽月轮3"),IF(RAND()&lt;模拟模式!$Y$18,1,0),IF(C669="烈日斩",IF(RAND()&lt;模拟模式!$Y$19,1,0),IF(C669="银月斩",IF(RAND()&lt;模拟模式!$Y$20,1,0),IF(C669="驱夜断愁",IF(RAND()&lt;模拟模式!$Y$21,1,0),IF(C669="净世破魔击·日",IF(RAND()&lt;模拟模式!$Y$22,1,0),IF(C669="净世破魔击·月",IF(RAND()&lt;模拟模式!$Y$23,1,0),0)))))))</f>
        <v>1</v>
      </c>
      <c r="AC669" s="115" t="b">
        <f t="shared" ca="1" si="603"/>
        <v>0</v>
      </c>
      <c r="AD669" s="115" t="b">
        <f t="shared" ca="1" si="604"/>
        <v>0</v>
      </c>
      <c r="AE669" s="115">
        <f t="shared" ca="1" si="605"/>
        <v>0</v>
      </c>
      <c r="AF669" s="47">
        <f ca="1">IF(AC669,('模拟-单技能数据'!$D$20+G669*'模拟-单技能数据'!$F$20)*(1+J669)*(1+'模拟-单技能数据'!$J$20)*(1+U669),0)</f>
        <v>0</v>
      </c>
      <c r="AG669" s="61">
        <f t="shared" ca="1" si="606"/>
        <v>0.64185145527300214</v>
      </c>
      <c r="AH669" s="61">
        <f t="shared" ca="1" si="607"/>
        <v>2.2624828854998791</v>
      </c>
      <c r="AI669" s="62">
        <f t="shared" ref="AI669:AI732" ca="1" si="628">RAND()</f>
        <v>0.19864497890882826</v>
      </c>
      <c r="AJ669" s="47">
        <f ca="1">IF(AD669,IF(AI669&lt;$F$10,0,IF(AI669&lt;$F$10+$F$11,0.25,IF(AI669&lt;$F$10+$F$11+AG669,AH669,1)))*IF(AF669&gt;0,AF669,IF(AF668&gt;0,AF668,IF(AF667&gt;0,AF667,IF(AF666&gt;0,AF666,IF(AF665&gt;0,AF665,IF(AF664&gt;0,AF664,IF(AF663&gt;0,AF663,IF(AF662&gt;0,AF662,IF(AF661&gt;0,AF661,IF(AF659&gt;0,AF659,IF(AF658&gt;0,AF658,IF(AF657&gt;0,AF657,0)))))))))))),0)*(1-$S669)*'模拟-单技能数据'!$I$20</f>
        <v>0</v>
      </c>
      <c r="AK669" s="115" t="b">
        <f t="shared" ca="1" si="608"/>
        <v>0</v>
      </c>
      <c r="AL669" s="115" t="b">
        <f t="shared" ca="1" si="609"/>
        <v>1</v>
      </c>
      <c r="AM669" s="115">
        <f t="shared" ca="1" si="610"/>
        <v>5</v>
      </c>
      <c r="AN669" s="47">
        <f ca="1">IF(AK669,('模拟-单技能数据'!$D$21+G669*'模拟-单技能数据'!$F$21)*(1+J669)*(1+'模拟-单技能数据'!$J$21)*(1+U669),0)</f>
        <v>0</v>
      </c>
      <c r="AO669" s="61">
        <f ca="1">IF(AN669&gt;0,M669-'模拟-单技能数据'!$K$10,AO668)</f>
        <v>0.42185145527300216</v>
      </c>
      <c r="AP669" s="61">
        <f ca="1">IF(AN669&gt;0,I669-'模拟-单技能数据'!$L$10,AP668)</f>
        <v>2.162482885499879</v>
      </c>
      <c r="AQ669" s="63">
        <f t="shared" ref="AQ669:AQ732" ca="1" si="629">RAND()</f>
        <v>0.46070090339292413</v>
      </c>
      <c r="AR669" s="64">
        <f ca="1">IF(AL669,IF(AQ669&lt;$F$10,0,IF(AQ669&lt;$F$10+$F$11,0.25,IF(AQ669&lt;$F$10+$F$11+AO669,AP669,1)))*IF(AN669&gt;0,AN669,IF(AN668&gt;0,AN668,IF(AN667&gt;0,AN667,IF(AN666&gt;0,AN666,IF(AN665&gt;0,AN665,IF(AN664&gt;0,AN664,IF(AN663&gt;0,AN663,IF(AN662&gt;0,AN662,IF(AN661&gt;0,AN661,IF(AN659&gt;0,AN659,IF(AN658&gt;0,AN658,IF(AN657&gt;0,AN657,0)))))))))))),0)*(1-$S669)*'模拟-单技能数据'!$I$21</f>
        <v>24043.249177625272</v>
      </c>
      <c r="AS669" s="61">
        <f ca="1">IF(OR(C669="净世破魔击·日",C669="净世破魔击·月"),M669-'模拟-单技能数据'!$K$10,0)</f>
        <v>0</v>
      </c>
      <c r="AT669" s="61">
        <f ca="1">IF(OR(C669="净世破魔击·日",C669="净世破魔击·月"),I669-'模拟-单技能数据'!$L$10,0)</f>
        <v>0</v>
      </c>
      <c r="AU669" s="62">
        <f t="shared" ref="AU669:AU732" ca="1" si="630">RAND()</f>
        <v>0.50787136379456665</v>
      </c>
      <c r="AV669" s="64">
        <f ca="1">IF(AS669&gt;0,('模拟-单技能数据'!$D$22+G669*'模拟-单技能数据'!$F$22)*(1+J669)*(1-S669)*IF(AU669&lt;$F$10,0,IF(AU669&lt;$F$10+$F$11,0.25,IF(AU669&lt;$F$10+$F$11+AS669,AT669,1)))*(1+U669),0)*'模拟-单技能数据'!$I$22</f>
        <v>0</v>
      </c>
      <c r="AW669" s="108">
        <f t="shared" ref="AW669:AW732" ca="1" si="631">IF(AX669,20-$F$4,MAX(AW668-$F$4,0))</f>
        <v>6.1625000000000068</v>
      </c>
      <c r="AX669" s="108" t="b">
        <f ca="1">AND(模拟模式!$P$10="有",AW668=0,RAND()&lt;IF(C669="净世破魔击·月",0.1*8/3,IF(C669="净世破魔击·日",0.1*4/3,0.1*2/3)))</f>
        <v>0</v>
      </c>
      <c r="AY669" s="47">
        <f ca="1">IF(AX669,(18+G669*0.722)*(1+J669)*(1-S669)*(1+$I$4)*IF(P669="会",'模拟-全程加成'!$J$3+'模拟-全程加成'!$J$4+'模拟-全程加成'!$J$5+('模拟-全程加成'!$I$4+'模拟-全程加成'!$I$5)/系数!$B$4+BG669*10%,IF(P669="命",1,IF(P669="识",0.25,0))),0)</f>
        <v>0</v>
      </c>
      <c r="AZ669" s="108">
        <f t="shared" ref="AZ669:AZ732" si="632">IF(BA669,20-$F$4,MAX(AZ668-$F$4,0))</f>
        <v>16.310000000000002</v>
      </c>
      <c r="BA669" s="108" t="b">
        <f>AND(模拟模式!$Q$10="有",AZ668=0)</f>
        <v>0</v>
      </c>
      <c r="BB669" s="140">
        <f>IF(BA669,(0+G669*0.287)*(1+J669)*(1-S669)*(1+$I$4)*IF(P669="会",'模拟-全程加成'!$J$3+'模拟-全程加成'!$J$4+'模拟-全程加成'!$J$5+('模拟-全程加成'!$I$4+'模拟-全程加成'!$I$5)/系数!$B$4+BG669*10%,IF(P669="命",1,IF(P669="识",0.25,0))),0)</f>
        <v>0</v>
      </c>
      <c r="BC669" s="115" t="b">
        <f ca="1">AND(模拟模式!$R$7="伏明众生",E669=60,F669=20,DA669&lt;5,CZ668&lt;$F$4)</f>
        <v>0</v>
      </c>
      <c r="BD669" s="115">
        <f t="shared" ca="1" si="611"/>
        <v>0</v>
      </c>
      <c r="BE669" s="115" t="b">
        <f t="shared" ca="1" si="612"/>
        <v>0</v>
      </c>
      <c r="BF669" s="47">
        <f ca="1">IF(BC669,4*('模拟-单技能数据'!$D$24+G669*'模拟-单技能数据'!$F$24)*(1+J669)*(1+'模拟-单技能数据'!$J$24)*(1-S669)*(1+$I$3)*(('模拟-全程加成'!$J$3+'模拟-全程加成'!$J$4+'模拟-全程加成'!$J$5+('模拟-全程加成'!$I$4+'模拟-全程加成'!$I$5)/系数!$B$4+BG669*10%)*('模拟-全程加成'!$J$3+'模拟-全程加成'!$J$4+'模拟-全程加成'!$J$5+('模拟-全程加成'!$I$4+'模拟-全程加成'!$I$5)/系数!$B$4+BG669*10%)+(1-('模拟-全程加成'!$J$3+'模拟-全程加成'!$J$4+'模拟-全程加成'!$J$5+('模拟-全程加成'!$I$4+'模拟-全程加成'!$I$5)/系数!$B$4+BG669*10%)-$F$10-$F$11)+F655*0.25),0)*'模拟-单技能数据'!$I$24</f>
        <v>0</v>
      </c>
      <c r="BG669" s="115" t="b">
        <f ca="1">OR(AND(OR(C669="烈日斩",C669="银月斩"),模拟模式!$I$7="净身明礼"),AND(C669="净世破魔击·日",模拟模式!$J$7="洞若观火"),AND(C670="净世破魔击·月",模拟模式!$J$7="洞若观火"),AB669=1)</f>
        <v>1</v>
      </c>
      <c r="BH669" s="115" t="b">
        <f t="shared" ref="BH669:BH732" ca="1" si="633">RAND()&lt;IF(C669="净世破魔击·月",4*$I$7,IF(C669="净世破魔击·日",2*$I$7,$I$7))</f>
        <v>0</v>
      </c>
      <c r="BI669" s="115">
        <f t="shared" ca="1" si="613"/>
        <v>0</v>
      </c>
      <c r="BJ669" s="115" t="b">
        <f t="shared" ca="1" si="614"/>
        <v>0</v>
      </c>
      <c r="BK669" s="115" t="b">
        <f ca="1">AND(C669="驱夜断愁",模拟模式!$P$7="天地诛戮")</f>
        <v>0</v>
      </c>
      <c r="BL669" s="57">
        <f t="shared" ca="1" si="615"/>
        <v>9.8525000000000063</v>
      </c>
      <c r="BM669" s="115" t="b">
        <f t="shared" ca="1" si="616"/>
        <v>1</v>
      </c>
      <c r="BN669" s="115" t="b">
        <f ca="1">AND(OR(C669="赤日轮1",C669="赤日轮2",C669="赤日轮3",C669="幽月轮1",C669="幽月轮2",C669="幽月轮3"),AB669=1,模拟模式!$L$7="明光恒照")</f>
        <v>1</v>
      </c>
      <c r="BO669" s="117">
        <f t="shared" ca="1" si="617"/>
        <v>30</v>
      </c>
      <c r="BP669" s="115">
        <f t="shared" ref="BP669:BP732" ca="1" si="634">IF(BO669&gt;0,MIN(6,IF(BN669,BP668+1,BP668)),0)</f>
        <v>6</v>
      </c>
      <c r="BQ669" s="115" t="b">
        <f>模拟模式!$K$10="2600·水"</f>
        <v>0</v>
      </c>
      <c r="BR669" s="117">
        <f t="shared" ref="BR669:BR732" si="635">IF(BQ669,6,MAX(0,BR668-$F$4))</f>
        <v>0</v>
      </c>
      <c r="BS669" s="115">
        <f t="shared" ref="BS669:BS732" si="636">IF(BR669&gt;0,MIN(10,IF(BQ669,BS668+IF(C669="净世破魔击·月",4,IF(C669="净世破魔击·日",2,1)),BS668)),0)</f>
        <v>0</v>
      </c>
      <c r="BT669" s="115">
        <f t="shared" ref="BT669:BT732" ca="1" si="637">IF(BU669,60-$F$4,MAX(0,BT668-$F$4))</f>
        <v>0</v>
      </c>
      <c r="BU669" s="115" t="b">
        <f ca="1">AND(模拟模式!$K$10="2300·雷",BT668=0,RAND()&lt;IF(C669="净世破魔击·月",5*0.05*2/3,IF(C669="净世破魔击·日",3*0.05*2/3,0.05*2*2/3)))</f>
        <v>0</v>
      </c>
      <c r="BV669" s="115">
        <f t="shared" ref="BV669:BV732" ca="1" si="638">IF(BU669,15-$F$4,MAX(0,BV668-$F$4))</f>
        <v>0</v>
      </c>
      <c r="BW669" s="115">
        <f t="shared" ref="BW669:BW732" ca="1" si="639">IF(BX669,180-$F$4,MAX(0,BW668-$F$4))</f>
        <v>145.8674999999995</v>
      </c>
      <c r="BX669" s="164" t="b">
        <f t="shared" ref="BX669:BX732" ca="1" si="640">AND(BW668=0,OR(AND(E668=80,F668=100),CU669))</f>
        <v>0</v>
      </c>
      <c r="BY669" s="115">
        <f t="shared" ref="BY669:BY732" ca="1" si="641">IF(BX669,15-$F$4,MAX(0,BY668-$F$4))</f>
        <v>0</v>
      </c>
      <c r="BZ669" s="115">
        <f>IF(OR(模拟模式!$P$16="10人团",模拟模式!$P$16="25人团"),IF(B669/30&gt;CA668,1,0),0)</f>
        <v>0</v>
      </c>
      <c r="CA669" s="115">
        <f t="shared" si="618"/>
        <v>0</v>
      </c>
      <c r="CB669" s="115">
        <f ca="1">IF(BZ669=1,IF(模拟模式!$P$16="10人团",15,0)+IF(模拟模式!$P$16="25人团",IF(RAND()&lt;0.6,15,0)),MAX(0,CB668-$F$4))</f>
        <v>0</v>
      </c>
      <c r="CC669" s="115" t="b">
        <f t="shared" ca="1" si="619"/>
        <v>0</v>
      </c>
      <c r="CD669" s="115">
        <f>IF(模拟模式!$Q$16="1个",IF(B669/40&gt;CE668,1,0),0)</f>
        <v>0</v>
      </c>
      <c r="CE669" s="115">
        <f t="shared" si="620"/>
        <v>0</v>
      </c>
      <c r="CF669" s="115">
        <f>IF(OR(CD669=1,模拟模式!$Q$16="2个"),20,MAX(0,CF668-$F$4))</f>
        <v>0</v>
      </c>
      <c r="CG669" s="115" t="b">
        <f t="shared" si="621"/>
        <v>0</v>
      </c>
      <c r="CH669" s="115">
        <f t="shared" ref="CH669:CH732" ca="1" si="642">IF(CI669,30-$F$4,MAX(0,CH668-$F$4))</f>
        <v>27.232500000000002</v>
      </c>
      <c r="CI669" s="115" t="b">
        <f t="shared" ref="CI669:CI732" ca="1" si="643">AND(CH668=0,RAND()&lt;IF(C669="净世破魔击·月",4*0.2*2/3,IF(C669="净世破魔击·日",2*0.2*2/3,0.2*2/3)))</f>
        <v>0</v>
      </c>
      <c r="CJ669" s="119">
        <f t="shared" ref="CJ669:CJ732" ca="1" si="644">IF(CI669,IF(RAND()&lt;0.7,0.05,0.01),IF(CK669&gt;0,CJ668,0))</f>
        <v>0.05</v>
      </c>
      <c r="CK669" s="115">
        <f t="shared" ref="CK669:CK732" ca="1" si="645">IF(CI669,8-$F$4,MAX(0,CK668-$F$4))</f>
        <v>5.232499999999999</v>
      </c>
      <c r="CL669" s="115" t="b">
        <f ca="1">AND(模拟模式!$S$7="驱夷逐法",OR(AND(C669="净世破魔击·月",E668&gt;59),AND(C669="净世破魔击·日",F668&gt;59)))</f>
        <v>0</v>
      </c>
      <c r="CM669" s="115" t="b">
        <f ca="1">OR(CL669,AND(C669="净世破魔击·日",CL668,RAND()&lt;模拟模式!$U$23))</f>
        <v>0</v>
      </c>
      <c r="CN669" s="115" t="b">
        <f ca="1">IF(模拟模式!$M$7="辉耀红尘",AND(C669="净世破魔击·月",CL669,CV669=0,E668&lt;80),AND(C669="净世破魔击·月",CL669,E668&lt;100))</f>
        <v>0</v>
      </c>
      <c r="CO669" s="115" t="b">
        <f t="shared" ca="1" si="622"/>
        <v>0</v>
      </c>
      <c r="CP669" s="115" t="b">
        <f ca="1">AND(模拟模式!$O$7="用晦而明",OR(C669="净世破魔击·日",C669="净世破魔击·月",C669="驱夜断愁"),AB669)</f>
        <v>0</v>
      </c>
      <c r="CQ669" s="115" t="b">
        <f ca="1">OR(CP669,AND(CP668,RAND()&lt;模拟模式!$U$23))</f>
        <v>1</v>
      </c>
      <c r="CR669" s="115" t="b">
        <f ca="1">AND(模拟模式!$S$7="日月齐光",OR(C669="幽月轮1",C669="幽月轮2",C669="幽月轮3",CR668),NOT(OR(C669="赤日轮1",C669="赤日轮2",C669="赤日轮3")))</f>
        <v>0</v>
      </c>
      <c r="CS669" s="115" t="b">
        <f ca="1">AND(模拟模式!$S$7="日月齐光",OR(C669="赤日轮1",C669="赤日轮2",C669="赤日轮3",CS668),NOT(OR(C669="幽月轮1",C669="幽月轮2",C669="幽月轮3")))</f>
        <v>0</v>
      </c>
      <c r="CT669" s="115">
        <f t="shared" ref="CT669:CT732" ca="1" si="646">IF(CU669,30,MAX(CT668-$F$4,0))</f>
        <v>23.542500000000004</v>
      </c>
      <c r="CU669" s="115" t="b">
        <f ca="1">AND(模拟模式!$K$10="阴阳往极",CT668=0,RAND()&lt;IF(C669="净世破魔击·月",0.0275*7/3,IF(C669="净世破魔击·日",0.0275*3/3,0.0275*2/3)))</f>
        <v>0</v>
      </c>
      <c r="CV669" s="115">
        <f t="shared" ref="CV669:CV732" ca="1" si="647">IF(CU669,5-$F$4,MAX(CV668-$F$4,0))</f>
        <v>0</v>
      </c>
      <c r="CW669" s="115">
        <f t="shared" ref="CW669:CW732" ca="1" si="648">MAX(IF($C669="烈日斩",6,CW668-$F$4),0)</f>
        <v>0</v>
      </c>
      <c r="CX669" s="115">
        <f t="shared" ref="CX669:CX732" ca="1" si="649">MAX(IF($C669="银月斩",6,CX668-$F$4),0)</f>
        <v>0</v>
      </c>
      <c r="CY669" s="115">
        <f ca="1">MAX(IF($C669="驱夜断愁",IF(模拟模式!$R$7="万念俱寂",6,45),CY668-$F$4),0)</f>
        <v>0</v>
      </c>
      <c r="CZ669" s="115">
        <f t="shared" ca="1" si="623"/>
        <v>0</v>
      </c>
      <c r="DA669" s="115">
        <f ca="1">IF(模拟模式!$N$7="日月同辉",IF(DB668=2,0,MIN(6,IF(AND(OR(C669="赤日轮1",C669="赤日轮2",C669="赤日轮3",C669="幽月轮1",C669="幽月轮2",C669="幽月轮3"),AB669=1),DA668+1,DA668))),0)</f>
        <v>2</v>
      </c>
      <c r="DB669" s="115">
        <f t="shared" ca="1" si="624"/>
        <v>0</v>
      </c>
      <c r="DC669" s="115"/>
      <c r="DD669" s="115"/>
      <c r="DE669" s="115"/>
      <c r="DF669" s="115"/>
      <c r="DG669" s="115"/>
      <c r="DH669" s="115"/>
      <c r="DI669" s="115"/>
      <c r="DJ669" s="115"/>
      <c r="DK669" s="115"/>
      <c r="DL669" s="115"/>
      <c r="DM669" s="115"/>
    </row>
    <row r="670" spans="2:117" x14ac:dyDescent="0.2">
      <c r="B670" s="117">
        <f t="shared" si="625"/>
        <v>593.16750000000673</v>
      </c>
      <c r="C670" s="167" t="str">
        <f t="shared" ca="1" si="594"/>
        <v>银月斩</v>
      </c>
      <c r="D670" s="115">
        <f ca="1">IF(C670="赤日轮1",1,IF(C670="赤日轮2",2,IF(C670="赤日轮3",3,IF(C670="幽月轮1",4,IF(C670="幽月轮2",5,IF(C670="幽月轮3",6,IF(C670="烈日斩",7,IF(C670="银月斩",8,IF(C670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670="净世破魔击·月",17,IF(C670="驱夜断愁",18,0)))))))))))</f>
        <v>8</v>
      </c>
      <c r="E670" s="115">
        <f ca="1">IF(AND(CU670,OR(C670="幽月轮1",C670="幽月轮2",C670="幽月轮3",C670="银月斩",C670="驱夜断愁",C670="净世破魔击·月")),100,MIN(IF(OR(CN670,BE670),0,IF(OR($C670="赤日轮1",$C670="赤日轮2",$C670="赤日轮3"),E669+20+IF(模拟模式!$I$7="日月凌天",4,0)+IF(CR669,20,0),IF($C670="烈日斩",E669+40,IF($C670="驱夜断愁",IF(模拟模式!$R$7="万念俱寂",E669+20,E669+60),IF($C670="净世破魔击·月",IF(OR(DB669&gt;0,CV669&gt;0),100,IF(模拟模式!$M$7="辉耀红尘",E669+20,E669)),IF($C670="净世破魔击·日",E669-100,E669)))))),100))</f>
        <v>20</v>
      </c>
      <c r="F670" s="115">
        <f ca="1">IF(AND(CU670,OR(C670="赤日轮1",C670="赤日轮2",C670="赤日轮3",C670="烈日斩",C670="净世破魔击·日")),100,MIN(IF(CO670,0,IF(OR($C670="幽月轮1",$C670="幽月轮2",$C670="幽月轮3"),F669+20+IF(模拟模式!$I$7="日月凌天",4,0)+IF(CS669,20,0),IF($C670="银月斩",F669+40+IF(模拟模式!$X$12=1,5,0),IF($C670="驱夜断愁",IF(模拟模式!$R$7="万念俱寂",F669+20,F669+60),IF($C670="净世破魔击·月",IF(模拟模式!$M$7="辉耀红尘",F669-80,F669-100),IF(AND(C670="净世破魔击·日",OR(DB669&gt;0,CV669&gt;0)),100,F669)))))),100))</f>
        <v>65</v>
      </c>
      <c r="G670" s="117">
        <f ca="1">('模拟-全程加成'!$E$3+'模拟-全程加成'!$E$4+'模拟-全程加成'!$E$5+('模拟-全程加成'!$C$6-'模拟-全程加成'!$C$3)*系数!$B$9+BS670*23)*(1+'模拟-全程加成'!$F$4+'模拟-全程加成'!$F$5+BJ670*10%+BM670*20%+BP670*4%+CG670*30%)+$F$7*系数!$B$12</f>
        <v>20583.127400000001</v>
      </c>
      <c r="H670" s="45">
        <f ca="1">'模拟-全程加成'!$H$3+'模拟-全程加成'!$H$4+'模拟-全程加成'!$H$5+('模拟-全程加成'!$G$4+'模拟-全程加成'!$G$5+('模拟-全程加成'!$C$6-'模拟-全程加成'!$C$3)*系数!$B$13)/系数!$B$3+LOOKUP(D670,'模拟-单技能数据'!$A$2:$A$19,'模拟-单技能数据'!$K$2:$K$19)+BG670*10%+IF(BV670&gt;0,378,0)</f>
        <v>0.64185145527300214</v>
      </c>
      <c r="I670" s="45">
        <f ca="1">'模拟-全程加成'!$J$3+'模拟-全程加成'!$J$4+'模拟-全程加成'!$J$5+('模拟-全程加成'!$I$4+'模拟-全程加成'!$I$5)/系数!$B$4+LOOKUP(D670,'模拟-单技能数据'!$A$2:$A$19,'模拟-单技能数据'!$L$2:$L$19)+BG670*10%</f>
        <v>2.2624828854998791</v>
      </c>
      <c r="J670" s="45">
        <f ca="1">(('模拟-全程加成'!$K$3+'模拟-全程加成'!$K$4+'模拟-全程加成'!$K$5+('模拟-全程加成'!$C$6-'模拟-全程加成'!$C$3)*系数!$B$10+IF(BV670&gt;0,882,0)+IF(BY670&gt;0,1831,0))*(1+'模拟-全程加成'!$L$4+'模拟-全程加成'!$L$5+CC670*20%))/系数!$B$5</f>
        <v>0.69723220422048726</v>
      </c>
      <c r="K670" s="119">
        <f ca="1">LOOKUP(D670,'模拟-单技能数据'!$A$2:$A$19,'模拟-单技能数据'!$J$2:$J$19)+IF(CM670,60%,0)+IF(DB669-DB670&gt;0,30%,0)+IF(OR(AND(OR(C670="赤日轮1",C670="赤日轮2",C670="赤日轮3"),CR670),AND(OR(C670="幽月轮1",C670="幽月轮2",C670="幽月轮3"),CS670)),35%,0)+CJ670</f>
        <v>0.2</v>
      </c>
      <c r="L670" s="119">
        <f ca="1">IF(AND(C670="烈日斩",模拟模式!$X$11=1),10%,0)+IF(AND(C670="驱夜断愁",AB670=1),30%,0)</f>
        <v>0</v>
      </c>
      <c r="M670" s="45">
        <f t="shared" ca="1" si="595"/>
        <v>0.64185145527300214</v>
      </c>
      <c r="N670" s="45">
        <f t="shared" ca="1" si="596"/>
        <v>0.30424854472699792</v>
      </c>
      <c r="O670" s="46">
        <f t="shared" ca="1" si="626"/>
        <v>0.45240870108939402</v>
      </c>
      <c r="P670" s="46" t="str">
        <f t="shared" ca="1" si="597"/>
        <v>会</v>
      </c>
      <c r="Q670" s="45">
        <f t="shared" ca="1" si="598"/>
        <v>2.2624828854998791</v>
      </c>
      <c r="R670" s="117">
        <f ca="1">模拟模式!$E$20*(1-IF(模拟模式!$J$19="有",0.15,0))*(1-IF(模拟模式!$K$19="有",0.3,0)-IF(CQ670,0.5,0))</f>
        <v>2950.6049999999996</v>
      </c>
      <c r="S670" s="45">
        <f ca="1">R670/(R670+(185*模拟模式!$E$22-16800)*4.08224)</f>
        <v>0.24272716014590323</v>
      </c>
      <c r="T670" s="45" t="str">
        <f ca="1">LOOKUP(D670,'模拟-单技能数据'!$A$2:$A$19,'模拟-单技能数据'!$H$2:$H$19)</f>
        <v>阴</v>
      </c>
      <c r="U670" s="119">
        <f t="shared" ca="1" si="599"/>
        <v>0.08</v>
      </c>
      <c r="V670" s="47">
        <f ca="1">(1+L670)*(LOOKUP(D670,'模拟-单技能数据'!$A$2:$A$19,'模拟-单技能数据'!$D$2:$D$19)+G670*LOOKUP(D670,'模拟-单技能数据'!$A$2:$A$19,'模拟-单技能数据'!$F$2:$F$19))*(1+J670)*(1+K670)*(1-S670)*(1+U670)*Q670*LOOKUP(D670,'模拟-单技能数据'!$A$2:$A$19,'模拟-单技能数据'!$I$2:$I$20)</f>
        <v>41197.889067962984</v>
      </c>
      <c r="W670" s="47">
        <f ca="1">LOOKUP(D670,'模拟-单技能数据'!$A$2:$A$19,'模拟-单技能数据'!$G$2:$G$19)*$I$10</f>
        <v>361.51064354704795</v>
      </c>
      <c r="X670" s="47">
        <f t="shared" ca="1" si="627"/>
        <v>0</v>
      </c>
      <c r="Y670" s="47">
        <f t="shared" ca="1" si="600"/>
        <v>41559.399711510036</v>
      </c>
      <c r="Z670" s="49">
        <f t="shared" ca="1" si="601"/>
        <v>67648281.823296919</v>
      </c>
      <c r="AA670" s="97">
        <f t="shared" ca="1" si="602"/>
        <v>114045.83329885092</v>
      </c>
      <c r="AB670" s="115">
        <f ca="1">IF(OR(C670="赤日轮1",C670="赤日轮2",C670="赤日轮3"),IF(RAND()&lt;模拟模式!$Y$17,1,0),IF(OR(C670="幽月轮1",C670="幽月轮2",C670="幽月轮3"),IF(RAND()&lt;模拟模式!$Y$18,1,0),IF(C670="烈日斩",IF(RAND()&lt;模拟模式!$Y$19,1,0),IF(C670="银月斩",IF(RAND()&lt;模拟模式!$Y$20,1,0),IF(C670="驱夜断愁",IF(RAND()&lt;模拟模式!$Y$21,1,0),IF(C670="净世破魔击·日",IF(RAND()&lt;模拟模式!$Y$22,1,0),IF(C670="净世破魔击·月",IF(RAND()&lt;模拟模式!$Y$23,1,0),0)))))))</f>
        <v>1</v>
      </c>
      <c r="AC670" s="115" t="b">
        <f t="shared" ca="1" si="603"/>
        <v>1</v>
      </c>
      <c r="AD670" s="115" t="b">
        <f t="shared" ca="1" si="604"/>
        <v>0</v>
      </c>
      <c r="AE670" s="115">
        <f t="shared" ca="1" si="605"/>
        <v>6</v>
      </c>
      <c r="AF670" s="47">
        <f ca="1">IF(AC670,('模拟-单技能数据'!$D$20+G670*'模拟-单技能数据'!$F$20)*(1+J670)*(1+'模拟-单技能数据'!$J$20)*(1+U670),0)</f>
        <v>4447.8565560098323</v>
      </c>
      <c r="AG670" s="61">
        <f t="shared" ca="1" si="606"/>
        <v>0.64185145527300214</v>
      </c>
      <c r="AH670" s="61">
        <f t="shared" ca="1" si="607"/>
        <v>2.2624828854998791</v>
      </c>
      <c r="AI670" s="62">
        <f t="shared" ca="1" si="628"/>
        <v>0.46948493036804329</v>
      </c>
      <c r="AJ670" s="47">
        <f ca="1">IF(AD670,IF(AI670&lt;$F$10,0,IF(AI670&lt;$F$10+$F$11,0.25,IF(AI670&lt;$F$10+$F$11+AG670,AH670,1)))*IF(AF670&gt;0,AF670,IF(AF669&gt;0,AF669,IF(AF668&gt;0,AF668,IF(AF667&gt;0,AF667,IF(AF666&gt;0,AF666,IF(AF665&gt;0,AF665,IF(AF664&gt;0,AF664,IF(AF663&gt;0,AF663,IF(AF662&gt;0,AF662,IF(AF660&gt;0,AF660,IF(AF659&gt;0,AF659,IF(AF658&gt;0,AF658,0)))))))))))),0)*(1-$S670)*'模拟-单技能数据'!$I$20</f>
        <v>0</v>
      </c>
      <c r="AK670" s="115" t="b">
        <f t="shared" ca="1" si="608"/>
        <v>0</v>
      </c>
      <c r="AL670" s="115" t="b">
        <f t="shared" ca="1" si="609"/>
        <v>0</v>
      </c>
      <c r="AM670" s="115">
        <f t="shared" ca="1" si="610"/>
        <v>5</v>
      </c>
      <c r="AN670" s="47">
        <f ca="1">IF(AK670,('模拟-单技能数据'!$D$21+G670*'模拟-单技能数据'!$F$21)*(1+J670)*(1+'模拟-单技能数据'!$J$21)*(1+U670),0)</f>
        <v>0</v>
      </c>
      <c r="AO670" s="61">
        <f ca="1">IF(AN670&gt;0,M670-'模拟-单技能数据'!$K$10,AO669)</f>
        <v>0.42185145527300216</v>
      </c>
      <c r="AP670" s="61">
        <f ca="1">IF(AN670&gt;0,I670-'模拟-单技能数据'!$L$10,AP669)</f>
        <v>2.162482885499879</v>
      </c>
      <c r="AQ670" s="63">
        <f t="shared" ca="1" si="629"/>
        <v>1.5772444521663265E-2</v>
      </c>
      <c r="AR670" s="64">
        <f ca="1">IF(AL670,IF(AQ670&lt;$F$10,0,IF(AQ670&lt;$F$10+$F$11,0.25,IF(AQ670&lt;$F$10+$F$11+AO670,AP670,1)))*IF(AN670&gt;0,AN670,IF(AN669&gt;0,AN669,IF(AN668&gt;0,AN668,IF(AN667&gt;0,AN667,IF(AN666&gt;0,AN666,IF(AN665&gt;0,AN665,IF(AN664&gt;0,AN664,IF(AN663&gt;0,AN663,IF(AN662&gt;0,AN662,IF(AN660&gt;0,AN660,IF(AN659&gt;0,AN659,IF(AN658&gt;0,AN658,0)))))))))))),0)*(1-$S670)*'模拟-单技能数据'!$I$21</f>
        <v>0</v>
      </c>
      <c r="AS670" s="61">
        <f ca="1">IF(OR(C670="净世破魔击·日",C670="净世破魔击·月"),M670-'模拟-单技能数据'!$K$10,0)</f>
        <v>0</v>
      </c>
      <c r="AT670" s="61">
        <f ca="1">IF(OR(C670="净世破魔击·日",C670="净世破魔击·月"),I670-'模拟-单技能数据'!$L$10,0)</f>
        <v>0</v>
      </c>
      <c r="AU670" s="62">
        <f t="shared" ca="1" si="630"/>
        <v>0.88806941217238988</v>
      </c>
      <c r="AV670" s="64">
        <f ca="1">IF(AS670&gt;0,('模拟-单技能数据'!$D$22+G670*'模拟-单技能数据'!$F$22)*(1+J670)*(1-S670)*IF(AU670&lt;$F$10,0,IF(AU670&lt;$F$10+$F$11,0.25,IF(AU670&lt;$F$10+$F$11+AS670,AT670,1)))*(1+U670),0)*'模拟-单技能数据'!$I$22</f>
        <v>0</v>
      </c>
      <c r="AW670" s="108">
        <f t="shared" ca="1" si="631"/>
        <v>5.2400000000000064</v>
      </c>
      <c r="AX670" s="108" t="b">
        <f ca="1">AND(模拟模式!$P$10="有",AW669=0,RAND()&lt;IF(C670="净世破魔击·月",0.1*8/3,IF(C670="净世破魔击·日",0.1*4/3,0.1*2/3)))</f>
        <v>0</v>
      </c>
      <c r="AY670" s="47">
        <f ca="1">IF(AX670,(18+G670*0.722)*(1+J670)*(1-S670)*(1+$I$4)*IF(P670="会",'模拟-全程加成'!$J$3+'模拟-全程加成'!$J$4+'模拟-全程加成'!$J$5+('模拟-全程加成'!$I$4+'模拟-全程加成'!$I$5)/系数!$B$4+BG670*10%,IF(P670="命",1,IF(P670="识",0.25,0))),0)</f>
        <v>0</v>
      </c>
      <c r="AZ670" s="108">
        <f t="shared" si="632"/>
        <v>15.387500000000003</v>
      </c>
      <c r="BA670" s="108" t="b">
        <f>AND(模拟模式!$Q$10="有",AZ669=0)</f>
        <v>0</v>
      </c>
      <c r="BB670" s="140">
        <f>IF(BA670,(0+G670*0.287)*(1+J670)*(1-S670)*(1+$I$4)*IF(P670="会",'模拟-全程加成'!$J$3+'模拟-全程加成'!$J$4+'模拟-全程加成'!$J$5+('模拟-全程加成'!$I$4+'模拟-全程加成'!$I$5)/系数!$B$4+BG670*10%,IF(P670="命",1,IF(P670="识",0.25,0))),0)</f>
        <v>0</v>
      </c>
      <c r="BC670" s="115" t="b">
        <f ca="1">AND(模拟模式!$R$7="伏明众生",E670=60,F670=20,DA670&lt;5,CZ669&lt;$F$4)</f>
        <v>0</v>
      </c>
      <c r="BD670" s="115">
        <f t="shared" ca="1" si="611"/>
        <v>0</v>
      </c>
      <c r="BE670" s="115" t="b">
        <f t="shared" ca="1" si="612"/>
        <v>0</v>
      </c>
      <c r="BF670" s="47">
        <f ca="1">IF(BC670,4*('模拟-单技能数据'!$D$24+G670*'模拟-单技能数据'!$F$24)*(1+J670)*(1+'模拟-单技能数据'!$J$24)*(1-S670)*(1+$I$3)*(('模拟-全程加成'!$J$3+'模拟-全程加成'!$J$4+'模拟-全程加成'!$J$5+('模拟-全程加成'!$I$4+'模拟-全程加成'!$I$5)/系数!$B$4+BG670*10%)*('模拟-全程加成'!$J$3+'模拟-全程加成'!$J$4+'模拟-全程加成'!$J$5+('模拟-全程加成'!$I$4+'模拟-全程加成'!$I$5)/系数!$B$4+BG670*10%)+(1-('模拟-全程加成'!$J$3+'模拟-全程加成'!$J$4+'模拟-全程加成'!$J$5+('模拟-全程加成'!$I$4+'模拟-全程加成'!$I$5)/系数!$B$4+BG670*10%)-$F$10-$F$11)+F656*0.25),0)*'模拟-单技能数据'!$I$24</f>
        <v>0</v>
      </c>
      <c r="BG670" s="115" t="b">
        <f ca="1">OR(AND(OR(C670="烈日斩",C670="银月斩"),模拟模式!$I$7="净身明礼"),AND(C670="净世破魔击·日",模拟模式!$J$7="洞若观火"),AND(C671="净世破魔击·月",模拟模式!$J$7="洞若观火"),AB670=1)</f>
        <v>1</v>
      </c>
      <c r="BH670" s="115" t="b">
        <f t="shared" ca="1" si="633"/>
        <v>0</v>
      </c>
      <c r="BI670" s="115">
        <f t="shared" ca="1" si="613"/>
        <v>0</v>
      </c>
      <c r="BJ670" s="115" t="b">
        <f t="shared" ca="1" si="614"/>
        <v>0</v>
      </c>
      <c r="BK670" s="115" t="b">
        <f ca="1">AND(C670="驱夜断愁",模拟模式!$P$7="天地诛戮")</f>
        <v>0</v>
      </c>
      <c r="BL670" s="57">
        <f t="shared" ca="1" si="615"/>
        <v>8.9300000000000068</v>
      </c>
      <c r="BM670" s="115" t="b">
        <f t="shared" ca="1" si="616"/>
        <v>1</v>
      </c>
      <c r="BN670" s="115" t="b">
        <f ca="1">AND(OR(C670="赤日轮1",C670="赤日轮2",C670="赤日轮3",C670="幽月轮1",C670="幽月轮2",C670="幽月轮3"),AB670=1,模拟模式!$L$7="明光恒照")</f>
        <v>0</v>
      </c>
      <c r="BO670" s="117">
        <f t="shared" ca="1" si="617"/>
        <v>29.077500000000001</v>
      </c>
      <c r="BP670" s="115">
        <f t="shared" ca="1" si="634"/>
        <v>6</v>
      </c>
      <c r="BQ670" s="115" t="b">
        <f>模拟模式!$K$10="2600·水"</f>
        <v>0</v>
      </c>
      <c r="BR670" s="117">
        <f t="shared" si="635"/>
        <v>0</v>
      </c>
      <c r="BS670" s="115">
        <f t="shared" si="636"/>
        <v>0</v>
      </c>
      <c r="BT670" s="115">
        <f t="shared" ca="1" si="637"/>
        <v>0</v>
      </c>
      <c r="BU670" s="115" t="b">
        <f ca="1">AND(模拟模式!$K$10="2300·雷",BT669=0,RAND()&lt;IF(C670="净世破魔击·月",5*0.05*2/3,IF(C670="净世破魔击·日",3*0.05*2/3,0.05*2*2/3)))</f>
        <v>0</v>
      </c>
      <c r="BV670" s="115">
        <f t="shared" ca="1" si="638"/>
        <v>0</v>
      </c>
      <c r="BW670" s="115">
        <f t="shared" ca="1" si="639"/>
        <v>144.94499999999948</v>
      </c>
      <c r="BX670" s="164" t="b">
        <f t="shared" ca="1" si="640"/>
        <v>0</v>
      </c>
      <c r="BY670" s="115">
        <f t="shared" ca="1" si="641"/>
        <v>0</v>
      </c>
      <c r="BZ670" s="115">
        <f>IF(OR(模拟模式!$P$16="10人团",模拟模式!$P$16="25人团"),IF(B670/30&gt;CA669,1,0),0)</f>
        <v>0</v>
      </c>
      <c r="CA670" s="115">
        <f t="shared" si="618"/>
        <v>0</v>
      </c>
      <c r="CB670" s="115">
        <f ca="1">IF(BZ670=1,IF(模拟模式!$P$16="10人团",15,0)+IF(模拟模式!$P$16="25人团",IF(RAND()&lt;0.6,15,0)),MAX(0,CB669-$F$4))</f>
        <v>0</v>
      </c>
      <c r="CC670" s="115" t="b">
        <f t="shared" ca="1" si="619"/>
        <v>0</v>
      </c>
      <c r="CD670" s="115">
        <f>IF(模拟模式!$Q$16="1个",IF(B670/40&gt;CE669,1,0),0)</f>
        <v>0</v>
      </c>
      <c r="CE670" s="115">
        <f t="shared" si="620"/>
        <v>0</v>
      </c>
      <c r="CF670" s="115">
        <f>IF(OR(CD670=1,模拟模式!$Q$16="2个"),20,MAX(0,CF669-$F$4))</f>
        <v>0</v>
      </c>
      <c r="CG670" s="115" t="b">
        <f t="shared" si="621"/>
        <v>0</v>
      </c>
      <c r="CH670" s="115">
        <f t="shared" ca="1" si="642"/>
        <v>26.310000000000002</v>
      </c>
      <c r="CI670" s="115" t="b">
        <f t="shared" ca="1" si="643"/>
        <v>0</v>
      </c>
      <c r="CJ670" s="119">
        <f t="shared" ca="1" si="644"/>
        <v>0.05</v>
      </c>
      <c r="CK670" s="115">
        <f t="shared" ca="1" si="645"/>
        <v>4.3099999999999987</v>
      </c>
      <c r="CL670" s="115" t="b">
        <f ca="1">AND(模拟模式!$S$7="驱夷逐法",OR(AND(C670="净世破魔击·月",E669&gt;59),AND(C670="净世破魔击·日",F669&gt;59)))</f>
        <v>0</v>
      </c>
      <c r="CM670" s="115" t="b">
        <f ca="1">OR(CL670,AND(C670="净世破魔击·日",CL669,RAND()&lt;模拟模式!$U$23))</f>
        <v>0</v>
      </c>
      <c r="CN670" s="115" t="b">
        <f ca="1">IF(模拟模式!$M$7="辉耀红尘",AND(C670="净世破魔击·月",CL670,CV670=0,E669&lt;80),AND(C670="净世破魔击·月",CL670,E669&lt;100))</f>
        <v>0</v>
      </c>
      <c r="CO670" s="115" t="b">
        <f t="shared" ca="1" si="622"/>
        <v>0</v>
      </c>
      <c r="CP670" s="115" t="b">
        <f ca="1">AND(模拟模式!$O$7="用晦而明",OR(C670="净世破魔击·日",C670="净世破魔击·月",C670="驱夜断愁"),AB670)</f>
        <v>0</v>
      </c>
      <c r="CQ670" s="115" t="b">
        <f ca="1">OR(CP670,AND(CP669,RAND()&lt;模拟模式!$U$23))</f>
        <v>0</v>
      </c>
      <c r="CR670" s="115" t="b">
        <f ca="1">AND(模拟模式!$S$7="日月齐光",OR(C670="幽月轮1",C670="幽月轮2",C670="幽月轮3",CR669),NOT(OR(C670="赤日轮1",C670="赤日轮2",C670="赤日轮3")))</f>
        <v>0</v>
      </c>
      <c r="CS670" s="115" t="b">
        <f ca="1">AND(模拟模式!$S$7="日月齐光",OR(C670="赤日轮1",C670="赤日轮2",C670="赤日轮3",CS669),NOT(OR(C670="幽月轮1",C670="幽月轮2",C670="幽月轮3")))</f>
        <v>0</v>
      </c>
      <c r="CT670" s="115">
        <f t="shared" ca="1" si="646"/>
        <v>22.620000000000005</v>
      </c>
      <c r="CU670" s="115" t="b">
        <f ca="1">AND(模拟模式!$K$10="阴阳往极",CT669=0,RAND()&lt;IF(C670="净世破魔击·月",0.0275*7/3,IF(C670="净世破魔击·日",0.0275*3/3,0.0275*2/3)))</f>
        <v>0</v>
      </c>
      <c r="CV670" s="115">
        <f t="shared" ca="1" si="647"/>
        <v>0</v>
      </c>
      <c r="CW670" s="115">
        <f t="shared" ca="1" si="648"/>
        <v>0</v>
      </c>
      <c r="CX670" s="115">
        <f t="shared" ca="1" si="649"/>
        <v>6</v>
      </c>
      <c r="CY670" s="115">
        <f ca="1">MAX(IF($C670="驱夜断愁",IF(模拟模式!$R$7="万念俱寂",6,45),CY669-$F$4),0)</f>
        <v>0</v>
      </c>
      <c r="CZ670" s="115">
        <f t="shared" ca="1" si="623"/>
        <v>0</v>
      </c>
      <c r="DA670" s="115">
        <f ca="1">IF(模拟模式!$N$7="日月同辉",IF(DB669=2,0,MIN(6,IF(AND(OR(C670="赤日轮1",C670="赤日轮2",C670="赤日轮3",C670="幽月轮1",C670="幽月轮2",C670="幽月轮3"),AB670=1),DA669+1,DA669))),0)</f>
        <v>2</v>
      </c>
      <c r="DB670" s="115">
        <f t="shared" ca="1" si="624"/>
        <v>0</v>
      </c>
      <c r="DC670" s="115"/>
      <c r="DD670" s="115"/>
      <c r="DE670" s="115"/>
      <c r="DF670" s="115"/>
      <c r="DG670" s="115"/>
      <c r="DH670" s="115"/>
      <c r="DI670" s="115"/>
      <c r="DJ670" s="115"/>
      <c r="DK670" s="115"/>
      <c r="DL670" s="115"/>
      <c r="DM670" s="115"/>
    </row>
    <row r="671" spans="2:117" x14ac:dyDescent="0.2">
      <c r="B671" s="117">
        <f t="shared" si="625"/>
        <v>594.09000000000674</v>
      </c>
      <c r="C671" s="167" t="str">
        <f t="shared" ca="1" si="594"/>
        <v>驱夜断愁</v>
      </c>
      <c r="D671" s="115">
        <f ca="1">IF(C671="赤日轮1",1,IF(C671="赤日轮2",2,IF(C671="赤日轮3",3,IF(C671="幽月轮1",4,IF(C671="幽月轮2",5,IF(C671="幽月轮3",6,IF(C671="烈日斩",7,IF(C671="银月斩",8,IF(C671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671="净世破魔击·月",17,IF(C671="驱夜断愁",18,0)))))))))))</f>
        <v>18</v>
      </c>
      <c r="E671" s="115">
        <f ca="1">IF(AND(CU671,OR(C671="幽月轮1",C671="幽月轮2",C671="幽月轮3",C671="银月斩",C671="驱夜断愁",C671="净世破魔击·月")),100,MIN(IF(OR(CN671,BE671),0,IF(OR($C671="赤日轮1",$C671="赤日轮2",$C671="赤日轮3"),E670+20+IF(模拟模式!$I$7="日月凌天",4,0)+IF(CR670,20,0),IF($C671="烈日斩",E670+40,IF($C671="驱夜断愁",IF(模拟模式!$R$7="万念俱寂",E670+20,E670+60),IF($C671="净世破魔击·月",IF(OR(DB670&gt;0,CV670&gt;0),100,IF(模拟模式!$M$7="辉耀红尘",E670+20,E670)),IF($C671="净世破魔击·日",E670-100,E670)))))),100))</f>
        <v>40</v>
      </c>
      <c r="F671" s="115">
        <f ca="1">IF(AND(CU671,OR(C671="赤日轮1",C671="赤日轮2",C671="赤日轮3",C671="烈日斩",C671="净世破魔击·日")),100,MIN(IF(CO671,0,IF(OR($C671="幽月轮1",$C671="幽月轮2",$C671="幽月轮3"),F670+20+IF(模拟模式!$I$7="日月凌天",4,0)+IF(CS670,20,0),IF($C671="银月斩",F670+40+IF(模拟模式!$X$12=1,5,0),IF($C671="驱夜断愁",IF(模拟模式!$R$7="万念俱寂",F670+20,F670+60),IF($C671="净世破魔击·月",IF(模拟模式!$M$7="辉耀红尘",F670-80,F670-100),IF(AND(C671="净世破魔击·日",OR(DB670&gt;0,CV670&gt;0)),100,F670)))))),100))</f>
        <v>85</v>
      </c>
      <c r="G671" s="117">
        <f ca="1">('模拟-全程加成'!$E$3+'模拟-全程加成'!$E$4+'模拟-全程加成'!$E$5+('模拟-全程加成'!$C$6-'模拟-全程加成'!$C$3)*系数!$B$9+BS671*23)*(1+'模拟-全程加成'!$F$4+'模拟-全程加成'!$F$5+BJ671*10%+BM671*20%+BP671*4%+CG671*30%)+$F$7*系数!$B$12</f>
        <v>20583.127400000001</v>
      </c>
      <c r="H671" s="45">
        <f ca="1">'模拟-全程加成'!$H$3+'模拟-全程加成'!$H$4+'模拟-全程加成'!$H$5+('模拟-全程加成'!$G$4+'模拟-全程加成'!$G$5+('模拟-全程加成'!$C$6-'模拟-全程加成'!$C$3)*系数!$B$13)/系数!$B$3+LOOKUP(D671,'模拟-单技能数据'!$A$2:$A$19,'模拟-单技能数据'!$K$2:$K$19)+BG671*10%+IF(BV671&gt;0,378,0)</f>
        <v>0.51185145527300213</v>
      </c>
      <c r="I671" s="45">
        <f ca="1">'模拟-全程加成'!$J$3+'模拟-全程加成'!$J$4+'模拟-全程加成'!$J$5+('模拟-全程加成'!$I$4+'模拟-全程加成'!$I$5)/系数!$B$4+LOOKUP(D671,'模拟-单技能数据'!$A$2:$A$19,'模拟-单技能数据'!$L$2:$L$19)+BG671*10%</f>
        <v>2.162482885499879</v>
      </c>
      <c r="J671" s="45">
        <f ca="1">(('模拟-全程加成'!$K$3+'模拟-全程加成'!$K$4+'模拟-全程加成'!$K$5+('模拟-全程加成'!$C$6-'模拟-全程加成'!$C$3)*系数!$B$10+IF(BV671&gt;0,882,0)+IF(BY671&gt;0,1831,0))*(1+'模拟-全程加成'!$L$4+'模拟-全程加成'!$L$5+CC671*20%))/系数!$B$5</f>
        <v>0.69723220422048726</v>
      </c>
      <c r="K671" s="119">
        <f ca="1">LOOKUP(D671,'模拟-单技能数据'!$A$2:$A$19,'模拟-单技能数据'!$J$2:$J$19)+IF(CM671,60%,0)+IF(DB670-DB671&gt;0,30%,0)+IF(OR(AND(OR(C671="赤日轮1",C671="赤日轮2",C671="赤日轮3"),CR671),AND(OR(C671="幽月轮1",C671="幽月轮2",C671="幽月轮3"),CS671)),35%,0)+CJ671</f>
        <v>0.19</v>
      </c>
      <c r="L671" s="119">
        <f ca="1">IF(AND(C671="烈日斩",模拟模式!$X$11=1),10%,0)+IF(AND(C671="驱夜断愁",AB671=1),30%,0)</f>
        <v>0.3</v>
      </c>
      <c r="M671" s="45">
        <f t="shared" ca="1" si="595"/>
        <v>0.51185145527300213</v>
      </c>
      <c r="N671" s="45">
        <f t="shared" ca="1" si="596"/>
        <v>0.43424854472699792</v>
      </c>
      <c r="O671" s="46">
        <f t="shared" ca="1" si="626"/>
        <v>0.65909294692878706</v>
      </c>
      <c r="P671" s="46" t="str">
        <f t="shared" ca="1" si="597"/>
        <v>命</v>
      </c>
      <c r="Q671" s="45">
        <f t="shared" ca="1" si="598"/>
        <v>1</v>
      </c>
      <c r="R671" s="117">
        <f ca="1">模拟模式!$E$20*(1-IF(模拟模式!$J$19="有",0.15,0))*(1-IF(模拟模式!$K$19="有",0.3,0)-IF(CQ671,0.5,0))</f>
        <v>843.02999999999975</v>
      </c>
      <c r="S671" s="45">
        <f ca="1">R671/(R671+(185*模拟模式!$E$22-16800)*4.08224)</f>
        <v>8.389626085980037E-2</v>
      </c>
      <c r="T671" s="45" t="str">
        <f ca="1">LOOKUP(D671,'模拟-单技能数据'!$A$2:$A$19,'模拟-单技能数据'!$H$2:$H$19)</f>
        <v>阴</v>
      </c>
      <c r="U671" s="119">
        <f t="shared" ca="1" si="599"/>
        <v>0.08</v>
      </c>
      <c r="V671" s="47">
        <f ca="1">(1+L671)*(LOOKUP(D671,'模拟-单技能数据'!$A$2:$A$19,'模拟-单技能数据'!$D$2:$D$19)+G671*LOOKUP(D671,'模拟-单技能数据'!$A$2:$A$19,'模拟-单技能数据'!$F$2:$F$19))*(1+J671)*(1+K671)*(1-S671)*(1+U671)*Q671*LOOKUP(D671,'模拟-单技能数据'!$A$2:$A$19,'模拟-单技能数据'!$I$2:$I$20)</f>
        <v>61528.311187913365</v>
      </c>
      <c r="W671" s="47">
        <f ca="1">LOOKUP(D671,'模拟-单技能数据'!$A$2:$A$19,'模拟-单技能数据'!$G$2:$G$19)*$I$10</f>
        <v>723.0212870940959</v>
      </c>
      <c r="X671" s="47">
        <f t="shared" ca="1" si="627"/>
        <v>11118.353508757338</v>
      </c>
      <c r="Y671" s="47">
        <f t="shared" ca="1" si="600"/>
        <v>73369.685983764793</v>
      </c>
      <c r="Z671" s="49">
        <f t="shared" ca="1" si="601"/>
        <v>67721651.509280682</v>
      </c>
      <c r="AA671" s="97">
        <f t="shared" ca="1" si="602"/>
        <v>113992.24277345168</v>
      </c>
      <c r="AB671" s="115">
        <f ca="1">IF(OR(C671="赤日轮1",C671="赤日轮2",C671="赤日轮3"),IF(RAND()&lt;模拟模式!$Y$17,1,0),IF(OR(C671="幽月轮1",C671="幽月轮2",C671="幽月轮3"),IF(RAND()&lt;模拟模式!$Y$18,1,0),IF(C671="烈日斩",IF(RAND()&lt;模拟模式!$Y$19,1,0),IF(C671="银月斩",IF(RAND()&lt;模拟模式!$Y$20,1,0),IF(C671="驱夜断愁",IF(RAND()&lt;模拟模式!$Y$21,1,0),IF(C671="净世破魔击·日",IF(RAND()&lt;模拟模式!$Y$22,1,0),IF(C671="净世破魔击·月",IF(RAND()&lt;模拟模式!$Y$23,1,0),0)))))))</f>
        <v>1</v>
      </c>
      <c r="AC671" s="115" t="b">
        <f t="shared" ca="1" si="603"/>
        <v>0</v>
      </c>
      <c r="AD671" s="115" t="b">
        <f t="shared" ca="1" si="604"/>
        <v>0</v>
      </c>
      <c r="AE671" s="115">
        <f t="shared" ca="1" si="605"/>
        <v>6</v>
      </c>
      <c r="AF671" s="47">
        <f ca="1">IF(AC671,('模拟-单技能数据'!$D$20+G671*'模拟-单技能数据'!$F$20)*(1+J671)*(1+'模拟-单技能数据'!$J$20)*(1+U671),0)</f>
        <v>0</v>
      </c>
      <c r="AG671" s="61">
        <f t="shared" ca="1" si="606"/>
        <v>0.64185145527300214</v>
      </c>
      <c r="AH671" s="61">
        <f t="shared" ca="1" si="607"/>
        <v>2.2624828854998791</v>
      </c>
      <c r="AI671" s="62">
        <f t="shared" ca="1" si="628"/>
        <v>1.0056221816888034E-2</v>
      </c>
      <c r="AJ671" s="47">
        <f ca="1">IF(AD671,IF(AI671&lt;$F$10,0,IF(AI671&lt;$F$10+$F$11,0.25,IF(AI671&lt;$F$10+$F$11+AG671,AH671,1)))*IF(AF671&gt;0,AF671,IF(AF670&gt;0,AF670,IF(AF669&gt;0,AF669,IF(AF668&gt;0,AF668,IF(AF667&gt;0,AF667,IF(AF666&gt;0,AF666,IF(AF665&gt;0,AF665,IF(AF664&gt;0,AF664,IF(AF663&gt;0,AF663,IF(AF661&gt;0,AF661,IF(AF660&gt;0,AF660,IF(AF659&gt;0,AF659,0)))))))))))),0)*(1-$S671)*'模拟-单技能数据'!$I$20</f>
        <v>0</v>
      </c>
      <c r="AK671" s="115" t="b">
        <f t="shared" ca="1" si="608"/>
        <v>0</v>
      </c>
      <c r="AL671" s="115" t="b">
        <f t="shared" ca="1" si="609"/>
        <v>1</v>
      </c>
      <c r="AM671" s="115">
        <f t="shared" ca="1" si="610"/>
        <v>4</v>
      </c>
      <c r="AN671" s="47">
        <f ca="1">IF(AK671,('模拟-单技能数据'!$D$21+G671*'模拟-单技能数据'!$F$21)*(1+J671)*(1+'模拟-单技能数据'!$J$21)*(1+U671),0)</f>
        <v>0</v>
      </c>
      <c r="AO671" s="61">
        <f ca="1">IF(AN671&gt;0,M671-'模拟-单技能数据'!$K$10,AO670)</f>
        <v>0.42185145527300216</v>
      </c>
      <c r="AP671" s="61">
        <f ca="1">IF(AN671&gt;0,I671-'模拟-单技能数据'!$L$10,AP670)</f>
        <v>2.162482885499879</v>
      </c>
      <c r="AQ671" s="63">
        <f t="shared" ca="1" si="629"/>
        <v>0.92744836992166724</v>
      </c>
      <c r="AR671" s="64">
        <f ca="1">IF(AL671,IF(AQ671&lt;$F$10,0,IF(AQ671&lt;$F$10+$F$11,0.25,IF(AQ671&lt;$F$10+$F$11+AO671,AP671,1)))*IF(AN671&gt;0,AN671,IF(AN670&gt;0,AN670,IF(AN669&gt;0,AN669,IF(AN668&gt;0,AN668,IF(AN667&gt;0,AN667,IF(AN666&gt;0,AN666,IF(AN665&gt;0,AN665,IF(AN664&gt;0,AN664,IF(AN663&gt;0,AN663,IF(AN661&gt;0,AN661,IF(AN660&gt;0,AN660,IF(AN659&gt;0,AN659,0)))))))))))),0)*(1-$S671)*'模拟-单技能数据'!$I$21</f>
        <v>11118.353508757338</v>
      </c>
      <c r="AS671" s="61">
        <f ca="1">IF(OR(C671="净世破魔击·日",C671="净世破魔击·月"),M671-'模拟-单技能数据'!$K$10,0)</f>
        <v>0</v>
      </c>
      <c r="AT671" s="61">
        <f ca="1">IF(OR(C671="净世破魔击·日",C671="净世破魔击·月"),I671-'模拟-单技能数据'!$L$10,0)</f>
        <v>0</v>
      </c>
      <c r="AU671" s="62">
        <f t="shared" ca="1" si="630"/>
        <v>0.86542549394942259</v>
      </c>
      <c r="AV671" s="64">
        <f ca="1">IF(AS671&gt;0,('模拟-单技能数据'!$D$22+G671*'模拟-单技能数据'!$F$22)*(1+J671)*(1-S671)*IF(AU671&lt;$F$10,0,IF(AU671&lt;$F$10+$F$11,0.25,IF(AU671&lt;$F$10+$F$11+AS671,AT671,1)))*(1+U671),0)*'模拟-单技能数据'!$I$22</f>
        <v>0</v>
      </c>
      <c r="AW671" s="108">
        <f t="shared" ca="1" si="631"/>
        <v>4.3175000000000061</v>
      </c>
      <c r="AX671" s="108" t="b">
        <f ca="1">AND(模拟模式!$P$10="有",AW670=0,RAND()&lt;IF(C671="净世破魔击·月",0.1*8/3,IF(C671="净世破魔击·日",0.1*4/3,0.1*2/3)))</f>
        <v>0</v>
      </c>
      <c r="AY671" s="47">
        <f ca="1">IF(AX671,(18+G671*0.722)*(1+J671)*(1-S671)*(1+$I$4)*IF(P671="会",'模拟-全程加成'!$J$3+'模拟-全程加成'!$J$4+'模拟-全程加成'!$J$5+('模拟-全程加成'!$I$4+'模拟-全程加成'!$I$5)/系数!$B$4+BG671*10%,IF(P671="命",1,IF(P671="识",0.25,0))),0)</f>
        <v>0</v>
      </c>
      <c r="AZ671" s="108">
        <f t="shared" si="632"/>
        <v>14.465000000000003</v>
      </c>
      <c r="BA671" s="108" t="b">
        <f>AND(模拟模式!$Q$10="有",AZ670=0)</f>
        <v>0</v>
      </c>
      <c r="BB671" s="140">
        <f>IF(BA671,(0+G671*0.287)*(1+J671)*(1-S671)*(1+$I$4)*IF(P671="会",'模拟-全程加成'!$J$3+'模拟-全程加成'!$J$4+'模拟-全程加成'!$J$5+('模拟-全程加成'!$I$4+'模拟-全程加成'!$I$5)/系数!$B$4+BG671*10%,IF(P671="命",1,IF(P671="识",0.25,0))),0)</f>
        <v>0</v>
      </c>
      <c r="BC671" s="115" t="b">
        <f ca="1">AND(模拟模式!$R$7="伏明众生",E671=60,F671=20,DA671&lt;5,CZ670&lt;$F$4)</f>
        <v>0</v>
      </c>
      <c r="BD671" s="115">
        <f t="shared" ca="1" si="611"/>
        <v>0</v>
      </c>
      <c r="BE671" s="115" t="b">
        <f t="shared" ca="1" si="612"/>
        <v>0</v>
      </c>
      <c r="BF671" s="47">
        <f ca="1">IF(BC671,4*('模拟-单技能数据'!$D$24+G671*'模拟-单技能数据'!$F$24)*(1+J671)*(1+'模拟-单技能数据'!$J$24)*(1-S671)*(1+$I$3)*(('模拟-全程加成'!$J$3+'模拟-全程加成'!$J$4+'模拟-全程加成'!$J$5+('模拟-全程加成'!$I$4+'模拟-全程加成'!$I$5)/系数!$B$4+BG671*10%)*('模拟-全程加成'!$J$3+'模拟-全程加成'!$J$4+'模拟-全程加成'!$J$5+('模拟-全程加成'!$I$4+'模拟-全程加成'!$I$5)/系数!$B$4+BG671*10%)+(1-('模拟-全程加成'!$J$3+'模拟-全程加成'!$J$4+'模拟-全程加成'!$J$5+('模拟-全程加成'!$I$4+'模拟-全程加成'!$I$5)/系数!$B$4+BG671*10%)-$F$10-$F$11)+F657*0.25),0)*'模拟-单技能数据'!$I$24</f>
        <v>0</v>
      </c>
      <c r="BG671" s="115" t="b">
        <f ca="1">OR(AND(OR(C671="烈日斩",C671="银月斩"),模拟模式!$I$7="净身明礼"),AND(C671="净世破魔击·日",模拟模式!$J$7="洞若观火"),AND(C672="净世破魔击·月",模拟模式!$J$7="洞若观火"),AB671=1)</f>
        <v>1</v>
      </c>
      <c r="BH671" s="115" t="b">
        <f t="shared" ca="1" si="633"/>
        <v>0</v>
      </c>
      <c r="BI671" s="115">
        <f t="shared" ca="1" si="613"/>
        <v>0</v>
      </c>
      <c r="BJ671" s="115" t="b">
        <f t="shared" ca="1" si="614"/>
        <v>0</v>
      </c>
      <c r="BK671" s="115" t="b">
        <f ca="1">AND(C671="驱夜断愁",模拟模式!$P$7="天地诛戮")</f>
        <v>1</v>
      </c>
      <c r="BL671" s="57">
        <f t="shared" ca="1" si="615"/>
        <v>20</v>
      </c>
      <c r="BM671" s="115" t="b">
        <f t="shared" ca="1" si="616"/>
        <v>1</v>
      </c>
      <c r="BN671" s="115" t="b">
        <f ca="1">AND(OR(C671="赤日轮1",C671="赤日轮2",C671="赤日轮3",C671="幽月轮1",C671="幽月轮2",C671="幽月轮3"),AB671=1,模拟模式!$L$7="明光恒照")</f>
        <v>0</v>
      </c>
      <c r="BO671" s="117">
        <f t="shared" ca="1" si="617"/>
        <v>28.155000000000001</v>
      </c>
      <c r="BP671" s="115">
        <f t="shared" ca="1" si="634"/>
        <v>6</v>
      </c>
      <c r="BQ671" s="115" t="b">
        <f>模拟模式!$K$10="2600·水"</f>
        <v>0</v>
      </c>
      <c r="BR671" s="117">
        <f t="shared" si="635"/>
        <v>0</v>
      </c>
      <c r="BS671" s="115">
        <f t="shared" si="636"/>
        <v>0</v>
      </c>
      <c r="BT671" s="115">
        <f t="shared" ca="1" si="637"/>
        <v>0</v>
      </c>
      <c r="BU671" s="115" t="b">
        <f ca="1">AND(模拟模式!$K$10="2300·雷",BT670=0,RAND()&lt;IF(C671="净世破魔击·月",5*0.05*2/3,IF(C671="净世破魔击·日",3*0.05*2/3,0.05*2*2/3)))</f>
        <v>0</v>
      </c>
      <c r="BV671" s="115">
        <f t="shared" ca="1" si="638"/>
        <v>0</v>
      </c>
      <c r="BW671" s="115">
        <f t="shared" ca="1" si="639"/>
        <v>144.02249999999947</v>
      </c>
      <c r="BX671" s="164" t="b">
        <f t="shared" ca="1" si="640"/>
        <v>0</v>
      </c>
      <c r="BY671" s="115">
        <f t="shared" ca="1" si="641"/>
        <v>0</v>
      </c>
      <c r="BZ671" s="115">
        <f>IF(OR(模拟模式!$P$16="10人团",模拟模式!$P$16="25人团"),IF(B671/30&gt;CA670,1,0),0)</f>
        <v>0</v>
      </c>
      <c r="CA671" s="115">
        <f t="shared" si="618"/>
        <v>0</v>
      </c>
      <c r="CB671" s="115">
        <f ca="1">IF(BZ671=1,IF(模拟模式!$P$16="10人团",15,0)+IF(模拟模式!$P$16="25人团",IF(RAND()&lt;0.6,15,0)),MAX(0,CB670-$F$4))</f>
        <v>0</v>
      </c>
      <c r="CC671" s="115" t="b">
        <f t="shared" ca="1" si="619"/>
        <v>0</v>
      </c>
      <c r="CD671" s="115">
        <f>IF(模拟模式!$Q$16="1个",IF(B671/40&gt;CE670,1,0),0)</f>
        <v>0</v>
      </c>
      <c r="CE671" s="115">
        <f t="shared" si="620"/>
        <v>0</v>
      </c>
      <c r="CF671" s="115">
        <f>IF(OR(CD671=1,模拟模式!$Q$16="2个"),20,MAX(0,CF670-$F$4))</f>
        <v>0</v>
      </c>
      <c r="CG671" s="115" t="b">
        <f t="shared" si="621"/>
        <v>0</v>
      </c>
      <c r="CH671" s="115">
        <f t="shared" ca="1" si="642"/>
        <v>25.387500000000003</v>
      </c>
      <c r="CI671" s="115" t="b">
        <f t="shared" ca="1" si="643"/>
        <v>0</v>
      </c>
      <c r="CJ671" s="119">
        <f t="shared" ca="1" si="644"/>
        <v>0.05</v>
      </c>
      <c r="CK671" s="115">
        <f t="shared" ca="1" si="645"/>
        <v>3.3874999999999988</v>
      </c>
      <c r="CL671" s="115" t="b">
        <f ca="1">AND(模拟模式!$S$7="驱夷逐法",OR(AND(C671="净世破魔击·月",E670&gt;59),AND(C671="净世破魔击·日",F670&gt;59)))</f>
        <v>0</v>
      </c>
      <c r="CM671" s="115" t="b">
        <f ca="1">OR(CL671,AND(C671="净世破魔击·日",CL670,RAND()&lt;模拟模式!$U$23))</f>
        <v>0</v>
      </c>
      <c r="CN671" s="115" t="b">
        <f ca="1">IF(模拟模式!$M$7="辉耀红尘",AND(C671="净世破魔击·月",CL671,CV671=0,E670&lt;80),AND(C671="净世破魔击·月",CL671,E670&lt;100))</f>
        <v>0</v>
      </c>
      <c r="CO671" s="115" t="b">
        <f t="shared" ca="1" si="622"/>
        <v>0</v>
      </c>
      <c r="CP671" s="115" t="b">
        <f ca="1">AND(模拟模式!$O$7="用晦而明",OR(C671="净世破魔击·日",C671="净世破魔击·月",C671="驱夜断愁"),AB671)</f>
        <v>1</v>
      </c>
      <c r="CQ671" s="115" t="b">
        <f ca="1">OR(CP671,AND(CP670,RAND()&lt;模拟模式!$U$23))</f>
        <v>1</v>
      </c>
      <c r="CR671" s="115" t="b">
        <f ca="1">AND(模拟模式!$S$7="日月齐光",OR(C671="幽月轮1",C671="幽月轮2",C671="幽月轮3",CR670),NOT(OR(C671="赤日轮1",C671="赤日轮2",C671="赤日轮3")))</f>
        <v>0</v>
      </c>
      <c r="CS671" s="115" t="b">
        <f ca="1">AND(模拟模式!$S$7="日月齐光",OR(C671="赤日轮1",C671="赤日轮2",C671="赤日轮3",CS670),NOT(OR(C671="幽月轮1",C671="幽月轮2",C671="幽月轮3")))</f>
        <v>0</v>
      </c>
      <c r="CT671" s="115">
        <f t="shared" ca="1" si="646"/>
        <v>21.697500000000005</v>
      </c>
      <c r="CU671" s="115" t="b">
        <f ca="1">AND(模拟模式!$K$10="阴阳往极",CT670=0,RAND()&lt;IF(C671="净世破魔击·月",0.0275*7/3,IF(C671="净世破魔击·日",0.0275*3/3,0.0275*2/3)))</f>
        <v>0</v>
      </c>
      <c r="CV671" s="115">
        <f t="shared" ca="1" si="647"/>
        <v>0</v>
      </c>
      <c r="CW671" s="115">
        <f t="shared" ca="1" si="648"/>
        <v>0</v>
      </c>
      <c r="CX671" s="115">
        <f t="shared" ca="1" si="649"/>
        <v>5.0774999999999997</v>
      </c>
      <c r="CY671" s="115">
        <f ca="1">MAX(IF($C671="驱夜断愁",IF(模拟模式!$R$7="万念俱寂",6,45),CY670-$F$4),0)</f>
        <v>6</v>
      </c>
      <c r="CZ671" s="115">
        <f t="shared" ca="1" si="623"/>
        <v>0</v>
      </c>
      <c r="DA671" s="115">
        <f ca="1">IF(模拟模式!$N$7="日月同辉",IF(DB670=2,0,MIN(6,IF(AND(OR(C671="赤日轮1",C671="赤日轮2",C671="赤日轮3",C671="幽月轮1",C671="幽月轮2",C671="幽月轮3"),AB671=1),DA670+1,DA670))),0)</f>
        <v>2</v>
      </c>
      <c r="DB671" s="115">
        <f t="shared" ca="1" si="624"/>
        <v>0</v>
      </c>
      <c r="DC671" s="115"/>
      <c r="DD671" s="115"/>
      <c r="DE671" s="115"/>
      <c r="DF671" s="115"/>
      <c r="DG671" s="115"/>
      <c r="DH671" s="115"/>
      <c r="DI671" s="115"/>
      <c r="DJ671" s="115"/>
      <c r="DK671" s="115"/>
      <c r="DL671" s="115"/>
      <c r="DM671" s="115"/>
    </row>
    <row r="672" spans="2:117" x14ac:dyDescent="0.2">
      <c r="B672" s="117">
        <f t="shared" si="625"/>
        <v>595.01250000000675</v>
      </c>
      <c r="C672" s="167" t="str">
        <f t="shared" ca="1" si="594"/>
        <v>烈日斩</v>
      </c>
      <c r="D672" s="115">
        <f ca="1">IF(C672="赤日轮1",1,IF(C672="赤日轮2",2,IF(C672="赤日轮3",3,IF(C672="幽月轮1",4,IF(C672="幽月轮2",5,IF(C672="幽月轮3",6,IF(C672="烈日斩",7,IF(C672="银月斩",8,IF(C672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672="净世破魔击·月",17,IF(C672="驱夜断愁",18,0)))))))))))</f>
        <v>7</v>
      </c>
      <c r="E672" s="115">
        <f ca="1">IF(AND(CU672,OR(C672="幽月轮1",C672="幽月轮2",C672="幽月轮3",C672="银月斩",C672="驱夜断愁",C672="净世破魔击·月")),100,MIN(IF(OR(CN672,BE672),0,IF(OR($C672="赤日轮1",$C672="赤日轮2",$C672="赤日轮3"),E671+20+IF(模拟模式!$I$7="日月凌天",4,0)+IF(CR671,20,0),IF($C672="烈日斩",E671+40,IF($C672="驱夜断愁",IF(模拟模式!$R$7="万念俱寂",E671+20,E671+60),IF($C672="净世破魔击·月",IF(OR(DB671&gt;0,CV671&gt;0),100,IF(模拟模式!$M$7="辉耀红尘",E671+20,E671)),IF($C672="净世破魔击·日",E671-100,E671)))))),100))</f>
        <v>80</v>
      </c>
      <c r="F672" s="115">
        <f ca="1">IF(AND(CU672,OR(C672="赤日轮1",C672="赤日轮2",C672="赤日轮3",C672="烈日斩",C672="净世破魔击·日")),100,MIN(IF(CO672,0,IF(OR($C672="幽月轮1",$C672="幽月轮2",$C672="幽月轮3"),F671+20+IF(模拟模式!$I$7="日月凌天",4,0)+IF(CS671,20,0),IF($C672="银月斩",F671+40+IF(模拟模式!$X$12=1,5,0),IF($C672="驱夜断愁",IF(模拟模式!$R$7="万念俱寂",F671+20,F671+60),IF($C672="净世破魔击·月",IF(模拟模式!$M$7="辉耀红尘",F671-80,F671-100),IF(AND(C672="净世破魔击·日",OR(DB671&gt;0,CV671&gt;0)),100,F671)))))),100))</f>
        <v>85</v>
      </c>
      <c r="G672" s="117">
        <f ca="1">('模拟-全程加成'!$E$3+'模拟-全程加成'!$E$4+'模拟-全程加成'!$E$5+('模拟-全程加成'!$C$6-'模拟-全程加成'!$C$3)*系数!$B$9+BS672*23)*(1+'模拟-全程加成'!$F$4+'模拟-全程加成'!$F$5+BJ672*10%+BM672*20%+BP672*4%+CG672*30%)+$F$7*系数!$B$12</f>
        <v>20583.127400000001</v>
      </c>
      <c r="H672" s="45">
        <f ca="1">'模拟-全程加成'!$H$3+'模拟-全程加成'!$H$4+'模拟-全程加成'!$H$5+('模拟-全程加成'!$G$4+'模拟-全程加成'!$G$5+('模拟-全程加成'!$C$6-'模拟-全程加成'!$C$3)*系数!$B$13)/系数!$B$3+LOOKUP(D672,'模拟-单技能数据'!$A$2:$A$19,'模拟-单技能数据'!$K$2:$K$19)+BG672*10%+IF(BV672&gt;0,378,0)</f>
        <v>0.56185145527300218</v>
      </c>
      <c r="I672" s="45">
        <f ca="1">'模拟-全程加成'!$J$3+'模拟-全程加成'!$J$4+'模拟-全程加成'!$J$5+('模拟-全程加成'!$I$4+'模拟-全程加成'!$I$5)/系数!$B$4+LOOKUP(D672,'模拟-单技能数据'!$A$2:$A$19,'模拟-单技能数据'!$L$2:$L$19)+BG672*10%</f>
        <v>2.2624828854998791</v>
      </c>
      <c r="J672" s="45">
        <f ca="1">(('模拟-全程加成'!$K$3+'模拟-全程加成'!$K$4+'模拟-全程加成'!$K$5+('模拟-全程加成'!$C$6-'模拟-全程加成'!$C$3)*系数!$B$10+IF(BV672&gt;0,882,0)+IF(BY672&gt;0,1831,0))*(1+'模拟-全程加成'!$L$4+'模拟-全程加成'!$L$5+CC672*20%))/系数!$B$5</f>
        <v>0.69723220422048726</v>
      </c>
      <c r="K672" s="119">
        <f ca="1">LOOKUP(D672,'模拟-单技能数据'!$A$2:$A$19,'模拟-单技能数据'!$J$2:$J$19)+IF(CM672,60%,0)+IF(DB671-DB672&gt;0,30%,0)+IF(OR(AND(OR(C672="赤日轮1",C672="赤日轮2",C672="赤日轮3"),CR672),AND(OR(C672="幽月轮1",C672="幽月轮2",C672="幽月轮3"),CS672)),35%,0)+CJ672</f>
        <v>0.28999999999999998</v>
      </c>
      <c r="L672" s="119">
        <f ca="1">IF(AND(C672="烈日斩",模拟模式!$X$11=1),10%,0)+IF(AND(C672="驱夜断愁",AB672=1),30%,0)</f>
        <v>0.1</v>
      </c>
      <c r="M672" s="45">
        <f t="shared" ca="1" si="595"/>
        <v>0.56185145527300218</v>
      </c>
      <c r="N672" s="45">
        <f t="shared" ca="1" si="596"/>
        <v>0.38424854472699788</v>
      </c>
      <c r="O672" s="46">
        <f t="shared" ca="1" si="626"/>
        <v>6.5121390320466266E-2</v>
      </c>
      <c r="P672" s="46" t="str">
        <f t="shared" ca="1" si="597"/>
        <v>会</v>
      </c>
      <c r="Q672" s="45">
        <f t="shared" ca="1" si="598"/>
        <v>2.2624828854998791</v>
      </c>
      <c r="R672" s="117">
        <f ca="1">模拟模式!$E$20*(1-IF(模拟模式!$J$19="有",0.15,0))*(1-IF(模拟模式!$K$19="有",0.3,0)-IF(CQ672,0.5,0))</f>
        <v>843.02999999999975</v>
      </c>
      <c r="S672" s="45">
        <f ca="1">R672/(R672+(185*模拟模式!$E$22-16800)*4.08224)</f>
        <v>8.389626085980037E-2</v>
      </c>
      <c r="T672" s="45" t="str">
        <f ca="1">LOOKUP(D672,'模拟-单技能数据'!$A$2:$A$19,'模拟-单技能数据'!$H$2:$H$19)</f>
        <v>阳</v>
      </c>
      <c r="U672" s="119">
        <f t="shared" ca="1" si="599"/>
        <v>0.2</v>
      </c>
      <c r="V672" s="47">
        <f ca="1">(1+L672)*(LOOKUP(D672,'模拟-单技能数据'!$A$2:$A$19,'模拟-单技能数据'!$D$2:$D$19)+G672*LOOKUP(D672,'模拟-单技能数据'!$A$2:$A$19,'模拟-单技能数据'!$F$2:$F$19))*(1+J672)*(1+K672)*(1-S672)*(1+U672)*Q672*LOOKUP(D672,'模拟-单技能数据'!$A$2:$A$19,'模拟-单技能数据'!$I$2:$I$20)</f>
        <v>110129.64280298242</v>
      </c>
      <c r="W672" s="47">
        <f ca="1">LOOKUP(D672,'模拟-单技能数据'!$A$2:$A$19,'模拟-单技能数据'!$G$2:$G$19)*$I$10</f>
        <v>361.51064354704795</v>
      </c>
      <c r="X672" s="47">
        <f t="shared" ca="1" si="627"/>
        <v>0</v>
      </c>
      <c r="Y672" s="47">
        <f t="shared" ca="1" si="600"/>
        <v>110491.15344652947</v>
      </c>
      <c r="Z672" s="49">
        <f t="shared" ca="1" si="601"/>
        <v>67832142.662727207</v>
      </c>
      <c r="AA672" s="97">
        <f t="shared" ca="1" si="602"/>
        <v>114001.20613050388</v>
      </c>
      <c r="AB672" s="115">
        <f ca="1">IF(OR(C672="赤日轮1",C672="赤日轮2",C672="赤日轮3"),IF(RAND()&lt;模拟模式!$Y$17,1,0),IF(OR(C672="幽月轮1",C672="幽月轮2",C672="幽月轮3"),IF(RAND()&lt;模拟模式!$Y$18,1,0),IF(C672="烈日斩",IF(RAND()&lt;模拟模式!$Y$19,1,0),IF(C672="银月斩",IF(RAND()&lt;模拟模式!$Y$20,1,0),IF(C672="驱夜断愁",IF(RAND()&lt;模拟模式!$Y$21,1,0),IF(C672="净世破魔击·日",IF(RAND()&lt;模拟模式!$Y$22,1,0),IF(C672="净世破魔击·月",IF(RAND()&lt;模拟模式!$Y$23,1,0),0)))))))</f>
        <v>1</v>
      </c>
      <c r="AC672" s="115" t="b">
        <f t="shared" ca="1" si="603"/>
        <v>0</v>
      </c>
      <c r="AD672" s="115" t="b">
        <f t="shared" ca="1" si="604"/>
        <v>0</v>
      </c>
      <c r="AE672" s="115">
        <f t="shared" ca="1" si="605"/>
        <v>6</v>
      </c>
      <c r="AF672" s="47">
        <f ca="1">IF(AC672,('模拟-单技能数据'!$D$20+G672*'模拟-单技能数据'!$F$20)*(1+J672)*(1+'模拟-单技能数据'!$J$20)*(1+U672),0)</f>
        <v>0</v>
      </c>
      <c r="AG672" s="61">
        <f t="shared" ca="1" si="606"/>
        <v>0.64185145527300214</v>
      </c>
      <c r="AH672" s="61">
        <f t="shared" ca="1" si="607"/>
        <v>2.2624828854998791</v>
      </c>
      <c r="AI672" s="62">
        <f t="shared" ca="1" si="628"/>
        <v>0.39272568561559029</v>
      </c>
      <c r="AJ672" s="47">
        <f ca="1">IF(AD672,IF(AI672&lt;$F$10,0,IF(AI672&lt;$F$10+$F$11,0.25,IF(AI672&lt;$F$10+$F$11+AG672,AH672,1)))*IF(AF672&gt;0,AF672,IF(AF671&gt;0,AF671,IF(AF670&gt;0,AF670,IF(AF669&gt;0,AF669,IF(AF668&gt;0,AF668,IF(AF667&gt;0,AF667,IF(AF666&gt;0,AF666,IF(AF665&gt;0,AF665,IF(AF664&gt;0,AF664,IF(AF662&gt;0,AF662,IF(AF661&gt;0,AF661,IF(AF660&gt;0,AF660,0)))))))))))),0)*(1-$S672)*'模拟-单技能数据'!$I$20</f>
        <v>0</v>
      </c>
      <c r="AK672" s="115" t="b">
        <f t="shared" ca="1" si="608"/>
        <v>0</v>
      </c>
      <c r="AL672" s="115" t="b">
        <f t="shared" ca="1" si="609"/>
        <v>0</v>
      </c>
      <c r="AM672" s="115">
        <f t="shared" ca="1" si="610"/>
        <v>4</v>
      </c>
      <c r="AN672" s="47">
        <f ca="1">IF(AK672,('模拟-单技能数据'!$D$21+G672*'模拟-单技能数据'!$F$21)*(1+J672)*(1+'模拟-单技能数据'!$J$21)*(1+U672),0)</f>
        <v>0</v>
      </c>
      <c r="AO672" s="61">
        <f ca="1">IF(AN672&gt;0,M672-'模拟-单技能数据'!$K$10,AO671)</f>
        <v>0.42185145527300216</v>
      </c>
      <c r="AP672" s="61">
        <f ca="1">IF(AN672&gt;0,I672-'模拟-单技能数据'!$L$10,AP671)</f>
        <v>2.162482885499879</v>
      </c>
      <c r="AQ672" s="63">
        <f t="shared" ca="1" si="629"/>
        <v>0.760113783430305</v>
      </c>
      <c r="AR672" s="64">
        <f ca="1">IF(AL672,IF(AQ672&lt;$F$10,0,IF(AQ672&lt;$F$10+$F$11,0.25,IF(AQ672&lt;$F$10+$F$11+AO672,AP672,1)))*IF(AN672&gt;0,AN672,IF(AN671&gt;0,AN671,IF(AN670&gt;0,AN670,IF(AN669&gt;0,AN669,IF(AN668&gt;0,AN668,IF(AN667&gt;0,AN667,IF(AN666&gt;0,AN666,IF(AN665&gt;0,AN665,IF(AN664&gt;0,AN664,IF(AN662&gt;0,AN662,IF(AN661&gt;0,AN661,IF(AN660&gt;0,AN660,0)))))))))))),0)*(1-$S672)*'模拟-单技能数据'!$I$21</f>
        <v>0</v>
      </c>
      <c r="AS672" s="61">
        <f ca="1">IF(OR(C672="净世破魔击·日",C672="净世破魔击·月"),M672-'模拟-单技能数据'!$K$10,0)</f>
        <v>0</v>
      </c>
      <c r="AT672" s="61">
        <f ca="1">IF(OR(C672="净世破魔击·日",C672="净世破魔击·月"),I672-'模拟-单技能数据'!$L$10,0)</f>
        <v>0</v>
      </c>
      <c r="AU672" s="62">
        <f t="shared" ca="1" si="630"/>
        <v>0.15821689980196962</v>
      </c>
      <c r="AV672" s="64">
        <f ca="1">IF(AS672&gt;0,('模拟-单技能数据'!$D$22+G672*'模拟-单技能数据'!$F$22)*(1+J672)*(1-S672)*IF(AU672&lt;$F$10,0,IF(AU672&lt;$F$10+$F$11,0.25,IF(AU672&lt;$F$10+$F$11+AS672,AT672,1)))*(1+U672),0)*'模拟-单技能数据'!$I$22</f>
        <v>0</v>
      </c>
      <c r="AW672" s="108">
        <f t="shared" ca="1" si="631"/>
        <v>3.3950000000000062</v>
      </c>
      <c r="AX672" s="108" t="b">
        <f ca="1">AND(模拟模式!$P$10="有",AW671=0,RAND()&lt;IF(C672="净世破魔击·月",0.1*8/3,IF(C672="净世破魔击·日",0.1*4/3,0.1*2/3)))</f>
        <v>0</v>
      </c>
      <c r="AY672" s="47">
        <f ca="1">IF(AX672,(18+G672*0.722)*(1+J672)*(1-S672)*(1+$I$4)*IF(P672="会",'模拟-全程加成'!$J$3+'模拟-全程加成'!$J$4+'模拟-全程加成'!$J$5+('模拟-全程加成'!$I$4+'模拟-全程加成'!$I$5)/系数!$B$4+BG672*10%,IF(P672="命",1,IF(P672="识",0.25,0))),0)</f>
        <v>0</v>
      </c>
      <c r="AZ672" s="108">
        <f t="shared" si="632"/>
        <v>13.542500000000004</v>
      </c>
      <c r="BA672" s="108" t="b">
        <f>AND(模拟模式!$Q$10="有",AZ671=0)</f>
        <v>0</v>
      </c>
      <c r="BB672" s="140">
        <f>IF(BA672,(0+G672*0.287)*(1+J672)*(1-S672)*(1+$I$4)*IF(P672="会",'模拟-全程加成'!$J$3+'模拟-全程加成'!$J$4+'模拟-全程加成'!$J$5+('模拟-全程加成'!$I$4+'模拟-全程加成'!$I$5)/系数!$B$4+BG672*10%,IF(P672="命",1,IF(P672="识",0.25,0))),0)</f>
        <v>0</v>
      </c>
      <c r="BC672" s="115" t="b">
        <f ca="1">AND(模拟模式!$R$7="伏明众生",E672=60,F672=20,DA672&lt;5,CZ671&lt;$F$4)</f>
        <v>0</v>
      </c>
      <c r="BD672" s="115">
        <f t="shared" ca="1" si="611"/>
        <v>0</v>
      </c>
      <c r="BE672" s="115" t="b">
        <f t="shared" ca="1" si="612"/>
        <v>0</v>
      </c>
      <c r="BF672" s="47">
        <f ca="1">IF(BC672,4*('模拟-单技能数据'!$D$24+G672*'模拟-单技能数据'!$F$24)*(1+J672)*(1+'模拟-单技能数据'!$J$24)*(1-S672)*(1+$I$3)*(('模拟-全程加成'!$J$3+'模拟-全程加成'!$J$4+'模拟-全程加成'!$J$5+('模拟-全程加成'!$I$4+'模拟-全程加成'!$I$5)/系数!$B$4+BG672*10%)*('模拟-全程加成'!$J$3+'模拟-全程加成'!$J$4+'模拟-全程加成'!$J$5+('模拟-全程加成'!$I$4+'模拟-全程加成'!$I$5)/系数!$B$4+BG672*10%)+(1-('模拟-全程加成'!$J$3+'模拟-全程加成'!$J$4+'模拟-全程加成'!$J$5+('模拟-全程加成'!$I$4+'模拟-全程加成'!$I$5)/系数!$B$4+BG672*10%)-$F$10-$F$11)+F658*0.25),0)*'模拟-单技能数据'!$I$24</f>
        <v>0</v>
      </c>
      <c r="BG672" s="115" t="b">
        <f ca="1">OR(AND(OR(C672="烈日斩",C672="银月斩"),模拟模式!$I$7="净身明礼"),AND(C672="净世破魔击·日",模拟模式!$J$7="洞若观火"),AND(C673="净世破魔击·月",模拟模式!$J$7="洞若观火"),AB672=1)</f>
        <v>1</v>
      </c>
      <c r="BH672" s="115" t="b">
        <f t="shared" ca="1" si="633"/>
        <v>0</v>
      </c>
      <c r="BI672" s="115">
        <f t="shared" ca="1" si="613"/>
        <v>0</v>
      </c>
      <c r="BJ672" s="115" t="b">
        <f t="shared" ca="1" si="614"/>
        <v>0</v>
      </c>
      <c r="BK672" s="115" t="b">
        <f ca="1">AND(C672="驱夜断愁",模拟模式!$P$7="天地诛戮")</f>
        <v>0</v>
      </c>
      <c r="BL672" s="57">
        <f t="shared" ca="1" si="615"/>
        <v>19.077500000000001</v>
      </c>
      <c r="BM672" s="115" t="b">
        <f t="shared" ca="1" si="616"/>
        <v>1</v>
      </c>
      <c r="BN672" s="115" t="b">
        <f ca="1">AND(OR(C672="赤日轮1",C672="赤日轮2",C672="赤日轮3",C672="幽月轮1",C672="幽月轮2",C672="幽月轮3"),AB672=1,模拟模式!$L$7="明光恒照")</f>
        <v>0</v>
      </c>
      <c r="BO672" s="117">
        <f t="shared" ca="1" si="617"/>
        <v>27.232500000000002</v>
      </c>
      <c r="BP672" s="115">
        <f t="shared" ca="1" si="634"/>
        <v>6</v>
      </c>
      <c r="BQ672" s="115" t="b">
        <f>模拟模式!$K$10="2600·水"</f>
        <v>0</v>
      </c>
      <c r="BR672" s="117">
        <f t="shared" si="635"/>
        <v>0</v>
      </c>
      <c r="BS672" s="115">
        <f t="shared" si="636"/>
        <v>0</v>
      </c>
      <c r="BT672" s="115">
        <f t="shared" ca="1" si="637"/>
        <v>0</v>
      </c>
      <c r="BU672" s="115" t="b">
        <f ca="1">AND(模拟模式!$K$10="2300·雷",BT671=0,RAND()&lt;IF(C672="净世破魔击·月",5*0.05*2/3,IF(C672="净世破魔击·日",3*0.05*2/3,0.05*2*2/3)))</f>
        <v>0</v>
      </c>
      <c r="BV672" s="115">
        <f t="shared" ca="1" si="638"/>
        <v>0</v>
      </c>
      <c r="BW672" s="115">
        <f t="shared" ca="1" si="639"/>
        <v>143.09999999999945</v>
      </c>
      <c r="BX672" s="164" t="b">
        <f t="shared" ca="1" si="640"/>
        <v>0</v>
      </c>
      <c r="BY672" s="115">
        <f t="shared" ca="1" si="641"/>
        <v>0</v>
      </c>
      <c r="BZ672" s="115">
        <f>IF(OR(模拟模式!$P$16="10人团",模拟模式!$P$16="25人团"),IF(B672/30&gt;CA671,1,0),0)</f>
        <v>0</v>
      </c>
      <c r="CA672" s="115">
        <f t="shared" si="618"/>
        <v>0</v>
      </c>
      <c r="CB672" s="115">
        <f ca="1">IF(BZ672=1,IF(模拟模式!$P$16="10人团",15,0)+IF(模拟模式!$P$16="25人团",IF(RAND()&lt;0.6,15,0)),MAX(0,CB671-$F$4))</f>
        <v>0</v>
      </c>
      <c r="CC672" s="115" t="b">
        <f t="shared" ca="1" si="619"/>
        <v>0</v>
      </c>
      <c r="CD672" s="115">
        <f>IF(模拟模式!$Q$16="1个",IF(B672/40&gt;CE671,1,0),0)</f>
        <v>0</v>
      </c>
      <c r="CE672" s="115">
        <f t="shared" si="620"/>
        <v>0</v>
      </c>
      <c r="CF672" s="115">
        <f>IF(OR(CD672=1,模拟模式!$Q$16="2个"),20,MAX(0,CF671-$F$4))</f>
        <v>0</v>
      </c>
      <c r="CG672" s="115" t="b">
        <f t="shared" si="621"/>
        <v>0</v>
      </c>
      <c r="CH672" s="115">
        <f t="shared" ca="1" si="642"/>
        <v>24.465000000000003</v>
      </c>
      <c r="CI672" s="115" t="b">
        <f t="shared" ca="1" si="643"/>
        <v>0</v>
      </c>
      <c r="CJ672" s="119">
        <f t="shared" ca="1" si="644"/>
        <v>0.05</v>
      </c>
      <c r="CK672" s="115">
        <f t="shared" ca="1" si="645"/>
        <v>2.464999999999999</v>
      </c>
      <c r="CL672" s="115" t="b">
        <f ca="1">AND(模拟模式!$S$7="驱夷逐法",OR(AND(C672="净世破魔击·月",E671&gt;59),AND(C672="净世破魔击·日",F671&gt;59)))</f>
        <v>0</v>
      </c>
      <c r="CM672" s="115" t="b">
        <f ca="1">OR(CL672,AND(C672="净世破魔击·日",CL671,RAND()&lt;模拟模式!$U$23))</f>
        <v>0</v>
      </c>
      <c r="CN672" s="115" t="b">
        <f ca="1">IF(模拟模式!$M$7="辉耀红尘",AND(C672="净世破魔击·月",CL672,CV672=0,E671&lt;80),AND(C672="净世破魔击·月",CL672,E671&lt;100))</f>
        <v>0</v>
      </c>
      <c r="CO672" s="115" t="b">
        <f t="shared" ca="1" si="622"/>
        <v>0</v>
      </c>
      <c r="CP672" s="115" t="b">
        <f ca="1">AND(模拟模式!$O$7="用晦而明",OR(C672="净世破魔击·日",C672="净世破魔击·月",C672="驱夜断愁"),AB672)</f>
        <v>0</v>
      </c>
      <c r="CQ672" s="115" t="b">
        <f ca="1">OR(CP672,AND(CP671,RAND()&lt;模拟模式!$U$23))</f>
        <v>1</v>
      </c>
      <c r="CR672" s="115" t="b">
        <f ca="1">AND(模拟模式!$S$7="日月齐光",OR(C672="幽月轮1",C672="幽月轮2",C672="幽月轮3",CR671),NOT(OR(C672="赤日轮1",C672="赤日轮2",C672="赤日轮3")))</f>
        <v>0</v>
      </c>
      <c r="CS672" s="115" t="b">
        <f ca="1">AND(模拟模式!$S$7="日月齐光",OR(C672="赤日轮1",C672="赤日轮2",C672="赤日轮3",CS671),NOT(OR(C672="幽月轮1",C672="幽月轮2",C672="幽月轮3")))</f>
        <v>0</v>
      </c>
      <c r="CT672" s="115">
        <f t="shared" ca="1" si="646"/>
        <v>20.775000000000006</v>
      </c>
      <c r="CU672" s="115" t="b">
        <f ca="1">AND(模拟模式!$K$10="阴阳往极",CT671=0,RAND()&lt;IF(C672="净世破魔击·月",0.0275*7/3,IF(C672="净世破魔击·日",0.0275*3/3,0.0275*2/3)))</f>
        <v>0</v>
      </c>
      <c r="CV672" s="115">
        <f t="shared" ca="1" si="647"/>
        <v>0</v>
      </c>
      <c r="CW672" s="115">
        <f t="shared" ca="1" si="648"/>
        <v>6</v>
      </c>
      <c r="CX672" s="115">
        <f t="shared" ca="1" si="649"/>
        <v>4.1549999999999994</v>
      </c>
      <c r="CY672" s="115">
        <f ca="1">MAX(IF($C672="驱夜断愁",IF(模拟模式!$R$7="万念俱寂",6,45),CY671-$F$4),0)</f>
        <v>5.0774999999999997</v>
      </c>
      <c r="CZ672" s="115">
        <f t="shared" ca="1" si="623"/>
        <v>0</v>
      </c>
      <c r="DA672" s="115">
        <f ca="1">IF(模拟模式!$N$7="日月同辉",IF(DB671=2,0,MIN(6,IF(AND(OR(C672="赤日轮1",C672="赤日轮2",C672="赤日轮3",C672="幽月轮1",C672="幽月轮2",C672="幽月轮3"),AB672=1),DA671+1,DA671))),0)</f>
        <v>2</v>
      </c>
      <c r="DB672" s="115">
        <f t="shared" ca="1" si="624"/>
        <v>0</v>
      </c>
      <c r="DC672" s="115"/>
      <c r="DD672" s="115"/>
      <c r="DE672" s="115"/>
      <c r="DF672" s="115"/>
      <c r="DG672" s="115"/>
      <c r="DH672" s="115"/>
      <c r="DI672" s="115"/>
      <c r="DJ672" s="115"/>
      <c r="DK672" s="115"/>
      <c r="DL672" s="115"/>
      <c r="DM672" s="115"/>
    </row>
    <row r="673" spans="2:117" x14ac:dyDescent="0.2">
      <c r="B673" s="117">
        <f t="shared" si="625"/>
        <v>595.93500000000677</v>
      </c>
      <c r="C673" s="167" t="str">
        <f t="shared" ca="1" si="594"/>
        <v>幽月轮1</v>
      </c>
      <c r="D673" s="115">
        <f ca="1">IF(C673="赤日轮1",1,IF(C673="赤日轮2",2,IF(C673="赤日轮3",3,IF(C673="幽月轮1",4,IF(C673="幽月轮2",5,IF(C673="幽月轮3",6,IF(C673="烈日斩",7,IF(C673="银月斩",8,IF(C673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673="净世破魔击·月",17,IF(C673="驱夜断愁",18,0)))))))))))</f>
        <v>4</v>
      </c>
      <c r="E673" s="115">
        <f ca="1">IF(AND(CU673,OR(C673="幽月轮1",C673="幽月轮2",C673="幽月轮3",C673="银月斩",C673="驱夜断愁",C673="净世破魔击·月")),100,MIN(IF(OR(CN673,BE673),0,IF(OR($C673="赤日轮1",$C673="赤日轮2",$C673="赤日轮3"),E672+20+IF(模拟模式!$I$7="日月凌天",4,0)+IF(CR672,20,0),IF($C673="烈日斩",E672+40,IF($C673="驱夜断愁",IF(模拟模式!$R$7="万念俱寂",E672+20,E672+60),IF($C673="净世破魔击·月",IF(OR(DB672&gt;0,CV672&gt;0),100,IF(模拟模式!$M$7="辉耀红尘",E672+20,E672)),IF($C673="净世破魔击·日",E672-100,E672)))))),100))</f>
        <v>80</v>
      </c>
      <c r="F673" s="115">
        <f ca="1">IF(AND(CU673,OR(C673="赤日轮1",C673="赤日轮2",C673="赤日轮3",C673="烈日斩",C673="净世破魔击·日")),100,MIN(IF(CO673,0,IF(OR($C673="幽月轮1",$C673="幽月轮2",$C673="幽月轮3"),F672+20+IF(模拟模式!$I$7="日月凌天",4,0)+IF(CS672,20,0),IF($C673="银月斩",F672+40+IF(模拟模式!$X$12=1,5,0),IF($C673="驱夜断愁",IF(模拟模式!$R$7="万念俱寂",F672+20,F672+60),IF($C673="净世破魔击·月",IF(模拟模式!$M$7="辉耀红尘",F672-80,F672-100),IF(AND(C673="净世破魔击·日",OR(DB672&gt;0,CV672&gt;0)),100,F672)))))),100))</f>
        <v>100</v>
      </c>
      <c r="G673" s="117">
        <f ca="1">('模拟-全程加成'!$E$3+'模拟-全程加成'!$E$4+'模拟-全程加成'!$E$5+('模拟-全程加成'!$C$6-'模拟-全程加成'!$C$3)*系数!$B$9+BS673*23)*(1+'模拟-全程加成'!$F$4+'模拟-全程加成'!$F$5+BJ673*10%+BM673*20%+BP673*4%+CG673*30%)+$F$7*系数!$B$12</f>
        <v>20583.127400000001</v>
      </c>
      <c r="H673" s="45">
        <f ca="1">'模拟-全程加成'!$H$3+'模拟-全程加成'!$H$4+'模拟-全程加成'!$H$5+('模拟-全程加成'!$G$4+'模拟-全程加成'!$G$5+('模拟-全程加成'!$C$6-'模拟-全程加成'!$C$3)*系数!$B$13)/系数!$B$3+LOOKUP(D673,'模拟-单技能数据'!$A$2:$A$19,'模拟-单技能数据'!$K$2:$K$19)+BG673*10%+IF(BV673&gt;0,378,0)</f>
        <v>0.51185145527300213</v>
      </c>
      <c r="I673" s="45">
        <f ca="1">'模拟-全程加成'!$J$3+'模拟-全程加成'!$J$4+'模拟-全程加成'!$J$5+('模拟-全程加成'!$I$4+'模拟-全程加成'!$I$5)/系数!$B$4+LOOKUP(D673,'模拟-单技能数据'!$A$2:$A$19,'模拟-单技能数据'!$L$2:$L$19)+BG673*10%</f>
        <v>2.162482885499879</v>
      </c>
      <c r="J673" s="45">
        <f ca="1">(('模拟-全程加成'!$K$3+'模拟-全程加成'!$K$4+'模拟-全程加成'!$K$5+('模拟-全程加成'!$C$6-'模拟-全程加成'!$C$3)*系数!$B$10+IF(BV673&gt;0,882,0)+IF(BY673&gt;0,1831,0))*(1+'模拟-全程加成'!$L$4+'模拟-全程加成'!$L$5+CC673*20%))/系数!$B$5</f>
        <v>0.69723220422048726</v>
      </c>
      <c r="K673" s="119">
        <f ca="1">LOOKUP(D673,'模拟-单技能数据'!$A$2:$A$19,'模拟-单技能数据'!$J$2:$J$19)+IF(CM673,60%,0)+IF(DB672-DB673&gt;0,30%,0)+IF(OR(AND(OR(C673="赤日轮1",C673="赤日轮2",C673="赤日轮3"),CR673),AND(OR(C673="幽月轮1",C673="幽月轮2",C673="幽月轮3"),CS673)),35%,0)+CJ673</f>
        <v>0.12000000000000001</v>
      </c>
      <c r="L673" s="119">
        <f ca="1">IF(AND(C673="烈日斩",模拟模式!$X$11=1),10%,0)+IF(AND(C673="驱夜断愁",AB673=1),30%,0)</f>
        <v>0</v>
      </c>
      <c r="M673" s="45">
        <f t="shared" ca="1" si="595"/>
        <v>0.51185145527300213</v>
      </c>
      <c r="N673" s="45">
        <f t="shared" ca="1" si="596"/>
        <v>0.43424854472699792</v>
      </c>
      <c r="O673" s="46">
        <f t="shared" ca="1" si="626"/>
        <v>0.7778254842056288</v>
      </c>
      <c r="P673" s="46" t="str">
        <f t="shared" ca="1" si="597"/>
        <v>命</v>
      </c>
      <c r="Q673" s="45">
        <f t="shared" ca="1" si="598"/>
        <v>1</v>
      </c>
      <c r="R673" s="117">
        <f ca="1">模拟模式!$E$20*(1-IF(模拟模式!$J$19="有",0.15,0))*(1-IF(模拟模式!$K$19="有",0.3,0)-IF(CQ673,0.5,0))</f>
        <v>2950.6049999999996</v>
      </c>
      <c r="S673" s="45">
        <f ca="1">R673/(R673+(185*模拟模式!$E$22-16800)*4.08224)</f>
        <v>0.24272716014590323</v>
      </c>
      <c r="T673" s="45" t="str">
        <f ca="1">LOOKUP(D673,'模拟-单技能数据'!$A$2:$A$19,'模拟-单技能数据'!$H$2:$H$19)</f>
        <v>阴</v>
      </c>
      <c r="U673" s="119">
        <f t="shared" ca="1" si="599"/>
        <v>0.08</v>
      </c>
      <c r="V673" s="47">
        <f ca="1">(1+L673)*(LOOKUP(D673,'模拟-单技能数据'!$A$2:$A$19,'模拟-单技能数据'!$D$2:$D$19)+G673*LOOKUP(D673,'模拟-单技能数据'!$A$2:$A$19,'模拟-单技能数据'!$F$2:$F$19))*(1+J673)*(1+K673)*(1-S673)*(1+U673)*Q673*LOOKUP(D673,'模拟-单技能数据'!$A$2:$A$19,'模拟-单技能数据'!$I$2:$I$20)</f>
        <v>16984.452800333162</v>
      </c>
      <c r="W673" s="47">
        <f ca="1">LOOKUP(D673,'模拟-单技能数据'!$A$2:$A$19,'模拟-单技能数据'!$G$2:$G$19)*$I$10</f>
        <v>361.51064354704795</v>
      </c>
      <c r="X673" s="47">
        <f t="shared" ca="1" si="627"/>
        <v>9190.6918139866902</v>
      </c>
      <c r="Y673" s="47">
        <f t="shared" ca="1" si="600"/>
        <v>26536.6552578669</v>
      </c>
      <c r="Z673" s="49">
        <f t="shared" ca="1" si="601"/>
        <v>67858679.317985073</v>
      </c>
      <c r="AA673" s="97">
        <f t="shared" ca="1" si="602"/>
        <v>113869.26312095161</v>
      </c>
      <c r="AB673" s="115">
        <f ca="1">IF(OR(C673="赤日轮1",C673="赤日轮2",C673="赤日轮3"),IF(RAND()&lt;模拟模式!$Y$17,1,0),IF(OR(C673="幽月轮1",C673="幽月轮2",C673="幽月轮3"),IF(RAND()&lt;模拟模式!$Y$18,1,0),IF(C673="烈日斩",IF(RAND()&lt;模拟模式!$Y$19,1,0),IF(C673="银月斩",IF(RAND()&lt;模拟模式!$Y$20,1,0),IF(C673="驱夜断愁",IF(RAND()&lt;模拟模式!$Y$21,1,0),IF(C673="净世破魔击·日",IF(RAND()&lt;模拟模式!$Y$22,1,0),IF(C673="净世破魔击·月",IF(RAND()&lt;模拟模式!$Y$23,1,0),0)))))))</f>
        <v>1</v>
      </c>
      <c r="AC673" s="115" t="b">
        <f t="shared" ca="1" si="603"/>
        <v>0</v>
      </c>
      <c r="AD673" s="115" t="b">
        <f t="shared" ca="1" si="604"/>
        <v>0</v>
      </c>
      <c r="AE673" s="115">
        <f t="shared" ca="1" si="605"/>
        <v>6</v>
      </c>
      <c r="AF673" s="47">
        <f ca="1">IF(AC673,('模拟-单技能数据'!$D$20+G673*'模拟-单技能数据'!$F$20)*(1+J673)*(1+'模拟-单技能数据'!$J$20)*(1+U673),0)</f>
        <v>0</v>
      </c>
      <c r="AG673" s="61">
        <f t="shared" ca="1" si="606"/>
        <v>0.64185145527300214</v>
      </c>
      <c r="AH673" s="61">
        <f t="shared" ca="1" si="607"/>
        <v>2.2624828854998791</v>
      </c>
      <c r="AI673" s="62">
        <f t="shared" ca="1" si="628"/>
        <v>0.36983567712346277</v>
      </c>
      <c r="AJ673" s="47">
        <f ca="1">IF(AD673,IF(AI673&lt;$F$10,0,IF(AI673&lt;$F$10+$F$11,0.25,IF(AI673&lt;$F$10+$F$11+AG673,AH673,1)))*IF(AF673&gt;0,AF673,IF(AF672&gt;0,AF672,IF(AF671&gt;0,AF671,IF(AF670&gt;0,AF670,IF(AF669&gt;0,AF669,IF(AF668&gt;0,AF668,IF(AF667&gt;0,AF667,IF(AF666&gt;0,AF666,IF(AF665&gt;0,AF665,IF(AF663&gt;0,AF663,IF(AF662&gt;0,AF662,IF(AF661&gt;0,AF661,0)))))))))))),0)*(1-$S673)*'模拟-单技能数据'!$I$20</f>
        <v>0</v>
      </c>
      <c r="AK673" s="115" t="b">
        <f t="shared" ca="1" si="608"/>
        <v>0</v>
      </c>
      <c r="AL673" s="115" t="b">
        <f t="shared" ca="1" si="609"/>
        <v>1</v>
      </c>
      <c r="AM673" s="115">
        <f t="shared" ca="1" si="610"/>
        <v>3</v>
      </c>
      <c r="AN673" s="47">
        <f ca="1">IF(AK673,('模拟-单技能数据'!$D$21+G673*'模拟-单技能数据'!$F$21)*(1+J673)*(1+'模拟-单技能数据'!$J$21)*(1+U673),0)</f>
        <v>0</v>
      </c>
      <c r="AO673" s="61">
        <f ca="1">IF(AN673&gt;0,M673-'模拟-单技能数据'!$K$10,AO672)</f>
        <v>0.42185145527300216</v>
      </c>
      <c r="AP673" s="61">
        <f ca="1">IF(AN673&gt;0,I673-'模拟-单技能数据'!$L$10,AP672)</f>
        <v>2.162482885499879</v>
      </c>
      <c r="AQ673" s="63">
        <f t="shared" ca="1" si="629"/>
        <v>0.91729695777567544</v>
      </c>
      <c r="AR673" s="64">
        <f ca="1">IF(AL673,IF(AQ673&lt;$F$10,0,IF(AQ673&lt;$F$10+$F$11,0.25,IF(AQ673&lt;$F$10+$F$11+AO673,AP673,1)))*IF(AN673&gt;0,AN673,IF(AN672&gt;0,AN672,IF(AN671&gt;0,AN671,IF(AN670&gt;0,AN670,IF(AN669&gt;0,AN669,IF(AN668&gt;0,AN668,IF(AN667&gt;0,AN667,IF(AN666&gt;0,AN666,IF(AN665&gt;0,AN665,IF(AN663&gt;0,AN663,IF(AN662&gt;0,AN662,IF(AN661&gt;0,AN661,0)))))))))))),0)*(1-$S673)*'模拟-单技能数据'!$I$21</f>
        <v>9190.6918139866902</v>
      </c>
      <c r="AS673" s="61">
        <f ca="1">IF(OR(C673="净世破魔击·日",C673="净世破魔击·月"),M673-'模拟-单技能数据'!$K$10,0)</f>
        <v>0</v>
      </c>
      <c r="AT673" s="61">
        <f ca="1">IF(OR(C673="净世破魔击·日",C673="净世破魔击·月"),I673-'模拟-单技能数据'!$L$10,0)</f>
        <v>0</v>
      </c>
      <c r="AU673" s="62">
        <f t="shared" ca="1" si="630"/>
        <v>0.27551452279163968</v>
      </c>
      <c r="AV673" s="64">
        <f ca="1">IF(AS673&gt;0,('模拟-单技能数据'!$D$22+G673*'模拟-单技能数据'!$F$22)*(1+J673)*(1-S673)*IF(AU673&lt;$F$10,0,IF(AU673&lt;$F$10+$F$11,0.25,IF(AU673&lt;$F$10+$F$11+AS673,AT673,1)))*(1+U673),0)*'模拟-单技能数据'!$I$22</f>
        <v>0</v>
      </c>
      <c r="AW673" s="108">
        <f t="shared" ca="1" si="631"/>
        <v>2.4725000000000064</v>
      </c>
      <c r="AX673" s="108" t="b">
        <f ca="1">AND(模拟模式!$P$10="有",AW672=0,RAND()&lt;IF(C673="净世破魔击·月",0.1*8/3,IF(C673="净世破魔击·日",0.1*4/3,0.1*2/3)))</f>
        <v>0</v>
      </c>
      <c r="AY673" s="47">
        <f ca="1">IF(AX673,(18+G673*0.722)*(1+J673)*(1-S673)*(1+$I$4)*IF(P673="会",'模拟-全程加成'!$J$3+'模拟-全程加成'!$J$4+'模拟-全程加成'!$J$5+('模拟-全程加成'!$I$4+'模拟-全程加成'!$I$5)/系数!$B$4+BG673*10%,IF(P673="命",1,IF(P673="识",0.25,0))),0)</f>
        <v>0</v>
      </c>
      <c r="AZ673" s="108">
        <f t="shared" si="632"/>
        <v>12.620000000000005</v>
      </c>
      <c r="BA673" s="108" t="b">
        <f>AND(模拟模式!$Q$10="有",AZ672=0)</f>
        <v>0</v>
      </c>
      <c r="BB673" s="140">
        <f>IF(BA673,(0+G673*0.287)*(1+J673)*(1-S673)*(1+$I$4)*IF(P673="会",'模拟-全程加成'!$J$3+'模拟-全程加成'!$J$4+'模拟-全程加成'!$J$5+('模拟-全程加成'!$I$4+'模拟-全程加成'!$I$5)/系数!$B$4+BG673*10%,IF(P673="命",1,IF(P673="识",0.25,0))),0)</f>
        <v>0</v>
      </c>
      <c r="BC673" s="115" t="b">
        <f ca="1">AND(模拟模式!$R$7="伏明众生",E673=60,F673=20,DA673&lt;5,CZ672&lt;$F$4)</f>
        <v>0</v>
      </c>
      <c r="BD673" s="115">
        <f t="shared" ca="1" si="611"/>
        <v>0</v>
      </c>
      <c r="BE673" s="115" t="b">
        <f t="shared" ca="1" si="612"/>
        <v>0</v>
      </c>
      <c r="BF673" s="47">
        <f ca="1">IF(BC673,4*('模拟-单技能数据'!$D$24+G673*'模拟-单技能数据'!$F$24)*(1+J673)*(1+'模拟-单技能数据'!$J$24)*(1-S673)*(1+$I$3)*(('模拟-全程加成'!$J$3+'模拟-全程加成'!$J$4+'模拟-全程加成'!$J$5+('模拟-全程加成'!$I$4+'模拟-全程加成'!$I$5)/系数!$B$4+BG673*10%)*('模拟-全程加成'!$J$3+'模拟-全程加成'!$J$4+'模拟-全程加成'!$J$5+('模拟-全程加成'!$I$4+'模拟-全程加成'!$I$5)/系数!$B$4+BG673*10%)+(1-('模拟-全程加成'!$J$3+'模拟-全程加成'!$J$4+'模拟-全程加成'!$J$5+('模拟-全程加成'!$I$4+'模拟-全程加成'!$I$5)/系数!$B$4+BG673*10%)-$F$10-$F$11)+F659*0.25),0)*'模拟-单技能数据'!$I$24</f>
        <v>0</v>
      </c>
      <c r="BG673" s="115" t="b">
        <f ca="1">OR(AND(OR(C673="烈日斩",C673="银月斩"),模拟模式!$I$7="净身明礼"),AND(C673="净世破魔击·日",模拟模式!$J$7="洞若观火"),AND(C674="净世破魔击·月",模拟模式!$J$7="洞若观火"),AB673=1)</f>
        <v>1</v>
      </c>
      <c r="BH673" s="115" t="b">
        <f t="shared" ca="1" si="633"/>
        <v>0</v>
      </c>
      <c r="BI673" s="115">
        <f t="shared" ca="1" si="613"/>
        <v>0</v>
      </c>
      <c r="BJ673" s="115" t="b">
        <f t="shared" ca="1" si="614"/>
        <v>0</v>
      </c>
      <c r="BK673" s="115" t="b">
        <f ca="1">AND(C673="驱夜断愁",模拟模式!$P$7="天地诛戮")</f>
        <v>0</v>
      </c>
      <c r="BL673" s="57">
        <f t="shared" ca="1" si="615"/>
        <v>18.155000000000001</v>
      </c>
      <c r="BM673" s="115" t="b">
        <f t="shared" ca="1" si="616"/>
        <v>1</v>
      </c>
      <c r="BN673" s="115" t="b">
        <f ca="1">AND(OR(C673="赤日轮1",C673="赤日轮2",C673="赤日轮3",C673="幽月轮1",C673="幽月轮2",C673="幽月轮3"),AB673=1,模拟模式!$L$7="明光恒照")</f>
        <v>1</v>
      </c>
      <c r="BO673" s="117">
        <f t="shared" ca="1" si="617"/>
        <v>30</v>
      </c>
      <c r="BP673" s="115">
        <f t="shared" ca="1" si="634"/>
        <v>6</v>
      </c>
      <c r="BQ673" s="115" t="b">
        <f>模拟模式!$K$10="2600·水"</f>
        <v>0</v>
      </c>
      <c r="BR673" s="117">
        <f t="shared" si="635"/>
        <v>0</v>
      </c>
      <c r="BS673" s="115">
        <f t="shared" si="636"/>
        <v>0</v>
      </c>
      <c r="BT673" s="115">
        <f t="shared" ca="1" si="637"/>
        <v>0</v>
      </c>
      <c r="BU673" s="115" t="b">
        <f ca="1">AND(模拟模式!$K$10="2300·雷",BT672=0,RAND()&lt;IF(C673="净世破魔击·月",5*0.05*2/3,IF(C673="净世破魔击·日",3*0.05*2/3,0.05*2*2/3)))</f>
        <v>0</v>
      </c>
      <c r="BV673" s="115">
        <f t="shared" ca="1" si="638"/>
        <v>0</v>
      </c>
      <c r="BW673" s="115">
        <f t="shared" ca="1" si="639"/>
        <v>142.17749999999944</v>
      </c>
      <c r="BX673" s="164" t="b">
        <f t="shared" ca="1" si="640"/>
        <v>0</v>
      </c>
      <c r="BY673" s="115">
        <f t="shared" ca="1" si="641"/>
        <v>0</v>
      </c>
      <c r="BZ673" s="115">
        <f>IF(OR(模拟模式!$P$16="10人团",模拟模式!$P$16="25人团"),IF(B673/30&gt;CA672,1,0),0)</f>
        <v>0</v>
      </c>
      <c r="CA673" s="115">
        <f t="shared" si="618"/>
        <v>0</v>
      </c>
      <c r="CB673" s="115">
        <f ca="1">IF(BZ673=1,IF(模拟模式!$P$16="10人团",15,0)+IF(模拟模式!$P$16="25人团",IF(RAND()&lt;0.6,15,0)),MAX(0,CB672-$F$4))</f>
        <v>0</v>
      </c>
      <c r="CC673" s="115" t="b">
        <f t="shared" ca="1" si="619"/>
        <v>0</v>
      </c>
      <c r="CD673" s="115">
        <f>IF(模拟模式!$Q$16="1个",IF(B673/40&gt;CE672,1,0),0)</f>
        <v>0</v>
      </c>
      <c r="CE673" s="115">
        <f t="shared" si="620"/>
        <v>0</v>
      </c>
      <c r="CF673" s="115">
        <f>IF(OR(CD673=1,模拟模式!$Q$16="2个"),20,MAX(0,CF672-$F$4))</f>
        <v>0</v>
      </c>
      <c r="CG673" s="115" t="b">
        <f t="shared" si="621"/>
        <v>0</v>
      </c>
      <c r="CH673" s="115">
        <f t="shared" ca="1" si="642"/>
        <v>23.542500000000004</v>
      </c>
      <c r="CI673" s="115" t="b">
        <f t="shared" ca="1" si="643"/>
        <v>0</v>
      </c>
      <c r="CJ673" s="119">
        <f t="shared" ca="1" si="644"/>
        <v>0.05</v>
      </c>
      <c r="CK673" s="115">
        <f t="shared" ca="1" si="645"/>
        <v>1.5424999999999991</v>
      </c>
      <c r="CL673" s="115" t="b">
        <f ca="1">AND(模拟模式!$S$7="驱夷逐法",OR(AND(C673="净世破魔击·月",E672&gt;59),AND(C673="净世破魔击·日",F672&gt;59)))</f>
        <v>0</v>
      </c>
      <c r="CM673" s="115" t="b">
        <f ca="1">OR(CL673,AND(C673="净世破魔击·日",CL672,RAND()&lt;模拟模式!$U$23))</f>
        <v>0</v>
      </c>
      <c r="CN673" s="115" t="b">
        <f ca="1">IF(模拟模式!$M$7="辉耀红尘",AND(C673="净世破魔击·月",CL673,CV673=0,E672&lt;80),AND(C673="净世破魔击·月",CL673,E672&lt;100))</f>
        <v>0</v>
      </c>
      <c r="CO673" s="115" t="b">
        <f t="shared" ca="1" si="622"/>
        <v>0</v>
      </c>
      <c r="CP673" s="115" t="b">
        <f ca="1">AND(模拟模式!$O$7="用晦而明",OR(C673="净世破魔击·日",C673="净世破魔击·月",C673="驱夜断愁"),AB673)</f>
        <v>0</v>
      </c>
      <c r="CQ673" s="115" t="b">
        <f ca="1">OR(CP673,AND(CP672,RAND()&lt;模拟模式!$U$23))</f>
        <v>0</v>
      </c>
      <c r="CR673" s="115" t="b">
        <f ca="1">AND(模拟模式!$S$7="日月齐光",OR(C673="幽月轮1",C673="幽月轮2",C673="幽月轮3",CR672),NOT(OR(C673="赤日轮1",C673="赤日轮2",C673="赤日轮3")))</f>
        <v>0</v>
      </c>
      <c r="CS673" s="115" t="b">
        <f ca="1">AND(模拟模式!$S$7="日月齐光",OR(C673="赤日轮1",C673="赤日轮2",C673="赤日轮3",CS672),NOT(OR(C673="幽月轮1",C673="幽月轮2",C673="幽月轮3")))</f>
        <v>0</v>
      </c>
      <c r="CT673" s="115">
        <f t="shared" ca="1" si="646"/>
        <v>19.852500000000006</v>
      </c>
      <c r="CU673" s="115" t="b">
        <f ca="1">AND(模拟模式!$K$10="阴阳往极",CT672=0,RAND()&lt;IF(C673="净世破魔击·月",0.0275*7/3,IF(C673="净世破魔击·日",0.0275*3/3,0.0275*2/3)))</f>
        <v>0</v>
      </c>
      <c r="CV673" s="115">
        <f t="shared" ca="1" si="647"/>
        <v>0</v>
      </c>
      <c r="CW673" s="115">
        <f t="shared" ca="1" si="648"/>
        <v>5.0774999999999997</v>
      </c>
      <c r="CX673" s="115">
        <f t="shared" ca="1" si="649"/>
        <v>3.2324999999999995</v>
      </c>
      <c r="CY673" s="115">
        <f ca="1">MAX(IF($C673="驱夜断愁",IF(模拟模式!$R$7="万念俱寂",6,45),CY672-$F$4),0)</f>
        <v>4.1549999999999994</v>
      </c>
      <c r="CZ673" s="115">
        <f t="shared" ca="1" si="623"/>
        <v>0</v>
      </c>
      <c r="DA673" s="115">
        <f ca="1">IF(模拟模式!$N$7="日月同辉",IF(DB672=2,0,MIN(6,IF(AND(OR(C673="赤日轮1",C673="赤日轮2",C673="赤日轮3",C673="幽月轮1",C673="幽月轮2",C673="幽月轮3"),AB673=1),DA672+1,DA672))),0)</f>
        <v>3</v>
      </c>
      <c r="DB673" s="115">
        <f t="shared" ca="1" si="624"/>
        <v>0</v>
      </c>
      <c r="DC673" s="115"/>
      <c r="DD673" s="115"/>
      <c r="DE673" s="115"/>
      <c r="DF673" s="115"/>
      <c r="DG673" s="115"/>
      <c r="DH673" s="115"/>
      <c r="DI673" s="115"/>
      <c r="DJ673" s="115"/>
      <c r="DK673" s="115"/>
      <c r="DL673" s="115"/>
      <c r="DM673" s="115"/>
    </row>
    <row r="674" spans="2:117" x14ac:dyDescent="0.2">
      <c r="B674" s="117">
        <f t="shared" si="625"/>
        <v>596.85750000000678</v>
      </c>
      <c r="C674" s="167" t="str">
        <f t="shared" ca="1" si="594"/>
        <v>净世破魔击·月</v>
      </c>
      <c r="D674" s="115">
        <f ca="1">IF(C674="赤日轮1",1,IF(C674="赤日轮2",2,IF(C674="赤日轮3",3,IF(C674="幽月轮1",4,IF(C674="幽月轮2",5,IF(C674="幽月轮3",6,IF(C674="烈日斩",7,IF(C674="银月斩",8,IF(C674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674="净世破魔击·月",17,IF(C674="驱夜断愁",18,0)))))))))))</f>
        <v>17</v>
      </c>
      <c r="E674" s="115">
        <f ca="1">IF(AND(CU674,OR(C674="幽月轮1",C674="幽月轮2",C674="幽月轮3",C674="银月斩",C674="驱夜断愁",C674="净世破魔击·月")),100,MIN(IF(OR(CN674,BE674),0,IF(OR($C674="赤日轮1",$C674="赤日轮2",$C674="赤日轮3"),E673+20+IF(模拟模式!$I$7="日月凌天",4,0)+IF(CR673,20,0),IF($C674="烈日斩",E673+40,IF($C674="驱夜断愁",IF(模拟模式!$R$7="万念俱寂",E673+20,E673+60),IF($C674="净世破魔击·月",IF(OR(DB673&gt;0,CV673&gt;0),100,IF(模拟模式!$M$7="辉耀红尘",E673+20,E673)),IF($C674="净世破魔击·日",E673-100,E673)))))),100))</f>
        <v>100</v>
      </c>
      <c r="F674" s="115">
        <f ca="1">IF(AND(CU674,OR(C674="赤日轮1",C674="赤日轮2",C674="赤日轮3",C674="烈日斩",C674="净世破魔击·日")),100,MIN(IF(CO674,0,IF(OR($C674="幽月轮1",$C674="幽月轮2",$C674="幽月轮3"),F673+20+IF(模拟模式!$I$7="日月凌天",4,0)+IF(CS673,20,0),IF($C674="银月斩",F673+40+IF(模拟模式!$X$12=1,5,0),IF($C674="驱夜断愁",IF(模拟模式!$R$7="万念俱寂",F673+20,F673+60),IF($C674="净世破魔击·月",IF(模拟模式!$M$7="辉耀红尘",F673-80,F673-100),IF(AND(C674="净世破魔击·日",OR(DB673&gt;0,CV673&gt;0)),100,F673)))))),100))</f>
        <v>20</v>
      </c>
      <c r="G674" s="117">
        <f ca="1">('模拟-全程加成'!$E$3+'模拟-全程加成'!$E$4+'模拟-全程加成'!$E$5+('模拟-全程加成'!$C$6-'模拟-全程加成'!$C$3)*系数!$B$9+BS674*23)*(1+'模拟-全程加成'!$F$4+'模拟-全程加成'!$F$5+BJ674*10%+BM674*20%+BP674*4%+CG674*30%)+$F$7*系数!$B$12</f>
        <v>20583.127400000001</v>
      </c>
      <c r="H674" s="45">
        <f ca="1">'模拟-全程加成'!$H$3+'模拟-全程加成'!$H$4+'模拟-全程加成'!$H$5+('模拟-全程加成'!$G$4+'模拟-全程加成'!$G$5+('模拟-全程加成'!$C$6-'模拟-全程加成'!$C$3)*系数!$B$13)/系数!$B$3+LOOKUP(D674,'模拟-单技能数据'!$A$2:$A$19,'模拟-单技能数据'!$K$2:$K$19)+BG674*10%+IF(BV674&gt;0,378,0)</f>
        <v>0.54185145527300216</v>
      </c>
      <c r="I674" s="45">
        <f ca="1">'模拟-全程加成'!$J$3+'模拟-全程加成'!$J$4+'模拟-全程加成'!$J$5+('模拟-全程加成'!$I$4+'模拟-全程加成'!$I$5)/系数!$B$4+LOOKUP(D674,'模拟-单技能数据'!$A$2:$A$19,'模拟-单技能数据'!$L$2:$L$19)+BG674*10%</f>
        <v>2.162482885499879</v>
      </c>
      <c r="J674" s="45">
        <f ca="1">(('模拟-全程加成'!$K$3+'模拟-全程加成'!$K$4+'模拟-全程加成'!$K$5+('模拟-全程加成'!$C$6-'模拟-全程加成'!$C$3)*系数!$B$10+IF(BV674&gt;0,882,0)+IF(BY674&gt;0,1831,0))*(1+'模拟-全程加成'!$L$4+'模拟-全程加成'!$L$5+CC674*20%))/系数!$B$5</f>
        <v>0.69723220422048726</v>
      </c>
      <c r="K674" s="119">
        <f ca="1">LOOKUP(D674,'模拟-单技能数据'!$A$2:$A$19,'模拟-单技能数据'!$J$2:$J$19)+IF(CM674,60%,0)+IF(DB673-DB674&gt;0,30%,0)+IF(OR(AND(OR(C674="赤日轮1",C674="赤日轮2",C674="赤日轮3"),CR674),AND(OR(C674="幽月轮1",C674="幽月轮2",C674="幽月轮3"),CS674)),35%,0)+CJ674</f>
        <v>0.85000000000000009</v>
      </c>
      <c r="L674" s="119">
        <f ca="1">IF(AND(C674="烈日斩",模拟模式!$X$11=1),10%,0)+IF(AND(C674="驱夜断愁",AB674=1),30%,0)</f>
        <v>0</v>
      </c>
      <c r="M674" s="45">
        <f t="shared" ca="1" si="595"/>
        <v>0.54185145527300216</v>
      </c>
      <c r="N674" s="45">
        <f t="shared" ca="1" si="596"/>
        <v>0.40424854472699789</v>
      </c>
      <c r="O674" s="46">
        <f t="shared" ca="1" si="626"/>
        <v>1.6225937040397986E-2</v>
      </c>
      <c r="P674" s="46" t="str">
        <f t="shared" ca="1" si="597"/>
        <v>识</v>
      </c>
      <c r="Q674" s="45">
        <f t="shared" ca="1" si="598"/>
        <v>0.25</v>
      </c>
      <c r="R674" s="117">
        <f ca="1">模拟模式!$E$20*(1-IF(模拟模式!$J$19="有",0.15,0))*(1-IF(模拟模式!$K$19="有",0.3,0)-IF(CQ674,0.5,0))</f>
        <v>843.02999999999975</v>
      </c>
      <c r="S674" s="45">
        <f ca="1">R674/(R674+(185*模拟模式!$E$22-16800)*4.08224)</f>
        <v>8.389626085980037E-2</v>
      </c>
      <c r="T674" s="45" t="str">
        <f ca="1">LOOKUP(D674,'模拟-单技能数据'!$A$2:$A$19,'模拟-单技能数据'!$H$2:$H$19)</f>
        <v>阴</v>
      </c>
      <c r="U674" s="119">
        <f t="shared" ca="1" si="599"/>
        <v>0.08</v>
      </c>
      <c r="V674" s="47">
        <f ca="1">(1+L674)*(LOOKUP(D674,'模拟-单技能数据'!$A$2:$A$19,'模拟-单技能数据'!$D$2:$D$19)+G674*LOOKUP(D674,'模拟-单技能数据'!$A$2:$A$19,'模拟-单技能数据'!$F$2:$F$19))*(1+J674)*(1+K674)*(1-S674)*(1+U674)*Q674*LOOKUP(D674,'模拟-单技能数据'!$A$2:$A$19,'模拟-单技能数据'!$I$2:$I$20)</f>
        <v>20777.715261495938</v>
      </c>
      <c r="W674" s="47">
        <f ca="1">LOOKUP(D674,'模拟-单技能数据'!$A$2:$A$19,'模拟-单技能数据'!$G$2:$G$19)*$I$10</f>
        <v>361.51064354704795</v>
      </c>
      <c r="X674" s="47">
        <f t="shared" ca="1" si="627"/>
        <v>7639.4517521048492</v>
      </c>
      <c r="Y674" s="47">
        <f t="shared" ca="1" si="600"/>
        <v>28778.677657147833</v>
      </c>
      <c r="Z674" s="49">
        <f t="shared" ca="1" si="601"/>
        <v>67887457.995642215</v>
      </c>
      <c r="AA674" s="97">
        <f t="shared" ca="1" si="602"/>
        <v>113741.48435035405</v>
      </c>
      <c r="AB674" s="115">
        <f ca="1">IF(OR(C674="赤日轮1",C674="赤日轮2",C674="赤日轮3"),IF(RAND()&lt;模拟模式!$Y$17,1,0),IF(OR(C674="幽月轮1",C674="幽月轮2",C674="幽月轮3"),IF(RAND()&lt;模拟模式!$Y$18,1,0),IF(C674="烈日斩",IF(RAND()&lt;模拟模式!$Y$19,1,0),IF(C674="银月斩",IF(RAND()&lt;模拟模式!$Y$20,1,0),IF(C674="驱夜断愁",IF(RAND()&lt;模拟模式!$Y$21,1,0),IF(C674="净世破魔击·日",IF(RAND()&lt;模拟模式!$Y$22,1,0),IF(C674="净世破魔击·月",IF(RAND()&lt;模拟模式!$Y$23,1,0),0)))))))</f>
        <v>1</v>
      </c>
      <c r="AC674" s="115" t="b">
        <f t="shared" ca="1" si="603"/>
        <v>0</v>
      </c>
      <c r="AD674" s="115" t="b">
        <f t="shared" ca="1" si="604"/>
        <v>0</v>
      </c>
      <c r="AE674" s="115">
        <f t="shared" ca="1" si="605"/>
        <v>6</v>
      </c>
      <c r="AF674" s="47">
        <f ca="1">IF(AC674,('模拟-单技能数据'!$D$20+G674*'模拟-单技能数据'!$F$20)*(1+J674)*(1+'模拟-单技能数据'!$J$20)*(1+U674),0)</f>
        <v>0</v>
      </c>
      <c r="AG674" s="61">
        <f t="shared" ca="1" si="606"/>
        <v>0.64185145527300214</v>
      </c>
      <c r="AH674" s="61">
        <f t="shared" ca="1" si="607"/>
        <v>2.2624828854998791</v>
      </c>
      <c r="AI674" s="62">
        <f t="shared" ca="1" si="628"/>
        <v>0.21076980210366592</v>
      </c>
      <c r="AJ674" s="47">
        <f ca="1">IF(AD674,IF(AI674&lt;$F$10,0,IF(AI674&lt;$F$10+$F$11,0.25,IF(AI674&lt;$F$10+$F$11+AG674,AH674,1)))*IF(AF674&gt;0,AF674,IF(AF673&gt;0,AF673,IF(AF672&gt;0,AF672,IF(AF671&gt;0,AF671,IF(AF670&gt;0,AF670,IF(AF669&gt;0,AF669,IF(AF668&gt;0,AF668,IF(AF667&gt;0,AF667,IF(AF666&gt;0,AF666,IF(AF664&gt;0,AF664,IF(AF663&gt;0,AF663,IF(AF662&gt;0,AF662,0)))))))))))),0)*(1-$S674)*'模拟-单技能数据'!$I$20</f>
        <v>0</v>
      </c>
      <c r="AK674" s="115" t="b">
        <f t="shared" ca="1" si="608"/>
        <v>0</v>
      </c>
      <c r="AL674" s="115" t="b">
        <f t="shared" ca="1" si="609"/>
        <v>0</v>
      </c>
      <c r="AM674" s="115">
        <f t="shared" ca="1" si="610"/>
        <v>3</v>
      </c>
      <c r="AN674" s="47">
        <f ca="1">IF(AK674,('模拟-单技能数据'!$D$21+G674*'模拟-单技能数据'!$F$21)*(1+J674)*(1+'模拟-单技能数据'!$J$21)*(1+U674),0)</f>
        <v>0</v>
      </c>
      <c r="AO674" s="61">
        <f ca="1">IF(AN674&gt;0,M674-'模拟-单技能数据'!$K$10,AO673)</f>
        <v>0.42185145527300216</v>
      </c>
      <c r="AP674" s="61">
        <f ca="1">IF(AN674&gt;0,I674-'模拟-单技能数据'!$L$10,AP673)</f>
        <v>2.162482885499879</v>
      </c>
      <c r="AQ674" s="63">
        <f t="shared" ca="1" si="629"/>
        <v>0.72918443823957135</v>
      </c>
      <c r="AR674" s="64">
        <f ca="1">IF(AL674,IF(AQ674&lt;$F$10,0,IF(AQ674&lt;$F$10+$F$11,0.25,IF(AQ674&lt;$F$10+$F$11+AO674,AP674,1)))*IF(AN674&gt;0,AN674,IF(AN673&gt;0,AN673,IF(AN672&gt;0,AN672,IF(AN671&gt;0,AN671,IF(AN670&gt;0,AN670,IF(AN669&gt;0,AN669,IF(AN668&gt;0,AN668,IF(AN667&gt;0,AN667,IF(AN666&gt;0,AN666,IF(AN664&gt;0,AN664,IF(AN663&gt;0,AN663,IF(AN662&gt;0,AN662,0)))))))))))),0)*(1-$S674)*'模拟-单技能数据'!$I$21</f>
        <v>0</v>
      </c>
      <c r="AS674" s="61">
        <f ca="1">IF(OR(C674="净世破魔击·日",C674="净世破魔击·月"),M674-'模拟-单技能数据'!$K$10,0)</f>
        <v>0.42185145527300216</v>
      </c>
      <c r="AT674" s="61">
        <f ca="1">IF(OR(C674="净世破魔击·日",C674="净世破魔击·月"),I674-'模拟-单技能数据'!$L$10,0)</f>
        <v>2.162482885499879</v>
      </c>
      <c r="AU674" s="62">
        <f t="shared" ca="1" si="630"/>
        <v>0.91144721058602374</v>
      </c>
      <c r="AV674" s="64">
        <f ca="1">IF(AS674&gt;0,('模拟-单技能数据'!$D$22+G674*'模拟-单技能数据'!$F$22)*(1+J674)*(1-S674)*IF(AU674&lt;$F$10,0,IF(AU674&lt;$F$10+$F$11,0.25,IF(AU674&lt;$F$10+$F$11+AS674,AT674,1)))*(1+U674),0)*'模拟-单技能数据'!$I$22</f>
        <v>7639.4517521048492</v>
      </c>
      <c r="AW674" s="108">
        <f t="shared" ca="1" si="631"/>
        <v>1.5500000000000065</v>
      </c>
      <c r="AX674" s="108" t="b">
        <f ca="1">AND(模拟模式!$P$10="有",AW673=0,RAND()&lt;IF(C674="净世破魔击·月",0.1*8/3,IF(C674="净世破魔击·日",0.1*4/3,0.1*2/3)))</f>
        <v>0</v>
      </c>
      <c r="AY674" s="47">
        <f ca="1">IF(AX674,(18+G674*0.722)*(1+J674)*(1-S674)*(1+$I$4)*IF(P674="会",'模拟-全程加成'!$J$3+'模拟-全程加成'!$J$4+'模拟-全程加成'!$J$5+('模拟-全程加成'!$I$4+'模拟-全程加成'!$I$5)/系数!$B$4+BG674*10%,IF(P674="命",1,IF(P674="识",0.25,0))),0)</f>
        <v>0</v>
      </c>
      <c r="AZ674" s="108">
        <f t="shared" si="632"/>
        <v>11.697500000000005</v>
      </c>
      <c r="BA674" s="108" t="b">
        <f>AND(模拟模式!$Q$10="有",AZ673=0)</f>
        <v>0</v>
      </c>
      <c r="BB674" s="140">
        <f>IF(BA674,(0+G674*0.287)*(1+J674)*(1-S674)*(1+$I$4)*IF(P674="会",'模拟-全程加成'!$J$3+'模拟-全程加成'!$J$4+'模拟-全程加成'!$J$5+('模拟-全程加成'!$I$4+'模拟-全程加成'!$I$5)/系数!$B$4+BG674*10%,IF(P674="命",1,IF(P674="识",0.25,0))),0)</f>
        <v>0</v>
      </c>
      <c r="BC674" s="115" t="b">
        <f ca="1">AND(模拟模式!$R$7="伏明众生",E674=60,F674=20,DA674&lt;5,CZ673&lt;$F$4)</f>
        <v>0</v>
      </c>
      <c r="BD674" s="115">
        <f t="shared" ca="1" si="611"/>
        <v>0</v>
      </c>
      <c r="BE674" s="115" t="b">
        <f t="shared" ca="1" si="612"/>
        <v>0</v>
      </c>
      <c r="BF674" s="47">
        <f ca="1">IF(BC674,4*('模拟-单技能数据'!$D$24+G674*'模拟-单技能数据'!$F$24)*(1+J674)*(1+'模拟-单技能数据'!$J$24)*(1-S674)*(1+$I$3)*(('模拟-全程加成'!$J$3+'模拟-全程加成'!$J$4+'模拟-全程加成'!$J$5+('模拟-全程加成'!$I$4+'模拟-全程加成'!$I$5)/系数!$B$4+BG674*10%)*('模拟-全程加成'!$J$3+'模拟-全程加成'!$J$4+'模拟-全程加成'!$J$5+('模拟-全程加成'!$I$4+'模拟-全程加成'!$I$5)/系数!$B$4+BG674*10%)+(1-('模拟-全程加成'!$J$3+'模拟-全程加成'!$J$4+'模拟-全程加成'!$J$5+('模拟-全程加成'!$I$4+'模拟-全程加成'!$I$5)/系数!$B$4+BG674*10%)-$F$10-$F$11)+F660*0.25),0)*'模拟-单技能数据'!$I$24</f>
        <v>0</v>
      </c>
      <c r="BG674" s="115" t="b">
        <f ca="1">OR(AND(OR(C674="烈日斩",C674="银月斩"),模拟模式!$I$7="净身明礼"),AND(C674="净世破魔击·日",模拟模式!$J$7="洞若观火"),AND(C675="净世破魔击·月",模拟模式!$J$7="洞若观火"),AB674=1)</f>
        <v>1</v>
      </c>
      <c r="BH674" s="115" t="b">
        <f t="shared" ca="1" si="633"/>
        <v>0</v>
      </c>
      <c r="BI674" s="115">
        <f t="shared" ca="1" si="613"/>
        <v>0</v>
      </c>
      <c r="BJ674" s="115" t="b">
        <f t="shared" ca="1" si="614"/>
        <v>0</v>
      </c>
      <c r="BK674" s="115" t="b">
        <f ca="1">AND(C674="驱夜断愁",模拟模式!$P$7="天地诛戮")</f>
        <v>0</v>
      </c>
      <c r="BL674" s="57">
        <f t="shared" ca="1" si="615"/>
        <v>17.232500000000002</v>
      </c>
      <c r="BM674" s="115" t="b">
        <f t="shared" ca="1" si="616"/>
        <v>1</v>
      </c>
      <c r="BN674" s="115" t="b">
        <f ca="1">AND(OR(C674="赤日轮1",C674="赤日轮2",C674="赤日轮3",C674="幽月轮1",C674="幽月轮2",C674="幽月轮3"),AB674=1,模拟模式!$L$7="明光恒照")</f>
        <v>0</v>
      </c>
      <c r="BO674" s="117">
        <f t="shared" ca="1" si="617"/>
        <v>29.077500000000001</v>
      </c>
      <c r="BP674" s="115">
        <f t="shared" ca="1" si="634"/>
        <v>6</v>
      </c>
      <c r="BQ674" s="115" t="b">
        <f>模拟模式!$K$10="2600·水"</f>
        <v>0</v>
      </c>
      <c r="BR674" s="117">
        <f t="shared" si="635"/>
        <v>0</v>
      </c>
      <c r="BS674" s="115">
        <f t="shared" si="636"/>
        <v>0</v>
      </c>
      <c r="BT674" s="115">
        <f t="shared" ca="1" si="637"/>
        <v>0</v>
      </c>
      <c r="BU674" s="115" t="b">
        <f ca="1">AND(模拟模式!$K$10="2300·雷",BT673=0,RAND()&lt;IF(C674="净世破魔击·月",5*0.05*2/3,IF(C674="净世破魔击·日",3*0.05*2/3,0.05*2*2/3)))</f>
        <v>0</v>
      </c>
      <c r="BV674" s="115">
        <f t="shared" ca="1" si="638"/>
        <v>0</v>
      </c>
      <c r="BW674" s="115">
        <f t="shared" ca="1" si="639"/>
        <v>141.25499999999943</v>
      </c>
      <c r="BX674" s="164" t="b">
        <f t="shared" ca="1" si="640"/>
        <v>0</v>
      </c>
      <c r="BY674" s="115">
        <f t="shared" ca="1" si="641"/>
        <v>0</v>
      </c>
      <c r="BZ674" s="115">
        <f>IF(OR(模拟模式!$P$16="10人团",模拟模式!$P$16="25人团"),IF(B674/30&gt;CA673,1,0),0)</f>
        <v>0</v>
      </c>
      <c r="CA674" s="115">
        <f t="shared" si="618"/>
        <v>0</v>
      </c>
      <c r="CB674" s="115">
        <f ca="1">IF(BZ674=1,IF(模拟模式!$P$16="10人团",15,0)+IF(模拟模式!$P$16="25人团",IF(RAND()&lt;0.6,15,0)),MAX(0,CB673-$F$4))</f>
        <v>0</v>
      </c>
      <c r="CC674" s="115" t="b">
        <f t="shared" ca="1" si="619"/>
        <v>0</v>
      </c>
      <c r="CD674" s="115">
        <f>IF(模拟模式!$Q$16="1个",IF(B674/40&gt;CE673,1,0),0)</f>
        <v>0</v>
      </c>
      <c r="CE674" s="115">
        <f t="shared" si="620"/>
        <v>0</v>
      </c>
      <c r="CF674" s="115">
        <f>IF(OR(CD674=1,模拟模式!$Q$16="2个"),20,MAX(0,CF673-$F$4))</f>
        <v>0</v>
      </c>
      <c r="CG674" s="115" t="b">
        <f t="shared" si="621"/>
        <v>0</v>
      </c>
      <c r="CH674" s="115">
        <f t="shared" ca="1" si="642"/>
        <v>22.620000000000005</v>
      </c>
      <c r="CI674" s="115" t="b">
        <f t="shared" ca="1" si="643"/>
        <v>0</v>
      </c>
      <c r="CJ674" s="119">
        <f t="shared" ca="1" si="644"/>
        <v>0.05</v>
      </c>
      <c r="CK674" s="115">
        <f t="shared" ca="1" si="645"/>
        <v>0.61999999999999911</v>
      </c>
      <c r="CL674" s="115" t="b">
        <f ca="1">AND(模拟模式!$S$7="驱夷逐法",OR(AND(C674="净世破魔击·月",E673&gt;59),AND(C674="净世破魔击·日",F673&gt;59)))</f>
        <v>1</v>
      </c>
      <c r="CM674" s="115" t="b">
        <f ca="1">OR(CL674,AND(C674="净世破魔击·日",CL673,RAND()&lt;模拟模式!$U$23))</f>
        <v>1</v>
      </c>
      <c r="CN674" s="115" t="b">
        <f ca="1">IF(模拟模式!$M$7="辉耀红尘",AND(C674="净世破魔击·月",CL674,CV674=0,E673&lt;80),AND(C674="净世破魔击·月",CL674,E673&lt;100))</f>
        <v>0</v>
      </c>
      <c r="CO674" s="115" t="b">
        <f t="shared" ca="1" si="622"/>
        <v>0</v>
      </c>
      <c r="CP674" s="115" t="b">
        <f ca="1">AND(模拟模式!$O$7="用晦而明",OR(C674="净世破魔击·日",C674="净世破魔击·月",C674="驱夜断愁"),AB674)</f>
        <v>1</v>
      </c>
      <c r="CQ674" s="115" t="b">
        <f ca="1">OR(CP674,AND(CP673,RAND()&lt;模拟模式!$U$23))</f>
        <v>1</v>
      </c>
      <c r="CR674" s="115" t="b">
        <f ca="1">AND(模拟模式!$S$7="日月齐光",OR(C674="幽月轮1",C674="幽月轮2",C674="幽月轮3",CR673),NOT(OR(C674="赤日轮1",C674="赤日轮2",C674="赤日轮3")))</f>
        <v>0</v>
      </c>
      <c r="CS674" s="115" t="b">
        <f ca="1">AND(模拟模式!$S$7="日月齐光",OR(C674="赤日轮1",C674="赤日轮2",C674="赤日轮3",CS673),NOT(OR(C674="幽月轮1",C674="幽月轮2",C674="幽月轮3")))</f>
        <v>0</v>
      </c>
      <c r="CT674" s="115">
        <f t="shared" ca="1" si="646"/>
        <v>18.930000000000007</v>
      </c>
      <c r="CU674" s="115" t="b">
        <f ca="1">AND(模拟模式!$K$10="阴阳往极",CT673=0,RAND()&lt;IF(C674="净世破魔击·月",0.0275*7/3,IF(C674="净世破魔击·日",0.0275*3/3,0.0275*2/3)))</f>
        <v>0</v>
      </c>
      <c r="CV674" s="115">
        <f t="shared" ca="1" si="647"/>
        <v>0</v>
      </c>
      <c r="CW674" s="115">
        <f t="shared" ca="1" si="648"/>
        <v>4.1549999999999994</v>
      </c>
      <c r="CX674" s="115">
        <f t="shared" ca="1" si="649"/>
        <v>2.3099999999999996</v>
      </c>
      <c r="CY674" s="115">
        <f ca="1">MAX(IF($C674="驱夜断愁",IF(模拟模式!$R$7="万念俱寂",6,45),CY673-$F$4),0)</f>
        <v>3.2324999999999995</v>
      </c>
      <c r="CZ674" s="115">
        <f t="shared" ca="1" si="623"/>
        <v>0</v>
      </c>
      <c r="DA674" s="115">
        <f ca="1">IF(模拟模式!$N$7="日月同辉",IF(DB673=2,0,MIN(6,IF(AND(OR(C674="赤日轮1",C674="赤日轮2",C674="赤日轮3",C674="幽月轮1",C674="幽月轮2",C674="幽月轮3"),AB674=1),DA673+1,DA673))),0)</f>
        <v>3</v>
      </c>
      <c r="DB674" s="115">
        <f t="shared" ca="1" si="624"/>
        <v>0</v>
      </c>
      <c r="DC674" s="115"/>
      <c r="DD674" s="115"/>
      <c r="DE674" s="115"/>
      <c r="DF674" s="115"/>
      <c r="DG674" s="115"/>
      <c r="DH674" s="115"/>
      <c r="DI674" s="115"/>
      <c r="DJ674" s="115"/>
      <c r="DK674" s="115"/>
      <c r="DL674" s="115"/>
      <c r="DM674" s="115"/>
    </row>
    <row r="675" spans="2:117" x14ac:dyDescent="0.2">
      <c r="B675" s="117">
        <f t="shared" si="625"/>
        <v>597.78000000000679</v>
      </c>
      <c r="C675" s="167" t="str">
        <f t="shared" ca="1" si="594"/>
        <v>净世破魔击·日</v>
      </c>
      <c r="D675" s="115">
        <f ca="1">IF(C675="赤日轮1",1,IF(C675="赤日轮2",2,IF(C675="赤日轮3",3,IF(C675="幽月轮1",4,IF(C675="幽月轮2",5,IF(C675="幽月轮3",6,IF(C675="烈日斩",7,IF(C675="银月斩",8,IF(C675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675="净世破魔击·月",17,IF(C675="驱夜断愁",18,0)))))))))))</f>
        <v>9</v>
      </c>
      <c r="E675" s="115">
        <f ca="1">IF(AND(CU675,OR(C675="幽月轮1",C675="幽月轮2",C675="幽月轮3",C675="银月斩",C675="驱夜断愁",C675="净世破魔击·月")),100,MIN(IF(OR(CN675,BE675),0,IF(OR($C675="赤日轮1",$C675="赤日轮2",$C675="赤日轮3"),E674+20+IF(模拟模式!$I$7="日月凌天",4,0)+IF(CR674,20,0),IF($C675="烈日斩",E674+40,IF($C675="驱夜断愁",IF(模拟模式!$R$7="万念俱寂",E674+20,E674+60),IF($C675="净世破魔击·月",IF(OR(DB674&gt;0,CV674&gt;0),100,IF(模拟模式!$M$7="辉耀红尘",E674+20,E674)),IF($C675="净世破魔击·日",E674-100,E674)))))),100))</f>
        <v>0</v>
      </c>
      <c r="F675" s="115">
        <f ca="1">IF(AND(CU675,OR(C675="赤日轮1",C675="赤日轮2",C675="赤日轮3",C675="烈日斩",C675="净世破魔击·日")),100,MIN(IF(CO675,0,IF(OR($C675="幽月轮1",$C675="幽月轮2",$C675="幽月轮3"),F674+20+IF(模拟模式!$I$7="日月凌天",4,0)+IF(CS674,20,0),IF($C675="银月斩",F674+40+IF(模拟模式!$X$12=1,5,0),IF($C675="驱夜断愁",IF(模拟模式!$R$7="万念俱寂",F674+20,F674+60),IF($C675="净世破魔击·月",IF(模拟模式!$M$7="辉耀红尘",F674-80,F674-100),IF(AND(C675="净世破魔击·日",OR(DB674&gt;0,CV674&gt;0)),100,F674)))))),100))</f>
        <v>20</v>
      </c>
      <c r="G675" s="117">
        <f ca="1">('模拟-全程加成'!$E$3+'模拟-全程加成'!$E$4+'模拟-全程加成'!$E$5+('模拟-全程加成'!$C$6-'模拟-全程加成'!$C$3)*系数!$B$9+BS675*23)*(1+'模拟-全程加成'!$F$4+'模拟-全程加成'!$F$5+BJ675*10%+BM675*20%+BP675*4%+CG675*30%)+$F$7*系数!$B$12</f>
        <v>20583.127400000001</v>
      </c>
      <c r="H675" s="45">
        <f ca="1">'模拟-全程加成'!$H$3+'模拟-全程加成'!$H$4+'模拟-全程加成'!$H$5+('模拟-全程加成'!$G$4+'模拟-全程加成'!$G$5+('模拟-全程加成'!$C$6-'模拟-全程加成'!$C$3)*系数!$B$13)/系数!$B$3+LOOKUP(D675,'模拟-单技能数据'!$A$2:$A$19,'模拟-单技能数据'!$K$2:$K$19)+BG675*10%+IF(BV675&gt;0,378,0)</f>
        <v>0.54185145527300216</v>
      </c>
      <c r="I675" s="45">
        <f ca="1">'模拟-全程加成'!$J$3+'模拟-全程加成'!$J$4+'模拟-全程加成'!$J$5+('模拟-全程加成'!$I$4+'模拟-全程加成'!$I$5)/系数!$B$4+LOOKUP(D675,'模拟-单技能数据'!$A$2:$A$19,'模拟-单技能数据'!$L$2:$L$19)+BG675*10%</f>
        <v>2.162482885499879</v>
      </c>
      <c r="J675" s="45">
        <f ca="1">(('模拟-全程加成'!$K$3+'模拟-全程加成'!$K$4+'模拟-全程加成'!$K$5+('模拟-全程加成'!$C$6-'模拟-全程加成'!$C$3)*系数!$B$10+IF(BV675&gt;0,882,0)+IF(BY675&gt;0,1831,0))*(1+'模拟-全程加成'!$L$4+'模拟-全程加成'!$L$5+CC675*20%))/系数!$B$5</f>
        <v>0.69723220422048726</v>
      </c>
      <c r="K675" s="119">
        <f ca="1">LOOKUP(D675,'模拟-单技能数据'!$A$2:$A$19,'模拟-单技能数据'!$J$2:$J$19)+IF(CM675,60%,0)+IF(DB674-DB675&gt;0,30%,0)+IF(OR(AND(OR(C675="赤日轮1",C675="赤日轮2",C675="赤日轮3"),CR675),AND(OR(C675="幽月轮1",C675="幽月轮2",C675="幽月轮3"),CS675)),35%,0)+CJ675</f>
        <v>0.8</v>
      </c>
      <c r="L675" s="119">
        <f ca="1">IF(AND(C675="烈日斩",模拟模式!$X$11=1),10%,0)+IF(AND(C675="驱夜断愁",AB675=1),30%,0)</f>
        <v>0</v>
      </c>
      <c r="M675" s="45">
        <f t="shared" ca="1" si="595"/>
        <v>0.54185145527300216</v>
      </c>
      <c r="N675" s="45">
        <f t="shared" ca="1" si="596"/>
        <v>0.40424854472699789</v>
      </c>
      <c r="O675" s="46">
        <f t="shared" ca="1" si="626"/>
        <v>0.41176727389855916</v>
      </c>
      <c r="P675" s="46" t="str">
        <f t="shared" ca="1" si="597"/>
        <v>会</v>
      </c>
      <c r="Q675" s="45">
        <f t="shared" ca="1" si="598"/>
        <v>2.162482885499879</v>
      </c>
      <c r="R675" s="117">
        <f ca="1">模拟模式!$E$20*(1-IF(模拟模式!$J$19="有",0.15,0))*(1-IF(模拟模式!$K$19="有",0.3,0)-IF(CQ675,0.5,0))</f>
        <v>843.02999999999975</v>
      </c>
      <c r="S675" s="45">
        <f ca="1">R675/(R675+(185*模拟模式!$E$22-16800)*4.08224)</f>
        <v>8.389626085980037E-2</v>
      </c>
      <c r="T675" s="45" t="str">
        <f ca="1">LOOKUP(D675,'模拟-单技能数据'!$A$2:$A$19,'模拟-单技能数据'!$H$2:$H$19)</f>
        <v>阳</v>
      </c>
      <c r="U675" s="119">
        <f t="shared" ca="1" si="599"/>
        <v>0.2</v>
      </c>
      <c r="V675" s="47">
        <f ca="1">(1+L675)*(LOOKUP(D675,'模拟-单技能数据'!$A$2:$A$19,'模拟-单技能数据'!$D$2:$D$19)+G675*LOOKUP(D675,'模拟-单技能数据'!$A$2:$A$19,'模拟-单技能数据'!$F$2:$F$19))*(1+J675)*(1+K675)*(1-S675)*(1+U675)*Q675*LOOKUP(D675,'模拟-单技能数据'!$A$2:$A$19,'模拟-单技能数据'!$I$2:$I$20)</f>
        <v>195915.814886668</v>
      </c>
      <c r="W675" s="47">
        <f ca="1">LOOKUP(D675,'模拟-单技能数据'!$A$2:$A$19,'模拟-单技能数据'!$G$2:$G$19)*$I$10</f>
        <v>723.0212870940959</v>
      </c>
      <c r="X675" s="47">
        <f t="shared" ca="1" si="627"/>
        <v>29474.113140456007</v>
      </c>
      <c r="Y675" s="47">
        <f t="shared" ca="1" si="600"/>
        <v>226112.9493142181</v>
      </c>
      <c r="Z675" s="49">
        <f t="shared" ca="1" si="601"/>
        <v>68113570.944956437</v>
      </c>
      <c r="AA675" s="97">
        <f t="shared" ca="1" si="602"/>
        <v>113944.21182534656</v>
      </c>
      <c r="AB675" s="115">
        <f ca="1">IF(OR(C675="赤日轮1",C675="赤日轮2",C675="赤日轮3"),IF(RAND()&lt;模拟模式!$Y$17,1,0),IF(OR(C675="幽月轮1",C675="幽月轮2",C675="幽月轮3"),IF(RAND()&lt;模拟模式!$Y$18,1,0),IF(C675="烈日斩",IF(RAND()&lt;模拟模式!$Y$19,1,0),IF(C675="银月斩",IF(RAND()&lt;模拟模式!$Y$20,1,0),IF(C675="驱夜断愁",IF(RAND()&lt;模拟模式!$Y$21,1,0),IF(C675="净世破魔击·日",IF(RAND()&lt;模拟模式!$Y$22,1,0),IF(C675="净世破魔击·月",IF(RAND()&lt;模拟模式!$Y$23,1,0),0)))))))</f>
        <v>1</v>
      </c>
      <c r="AC675" s="115" t="b">
        <f t="shared" ca="1" si="603"/>
        <v>0</v>
      </c>
      <c r="AD675" s="115" t="b">
        <f t="shared" ca="1" si="604"/>
        <v>0</v>
      </c>
      <c r="AE675" s="115">
        <f t="shared" ca="1" si="605"/>
        <v>6</v>
      </c>
      <c r="AF675" s="47">
        <f ca="1">IF(AC675,('模拟-单技能数据'!$D$20+G675*'模拟-单技能数据'!$F$20)*(1+J675)*(1+'模拟-单技能数据'!$J$20)*(1+U675),0)</f>
        <v>0</v>
      </c>
      <c r="AG675" s="61">
        <f t="shared" ca="1" si="606"/>
        <v>0.64185145527300214</v>
      </c>
      <c r="AH675" s="61">
        <f t="shared" ca="1" si="607"/>
        <v>2.2624828854998791</v>
      </c>
      <c r="AI675" s="62">
        <f t="shared" ca="1" si="628"/>
        <v>0.47003702167955641</v>
      </c>
      <c r="AJ675" s="47">
        <f ca="1">IF(AD675,IF(AI675&lt;$F$10,0,IF(AI675&lt;$F$10+$F$11,0.25,IF(AI675&lt;$F$10+$F$11+AG675,AH675,1)))*IF(AF675&gt;0,AF675,IF(AF674&gt;0,AF674,IF(AF673&gt;0,AF673,IF(AF672&gt;0,AF672,IF(AF671&gt;0,AF671,IF(AF670&gt;0,AF670,IF(AF669&gt;0,AF669,IF(AF668&gt;0,AF668,IF(AF667&gt;0,AF667,IF(AF665&gt;0,AF665,IF(AF664&gt;0,AF664,IF(AF663&gt;0,AF663,0)))))))))))),0)*(1-$S675)*'模拟-单技能数据'!$I$20</f>
        <v>0</v>
      </c>
      <c r="AK675" s="115" t="b">
        <f t="shared" ca="1" si="608"/>
        <v>1</v>
      </c>
      <c r="AL675" s="115" t="b">
        <f t="shared" ca="1" si="609"/>
        <v>1</v>
      </c>
      <c r="AM675" s="115">
        <f t="shared" ca="1" si="610"/>
        <v>5</v>
      </c>
      <c r="AN675" s="47">
        <f ca="1">IF(AK675,('模拟-单技能数据'!$D$21+G675*'模拟-单技能数据'!$F$21)*(1+J675)*(1+'模拟-单技能数据'!$J$21)*(1+U675),0)</f>
        <v>12136.56601728573</v>
      </c>
      <c r="AO675" s="61">
        <f ca="1">IF(AN675&gt;0,M675-'模拟-单技能数据'!$K$10,AO674)</f>
        <v>0.42185145527300216</v>
      </c>
      <c r="AP675" s="61">
        <f ca="1">IF(AN675&gt;0,I675-'模拟-单技能数据'!$L$10,AP674)</f>
        <v>2.162482885499879</v>
      </c>
      <c r="AQ675" s="63">
        <f t="shared" ca="1" si="629"/>
        <v>0.88324866090293941</v>
      </c>
      <c r="AR675" s="64">
        <f ca="1">IF(AL675,IF(AQ675&lt;$F$10,0,IF(AQ675&lt;$F$10+$F$11,0.25,IF(AQ675&lt;$F$10+$F$11+AO675,AP675,1)))*IF(AN675&gt;0,AN675,IF(AN674&gt;0,AN674,IF(AN673&gt;0,AN673,IF(AN672&gt;0,AN672,IF(AN671&gt;0,AN671,IF(AN670&gt;0,AN670,IF(AN669&gt;0,AN669,IF(AN668&gt;0,AN668,IF(AN667&gt;0,AN667,IF(AN665&gt;0,AN665,IF(AN664&gt;0,AN664,IF(AN663&gt;0,AN663,0)))))))))))),0)*(1-$S675)*'模拟-单技能数据'!$I$21</f>
        <v>11118.353508757338</v>
      </c>
      <c r="AS675" s="61">
        <f ca="1">IF(OR(C675="净世破魔击·日",C675="净世破魔击·月"),M675-'模拟-单技能数据'!$K$10,0)</f>
        <v>0.42185145527300216</v>
      </c>
      <c r="AT675" s="61">
        <f ca="1">IF(OR(C675="净世破魔击·日",C675="净世破魔击·月"),I675-'模拟-单技能数据'!$L$10,0)</f>
        <v>2.162482885499879</v>
      </c>
      <c r="AU675" s="62">
        <f t="shared" ca="1" si="630"/>
        <v>0.46629698903496619</v>
      </c>
      <c r="AV675" s="64">
        <f ca="1">IF(AS675&gt;0,('模拟-单技能数据'!$D$22+G675*'模拟-单技能数据'!$F$22)*(1+J675)*(1-S675)*IF(AU675&lt;$F$10,0,IF(AU675&lt;$F$10+$F$11,0.25,IF(AU675&lt;$F$10+$F$11+AS675,AT675,1)))*(1+U675),0)*'模拟-单技能数据'!$I$22</f>
        <v>18355.759631698667</v>
      </c>
      <c r="AW675" s="108">
        <f t="shared" ca="1" si="631"/>
        <v>0.6275000000000065</v>
      </c>
      <c r="AX675" s="108" t="b">
        <f ca="1">AND(模拟模式!$P$10="有",AW674=0,RAND()&lt;IF(C675="净世破魔击·月",0.1*8/3,IF(C675="净世破魔击·日",0.1*4/3,0.1*2/3)))</f>
        <v>0</v>
      </c>
      <c r="AY675" s="47">
        <f ca="1">IF(AX675,(18+G675*0.722)*(1+J675)*(1-S675)*(1+$I$4)*IF(P675="会",'模拟-全程加成'!$J$3+'模拟-全程加成'!$J$4+'模拟-全程加成'!$J$5+('模拟-全程加成'!$I$4+'模拟-全程加成'!$I$5)/系数!$B$4+BG675*10%,IF(P675="命",1,IF(P675="识",0.25,0))),0)</f>
        <v>0</v>
      </c>
      <c r="AZ675" s="108">
        <f t="shared" si="632"/>
        <v>10.775000000000006</v>
      </c>
      <c r="BA675" s="108" t="b">
        <f>AND(模拟模式!$Q$10="有",AZ674=0)</f>
        <v>0</v>
      </c>
      <c r="BB675" s="140">
        <f>IF(BA675,(0+G675*0.287)*(1+J675)*(1-S675)*(1+$I$4)*IF(P675="会",'模拟-全程加成'!$J$3+'模拟-全程加成'!$J$4+'模拟-全程加成'!$J$5+('模拟-全程加成'!$I$4+'模拟-全程加成'!$I$5)/系数!$B$4+BG675*10%,IF(P675="命",1,IF(P675="识",0.25,0))),0)</f>
        <v>0</v>
      </c>
      <c r="BC675" s="115" t="b">
        <f ca="1">AND(模拟模式!$R$7="伏明众生",E675=60,F675=20,DA675&lt;5,CZ674&lt;$F$4)</f>
        <v>0</v>
      </c>
      <c r="BD675" s="115">
        <f t="shared" ca="1" si="611"/>
        <v>0</v>
      </c>
      <c r="BE675" s="115" t="b">
        <f t="shared" ca="1" si="612"/>
        <v>0</v>
      </c>
      <c r="BF675" s="47">
        <f ca="1">IF(BC675,4*('模拟-单技能数据'!$D$24+G675*'模拟-单技能数据'!$F$24)*(1+J675)*(1+'模拟-单技能数据'!$J$24)*(1-S675)*(1+$I$3)*(('模拟-全程加成'!$J$3+'模拟-全程加成'!$J$4+'模拟-全程加成'!$J$5+('模拟-全程加成'!$I$4+'模拟-全程加成'!$I$5)/系数!$B$4+BG675*10%)*('模拟-全程加成'!$J$3+'模拟-全程加成'!$J$4+'模拟-全程加成'!$J$5+('模拟-全程加成'!$I$4+'模拟-全程加成'!$I$5)/系数!$B$4+BG675*10%)+(1-('模拟-全程加成'!$J$3+'模拟-全程加成'!$J$4+'模拟-全程加成'!$J$5+('模拟-全程加成'!$I$4+'模拟-全程加成'!$I$5)/系数!$B$4+BG675*10%)-$F$10-$F$11)+F661*0.25),0)*'模拟-单技能数据'!$I$24</f>
        <v>0</v>
      </c>
      <c r="BG675" s="115" t="b">
        <f ca="1">OR(AND(OR(C675="烈日斩",C675="银月斩"),模拟模式!$I$7="净身明礼"),AND(C675="净世破魔击·日",模拟模式!$J$7="洞若观火"),AND(C676="净世破魔击·月",模拟模式!$J$7="洞若观火"),AB675=1)</f>
        <v>1</v>
      </c>
      <c r="BH675" s="115" t="b">
        <f t="shared" ca="1" si="633"/>
        <v>0</v>
      </c>
      <c r="BI675" s="115">
        <f t="shared" ca="1" si="613"/>
        <v>0</v>
      </c>
      <c r="BJ675" s="115" t="b">
        <f t="shared" ca="1" si="614"/>
        <v>0</v>
      </c>
      <c r="BK675" s="115" t="b">
        <f ca="1">AND(C675="驱夜断愁",模拟模式!$P$7="天地诛戮")</f>
        <v>0</v>
      </c>
      <c r="BL675" s="57">
        <f t="shared" ca="1" si="615"/>
        <v>16.310000000000002</v>
      </c>
      <c r="BM675" s="115" t="b">
        <f t="shared" ca="1" si="616"/>
        <v>1</v>
      </c>
      <c r="BN675" s="115" t="b">
        <f ca="1">AND(OR(C675="赤日轮1",C675="赤日轮2",C675="赤日轮3",C675="幽月轮1",C675="幽月轮2",C675="幽月轮3"),AB675=1,模拟模式!$L$7="明光恒照")</f>
        <v>0</v>
      </c>
      <c r="BO675" s="117">
        <f t="shared" ca="1" si="617"/>
        <v>28.155000000000001</v>
      </c>
      <c r="BP675" s="115">
        <f t="shared" ca="1" si="634"/>
        <v>6</v>
      </c>
      <c r="BQ675" s="115" t="b">
        <f>模拟模式!$K$10="2600·水"</f>
        <v>0</v>
      </c>
      <c r="BR675" s="117">
        <f t="shared" si="635"/>
        <v>0</v>
      </c>
      <c r="BS675" s="115">
        <f t="shared" si="636"/>
        <v>0</v>
      </c>
      <c r="BT675" s="115">
        <f t="shared" ca="1" si="637"/>
        <v>0</v>
      </c>
      <c r="BU675" s="115" t="b">
        <f ca="1">AND(模拟模式!$K$10="2300·雷",BT674=0,RAND()&lt;IF(C675="净世破魔击·月",5*0.05*2/3,IF(C675="净世破魔击·日",3*0.05*2/3,0.05*2*2/3)))</f>
        <v>0</v>
      </c>
      <c r="BV675" s="115">
        <f t="shared" ca="1" si="638"/>
        <v>0</v>
      </c>
      <c r="BW675" s="115">
        <f t="shared" ca="1" si="639"/>
        <v>140.33249999999941</v>
      </c>
      <c r="BX675" s="164" t="b">
        <f t="shared" ca="1" si="640"/>
        <v>0</v>
      </c>
      <c r="BY675" s="115">
        <f t="shared" ca="1" si="641"/>
        <v>0</v>
      </c>
      <c r="BZ675" s="115">
        <f>IF(OR(模拟模式!$P$16="10人团",模拟模式!$P$16="25人团"),IF(B675/30&gt;CA674,1,0),0)</f>
        <v>0</v>
      </c>
      <c r="CA675" s="115">
        <f t="shared" si="618"/>
        <v>0</v>
      </c>
      <c r="CB675" s="115">
        <f ca="1">IF(BZ675=1,IF(模拟模式!$P$16="10人团",15,0)+IF(模拟模式!$P$16="25人团",IF(RAND()&lt;0.6,15,0)),MAX(0,CB674-$F$4))</f>
        <v>0</v>
      </c>
      <c r="CC675" s="115" t="b">
        <f t="shared" ca="1" si="619"/>
        <v>0</v>
      </c>
      <c r="CD675" s="115">
        <f>IF(模拟模式!$Q$16="1个",IF(B675/40&gt;CE674,1,0),0)</f>
        <v>0</v>
      </c>
      <c r="CE675" s="115">
        <f t="shared" si="620"/>
        <v>0</v>
      </c>
      <c r="CF675" s="115">
        <f>IF(OR(CD675=1,模拟模式!$Q$16="2个"),20,MAX(0,CF674-$F$4))</f>
        <v>0</v>
      </c>
      <c r="CG675" s="115" t="b">
        <f t="shared" si="621"/>
        <v>0</v>
      </c>
      <c r="CH675" s="115">
        <f t="shared" ca="1" si="642"/>
        <v>21.697500000000005</v>
      </c>
      <c r="CI675" s="115" t="b">
        <f t="shared" ca="1" si="643"/>
        <v>0</v>
      </c>
      <c r="CJ675" s="119">
        <f t="shared" ca="1" si="644"/>
        <v>0</v>
      </c>
      <c r="CK675" s="115">
        <f t="shared" ca="1" si="645"/>
        <v>0</v>
      </c>
      <c r="CL675" s="115" t="b">
        <f ca="1">AND(模拟模式!$S$7="驱夷逐法",OR(AND(C675="净世破魔击·月",E674&gt;59),AND(C675="净世破魔击·日",F674&gt;59)))</f>
        <v>0</v>
      </c>
      <c r="CM675" s="115" t="b">
        <f ca="1">OR(CL675,AND(C675="净世破魔击·日",CL674,RAND()&lt;模拟模式!$U$23))</f>
        <v>1</v>
      </c>
      <c r="CN675" s="115" t="b">
        <f ca="1">IF(模拟模式!$M$7="辉耀红尘",AND(C675="净世破魔击·月",CL675,CV675=0,E674&lt;80),AND(C675="净世破魔击·月",CL675,E674&lt;100))</f>
        <v>0</v>
      </c>
      <c r="CO675" s="115" t="b">
        <f t="shared" ca="1" si="622"/>
        <v>0</v>
      </c>
      <c r="CP675" s="115" t="b">
        <f ca="1">AND(模拟模式!$O$7="用晦而明",OR(C675="净世破魔击·日",C675="净世破魔击·月",C675="驱夜断愁"),AB675)</f>
        <v>1</v>
      </c>
      <c r="CQ675" s="115" t="b">
        <f ca="1">OR(CP675,AND(CP674,RAND()&lt;模拟模式!$U$23))</f>
        <v>1</v>
      </c>
      <c r="CR675" s="115" t="b">
        <f ca="1">AND(模拟模式!$S$7="日月齐光",OR(C675="幽月轮1",C675="幽月轮2",C675="幽月轮3",CR674),NOT(OR(C675="赤日轮1",C675="赤日轮2",C675="赤日轮3")))</f>
        <v>0</v>
      </c>
      <c r="CS675" s="115" t="b">
        <f ca="1">AND(模拟模式!$S$7="日月齐光",OR(C675="赤日轮1",C675="赤日轮2",C675="赤日轮3",CS674),NOT(OR(C675="幽月轮1",C675="幽月轮2",C675="幽月轮3")))</f>
        <v>0</v>
      </c>
      <c r="CT675" s="115">
        <f t="shared" ca="1" si="646"/>
        <v>18.007500000000007</v>
      </c>
      <c r="CU675" s="115" t="b">
        <f ca="1">AND(模拟模式!$K$10="阴阳往极",CT674=0,RAND()&lt;IF(C675="净世破魔击·月",0.0275*7/3,IF(C675="净世破魔击·日",0.0275*3/3,0.0275*2/3)))</f>
        <v>0</v>
      </c>
      <c r="CV675" s="115">
        <f t="shared" ca="1" si="647"/>
        <v>0</v>
      </c>
      <c r="CW675" s="115">
        <f t="shared" ca="1" si="648"/>
        <v>3.2324999999999995</v>
      </c>
      <c r="CX675" s="115">
        <f t="shared" ca="1" si="649"/>
        <v>1.3874999999999997</v>
      </c>
      <c r="CY675" s="115">
        <f ca="1">MAX(IF($C675="驱夜断愁",IF(模拟模式!$R$7="万念俱寂",6,45),CY674-$F$4),0)</f>
        <v>2.3099999999999996</v>
      </c>
      <c r="CZ675" s="115">
        <f t="shared" ca="1" si="623"/>
        <v>0</v>
      </c>
      <c r="DA675" s="115">
        <f ca="1">IF(模拟模式!$N$7="日月同辉",IF(DB674=2,0,MIN(6,IF(AND(OR(C675="赤日轮1",C675="赤日轮2",C675="赤日轮3",C675="幽月轮1",C675="幽月轮2",C675="幽月轮3"),AB675=1),DA674+1,DA674))),0)</f>
        <v>3</v>
      </c>
      <c r="DB675" s="115">
        <f t="shared" ca="1" si="624"/>
        <v>0</v>
      </c>
      <c r="DC675" s="115"/>
      <c r="DD675" s="115"/>
      <c r="DE675" s="115"/>
      <c r="DF675" s="115"/>
      <c r="DG675" s="115"/>
      <c r="DH675" s="115"/>
      <c r="DI675" s="115"/>
      <c r="DJ675" s="115"/>
      <c r="DK675" s="115"/>
      <c r="DL675" s="115"/>
      <c r="DM675" s="115"/>
    </row>
    <row r="676" spans="2:117" x14ac:dyDescent="0.2">
      <c r="B676" s="117">
        <f t="shared" si="625"/>
        <v>598.70250000000681</v>
      </c>
      <c r="C676" s="167" t="str">
        <f t="shared" ca="1" si="594"/>
        <v>赤日轮1</v>
      </c>
      <c r="D676" s="115">
        <f ca="1">IF(C676="赤日轮1",1,IF(C676="赤日轮2",2,IF(C676="赤日轮3",3,IF(C676="幽月轮1",4,IF(C676="幽月轮2",5,IF(C676="幽月轮3",6,IF(C676="烈日斩",7,IF(C676="银月斩",8,IF(C676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676="净世破魔击·月",17,IF(C676="驱夜断愁",18,0)))))))))))</f>
        <v>1</v>
      </c>
      <c r="E676" s="115">
        <f ca="1">IF(AND(CU676,OR(C676="幽月轮1",C676="幽月轮2",C676="幽月轮3",C676="银月斩",C676="驱夜断愁",C676="净世破魔击·月")),100,MIN(IF(OR(CN676,BE676),0,IF(OR($C676="赤日轮1",$C676="赤日轮2",$C676="赤日轮3"),E675+20+IF(模拟模式!$I$7="日月凌天",4,0)+IF(CR675,20,0),IF($C676="烈日斩",E675+40,IF($C676="驱夜断愁",IF(模拟模式!$R$7="万念俱寂",E675+20,E675+60),IF($C676="净世破魔击·月",IF(OR(DB675&gt;0,CV675&gt;0),100,IF(模拟模式!$M$7="辉耀红尘",E675+20,E675)),IF($C676="净世破魔击·日",E675-100,E675)))))),100))</f>
        <v>20</v>
      </c>
      <c r="F676" s="115">
        <f ca="1">IF(AND(CU676,OR(C676="赤日轮1",C676="赤日轮2",C676="赤日轮3",C676="烈日斩",C676="净世破魔击·日")),100,MIN(IF(CO676,0,IF(OR($C676="幽月轮1",$C676="幽月轮2",$C676="幽月轮3"),F675+20+IF(模拟模式!$I$7="日月凌天",4,0)+IF(CS675,20,0),IF($C676="银月斩",F675+40+IF(模拟模式!$X$12=1,5,0),IF($C676="驱夜断愁",IF(模拟模式!$R$7="万念俱寂",F675+20,F675+60),IF($C676="净世破魔击·月",IF(模拟模式!$M$7="辉耀红尘",F675-80,F675-100),IF(AND(C676="净世破魔击·日",OR(DB675&gt;0,CV675&gt;0)),100,F675)))))),100))</f>
        <v>20</v>
      </c>
      <c r="G676" s="117">
        <f ca="1">('模拟-全程加成'!$E$3+'模拟-全程加成'!$E$4+'模拟-全程加成'!$E$5+('模拟-全程加成'!$C$6-'模拟-全程加成'!$C$3)*系数!$B$9+BS676*23)*(1+'模拟-全程加成'!$F$4+'模拟-全程加成'!$F$5+BJ676*10%+BM676*20%+BP676*4%+CG676*30%)+$F$7*系数!$B$12</f>
        <v>20583.127400000001</v>
      </c>
      <c r="H676" s="45">
        <f ca="1">'模拟-全程加成'!$H$3+'模拟-全程加成'!$H$4+'模拟-全程加成'!$H$5+('模拟-全程加成'!$G$4+'模拟-全程加成'!$G$5+('模拟-全程加成'!$C$6-'模拟-全程加成'!$C$3)*系数!$B$13)/系数!$B$3+LOOKUP(D676,'模拟-单技能数据'!$A$2:$A$19,'模拟-单技能数据'!$K$2:$K$19)+BG676*10%+IF(BV676&gt;0,378,0)</f>
        <v>0.4618514552730022</v>
      </c>
      <c r="I676" s="45">
        <f ca="1">'模拟-全程加成'!$J$3+'模拟-全程加成'!$J$4+'模拟-全程加成'!$J$5+('模拟-全程加成'!$I$4+'模拟-全程加成'!$I$5)/系数!$B$4+LOOKUP(D676,'模拟-单技能数据'!$A$2:$A$19,'模拟-单技能数据'!$L$2:$L$19)+BG676*10%</f>
        <v>2.162482885499879</v>
      </c>
      <c r="J676" s="45">
        <f ca="1">(('模拟-全程加成'!$K$3+'模拟-全程加成'!$K$4+'模拟-全程加成'!$K$5+('模拟-全程加成'!$C$6-'模拟-全程加成'!$C$3)*系数!$B$10+IF(BV676&gt;0,882,0)+IF(BY676&gt;0,1831,0))*(1+'模拟-全程加成'!$L$4+'模拟-全程加成'!$L$5+CC676*20%))/系数!$B$5</f>
        <v>0.69723220422048726</v>
      </c>
      <c r="K676" s="119">
        <f ca="1">LOOKUP(D676,'模拟-单技能数据'!$A$2:$A$19,'模拟-单技能数据'!$J$2:$J$19)+IF(CM676,60%,0)+IF(DB675-DB676&gt;0,30%,0)+IF(OR(AND(OR(C676="赤日轮1",C676="赤日轮2",C676="赤日轮3"),CR676),AND(OR(C676="幽月轮1",C676="幽月轮2",C676="幽月轮3"),CS676)),35%,0)+CJ676</f>
        <v>0.12</v>
      </c>
      <c r="L676" s="119">
        <f ca="1">IF(AND(C676="烈日斩",模拟模式!$X$11=1),10%,0)+IF(AND(C676="驱夜断愁",AB676=1),30%,0)</f>
        <v>0</v>
      </c>
      <c r="M676" s="45">
        <f t="shared" ca="1" si="595"/>
        <v>0.4618514552730022</v>
      </c>
      <c r="N676" s="45">
        <f t="shared" ca="1" si="596"/>
        <v>0.48424854472699785</v>
      </c>
      <c r="O676" s="46">
        <f t="shared" ca="1" si="626"/>
        <v>0.1751188498150501</v>
      </c>
      <c r="P676" s="46" t="str">
        <f t="shared" ca="1" si="597"/>
        <v>会</v>
      </c>
      <c r="Q676" s="45">
        <f t="shared" ca="1" si="598"/>
        <v>2.162482885499879</v>
      </c>
      <c r="R676" s="117">
        <f ca="1">模拟模式!$E$20*(1-IF(模拟模式!$J$19="有",0.15,0))*(1-IF(模拟模式!$K$19="有",0.3,0)-IF(CQ676,0.5,0))</f>
        <v>843.02999999999975</v>
      </c>
      <c r="S676" s="45">
        <f ca="1">R676/(R676+(185*模拟模式!$E$22-16800)*4.08224)</f>
        <v>8.389626085980037E-2</v>
      </c>
      <c r="T676" s="45" t="str">
        <f ca="1">LOOKUP(D676,'模拟-单技能数据'!$A$2:$A$19,'模拟-单技能数据'!$H$2:$H$19)</f>
        <v>阳</v>
      </c>
      <c r="U676" s="119">
        <f t="shared" ca="1" si="599"/>
        <v>0.2</v>
      </c>
      <c r="V676" s="47">
        <f ca="1">(1+L676)*(LOOKUP(D676,'模拟-单技能数据'!$A$2:$A$19,'模拟-单技能数据'!$D$2:$D$19)+G676*LOOKUP(D676,'模拟-单技能数据'!$A$2:$A$19,'模拟-单技能数据'!$F$2:$F$19))*(1+J676)*(1+K676)*(1-S676)*(1+U676)*Q676*LOOKUP(D676,'模拟-单技能数据'!$A$2:$A$19,'模拟-单技能数据'!$I$2:$I$20)</f>
        <v>54482.562593809358</v>
      </c>
      <c r="W676" s="47">
        <f ca="1">LOOKUP(D676,'模拟-单技能数据'!$A$2:$A$19,'模拟-单技能数据'!$G$2:$G$19)*$I$10</f>
        <v>361.51064354704795</v>
      </c>
      <c r="X676" s="47">
        <f t="shared" ca="1" si="627"/>
        <v>0</v>
      </c>
      <c r="Y676" s="47">
        <f t="shared" ca="1" si="600"/>
        <v>54844.07323735641</v>
      </c>
      <c r="Z676" s="49">
        <f t="shared" ca="1" si="601"/>
        <v>68168415.018193796</v>
      </c>
      <c r="AA676" s="97">
        <f t="shared" ca="1" si="602"/>
        <v>113860.24781622429</v>
      </c>
      <c r="AB676" s="115">
        <f ca="1">IF(OR(C676="赤日轮1",C676="赤日轮2",C676="赤日轮3"),IF(RAND()&lt;模拟模式!$Y$17,1,0),IF(OR(C676="幽月轮1",C676="幽月轮2",C676="幽月轮3"),IF(RAND()&lt;模拟模式!$Y$18,1,0),IF(C676="烈日斩",IF(RAND()&lt;模拟模式!$Y$19,1,0),IF(C676="银月斩",IF(RAND()&lt;模拟模式!$Y$20,1,0),IF(C676="驱夜断愁",IF(RAND()&lt;模拟模式!$Y$21,1,0),IF(C676="净世破魔击·日",IF(RAND()&lt;模拟模式!$Y$22,1,0),IF(C676="净世破魔击·月",IF(RAND()&lt;模拟模式!$Y$23,1,0),0)))))))</f>
        <v>1</v>
      </c>
      <c r="AC676" s="115" t="b">
        <f t="shared" ca="1" si="603"/>
        <v>0</v>
      </c>
      <c r="AD676" s="115" t="b">
        <f t="shared" ca="1" si="604"/>
        <v>0</v>
      </c>
      <c r="AE676" s="115">
        <f t="shared" ca="1" si="605"/>
        <v>6</v>
      </c>
      <c r="AF676" s="47">
        <f ca="1">IF(AC676,('模拟-单技能数据'!$D$20+G676*'模拟-单技能数据'!$F$20)*(1+J676)*(1+'模拟-单技能数据'!$J$20)*(1+U676),0)</f>
        <v>0</v>
      </c>
      <c r="AG676" s="61">
        <f t="shared" ca="1" si="606"/>
        <v>0.64185145527300214</v>
      </c>
      <c r="AH676" s="61">
        <f t="shared" ca="1" si="607"/>
        <v>2.2624828854998791</v>
      </c>
      <c r="AI676" s="62">
        <f t="shared" ca="1" si="628"/>
        <v>0.16978315682523371</v>
      </c>
      <c r="AJ676" s="47">
        <f ca="1">IF(AD676,IF(AI676&lt;$F$10,0,IF(AI676&lt;$F$10+$F$11,0.25,IF(AI676&lt;$F$10+$F$11+AG676,AH676,1)))*IF(AF676&gt;0,AF676,IF(AF675&gt;0,AF675,IF(AF674&gt;0,AF674,IF(AF673&gt;0,AF673,IF(AF672&gt;0,AF672,IF(AF671&gt;0,AF671,IF(AF670&gt;0,AF670,IF(AF669&gt;0,AF669,IF(AF668&gt;0,AF668,IF(AF666&gt;0,AF666,IF(AF665&gt;0,AF665,IF(AF664&gt;0,AF664,0)))))))))))),0)*(1-$S676)*'模拟-单技能数据'!$I$20</f>
        <v>0</v>
      </c>
      <c r="AK676" s="115" t="b">
        <f t="shared" ca="1" si="608"/>
        <v>0</v>
      </c>
      <c r="AL676" s="115" t="b">
        <f t="shared" ca="1" si="609"/>
        <v>0</v>
      </c>
      <c r="AM676" s="115">
        <f t="shared" ca="1" si="610"/>
        <v>5</v>
      </c>
      <c r="AN676" s="47">
        <f ca="1">IF(AK676,('模拟-单技能数据'!$D$21+G676*'模拟-单技能数据'!$F$21)*(1+J676)*(1+'模拟-单技能数据'!$J$21)*(1+U676),0)</f>
        <v>0</v>
      </c>
      <c r="AO676" s="61">
        <f ca="1">IF(AN676&gt;0,M676-'模拟-单技能数据'!$K$10,AO675)</f>
        <v>0.42185145527300216</v>
      </c>
      <c r="AP676" s="61">
        <f ca="1">IF(AN676&gt;0,I676-'模拟-单技能数据'!$L$10,AP675)</f>
        <v>2.162482885499879</v>
      </c>
      <c r="AQ676" s="63">
        <f t="shared" ca="1" si="629"/>
        <v>0.78667557132586918</v>
      </c>
      <c r="AR676" s="64">
        <f ca="1">IF(AL676,IF(AQ676&lt;$F$10,0,IF(AQ676&lt;$F$10+$F$11,0.25,IF(AQ676&lt;$F$10+$F$11+AO676,AP676,1)))*IF(AN676&gt;0,AN676,IF(AN675&gt;0,AN675,IF(AN674&gt;0,AN674,IF(AN673&gt;0,AN673,IF(AN672&gt;0,AN672,IF(AN671&gt;0,AN671,IF(AN670&gt;0,AN670,IF(AN669&gt;0,AN669,IF(AN668&gt;0,AN668,IF(AN666&gt;0,AN666,IF(AN665&gt;0,AN665,IF(AN664&gt;0,AN664,0)))))))))))),0)*(1-$S676)*'模拟-单技能数据'!$I$21</f>
        <v>0</v>
      </c>
      <c r="AS676" s="61">
        <f ca="1">IF(OR(C676="净世破魔击·日",C676="净世破魔击·月"),M676-'模拟-单技能数据'!$K$10,0)</f>
        <v>0</v>
      </c>
      <c r="AT676" s="61">
        <f ca="1">IF(OR(C676="净世破魔击·日",C676="净世破魔击·月"),I676-'模拟-单技能数据'!$L$10,0)</f>
        <v>0</v>
      </c>
      <c r="AU676" s="62">
        <f t="shared" ca="1" si="630"/>
        <v>0.98357075329050037</v>
      </c>
      <c r="AV676" s="64">
        <f ca="1">IF(AS676&gt;0,('模拟-单技能数据'!$D$22+G676*'模拟-单技能数据'!$F$22)*(1+J676)*(1-S676)*IF(AU676&lt;$F$10,0,IF(AU676&lt;$F$10+$F$11,0.25,IF(AU676&lt;$F$10+$F$11+AS676,AT676,1)))*(1+U676),0)*'模拟-单技能数据'!$I$22</f>
        <v>0</v>
      </c>
      <c r="AW676" s="108">
        <f t="shared" ca="1" si="631"/>
        <v>0</v>
      </c>
      <c r="AX676" s="108" t="b">
        <f ca="1">AND(模拟模式!$P$10="有",AW675=0,RAND()&lt;IF(C676="净世破魔击·月",0.1*8/3,IF(C676="净世破魔击·日",0.1*4/3,0.1*2/3)))</f>
        <v>0</v>
      </c>
      <c r="AY676" s="47">
        <f ca="1">IF(AX676,(18+G676*0.722)*(1+J676)*(1-S676)*(1+$I$4)*IF(P676="会",'模拟-全程加成'!$J$3+'模拟-全程加成'!$J$4+'模拟-全程加成'!$J$5+('模拟-全程加成'!$I$4+'模拟-全程加成'!$I$5)/系数!$B$4+BG676*10%,IF(P676="命",1,IF(P676="识",0.25,0))),0)</f>
        <v>0</v>
      </c>
      <c r="AZ676" s="108">
        <f t="shared" si="632"/>
        <v>9.8525000000000063</v>
      </c>
      <c r="BA676" s="108" t="b">
        <f>AND(模拟模式!$Q$10="有",AZ675=0)</f>
        <v>0</v>
      </c>
      <c r="BB676" s="140">
        <f>IF(BA676,(0+G676*0.287)*(1+J676)*(1-S676)*(1+$I$4)*IF(P676="会",'模拟-全程加成'!$J$3+'模拟-全程加成'!$J$4+'模拟-全程加成'!$J$5+('模拟-全程加成'!$I$4+'模拟-全程加成'!$I$5)/系数!$B$4+BG676*10%,IF(P676="命",1,IF(P676="识",0.25,0))),0)</f>
        <v>0</v>
      </c>
      <c r="BC676" s="115" t="b">
        <f ca="1">AND(模拟模式!$R$7="伏明众生",E676=60,F676=20,DA676&lt;5,CZ675&lt;$F$4)</f>
        <v>0</v>
      </c>
      <c r="BD676" s="115">
        <f t="shared" ca="1" si="611"/>
        <v>0</v>
      </c>
      <c r="BE676" s="115" t="b">
        <f t="shared" ca="1" si="612"/>
        <v>0</v>
      </c>
      <c r="BF676" s="47">
        <f ca="1">IF(BC676,4*('模拟-单技能数据'!$D$24+G676*'模拟-单技能数据'!$F$24)*(1+J676)*(1+'模拟-单技能数据'!$J$24)*(1-S676)*(1+$I$3)*(('模拟-全程加成'!$J$3+'模拟-全程加成'!$J$4+'模拟-全程加成'!$J$5+('模拟-全程加成'!$I$4+'模拟-全程加成'!$I$5)/系数!$B$4+BG676*10%)*('模拟-全程加成'!$J$3+'模拟-全程加成'!$J$4+'模拟-全程加成'!$J$5+('模拟-全程加成'!$I$4+'模拟-全程加成'!$I$5)/系数!$B$4+BG676*10%)+(1-('模拟-全程加成'!$J$3+'模拟-全程加成'!$J$4+'模拟-全程加成'!$J$5+('模拟-全程加成'!$I$4+'模拟-全程加成'!$I$5)/系数!$B$4+BG676*10%)-$F$10-$F$11)+F662*0.25),0)*'模拟-单技能数据'!$I$24</f>
        <v>0</v>
      </c>
      <c r="BG676" s="115" t="b">
        <f ca="1">OR(AND(OR(C676="烈日斩",C676="银月斩"),模拟模式!$I$7="净身明礼"),AND(C676="净世破魔击·日",模拟模式!$J$7="洞若观火"),AND(C677="净世破魔击·月",模拟模式!$J$7="洞若观火"),AB676=1)</f>
        <v>1</v>
      </c>
      <c r="BH676" s="115" t="b">
        <f t="shared" ca="1" si="633"/>
        <v>0</v>
      </c>
      <c r="BI676" s="115">
        <f t="shared" ca="1" si="613"/>
        <v>0</v>
      </c>
      <c r="BJ676" s="115" t="b">
        <f t="shared" ca="1" si="614"/>
        <v>0</v>
      </c>
      <c r="BK676" s="115" t="b">
        <f ca="1">AND(C676="驱夜断愁",模拟模式!$P$7="天地诛戮")</f>
        <v>0</v>
      </c>
      <c r="BL676" s="57">
        <f t="shared" ca="1" si="615"/>
        <v>15.387500000000003</v>
      </c>
      <c r="BM676" s="115" t="b">
        <f t="shared" ca="1" si="616"/>
        <v>1</v>
      </c>
      <c r="BN676" s="115" t="b">
        <f ca="1">AND(OR(C676="赤日轮1",C676="赤日轮2",C676="赤日轮3",C676="幽月轮1",C676="幽月轮2",C676="幽月轮3"),AB676=1,模拟模式!$L$7="明光恒照")</f>
        <v>1</v>
      </c>
      <c r="BO676" s="117">
        <f t="shared" ca="1" si="617"/>
        <v>30</v>
      </c>
      <c r="BP676" s="115">
        <f t="shared" ca="1" si="634"/>
        <v>6</v>
      </c>
      <c r="BQ676" s="115" t="b">
        <f>模拟模式!$K$10="2600·水"</f>
        <v>0</v>
      </c>
      <c r="BR676" s="117">
        <f t="shared" si="635"/>
        <v>0</v>
      </c>
      <c r="BS676" s="115">
        <f t="shared" si="636"/>
        <v>0</v>
      </c>
      <c r="BT676" s="115">
        <f t="shared" ca="1" si="637"/>
        <v>0</v>
      </c>
      <c r="BU676" s="115" t="b">
        <f ca="1">AND(模拟模式!$K$10="2300·雷",BT675=0,RAND()&lt;IF(C676="净世破魔击·月",5*0.05*2/3,IF(C676="净世破魔击·日",3*0.05*2/3,0.05*2*2/3)))</f>
        <v>0</v>
      </c>
      <c r="BV676" s="115">
        <f t="shared" ca="1" si="638"/>
        <v>0</v>
      </c>
      <c r="BW676" s="115">
        <f t="shared" ca="1" si="639"/>
        <v>139.4099999999994</v>
      </c>
      <c r="BX676" s="164" t="b">
        <f t="shared" ca="1" si="640"/>
        <v>0</v>
      </c>
      <c r="BY676" s="115">
        <f t="shared" ca="1" si="641"/>
        <v>0</v>
      </c>
      <c r="BZ676" s="115">
        <f>IF(OR(模拟模式!$P$16="10人团",模拟模式!$P$16="25人团"),IF(B676/30&gt;CA675,1,0),0)</f>
        <v>0</v>
      </c>
      <c r="CA676" s="115">
        <f t="shared" si="618"/>
        <v>0</v>
      </c>
      <c r="CB676" s="115">
        <f ca="1">IF(BZ676=1,IF(模拟模式!$P$16="10人团",15,0)+IF(模拟模式!$P$16="25人团",IF(RAND()&lt;0.6,15,0)),MAX(0,CB675-$F$4))</f>
        <v>0</v>
      </c>
      <c r="CC676" s="115" t="b">
        <f t="shared" ca="1" si="619"/>
        <v>0</v>
      </c>
      <c r="CD676" s="115">
        <f>IF(模拟模式!$Q$16="1个",IF(B676/40&gt;CE675,1,0),0)</f>
        <v>0</v>
      </c>
      <c r="CE676" s="115">
        <f t="shared" si="620"/>
        <v>0</v>
      </c>
      <c r="CF676" s="115">
        <f>IF(OR(CD676=1,模拟模式!$Q$16="2个"),20,MAX(0,CF675-$F$4))</f>
        <v>0</v>
      </c>
      <c r="CG676" s="115" t="b">
        <f t="shared" si="621"/>
        <v>0</v>
      </c>
      <c r="CH676" s="115">
        <f t="shared" ca="1" si="642"/>
        <v>20.775000000000006</v>
      </c>
      <c r="CI676" s="115" t="b">
        <f t="shared" ca="1" si="643"/>
        <v>0</v>
      </c>
      <c r="CJ676" s="119">
        <f t="shared" ca="1" si="644"/>
        <v>0</v>
      </c>
      <c r="CK676" s="115">
        <f t="shared" ca="1" si="645"/>
        <v>0</v>
      </c>
      <c r="CL676" s="115" t="b">
        <f ca="1">AND(模拟模式!$S$7="驱夷逐法",OR(AND(C676="净世破魔击·月",E675&gt;59),AND(C676="净世破魔击·日",F675&gt;59)))</f>
        <v>0</v>
      </c>
      <c r="CM676" s="115" t="b">
        <f ca="1">OR(CL676,AND(C676="净世破魔击·日",CL675,RAND()&lt;模拟模式!$U$23))</f>
        <v>0</v>
      </c>
      <c r="CN676" s="115" t="b">
        <f ca="1">IF(模拟模式!$M$7="辉耀红尘",AND(C676="净世破魔击·月",CL676,CV676=0,E675&lt;80),AND(C676="净世破魔击·月",CL676,E675&lt;100))</f>
        <v>0</v>
      </c>
      <c r="CO676" s="115" t="b">
        <f t="shared" ca="1" si="622"/>
        <v>0</v>
      </c>
      <c r="CP676" s="115" t="b">
        <f ca="1">AND(模拟模式!$O$7="用晦而明",OR(C676="净世破魔击·日",C676="净世破魔击·月",C676="驱夜断愁"),AB676)</f>
        <v>0</v>
      </c>
      <c r="CQ676" s="115" t="b">
        <f ca="1">OR(CP676,AND(CP675,RAND()&lt;模拟模式!$U$23))</f>
        <v>1</v>
      </c>
      <c r="CR676" s="115" t="b">
        <f ca="1">AND(模拟模式!$S$7="日月齐光",OR(C676="幽月轮1",C676="幽月轮2",C676="幽月轮3",CR675),NOT(OR(C676="赤日轮1",C676="赤日轮2",C676="赤日轮3")))</f>
        <v>0</v>
      </c>
      <c r="CS676" s="115" t="b">
        <f ca="1">AND(模拟模式!$S$7="日月齐光",OR(C676="赤日轮1",C676="赤日轮2",C676="赤日轮3",CS675),NOT(OR(C676="幽月轮1",C676="幽月轮2",C676="幽月轮3")))</f>
        <v>0</v>
      </c>
      <c r="CT676" s="115">
        <f t="shared" ca="1" si="646"/>
        <v>17.085000000000008</v>
      </c>
      <c r="CU676" s="115" t="b">
        <f ca="1">AND(模拟模式!$K$10="阴阳往极",CT675=0,RAND()&lt;IF(C676="净世破魔击·月",0.0275*7/3,IF(C676="净世破魔击·日",0.0275*3/3,0.0275*2/3)))</f>
        <v>0</v>
      </c>
      <c r="CV676" s="115">
        <f t="shared" ca="1" si="647"/>
        <v>0</v>
      </c>
      <c r="CW676" s="115">
        <f t="shared" ca="1" si="648"/>
        <v>2.3099999999999996</v>
      </c>
      <c r="CX676" s="115">
        <f t="shared" ca="1" si="649"/>
        <v>0.46499999999999975</v>
      </c>
      <c r="CY676" s="115">
        <f ca="1">MAX(IF($C676="驱夜断愁",IF(模拟模式!$R$7="万念俱寂",6,45),CY675-$F$4),0)</f>
        <v>1.3874999999999997</v>
      </c>
      <c r="CZ676" s="115">
        <f t="shared" ca="1" si="623"/>
        <v>0</v>
      </c>
      <c r="DA676" s="115">
        <f ca="1">IF(模拟模式!$N$7="日月同辉",IF(DB675=2,0,MIN(6,IF(AND(OR(C676="赤日轮1",C676="赤日轮2",C676="赤日轮3",C676="幽月轮1",C676="幽月轮2",C676="幽月轮3"),AB676=1),DA675+1,DA675))),0)</f>
        <v>4</v>
      </c>
      <c r="DB676" s="115">
        <f t="shared" ca="1" si="624"/>
        <v>0</v>
      </c>
      <c r="DC676" s="115"/>
      <c r="DD676" s="115"/>
      <c r="DE676" s="115"/>
      <c r="DF676" s="115"/>
      <c r="DG676" s="115"/>
      <c r="DH676" s="115"/>
      <c r="DI676" s="115"/>
      <c r="DJ676" s="115"/>
      <c r="DK676" s="115"/>
      <c r="DL676" s="115"/>
      <c r="DM676" s="115"/>
    </row>
    <row r="677" spans="2:117" x14ac:dyDescent="0.2">
      <c r="B677" s="117">
        <f t="shared" si="625"/>
        <v>599.62500000000682</v>
      </c>
      <c r="C677" s="167" t="str">
        <f t="shared" ca="1" si="594"/>
        <v>银月斩</v>
      </c>
      <c r="D677" s="115">
        <f ca="1">IF(C677="赤日轮1",1,IF(C677="赤日轮2",2,IF(C677="赤日轮3",3,IF(C677="幽月轮1",4,IF(C677="幽月轮2",5,IF(C677="幽月轮3",6,IF(C677="烈日斩",7,IF(C677="银月斩",8,IF(C677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677="净世破魔击·月",17,IF(C677="驱夜断愁",18,0)))))))))))</f>
        <v>8</v>
      </c>
      <c r="E677" s="115">
        <f ca="1">IF(AND(CU677,OR(C677="幽月轮1",C677="幽月轮2",C677="幽月轮3",C677="银月斩",C677="驱夜断愁",C677="净世破魔击·月")),100,MIN(IF(OR(CN677,BE677),0,IF(OR($C677="赤日轮1",$C677="赤日轮2",$C677="赤日轮3"),E676+20+IF(模拟模式!$I$7="日月凌天",4,0)+IF(CR676,20,0),IF($C677="烈日斩",E676+40,IF($C677="驱夜断愁",IF(模拟模式!$R$7="万念俱寂",E676+20,E676+60),IF($C677="净世破魔击·月",IF(OR(DB676&gt;0,CV676&gt;0),100,IF(模拟模式!$M$7="辉耀红尘",E676+20,E676)),IF($C677="净世破魔击·日",E676-100,E676)))))),100))</f>
        <v>20</v>
      </c>
      <c r="F677" s="115">
        <f ca="1">IF(AND(CU677,OR(C677="赤日轮1",C677="赤日轮2",C677="赤日轮3",C677="烈日斩",C677="净世破魔击·日")),100,MIN(IF(CO677,0,IF(OR($C677="幽月轮1",$C677="幽月轮2",$C677="幽月轮3"),F676+20+IF(模拟模式!$I$7="日月凌天",4,0)+IF(CS676,20,0),IF($C677="银月斩",F676+40+IF(模拟模式!$X$12=1,5,0),IF($C677="驱夜断愁",IF(模拟模式!$R$7="万念俱寂",F676+20,F676+60),IF($C677="净世破魔击·月",IF(模拟模式!$M$7="辉耀红尘",F676-80,F676-100),IF(AND(C677="净世破魔击·日",OR(DB676&gt;0,CV676&gt;0)),100,F676)))))),100))</f>
        <v>65</v>
      </c>
      <c r="G677" s="117">
        <f ca="1">('模拟-全程加成'!$E$3+'模拟-全程加成'!$E$4+'模拟-全程加成'!$E$5+('模拟-全程加成'!$C$6-'模拟-全程加成'!$C$3)*系数!$B$9+BS677*23)*(1+'模拟-全程加成'!$F$4+'模拟-全程加成'!$F$5+BJ677*10%+BM677*20%+BP677*4%+CG677*30%)+$F$7*系数!$B$12</f>
        <v>20583.127400000001</v>
      </c>
      <c r="H677" s="45">
        <f ca="1">'模拟-全程加成'!$H$3+'模拟-全程加成'!$H$4+'模拟-全程加成'!$H$5+('模拟-全程加成'!$G$4+'模拟-全程加成'!$G$5+('模拟-全程加成'!$C$6-'模拟-全程加成'!$C$3)*系数!$B$13)/系数!$B$3+LOOKUP(D677,'模拟-单技能数据'!$A$2:$A$19,'模拟-单技能数据'!$K$2:$K$19)+BG677*10%+IF(BV677&gt;0,378,0)</f>
        <v>0.64185145527300214</v>
      </c>
      <c r="I677" s="45">
        <f ca="1">'模拟-全程加成'!$J$3+'模拟-全程加成'!$J$4+'模拟-全程加成'!$J$5+('模拟-全程加成'!$I$4+'模拟-全程加成'!$I$5)/系数!$B$4+LOOKUP(D677,'模拟-单技能数据'!$A$2:$A$19,'模拟-单技能数据'!$L$2:$L$19)+BG677*10%</f>
        <v>2.2624828854998791</v>
      </c>
      <c r="J677" s="45">
        <f ca="1">(('模拟-全程加成'!$K$3+'模拟-全程加成'!$K$4+'模拟-全程加成'!$K$5+('模拟-全程加成'!$C$6-'模拟-全程加成'!$C$3)*系数!$B$10+IF(BV677&gt;0,882,0)+IF(BY677&gt;0,1831,0))*(1+'模拟-全程加成'!$L$4+'模拟-全程加成'!$L$5+CC677*20%))/系数!$B$5</f>
        <v>0.69723220422048726</v>
      </c>
      <c r="K677" s="119">
        <f ca="1">LOOKUP(D677,'模拟-单技能数据'!$A$2:$A$19,'模拟-单技能数据'!$J$2:$J$19)+IF(CM677,60%,0)+IF(DB676-DB677&gt;0,30%,0)+IF(OR(AND(OR(C677="赤日轮1",C677="赤日轮2",C677="赤日轮3"),CR677),AND(OR(C677="幽月轮1",C677="幽月轮2",C677="幽月轮3"),CS677)),35%,0)+CJ677</f>
        <v>0.15</v>
      </c>
      <c r="L677" s="119">
        <f ca="1">IF(AND(C677="烈日斩",模拟模式!$X$11=1),10%,0)+IF(AND(C677="驱夜断愁",AB677=1),30%,0)</f>
        <v>0</v>
      </c>
      <c r="M677" s="45">
        <f t="shared" ca="1" si="595"/>
        <v>0.64185145527300214</v>
      </c>
      <c r="N677" s="45">
        <f t="shared" ca="1" si="596"/>
        <v>0.30424854472699792</v>
      </c>
      <c r="O677" s="46">
        <f t="shared" ca="1" si="626"/>
        <v>0.50951313139984844</v>
      </c>
      <c r="P677" s="46" t="str">
        <f t="shared" ca="1" si="597"/>
        <v>会</v>
      </c>
      <c r="Q677" s="45">
        <f t="shared" ca="1" si="598"/>
        <v>2.2624828854998791</v>
      </c>
      <c r="R677" s="117">
        <f ca="1">模拟模式!$E$20*(1-IF(模拟模式!$J$19="有",0.15,0))*(1-IF(模拟模式!$K$19="有",0.3,0)-IF(CQ677,0.5,0))</f>
        <v>2950.6049999999996</v>
      </c>
      <c r="S677" s="45">
        <f ca="1">R677/(R677+(185*模拟模式!$E$22-16800)*4.08224)</f>
        <v>0.24272716014590323</v>
      </c>
      <c r="T677" s="45" t="str">
        <f ca="1">LOOKUP(D677,'模拟-单技能数据'!$A$2:$A$19,'模拟-单技能数据'!$H$2:$H$19)</f>
        <v>阴</v>
      </c>
      <c r="U677" s="119">
        <f t="shared" ca="1" si="599"/>
        <v>0.08</v>
      </c>
      <c r="V677" s="47">
        <f ca="1">(1+L677)*(LOOKUP(D677,'模拟-单技能数据'!$A$2:$A$19,'模拟-单技能数据'!$D$2:$D$19)+G677*LOOKUP(D677,'模拟-单技能数据'!$A$2:$A$19,'模拟-单技能数据'!$F$2:$F$19))*(1+J677)*(1+K677)*(1-S677)*(1+U677)*Q677*LOOKUP(D677,'模拟-单技能数据'!$A$2:$A$19,'模拟-单技能数据'!$I$2:$I$20)</f>
        <v>39481.310356797861</v>
      </c>
      <c r="W677" s="47">
        <f ca="1">LOOKUP(D677,'模拟-单技能数据'!$A$2:$A$19,'模拟-单技能数据'!$G$2:$G$19)*$I$10</f>
        <v>361.51064354704795</v>
      </c>
      <c r="X677" s="47">
        <f t="shared" ca="1" si="627"/>
        <v>27495.301292182321</v>
      </c>
      <c r="Y677" s="47">
        <f t="shared" ca="1" si="600"/>
        <v>67338.12229252723</v>
      </c>
      <c r="Z677" s="49">
        <f t="shared" ca="1" si="601"/>
        <v>68235753.14048633</v>
      </c>
      <c r="AA677" s="97">
        <f t="shared" ca="1" si="602"/>
        <v>113797.37859576494</v>
      </c>
      <c r="AB677" s="115">
        <f ca="1">IF(OR(C677="赤日轮1",C677="赤日轮2",C677="赤日轮3"),IF(RAND()&lt;模拟模式!$Y$17,1,0),IF(OR(C677="幽月轮1",C677="幽月轮2",C677="幽月轮3"),IF(RAND()&lt;模拟模式!$Y$18,1,0),IF(C677="烈日斩",IF(RAND()&lt;模拟模式!$Y$19,1,0),IF(C677="银月斩",IF(RAND()&lt;模拟模式!$Y$20,1,0),IF(C677="驱夜断愁",IF(RAND()&lt;模拟模式!$Y$21,1,0),IF(C677="净世破魔击·日",IF(RAND()&lt;模拟模式!$Y$22,1,0),IF(C677="净世破魔击·月",IF(RAND()&lt;模拟模式!$Y$23,1,0),0)))))))</f>
        <v>1</v>
      </c>
      <c r="AC677" s="115" t="b">
        <f t="shared" ca="1" si="603"/>
        <v>1</v>
      </c>
      <c r="AD677" s="115" t="b">
        <f t="shared" ca="1" si="604"/>
        <v>1</v>
      </c>
      <c r="AE677" s="115">
        <f t="shared" ca="1" si="605"/>
        <v>6</v>
      </c>
      <c r="AF677" s="47">
        <f ca="1">IF(AC677,('模拟-单技能数据'!$D$20+G677*'模拟-单技能数据'!$F$20)*(1+J677)*(1+'模拟-单技能数据'!$J$20)*(1+U677),0)</f>
        <v>4447.8565560098323</v>
      </c>
      <c r="AG677" s="61">
        <f t="shared" ca="1" si="606"/>
        <v>0.64185145527300214</v>
      </c>
      <c r="AH677" s="61">
        <f t="shared" ca="1" si="607"/>
        <v>2.2624828854998791</v>
      </c>
      <c r="AI677" s="62">
        <f t="shared" ca="1" si="628"/>
        <v>0.49867751361323209</v>
      </c>
      <c r="AJ677" s="47">
        <f ca="1">IF(AD677,IF(AI677&lt;$F$10,0,IF(AI677&lt;$F$10+$F$11,0.25,IF(AI677&lt;$F$10+$F$11+AG677,AH677,1)))*IF(AF677&gt;0,AF677,IF(AF676&gt;0,AF676,IF(AF675&gt;0,AF675,IF(AF674&gt;0,AF674,IF(AF673&gt;0,AF673,IF(AF672&gt;0,AF672,IF(AF671&gt;0,AF671,IF(AF670&gt;0,AF670,IF(AF669&gt;0,AF669,IF(AF667&gt;0,AF667,IF(AF666&gt;0,AF666,IF(AF665&gt;0,AF665,0)))))))))))),0)*(1-$S677)*'模拟-单技能数据'!$I$20</f>
        <v>7620.5875385322679</v>
      </c>
      <c r="AK677" s="115" t="b">
        <f t="shared" ca="1" si="608"/>
        <v>0</v>
      </c>
      <c r="AL677" s="115" t="b">
        <f t="shared" ca="1" si="609"/>
        <v>1</v>
      </c>
      <c r="AM677" s="115">
        <f t="shared" ca="1" si="610"/>
        <v>4</v>
      </c>
      <c r="AN677" s="47">
        <f ca="1">IF(AK677,('模拟-单技能数据'!$D$21+G677*'模拟-单技能数据'!$F$21)*(1+J677)*(1+'模拟-单技能数据'!$J$21)*(1+U677),0)</f>
        <v>0</v>
      </c>
      <c r="AO677" s="61">
        <f ca="1">IF(AN677&gt;0,M677-'模拟-单技能数据'!$K$10,AO676)</f>
        <v>0.42185145527300216</v>
      </c>
      <c r="AP677" s="61">
        <f ca="1">IF(AN677&gt;0,I677-'模拟-单技能数据'!$L$10,AP676)</f>
        <v>2.162482885499879</v>
      </c>
      <c r="AQ677" s="63">
        <f t="shared" ca="1" si="629"/>
        <v>0.44584017028828915</v>
      </c>
      <c r="AR677" s="64">
        <f ca="1">IF(AL677,IF(AQ677&lt;$F$10,0,IF(AQ677&lt;$F$10+$F$11,0.25,IF(AQ677&lt;$F$10+$F$11+AO677,AP677,1)))*IF(AN677&gt;0,AN677,IF(AN676&gt;0,AN676,IF(AN675&gt;0,AN675,IF(AN674&gt;0,AN674,IF(AN673&gt;0,AN673,IF(AN672&gt;0,AN672,IF(AN671&gt;0,AN671,IF(AN670&gt;0,AN670,IF(AN669&gt;0,AN669,IF(AN667&gt;0,AN667,IF(AN666&gt;0,AN666,IF(AN665&gt;0,AN665,0)))))))))))),0)*(1-$S677)*'模拟-单技能数据'!$I$21</f>
        <v>19874.713753650052</v>
      </c>
      <c r="AS677" s="61">
        <f ca="1">IF(OR(C677="净世破魔击·日",C677="净世破魔击·月"),M677-'模拟-单技能数据'!$K$10,0)</f>
        <v>0</v>
      </c>
      <c r="AT677" s="61">
        <f ca="1">IF(OR(C677="净世破魔击·日",C677="净世破魔击·月"),I677-'模拟-单技能数据'!$L$10,0)</f>
        <v>0</v>
      </c>
      <c r="AU677" s="62">
        <f t="shared" ca="1" si="630"/>
        <v>0.98292571060986822</v>
      </c>
      <c r="AV677" s="64">
        <f ca="1">IF(AS677&gt;0,('模拟-单技能数据'!$D$22+G677*'模拟-单技能数据'!$F$22)*(1+J677)*(1-S677)*IF(AU677&lt;$F$10,0,IF(AU677&lt;$F$10+$F$11,0.25,IF(AU677&lt;$F$10+$F$11+AS677,AT677,1)))*(1+U677),0)*'模拟-单技能数据'!$I$22</f>
        <v>0</v>
      </c>
      <c r="AW677" s="108">
        <f t="shared" ca="1" si="631"/>
        <v>0</v>
      </c>
      <c r="AX677" s="108" t="b">
        <f ca="1">AND(模拟模式!$P$10="有",AW676=0,RAND()&lt;IF(C677="净世破魔击·月",0.1*8/3,IF(C677="净世破魔击·日",0.1*4/3,0.1*2/3)))</f>
        <v>0</v>
      </c>
      <c r="AY677" s="47">
        <f ca="1">IF(AX677,(18+G677*0.722)*(1+J677)*(1-S677)*(1+$I$4)*IF(P677="会",'模拟-全程加成'!$J$3+'模拟-全程加成'!$J$4+'模拟-全程加成'!$J$5+('模拟-全程加成'!$I$4+'模拟-全程加成'!$I$5)/系数!$B$4+BG677*10%,IF(P677="命",1,IF(P677="识",0.25,0))),0)</f>
        <v>0</v>
      </c>
      <c r="AZ677" s="108">
        <f t="shared" si="632"/>
        <v>8.9300000000000068</v>
      </c>
      <c r="BA677" s="108" t="b">
        <f>AND(模拟模式!$Q$10="有",AZ676=0)</f>
        <v>0</v>
      </c>
      <c r="BB677" s="140">
        <f>IF(BA677,(0+G677*0.287)*(1+J677)*(1-S677)*(1+$I$4)*IF(P677="会",'模拟-全程加成'!$J$3+'模拟-全程加成'!$J$4+'模拟-全程加成'!$J$5+('模拟-全程加成'!$I$4+'模拟-全程加成'!$I$5)/系数!$B$4+BG677*10%,IF(P677="命",1,IF(P677="识",0.25,0))),0)</f>
        <v>0</v>
      </c>
      <c r="BC677" s="115" t="b">
        <f ca="1">AND(模拟模式!$R$7="伏明众生",E677=60,F677=20,DA677&lt;5,CZ676&lt;$F$4)</f>
        <v>0</v>
      </c>
      <c r="BD677" s="115">
        <f t="shared" ca="1" si="611"/>
        <v>0</v>
      </c>
      <c r="BE677" s="115" t="b">
        <f t="shared" ca="1" si="612"/>
        <v>0</v>
      </c>
      <c r="BF677" s="47">
        <f ca="1">IF(BC677,4*('模拟-单技能数据'!$D$24+G677*'模拟-单技能数据'!$F$24)*(1+J677)*(1+'模拟-单技能数据'!$J$24)*(1-S677)*(1+$I$3)*(('模拟-全程加成'!$J$3+'模拟-全程加成'!$J$4+'模拟-全程加成'!$J$5+('模拟-全程加成'!$I$4+'模拟-全程加成'!$I$5)/系数!$B$4+BG677*10%)*('模拟-全程加成'!$J$3+'模拟-全程加成'!$J$4+'模拟-全程加成'!$J$5+('模拟-全程加成'!$I$4+'模拟-全程加成'!$I$5)/系数!$B$4+BG677*10%)+(1-('模拟-全程加成'!$J$3+'模拟-全程加成'!$J$4+'模拟-全程加成'!$J$5+('模拟-全程加成'!$I$4+'模拟-全程加成'!$I$5)/系数!$B$4+BG677*10%)-$F$10-$F$11)+F663*0.25),0)*'模拟-单技能数据'!$I$24</f>
        <v>0</v>
      </c>
      <c r="BG677" s="115" t="b">
        <f ca="1">OR(AND(OR(C677="烈日斩",C677="银月斩"),模拟模式!$I$7="净身明礼"),AND(C677="净世破魔击·日",模拟模式!$J$7="洞若观火"),AND(C678="净世破魔击·月",模拟模式!$J$7="洞若观火"),AB677=1)</f>
        <v>1</v>
      </c>
      <c r="BH677" s="115" t="b">
        <f t="shared" ca="1" si="633"/>
        <v>0</v>
      </c>
      <c r="BI677" s="115">
        <f t="shared" ca="1" si="613"/>
        <v>0</v>
      </c>
      <c r="BJ677" s="115" t="b">
        <f t="shared" ca="1" si="614"/>
        <v>0</v>
      </c>
      <c r="BK677" s="115" t="b">
        <f ca="1">AND(C677="驱夜断愁",模拟模式!$P$7="天地诛戮")</f>
        <v>0</v>
      </c>
      <c r="BL677" s="57">
        <f t="shared" ca="1" si="615"/>
        <v>14.465000000000003</v>
      </c>
      <c r="BM677" s="115" t="b">
        <f t="shared" ca="1" si="616"/>
        <v>1</v>
      </c>
      <c r="BN677" s="115" t="b">
        <f ca="1">AND(OR(C677="赤日轮1",C677="赤日轮2",C677="赤日轮3",C677="幽月轮1",C677="幽月轮2",C677="幽月轮3"),AB677=1,模拟模式!$L$7="明光恒照")</f>
        <v>0</v>
      </c>
      <c r="BO677" s="117">
        <f t="shared" ca="1" si="617"/>
        <v>29.077500000000001</v>
      </c>
      <c r="BP677" s="115">
        <f t="shared" ca="1" si="634"/>
        <v>6</v>
      </c>
      <c r="BQ677" s="115" t="b">
        <f>模拟模式!$K$10="2600·水"</f>
        <v>0</v>
      </c>
      <c r="BR677" s="117">
        <f t="shared" si="635"/>
        <v>0</v>
      </c>
      <c r="BS677" s="115">
        <f t="shared" si="636"/>
        <v>0</v>
      </c>
      <c r="BT677" s="115">
        <f t="shared" ca="1" si="637"/>
        <v>0</v>
      </c>
      <c r="BU677" s="115" t="b">
        <f ca="1">AND(模拟模式!$K$10="2300·雷",BT676=0,RAND()&lt;IF(C677="净世破魔击·月",5*0.05*2/3,IF(C677="净世破魔击·日",3*0.05*2/3,0.05*2*2/3)))</f>
        <v>0</v>
      </c>
      <c r="BV677" s="115">
        <f t="shared" ca="1" si="638"/>
        <v>0</v>
      </c>
      <c r="BW677" s="115">
        <f t="shared" ca="1" si="639"/>
        <v>138.48749999999939</v>
      </c>
      <c r="BX677" s="164" t="b">
        <f t="shared" ca="1" si="640"/>
        <v>0</v>
      </c>
      <c r="BY677" s="115">
        <f t="shared" ca="1" si="641"/>
        <v>0</v>
      </c>
      <c r="BZ677" s="115">
        <f>IF(OR(模拟模式!$P$16="10人团",模拟模式!$P$16="25人团"),IF(B677/30&gt;CA676,1,0),0)</f>
        <v>0</v>
      </c>
      <c r="CA677" s="115">
        <f t="shared" si="618"/>
        <v>0</v>
      </c>
      <c r="CB677" s="115">
        <f ca="1">IF(BZ677=1,IF(模拟模式!$P$16="10人团",15,0)+IF(模拟模式!$P$16="25人团",IF(RAND()&lt;0.6,15,0)),MAX(0,CB676-$F$4))</f>
        <v>0</v>
      </c>
      <c r="CC677" s="115" t="b">
        <f t="shared" ca="1" si="619"/>
        <v>0</v>
      </c>
      <c r="CD677" s="115">
        <f>IF(模拟模式!$Q$16="1个",IF(B677/40&gt;CE676,1,0),0)</f>
        <v>0</v>
      </c>
      <c r="CE677" s="115">
        <f t="shared" si="620"/>
        <v>0</v>
      </c>
      <c r="CF677" s="115">
        <f>IF(OR(CD677=1,模拟模式!$Q$16="2个"),20,MAX(0,CF676-$F$4))</f>
        <v>0</v>
      </c>
      <c r="CG677" s="115" t="b">
        <f t="shared" si="621"/>
        <v>0</v>
      </c>
      <c r="CH677" s="115">
        <f t="shared" ca="1" si="642"/>
        <v>19.852500000000006</v>
      </c>
      <c r="CI677" s="115" t="b">
        <f t="shared" ca="1" si="643"/>
        <v>0</v>
      </c>
      <c r="CJ677" s="119">
        <f t="shared" ca="1" si="644"/>
        <v>0</v>
      </c>
      <c r="CK677" s="115">
        <f t="shared" ca="1" si="645"/>
        <v>0</v>
      </c>
      <c r="CL677" s="115" t="b">
        <f ca="1">AND(模拟模式!$S$7="驱夷逐法",OR(AND(C677="净世破魔击·月",E676&gt;59),AND(C677="净世破魔击·日",F676&gt;59)))</f>
        <v>0</v>
      </c>
      <c r="CM677" s="115" t="b">
        <f ca="1">OR(CL677,AND(C677="净世破魔击·日",CL676,RAND()&lt;模拟模式!$U$23))</f>
        <v>0</v>
      </c>
      <c r="CN677" s="115" t="b">
        <f ca="1">IF(模拟模式!$M$7="辉耀红尘",AND(C677="净世破魔击·月",CL677,CV677=0,E676&lt;80),AND(C677="净世破魔击·月",CL677,E676&lt;100))</f>
        <v>0</v>
      </c>
      <c r="CO677" s="115" t="b">
        <f t="shared" ca="1" si="622"/>
        <v>0</v>
      </c>
      <c r="CP677" s="115" t="b">
        <f ca="1">AND(模拟模式!$O$7="用晦而明",OR(C677="净世破魔击·日",C677="净世破魔击·月",C677="驱夜断愁"),AB677)</f>
        <v>0</v>
      </c>
      <c r="CQ677" s="115" t="b">
        <f ca="1">OR(CP677,AND(CP676,RAND()&lt;模拟模式!$U$23))</f>
        <v>0</v>
      </c>
      <c r="CR677" s="115" t="b">
        <f ca="1">AND(模拟模式!$S$7="日月齐光",OR(C677="幽月轮1",C677="幽月轮2",C677="幽月轮3",CR676),NOT(OR(C677="赤日轮1",C677="赤日轮2",C677="赤日轮3")))</f>
        <v>0</v>
      </c>
      <c r="CS677" s="115" t="b">
        <f ca="1">AND(模拟模式!$S$7="日月齐光",OR(C677="赤日轮1",C677="赤日轮2",C677="赤日轮3",CS676),NOT(OR(C677="幽月轮1",C677="幽月轮2",C677="幽月轮3")))</f>
        <v>0</v>
      </c>
      <c r="CT677" s="115">
        <f t="shared" ca="1" si="646"/>
        <v>16.162500000000009</v>
      </c>
      <c r="CU677" s="115" t="b">
        <f ca="1">AND(模拟模式!$K$10="阴阳往极",CT676=0,RAND()&lt;IF(C677="净世破魔击·月",0.0275*7/3,IF(C677="净世破魔击·日",0.0275*3/3,0.0275*2/3)))</f>
        <v>0</v>
      </c>
      <c r="CV677" s="115">
        <f t="shared" ca="1" si="647"/>
        <v>0</v>
      </c>
      <c r="CW677" s="115">
        <f t="shared" ca="1" si="648"/>
        <v>1.3874999999999997</v>
      </c>
      <c r="CX677" s="115">
        <f t="shared" ca="1" si="649"/>
        <v>6</v>
      </c>
      <c r="CY677" s="115">
        <f ca="1">MAX(IF($C677="驱夜断愁",IF(模拟模式!$R$7="万念俱寂",6,45),CY676-$F$4),0)</f>
        <v>0.46499999999999975</v>
      </c>
      <c r="CZ677" s="115">
        <f t="shared" ca="1" si="623"/>
        <v>0</v>
      </c>
      <c r="DA677" s="115">
        <f ca="1">IF(模拟模式!$N$7="日月同辉",IF(DB676=2,0,MIN(6,IF(AND(OR(C677="赤日轮1",C677="赤日轮2",C677="赤日轮3",C677="幽月轮1",C677="幽月轮2",C677="幽月轮3"),AB677=1),DA676+1,DA676))),0)</f>
        <v>4</v>
      </c>
      <c r="DB677" s="115">
        <f t="shared" ca="1" si="624"/>
        <v>0</v>
      </c>
      <c r="DC677" s="115"/>
      <c r="DD677" s="115"/>
      <c r="DE677" s="115"/>
      <c r="DF677" s="115"/>
      <c r="DG677" s="115"/>
      <c r="DH677" s="115"/>
      <c r="DI677" s="115"/>
      <c r="DJ677" s="115"/>
      <c r="DK677" s="115"/>
      <c r="DL677" s="115"/>
      <c r="DM677" s="115"/>
    </row>
    <row r="678" spans="2:117" x14ac:dyDescent="0.2">
      <c r="B678" s="117">
        <f t="shared" si="625"/>
        <v>600.54750000000683</v>
      </c>
      <c r="C678" s="167" t="str">
        <f t="shared" ca="1" si="594"/>
        <v>驱夜断愁</v>
      </c>
      <c r="D678" s="115">
        <f ca="1">IF(C678="赤日轮1",1,IF(C678="赤日轮2",2,IF(C678="赤日轮3",3,IF(C678="幽月轮1",4,IF(C678="幽月轮2",5,IF(C678="幽月轮3",6,IF(C678="烈日斩",7,IF(C678="银月斩",8,IF(C678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678="净世破魔击·月",17,IF(C678="驱夜断愁",18,0)))))))))))</f>
        <v>18</v>
      </c>
      <c r="E678" s="115">
        <f ca="1">IF(AND(CU678,OR(C678="幽月轮1",C678="幽月轮2",C678="幽月轮3",C678="银月斩",C678="驱夜断愁",C678="净世破魔击·月")),100,MIN(IF(OR(CN678,BE678),0,IF(OR($C678="赤日轮1",$C678="赤日轮2",$C678="赤日轮3"),E677+20+IF(模拟模式!$I$7="日月凌天",4,0)+IF(CR677,20,0),IF($C678="烈日斩",E677+40,IF($C678="驱夜断愁",IF(模拟模式!$R$7="万念俱寂",E677+20,E677+60),IF($C678="净世破魔击·月",IF(OR(DB677&gt;0,CV677&gt;0),100,IF(模拟模式!$M$7="辉耀红尘",E677+20,E677)),IF($C678="净世破魔击·日",E677-100,E677)))))),100))</f>
        <v>40</v>
      </c>
      <c r="F678" s="115">
        <f ca="1">IF(AND(CU678,OR(C678="赤日轮1",C678="赤日轮2",C678="赤日轮3",C678="烈日斩",C678="净世破魔击·日")),100,MIN(IF(CO678,0,IF(OR($C678="幽月轮1",$C678="幽月轮2",$C678="幽月轮3"),F677+20+IF(模拟模式!$I$7="日月凌天",4,0)+IF(CS677,20,0),IF($C678="银月斩",F677+40+IF(模拟模式!$X$12=1,5,0),IF($C678="驱夜断愁",IF(模拟模式!$R$7="万念俱寂",F677+20,F677+60),IF($C678="净世破魔击·月",IF(模拟模式!$M$7="辉耀红尘",F677-80,F677-100),IF(AND(C678="净世破魔击·日",OR(DB677&gt;0,CV677&gt;0)),100,F677)))))),100))</f>
        <v>85</v>
      </c>
      <c r="G678" s="117">
        <f ca="1">('模拟-全程加成'!$E$3+'模拟-全程加成'!$E$4+'模拟-全程加成'!$E$5+('模拟-全程加成'!$C$6-'模拟-全程加成'!$C$3)*系数!$B$9+BS678*23)*(1+'模拟-全程加成'!$F$4+'模拟-全程加成'!$F$5+BJ678*10%+BM678*20%+BP678*4%+CG678*30%)+$F$7*系数!$B$12</f>
        <v>20583.127400000001</v>
      </c>
      <c r="H678" s="45">
        <f ca="1">'模拟-全程加成'!$H$3+'模拟-全程加成'!$H$4+'模拟-全程加成'!$H$5+('模拟-全程加成'!$G$4+'模拟-全程加成'!$G$5+('模拟-全程加成'!$C$6-'模拟-全程加成'!$C$3)*系数!$B$13)/系数!$B$3+LOOKUP(D678,'模拟-单技能数据'!$A$2:$A$19,'模拟-单技能数据'!$K$2:$K$19)+BG678*10%+IF(BV678&gt;0,378,0)</f>
        <v>0.51185145527300213</v>
      </c>
      <c r="I678" s="45">
        <f ca="1">'模拟-全程加成'!$J$3+'模拟-全程加成'!$J$4+'模拟-全程加成'!$J$5+('模拟-全程加成'!$I$4+'模拟-全程加成'!$I$5)/系数!$B$4+LOOKUP(D678,'模拟-单技能数据'!$A$2:$A$19,'模拟-单技能数据'!$L$2:$L$19)+BG678*10%</f>
        <v>2.162482885499879</v>
      </c>
      <c r="J678" s="45">
        <f ca="1">(('模拟-全程加成'!$K$3+'模拟-全程加成'!$K$4+'模拟-全程加成'!$K$5+('模拟-全程加成'!$C$6-'模拟-全程加成'!$C$3)*系数!$B$10+IF(BV678&gt;0,882,0)+IF(BY678&gt;0,1831,0))*(1+'模拟-全程加成'!$L$4+'模拟-全程加成'!$L$5+CC678*20%))/系数!$B$5</f>
        <v>0.69723220422048726</v>
      </c>
      <c r="K678" s="119">
        <f ca="1">LOOKUP(D678,'模拟-单技能数据'!$A$2:$A$19,'模拟-单技能数据'!$J$2:$J$19)+IF(CM678,60%,0)+IF(DB677-DB678&gt;0,30%,0)+IF(OR(AND(OR(C678="赤日轮1",C678="赤日轮2",C678="赤日轮3"),CR678),AND(OR(C678="幽月轮1",C678="幽月轮2",C678="幽月轮3"),CS678)),35%,0)+CJ678</f>
        <v>0.14000000000000001</v>
      </c>
      <c r="L678" s="119">
        <f ca="1">IF(AND(C678="烈日斩",模拟模式!$X$11=1),10%,0)+IF(AND(C678="驱夜断愁",AB678=1),30%,0)</f>
        <v>0.3</v>
      </c>
      <c r="M678" s="45">
        <f t="shared" ca="1" si="595"/>
        <v>0.51185145527300213</v>
      </c>
      <c r="N678" s="45">
        <f t="shared" ca="1" si="596"/>
        <v>0.43424854472699792</v>
      </c>
      <c r="O678" s="46">
        <f t="shared" ca="1" si="626"/>
        <v>0.18833528351062068</v>
      </c>
      <c r="P678" s="46" t="str">
        <f t="shared" ca="1" si="597"/>
        <v>会</v>
      </c>
      <c r="Q678" s="45">
        <f t="shared" ca="1" si="598"/>
        <v>2.162482885499879</v>
      </c>
      <c r="R678" s="117">
        <f ca="1">模拟模式!$E$20*(1-IF(模拟模式!$J$19="有",0.15,0))*(1-IF(模拟模式!$K$19="有",0.3,0)-IF(CQ678,0.5,0))</f>
        <v>843.02999999999975</v>
      </c>
      <c r="S678" s="45">
        <f ca="1">R678/(R678+(185*模拟模式!$E$22-16800)*4.08224)</f>
        <v>8.389626085980037E-2</v>
      </c>
      <c r="T678" s="45" t="str">
        <f ca="1">LOOKUP(D678,'模拟-单技能数据'!$A$2:$A$19,'模拟-单技能数据'!$H$2:$H$19)</f>
        <v>阴</v>
      </c>
      <c r="U678" s="119">
        <f t="shared" ca="1" si="599"/>
        <v>0.08</v>
      </c>
      <c r="V678" s="47">
        <f ca="1">(1+L678)*(LOOKUP(D678,'模拟-单技能数据'!$A$2:$A$19,'模拟-单技能数据'!$D$2:$D$19)+G678*LOOKUP(D678,'模拟-单技能数据'!$A$2:$A$19,'模拟-单技能数据'!$F$2:$F$19))*(1+J678)*(1+K678)*(1-S678)*(1+U678)*Q678*LOOKUP(D678,'模拟-单技能数据'!$A$2:$A$19,'模拟-单技能数据'!$I$2:$I$20)</f>
        <v>127463.41908070058</v>
      </c>
      <c r="W678" s="47">
        <f ca="1">LOOKUP(D678,'模拟-单技能数据'!$A$2:$A$19,'模拟-单技能数据'!$G$2:$G$19)*$I$10</f>
        <v>723.0212870940959</v>
      </c>
      <c r="X678" s="47">
        <f t="shared" ca="1" si="627"/>
        <v>0</v>
      </c>
      <c r="Y678" s="47">
        <f t="shared" ca="1" si="600"/>
        <v>128186.44036779468</v>
      </c>
      <c r="Z678" s="49">
        <f t="shared" ca="1" si="601"/>
        <v>68363939.580854118</v>
      </c>
      <c r="AA678" s="97">
        <f t="shared" ca="1" si="602"/>
        <v>113836.02392958649</v>
      </c>
      <c r="AB678" s="115">
        <f ca="1">IF(OR(C678="赤日轮1",C678="赤日轮2",C678="赤日轮3"),IF(RAND()&lt;模拟模式!$Y$17,1,0),IF(OR(C678="幽月轮1",C678="幽月轮2",C678="幽月轮3"),IF(RAND()&lt;模拟模式!$Y$18,1,0),IF(C678="烈日斩",IF(RAND()&lt;模拟模式!$Y$19,1,0),IF(C678="银月斩",IF(RAND()&lt;模拟模式!$Y$20,1,0),IF(C678="驱夜断愁",IF(RAND()&lt;模拟模式!$Y$21,1,0),IF(C678="净世破魔击·日",IF(RAND()&lt;模拟模式!$Y$22,1,0),IF(C678="净世破魔击·月",IF(RAND()&lt;模拟模式!$Y$23,1,0),0)))))))</f>
        <v>1</v>
      </c>
      <c r="AC678" s="115" t="b">
        <f t="shared" ca="1" si="603"/>
        <v>0</v>
      </c>
      <c r="AD678" s="115" t="b">
        <f t="shared" ca="1" si="604"/>
        <v>0</v>
      </c>
      <c r="AE678" s="115">
        <f t="shared" ca="1" si="605"/>
        <v>6</v>
      </c>
      <c r="AF678" s="47">
        <f ca="1">IF(AC678,('模拟-单技能数据'!$D$20+G678*'模拟-单技能数据'!$F$20)*(1+J678)*(1+'模拟-单技能数据'!$J$20)*(1+U678),0)</f>
        <v>0</v>
      </c>
      <c r="AG678" s="61">
        <f t="shared" ca="1" si="606"/>
        <v>0.64185145527300214</v>
      </c>
      <c r="AH678" s="61">
        <f t="shared" ca="1" si="607"/>
        <v>2.2624828854998791</v>
      </c>
      <c r="AI678" s="62">
        <f t="shared" ca="1" si="628"/>
        <v>0.18749570511509595</v>
      </c>
      <c r="AJ678" s="47">
        <f ca="1">IF(AD678,IF(AI678&lt;$F$10,0,IF(AI678&lt;$F$10+$F$11,0.25,IF(AI678&lt;$F$10+$F$11+AG678,AH678,1)))*IF(AF678&gt;0,AF678,IF(AF677&gt;0,AF677,IF(AF676&gt;0,AF676,IF(AF675&gt;0,AF675,IF(AF674&gt;0,AF674,IF(AF673&gt;0,AF673,IF(AF672&gt;0,AF672,IF(AF671&gt;0,AF671,IF(AF670&gt;0,AF670,IF(AF668&gt;0,AF668,IF(AF667&gt;0,AF667,IF(AF666&gt;0,AF666,0)))))))))))),0)*(1-$S678)*'模拟-单技能数据'!$I$20</f>
        <v>0</v>
      </c>
      <c r="AK678" s="115" t="b">
        <f t="shared" ca="1" si="608"/>
        <v>0</v>
      </c>
      <c r="AL678" s="115" t="b">
        <f t="shared" ca="1" si="609"/>
        <v>0</v>
      </c>
      <c r="AM678" s="115">
        <f t="shared" ca="1" si="610"/>
        <v>4</v>
      </c>
      <c r="AN678" s="47">
        <f ca="1">IF(AK678,('模拟-单技能数据'!$D$21+G678*'模拟-单技能数据'!$F$21)*(1+J678)*(1+'模拟-单技能数据'!$J$21)*(1+U678),0)</f>
        <v>0</v>
      </c>
      <c r="AO678" s="61">
        <f ca="1">IF(AN678&gt;0,M678-'模拟-单技能数据'!$K$10,AO677)</f>
        <v>0.42185145527300216</v>
      </c>
      <c r="AP678" s="61">
        <f ca="1">IF(AN678&gt;0,I678-'模拟-单技能数据'!$L$10,AP677)</f>
        <v>2.162482885499879</v>
      </c>
      <c r="AQ678" s="63">
        <f t="shared" ca="1" si="629"/>
        <v>0.2866354300453825</v>
      </c>
      <c r="AR678" s="64">
        <f ca="1">IF(AL678,IF(AQ678&lt;$F$10,0,IF(AQ678&lt;$F$10+$F$11,0.25,IF(AQ678&lt;$F$10+$F$11+AO678,AP678,1)))*IF(AN678&gt;0,AN678,IF(AN677&gt;0,AN677,IF(AN676&gt;0,AN676,IF(AN675&gt;0,AN675,IF(AN674&gt;0,AN674,IF(AN673&gt;0,AN673,IF(AN672&gt;0,AN672,IF(AN671&gt;0,AN671,IF(AN670&gt;0,AN670,IF(AN668&gt;0,AN668,IF(AN667&gt;0,AN667,IF(AN666&gt;0,AN666,0)))))))))))),0)*(1-$S678)*'模拟-单技能数据'!$I$21</f>
        <v>0</v>
      </c>
      <c r="AS678" s="61">
        <f ca="1">IF(OR(C678="净世破魔击·日",C678="净世破魔击·月"),M678-'模拟-单技能数据'!$K$10,0)</f>
        <v>0</v>
      </c>
      <c r="AT678" s="61">
        <f ca="1">IF(OR(C678="净世破魔击·日",C678="净世破魔击·月"),I678-'模拟-单技能数据'!$L$10,0)</f>
        <v>0</v>
      </c>
      <c r="AU678" s="62">
        <f t="shared" ca="1" si="630"/>
        <v>0.1160130899991817</v>
      </c>
      <c r="AV678" s="64">
        <f ca="1">IF(AS678&gt;0,('模拟-单技能数据'!$D$22+G678*'模拟-单技能数据'!$F$22)*(1+J678)*(1-S678)*IF(AU678&lt;$F$10,0,IF(AU678&lt;$F$10+$F$11,0.25,IF(AU678&lt;$F$10+$F$11+AS678,AT678,1)))*(1+U678),0)*'模拟-单技能数据'!$I$22</f>
        <v>0</v>
      </c>
      <c r="AW678" s="108">
        <f t="shared" ca="1" si="631"/>
        <v>0</v>
      </c>
      <c r="AX678" s="108" t="b">
        <f ca="1">AND(模拟模式!$P$10="有",AW677=0,RAND()&lt;IF(C678="净世破魔击·月",0.1*8/3,IF(C678="净世破魔击·日",0.1*4/3,0.1*2/3)))</f>
        <v>0</v>
      </c>
      <c r="AY678" s="47">
        <f ca="1">IF(AX678,(18+G678*0.722)*(1+J678)*(1-S678)*(1+$I$4)*IF(P678="会",'模拟-全程加成'!$J$3+'模拟-全程加成'!$J$4+'模拟-全程加成'!$J$5+('模拟-全程加成'!$I$4+'模拟-全程加成'!$I$5)/系数!$B$4+BG678*10%,IF(P678="命",1,IF(P678="识",0.25,0))),0)</f>
        <v>0</v>
      </c>
      <c r="AZ678" s="108">
        <f t="shared" si="632"/>
        <v>8.0075000000000074</v>
      </c>
      <c r="BA678" s="108" t="b">
        <f>AND(模拟模式!$Q$10="有",AZ677=0)</f>
        <v>0</v>
      </c>
      <c r="BB678" s="140">
        <f>IF(BA678,(0+G678*0.287)*(1+J678)*(1-S678)*(1+$I$4)*IF(P678="会",'模拟-全程加成'!$J$3+'模拟-全程加成'!$J$4+'模拟-全程加成'!$J$5+('模拟-全程加成'!$I$4+'模拟-全程加成'!$I$5)/系数!$B$4+BG678*10%,IF(P678="命",1,IF(P678="识",0.25,0))),0)</f>
        <v>0</v>
      </c>
      <c r="BC678" s="115" t="b">
        <f ca="1">AND(模拟模式!$R$7="伏明众生",E678=60,F678=20,DA678&lt;5,CZ677&lt;$F$4)</f>
        <v>0</v>
      </c>
      <c r="BD678" s="115">
        <f t="shared" ca="1" si="611"/>
        <v>0</v>
      </c>
      <c r="BE678" s="115" t="b">
        <f t="shared" ca="1" si="612"/>
        <v>0</v>
      </c>
      <c r="BF678" s="47">
        <f ca="1">IF(BC678,4*('模拟-单技能数据'!$D$24+G678*'模拟-单技能数据'!$F$24)*(1+J678)*(1+'模拟-单技能数据'!$J$24)*(1-S678)*(1+$I$3)*(('模拟-全程加成'!$J$3+'模拟-全程加成'!$J$4+'模拟-全程加成'!$J$5+('模拟-全程加成'!$I$4+'模拟-全程加成'!$I$5)/系数!$B$4+BG678*10%)*('模拟-全程加成'!$J$3+'模拟-全程加成'!$J$4+'模拟-全程加成'!$J$5+('模拟-全程加成'!$I$4+'模拟-全程加成'!$I$5)/系数!$B$4+BG678*10%)+(1-('模拟-全程加成'!$J$3+'模拟-全程加成'!$J$4+'模拟-全程加成'!$J$5+('模拟-全程加成'!$I$4+'模拟-全程加成'!$I$5)/系数!$B$4+BG678*10%)-$F$10-$F$11)+F664*0.25),0)*'模拟-单技能数据'!$I$24</f>
        <v>0</v>
      </c>
      <c r="BG678" s="115" t="b">
        <f ca="1">OR(AND(OR(C678="烈日斩",C678="银月斩"),模拟模式!$I$7="净身明礼"),AND(C678="净世破魔击·日",模拟模式!$J$7="洞若观火"),AND(C679="净世破魔击·月",模拟模式!$J$7="洞若观火"),AB678=1)</f>
        <v>1</v>
      </c>
      <c r="BH678" s="115" t="b">
        <f t="shared" ca="1" si="633"/>
        <v>0</v>
      </c>
      <c r="BI678" s="115">
        <f t="shared" ca="1" si="613"/>
        <v>0</v>
      </c>
      <c r="BJ678" s="115" t="b">
        <f t="shared" ca="1" si="614"/>
        <v>0</v>
      </c>
      <c r="BK678" s="115" t="b">
        <f ca="1">AND(C678="驱夜断愁",模拟模式!$P$7="天地诛戮")</f>
        <v>1</v>
      </c>
      <c r="BL678" s="57">
        <f t="shared" ca="1" si="615"/>
        <v>20</v>
      </c>
      <c r="BM678" s="115" t="b">
        <f t="shared" ca="1" si="616"/>
        <v>1</v>
      </c>
      <c r="BN678" s="115" t="b">
        <f ca="1">AND(OR(C678="赤日轮1",C678="赤日轮2",C678="赤日轮3",C678="幽月轮1",C678="幽月轮2",C678="幽月轮3"),AB678=1,模拟模式!$L$7="明光恒照")</f>
        <v>0</v>
      </c>
      <c r="BO678" s="117">
        <f t="shared" ca="1" si="617"/>
        <v>28.155000000000001</v>
      </c>
      <c r="BP678" s="115">
        <f t="shared" ca="1" si="634"/>
        <v>6</v>
      </c>
      <c r="BQ678" s="115" t="b">
        <f>模拟模式!$K$10="2600·水"</f>
        <v>0</v>
      </c>
      <c r="BR678" s="117">
        <f t="shared" si="635"/>
        <v>0</v>
      </c>
      <c r="BS678" s="115">
        <f t="shared" si="636"/>
        <v>0</v>
      </c>
      <c r="BT678" s="115">
        <f t="shared" ca="1" si="637"/>
        <v>0</v>
      </c>
      <c r="BU678" s="115" t="b">
        <f ca="1">AND(模拟模式!$K$10="2300·雷",BT677=0,RAND()&lt;IF(C678="净世破魔击·月",5*0.05*2/3,IF(C678="净世破魔击·日",3*0.05*2/3,0.05*2*2/3)))</f>
        <v>0</v>
      </c>
      <c r="BV678" s="115">
        <f t="shared" ca="1" si="638"/>
        <v>0</v>
      </c>
      <c r="BW678" s="115">
        <f t="shared" ca="1" si="639"/>
        <v>137.56499999999937</v>
      </c>
      <c r="BX678" s="164" t="b">
        <f t="shared" ca="1" si="640"/>
        <v>0</v>
      </c>
      <c r="BY678" s="115">
        <f t="shared" ca="1" si="641"/>
        <v>0</v>
      </c>
      <c r="BZ678" s="115">
        <f>IF(OR(模拟模式!$P$16="10人团",模拟模式!$P$16="25人团"),IF(B678/30&gt;CA677,1,0),0)</f>
        <v>0</v>
      </c>
      <c r="CA678" s="115">
        <f t="shared" si="618"/>
        <v>0</v>
      </c>
      <c r="CB678" s="115">
        <f ca="1">IF(BZ678=1,IF(模拟模式!$P$16="10人团",15,0)+IF(模拟模式!$P$16="25人团",IF(RAND()&lt;0.6,15,0)),MAX(0,CB677-$F$4))</f>
        <v>0</v>
      </c>
      <c r="CC678" s="115" t="b">
        <f t="shared" ca="1" si="619"/>
        <v>0</v>
      </c>
      <c r="CD678" s="115">
        <f>IF(模拟模式!$Q$16="1个",IF(B678/40&gt;CE677,1,0),0)</f>
        <v>0</v>
      </c>
      <c r="CE678" s="115">
        <f t="shared" si="620"/>
        <v>0</v>
      </c>
      <c r="CF678" s="115">
        <f>IF(OR(CD678=1,模拟模式!$Q$16="2个"),20,MAX(0,CF677-$F$4))</f>
        <v>0</v>
      </c>
      <c r="CG678" s="115" t="b">
        <f t="shared" si="621"/>
        <v>0</v>
      </c>
      <c r="CH678" s="115">
        <f t="shared" ca="1" si="642"/>
        <v>18.930000000000007</v>
      </c>
      <c r="CI678" s="115" t="b">
        <f t="shared" ca="1" si="643"/>
        <v>0</v>
      </c>
      <c r="CJ678" s="119">
        <f t="shared" ca="1" si="644"/>
        <v>0</v>
      </c>
      <c r="CK678" s="115">
        <f t="shared" ca="1" si="645"/>
        <v>0</v>
      </c>
      <c r="CL678" s="115" t="b">
        <f ca="1">AND(模拟模式!$S$7="驱夷逐法",OR(AND(C678="净世破魔击·月",E677&gt;59),AND(C678="净世破魔击·日",F677&gt;59)))</f>
        <v>0</v>
      </c>
      <c r="CM678" s="115" t="b">
        <f ca="1">OR(CL678,AND(C678="净世破魔击·日",CL677,RAND()&lt;模拟模式!$U$23))</f>
        <v>0</v>
      </c>
      <c r="CN678" s="115" t="b">
        <f ca="1">IF(模拟模式!$M$7="辉耀红尘",AND(C678="净世破魔击·月",CL678,CV678=0,E677&lt;80),AND(C678="净世破魔击·月",CL678,E677&lt;100))</f>
        <v>0</v>
      </c>
      <c r="CO678" s="115" t="b">
        <f t="shared" ca="1" si="622"/>
        <v>0</v>
      </c>
      <c r="CP678" s="115" t="b">
        <f ca="1">AND(模拟模式!$O$7="用晦而明",OR(C678="净世破魔击·日",C678="净世破魔击·月",C678="驱夜断愁"),AB678)</f>
        <v>1</v>
      </c>
      <c r="CQ678" s="115" t="b">
        <f ca="1">OR(CP678,AND(CP677,RAND()&lt;模拟模式!$U$23))</f>
        <v>1</v>
      </c>
      <c r="CR678" s="115" t="b">
        <f ca="1">AND(模拟模式!$S$7="日月齐光",OR(C678="幽月轮1",C678="幽月轮2",C678="幽月轮3",CR677),NOT(OR(C678="赤日轮1",C678="赤日轮2",C678="赤日轮3")))</f>
        <v>0</v>
      </c>
      <c r="CS678" s="115" t="b">
        <f ca="1">AND(模拟模式!$S$7="日月齐光",OR(C678="赤日轮1",C678="赤日轮2",C678="赤日轮3",CS677),NOT(OR(C678="幽月轮1",C678="幽月轮2",C678="幽月轮3")))</f>
        <v>0</v>
      </c>
      <c r="CT678" s="115">
        <f t="shared" ca="1" si="646"/>
        <v>15.240000000000009</v>
      </c>
      <c r="CU678" s="115" t="b">
        <f ca="1">AND(模拟模式!$K$10="阴阳往极",CT677=0,RAND()&lt;IF(C678="净世破魔击·月",0.0275*7/3,IF(C678="净世破魔击·日",0.0275*3/3,0.0275*2/3)))</f>
        <v>0</v>
      </c>
      <c r="CV678" s="115">
        <f t="shared" ca="1" si="647"/>
        <v>0</v>
      </c>
      <c r="CW678" s="115">
        <f t="shared" ca="1" si="648"/>
        <v>0.46499999999999975</v>
      </c>
      <c r="CX678" s="115">
        <f t="shared" ca="1" si="649"/>
        <v>5.0774999999999997</v>
      </c>
      <c r="CY678" s="115">
        <f ca="1">MAX(IF($C678="驱夜断愁",IF(模拟模式!$R$7="万念俱寂",6,45),CY677-$F$4),0)</f>
        <v>6</v>
      </c>
      <c r="CZ678" s="115">
        <f t="shared" ca="1" si="623"/>
        <v>0</v>
      </c>
      <c r="DA678" s="115">
        <f ca="1">IF(模拟模式!$N$7="日月同辉",IF(DB677=2,0,MIN(6,IF(AND(OR(C678="赤日轮1",C678="赤日轮2",C678="赤日轮3",C678="幽月轮1",C678="幽月轮2",C678="幽月轮3"),AB678=1),DA677+1,DA677))),0)</f>
        <v>4</v>
      </c>
      <c r="DB678" s="115">
        <f t="shared" ca="1" si="624"/>
        <v>0</v>
      </c>
      <c r="DC678" s="115"/>
      <c r="DD678" s="115"/>
      <c r="DE678" s="115"/>
      <c r="DF678" s="115"/>
      <c r="DG678" s="115"/>
      <c r="DH678" s="115"/>
      <c r="DI678" s="115"/>
      <c r="DJ678" s="115"/>
      <c r="DK678" s="115"/>
      <c r="DL678" s="115"/>
      <c r="DM678" s="115"/>
    </row>
    <row r="679" spans="2:117" x14ac:dyDescent="0.2">
      <c r="B679" s="117">
        <f t="shared" si="625"/>
        <v>601.47000000000685</v>
      </c>
      <c r="C679" s="167" t="str">
        <f t="shared" ca="1" si="594"/>
        <v>烈日斩</v>
      </c>
      <c r="D679" s="115">
        <f ca="1">IF(C679="赤日轮1",1,IF(C679="赤日轮2",2,IF(C679="赤日轮3",3,IF(C679="幽月轮1",4,IF(C679="幽月轮2",5,IF(C679="幽月轮3",6,IF(C679="烈日斩",7,IF(C679="银月斩",8,IF(C679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679="净世破魔击·月",17,IF(C679="驱夜断愁",18,0)))))))))))</f>
        <v>7</v>
      </c>
      <c r="E679" s="115">
        <f ca="1">IF(AND(CU679,OR(C679="幽月轮1",C679="幽月轮2",C679="幽月轮3",C679="银月斩",C679="驱夜断愁",C679="净世破魔击·月")),100,MIN(IF(OR(CN679,BE679),0,IF(OR($C679="赤日轮1",$C679="赤日轮2",$C679="赤日轮3"),E678+20+IF(模拟模式!$I$7="日月凌天",4,0)+IF(CR678,20,0),IF($C679="烈日斩",E678+40,IF($C679="驱夜断愁",IF(模拟模式!$R$7="万念俱寂",E678+20,E678+60),IF($C679="净世破魔击·月",IF(OR(DB678&gt;0,CV678&gt;0),100,IF(模拟模式!$M$7="辉耀红尘",E678+20,E678)),IF($C679="净世破魔击·日",E678-100,E678)))))),100))</f>
        <v>80</v>
      </c>
      <c r="F679" s="115">
        <f ca="1">IF(AND(CU679,OR(C679="赤日轮1",C679="赤日轮2",C679="赤日轮3",C679="烈日斩",C679="净世破魔击·日")),100,MIN(IF(CO679,0,IF(OR($C679="幽月轮1",$C679="幽月轮2",$C679="幽月轮3"),F678+20+IF(模拟模式!$I$7="日月凌天",4,0)+IF(CS678,20,0),IF($C679="银月斩",F678+40+IF(模拟模式!$X$12=1,5,0),IF($C679="驱夜断愁",IF(模拟模式!$R$7="万念俱寂",F678+20,F678+60),IF($C679="净世破魔击·月",IF(模拟模式!$M$7="辉耀红尘",F678-80,F678-100),IF(AND(C679="净世破魔击·日",OR(DB678&gt;0,CV678&gt;0)),100,F678)))))),100))</f>
        <v>85</v>
      </c>
      <c r="G679" s="117">
        <f ca="1">('模拟-全程加成'!$E$3+'模拟-全程加成'!$E$4+'模拟-全程加成'!$E$5+('模拟-全程加成'!$C$6-'模拟-全程加成'!$C$3)*系数!$B$9+BS679*23)*(1+'模拟-全程加成'!$F$4+'模拟-全程加成'!$F$5+BJ679*10%+BM679*20%+BP679*4%+CG679*30%)+$F$7*系数!$B$12</f>
        <v>20583.127400000001</v>
      </c>
      <c r="H679" s="45">
        <f ca="1">'模拟-全程加成'!$H$3+'模拟-全程加成'!$H$4+'模拟-全程加成'!$H$5+('模拟-全程加成'!$G$4+'模拟-全程加成'!$G$5+('模拟-全程加成'!$C$6-'模拟-全程加成'!$C$3)*系数!$B$13)/系数!$B$3+LOOKUP(D679,'模拟-单技能数据'!$A$2:$A$19,'模拟-单技能数据'!$K$2:$K$19)+BG679*10%+IF(BV679&gt;0,378,0)</f>
        <v>0.56185145527300218</v>
      </c>
      <c r="I679" s="45">
        <f ca="1">'模拟-全程加成'!$J$3+'模拟-全程加成'!$J$4+'模拟-全程加成'!$J$5+('模拟-全程加成'!$I$4+'模拟-全程加成'!$I$5)/系数!$B$4+LOOKUP(D679,'模拟-单技能数据'!$A$2:$A$19,'模拟-单技能数据'!$L$2:$L$19)+BG679*10%</f>
        <v>2.2624828854998791</v>
      </c>
      <c r="J679" s="45">
        <f ca="1">(('模拟-全程加成'!$K$3+'模拟-全程加成'!$K$4+'模拟-全程加成'!$K$5+('模拟-全程加成'!$C$6-'模拟-全程加成'!$C$3)*系数!$B$10+IF(BV679&gt;0,882,0)+IF(BY679&gt;0,1831,0))*(1+'模拟-全程加成'!$L$4+'模拟-全程加成'!$L$5+CC679*20%))/系数!$B$5</f>
        <v>0.69723220422048726</v>
      </c>
      <c r="K679" s="119">
        <f ca="1">LOOKUP(D679,'模拟-单技能数据'!$A$2:$A$19,'模拟-单技能数据'!$J$2:$J$19)+IF(CM679,60%,0)+IF(DB678-DB679&gt;0,30%,0)+IF(OR(AND(OR(C679="赤日轮1",C679="赤日轮2",C679="赤日轮3"),CR679),AND(OR(C679="幽月轮1",C679="幽月轮2",C679="幽月轮3"),CS679)),35%,0)+CJ679</f>
        <v>0.24</v>
      </c>
      <c r="L679" s="119">
        <f ca="1">IF(AND(C679="烈日斩",模拟模式!$X$11=1),10%,0)+IF(AND(C679="驱夜断愁",AB679=1),30%,0)</f>
        <v>0.1</v>
      </c>
      <c r="M679" s="45">
        <f t="shared" ca="1" si="595"/>
        <v>0.56185145527300218</v>
      </c>
      <c r="N679" s="45">
        <f t="shared" ca="1" si="596"/>
        <v>0.38424854472699788</v>
      </c>
      <c r="O679" s="46">
        <f t="shared" ca="1" si="626"/>
        <v>0.71419449567604976</v>
      </c>
      <c r="P679" s="46" t="str">
        <f t="shared" ca="1" si="597"/>
        <v>命</v>
      </c>
      <c r="Q679" s="45">
        <f t="shared" ca="1" si="598"/>
        <v>1</v>
      </c>
      <c r="R679" s="117">
        <f ca="1">模拟模式!$E$20*(1-IF(模拟模式!$J$19="有",0.15,0))*(1-IF(模拟模式!$K$19="有",0.3,0)-IF(CQ679,0.5,0))</f>
        <v>843.02999999999975</v>
      </c>
      <c r="S679" s="45">
        <f ca="1">R679/(R679+(185*模拟模式!$E$22-16800)*4.08224)</f>
        <v>8.389626085980037E-2</v>
      </c>
      <c r="T679" s="45" t="str">
        <f ca="1">LOOKUP(D679,'模拟-单技能数据'!$A$2:$A$19,'模拟-单技能数据'!$H$2:$H$19)</f>
        <v>阳</v>
      </c>
      <c r="U679" s="119">
        <f t="shared" ca="1" si="599"/>
        <v>0.2</v>
      </c>
      <c r="V679" s="47">
        <f ca="1">(1+L679)*(LOOKUP(D679,'模拟-单技能数据'!$A$2:$A$19,'模拟-单技能数据'!$D$2:$D$19)+G679*LOOKUP(D679,'模拟-单技能数据'!$A$2:$A$19,'模拟-单技能数据'!$F$2:$F$19))*(1+J679)*(1+K679)*(1-S679)*(1+U679)*Q679*LOOKUP(D679,'模拟-单技能数据'!$A$2:$A$19,'模拟-单技能数据'!$I$2:$I$20)</f>
        <v>46789.769184608012</v>
      </c>
      <c r="W679" s="47">
        <f ca="1">LOOKUP(D679,'模拟-单技能数据'!$A$2:$A$19,'模拟-单技能数据'!$G$2:$G$19)*$I$10</f>
        <v>361.51064354704795</v>
      </c>
      <c r="X679" s="47">
        <f t="shared" ca="1" si="627"/>
        <v>33262.18371625166</v>
      </c>
      <c r="Y679" s="47">
        <f t="shared" ca="1" si="600"/>
        <v>80413.463544406724</v>
      </c>
      <c r="Z679" s="49">
        <f t="shared" ca="1" si="601"/>
        <v>68444353.044398531</v>
      </c>
      <c r="AA679" s="97">
        <f t="shared" ca="1" si="602"/>
        <v>113795.12368762823</v>
      </c>
      <c r="AB679" s="115">
        <f ca="1">IF(OR(C679="赤日轮1",C679="赤日轮2",C679="赤日轮3"),IF(RAND()&lt;模拟模式!$Y$17,1,0),IF(OR(C679="幽月轮1",C679="幽月轮2",C679="幽月轮3"),IF(RAND()&lt;模拟模式!$Y$18,1,0),IF(C679="烈日斩",IF(RAND()&lt;模拟模式!$Y$19,1,0),IF(C679="银月斩",IF(RAND()&lt;模拟模式!$Y$20,1,0),IF(C679="驱夜断愁",IF(RAND()&lt;模拟模式!$Y$21,1,0),IF(C679="净世破魔击·日",IF(RAND()&lt;模拟模式!$Y$22,1,0),IF(C679="净世破魔击·月",IF(RAND()&lt;模拟模式!$Y$23,1,0),0)))))))</f>
        <v>1</v>
      </c>
      <c r="AC679" s="115" t="b">
        <f t="shared" ca="1" si="603"/>
        <v>0</v>
      </c>
      <c r="AD679" s="115" t="b">
        <f t="shared" ca="1" si="604"/>
        <v>1</v>
      </c>
      <c r="AE679" s="115">
        <f t="shared" ca="1" si="605"/>
        <v>5</v>
      </c>
      <c r="AF679" s="47">
        <f ca="1">IF(AC679,('模拟-单技能数据'!$D$20+G679*'模拟-单技能数据'!$F$20)*(1+J679)*(1+'模拟-单技能数据'!$J$20)*(1+U679),0)</f>
        <v>0</v>
      </c>
      <c r="AG679" s="61">
        <f t="shared" ca="1" si="606"/>
        <v>0.64185145527300214</v>
      </c>
      <c r="AH679" s="61">
        <f t="shared" ca="1" si="607"/>
        <v>2.2624828854998791</v>
      </c>
      <c r="AI679" s="62">
        <f t="shared" ca="1" si="628"/>
        <v>0.16382575978096581</v>
      </c>
      <c r="AJ679" s="47">
        <f ca="1">IF(AD679,IF(AI679&lt;$F$10,0,IF(AI679&lt;$F$10+$F$11,0.25,IF(AI679&lt;$F$10+$F$11+AG679,AH679,1)))*IF(AF679&gt;0,AF679,IF(AF678&gt;0,AF678,IF(AF677&gt;0,AF677,IF(AF676&gt;0,AF676,IF(AF675&gt;0,AF675,IF(AF674&gt;0,AF674,IF(AF673&gt;0,AF673,IF(AF672&gt;0,AF672,IF(AF671&gt;0,AF671,IF(AF669&gt;0,AF669,IF(AF668&gt;0,AF668,IF(AF667&gt;0,AF667,0)))))))))))),0)*(1-$S679)*'模拟-单技能数据'!$I$20</f>
        <v>9218.9345386263849</v>
      </c>
      <c r="AK679" s="115" t="b">
        <f t="shared" ca="1" si="608"/>
        <v>0</v>
      </c>
      <c r="AL679" s="115" t="b">
        <f t="shared" ca="1" si="609"/>
        <v>1</v>
      </c>
      <c r="AM679" s="115">
        <f t="shared" ca="1" si="610"/>
        <v>3</v>
      </c>
      <c r="AN679" s="47">
        <f ca="1">IF(AK679,('模拟-单技能数据'!$D$21+G679*'模拟-单技能数据'!$F$21)*(1+J679)*(1+'模拟-单技能数据'!$J$21)*(1+U679),0)</f>
        <v>0</v>
      </c>
      <c r="AO679" s="61">
        <f ca="1">IF(AN679&gt;0,M679-'模拟-单技能数据'!$K$10,AO678)</f>
        <v>0.42185145527300216</v>
      </c>
      <c r="AP679" s="61">
        <f ca="1">IF(AN679&gt;0,I679-'模拟-单技能数据'!$L$10,AP678)</f>
        <v>2.162482885499879</v>
      </c>
      <c r="AQ679" s="63">
        <f t="shared" ca="1" si="629"/>
        <v>0.10605538846515972</v>
      </c>
      <c r="AR679" s="64">
        <f ca="1">IF(AL679,IF(AQ679&lt;$F$10,0,IF(AQ679&lt;$F$10+$F$11,0.25,IF(AQ679&lt;$F$10+$F$11+AO679,AP679,1)))*IF(AN679&gt;0,AN679,IF(AN678&gt;0,AN678,IF(AN677&gt;0,AN677,IF(AN676&gt;0,AN676,IF(AN675&gt;0,AN675,IF(AN674&gt;0,AN674,IF(AN673&gt;0,AN673,IF(AN672&gt;0,AN672,IF(AN671&gt;0,AN671,IF(AN669&gt;0,AN669,IF(AN668&gt;0,AN668,IF(AN667&gt;0,AN667,0)))))))))))),0)*(1-$S679)*'模拟-单技能数据'!$I$21</f>
        <v>24043.249177625272</v>
      </c>
      <c r="AS679" s="61">
        <f ca="1">IF(OR(C679="净世破魔击·日",C679="净世破魔击·月"),M679-'模拟-单技能数据'!$K$10,0)</f>
        <v>0</v>
      </c>
      <c r="AT679" s="61">
        <f ca="1">IF(OR(C679="净世破魔击·日",C679="净世破魔击·月"),I679-'模拟-单技能数据'!$L$10,0)</f>
        <v>0</v>
      </c>
      <c r="AU679" s="62">
        <f t="shared" ca="1" si="630"/>
        <v>0.38354733684226738</v>
      </c>
      <c r="AV679" s="64">
        <f ca="1">IF(AS679&gt;0,('模拟-单技能数据'!$D$22+G679*'模拟-单技能数据'!$F$22)*(1+J679)*(1-S679)*IF(AU679&lt;$F$10,0,IF(AU679&lt;$F$10+$F$11,0.25,IF(AU679&lt;$F$10+$F$11+AS679,AT679,1)))*(1+U679),0)*'模拟-单技能数据'!$I$22</f>
        <v>0</v>
      </c>
      <c r="AW679" s="108">
        <f t="shared" ca="1" si="631"/>
        <v>0</v>
      </c>
      <c r="AX679" s="108" t="b">
        <f ca="1">AND(模拟模式!$P$10="有",AW678=0,RAND()&lt;IF(C679="净世破魔击·月",0.1*8/3,IF(C679="净世破魔击·日",0.1*4/3,0.1*2/3)))</f>
        <v>0</v>
      </c>
      <c r="AY679" s="47">
        <f ca="1">IF(AX679,(18+G679*0.722)*(1+J679)*(1-S679)*(1+$I$4)*IF(P679="会",'模拟-全程加成'!$J$3+'模拟-全程加成'!$J$4+'模拟-全程加成'!$J$5+('模拟-全程加成'!$I$4+'模拟-全程加成'!$I$5)/系数!$B$4+BG679*10%,IF(P679="命",1,IF(P679="识",0.25,0))),0)</f>
        <v>0</v>
      </c>
      <c r="AZ679" s="108">
        <f t="shared" si="632"/>
        <v>7.0850000000000071</v>
      </c>
      <c r="BA679" s="108" t="b">
        <f>AND(模拟模式!$Q$10="有",AZ678=0)</f>
        <v>0</v>
      </c>
      <c r="BB679" s="140">
        <f>IF(BA679,(0+G679*0.287)*(1+J679)*(1-S679)*(1+$I$4)*IF(P679="会",'模拟-全程加成'!$J$3+'模拟-全程加成'!$J$4+'模拟-全程加成'!$J$5+('模拟-全程加成'!$I$4+'模拟-全程加成'!$I$5)/系数!$B$4+BG679*10%,IF(P679="命",1,IF(P679="识",0.25,0))),0)</f>
        <v>0</v>
      </c>
      <c r="BC679" s="115" t="b">
        <f ca="1">AND(模拟模式!$R$7="伏明众生",E679=60,F679=20,DA679&lt;5,CZ678&lt;$F$4)</f>
        <v>0</v>
      </c>
      <c r="BD679" s="115">
        <f t="shared" ca="1" si="611"/>
        <v>0</v>
      </c>
      <c r="BE679" s="115" t="b">
        <f t="shared" ca="1" si="612"/>
        <v>0</v>
      </c>
      <c r="BF679" s="47">
        <f ca="1">IF(BC679,4*('模拟-单技能数据'!$D$24+G679*'模拟-单技能数据'!$F$24)*(1+J679)*(1+'模拟-单技能数据'!$J$24)*(1-S679)*(1+$I$3)*(('模拟-全程加成'!$J$3+'模拟-全程加成'!$J$4+'模拟-全程加成'!$J$5+('模拟-全程加成'!$I$4+'模拟-全程加成'!$I$5)/系数!$B$4+BG679*10%)*('模拟-全程加成'!$J$3+'模拟-全程加成'!$J$4+'模拟-全程加成'!$J$5+('模拟-全程加成'!$I$4+'模拟-全程加成'!$I$5)/系数!$B$4+BG679*10%)+(1-('模拟-全程加成'!$J$3+'模拟-全程加成'!$J$4+'模拟-全程加成'!$J$5+('模拟-全程加成'!$I$4+'模拟-全程加成'!$I$5)/系数!$B$4+BG679*10%)-$F$10-$F$11)+F665*0.25),0)*'模拟-单技能数据'!$I$24</f>
        <v>0</v>
      </c>
      <c r="BG679" s="115" t="b">
        <f ca="1">OR(AND(OR(C679="烈日斩",C679="银月斩"),模拟模式!$I$7="净身明礼"),AND(C679="净世破魔击·日",模拟模式!$J$7="洞若观火"),AND(C680="净世破魔击·月",模拟模式!$J$7="洞若观火"),AB679=1)</f>
        <v>1</v>
      </c>
      <c r="BH679" s="115" t="b">
        <f t="shared" ca="1" si="633"/>
        <v>0</v>
      </c>
      <c r="BI679" s="115">
        <f t="shared" ca="1" si="613"/>
        <v>0</v>
      </c>
      <c r="BJ679" s="115" t="b">
        <f t="shared" ca="1" si="614"/>
        <v>0</v>
      </c>
      <c r="BK679" s="115" t="b">
        <f ca="1">AND(C679="驱夜断愁",模拟模式!$P$7="天地诛戮")</f>
        <v>0</v>
      </c>
      <c r="BL679" s="57">
        <f t="shared" ca="1" si="615"/>
        <v>19.077500000000001</v>
      </c>
      <c r="BM679" s="115" t="b">
        <f t="shared" ca="1" si="616"/>
        <v>1</v>
      </c>
      <c r="BN679" s="115" t="b">
        <f ca="1">AND(OR(C679="赤日轮1",C679="赤日轮2",C679="赤日轮3",C679="幽月轮1",C679="幽月轮2",C679="幽月轮3"),AB679=1,模拟模式!$L$7="明光恒照")</f>
        <v>0</v>
      </c>
      <c r="BO679" s="117">
        <f t="shared" ca="1" si="617"/>
        <v>27.232500000000002</v>
      </c>
      <c r="BP679" s="115">
        <f t="shared" ca="1" si="634"/>
        <v>6</v>
      </c>
      <c r="BQ679" s="115" t="b">
        <f>模拟模式!$K$10="2600·水"</f>
        <v>0</v>
      </c>
      <c r="BR679" s="117">
        <f t="shared" si="635"/>
        <v>0</v>
      </c>
      <c r="BS679" s="115">
        <f t="shared" si="636"/>
        <v>0</v>
      </c>
      <c r="BT679" s="115">
        <f t="shared" ca="1" si="637"/>
        <v>0</v>
      </c>
      <c r="BU679" s="115" t="b">
        <f ca="1">AND(模拟模式!$K$10="2300·雷",BT678=0,RAND()&lt;IF(C679="净世破魔击·月",5*0.05*2/3,IF(C679="净世破魔击·日",3*0.05*2/3,0.05*2*2/3)))</f>
        <v>0</v>
      </c>
      <c r="BV679" s="115">
        <f t="shared" ca="1" si="638"/>
        <v>0</v>
      </c>
      <c r="BW679" s="115">
        <f t="shared" ca="1" si="639"/>
        <v>136.64249999999936</v>
      </c>
      <c r="BX679" s="164" t="b">
        <f t="shared" ca="1" si="640"/>
        <v>0</v>
      </c>
      <c r="BY679" s="115">
        <f t="shared" ca="1" si="641"/>
        <v>0</v>
      </c>
      <c r="BZ679" s="115">
        <f>IF(OR(模拟模式!$P$16="10人团",模拟模式!$P$16="25人团"),IF(B679/30&gt;CA678,1,0),0)</f>
        <v>0</v>
      </c>
      <c r="CA679" s="115">
        <f t="shared" si="618"/>
        <v>0</v>
      </c>
      <c r="CB679" s="115">
        <f ca="1">IF(BZ679=1,IF(模拟模式!$P$16="10人团",15,0)+IF(模拟模式!$P$16="25人团",IF(RAND()&lt;0.6,15,0)),MAX(0,CB678-$F$4))</f>
        <v>0</v>
      </c>
      <c r="CC679" s="115" t="b">
        <f t="shared" ca="1" si="619"/>
        <v>0</v>
      </c>
      <c r="CD679" s="115">
        <f>IF(模拟模式!$Q$16="1个",IF(B679/40&gt;CE678,1,0),0)</f>
        <v>0</v>
      </c>
      <c r="CE679" s="115">
        <f t="shared" si="620"/>
        <v>0</v>
      </c>
      <c r="CF679" s="115">
        <f>IF(OR(CD679=1,模拟模式!$Q$16="2个"),20,MAX(0,CF678-$F$4))</f>
        <v>0</v>
      </c>
      <c r="CG679" s="115" t="b">
        <f t="shared" si="621"/>
        <v>0</v>
      </c>
      <c r="CH679" s="115">
        <f t="shared" ca="1" si="642"/>
        <v>18.007500000000007</v>
      </c>
      <c r="CI679" s="115" t="b">
        <f t="shared" ca="1" si="643"/>
        <v>0</v>
      </c>
      <c r="CJ679" s="119">
        <f t="shared" ca="1" si="644"/>
        <v>0</v>
      </c>
      <c r="CK679" s="115">
        <f t="shared" ca="1" si="645"/>
        <v>0</v>
      </c>
      <c r="CL679" s="115" t="b">
        <f ca="1">AND(模拟模式!$S$7="驱夷逐法",OR(AND(C679="净世破魔击·月",E678&gt;59),AND(C679="净世破魔击·日",F678&gt;59)))</f>
        <v>0</v>
      </c>
      <c r="CM679" s="115" t="b">
        <f ca="1">OR(CL679,AND(C679="净世破魔击·日",CL678,RAND()&lt;模拟模式!$U$23))</f>
        <v>0</v>
      </c>
      <c r="CN679" s="115" t="b">
        <f ca="1">IF(模拟模式!$M$7="辉耀红尘",AND(C679="净世破魔击·月",CL679,CV679=0,E678&lt;80),AND(C679="净世破魔击·月",CL679,E678&lt;100))</f>
        <v>0</v>
      </c>
      <c r="CO679" s="115" t="b">
        <f t="shared" ca="1" si="622"/>
        <v>0</v>
      </c>
      <c r="CP679" s="115" t="b">
        <f ca="1">AND(模拟模式!$O$7="用晦而明",OR(C679="净世破魔击·日",C679="净世破魔击·月",C679="驱夜断愁"),AB679)</f>
        <v>0</v>
      </c>
      <c r="CQ679" s="115" t="b">
        <f ca="1">OR(CP679,AND(CP678,RAND()&lt;模拟模式!$U$23))</f>
        <v>1</v>
      </c>
      <c r="CR679" s="115" t="b">
        <f ca="1">AND(模拟模式!$S$7="日月齐光",OR(C679="幽月轮1",C679="幽月轮2",C679="幽月轮3",CR678),NOT(OR(C679="赤日轮1",C679="赤日轮2",C679="赤日轮3")))</f>
        <v>0</v>
      </c>
      <c r="CS679" s="115" t="b">
        <f ca="1">AND(模拟模式!$S$7="日月齐光",OR(C679="赤日轮1",C679="赤日轮2",C679="赤日轮3",CS678),NOT(OR(C679="幽月轮1",C679="幽月轮2",C679="幽月轮3")))</f>
        <v>0</v>
      </c>
      <c r="CT679" s="115">
        <f t="shared" ca="1" si="646"/>
        <v>14.31750000000001</v>
      </c>
      <c r="CU679" s="115" t="b">
        <f ca="1">AND(模拟模式!$K$10="阴阳往极",CT678=0,RAND()&lt;IF(C679="净世破魔击·月",0.0275*7/3,IF(C679="净世破魔击·日",0.0275*3/3,0.0275*2/3)))</f>
        <v>0</v>
      </c>
      <c r="CV679" s="115">
        <f t="shared" ca="1" si="647"/>
        <v>0</v>
      </c>
      <c r="CW679" s="115">
        <f t="shared" ca="1" si="648"/>
        <v>6</v>
      </c>
      <c r="CX679" s="115">
        <f t="shared" ca="1" si="649"/>
        <v>4.1549999999999994</v>
      </c>
      <c r="CY679" s="115">
        <f ca="1">MAX(IF($C679="驱夜断愁",IF(模拟模式!$R$7="万念俱寂",6,45),CY678-$F$4),0)</f>
        <v>5.0774999999999997</v>
      </c>
      <c r="CZ679" s="115">
        <f t="shared" ca="1" si="623"/>
        <v>0</v>
      </c>
      <c r="DA679" s="115">
        <f ca="1">IF(模拟模式!$N$7="日月同辉",IF(DB678=2,0,MIN(6,IF(AND(OR(C679="赤日轮1",C679="赤日轮2",C679="赤日轮3",C679="幽月轮1",C679="幽月轮2",C679="幽月轮3"),AB679=1),DA678+1,DA678))),0)</f>
        <v>4</v>
      </c>
      <c r="DB679" s="115">
        <f t="shared" ca="1" si="624"/>
        <v>0</v>
      </c>
      <c r="DC679" s="115"/>
      <c r="DD679" s="115"/>
      <c r="DE679" s="115"/>
      <c r="DF679" s="115"/>
      <c r="DG679" s="115"/>
      <c r="DH679" s="115"/>
      <c r="DI679" s="115"/>
      <c r="DJ679" s="115"/>
      <c r="DK679" s="115"/>
      <c r="DL679" s="115"/>
      <c r="DM679" s="115"/>
    </row>
    <row r="680" spans="2:117" x14ac:dyDescent="0.2">
      <c r="B680" s="117">
        <f t="shared" si="625"/>
        <v>602.39250000000686</v>
      </c>
      <c r="C680" s="167" t="str">
        <f t="shared" ca="1" si="594"/>
        <v>幽月轮1</v>
      </c>
      <c r="D680" s="115">
        <f ca="1">IF(C680="赤日轮1",1,IF(C680="赤日轮2",2,IF(C680="赤日轮3",3,IF(C680="幽月轮1",4,IF(C680="幽月轮2",5,IF(C680="幽月轮3",6,IF(C680="烈日斩",7,IF(C680="银月斩",8,IF(C680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680="净世破魔击·月",17,IF(C680="驱夜断愁",18,0)))))))))))</f>
        <v>4</v>
      </c>
      <c r="E680" s="115">
        <f ca="1">IF(AND(CU680,OR(C680="幽月轮1",C680="幽月轮2",C680="幽月轮3",C680="银月斩",C680="驱夜断愁",C680="净世破魔击·月")),100,MIN(IF(OR(CN680,BE680),0,IF(OR($C680="赤日轮1",$C680="赤日轮2",$C680="赤日轮3"),E679+20+IF(模拟模式!$I$7="日月凌天",4,0)+IF(CR679,20,0),IF($C680="烈日斩",E679+40,IF($C680="驱夜断愁",IF(模拟模式!$R$7="万念俱寂",E679+20,E679+60),IF($C680="净世破魔击·月",IF(OR(DB679&gt;0,CV679&gt;0),100,IF(模拟模式!$M$7="辉耀红尘",E679+20,E679)),IF($C680="净世破魔击·日",E679-100,E679)))))),100))</f>
        <v>80</v>
      </c>
      <c r="F680" s="115">
        <f ca="1">IF(AND(CU680,OR(C680="赤日轮1",C680="赤日轮2",C680="赤日轮3",C680="烈日斩",C680="净世破魔击·日")),100,MIN(IF(CO680,0,IF(OR($C680="幽月轮1",$C680="幽月轮2",$C680="幽月轮3"),F679+20+IF(模拟模式!$I$7="日月凌天",4,0)+IF(CS679,20,0),IF($C680="银月斩",F679+40+IF(模拟模式!$X$12=1,5,0),IF($C680="驱夜断愁",IF(模拟模式!$R$7="万念俱寂",F679+20,F679+60),IF($C680="净世破魔击·月",IF(模拟模式!$M$7="辉耀红尘",F679-80,F679-100),IF(AND(C680="净世破魔击·日",OR(DB679&gt;0,CV679&gt;0)),100,F679)))))),100))</f>
        <v>100</v>
      </c>
      <c r="G680" s="117">
        <f ca="1">('模拟-全程加成'!$E$3+'模拟-全程加成'!$E$4+'模拟-全程加成'!$E$5+('模拟-全程加成'!$C$6-'模拟-全程加成'!$C$3)*系数!$B$9+BS680*23)*(1+'模拟-全程加成'!$F$4+'模拟-全程加成'!$F$5+BJ680*10%+BM680*20%+BP680*4%+CG680*30%)+$F$7*系数!$B$12</f>
        <v>20583.127400000001</v>
      </c>
      <c r="H680" s="45">
        <f ca="1">'模拟-全程加成'!$H$3+'模拟-全程加成'!$H$4+'模拟-全程加成'!$H$5+('模拟-全程加成'!$G$4+'模拟-全程加成'!$G$5+('模拟-全程加成'!$C$6-'模拟-全程加成'!$C$3)*系数!$B$13)/系数!$B$3+LOOKUP(D680,'模拟-单技能数据'!$A$2:$A$19,'模拟-单技能数据'!$K$2:$K$19)+BG680*10%+IF(BV680&gt;0,378,0)</f>
        <v>0.51185145527300213</v>
      </c>
      <c r="I680" s="45">
        <f ca="1">'模拟-全程加成'!$J$3+'模拟-全程加成'!$J$4+'模拟-全程加成'!$J$5+('模拟-全程加成'!$I$4+'模拟-全程加成'!$I$5)/系数!$B$4+LOOKUP(D680,'模拟-单技能数据'!$A$2:$A$19,'模拟-单技能数据'!$L$2:$L$19)+BG680*10%</f>
        <v>2.162482885499879</v>
      </c>
      <c r="J680" s="45">
        <f ca="1">(('模拟-全程加成'!$K$3+'模拟-全程加成'!$K$4+'模拟-全程加成'!$K$5+('模拟-全程加成'!$C$6-'模拟-全程加成'!$C$3)*系数!$B$10+IF(BV680&gt;0,882,0)+IF(BY680&gt;0,1831,0))*(1+'模拟-全程加成'!$L$4+'模拟-全程加成'!$L$5+CC680*20%))/系数!$B$5</f>
        <v>0.69723220422048726</v>
      </c>
      <c r="K680" s="119">
        <f ca="1">LOOKUP(D680,'模拟-单技能数据'!$A$2:$A$19,'模拟-单技能数据'!$J$2:$J$19)+IF(CM680,60%,0)+IF(DB679-DB680&gt;0,30%,0)+IF(OR(AND(OR(C680="赤日轮1",C680="赤日轮2",C680="赤日轮3"),CR680),AND(OR(C680="幽月轮1",C680="幽月轮2",C680="幽月轮3"),CS680)),35%,0)+CJ680</f>
        <v>7.0000000000000007E-2</v>
      </c>
      <c r="L680" s="119">
        <f ca="1">IF(AND(C680="烈日斩",模拟模式!$X$11=1),10%,0)+IF(AND(C680="驱夜断愁",AB680=1),30%,0)</f>
        <v>0</v>
      </c>
      <c r="M680" s="45">
        <f t="shared" ca="1" si="595"/>
        <v>0.51185145527300213</v>
      </c>
      <c r="N680" s="45">
        <f t="shared" ca="1" si="596"/>
        <v>0.43424854472699792</v>
      </c>
      <c r="O680" s="46">
        <f t="shared" ca="1" si="626"/>
        <v>0.79646876381343745</v>
      </c>
      <c r="P680" s="46" t="str">
        <f t="shared" ca="1" si="597"/>
        <v>命</v>
      </c>
      <c r="Q680" s="45">
        <f t="shared" ca="1" si="598"/>
        <v>1</v>
      </c>
      <c r="R680" s="117">
        <f ca="1">模拟模式!$E$20*(1-IF(模拟模式!$J$19="有",0.15,0))*(1-IF(模拟模式!$K$19="有",0.3,0)-IF(CQ680,0.5,0))</f>
        <v>2950.6049999999996</v>
      </c>
      <c r="S680" s="45">
        <f ca="1">R680/(R680+(185*模拟模式!$E$22-16800)*4.08224)</f>
        <v>0.24272716014590323</v>
      </c>
      <c r="T680" s="45" t="str">
        <f ca="1">LOOKUP(D680,'模拟-单技能数据'!$A$2:$A$19,'模拟-单技能数据'!$H$2:$H$19)</f>
        <v>阴</v>
      </c>
      <c r="U680" s="119">
        <f t="shared" ca="1" si="599"/>
        <v>0.08</v>
      </c>
      <c r="V680" s="47">
        <f ca="1">(1+L680)*(LOOKUP(D680,'模拟-单技能数据'!$A$2:$A$19,'模拟-单技能数据'!$D$2:$D$19)+G680*LOOKUP(D680,'模拟-单技能数据'!$A$2:$A$19,'模拟-单技能数据'!$F$2:$F$19))*(1+J680)*(1+K680)*(1-S680)*(1+U680)*Q680*LOOKUP(D680,'模拟-单技能数据'!$A$2:$A$19,'模拟-单技能数据'!$I$2:$I$20)</f>
        <v>16226.218300318291</v>
      </c>
      <c r="W680" s="47">
        <f ca="1">LOOKUP(D680,'模拟-单技能数据'!$A$2:$A$19,'模拟-单技能数据'!$G$2:$G$19)*$I$10</f>
        <v>361.51064354704795</v>
      </c>
      <c r="X680" s="47">
        <f t="shared" ca="1" si="627"/>
        <v>0</v>
      </c>
      <c r="Y680" s="47">
        <f t="shared" ca="1" si="600"/>
        <v>16587.728943865339</v>
      </c>
      <c r="Z680" s="49">
        <f t="shared" ca="1" si="601"/>
        <v>68460940.773342401</v>
      </c>
      <c r="AA680" s="97">
        <f t="shared" ca="1" si="602"/>
        <v>113648.39498058429</v>
      </c>
      <c r="AB680" s="115">
        <f ca="1">IF(OR(C680="赤日轮1",C680="赤日轮2",C680="赤日轮3"),IF(RAND()&lt;模拟模式!$Y$17,1,0),IF(OR(C680="幽月轮1",C680="幽月轮2",C680="幽月轮3"),IF(RAND()&lt;模拟模式!$Y$18,1,0),IF(C680="烈日斩",IF(RAND()&lt;模拟模式!$Y$19,1,0),IF(C680="银月斩",IF(RAND()&lt;模拟模式!$Y$20,1,0),IF(C680="驱夜断愁",IF(RAND()&lt;模拟模式!$Y$21,1,0),IF(C680="净世破魔击·日",IF(RAND()&lt;模拟模式!$Y$22,1,0),IF(C680="净世破魔击·月",IF(RAND()&lt;模拟模式!$Y$23,1,0),0)))))))</f>
        <v>1</v>
      </c>
      <c r="AC680" s="115" t="b">
        <f t="shared" ca="1" si="603"/>
        <v>0</v>
      </c>
      <c r="AD680" s="115" t="b">
        <f t="shared" ca="1" si="604"/>
        <v>0</v>
      </c>
      <c r="AE680" s="115">
        <f t="shared" ca="1" si="605"/>
        <v>5</v>
      </c>
      <c r="AF680" s="47">
        <f ca="1">IF(AC680,('模拟-单技能数据'!$D$20+G680*'模拟-单技能数据'!$F$20)*(1+J680)*(1+'模拟-单技能数据'!$J$20)*(1+U680),0)</f>
        <v>0</v>
      </c>
      <c r="AG680" s="61">
        <f t="shared" ca="1" si="606"/>
        <v>0.64185145527300214</v>
      </c>
      <c r="AH680" s="61">
        <f t="shared" ca="1" si="607"/>
        <v>2.2624828854998791</v>
      </c>
      <c r="AI680" s="62">
        <f t="shared" ca="1" si="628"/>
        <v>0.95059344039143379</v>
      </c>
      <c r="AJ680" s="47">
        <f ca="1">IF(AD680,IF(AI680&lt;$F$10,0,IF(AI680&lt;$F$10+$F$11,0.25,IF(AI680&lt;$F$10+$F$11+AG680,AH680,1)))*IF(AF680&gt;0,AF680,IF(AF679&gt;0,AF679,IF(AF678&gt;0,AF678,IF(AF677&gt;0,AF677,IF(AF676&gt;0,AF676,IF(AF675&gt;0,AF675,IF(AF674&gt;0,AF674,IF(AF673&gt;0,AF673,IF(AF672&gt;0,AF672,IF(AF670&gt;0,AF670,IF(AF669&gt;0,AF669,IF(AF668&gt;0,AF668,0)))))))))))),0)*(1-$S680)*'模拟-单技能数据'!$I$20</f>
        <v>0</v>
      </c>
      <c r="AK680" s="115" t="b">
        <f t="shared" ca="1" si="608"/>
        <v>0</v>
      </c>
      <c r="AL680" s="115" t="b">
        <f t="shared" ca="1" si="609"/>
        <v>0</v>
      </c>
      <c r="AM680" s="115">
        <f t="shared" ca="1" si="610"/>
        <v>3</v>
      </c>
      <c r="AN680" s="47">
        <f ca="1">IF(AK680,('模拟-单技能数据'!$D$21+G680*'模拟-单技能数据'!$F$21)*(1+J680)*(1+'模拟-单技能数据'!$J$21)*(1+U680),0)</f>
        <v>0</v>
      </c>
      <c r="AO680" s="61">
        <f ca="1">IF(AN680&gt;0,M680-'模拟-单技能数据'!$K$10,AO679)</f>
        <v>0.42185145527300216</v>
      </c>
      <c r="AP680" s="61">
        <f ca="1">IF(AN680&gt;0,I680-'模拟-单技能数据'!$L$10,AP679)</f>
        <v>2.162482885499879</v>
      </c>
      <c r="AQ680" s="63">
        <f t="shared" ca="1" si="629"/>
        <v>0.58756779358559064</v>
      </c>
      <c r="AR680" s="64">
        <f ca="1">IF(AL680,IF(AQ680&lt;$F$10,0,IF(AQ680&lt;$F$10+$F$11,0.25,IF(AQ680&lt;$F$10+$F$11+AO680,AP680,1)))*IF(AN680&gt;0,AN680,IF(AN679&gt;0,AN679,IF(AN678&gt;0,AN678,IF(AN677&gt;0,AN677,IF(AN676&gt;0,AN676,IF(AN675&gt;0,AN675,IF(AN674&gt;0,AN674,IF(AN673&gt;0,AN673,IF(AN672&gt;0,AN672,IF(AN670&gt;0,AN670,IF(AN669&gt;0,AN669,IF(AN668&gt;0,AN668,0)))))))))))),0)*(1-$S680)*'模拟-单技能数据'!$I$21</f>
        <v>0</v>
      </c>
      <c r="AS680" s="61">
        <f ca="1">IF(OR(C680="净世破魔击·日",C680="净世破魔击·月"),M680-'模拟-单技能数据'!$K$10,0)</f>
        <v>0</v>
      </c>
      <c r="AT680" s="61">
        <f ca="1">IF(OR(C680="净世破魔击·日",C680="净世破魔击·月"),I680-'模拟-单技能数据'!$L$10,0)</f>
        <v>0</v>
      </c>
      <c r="AU680" s="62">
        <f t="shared" ca="1" si="630"/>
        <v>0.90749482352502964</v>
      </c>
      <c r="AV680" s="64">
        <f ca="1">IF(AS680&gt;0,('模拟-单技能数据'!$D$22+G680*'模拟-单技能数据'!$F$22)*(1+J680)*(1-S680)*IF(AU680&lt;$F$10,0,IF(AU680&lt;$F$10+$F$11,0.25,IF(AU680&lt;$F$10+$F$11+AS680,AT680,1)))*(1+U680),0)*'模拟-单技能数据'!$I$22</f>
        <v>0</v>
      </c>
      <c r="AW680" s="108">
        <f t="shared" ca="1" si="631"/>
        <v>0</v>
      </c>
      <c r="AX680" s="108" t="b">
        <f ca="1">AND(模拟模式!$P$10="有",AW679=0,RAND()&lt;IF(C680="净世破魔击·月",0.1*8/3,IF(C680="净世破魔击·日",0.1*4/3,0.1*2/3)))</f>
        <v>0</v>
      </c>
      <c r="AY680" s="47">
        <f ca="1">IF(AX680,(18+G680*0.722)*(1+J680)*(1-S680)*(1+$I$4)*IF(P680="会",'模拟-全程加成'!$J$3+'模拟-全程加成'!$J$4+'模拟-全程加成'!$J$5+('模拟-全程加成'!$I$4+'模拟-全程加成'!$I$5)/系数!$B$4+BG680*10%,IF(P680="命",1,IF(P680="识",0.25,0))),0)</f>
        <v>0</v>
      </c>
      <c r="AZ680" s="108">
        <f t="shared" si="632"/>
        <v>6.1625000000000068</v>
      </c>
      <c r="BA680" s="108" t="b">
        <f>AND(模拟模式!$Q$10="有",AZ679=0)</f>
        <v>0</v>
      </c>
      <c r="BB680" s="140">
        <f>IF(BA680,(0+G680*0.287)*(1+J680)*(1-S680)*(1+$I$4)*IF(P680="会",'模拟-全程加成'!$J$3+'模拟-全程加成'!$J$4+'模拟-全程加成'!$J$5+('模拟-全程加成'!$I$4+'模拟-全程加成'!$I$5)/系数!$B$4+BG680*10%,IF(P680="命",1,IF(P680="识",0.25,0))),0)</f>
        <v>0</v>
      </c>
      <c r="BC680" s="115" t="b">
        <f ca="1">AND(模拟模式!$R$7="伏明众生",E680=60,F680=20,DA680&lt;5,CZ679&lt;$F$4)</f>
        <v>0</v>
      </c>
      <c r="BD680" s="115">
        <f t="shared" ca="1" si="611"/>
        <v>0</v>
      </c>
      <c r="BE680" s="115" t="b">
        <f t="shared" ca="1" si="612"/>
        <v>0</v>
      </c>
      <c r="BF680" s="47">
        <f ca="1">IF(BC680,4*('模拟-单技能数据'!$D$24+G680*'模拟-单技能数据'!$F$24)*(1+J680)*(1+'模拟-单技能数据'!$J$24)*(1-S680)*(1+$I$3)*(('模拟-全程加成'!$J$3+'模拟-全程加成'!$J$4+'模拟-全程加成'!$J$5+('模拟-全程加成'!$I$4+'模拟-全程加成'!$I$5)/系数!$B$4+BG680*10%)*('模拟-全程加成'!$J$3+'模拟-全程加成'!$J$4+'模拟-全程加成'!$J$5+('模拟-全程加成'!$I$4+'模拟-全程加成'!$I$5)/系数!$B$4+BG680*10%)+(1-('模拟-全程加成'!$J$3+'模拟-全程加成'!$J$4+'模拟-全程加成'!$J$5+('模拟-全程加成'!$I$4+'模拟-全程加成'!$I$5)/系数!$B$4+BG680*10%)-$F$10-$F$11)+F666*0.25),0)*'模拟-单技能数据'!$I$24</f>
        <v>0</v>
      </c>
      <c r="BG680" s="115" t="b">
        <f ca="1">OR(AND(OR(C680="烈日斩",C680="银月斩"),模拟模式!$I$7="净身明礼"),AND(C680="净世破魔击·日",模拟模式!$J$7="洞若观火"),AND(C681="净世破魔击·月",模拟模式!$J$7="洞若观火"),AB680=1)</f>
        <v>1</v>
      </c>
      <c r="BH680" s="115" t="b">
        <f t="shared" ca="1" si="633"/>
        <v>0</v>
      </c>
      <c r="BI680" s="115">
        <f t="shared" ca="1" si="613"/>
        <v>0</v>
      </c>
      <c r="BJ680" s="115" t="b">
        <f t="shared" ca="1" si="614"/>
        <v>0</v>
      </c>
      <c r="BK680" s="115" t="b">
        <f ca="1">AND(C680="驱夜断愁",模拟模式!$P$7="天地诛戮")</f>
        <v>0</v>
      </c>
      <c r="BL680" s="57">
        <f t="shared" ca="1" si="615"/>
        <v>18.155000000000001</v>
      </c>
      <c r="BM680" s="115" t="b">
        <f t="shared" ca="1" si="616"/>
        <v>1</v>
      </c>
      <c r="BN680" s="115" t="b">
        <f ca="1">AND(OR(C680="赤日轮1",C680="赤日轮2",C680="赤日轮3",C680="幽月轮1",C680="幽月轮2",C680="幽月轮3"),AB680=1,模拟模式!$L$7="明光恒照")</f>
        <v>1</v>
      </c>
      <c r="BO680" s="117">
        <f t="shared" ca="1" si="617"/>
        <v>30</v>
      </c>
      <c r="BP680" s="115">
        <f t="shared" ca="1" si="634"/>
        <v>6</v>
      </c>
      <c r="BQ680" s="115" t="b">
        <f>模拟模式!$K$10="2600·水"</f>
        <v>0</v>
      </c>
      <c r="BR680" s="117">
        <f t="shared" si="635"/>
        <v>0</v>
      </c>
      <c r="BS680" s="115">
        <f t="shared" si="636"/>
        <v>0</v>
      </c>
      <c r="BT680" s="115">
        <f t="shared" ca="1" si="637"/>
        <v>0</v>
      </c>
      <c r="BU680" s="115" t="b">
        <f ca="1">AND(模拟模式!$K$10="2300·雷",BT679=0,RAND()&lt;IF(C680="净世破魔击·月",5*0.05*2/3,IF(C680="净世破魔击·日",3*0.05*2/3,0.05*2*2/3)))</f>
        <v>0</v>
      </c>
      <c r="BV680" s="115">
        <f t="shared" ca="1" si="638"/>
        <v>0</v>
      </c>
      <c r="BW680" s="115">
        <f t="shared" ca="1" si="639"/>
        <v>135.71999999999935</v>
      </c>
      <c r="BX680" s="164" t="b">
        <f t="shared" ca="1" si="640"/>
        <v>0</v>
      </c>
      <c r="BY680" s="115">
        <f t="shared" ca="1" si="641"/>
        <v>0</v>
      </c>
      <c r="BZ680" s="115">
        <f>IF(OR(模拟模式!$P$16="10人团",模拟模式!$P$16="25人团"),IF(B680/30&gt;CA679,1,0),0)</f>
        <v>0</v>
      </c>
      <c r="CA680" s="115">
        <f t="shared" si="618"/>
        <v>0</v>
      </c>
      <c r="CB680" s="115">
        <f ca="1">IF(BZ680=1,IF(模拟模式!$P$16="10人团",15,0)+IF(模拟模式!$P$16="25人团",IF(RAND()&lt;0.6,15,0)),MAX(0,CB679-$F$4))</f>
        <v>0</v>
      </c>
      <c r="CC680" s="115" t="b">
        <f t="shared" ca="1" si="619"/>
        <v>0</v>
      </c>
      <c r="CD680" s="115">
        <f>IF(模拟模式!$Q$16="1个",IF(B680/40&gt;CE679,1,0),0)</f>
        <v>0</v>
      </c>
      <c r="CE680" s="115">
        <f t="shared" si="620"/>
        <v>0</v>
      </c>
      <c r="CF680" s="115">
        <f>IF(OR(CD680=1,模拟模式!$Q$16="2个"),20,MAX(0,CF679-$F$4))</f>
        <v>0</v>
      </c>
      <c r="CG680" s="115" t="b">
        <f t="shared" si="621"/>
        <v>0</v>
      </c>
      <c r="CH680" s="115">
        <f t="shared" ca="1" si="642"/>
        <v>17.085000000000008</v>
      </c>
      <c r="CI680" s="115" t="b">
        <f t="shared" ca="1" si="643"/>
        <v>0</v>
      </c>
      <c r="CJ680" s="119">
        <f t="shared" ca="1" si="644"/>
        <v>0</v>
      </c>
      <c r="CK680" s="115">
        <f t="shared" ca="1" si="645"/>
        <v>0</v>
      </c>
      <c r="CL680" s="115" t="b">
        <f ca="1">AND(模拟模式!$S$7="驱夷逐法",OR(AND(C680="净世破魔击·月",E679&gt;59),AND(C680="净世破魔击·日",F679&gt;59)))</f>
        <v>0</v>
      </c>
      <c r="CM680" s="115" t="b">
        <f ca="1">OR(CL680,AND(C680="净世破魔击·日",CL679,RAND()&lt;模拟模式!$U$23))</f>
        <v>0</v>
      </c>
      <c r="CN680" s="115" t="b">
        <f ca="1">IF(模拟模式!$M$7="辉耀红尘",AND(C680="净世破魔击·月",CL680,CV680=0,E679&lt;80),AND(C680="净世破魔击·月",CL680,E679&lt;100))</f>
        <v>0</v>
      </c>
      <c r="CO680" s="115" t="b">
        <f t="shared" ca="1" si="622"/>
        <v>0</v>
      </c>
      <c r="CP680" s="115" t="b">
        <f ca="1">AND(模拟模式!$O$7="用晦而明",OR(C680="净世破魔击·日",C680="净世破魔击·月",C680="驱夜断愁"),AB680)</f>
        <v>0</v>
      </c>
      <c r="CQ680" s="115" t="b">
        <f ca="1">OR(CP680,AND(CP679,RAND()&lt;模拟模式!$U$23))</f>
        <v>0</v>
      </c>
      <c r="CR680" s="115" t="b">
        <f ca="1">AND(模拟模式!$S$7="日月齐光",OR(C680="幽月轮1",C680="幽月轮2",C680="幽月轮3",CR679),NOT(OR(C680="赤日轮1",C680="赤日轮2",C680="赤日轮3")))</f>
        <v>0</v>
      </c>
      <c r="CS680" s="115" t="b">
        <f ca="1">AND(模拟模式!$S$7="日月齐光",OR(C680="赤日轮1",C680="赤日轮2",C680="赤日轮3",CS679),NOT(OR(C680="幽月轮1",C680="幽月轮2",C680="幽月轮3")))</f>
        <v>0</v>
      </c>
      <c r="CT680" s="115">
        <f t="shared" ca="1" si="646"/>
        <v>13.39500000000001</v>
      </c>
      <c r="CU680" s="115" t="b">
        <f ca="1">AND(模拟模式!$K$10="阴阳往极",CT679=0,RAND()&lt;IF(C680="净世破魔击·月",0.0275*7/3,IF(C680="净世破魔击·日",0.0275*3/3,0.0275*2/3)))</f>
        <v>0</v>
      </c>
      <c r="CV680" s="115">
        <f t="shared" ca="1" si="647"/>
        <v>0</v>
      </c>
      <c r="CW680" s="115">
        <f t="shared" ca="1" si="648"/>
        <v>5.0774999999999997</v>
      </c>
      <c r="CX680" s="115">
        <f t="shared" ca="1" si="649"/>
        <v>3.2324999999999995</v>
      </c>
      <c r="CY680" s="115">
        <f ca="1">MAX(IF($C680="驱夜断愁",IF(模拟模式!$R$7="万念俱寂",6,45),CY679-$F$4),0)</f>
        <v>4.1549999999999994</v>
      </c>
      <c r="CZ680" s="115">
        <f t="shared" ca="1" si="623"/>
        <v>0</v>
      </c>
      <c r="DA680" s="115">
        <f ca="1">IF(模拟模式!$N$7="日月同辉",IF(DB679=2,0,MIN(6,IF(AND(OR(C680="赤日轮1",C680="赤日轮2",C680="赤日轮3",C680="幽月轮1",C680="幽月轮2",C680="幽月轮3"),AB680=1),DA679+1,DA679))),0)</f>
        <v>5</v>
      </c>
      <c r="DB680" s="115">
        <f t="shared" ca="1" si="624"/>
        <v>0</v>
      </c>
      <c r="DC680" s="115"/>
      <c r="DD680" s="115"/>
      <c r="DE680" s="115"/>
      <c r="DF680" s="115"/>
      <c r="DG680" s="115"/>
      <c r="DH680" s="115"/>
      <c r="DI680" s="115"/>
      <c r="DJ680" s="115"/>
      <c r="DK680" s="115"/>
      <c r="DL680" s="115"/>
      <c r="DM680" s="115"/>
    </row>
    <row r="681" spans="2:117" x14ac:dyDescent="0.2">
      <c r="B681" s="117">
        <f t="shared" si="625"/>
        <v>603.31500000000688</v>
      </c>
      <c r="C681" s="167" t="str">
        <f t="shared" ca="1" si="594"/>
        <v>净世破魔击·月</v>
      </c>
      <c r="D681" s="115">
        <f ca="1">IF(C681="赤日轮1",1,IF(C681="赤日轮2",2,IF(C681="赤日轮3",3,IF(C681="幽月轮1",4,IF(C681="幽月轮2",5,IF(C681="幽月轮3",6,IF(C681="烈日斩",7,IF(C681="银月斩",8,IF(C681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681="净世破魔击·月",17,IF(C681="驱夜断愁",18,0)))))))))))</f>
        <v>17</v>
      </c>
      <c r="E681" s="115">
        <f ca="1">IF(AND(CU681,OR(C681="幽月轮1",C681="幽月轮2",C681="幽月轮3",C681="银月斩",C681="驱夜断愁",C681="净世破魔击·月")),100,MIN(IF(OR(CN681,BE681),0,IF(OR($C681="赤日轮1",$C681="赤日轮2",$C681="赤日轮3"),E680+20+IF(模拟模式!$I$7="日月凌天",4,0)+IF(CR680,20,0),IF($C681="烈日斩",E680+40,IF($C681="驱夜断愁",IF(模拟模式!$R$7="万念俱寂",E680+20,E680+60),IF($C681="净世破魔击·月",IF(OR(DB680&gt;0,CV680&gt;0),100,IF(模拟模式!$M$7="辉耀红尘",E680+20,E680)),IF($C681="净世破魔击·日",E680-100,E680)))))),100))</f>
        <v>100</v>
      </c>
      <c r="F681" s="115">
        <f ca="1">IF(AND(CU681,OR(C681="赤日轮1",C681="赤日轮2",C681="赤日轮3",C681="烈日斩",C681="净世破魔击·日")),100,MIN(IF(CO681,0,IF(OR($C681="幽月轮1",$C681="幽月轮2",$C681="幽月轮3"),F680+20+IF(模拟模式!$I$7="日月凌天",4,0)+IF(CS680,20,0),IF($C681="银月斩",F680+40+IF(模拟模式!$X$12=1,5,0),IF($C681="驱夜断愁",IF(模拟模式!$R$7="万念俱寂",F680+20,F680+60),IF($C681="净世破魔击·月",IF(模拟模式!$M$7="辉耀红尘",F680-80,F680-100),IF(AND(C681="净世破魔击·日",OR(DB680&gt;0,CV680&gt;0)),100,F680)))))),100))</f>
        <v>20</v>
      </c>
      <c r="G681" s="117">
        <f ca="1">('模拟-全程加成'!$E$3+'模拟-全程加成'!$E$4+'模拟-全程加成'!$E$5+('模拟-全程加成'!$C$6-'模拟-全程加成'!$C$3)*系数!$B$9+BS681*23)*(1+'模拟-全程加成'!$F$4+'模拟-全程加成'!$F$5+BJ681*10%+BM681*20%+BP681*4%+CG681*30%)+$F$7*系数!$B$12</f>
        <v>20583.127400000001</v>
      </c>
      <c r="H681" s="45">
        <f ca="1">'模拟-全程加成'!$H$3+'模拟-全程加成'!$H$4+'模拟-全程加成'!$H$5+('模拟-全程加成'!$G$4+'模拟-全程加成'!$G$5+('模拟-全程加成'!$C$6-'模拟-全程加成'!$C$3)*系数!$B$13)/系数!$B$3+LOOKUP(D681,'模拟-单技能数据'!$A$2:$A$19,'模拟-单技能数据'!$K$2:$K$19)+BG681*10%+IF(BV681&gt;0,378,0)</f>
        <v>0.54185145527300216</v>
      </c>
      <c r="I681" s="45">
        <f ca="1">'模拟-全程加成'!$J$3+'模拟-全程加成'!$J$4+'模拟-全程加成'!$J$5+('模拟-全程加成'!$I$4+'模拟-全程加成'!$I$5)/系数!$B$4+LOOKUP(D681,'模拟-单技能数据'!$A$2:$A$19,'模拟-单技能数据'!$L$2:$L$19)+BG681*10%</f>
        <v>2.162482885499879</v>
      </c>
      <c r="J681" s="45">
        <f ca="1">(('模拟-全程加成'!$K$3+'模拟-全程加成'!$K$4+'模拟-全程加成'!$K$5+('模拟-全程加成'!$C$6-'模拟-全程加成'!$C$3)*系数!$B$10+IF(BV681&gt;0,882,0)+IF(BY681&gt;0,1831,0))*(1+'模拟-全程加成'!$L$4+'模拟-全程加成'!$L$5+CC681*20%))/系数!$B$5</f>
        <v>0.69723220422048726</v>
      </c>
      <c r="K681" s="119">
        <f ca="1">LOOKUP(D681,'模拟-单技能数据'!$A$2:$A$19,'模拟-单技能数据'!$J$2:$J$19)+IF(CM681,60%,0)+IF(DB680-DB681&gt;0,30%,0)+IF(OR(AND(OR(C681="赤日轮1",C681="赤日轮2",C681="赤日轮3"),CR681),AND(OR(C681="幽月轮1",C681="幽月轮2",C681="幽月轮3"),CS681)),35%,0)+CJ681</f>
        <v>0.8</v>
      </c>
      <c r="L681" s="119">
        <f ca="1">IF(AND(C681="烈日斩",模拟模式!$X$11=1),10%,0)+IF(AND(C681="驱夜断愁",AB681=1),30%,0)</f>
        <v>0</v>
      </c>
      <c r="M681" s="45">
        <f t="shared" ca="1" si="595"/>
        <v>0.54185145527300216</v>
      </c>
      <c r="N681" s="45">
        <f t="shared" ca="1" si="596"/>
        <v>0.40424854472699789</v>
      </c>
      <c r="O681" s="46">
        <f t="shared" ca="1" si="626"/>
        <v>0.43335930514359478</v>
      </c>
      <c r="P681" s="46" t="str">
        <f t="shared" ca="1" si="597"/>
        <v>会</v>
      </c>
      <c r="Q681" s="45">
        <f t="shared" ca="1" si="598"/>
        <v>2.162482885499879</v>
      </c>
      <c r="R681" s="117">
        <f ca="1">模拟模式!$E$20*(1-IF(模拟模式!$J$19="有",0.15,0))*(1-IF(模拟模式!$K$19="有",0.3,0)-IF(CQ681,0.5,0))</f>
        <v>843.02999999999975</v>
      </c>
      <c r="S681" s="45">
        <f ca="1">R681/(R681+(185*模拟模式!$E$22-16800)*4.08224)</f>
        <v>8.389626085980037E-2</v>
      </c>
      <c r="T681" s="45" t="str">
        <f ca="1">LOOKUP(D681,'模拟-单技能数据'!$A$2:$A$19,'模拟-单技能数据'!$H$2:$H$19)</f>
        <v>阴</v>
      </c>
      <c r="U681" s="119">
        <f t="shared" ca="1" si="599"/>
        <v>0.08</v>
      </c>
      <c r="V681" s="47">
        <f ca="1">(1+L681)*(LOOKUP(D681,'模拟-单技能数据'!$A$2:$A$19,'模拟-单技能数据'!$D$2:$D$19)+G681*LOOKUP(D681,'模拟-单技能数据'!$A$2:$A$19,'模拟-单技能数据'!$F$2:$F$19))*(1+J681)*(1+K681)*(1-S681)*(1+U681)*Q681*LOOKUP(D681,'模拟-单技能数据'!$A$2:$A$19,'模拟-单技能数据'!$I$2:$I$20)</f>
        <v>174868.36016214982</v>
      </c>
      <c r="W681" s="47">
        <f ca="1">LOOKUP(D681,'模拟-单技能数据'!$A$2:$A$19,'模拟-单技能数据'!$G$2:$G$19)*$I$10</f>
        <v>361.51064354704795</v>
      </c>
      <c r="X681" s="47">
        <f t="shared" ca="1" si="627"/>
        <v>103812.57329319997</v>
      </c>
      <c r="Y681" s="47">
        <f t="shared" ca="1" si="600"/>
        <v>279042.44409889681</v>
      </c>
      <c r="Z681" s="49">
        <f t="shared" ca="1" si="601"/>
        <v>68739983.217441291</v>
      </c>
      <c r="AA681" s="97">
        <f t="shared" ca="1" si="602"/>
        <v>113937.13601922794</v>
      </c>
      <c r="AB681" s="115">
        <f ca="1">IF(OR(C681="赤日轮1",C681="赤日轮2",C681="赤日轮3"),IF(RAND()&lt;模拟模式!$Y$17,1,0),IF(OR(C681="幽月轮1",C681="幽月轮2",C681="幽月轮3"),IF(RAND()&lt;模拟模式!$Y$18,1,0),IF(C681="烈日斩",IF(RAND()&lt;模拟模式!$Y$19,1,0),IF(C681="银月斩",IF(RAND()&lt;模拟模式!$Y$20,1,0),IF(C681="驱夜断愁",IF(RAND()&lt;模拟模式!$Y$21,1,0),IF(C681="净世破魔击·日",IF(RAND()&lt;模拟模式!$Y$22,1,0),IF(C681="净世破魔击·月",IF(RAND()&lt;模拟模式!$Y$23,1,0),0)))))))</f>
        <v>1</v>
      </c>
      <c r="AC681" s="115" t="b">
        <f t="shared" ca="1" si="603"/>
        <v>0</v>
      </c>
      <c r="AD681" s="115" t="b">
        <f t="shared" ca="1" si="604"/>
        <v>1</v>
      </c>
      <c r="AE681" s="115">
        <f t="shared" ca="1" si="605"/>
        <v>4</v>
      </c>
      <c r="AF681" s="47">
        <f ca="1">IF(AC681,('模拟-单技能数据'!$D$20+G681*'模拟-单技能数据'!$F$20)*(1+J681)*(1+'模拟-单技能数据'!$J$20)*(1+U681),0)</f>
        <v>0</v>
      </c>
      <c r="AG681" s="61">
        <f t="shared" ca="1" si="606"/>
        <v>0.64185145527300214</v>
      </c>
      <c r="AH681" s="61">
        <f t="shared" ca="1" si="607"/>
        <v>2.2624828854998791</v>
      </c>
      <c r="AI681" s="62">
        <f t="shared" ca="1" si="628"/>
        <v>0.14593835286526646</v>
      </c>
      <c r="AJ681" s="47">
        <f ca="1">IF(AD681,IF(AI681&lt;$F$10,0,IF(AI681&lt;$F$10+$F$11,0.25,IF(AI681&lt;$F$10+$F$11+AG681,AH681,1)))*IF(AF681&gt;0,AF681,IF(AF680&gt;0,AF680,IF(AF679&gt;0,AF679,IF(AF678&gt;0,AF678,IF(AF677&gt;0,AF677,IF(AF676&gt;0,AF676,IF(AF675&gt;0,AF675,IF(AF674&gt;0,AF674,IF(AF673&gt;0,AF673,IF(AF671&gt;0,AF671,IF(AF670&gt;0,AF670,IF(AF669&gt;0,AF669,0)))))))))))),0)*(1-$S681)*'模拟-单技能数据'!$I$20</f>
        <v>9218.9345386263849</v>
      </c>
      <c r="AK681" s="115" t="b">
        <f t="shared" ca="1" si="608"/>
        <v>0</v>
      </c>
      <c r="AL681" s="115" t="b">
        <f t="shared" ca="1" si="609"/>
        <v>1</v>
      </c>
      <c r="AM681" s="115">
        <f t="shared" ca="1" si="610"/>
        <v>2</v>
      </c>
      <c r="AN681" s="47">
        <f ca="1">IF(AK681,('模拟-单技能数据'!$D$21+G681*'模拟-单技能数据'!$F$21)*(1+J681)*(1+'模拟-单技能数据'!$J$21)*(1+U681),0)</f>
        <v>0</v>
      </c>
      <c r="AO681" s="61">
        <f ca="1">IF(AN681&gt;0,M681-'模拟-单技能数据'!$K$10,AO680)</f>
        <v>0.42185145527300216</v>
      </c>
      <c r="AP681" s="61">
        <f ca="1">IF(AN681&gt;0,I681-'模拟-单技能数据'!$L$10,AP680)</f>
        <v>2.162482885499879</v>
      </c>
      <c r="AQ681" s="63">
        <f t="shared" ca="1" si="629"/>
        <v>9.6088550219859514E-2</v>
      </c>
      <c r="AR681" s="64">
        <f ca="1">IF(AL681,IF(AQ681&lt;$F$10,0,IF(AQ681&lt;$F$10+$F$11,0.25,IF(AQ681&lt;$F$10+$F$11+AO681,AP681,1)))*IF(AN681&gt;0,AN681,IF(AN680&gt;0,AN680,IF(AN679&gt;0,AN679,IF(AN678&gt;0,AN678,IF(AN677&gt;0,AN677,IF(AN676&gt;0,AN676,IF(AN675&gt;0,AN675,IF(AN674&gt;0,AN674,IF(AN673&gt;0,AN673,IF(AN671&gt;0,AN671,IF(AN670&gt;0,AN670,IF(AN669&gt;0,AN669,0)))))))))))),0)*(1-$S681)*'模拟-单技能数据'!$I$21</f>
        <v>24043.249177625272</v>
      </c>
      <c r="AS681" s="61">
        <f ca="1">IF(OR(C681="净世破魔击·日",C681="净世破魔击·月"),M681-'模拟-单技能数据'!$K$10,0)</f>
        <v>0.42185145527300216</v>
      </c>
      <c r="AT681" s="61">
        <f ca="1">IF(OR(C681="净世破魔击·日",C681="净世破魔击·月"),I681-'模拟-单技能数据'!$L$10,0)</f>
        <v>2.162482885499879</v>
      </c>
      <c r="AU681" s="62">
        <f t="shared" ca="1" si="630"/>
        <v>0.4630321003274428</v>
      </c>
      <c r="AV681" s="64">
        <f ca="1">IF(AS681&gt;0,('模拟-单技能数据'!$D$22+G681*'模拟-单技能数据'!$F$22)*(1+J681)*(1-S681)*IF(AU681&lt;$F$10,0,IF(AU681&lt;$F$10+$F$11,0.25,IF(AU681&lt;$F$10+$F$11+AS681,AT681,1)))*(1+U681),0)*'模拟-单技能数据'!$I$22</f>
        <v>16520.1836685288</v>
      </c>
      <c r="AW681" s="108">
        <f t="shared" ca="1" si="631"/>
        <v>19.077500000000001</v>
      </c>
      <c r="AX681" s="108" t="b">
        <f ca="1">AND(模拟模式!$P$10="有",AW680=0,RAND()&lt;IF(C681="净世破魔击·月",0.1*8/3,IF(C681="净世破魔击·日",0.1*4/3,0.1*2/3)))</f>
        <v>1</v>
      </c>
      <c r="AY681" s="47">
        <f ca="1">IF(AX681,(18+G681*0.722)*(1+J681)*(1-S681)*(1+$I$4)*IF(P681="会",'模拟-全程加成'!$J$3+'模拟-全程加成'!$J$4+'模拟-全程加成'!$J$5+('模拟-全程加成'!$I$4+'模拟-全程加成'!$I$5)/系数!$B$4+BG681*10%,IF(P681="命",1,IF(P681="识",0.25,0))),0)</f>
        <v>54030.205908419506</v>
      </c>
      <c r="AZ681" s="108">
        <f t="shared" si="632"/>
        <v>5.2400000000000064</v>
      </c>
      <c r="BA681" s="108" t="b">
        <f>AND(模拟模式!$Q$10="有",AZ680=0)</f>
        <v>0</v>
      </c>
      <c r="BB681" s="140">
        <f>IF(BA681,(0+G681*0.287)*(1+J681)*(1-S681)*(1+$I$4)*IF(P681="会",'模拟-全程加成'!$J$3+'模拟-全程加成'!$J$4+'模拟-全程加成'!$J$5+('模拟-全程加成'!$I$4+'模拟-全程加成'!$I$5)/系数!$B$4+BG681*10%,IF(P681="命",1,IF(P681="识",0.25,0))),0)</f>
        <v>0</v>
      </c>
      <c r="BC681" s="115" t="b">
        <f ca="1">AND(模拟模式!$R$7="伏明众生",E681=60,F681=20,DA681&lt;5,CZ680&lt;$F$4)</f>
        <v>0</v>
      </c>
      <c r="BD681" s="115">
        <f t="shared" ca="1" si="611"/>
        <v>0</v>
      </c>
      <c r="BE681" s="115" t="b">
        <f t="shared" ca="1" si="612"/>
        <v>0</v>
      </c>
      <c r="BF681" s="47">
        <f ca="1">IF(BC681,4*('模拟-单技能数据'!$D$24+G681*'模拟-单技能数据'!$F$24)*(1+J681)*(1+'模拟-单技能数据'!$J$24)*(1-S681)*(1+$I$3)*(('模拟-全程加成'!$J$3+'模拟-全程加成'!$J$4+'模拟-全程加成'!$J$5+('模拟-全程加成'!$I$4+'模拟-全程加成'!$I$5)/系数!$B$4+BG681*10%)*('模拟-全程加成'!$J$3+'模拟-全程加成'!$J$4+'模拟-全程加成'!$J$5+('模拟-全程加成'!$I$4+'模拟-全程加成'!$I$5)/系数!$B$4+BG681*10%)+(1-('模拟-全程加成'!$J$3+'模拟-全程加成'!$J$4+'模拟-全程加成'!$J$5+('模拟-全程加成'!$I$4+'模拟-全程加成'!$I$5)/系数!$B$4+BG681*10%)-$F$10-$F$11)+F667*0.25),0)*'模拟-单技能数据'!$I$24</f>
        <v>0</v>
      </c>
      <c r="BG681" s="115" t="b">
        <f ca="1">OR(AND(OR(C681="烈日斩",C681="银月斩"),模拟模式!$I$7="净身明礼"),AND(C681="净世破魔击·日",模拟模式!$J$7="洞若观火"),AND(C682="净世破魔击·月",模拟模式!$J$7="洞若观火"),AB681=1)</f>
        <v>1</v>
      </c>
      <c r="BH681" s="115" t="b">
        <f t="shared" ca="1" si="633"/>
        <v>0</v>
      </c>
      <c r="BI681" s="115">
        <f t="shared" ca="1" si="613"/>
        <v>0</v>
      </c>
      <c r="BJ681" s="115" t="b">
        <f t="shared" ca="1" si="614"/>
        <v>0</v>
      </c>
      <c r="BK681" s="115" t="b">
        <f ca="1">AND(C681="驱夜断愁",模拟模式!$P$7="天地诛戮")</f>
        <v>0</v>
      </c>
      <c r="BL681" s="57">
        <f t="shared" ca="1" si="615"/>
        <v>17.232500000000002</v>
      </c>
      <c r="BM681" s="115" t="b">
        <f t="shared" ca="1" si="616"/>
        <v>1</v>
      </c>
      <c r="BN681" s="115" t="b">
        <f ca="1">AND(OR(C681="赤日轮1",C681="赤日轮2",C681="赤日轮3",C681="幽月轮1",C681="幽月轮2",C681="幽月轮3"),AB681=1,模拟模式!$L$7="明光恒照")</f>
        <v>0</v>
      </c>
      <c r="BO681" s="117">
        <f t="shared" ca="1" si="617"/>
        <v>29.077500000000001</v>
      </c>
      <c r="BP681" s="115">
        <f t="shared" ca="1" si="634"/>
        <v>6</v>
      </c>
      <c r="BQ681" s="115" t="b">
        <f>模拟模式!$K$10="2600·水"</f>
        <v>0</v>
      </c>
      <c r="BR681" s="117">
        <f t="shared" si="635"/>
        <v>0</v>
      </c>
      <c r="BS681" s="115">
        <f t="shared" si="636"/>
        <v>0</v>
      </c>
      <c r="BT681" s="115">
        <f t="shared" ca="1" si="637"/>
        <v>0</v>
      </c>
      <c r="BU681" s="115" t="b">
        <f ca="1">AND(模拟模式!$K$10="2300·雷",BT680=0,RAND()&lt;IF(C681="净世破魔击·月",5*0.05*2/3,IF(C681="净世破魔击·日",3*0.05*2/3,0.05*2*2/3)))</f>
        <v>0</v>
      </c>
      <c r="BV681" s="115">
        <f t="shared" ca="1" si="638"/>
        <v>0</v>
      </c>
      <c r="BW681" s="115">
        <f t="shared" ca="1" si="639"/>
        <v>134.79749999999933</v>
      </c>
      <c r="BX681" s="164" t="b">
        <f t="shared" ca="1" si="640"/>
        <v>0</v>
      </c>
      <c r="BY681" s="115">
        <f t="shared" ca="1" si="641"/>
        <v>0</v>
      </c>
      <c r="BZ681" s="115">
        <f>IF(OR(模拟模式!$P$16="10人团",模拟模式!$P$16="25人团"),IF(B681/30&gt;CA680,1,0),0)</f>
        <v>0</v>
      </c>
      <c r="CA681" s="115">
        <f t="shared" si="618"/>
        <v>0</v>
      </c>
      <c r="CB681" s="115">
        <f ca="1">IF(BZ681=1,IF(模拟模式!$P$16="10人团",15,0)+IF(模拟模式!$P$16="25人团",IF(RAND()&lt;0.6,15,0)),MAX(0,CB680-$F$4))</f>
        <v>0</v>
      </c>
      <c r="CC681" s="115" t="b">
        <f t="shared" ca="1" si="619"/>
        <v>0</v>
      </c>
      <c r="CD681" s="115">
        <f>IF(模拟模式!$Q$16="1个",IF(B681/40&gt;CE680,1,0),0)</f>
        <v>0</v>
      </c>
      <c r="CE681" s="115">
        <f t="shared" si="620"/>
        <v>0</v>
      </c>
      <c r="CF681" s="115">
        <f>IF(OR(CD681=1,模拟模式!$Q$16="2个"),20,MAX(0,CF680-$F$4))</f>
        <v>0</v>
      </c>
      <c r="CG681" s="115" t="b">
        <f t="shared" si="621"/>
        <v>0</v>
      </c>
      <c r="CH681" s="115">
        <f t="shared" ca="1" si="642"/>
        <v>16.162500000000009</v>
      </c>
      <c r="CI681" s="115" t="b">
        <f t="shared" ca="1" si="643"/>
        <v>0</v>
      </c>
      <c r="CJ681" s="119">
        <f t="shared" ca="1" si="644"/>
        <v>0</v>
      </c>
      <c r="CK681" s="115">
        <f t="shared" ca="1" si="645"/>
        <v>0</v>
      </c>
      <c r="CL681" s="115" t="b">
        <f ca="1">AND(模拟模式!$S$7="驱夷逐法",OR(AND(C681="净世破魔击·月",E680&gt;59),AND(C681="净世破魔击·日",F680&gt;59)))</f>
        <v>1</v>
      </c>
      <c r="CM681" s="115" t="b">
        <f ca="1">OR(CL681,AND(C681="净世破魔击·日",CL680,RAND()&lt;模拟模式!$U$23))</f>
        <v>1</v>
      </c>
      <c r="CN681" s="115" t="b">
        <f ca="1">IF(模拟模式!$M$7="辉耀红尘",AND(C681="净世破魔击·月",CL681,CV681=0,E680&lt;80),AND(C681="净世破魔击·月",CL681,E680&lt;100))</f>
        <v>0</v>
      </c>
      <c r="CO681" s="115" t="b">
        <f t="shared" ca="1" si="622"/>
        <v>0</v>
      </c>
      <c r="CP681" s="115" t="b">
        <f ca="1">AND(模拟模式!$O$7="用晦而明",OR(C681="净世破魔击·日",C681="净世破魔击·月",C681="驱夜断愁"),AB681)</f>
        <v>1</v>
      </c>
      <c r="CQ681" s="115" t="b">
        <f ca="1">OR(CP681,AND(CP680,RAND()&lt;模拟模式!$U$23))</f>
        <v>1</v>
      </c>
      <c r="CR681" s="115" t="b">
        <f ca="1">AND(模拟模式!$S$7="日月齐光",OR(C681="幽月轮1",C681="幽月轮2",C681="幽月轮3",CR680),NOT(OR(C681="赤日轮1",C681="赤日轮2",C681="赤日轮3")))</f>
        <v>0</v>
      </c>
      <c r="CS681" s="115" t="b">
        <f ca="1">AND(模拟模式!$S$7="日月齐光",OR(C681="赤日轮1",C681="赤日轮2",C681="赤日轮3",CS680),NOT(OR(C681="幽月轮1",C681="幽月轮2",C681="幽月轮3")))</f>
        <v>0</v>
      </c>
      <c r="CT681" s="115">
        <f t="shared" ca="1" si="646"/>
        <v>12.472500000000011</v>
      </c>
      <c r="CU681" s="115" t="b">
        <f ca="1">AND(模拟模式!$K$10="阴阳往极",CT680=0,RAND()&lt;IF(C681="净世破魔击·月",0.0275*7/3,IF(C681="净世破魔击·日",0.0275*3/3,0.0275*2/3)))</f>
        <v>0</v>
      </c>
      <c r="CV681" s="115">
        <f t="shared" ca="1" si="647"/>
        <v>0</v>
      </c>
      <c r="CW681" s="115">
        <f t="shared" ca="1" si="648"/>
        <v>4.1549999999999994</v>
      </c>
      <c r="CX681" s="115">
        <f t="shared" ca="1" si="649"/>
        <v>2.3099999999999996</v>
      </c>
      <c r="CY681" s="115">
        <f ca="1">MAX(IF($C681="驱夜断愁",IF(模拟模式!$R$7="万念俱寂",6,45),CY680-$F$4),0)</f>
        <v>3.2324999999999995</v>
      </c>
      <c r="CZ681" s="115">
        <f t="shared" ca="1" si="623"/>
        <v>0</v>
      </c>
      <c r="DA681" s="115">
        <f ca="1">IF(模拟模式!$N$7="日月同辉",IF(DB680=2,0,MIN(6,IF(AND(OR(C681="赤日轮1",C681="赤日轮2",C681="赤日轮3",C681="幽月轮1",C681="幽月轮2",C681="幽月轮3"),AB681=1),DA680+1,DA680))),0)</f>
        <v>5</v>
      </c>
      <c r="DB681" s="115">
        <f t="shared" ca="1" si="624"/>
        <v>0</v>
      </c>
      <c r="DC681" s="115"/>
      <c r="DD681" s="115"/>
      <c r="DE681" s="115"/>
      <c r="DF681" s="115"/>
      <c r="DG681" s="115"/>
      <c r="DH681" s="115"/>
      <c r="DI681" s="115"/>
      <c r="DJ681" s="115"/>
      <c r="DK681" s="115"/>
      <c r="DL681" s="115"/>
      <c r="DM681" s="115"/>
    </row>
    <row r="682" spans="2:117" x14ac:dyDescent="0.2">
      <c r="B682" s="117">
        <f t="shared" si="625"/>
        <v>604.23750000000689</v>
      </c>
      <c r="C682" s="167" t="str">
        <f t="shared" ca="1" si="594"/>
        <v>净世破魔击·日</v>
      </c>
      <c r="D682" s="115">
        <f ca="1">IF(C682="赤日轮1",1,IF(C682="赤日轮2",2,IF(C682="赤日轮3",3,IF(C682="幽月轮1",4,IF(C682="幽月轮2",5,IF(C682="幽月轮3",6,IF(C682="烈日斩",7,IF(C682="银月斩",8,IF(C682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682="净世破魔击·月",17,IF(C682="驱夜断愁",18,0)))))))))))</f>
        <v>9</v>
      </c>
      <c r="E682" s="115">
        <f ca="1">IF(AND(CU682,OR(C682="幽月轮1",C682="幽月轮2",C682="幽月轮3",C682="银月斩",C682="驱夜断愁",C682="净世破魔击·月")),100,MIN(IF(OR(CN682,BE682),0,IF(OR($C682="赤日轮1",$C682="赤日轮2",$C682="赤日轮3"),E681+20+IF(模拟模式!$I$7="日月凌天",4,0)+IF(CR681,20,0),IF($C682="烈日斩",E681+40,IF($C682="驱夜断愁",IF(模拟模式!$R$7="万念俱寂",E681+20,E681+60),IF($C682="净世破魔击·月",IF(OR(DB681&gt;0,CV681&gt;0),100,IF(模拟模式!$M$7="辉耀红尘",E681+20,E681)),IF($C682="净世破魔击·日",E681-100,E681)))))),100))</f>
        <v>0</v>
      </c>
      <c r="F682" s="115">
        <f ca="1">IF(AND(CU682,OR(C682="赤日轮1",C682="赤日轮2",C682="赤日轮3",C682="烈日斩",C682="净世破魔击·日")),100,MIN(IF(CO682,0,IF(OR($C682="幽月轮1",$C682="幽月轮2",$C682="幽月轮3"),F681+20+IF(模拟模式!$I$7="日月凌天",4,0)+IF(CS681,20,0),IF($C682="银月斩",F681+40+IF(模拟模式!$X$12=1,5,0),IF($C682="驱夜断愁",IF(模拟模式!$R$7="万念俱寂",F681+20,F681+60),IF($C682="净世破魔击·月",IF(模拟模式!$M$7="辉耀红尘",F681-80,F681-100),IF(AND(C682="净世破魔击·日",OR(DB681&gt;0,CV681&gt;0)),100,F681)))))),100))</f>
        <v>20</v>
      </c>
      <c r="G682" s="117">
        <f ca="1">('模拟-全程加成'!$E$3+'模拟-全程加成'!$E$4+'模拟-全程加成'!$E$5+('模拟-全程加成'!$C$6-'模拟-全程加成'!$C$3)*系数!$B$9+BS682*23)*(1+'模拟-全程加成'!$F$4+'模拟-全程加成'!$F$5+BJ682*10%+BM682*20%+BP682*4%+CG682*30%)+$F$7*系数!$B$12</f>
        <v>20583.127400000001</v>
      </c>
      <c r="H682" s="45">
        <f ca="1">'模拟-全程加成'!$H$3+'模拟-全程加成'!$H$4+'模拟-全程加成'!$H$5+('模拟-全程加成'!$G$4+'模拟-全程加成'!$G$5+('模拟-全程加成'!$C$6-'模拟-全程加成'!$C$3)*系数!$B$13)/系数!$B$3+LOOKUP(D682,'模拟-单技能数据'!$A$2:$A$19,'模拟-单技能数据'!$K$2:$K$19)+BG682*10%+IF(BV682&gt;0,378,0)</f>
        <v>0.54185145527300216</v>
      </c>
      <c r="I682" s="45">
        <f ca="1">'模拟-全程加成'!$J$3+'模拟-全程加成'!$J$4+'模拟-全程加成'!$J$5+('模拟-全程加成'!$I$4+'模拟-全程加成'!$I$5)/系数!$B$4+LOOKUP(D682,'模拟-单技能数据'!$A$2:$A$19,'模拟-单技能数据'!$L$2:$L$19)+BG682*10%</f>
        <v>2.162482885499879</v>
      </c>
      <c r="J682" s="45">
        <f ca="1">(('模拟-全程加成'!$K$3+'模拟-全程加成'!$K$4+'模拟-全程加成'!$K$5+('模拟-全程加成'!$C$6-'模拟-全程加成'!$C$3)*系数!$B$10+IF(BV682&gt;0,882,0)+IF(BY682&gt;0,1831,0))*(1+'模拟-全程加成'!$L$4+'模拟-全程加成'!$L$5+CC682*20%))/系数!$B$5</f>
        <v>0.69723220422048726</v>
      </c>
      <c r="K682" s="119">
        <f ca="1">LOOKUP(D682,'模拟-单技能数据'!$A$2:$A$19,'模拟-单技能数据'!$J$2:$J$19)+IF(CM682,60%,0)+IF(DB681-DB682&gt;0,30%,0)+IF(OR(AND(OR(C682="赤日轮1",C682="赤日轮2",C682="赤日轮3"),CR682),AND(OR(C682="幽月轮1",C682="幽月轮2",C682="幽月轮3"),CS682)),35%,0)+CJ682</f>
        <v>0.8</v>
      </c>
      <c r="L682" s="119">
        <f ca="1">IF(AND(C682="烈日斩",模拟模式!$X$11=1),10%,0)+IF(AND(C682="驱夜断愁",AB682=1),30%,0)</f>
        <v>0</v>
      </c>
      <c r="M682" s="45">
        <f t="shared" ca="1" si="595"/>
        <v>0.54185145527300216</v>
      </c>
      <c r="N682" s="45">
        <f t="shared" ca="1" si="596"/>
        <v>0.40424854472699789</v>
      </c>
      <c r="O682" s="46">
        <f t="shared" ca="1" si="626"/>
        <v>7.9485299023479339E-2</v>
      </c>
      <c r="P682" s="46" t="str">
        <f t="shared" ca="1" si="597"/>
        <v>会</v>
      </c>
      <c r="Q682" s="45">
        <f t="shared" ca="1" si="598"/>
        <v>2.162482885499879</v>
      </c>
      <c r="R682" s="117">
        <f ca="1">模拟模式!$E$20*(1-IF(模拟模式!$J$19="有",0.15,0))*(1-IF(模拟模式!$K$19="有",0.3,0)-IF(CQ682,0.5,0))</f>
        <v>843.02999999999975</v>
      </c>
      <c r="S682" s="45">
        <f ca="1">R682/(R682+(185*模拟模式!$E$22-16800)*4.08224)</f>
        <v>8.389626085980037E-2</v>
      </c>
      <c r="T682" s="45" t="str">
        <f ca="1">LOOKUP(D682,'模拟-单技能数据'!$A$2:$A$19,'模拟-单技能数据'!$H$2:$H$19)</f>
        <v>阳</v>
      </c>
      <c r="U682" s="119">
        <f t="shared" ca="1" si="599"/>
        <v>0.2</v>
      </c>
      <c r="V682" s="47">
        <f ca="1">(1+L682)*(LOOKUP(D682,'模拟-单技能数据'!$A$2:$A$19,'模拟-单技能数据'!$D$2:$D$19)+G682*LOOKUP(D682,'模拟-单技能数据'!$A$2:$A$19,'模拟-单技能数据'!$F$2:$F$19))*(1+J682)*(1+K682)*(1-S682)*(1+U682)*Q682*LOOKUP(D682,'模拟-单技能数据'!$A$2:$A$19,'模拟-单技能数据'!$I$2:$I$20)</f>
        <v>195915.814886668</v>
      </c>
      <c r="W682" s="47">
        <f ca="1">LOOKUP(D682,'模拟-单技能数据'!$A$2:$A$19,'模拟-单技能数据'!$G$2:$G$19)*$I$10</f>
        <v>723.0212870940959</v>
      </c>
      <c r="X682" s="47">
        <f t="shared" ca="1" si="627"/>
        <v>2122.0699311402354</v>
      </c>
      <c r="Y682" s="47">
        <f t="shared" ca="1" si="600"/>
        <v>198760.90610490233</v>
      </c>
      <c r="Z682" s="49">
        <f t="shared" ca="1" si="601"/>
        <v>68938744.123546198</v>
      </c>
      <c r="AA682" s="97">
        <f t="shared" ca="1" si="602"/>
        <v>114092.1311960039</v>
      </c>
      <c r="AB682" s="115">
        <f ca="1">IF(OR(C682="赤日轮1",C682="赤日轮2",C682="赤日轮3"),IF(RAND()&lt;模拟模式!$Y$17,1,0),IF(OR(C682="幽月轮1",C682="幽月轮2",C682="幽月轮3"),IF(RAND()&lt;模拟模式!$Y$18,1,0),IF(C682="烈日斩",IF(RAND()&lt;模拟模式!$Y$19,1,0),IF(C682="银月斩",IF(RAND()&lt;模拟模式!$Y$20,1,0),IF(C682="驱夜断愁",IF(RAND()&lt;模拟模式!$Y$21,1,0),IF(C682="净世破魔击·日",IF(RAND()&lt;模拟模式!$Y$22,1,0),IF(C682="净世破魔击·月",IF(RAND()&lt;模拟模式!$Y$23,1,0),0)))))))</f>
        <v>1</v>
      </c>
      <c r="AC682" s="115" t="b">
        <f t="shared" ca="1" si="603"/>
        <v>0</v>
      </c>
      <c r="AD682" s="115" t="b">
        <f t="shared" ca="1" si="604"/>
        <v>0</v>
      </c>
      <c r="AE682" s="115">
        <f t="shared" ca="1" si="605"/>
        <v>4</v>
      </c>
      <c r="AF682" s="47">
        <f ca="1">IF(AC682,('模拟-单技能数据'!$D$20+G682*'模拟-单技能数据'!$F$20)*(1+J682)*(1+'模拟-单技能数据'!$J$20)*(1+U682),0)</f>
        <v>0</v>
      </c>
      <c r="AG682" s="61">
        <f t="shared" ca="1" si="606"/>
        <v>0.64185145527300214</v>
      </c>
      <c r="AH682" s="61">
        <f t="shared" ca="1" si="607"/>
        <v>2.2624828854998791</v>
      </c>
      <c r="AI682" s="62">
        <f t="shared" ca="1" si="628"/>
        <v>0.35172962080365089</v>
      </c>
      <c r="AJ682" s="47">
        <f ca="1">IF(AD682,IF(AI682&lt;$F$10,0,IF(AI682&lt;$F$10+$F$11,0.25,IF(AI682&lt;$F$10+$F$11+AG682,AH682,1)))*IF(AF682&gt;0,AF682,IF(AF681&gt;0,AF681,IF(AF680&gt;0,AF680,IF(AF679&gt;0,AF679,IF(AF678&gt;0,AF678,IF(AF677&gt;0,AF677,IF(AF676&gt;0,AF676,IF(AF675&gt;0,AF675,IF(AF674&gt;0,AF674,IF(AF672&gt;0,AF672,IF(AF671&gt;0,AF671,IF(AF670&gt;0,AF670,0)))))))))))),0)*(1-$S682)*'模拟-单技能数据'!$I$20</f>
        <v>0</v>
      </c>
      <c r="AK682" s="115" t="b">
        <f t="shared" ca="1" si="608"/>
        <v>1</v>
      </c>
      <c r="AL682" s="115" t="b">
        <f t="shared" ca="1" si="609"/>
        <v>0</v>
      </c>
      <c r="AM682" s="115">
        <f t="shared" ca="1" si="610"/>
        <v>6</v>
      </c>
      <c r="AN682" s="47">
        <f ca="1">IF(AK682,('模拟-单技能数据'!$D$21+G682*'模拟-单技能数据'!$F$21)*(1+J682)*(1+'模拟-单技能数据'!$J$21)*(1+U682),0)</f>
        <v>12136.56601728573</v>
      </c>
      <c r="AO682" s="61">
        <f ca="1">IF(AN682&gt;0,M682-'模拟-单技能数据'!$K$10,AO681)</f>
        <v>0.42185145527300216</v>
      </c>
      <c r="AP682" s="61">
        <f ca="1">IF(AN682&gt;0,I682-'模拟-单技能数据'!$L$10,AP681)</f>
        <v>2.162482885499879</v>
      </c>
      <c r="AQ682" s="63">
        <f t="shared" ca="1" si="629"/>
        <v>3.0950274030264735E-2</v>
      </c>
      <c r="AR682" s="64">
        <f ca="1">IF(AL682,IF(AQ682&lt;$F$10,0,IF(AQ682&lt;$F$10+$F$11,0.25,IF(AQ682&lt;$F$10+$F$11+AO682,AP682,1)))*IF(AN682&gt;0,AN682,IF(AN681&gt;0,AN681,IF(AN680&gt;0,AN680,IF(AN679&gt;0,AN679,IF(AN678&gt;0,AN678,IF(AN677&gt;0,AN677,IF(AN676&gt;0,AN676,IF(AN675&gt;0,AN675,IF(AN674&gt;0,AN674,IF(AN672&gt;0,AN672,IF(AN671&gt;0,AN671,IF(AN670&gt;0,AN670,0)))))))))))),0)*(1-$S682)*'模拟-单技能数据'!$I$21</f>
        <v>0</v>
      </c>
      <c r="AS682" s="61">
        <f ca="1">IF(OR(C682="净世破魔击·日",C682="净世破魔击·月"),M682-'模拟-单技能数据'!$K$10,0)</f>
        <v>0.42185145527300216</v>
      </c>
      <c r="AT682" s="61">
        <f ca="1">IF(OR(C682="净世破魔击·日",C682="净世破魔击·月"),I682-'模拟-单技能数据'!$L$10,0)</f>
        <v>2.162482885499879</v>
      </c>
      <c r="AU682" s="62">
        <f t="shared" ca="1" si="630"/>
        <v>3.3473795143332818E-2</v>
      </c>
      <c r="AV682" s="64">
        <f ca="1">IF(AS682&gt;0,('模拟-单技能数据'!$D$22+G682*'模拟-单技能数据'!$F$22)*(1+J682)*(1-S682)*IF(AU682&lt;$F$10,0,IF(AU682&lt;$F$10+$F$11,0.25,IF(AU682&lt;$F$10+$F$11+AS682,AT682,1)))*(1+U682),0)*'模拟-单技能数据'!$I$22</f>
        <v>2122.0699311402354</v>
      </c>
      <c r="AW682" s="108">
        <f t="shared" ca="1" si="631"/>
        <v>18.155000000000001</v>
      </c>
      <c r="AX682" s="108" t="b">
        <f ca="1">AND(模拟模式!$P$10="有",AW681=0,RAND()&lt;IF(C682="净世破魔击·月",0.1*8/3,IF(C682="净世破魔击·日",0.1*4/3,0.1*2/3)))</f>
        <v>0</v>
      </c>
      <c r="AY682" s="47">
        <f ca="1">IF(AX682,(18+G682*0.722)*(1+J682)*(1-S682)*(1+$I$4)*IF(P682="会",'模拟-全程加成'!$J$3+'模拟-全程加成'!$J$4+'模拟-全程加成'!$J$5+('模拟-全程加成'!$I$4+'模拟-全程加成'!$I$5)/系数!$B$4+BG682*10%,IF(P682="命",1,IF(P682="识",0.25,0))),0)</f>
        <v>0</v>
      </c>
      <c r="AZ682" s="108">
        <f t="shared" si="632"/>
        <v>4.3175000000000061</v>
      </c>
      <c r="BA682" s="108" t="b">
        <f>AND(模拟模式!$Q$10="有",AZ681=0)</f>
        <v>0</v>
      </c>
      <c r="BB682" s="140">
        <f>IF(BA682,(0+G682*0.287)*(1+J682)*(1-S682)*(1+$I$4)*IF(P682="会",'模拟-全程加成'!$J$3+'模拟-全程加成'!$J$4+'模拟-全程加成'!$J$5+('模拟-全程加成'!$I$4+'模拟-全程加成'!$I$5)/系数!$B$4+BG682*10%,IF(P682="命",1,IF(P682="识",0.25,0))),0)</f>
        <v>0</v>
      </c>
      <c r="BC682" s="115" t="b">
        <f ca="1">AND(模拟模式!$R$7="伏明众生",E682=60,F682=20,DA682&lt;5,CZ681&lt;$F$4)</f>
        <v>0</v>
      </c>
      <c r="BD682" s="115">
        <f t="shared" ca="1" si="611"/>
        <v>0</v>
      </c>
      <c r="BE682" s="115" t="b">
        <f t="shared" ca="1" si="612"/>
        <v>0</v>
      </c>
      <c r="BF682" s="47">
        <f ca="1">IF(BC682,4*('模拟-单技能数据'!$D$24+G682*'模拟-单技能数据'!$F$24)*(1+J682)*(1+'模拟-单技能数据'!$J$24)*(1-S682)*(1+$I$3)*(('模拟-全程加成'!$J$3+'模拟-全程加成'!$J$4+'模拟-全程加成'!$J$5+('模拟-全程加成'!$I$4+'模拟-全程加成'!$I$5)/系数!$B$4+BG682*10%)*('模拟-全程加成'!$J$3+'模拟-全程加成'!$J$4+'模拟-全程加成'!$J$5+('模拟-全程加成'!$I$4+'模拟-全程加成'!$I$5)/系数!$B$4+BG682*10%)+(1-('模拟-全程加成'!$J$3+'模拟-全程加成'!$J$4+'模拟-全程加成'!$J$5+('模拟-全程加成'!$I$4+'模拟-全程加成'!$I$5)/系数!$B$4+BG682*10%)-$F$10-$F$11)+F668*0.25),0)*'模拟-单技能数据'!$I$24</f>
        <v>0</v>
      </c>
      <c r="BG682" s="115" t="b">
        <f ca="1">OR(AND(OR(C682="烈日斩",C682="银月斩"),模拟模式!$I$7="净身明礼"),AND(C682="净世破魔击·日",模拟模式!$J$7="洞若观火"),AND(C683="净世破魔击·月",模拟模式!$J$7="洞若观火"),AB682=1)</f>
        <v>1</v>
      </c>
      <c r="BH682" s="115" t="b">
        <f t="shared" ca="1" si="633"/>
        <v>0</v>
      </c>
      <c r="BI682" s="115">
        <f t="shared" ca="1" si="613"/>
        <v>0</v>
      </c>
      <c r="BJ682" s="115" t="b">
        <f t="shared" ca="1" si="614"/>
        <v>0</v>
      </c>
      <c r="BK682" s="115" t="b">
        <f ca="1">AND(C682="驱夜断愁",模拟模式!$P$7="天地诛戮")</f>
        <v>0</v>
      </c>
      <c r="BL682" s="57">
        <f t="shared" ca="1" si="615"/>
        <v>16.310000000000002</v>
      </c>
      <c r="BM682" s="115" t="b">
        <f t="shared" ca="1" si="616"/>
        <v>1</v>
      </c>
      <c r="BN682" s="115" t="b">
        <f ca="1">AND(OR(C682="赤日轮1",C682="赤日轮2",C682="赤日轮3",C682="幽月轮1",C682="幽月轮2",C682="幽月轮3"),AB682=1,模拟模式!$L$7="明光恒照")</f>
        <v>0</v>
      </c>
      <c r="BO682" s="117">
        <f t="shared" ca="1" si="617"/>
        <v>28.155000000000001</v>
      </c>
      <c r="BP682" s="115">
        <f t="shared" ca="1" si="634"/>
        <v>6</v>
      </c>
      <c r="BQ682" s="115" t="b">
        <f>模拟模式!$K$10="2600·水"</f>
        <v>0</v>
      </c>
      <c r="BR682" s="117">
        <f t="shared" si="635"/>
        <v>0</v>
      </c>
      <c r="BS682" s="115">
        <f t="shared" si="636"/>
        <v>0</v>
      </c>
      <c r="BT682" s="115">
        <f t="shared" ca="1" si="637"/>
        <v>0</v>
      </c>
      <c r="BU682" s="115" t="b">
        <f ca="1">AND(模拟模式!$K$10="2300·雷",BT681=0,RAND()&lt;IF(C682="净世破魔击·月",5*0.05*2/3,IF(C682="净世破魔击·日",3*0.05*2/3,0.05*2*2/3)))</f>
        <v>0</v>
      </c>
      <c r="BV682" s="115">
        <f t="shared" ca="1" si="638"/>
        <v>0</v>
      </c>
      <c r="BW682" s="115">
        <f t="shared" ca="1" si="639"/>
        <v>133.87499999999932</v>
      </c>
      <c r="BX682" s="164" t="b">
        <f t="shared" ca="1" si="640"/>
        <v>0</v>
      </c>
      <c r="BY682" s="115">
        <f t="shared" ca="1" si="641"/>
        <v>0</v>
      </c>
      <c r="BZ682" s="115">
        <f>IF(OR(模拟模式!$P$16="10人团",模拟模式!$P$16="25人团"),IF(B682/30&gt;CA681,1,0),0)</f>
        <v>0</v>
      </c>
      <c r="CA682" s="115">
        <f t="shared" si="618"/>
        <v>0</v>
      </c>
      <c r="CB682" s="115">
        <f ca="1">IF(BZ682=1,IF(模拟模式!$P$16="10人团",15,0)+IF(模拟模式!$P$16="25人团",IF(RAND()&lt;0.6,15,0)),MAX(0,CB681-$F$4))</f>
        <v>0</v>
      </c>
      <c r="CC682" s="115" t="b">
        <f t="shared" ca="1" si="619"/>
        <v>0</v>
      </c>
      <c r="CD682" s="115">
        <f>IF(模拟模式!$Q$16="1个",IF(B682/40&gt;CE681,1,0),0)</f>
        <v>0</v>
      </c>
      <c r="CE682" s="115">
        <f t="shared" si="620"/>
        <v>0</v>
      </c>
      <c r="CF682" s="115">
        <f>IF(OR(CD682=1,模拟模式!$Q$16="2个"),20,MAX(0,CF681-$F$4))</f>
        <v>0</v>
      </c>
      <c r="CG682" s="115" t="b">
        <f t="shared" si="621"/>
        <v>0</v>
      </c>
      <c r="CH682" s="115">
        <f t="shared" ca="1" si="642"/>
        <v>15.240000000000009</v>
      </c>
      <c r="CI682" s="115" t="b">
        <f t="shared" ca="1" si="643"/>
        <v>0</v>
      </c>
      <c r="CJ682" s="119">
        <f t="shared" ca="1" si="644"/>
        <v>0</v>
      </c>
      <c r="CK682" s="115">
        <f t="shared" ca="1" si="645"/>
        <v>0</v>
      </c>
      <c r="CL682" s="115" t="b">
        <f ca="1">AND(模拟模式!$S$7="驱夷逐法",OR(AND(C682="净世破魔击·月",E681&gt;59),AND(C682="净世破魔击·日",F681&gt;59)))</f>
        <v>0</v>
      </c>
      <c r="CM682" s="115" t="b">
        <f ca="1">OR(CL682,AND(C682="净世破魔击·日",CL681,RAND()&lt;模拟模式!$U$23))</f>
        <v>1</v>
      </c>
      <c r="CN682" s="115" t="b">
        <f ca="1">IF(模拟模式!$M$7="辉耀红尘",AND(C682="净世破魔击·月",CL682,CV682=0,E681&lt;80),AND(C682="净世破魔击·月",CL682,E681&lt;100))</f>
        <v>0</v>
      </c>
      <c r="CO682" s="115" t="b">
        <f t="shared" ca="1" si="622"/>
        <v>0</v>
      </c>
      <c r="CP682" s="115" t="b">
        <f ca="1">AND(模拟模式!$O$7="用晦而明",OR(C682="净世破魔击·日",C682="净世破魔击·月",C682="驱夜断愁"),AB682)</f>
        <v>1</v>
      </c>
      <c r="CQ682" s="115" t="b">
        <f ca="1">OR(CP682,AND(CP681,RAND()&lt;模拟模式!$U$23))</f>
        <v>1</v>
      </c>
      <c r="CR682" s="115" t="b">
        <f ca="1">AND(模拟模式!$S$7="日月齐光",OR(C682="幽月轮1",C682="幽月轮2",C682="幽月轮3",CR681),NOT(OR(C682="赤日轮1",C682="赤日轮2",C682="赤日轮3")))</f>
        <v>0</v>
      </c>
      <c r="CS682" s="115" t="b">
        <f ca="1">AND(模拟模式!$S$7="日月齐光",OR(C682="赤日轮1",C682="赤日轮2",C682="赤日轮3",CS681),NOT(OR(C682="幽月轮1",C682="幽月轮2",C682="幽月轮3")))</f>
        <v>0</v>
      </c>
      <c r="CT682" s="115">
        <f t="shared" ca="1" si="646"/>
        <v>11.550000000000011</v>
      </c>
      <c r="CU682" s="115" t="b">
        <f ca="1">AND(模拟模式!$K$10="阴阳往极",CT681=0,RAND()&lt;IF(C682="净世破魔击·月",0.0275*7/3,IF(C682="净世破魔击·日",0.0275*3/3,0.0275*2/3)))</f>
        <v>0</v>
      </c>
      <c r="CV682" s="115">
        <f t="shared" ca="1" si="647"/>
        <v>0</v>
      </c>
      <c r="CW682" s="115">
        <f t="shared" ca="1" si="648"/>
        <v>3.2324999999999995</v>
      </c>
      <c r="CX682" s="115">
        <f t="shared" ca="1" si="649"/>
        <v>1.3874999999999997</v>
      </c>
      <c r="CY682" s="115">
        <f ca="1">MAX(IF($C682="驱夜断愁",IF(模拟模式!$R$7="万念俱寂",6,45),CY681-$F$4),0)</f>
        <v>2.3099999999999996</v>
      </c>
      <c r="CZ682" s="115">
        <f t="shared" ca="1" si="623"/>
        <v>0</v>
      </c>
      <c r="DA682" s="115">
        <f ca="1">IF(模拟模式!$N$7="日月同辉",IF(DB681=2,0,MIN(6,IF(AND(OR(C682="赤日轮1",C682="赤日轮2",C682="赤日轮3",C682="幽月轮1",C682="幽月轮2",C682="幽月轮3"),AB682=1),DA681+1,DA681))),0)</f>
        <v>5</v>
      </c>
      <c r="DB682" s="115">
        <f t="shared" ca="1" si="624"/>
        <v>0</v>
      </c>
      <c r="DC682" s="115"/>
      <c r="DD682" s="115"/>
      <c r="DE682" s="115"/>
      <c r="DF682" s="115"/>
      <c r="DG682" s="115"/>
      <c r="DH682" s="115"/>
      <c r="DI682" s="115"/>
      <c r="DJ682" s="115"/>
      <c r="DK682" s="115"/>
      <c r="DL682" s="115"/>
      <c r="DM682" s="115"/>
    </row>
    <row r="683" spans="2:117" x14ac:dyDescent="0.2">
      <c r="B683" s="117">
        <f t="shared" si="625"/>
        <v>605.1600000000069</v>
      </c>
      <c r="C683" s="167" t="str">
        <f t="shared" ca="1" si="594"/>
        <v>赤日轮1</v>
      </c>
      <c r="D683" s="115">
        <f ca="1">IF(C683="赤日轮1",1,IF(C683="赤日轮2",2,IF(C683="赤日轮3",3,IF(C683="幽月轮1",4,IF(C683="幽月轮2",5,IF(C683="幽月轮3",6,IF(C683="烈日斩",7,IF(C683="银月斩",8,IF(C683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683="净世破魔击·月",17,IF(C683="驱夜断愁",18,0)))))))))))</f>
        <v>1</v>
      </c>
      <c r="E683" s="115">
        <f ca="1">IF(AND(CU683,OR(C683="幽月轮1",C683="幽月轮2",C683="幽月轮3",C683="银月斩",C683="驱夜断愁",C683="净世破魔击·月")),100,MIN(IF(OR(CN683,BE683),0,IF(OR($C683="赤日轮1",$C683="赤日轮2",$C683="赤日轮3"),E682+20+IF(模拟模式!$I$7="日月凌天",4,0)+IF(CR682,20,0),IF($C683="烈日斩",E682+40,IF($C683="驱夜断愁",IF(模拟模式!$R$7="万念俱寂",E682+20,E682+60),IF($C683="净世破魔击·月",IF(OR(DB682&gt;0,CV682&gt;0),100,IF(模拟模式!$M$7="辉耀红尘",E682+20,E682)),IF($C683="净世破魔击·日",E682-100,E682)))))),100))</f>
        <v>20</v>
      </c>
      <c r="F683" s="115">
        <f ca="1">IF(AND(CU683,OR(C683="赤日轮1",C683="赤日轮2",C683="赤日轮3",C683="烈日斩",C683="净世破魔击·日")),100,MIN(IF(CO683,0,IF(OR($C683="幽月轮1",$C683="幽月轮2",$C683="幽月轮3"),F682+20+IF(模拟模式!$I$7="日月凌天",4,0)+IF(CS682,20,0),IF($C683="银月斩",F682+40+IF(模拟模式!$X$12=1,5,0),IF($C683="驱夜断愁",IF(模拟模式!$R$7="万念俱寂",F682+20,F682+60),IF($C683="净世破魔击·月",IF(模拟模式!$M$7="辉耀红尘",F682-80,F682-100),IF(AND(C683="净世破魔击·日",OR(DB682&gt;0,CV682&gt;0)),100,F682)))))),100))</f>
        <v>20</v>
      </c>
      <c r="G683" s="117">
        <f ca="1">('模拟-全程加成'!$E$3+'模拟-全程加成'!$E$4+'模拟-全程加成'!$E$5+('模拟-全程加成'!$C$6-'模拟-全程加成'!$C$3)*系数!$B$9+BS683*23)*(1+'模拟-全程加成'!$F$4+'模拟-全程加成'!$F$5+BJ683*10%+BM683*20%+BP683*4%+CG683*30%)+$F$7*系数!$B$12</f>
        <v>20583.127400000001</v>
      </c>
      <c r="H683" s="45">
        <f ca="1">'模拟-全程加成'!$H$3+'模拟-全程加成'!$H$4+'模拟-全程加成'!$H$5+('模拟-全程加成'!$G$4+'模拟-全程加成'!$G$5+('模拟-全程加成'!$C$6-'模拟-全程加成'!$C$3)*系数!$B$13)/系数!$B$3+LOOKUP(D683,'模拟-单技能数据'!$A$2:$A$19,'模拟-单技能数据'!$K$2:$K$19)+BG683*10%+IF(BV683&gt;0,378,0)</f>
        <v>0.4618514552730022</v>
      </c>
      <c r="I683" s="45">
        <f ca="1">'模拟-全程加成'!$J$3+'模拟-全程加成'!$J$4+'模拟-全程加成'!$J$5+('模拟-全程加成'!$I$4+'模拟-全程加成'!$I$5)/系数!$B$4+LOOKUP(D683,'模拟-单技能数据'!$A$2:$A$19,'模拟-单技能数据'!$L$2:$L$19)+BG683*10%</f>
        <v>2.162482885499879</v>
      </c>
      <c r="J683" s="45">
        <f ca="1">(('模拟-全程加成'!$K$3+'模拟-全程加成'!$K$4+'模拟-全程加成'!$K$5+('模拟-全程加成'!$C$6-'模拟-全程加成'!$C$3)*系数!$B$10+IF(BV683&gt;0,882,0)+IF(BY683&gt;0,1831,0))*(1+'模拟-全程加成'!$L$4+'模拟-全程加成'!$L$5+CC683*20%))/系数!$B$5</f>
        <v>0.69723220422048726</v>
      </c>
      <c r="K683" s="119">
        <f ca="1">LOOKUP(D683,'模拟-单技能数据'!$A$2:$A$19,'模拟-单技能数据'!$J$2:$J$19)+IF(CM683,60%,0)+IF(DB682-DB683&gt;0,30%,0)+IF(OR(AND(OR(C683="赤日轮1",C683="赤日轮2",C683="赤日轮3"),CR683),AND(OR(C683="幽月轮1",C683="幽月轮2",C683="幽月轮3"),CS683)),35%,0)+CJ683</f>
        <v>0.12</v>
      </c>
      <c r="L683" s="119">
        <f ca="1">IF(AND(C683="烈日斩",模拟模式!$X$11=1),10%,0)+IF(AND(C683="驱夜断愁",AB683=1),30%,0)</f>
        <v>0</v>
      </c>
      <c r="M683" s="45">
        <f t="shared" ca="1" si="595"/>
        <v>0.4618514552730022</v>
      </c>
      <c r="N683" s="45">
        <f t="shared" ca="1" si="596"/>
        <v>0.48424854472699785</v>
      </c>
      <c r="O683" s="46">
        <f t="shared" ca="1" si="626"/>
        <v>0.86818013382687209</v>
      </c>
      <c r="P683" s="46" t="str">
        <f t="shared" ca="1" si="597"/>
        <v>命</v>
      </c>
      <c r="Q683" s="45">
        <f t="shared" ca="1" si="598"/>
        <v>1</v>
      </c>
      <c r="R683" s="117">
        <f ca="1">模拟模式!$E$20*(1-IF(模拟模式!$J$19="有",0.15,0))*(1-IF(模拟模式!$K$19="有",0.3,0)-IF(CQ683,0.5,0))</f>
        <v>843.02999999999975</v>
      </c>
      <c r="S683" s="45">
        <f ca="1">R683/(R683+(185*模拟模式!$E$22-16800)*4.08224)</f>
        <v>8.389626085980037E-2</v>
      </c>
      <c r="T683" s="45" t="str">
        <f ca="1">LOOKUP(D683,'模拟-单技能数据'!$A$2:$A$19,'模拟-单技能数据'!$H$2:$H$19)</f>
        <v>阳</v>
      </c>
      <c r="U683" s="119">
        <f t="shared" ca="1" si="599"/>
        <v>0.2</v>
      </c>
      <c r="V683" s="47">
        <f ca="1">(1+L683)*(LOOKUP(D683,'模拟-单技能数据'!$A$2:$A$19,'模拟-单技能数据'!$D$2:$D$19)+G683*LOOKUP(D683,'模拟-单技能数据'!$A$2:$A$19,'模拟-单技能数据'!$F$2:$F$19))*(1+J683)*(1+K683)*(1-S683)*(1+U683)*Q683*LOOKUP(D683,'模拟-单技能数据'!$A$2:$A$19,'模拟-单技能数据'!$I$2:$I$20)</f>
        <v>25194.44799269021</v>
      </c>
      <c r="W683" s="47">
        <f ca="1">LOOKUP(D683,'模拟-单技能数据'!$A$2:$A$19,'模拟-单技能数据'!$G$2:$G$19)*$I$10</f>
        <v>361.51064354704795</v>
      </c>
      <c r="X683" s="47">
        <f t="shared" ca="1" si="627"/>
        <v>20337.288047383721</v>
      </c>
      <c r="Y683" s="47">
        <f t="shared" ca="1" si="600"/>
        <v>45893.246683620979</v>
      </c>
      <c r="Z683" s="49">
        <f t="shared" ca="1" si="601"/>
        <v>68984637.370229825</v>
      </c>
      <c r="AA683" s="97">
        <f t="shared" ca="1" si="602"/>
        <v>113994.04681444418</v>
      </c>
      <c r="AB683" s="115">
        <f ca="1">IF(OR(C683="赤日轮1",C683="赤日轮2",C683="赤日轮3"),IF(RAND()&lt;模拟模式!$Y$17,1,0),IF(OR(C683="幽月轮1",C683="幽月轮2",C683="幽月轮3"),IF(RAND()&lt;模拟模式!$Y$18,1,0),IF(C683="烈日斩",IF(RAND()&lt;模拟模式!$Y$19,1,0),IF(C683="银月斩",IF(RAND()&lt;模拟模式!$Y$20,1,0),IF(C683="驱夜断愁",IF(RAND()&lt;模拟模式!$Y$21,1,0),IF(C683="净世破魔击·日",IF(RAND()&lt;模拟模式!$Y$22,1,0),IF(C683="净世破魔击·月",IF(RAND()&lt;模拟模式!$Y$23,1,0),0)))))))</f>
        <v>1</v>
      </c>
      <c r="AC683" s="115" t="b">
        <f t="shared" ca="1" si="603"/>
        <v>0</v>
      </c>
      <c r="AD683" s="115" t="b">
        <f t="shared" ca="1" si="604"/>
        <v>1</v>
      </c>
      <c r="AE683" s="115">
        <f t="shared" ca="1" si="605"/>
        <v>3</v>
      </c>
      <c r="AF683" s="47">
        <f ca="1">IF(AC683,('模拟-单技能数据'!$D$20+G683*'模拟-单技能数据'!$F$20)*(1+J683)*(1+'模拟-单技能数据'!$J$20)*(1+U683),0)</f>
        <v>0</v>
      </c>
      <c r="AG683" s="61">
        <f t="shared" ca="1" si="606"/>
        <v>0.64185145527300214</v>
      </c>
      <c r="AH683" s="61">
        <f t="shared" ca="1" si="607"/>
        <v>2.2624828854998791</v>
      </c>
      <c r="AI683" s="62">
        <f t="shared" ca="1" si="628"/>
        <v>0.29441762316572917</v>
      </c>
      <c r="AJ683" s="47">
        <f ca="1">IF(AD683,IF(AI683&lt;$F$10,0,IF(AI683&lt;$F$10+$F$11,0.25,IF(AI683&lt;$F$10+$F$11+AG683,AH683,1)))*IF(AF683&gt;0,AF683,IF(AF682&gt;0,AF682,IF(AF681&gt;0,AF681,IF(AF680&gt;0,AF680,IF(AF679&gt;0,AF679,IF(AF678&gt;0,AF678,IF(AF677&gt;0,AF677,IF(AF676&gt;0,AF676,IF(AF675&gt;0,AF675,IF(AF673&gt;0,AF673,IF(AF672&gt;0,AF672,IF(AF671&gt;0,AF671,0)))))))))))),0)*(1-$S683)*'模拟-单技能数据'!$I$20</f>
        <v>9218.9345386263849</v>
      </c>
      <c r="AK683" s="115" t="b">
        <f t="shared" ca="1" si="608"/>
        <v>0</v>
      </c>
      <c r="AL683" s="115" t="b">
        <f t="shared" ca="1" si="609"/>
        <v>1</v>
      </c>
      <c r="AM683" s="115">
        <f t="shared" ca="1" si="610"/>
        <v>5</v>
      </c>
      <c r="AN683" s="47">
        <f ca="1">IF(AK683,('模拟-单技能数据'!$D$21+G683*'模拟-单技能数据'!$F$21)*(1+J683)*(1+'模拟-单技能数据'!$J$21)*(1+U683),0)</f>
        <v>0</v>
      </c>
      <c r="AO683" s="61">
        <f ca="1">IF(AN683&gt;0,M683-'模拟-单技能数据'!$K$10,AO682)</f>
        <v>0.42185145527300216</v>
      </c>
      <c r="AP683" s="61">
        <f ca="1">IF(AN683&gt;0,I683-'模拟-单技能数据'!$L$10,AP682)</f>
        <v>2.162482885499879</v>
      </c>
      <c r="AQ683" s="63">
        <f t="shared" ca="1" si="629"/>
        <v>0.86577486710890794</v>
      </c>
      <c r="AR683" s="64">
        <f ca="1">IF(AL683,IF(AQ683&lt;$F$10,0,IF(AQ683&lt;$F$10+$F$11,0.25,IF(AQ683&lt;$F$10+$F$11+AO683,AP683,1)))*IF(AN683&gt;0,AN683,IF(AN682&gt;0,AN682,IF(AN681&gt;0,AN681,IF(AN680&gt;0,AN680,IF(AN679&gt;0,AN679,IF(AN678&gt;0,AN678,IF(AN677&gt;0,AN677,IF(AN676&gt;0,AN676,IF(AN675&gt;0,AN675,IF(AN673&gt;0,AN673,IF(AN672&gt;0,AN672,IF(AN671&gt;0,AN671,0)))))))))))),0)*(1-$S683)*'模拟-单技能数据'!$I$21</f>
        <v>11118.353508757338</v>
      </c>
      <c r="AS683" s="61">
        <f ca="1">IF(OR(C683="净世破魔击·日",C683="净世破魔击·月"),M683-'模拟-单技能数据'!$K$10,0)</f>
        <v>0</v>
      </c>
      <c r="AT683" s="61">
        <f ca="1">IF(OR(C683="净世破魔击·日",C683="净世破魔击·月"),I683-'模拟-单技能数据'!$L$10,0)</f>
        <v>0</v>
      </c>
      <c r="AU683" s="62">
        <f t="shared" ca="1" si="630"/>
        <v>0.90299136512615752</v>
      </c>
      <c r="AV683" s="64">
        <f ca="1">IF(AS683&gt;0,('模拟-单技能数据'!$D$22+G683*'模拟-单技能数据'!$F$22)*(1+J683)*(1-S683)*IF(AU683&lt;$F$10,0,IF(AU683&lt;$F$10+$F$11,0.25,IF(AU683&lt;$F$10+$F$11+AS683,AT683,1)))*(1+U683),0)*'模拟-单技能数据'!$I$22</f>
        <v>0</v>
      </c>
      <c r="AW683" s="108">
        <f t="shared" ca="1" si="631"/>
        <v>17.232500000000002</v>
      </c>
      <c r="AX683" s="108" t="b">
        <f ca="1">AND(模拟模式!$P$10="有",AW682=0,RAND()&lt;IF(C683="净世破魔击·月",0.1*8/3,IF(C683="净世破魔击·日",0.1*4/3,0.1*2/3)))</f>
        <v>0</v>
      </c>
      <c r="AY683" s="47">
        <f ca="1">IF(AX683,(18+G683*0.722)*(1+J683)*(1-S683)*(1+$I$4)*IF(P683="会",'模拟-全程加成'!$J$3+'模拟-全程加成'!$J$4+'模拟-全程加成'!$J$5+('模拟-全程加成'!$I$4+'模拟-全程加成'!$I$5)/系数!$B$4+BG683*10%,IF(P683="命",1,IF(P683="识",0.25,0))),0)</f>
        <v>0</v>
      </c>
      <c r="AZ683" s="108">
        <f t="shared" si="632"/>
        <v>3.3950000000000062</v>
      </c>
      <c r="BA683" s="108" t="b">
        <f>AND(模拟模式!$Q$10="有",AZ682=0)</f>
        <v>0</v>
      </c>
      <c r="BB683" s="140">
        <f>IF(BA683,(0+G683*0.287)*(1+J683)*(1-S683)*(1+$I$4)*IF(P683="会",'模拟-全程加成'!$J$3+'模拟-全程加成'!$J$4+'模拟-全程加成'!$J$5+('模拟-全程加成'!$I$4+'模拟-全程加成'!$I$5)/系数!$B$4+BG683*10%,IF(P683="命",1,IF(P683="识",0.25,0))),0)</f>
        <v>0</v>
      </c>
      <c r="BC683" s="115" t="b">
        <f ca="1">AND(模拟模式!$R$7="伏明众生",E683=60,F683=20,DA683&lt;5,CZ682&lt;$F$4)</f>
        <v>0</v>
      </c>
      <c r="BD683" s="115">
        <f t="shared" ca="1" si="611"/>
        <v>0</v>
      </c>
      <c r="BE683" s="115" t="b">
        <f t="shared" ca="1" si="612"/>
        <v>0</v>
      </c>
      <c r="BF683" s="47">
        <f ca="1">IF(BC683,4*('模拟-单技能数据'!$D$24+G683*'模拟-单技能数据'!$F$24)*(1+J683)*(1+'模拟-单技能数据'!$J$24)*(1-S683)*(1+$I$3)*(('模拟-全程加成'!$J$3+'模拟-全程加成'!$J$4+'模拟-全程加成'!$J$5+('模拟-全程加成'!$I$4+'模拟-全程加成'!$I$5)/系数!$B$4+BG683*10%)*('模拟-全程加成'!$J$3+'模拟-全程加成'!$J$4+'模拟-全程加成'!$J$5+('模拟-全程加成'!$I$4+'模拟-全程加成'!$I$5)/系数!$B$4+BG683*10%)+(1-('模拟-全程加成'!$J$3+'模拟-全程加成'!$J$4+'模拟-全程加成'!$J$5+('模拟-全程加成'!$I$4+'模拟-全程加成'!$I$5)/系数!$B$4+BG683*10%)-$F$10-$F$11)+F669*0.25),0)*'模拟-单技能数据'!$I$24</f>
        <v>0</v>
      </c>
      <c r="BG683" s="115" t="b">
        <f ca="1">OR(AND(OR(C683="烈日斩",C683="银月斩"),模拟模式!$I$7="净身明礼"),AND(C683="净世破魔击·日",模拟模式!$J$7="洞若观火"),AND(C684="净世破魔击·月",模拟模式!$J$7="洞若观火"),AB683=1)</f>
        <v>1</v>
      </c>
      <c r="BH683" s="115" t="b">
        <f t="shared" ca="1" si="633"/>
        <v>0</v>
      </c>
      <c r="BI683" s="115">
        <f t="shared" ca="1" si="613"/>
        <v>0</v>
      </c>
      <c r="BJ683" s="115" t="b">
        <f t="shared" ca="1" si="614"/>
        <v>0</v>
      </c>
      <c r="BK683" s="115" t="b">
        <f ca="1">AND(C683="驱夜断愁",模拟模式!$P$7="天地诛戮")</f>
        <v>0</v>
      </c>
      <c r="BL683" s="57">
        <f t="shared" ca="1" si="615"/>
        <v>15.387500000000003</v>
      </c>
      <c r="BM683" s="115" t="b">
        <f t="shared" ca="1" si="616"/>
        <v>1</v>
      </c>
      <c r="BN683" s="115" t="b">
        <f ca="1">AND(OR(C683="赤日轮1",C683="赤日轮2",C683="赤日轮3",C683="幽月轮1",C683="幽月轮2",C683="幽月轮3"),AB683=1,模拟模式!$L$7="明光恒照")</f>
        <v>1</v>
      </c>
      <c r="BO683" s="117">
        <f t="shared" ca="1" si="617"/>
        <v>30</v>
      </c>
      <c r="BP683" s="115">
        <f t="shared" ca="1" si="634"/>
        <v>6</v>
      </c>
      <c r="BQ683" s="115" t="b">
        <f>模拟模式!$K$10="2600·水"</f>
        <v>0</v>
      </c>
      <c r="BR683" s="117">
        <f t="shared" si="635"/>
        <v>0</v>
      </c>
      <c r="BS683" s="115">
        <f t="shared" si="636"/>
        <v>0</v>
      </c>
      <c r="BT683" s="115">
        <f t="shared" ca="1" si="637"/>
        <v>0</v>
      </c>
      <c r="BU683" s="115" t="b">
        <f ca="1">AND(模拟模式!$K$10="2300·雷",BT682=0,RAND()&lt;IF(C683="净世破魔击·月",5*0.05*2/3,IF(C683="净世破魔击·日",3*0.05*2/3,0.05*2*2/3)))</f>
        <v>0</v>
      </c>
      <c r="BV683" s="115">
        <f t="shared" ca="1" si="638"/>
        <v>0</v>
      </c>
      <c r="BW683" s="115">
        <f t="shared" ca="1" si="639"/>
        <v>132.9524999999993</v>
      </c>
      <c r="BX683" s="164" t="b">
        <f t="shared" ca="1" si="640"/>
        <v>0</v>
      </c>
      <c r="BY683" s="115">
        <f t="shared" ca="1" si="641"/>
        <v>0</v>
      </c>
      <c r="BZ683" s="115">
        <f>IF(OR(模拟模式!$P$16="10人团",模拟模式!$P$16="25人团"),IF(B683/30&gt;CA682,1,0),0)</f>
        <v>0</v>
      </c>
      <c r="CA683" s="115">
        <f t="shared" si="618"/>
        <v>0</v>
      </c>
      <c r="CB683" s="115">
        <f ca="1">IF(BZ683=1,IF(模拟模式!$P$16="10人团",15,0)+IF(模拟模式!$P$16="25人团",IF(RAND()&lt;0.6,15,0)),MAX(0,CB682-$F$4))</f>
        <v>0</v>
      </c>
      <c r="CC683" s="115" t="b">
        <f t="shared" ca="1" si="619"/>
        <v>0</v>
      </c>
      <c r="CD683" s="115">
        <f>IF(模拟模式!$Q$16="1个",IF(B683/40&gt;CE682,1,0),0)</f>
        <v>0</v>
      </c>
      <c r="CE683" s="115">
        <f t="shared" si="620"/>
        <v>0</v>
      </c>
      <c r="CF683" s="115">
        <f>IF(OR(CD683=1,模拟模式!$Q$16="2个"),20,MAX(0,CF682-$F$4))</f>
        <v>0</v>
      </c>
      <c r="CG683" s="115" t="b">
        <f t="shared" si="621"/>
        <v>0</v>
      </c>
      <c r="CH683" s="115">
        <f t="shared" ca="1" si="642"/>
        <v>14.31750000000001</v>
      </c>
      <c r="CI683" s="115" t="b">
        <f t="shared" ca="1" si="643"/>
        <v>0</v>
      </c>
      <c r="CJ683" s="119">
        <f t="shared" ca="1" si="644"/>
        <v>0</v>
      </c>
      <c r="CK683" s="115">
        <f t="shared" ca="1" si="645"/>
        <v>0</v>
      </c>
      <c r="CL683" s="115" t="b">
        <f ca="1">AND(模拟模式!$S$7="驱夷逐法",OR(AND(C683="净世破魔击·月",E682&gt;59),AND(C683="净世破魔击·日",F682&gt;59)))</f>
        <v>0</v>
      </c>
      <c r="CM683" s="115" t="b">
        <f ca="1">OR(CL683,AND(C683="净世破魔击·日",CL682,RAND()&lt;模拟模式!$U$23))</f>
        <v>0</v>
      </c>
      <c r="CN683" s="115" t="b">
        <f ca="1">IF(模拟模式!$M$7="辉耀红尘",AND(C683="净世破魔击·月",CL683,CV683=0,E682&lt;80),AND(C683="净世破魔击·月",CL683,E682&lt;100))</f>
        <v>0</v>
      </c>
      <c r="CO683" s="115" t="b">
        <f t="shared" ca="1" si="622"/>
        <v>0</v>
      </c>
      <c r="CP683" s="115" t="b">
        <f ca="1">AND(模拟模式!$O$7="用晦而明",OR(C683="净世破魔击·日",C683="净世破魔击·月",C683="驱夜断愁"),AB683)</f>
        <v>0</v>
      </c>
      <c r="CQ683" s="115" t="b">
        <f ca="1">OR(CP683,AND(CP682,RAND()&lt;模拟模式!$U$23))</f>
        <v>1</v>
      </c>
      <c r="CR683" s="115" t="b">
        <f ca="1">AND(模拟模式!$S$7="日月齐光",OR(C683="幽月轮1",C683="幽月轮2",C683="幽月轮3",CR682),NOT(OR(C683="赤日轮1",C683="赤日轮2",C683="赤日轮3")))</f>
        <v>0</v>
      </c>
      <c r="CS683" s="115" t="b">
        <f ca="1">AND(模拟模式!$S$7="日月齐光",OR(C683="赤日轮1",C683="赤日轮2",C683="赤日轮3",CS682),NOT(OR(C683="幽月轮1",C683="幽月轮2",C683="幽月轮3")))</f>
        <v>0</v>
      </c>
      <c r="CT683" s="115">
        <f t="shared" ca="1" si="646"/>
        <v>10.627500000000012</v>
      </c>
      <c r="CU683" s="115" t="b">
        <f ca="1">AND(模拟模式!$K$10="阴阳往极",CT682=0,RAND()&lt;IF(C683="净世破魔击·月",0.0275*7/3,IF(C683="净世破魔击·日",0.0275*3/3,0.0275*2/3)))</f>
        <v>0</v>
      </c>
      <c r="CV683" s="115">
        <f t="shared" ca="1" si="647"/>
        <v>0</v>
      </c>
      <c r="CW683" s="115">
        <f t="shared" ca="1" si="648"/>
        <v>2.3099999999999996</v>
      </c>
      <c r="CX683" s="115">
        <f t="shared" ca="1" si="649"/>
        <v>0.46499999999999975</v>
      </c>
      <c r="CY683" s="115">
        <f ca="1">MAX(IF($C683="驱夜断愁",IF(模拟模式!$R$7="万念俱寂",6,45),CY682-$F$4),0)</f>
        <v>1.3874999999999997</v>
      </c>
      <c r="CZ683" s="115">
        <f t="shared" ca="1" si="623"/>
        <v>0</v>
      </c>
      <c r="DA683" s="115">
        <f ca="1">IF(模拟模式!$N$7="日月同辉",IF(DB682=2,0,MIN(6,IF(AND(OR(C683="赤日轮1",C683="赤日轮2",C683="赤日轮3",C683="幽月轮1",C683="幽月轮2",C683="幽月轮3"),AB683=1),DA682+1,DA682))),0)</f>
        <v>6</v>
      </c>
      <c r="DB683" s="115">
        <f t="shared" ca="1" si="624"/>
        <v>2</v>
      </c>
      <c r="DC683" s="115"/>
      <c r="DD683" s="115"/>
      <c r="DE683" s="115"/>
      <c r="DF683" s="115"/>
      <c r="DG683" s="115"/>
      <c r="DH683" s="115"/>
      <c r="DI683" s="115"/>
      <c r="DJ683" s="115"/>
      <c r="DK683" s="115"/>
      <c r="DL683" s="115"/>
      <c r="DM683" s="115"/>
    </row>
    <row r="684" spans="2:117" x14ac:dyDescent="0.2">
      <c r="B684" s="117">
        <f t="shared" si="625"/>
        <v>606.08250000000692</v>
      </c>
      <c r="C684" s="167" t="str">
        <f t="shared" ca="1" si="594"/>
        <v>银月斩</v>
      </c>
      <c r="D684" s="115">
        <f ca="1">IF(C684="赤日轮1",1,IF(C684="赤日轮2",2,IF(C684="赤日轮3",3,IF(C684="幽月轮1",4,IF(C684="幽月轮2",5,IF(C684="幽月轮3",6,IF(C684="烈日斩",7,IF(C684="银月斩",8,IF(C684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684="净世破魔击·月",17,IF(C684="驱夜断愁",18,0)))))))))))</f>
        <v>8</v>
      </c>
      <c r="E684" s="115">
        <f ca="1">IF(AND(CU684,OR(C684="幽月轮1",C684="幽月轮2",C684="幽月轮3",C684="银月斩",C684="驱夜断愁",C684="净世破魔击·月")),100,MIN(IF(OR(CN684,BE684),0,IF(OR($C684="赤日轮1",$C684="赤日轮2",$C684="赤日轮3"),E683+20+IF(模拟模式!$I$7="日月凌天",4,0)+IF(CR683,20,0),IF($C684="烈日斩",E683+40,IF($C684="驱夜断愁",IF(模拟模式!$R$7="万念俱寂",E683+20,E683+60),IF($C684="净世破魔击·月",IF(OR(DB683&gt;0,CV683&gt;0),100,IF(模拟模式!$M$7="辉耀红尘",E683+20,E683)),IF($C684="净世破魔击·日",E683-100,E683)))))),100))</f>
        <v>20</v>
      </c>
      <c r="F684" s="115">
        <f ca="1">IF(AND(CU684,OR(C684="赤日轮1",C684="赤日轮2",C684="赤日轮3",C684="烈日斩",C684="净世破魔击·日")),100,MIN(IF(CO684,0,IF(OR($C684="幽月轮1",$C684="幽月轮2",$C684="幽月轮3"),F683+20+IF(模拟模式!$I$7="日月凌天",4,0)+IF(CS683,20,0),IF($C684="银月斩",F683+40+IF(模拟模式!$X$12=1,5,0),IF($C684="驱夜断愁",IF(模拟模式!$R$7="万念俱寂",F683+20,F683+60),IF($C684="净世破魔击·月",IF(模拟模式!$M$7="辉耀红尘",F683-80,F683-100),IF(AND(C684="净世破魔击·日",OR(DB683&gt;0,CV683&gt;0)),100,F683)))))),100))</f>
        <v>65</v>
      </c>
      <c r="G684" s="117">
        <f ca="1">('模拟-全程加成'!$E$3+'模拟-全程加成'!$E$4+'模拟-全程加成'!$E$5+('模拟-全程加成'!$C$6-'模拟-全程加成'!$C$3)*系数!$B$9+BS684*23)*(1+'模拟-全程加成'!$F$4+'模拟-全程加成'!$F$5+BJ684*10%+BM684*20%+BP684*4%+CG684*30%)+$F$7*系数!$B$12</f>
        <v>20583.127400000001</v>
      </c>
      <c r="H684" s="45">
        <f ca="1">'模拟-全程加成'!$H$3+'模拟-全程加成'!$H$4+'模拟-全程加成'!$H$5+('模拟-全程加成'!$G$4+'模拟-全程加成'!$G$5+('模拟-全程加成'!$C$6-'模拟-全程加成'!$C$3)*系数!$B$13)/系数!$B$3+LOOKUP(D684,'模拟-单技能数据'!$A$2:$A$19,'模拟-单技能数据'!$K$2:$K$19)+BG684*10%+IF(BV684&gt;0,378,0)</f>
        <v>0.64185145527300214</v>
      </c>
      <c r="I684" s="45">
        <f ca="1">'模拟-全程加成'!$J$3+'模拟-全程加成'!$J$4+'模拟-全程加成'!$J$5+('模拟-全程加成'!$I$4+'模拟-全程加成'!$I$5)/系数!$B$4+LOOKUP(D684,'模拟-单技能数据'!$A$2:$A$19,'模拟-单技能数据'!$L$2:$L$19)+BG684*10%</f>
        <v>2.2624828854998791</v>
      </c>
      <c r="J684" s="45">
        <f ca="1">(('模拟-全程加成'!$K$3+'模拟-全程加成'!$K$4+'模拟-全程加成'!$K$5+('模拟-全程加成'!$C$6-'模拟-全程加成'!$C$3)*系数!$B$10+IF(BV684&gt;0,882,0)+IF(BY684&gt;0,1831,0))*(1+'模拟-全程加成'!$L$4+'模拟-全程加成'!$L$5+CC684*20%))/系数!$B$5</f>
        <v>0.69723220422048726</v>
      </c>
      <c r="K684" s="119">
        <f ca="1">LOOKUP(D684,'模拟-单技能数据'!$A$2:$A$19,'模拟-单技能数据'!$J$2:$J$19)+IF(CM684,60%,0)+IF(DB683-DB684&gt;0,30%,0)+IF(OR(AND(OR(C684="赤日轮1",C684="赤日轮2",C684="赤日轮3"),CR684),AND(OR(C684="幽月轮1",C684="幽月轮2",C684="幽月轮3"),CS684)),35%,0)+CJ684</f>
        <v>0.15</v>
      </c>
      <c r="L684" s="119">
        <f ca="1">IF(AND(C684="烈日斩",模拟模式!$X$11=1),10%,0)+IF(AND(C684="驱夜断愁",AB684=1),30%,0)</f>
        <v>0</v>
      </c>
      <c r="M684" s="45">
        <f t="shared" ca="1" si="595"/>
        <v>0.64185145527300214</v>
      </c>
      <c r="N684" s="45">
        <f t="shared" ca="1" si="596"/>
        <v>0.30424854472699792</v>
      </c>
      <c r="O684" s="46">
        <f t="shared" ca="1" si="626"/>
        <v>0.2079340091823727</v>
      </c>
      <c r="P684" s="46" t="str">
        <f t="shared" ca="1" si="597"/>
        <v>会</v>
      </c>
      <c r="Q684" s="45">
        <f t="shared" ca="1" si="598"/>
        <v>2.2624828854998791</v>
      </c>
      <c r="R684" s="117">
        <f ca="1">模拟模式!$E$20*(1-IF(模拟模式!$J$19="有",0.15,0))*(1-IF(模拟模式!$K$19="有",0.3,0)-IF(CQ684,0.5,0))</f>
        <v>2950.6049999999996</v>
      </c>
      <c r="S684" s="45">
        <f ca="1">R684/(R684+(185*模拟模式!$E$22-16800)*4.08224)</f>
        <v>0.24272716014590323</v>
      </c>
      <c r="T684" s="45" t="str">
        <f ca="1">LOOKUP(D684,'模拟-单技能数据'!$A$2:$A$19,'模拟-单技能数据'!$H$2:$H$19)</f>
        <v>阴</v>
      </c>
      <c r="U684" s="119">
        <f t="shared" ca="1" si="599"/>
        <v>0.08</v>
      </c>
      <c r="V684" s="47">
        <f ca="1">(1+L684)*(LOOKUP(D684,'模拟-单技能数据'!$A$2:$A$19,'模拟-单技能数据'!$D$2:$D$19)+G684*LOOKUP(D684,'模拟-单技能数据'!$A$2:$A$19,'模拟-单技能数据'!$F$2:$F$19))*(1+J684)*(1+K684)*(1-S684)*(1+U684)*Q684*LOOKUP(D684,'模拟-单技能数据'!$A$2:$A$19,'模拟-单技能数据'!$I$2:$I$20)</f>
        <v>39481.310356797861</v>
      </c>
      <c r="W684" s="47">
        <f ca="1">LOOKUP(D684,'模拟-单技能数据'!$A$2:$A$19,'模拟-单技能数据'!$G$2:$G$19)*$I$10</f>
        <v>361.51064354704795</v>
      </c>
      <c r="X684" s="47">
        <f t="shared" ca="1" si="627"/>
        <v>0</v>
      </c>
      <c r="Y684" s="47">
        <f t="shared" ca="1" si="600"/>
        <v>39842.821000344906</v>
      </c>
      <c r="Z684" s="49">
        <f t="shared" ca="1" si="601"/>
        <v>69024480.191230163</v>
      </c>
      <c r="AA684" s="97">
        <f t="shared" ca="1" si="602"/>
        <v>113886.27817372944</v>
      </c>
      <c r="AB684" s="115">
        <f ca="1">IF(OR(C684="赤日轮1",C684="赤日轮2",C684="赤日轮3"),IF(RAND()&lt;模拟模式!$Y$17,1,0),IF(OR(C684="幽月轮1",C684="幽月轮2",C684="幽月轮3"),IF(RAND()&lt;模拟模式!$Y$18,1,0),IF(C684="烈日斩",IF(RAND()&lt;模拟模式!$Y$19,1,0),IF(C684="银月斩",IF(RAND()&lt;模拟模式!$Y$20,1,0),IF(C684="驱夜断愁",IF(RAND()&lt;模拟模式!$Y$21,1,0),IF(C684="净世破魔击·日",IF(RAND()&lt;模拟模式!$Y$22,1,0),IF(C684="净世破魔击·月",IF(RAND()&lt;模拟模式!$Y$23,1,0),0)))))))</f>
        <v>1</v>
      </c>
      <c r="AC684" s="115" t="b">
        <f t="shared" ca="1" si="603"/>
        <v>1</v>
      </c>
      <c r="AD684" s="115" t="b">
        <f t="shared" ca="1" si="604"/>
        <v>0</v>
      </c>
      <c r="AE684" s="115">
        <f t="shared" ca="1" si="605"/>
        <v>6</v>
      </c>
      <c r="AF684" s="47">
        <f ca="1">IF(AC684,('模拟-单技能数据'!$D$20+G684*'模拟-单技能数据'!$F$20)*(1+J684)*(1+'模拟-单技能数据'!$J$20)*(1+U684),0)</f>
        <v>4447.8565560098323</v>
      </c>
      <c r="AG684" s="61">
        <f t="shared" ca="1" si="606"/>
        <v>0.64185145527300214</v>
      </c>
      <c r="AH684" s="61">
        <f t="shared" ca="1" si="607"/>
        <v>2.2624828854998791</v>
      </c>
      <c r="AI684" s="62">
        <f t="shared" ca="1" si="628"/>
        <v>0.42934512162180671</v>
      </c>
      <c r="AJ684" s="47">
        <f ca="1">IF(AD684,IF(AI684&lt;$F$10,0,IF(AI684&lt;$F$10+$F$11,0.25,IF(AI684&lt;$F$10+$F$11+AG684,AH684,1)))*IF(AF684&gt;0,AF684,IF(AF683&gt;0,AF683,IF(AF682&gt;0,AF682,IF(AF681&gt;0,AF681,IF(AF680&gt;0,AF680,IF(AF679&gt;0,AF679,IF(AF678&gt;0,AF678,IF(AF677&gt;0,AF677,IF(AF676&gt;0,AF676,IF(AF674&gt;0,AF674,IF(AF673&gt;0,AF673,IF(AF672&gt;0,AF672,0)))))))))))),0)*(1-$S684)*'模拟-单技能数据'!$I$20</f>
        <v>0</v>
      </c>
      <c r="AK684" s="115" t="b">
        <f t="shared" ca="1" si="608"/>
        <v>0</v>
      </c>
      <c r="AL684" s="115" t="b">
        <f t="shared" ca="1" si="609"/>
        <v>0</v>
      </c>
      <c r="AM684" s="115">
        <f t="shared" ca="1" si="610"/>
        <v>5</v>
      </c>
      <c r="AN684" s="47">
        <f ca="1">IF(AK684,('模拟-单技能数据'!$D$21+G684*'模拟-单技能数据'!$F$21)*(1+J684)*(1+'模拟-单技能数据'!$J$21)*(1+U684),0)</f>
        <v>0</v>
      </c>
      <c r="AO684" s="61">
        <f ca="1">IF(AN684&gt;0,M684-'模拟-单技能数据'!$K$10,AO683)</f>
        <v>0.42185145527300216</v>
      </c>
      <c r="AP684" s="61">
        <f ca="1">IF(AN684&gt;0,I684-'模拟-单技能数据'!$L$10,AP683)</f>
        <v>2.162482885499879</v>
      </c>
      <c r="AQ684" s="63">
        <f t="shared" ca="1" si="629"/>
        <v>0.48361371208533832</v>
      </c>
      <c r="AR684" s="64">
        <f ca="1">IF(AL684,IF(AQ684&lt;$F$10,0,IF(AQ684&lt;$F$10+$F$11,0.25,IF(AQ684&lt;$F$10+$F$11+AO684,AP684,1)))*IF(AN684&gt;0,AN684,IF(AN683&gt;0,AN683,IF(AN682&gt;0,AN682,IF(AN681&gt;0,AN681,IF(AN680&gt;0,AN680,IF(AN679&gt;0,AN679,IF(AN678&gt;0,AN678,IF(AN677&gt;0,AN677,IF(AN676&gt;0,AN676,IF(AN674&gt;0,AN674,IF(AN673&gt;0,AN673,IF(AN672&gt;0,AN672,0)))))))))))),0)*(1-$S684)*'模拟-单技能数据'!$I$21</f>
        <v>0</v>
      </c>
      <c r="AS684" s="61">
        <f ca="1">IF(OR(C684="净世破魔击·日",C684="净世破魔击·月"),M684-'模拟-单技能数据'!$K$10,0)</f>
        <v>0</v>
      </c>
      <c r="AT684" s="61">
        <f ca="1">IF(OR(C684="净世破魔击·日",C684="净世破魔击·月"),I684-'模拟-单技能数据'!$L$10,0)</f>
        <v>0</v>
      </c>
      <c r="AU684" s="62">
        <f t="shared" ca="1" si="630"/>
        <v>0.61007804763719797</v>
      </c>
      <c r="AV684" s="64">
        <f ca="1">IF(AS684&gt;0,('模拟-单技能数据'!$D$22+G684*'模拟-单技能数据'!$F$22)*(1+J684)*(1-S684)*IF(AU684&lt;$F$10,0,IF(AU684&lt;$F$10+$F$11,0.25,IF(AU684&lt;$F$10+$F$11+AS684,AT684,1)))*(1+U684),0)*'模拟-单技能数据'!$I$22</f>
        <v>0</v>
      </c>
      <c r="AW684" s="108">
        <f t="shared" ca="1" si="631"/>
        <v>16.310000000000002</v>
      </c>
      <c r="AX684" s="108" t="b">
        <f ca="1">AND(模拟模式!$P$10="有",AW683=0,RAND()&lt;IF(C684="净世破魔击·月",0.1*8/3,IF(C684="净世破魔击·日",0.1*4/3,0.1*2/3)))</f>
        <v>0</v>
      </c>
      <c r="AY684" s="47">
        <f ca="1">IF(AX684,(18+G684*0.722)*(1+J684)*(1-S684)*(1+$I$4)*IF(P684="会",'模拟-全程加成'!$J$3+'模拟-全程加成'!$J$4+'模拟-全程加成'!$J$5+('模拟-全程加成'!$I$4+'模拟-全程加成'!$I$5)/系数!$B$4+BG684*10%,IF(P684="命",1,IF(P684="识",0.25,0))),0)</f>
        <v>0</v>
      </c>
      <c r="AZ684" s="108">
        <f t="shared" si="632"/>
        <v>2.4725000000000064</v>
      </c>
      <c r="BA684" s="108" t="b">
        <f>AND(模拟模式!$Q$10="有",AZ683=0)</f>
        <v>0</v>
      </c>
      <c r="BB684" s="140">
        <f>IF(BA684,(0+G684*0.287)*(1+J684)*(1-S684)*(1+$I$4)*IF(P684="会",'模拟-全程加成'!$J$3+'模拟-全程加成'!$J$4+'模拟-全程加成'!$J$5+('模拟-全程加成'!$I$4+'模拟-全程加成'!$I$5)/系数!$B$4+BG684*10%,IF(P684="命",1,IF(P684="识",0.25,0))),0)</f>
        <v>0</v>
      </c>
      <c r="BC684" s="115" t="b">
        <f ca="1">AND(模拟模式!$R$7="伏明众生",E684=60,F684=20,DA684&lt;5,CZ683&lt;$F$4)</f>
        <v>0</v>
      </c>
      <c r="BD684" s="115">
        <f t="shared" ca="1" si="611"/>
        <v>0</v>
      </c>
      <c r="BE684" s="115" t="b">
        <f t="shared" ca="1" si="612"/>
        <v>0</v>
      </c>
      <c r="BF684" s="47">
        <f ca="1">IF(BC684,4*('模拟-单技能数据'!$D$24+G684*'模拟-单技能数据'!$F$24)*(1+J684)*(1+'模拟-单技能数据'!$J$24)*(1-S684)*(1+$I$3)*(('模拟-全程加成'!$J$3+'模拟-全程加成'!$J$4+'模拟-全程加成'!$J$5+('模拟-全程加成'!$I$4+'模拟-全程加成'!$I$5)/系数!$B$4+BG684*10%)*('模拟-全程加成'!$J$3+'模拟-全程加成'!$J$4+'模拟-全程加成'!$J$5+('模拟-全程加成'!$I$4+'模拟-全程加成'!$I$5)/系数!$B$4+BG684*10%)+(1-('模拟-全程加成'!$J$3+'模拟-全程加成'!$J$4+'模拟-全程加成'!$J$5+('模拟-全程加成'!$I$4+'模拟-全程加成'!$I$5)/系数!$B$4+BG684*10%)-$F$10-$F$11)+F670*0.25),0)*'模拟-单技能数据'!$I$24</f>
        <v>0</v>
      </c>
      <c r="BG684" s="115" t="b">
        <f ca="1">OR(AND(OR(C684="烈日斩",C684="银月斩"),模拟模式!$I$7="净身明礼"),AND(C684="净世破魔击·日",模拟模式!$J$7="洞若观火"),AND(C685="净世破魔击·月",模拟模式!$J$7="洞若观火"),AB684=1)</f>
        <v>1</v>
      </c>
      <c r="BH684" s="115" t="b">
        <f t="shared" ca="1" si="633"/>
        <v>0</v>
      </c>
      <c r="BI684" s="115">
        <f t="shared" ca="1" si="613"/>
        <v>0</v>
      </c>
      <c r="BJ684" s="115" t="b">
        <f t="shared" ca="1" si="614"/>
        <v>0</v>
      </c>
      <c r="BK684" s="115" t="b">
        <f ca="1">AND(C684="驱夜断愁",模拟模式!$P$7="天地诛戮")</f>
        <v>0</v>
      </c>
      <c r="BL684" s="57">
        <f t="shared" ca="1" si="615"/>
        <v>14.465000000000003</v>
      </c>
      <c r="BM684" s="115" t="b">
        <f t="shared" ca="1" si="616"/>
        <v>1</v>
      </c>
      <c r="BN684" s="115" t="b">
        <f ca="1">AND(OR(C684="赤日轮1",C684="赤日轮2",C684="赤日轮3",C684="幽月轮1",C684="幽月轮2",C684="幽月轮3"),AB684=1,模拟模式!$L$7="明光恒照")</f>
        <v>0</v>
      </c>
      <c r="BO684" s="117">
        <f t="shared" ca="1" si="617"/>
        <v>29.077500000000001</v>
      </c>
      <c r="BP684" s="115">
        <f t="shared" ca="1" si="634"/>
        <v>6</v>
      </c>
      <c r="BQ684" s="115" t="b">
        <f>模拟模式!$K$10="2600·水"</f>
        <v>0</v>
      </c>
      <c r="BR684" s="117">
        <f t="shared" si="635"/>
        <v>0</v>
      </c>
      <c r="BS684" s="115">
        <f t="shared" si="636"/>
        <v>0</v>
      </c>
      <c r="BT684" s="115">
        <f t="shared" ca="1" si="637"/>
        <v>0</v>
      </c>
      <c r="BU684" s="115" t="b">
        <f ca="1">AND(模拟模式!$K$10="2300·雷",BT683=0,RAND()&lt;IF(C684="净世破魔击·月",5*0.05*2/3,IF(C684="净世破魔击·日",3*0.05*2/3,0.05*2*2/3)))</f>
        <v>0</v>
      </c>
      <c r="BV684" s="115">
        <f t="shared" ca="1" si="638"/>
        <v>0</v>
      </c>
      <c r="BW684" s="115">
        <f t="shared" ca="1" si="639"/>
        <v>132.02999999999929</v>
      </c>
      <c r="BX684" s="164" t="b">
        <f t="shared" ca="1" si="640"/>
        <v>0</v>
      </c>
      <c r="BY684" s="115">
        <f t="shared" ca="1" si="641"/>
        <v>0</v>
      </c>
      <c r="BZ684" s="115">
        <f>IF(OR(模拟模式!$P$16="10人团",模拟模式!$P$16="25人团"),IF(B684/30&gt;CA683,1,0),0)</f>
        <v>0</v>
      </c>
      <c r="CA684" s="115">
        <f t="shared" si="618"/>
        <v>0</v>
      </c>
      <c r="CB684" s="115">
        <f ca="1">IF(BZ684=1,IF(模拟模式!$P$16="10人团",15,0)+IF(模拟模式!$P$16="25人团",IF(RAND()&lt;0.6,15,0)),MAX(0,CB683-$F$4))</f>
        <v>0</v>
      </c>
      <c r="CC684" s="115" t="b">
        <f t="shared" ca="1" si="619"/>
        <v>0</v>
      </c>
      <c r="CD684" s="115">
        <f>IF(模拟模式!$Q$16="1个",IF(B684/40&gt;CE683,1,0),0)</f>
        <v>0</v>
      </c>
      <c r="CE684" s="115">
        <f t="shared" si="620"/>
        <v>0</v>
      </c>
      <c r="CF684" s="115">
        <f>IF(OR(CD684=1,模拟模式!$Q$16="2个"),20,MAX(0,CF683-$F$4))</f>
        <v>0</v>
      </c>
      <c r="CG684" s="115" t="b">
        <f t="shared" si="621"/>
        <v>0</v>
      </c>
      <c r="CH684" s="115">
        <f t="shared" ca="1" si="642"/>
        <v>13.39500000000001</v>
      </c>
      <c r="CI684" s="115" t="b">
        <f t="shared" ca="1" si="643"/>
        <v>0</v>
      </c>
      <c r="CJ684" s="119">
        <f t="shared" ca="1" si="644"/>
        <v>0</v>
      </c>
      <c r="CK684" s="115">
        <f t="shared" ca="1" si="645"/>
        <v>0</v>
      </c>
      <c r="CL684" s="115" t="b">
        <f ca="1">AND(模拟模式!$S$7="驱夷逐法",OR(AND(C684="净世破魔击·月",E683&gt;59),AND(C684="净世破魔击·日",F683&gt;59)))</f>
        <v>0</v>
      </c>
      <c r="CM684" s="115" t="b">
        <f ca="1">OR(CL684,AND(C684="净世破魔击·日",CL683,RAND()&lt;模拟模式!$U$23))</f>
        <v>0</v>
      </c>
      <c r="CN684" s="115" t="b">
        <f ca="1">IF(模拟模式!$M$7="辉耀红尘",AND(C684="净世破魔击·月",CL684,CV684=0,E683&lt;80),AND(C684="净世破魔击·月",CL684,E683&lt;100))</f>
        <v>0</v>
      </c>
      <c r="CO684" s="115" t="b">
        <f t="shared" ca="1" si="622"/>
        <v>0</v>
      </c>
      <c r="CP684" s="115" t="b">
        <f ca="1">AND(模拟模式!$O$7="用晦而明",OR(C684="净世破魔击·日",C684="净世破魔击·月",C684="驱夜断愁"),AB684)</f>
        <v>0</v>
      </c>
      <c r="CQ684" s="115" t="b">
        <f ca="1">OR(CP684,AND(CP683,RAND()&lt;模拟模式!$U$23))</f>
        <v>0</v>
      </c>
      <c r="CR684" s="115" t="b">
        <f ca="1">AND(模拟模式!$S$7="日月齐光",OR(C684="幽月轮1",C684="幽月轮2",C684="幽月轮3",CR683),NOT(OR(C684="赤日轮1",C684="赤日轮2",C684="赤日轮3")))</f>
        <v>0</v>
      </c>
      <c r="CS684" s="115" t="b">
        <f ca="1">AND(模拟模式!$S$7="日月齐光",OR(C684="赤日轮1",C684="赤日轮2",C684="赤日轮3",CS683),NOT(OR(C684="幽月轮1",C684="幽月轮2",C684="幽月轮3")))</f>
        <v>0</v>
      </c>
      <c r="CT684" s="115">
        <f t="shared" ca="1" si="646"/>
        <v>9.7050000000000125</v>
      </c>
      <c r="CU684" s="115" t="b">
        <f ca="1">AND(模拟模式!$K$10="阴阳往极",CT683=0,RAND()&lt;IF(C684="净世破魔击·月",0.0275*7/3,IF(C684="净世破魔击·日",0.0275*3/3,0.0275*2/3)))</f>
        <v>0</v>
      </c>
      <c r="CV684" s="115">
        <f t="shared" ca="1" si="647"/>
        <v>0</v>
      </c>
      <c r="CW684" s="115">
        <f t="shared" ca="1" si="648"/>
        <v>1.3874999999999997</v>
      </c>
      <c r="CX684" s="115">
        <f t="shared" ca="1" si="649"/>
        <v>6</v>
      </c>
      <c r="CY684" s="115">
        <f ca="1">MAX(IF($C684="驱夜断愁",IF(模拟模式!$R$7="万念俱寂",6,45),CY683-$F$4),0)</f>
        <v>0.46499999999999975</v>
      </c>
      <c r="CZ684" s="115">
        <f t="shared" ca="1" si="623"/>
        <v>0</v>
      </c>
      <c r="DA684" s="115">
        <f ca="1">IF(模拟模式!$N$7="日月同辉",IF(DB683=2,0,MIN(6,IF(AND(OR(C684="赤日轮1",C684="赤日轮2",C684="赤日轮3",C684="幽月轮1",C684="幽月轮2",C684="幽月轮3"),AB684=1),DA683+1,DA683))),0)</f>
        <v>0</v>
      </c>
      <c r="DB684" s="115">
        <f t="shared" ca="1" si="624"/>
        <v>2</v>
      </c>
      <c r="DC684" s="115"/>
      <c r="DD684" s="115"/>
      <c r="DE684" s="115"/>
      <c r="DF684" s="115"/>
      <c r="DG684" s="115"/>
      <c r="DH684" s="115"/>
      <c r="DI684" s="115"/>
      <c r="DJ684" s="115"/>
      <c r="DK684" s="115"/>
      <c r="DL684" s="115"/>
      <c r="DM684" s="115"/>
    </row>
    <row r="685" spans="2:117" x14ac:dyDescent="0.2">
      <c r="B685" s="117">
        <f t="shared" si="625"/>
        <v>607.00500000000693</v>
      </c>
      <c r="C685" s="167" t="str">
        <f t="shared" ca="1" si="594"/>
        <v>驱夜断愁</v>
      </c>
      <c r="D685" s="115">
        <f ca="1">IF(C685="赤日轮1",1,IF(C685="赤日轮2",2,IF(C685="赤日轮3",3,IF(C685="幽月轮1",4,IF(C685="幽月轮2",5,IF(C685="幽月轮3",6,IF(C685="烈日斩",7,IF(C685="银月斩",8,IF(C685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685="净世破魔击·月",17,IF(C685="驱夜断愁",18,0)))))))))))</f>
        <v>18</v>
      </c>
      <c r="E685" s="115">
        <f ca="1">IF(AND(CU685,OR(C685="幽月轮1",C685="幽月轮2",C685="幽月轮3",C685="银月斩",C685="驱夜断愁",C685="净世破魔击·月")),100,MIN(IF(OR(CN685,BE685),0,IF(OR($C685="赤日轮1",$C685="赤日轮2",$C685="赤日轮3"),E684+20+IF(模拟模式!$I$7="日月凌天",4,0)+IF(CR684,20,0),IF($C685="烈日斩",E684+40,IF($C685="驱夜断愁",IF(模拟模式!$R$7="万念俱寂",E684+20,E684+60),IF($C685="净世破魔击·月",IF(OR(DB684&gt;0,CV684&gt;0),100,IF(模拟模式!$M$7="辉耀红尘",E684+20,E684)),IF($C685="净世破魔击·日",E684-100,E684)))))),100))</f>
        <v>40</v>
      </c>
      <c r="F685" s="115">
        <f ca="1">IF(AND(CU685,OR(C685="赤日轮1",C685="赤日轮2",C685="赤日轮3",C685="烈日斩",C685="净世破魔击·日")),100,MIN(IF(CO685,0,IF(OR($C685="幽月轮1",$C685="幽月轮2",$C685="幽月轮3"),F684+20+IF(模拟模式!$I$7="日月凌天",4,0)+IF(CS684,20,0),IF($C685="银月斩",F684+40+IF(模拟模式!$X$12=1,5,0),IF($C685="驱夜断愁",IF(模拟模式!$R$7="万念俱寂",F684+20,F684+60),IF($C685="净世破魔击·月",IF(模拟模式!$M$7="辉耀红尘",F684-80,F684-100),IF(AND(C685="净世破魔击·日",OR(DB684&gt;0,CV684&gt;0)),100,F684)))))),100))</f>
        <v>85</v>
      </c>
      <c r="G685" s="117">
        <f ca="1">('模拟-全程加成'!$E$3+'模拟-全程加成'!$E$4+'模拟-全程加成'!$E$5+('模拟-全程加成'!$C$6-'模拟-全程加成'!$C$3)*系数!$B$9+BS685*23)*(1+'模拟-全程加成'!$F$4+'模拟-全程加成'!$F$5+BJ685*10%+BM685*20%+BP685*4%+CG685*30%)+$F$7*系数!$B$12</f>
        <v>20583.127400000001</v>
      </c>
      <c r="H685" s="45">
        <f ca="1">'模拟-全程加成'!$H$3+'模拟-全程加成'!$H$4+'模拟-全程加成'!$H$5+('模拟-全程加成'!$G$4+'模拟-全程加成'!$G$5+('模拟-全程加成'!$C$6-'模拟-全程加成'!$C$3)*系数!$B$13)/系数!$B$3+LOOKUP(D685,'模拟-单技能数据'!$A$2:$A$19,'模拟-单技能数据'!$K$2:$K$19)+BG685*10%+IF(BV685&gt;0,378,0)</f>
        <v>0.51185145527300213</v>
      </c>
      <c r="I685" s="45">
        <f ca="1">'模拟-全程加成'!$J$3+'模拟-全程加成'!$J$4+'模拟-全程加成'!$J$5+('模拟-全程加成'!$I$4+'模拟-全程加成'!$I$5)/系数!$B$4+LOOKUP(D685,'模拟-单技能数据'!$A$2:$A$19,'模拟-单技能数据'!$L$2:$L$19)+BG685*10%</f>
        <v>2.162482885499879</v>
      </c>
      <c r="J685" s="45">
        <f ca="1">(('模拟-全程加成'!$K$3+'模拟-全程加成'!$K$4+'模拟-全程加成'!$K$5+('模拟-全程加成'!$C$6-'模拟-全程加成'!$C$3)*系数!$B$10+IF(BV685&gt;0,882,0)+IF(BY685&gt;0,1831,0))*(1+'模拟-全程加成'!$L$4+'模拟-全程加成'!$L$5+CC685*20%))/系数!$B$5</f>
        <v>0.69723220422048726</v>
      </c>
      <c r="K685" s="119">
        <f ca="1">LOOKUP(D685,'模拟-单技能数据'!$A$2:$A$19,'模拟-单技能数据'!$J$2:$J$19)+IF(CM685,60%,0)+IF(DB684-DB685&gt;0,30%,0)+IF(OR(AND(OR(C685="赤日轮1",C685="赤日轮2",C685="赤日轮3"),CR685),AND(OR(C685="幽月轮1",C685="幽月轮2",C685="幽月轮3"),CS685)),35%,0)+CJ685</f>
        <v>0.14000000000000001</v>
      </c>
      <c r="L685" s="119">
        <f ca="1">IF(AND(C685="烈日斩",模拟模式!$X$11=1),10%,0)+IF(AND(C685="驱夜断愁",AB685=1),30%,0)</f>
        <v>0.3</v>
      </c>
      <c r="M685" s="45">
        <f t="shared" ca="1" si="595"/>
        <v>0.51185145527300213</v>
      </c>
      <c r="N685" s="45">
        <f t="shared" ca="1" si="596"/>
        <v>0.43424854472699792</v>
      </c>
      <c r="O685" s="46">
        <f t="shared" ca="1" si="626"/>
        <v>0.77829943221113584</v>
      </c>
      <c r="P685" s="46" t="str">
        <f t="shared" ca="1" si="597"/>
        <v>命</v>
      </c>
      <c r="Q685" s="45">
        <f t="shared" ca="1" si="598"/>
        <v>1</v>
      </c>
      <c r="R685" s="117">
        <f ca="1">模拟模式!$E$20*(1-IF(模拟模式!$J$19="有",0.15,0))*(1-IF(模拟模式!$K$19="有",0.3,0)-IF(CQ685,0.5,0))</f>
        <v>843.02999999999975</v>
      </c>
      <c r="S685" s="45">
        <f ca="1">R685/(R685+(185*模拟模式!$E$22-16800)*4.08224)</f>
        <v>8.389626085980037E-2</v>
      </c>
      <c r="T685" s="45" t="str">
        <f ca="1">LOOKUP(D685,'模拟-单技能数据'!$A$2:$A$19,'模拟-单技能数据'!$H$2:$H$19)</f>
        <v>阴</v>
      </c>
      <c r="U685" s="119">
        <f t="shared" ca="1" si="599"/>
        <v>0.08</v>
      </c>
      <c r="V685" s="47">
        <f ca="1">(1+L685)*(LOOKUP(D685,'模拟-单技能数据'!$A$2:$A$19,'模拟-单技能数据'!$D$2:$D$19)+G685*LOOKUP(D685,'模拟-单技能数据'!$A$2:$A$19,'模拟-单技能数据'!$F$2:$F$19))*(1+J685)*(1+K685)*(1-S685)*(1+U685)*Q685*LOOKUP(D685,'模拟-单技能数据'!$A$2:$A$19,'模拟-单技能数据'!$I$2:$I$20)</f>
        <v>58943.088028757353</v>
      </c>
      <c r="W685" s="47">
        <f ca="1">LOOKUP(D685,'模拟-单技能数据'!$A$2:$A$19,'模拟-单技能数据'!$G$2:$G$19)*$I$10</f>
        <v>723.0212870940959</v>
      </c>
      <c r="X685" s="47">
        <f t="shared" ca="1" si="627"/>
        <v>20337.288047383721</v>
      </c>
      <c r="Y685" s="47">
        <f t="shared" ca="1" si="600"/>
        <v>80003.39736323517</v>
      </c>
      <c r="Z685" s="49">
        <f t="shared" ca="1" si="601"/>
        <v>69104483.588593394</v>
      </c>
      <c r="AA685" s="97">
        <f t="shared" ca="1" si="602"/>
        <v>113844.99895156153</v>
      </c>
      <c r="AB685" s="115">
        <f ca="1">IF(OR(C685="赤日轮1",C685="赤日轮2",C685="赤日轮3"),IF(RAND()&lt;模拟模式!$Y$17,1,0),IF(OR(C685="幽月轮1",C685="幽月轮2",C685="幽月轮3"),IF(RAND()&lt;模拟模式!$Y$18,1,0),IF(C685="烈日斩",IF(RAND()&lt;模拟模式!$Y$19,1,0),IF(C685="银月斩",IF(RAND()&lt;模拟模式!$Y$20,1,0),IF(C685="驱夜断愁",IF(RAND()&lt;模拟模式!$Y$21,1,0),IF(C685="净世破魔击·日",IF(RAND()&lt;模拟模式!$Y$22,1,0),IF(C685="净世破魔击·月",IF(RAND()&lt;模拟模式!$Y$23,1,0),0)))))))</f>
        <v>1</v>
      </c>
      <c r="AC685" s="115" t="b">
        <f t="shared" ca="1" si="603"/>
        <v>0</v>
      </c>
      <c r="AD685" s="115" t="b">
        <f t="shared" ca="1" si="604"/>
        <v>1</v>
      </c>
      <c r="AE685" s="115">
        <f t="shared" ca="1" si="605"/>
        <v>5</v>
      </c>
      <c r="AF685" s="47">
        <f ca="1">IF(AC685,('模拟-单技能数据'!$D$20+G685*'模拟-单技能数据'!$F$20)*(1+J685)*(1+'模拟-单技能数据'!$J$20)*(1+U685),0)</f>
        <v>0</v>
      </c>
      <c r="AG685" s="61">
        <f t="shared" ca="1" si="606"/>
        <v>0.64185145527300214</v>
      </c>
      <c r="AH685" s="61">
        <f t="shared" ca="1" si="607"/>
        <v>2.2624828854998791</v>
      </c>
      <c r="AI685" s="62">
        <f t="shared" ca="1" si="628"/>
        <v>0.49505054957017236</v>
      </c>
      <c r="AJ685" s="47">
        <f ca="1">IF(AD685,IF(AI685&lt;$F$10,0,IF(AI685&lt;$F$10+$F$11,0.25,IF(AI685&lt;$F$10+$F$11+AG685,AH685,1)))*IF(AF685&gt;0,AF685,IF(AF684&gt;0,AF684,IF(AF683&gt;0,AF683,IF(AF682&gt;0,AF682,IF(AF681&gt;0,AF681,IF(AF680&gt;0,AF680,IF(AF679&gt;0,AF679,IF(AF678&gt;0,AF678,IF(AF677&gt;0,AF677,IF(AF675&gt;0,AF675,IF(AF674&gt;0,AF674,IF(AF673&gt;0,AF673,0)))))))))))),0)*(1-$S685)*'模拟-单技能数据'!$I$20</f>
        <v>9218.9345386263849</v>
      </c>
      <c r="AK685" s="115" t="b">
        <f t="shared" ca="1" si="608"/>
        <v>0</v>
      </c>
      <c r="AL685" s="115" t="b">
        <f t="shared" ca="1" si="609"/>
        <v>1</v>
      </c>
      <c r="AM685" s="115">
        <f t="shared" ca="1" si="610"/>
        <v>4</v>
      </c>
      <c r="AN685" s="47">
        <f ca="1">IF(AK685,('模拟-单技能数据'!$D$21+G685*'模拟-单技能数据'!$F$21)*(1+J685)*(1+'模拟-单技能数据'!$J$21)*(1+U685),0)</f>
        <v>0</v>
      </c>
      <c r="AO685" s="61">
        <f ca="1">IF(AN685&gt;0,M685-'模拟-单技能数据'!$K$10,AO684)</f>
        <v>0.42185145527300216</v>
      </c>
      <c r="AP685" s="61">
        <f ca="1">IF(AN685&gt;0,I685-'模拟-单技能数据'!$L$10,AP684)</f>
        <v>2.162482885499879</v>
      </c>
      <c r="AQ685" s="63">
        <f t="shared" ca="1" si="629"/>
        <v>0.66801584822614257</v>
      </c>
      <c r="AR685" s="64">
        <f ca="1">IF(AL685,IF(AQ685&lt;$F$10,0,IF(AQ685&lt;$F$10+$F$11,0.25,IF(AQ685&lt;$F$10+$F$11+AO685,AP685,1)))*IF(AN685&gt;0,AN685,IF(AN684&gt;0,AN684,IF(AN683&gt;0,AN683,IF(AN682&gt;0,AN682,IF(AN681&gt;0,AN681,IF(AN680&gt;0,AN680,IF(AN679&gt;0,AN679,IF(AN678&gt;0,AN678,IF(AN677&gt;0,AN677,IF(AN675&gt;0,AN675,IF(AN674&gt;0,AN674,IF(AN673&gt;0,AN673,0)))))))))))),0)*(1-$S685)*'模拟-单技能数据'!$I$21</f>
        <v>11118.353508757338</v>
      </c>
      <c r="AS685" s="61">
        <f ca="1">IF(OR(C685="净世破魔击·日",C685="净世破魔击·月"),M685-'模拟-单技能数据'!$K$10,0)</f>
        <v>0</v>
      </c>
      <c r="AT685" s="61">
        <f ca="1">IF(OR(C685="净世破魔击·日",C685="净世破魔击·月"),I685-'模拟-单技能数据'!$L$10,0)</f>
        <v>0</v>
      </c>
      <c r="AU685" s="62">
        <f t="shared" ca="1" si="630"/>
        <v>0.64472597543550214</v>
      </c>
      <c r="AV685" s="64">
        <f ca="1">IF(AS685&gt;0,('模拟-单技能数据'!$D$22+G685*'模拟-单技能数据'!$F$22)*(1+J685)*(1-S685)*IF(AU685&lt;$F$10,0,IF(AU685&lt;$F$10+$F$11,0.25,IF(AU685&lt;$F$10+$F$11+AS685,AT685,1)))*(1+U685),0)*'模拟-单技能数据'!$I$22</f>
        <v>0</v>
      </c>
      <c r="AW685" s="108">
        <f t="shared" ca="1" si="631"/>
        <v>15.387500000000003</v>
      </c>
      <c r="AX685" s="108" t="b">
        <f ca="1">AND(模拟模式!$P$10="有",AW684=0,RAND()&lt;IF(C685="净世破魔击·月",0.1*8/3,IF(C685="净世破魔击·日",0.1*4/3,0.1*2/3)))</f>
        <v>0</v>
      </c>
      <c r="AY685" s="47">
        <f ca="1">IF(AX685,(18+G685*0.722)*(1+J685)*(1-S685)*(1+$I$4)*IF(P685="会",'模拟-全程加成'!$J$3+'模拟-全程加成'!$J$4+'模拟-全程加成'!$J$5+('模拟-全程加成'!$I$4+'模拟-全程加成'!$I$5)/系数!$B$4+BG685*10%,IF(P685="命",1,IF(P685="识",0.25,0))),0)</f>
        <v>0</v>
      </c>
      <c r="AZ685" s="108">
        <f t="shared" si="632"/>
        <v>1.5500000000000065</v>
      </c>
      <c r="BA685" s="108" t="b">
        <f>AND(模拟模式!$Q$10="有",AZ684=0)</f>
        <v>0</v>
      </c>
      <c r="BB685" s="140">
        <f>IF(BA685,(0+G685*0.287)*(1+J685)*(1-S685)*(1+$I$4)*IF(P685="会",'模拟-全程加成'!$J$3+'模拟-全程加成'!$J$4+'模拟-全程加成'!$J$5+('模拟-全程加成'!$I$4+'模拟-全程加成'!$I$5)/系数!$B$4+BG685*10%,IF(P685="命",1,IF(P685="识",0.25,0))),0)</f>
        <v>0</v>
      </c>
      <c r="BC685" s="115" t="b">
        <f ca="1">AND(模拟模式!$R$7="伏明众生",E685=60,F685=20,DA685&lt;5,CZ684&lt;$F$4)</f>
        <v>0</v>
      </c>
      <c r="BD685" s="115">
        <f t="shared" ca="1" si="611"/>
        <v>0</v>
      </c>
      <c r="BE685" s="115" t="b">
        <f t="shared" ca="1" si="612"/>
        <v>0</v>
      </c>
      <c r="BF685" s="47">
        <f ca="1">IF(BC685,4*('模拟-单技能数据'!$D$24+G685*'模拟-单技能数据'!$F$24)*(1+J685)*(1+'模拟-单技能数据'!$J$24)*(1-S685)*(1+$I$3)*(('模拟-全程加成'!$J$3+'模拟-全程加成'!$J$4+'模拟-全程加成'!$J$5+('模拟-全程加成'!$I$4+'模拟-全程加成'!$I$5)/系数!$B$4+BG685*10%)*('模拟-全程加成'!$J$3+'模拟-全程加成'!$J$4+'模拟-全程加成'!$J$5+('模拟-全程加成'!$I$4+'模拟-全程加成'!$I$5)/系数!$B$4+BG685*10%)+(1-('模拟-全程加成'!$J$3+'模拟-全程加成'!$J$4+'模拟-全程加成'!$J$5+('模拟-全程加成'!$I$4+'模拟-全程加成'!$I$5)/系数!$B$4+BG685*10%)-$F$10-$F$11)+F671*0.25),0)*'模拟-单技能数据'!$I$24</f>
        <v>0</v>
      </c>
      <c r="BG685" s="115" t="b">
        <f ca="1">OR(AND(OR(C685="烈日斩",C685="银月斩"),模拟模式!$I$7="净身明礼"),AND(C685="净世破魔击·日",模拟模式!$J$7="洞若观火"),AND(C686="净世破魔击·月",模拟模式!$J$7="洞若观火"),AB685=1)</f>
        <v>1</v>
      </c>
      <c r="BH685" s="115" t="b">
        <f t="shared" ca="1" si="633"/>
        <v>0</v>
      </c>
      <c r="BI685" s="115">
        <f t="shared" ca="1" si="613"/>
        <v>0</v>
      </c>
      <c r="BJ685" s="115" t="b">
        <f t="shared" ca="1" si="614"/>
        <v>0</v>
      </c>
      <c r="BK685" s="115" t="b">
        <f ca="1">AND(C685="驱夜断愁",模拟模式!$P$7="天地诛戮")</f>
        <v>1</v>
      </c>
      <c r="BL685" s="57">
        <f t="shared" ca="1" si="615"/>
        <v>20</v>
      </c>
      <c r="BM685" s="115" t="b">
        <f t="shared" ca="1" si="616"/>
        <v>1</v>
      </c>
      <c r="BN685" s="115" t="b">
        <f ca="1">AND(OR(C685="赤日轮1",C685="赤日轮2",C685="赤日轮3",C685="幽月轮1",C685="幽月轮2",C685="幽月轮3"),AB685=1,模拟模式!$L$7="明光恒照")</f>
        <v>0</v>
      </c>
      <c r="BO685" s="117">
        <f t="shared" ca="1" si="617"/>
        <v>28.155000000000001</v>
      </c>
      <c r="BP685" s="115">
        <f t="shared" ca="1" si="634"/>
        <v>6</v>
      </c>
      <c r="BQ685" s="115" t="b">
        <f>模拟模式!$K$10="2600·水"</f>
        <v>0</v>
      </c>
      <c r="BR685" s="117">
        <f t="shared" si="635"/>
        <v>0</v>
      </c>
      <c r="BS685" s="115">
        <f t="shared" si="636"/>
        <v>0</v>
      </c>
      <c r="BT685" s="115">
        <f t="shared" ca="1" si="637"/>
        <v>0</v>
      </c>
      <c r="BU685" s="115" t="b">
        <f ca="1">AND(模拟模式!$K$10="2300·雷",BT684=0,RAND()&lt;IF(C685="净世破魔击·月",5*0.05*2/3,IF(C685="净世破魔击·日",3*0.05*2/3,0.05*2*2/3)))</f>
        <v>0</v>
      </c>
      <c r="BV685" s="115">
        <f t="shared" ca="1" si="638"/>
        <v>0</v>
      </c>
      <c r="BW685" s="115">
        <f t="shared" ca="1" si="639"/>
        <v>131.10749999999928</v>
      </c>
      <c r="BX685" s="164" t="b">
        <f t="shared" ca="1" si="640"/>
        <v>0</v>
      </c>
      <c r="BY685" s="115">
        <f t="shared" ca="1" si="641"/>
        <v>0</v>
      </c>
      <c r="BZ685" s="115">
        <f>IF(OR(模拟模式!$P$16="10人团",模拟模式!$P$16="25人团"),IF(B685/30&gt;CA684,1,0),0)</f>
        <v>0</v>
      </c>
      <c r="CA685" s="115">
        <f t="shared" si="618"/>
        <v>0</v>
      </c>
      <c r="CB685" s="115">
        <f ca="1">IF(BZ685=1,IF(模拟模式!$P$16="10人团",15,0)+IF(模拟模式!$P$16="25人团",IF(RAND()&lt;0.6,15,0)),MAX(0,CB684-$F$4))</f>
        <v>0</v>
      </c>
      <c r="CC685" s="115" t="b">
        <f t="shared" ca="1" si="619"/>
        <v>0</v>
      </c>
      <c r="CD685" s="115">
        <f>IF(模拟模式!$Q$16="1个",IF(B685/40&gt;CE684,1,0),0)</f>
        <v>0</v>
      </c>
      <c r="CE685" s="115">
        <f t="shared" si="620"/>
        <v>0</v>
      </c>
      <c r="CF685" s="115">
        <f>IF(OR(CD685=1,模拟模式!$Q$16="2个"),20,MAX(0,CF684-$F$4))</f>
        <v>0</v>
      </c>
      <c r="CG685" s="115" t="b">
        <f t="shared" si="621"/>
        <v>0</v>
      </c>
      <c r="CH685" s="115">
        <f t="shared" ca="1" si="642"/>
        <v>12.472500000000011</v>
      </c>
      <c r="CI685" s="115" t="b">
        <f t="shared" ca="1" si="643"/>
        <v>0</v>
      </c>
      <c r="CJ685" s="119">
        <f t="shared" ca="1" si="644"/>
        <v>0</v>
      </c>
      <c r="CK685" s="115">
        <f t="shared" ca="1" si="645"/>
        <v>0</v>
      </c>
      <c r="CL685" s="115" t="b">
        <f ca="1">AND(模拟模式!$S$7="驱夷逐法",OR(AND(C685="净世破魔击·月",E684&gt;59),AND(C685="净世破魔击·日",F684&gt;59)))</f>
        <v>0</v>
      </c>
      <c r="CM685" s="115" t="b">
        <f ca="1">OR(CL685,AND(C685="净世破魔击·日",CL684,RAND()&lt;模拟模式!$U$23))</f>
        <v>0</v>
      </c>
      <c r="CN685" s="115" t="b">
        <f ca="1">IF(模拟模式!$M$7="辉耀红尘",AND(C685="净世破魔击·月",CL685,CV685=0,E684&lt;80),AND(C685="净世破魔击·月",CL685,E684&lt;100))</f>
        <v>0</v>
      </c>
      <c r="CO685" s="115" t="b">
        <f t="shared" ca="1" si="622"/>
        <v>0</v>
      </c>
      <c r="CP685" s="115" t="b">
        <f ca="1">AND(模拟模式!$O$7="用晦而明",OR(C685="净世破魔击·日",C685="净世破魔击·月",C685="驱夜断愁"),AB685)</f>
        <v>1</v>
      </c>
      <c r="CQ685" s="115" t="b">
        <f ca="1">OR(CP685,AND(CP684,RAND()&lt;模拟模式!$U$23))</f>
        <v>1</v>
      </c>
      <c r="CR685" s="115" t="b">
        <f ca="1">AND(模拟模式!$S$7="日月齐光",OR(C685="幽月轮1",C685="幽月轮2",C685="幽月轮3",CR684),NOT(OR(C685="赤日轮1",C685="赤日轮2",C685="赤日轮3")))</f>
        <v>0</v>
      </c>
      <c r="CS685" s="115" t="b">
        <f ca="1">AND(模拟模式!$S$7="日月齐光",OR(C685="赤日轮1",C685="赤日轮2",C685="赤日轮3",CS684),NOT(OR(C685="幽月轮1",C685="幽月轮2",C685="幽月轮3")))</f>
        <v>0</v>
      </c>
      <c r="CT685" s="115">
        <f t="shared" ca="1" si="646"/>
        <v>8.7825000000000131</v>
      </c>
      <c r="CU685" s="115" t="b">
        <f ca="1">AND(模拟模式!$K$10="阴阳往极",CT684=0,RAND()&lt;IF(C685="净世破魔击·月",0.0275*7/3,IF(C685="净世破魔击·日",0.0275*3/3,0.0275*2/3)))</f>
        <v>0</v>
      </c>
      <c r="CV685" s="115">
        <f t="shared" ca="1" si="647"/>
        <v>0</v>
      </c>
      <c r="CW685" s="115">
        <f t="shared" ca="1" si="648"/>
        <v>0.46499999999999975</v>
      </c>
      <c r="CX685" s="115">
        <f t="shared" ca="1" si="649"/>
        <v>5.0774999999999997</v>
      </c>
      <c r="CY685" s="115">
        <f ca="1">MAX(IF($C685="驱夜断愁",IF(模拟模式!$R$7="万念俱寂",6,45),CY684-$F$4),0)</f>
        <v>6</v>
      </c>
      <c r="CZ685" s="115">
        <f t="shared" ca="1" si="623"/>
        <v>0</v>
      </c>
      <c r="DA685" s="115">
        <f ca="1">IF(模拟模式!$N$7="日月同辉",IF(DB684=2,0,MIN(6,IF(AND(OR(C685="赤日轮1",C685="赤日轮2",C685="赤日轮3",C685="幽月轮1",C685="幽月轮2",C685="幽月轮3"),AB685=1),DA684+1,DA684))),0)</f>
        <v>0</v>
      </c>
      <c r="DB685" s="115">
        <f t="shared" ca="1" si="624"/>
        <v>2</v>
      </c>
      <c r="DC685" s="115"/>
      <c r="DD685" s="115"/>
      <c r="DE685" s="115"/>
      <c r="DF685" s="115"/>
      <c r="DG685" s="115"/>
      <c r="DH685" s="115"/>
      <c r="DI685" s="115"/>
      <c r="DJ685" s="115"/>
      <c r="DK685" s="115"/>
      <c r="DL685" s="115"/>
      <c r="DM685" s="115"/>
    </row>
    <row r="686" spans="2:117" x14ac:dyDescent="0.2">
      <c r="B686" s="117">
        <f t="shared" si="625"/>
        <v>607.92750000000694</v>
      </c>
      <c r="C686" s="167" t="str">
        <f t="shared" ca="1" si="594"/>
        <v>烈日斩</v>
      </c>
      <c r="D686" s="115">
        <f ca="1">IF(C686="赤日轮1",1,IF(C686="赤日轮2",2,IF(C686="赤日轮3",3,IF(C686="幽月轮1",4,IF(C686="幽月轮2",5,IF(C686="幽月轮3",6,IF(C686="烈日斩",7,IF(C686="银月斩",8,IF(C686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686="净世破魔击·月",17,IF(C686="驱夜断愁",18,0)))))))))))</f>
        <v>7</v>
      </c>
      <c r="E686" s="115">
        <f ca="1">IF(AND(CU686,OR(C686="幽月轮1",C686="幽月轮2",C686="幽月轮3",C686="银月斩",C686="驱夜断愁",C686="净世破魔击·月")),100,MIN(IF(OR(CN686,BE686),0,IF(OR($C686="赤日轮1",$C686="赤日轮2",$C686="赤日轮3"),E685+20+IF(模拟模式!$I$7="日月凌天",4,0)+IF(CR685,20,0),IF($C686="烈日斩",E685+40,IF($C686="驱夜断愁",IF(模拟模式!$R$7="万念俱寂",E685+20,E685+60),IF($C686="净世破魔击·月",IF(OR(DB685&gt;0,CV685&gt;0),100,IF(模拟模式!$M$7="辉耀红尘",E685+20,E685)),IF($C686="净世破魔击·日",E685-100,E685)))))),100))</f>
        <v>80</v>
      </c>
      <c r="F686" s="115">
        <f ca="1">IF(AND(CU686,OR(C686="赤日轮1",C686="赤日轮2",C686="赤日轮3",C686="烈日斩",C686="净世破魔击·日")),100,MIN(IF(CO686,0,IF(OR($C686="幽月轮1",$C686="幽月轮2",$C686="幽月轮3"),F685+20+IF(模拟模式!$I$7="日月凌天",4,0)+IF(CS685,20,0),IF($C686="银月斩",F685+40+IF(模拟模式!$X$12=1,5,0),IF($C686="驱夜断愁",IF(模拟模式!$R$7="万念俱寂",F685+20,F685+60),IF($C686="净世破魔击·月",IF(模拟模式!$M$7="辉耀红尘",F685-80,F685-100),IF(AND(C686="净世破魔击·日",OR(DB685&gt;0,CV685&gt;0)),100,F685)))))),100))</f>
        <v>85</v>
      </c>
      <c r="G686" s="117">
        <f ca="1">('模拟-全程加成'!$E$3+'模拟-全程加成'!$E$4+'模拟-全程加成'!$E$5+('模拟-全程加成'!$C$6-'模拟-全程加成'!$C$3)*系数!$B$9+BS686*23)*(1+'模拟-全程加成'!$F$4+'模拟-全程加成'!$F$5+BJ686*10%+BM686*20%+BP686*4%+CG686*30%)+$F$7*系数!$B$12</f>
        <v>20583.127400000001</v>
      </c>
      <c r="H686" s="45">
        <f ca="1">'模拟-全程加成'!$H$3+'模拟-全程加成'!$H$4+'模拟-全程加成'!$H$5+('模拟-全程加成'!$G$4+'模拟-全程加成'!$G$5+('模拟-全程加成'!$C$6-'模拟-全程加成'!$C$3)*系数!$B$13)/系数!$B$3+LOOKUP(D686,'模拟-单技能数据'!$A$2:$A$19,'模拟-单技能数据'!$K$2:$K$19)+BG686*10%+IF(BV686&gt;0,378,0)</f>
        <v>0.56185145527300218</v>
      </c>
      <c r="I686" s="45">
        <f ca="1">'模拟-全程加成'!$J$3+'模拟-全程加成'!$J$4+'模拟-全程加成'!$J$5+('模拟-全程加成'!$I$4+'模拟-全程加成'!$I$5)/系数!$B$4+LOOKUP(D686,'模拟-单技能数据'!$A$2:$A$19,'模拟-单技能数据'!$L$2:$L$19)+BG686*10%</f>
        <v>2.2624828854998791</v>
      </c>
      <c r="J686" s="45">
        <f ca="1">(('模拟-全程加成'!$K$3+'模拟-全程加成'!$K$4+'模拟-全程加成'!$K$5+('模拟-全程加成'!$C$6-'模拟-全程加成'!$C$3)*系数!$B$10+IF(BV686&gt;0,882,0)+IF(BY686&gt;0,1831,0))*(1+'模拟-全程加成'!$L$4+'模拟-全程加成'!$L$5+CC686*20%))/系数!$B$5</f>
        <v>0.69723220422048726</v>
      </c>
      <c r="K686" s="119">
        <f ca="1">LOOKUP(D686,'模拟-单技能数据'!$A$2:$A$19,'模拟-单技能数据'!$J$2:$J$19)+IF(CM686,60%,0)+IF(DB685-DB686&gt;0,30%,0)+IF(OR(AND(OR(C686="赤日轮1",C686="赤日轮2",C686="赤日轮3"),CR686),AND(OR(C686="幽月轮1",C686="幽月轮2",C686="幽月轮3"),CS686)),35%,0)+CJ686</f>
        <v>0.24</v>
      </c>
      <c r="L686" s="119">
        <f ca="1">IF(AND(C686="烈日斩",模拟模式!$X$11=1),10%,0)+IF(AND(C686="驱夜断愁",AB686=1),30%,0)</f>
        <v>0.1</v>
      </c>
      <c r="M686" s="45">
        <f t="shared" ca="1" si="595"/>
        <v>0.56185145527300218</v>
      </c>
      <c r="N686" s="45">
        <f t="shared" ca="1" si="596"/>
        <v>0.38424854472699788</v>
      </c>
      <c r="O686" s="46">
        <f t="shared" ca="1" si="626"/>
        <v>0.58761613065130325</v>
      </c>
      <c r="P686" s="46" t="str">
        <f t="shared" ca="1" si="597"/>
        <v>会</v>
      </c>
      <c r="Q686" s="45">
        <f t="shared" ca="1" si="598"/>
        <v>2.2624828854998791</v>
      </c>
      <c r="R686" s="117">
        <f ca="1">模拟模式!$E$20*(1-IF(模拟模式!$J$19="有",0.15,0))*(1-IF(模拟模式!$K$19="有",0.3,0)-IF(CQ686,0.5,0))</f>
        <v>843.02999999999975</v>
      </c>
      <c r="S686" s="45">
        <f ca="1">R686/(R686+(185*模拟模式!$E$22-16800)*4.08224)</f>
        <v>8.389626085980037E-2</v>
      </c>
      <c r="T686" s="45" t="str">
        <f ca="1">LOOKUP(D686,'模拟-单技能数据'!$A$2:$A$19,'模拟-单技能数据'!$H$2:$H$19)</f>
        <v>阳</v>
      </c>
      <c r="U686" s="119">
        <f t="shared" ca="1" si="599"/>
        <v>0.2</v>
      </c>
      <c r="V686" s="47">
        <f ca="1">(1+L686)*(LOOKUP(D686,'模拟-单技能数据'!$A$2:$A$19,'模拟-单技能数据'!$D$2:$D$19)+G686*LOOKUP(D686,'模拟-单技能数据'!$A$2:$A$19,'模拟-单技能数据'!$F$2:$F$19))*(1+J686)*(1+K686)*(1-S686)*(1+U686)*Q686*LOOKUP(D686,'模拟-单技能数据'!$A$2:$A$19,'模拟-单技能数据'!$I$2:$I$20)</f>
        <v>105861.05199666526</v>
      </c>
      <c r="W686" s="47">
        <f ca="1">LOOKUP(D686,'模拟-单技能数据'!$A$2:$A$19,'模拟-单技能数据'!$G$2:$G$19)*$I$10</f>
        <v>361.51064354704795</v>
      </c>
      <c r="X686" s="47">
        <f t="shared" ca="1" si="627"/>
        <v>0</v>
      </c>
      <c r="Y686" s="47">
        <f t="shared" ca="1" si="600"/>
        <v>106222.56264021232</v>
      </c>
      <c r="Z686" s="49">
        <f t="shared" ca="1" si="601"/>
        <v>69210706.151233599</v>
      </c>
      <c r="AA686" s="97">
        <f t="shared" ca="1" si="602"/>
        <v>113846.9737776837</v>
      </c>
      <c r="AB686" s="115">
        <f ca="1">IF(OR(C686="赤日轮1",C686="赤日轮2",C686="赤日轮3"),IF(RAND()&lt;模拟模式!$Y$17,1,0),IF(OR(C686="幽月轮1",C686="幽月轮2",C686="幽月轮3"),IF(RAND()&lt;模拟模式!$Y$18,1,0),IF(C686="烈日斩",IF(RAND()&lt;模拟模式!$Y$19,1,0),IF(C686="银月斩",IF(RAND()&lt;模拟模式!$Y$20,1,0),IF(C686="驱夜断愁",IF(RAND()&lt;模拟模式!$Y$21,1,0),IF(C686="净世破魔击·日",IF(RAND()&lt;模拟模式!$Y$22,1,0),IF(C686="净世破魔击·月",IF(RAND()&lt;模拟模式!$Y$23,1,0),0)))))))</f>
        <v>1</v>
      </c>
      <c r="AC686" s="115" t="b">
        <f t="shared" ca="1" si="603"/>
        <v>0</v>
      </c>
      <c r="AD686" s="115" t="b">
        <f t="shared" ca="1" si="604"/>
        <v>0</v>
      </c>
      <c r="AE686" s="115">
        <f t="shared" ca="1" si="605"/>
        <v>5</v>
      </c>
      <c r="AF686" s="47">
        <f ca="1">IF(AC686,('模拟-单技能数据'!$D$20+G686*'模拟-单技能数据'!$F$20)*(1+J686)*(1+'模拟-单技能数据'!$J$20)*(1+U686),0)</f>
        <v>0</v>
      </c>
      <c r="AG686" s="61">
        <f t="shared" ca="1" si="606"/>
        <v>0.64185145527300214</v>
      </c>
      <c r="AH686" s="61">
        <f t="shared" ca="1" si="607"/>
        <v>2.2624828854998791</v>
      </c>
      <c r="AI686" s="62">
        <f t="shared" ca="1" si="628"/>
        <v>0.10622330470278873</v>
      </c>
      <c r="AJ686" s="47">
        <f ca="1">IF(AD686,IF(AI686&lt;$F$10,0,IF(AI686&lt;$F$10+$F$11,0.25,IF(AI686&lt;$F$10+$F$11+AG686,AH686,1)))*IF(AF686&gt;0,AF686,IF(AF685&gt;0,AF685,IF(AF684&gt;0,AF684,IF(AF683&gt;0,AF683,IF(AF682&gt;0,AF682,IF(AF681&gt;0,AF681,IF(AF680&gt;0,AF680,IF(AF679&gt;0,AF679,IF(AF678&gt;0,AF678,IF(AF676&gt;0,AF676,IF(AF675&gt;0,AF675,IF(AF674&gt;0,AF674,0)))))))))))),0)*(1-$S686)*'模拟-单技能数据'!$I$20</f>
        <v>0</v>
      </c>
      <c r="AK686" s="115" t="b">
        <f t="shared" ca="1" si="608"/>
        <v>0</v>
      </c>
      <c r="AL686" s="115" t="b">
        <f t="shared" ca="1" si="609"/>
        <v>0</v>
      </c>
      <c r="AM686" s="115">
        <f t="shared" ca="1" si="610"/>
        <v>4</v>
      </c>
      <c r="AN686" s="47">
        <f ca="1">IF(AK686,('模拟-单技能数据'!$D$21+G686*'模拟-单技能数据'!$F$21)*(1+J686)*(1+'模拟-单技能数据'!$J$21)*(1+U686),0)</f>
        <v>0</v>
      </c>
      <c r="AO686" s="61">
        <f ca="1">IF(AN686&gt;0,M686-'模拟-单技能数据'!$K$10,AO685)</f>
        <v>0.42185145527300216</v>
      </c>
      <c r="AP686" s="61">
        <f ca="1">IF(AN686&gt;0,I686-'模拟-单技能数据'!$L$10,AP685)</f>
        <v>2.162482885499879</v>
      </c>
      <c r="AQ686" s="63">
        <f t="shared" ca="1" si="629"/>
        <v>0.42565427666768418</v>
      </c>
      <c r="AR686" s="64">
        <f ca="1">IF(AL686,IF(AQ686&lt;$F$10,0,IF(AQ686&lt;$F$10+$F$11,0.25,IF(AQ686&lt;$F$10+$F$11+AO686,AP686,1)))*IF(AN686&gt;0,AN686,IF(AN685&gt;0,AN685,IF(AN684&gt;0,AN684,IF(AN683&gt;0,AN683,IF(AN682&gt;0,AN682,IF(AN681&gt;0,AN681,IF(AN680&gt;0,AN680,IF(AN679&gt;0,AN679,IF(AN678&gt;0,AN678,IF(AN676&gt;0,AN676,IF(AN675&gt;0,AN675,IF(AN674&gt;0,AN674,0)))))))))))),0)*(1-$S686)*'模拟-单技能数据'!$I$21</f>
        <v>0</v>
      </c>
      <c r="AS686" s="61">
        <f ca="1">IF(OR(C686="净世破魔击·日",C686="净世破魔击·月"),M686-'模拟-单技能数据'!$K$10,0)</f>
        <v>0</v>
      </c>
      <c r="AT686" s="61">
        <f ca="1">IF(OR(C686="净世破魔击·日",C686="净世破魔击·月"),I686-'模拟-单技能数据'!$L$10,0)</f>
        <v>0</v>
      </c>
      <c r="AU686" s="62">
        <f t="shared" ca="1" si="630"/>
        <v>0.5281660844520365</v>
      </c>
      <c r="AV686" s="64">
        <f ca="1">IF(AS686&gt;0,('模拟-单技能数据'!$D$22+G686*'模拟-单技能数据'!$F$22)*(1+J686)*(1-S686)*IF(AU686&lt;$F$10,0,IF(AU686&lt;$F$10+$F$11,0.25,IF(AU686&lt;$F$10+$F$11+AS686,AT686,1)))*(1+U686),0)*'模拟-单技能数据'!$I$22</f>
        <v>0</v>
      </c>
      <c r="AW686" s="108">
        <f t="shared" ca="1" si="631"/>
        <v>14.465000000000003</v>
      </c>
      <c r="AX686" s="108" t="b">
        <f ca="1">AND(模拟模式!$P$10="有",AW685=0,RAND()&lt;IF(C686="净世破魔击·月",0.1*8/3,IF(C686="净世破魔击·日",0.1*4/3,0.1*2/3)))</f>
        <v>0</v>
      </c>
      <c r="AY686" s="47">
        <f ca="1">IF(AX686,(18+G686*0.722)*(1+J686)*(1-S686)*(1+$I$4)*IF(P686="会",'模拟-全程加成'!$J$3+'模拟-全程加成'!$J$4+'模拟-全程加成'!$J$5+('模拟-全程加成'!$I$4+'模拟-全程加成'!$I$5)/系数!$B$4+BG686*10%,IF(P686="命",1,IF(P686="识",0.25,0))),0)</f>
        <v>0</v>
      </c>
      <c r="AZ686" s="108">
        <f t="shared" si="632"/>
        <v>0.6275000000000065</v>
      </c>
      <c r="BA686" s="108" t="b">
        <f>AND(模拟模式!$Q$10="有",AZ685=0)</f>
        <v>0</v>
      </c>
      <c r="BB686" s="140">
        <f>IF(BA686,(0+G686*0.287)*(1+J686)*(1-S686)*(1+$I$4)*IF(P686="会",'模拟-全程加成'!$J$3+'模拟-全程加成'!$J$4+'模拟-全程加成'!$J$5+('模拟-全程加成'!$I$4+'模拟-全程加成'!$I$5)/系数!$B$4+BG686*10%,IF(P686="命",1,IF(P686="识",0.25,0))),0)</f>
        <v>0</v>
      </c>
      <c r="BC686" s="115" t="b">
        <f ca="1">AND(模拟模式!$R$7="伏明众生",E686=60,F686=20,DA686&lt;5,CZ685&lt;$F$4)</f>
        <v>0</v>
      </c>
      <c r="BD686" s="115">
        <f t="shared" ca="1" si="611"/>
        <v>0</v>
      </c>
      <c r="BE686" s="115" t="b">
        <f t="shared" ca="1" si="612"/>
        <v>0</v>
      </c>
      <c r="BF686" s="47">
        <f ca="1">IF(BC686,4*('模拟-单技能数据'!$D$24+G686*'模拟-单技能数据'!$F$24)*(1+J686)*(1+'模拟-单技能数据'!$J$24)*(1-S686)*(1+$I$3)*(('模拟-全程加成'!$J$3+'模拟-全程加成'!$J$4+'模拟-全程加成'!$J$5+('模拟-全程加成'!$I$4+'模拟-全程加成'!$I$5)/系数!$B$4+BG686*10%)*('模拟-全程加成'!$J$3+'模拟-全程加成'!$J$4+'模拟-全程加成'!$J$5+('模拟-全程加成'!$I$4+'模拟-全程加成'!$I$5)/系数!$B$4+BG686*10%)+(1-('模拟-全程加成'!$J$3+'模拟-全程加成'!$J$4+'模拟-全程加成'!$J$5+('模拟-全程加成'!$I$4+'模拟-全程加成'!$I$5)/系数!$B$4+BG686*10%)-$F$10-$F$11)+F672*0.25),0)*'模拟-单技能数据'!$I$24</f>
        <v>0</v>
      </c>
      <c r="BG686" s="115" t="b">
        <f ca="1">OR(AND(OR(C686="烈日斩",C686="银月斩"),模拟模式!$I$7="净身明礼"),AND(C686="净世破魔击·日",模拟模式!$J$7="洞若观火"),AND(C687="净世破魔击·月",模拟模式!$J$7="洞若观火"),AB686=1)</f>
        <v>1</v>
      </c>
      <c r="BH686" s="115" t="b">
        <f t="shared" ca="1" si="633"/>
        <v>0</v>
      </c>
      <c r="BI686" s="115">
        <f t="shared" ca="1" si="613"/>
        <v>0</v>
      </c>
      <c r="BJ686" s="115" t="b">
        <f t="shared" ca="1" si="614"/>
        <v>0</v>
      </c>
      <c r="BK686" s="115" t="b">
        <f ca="1">AND(C686="驱夜断愁",模拟模式!$P$7="天地诛戮")</f>
        <v>0</v>
      </c>
      <c r="BL686" s="57">
        <f t="shared" ca="1" si="615"/>
        <v>19.077500000000001</v>
      </c>
      <c r="BM686" s="115" t="b">
        <f t="shared" ca="1" si="616"/>
        <v>1</v>
      </c>
      <c r="BN686" s="115" t="b">
        <f ca="1">AND(OR(C686="赤日轮1",C686="赤日轮2",C686="赤日轮3",C686="幽月轮1",C686="幽月轮2",C686="幽月轮3"),AB686=1,模拟模式!$L$7="明光恒照")</f>
        <v>0</v>
      </c>
      <c r="BO686" s="117">
        <f t="shared" ca="1" si="617"/>
        <v>27.232500000000002</v>
      </c>
      <c r="BP686" s="115">
        <f t="shared" ca="1" si="634"/>
        <v>6</v>
      </c>
      <c r="BQ686" s="115" t="b">
        <f>模拟模式!$K$10="2600·水"</f>
        <v>0</v>
      </c>
      <c r="BR686" s="117">
        <f t="shared" si="635"/>
        <v>0</v>
      </c>
      <c r="BS686" s="115">
        <f t="shared" si="636"/>
        <v>0</v>
      </c>
      <c r="BT686" s="115">
        <f t="shared" ca="1" si="637"/>
        <v>0</v>
      </c>
      <c r="BU686" s="115" t="b">
        <f ca="1">AND(模拟模式!$K$10="2300·雷",BT685=0,RAND()&lt;IF(C686="净世破魔击·月",5*0.05*2/3,IF(C686="净世破魔击·日",3*0.05*2/3,0.05*2*2/3)))</f>
        <v>0</v>
      </c>
      <c r="BV686" s="115">
        <f t="shared" ca="1" si="638"/>
        <v>0</v>
      </c>
      <c r="BW686" s="115">
        <f t="shared" ca="1" si="639"/>
        <v>130.18499999999926</v>
      </c>
      <c r="BX686" s="164" t="b">
        <f t="shared" ca="1" si="640"/>
        <v>0</v>
      </c>
      <c r="BY686" s="115">
        <f t="shared" ca="1" si="641"/>
        <v>0</v>
      </c>
      <c r="BZ686" s="115">
        <f>IF(OR(模拟模式!$P$16="10人团",模拟模式!$P$16="25人团"),IF(B686/30&gt;CA685,1,0),0)</f>
        <v>0</v>
      </c>
      <c r="CA686" s="115">
        <f t="shared" si="618"/>
        <v>0</v>
      </c>
      <c r="CB686" s="115">
        <f ca="1">IF(BZ686=1,IF(模拟模式!$P$16="10人团",15,0)+IF(模拟模式!$P$16="25人团",IF(RAND()&lt;0.6,15,0)),MAX(0,CB685-$F$4))</f>
        <v>0</v>
      </c>
      <c r="CC686" s="115" t="b">
        <f t="shared" ca="1" si="619"/>
        <v>0</v>
      </c>
      <c r="CD686" s="115">
        <f>IF(模拟模式!$Q$16="1个",IF(B686/40&gt;CE685,1,0),0)</f>
        <v>0</v>
      </c>
      <c r="CE686" s="115">
        <f t="shared" si="620"/>
        <v>0</v>
      </c>
      <c r="CF686" s="115">
        <f>IF(OR(CD686=1,模拟模式!$Q$16="2个"),20,MAX(0,CF685-$F$4))</f>
        <v>0</v>
      </c>
      <c r="CG686" s="115" t="b">
        <f t="shared" si="621"/>
        <v>0</v>
      </c>
      <c r="CH686" s="115">
        <f t="shared" ca="1" si="642"/>
        <v>11.550000000000011</v>
      </c>
      <c r="CI686" s="115" t="b">
        <f t="shared" ca="1" si="643"/>
        <v>0</v>
      </c>
      <c r="CJ686" s="119">
        <f t="shared" ca="1" si="644"/>
        <v>0</v>
      </c>
      <c r="CK686" s="115">
        <f t="shared" ca="1" si="645"/>
        <v>0</v>
      </c>
      <c r="CL686" s="115" t="b">
        <f ca="1">AND(模拟模式!$S$7="驱夷逐法",OR(AND(C686="净世破魔击·月",E685&gt;59),AND(C686="净世破魔击·日",F685&gt;59)))</f>
        <v>0</v>
      </c>
      <c r="CM686" s="115" t="b">
        <f ca="1">OR(CL686,AND(C686="净世破魔击·日",CL685,RAND()&lt;模拟模式!$U$23))</f>
        <v>0</v>
      </c>
      <c r="CN686" s="115" t="b">
        <f ca="1">IF(模拟模式!$M$7="辉耀红尘",AND(C686="净世破魔击·月",CL686,CV686=0,E685&lt;80),AND(C686="净世破魔击·月",CL686,E685&lt;100))</f>
        <v>0</v>
      </c>
      <c r="CO686" s="115" t="b">
        <f t="shared" ca="1" si="622"/>
        <v>0</v>
      </c>
      <c r="CP686" s="115" t="b">
        <f ca="1">AND(模拟模式!$O$7="用晦而明",OR(C686="净世破魔击·日",C686="净世破魔击·月",C686="驱夜断愁"),AB686)</f>
        <v>0</v>
      </c>
      <c r="CQ686" s="115" t="b">
        <f ca="1">OR(CP686,AND(CP685,RAND()&lt;模拟模式!$U$23))</f>
        <v>1</v>
      </c>
      <c r="CR686" s="115" t="b">
        <f ca="1">AND(模拟模式!$S$7="日月齐光",OR(C686="幽月轮1",C686="幽月轮2",C686="幽月轮3",CR685),NOT(OR(C686="赤日轮1",C686="赤日轮2",C686="赤日轮3")))</f>
        <v>0</v>
      </c>
      <c r="CS686" s="115" t="b">
        <f ca="1">AND(模拟模式!$S$7="日月齐光",OR(C686="赤日轮1",C686="赤日轮2",C686="赤日轮3",CS685),NOT(OR(C686="幽月轮1",C686="幽月轮2",C686="幽月轮3")))</f>
        <v>0</v>
      </c>
      <c r="CT686" s="115">
        <f t="shared" ca="1" si="646"/>
        <v>7.8600000000000128</v>
      </c>
      <c r="CU686" s="115" t="b">
        <f ca="1">AND(模拟模式!$K$10="阴阳往极",CT685=0,RAND()&lt;IF(C686="净世破魔击·月",0.0275*7/3,IF(C686="净世破魔击·日",0.0275*3/3,0.0275*2/3)))</f>
        <v>0</v>
      </c>
      <c r="CV686" s="115">
        <f t="shared" ca="1" si="647"/>
        <v>0</v>
      </c>
      <c r="CW686" s="115">
        <f t="shared" ca="1" si="648"/>
        <v>6</v>
      </c>
      <c r="CX686" s="115">
        <f t="shared" ca="1" si="649"/>
        <v>4.1549999999999994</v>
      </c>
      <c r="CY686" s="115">
        <f ca="1">MAX(IF($C686="驱夜断愁",IF(模拟模式!$R$7="万念俱寂",6,45),CY685-$F$4),0)</f>
        <v>5.0774999999999997</v>
      </c>
      <c r="CZ686" s="115">
        <f t="shared" ca="1" si="623"/>
        <v>0</v>
      </c>
      <c r="DA686" s="115">
        <f ca="1">IF(模拟模式!$N$7="日月同辉",IF(DB685=2,0,MIN(6,IF(AND(OR(C686="赤日轮1",C686="赤日轮2",C686="赤日轮3",C686="幽月轮1",C686="幽月轮2",C686="幽月轮3"),AB686=1),DA685+1,DA685))),0)</f>
        <v>0</v>
      </c>
      <c r="DB686" s="115">
        <f t="shared" ca="1" si="624"/>
        <v>2</v>
      </c>
      <c r="DC686" s="115"/>
      <c r="DD686" s="115"/>
      <c r="DE686" s="115"/>
      <c r="DF686" s="115"/>
      <c r="DG686" s="115"/>
      <c r="DH686" s="115"/>
      <c r="DI686" s="115"/>
      <c r="DJ686" s="115"/>
      <c r="DK686" s="115"/>
      <c r="DL686" s="115"/>
      <c r="DM686" s="115"/>
    </row>
    <row r="687" spans="2:117" x14ac:dyDescent="0.2">
      <c r="B687" s="117">
        <f t="shared" si="625"/>
        <v>608.85000000000696</v>
      </c>
      <c r="C687" s="167" t="str">
        <f t="shared" ca="1" si="594"/>
        <v>幽月轮1</v>
      </c>
      <c r="D687" s="115">
        <f ca="1">IF(C687="赤日轮1",1,IF(C687="赤日轮2",2,IF(C687="赤日轮3",3,IF(C687="幽月轮1",4,IF(C687="幽月轮2",5,IF(C687="幽月轮3",6,IF(C687="烈日斩",7,IF(C687="银月斩",8,IF(C687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687="净世破魔击·月",17,IF(C687="驱夜断愁",18,0)))))))))))</f>
        <v>4</v>
      </c>
      <c r="E687" s="115">
        <f ca="1">IF(AND(CU687,OR(C687="幽月轮1",C687="幽月轮2",C687="幽月轮3",C687="银月斩",C687="驱夜断愁",C687="净世破魔击·月")),100,MIN(IF(OR(CN687,BE687),0,IF(OR($C687="赤日轮1",$C687="赤日轮2",$C687="赤日轮3"),E686+20+IF(模拟模式!$I$7="日月凌天",4,0)+IF(CR686,20,0),IF($C687="烈日斩",E686+40,IF($C687="驱夜断愁",IF(模拟模式!$R$7="万念俱寂",E686+20,E686+60),IF($C687="净世破魔击·月",IF(OR(DB686&gt;0,CV686&gt;0),100,IF(模拟模式!$M$7="辉耀红尘",E686+20,E686)),IF($C687="净世破魔击·日",E686-100,E686)))))),100))</f>
        <v>80</v>
      </c>
      <c r="F687" s="115">
        <f ca="1">IF(AND(CU687,OR(C687="赤日轮1",C687="赤日轮2",C687="赤日轮3",C687="烈日斩",C687="净世破魔击·日")),100,MIN(IF(CO687,0,IF(OR($C687="幽月轮1",$C687="幽月轮2",$C687="幽月轮3"),F686+20+IF(模拟模式!$I$7="日月凌天",4,0)+IF(CS686,20,0),IF($C687="银月斩",F686+40+IF(模拟模式!$X$12=1,5,0),IF($C687="驱夜断愁",IF(模拟模式!$R$7="万念俱寂",F686+20,F686+60),IF($C687="净世破魔击·月",IF(模拟模式!$M$7="辉耀红尘",F686-80,F686-100),IF(AND(C687="净世破魔击·日",OR(DB686&gt;0,CV686&gt;0)),100,F686)))))),100))</f>
        <v>100</v>
      </c>
      <c r="G687" s="117">
        <f ca="1">('模拟-全程加成'!$E$3+'模拟-全程加成'!$E$4+'模拟-全程加成'!$E$5+('模拟-全程加成'!$C$6-'模拟-全程加成'!$C$3)*系数!$B$9+BS687*23)*(1+'模拟-全程加成'!$F$4+'模拟-全程加成'!$F$5+BJ687*10%+BM687*20%+BP687*4%+CG687*30%)+$F$7*系数!$B$12</f>
        <v>20583.127400000001</v>
      </c>
      <c r="H687" s="45">
        <f ca="1">'模拟-全程加成'!$H$3+'模拟-全程加成'!$H$4+'模拟-全程加成'!$H$5+('模拟-全程加成'!$G$4+'模拟-全程加成'!$G$5+('模拟-全程加成'!$C$6-'模拟-全程加成'!$C$3)*系数!$B$13)/系数!$B$3+LOOKUP(D687,'模拟-单技能数据'!$A$2:$A$19,'模拟-单技能数据'!$K$2:$K$19)+BG687*10%+IF(BV687&gt;0,378,0)</f>
        <v>0.51185145527300213</v>
      </c>
      <c r="I687" s="45">
        <f ca="1">'模拟-全程加成'!$J$3+'模拟-全程加成'!$J$4+'模拟-全程加成'!$J$5+('模拟-全程加成'!$I$4+'模拟-全程加成'!$I$5)/系数!$B$4+LOOKUP(D687,'模拟-单技能数据'!$A$2:$A$19,'模拟-单技能数据'!$L$2:$L$19)+BG687*10%</f>
        <v>2.162482885499879</v>
      </c>
      <c r="J687" s="45">
        <f ca="1">(('模拟-全程加成'!$K$3+'模拟-全程加成'!$K$4+'模拟-全程加成'!$K$5+('模拟-全程加成'!$C$6-'模拟-全程加成'!$C$3)*系数!$B$10+IF(BV687&gt;0,882,0)+IF(BY687&gt;0,1831,0))*(1+'模拟-全程加成'!$L$4+'模拟-全程加成'!$L$5+CC687*20%))/系数!$B$5</f>
        <v>0.69723220422048726</v>
      </c>
      <c r="K687" s="119">
        <f ca="1">LOOKUP(D687,'模拟-单技能数据'!$A$2:$A$19,'模拟-单技能数据'!$J$2:$J$19)+IF(CM687,60%,0)+IF(DB686-DB687&gt;0,30%,0)+IF(OR(AND(OR(C687="赤日轮1",C687="赤日轮2",C687="赤日轮3"),CR687),AND(OR(C687="幽月轮1",C687="幽月轮2",C687="幽月轮3"),CS687)),35%,0)+CJ687</f>
        <v>7.0000000000000007E-2</v>
      </c>
      <c r="L687" s="119">
        <f ca="1">IF(AND(C687="烈日斩",模拟模式!$X$11=1),10%,0)+IF(AND(C687="驱夜断愁",AB687=1),30%,0)</f>
        <v>0</v>
      </c>
      <c r="M687" s="45">
        <f t="shared" ca="1" si="595"/>
        <v>0.51185145527300213</v>
      </c>
      <c r="N687" s="45">
        <f t="shared" ca="1" si="596"/>
        <v>0.43424854472699792</v>
      </c>
      <c r="O687" s="46">
        <f t="shared" ca="1" si="626"/>
        <v>0.38943922235434358</v>
      </c>
      <c r="P687" s="46" t="str">
        <f t="shared" ca="1" si="597"/>
        <v>会</v>
      </c>
      <c r="Q687" s="45">
        <f t="shared" ca="1" si="598"/>
        <v>2.162482885499879</v>
      </c>
      <c r="R687" s="117">
        <f ca="1">模拟模式!$E$20*(1-IF(模拟模式!$J$19="有",0.15,0))*(1-IF(模拟模式!$K$19="有",0.3,0)-IF(CQ687,0.5,0))</f>
        <v>2950.6049999999996</v>
      </c>
      <c r="S687" s="45">
        <f ca="1">R687/(R687+(185*模拟模式!$E$22-16800)*4.08224)</f>
        <v>0.24272716014590323</v>
      </c>
      <c r="T687" s="45" t="str">
        <f ca="1">LOOKUP(D687,'模拟-单技能数据'!$A$2:$A$19,'模拟-单技能数据'!$H$2:$H$19)</f>
        <v>阴</v>
      </c>
      <c r="U687" s="119">
        <f t="shared" ca="1" si="599"/>
        <v>0.08</v>
      </c>
      <c r="V687" s="47">
        <f ca="1">(1+L687)*(LOOKUP(D687,'模拟-单技能数据'!$A$2:$A$19,'模拟-单技能数据'!$D$2:$D$19)+G687*LOOKUP(D687,'模拟-单技能数据'!$A$2:$A$19,'模拟-单技能数据'!$F$2:$F$19))*(1+J687)*(1+K687)*(1-S687)*(1+U687)*Q687*LOOKUP(D687,'模拟-单技能数据'!$A$2:$A$19,'模拟-单技能数据'!$I$2:$I$20)</f>
        <v>35088.919370823241</v>
      </c>
      <c r="W687" s="47">
        <f ca="1">LOOKUP(D687,'模拟-单技能数据'!$A$2:$A$19,'模拟-单技能数据'!$G$2:$G$19)*$I$10</f>
        <v>361.51064354704795</v>
      </c>
      <c r="X687" s="47">
        <f t="shared" ca="1" si="627"/>
        <v>10032.752055344998</v>
      </c>
      <c r="Y687" s="47">
        <f t="shared" ca="1" si="600"/>
        <v>45483.182069715287</v>
      </c>
      <c r="Z687" s="49">
        <f t="shared" ca="1" si="601"/>
        <v>69256189.333303317</v>
      </c>
      <c r="AA687" s="97">
        <f t="shared" ca="1" si="602"/>
        <v>113749.18179075721</v>
      </c>
      <c r="AB687" s="115">
        <f ca="1">IF(OR(C687="赤日轮1",C687="赤日轮2",C687="赤日轮3"),IF(RAND()&lt;模拟模式!$Y$17,1,0),IF(OR(C687="幽月轮1",C687="幽月轮2",C687="幽月轮3"),IF(RAND()&lt;模拟模式!$Y$18,1,0),IF(C687="烈日斩",IF(RAND()&lt;模拟模式!$Y$19,1,0),IF(C687="银月斩",IF(RAND()&lt;模拟模式!$Y$20,1,0),IF(C687="驱夜断愁",IF(RAND()&lt;模拟模式!$Y$21,1,0),IF(C687="净世破魔击·日",IF(RAND()&lt;模拟模式!$Y$22,1,0),IF(C687="净世破魔击·月",IF(RAND()&lt;模拟模式!$Y$23,1,0),0)))))))</f>
        <v>1</v>
      </c>
      <c r="AC687" s="115" t="b">
        <f t="shared" ca="1" si="603"/>
        <v>0</v>
      </c>
      <c r="AD687" s="115" t="b">
        <f t="shared" ca="1" si="604"/>
        <v>1</v>
      </c>
      <c r="AE687" s="115">
        <f t="shared" ca="1" si="605"/>
        <v>4</v>
      </c>
      <c r="AF687" s="47">
        <f ca="1">IF(AC687,('模拟-单技能数据'!$D$20+G687*'模拟-单技能数据'!$F$20)*(1+J687)*(1+'模拟-单技能数据'!$J$20)*(1+U687),0)</f>
        <v>0</v>
      </c>
      <c r="AG687" s="61">
        <f t="shared" ca="1" si="606"/>
        <v>0.64185145527300214</v>
      </c>
      <c r="AH687" s="61">
        <f t="shared" ca="1" si="607"/>
        <v>2.2624828854998791</v>
      </c>
      <c r="AI687" s="62">
        <f t="shared" ca="1" si="628"/>
        <v>4.0928218020481744E-2</v>
      </c>
      <c r="AJ687" s="47">
        <f ca="1">IF(AD687,IF(AI687&lt;$F$10,0,IF(AI687&lt;$F$10+$F$11,0.25,IF(AI687&lt;$F$10+$F$11+AG687,AH687,1)))*IF(AF687&gt;0,AF687,IF(AF686&gt;0,AF686,IF(AF685&gt;0,AF685,IF(AF684&gt;0,AF684,IF(AF683&gt;0,AF683,IF(AF682&gt;0,AF682,IF(AF681&gt;0,AF681,IF(AF680&gt;0,AF680,IF(AF679&gt;0,AF679,IF(AF677&gt;0,AF677,IF(AF676&gt;0,AF676,IF(AF675&gt;0,AF675,0)))))))))))),0)*(1-$S687)*'模拟-单技能数据'!$I$20</f>
        <v>842.06024135830705</v>
      </c>
      <c r="AK687" s="115" t="b">
        <f t="shared" ca="1" si="608"/>
        <v>0</v>
      </c>
      <c r="AL687" s="115" t="b">
        <f t="shared" ca="1" si="609"/>
        <v>1</v>
      </c>
      <c r="AM687" s="115">
        <f t="shared" ca="1" si="610"/>
        <v>3</v>
      </c>
      <c r="AN687" s="47">
        <f ca="1">IF(AK687,('模拟-单技能数据'!$D$21+G687*'模拟-单技能数据'!$F$21)*(1+J687)*(1+'模拟-单技能数据'!$J$21)*(1+U687),0)</f>
        <v>0</v>
      </c>
      <c r="AO687" s="61">
        <f ca="1">IF(AN687&gt;0,M687-'模拟-单技能数据'!$K$10,AO686)</f>
        <v>0.42185145527300216</v>
      </c>
      <c r="AP687" s="61">
        <f ca="1">IF(AN687&gt;0,I687-'模拟-单技能数据'!$L$10,AP686)</f>
        <v>2.162482885499879</v>
      </c>
      <c r="AQ687" s="63">
        <f t="shared" ca="1" si="629"/>
        <v>0.47691432040822435</v>
      </c>
      <c r="AR687" s="64">
        <f ca="1">IF(AL687,IF(AQ687&lt;$F$10,0,IF(AQ687&lt;$F$10+$F$11,0.25,IF(AQ687&lt;$F$10+$F$11+AO687,AP687,1)))*IF(AN687&gt;0,AN687,IF(AN686&gt;0,AN686,IF(AN685&gt;0,AN685,IF(AN684&gt;0,AN684,IF(AN683&gt;0,AN683,IF(AN682&gt;0,AN682,IF(AN681&gt;0,AN681,IF(AN680&gt;0,AN680,IF(AN679&gt;0,AN679,IF(AN677&gt;0,AN677,IF(AN676&gt;0,AN676,IF(AN675&gt;0,AN675,0)))))))))))),0)*(1-$S687)*'模拟-单技能数据'!$I$21</f>
        <v>9190.6918139866902</v>
      </c>
      <c r="AS687" s="61">
        <f ca="1">IF(OR(C687="净世破魔击·日",C687="净世破魔击·月"),M687-'模拟-单技能数据'!$K$10,0)</f>
        <v>0</v>
      </c>
      <c r="AT687" s="61">
        <f ca="1">IF(OR(C687="净世破魔击·日",C687="净世破魔击·月"),I687-'模拟-单技能数据'!$L$10,0)</f>
        <v>0</v>
      </c>
      <c r="AU687" s="62">
        <f t="shared" ca="1" si="630"/>
        <v>0.1168605243320765</v>
      </c>
      <c r="AV687" s="64">
        <f ca="1">IF(AS687&gt;0,('模拟-单技能数据'!$D$22+G687*'模拟-单技能数据'!$F$22)*(1+J687)*(1-S687)*IF(AU687&lt;$F$10,0,IF(AU687&lt;$F$10+$F$11,0.25,IF(AU687&lt;$F$10+$F$11+AS687,AT687,1)))*(1+U687),0)*'模拟-单技能数据'!$I$22</f>
        <v>0</v>
      </c>
      <c r="AW687" s="108">
        <f t="shared" ca="1" si="631"/>
        <v>13.542500000000004</v>
      </c>
      <c r="AX687" s="108" t="b">
        <f ca="1">AND(模拟模式!$P$10="有",AW686=0,RAND()&lt;IF(C687="净世破魔击·月",0.1*8/3,IF(C687="净世破魔击·日",0.1*4/3,0.1*2/3)))</f>
        <v>0</v>
      </c>
      <c r="AY687" s="47">
        <f ca="1">IF(AX687,(18+G687*0.722)*(1+J687)*(1-S687)*(1+$I$4)*IF(P687="会",'模拟-全程加成'!$J$3+'模拟-全程加成'!$J$4+'模拟-全程加成'!$J$5+('模拟-全程加成'!$I$4+'模拟-全程加成'!$I$5)/系数!$B$4+BG687*10%,IF(P687="命",1,IF(P687="识",0.25,0))),0)</f>
        <v>0</v>
      </c>
      <c r="AZ687" s="108">
        <f t="shared" si="632"/>
        <v>0</v>
      </c>
      <c r="BA687" s="108" t="b">
        <f>AND(模拟模式!$Q$10="有",AZ686=0)</f>
        <v>0</v>
      </c>
      <c r="BB687" s="140">
        <f>IF(BA687,(0+G687*0.287)*(1+J687)*(1-S687)*(1+$I$4)*IF(P687="会",'模拟-全程加成'!$J$3+'模拟-全程加成'!$J$4+'模拟-全程加成'!$J$5+('模拟-全程加成'!$I$4+'模拟-全程加成'!$I$5)/系数!$B$4+BG687*10%,IF(P687="命",1,IF(P687="识",0.25,0))),0)</f>
        <v>0</v>
      </c>
      <c r="BC687" s="115" t="b">
        <f ca="1">AND(模拟模式!$R$7="伏明众生",E687=60,F687=20,DA687&lt;5,CZ686&lt;$F$4)</f>
        <v>0</v>
      </c>
      <c r="BD687" s="115">
        <f t="shared" ca="1" si="611"/>
        <v>0</v>
      </c>
      <c r="BE687" s="115" t="b">
        <f t="shared" ca="1" si="612"/>
        <v>0</v>
      </c>
      <c r="BF687" s="47">
        <f ca="1">IF(BC687,4*('模拟-单技能数据'!$D$24+G687*'模拟-单技能数据'!$F$24)*(1+J687)*(1+'模拟-单技能数据'!$J$24)*(1-S687)*(1+$I$3)*(('模拟-全程加成'!$J$3+'模拟-全程加成'!$J$4+'模拟-全程加成'!$J$5+('模拟-全程加成'!$I$4+'模拟-全程加成'!$I$5)/系数!$B$4+BG687*10%)*('模拟-全程加成'!$J$3+'模拟-全程加成'!$J$4+'模拟-全程加成'!$J$5+('模拟-全程加成'!$I$4+'模拟-全程加成'!$I$5)/系数!$B$4+BG687*10%)+(1-('模拟-全程加成'!$J$3+'模拟-全程加成'!$J$4+'模拟-全程加成'!$J$5+('模拟-全程加成'!$I$4+'模拟-全程加成'!$I$5)/系数!$B$4+BG687*10%)-$F$10-$F$11)+F673*0.25),0)*'模拟-单技能数据'!$I$24</f>
        <v>0</v>
      </c>
      <c r="BG687" s="115" t="b">
        <f ca="1">OR(AND(OR(C687="烈日斩",C687="银月斩"),模拟模式!$I$7="净身明礼"),AND(C687="净世破魔击·日",模拟模式!$J$7="洞若观火"),AND(C688="净世破魔击·月",模拟模式!$J$7="洞若观火"),AB687=1)</f>
        <v>1</v>
      </c>
      <c r="BH687" s="115" t="b">
        <f t="shared" ca="1" si="633"/>
        <v>0</v>
      </c>
      <c r="BI687" s="115">
        <f t="shared" ca="1" si="613"/>
        <v>0</v>
      </c>
      <c r="BJ687" s="115" t="b">
        <f t="shared" ca="1" si="614"/>
        <v>0</v>
      </c>
      <c r="BK687" s="115" t="b">
        <f ca="1">AND(C687="驱夜断愁",模拟模式!$P$7="天地诛戮")</f>
        <v>0</v>
      </c>
      <c r="BL687" s="57">
        <f t="shared" ca="1" si="615"/>
        <v>18.155000000000001</v>
      </c>
      <c r="BM687" s="115" t="b">
        <f t="shared" ca="1" si="616"/>
        <v>1</v>
      </c>
      <c r="BN687" s="115" t="b">
        <f ca="1">AND(OR(C687="赤日轮1",C687="赤日轮2",C687="赤日轮3",C687="幽月轮1",C687="幽月轮2",C687="幽月轮3"),AB687=1,模拟模式!$L$7="明光恒照")</f>
        <v>1</v>
      </c>
      <c r="BO687" s="117">
        <f t="shared" ca="1" si="617"/>
        <v>30</v>
      </c>
      <c r="BP687" s="115">
        <f t="shared" ca="1" si="634"/>
        <v>6</v>
      </c>
      <c r="BQ687" s="115" t="b">
        <f>模拟模式!$K$10="2600·水"</f>
        <v>0</v>
      </c>
      <c r="BR687" s="117">
        <f t="shared" si="635"/>
        <v>0</v>
      </c>
      <c r="BS687" s="115">
        <f t="shared" si="636"/>
        <v>0</v>
      </c>
      <c r="BT687" s="115">
        <f t="shared" ca="1" si="637"/>
        <v>0</v>
      </c>
      <c r="BU687" s="115" t="b">
        <f ca="1">AND(模拟模式!$K$10="2300·雷",BT686=0,RAND()&lt;IF(C687="净世破魔击·月",5*0.05*2/3,IF(C687="净世破魔击·日",3*0.05*2/3,0.05*2*2/3)))</f>
        <v>0</v>
      </c>
      <c r="BV687" s="115">
        <f t="shared" ca="1" si="638"/>
        <v>0</v>
      </c>
      <c r="BW687" s="115">
        <f t="shared" ca="1" si="639"/>
        <v>129.26249999999925</v>
      </c>
      <c r="BX687" s="164" t="b">
        <f t="shared" ca="1" si="640"/>
        <v>0</v>
      </c>
      <c r="BY687" s="115">
        <f t="shared" ca="1" si="641"/>
        <v>0</v>
      </c>
      <c r="BZ687" s="115">
        <f>IF(OR(模拟模式!$P$16="10人团",模拟模式!$P$16="25人团"),IF(B687/30&gt;CA686,1,0),0)</f>
        <v>0</v>
      </c>
      <c r="CA687" s="115">
        <f t="shared" si="618"/>
        <v>0</v>
      </c>
      <c r="CB687" s="115">
        <f ca="1">IF(BZ687=1,IF(模拟模式!$P$16="10人团",15,0)+IF(模拟模式!$P$16="25人团",IF(RAND()&lt;0.6,15,0)),MAX(0,CB686-$F$4))</f>
        <v>0</v>
      </c>
      <c r="CC687" s="115" t="b">
        <f t="shared" ca="1" si="619"/>
        <v>0</v>
      </c>
      <c r="CD687" s="115">
        <f>IF(模拟模式!$Q$16="1个",IF(B687/40&gt;CE686,1,0),0)</f>
        <v>0</v>
      </c>
      <c r="CE687" s="115">
        <f t="shared" si="620"/>
        <v>0</v>
      </c>
      <c r="CF687" s="115">
        <f>IF(OR(CD687=1,模拟模式!$Q$16="2个"),20,MAX(0,CF686-$F$4))</f>
        <v>0</v>
      </c>
      <c r="CG687" s="115" t="b">
        <f t="shared" si="621"/>
        <v>0</v>
      </c>
      <c r="CH687" s="115">
        <f t="shared" ca="1" si="642"/>
        <v>10.627500000000012</v>
      </c>
      <c r="CI687" s="115" t="b">
        <f t="shared" ca="1" si="643"/>
        <v>0</v>
      </c>
      <c r="CJ687" s="119">
        <f t="shared" ca="1" si="644"/>
        <v>0</v>
      </c>
      <c r="CK687" s="115">
        <f t="shared" ca="1" si="645"/>
        <v>0</v>
      </c>
      <c r="CL687" s="115" t="b">
        <f ca="1">AND(模拟模式!$S$7="驱夷逐法",OR(AND(C687="净世破魔击·月",E686&gt;59),AND(C687="净世破魔击·日",F686&gt;59)))</f>
        <v>0</v>
      </c>
      <c r="CM687" s="115" t="b">
        <f ca="1">OR(CL687,AND(C687="净世破魔击·日",CL686,RAND()&lt;模拟模式!$U$23))</f>
        <v>0</v>
      </c>
      <c r="CN687" s="115" t="b">
        <f ca="1">IF(模拟模式!$M$7="辉耀红尘",AND(C687="净世破魔击·月",CL687,CV687=0,E686&lt;80),AND(C687="净世破魔击·月",CL687,E686&lt;100))</f>
        <v>0</v>
      </c>
      <c r="CO687" s="115" t="b">
        <f t="shared" ca="1" si="622"/>
        <v>0</v>
      </c>
      <c r="CP687" s="115" t="b">
        <f ca="1">AND(模拟模式!$O$7="用晦而明",OR(C687="净世破魔击·日",C687="净世破魔击·月",C687="驱夜断愁"),AB687)</f>
        <v>0</v>
      </c>
      <c r="CQ687" s="115" t="b">
        <f ca="1">OR(CP687,AND(CP686,RAND()&lt;模拟模式!$U$23))</f>
        <v>0</v>
      </c>
      <c r="CR687" s="115" t="b">
        <f ca="1">AND(模拟模式!$S$7="日月齐光",OR(C687="幽月轮1",C687="幽月轮2",C687="幽月轮3",CR686),NOT(OR(C687="赤日轮1",C687="赤日轮2",C687="赤日轮3")))</f>
        <v>0</v>
      </c>
      <c r="CS687" s="115" t="b">
        <f ca="1">AND(模拟模式!$S$7="日月齐光",OR(C687="赤日轮1",C687="赤日轮2",C687="赤日轮3",CS686),NOT(OR(C687="幽月轮1",C687="幽月轮2",C687="幽月轮3")))</f>
        <v>0</v>
      </c>
      <c r="CT687" s="115">
        <f t="shared" ca="1" si="646"/>
        <v>6.9375000000000124</v>
      </c>
      <c r="CU687" s="115" t="b">
        <f ca="1">AND(模拟模式!$K$10="阴阳往极",CT686=0,RAND()&lt;IF(C687="净世破魔击·月",0.0275*7/3,IF(C687="净世破魔击·日",0.0275*3/3,0.0275*2/3)))</f>
        <v>0</v>
      </c>
      <c r="CV687" s="115">
        <f t="shared" ca="1" si="647"/>
        <v>0</v>
      </c>
      <c r="CW687" s="115">
        <f t="shared" ca="1" si="648"/>
        <v>5.0774999999999997</v>
      </c>
      <c r="CX687" s="115">
        <f t="shared" ca="1" si="649"/>
        <v>3.2324999999999995</v>
      </c>
      <c r="CY687" s="115">
        <f ca="1">MAX(IF($C687="驱夜断愁",IF(模拟模式!$R$7="万念俱寂",6,45),CY686-$F$4),0)</f>
        <v>4.1549999999999994</v>
      </c>
      <c r="CZ687" s="115">
        <f t="shared" ca="1" si="623"/>
        <v>0</v>
      </c>
      <c r="DA687" s="115">
        <f ca="1">IF(模拟模式!$N$7="日月同辉",IF(DB686=2,0,MIN(6,IF(AND(OR(C687="赤日轮1",C687="赤日轮2",C687="赤日轮3",C687="幽月轮1",C687="幽月轮2",C687="幽月轮3"),AB687=1),DA686+1,DA686))),0)</f>
        <v>0</v>
      </c>
      <c r="DB687" s="115">
        <f t="shared" ca="1" si="624"/>
        <v>2</v>
      </c>
      <c r="DC687" s="115"/>
      <c r="DD687" s="115"/>
      <c r="DE687" s="115"/>
      <c r="DF687" s="115"/>
      <c r="DG687" s="115"/>
      <c r="DH687" s="115"/>
      <c r="DI687" s="115"/>
      <c r="DJ687" s="115"/>
      <c r="DK687" s="115"/>
      <c r="DL687" s="115"/>
      <c r="DM687" s="115"/>
    </row>
    <row r="688" spans="2:117" x14ac:dyDescent="0.2">
      <c r="B688" s="117">
        <f t="shared" si="625"/>
        <v>609.77250000000697</v>
      </c>
      <c r="C688" s="167" t="str">
        <f t="shared" ca="1" si="594"/>
        <v>净世破魔击·月</v>
      </c>
      <c r="D688" s="115">
        <f ca="1">IF(C688="赤日轮1",1,IF(C688="赤日轮2",2,IF(C688="赤日轮3",3,IF(C688="幽月轮1",4,IF(C688="幽月轮2",5,IF(C688="幽月轮3",6,IF(C688="烈日斩",7,IF(C688="银月斩",8,IF(C688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688="净世破魔击·月",17,IF(C688="驱夜断愁",18,0)))))))))))</f>
        <v>17</v>
      </c>
      <c r="E688" s="115">
        <f ca="1">IF(AND(CU688,OR(C688="幽月轮1",C688="幽月轮2",C688="幽月轮3",C688="银月斩",C688="驱夜断愁",C688="净世破魔击·月")),100,MIN(IF(OR(CN688,BE688),0,IF(OR($C688="赤日轮1",$C688="赤日轮2",$C688="赤日轮3"),E687+20+IF(模拟模式!$I$7="日月凌天",4,0)+IF(CR687,20,0),IF($C688="烈日斩",E687+40,IF($C688="驱夜断愁",IF(模拟模式!$R$7="万念俱寂",E687+20,E687+60),IF($C688="净世破魔击·月",IF(OR(DB687&gt;0,CV687&gt;0),100,IF(模拟模式!$M$7="辉耀红尘",E687+20,E687)),IF($C688="净世破魔击·日",E687-100,E687)))))),100))</f>
        <v>100</v>
      </c>
      <c r="F688" s="115">
        <f ca="1">IF(AND(CU688,OR(C688="赤日轮1",C688="赤日轮2",C688="赤日轮3",C688="烈日斩",C688="净世破魔击·日")),100,MIN(IF(CO688,0,IF(OR($C688="幽月轮1",$C688="幽月轮2",$C688="幽月轮3"),F687+20+IF(模拟模式!$I$7="日月凌天",4,0)+IF(CS687,20,0),IF($C688="银月斩",F687+40+IF(模拟模式!$X$12=1,5,0),IF($C688="驱夜断愁",IF(模拟模式!$R$7="万念俱寂",F687+20,F687+60),IF($C688="净世破魔击·月",IF(模拟模式!$M$7="辉耀红尘",F687-80,F687-100),IF(AND(C688="净世破魔击·日",OR(DB687&gt;0,CV687&gt;0)),100,F687)))))),100))</f>
        <v>20</v>
      </c>
      <c r="G688" s="117">
        <f ca="1">('模拟-全程加成'!$E$3+'模拟-全程加成'!$E$4+'模拟-全程加成'!$E$5+('模拟-全程加成'!$C$6-'模拟-全程加成'!$C$3)*系数!$B$9+BS688*23)*(1+'模拟-全程加成'!$F$4+'模拟-全程加成'!$F$5+BJ688*10%+BM688*20%+BP688*4%+CG688*30%)+$F$7*系数!$B$12</f>
        <v>21493.829400000002</v>
      </c>
      <c r="H688" s="45">
        <f ca="1">'模拟-全程加成'!$H$3+'模拟-全程加成'!$H$4+'模拟-全程加成'!$H$5+('模拟-全程加成'!$G$4+'模拟-全程加成'!$G$5+('模拟-全程加成'!$C$6-'模拟-全程加成'!$C$3)*系数!$B$13)/系数!$B$3+LOOKUP(D688,'模拟-单技能数据'!$A$2:$A$19,'模拟-单技能数据'!$K$2:$K$19)+BG688*10%+IF(BV688&gt;0,378,0)</f>
        <v>0.54185145527300216</v>
      </c>
      <c r="I688" s="45">
        <f ca="1">'模拟-全程加成'!$J$3+'模拟-全程加成'!$J$4+'模拟-全程加成'!$J$5+('模拟-全程加成'!$I$4+'模拟-全程加成'!$I$5)/系数!$B$4+LOOKUP(D688,'模拟-单技能数据'!$A$2:$A$19,'模拟-单技能数据'!$L$2:$L$19)+BG688*10%</f>
        <v>2.162482885499879</v>
      </c>
      <c r="J688" s="45">
        <f ca="1">(('模拟-全程加成'!$K$3+'模拟-全程加成'!$K$4+'模拟-全程加成'!$K$5+('模拟-全程加成'!$C$6-'模拟-全程加成'!$C$3)*系数!$B$10+IF(BV688&gt;0,882,0)+IF(BY688&gt;0,1831,0))*(1+'模拟-全程加成'!$L$4+'模拟-全程加成'!$L$5+CC688*20%))/系数!$B$5</f>
        <v>0.69723220422048726</v>
      </c>
      <c r="K688" s="119">
        <f ca="1">LOOKUP(D688,'模拟-单技能数据'!$A$2:$A$19,'模拟-单技能数据'!$J$2:$J$19)+IF(CM688,60%,0)+IF(DB687-DB688&gt;0,30%,0)+IF(OR(AND(OR(C688="赤日轮1",C688="赤日轮2",C688="赤日轮3"),CR688),AND(OR(C688="幽月轮1",C688="幽月轮2",C688="幽月轮3"),CS688)),35%,0)+CJ688</f>
        <v>1.1000000000000001</v>
      </c>
      <c r="L688" s="119">
        <f ca="1">IF(AND(C688="烈日斩",模拟模式!$X$11=1),10%,0)+IF(AND(C688="驱夜断愁",AB688=1),30%,0)</f>
        <v>0</v>
      </c>
      <c r="M688" s="45">
        <f t="shared" ca="1" si="595"/>
        <v>0.54185145527300216</v>
      </c>
      <c r="N688" s="45">
        <f t="shared" ca="1" si="596"/>
        <v>0.40424854472699789</v>
      </c>
      <c r="O688" s="46">
        <f t="shared" ca="1" si="626"/>
        <v>0.7607426967440597</v>
      </c>
      <c r="P688" s="46" t="str">
        <f t="shared" ca="1" si="597"/>
        <v>命</v>
      </c>
      <c r="Q688" s="45">
        <f t="shared" ca="1" si="598"/>
        <v>1</v>
      </c>
      <c r="R688" s="117">
        <f ca="1">模拟模式!$E$20*(1-IF(模拟模式!$J$19="有",0.15,0))*(1-IF(模拟模式!$K$19="有",0.3,0)-IF(CQ688,0.5,0))</f>
        <v>843.02999999999975</v>
      </c>
      <c r="S688" s="45">
        <f ca="1">R688/(R688+(185*模拟模式!$E$22-16800)*4.08224)</f>
        <v>8.389626085980037E-2</v>
      </c>
      <c r="T688" s="45" t="str">
        <f ca="1">LOOKUP(D688,'模拟-单技能数据'!$A$2:$A$19,'模拟-单技能数据'!$H$2:$H$19)</f>
        <v>阴</v>
      </c>
      <c r="U688" s="119">
        <f t="shared" ca="1" si="599"/>
        <v>0.08</v>
      </c>
      <c r="V688" s="47">
        <f ca="1">(1+L688)*(LOOKUP(D688,'模拟-单技能数据'!$A$2:$A$19,'模拟-单技能数据'!$D$2:$D$19)+G688*LOOKUP(D688,'模拟-单技能数据'!$A$2:$A$19,'模拟-单技能数据'!$F$2:$F$19))*(1+J688)*(1+K688)*(1-S688)*(1+U688)*Q688*LOOKUP(D688,'模拟-单技能数据'!$A$2:$A$19,'模拟-单技能数据'!$I$2:$I$20)</f>
        <v>98481.592340073315</v>
      </c>
      <c r="W688" s="47">
        <f ca="1">LOOKUP(D688,'模拟-单技能数据'!$A$2:$A$19,'模拟-单技能数据'!$G$2:$G$19)*$I$10</f>
        <v>361.51064354704795</v>
      </c>
      <c r="X688" s="47">
        <f t="shared" ca="1" si="627"/>
        <v>18314.913466833877</v>
      </c>
      <c r="Y688" s="47">
        <f t="shared" ca="1" si="600"/>
        <v>117158.01645045425</v>
      </c>
      <c r="Z688" s="49">
        <f t="shared" ca="1" si="601"/>
        <v>69373347.349753767</v>
      </c>
      <c r="AA688" s="97">
        <f t="shared" ca="1" si="602"/>
        <v>113769.22926132775</v>
      </c>
      <c r="AB688" s="115">
        <f ca="1">IF(OR(C688="赤日轮1",C688="赤日轮2",C688="赤日轮3"),IF(RAND()&lt;模拟模式!$Y$17,1,0),IF(OR(C688="幽月轮1",C688="幽月轮2",C688="幽月轮3"),IF(RAND()&lt;模拟模式!$Y$18,1,0),IF(C688="烈日斩",IF(RAND()&lt;模拟模式!$Y$19,1,0),IF(C688="银月斩",IF(RAND()&lt;模拟模式!$Y$20,1,0),IF(C688="驱夜断愁",IF(RAND()&lt;模拟模式!$Y$21,1,0),IF(C688="净世破魔击·日",IF(RAND()&lt;模拟模式!$Y$22,1,0),IF(C688="净世破魔击·月",IF(RAND()&lt;模拟模式!$Y$23,1,0),0)))))))</f>
        <v>1</v>
      </c>
      <c r="AC688" s="115" t="b">
        <f t="shared" ca="1" si="603"/>
        <v>0</v>
      </c>
      <c r="AD688" s="115" t="b">
        <f t="shared" ca="1" si="604"/>
        <v>0</v>
      </c>
      <c r="AE688" s="115">
        <f t="shared" ca="1" si="605"/>
        <v>4</v>
      </c>
      <c r="AF688" s="47">
        <f ca="1">IF(AC688,('模拟-单技能数据'!$D$20+G688*'模拟-单技能数据'!$F$20)*(1+J688)*(1+'模拟-单技能数据'!$J$20)*(1+U688),0)</f>
        <v>0</v>
      </c>
      <c r="AG688" s="61">
        <f t="shared" ca="1" si="606"/>
        <v>0.64185145527300214</v>
      </c>
      <c r="AH688" s="61">
        <f t="shared" ca="1" si="607"/>
        <v>2.2624828854998791</v>
      </c>
      <c r="AI688" s="62">
        <f t="shared" ca="1" si="628"/>
        <v>0.87920955646157906</v>
      </c>
      <c r="AJ688" s="47">
        <f ca="1">IF(AD688,IF(AI688&lt;$F$10,0,IF(AI688&lt;$F$10+$F$11,0.25,IF(AI688&lt;$F$10+$F$11+AG688,AH688,1)))*IF(AF688&gt;0,AF688,IF(AF687&gt;0,AF687,IF(AF686&gt;0,AF686,IF(AF685&gt;0,AF685,IF(AF684&gt;0,AF684,IF(AF683&gt;0,AF683,IF(AF682&gt;0,AF682,IF(AF681&gt;0,AF681,IF(AF680&gt;0,AF680,IF(AF678&gt;0,AF678,IF(AF677&gt;0,AF677,IF(AF676&gt;0,AF676,0)))))))))))),0)*(1-$S688)*'模拟-单技能数据'!$I$20</f>
        <v>0</v>
      </c>
      <c r="AK688" s="115" t="b">
        <f t="shared" ca="1" si="608"/>
        <v>0</v>
      </c>
      <c r="AL688" s="115" t="b">
        <f t="shared" ca="1" si="609"/>
        <v>0</v>
      </c>
      <c r="AM688" s="115">
        <f t="shared" ca="1" si="610"/>
        <v>3</v>
      </c>
      <c r="AN688" s="47">
        <f ca="1">IF(AK688,('模拟-单技能数据'!$D$21+G688*'模拟-单技能数据'!$F$21)*(1+J688)*(1+'模拟-单技能数据'!$J$21)*(1+U688),0)</f>
        <v>0</v>
      </c>
      <c r="AO688" s="61">
        <f ca="1">IF(AN688&gt;0,M688-'模拟-单技能数据'!$K$10,AO687)</f>
        <v>0.42185145527300216</v>
      </c>
      <c r="AP688" s="61">
        <f ca="1">IF(AN688&gt;0,I688-'模拟-单技能数据'!$L$10,AP687)</f>
        <v>2.162482885499879</v>
      </c>
      <c r="AQ688" s="63">
        <f t="shared" ca="1" si="629"/>
        <v>0.42626590143457344</v>
      </c>
      <c r="AR688" s="64">
        <f ca="1">IF(AL688,IF(AQ688&lt;$F$10,0,IF(AQ688&lt;$F$10+$F$11,0.25,IF(AQ688&lt;$F$10+$F$11+AO688,AP688,1)))*IF(AN688&gt;0,AN688,IF(AN687&gt;0,AN687,IF(AN686&gt;0,AN686,IF(AN685&gt;0,AN685,IF(AN684&gt;0,AN684,IF(AN683&gt;0,AN683,IF(AN682&gt;0,AN682,IF(AN681&gt;0,AN681,IF(AN680&gt;0,AN680,IF(AN678&gt;0,AN678,IF(AN677&gt;0,AN677,IF(AN676&gt;0,AN676,0)))))))))))),0)*(1-$S688)*'模拟-单技能数据'!$I$21</f>
        <v>0</v>
      </c>
      <c r="AS688" s="61">
        <f ca="1">IF(OR(C688="净世破魔击·日",C688="净世破魔击·月"),M688-'模拟-单技能数据'!$K$10,0)</f>
        <v>0.42185145527300216</v>
      </c>
      <c r="AT688" s="61">
        <f ca="1">IF(OR(C688="净世破魔击·日",C688="净世破魔击·月"),I688-'模拟-单技能数据'!$L$10,0)</f>
        <v>2.162482885499879</v>
      </c>
      <c r="AU688" s="62">
        <f t="shared" ca="1" si="630"/>
        <v>0.91072963566395326</v>
      </c>
      <c r="AV688" s="64">
        <f ca="1">IF(AS688&gt;0,('模拟-单技能数据'!$D$22+G688*'模拟-单技能数据'!$F$22)*(1+J688)*(1-S688)*IF(AU688&lt;$F$10,0,IF(AU688&lt;$F$10+$F$11,0.25,IF(AU688&lt;$F$10+$F$11+AS688,AT688,1)))*(1+U688),0)*'模拟-单技能数据'!$I$22</f>
        <v>7956.2107573714466</v>
      </c>
      <c r="AW688" s="108">
        <f t="shared" ca="1" si="631"/>
        <v>12.620000000000005</v>
      </c>
      <c r="AX688" s="108" t="b">
        <f ca="1">AND(模拟模式!$P$10="有",AW687=0,RAND()&lt;IF(C688="净世破魔击·月",0.1*8/3,IF(C688="净世破魔击·日",0.1*4/3,0.1*2/3)))</f>
        <v>0</v>
      </c>
      <c r="AY688" s="47">
        <f ca="1">IF(AX688,(18+G688*0.722)*(1+J688)*(1-S688)*(1+$I$4)*IF(P688="会",'模拟-全程加成'!$J$3+'模拟-全程加成'!$J$4+'模拟-全程加成'!$J$5+('模拟-全程加成'!$I$4+'模拟-全程加成'!$I$5)/系数!$B$4+BG688*10%,IF(P688="命",1,IF(P688="识",0.25,0))),0)</f>
        <v>0</v>
      </c>
      <c r="AZ688" s="108">
        <f t="shared" si="632"/>
        <v>19.077500000000001</v>
      </c>
      <c r="BA688" s="108" t="b">
        <f>AND(模拟模式!$Q$10="有",AZ687=0)</f>
        <v>1</v>
      </c>
      <c r="BB688" s="140">
        <f ca="1">IF(BA688,(0+G688*0.287)*(1+J688)*(1-S688)*(1+$I$4)*IF(P688="会",'模拟-全程加成'!$J$3+'模拟-全程加成'!$J$4+'模拟-全程加成'!$J$5+('模拟-全程加成'!$I$4+'模拟-全程加成'!$I$5)/系数!$B$4+BG688*10%,IF(P688="命",1,IF(P688="识",0.25,0))),0)</f>
        <v>10358.702709462432</v>
      </c>
      <c r="BC688" s="115" t="b">
        <f ca="1">AND(模拟模式!$R$7="伏明众生",E688=60,F688=20,DA688&lt;5,CZ687&lt;$F$4)</f>
        <v>0</v>
      </c>
      <c r="BD688" s="115">
        <f t="shared" ca="1" si="611"/>
        <v>0</v>
      </c>
      <c r="BE688" s="115" t="b">
        <f t="shared" ca="1" si="612"/>
        <v>0</v>
      </c>
      <c r="BF688" s="47">
        <f ca="1">IF(BC688,4*('模拟-单技能数据'!$D$24+G688*'模拟-单技能数据'!$F$24)*(1+J688)*(1+'模拟-单技能数据'!$J$24)*(1-S688)*(1+$I$3)*(('模拟-全程加成'!$J$3+'模拟-全程加成'!$J$4+'模拟-全程加成'!$J$5+('模拟-全程加成'!$I$4+'模拟-全程加成'!$I$5)/系数!$B$4+BG688*10%)*('模拟-全程加成'!$J$3+'模拟-全程加成'!$J$4+'模拟-全程加成'!$J$5+('模拟-全程加成'!$I$4+'模拟-全程加成'!$I$5)/系数!$B$4+BG688*10%)+(1-('模拟-全程加成'!$J$3+'模拟-全程加成'!$J$4+'模拟-全程加成'!$J$5+('模拟-全程加成'!$I$4+'模拟-全程加成'!$I$5)/系数!$B$4+BG688*10%)-$F$10-$F$11)+F674*0.25),0)*'模拟-单技能数据'!$I$24</f>
        <v>0</v>
      </c>
      <c r="BG688" s="115" t="b">
        <f ca="1">OR(AND(OR(C688="烈日斩",C688="银月斩"),模拟模式!$I$7="净身明礼"),AND(C688="净世破魔击·日",模拟模式!$J$7="洞若观火"),AND(C689="净世破魔击·月",模拟模式!$J$7="洞若观火"),AB688=1)</f>
        <v>1</v>
      </c>
      <c r="BH688" s="115" t="b">
        <f t="shared" ca="1" si="633"/>
        <v>1</v>
      </c>
      <c r="BI688" s="115">
        <f t="shared" ca="1" si="613"/>
        <v>6</v>
      </c>
      <c r="BJ688" s="115" t="b">
        <f t="shared" ca="1" si="614"/>
        <v>1</v>
      </c>
      <c r="BK688" s="115" t="b">
        <f ca="1">AND(C688="驱夜断愁",模拟模式!$P$7="天地诛戮")</f>
        <v>0</v>
      </c>
      <c r="BL688" s="57">
        <f t="shared" ca="1" si="615"/>
        <v>17.232500000000002</v>
      </c>
      <c r="BM688" s="115" t="b">
        <f t="shared" ca="1" si="616"/>
        <v>1</v>
      </c>
      <c r="BN688" s="115" t="b">
        <f ca="1">AND(OR(C688="赤日轮1",C688="赤日轮2",C688="赤日轮3",C688="幽月轮1",C688="幽月轮2",C688="幽月轮3"),AB688=1,模拟模式!$L$7="明光恒照")</f>
        <v>0</v>
      </c>
      <c r="BO688" s="117">
        <f t="shared" ca="1" si="617"/>
        <v>29.077500000000001</v>
      </c>
      <c r="BP688" s="115">
        <f t="shared" ca="1" si="634"/>
        <v>6</v>
      </c>
      <c r="BQ688" s="115" t="b">
        <f>模拟模式!$K$10="2600·水"</f>
        <v>0</v>
      </c>
      <c r="BR688" s="117">
        <f t="shared" si="635"/>
        <v>0</v>
      </c>
      <c r="BS688" s="115">
        <f t="shared" si="636"/>
        <v>0</v>
      </c>
      <c r="BT688" s="115">
        <f t="shared" ca="1" si="637"/>
        <v>0</v>
      </c>
      <c r="BU688" s="115" t="b">
        <f ca="1">AND(模拟模式!$K$10="2300·雷",BT687=0,RAND()&lt;IF(C688="净世破魔击·月",5*0.05*2/3,IF(C688="净世破魔击·日",3*0.05*2/3,0.05*2*2/3)))</f>
        <v>0</v>
      </c>
      <c r="BV688" s="115">
        <f t="shared" ca="1" si="638"/>
        <v>0</v>
      </c>
      <c r="BW688" s="115">
        <f t="shared" ca="1" si="639"/>
        <v>128.33999999999924</v>
      </c>
      <c r="BX688" s="164" t="b">
        <f t="shared" ca="1" si="640"/>
        <v>0</v>
      </c>
      <c r="BY688" s="115">
        <f t="shared" ca="1" si="641"/>
        <v>0</v>
      </c>
      <c r="BZ688" s="115">
        <f>IF(OR(模拟模式!$P$16="10人团",模拟模式!$P$16="25人团"),IF(B688/30&gt;CA687,1,0),0)</f>
        <v>0</v>
      </c>
      <c r="CA688" s="115">
        <f t="shared" si="618"/>
        <v>0</v>
      </c>
      <c r="CB688" s="115">
        <f ca="1">IF(BZ688=1,IF(模拟模式!$P$16="10人团",15,0)+IF(模拟模式!$P$16="25人团",IF(RAND()&lt;0.6,15,0)),MAX(0,CB687-$F$4))</f>
        <v>0</v>
      </c>
      <c r="CC688" s="115" t="b">
        <f t="shared" ca="1" si="619"/>
        <v>0</v>
      </c>
      <c r="CD688" s="115">
        <f>IF(模拟模式!$Q$16="1个",IF(B688/40&gt;CE687,1,0),0)</f>
        <v>0</v>
      </c>
      <c r="CE688" s="115">
        <f t="shared" si="620"/>
        <v>0</v>
      </c>
      <c r="CF688" s="115">
        <f>IF(OR(CD688=1,模拟模式!$Q$16="2个"),20,MAX(0,CF687-$F$4))</f>
        <v>0</v>
      </c>
      <c r="CG688" s="115" t="b">
        <f t="shared" si="621"/>
        <v>0</v>
      </c>
      <c r="CH688" s="115">
        <f t="shared" ca="1" si="642"/>
        <v>9.7050000000000125</v>
      </c>
      <c r="CI688" s="115" t="b">
        <f t="shared" ca="1" si="643"/>
        <v>0</v>
      </c>
      <c r="CJ688" s="119">
        <f t="shared" ca="1" si="644"/>
        <v>0</v>
      </c>
      <c r="CK688" s="115">
        <f t="shared" ca="1" si="645"/>
        <v>0</v>
      </c>
      <c r="CL688" s="115" t="b">
        <f ca="1">AND(模拟模式!$S$7="驱夷逐法",OR(AND(C688="净世破魔击·月",E687&gt;59),AND(C688="净世破魔击·日",F687&gt;59)))</f>
        <v>1</v>
      </c>
      <c r="CM688" s="115" t="b">
        <f ca="1">OR(CL688,AND(C688="净世破魔击·日",CL687,RAND()&lt;模拟模式!$U$23))</f>
        <v>1</v>
      </c>
      <c r="CN688" s="115" t="b">
        <f ca="1">IF(模拟模式!$M$7="辉耀红尘",AND(C688="净世破魔击·月",CL688,CV688=0,E687&lt;80),AND(C688="净世破魔击·月",CL688,E687&lt;100))</f>
        <v>0</v>
      </c>
      <c r="CO688" s="115" t="b">
        <f t="shared" ca="1" si="622"/>
        <v>0</v>
      </c>
      <c r="CP688" s="115" t="b">
        <f ca="1">AND(模拟模式!$O$7="用晦而明",OR(C688="净世破魔击·日",C688="净世破魔击·月",C688="驱夜断愁"),AB688)</f>
        <v>1</v>
      </c>
      <c r="CQ688" s="115" t="b">
        <f ca="1">OR(CP688,AND(CP687,RAND()&lt;模拟模式!$U$23))</f>
        <v>1</v>
      </c>
      <c r="CR688" s="115" t="b">
        <f ca="1">AND(模拟模式!$S$7="日月齐光",OR(C688="幽月轮1",C688="幽月轮2",C688="幽月轮3",CR687),NOT(OR(C688="赤日轮1",C688="赤日轮2",C688="赤日轮3")))</f>
        <v>0</v>
      </c>
      <c r="CS688" s="115" t="b">
        <f ca="1">AND(模拟模式!$S$7="日月齐光",OR(C688="赤日轮1",C688="赤日轮2",C688="赤日轮3",CS687),NOT(OR(C688="幽月轮1",C688="幽月轮2",C688="幽月轮3")))</f>
        <v>0</v>
      </c>
      <c r="CT688" s="115">
        <f t="shared" ca="1" si="646"/>
        <v>6.0150000000000121</v>
      </c>
      <c r="CU688" s="115" t="b">
        <f ca="1">AND(模拟模式!$K$10="阴阳往极",CT687=0,RAND()&lt;IF(C688="净世破魔击·月",0.0275*7/3,IF(C688="净世破魔击·日",0.0275*3/3,0.0275*2/3)))</f>
        <v>0</v>
      </c>
      <c r="CV688" s="115">
        <f t="shared" ca="1" si="647"/>
        <v>0</v>
      </c>
      <c r="CW688" s="115">
        <f t="shared" ca="1" si="648"/>
        <v>4.1549999999999994</v>
      </c>
      <c r="CX688" s="115">
        <f t="shared" ca="1" si="649"/>
        <v>2.3099999999999996</v>
      </c>
      <c r="CY688" s="115">
        <f ca="1">MAX(IF($C688="驱夜断愁",IF(模拟模式!$R$7="万念俱寂",6,45),CY687-$F$4),0)</f>
        <v>3.2324999999999995</v>
      </c>
      <c r="CZ688" s="115">
        <f t="shared" ca="1" si="623"/>
        <v>0</v>
      </c>
      <c r="DA688" s="115">
        <f ca="1">IF(模拟模式!$N$7="日月同辉",IF(DB687=2,0,MIN(6,IF(AND(OR(C688="赤日轮1",C688="赤日轮2",C688="赤日轮3",C688="幽月轮1",C688="幽月轮2",C688="幽月轮3"),AB688=1),DA687+1,DA687))),0)</f>
        <v>0</v>
      </c>
      <c r="DB688" s="115">
        <f t="shared" ca="1" si="624"/>
        <v>1</v>
      </c>
      <c r="DC688" s="115"/>
      <c r="DD688" s="115"/>
      <c r="DE688" s="115"/>
      <c r="DF688" s="115"/>
      <c r="DG688" s="115"/>
      <c r="DH688" s="115"/>
      <c r="DI688" s="115"/>
      <c r="DJ688" s="115"/>
      <c r="DK688" s="115"/>
      <c r="DL688" s="115"/>
      <c r="DM688" s="115"/>
    </row>
    <row r="689" spans="2:117" x14ac:dyDescent="0.2">
      <c r="B689" s="117">
        <f t="shared" si="625"/>
        <v>610.69500000000698</v>
      </c>
      <c r="C689" s="167" t="str">
        <f t="shared" ca="1" si="594"/>
        <v>净世破魔击·日</v>
      </c>
      <c r="D689" s="115">
        <f ca="1">IF(C689="赤日轮1",1,IF(C689="赤日轮2",2,IF(C689="赤日轮3",3,IF(C689="幽月轮1",4,IF(C689="幽月轮2",5,IF(C689="幽月轮3",6,IF(C689="烈日斩",7,IF(C689="银月斩",8,IF(C689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689="净世破魔击·月",17,IF(C689="驱夜断愁",18,0)))))))))))</f>
        <v>9</v>
      </c>
      <c r="E689" s="115">
        <f ca="1">IF(AND(CU689,OR(C689="幽月轮1",C689="幽月轮2",C689="幽月轮3",C689="银月斩",C689="驱夜断愁",C689="净世破魔击·月")),100,MIN(IF(OR(CN689,BE689),0,IF(OR($C689="赤日轮1",$C689="赤日轮2",$C689="赤日轮3"),E688+20+IF(模拟模式!$I$7="日月凌天",4,0)+IF(CR688,20,0),IF($C689="烈日斩",E688+40,IF($C689="驱夜断愁",IF(模拟模式!$R$7="万念俱寂",E688+20,E688+60),IF($C689="净世破魔击·月",IF(OR(DB688&gt;0,CV688&gt;0),100,IF(模拟模式!$M$7="辉耀红尘",E688+20,E688)),IF($C689="净世破魔击·日",E688-100,E688)))))),100))</f>
        <v>0</v>
      </c>
      <c r="F689" s="115">
        <f ca="1">IF(AND(CU689,OR(C689="赤日轮1",C689="赤日轮2",C689="赤日轮3",C689="烈日斩",C689="净世破魔击·日")),100,MIN(IF(CO689,0,IF(OR($C689="幽月轮1",$C689="幽月轮2",$C689="幽月轮3"),F688+20+IF(模拟模式!$I$7="日月凌天",4,0)+IF(CS688,20,0),IF($C689="银月斩",F688+40+IF(模拟模式!$X$12=1,5,0),IF($C689="驱夜断愁",IF(模拟模式!$R$7="万念俱寂",F688+20,F688+60),IF($C689="净世破魔击·月",IF(模拟模式!$M$7="辉耀红尘",F688-80,F688-100),IF(AND(C689="净世破魔击·日",OR(DB688&gt;0,CV688&gt;0)),100,F688)))))),100))</f>
        <v>100</v>
      </c>
      <c r="G689" s="117">
        <f ca="1">('模拟-全程加成'!$E$3+'模拟-全程加成'!$E$4+'模拟-全程加成'!$E$5+('模拟-全程加成'!$C$6-'模拟-全程加成'!$C$3)*系数!$B$9+BS689*23)*(1+'模拟-全程加成'!$F$4+'模拟-全程加成'!$F$5+BJ689*10%+BM689*20%+BP689*4%+CG689*30%)+$F$7*系数!$B$12</f>
        <v>21493.829400000002</v>
      </c>
      <c r="H689" s="45">
        <f ca="1">'模拟-全程加成'!$H$3+'模拟-全程加成'!$H$4+'模拟-全程加成'!$H$5+('模拟-全程加成'!$G$4+'模拟-全程加成'!$G$5+('模拟-全程加成'!$C$6-'模拟-全程加成'!$C$3)*系数!$B$13)/系数!$B$3+LOOKUP(D689,'模拟-单技能数据'!$A$2:$A$19,'模拟-单技能数据'!$K$2:$K$19)+BG689*10%+IF(BV689&gt;0,378,0)</f>
        <v>0.54185145527300216</v>
      </c>
      <c r="I689" s="45">
        <f ca="1">'模拟-全程加成'!$J$3+'模拟-全程加成'!$J$4+'模拟-全程加成'!$J$5+('模拟-全程加成'!$I$4+'模拟-全程加成'!$I$5)/系数!$B$4+LOOKUP(D689,'模拟-单技能数据'!$A$2:$A$19,'模拟-单技能数据'!$L$2:$L$19)+BG689*10%</f>
        <v>2.162482885499879</v>
      </c>
      <c r="J689" s="45">
        <f ca="1">(('模拟-全程加成'!$K$3+'模拟-全程加成'!$K$4+'模拟-全程加成'!$K$5+('模拟-全程加成'!$C$6-'模拟-全程加成'!$C$3)*系数!$B$10+IF(BV689&gt;0,882,0)+IF(BY689&gt;0,1831,0))*(1+'模拟-全程加成'!$L$4+'模拟-全程加成'!$L$5+CC689*20%))/系数!$B$5</f>
        <v>0.69723220422048726</v>
      </c>
      <c r="K689" s="119">
        <f ca="1">LOOKUP(D689,'模拟-单技能数据'!$A$2:$A$19,'模拟-单技能数据'!$J$2:$J$19)+IF(CM689,60%,0)+IF(DB688-DB689&gt;0,30%,0)+IF(OR(AND(OR(C689="赤日轮1",C689="赤日轮2",C689="赤日轮3"),CR689),AND(OR(C689="幽月轮1",C689="幽月轮2",C689="幽月轮3"),CS689)),35%,0)+CJ689</f>
        <v>1.1000000000000001</v>
      </c>
      <c r="L689" s="119">
        <f ca="1">IF(AND(C689="烈日斩",模拟模式!$X$11=1),10%,0)+IF(AND(C689="驱夜断愁",AB689=1),30%,0)</f>
        <v>0</v>
      </c>
      <c r="M689" s="45">
        <f t="shared" ca="1" si="595"/>
        <v>0.54185145527300216</v>
      </c>
      <c r="N689" s="45">
        <f t="shared" ca="1" si="596"/>
        <v>0.40424854472699789</v>
      </c>
      <c r="O689" s="46">
        <f t="shared" ca="1" si="626"/>
        <v>0.79389776426597203</v>
      </c>
      <c r="P689" s="46" t="str">
        <f t="shared" ca="1" si="597"/>
        <v>命</v>
      </c>
      <c r="Q689" s="45">
        <f t="shared" ca="1" si="598"/>
        <v>1</v>
      </c>
      <c r="R689" s="117">
        <f ca="1">模拟模式!$E$20*(1-IF(模拟模式!$J$19="有",0.15,0))*(1-IF(模拟模式!$K$19="有",0.3,0)-IF(CQ689,0.5,0))</f>
        <v>843.02999999999975</v>
      </c>
      <c r="S689" s="45">
        <f ca="1">R689/(R689+(185*模拟模式!$E$22-16800)*4.08224)</f>
        <v>8.389626085980037E-2</v>
      </c>
      <c r="T689" s="45" t="str">
        <f ca="1">LOOKUP(D689,'模拟-单技能数据'!$A$2:$A$19,'模拟-单技能数据'!$H$2:$H$19)</f>
        <v>阳</v>
      </c>
      <c r="U689" s="119">
        <f t="shared" ca="1" si="599"/>
        <v>0.2</v>
      </c>
      <c r="V689" s="47">
        <f ca="1">(1+L689)*(LOOKUP(D689,'模拟-单技能数据'!$A$2:$A$19,'模拟-单技能数据'!$D$2:$D$19)+G689*LOOKUP(D689,'模拟-单技能数据'!$A$2:$A$19,'模拟-单技能数据'!$F$2:$F$19))*(1+J689)*(1+K689)*(1-S689)*(1+U689)*Q689*LOOKUP(D689,'模拟-单技能数据'!$A$2:$A$19,'模拟-单技能数据'!$I$2:$I$20)</f>
        <v>110337.92595746904</v>
      </c>
      <c r="W689" s="47">
        <f ca="1">LOOKUP(D689,'模拟-单技能数据'!$A$2:$A$19,'模拟-单技能数据'!$G$2:$G$19)*$I$10</f>
        <v>723.0212870940959</v>
      </c>
      <c r="X689" s="47">
        <f t="shared" ca="1" si="627"/>
        <v>34799.444981515793</v>
      </c>
      <c r="Y689" s="47">
        <f t="shared" ca="1" si="600"/>
        <v>145860.39222607893</v>
      </c>
      <c r="Z689" s="49">
        <f t="shared" ca="1" si="601"/>
        <v>69519207.741979852</v>
      </c>
      <c r="AA689" s="97">
        <f t="shared" ca="1" si="602"/>
        <v>113836.21569192324</v>
      </c>
      <c r="AB689" s="115">
        <f ca="1">IF(OR(C689="赤日轮1",C689="赤日轮2",C689="赤日轮3"),IF(RAND()&lt;模拟模式!$Y$17,1,0),IF(OR(C689="幽月轮1",C689="幽月轮2",C689="幽月轮3"),IF(RAND()&lt;模拟模式!$Y$18,1,0),IF(C689="烈日斩",IF(RAND()&lt;模拟模式!$Y$19,1,0),IF(C689="银月斩",IF(RAND()&lt;模拟模式!$Y$20,1,0),IF(C689="驱夜断愁",IF(RAND()&lt;模拟模式!$Y$21,1,0),IF(C689="净世破魔击·日",IF(RAND()&lt;模拟模式!$Y$22,1,0),IF(C689="净世破魔击·月",IF(RAND()&lt;模拟模式!$Y$23,1,0),0)))))))</f>
        <v>1</v>
      </c>
      <c r="AC689" s="115" t="b">
        <f t="shared" ca="1" si="603"/>
        <v>0</v>
      </c>
      <c r="AD689" s="115" t="b">
        <f t="shared" ca="1" si="604"/>
        <v>1</v>
      </c>
      <c r="AE689" s="115">
        <f t="shared" ca="1" si="605"/>
        <v>3</v>
      </c>
      <c r="AF689" s="47">
        <f ca="1">IF(AC689,('模拟-单技能数据'!$D$20+G689*'模拟-单技能数据'!$F$20)*(1+J689)*(1+'模拟-单技能数据'!$J$20)*(1+U689),0)</f>
        <v>0</v>
      </c>
      <c r="AG689" s="61">
        <f t="shared" ca="1" si="606"/>
        <v>0.64185145527300214</v>
      </c>
      <c r="AH689" s="61">
        <f t="shared" ca="1" si="607"/>
        <v>2.2624828854998791</v>
      </c>
      <c r="AI689" s="62">
        <f t="shared" ca="1" si="628"/>
        <v>0.91809393732605871</v>
      </c>
      <c r="AJ689" s="47">
        <f ca="1">IF(AD689,IF(AI689&lt;$F$10,0,IF(AI689&lt;$F$10+$F$11,0.25,IF(AI689&lt;$F$10+$F$11+AG689,AH689,1)))*IF(AF689&gt;0,AF689,IF(AF688&gt;0,AF688,IF(AF687&gt;0,AF687,IF(AF686&gt;0,AF686,IF(AF685&gt;0,AF685,IF(AF684&gt;0,AF684,IF(AF683&gt;0,AF683,IF(AF682&gt;0,AF682,IF(AF681&gt;0,AF681,IF(AF679&gt;0,AF679,IF(AF678&gt;0,AF678,IF(AF677&gt;0,AF677,0)))))))))))),0)*(1-$S689)*'模拟-单技能数据'!$I$20</f>
        <v>4074.6980221198578</v>
      </c>
      <c r="AK689" s="115" t="b">
        <f t="shared" ca="1" si="608"/>
        <v>1</v>
      </c>
      <c r="AL689" s="115" t="b">
        <f t="shared" ca="1" si="609"/>
        <v>1</v>
      </c>
      <c r="AM689" s="115">
        <f t="shared" ca="1" si="610"/>
        <v>5</v>
      </c>
      <c r="AN689" s="47">
        <f ca="1">IF(AK689,('模拟-单技能数据'!$D$21+G689*'模拟-单技能数据'!$F$21)*(1+J689)*(1+'模拟-单技能数据'!$J$21)*(1+U689),0)</f>
        <v>12670.936004857545</v>
      </c>
      <c r="AO689" s="61">
        <f ca="1">IF(AN689&gt;0,M689-'模拟-单技能数据'!$K$10,AO688)</f>
        <v>0.42185145527300216</v>
      </c>
      <c r="AP689" s="61">
        <f ca="1">IF(AN689&gt;0,I689-'模拟-单技能数据'!$L$10,AP688)</f>
        <v>2.162482885499879</v>
      </c>
      <c r="AQ689" s="63">
        <f t="shared" ca="1" si="629"/>
        <v>0.76092631535822797</v>
      </c>
      <c r="AR689" s="64">
        <f ca="1">IF(AL689,IF(AQ689&lt;$F$10,0,IF(AQ689&lt;$F$10+$F$11,0.25,IF(AQ689&lt;$F$10+$F$11+AO689,AP689,1)))*IF(AN689&gt;0,AN689,IF(AN688&gt;0,AN688,IF(AN687&gt;0,AN687,IF(AN686&gt;0,AN686,IF(AN685&gt;0,AN685,IF(AN684&gt;0,AN684,IF(AN683&gt;0,AN683,IF(AN682&gt;0,AN682,IF(AN681&gt;0,AN681,IF(AN679&gt;0,AN679,IF(AN678&gt;0,AN678,IF(AN677&gt;0,AN677,0)))))))))))),0)*(1-$S689)*'模拟-单技能数据'!$I$21</f>
        <v>11607.89185245618</v>
      </c>
      <c r="AS689" s="61">
        <f ca="1">IF(OR(C689="净世破魔击·日",C689="净世破魔击·月"),M689-'模拟-单技能数据'!$K$10,0)</f>
        <v>0.42185145527300216</v>
      </c>
      <c r="AT689" s="61">
        <f ca="1">IF(OR(C689="净世破魔击·日",C689="净世破魔击·月"),I689-'模拟-单技能数据'!$L$10,0)</f>
        <v>2.162482885499879</v>
      </c>
      <c r="AU689" s="62">
        <f t="shared" ca="1" si="630"/>
        <v>0.13291652889294781</v>
      </c>
      <c r="AV689" s="64">
        <f ca="1">IF(AS689&gt;0,('模拟-单技能数据'!$D$22+G689*'模拟-单技能数据'!$F$22)*(1+J689)*(1-S689)*IF(AU689&lt;$F$10,0,IF(AU689&lt;$F$10+$F$11,0.25,IF(AU689&lt;$F$10+$F$11+AS689,AT689,1)))*(1+U689),0)*'模拟-单技能数据'!$I$22</f>
        <v>19116.855106939758</v>
      </c>
      <c r="AW689" s="108">
        <f t="shared" ca="1" si="631"/>
        <v>11.697500000000005</v>
      </c>
      <c r="AX689" s="108" t="b">
        <f ca="1">AND(模拟模式!$P$10="有",AW688=0,RAND()&lt;IF(C689="净世破魔击·月",0.1*8/3,IF(C689="净世破魔击·日",0.1*4/3,0.1*2/3)))</f>
        <v>0</v>
      </c>
      <c r="AY689" s="47">
        <f ca="1">IF(AX689,(18+G689*0.722)*(1+J689)*(1-S689)*(1+$I$4)*IF(P689="会",'模拟-全程加成'!$J$3+'模拟-全程加成'!$J$4+'模拟-全程加成'!$J$5+('模拟-全程加成'!$I$4+'模拟-全程加成'!$I$5)/系数!$B$4+BG689*10%,IF(P689="命",1,IF(P689="识",0.25,0))),0)</f>
        <v>0</v>
      </c>
      <c r="AZ689" s="108">
        <f t="shared" si="632"/>
        <v>18.155000000000001</v>
      </c>
      <c r="BA689" s="108" t="b">
        <f>AND(模拟模式!$Q$10="有",AZ688=0)</f>
        <v>0</v>
      </c>
      <c r="BB689" s="140">
        <f>IF(BA689,(0+G689*0.287)*(1+J689)*(1-S689)*(1+$I$4)*IF(P689="会",'模拟-全程加成'!$J$3+'模拟-全程加成'!$J$4+'模拟-全程加成'!$J$5+('模拟-全程加成'!$I$4+'模拟-全程加成'!$I$5)/系数!$B$4+BG689*10%,IF(P689="命",1,IF(P689="识",0.25,0))),0)</f>
        <v>0</v>
      </c>
      <c r="BC689" s="115" t="b">
        <f ca="1">AND(模拟模式!$R$7="伏明众生",E689=60,F689=20,DA689&lt;5,CZ688&lt;$F$4)</f>
        <v>0</v>
      </c>
      <c r="BD689" s="115">
        <f t="shared" ca="1" si="611"/>
        <v>0</v>
      </c>
      <c r="BE689" s="115" t="b">
        <f t="shared" ca="1" si="612"/>
        <v>0</v>
      </c>
      <c r="BF689" s="47">
        <f ca="1">IF(BC689,4*('模拟-单技能数据'!$D$24+G689*'模拟-单技能数据'!$F$24)*(1+J689)*(1+'模拟-单技能数据'!$J$24)*(1-S689)*(1+$I$3)*(('模拟-全程加成'!$J$3+'模拟-全程加成'!$J$4+'模拟-全程加成'!$J$5+('模拟-全程加成'!$I$4+'模拟-全程加成'!$I$5)/系数!$B$4+BG689*10%)*('模拟-全程加成'!$J$3+'模拟-全程加成'!$J$4+'模拟-全程加成'!$J$5+('模拟-全程加成'!$I$4+'模拟-全程加成'!$I$5)/系数!$B$4+BG689*10%)+(1-('模拟-全程加成'!$J$3+'模拟-全程加成'!$J$4+'模拟-全程加成'!$J$5+('模拟-全程加成'!$I$4+'模拟-全程加成'!$I$5)/系数!$B$4+BG689*10%)-$F$10-$F$11)+F675*0.25),0)*'模拟-单技能数据'!$I$24</f>
        <v>0</v>
      </c>
      <c r="BG689" s="115" t="b">
        <f ca="1">OR(AND(OR(C689="烈日斩",C689="银月斩"),模拟模式!$I$7="净身明礼"),AND(C689="净世破魔击·日",模拟模式!$J$7="洞若观火"),AND(C690="净世破魔击·月",模拟模式!$J$7="洞若观火"),AB689=1)</f>
        <v>1</v>
      </c>
      <c r="BH689" s="115" t="b">
        <f t="shared" ca="1" si="633"/>
        <v>0</v>
      </c>
      <c r="BI689" s="115">
        <f t="shared" ca="1" si="613"/>
        <v>5.0774999999999997</v>
      </c>
      <c r="BJ689" s="115" t="b">
        <f t="shared" ca="1" si="614"/>
        <v>1</v>
      </c>
      <c r="BK689" s="115" t="b">
        <f ca="1">AND(C689="驱夜断愁",模拟模式!$P$7="天地诛戮")</f>
        <v>0</v>
      </c>
      <c r="BL689" s="57">
        <f t="shared" ca="1" si="615"/>
        <v>16.310000000000002</v>
      </c>
      <c r="BM689" s="115" t="b">
        <f t="shared" ca="1" si="616"/>
        <v>1</v>
      </c>
      <c r="BN689" s="115" t="b">
        <f ca="1">AND(OR(C689="赤日轮1",C689="赤日轮2",C689="赤日轮3",C689="幽月轮1",C689="幽月轮2",C689="幽月轮3"),AB689=1,模拟模式!$L$7="明光恒照")</f>
        <v>0</v>
      </c>
      <c r="BO689" s="117">
        <f t="shared" ca="1" si="617"/>
        <v>28.155000000000001</v>
      </c>
      <c r="BP689" s="115">
        <f t="shared" ca="1" si="634"/>
        <v>6</v>
      </c>
      <c r="BQ689" s="115" t="b">
        <f>模拟模式!$K$10="2600·水"</f>
        <v>0</v>
      </c>
      <c r="BR689" s="117">
        <f t="shared" si="635"/>
        <v>0</v>
      </c>
      <c r="BS689" s="115">
        <f t="shared" si="636"/>
        <v>0</v>
      </c>
      <c r="BT689" s="115">
        <f t="shared" ca="1" si="637"/>
        <v>0</v>
      </c>
      <c r="BU689" s="115" t="b">
        <f ca="1">AND(模拟模式!$K$10="2300·雷",BT688=0,RAND()&lt;IF(C689="净世破魔击·月",5*0.05*2/3,IF(C689="净世破魔击·日",3*0.05*2/3,0.05*2*2/3)))</f>
        <v>0</v>
      </c>
      <c r="BV689" s="115">
        <f t="shared" ca="1" si="638"/>
        <v>0</v>
      </c>
      <c r="BW689" s="115">
        <f t="shared" ca="1" si="639"/>
        <v>127.41749999999924</v>
      </c>
      <c r="BX689" s="164" t="b">
        <f t="shared" ca="1" si="640"/>
        <v>0</v>
      </c>
      <c r="BY689" s="115">
        <f t="shared" ca="1" si="641"/>
        <v>0</v>
      </c>
      <c r="BZ689" s="115">
        <f>IF(OR(模拟模式!$P$16="10人团",模拟模式!$P$16="25人团"),IF(B689/30&gt;CA688,1,0),0)</f>
        <v>0</v>
      </c>
      <c r="CA689" s="115">
        <f t="shared" si="618"/>
        <v>0</v>
      </c>
      <c r="CB689" s="115">
        <f ca="1">IF(BZ689=1,IF(模拟模式!$P$16="10人团",15,0)+IF(模拟模式!$P$16="25人团",IF(RAND()&lt;0.6,15,0)),MAX(0,CB688-$F$4))</f>
        <v>0</v>
      </c>
      <c r="CC689" s="115" t="b">
        <f t="shared" ca="1" si="619"/>
        <v>0</v>
      </c>
      <c r="CD689" s="115">
        <f>IF(模拟模式!$Q$16="1个",IF(B689/40&gt;CE688,1,0),0)</f>
        <v>0</v>
      </c>
      <c r="CE689" s="115">
        <f t="shared" si="620"/>
        <v>0</v>
      </c>
      <c r="CF689" s="115">
        <f>IF(OR(CD689=1,模拟模式!$Q$16="2个"),20,MAX(0,CF688-$F$4))</f>
        <v>0</v>
      </c>
      <c r="CG689" s="115" t="b">
        <f t="shared" si="621"/>
        <v>0</v>
      </c>
      <c r="CH689" s="115">
        <f t="shared" ca="1" si="642"/>
        <v>8.7825000000000131</v>
      </c>
      <c r="CI689" s="115" t="b">
        <f t="shared" ca="1" si="643"/>
        <v>0</v>
      </c>
      <c r="CJ689" s="119">
        <f t="shared" ca="1" si="644"/>
        <v>0</v>
      </c>
      <c r="CK689" s="115">
        <f t="shared" ca="1" si="645"/>
        <v>0</v>
      </c>
      <c r="CL689" s="115" t="b">
        <f ca="1">AND(模拟模式!$S$7="驱夷逐法",OR(AND(C689="净世破魔击·月",E688&gt;59),AND(C689="净世破魔击·日",F688&gt;59)))</f>
        <v>0</v>
      </c>
      <c r="CM689" s="115" t="b">
        <f ca="1">OR(CL689,AND(C689="净世破魔击·日",CL688,RAND()&lt;模拟模式!$U$23))</f>
        <v>1</v>
      </c>
      <c r="CN689" s="115" t="b">
        <f ca="1">IF(模拟模式!$M$7="辉耀红尘",AND(C689="净世破魔击·月",CL689,CV689=0,E688&lt;80),AND(C689="净世破魔击·月",CL689,E688&lt;100))</f>
        <v>0</v>
      </c>
      <c r="CO689" s="115" t="b">
        <f t="shared" ca="1" si="622"/>
        <v>0</v>
      </c>
      <c r="CP689" s="115" t="b">
        <f ca="1">AND(模拟模式!$O$7="用晦而明",OR(C689="净世破魔击·日",C689="净世破魔击·月",C689="驱夜断愁"),AB689)</f>
        <v>1</v>
      </c>
      <c r="CQ689" s="115" t="b">
        <f ca="1">OR(CP689,AND(CP688,RAND()&lt;模拟模式!$U$23))</f>
        <v>1</v>
      </c>
      <c r="CR689" s="115" t="b">
        <f ca="1">AND(模拟模式!$S$7="日月齐光",OR(C689="幽月轮1",C689="幽月轮2",C689="幽月轮3",CR688),NOT(OR(C689="赤日轮1",C689="赤日轮2",C689="赤日轮3")))</f>
        <v>0</v>
      </c>
      <c r="CS689" s="115" t="b">
        <f ca="1">AND(模拟模式!$S$7="日月齐光",OR(C689="赤日轮1",C689="赤日轮2",C689="赤日轮3",CS688),NOT(OR(C689="幽月轮1",C689="幽月轮2",C689="幽月轮3")))</f>
        <v>0</v>
      </c>
      <c r="CT689" s="115">
        <f t="shared" ca="1" si="646"/>
        <v>5.0925000000000118</v>
      </c>
      <c r="CU689" s="115" t="b">
        <f ca="1">AND(模拟模式!$K$10="阴阳往极",CT688=0,RAND()&lt;IF(C689="净世破魔击·月",0.0275*7/3,IF(C689="净世破魔击·日",0.0275*3/3,0.0275*2/3)))</f>
        <v>0</v>
      </c>
      <c r="CV689" s="115">
        <f t="shared" ca="1" si="647"/>
        <v>0</v>
      </c>
      <c r="CW689" s="115">
        <f t="shared" ca="1" si="648"/>
        <v>3.2324999999999995</v>
      </c>
      <c r="CX689" s="115">
        <f t="shared" ca="1" si="649"/>
        <v>1.3874999999999997</v>
      </c>
      <c r="CY689" s="115">
        <f ca="1">MAX(IF($C689="驱夜断愁",IF(模拟模式!$R$7="万念俱寂",6,45),CY688-$F$4),0)</f>
        <v>2.3099999999999996</v>
      </c>
      <c r="CZ689" s="115">
        <f t="shared" ca="1" si="623"/>
        <v>0</v>
      </c>
      <c r="DA689" s="115">
        <f ca="1">IF(模拟模式!$N$7="日月同辉",IF(DB688=2,0,MIN(6,IF(AND(OR(C689="赤日轮1",C689="赤日轮2",C689="赤日轮3",C689="幽月轮1",C689="幽月轮2",C689="幽月轮3"),AB689=1),DA688+1,DA688))),0)</f>
        <v>0</v>
      </c>
      <c r="DB689" s="115">
        <f t="shared" ca="1" si="624"/>
        <v>0</v>
      </c>
      <c r="DC689" s="115"/>
      <c r="DD689" s="115"/>
      <c r="DE689" s="115"/>
      <c r="DF689" s="115"/>
      <c r="DG689" s="115"/>
      <c r="DH689" s="115"/>
      <c r="DI689" s="115"/>
      <c r="DJ689" s="115"/>
      <c r="DK689" s="115"/>
      <c r="DL689" s="115"/>
      <c r="DM689" s="115"/>
    </row>
    <row r="690" spans="2:117" x14ac:dyDescent="0.2">
      <c r="B690" s="117">
        <f t="shared" si="625"/>
        <v>611.617500000007</v>
      </c>
      <c r="C690" s="167" t="str">
        <f t="shared" ca="1" si="594"/>
        <v>净世破魔击·月</v>
      </c>
      <c r="D690" s="115">
        <f ca="1">IF(C690="赤日轮1",1,IF(C690="赤日轮2",2,IF(C690="赤日轮3",3,IF(C690="幽月轮1",4,IF(C690="幽月轮2",5,IF(C690="幽月轮3",6,IF(C690="烈日斩",7,IF(C690="银月斩",8,IF(C690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690="净世破魔击·月",17,IF(C690="驱夜断愁",18,0)))))))))))</f>
        <v>17</v>
      </c>
      <c r="E690" s="115">
        <f ca="1">IF(AND(CU690,OR(C690="幽月轮1",C690="幽月轮2",C690="幽月轮3",C690="银月斩",C690="驱夜断愁",C690="净世破魔击·月")),100,MIN(IF(OR(CN690,BE690),0,IF(OR($C690="赤日轮1",$C690="赤日轮2",$C690="赤日轮3"),E689+20+IF(模拟模式!$I$7="日月凌天",4,0)+IF(CR689,20,0),IF($C690="烈日斩",E689+40,IF($C690="驱夜断愁",IF(模拟模式!$R$7="万念俱寂",E689+20,E689+60),IF($C690="净世破魔击·月",IF(OR(DB689&gt;0,CV689&gt;0),100,IF(模拟模式!$M$7="辉耀红尘",E689+20,E689)),IF($C690="净世破魔击·日",E689-100,E689)))))),100))</f>
        <v>20</v>
      </c>
      <c r="F690" s="115">
        <f ca="1">IF(AND(CU690,OR(C690="赤日轮1",C690="赤日轮2",C690="赤日轮3",C690="烈日斩",C690="净世破魔击·日")),100,MIN(IF(CO690,0,IF(OR($C690="幽月轮1",$C690="幽月轮2",$C690="幽月轮3"),F689+20+IF(模拟模式!$I$7="日月凌天",4,0)+IF(CS689,20,0),IF($C690="银月斩",F689+40+IF(模拟模式!$X$12=1,5,0),IF($C690="驱夜断愁",IF(模拟模式!$R$7="万念俱寂",F689+20,F689+60),IF($C690="净世破魔击·月",IF(模拟模式!$M$7="辉耀红尘",F689-80,F689-100),IF(AND(C690="净世破魔击·日",OR(DB689&gt;0,CV689&gt;0)),100,F689)))))),100))</f>
        <v>20</v>
      </c>
      <c r="G690" s="117">
        <f ca="1">('模拟-全程加成'!$E$3+'模拟-全程加成'!$E$4+'模拟-全程加成'!$E$5+('模拟-全程加成'!$C$6-'模拟-全程加成'!$C$3)*系数!$B$9+BS690*23)*(1+'模拟-全程加成'!$F$4+'模拟-全程加成'!$F$5+BJ690*10%+BM690*20%+BP690*4%+CG690*30%)+$F$7*系数!$B$12</f>
        <v>21493.829400000002</v>
      </c>
      <c r="H690" s="45">
        <f ca="1">'模拟-全程加成'!$H$3+'模拟-全程加成'!$H$4+'模拟-全程加成'!$H$5+('模拟-全程加成'!$G$4+'模拟-全程加成'!$G$5+('模拟-全程加成'!$C$6-'模拟-全程加成'!$C$3)*系数!$B$13)/系数!$B$3+LOOKUP(D690,'模拟-单技能数据'!$A$2:$A$19,'模拟-单技能数据'!$K$2:$K$19)+BG690*10%+IF(BV690&gt;0,378,0)</f>
        <v>0.54185145527300216</v>
      </c>
      <c r="I690" s="45">
        <f ca="1">'模拟-全程加成'!$J$3+'模拟-全程加成'!$J$4+'模拟-全程加成'!$J$5+('模拟-全程加成'!$I$4+'模拟-全程加成'!$I$5)/系数!$B$4+LOOKUP(D690,'模拟-单技能数据'!$A$2:$A$19,'模拟-单技能数据'!$L$2:$L$19)+BG690*10%</f>
        <v>2.162482885499879</v>
      </c>
      <c r="J690" s="45">
        <f ca="1">(('模拟-全程加成'!$K$3+'模拟-全程加成'!$K$4+'模拟-全程加成'!$K$5+('模拟-全程加成'!$C$6-'模拟-全程加成'!$C$3)*系数!$B$10+IF(BV690&gt;0,882,0)+IF(BY690&gt;0,1831,0))*(1+'模拟-全程加成'!$L$4+'模拟-全程加成'!$L$5+CC690*20%))/系数!$B$5</f>
        <v>0.69723220422048726</v>
      </c>
      <c r="K690" s="119">
        <f ca="1">LOOKUP(D690,'模拟-单技能数据'!$A$2:$A$19,'模拟-单技能数据'!$J$2:$J$19)+IF(CM690,60%,0)+IF(DB689-DB690&gt;0,30%,0)+IF(OR(AND(OR(C690="赤日轮1",C690="赤日轮2",C690="赤日轮3"),CR690),AND(OR(C690="幽月轮1",C690="幽月轮2",C690="幽月轮3"),CS690)),35%,0)+CJ690</f>
        <v>0.2</v>
      </c>
      <c r="L690" s="119">
        <f ca="1">IF(AND(C690="烈日斩",模拟模式!$X$11=1),10%,0)+IF(AND(C690="驱夜断愁",AB690=1),30%,0)</f>
        <v>0</v>
      </c>
      <c r="M690" s="45">
        <f t="shared" ca="1" si="595"/>
        <v>0.54185145527300216</v>
      </c>
      <c r="N690" s="45">
        <f t="shared" ca="1" si="596"/>
        <v>0.40424854472699789</v>
      </c>
      <c r="O690" s="46">
        <f t="shared" ca="1" si="626"/>
        <v>0.10852900726006087</v>
      </c>
      <c r="P690" s="46" t="str">
        <f t="shared" ca="1" si="597"/>
        <v>会</v>
      </c>
      <c r="Q690" s="45">
        <f t="shared" ca="1" si="598"/>
        <v>2.162482885499879</v>
      </c>
      <c r="R690" s="117">
        <f ca="1">模拟模式!$E$20*(1-IF(模拟模式!$J$19="有",0.15,0))*(1-IF(模拟模式!$K$19="有",0.3,0)-IF(CQ690,0.5,0))</f>
        <v>843.02999999999975</v>
      </c>
      <c r="S690" s="45">
        <f ca="1">R690/(R690+(185*模拟模式!$E$22-16800)*4.08224)</f>
        <v>8.389626085980037E-2</v>
      </c>
      <c r="T690" s="45" t="str">
        <f ca="1">LOOKUP(D690,'模拟-单技能数据'!$A$2:$A$19,'模拟-单技能数据'!$H$2:$H$19)</f>
        <v>阴</v>
      </c>
      <c r="U690" s="119">
        <f t="shared" ca="1" si="599"/>
        <v>0.08</v>
      </c>
      <c r="V690" s="47">
        <f ca="1">(1+L690)*(LOOKUP(D690,'模拟-单技能数据'!$A$2:$A$19,'模拟-单技能数据'!$D$2:$D$19)+G690*LOOKUP(D690,'模拟-单技能数据'!$A$2:$A$19,'模拟-单技能数据'!$F$2:$F$19))*(1+J690)*(1+K690)*(1-S690)*(1+U690)*Q690*LOOKUP(D690,'模拟-单技能数据'!$A$2:$A$19,'模拟-单技能数据'!$I$2:$I$20)</f>
        <v>121694.14741267689</v>
      </c>
      <c r="W690" s="47">
        <f ca="1">LOOKUP(D690,'模拟-单技能数据'!$A$2:$A$19,'模拟-单技能数据'!$G$2:$G$19)*$I$10</f>
        <v>361.51064354704795</v>
      </c>
      <c r="X690" s="47">
        <f t="shared" ca="1" si="627"/>
        <v>17205.169596245785</v>
      </c>
      <c r="Y690" s="47">
        <f t="shared" ca="1" si="600"/>
        <v>139260.82765246971</v>
      </c>
      <c r="Z690" s="49">
        <f t="shared" ca="1" si="601"/>
        <v>69658468.569632322</v>
      </c>
      <c r="AA690" s="97">
        <f t="shared" ca="1" si="602"/>
        <v>113892.20970562733</v>
      </c>
      <c r="AB690" s="115">
        <f ca="1">IF(OR(C690="赤日轮1",C690="赤日轮2",C690="赤日轮3"),IF(RAND()&lt;模拟模式!$Y$17,1,0),IF(OR(C690="幽月轮1",C690="幽月轮2",C690="幽月轮3"),IF(RAND()&lt;模拟模式!$Y$18,1,0),IF(C690="烈日斩",IF(RAND()&lt;模拟模式!$Y$19,1,0),IF(C690="银月斩",IF(RAND()&lt;模拟模式!$Y$20,1,0),IF(C690="驱夜断愁",IF(RAND()&lt;模拟模式!$Y$21,1,0),IF(C690="净世破魔击·日",IF(RAND()&lt;模拟模式!$Y$22,1,0),IF(C690="净世破魔击·月",IF(RAND()&lt;模拟模式!$Y$23,1,0),0)))))))</f>
        <v>1</v>
      </c>
      <c r="AC690" s="115" t="b">
        <f t="shared" ca="1" si="603"/>
        <v>0</v>
      </c>
      <c r="AD690" s="115" t="b">
        <f t="shared" ca="1" si="604"/>
        <v>0</v>
      </c>
      <c r="AE690" s="115">
        <f t="shared" ca="1" si="605"/>
        <v>3</v>
      </c>
      <c r="AF690" s="47">
        <f ca="1">IF(AC690,('模拟-单技能数据'!$D$20+G690*'模拟-单技能数据'!$F$20)*(1+J690)*(1+'模拟-单技能数据'!$J$20)*(1+U690),0)</f>
        <v>0</v>
      </c>
      <c r="AG690" s="61">
        <f t="shared" ca="1" si="606"/>
        <v>0.64185145527300214</v>
      </c>
      <c r="AH690" s="61">
        <f t="shared" ca="1" si="607"/>
        <v>2.2624828854998791</v>
      </c>
      <c r="AI690" s="62">
        <f t="shared" ca="1" si="628"/>
        <v>0.42039415011252168</v>
      </c>
      <c r="AJ690" s="47">
        <f ca="1">IF(AD690,IF(AI690&lt;$F$10,0,IF(AI690&lt;$F$10+$F$11,0.25,IF(AI690&lt;$F$10+$F$11+AG690,AH690,1)))*IF(AF690&gt;0,AF690,IF(AF689&gt;0,AF689,IF(AF688&gt;0,AF688,IF(AF687&gt;0,AF687,IF(AF686&gt;0,AF686,IF(AF685&gt;0,AF685,IF(AF684&gt;0,AF684,IF(AF683&gt;0,AF683,IF(AF682&gt;0,AF682,IF(AF680&gt;0,AF680,IF(AF679&gt;0,AF679,IF(AF678&gt;0,AF678,0)))))))))))),0)*(1-$S690)*'模拟-单技能数据'!$I$20</f>
        <v>0</v>
      </c>
      <c r="AK690" s="115" t="b">
        <f t="shared" ca="1" si="608"/>
        <v>0</v>
      </c>
      <c r="AL690" s="115" t="b">
        <f t="shared" ca="1" si="609"/>
        <v>0</v>
      </c>
      <c r="AM690" s="115">
        <f t="shared" ca="1" si="610"/>
        <v>5</v>
      </c>
      <c r="AN690" s="47">
        <f ca="1">IF(AK690,('模拟-单技能数据'!$D$21+G690*'模拟-单技能数据'!$F$21)*(1+J690)*(1+'模拟-单技能数据'!$J$21)*(1+U690),0)</f>
        <v>0</v>
      </c>
      <c r="AO690" s="61">
        <f ca="1">IF(AN690&gt;0,M690-'模拟-单技能数据'!$K$10,AO689)</f>
        <v>0.42185145527300216</v>
      </c>
      <c r="AP690" s="61">
        <f ca="1">IF(AN690&gt;0,I690-'模拟-单技能数据'!$L$10,AP689)</f>
        <v>2.162482885499879</v>
      </c>
      <c r="AQ690" s="63">
        <f t="shared" ca="1" si="629"/>
        <v>0.32847530624847388</v>
      </c>
      <c r="AR690" s="64">
        <f ca="1">IF(AL690,IF(AQ690&lt;$F$10,0,IF(AQ690&lt;$F$10+$F$11,0.25,IF(AQ690&lt;$F$10+$F$11+AO690,AP690,1)))*IF(AN690&gt;0,AN690,IF(AN689&gt;0,AN689,IF(AN688&gt;0,AN688,IF(AN687&gt;0,AN687,IF(AN686&gt;0,AN686,IF(AN685&gt;0,AN685,IF(AN684&gt;0,AN684,IF(AN683&gt;0,AN683,IF(AN682&gt;0,AN682,IF(AN680&gt;0,AN680,IF(AN679&gt;0,AN679,IF(AN678&gt;0,AN678,0)))))))))))),0)*(1-$S690)*'模拟-单技能数据'!$I$21</f>
        <v>0</v>
      </c>
      <c r="AS690" s="61">
        <f ca="1">IF(OR(C690="净世破魔击·日",C690="净世破魔击·月"),M690-'模拟-单技能数据'!$K$10,0)</f>
        <v>0.42185145527300216</v>
      </c>
      <c r="AT690" s="61">
        <f ca="1">IF(OR(C690="净世破魔击·日",C690="净世破魔击·月"),I690-'模拟-单技能数据'!$L$10,0)</f>
        <v>2.162482885499879</v>
      </c>
      <c r="AU690" s="62">
        <f t="shared" ca="1" si="630"/>
        <v>0.18169617121794379</v>
      </c>
      <c r="AV690" s="64">
        <f ca="1">IF(AS690&gt;0,('模拟-单技能数据'!$D$22+G690*'模拟-单技能数据'!$F$22)*(1+J690)*(1-S690)*IF(AU690&lt;$F$10,0,IF(AU690&lt;$F$10+$F$11,0.25,IF(AU690&lt;$F$10+$F$11+AS690,AT690,1)))*(1+U690),0)*'模拟-单技能数据'!$I$22</f>
        <v>17205.169596245785</v>
      </c>
      <c r="AW690" s="108">
        <f t="shared" ca="1" si="631"/>
        <v>10.775000000000006</v>
      </c>
      <c r="AX690" s="108" t="b">
        <f ca="1">AND(模拟模式!$P$10="有",AW689=0,RAND()&lt;IF(C690="净世破魔击·月",0.1*8/3,IF(C690="净世破魔击·日",0.1*4/3,0.1*2/3)))</f>
        <v>0</v>
      </c>
      <c r="AY690" s="47">
        <f ca="1">IF(AX690,(18+G690*0.722)*(1+J690)*(1-S690)*(1+$I$4)*IF(P690="会",'模拟-全程加成'!$J$3+'模拟-全程加成'!$J$4+'模拟-全程加成'!$J$5+('模拟-全程加成'!$I$4+'模拟-全程加成'!$I$5)/系数!$B$4+BG690*10%,IF(P690="命",1,IF(P690="识",0.25,0))),0)</f>
        <v>0</v>
      </c>
      <c r="AZ690" s="108">
        <f t="shared" si="632"/>
        <v>17.232500000000002</v>
      </c>
      <c r="BA690" s="108" t="b">
        <f>AND(模拟模式!$Q$10="有",AZ689=0)</f>
        <v>0</v>
      </c>
      <c r="BB690" s="140">
        <f>IF(BA690,(0+G690*0.287)*(1+J690)*(1-S690)*(1+$I$4)*IF(P690="会",'模拟-全程加成'!$J$3+'模拟-全程加成'!$J$4+'模拟-全程加成'!$J$5+('模拟-全程加成'!$I$4+'模拟-全程加成'!$I$5)/系数!$B$4+BG690*10%,IF(P690="命",1,IF(P690="识",0.25,0))),0)</f>
        <v>0</v>
      </c>
      <c r="BC690" s="115" t="b">
        <f ca="1">AND(模拟模式!$R$7="伏明众生",E690=60,F690=20,DA690&lt;5,CZ689&lt;$F$4)</f>
        <v>0</v>
      </c>
      <c r="BD690" s="115">
        <f t="shared" ca="1" si="611"/>
        <v>0</v>
      </c>
      <c r="BE690" s="115" t="b">
        <f t="shared" ca="1" si="612"/>
        <v>0</v>
      </c>
      <c r="BF690" s="47">
        <f ca="1">IF(BC690,4*('模拟-单技能数据'!$D$24+G690*'模拟-单技能数据'!$F$24)*(1+J690)*(1+'模拟-单技能数据'!$J$24)*(1-S690)*(1+$I$3)*(('模拟-全程加成'!$J$3+'模拟-全程加成'!$J$4+'模拟-全程加成'!$J$5+('模拟-全程加成'!$I$4+'模拟-全程加成'!$I$5)/系数!$B$4+BG690*10%)*('模拟-全程加成'!$J$3+'模拟-全程加成'!$J$4+'模拟-全程加成'!$J$5+('模拟-全程加成'!$I$4+'模拟-全程加成'!$I$5)/系数!$B$4+BG690*10%)+(1-('模拟-全程加成'!$J$3+'模拟-全程加成'!$J$4+'模拟-全程加成'!$J$5+('模拟-全程加成'!$I$4+'模拟-全程加成'!$I$5)/系数!$B$4+BG690*10%)-$F$10-$F$11)+F676*0.25),0)*'模拟-单技能数据'!$I$24</f>
        <v>0</v>
      </c>
      <c r="BG690" s="115" t="b">
        <f ca="1">OR(AND(OR(C690="烈日斩",C690="银月斩"),模拟模式!$I$7="净身明礼"),AND(C690="净世破魔击·日",模拟模式!$J$7="洞若观火"),AND(C691="净世破魔击·月",模拟模式!$J$7="洞若观火"),AB690=1)</f>
        <v>1</v>
      </c>
      <c r="BH690" s="115" t="b">
        <f t="shared" ca="1" si="633"/>
        <v>1</v>
      </c>
      <c r="BI690" s="115">
        <f t="shared" ca="1" si="613"/>
        <v>6</v>
      </c>
      <c r="BJ690" s="115" t="b">
        <f t="shared" ca="1" si="614"/>
        <v>1</v>
      </c>
      <c r="BK690" s="115" t="b">
        <f ca="1">AND(C690="驱夜断愁",模拟模式!$P$7="天地诛戮")</f>
        <v>0</v>
      </c>
      <c r="BL690" s="57">
        <f t="shared" ca="1" si="615"/>
        <v>15.387500000000003</v>
      </c>
      <c r="BM690" s="115" t="b">
        <f t="shared" ca="1" si="616"/>
        <v>1</v>
      </c>
      <c r="BN690" s="115" t="b">
        <f ca="1">AND(OR(C690="赤日轮1",C690="赤日轮2",C690="赤日轮3",C690="幽月轮1",C690="幽月轮2",C690="幽月轮3"),AB690=1,模拟模式!$L$7="明光恒照")</f>
        <v>0</v>
      </c>
      <c r="BO690" s="117">
        <f t="shared" ca="1" si="617"/>
        <v>27.232500000000002</v>
      </c>
      <c r="BP690" s="115">
        <f t="shared" ca="1" si="634"/>
        <v>6</v>
      </c>
      <c r="BQ690" s="115" t="b">
        <f>模拟模式!$K$10="2600·水"</f>
        <v>0</v>
      </c>
      <c r="BR690" s="117">
        <f t="shared" si="635"/>
        <v>0</v>
      </c>
      <c r="BS690" s="115">
        <f t="shared" si="636"/>
        <v>0</v>
      </c>
      <c r="BT690" s="115">
        <f t="shared" ca="1" si="637"/>
        <v>0</v>
      </c>
      <c r="BU690" s="115" t="b">
        <f ca="1">AND(模拟模式!$K$10="2300·雷",BT689=0,RAND()&lt;IF(C690="净世破魔击·月",5*0.05*2/3,IF(C690="净世破魔击·日",3*0.05*2/3,0.05*2*2/3)))</f>
        <v>0</v>
      </c>
      <c r="BV690" s="115">
        <f t="shared" ca="1" si="638"/>
        <v>0</v>
      </c>
      <c r="BW690" s="115">
        <f t="shared" ca="1" si="639"/>
        <v>126.49499999999924</v>
      </c>
      <c r="BX690" s="164" t="b">
        <f t="shared" ca="1" si="640"/>
        <v>0</v>
      </c>
      <c r="BY690" s="115">
        <f t="shared" ca="1" si="641"/>
        <v>0</v>
      </c>
      <c r="BZ690" s="115">
        <f>IF(OR(模拟模式!$P$16="10人团",模拟模式!$P$16="25人团"),IF(B690/30&gt;CA689,1,0),0)</f>
        <v>0</v>
      </c>
      <c r="CA690" s="115">
        <f t="shared" si="618"/>
        <v>0</v>
      </c>
      <c r="CB690" s="115">
        <f ca="1">IF(BZ690=1,IF(模拟模式!$P$16="10人团",15,0)+IF(模拟模式!$P$16="25人团",IF(RAND()&lt;0.6,15,0)),MAX(0,CB689-$F$4))</f>
        <v>0</v>
      </c>
      <c r="CC690" s="115" t="b">
        <f t="shared" ca="1" si="619"/>
        <v>0</v>
      </c>
      <c r="CD690" s="115">
        <f>IF(模拟模式!$Q$16="1个",IF(B690/40&gt;CE689,1,0),0)</f>
        <v>0</v>
      </c>
      <c r="CE690" s="115">
        <f t="shared" si="620"/>
        <v>0</v>
      </c>
      <c r="CF690" s="115">
        <f>IF(OR(CD690=1,模拟模式!$Q$16="2个"),20,MAX(0,CF689-$F$4))</f>
        <v>0</v>
      </c>
      <c r="CG690" s="115" t="b">
        <f t="shared" si="621"/>
        <v>0</v>
      </c>
      <c r="CH690" s="115">
        <f t="shared" ca="1" si="642"/>
        <v>7.8600000000000128</v>
      </c>
      <c r="CI690" s="115" t="b">
        <f t="shared" ca="1" si="643"/>
        <v>0</v>
      </c>
      <c r="CJ690" s="119">
        <f t="shared" ca="1" si="644"/>
        <v>0</v>
      </c>
      <c r="CK690" s="115">
        <f t="shared" ca="1" si="645"/>
        <v>0</v>
      </c>
      <c r="CL690" s="115" t="b">
        <f ca="1">AND(模拟模式!$S$7="驱夷逐法",OR(AND(C690="净世破魔击·月",E689&gt;59),AND(C690="净世破魔击·日",F689&gt;59)))</f>
        <v>0</v>
      </c>
      <c r="CM690" s="115" t="b">
        <f ca="1">OR(CL690,AND(C690="净世破魔击·日",CL689,RAND()&lt;模拟模式!$U$23))</f>
        <v>0</v>
      </c>
      <c r="CN690" s="115" t="b">
        <f ca="1">IF(模拟模式!$M$7="辉耀红尘",AND(C690="净世破魔击·月",CL690,CV690=0,E689&lt;80),AND(C690="净世破魔击·月",CL690,E689&lt;100))</f>
        <v>0</v>
      </c>
      <c r="CO690" s="115" t="b">
        <f t="shared" ca="1" si="622"/>
        <v>0</v>
      </c>
      <c r="CP690" s="115" t="b">
        <f ca="1">AND(模拟模式!$O$7="用晦而明",OR(C690="净世破魔击·日",C690="净世破魔击·月",C690="驱夜断愁"),AB690)</f>
        <v>1</v>
      </c>
      <c r="CQ690" s="115" t="b">
        <f ca="1">OR(CP690,AND(CP689,RAND()&lt;模拟模式!$U$23))</f>
        <v>1</v>
      </c>
      <c r="CR690" s="115" t="b">
        <f ca="1">AND(模拟模式!$S$7="日月齐光",OR(C690="幽月轮1",C690="幽月轮2",C690="幽月轮3",CR689),NOT(OR(C690="赤日轮1",C690="赤日轮2",C690="赤日轮3")))</f>
        <v>0</v>
      </c>
      <c r="CS690" s="115" t="b">
        <f ca="1">AND(模拟模式!$S$7="日月齐光",OR(C690="赤日轮1",C690="赤日轮2",C690="赤日轮3",CS689),NOT(OR(C690="幽月轮1",C690="幽月轮2",C690="幽月轮3")))</f>
        <v>0</v>
      </c>
      <c r="CT690" s="115">
        <f t="shared" ca="1" si="646"/>
        <v>4.1700000000000115</v>
      </c>
      <c r="CU690" s="115" t="b">
        <f ca="1">AND(模拟模式!$K$10="阴阳往极",CT689=0,RAND()&lt;IF(C690="净世破魔击·月",0.0275*7/3,IF(C690="净世破魔击·日",0.0275*3/3,0.0275*2/3)))</f>
        <v>0</v>
      </c>
      <c r="CV690" s="115">
        <f t="shared" ca="1" si="647"/>
        <v>0</v>
      </c>
      <c r="CW690" s="115">
        <f t="shared" ca="1" si="648"/>
        <v>2.3099999999999996</v>
      </c>
      <c r="CX690" s="115">
        <f t="shared" ca="1" si="649"/>
        <v>0.46499999999999975</v>
      </c>
      <c r="CY690" s="115">
        <f ca="1">MAX(IF($C690="驱夜断愁",IF(模拟模式!$R$7="万念俱寂",6,45),CY689-$F$4),0)</f>
        <v>1.3874999999999997</v>
      </c>
      <c r="CZ690" s="115">
        <f t="shared" ca="1" si="623"/>
        <v>0</v>
      </c>
      <c r="DA690" s="115">
        <f ca="1">IF(模拟模式!$N$7="日月同辉",IF(DB689=2,0,MIN(6,IF(AND(OR(C690="赤日轮1",C690="赤日轮2",C690="赤日轮3",C690="幽月轮1",C690="幽月轮2",C690="幽月轮3"),AB690=1),DA689+1,DA689))),0)</f>
        <v>0</v>
      </c>
      <c r="DB690" s="115">
        <f t="shared" ca="1" si="624"/>
        <v>0</v>
      </c>
      <c r="DC690" s="115"/>
      <c r="DD690" s="115"/>
      <c r="DE690" s="115"/>
      <c r="DF690" s="115"/>
      <c r="DG690" s="115"/>
      <c r="DH690" s="115"/>
      <c r="DI690" s="115"/>
      <c r="DJ690" s="115"/>
      <c r="DK690" s="115"/>
      <c r="DL690" s="115"/>
      <c r="DM690" s="115"/>
    </row>
    <row r="691" spans="2:117" x14ac:dyDescent="0.2">
      <c r="B691" s="117">
        <f t="shared" si="625"/>
        <v>612.54000000000701</v>
      </c>
      <c r="C691" s="167" t="str">
        <f t="shared" ca="1" si="594"/>
        <v>银月斩</v>
      </c>
      <c r="D691" s="115">
        <f ca="1">IF(C691="赤日轮1",1,IF(C691="赤日轮2",2,IF(C691="赤日轮3",3,IF(C691="幽月轮1",4,IF(C691="幽月轮2",5,IF(C691="幽月轮3",6,IF(C691="烈日斩",7,IF(C691="银月斩",8,IF(C691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691="净世破魔击·月",17,IF(C691="驱夜断愁",18,0)))))))))))</f>
        <v>8</v>
      </c>
      <c r="E691" s="115">
        <f ca="1">IF(AND(CU691,OR(C691="幽月轮1",C691="幽月轮2",C691="幽月轮3",C691="银月斩",C691="驱夜断愁",C691="净世破魔击·月")),100,MIN(IF(OR(CN691,BE691),0,IF(OR($C691="赤日轮1",$C691="赤日轮2",$C691="赤日轮3"),E690+20+IF(模拟模式!$I$7="日月凌天",4,0)+IF(CR690,20,0),IF($C691="烈日斩",E690+40,IF($C691="驱夜断愁",IF(模拟模式!$R$7="万念俱寂",E690+20,E690+60),IF($C691="净世破魔击·月",IF(OR(DB690&gt;0,CV690&gt;0),100,IF(模拟模式!$M$7="辉耀红尘",E690+20,E690)),IF($C691="净世破魔击·日",E690-100,E690)))))),100))</f>
        <v>20</v>
      </c>
      <c r="F691" s="115">
        <f ca="1">IF(AND(CU691,OR(C691="赤日轮1",C691="赤日轮2",C691="赤日轮3",C691="烈日斩",C691="净世破魔击·日")),100,MIN(IF(CO691,0,IF(OR($C691="幽月轮1",$C691="幽月轮2",$C691="幽月轮3"),F690+20+IF(模拟模式!$I$7="日月凌天",4,0)+IF(CS690,20,0),IF($C691="银月斩",F690+40+IF(模拟模式!$X$12=1,5,0),IF($C691="驱夜断愁",IF(模拟模式!$R$7="万念俱寂",F690+20,F690+60),IF($C691="净世破魔击·月",IF(模拟模式!$M$7="辉耀红尘",F690-80,F690-100),IF(AND(C691="净世破魔击·日",OR(DB690&gt;0,CV690&gt;0)),100,F690)))))),100))</f>
        <v>65</v>
      </c>
      <c r="G691" s="117">
        <f ca="1">('模拟-全程加成'!$E$3+'模拟-全程加成'!$E$4+'模拟-全程加成'!$E$5+('模拟-全程加成'!$C$6-'模拟-全程加成'!$C$3)*系数!$B$9+BS691*23)*(1+'模拟-全程加成'!$F$4+'模拟-全程加成'!$F$5+BJ691*10%+BM691*20%+BP691*4%+CG691*30%)+$F$7*系数!$B$12</f>
        <v>21493.829400000002</v>
      </c>
      <c r="H691" s="45">
        <f ca="1">'模拟-全程加成'!$H$3+'模拟-全程加成'!$H$4+'模拟-全程加成'!$H$5+('模拟-全程加成'!$G$4+'模拟-全程加成'!$G$5+('模拟-全程加成'!$C$6-'模拟-全程加成'!$C$3)*系数!$B$13)/系数!$B$3+LOOKUP(D691,'模拟-单技能数据'!$A$2:$A$19,'模拟-单技能数据'!$K$2:$K$19)+BG691*10%+IF(BV691&gt;0,378,0)</f>
        <v>0.64185145527300214</v>
      </c>
      <c r="I691" s="45">
        <f ca="1">'模拟-全程加成'!$J$3+'模拟-全程加成'!$J$4+'模拟-全程加成'!$J$5+('模拟-全程加成'!$I$4+'模拟-全程加成'!$I$5)/系数!$B$4+LOOKUP(D691,'模拟-单技能数据'!$A$2:$A$19,'模拟-单技能数据'!$L$2:$L$19)+BG691*10%</f>
        <v>2.2624828854998791</v>
      </c>
      <c r="J691" s="45">
        <f ca="1">(('模拟-全程加成'!$K$3+'模拟-全程加成'!$K$4+'模拟-全程加成'!$K$5+('模拟-全程加成'!$C$6-'模拟-全程加成'!$C$3)*系数!$B$10+IF(BV691&gt;0,882,0)+IF(BY691&gt;0,1831,0))*(1+'模拟-全程加成'!$L$4+'模拟-全程加成'!$L$5+CC691*20%))/系数!$B$5</f>
        <v>0.69723220422048726</v>
      </c>
      <c r="K691" s="119">
        <f ca="1">LOOKUP(D691,'模拟-单技能数据'!$A$2:$A$19,'模拟-单技能数据'!$J$2:$J$19)+IF(CM691,60%,0)+IF(DB690-DB691&gt;0,30%,0)+IF(OR(AND(OR(C691="赤日轮1",C691="赤日轮2",C691="赤日轮3"),CR691),AND(OR(C691="幽月轮1",C691="幽月轮2",C691="幽月轮3"),CS691)),35%,0)+CJ691</f>
        <v>0.15</v>
      </c>
      <c r="L691" s="119">
        <f ca="1">IF(AND(C691="烈日斩",模拟模式!$X$11=1),10%,0)+IF(AND(C691="驱夜断愁",AB691=1),30%,0)</f>
        <v>0</v>
      </c>
      <c r="M691" s="45">
        <f t="shared" ca="1" si="595"/>
        <v>0.64185145527300214</v>
      </c>
      <c r="N691" s="45">
        <f t="shared" ca="1" si="596"/>
        <v>0.30424854472699792</v>
      </c>
      <c r="O691" s="46">
        <f t="shared" ca="1" si="626"/>
        <v>0.77557250618589857</v>
      </c>
      <c r="P691" s="46" t="str">
        <f t="shared" ca="1" si="597"/>
        <v>命</v>
      </c>
      <c r="Q691" s="45">
        <f t="shared" ca="1" si="598"/>
        <v>1</v>
      </c>
      <c r="R691" s="117">
        <f ca="1">模拟模式!$E$20*(1-IF(模拟模式!$J$19="有",0.15,0))*(1-IF(模拟模式!$K$19="有",0.3,0)-IF(CQ691,0.5,0))</f>
        <v>843.02999999999975</v>
      </c>
      <c r="S691" s="45">
        <f ca="1">R691/(R691+(185*模拟模式!$E$22-16800)*4.08224)</f>
        <v>8.389626085980037E-2</v>
      </c>
      <c r="T691" s="45" t="str">
        <f ca="1">LOOKUP(D691,'模拟-单技能数据'!$A$2:$A$19,'模拟-单技能数据'!$H$2:$H$19)</f>
        <v>阴</v>
      </c>
      <c r="U691" s="119">
        <f t="shared" ca="1" si="599"/>
        <v>0.08</v>
      </c>
      <c r="V691" s="47">
        <f ca="1">(1+L691)*(LOOKUP(D691,'模拟-单技能数据'!$A$2:$A$19,'模拟-单技能数据'!$D$2:$D$19)+G691*LOOKUP(D691,'模拟-单技能数据'!$A$2:$A$19,'模拟-单技能数据'!$F$2:$F$19))*(1+J691)*(1+K691)*(1-S691)*(1+U691)*Q691*LOOKUP(D691,'模拟-单技能数据'!$A$2:$A$19,'模拟-单技能数据'!$I$2:$I$20)</f>
        <v>22035.73563947</v>
      </c>
      <c r="W691" s="47">
        <f ca="1">LOOKUP(D691,'模拟-单技能数据'!$A$2:$A$19,'模拟-单技能数据'!$G$2:$G$19)*$I$10</f>
        <v>361.51064354704795</v>
      </c>
      <c r="X691" s="47">
        <f t="shared" ca="1" si="627"/>
        <v>34718.524582246762</v>
      </c>
      <c r="Y691" s="47">
        <f t="shared" ca="1" si="600"/>
        <v>57115.77086526381</v>
      </c>
      <c r="Z691" s="49">
        <f t="shared" ca="1" si="601"/>
        <v>69715584.340497583</v>
      </c>
      <c r="AA691" s="97">
        <f t="shared" ca="1" si="602"/>
        <v>113813.92944215363</v>
      </c>
      <c r="AB691" s="115">
        <f ca="1">IF(OR(C691="赤日轮1",C691="赤日轮2",C691="赤日轮3"),IF(RAND()&lt;模拟模式!$Y$17,1,0),IF(OR(C691="幽月轮1",C691="幽月轮2",C691="幽月轮3"),IF(RAND()&lt;模拟模式!$Y$18,1,0),IF(C691="烈日斩",IF(RAND()&lt;模拟模式!$Y$19,1,0),IF(C691="银月斩",IF(RAND()&lt;模拟模式!$Y$20,1,0),IF(C691="驱夜断愁",IF(RAND()&lt;模拟模式!$Y$21,1,0),IF(C691="净世破魔击·日",IF(RAND()&lt;模拟模式!$Y$22,1,0),IF(C691="净世破魔击·月",IF(RAND()&lt;模拟模式!$Y$23,1,0),0)))))))</f>
        <v>1</v>
      </c>
      <c r="AC691" s="115" t="b">
        <f t="shared" ca="1" si="603"/>
        <v>1</v>
      </c>
      <c r="AD691" s="115" t="b">
        <f t="shared" ca="1" si="604"/>
        <v>1</v>
      </c>
      <c r="AE691" s="115">
        <f t="shared" ca="1" si="605"/>
        <v>5</v>
      </c>
      <c r="AF691" s="47">
        <f ca="1">IF(AC691,('模拟-单技能数据'!$D$20+G691*'模拟-单技能数据'!$F$20)*(1+J691)*(1+'模拟-单技能数据'!$J$20)*(1+U691),0)</f>
        <v>4639.7456468263617</v>
      </c>
      <c r="AG691" s="61">
        <f t="shared" ca="1" si="606"/>
        <v>0.64185145527300214</v>
      </c>
      <c r="AH691" s="61">
        <f t="shared" ca="1" si="607"/>
        <v>2.2624828854998791</v>
      </c>
      <c r="AI691" s="62">
        <f t="shared" ca="1" si="628"/>
        <v>0.28411172642960281</v>
      </c>
      <c r="AJ691" s="47">
        <f ca="1">IF(AD691,IF(AI691&lt;$F$10,0,IF(AI691&lt;$F$10+$F$11,0.25,IF(AI691&lt;$F$10+$F$11+AG691,AH691,1)))*IF(AF691&gt;0,AF691,IF(AF690&gt;0,AF690,IF(AF689&gt;0,AF689,IF(AF688&gt;0,AF688,IF(AF687&gt;0,AF687,IF(AF686&gt;0,AF686,IF(AF685&gt;0,AF685,IF(AF684&gt;0,AF684,IF(AF683&gt;0,AF683,IF(AF681&gt;0,AF681,IF(AF680&gt;0,AF680,IF(AF679&gt;0,AF679,0)))))))))))),0)*(1-$S691)*'模拟-单技能数据'!$I$20</f>
        <v>9616.6571145767884</v>
      </c>
      <c r="AK691" s="115" t="b">
        <f t="shared" ca="1" si="608"/>
        <v>0</v>
      </c>
      <c r="AL691" s="115" t="b">
        <f t="shared" ca="1" si="609"/>
        <v>1</v>
      </c>
      <c r="AM691" s="115">
        <f t="shared" ca="1" si="610"/>
        <v>4</v>
      </c>
      <c r="AN691" s="47">
        <f ca="1">IF(AK691,('模拟-单技能数据'!$D$21+G691*'模拟-单技能数据'!$F$21)*(1+J691)*(1+'模拟-单技能数据'!$J$21)*(1+U691),0)</f>
        <v>0</v>
      </c>
      <c r="AO691" s="61">
        <f ca="1">IF(AN691&gt;0,M691-'模拟-单技能数据'!$K$10,AO690)</f>
        <v>0.42185145527300216</v>
      </c>
      <c r="AP691" s="61">
        <f ca="1">IF(AN691&gt;0,I691-'模拟-单技能数据'!$L$10,AP690)</f>
        <v>2.162482885499879</v>
      </c>
      <c r="AQ691" s="63">
        <f t="shared" ca="1" si="629"/>
        <v>0.28089403359181664</v>
      </c>
      <c r="AR691" s="64">
        <f ca="1">IF(AL691,IF(AQ691&lt;$F$10,0,IF(AQ691&lt;$F$10+$F$11,0.25,IF(AQ691&lt;$F$10+$F$11+AO691,AP691,1)))*IF(AN691&gt;0,AN691,IF(AN690&gt;0,AN690,IF(AN689&gt;0,AN689,IF(AN688&gt;0,AN688,IF(AN687&gt;0,AN687,IF(AN686&gt;0,AN686,IF(AN685&gt;0,AN685,IF(AN684&gt;0,AN684,IF(AN683&gt;0,AN683,IF(AN681&gt;0,AN681,IF(AN680&gt;0,AN680,IF(AN679&gt;0,AN679,0)))))))))))),0)*(1-$S691)*'模拟-单技能数据'!$I$21</f>
        <v>25101.867467669974</v>
      </c>
      <c r="AS691" s="61">
        <f ca="1">IF(OR(C691="净世破魔击·日",C691="净世破魔击·月"),M691-'模拟-单技能数据'!$K$10,0)</f>
        <v>0</v>
      </c>
      <c r="AT691" s="61">
        <f ca="1">IF(OR(C691="净世破魔击·日",C691="净世破魔击·月"),I691-'模拟-单技能数据'!$L$10,0)</f>
        <v>0</v>
      </c>
      <c r="AU691" s="62">
        <f t="shared" ca="1" si="630"/>
        <v>0.43340165974460987</v>
      </c>
      <c r="AV691" s="64">
        <f ca="1">IF(AS691&gt;0,('模拟-单技能数据'!$D$22+G691*'模拟-单技能数据'!$F$22)*(1+J691)*(1-S691)*IF(AU691&lt;$F$10,0,IF(AU691&lt;$F$10+$F$11,0.25,IF(AU691&lt;$F$10+$F$11+AS691,AT691,1)))*(1+U691),0)*'模拟-单技能数据'!$I$22</f>
        <v>0</v>
      </c>
      <c r="AW691" s="108">
        <f t="shared" ca="1" si="631"/>
        <v>9.8525000000000063</v>
      </c>
      <c r="AX691" s="108" t="b">
        <f ca="1">AND(模拟模式!$P$10="有",AW690=0,RAND()&lt;IF(C691="净世破魔击·月",0.1*8/3,IF(C691="净世破魔击·日",0.1*4/3,0.1*2/3)))</f>
        <v>0</v>
      </c>
      <c r="AY691" s="47">
        <f ca="1">IF(AX691,(18+G691*0.722)*(1+J691)*(1-S691)*(1+$I$4)*IF(P691="会",'模拟-全程加成'!$J$3+'模拟-全程加成'!$J$4+'模拟-全程加成'!$J$5+('模拟-全程加成'!$I$4+'模拟-全程加成'!$I$5)/系数!$B$4+BG691*10%,IF(P691="命",1,IF(P691="识",0.25,0))),0)</f>
        <v>0</v>
      </c>
      <c r="AZ691" s="108">
        <f t="shared" si="632"/>
        <v>16.310000000000002</v>
      </c>
      <c r="BA691" s="108" t="b">
        <f>AND(模拟模式!$Q$10="有",AZ690=0)</f>
        <v>0</v>
      </c>
      <c r="BB691" s="140">
        <f>IF(BA691,(0+G691*0.287)*(1+J691)*(1-S691)*(1+$I$4)*IF(P691="会",'模拟-全程加成'!$J$3+'模拟-全程加成'!$J$4+'模拟-全程加成'!$J$5+('模拟-全程加成'!$I$4+'模拟-全程加成'!$I$5)/系数!$B$4+BG691*10%,IF(P691="命",1,IF(P691="识",0.25,0))),0)</f>
        <v>0</v>
      </c>
      <c r="BC691" s="115" t="b">
        <f ca="1">AND(模拟模式!$R$7="伏明众生",E691=60,F691=20,DA691&lt;5,CZ690&lt;$F$4)</f>
        <v>0</v>
      </c>
      <c r="BD691" s="115">
        <f t="shared" ca="1" si="611"/>
        <v>0</v>
      </c>
      <c r="BE691" s="115" t="b">
        <f t="shared" ca="1" si="612"/>
        <v>0</v>
      </c>
      <c r="BF691" s="47">
        <f ca="1">IF(BC691,4*('模拟-单技能数据'!$D$24+G691*'模拟-单技能数据'!$F$24)*(1+J691)*(1+'模拟-单技能数据'!$J$24)*(1-S691)*(1+$I$3)*(('模拟-全程加成'!$J$3+'模拟-全程加成'!$J$4+'模拟-全程加成'!$J$5+('模拟-全程加成'!$I$4+'模拟-全程加成'!$I$5)/系数!$B$4+BG691*10%)*('模拟-全程加成'!$J$3+'模拟-全程加成'!$J$4+'模拟-全程加成'!$J$5+('模拟-全程加成'!$I$4+'模拟-全程加成'!$I$5)/系数!$B$4+BG691*10%)+(1-('模拟-全程加成'!$J$3+'模拟-全程加成'!$J$4+'模拟-全程加成'!$J$5+('模拟-全程加成'!$I$4+'模拟-全程加成'!$I$5)/系数!$B$4+BG691*10%)-$F$10-$F$11)+F677*0.25),0)*'模拟-单技能数据'!$I$24</f>
        <v>0</v>
      </c>
      <c r="BG691" s="115" t="b">
        <f ca="1">OR(AND(OR(C691="烈日斩",C691="银月斩"),模拟模式!$I$7="净身明礼"),AND(C691="净世破魔击·日",模拟模式!$J$7="洞若观火"),AND(C692="净世破魔击·月",模拟模式!$J$7="洞若观火"),AB691=1)</f>
        <v>1</v>
      </c>
      <c r="BH691" s="115" t="b">
        <f t="shared" ca="1" si="633"/>
        <v>0</v>
      </c>
      <c r="BI691" s="115">
        <f t="shared" ca="1" si="613"/>
        <v>5.0774999999999997</v>
      </c>
      <c r="BJ691" s="115" t="b">
        <f t="shared" ca="1" si="614"/>
        <v>1</v>
      </c>
      <c r="BK691" s="115" t="b">
        <f ca="1">AND(C691="驱夜断愁",模拟模式!$P$7="天地诛戮")</f>
        <v>0</v>
      </c>
      <c r="BL691" s="57">
        <f t="shared" ca="1" si="615"/>
        <v>14.465000000000003</v>
      </c>
      <c r="BM691" s="115" t="b">
        <f t="shared" ca="1" si="616"/>
        <v>1</v>
      </c>
      <c r="BN691" s="115" t="b">
        <f ca="1">AND(OR(C691="赤日轮1",C691="赤日轮2",C691="赤日轮3",C691="幽月轮1",C691="幽月轮2",C691="幽月轮3"),AB691=1,模拟模式!$L$7="明光恒照")</f>
        <v>0</v>
      </c>
      <c r="BO691" s="117">
        <f t="shared" ca="1" si="617"/>
        <v>26.310000000000002</v>
      </c>
      <c r="BP691" s="115">
        <f t="shared" ca="1" si="634"/>
        <v>6</v>
      </c>
      <c r="BQ691" s="115" t="b">
        <f>模拟模式!$K$10="2600·水"</f>
        <v>0</v>
      </c>
      <c r="BR691" s="117">
        <f t="shared" si="635"/>
        <v>0</v>
      </c>
      <c r="BS691" s="115">
        <f t="shared" si="636"/>
        <v>0</v>
      </c>
      <c r="BT691" s="115">
        <f t="shared" ca="1" si="637"/>
        <v>0</v>
      </c>
      <c r="BU691" s="115" t="b">
        <f ca="1">AND(模拟模式!$K$10="2300·雷",BT690=0,RAND()&lt;IF(C691="净世破魔击·月",5*0.05*2/3,IF(C691="净世破魔击·日",3*0.05*2/3,0.05*2*2/3)))</f>
        <v>0</v>
      </c>
      <c r="BV691" s="115">
        <f t="shared" ca="1" si="638"/>
        <v>0</v>
      </c>
      <c r="BW691" s="115">
        <f t="shared" ca="1" si="639"/>
        <v>125.57249999999924</v>
      </c>
      <c r="BX691" s="164" t="b">
        <f t="shared" ca="1" si="640"/>
        <v>0</v>
      </c>
      <c r="BY691" s="115">
        <f t="shared" ca="1" si="641"/>
        <v>0</v>
      </c>
      <c r="BZ691" s="115">
        <f>IF(OR(模拟模式!$P$16="10人团",模拟模式!$P$16="25人团"),IF(B691/30&gt;CA690,1,0),0)</f>
        <v>0</v>
      </c>
      <c r="CA691" s="115">
        <f t="shared" si="618"/>
        <v>0</v>
      </c>
      <c r="CB691" s="115">
        <f ca="1">IF(BZ691=1,IF(模拟模式!$P$16="10人团",15,0)+IF(模拟模式!$P$16="25人团",IF(RAND()&lt;0.6,15,0)),MAX(0,CB690-$F$4))</f>
        <v>0</v>
      </c>
      <c r="CC691" s="115" t="b">
        <f t="shared" ca="1" si="619"/>
        <v>0</v>
      </c>
      <c r="CD691" s="115">
        <f>IF(模拟模式!$Q$16="1个",IF(B691/40&gt;CE690,1,0),0)</f>
        <v>0</v>
      </c>
      <c r="CE691" s="115">
        <f t="shared" si="620"/>
        <v>0</v>
      </c>
      <c r="CF691" s="115">
        <f>IF(OR(CD691=1,模拟模式!$Q$16="2个"),20,MAX(0,CF690-$F$4))</f>
        <v>0</v>
      </c>
      <c r="CG691" s="115" t="b">
        <f t="shared" si="621"/>
        <v>0</v>
      </c>
      <c r="CH691" s="115">
        <f t="shared" ca="1" si="642"/>
        <v>6.9375000000000124</v>
      </c>
      <c r="CI691" s="115" t="b">
        <f t="shared" ca="1" si="643"/>
        <v>0</v>
      </c>
      <c r="CJ691" s="119">
        <f t="shared" ca="1" si="644"/>
        <v>0</v>
      </c>
      <c r="CK691" s="115">
        <f t="shared" ca="1" si="645"/>
        <v>0</v>
      </c>
      <c r="CL691" s="115" t="b">
        <f ca="1">AND(模拟模式!$S$7="驱夷逐法",OR(AND(C691="净世破魔击·月",E690&gt;59),AND(C691="净世破魔击·日",F690&gt;59)))</f>
        <v>0</v>
      </c>
      <c r="CM691" s="115" t="b">
        <f ca="1">OR(CL691,AND(C691="净世破魔击·日",CL690,RAND()&lt;模拟模式!$U$23))</f>
        <v>0</v>
      </c>
      <c r="CN691" s="115" t="b">
        <f ca="1">IF(模拟模式!$M$7="辉耀红尘",AND(C691="净世破魔击·月",CL691,CV691=0,E690&lt;80),AND(C691="净世破魔击·月",CL691,E690&lt;100))</f>
        <v>0</v>
      </c>
      <c r="CO691" s="115" t="b">
        <f t="shared" ca="1" si="622"/>
        <v>0</v>
      </c>
      <c r="CP691" s="115" t="b">
        <f ca="1">AND(模拟模式!$O$7="用晦而明",OR(C691="净世破魔击·日",C691="净世破魔击·月",C691="驱夜断愁"),AB691)</f>
        <v>0</v>
      </c>
      <c r="CQ691" s="115" t="b">
        <f ca="1">OR(CP691,AND(CP690,RAND()&lt;模拟模式!$U$23))</f>
        <v>1</v>
      </c>
      <c r="CR691" s="115" t="b">
        <f ca="1">AND(模拟模式!$S$7="日月齐光",OR(C691="幽月轮1",C691="幽月轮2",C691="幽月轮3",CR690),NOT(OR(C691="赤日轮1",C691="赤日轮2",C691="赤日轮3")))</f>
        <v>0</v>
      </c>
      <c r="CS691" s="115" t="b">
        <f ca="1">AND(模拟模式!$S$7="日月齐光",OR(C691="赤日轮1",C691="赤日轮2",C691="赤日轮3",CS690),NOT(OR(C691="幽月轮1",C691="幽月轮2",C691="幽月轮3")))</f>
        <v>0</v>
      </c>
      <c r="CT691" s="115">
        <f t="shared" ca="1" si="646"/>
        <v>3.2475000000000116</v>
      </c>
      <c r="CU691" s="115" t="b">
        <f ca="1">AND(模拟模式!$K$10="阴阳往极",CT690=0,RAND()&lt;IF(C691="净世破魔击·月",0.0275*7/3,IF(C691="净世破魔击·日",0.0275*3/3,0.0275*2/3)))</f>
        <v>0</v>
      </c>
      <c r="CV691" s="115">
        <f t="shared" ca="1" si="647"/>
        <v>0</v>
      </c>
      <c r="CW691" s="115">
        <f t="shared" ca="1" si="648"/>
        <v>1.3874999999999997</v>
      </c>
      <c r="CX691" s="115">
        <f t="shared" ca="1" si="649"/>
        <v>6</v>
      </c>
      <c r="CY691" s="115">
        <f ca="1">MAX(IF($C691="驱夜断愁",IF(模拟模式!$R$7="万念俱寂",6,45),CY690-$F$4),0)</f>
        <v>0.46499999999999975</v>
      </c>
      <c r="CZ691" s="115">
        <f t="shared" ca="1" si="623"/>
        <v>0</v>
      </c>
      <c r="DA691" s="115">
        <f ca="1">IF(模拟模式!$N$7="日月同辉",IF(DB690=2,0,MIN(6,IF(AND(OR(C691="赤日轮1",C691="赤日轮2",C691="赤日轮3",C691="幽月轮1",C691="幽月轮2",C691="幽月轮3"),AB691=1),DA690+1,DA690))),0)</f>
        <v>0</v>
      </c>
      <c r="DB691" s="115">
        <f t="shared" ca="1" si="624"/>
        <v>0</v>
      </c>
      <c r="DC691" s="115"/>
      <c r="DD691" s="115"/>
      <c r="DE691" s="115"/>
      <c r="DF691" s="115"/>
      <c r="DG691" s="115"/>
      <c r="DH691" s="115"/>
      <c r="DI691" s="115"/>
      <c r="DJ691" s="115"/>
      <c r="DK691" s="115"/>
      <c r="DL691" s="115"/>
      <c r="DM691" s="115"/>
    </row>
    <row r="692" spans="2:117" x14ac:dyDescent="0.2">
      <c r="B692" s="117">
        <f t="shared" si="625"/>
        <v>613.46250000000703</v>
      </c>
      <c r="C692" s="167" t="str">
        <f t="shared" ca="1" si="594"/>
        <v>驱夜断愁</v>
      </c>
      <c r="D692" s="115">
        <f ca="1">IF(C692="赤日轮1",1,IF(C692="赤日轮2",2,IF(C692="赤日轮3",3,IF(C692="幽月轮1",4,IF(C692="幽月轮2",5,IF(C692="幽月轮3",6,IF(C692="烈日斩",7,IF(C692="银月斩",8,IF(C692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692="净世破魔击·月",17,IF(C692="驱夜断愁",18,0)))))))))))</f>
        <v>18</v>
      </c>
      <c r="E692" s="115">
        <f ca="1">IF(AND(CU692,OR(C692="幽月轮1",C692="幽月轮2",C692="幽月轮3",C692="银月斩",C692="驱夜断愁",C692="净世破魔击·月")),100,MIN(IF(OR(CN692,BE692),0,IF(OR($C692="赤日轮1",$C692="赤日轮2",$C692="赤日轮3"),E691+20+IF(模拟模式!$I$7="日月凌天",4,0)+IF(CR691,20,0),IF($C692="烈日斩",E691+40,IF($C692="驱夜断愁",IF(模拟模式!$R$7="万念俱寂",E691+20,E691+60),IF($C692="净世破魔击·月",IF(OR(DB691&gt;0,CV691&gt;0),100,IF(模拟模式!$M$7="辉耀红尘",E691+20,E691)),IF($C692="净世破魔击·日",E691-100,E691)))))),100))</f>
        <v>40</v>
      </c>
      <c r="F692" s="115">
        <f ca="1">IF(AND(CU692,OR(C692="赤日轮1",C692="赤日轮2",C692="赤日轮3",C692="烈日斩",C692="净世破魔击·日")),100,MIN(IF(CO692,0,IF(OR($C692="幽月轮1",$C692="幽月轮2",$C692="幽月轮3"),F691+20+IF(模拟模式!$I$7="日月凌天",4,0)+IF(CS691,20,0),IF($C692="银月斩",F691+40+IF(模拟模式!$X$12=1,5,0),IF($C692="驱夜断愁",IF(模拟模式!$R$7="万念俱寂",F691+20,F691+60),IF($C692="净世破魔击·月",IF(模拟模式!$M$7="辉耀红尘",F691-80,F691-100),IF(AND(C692="净世破魔击·日",OR(DB691&gt;0,CV691&gt;0)),100,F691)))))),100))</f>
        <v>85</v>
      </c>
      <c r="G692" s="117">
        <f ca="1">('模拟-全程加成'!$E$3+'模拟-全程加成'!$E$4+'模拟-全程加成'!$E$5+('模拟-全程加成'!$C$6-'模拟-全程加成'!$C$3)*系数!$B$9+BS692*23)*(1+'模拟-全程加成'!$F$4+'模拟-全程加成'!$F$5+BJ692*10%+BM692*20%+BP692*4%+CG692*30%)+$F$7*系数!$B$12</f>
        <v>21493.829400000002</v>
      </c>
      <c r="H692" s="45">
        <f ca="1">'模拟-全程加成'!$H$3+'模拟-全程加成'!$H$4+'模拟-全程加成'!$H$5+('模拟-全程加成'!$G$4+'模拟-全程加成'!$G$5+('模拟-全程加成'!$C$6-'模拟-全程加成'!$C$3)*系数!$B$13)/系数!$B$3+LOOKUP(D692,'模拟-单技能数据'!$A$2:$A$19,'模拟-单技能数据'!$K$2:$K$19)+BG692*10%+IF(BV692&gt;0,378,0)</f>
        <v>0.51185145527300213</v>
      </c>
      <c r="I692" s="45">
        <f ca="1">'模拟-全程加成'!$J$3+'模拟-全程加成'!$J$4+'模拟-全程加成'!$J$5+('模拟-全程加成'!$I$4+'模拟-全程加成'!$I$5)/系数!$B$4+LOOKUP(D692,'模拟-单技能数据'!$A$2:$A$19,'模拟-单技能数据'!$L$2:$L$19)+BG692*10%</f>
        <v>2.162482885499879</v>
      </c>
      <c r="J692" s="45">
        <f ca="1">(('模拟-全程加成'!$K$3+'模拟-全程加成'!$K$4+'模拟-全程加成'!$K$5+('模拟-全程加成'!$C$6-'模拟-全程加成'!$C$3)*系数!$B$10+IF(BV692&gt;0,882,0)+IF(BY692&gt;0,1831,0))*(1+'模拟-全程加成'!$L$4+'模拟-全程加成'!$L$5+CC692*20%))/系数!$B$5</f>
        <v>0.69723220422048726</v>
      </c>
      <c r="K692" s="119">
        <f ca="1">LOOKUP(D692,'模拟-单技能数据'!$A$2:$A$19,'模拟-单技能数据'!$J$2:$J$19)+IF(CM692,60%,0)+IF(DB691-DB692&gt;0,30%,0)+IF(OR(AND(OR(C692="赤日轮1",C692="赤日轮2",C692="赤日轮3"),CR692),AND(OR(C692="幽月轮1",C692="幽月轮2",C692="幽月轮3"),CS692)),35%,0)+CJ692</f>
        <v>0.14000000000000001</v>
      </c>
      <c r="L692" s="119">
        <f ca="1">IF(AND(C692="烈日斩",模拟模式!$X$11=1),10%,0)+IF(AND(C692="驱夜断愁",AB692=1),30%,0)</f>
        <v>0.3</v>
      </c>
      <c r="M692" s="45">
        <f t="shared" ca="1" si="595"/>
        <v>0.51185145527300213</v>
      </c>
      <c r="N692" s="45">
        <f t="shared" ca="1" si="596"/>
        <v>0.43424854472699792</v>
      </c>
      <c r="O692" s="46">
        <f t="shared" ca="1" si="626"/>
        <v>0.84532048027598605</v>
      </c>
      <c r="P692" s="46" t="str">
        <f t="shared" ca="1" si="597"/>
        <v>命</v>
      </c>
      <c r="Q692" s="45">
        <f t="shared" ca="1" si="598"/>
        <v>1</v>
      </c>
      <c r="R692" s="117">
        <f ca="1">模拟模式!$E$20*(1-IF(模拟模式!$J$19="有",0.15,0))*(1-IF(模拟模式!$K$19="有",0.3,0)-IF(CQ692,0.5,0))</f>
        <v>843.02999999999975</v>
      </c>
      <c r="S692" s="45">
        <f ca="1">R692/(R692+(185*模拟模式!$E$22-16800)*4.08224)</f>
        <v>8.389626085980037E-2</v>
      </c>
      <c r="T692" s="45" t="str">
        <f ca="1">LOOKUP(D692,'模拟-单技能数据'!$A$2:$A$19,'模拟-单技能数据'!$H$2:$H$19)</f>
        <v>阴</v>
      </c>
      <c r="U692" s="119">
        <f t="shared" ca="1" si="599"/>
        <v>0.08</v>
      </c>
      <c r="V692" s="47">
        <f ca="1">(1+L692)*(LOOKUP(D692,'模拟-单技能数据'!$A$2:$A$19,'模拟-单技能数据'!$D$2:$D$19)+G692*LOOKUP(D692,'模拟-单技能数据'!$A$2:$A$19,'模拟-单技能数据'!$F$2:$F$19))*(1+J692)*(1+K692)*(1-S692)*(1+U692)*Q692*LOOKUP(D692,'模拟-单技能数据'!$A$2:$A$19,'模拟-单技能数据'!$I$2:$I$20)</f>
        <v>61540.073489592025</v>
      </c>
      <c r="W692" s="47">
        <f ca="1">LOOKUP(D692,'模拟-单技能数据'!$A$2:$A$19,'模拟-单技能数据'!$G$2:$G$19)*$I$10</f>
        <v>723.0212870940959</v>
      </c>
      <c r="X692" s="47">
        <f t="shared" ca="1" si="627"/>
        <v>0</v>
      </c>
      <c r="Y692" s="47">
        <f t="shared" ca="1" si="600"/>
        <v>62263.094776686121</v>
      </c>
      <c r="Z692" s="49">
        <f t="shared" ca="1" si="601"/>
        <v>69777847.435274273</v>
      </c>
      <c r="AA692" s="97">
        <f t="shared" ca="1" si="602"/>
        <v>113744.27521694232</v>
      </c>
      <c r="AB692" s="115">
        <f ca="1">IF(OR(C692="赤日轮1",C692="赤日轮2",C692="赤日轮3"),IF(RAND()&lt;模拟模式!$Y$17,1,0),IF(OR(C692="幽月轮1",C692="幽月轮2",C692="幽月轮3"),IF(RAND()&lt;模拟模式!$Y$18,1,0),IF(C692="烈日斩",IF(RAND()&lt;模拟模式!$Y$19,1,0),IF(C692="银月斩",IF(RAND()&lt;模拟模式!$Y$20,1,0),IF(C692="驱夜断愁",IF(RAND()&lt;模拟模式!$Y$21,1,0),IF(C692="净世破魔击·日",IF(RAND()&lt;模拟模式!$Y$22,1,0),IF(C692="净世破魔击·月",IF(RAND()&lt;模拟模式!$Y$23,1,0),0)))))))</f>
        <v>1</v>
      </c>
      <c r="AC692" s="115" t="b">
        <f t="shared" ca="1" si="603"/>
        <v>0</v>
      </c>
      <c r="AD692" s="115" t="b">
        <f t="shared" ca="1" si="604"/>
        <v>0</v>
      </c>
      <c r="AE692" s="115">
        <f t="shared" ca="1" si="605"/>
        <v>5</v>
      </c>
      <c r="AF692" s="47">
        <f ca="1">IF(AC692,('模拟-单技能数据'!$D$20+G692*'模拟-单技能数据'!$F$20)*(1+J692)*(1+'模拟-单技能数据'!$J$20)*(1+U692),0)</f>
        <v>0</v>
      </c>
      <c r="AG692" s="61">
        <f t="shared" ca="1" si="606"/>
        <v>0.64185145527300214</v>
      </c>
      <c r="AH692" s="61">
        <f t="shared" ca="1" si="607"/>
        <v>2.2624828854998791</v>
      </c>
      <c r="AI692" s="62">
        <f t="shared" ca="1" si="628"/>
        <v>0.71378944207784001</v>
      </c>
      <c r="AJ692" s="47">
        <f ca="1">IF(AD692,IF(AI692&lt;$F$10,0,IF(AI692&lt;$F$10+$F$11,0.25,IF(AI692&lt;$F$10+$F$11+AG692,AH692,1)))*IF(AF692&gt;0,AF692,IF(AF691&gt;0,AF691,IF(AF690&gt;0,AF690,IF(AF689&gt;0,AF689,IF(AF688&gt;0,AF688,IF(AF687&gt;0,AF687,IF(AF686&gt;0,AF686,IF(AF685&gt;0,AF685,IF(AF684&gt;0,AF684,IF(AF682&gt;0,AF682,IF(AF681&gt;0,AF681,IF(AF680&gt;0,AF680,0)))))))))))),0)*(1-$S692)*'模拟-单技能数据'!$I$20</f>
        <v>0</v>
      </c>
      <c r="AK692" s="115" t="b">
        <f t="shared" ca="1" si="608"/>
        <v>0</v>
      </c>
      <c r="AL692" s="115" t="b">
        <f t="shared" ca="1" si="609"/>
        <v>0</v>
      </c>
      <c r="AM692" s="115">
        <f t="shared" ca="1" si="610"/>
        <v>4</v>
      </c>
      <c r="AN692" s="47">
        <f ca="1">IF(AK692,('模拟-单技能数据'!$D$21+G692*'模拟-单技能数据'!$F$21)*(1+J692)*(1+'模拟-单技能数据'!$J$21)*(1+U692),0)</f>
        <v>0</v>
      </c>
      <c r="AO692" s="61">
        <f ca="1">IF(AN692&gt;0,M692-'模拟-单技能数据'!$K$10,AO691)</f>
        <v>0.42185145527300216</v>
      </c>
      <c r="AP692" s="61">
        <f ca="1">IF(AN692&gt;0,I692-'模拟-单技能数据'!$L$10,AP691)</f>
        <v>2.162482885499879</v>
      </c>
      <c r="AQ692" s="63">
        <f t="shared" ca="1" si="629"/>
        <v>0.33513631743943806</v>
      </c>
      <c r="AR692" s="64">
        <f ca="1">IF(AL692,IF(AQ692&lt;$F$10,0,IF(AQ692&lt;$F$10+$F$11,0.25,IF(AQ692&lt;$F$10+$F$11+AO692,AP692,1)))*IF(AN692&gt;0,AN692,IF(AN691&gt;0,AN691,IF(AN690&gt;0,AN690,IF(AN689&gt;0,AN689,IF(AN688&gt;0,AN688,IF(AN687&gt;0,AN687,IF(AN686&gt;0,AN686,IF(AN685&gt;0,AN685,IF(AN684&gt;0,AN684,IF(AN682&gt;0,AN682,IF(AN681&gt;0,AN681,IF(AN680&gt;0,AN680,0)))))))))))),0)*(1-$S692)*'模拟-单技能数据'!$I$21</f>
        <v>0</v>
      </c>
      <c r="AS692" s="61">
        <f ca="1">IF(OR(C692="净世破魔击·日",C692="净世破魔击·月"),M692-'模拟-单技能数据'!$K$10,0)</f>
        <v>0</v>
      </c>
      <c r="AT692" s="61">
        <f ca="1">IF(OR(C692="净世破魔击·日",C692="净世破魔击·月"),I692-'模拟-单技能数据'!$L$10,0)</f>
        <v>0</v>
      </c>
      <c r="AU692" s="62">
        <f t="shared" ca="1" si="630"/>
        <v>0.61486707304315613</v>
      </c>
      <c r="AV692" s="64">
        <f ca="1">IF(AS692&gt;0,('模拟-单技能数据'!$D$22+G692*'模拟-单技能数据'!$F$22)*(1+J692)*(1-S692)*IF(AU692&lt;$F$10,0,IF(AU692&lt;$F$10+$F$11,0.25,IF(AU692&lt;$F$10+$F$11+AS692,AT692,1)))*(1+U692),0)*'模拟-单技能数据'!$I$22</f>
        <v>0</v>
      </c>
      <c r="AW692" s="108">
        <f t="shared" ca="1" si="631"/>
        <v>8.9300000000000068</v>
      </c>
      <c r="AX692" s="108" t="b">
        <f ca="1">AND(模拟模式!$P$10="有",AW691=0,RAND()&lt;IF(C692="净世破魔击·月",0.1*8/3,IF(C692="净世破魔击·日",0.1*4/3,0.1*2/3)))</f>
        <v>0</v>
      </c>
      <c r="AY692" s="47">
        <f ca="1">IF(AX692,(18+G692*0.722)*(1+J692)*(1-S692)*(1+$I$4)*IF(P692="会",'模拟-全程加成'!$J$3+'模拟-全程加成'!$J$4+'模拟-全程加成'!$J$5+('模拟-全程加成'!$I$4+'模拟-全程加成'!$I$5)/系数!$B$4+BG692*10%,IF(P692="命",1,IF(P692="识",0.25,0))),0)</f>
        <v>0</v>
      </c>
      <c r="AZ692" s="108">
        <f t="shared" si="632"/>
        <v>15.387500000000003</v>
      </c>
      <c r="BA692" s="108" t="b">
        <f>AND(模拟模式!$Q$10="有",AZ691=0)</f>
        <v>0</v>
      </c>
      <c r="BB692" s="140">
        <f>IF(BA692,(0+G692*0.287)*(1+J692)*(1-S692)*(1+$I$4)*IF(P692="会",'模拟-全程加成'!$J$3+'模拟-全程加成'!$J$4+'模拟-全程加成'!$J$5+('模拟-全程加成'!$I$4+'模拟-全程加成'!$I$5)/系数!$B$4+BG692*10%,IF(P692="命",1,IF(P692="识",0.25,0))),0)</f>
        <v>0</v>
      </c>
      <c r="BC692" s="115" t="b">
        <f ca="1">AND(模拟模式!$R$7="伏明众生",E692=60,F692=20,DA692&lt;5,CZ691&lt;$F$4)</f>
        <v>0</v>
      </c>
      <c r="BD692" s="115">
        <f t="shared" ca="1" si="611"/>
        <v>0</v>
      </c>
      <c r="BE692" s="115" t="b">
        <f t="shared" ca="1" si="612"/>
        <v>0</v>
      </c>
      <c r="BF692" s="47">
        <f ca="1">IF(BC692,4*('模拟-单技能数据'!$D$24+G692*'模拟-单技能数据'!$F$24)*(1+J692)*(1+'模拟-单技能数据'!$J$24)*(1-S692)*(1+$I$3)*(('模拟-全程加成'!$J$3+'模拟-全程加成'!$J$4+'模拟-全程加成'!$J$5+('模拟-全程加成'!$I$4+'模拟-全程加成'!$I$5)/系数!$B$4+BG692*10%)*('模拟-全程加成'!$J$3+'模拟-全程加成'!$J$4+'模拟-全程加成'!$J$5+('模拟-全程加成'!$I$4+'模拟-全程加成'!$I$5)/系数!$B$4+BG692*10%)+(1-('模拟-全程加成'!$J$3+'模拟-全程加成'!$J$4+'模拟-全程加成'!$J$5+('模拟-全程加成'!$I$4+'模拟-全程加成'!$I$5)/系数!$B$4+BG692*10%)-$F$10-$F$11)+F678*0.25),0)*'模拟-单技能数据'!$I$24</f>
        <v>0</v>
      </c>
      <c r="BG692" s="115" t="b">
        <f ca="1">OR(AND(OR(C692="烈日斩",C692="银月斩"),模拟模式!$I$7="净身明礼"),AND(C692="净世破魔击·日",模拟模式!$J$7="洞若观火"),AND(C693="净世破魔击·月",模拟模式!$J$7="洞若观火"),AB692=1)</f>
        <v>1</v>
      </c>
      <c r="BH692" s="115" t="b">
        <f t="shared" ca="1" si="633"/>
        <v>1</v>
      </c>
      <c r="BI692" s="115">
        <f t="shared" ca="1" si="613"/>
        <v>6</v>
      </c>
      <c r="BJ692" s="115" t="b">
        <f t="shared" ca="1" si="614"/>
        <v>1</v>
      </c>
      <c r="BK692" s="115" t="b">
        <f ca="1">AND(C692="驱夜断愁",模拟模式!$P$7="天地诛戮")</f>
        <v>1</v>
      </c>
      <c r="BL692" s="57">
        <f t="shared" ca="1" si="615"/>
        <v>20</v>
      </c>
      <c r="BM692" s="115" t="b">
        <f t="shared" ca="1" si="616"/>
        <v>1</v>
      </c>
      <c r="BN692" s="115" t="b">
        <f ca="1">AND(OR(C692="赤日轮1",C692="赤日轮2",C692="赤日轮3",C692="幽月轮1",C692="幽月轮2",C692="幽月轮3"),AB692=1,模拟模式!$L$7="明光恒照")</f>
        <v>0</v>
      </c>
      <c r="BO692" s="117">
        <f t="shared" ca="1" si="617"/>
        <v>25.387500000000003</v>
      </c>
      <c r="BP692" s="115">
        <f t="shared" ca="1" si="634"/>
        <v>6</v>
      </c>
      <c r="BQ692" s="115" t="b">
        <f>模拟模式!$K$10="2600·水"</f>
        <v>0</v>
      </c>
      <c r="BR692" s="117">
        <f t="shared" si="635"/>
        <v>0</v>
      </c>
      <c r="BS692" s="115">
        <f t="shared" si="636"/>
        <v>0</v>
      </c>
      <c r="BT692" s="115">
        <f t="shared" ca="1" si="637"/>
        <v>0</v>
      </c>
      <c r="BU692" s="115" t="b">
        <f ca="1">AND(模拟模式!$K$10="2300·雷",BT691=0,RAND()&lt;IF(C692="净世破魔击·月",5*0.05*2/3,IF(C692="净世破魔击·日",3*0.05*2/3,0.05*2*2/3)))</f>
        <v>0</v>
      </c>
      <c r="BV692" s="115">
        <f t="shared" ca="1" si="638"/>
        <v>0</v>
      </c>
      <c r="BW692" s="115">
        <f t="shared" ca="1" si="639"/>
        <v>124.64999999999924</v>
      </c>
      <c r="BX692" s="164" t="b">
        <f t="shared" ca="1" si="640"/>
        <v>0</v>
      </c>
      <c r="BY692" s="115">
        <f t="shared" ca="1" si="641"/>
        <v>0</v>
      </c>
      <c r="BZ692" s="115">
        <f>IF(OR(模拟模式!$P$16="10人团",模拟模式!$P$16="25人团"),IF(B692/30&gt;CA691,1,0),0)</f>
        <v>0</v>
      </c>
      <c r="CA692" s="115">
        <f t="shared" si="618"/>
        <v>0</v>
      </c>
      <c r="CB692" s="115">
        <f ca="1">IF(BZ692=1,IF(模拟模式!$P$16="10人团",15,0)+IF(模拟模式!$P$16="25人团",IF(RAND()&lt;0.6,15,0)),MAX(0,CB691-$F$4))</f>
        <v>0</v>
      </c>
      <c r="CC692" s="115" t="b">
        <f t="shared" ca="1" si="619"/>
        <v>0</v>
      </c>
      <c r="CD692" s="115">
        <f>IF(模拟模式!$Q$16="1个",IF(B692/40&gt;CE691,1,0),0)</f>
        <v>0</v>
      </c>
      <c r="CE692" s="115">
        <f t="shared" si="620"/>
        <v>0</v>
      </c>
      <c r="CF692" s="115">
        <f>IF(OR(CD692=1,模拟模式!$Q$16="2个"),20,MAX(0,CF691-$F$4))</f>
        <v>0</v>
      </c>
      <c r="CG692" s="115" t="b">
        <f t="shared" si="621"/>
        <v>0</v>
      </c>
      <c r="CH692" s="115">
        <f t="shared" ca="1" si="642"/>
        <v>6.0150000000000121</v>
      </c>
      <c r="CI692" s="115" t="b">
        <f t="shared" ca="1" si="643"/>
        <v>0</v>
      </c>
      <c r="CJ692" s="119">
        <f t="shared" ca="1" si="644"/>
        <v>0</v>
      </c>
      <c r="CK692" s="115">
        <f t="shared" ca="1" si="645"/>
        <v>0</v>
      </c>
      <c r="CL692" s="115" t="b">
        <f ca="1">AND(模拟模式!$S$7="驱夷逐法",OR(AND(C692="净世破魔击·月",E691&gt;59),AND(C692="净世破魔击·日",F691&gt;59)))</f>
        <v>0</v>
      </c>
      <c r="CM692" s="115" t="b">
        <f ca="1">OR(CL692,AND(C692="净世破魔击·日",CL691,RAND()&lt;模拟模式!$U$23))</f>
        <v>0</v>
      </c>
      <c r="CN692" s="115" t="b">
        <f ca="1">IF(模拟模式!$M$7="辉耀红尘",AND(C692="净世破魔击·月",CL692,CV692=0,E691&lt;80),AND(C692="净世破魔击·月",CL692,E691&lt;100))</f>
        <v>0</v>
      </c>
      <c r="CO692" s="115" t="b">
        <f t="shared" ca="1" si="622"/>
        <v>0</v>
      </c>
      <c r="CP692" s="115" t="b">
        <f ca="1">AND(模拟模式!$O$7="用晦而明",OR(C692="净世破魔击·日",C692="净世破魔击·月",C692="驱夜断愁"),AB692)</f>
        <v>1</v>
      </c>
      <c r="CQ692" s="115" t="b">
        <f ca="1">OR(CP692,AND(CP691,RAND()&lt;模拟模式!$U$23))</f>
        <v>1</v>
      </c>
      <c r="CR692" s="115" t="b">
        <f ca="1">AND(模拟模式!$S$7="日月齐光",OR(C692="幽月轮1",C692="幽月轮2",C692="幽月轮3",CR691),NOT(OR(C692="赤日轮1",C692="赤日轮2",C692="赤日轮3")))</f>
        <v>0</v>
      </c>
      <c r="CS692" s="115" t="b">
        <f ca="1">AND(模拟模式!$S$7="日月齐光",OR(C692="赤日轮1",C692="赤日轮2",C692="赤日轮3",CS691),NOT(OR(C692="幽月轮1",C692="幽月轮2",C692="幽月轮3")))</f>
        <v>0</v>
      </c>
      <c r="CT692" s="115">
        <f t="shared" ca="1" si="646"/>
        <v>2.3250000000000117</v>
      </c>
      <c r="CU692" s="115" t="b">
        <f ca="1">AND(模拟模式!$K$10="阴阳往极",CT691=0,RAND()&lt;IF(C692="净世破魔击·月",0.0275*7/3,IF(C692="净世破魔击·日",0.0275*3/3,0.0275*2/3)))</f>
        <v>0</v>
      </c>
      <c r="CV692" s="115">
        <f t="shared" ca="1" si="647"/>
        <v>0</v>
      </c>
      <c r="CW692" s="115">
        <f t="shared" ca="1" si="648"/>
        <v>0.46499999999999975</v>
      </c>
      <c r="CX692" s="115">
        <f t="shared" ca="1" si="649"/>
        <v>5.0774999999999997</v>
      </c>
      <c r="CY692" s="115">
        <f ca="1">MAX(IF($C692="驱夜断愁",IF(模拟模式!$R$7="万念俱寂",6,45),CY691-$F$4),0)</f>
        <v>6</v>
      </c>
      <c r="CZ692" s="115">
        <f t="shared" ca="1" si="623"/>
        <v>0</v>
      </c>
      <c r="DA692" s="115">
        <f ca="1">IF(模拟模式!$N$7="日月同辉",IF(DB691=2,0,MIN(6,IF(AND(OR(C692="赤日轮1",C692="赤日轮2",C692="赤日轮3",C692="幽月轮1",C692="幽月轮2",C692="幽月轮3"),AB692=1),DA691+1,DA691))),0)</f>
        <v>0</v>
      </c>
      <c r="DB692" s="115">
        <f t="shared" ca="1" si="624"/>
        <v>0</v>
      </c>
      <c r="DC692" s="115"/>
      <c r="DD692" s="115"/>
      <c r="DE692" s="115"/>
      <c r="DF692" s="115"/>
      <c r="DG692" s="115"/>
      <c r="DH692" s="115"/>
      <c r="DI692" s="115"/>
      <c r="DJ692" s="115"/>
      <c r="DK692" s="115"/>
      <c r="DL692" s="115"/>
      <c r="DM692" s="115"/>
    </row>
    <row r="693" spans="2:117" x14ac:dyDescent="0.2">
      <c r="B693" s="117">
        <f t="shared" si="625"/>
        <v>614.38500000000704</v>
      </c>
      <c r="C693" s="167" t="str">
        <f t="shared" ca="1" si="594"/>
        <v>烈日斩</v>
      </c>
      <c r="D693" s="115">
        <f ca="1">IF(C693="赤日轮1",1,IF(C693="赤日轮2",2,IF(C693="赤日轮3",3,IF(C693="幽月轮1",4,IF(C693="幽月轮2",5,IF(C693="幽月轮3",6,IF(C693="烈日斩",7,IF(C693="银月斩",8,IF(C693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693="净世破魔击·月",17,IF(C693="驱夜断愁",18,0)))))))))))</f>
        <v>7</v>
      </c>
      <c r="E693" s="115">
        <f ca="1">IF(AND(CU693,OR(C693="幽月轮1",C693="幽月轮2",C693="幽月轮3",C693="银月斩",C693="驱夜断愁",C693="净世破魔击·月")),100,MIN(IF(OR(CN693,BE693),0,IF(OR($C693="赤日轮1",$C693="赤日轮2",$C693="赤日轮3"),E692+20+IF(模拟模式!$I$7="日月凌天",4,0)+IF(CR692,20,0),IF($C693="烈日斩",E692+40,IF($C693="驱夜断愁",IF(模拟模式!$R$7="万念俱寂",E692+20,E692+60),IF($C693="净世破魔击·月",IF(OR(DB692&gt;0,CV692&gt;0),100,IF(模拟模式!$M$7="辉耀红尘",E692+20,E692)),IF($C693="净世破魔击·日",E692-100,E692)))))),100))</f>
        <v>80</v>
      </c>
      <c r="F693" s="115">
        <f ca="1">IF(AND(CU693,OR(C693="赤日轮1",C693="赤日轮2",C693="赤日轮3",C693="烈日斩",C693="净世破魔击·日")),100,MIN(IF(CO693,0,IF(OR($C693="幽月轮1",$C693="幽月轮2",$C693="幽月轮3"),F692+20+IF(模拟模式!$I$7="日月凌天",4,0)+IF(CS692,20,0),IF($C693="银月斩",F692+40+IF(模拟模式!$X$12=1,5,0),IF($C693="驱夜断愁",IF(模拟模式!$R$7="万念俱寂",F692+20,F692+60),IF($C693="净世破魔击·月",IF(模拟模式!$M$7="辉耀红尘",F692-80,F692-100),IF(AND(C693="净世破魔击·日",OR(DB692&gt;0,CV692&gt;0)),100,F692)))))),100))</f>
        <v>85</v>
      </c>
      <c r="G693" s="117">
        <f ca="1">('模拟-全程加成'!$E$3+'模拟-全程加成'!$E$4+'模拟-全程加成'!$E$5+('模拟-全程加成'!$C$6-'模拟-全程加成'!$C$3)*系数!$B$9+BS693*23)*(1+'模拟-全程加成'!$F$4+'模拟-全程加成'!$F$5+BJ693*10%+BM693*20%+BP693*4%+CG693*30%)+$F$7*系数!$B$12</f>
        <v>21493.829400000002</v>
      </c>
      <c r="H693" s="45">
        <f ca="1">'模拟-全程加成'!$H$3+'模拟-全程加成'!$H$4+'模拟-全程加成'!$H$5+('模拟-全程加成'!$G$4+'模拟-全程加成'!$G$5+('模拟-全程加成'!$C$6-'模拟-全程加成'!$C$3)*系数!$B$13)/系数!$B$3+LOOKUP(D693,'模拟-单技能数据'!$A$2:$A$19,'模拟-单技能数据'!$K$2:$K$19)+BG693*10%+IF(BV693&gt;0,378,0)</f>
        <v>0.56185145527300218</v>
      </c>
      <c r="I693" s="45">
        <f ca="1">'模拟-全程加成'!$J$3+'模拟-全程加成'!$J$4+'模拟-全程加成'!$J$5+('模拟-全程加成'!$I$4+'模拟-全程加成'!$I$5)/系数!$B$4+LOOKUP(D693,'模拟-单技能数据'!$A$2:$A$19,'模拟-单技能数据'!$L$2:$L$19)+BG693*10%</f>
        <v>2.2624828854998791</v>
      </c>
      <c r="J693" s="45">
        <f ca="1">(('模拟-全程加成'!$K$3+'模拟-全程加成'!$K$4+'模拟-全程加成'!$K$5+('模拟-全程加成'!$C$6-'模拟-全程加成'!$C$3)*系数!$B$10+IF(BV693&gt;0,882,0)+IF(BY693&gt;0,1831,0))*(1+'模拟-全程加成'!$L$4+'模拟-全程加成'!$L$5+CC693*20%))/系数!$B$5</f>
        <v>0.69723220422048726</v>
      </c>
      <c r="K693" s="119">
        <f ca="1">LOOKUP(D693,'模拟-单技能数据'!$A$2:$A$19,'模拟-单技能数据'!$J$2:$J$19)+IF(CM693,60%,0)+IF(DB692-DB693&gt;0,30%,0)+IF(OR(AND(OR(C693="赤日轮1",C693="赤日轮2",C693="赤日轮3"),CR693),AND(OR(C693="幽月轮1",C693="幽月轮2",C693="幽月轮3"),CS693)),35%,0)+CJ693</f>
        <v>0.24</v>
      </c>
      <c r="L693" s="119">
        <f ca="1">IF(AND(C693="烈日斩",模拟模式!$X$11=1),10%,0)+IF(AND(C693="驱夜断愁",AB693=1),30%,0)</f>
        <v>0.1</v>
      </c>
      <c r="M693" s="45">
        <f t="shared" ca="1" si="595"/>
        <v>0.56185145527300218</v>
      </c>
      <c r="N693" s="45">
        <f t="shared" ca="1" si="596"/>
        <v>0.38424854472699788</v>
      </c>
      <c r="O693" s="46">
        <f t="shared" ca="1" si="626"/>
        <v>0.95764395446209449</v>
      </c>
      <c r="P693" s="46" t="str">
        <f t="shared" ca="1" si="597"/>
        <v>命</v>
      </c>
      <c r="Q693" s="45">
        <f t="shared" ca="1" si="598"/>
        <v>1</v>
      </c>
      <c r="R693" s="117">
        <f ca="1">模拟模式!$E$20*(1-IF(模拟模式!$J$19="有",0.15,0))*(1-IF(模拟模式!$K$19="有",0.3,0)-IF(CQ693,0.5,0))</f>
        <v>843.02999999999975</v>
      </c>
      <c r="S693" s="45">
        <f ca="1">R693/(R693+(185*模拟模式!$E$22-16800)*4.08224)</f>
        <v>8.389626085980037E-2</v>
      </c>
      <c r="T693" s="45" t="str">
        <f ca="1">LOOKUP(D693,'模拟-单技能数据'!$A$2:$A$19,'模拟-单技能数据'!$H$2:$H$19)</f>
        <v>阳</v>
      </c>
      <c r="U693" s="119">
        <f t="shared" ca="1" si="599"/>
        <v>0.2</v>
      </c>
      <c r="V693" s="47">
        <f ca="1">(1+L693)*(LOOKUP(D693,'模拟-单技能数据'!$A$2:$A$19,'模拟-单技能数据'!$D$2:$D$19)+G693*LOOKUP(D693,'模拟-单技能数据'!$A$2:$A$19,'模拟-单技能数据'!$F$2:$F$19))*(1+J693)*(1+K693)*(1-S693)*(1+U693)*Q693*LOOKUP(D693,'模拟-单技能数据'!$A$2:$A$19,'模拟-单技能数据'!$I$2:$I$20)</f>
        <v>48841.631854871324</v>
      </c>
      <c r="W693" s="47">
        <f ca="1">LOOKUP(D693,'模拟-单技能数据'!$A$2:$A$19,'模拟-单技能数据'!$G$2:$G$19)*$I$10</f>
        <v>361.51064354704795</v>
      </c>
      <c r="X693" s="47">
        <f t="shared" ca="1" si="627"/>
        <v>15858.380188173272</v>
      </c>
      <c r="Y693" s="47">
        <f t="shared" ca="1" si="600"/>
        <v>65061.522686591641</v>
      </c>
      <c r="Z693" s="49">
        <f t="shared" ca="1" si="601"/>
        <v>69842908.957960859</v>
      </c>
      <c r="AA693" s="97">
        <f t="shared" ca="1" si="602"/>
        <v>113679.38500770699</v>
      </c>
      <c r="AB693" s="115">
        <f ca="1">IF(OR(C693="赤日轮1",C693="赤日轮2",C693="赤日轮3"),IF(RAND()&lt;模拟模式!$Y$17,1,0),IF(OR(C693="幽月轮1",C693="幽月轮2",C693="幽月轮3"),IF(RAND()&lt;模拟模式!$Y$18,1,0),IF(C693="烈日斩",IF(RAND()&lt;模拟模式!$Y$19,1,0),IF(C693="银月斩",IF(RAND()&lt;模拟模式!$Y$20,1,0),IF(C693="驱夜断愁",IF(RAND()&lt;模拟模式!$Y$21,1,0),IF(C693="净世破魔击·日",IF(RAND()&lt;模拟模式!$Y$22,1,0),IF(C693="净世破魔击·月",IF(RAND()&lt;模拟模式!$Y$23,1,0),0)))))))</f>
        <v>1</v>
      </c>
      <c r="AC693" s="115" t="b">
        <f t="shared" ca="1" si="603"/>
        <v>0</v>
      </c>
      <c r="AD693" s="115" t="b">
        <f t="shared" ca="1" si="604"/>
        <v>1</v>
      </c>
      <c r="AE693" s="115">
        <f t="shared" ca="1" si="605"/>
        <v>4</v>
      </c>
      <c r="AF693" s="47">
        <f ca="1">IF(AC693,('模拟-单技能数据'!$D$20+G693*'模拟-单技能数据'!$F$20)*(1+J693)*(1+'模拟-单技能数据'!$J$20)*(1+U693),0)</f>
        <v>0</v>
      </c>
      <c r="AG693" s="61">
        <f t="shared" ca="1" si="606"/>
        <v>0.64185145527300214</v>
      </c>
      <c r="AH693" s="61">
        <f t="shared" ca="1" si="607"/>
        <v>2.2624828854998791</v>
      </c>
      <c r="AI693" s="62">
        <f t="shared" ca="1" si="628"/>
        <v>0.69858997197908079</v>
      </c>
      <c r="AJ693" s="47">
        <f ca="1">IF(AD693,IF(AI693&lt;$F$10,0,IF(AI693&lt;$F$10+$F$11,0.25,IF(AI693&lt;$F$10+$F$11+AG693,AH693,1)))*IF(AF693&gt;0,AF693,IF(AF692&gt;0,AF692,IF(AF691&gt;0,AF691,IF(AF690&gt;0,AF690,IF(AF689&gt;0,AF689,IF(AF688&gt;0,AF688,IF(AF687&gt;0,AF687,IF(AF686&gt;0,AF686,IF(AF685&gt;0,AF685,IF(AF683&gt;0,AF683,IF(AF682&gt;0,AF682,IF(AF681&gt;0,AF681,0)))))))))))),0)*(1-$S693)*'模拟-单技能数据'!$I$20</f>
        <v>4250.4883357170938</v>
      </c>
      <c r="AK693" s="115" t="b">
        <f t="shared" ca="1" si="608"/>
        <v>0</v>
      </c>
      <c r="AL693" s="115" t="b">
        <f t="shared" ca="1" si="609"/>
        <v>1</v>
      </c>
      <c r="AM693" s="115">
        <f t="shared" ca="1" si="610"/>
        <v>3</v>
      </c>
      <c r="AN693" s="47">
        <f ca="1">IF(AK693,('模拟-单技能数据'!$D$21+G693*'模拟-单技能数据'!$F$21)*(1+J693)*(1+'模拟-单技能数据'!$J$21)*(1+U693),0)</f>
        <v>0</v>
      </c>
      <c r="AO693" s="61">
        <f ca="1">IF(AN693&gt;0,M693-'模拟-单技能数据'!$K$10,AO692)</f>
        <v>0.42185145527300216</v>
      </c>
      <c r="AP693" s="61">
        <f ca="1">IF(AN693&gt;0,I693-'模拟-单技能数据'!$L$10,AP692)</f>
        <v>2.162482885499879</v>
      </c>
      <c r="AQ693" s="63">
        <f t="shared" ca="1" si="629"/>
        <v>0.68218815694186696</v>
      </c>
      <c r="AR693" s="64">
        <f ca="1">IF(AL693,IF(AQ693&lt;$F$10,0,IF(AQ693&lt;$F$10+$F$11,0.25,IF(AQ693&lt;$F$10+$F$11+AO693,AP693,1)))*IF(AN693&gt;0,AN693,IF(AN692&gt;0,AN692,IF(AN691&gt;0,AN691,IF(AN690&gt;0,AN690,IF(AN689&gt;0,AN689,IF(AN688&gt;0,AN688,IF(AN687&gt;0,AN687,IF(AN686&gt;0,AN686,IF(AN685&gt;0,AN685,IF(AN683&gt;0,AN683,IF(AN682&gt;0,AN682,IF(AN681&gt;0,AN681,0)))))))))))),0)*(1-$S693)*'模拟-单技能数据'!$I$21</f>
        <v>11607.89185245618</v>
      </c>
      <c r="AS693" s="61">
        <f ca="1">IF(OR(C693="净世破魔击·日",C693="净世破魔击·月"),M693-'模拟-单技能数据'!$K$10,0)</f>
        <v>0</v>
      </c>
      <c r="AT693" s="61">
        <f ca="1">IF(OR(C693="净世破魔击·日",C693="净世破魔击·月"),I693-'模拟-单技能数据'!$L$10,0)</f>
        <v>0</v>
      </c>
      <c r="AU693" s="62">
        <f t="shared" ca="1" si="630"/>
        <v>0.85339254644369689</v>
      </c>
      <c r="AV693" s="64">
        <f ca="1">IF(AS693&gt;0,('模拟-单技能数据'!$D$22+G693*'模拟-单技能数据'!$F$22)*(1+J693)*(1-S693)*IF(AU693&lt;$F$10,0,IF(AU693&lt;$F$10+$F$11,0.25,IF(AU693&lt;$F$10+$F$11+AS693,AT693,1)))*(1+U693),0)*'模拟-单技能数据'!$I$22</f>
        <v>0</v>
      </c>
      <c r="AW693" s="108">
        <f t="shared" ca="1" si="631"/>
        <v>8.0075000000000074</v>
      </c>
      <c r="AX693" s="108" t="b">
        <f ca="1">AND(模拟模式!$P$10="有",AW692=0,RAND()&lt;IF(C693="净世破魔击·月",0.1*8/3,IF(C693="净世破魔击·日",0.1*4/3,0.1*2/3)))</f>
        <v>0</v>
      </c>
      <c r="AY693" s="47">
        <f ca="1">IF(AX693,(18+G693*0.722)*(1+J693)*(1-S693)*(1+$I$4)*IF(P693="会",'模拟-全程加成'!$J$3+'模拟-全程加成'!$J$4+'模拟-全程加成'!$J$5+('模拟-全程加成'!$I$4+'模拟-全程加成'!$I$5)/系数!$B$4+BG693*10%,IF(P693="命",1,IF(P693="识",0.25,0))),0)</f>
        <v>0</v>
      </c>
      <c r="AZ693" s="108">
        <f t="shared" si="632"/>
        <v>14.465000000000003</v>
      </c>
      <c r="BA693" s="108" t="b">
        <f>AND(模拟模式!$Q$10="有",AZ692=0)</f>
        <v>0</v>
      </c>
      <c r="BB693" s="140">
        <f>IF(BA693,(0+G693*0.287)*(1+J693)*(1-S693)*(1+$I$4)*IF(P693="会",'模拟-全程加成'!$J$3+'模拟-全程加成'!$J$4+'模拟-全程加成'!$J$5+('模拟-全程加成'!$I$4+'模拟-全程加成'!$I$5)/系数!$B$4+BG693*10%,IF(P693="命",1,IF(P693="识",0.25,0))),0)</f>
        <v>0</v>
      </c>
      <c r="BC693" s="115" t="b">
        <f ca="1">AND(模拟模式!$R$7="伏明众生",E693=60,F693=20,DA693&lt;5,CZ692&lt;$F$4)</f>
        <v>0</v>
      </c>
      <c r="BD693" s="115">
        <f t="shared" ca="1" si="611"/>
        <v>0</v>
      </c>
      <c r="BE693" s="115" t="b">
        <f t="shared" ca="1" si="612"/>
        <v>0</v>
      </c>
      <c r="BF693" s="47">
        <f ca="1">IF(BC693,4*('模拟-单技能数据'!$D$24+G693*'模拟-单技能数据'!$F$24)*(1+J693)*(1+'模拟-单技能数据'!$J$24)*(1-S693)*(1+$I$3)*(('模拟-全程加成'!$J$3+'模拟-全程加成'!$J$4+'模拟-全程加成'!$J$5+('模拟-全程加成'!$I$4+'模拟-全程加成'!$I$5)/系数!$B$4+BG693*10%)*('模拟-全程加成'!$J$3+'模拟-全程加成'!$J$4+'模拟-全程加成'!$J$5+('模拟-全程加成'!$I$4+'模拟-全程加成'!$I$5)/系数!$B$4+BG693*10%)+(1-('模拟-全程加成'!$J$3+'模拟-全程加成'!$J$4+'模拟-全程加成'!$J$5+('模拟-全程加成'!$I$4+'模拟-全程加成'!$I$5)/系数!$B$4+BG693*10%)-$F$10-$F$11)+F679*0.25),0)*'模拟-单技能数据'!$I$24</f>
        <v>0</v>
      </c>
      <c r="BG693" s="115" t="b">
        <f ca="1">OR(AND(OR(C693="烈日斩",C693="银月斩"),模拟模式!$I$7="净身明礼"),AND(C693="净世破魔击·日",模拟模式!$J$7="洞若观火"),AND(C694="净世破魔击·月",模拟模式!$J$7="洞若观火"),AB693=1)</f>
        <v>1</v>
      </c>
      <c r="BH693" s="115" t="b">
        <f t="shared" ca="1" si="633"/>
        <v>1</v>
      </c>
      <c r="BI693" s="115">
        <f t="shared" ca="1" si="613"/>
        <v>6</v>
      </c>
      <c r="BJ693" s="115" t="b">
        <f t="shared" ca="1" si="614"/>
        <v>1</v>
      </c>
      <c r="BK693" s="115" t="b">
        <f ca="1">AND(C693="驱夜断愁",模拟模式!$P$7="天地诛戮")</f>
        <v>0</v>
      </c>
      <c r="BL693" s="57">
        <f t="shared" ca="1" si="615"/>
        <v>19.077500000000001</v>
      </c>
      <c r="BM693" s="115" t="b">
        <f t="shared" ca="1" si="616"/>
        <v>1</v>
      </c>
      <c r="BN693" s="115" t="b">
        <f ca="1">AND(OR(C693="赤日轮1",C693="赤日轮2",C693="赤日轮3",C693="幽月轮1",C693="幽月轮2",C693="幽月轮3"),AB693=1,模拟模式!$L$7="明光恒照")</f>
        <v>0</v>
      </c>
      <c r="BO693" s="117">
        <f t="shared" ca="1" si="617"/>
        <v>24.465000000000003</v>
      </c>
      <c r="BP693" s="115">
        <f t="shared" ca="1" si="634"/>
        <v>6</v>
      </c>
      <c r="BQ693" s="115" t="b">
        <f>模拟模式!$K$10="2600·水"</f>
        <v>0</v>
      </c>
      <c r="BR693" s="117">
        <f t="shared" si="635"/>
        <v>0</v>
      </c>
      <c r="BS693" s="115">
        <f t="shared" si="636"/>
        <v>0</v>
      </c>
      <c r="BT693" s="115">
        <f t="shared" ca="1" si="637"/>
        <v>0</v>
      </c>
      <c r="BU693" s="115" t="b">
        <f ca="1">AND(模拟模式!$K$10="2300·雷",BT692=0,RAND()&lt;IF(C693="净世破魔击·月",5*0.05*2/3,IF(C693="净世破魔击·日",3*0.05*2/3,0.05*2*2/3)))</f>
        <v>0</v>
      </c>
      <c r="BV693" s="115">
        <f t="shared" ca="1" si="638"/>
        <v>0</v>
      </c>
      <c r="BW693" s="115">
        <f t="shared" ca="1" si="639"/>
        <v>123.72749999999924</v>
      </c>
      <c r="BX693" s="164" t="b">
        <f t="shared" ca="1" si="640"/>
        <v>0</v>
      </c>
      <c r="BY693" s="115">
        <f t="shared" ca="1" si="641"/>
        <v>0</v>
      </c>
      <c r="BZ693" s="115">
        <f>IF(OR(模拟模式!$P$16="10人团",模拟模式!$P$16="25人团"),IF(B693/30&gt;CA692,1,0),0)</f>
        <v>0</v>
      </c>
      <c r="CA693" s="115">
        <f t="shared" si="618"/>
        <v>0</v>
      </c>
      <c r="CB693" s="115">
        <f ca="1">IF(BZ693=1,IF(模拟模式!$P$16="10人团",15,0)+IF(模拟模式!$P$16="25人团",IF(RAND()&lt;0.6,15,0)),MAX(0,CB692-$F$4))</f>
        <v>0</v>
      </c>
      <c r="CC693" s="115" t="b">
        <f t="shared" ca="1" si="619"/>
        <v>0</v>
      </c>
      <c r="CD693" s="115">
        <f>IF(模拟模式!$Q$16="1个",IF(B693/40&gt;CE692,1,0),0)</f>
        <v>0</v>
      </c>
      <c r="CE693" s="115">
        <f t="shared" si="620"/>
        <v>0</v>
      </c>
      <c r="CF693" s="115">
        <f>IF(OR(CD693=1,模拟模式!$Q$16="2个"),20,MAX(0,CF692-$F$4))</f>
        <v>0</v>
      </c>
      <c r="CG693" s="115" t="b">
        <f t="shared" si="621"/>
        <v>0</v>
      </c>
      <c r="CH693" s="115">
        <f t="shared" ca="1" si="642"/>
        <v>5.0925000000000118</v>
      </c>
      <c r="CI693" s="115" t="b">
        <f t="shared" ca="1" si="643"/>
        <v>0</v>
      </c>
      <c r="CJ693" s="119">
        <f t="shared" ca="1" si="644"/>
        <v>0</v>
      </c>
      <c r="CK693" s="115">
        <f t="shared" ca="1" si="645"/>
        <v>0</v>
      </c>
      <c r="CL693" s="115" t="b">
        <f ca="1">AND(模拟模式!$S$7="驱夷逐法",OR(AND(C693="净世破魔击·月",E692&gt;59),AND(C693="净世破魔击·日",F692&gt;59)))</f>
        <v>0</v>
      </c>
      <c r="CM693" s="115" t="b">
        <f ca="1">OR(CL693,AND(C693="净世破魔击·日",CL692,RAND()&lt;模拟模式!$U$23))</f>
        <v>0</v>
      </c>
      <c r="CN693" s="115" t="b">
        <f ca="1">IF(模拟模式!$M$7="辉耀红尘",AND(C693="净世破魔击·月",CL693,CV693=0,E692&lt;80),AND(C693="净世破魔击·月",CL693,E692&lt;100))</f>
        <v>0</v>
      </c>
      <c r="CO693" s="115" t="b">
        <f t="shared" ca="1" si="622"/>
        <v>0</v>
      </c>
      <c r="CP693" s="115" t="b">
        <f ca="1">AND(模拟模式!$O$7="用晦而明",OR(C693="净世破魔击·日",C693="净世破魔击·月",C693="驱夜断愁"),AB693)</f>
        <v>0</v>
      </c>
      <c r="CQ693" s="115" t="b">
        <f ca="1">OR(CP693,AND(CP692,RAND()&lt;模拟模式!$U$23))</f>
        <v>1</v>
      </c>
      <c r="CR693" s="115" t="b">
        <f ca="1">AND(模拟模式!$S$7="日月齐光",OR(C693="幽月轮1",C693="幽月轮2",C693="幽月轮3",CR692),NOT(OR(C693="赤日轮1",C693="赤日轮2",C693="赤日轮3")))</f>
        <v>0</v>
      </c>
      <c r="CS693" s="115" t="b">
        <f ca="1">AND(模拟模式!$S$7="日月齐光",OR(C693="赤日轮1",C693="赤日轮2",C693="赤日轮3",CS692),NOT(OR(C693="幽月轮1",C693="幽月轮2",C693="幽月轮3")))</f>
        <v>0</v>
      </c>
      <c r="CT693" s="115">
        <f t="shared" ca="1" si="646"/>
        <v>1.4025000000000118</v>
      </c>
      <c r="CU693" s="115" t="b">
        <f ca="1">AND(模拟模式!$K$10="阴阳往极",CT692=0,RAND()&lt;IF(C693="净世破魔击·月",0.0275*7/3,IF(C693="净世破魔击·日",0.0275*3/3,0.0275*2/3)))</f>
        <v>0</v>
      </c>
      <c r="CV693" s="115">
        <f t="shared" ca="1" si="647"/>
        <v>0</v>
      </c>
      <c r="CW693" s="115">
        <f t="shared" ca="1" si="648"/>
        <v>6</v>
      </c>
      <c r="CX693" s="115">
        <f t="shared" ca="1" si="649"/>
        <v>4.1549999999999994</v>
      </c>
      <c r="CY693" s="115">
        <f ca="1">MAX(IF($C693="驱夜断愁",IF(模拟模式!$R$7="万念俱寂",6,45),CY692-$F$4),0)</f>
        <v>5.0774999999999997</v>
      </c>
      <c r="CZ693" s="115">
        <f t="shared" ca="1" si="623"/>
        <v>0</v>
      </c>
      <c r="DA693" s="115">
        <f ca="1">IF(模拟模式!$N$7="日月同辉",IF(DB692=2,0,MIN(6,IF(AND(OR(C693="赤日轮1",C693="赤日轮2",C693="赤日轮3",C693="幽月轮1",C693="幽月轮2",C693="幽月轮3"),AB693=1),DA692+1,DA692))),0)</f>
        <v>0</v>
      </c>
      <c r="DB693" s="115">
        <f t="shared" ca="1" si="624"/>
        <v>0</v>
      </c>
      <c r="DC693" s="115"/>
      <c r="DD693" s="115"/>
      <c r="DE693" s="115"/>
      <c r="DF693" s="115"/>
      <c r="DG693" s="115"/>
      <c r="DH693" s="115"/>
      <c r="DI693" s="115"/>
      <c r="DJ693" s="115"/>
      <c r="DK693" s="115"/>
      <c r="DL693" s="115"/>
      <c r="DM693" s="115"/>
    </row>
    <row r="694" spans="2:117" x14ac:dyDescent="0.2">
      <c r="B694" s="117">
        <f t="shared" si="625"/>
        <v>615.30750000000705</v>
      </c>
      <c r="C694" s="167" t="str">
        <f t="shared" ca="1" si="594"/>
        <v>幽月轮1</v>
      </c>
      <c r="D694" s="115">
        <f ca="1">IF(C694="赤日轮1",1,IF(C694="赤日轮2",2,IF(C694="赤日轮3",3,IF(C694="幽月轮1",4,IF(C694="幽月轮2",5,IF(C694="幽月轮3",6,IF(C694="烈日斩",7,IF(C694="银月斩",8,IF(C694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694="净世破魔击·月",17,IF(C694="驱夜断愁",18,0)))))))))))</f>
        <v>4</v>
      </c>
      <c r="E694" s="115">
        <f ca="1">IF(AND(CU694,OR(C694="幽月轮1",C694="幽月轮2",C694="幽月轮3",C694="银月斩",C694="驱夜断愁",C694="净世破魔击·月")),100,MIN(IF(OR(CN694,BE694),0,IF(OR($C694="赤日轮1",$C694="赤日轮2",$C694="赤日轮3"),E693+20+IF(模拟模式!$I$7="日月凌天",4,0)+IF(CR693,20,0),IF($C694="烈日斩",E693+40,IF($C694="驱夜断愁",IF(模拟模式!$R$7="万念俱寂",E693+20,E693+60),IF($C694="净世破魔击·月",IF(OR(DB693&gt;0,CV693&gt;0),100,IF(模拟模式!$M$7="辉耀红尘",E693+20,E693)),IF($C694="净世破魔击·日",E693-100,E693)))))),100))</f>
        <v>80</v>
      </c>
      <c r="F694" s="115">
        <f ca="1">IF(AND(CU694,OR(C694="赤日轮1",C694="赤日轮2",C694="赤日轮3",C694="烈日斩",C694="净世破魔击·日")),100,MIN(IF(CO694,0,IF(OR($C694="幽月轮1",$C694="幽月轮2",$C694="幽月轮3"),F693+20+IF(模拟模式!$I$7="日月凌天",4,0)+IF(CS693,20,0),IF($C694="银月斩",F693+40+IF(模拟模式!$X$12=1,5,0),IF($C694="驱夜断愁",IF(模拟模式!$R$7="万念俱寂",F693+20,F693+60),IF($C694="净世破魔击·月",IF(模拟模式!$M$7="辉耀红尘",F693-80,F693-100),IF(AND(C694="净世破魔击·日",OR(DB693&gt;0,CV693&gt;0)),100,F693)))))),100))</f>
        <v>100</v>
      </c>
      <c r="G694" s="117">
        <f ca="1">('模拟-全程加成'!$E$3+'模拟-全程加成'!$E$4+'模拟-全程加成'!$E$5+('模拟-全程加成'!$C$6-'模拟-全程加成'!$C$3)*系数!$B$9+BS694*23)*(1+'模拟-全程加成'!$F$4+'模拟-全程加成'!$F$5+BJ694*10%+BM694*20%+BP694*4%+CG694*30%)+$F$7*系数!$B$12</f>
        <v>21493.829400000002</v>
      </c>
      <c r="H694" s="45">
        <f ca="1">'模拟-全程加成'!$H$3+'模拟-全程加成'!$H$4+'模拟-全程加成'!$H$5+('模拟-全程加成'!$G$4+'模拟-全程加成'!$G$5+('模拟-全程加成'!$C$6-'模拟-全程加成'!$C$3)*系数!$B$13)/系数!$B$3+LOOKUP(D694,'模拟-单技能数据'!$A$2:$A$19,'模拟-单技能数据'!$K$2:$K$19)+BG694*10%+IF(BV694&gt;0,378,0)</f>
        <v>0.51185145527300213</v>
      </c>
      <c r="I694" s="45">
        <f ca="1">'模拟-全程加成'!$J$3+'模拟-全程加成'!$J$4+'模拟-全程加成'!$J$5+('模拟-全程加成'!$I$4+'模拟-全程加成'!$I$5)/系数!$B$4+LOOKUP(D694,'模拟-单技能数据'!$A$2:$A$19,'模拟-单技能数据'!$L$2:$L$19)+BG694*10%</f>
        <v>2.162482885499879</v>
      </c>
      <c r="J694" s="45">
        <f ca="1">(('模拟-全程加成'!$K$3+'模拟-全程加成'!$K$4+'模拟-全程加成'!$K$5+('模拟-全程加成'!$C$6-'模拟-全程加成'!$C$3)*系数!$B$10+IF(BV694&gt;0,882,0)+IF(BY694&gt;0,1831,0))*(1+'模拟-全程加成'!$L$4+'模拟-全程加成'!$L$5+CC694*20%))/系数!$B$5</f>
        <v>0.69723220422048726</v>
      </c>
      <c r="K694" s="119">
        <f ca="1">LOOKUP(D694,'模拟-单技能数据'!$A$2:$A$19,'模拟-单技能数据'!$J$2:$J$19)+IF(CM694,60%,0)+IF(DB693-DB694&gt;0,30%,0)+IF(OR(AND(OR(C694="赤日轮1",C694="赤日轮2",C694="赤日轮3"),CR694),AND(OR(C694="幽月轮1",C694="幽月轮2",C694="幽月轮3"),CS694)),35%,0)+CJ694</f>
        <v>7.0000000000000007E-2</v>
      </c>
      <c r="L694" s="119">
        <f ca="1">IF(AND(C694="烈日斩",模拟模式!$X$11=1),10%,0)+IF(AND(C694="驱夜断愁",AB694=1),30%,0)</f>
        <v>0</v>
      </c>
      <c r="M694" s="45">
        <f t="shared" ca="1" si="595"/>
        <v>0.51185145527300213</v>
      </c>
      <c r="N694" s="45">
        <f t="shared" ca="1" si="596"/>
        <v>0.43424854472699792</v>
      </c>
      <c r="O694" s="46">
        <f t="shared" ca="1" si="626"/>
        <v>0.10627822534636466</v>
      </c>
      <c r="P694" s="46" t="str">
        <f t="shared" ca="1" si="597"/>
        <v>会</v>
      </c>
      <c r="Q694" s="45">
        <f t="shared" ca="1" si="598"/>
        <v>2.162482885499879</v>
      </c>
      <c r="R694" s="117">
        <f ca="1">模拟模式!$E$20*(1-IF(模拟模式!$J$19="有",0.15,0))*(1-IF(模拟模式!$K$19="有",0.3,0)-IF(CQ694,0.5,0))</f>
        <v>2950.6049999999996</v>
      </c>
      <c r="S694" s="45">
        <f ca="1">R694/(R694+(185*模拟模式!$E$22-16800)*4.08224)</f>
        <v>0.24272716014590323</v>
      </c>
      <c r="T694" s="45" t="str">
        <f ca="1">LOOKUP(D694,'模拟-单技能数据'!$A$2:$A$19,'模拟-单技能数据'!$H$2:$H$19)</f>
        <v>阴</v>
      </c>
      <c r="U694" s="119">
        <f t="shared" ca="1" si="599"/>
        <v>0.08</v>
      </c>
      <c r="V694" s="47">
        <f ca="1">(1+L694)*(LOOKUP(D694,'模拟-单技能数据'!$A$2:$A$19,'模拟-单技能数据'!$D$2:$D$19)+G694*LOOKUP(D694,'模拟-单技能数据'!$A$2:$A$19,'模拟-单技能数据'!$F$2:$F$19))*(1+J694)*(1+K694)*(1-S694)*(1+U694)*Q694*LOOKUP(D694,'模拟-单技能数据'!$A$2:$A$19,'模拟-单技能数据'!$I$2:$I$20)</f>
        <v>36630.702053185581</v>
      </c>
      <c r="W694" s="47">
        <f ca="1">LOOKUP(D694,'模拟-单技能数据'!$A$2:$A$19,'模拟-单技能数据'!$G$2:$G$19)*$I$10</f>
        <v>361.51064354704795</v>
      </c>
      <c r="X694" s="47">
        <f t="shared" ca="1" si="627"/>
        <v>0</v>
      </c>
      <c r="Y694" s="47">
        <f t="shared" ca="1" si="600"/>
        <v>36992.212696732633</v>
      </c>
      <c r="Z694" s="49">
        <f t="shared" ca="1" si="601"/>
        <v>69879901.17065759</v>
      </c>
      <c r="AA694" s="97">
        <f t="shared" ca="1" si="602"/>
        <v>113569.07102653029</v>
      </c>
      <c r="AB694" s="115">
        <f ca="1">IF(OR(C694="赤日轮1",C694="赤日轮2",C694="赤日轮3"),IF(RAND()&lt;模拟模式!$Y$17,1,0),IF(OR(C694="幽月轮1",C694="幽月轮2",C694="幽月轮3"),IF(RAND()&lt;模拟模式!$Y$18,1,0),IF(C694="烈日斩",IF(RAND()&lt;模拟模式!$Y$19,1,0),IF(C694="银月斩",IF(RAND()&lt;模拟模式!$Y$20,1,0),IF(C694="驱夜断愁",IF(RAND()&lt;模拟模式!$Y$21,1,0),IF(C694="净世破魔击·日",IF(RAND()&lt;模拟模式!$Y$22,1,0),IF(C694="净世破魔击·月",IF(RAND()&lt;模拟模式!$Y$23,1,0),0)))))))</f>
        <v>1</v>
      </c>
      <c r="AC694" s="115" t="b">
        <f t="shared" ca="1" si="603"/>
        <v>0</v>
      </c>
      <c r="AD694" s="115" t="b">
        <f t="shared" ca="1" si="604"/>
        <v>0</v>
      </c>
      <c r="AE694" s="115">
        <f t="shared" ca="1" si="605"/>
        <v>4</v>
      </c>
      <c r="AF694" s="47">
        <f ca="1">IF(AC694,('模拟-单技能数据'!$D$20+G694*'模拟-单技能数据'!$F$20)*(1+J694)*(1+'模拟-单技能数据'!$J$20)*(1+U694),0)</f>
        <v>0</v>
      </c>
      <c r="AG694" s="61">
        <f t="shared" ca="1" si="606"/>
        <v>0.64185145527300214</v>
      </c>
      <c r="AH694" s="61">
        <f t="shared" ca="1" si="607"/>
        <v>2.2624828854998791</v>
      </c>
      <c r="AI694" s="62">
        <f t="shared" ca="1" si="628"/>
        <v>0.52608129390803804</v>
      </c>
      <c r="AJ694" s="47">
        <f ca="1">IF(AD694,IF(AI694&lt;$F$10,0,IF(AI694&lt;$F$10+$F$11,0.25,IF(AI694&lt;$F$10+$F$11+AG694,AH694,1)))*IF(AF694&gt;0,AF694,IF(AF693&gt;0,AF693,IF(AF692&gt;0,AF692,IF(AF691&gt;0,AF691,IF(AF690&gt;0,AF690,IF(AF689&gt;0,AF689,IF(AF688&gt;0,AF688,IF(AF687&gt;0,AF687,IF(AF686&gt;0,AF686,IF(AF684&gt;0,AF684,IF(AF683&gt;0,AF683,IF(AF682&gt;0,AF682,0)))))))))))),0)*(1-$S694)*'模拟-单技能数据'!$I$20</f>
        <v>0</v>
      </c>
      <c r="AK694" s="115" t="b">
        <f t="shared" ca="1" si="608"/>
        <v>0</v>
      </c>
      <c r="AL694" s="115" t="b">
        <f t="shared" ca="1" si="609"/>
        <v>0</v>
      </c>
      <c r="AM694" s="115">
        <f t="shared" ca="1" si="610"/>
        <v>3</v>
      </c>
      <c r="AN694" s="47">
        <f ca="1">IF(AK694,('模拟-单技能数据'!$D$21+G694*'模拟-单技能数据'!$F$21)*(1+J694)*(1+'模拟-单技能数据'!$J$21)*(1+U694),0)</f>
        <v>0</v>
      </c>
      <c r="AO694" s="61">
        <f ca="1">IF(AN694&gt;0,M694-'模拟-单技能数据'!$K$10,AO693)</f>
        <v>0.42185145527300216</v>
      </c>
      <c r="AP694" s="61">
        <f ca="1">IF(AN694&gt;0,I694-'模拟-单技能数据'!$L$10,AP693)</f>
        <v>2.162482885499879</v>
      </c>
      <c r="AQ694" s="63">
        <f t="shared" ca="1" si="629"/>
        <v>0.63727633332743761</v>
      </c>
      <c r="AR694" s="64">
        <f ca="1">IF(AL694,IF(AQ694&lt;$F$10,0,IF(AQ694&lt;$F$10+$F$11,0.25,IF(AQ694&lt;$F$10+$F$11+AO694,AP694,1)))*IF(AN694&gt;0,AN694,IF(AN693&gt;0,AN693,IF(AN692&gt;0,AN692,IF(AN691&gt;0,AN691,IF(AN690&gt;0,AN690,IF(AN689&gt;0,AN689,IF(AN688&gt;0,AN688,IF(AN687&gt;0,AN687,IF(AN686&gt;0,AN686,IF(AN684&gt;0,AN684,IF(AN683&gt;0,AN683,IF(AN682&gt;0,AN682,0)))))))))))),0)*(1-$S694)*'模拟-单技能数据'!$I$21</f>
        <v>0</v>
      </c>
      <c r="AS694" s="61">
        <f ca="1">IF(OR(C694="净世破魔击·日",C694="净世破魔击·月"),M694-'模拟-单技能数据'!$K$10,0)</f>
        <v>0</v>
      </c>
      <c r="AT694" s="61">
        <f ca="1">IF(OR(C694="净世破魔击·日",C694="净世破魔击·月"),I694-'模拟-单技能数据'!$L$10,0)</f>
        <v>0</v>
      </c>
      <c r="AU694" s="62">
        <f t="shared" ca="1" si="630"/>
        <v>9.5259228450780609E-2</v>
      </c>
      <c r="AV694" s="64">
        <f ca="1">IF(AS694&gt;0,('模拟-单技能数据'!$D$22+G694*'模拟-单技能数据'!$F$22)*(1+J694)*(1-S694)*IF(AU694&lt;$F$10,0,IF(AU694&lt;$F$10+$F$11,0.25,IF(AU694&lt;$F$10+$F$11+AS694,AT694,1)))*(1+U694),0)*'模拟-单技能数据'!$I$22</f>
        <v>0</v>
      </c>
      <c r="AW694" s="108">
        <f t="shared" ca="1" si="631"/>
        <v>7.0850000000000071</v>
      </c>
      <c r="AX694" s="108" t="b">
        <f ca="1">AND(模拟模式!$P$10="有",AW693=0,RAND()&lt;IF(C694="净世破魔击·月",0.1*8/3,IF(C694="净世破魔击·日",0.1*4/3,0.1*2/3)))</f>
        <v>0</v>
      </c>
      <c r="AY694" s="47">
        <f ca="1">IF(AX694,(18+G694*0.722)*(1+J694)*(1-S694)*(1+$I$4)*IF(P694="会",'模拟-全程加成'!$J$3+'模拟-全程加成'!$J$4+'模拟-全程加成'!$J$5+('模拟-全程加成'!$I$4+'模拟-全程加成'!$I$5)/系数!$B$4+BG694*10%,IF(P694="命",1,IF(P694="识",0.25,0))),0)</f>
        <v>0</v>
      </c>
      <c r="AZ694" s="108">
        <f t="shared" si="632"/>
        <v>13.542500000000004</v>
      </c>
      <c r="BA694" s="108" t="b">
        <f>AND(模拟模式!$Q$10="有",AZ693=0)</f>
        <v>0</v>
      </c>
      <c r="BB694" s="140">
        <f>IF(BA694,(0+G694*0.287)*(1+J694)*(1-S694)*(1+$I$4)*IF(P694="会",'模拟-全程加成'!$J$3+'模拟-全程加成'!$J$4+'模拟-全程加成'!$J$5+('模拟-全程加成'!$I$4+'模拟-全程加成'!$I$5)/系数!$B$4+BG694*10%,IF(P694="命",1,IF(P694="识",0.25,0))),0)</f>
        <v>0</v>
      </c>
      <c r="BC694" s="115" t="b">
        <f ca="1">AND(模拟模式!$R$7="伏明众生",E694=60,F694=20,DA694&lt;5,CZ693&lt;$F$4)</f>
        <v>0</v>
      </c>
      <c r="BD694" s="115">
        <f t="shared" ca="1" si="611"/>
        <v>0</v>
      </c>
      <c r="BE694" s="115" t="b">
        <f t="shared" ca="1" si="612"/>
        <v>0</v>
      </c>
      <c r="BF694" s="47">
        <f ca="1">IF(BC694,4*('模拟-单技能数据'!$D$24+G694*'模拟-单技能数据'!$F$24)*(1+J694)*(1+'模拟-单技能数据'!$J$24)*(1-S694)*(1+$I$3)*(('模拟-全程加成'!$J$3+'模拟-全程加成'!$J$4+'模拟-全程加成'!$J$5+('模拟-全程加成'!$I$4+'模拟-全程加成'!$I$5)/系数!$B$4+BG694*10%)*('模拟-全程加成'!$J$3+'模拟-全程加成'!$J$4+'模拟-全程加成'!$J$5+('模拟-全程加成'!$I$4+'模拟-全程加成'!$I$5)/系数!$B$4+BG694*10%)+(1-('模拟-全程加成'!$J$3+'模拟-全程加成'!$J$4+'模拟-全程加成'!$J$5+('模拟-全程加成'!$I$4+'模拟-全程加成'!$I$5)/系数!$B$4+BG694*10%)-$F$10-$F$11)+F680*0.25),0)*'模拟-单技能数据'!$I$24</f>
        <v>0</v>
      </c>
      <c r="BG694" s="115" t="b">
        <f ca="1">OR(AND(OR(C694="烈日斩",C694="银月斩"),模拟模式!$I$7="净身明礼"),AND(C694="净世破魔击·日",模拟模式!$J$7="洞若观火"),AND(C695="净世破魔击·月",模拟模式!$J$7="洞若观火"),AB694=1)</f>
        <v>1</v>
      </c>
      <c r="BH694" s="115" t="b">
        <f t="shared" ca="1" si="633"/>
        <v>0</v>
      </c>
      <c r="BI694" s="115">
        <f t="shared" ca="1" si="613"/>
        <v>5.0774999999999997</v>
      </c>
      <c r="BJ694" s="115" t="b">
        <f t="shared" ca="1" si="614"/>
        <v>1</v>
      </c>
      <c r="BK694" s="115" t="b">
        <f ca="1">AND(C694="驱夜断愁",模拟模式!$P$7="天地诛戮")</f>
        <v>0</v>
      </c>
      <c r="BL694" s="57">
        <f t="shared" ca="1" si="615"/>
        <v>18.155000000000001</v>
      </c>
      <c r="BM694" s="115" t="b">
        <f t="shared" ca="1" si="616"/>
        <v>1</v>
      </c>
      <c r="BN694" s="115" t="b">
        <f ca="1">AND(OR(C694="赤日轮1",C694="赤日轮2",C694="赤日轮3",C694="幽月轮1",C694="幽月轮2",C694="幽月轮3"),AB694=1,模拟模式!$L$7="明光恒照")</f>
        <v>1</v>
      </c>
      <c r="BO694" s="117">
        <f t="shared" ca="1" si="617"/>
        <v>30</v>
      </c>
      <c r="BP694" s="115">
        <f t="shared" ca="1" si="634"/>
        <v>6</v>
      </c>
      <c r="BQ694" s="115" t="b">
        <f>模拟模式!$K$10="2600·水"</f>
        <v>0</v>
      </c>
      <c r="BR694" s="117">
        <f t="shared" si="635"/>
        <v>0</v>
      </c>
      <c r="BS694" s="115">
        <f t="shared" si="636"/>
        <v>0</v>
      </c>
      <c r="BT694" s="115">
        <f t="shared" ca="1" si="637"/>
        <v>0</v>
      </c>
      <c r="BU694" s="115" t="b">
        <f ca="1">AND(模拟模式!$K$10="2300·雷",BT693=0,RAND()&lt;IF(C694="净世破魔击·月",5*0.05*2/3,IF(C694="净世破魔击·日",3*0.05*2/3,0.05*2*2/3)))</f>
        <v>0</v>
      </c>
      <c r="BV694" s="115">
        <f t="shared" ca="1" si="638"/>
        <v>0</v>
      </c>
      <c r="BW694" s="115">
        <f t="shared" ca="1" si="639"/>
        <v>122.80499999999924</v>
      </c>
      <c r="BX694" s="164" t="b">
        <f t="shared" ca="1" si="640"/>
        <v>0</v>
      </c>
      <c r="BY694" s="115">
        <f t="shared" ca="1" si="641"/>
        <v>0</v>
      </c>
      <c r="BZ694" s="115">
        <f>IF(OR(模拟模式!$P$16="10人团",模拟模式!$P$16="25人团"),IF(B694/30&gt;CA693,1,0),0)</f>
        <v>0</v>
      </c>
      <c r="CA694" s="115">
        <f t="shared" si="618"/>
        <v>0</v>
      </c>
      <c r="CB694" s="115">
        <f ca="1">IF(BZ694=1,IF(模拟模式!$P$16="10人团",15,0)+IF(模拟模式!$P$16="25人团",IF(RAND()&lt;0.6,15,0)),MAX(0,CB693-$F$4))</f>
        <v>0</v>
      </c>
      <c r="CC694" s="115" t="b">
        <f t="shared" ca="1" si="619"/>
        <v>0</v>
      </c>
      <c r="CD694" s="115">
        <f>IF(模拟模式!$Q$16="1个",IF(B694/40&gt;CE693,1,0),0)</f>
        <v>0</v>
      </c>
      <c r="CE694" s="115">
        <f t="shared" si="620"/>
        <v>0</v>
      </c>
      <c r="CF694" s="115">
        <f>IF(OR(CD694=1,模拟模式!$Q$16="2个"),20,MAX(0,CF693-$F$4))</f>
        <v>0</v>
      </c>
      <c r="CG694" s="115" t="b">
        <f t="shared" si="621"/>
        <v>0</v>
      </c>
      <c r="CH694" s="115">
        <f t="shared" ca="1" si="642"/>
        <v>4.1700000000000115</v>
      </c>
      <c r="CI694" s="115" t="b">
        <f t="shared" ca="1" si="643"/>
        <v>0</v>
      </c>
      <c r="CJ694" s="119">
        <f t="shared" ca="1" si="644"/>
        <v>0</v>
      </c>
      <c r="CK694" s="115">
        <f t="shared" ca="1" si="645"/>
        <v>0</v>
      </c>
      <c r="CL694" s="115" t="b">
        <f ca="1">AND(模拟模式!$S$7="驱夷逐法",OR(AND(C694="净世破魔击·月",E693&gt;59),AND(C694="净世破魔击·日",F693&gt;59)))</f>
        <v>0</v>
      </c>
      <c r="CM694" s="115" t="b">
        <f ca="1">OR(CL694,AND(C694="净世破魔击·日",CL693,RAND()&lt;模拟模式!$U$23))</f>
        <v>0</v>
      </c>
      <c r="CN694" s="115" t="b">
        <f ca="1">IF(模拟模式!$M$7="辉耀红尘",AND(C694="净世破魔击·月",CL694,CV694=0,E693&lt;80),AND(C694="净世破魔击·月",CL694,E693&lt;100))</f>
        <v>0</v>
      </c>
      <c r="CO694" s="115" t="b">
        <f t="shared" ca="1" si="622"/>
        <v>0</v>
      </c>
      <c r="CP694" s="115" t="b">
        <f ca="1">AND(模拟模式!$O$7="用晦而明",OR(C694="净世破魔击·日",C694="净世破魔击·月",C694="驱夜断愁"),AB694)</f>
        <v>0</v>
      </c>
      <c r="CQ694" s="115" t="b">
        <f ca="1">OR(CP694,AND(CP693,RAND()&lt;模拟模式!$U$23))</f>
        <v>0</v>
      </c>
      <c r="CR694" s="115" t="b">
        <f ca="1">AND(模拟模式!$S$7="日月齐光",OR(C694="幽月轮1",C694="幽月轮2",C694="幽月轮3",CR693),NOT(OR(C694="赤日轮1",C694="赤日轮2",C694="赤日轮3")))</f>
        <v>0</v>
      </c>
      <c r="CS694" s="115" t="b">
        <f ca="1">AND(模拟模式!$S$7="日月齐光",OR(C694="赤日轮1",C694="赤日轮2",C694="赤日轮3",CS693),NOT(OR(C694="幽月轮1",C694="幽月轮2",C694="幽月轮3")))</f>
        <v>0</v>
      </c>
      <c r="CT694" s="115">
        <f t="shared" ca="1" si="646"/>
        <v>0.48000000000001186</v>
      </c>
      <c r="CU694" s="115" t="b">
        <f ca="1">AND(模拟模式!$K$10="阴阳往极",CT693=0,RAND()&lt;IF(C694="净世破魔击·月",0.0275*7/3,IF(C694="净世破魔击·日",0.0275*3/3,0.0275*2/3)))</f>
        <v>0</v>
      </c>
      <c r="CV694" s="115">
        <f t="shared" ca="1" si="647"/>
        <v>0</v>
      </c>
      <c r="CW694" s="115">
        <f t="shared" ca="1" si="648"/>
        <v>5.0774999999999997</v>
      </c>
      <c r="CX694" s="115">
        <f t="shared" ca="1" si="649"/>
        <v>3.2324999999999995</v>
      </c>
      <c r="CY694" s="115">
        <f ca="1">MAX(IF($C694="驱夜断愁",IF(模拟模式!$R$7="万念俱寂",6,45),CY693-$F$4),0)</f>
        <v>4.1549999999999994</v>
      </c>
      <c r="CZ694" s="115">
        <f t="shared" ca="1" si="623"/>
        <v>0</v>
      </c>
      <c r="DA694" s="115">
        <f ca="1">IF(模拟模式!$N$7="日月同辉",IF(DB693=2,0,MIN(6,IF(AND(OR(C694="赤日轮1",C694="赤日轮2",C694="赤日轮3",C694="幽月轮1",C694="幽月轮2",C694="幽月轮3"),AB694=1),DA693+1,DA693))),0)</f>
        <v>1</v>
      </c>
      <c r="DB694" s="115">
        <f t="shared" ca="1" si="624"/>
        <v>0</v>
      </c>
      <c r="DC694" s="115"/>
      <c r="DD694" s="115"/>
      <c r="DE694" s="115"/>
      <c r="DF694" s="115"/>
      <c r="DG694" s="115"/>
      <c r="DH694" s="115"/>
      <c r="DI694" s="115"/>
      <c r="DJ694" s="115"/>
      <c r="DK694" s="115"/>
      <c r="DL694" s="115"/>
      <c r="DM694" s="115"/>
    </row>
    <row r="695" spans="2:117" x14ac:dyDescent="0.2">
      <c r="B695" s="117">
        <f t="shared" si="625"/>
        <v>616.23000000000707</v>
      </c>
      <c r="C695" s="167" t="str">
        <f t="shared" ca="1" si="594"/>
        <v>净世破魔击·月</v>
      </c>
      <c r="D695" s="115">
        <f ca="1">IF(C695="赤日轮1",1,IF(C695="赤日轮2",2,IF(C695="赤日轮3",3,IF(C695="幽月轮1",4,IF(C695="幽月轮2",5,IF(C695="幽月轮3",6,IF(C695="烈日斩",7,IF(C695="银月斩",8,IF(C695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695="净世破魔击·月",17,IF(C695="驱夜断愁",18,0)))))))))))</f>
        <v>17</v>
      </c>
      <c r="E695" s="115">
        <f ca="1">IF(AND(CU695,OR(C695="幽月轮1",C695="幽月轮2",C695="幽月轮3",C695="银月斩",C695="驱夜断愁",C695="净世破魔击·月")),100,MIN(IF(OR(CN695,BE695),0,IF(OR($C695="赤日轮1",$C695="赤日轮2",$C695="赤日轮3"),E694+20+IF(模拟模式!$I$7="日月凌天",4,0)+IF(CR694,20,0),IF($C695="烈日斩",E694+40,IF($C695="驱夜断愁",IF(模拟模式!$R$7="万念俱寂",E694+20,E694+60),IF($C695="净世破魔击·月",IF(OR(DB694&gt;0,CV694&gt;0),100,IF(模拟模式!$M$7="辉耀红尘",E694+20,E694)),IF($C695="净世破魔击·日",E694-100,E694)))))),100))</f>
        <v>100</v>
      </c>
      <c r="F695" s="115">
        <f ca="1">IF(AND(CU695,OR(C695="赤日轮1",C695="赤日轮2",C695="赤日轮3",C695="烈日斩",C695="净世破魔击·日")),100,MIN(IF(CO695,0,IF(OR($C695="幽月轮1",$C695="幽月轮2",$C695="幽月轮3"),F694+20+IF(模拟模式!$I$7="日月凌天",4,0)+IF(CS694,20,0),IF($C695="银月斩",F694+40+IF(模拟模式!$X$12=1,5,0),IF($C695="驱夜断愁",IF(模拟模式!$R$7="万念俱寂",F694+20,F694+60),IF($C695="净世破魔击·月",IF(模拟模式!$M$7="辉耀红尘",F694-80,F694-100),IF(AND(C695="净世破魔击·日",OR(DB694&gt;0,CV694&gt;0)),100,F694)))))),100))</f>
        <v>20</v>
      </c>
      <c r="G695" s="117">
        <f ca="1">('模拟-全程加成'!$E$3+'模拟-全程加成'!$E$4+'模拟-全程加成'!$E$5+('模拟-全程加成'!$C$6-'模拟-全程加成'!$C$3)*系数!$B$9+BS695*23)*(1+'模拟-全程加成'!$F$4+'模拟-全程加成'!$F$5+BJ695*10%+BM695*20%+BP695*4%+CG695*30%)+$F$7*系数!$B$12</f>
        <v>21493.829400000002</v>
      </c>
      <c r="H695" s="45">
        <f ca="1">'模拟-全程加成'!$H$3+'模拟-全程加成'!$H$4+'模拟-全程加成'!$H$5+('模拟-全程加成'!$G$4+'模拟-全程加成'!$G$5+('模拟-全程加成'!$C$6-'模拟-全程加成'!$C$3)*系数!$B$13)/系数!$B$3+LOOKUP(D695,'模拟-单技能数据'!$A$2:$A$19,'模拟-单技能数据'!$K$2:$K$19)+BG695*10%+IF(BV695&gt;0,378,0)</f>
        <v>0.54185145527300216</v>
      </c>
      <c r="I695" s="45">
        <f ca="1">'模拟-全程加成'!$J$3+'模拟-全程加成'!$J$4+'模拟-全程加成'!$J$5+('模拟-全程加成'!$I$4+'模拟-全程加成'!$I$5)/系数!$B$4+LOOKUP(D695,'模拟-单技能数据'!$A$2:$A$19,'模拟-单技能数据'!$L$2:$L$19)+BG695*10%</f>
        <v>2.162482885499879</v>
      </c>
      <c r="J695" s="45">
        <f ca="1">(('模拟-全程加成'!$K$3+'模拟-全程加成'!$K$4+'模拟-全程加成'!$K$5+('模拟-全程加成'!$C$6-'模拟-全程加成'!$C$3)*系数!$B$10+IF(BV695&gt;0,882,0)+IF(BY695&gt;0,1831,0))*(1+'模拟-全程加成'!$L$4+'模拟-全程加成'!$L$5+CC695*20%))/系数!$B$5</f>
        <v>0.69723220422048726</v>
      </c>
      <c r="K695" s="119">
        <f ca="1">LOOKUP(D695,'模拟-单技能数据'!$A$2:$A$19,'模拟-单技能数据'!$J$2:$J$19)+IF(CM695,60%,0)+IF(DB694-DB695&gt;0,30%,0)+IF(OR(AND(OR(C695="赤日轮1",C695="赤日轮2",C695="赤日轮3"),CR695),AND(OR(C695="幽月轮1",C695="幽月轮2",C695="幽月轮3"),CS695)),35%,0)+CJ695</f>
        <v>0.8</v>
      </c>
      <c r="L695" s="119">
        <f ca="1">IF(AND(C695="烈日斩",模拟模式!$X$11=1),10%,0)+IF(AND(C695="驱夜断愁",AB695=1),30%,0)</f>
        <v>0</v>
      </c>
      <c r="M695" s="45">
        <f t="shared" ca="1" si="595"/>
        <v>0.54185145527300216</v>
      </c>
      <c r="N695" s="45">
        <f t="shared" ca="1" si="596"/>
        <v>0.40424854472699789</v>
      </c>
      <c r="O695" s="46">
        <f t="shared" ca="1" si="626"/>
        <v>0.91623579463229377</v>
      </c>
      <c r="P695" s="46" t="str">
        <f t="shared" ca="1" si="597"/>
        <v>命</v>
      </c>
      <c r="Q695" s="45">
        <f t="shared" ca="1" si="598"/>
        <v>1</v>
      </c>
      <c r="R695" s="117">
        <f ca="1">模拟模式!$E$20*(1-IF(模拟模式!$J$19="有",0.15,0))*(1-IF(模拟模式!$K$19="有",0.3,0)-IF(CQ695,0.5,0))</f>
        <v>843.02999999999975</v>
      </c>
      <c r="S695" s="45">
        <f ca="1">R695/(R695+(185*模拟模式!$E$22-16800)*4.08224)</f>
        <v>8.389626085980037E-2</v>
      </c>
      <c r="T695" s="45" t="str">
        <f ca="1">LOOKUP(D695,'模拟-单技能数据'!$A$2:$A$19,'模拟-单技能数据'!$H$2:$H$19)</f>
        <v>阴</v>
      </c>
      <c r="U695" s="119">
        <f t="shared" ca="1" si="599"/>
        <v>0.08</v>
      </c>
      <c r="V695" s="47">
        <f ca="1">(1+L695)*(LOOKUP(D695,'模拟-单技能数据'!$A$2:$A$19,'模拟-单技能数据'!$D$2:$D$19)+G695*LOOKUP(D695,'模拟-单技能数据'!$A$2:$A$19,'模拟-单技能数据'!$F$2:$F$19))*(1+J695)*(1+K695)*(1-S695)*(1+U695)*Q695*LOOKUP(D695,'模拟-单技能数据'!$A$2:$A$19,'模拟-单技能数据'!$I$2:$I$20)</f>
        <v>84412.793434348554</v>
      </c>
      <c r="W695" s="47">
        <f ca="1">LOOKUP(D695,'模拟-单技能数据'!$A$2:$A$19,'模拟-单技能数据'!$G$2:$G$19)*$I$10</f>
        <v>361.51064354704795</v>
      </c>
      <c r="X695" s="47">
        <f t="shared" ca="1" si="627"/>
        <v>17847.432877516134</v>
      </c>
      <c r="Y695" s="47">
        <f t="shared" ca="1" si="600"/>
        <v>102621.73695541173</v>
      </c>
      <c r="Z695" s="49">
        <f t="shared" ca="1" si="601"/>
        <v>69982522.907613009</v>
      </c>
      <c r="AA695" s="97">
        <f t="shared" ca="1" si="602"/>
        <v>113565.58899698523</v>
      </c>
      <c r="AB695" s="115">
        <f ca="1">IF(OR(C695="赤日轮1",C695="赤日轮2",C695="赤日轮3"),IF(RAND()&lt;模拟模式!$Y$17,1,0),IF(OR(C695="幽月轮1",C695="幽月轮2",C695="幽月轮3"),IF(RAND()&lt;模拟模式!$Y$18,1,0),IF(C695="烈日斩",IF(RAND()&lt;模拟模式!$Y$19,1,0),IF(C695="银月斩",IF(RAND()&lt;模拟模式!$Y$20,1,0),IF(C695="驱夜断愁",IF(RAND()&lt;模拟模式!$Y$21,1,0),IF(C695="净世破魔击·日",IF(RAND()&lt;模拟模式!$Y$22,1,0),IF(C695="净世破魔击·月",IF(RAND()&lt;模拟模式!$Y$23,1,0),0)))))))</f>
        <v>1</v>
      </c>
      <c r="AC695" s="115" t="b">
        <f t="shared" ca="1" si="603"/>
        <v>0</v>
      </c>
      <c r="AD695" s="115" t="b">
        <f t="shared" ca="1" si="604"/>
        <v>1</v>
      </c>
      <c r="AE695" s="115">
        <f t="shared" ca="1" si="605"/>
        <v>3</v>
      </c>
      <c r="AF695" s="47">
        <f ca="1">IF(AC695,('模拟-单技能数据'!$D$20+G695*'模拟-单技能数据'!$F$20)*(1+J695)*(1+'模拟-单技能数据'!$J$20)*(1+U695),0)</f>
        <v>0</v>
      </c>
      <c r="AG695" s="61">
        <f t="shared" ca="1" si="606"/>
        <v>0.64185145527300214</v>
      </c>
      <c r="AH695" s="61">
        <f t="shared" ca="1" si="607"/>
        <v>2.2624828854998791</v>
      </c>
      <c r="AI695" s="62">
        <f t="shared" ca="1" si="628"/>
        <v>0.71255565848288216</v>
      </c>
      <c r="AJ695" s="47">
        <f ca="1">IF(AD695,IF(AI695&lt;$F$10,0,IF(AI695&lt;$F$10+$F$11,0.25,IF(AI695&lt;$F$10+$F$11+AG695,AH695,1)))*IF(AF695&gt;0,AF695,IF(AF694&gt;0,AF694,IF(AF693&gt;0,AF693,IF(AF692&gt;0,AF692,IF(AF691&gt;0,AF691,IF(AF690&gt;0,AF690,IF(AF689&gt;0,AF689,IF(AF688&gt;0,AF688,IF(AF687&gt;0,AF687,IF(AF685&gt;0,AF685,IF(AF684&gt;0,AF684,IF(AF683&gt;0,AF683,0)))))))))))),0)*(1-$S695)*'模拟-单技能数据'!$I$20</f>
        <v>4250.4883357170938</v>
      </c>
      <c r="AK695" s="115" t="b">
        <f t="shared" ca="1" si="608"/>
        <v>0</v>
      </c>
      <c r="AL695" s="115" t="b">
        <f t="shared" ca="1" si="609"/>
        <v>1</v>
      </c>
      <c r="AM695" s="115">
        <f t="shared" ca="1" si="610"/>
        <v>2</v>
      </c>
      <c r="AN695" s="47">
        <f ca="1">IF(AK695,('模拟-单技能数据'!$D$21+G695*'模拟-单技能数据'!$F$21)*(1+J695)*(1+'模拟-单技能数据'!$J$21)*(1+U695),0)</f>
        <v>0</v>
      </c>
      <c r="AO695" s="61">
        <f ca="1">IF(AN695&gt;0,M695-'模拟-单技能数据'!$K$10,AO694)</f>
        <v>0.42185145527300216</v>
      </c>
      <c r="AP695" s="61">
        <f ca="1">IF(AN695&gt;0,I695-'模拟-单技能数据'!$L$10,AP694)</f>
        <v>2.162482885499879</v>
      </c>
      <c r="AQ695" s="63">
        <f t="shared" ca="1" si="629"/>
        <v>0.50048999961002938</v>
      </c>
      <c r="AR695" s="64">
        <f ca="1">IF(AL695,IF(AQ695&lt;$F$10,0,IF(AQ695&lt;$F$10+$F$11,0.25,IF(AQ695&lt;$F$10+$F$11+AO695,AP695,1)))*IF(AN695&gt;0,AN695,IF(AN694&gt;0,AN694,IF(AN693&gt;0,AN693,IF(AN692&gt;0,AN692,IF(AN691&gt;0,AN691,IF(AN690&gt;0,AN690,IF(AN689&gt;0,AN689,IF(AN688&gt;0,AN688,IF(AN687&gt;0,AN687,IF(AN685&gt;0,AN685,IF(AN684&gt;0,AN684,IF(AN683&gt;0,AN683,0)))))))))))),0)*(1-$S695)*'模拟-单技能数据'!$I$21</f>
        <v>11607.89185245618</v>
      </c>
      <c r="AS695" s="61">
        <f ca="1">IF(OR(C695="净世破魔击·日",C695="净世破魔击·月"),M695-'模拟-单技能数据'!$K$10,0)</f>
        <v>0.42185145527300216</v>
      </c>
      <c r="AT695" s="61">
        <f ca="1">IF(OR(C695="净世破魔击·日",C695="净世破魔击·月"),I695-'模拟-单技能数据'!$L$10,0)</f>
        <v>2.162482885499879</v>
      </c>
      <c r="AU695" s="62">
        <f t="shared" ca="1" si="630"/>
        <v>3.3870408058162993E-2</v>
      </c>
      <c r="AV695" s="64">
        <f ca="1">IF(AS695&gt;0,('模拟-单技能数据'!$D$22+G695*'模拟-单技能数据'!$F$22)*(1+J695)*(1-S695)*IF(AU695&lt;$F$10,0,IF(AU695&lt;$F$10+$F$11,0.25,IF(AU695&lt;$F$10+$F$11+AS695,AT695,1)))*(1+U695),0)*'模拟-单技能数据'!$I$22</f>
        <v>1989.0526893428616</v>
      </c>
      <c r="AW695" s="108">
        <f t="shared" ca="1" si="631"/>
        <v>6.1625000000000068</v>
      </c>
      <c r="AX695" s="108" t="b">
        <f ca="1">AND(模拟模式!$P$10="有",AW694=0,RAND()&lt;IF(C695="净世破魔击·月",0.1*8/3,IF(C695="净世破魔击·日",0.1*4/3,0.1*2/3)))</f>
        <v>0</v>
      </c>
      <c r="AY695" s="47">
        <f ca="1">IF(AX695,(18+G695*0.722)*(1+J695)*(1-S695)*(1+$I$4)*IF(P695="会",'模拟-全程加成'!$J$3+'模拟-全程加成'!$J$4+'模拟-全程加成'!$J$5+('模拟-全程加成'!$I$4+'模拟-全程加成'!$I$5)/系数!$B$4+BG695*10%,IF(P695="命",1,IF(P695="识",0.25,0))),0)</f>
        <v>0</v>
      </c>
      <c r="AZ695" s="108">
        <f t="shared" si="632"/>
        <v>12.620000000000005</v>
      </c>
      <c r="BA695" s="108" t="b">
        <f>AND(模拟模式!$Q$10="有",AZ694=0)</f>
        <v>0</v>
      </c>
      <c r="BB695" s="140">
        <f>IF(BA695,(0+G695*0.287)*(1+J695)*(1-S695)*(1+$I$4)*IF(P695="会",'模拟-全程加成'!$J$3+'模拟-全程加成'!$J$4+'模拟-全程加成'!$J$5+('模拟-全程加成'!$I$4+'模拟-全程加成'!$I$5)/系数!$B$4+BG695*10%,IF(P695="命",1,IF(P695="识",0.25,0))),0)</f>
        <v>0</v>
      </c>
      <c r="BC695" s="115" t="b">
        <f ca="1">AND(模拟模式!$R$7="伏明众生",E695=60,F695=20,DA695&lt;5,CZ694&lt;$F$4)</f>
        <v>0</v>
      </c>
      <c r="BD695" s="115">
        <f t="shared" ca="1" si="611"/>
        <v>0</v>
      </c>
      <c r="BE695" s="115" t="b">
        <f t="shared" ca="1" si="612"/>
        <v>0</v>
      </c>
      <c r="BF695" s="47">
        <f ca="1">IF(BC695,4*('模拟-单技能数据'!$D$24+G695*'模拟-单技能数据'!$F$24)*(1+J695)*(1+'模拟-单技能数据'!$J$24)*(1-S695)*(1+$I$3)*(('模拟-全程加成'!$J$3+'模拟-全程加成'!$J$4+'模拟-全程加成'!$J$5+('模拟-全程加成'!$I$4+'模拟-全程加成'!$I$5)/系数!$B$4+BG695*10%)*('模拟-全程加成'!$J$3+'模拟-全程加成'!$J$4+'模拟-全程加成'!$J$5+('模拟-全程加成'!$I$4+'模拟-全程加成'!$I$5)/系数!$B$4+BG695*10%)+(1-('模拟-全程加成'!$J$3+'模拟-全程加成'!$J$4+'模拟-全程加成'!$J$5+('模拟-全程加成'!$I$4+'模拟-全程加成'!$I$5)/系数!$B$4+BG695*10%)-$F$10-$F$11)+F681*0.25),0)*'模拟-单技能数据'!$I$24</f>
        <v>0</v>
      </c>
      <c r="BG695" s="115" t="b">
        <f ca="1">OR(AND(OR(C695="烈日斩",C695="银月斩"),模拟模式!$I$7="净身明礼"),AND(C695="净世破魔击·日",模拟模式!$J$7="洞若观火"),AND(C696="净世破魔击·月",模拟模式!$J$7="洞若观火"),AB695=1)</f>
        <v>1</v>
      </c>
      <c r="BH695" s="115" t="b">
        <f t="shared" ca="1" si="633"/>
        <v>0</v>
      </c>
      <c r="BI695" s="115">
        <f t="shared" ca="1" si="613"/>
        <v>4.1549999999999994</v>
      </c>
      <c r="BJ695" s="115" t="b">
        <f t="shared" ca="1" si="614"/>
        <v>1</v>
      </c>
      <c r="BK695" s="115" t="b">
        <f ca="1">AND(C695="驱夜断愁",模拟模式!$P$7="天地诛戮")</f>
        <v>0</v>
      </c>
      <c r="BL695" s="57">
        <f t="shared" ca="1" si="615"/>
        <v>17.232500000000002</v>
      </c>
      <c r="BM695" s="115" t="b">
        <f t="shared" ca="1" si="616"/>
        <v>1</v>
      </c>
      <c r="BN695" s="115" t="b">
        <f ca="1">AND(OR(C695="赤日轮1",C695="赤日轮2",C695="赤日轮3",C695="幽月轮1",C695="幽月轮2",C695="幽月轮3"),AB695=1,模拟模式!$L$7="明光恒照")</f>
        <v>0</v>
      </c>
      <c r="BO695" s="117">
        <f t="shared" ca="1" si="617"/>
        <v>29.077500000000001</v>
      </c>
      <c r="BP695" s="115">
        <f t="shared" ca="1" si="634"/>
        <v>6</v>
      </c>
      <c r="BQ695" s="115" t="b">
        <f>模拟模式!$K$10="2600·水"</f>
        <v>0</v>
      </c>
      <c r="BR695" s="117">
        <f t="shared" si="635"/>
        <v>0</v>
      </c>
      <c r="BS695" s="115">
        <f t="shared" si="636"/>
        <v>0</v>
      </c>
      <c r="BT695" s="115">
        <f t="shared" ca="1" si="637"/>
        <v>0</v>
      </c>
      <c r="BU695" s="115" t="b">
        <f ca="1">AND(模拟模式!$K$10="2300·雷",BT694=0,RAND()&lt;IF(C695="净世破魔击·月",5*0.05*2/3,IF(C695="净世破魔击·日",3*0.05*2/3,0.05*2*2/3)))</f>
        <v>0</v>
      </c>
      <c r="BV695" s="115">
        <f t="shared" ca="1" si="638"/>
        <v>0</v>
      </c>
      <c r="BW695" s="115">
        <f t="shared" ca="1" si="639"/>
        <v>121.88249999999924</v>
      </c>
      <c r="BX695" s="164" t="b">
        <f t="shared" ca="1" si="640"/>
        <v>0</v>
      </c>
      <c r="BY695" s="115">
        <f t="shared" ca="1" si="641"/>
        <v>0</v>
      </c>
      <c r="BZ695" s="115">
        <f>IF(OR(模拟模式!$P$16="10人团",模拟模式!$P$16="25人团"),IF(B695/30&gt;CA694,1,0),0)</f>
        <v>0</v>
      </c>
      <c r="CA695" s="115">
        <f t="shared" si="618"/>
        <v>0</v>
      </c>
      <c r="CB695" s="115">
        <f ca="1">IF(BZ695=1,IF(模拟模式!$P$16="10人团",15,0)+IF(模拟模式!$P$16="25人团",IF(RAND()&lt;0.6,15,0)),MAX(0,CB694-$F$4))</f>
        <v>0</v>
      </c>
      <c r="CC695" s="115" t="b">
        <f t="shared" ca="1" si="619"/>
        <v>0</v>
      </c>
      <c r="CD695" s="115">
        <f>IF(模拟模式!$Q$16="1个",IF(B695/40&gt;CE694,1,0),0)</f>
        <v>0</v>
      </c>
      <c r="CE695" s="115">
        <f t="shared" si="620"/>
        <v>0</v>
      </c>
      <c r="CF695" s="115">
        <f>IF(OR(CD695=1,模拟模式!$Q$16="2个"),20,MAX(0,CF694-$F$4))</f>
        <v>0</v>
      </c>
      <c r="CG695" s="115" t="b">
        <f t="shared" si="621"/>
        <v>0</v>
      </c>
      <c r="CH695" s="115">
        <f t="shared" ca="1" si="642"/>
        <v>3.2475000000000116</v>
      </c>
      <c r="CI695" s="115" t="b">
        <f t="shared" ca="1" si="643"/>
        <v>0</v>
      </c>
      <c r="CJ695" s="119">
        <f t="shared" ca="1" si="644"/>
        <v>0</v>
      </c>
      <c r="CK695" s="115">
        <f t="shared" ca="1" si="645"/>
        <v>0</v>
      </c>
      <c r="CL695" s="115" t="b">
        <f ca="1">AND(模拟模式!$S$7="驱夷逐法",OR(AND(C695="净世破魔击·月",E694&gt;59),AND(C695="净世破魔击·日",F694&gt;59)))</f>
        <v>1</v>
      </c>
      <c r="CM695" s="115" t="b">
        <f ca="1">OR(CL695,AND(C695="净世破魔击·日",CL694,RAND()&lt;模拟模式!$U$23))</f>
        <v>1</v>
      </c>
      <c r="CN695" s="115" t="b">
        <f ca="1">IF(模拟模式!$M$7="辉耀红尘",AND(C695="净世破魔击·月",CL695,CV695=0,E694&lt;80),AND(C695="净世破魔击·月",CL695,E694&lt;100))</f>
        <v>0</v>
      </c>
      <c r="CO695" s="115" t="b">
        <f t="shared" ca="1" si="622"/>
        <v>0</v>
      </c>
      <c r="CP695" s="115" t="b">
        <f ca="1">AND(模拟模式!$O$7="用晦而明",OR(C695="净世破魔击·日",C695="净世破魔击·月",C695="驱夜断愁"),AB695)</f>
        <v>1</v>
      </c>
      <c r="CQ695" s="115" t="b">
        <f ca="1">OR(CP695,AND(CP694,RAND()&lt;模拟模式!$U$23))</f>
        <v>1</v>
      </c>
      <c r="CR695" s="115" t="b">
        <f ca="1">AND(模拟模式!$S$7="日月齐光",OR(C695="幽月轮1",C695="幽月轮2",C695="幽月轮3",CR694),NOT(OR(C695="赤日轮1",C695="赤日轮2",C695="赤日轮3")))</f>
        <v>0</v>
      </c>
      <c r="CS695" s="115" t="b">
        <f ca="1">AND(模拟模式!$S$7="日月齐光",OR(C695="赤日轮1",C695="赤日轮2",C695="赤日轮3",CS694),NOT(OR(C695="幽月轮1",C695="幽月轮2",C695="幽月轮3")))</f>
        <v>0</v>
      </c>
      <c r="CT695" s="115">
        <f t="shared" ca="1" si="646"/>
        <v>0</v>
      </c>
      <c r="CU695" s="115" t="b">
        <f ca="1">AND(模拟模式!$K$10="阴阳往极",CT694=0,RAND()&lt;IF(C695="净世破魔击·月",0.0275*7/3,IF(C695="净世破魔击·日",0.0275*3/3,0.0275*2/3)))</f>
        <v>0</v>
      </c>
      <c r="CV695" s="115">
        <f t="shared" ca="1" si="647"/>
        <v>0</v>
      </c>
      <c r="CW695" s="115">
        <f t="shared" ca="1" si="648"/>
        <v>4.1549999999999994</v>
      </c>
      <c r="CX695" s="115">
        <f t="shared" ca="1" si="649"/>
        <v>2.3099999999999996</v>
      </c>
      <c r="CY695" s="115">
        <f ca="1">MAX(IF($C695="驱夜断愁",IF(模拟模式!$R$7="万念俱寂",6,45),CY694-$F$4),0)</f>
        <v>3.2324999999999995</v>
      </c>
      <c r="CZ695" s="115">
        <f t="shared" ca="1" si="623"/>
        <v>0</v>
      </c>
      <c r="DA695" s="115">
        <f ca="1">IF(模拟模式!$N$7="日月同辉",IF(DB694=2,0,MIN(6,IF(AND(OR(C695="赤日轮1",C695="赤日轮2",C695="赤日轮3",C695="幽月轮1",C695="幽月轮2",C695="幽月轮3"),AB695=1),DA694+1,DA694))),0)</f>
        <v>1</v>
      </c>
      <c r="DB695" s="115">
        <f t="shared" ca="1" si="624"/>
        <v>0</v>
      </c>
      <c r="DC695" s="115"/>
      <c r="DD695" s="115"/>
      <c r="DE695" s="115"/>
      <c r="DF695" s="115"/>
      <c r="DG695" s="115"/>
      <c r="DH695" s="115"/>
      <c r="DI695" s="115"/>
      <c r="DJ695" s="115"/>
      <c r="DK695" s="115"/>
      <c r="DL695" s="115"/>
      <c r="DM695" s="115"/>
    </row>
    <row r="696" spans="2:117" x14ac:dyDescent="0.2">
      <c r="B696" s="117">
        <f t="shared" si="625"/>
        <v>617.15250000000708</v>
      </c>
      <c r="C696" s="167" t="str">
        <f t="shared" ca="1" si="594"/>
        <v>净世破魔击·日</v>
      </c>
      <c r="D696" s="115">
        <f ca="1">IF(C696="赤日轮1",1,IF(C696="赤日轮2",2,IF(C696="赤日轮3",3,IF(C696="幽月轮1",4,IF(C696="幽月轮2",5,IF(C696="幽月轮3",6,IF(C696="烈日斩",7,IF(C696="银月斩",8,IF(C696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696="净世破魔击·月",17,IF(C696="驱夜断愁",18,0)))))))))))</f>
        <v>9</v>
      </c>
      <c r="E696" s="115">
        <f ca="1">IF(AND(CU696,OR(C696="幽月轮1",C696="幽月轮2",C696="幽月轮3",C696="银月斩",C696="驱夜断愁",C696="净世破魔击·月")),100,MIN(IF(OR(CN696,BE696),0,IF(OR($C696="赤日轮1",$C696="赤日轮2",$C696="赤日轮3"),E695+20+IF(模拟模式!$I$7="日月凌天",4,0)+IF(CR695,20,0),IF($C696="烈日斩",E695+40,IF($C696="驱夜断愁",IF(模拟模式!$R$7="万念俱寂",E695+20,E695+60),IF($C696="净世破魔击·月",IF(OR(DB695&gt;0,CV695&gt;0),100,IF(模拟模式!$M$7="辉耀红尘",E695+20,E695)),IF($C696="净世破魔击·日",E695-100,E695)))))),100))</f>
        <v>0</v>
      </c>
      <c r="F696" s="115">
        <f ca="1">IF(AND(CU696,OR(C696="赤日轮1",C696="赤日轮2",C696="赤日轮3",C696="烈日斩",C696="净世破魔击·日")),100,MIN(IF(CO696,0,IF(OR($C696="幽月轮1",$C696="幽月轮2",$C696="幽月轮3"),F695+20+IF(模拟模式!$I$7="日月凌天",4,0)+IF(CS695,20,0),IF($C696="银月斩",F695+40+IF(模拟模式!$X$12=1,5,0),IF($C696="驱夜断愁",IF(模拟模式!$R$7="万念俱寂",F695+20,F695+60),IF($C696="净世破魔击·月",IF(模拟模式!$M$7="辉耀红尘",F695-80,F695-100),IF(AND(C696="净世破魔击·日",OR(DB695&gt;0,CV695&gt;0)),100,F695)))))),100))</f>
        <v>20</v>
      </c>
      <c r="G696" s="117">
        <f ca="1">('模拟-全程加成'!$E$3+'模拟-全程加成'!$E$4+'模拟-全程加成'!$E$5+('模拟-全程加成'!$C$6-'模拟-全程加成'!$C$3)*系数!$B$9+BS696*23)*(1+'模拟-全程加成'!$F$4+'模拟-全程加成'!$F$5+BJ696*10%+BM696*20%+BP696*4%+CG696*30%)+$F$7*系数!$B$12</f>
        <v>21493.829400000002</v>
      </c>
      <c r="H696" s="45">
        <f ca="1">'模拟-全程加成'!$H$3+'模拟-全程加成'!$H$4+'模拟-全程加成'!$H$5+('模拟-全程加成'!$G$4+'模拟-全程加成'!$G$5+('模拟-全程加成'!$C$6-'模拟-全程加成'!$C$3)*系数!$B$13)/系数!$B$3+LOOKUP(D696,'模拟-单技能数据'!$A$2:$A$19,'模拟-单技能数据'!$K$2:$K$19)+BG696*10%+IF(BV696&gt;0,378,0)</f>
        <v>0.54185145527300216</v>
      </c>
      <c r="I696" s="45">
        <f ca="1">'模拟-全程加成'!$J$3+'模拟-全程加成'!$J$4+'模拟-全程加成'!$J$5+('模拟-全程加成'!$I$4+'模拟-全程加成'!$I$5)/系数!$B$4+LOOKUP(D696,'模拟-单技能数据'!$A$2:$A$19,'模拟-单技能数据'!$L$2:$L$19)+BG696*10%</f>
        <v>2.162482885499879</v>
      </c>
      <c r="J696" s="45">
        <f ca="1">(('模拟-全程加成'!$K$3+'模拟-全程加成'!$K$4+'模拟-全程加成'!$K$5+('模拟-全程加成'!$C$6-'模拟-全程加成'!$C$3)*系数!$B$10+IF(BV696&gt;0,882,0)+IF(BY696&gt;0,1831,0))*(1+'模拟-全程加成'!$L$4+'模拟-全程加成'!$L$5+CC696*20%))/系数!$B$5</f>
        <v>0.69723220422048726</v>
      </c>
      <c r="K696" s="119">
        <f ca="1">LOOKUP(D696,'模拟-单技能数据'!$A$2:$A$19,'模拟-单技能数据'!$J$2:$J$19)+IF(CM696,60%,0)+IF(DB695-DB696&gt;0,30%,0)+IF(OR(AND(OR(C696="赤日轮1",C696="赤日轮2",C696="赤日轮3"),CR696),AND(OR(C696="幽月轮1",C696="幽月轮2",C696="幽月轮3"),CS696)),35%,0)+CJ696</f>
        <v>0.8</v>
      </c>
      <c r="L696" s="119">
        <f ca="1">IF(AND(C696="烈日斩",模拟模式!$X$11=1),10%,0)+IF(AND(C696="驱夜断愁",AB696=1),30%,0)</f>
        <v>0</v>
      </c>
      <c r="M696" s="45">
        <f t="shared" ca="1" si="595"/>
        <v>0.54185145527300216</v>
      </c>
      <c r="N696" s="45">
        <f t="shared" ca="1" si="596"/>
        <v>0.40424854472699789</v>
      </c>
      <c r="O696" s="46">
        <f t="shared" ca="1" si="626"/>
        <v>0.67963327836515541</v>
      </c>
      <c r="P696" s="46" t="str">
        <f t="shared" ca="1" si="597"/>
        <v>命</v>
      </c>
      <c r="Q696" s="45">
        <f t="shared" ca="1" si="598"/>
        <v>1</v>
      </c>
      <c r="R696" s="117">
        <f ca="1">模拟模式!$E$20*(1-IF(模拟模式!$J$19="有",0.15,0))*(1-IF(模拟模式!$K$19="有",0.3,0)-IF(CQ696,0.5,0))</f>
        <v>843.02999999999975</v>
      </c>
      <c r="S696" s="45">
        <f ca="1">R696/(R696+(185*模拟模式!$E$22-16800)*4.08224)</f>
        <v>8.389626085980037E-2</v>
      </c>
      <c r="T696" s="45" t="str">
        <f ca="1">LOOKUP(D696,'模拟-单技能数据'!$A$2:$A$19,'模拟-单技能数据'!$H$2:$H$19)</f>
        <v>阳</v>
      </c>
      <c r="U696" s="119">
        <f t="shared" ca="1" si="599"/>
        <v>0.2</v>
      </c>
      <c r="V696" s="47">
        <f ca="1">(1+L696)*(LOOKUP(D696,'模拟-单技能数据'!$A$2:$A$19,'模拟-单技能数据'!$D$2:$D$19)+G696*LOOKUP(D696,'模拟-单技能数据'!$A$2:$A$19,'模拟-单技能数据'!$F$2:$F$19))*(1+J696)*(1+K696)*(1-S696)*(1+U696)*Q696*LOOKUP(D696,'模拟-单技能数据'!$A$2:$A$19,'模拟-单技能数据'!$I$2:$I$20)</f>
        <v>94575.365106402023</v>
      </c>
      <c r="W696" s="47">
        <f ca="1">LOOKUP(D696,'模拟-单技能数据'!$A$2:$A$19,'模拟-单技能数据'!$G$2:$G$19)*$I$10</f>
        <v>723.0212870940959</v>
      </c>
      <c r="X696" s="47">
        <f t="shared" ca="1" si="627"/>
        <v>19116.855106939758</v>
      </c>
      <c r="Y696" s="47">
        <f t="shared" ca="1" si="600"/>
        <v>114415.24150043589</v>
      </c>
      <c r="Z696" s="49">
        <f t="shared" ca="1" si="601"/>
        <v>70096938.149113446</v>
      </c>
      <c r="AA696" s="97">
        <f t="shared" ca="1" si="602"/>
        <v>113581.22692383591</v>
      </c>
      <c r="AB696" s="115">
        <f ca="1">IF(OR(C696="赤日轮1",C696="赤日轮2",C696="赤日轮3"),IF(RAND()&lt;模拟模式!$Y$17,1,0),IF(OR(C696="幽月轮1",C696="幽月轮2",C696="幽月轮3"),IF(RAND()&lt;模拟模式!$Y$18,1,0),IF(C696="烈日斩",IF(RAND()&lt;模拟模式!$Y$19,1,0),IF(C696="银月斩",IF(RAND()&lt;模拟模式!$Y$20,1,0),IF(C696="驱夜断愁",IF(RAND()&lt;模拟模式!$Y$21,1,0),IF(C696="净世破魔击·日",IF(RAND()&lt;模拟模式!$Y$22,1,0),IF(C696="净世破魔击·月",IF(RAND()&lt;模拟模式!$Y$23,1,0),0)))))))</f>
        <v>1</v>
      </c>
      <c r="AC696" s="115" t="b">
        <f t="shared" ca="1" si="603"/>
        <v>0</v>
      </c>
      <c r="AD696" s="115" t="b">
        <f t="shared" ca="1" si="604"/>
        <v>0</v>
      </c>
      <c r="AE696" s="115">
        <f t="shared" ca="1" si="605"/>
        <v>3</v>
      </c>
      <c r="AF696" s="47">
        <f ca="1">IF(AC696,('模拟-单技能数据'!$D$20+G696*'模拟-单技能数据'!$F$20)*(1+J696)*(1+'模拟-单技能数据'!$J$20)*(1+U696),0)</f>
        <v>0</v>
      </c>
      <c r="AG696" s="61">
        <f t="shared" ca="1" si="606"/>
        <v>0.64185145527300214</v>
      </c>
      <c r="AH696" s="61">
        <f t="shared" ca="1" si="607"/>
        <v>2.2624828854998791</v>
      </c>
      <c r="AI696" s="62">
        <f t="shared" ca="1" si="628"/>
        <v>0.56101888050881243</v>
      </c>
      <c r="AJ696" s="47">
        <f ca="1">IF(AD696,IF(AI696&lt;$F$10,0,IF(AI696&lt;$F$10+$F$11,0.25,IF(AI696&lt;$F$10+$F$11+AG696,AH696,1)))*IF(AF696&gt;0,AF696,IF(AF695&gt;0,AF695,IF(AF694&gt;0,AF694,IF(AF693&gt;0,AF693,IF(AF692&gt;0,AF692,IF(AF691&gt;0,AF691,IF(AF690&gt;0,AF690,IF(AF689&gt;0,AF689,IF(AF688&gt;0,AF688,IF(AF686&gt;0,AF686,IF(AF685&gt;0,AF685,IF(AF684&gt;0,AF684,0)))))))))))),0)*(1-$S696)*'模拟-单技能数据'!$I$20</f>
        <v>0</v>
      </c>
      <c r="AK696" s="115" t="b">
        <f t="shared" ca="1" si="608"/>
        <v>1</v>
      </c>
      <c r="AL696" s="115" t="b">
        <f t="shared" ca="1" si="609"/>
        <v>0</v>
      </c>
      <c r="AM696" s="115">
        <f t="shared" ca="1" si="610"/>
        <v>6</v>
      </c>
      <c r="AN696" s="47">
        <f ca="1">IF(AK696,('模拟-单技能数据'!$D$21+G696*'模拟-单技能数据'!$F$21)*(1+J696)*(1+'模拟-单技能数据'!$J$21)*(1+U696),0)</f>
        <v>12670.936004857545</v>
      </c>
      <c r="AO696" s="61">
        <f ca="1">IF(AN696&gt;0,M696-'模拟-单技能数据'!$K$10,AO695)</f>
        <v>0.42185145527300216</v>
      </c>
      <c r="AP696" s="61">
        <f ca="1">IF(AN696&gt;0,I696-'模拟-单技能数据'!$L$10,AP695)</f>
        <v>2.162482885499879</v>
      </c>
      <c r="AQ696" s="63">
        <f t="shared" ca="1" si="629"/>
        <v>1.9008072227814865E-2</v>
      </c>
      <c r="AR696" s="64">
        <f ca="1">IF(AL696,IF(AQ696&lt;$F$10,0,IF(AQ696&lt;$F$10+$F$11,0.25,IF(AQ696&lt;$F$10+$F$11+AO696,AP696,1)))*IF(AN696&gt;0,AN696,IF(AN695&gt;0,AN695,IF(AN694&gt;0,AN694,IF(AN693&gt;0,AN693,IF(AN692&gt;0,AN692,IF(AN691&gt;0,AN691,IF(AN690&gt;0,AN690,IF(AN689&gt;0,AN689,IF(AN688&gt;0,AN688,IF(AN686&gt;0,AN686,IF(AN685&gt;0,AN685,IF(AN684&gt;0,AN684,0)))))))))))),0)*(1-$S696)*'模拟-单技能数据'!$I$21</f>
        <v>0</v>
      </c>
      <c r="AS696" s="61">
        <f ca="1">IF(OR(C696="净世破魔击·日",C696="净世破魔击·月"),M696-'模拟-单技能数据'!$K$10,0)</f>
        <v>0.42185145527300216</v>
      </c>
      <c r="AT696" s="61">
        <f ca="1">IF(OR(C696="净世破魔击·日",C696="净世破魔击·月"),I696-'模拟-单技能数据'!$L$10,0)</f>
        <v>2.162482885499879</v>
      </c>
      <c r="AU696" s="62">
        <f t="shared" ca="1" si="630"/>
        <v>0.15835308309940366</v>
      </c>
      <c r="AV696" s="64">
        <f ca="1">IF(AS696&gt;0,('模拟-单技能数据'!$D$22+G696*'模拟-单技能数据'!$F$22)*(1+J696)*(1-S696)*IF(AU696&lt;$F$10,0,IF(AU696&lt;$F$10+$F$11,0.25,IF(AU696&lt;$F$10+$F$11+AS696,AT696,1)))*(1+U696),0)*'模拟-单技能数据'!$I$22</f>
        <v>19116.855106939758</v>
      </c>
      <c r="AW696" s="108">
        <f t="shared" ca="1" si="631"/>
        <v>5.2400000000000064</v>
      </c>
      <c r="AX696" s="108" t="b">
        <f ca="1">AND(模拟模式!$P$10="有",AW695=0,RAND()&lt;IF(C696="净世破魔击·月",0.1*8/3,IF(C696="净世破魔击·日",0.1*4/3,0.1*2/3)))</f>
        <v>0</v>
      </c>
      <c r="AY696" s="47">
        <f ca="1">IF(AX696,(18+G696*0.722)*(1+J696)*(1-S696)*(1+$I$4)*IF(P696="会",'模拟-全程加成'!$J$3+'模拟-全程加成'!$J$4+'模拟-全程加成'!$J$5+('模拟-全程加成'!$I$4+'模拟-全程加成'!$I$5)/系数!$B$4+BG696*10%,IF(P696="命",1,IF(P696="识",0.25,0))),0)</f>
        <v>0</v>
      </c>
      <c r="AZ696" s="108">
        <f t="shared" si="632"/>
        <v>11.697500000000005</v>
      </c>
      <c r="BA696" s="108" t="b">
        <f>AND(模拟模式!$Q$10="有",AZ695=0)</f>
        <v>0</v>
      </c>
      <c r="BB696" s="140">
        <f>IF(BA696,(0+G696*0.287)*(1+J696)*(1-S696)*(1+$I$4)*IF(P696="会",'模拟-全程加成'!$J$3+'模拟-全程加成'!$J$4+'模拟-全程加成'!$J$5+('模拟-全程加成'!$I$4+'模拟-全程加成'!$I$5)/系数!$B$4+BG696*10%,IF(P696="命",1,IF(P696="识",0.25,0))),0)</f>
        <v>0</v>
      </c>
      <c r="BC696" s="115" t="b">
        <f ca="1">AND(模拟模式!$R$7="伏明众生",E696=60,F696=20,DA696&lt;5,CZ695&lt;$F$4)</f>
        <v>0</v>
      </c>
      <c r="BD696" s="115">
        <f t="shared" ca="1" si="611"/>
        <v>0</v>
      </c>
      <c r="BE696" s="115" t="b">
        <f t="shared" ca="1" si="612"/>
        <v>0</v>
      </c>
      <c r="BF696" s="47">
        <f ca="1">IF(BC696,4*('模拟-单技能数据'!$D$24+G696*'模拟-单技能数据'!$F$24)*(1+J696)*(1+'模拟-单技能数据'!$J$24)*(1-S696)*(1+$I$3)*(('模拟-全程加成'!$J$3+'模拟-全程加成'!$J$4+'模拟-全程加成'!$J$5+('模拟-全程加成'!$I$4+'模拟-全程加成'!$I$5)/系数!$B$4+BG696*10%)*('模拟-全程加成'!$J$3+'模拟-全程加成'!$J$4+'模拟-全程加成'!$J$5+('模拟-全程加成'!$I$4+'模拟-全程加成'!$I$5)/系数!$B$4+BG696*10%)+(1-('模拟-全程加成'!$J$3+'模拟-全程加成'!$J$4+'模拟-全程加成'!$J$5+('模拟-全程加成'!$I$4+'模拟-全程加成'!$I$5)/系数!$B$4+BG696*10%)-$F$10-$F$11)+F682*0.25),0)*'模拟-单技能数据'!$I$24</f>
        <v>0</v>
      </c>
      <c r="BG696" s="115" t="b">
        <f ca="1">OR(AND(OR(C696="烈日斩",C696="银月斩"),模拟模式!$I$7="净身明礼"),AND(C696="净世破魔击·日",模拟模式!$J$7="洞若观火"),AND(C697="净世破魔击·月",模拟模式!$J$7="洞若观火"),AB696=1)</f>
        <v>1</v>
      </c>
      <c r="BH696" s="115" t="b">
        <f t="shared" ca="1" si="633"/>
        <v>0</v>
      </c>
      <c r="BI696" s="115">
        <f t="shared" ca="1" si="613"/>
        <v>3.2324999999999995</v>
      </c>
      <c r="BJ696" s="115" t="b">
        <f t="shared" ca="1" si="614"/>
        <v>1</v>
      </c>
      <c r="BK696" s="115" t="b">
        <f ca="1">AND(C696="驱夜断愁",模拟模式!$P$7="天地诛戮")</f>
        <v>0</v>
      </c>
      <c r="BL696" s="57">
        <f t="shared" ca="1" si="615"/>
        <v>16.310000000000002</v>
      </c>
      <c r="BM696" s="115" t="b">
        <f t="shared" ca="1" si="616"/>
        <v>1</v>
      </c>
      <c r="BN696" s="115" t="b">
        <f ca="1">AND(OR(C696="赤日轮1",C696="赤日轮2",C696="赤日轮3",C696="幽月轮1",C696="幽月轮2",C696="幽月轮3"),AB696=1,模拟模式!$L$7="明光恒照")</f>
        <v>0</v>
      </c>
      <c r="BO696" s="117">
        <f t="shared" ca="1" si="617"/>
        <v>28.155000000000001</v>
      </c>
      <c r="BP696" s="115">
        <f t="shared" ca="1" si="634"/>
        <v>6</v>
      </c>
      <c r="BQ696" s="115" t="b">
        <f>模拟模式!$K$10="2600·水"</f>
        <v>0</v>
      </c>
      <c r="BR696" s="117">
        <f t="shared" si="635"/>
        <v>0</v>
      </c>
      <c r="BS696" s="115">
        <f t="shared" si="636"/>
        <v>0</v>
      </c>
      <c r="BT696" s="115">
        <f t="shared" ca="1" si="637"/>
        <v>0</v>
      </c>
      <c r="BU696" s="115" t="b">
        <f ca="1">AND(模拟模式!$K$10="2300·雷",BT695=0,RAND()&lt;IF(C696="净世破魔击·月",5*0.05*2/3,IF(C696="净世破魔击·日",3*0.05*2/3,0.05*2*2/3)))</f>
        <v>0</v>
      </c>
      <c r="BV696" s="115">
        <f t="shared" ca="1" si="638"/>
        <v>0</v>
      </c>
      <c r="BW696" s="115">
        <f t="shared" ca="1" si="639"/>
        <v>120.95999999999924</v>
      </c>
      <c r="BX696" s="164" t="b">
        <f t="shared" ca="1" si="640"/>
        <v>0</v>
      </c>
      <c r="BY696" s="115">
        <f t="shared" ca="1" si="641"/>
        <v>0</v>
      </c>
      <c r="BZ696" s="115">
        <f>IF(OR(模拟模式!$P$16="10人团",模拟模式!$P$16="25人团"),IF(B696/30&gt;CA695,1,0),0)</f>
        <v>0</v>
      </c>
      <c r="CA696" s="115">
        <f t="shared" si="618"/>
        <v>0</v>
      </c>
      <c r="CB696" s="115">
        <f ca="1">IF(BZ696=1,IF(模拟模式!$P$16="10人团",15,0)+IF(模拟模式!$P$16="25人团",IF(RAND()&lt;0.6,15,0)),MAX(0,CB695-$F$4))</f>
        <v>0</v>
      </c>
      <c r="CC696" s="115" t="b">
        <f t="shared" ca="1" si="619"/>
        <v>0</v>
      </c>
      <c r="CD696" s="115">
        <f>IF(模拟模式!$Q$16="1个",IF(B696/40&gt;CE695,1,0),0)</f>
        <v>0</v>
      </c>
      <c r="CE696" s="115">
        <f t="shared" si="620"/>
        <v>0</v>
      </c>
      <c r="CF696" s="115">
        <f>IF(OR(CD696=1,模拟模式!$Q$16="2个"),20,MAX(0,CF695-$F$4))</f>
        <v>0</v>
      </c>
      <c r="CG696" s="115" t="b">
        <f t="shared" si="621"/>
        <v>0</v>
      </c>
      <c r="CH696" s="115">
        <f t="shared" ca="1" si="642"/>
        <v>2.3250000000000117</v>
      </c>
      <c r="CI696" s="115" t="b">
        <f t="shared" ca="1" si="643"/>
        <v>0</v>
      </c>
      <c r="CJ696" s="119">
        <f t="shared" ca="1" si="644"/>
        <v>0</v>
      </c>
      <c r="CK696" s="115">
        <f t="shared" ca="1" si="645"/>
        <v>0</v>
      </c>
      <c r="CL696" s="115" t="b">
        <f ca="1">AND(模拟模式!$S$7="驱夷逐法",OR(AND(C696="净世破魔击·月",E695&gt;59),AND(C696="净世破魔击·日",F695&gt;59)))</f>
        <v>0</v>
      </c>
      <c r="CM696" s="115" t="b">
        <f ca="1">OR(CL696,AND(C696="净世破魔击·日",CL695,RAND()&lt;模拟模式!$U$23))</f>
        <v>1</v>
      </c>
      <c r="CN696" s="115" t="b">
        <f ca="1">IF(模拟模式!$M$7="辉耀红尘",AND(C696="净世破魔击·月",CL696,CV696=0,E695&lt;80),AND(C696="净世破魔击·月",CL696,E695&lt;100))</f>
        <v>0</v>
      </c>
      <c r="CO696" s="115" t="b">
        <f t="shared" ca="1" si="622"/>
        <v>0</v>
      </c>
      <c r="CP696" s="115" t="b">
        <f ca="1">AND(模拟模式!$O$7="用晦而明",OR(C696="净世破魔击·日",C696="净世破魔击·月",C696="驱夜断愁"),AB696)</f>
        <v>1</v>
      </c>
      <c r="CQ696" s="115" t="b">
        <f ca="1">OR(CP696,AND(CP695,RAND()&lt;模拟模式!$U$23))</f>
        <v>1</v>
      </c>
      <c r="CR696" s="115" t="b">
        <f ca="1">AND(模拟模式!$S$7="日月齐光",OR(C696="幽月轮1",C696="幽月轮2",C696="幽月轮3",CR695),NOT(OR(C696="赤日轮1",C696="赤日轮2",C696="赤日轮3")))</f>
        <v>0</v>
      </c>
      <c r="CS696" s="115" t="b">
        <f ca="1">AND(模拟模式!$S$7="日月齐光",OR(C696="赤日轮1",C696="赤日轮2",C696="赤日轮3",CS695),NOT(OR(C696="幽月轮1",C696="幽月轮2",C696="幽月轮3")))</f>
        <v>0</v>
      </c>
      <c r="CT696" s="115">
        <f t="shared" ca="1" si="646"/>
        <v>0</v>
      </c>
      <c r="CU696" s="115" t="b">
        <f ca="1">AND(模拟模式!$K$10="阴阳往极",CT695=0,RAND()&lt;IF(C696="净世破魔击·月",0.0275*7/3,IF(C696="净世破魔击·日",0.0275*3/3,0.0275*2/3)))</f>
        <v>0</v>
      </c>
      <c r="CV696" s="115">
        <f t="shared" ca="1" si="647"/>
        <v>0</v>
      </c>
      <c r="CW696" s="115">
        <f t="shared" ca="1" si="648"/>
        <v>3.2324999999999995</v>
      </c>
      <c r="CX696" s="115">
        <f t="shared" ca="1" si="649"/>
        <v>1.3874999999999997</v>
      </c>
      <c r="CY696" s="115">
        <f ca="1">MAX(IF($C696="驱夜断愁",IF(模拟模式!$R$7="万念俱寂",6,45),CY695-$F$4),0)</f>
        <v>2.3099999999999996</v>
      </c>
      <c r="CZ696" s="115">
        <f t="shared" ca="1" si="623"/>
        <v>0</v>
      </c>
      <c r="DA696" s="115">
        <f ca="1">IF(模拟模式!$N$7="日月同辉",IF(DB695=2,0,MIN(6,IF(AND(OR(C696="赤日轮1",C696="赤日轮2",C696="赤日轮3",C696="幽月轮1",C696="幽月轮2",C696="幽月轮3"),AB696=1),DA695+1,DA695))),0)</f>
        <v>1</v>
      </c>
      <c r="DB696" s="115">
        <f t="shared" ca="1" si="624"/>
        <v>0</v>
      </c>
      <c r="DC696" s="115"/>
      <c r="DD696" s="115"/>
      <c r="DE696" s="115"/>
      <c r="DF696" s="115"/>
      <c r="DG696" s="115"/>
      <c r="DH696" s="115"/>
      <c r="DI696" s="115"/>
      <c r="DJ696" s="115"/>
      <c r="DK696" s="115"/>
      <c r="DL696" s="115"/>
      <c r="DM696" s="115"/>
    </row>
    <row r="697" spans="2:117" x14ac:dyDescent="0.2">
      <c r="B697" s="117">
        <f t="shared" si="625"/>
        <v>618.07500000000709</v>
      </c>
      <c r="C697" s="167" t="str">
        <f t="shared" ca="1" si="594"/>
        <v>赤日轮1</v>
      </c>
      <c r="D697" s="115">
        <f ca="1">IF(C697="赤日轮1",1,IF(C697="赤日轮2",2,IF(C697="赤日轮3",3,IF(C697="幽月轮1",4,IF(C697="幽月轮2",5,IF(C697="幽月轮3",6,IF(C697="烈日斩",7,IF(C697="银月斩",8,IF(C697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697="净世破魔击·月",17,IF(C697="驱夜断愁",18,0)))))))))))</f>
        <v>1</v>
      </c>
      <c r="E697" s="115">
        <f ca="1">IF(AND(CU697,OR(C697="幽月轮1",C697="幽月轮2",C697="幽月轮3",C697="银月斩",C697="驱夜断愁",C697="净世破魔击·月")),100,MIN(IF(OR(CN697,BE697),0,IF(OR($C697="赤日轮1",$C697="赤日轮2",$C697="赤日轮3"),E696+20+IF(模拟模式!$I$7="日月凌天",4,0)+IF(CR696,20,0),IF($C697="烈日斩",E696+40,IF($C697="驱夜断愁",IF(模拟模式!$R$7="万念俱寂",E696+20,E696+60),IF($C697="净世破魔击·月",IF(OR(DB696&gt;0,CV696&gt;0),100,IF(模拟模式!$M$7="辉耀红尘",E696+20,E696)),IF($C697="净世破魔击·日",E696-100,E696)))))),100))</f>
        <v>20</v>
      </c>
      <c r="F697" s="115">
        <f ca="1">IF(AND(CU697,OR(C697="赤日轮1",C697="赤日轮2",C697="赤日轮3",C697="烈日斩",C697="净世破魔击·日")),100,MIN(IF(CO697,0,IF(OR($C697="幽月轮1",$C697="幽月轮2",$C697="幽月轮3"),F696+20+IF(模拟模式!$I$7="日月凌天",4,0)+IF(CS696,20,0),IF($C697="银月斩",F696+40+IF(模拟模式!$X$12=1,5,0),IF($C697="驱夜断愁",IF(模拟模式!$R$7="万念俱寂",F696+20,F696+60),IF($C697="净世破魔击·月",IF(模拟模式!$M$7="辉耀红尘",F696-80,F696-100),IF(AND(C697="净世破魔击·日",OR(DB696&gt;0,CV696&gt;0)),100,F696)))))),100))</f>
        <v>20</v>
      </c>
      <c r="G697" s="117">
        <f ca="1">('模拟-全程加成'!$E$3+'模拟-全程加成'!$E$4+'模拟-全程加成'!$E$5+('模拟-全程加成'!$C$6-'模拟-全程加成'!$C$3)*系数!$B$9+BS697*23)*(1+'模拟-全程加成'!$F$4+'模拟-全程加成'!$F$5+BJ697*10%+BM697*20%+BP697*4%+CG697*30%)+$F$7*系数!$B$12</f>
        <v>21493.829400000002</v>
      </c>
      <c r="H697" s="45">
        <f ca="1">'模拟-全程加成'!$H$3+'模拟-全程加成'!$H$4+'模拟-全程加成'!$H$5+('模拟-全程加成'!$G$4+'模拟-全程加成'!$G$5+('模拟-全程加成'!$C$6-'模拟-全程加成'!$C$3)*系数!$B$13)/系数!$B$3+LOOKUP(D697,'模拟-单技能数据'!$A$2:$A$19,'模拟-单技能数据'!$K$2:$K$19)+BG697*10%+IF(BV697&gt;0,378,0)</f>
        <v>0.4618514552730022</v>
      </c>
      <c r="I697" s="45">
        <f ca="1">'模拟-全程加成'!$J$3+'模拟-全程加成'!$J$4+'模拟-全程加成'!$J$5+('模拟-全程加成'!$I$4+'模拟-全程加成'!$I$5)/系数!$B$4+LOOKUP(D697,'模拟-单技能数据'!$A$2:$A$19,'模拟-单技能数据'!$L$2:$L$19)+BG697*10%</f>
        <v>2.162482885499879</v>
      </c>
      <c r="J697" s="45">
        <f ca="1">(('模拟-全程加成'!$K$3+'模拟-全程加成'!$K$4+'模拟-全程加成'!$K$5+('模拟-全程加成'!$C$6-'模拟-全程加成'!$C$3)*系数!$B$10+IF(BV697&gt;0,882,0)+IF(BY697&gt;0,1831,0))*(1+'模拟-全程加成'!$L$4+'模拟-全程加成'!$L$5+CC697*20%))/系数!$B$5</f>
        <v>0.69723220422048726</v>
      </c>
      <c r="K697" s="119">
        <f ca="1">LOOKUP(D697,'模拟-单技能数据'!$A$2:$A$19,'模拟-单技能数据'!$J$2:$J$19)+IF(CM697,60%,0)+IF(DB696-DB697&gt;0,30%,0)+IF(OR(AND(OR(C697="赤日轮1",C697="赤日轮2",C697="赤日轮3"),CR697),AND(OR(C697="幽月轮1",C697="幽月轮2",C697="幽月轮3"),CS697)),35%,0)+CJ697</f>
        <v>0.12</v>
      </c>
      <c r="L697" s="119">
        <f ca="1">IF(AND(C697="烈日斩",模拟模式!$X$11=1),10%,0)+IF(AND(C697="驱夜断愁",AB697=1),30%,0)</f>
        <v>0</v>
      </c>
      <c r="M697" s="45">
        <f t="shared" ca="1" si="595"/>
        <v>0.4618514552730022</v>
      </c>
      <c r="N697" s="45">
        <f t="shared" ca="1" si="596"/>
        <v>0.48424854472699785</v>
      </c>
      <c r="O697" s="46">
        <f t="shared" ca="1" si="626"/>
        <v>0.30532583858098672</v>
      </c>
      <c r="P697" s="46" t="str">
        <f t="shared" ca="1" si="597"/>
        <v>会</v>
      </c>
      <c r="Q697" s="45">
        <f t="shared" ca="1" si="598"/>
        <v>2.162482885499879</v>
      </c>
      <c r="R697" s="117">
        <f ca="1">模拟模式!$E$20*(1-IF(模拟模式!$J$19="有",0.15,0))*(1-IF(模拟模式!$K$19="有",0.3,0)-IF(CQ697,0.5,0))</f>
        <v>843.02999999999975</v>
      </c>
      <c r="S697" s="45">
        <f ca="1">R697/(R697+(185*模拟模式!$E$22-16800)*4.08224)</f>
        <v>8.389626085980037E-2</v>
      </c>
      <c r="T697" s="45" t="str">
        <f ca="1">LOOKUP(D697,'模拟-单技能数据'!$A$2:$A$19,'模拟-单技能数据'!$H$2:$H$19)</f>
        <v>阳</v>
      </c>
      <c r="U697" s="119">
        <f t="shared" ca="1" si="599"/>
        <v>0.2</v>
      </c>
      <c r="V697" s="47">
        <f ca="1">(1+L697)*(LOOKUP(D697,'模拟-单技能数据'!$A$2:$A$19,'模拟-单技能数据'!$D$2:$D$19)+G697*LOOKUP(D697,'模拟-单技能数据'!$A$2:$A$19,'模拟-单技能数据'!$F$2:$F$19))*(1+J697)*(1+K697)*(1-S697)*(1+U697)*Q697*LOOKUP(D697,'模拟-单技能数据'!$A$2:$A$19,'模拟-单技能数据'!$I$2:$I$20)</f>
        <v>56864.156113360666</v>
      </c>
      <c r="W697" s="47">
        <f ca="1">LOOKUP(D697,'模拟-单技能数据'!$A$2:$A$19,'模拟-单技能数据'!$G$2:$G$19)*$I$10</f>
        <v>361.51064354704795</v>
      </c>
      <c r="X697" s="47">
        <f t="shared" ca="1" si="627"/>
        <v>29352.355803387069</v>
      </c>
      <c r="Y697" s="47">
        <f t="shared" ca="1" si="600"/>
        <v>86578.022560294776</v>
      </c>
      <c r="Z697" s="49">
        <f t="shared" ca="1" si="601"/>
        <v>70183516.171673745</v>
      </c>
      <c r="AA697" s="97">
        <f t="shared" ca="1" si="602"/>
        <v>113551.77959256229</v>
      </c>
      <c r="AB697" s="115">
        <f ca="1">IF(OR(C697="赤日轮1",C697="赤日轮2",C697="赤日轮3"),IF(RAND()&lt;模拟模式!$Y$17,1,0),IF(OR(C697="幽月轮1",C697="幽月轮2",C697="幽月轮3"),IF(RAND()&lt;模拟模式!$Y$18,1,0),IF(C697="烈日斩",IF(RAND()&lt;模拟模式!$Y$19,1,0),IF(C697="银月斩",IF(RAND()&lt;模拟模式!$Y$20,1,0),IF(C697="驱夜断愁",IF(RAND()&lt;模拟模式!$Y$21,1,0),IF(C697="净世破魔击·日",IF(RAND()&lt;模拟模式!$Y$22,1,0),IF(C697="净世破魔击·月",IF(RAND()&lt;模拟模式!$Y$23,1,0),0)))))))</f>
        <v>1</v>
      </c>
      <c r="AC697" s="115" t="b">
        <f t="shared" ca="1" si="603"/>
        <v>0</v>
      </c>
      <c r="AD697" s="115" t="b">
        <f t="shared" ca="1" si="604"/>
        <v>1</v>
      </c>
      <c r="AE697" s="115">
        <f t="shared" ca="1" si="605"/>
        <v>2</v>
      </c>
      <c r="AF697" s="47">
        <f ca="1">IF(AC697,('模拟-单技能数据'!$D$20+G697*'模拟-单技能数据'!$F$20)*(1+J697)*(1+'模拟-单技能数据'!$J$20)*(1+U697),0)</f>
        <v>0</v>
      </c>
      <c r="AG697" s="61">
        <f t="shared" ca="1" si="606"/>
        <v>0.64185145527300214</v>
      </c>
      <c r="AH697" s="61">
        <f t="shared" ca="1" si="607"/>
        <v>2.2624828854998791</v>
      </c>
      <c r="AI697" s="62">
        <f t="shared" ca="1" si="628"/>
        <v>0.99547977362702855</v>
      </c>
      <c r="AJ697" s="47">
        <f ca="1">IF(AD697,IF(AI697&lt;$F$10,0,IF(AI697&lt;$F$10+$F$11,0.25,IF(AI697&lt;$F$10+$F$11+AG697,AH697,1)))*IF(AF697&gt;0,AF697,IF(AF696&gt;0,AF696,IF(AF695&gt;0,AF695,IF(AF694&gt;0,AF694,IF(AF693&gt;0,AF693,IF(AF692&gt;0,AF692,IF(AF691&gt;0,AF691,IF(AF690&gt;0,AF690,IF(AF689&gt;0,AF689,IF(AF687&gt;0,AF687,IF(AF686&gt;0,AF686,IF(AF685&gt;0,AF685,0)))))))))))),0)*(1-$S697)*'模拟-单技能数据'!$I$20</f>
        <v>4250.4883357170938</v>
      </c>
      <c r="AK697" s="115" t="b">
        <f t="shared" ca="1" si="608"/>
        <v>0</v>
      </c>
      <c r="AL697" s="115" t="b">
        <f t="shared" ca="1" si="609"/>
        <v>1</v>
      </c>
      <c r="AM697" s="115">
        <f t="shared" ca="1" si="610"/>
        <v>5</v>
      </c>
      <c r="AN697" s="47">
        <f ca="1">IF(AK697,('模拟-单技能数据'!$D$21+G697*'模拟-单技能数据'!$F$21)*(1+J697)*(1+'模拟-单技能数据'!$J$21)*(1+U697),0)</f>
        <v>0</v>
      </c>
      <c r="AO697" s="61">
        <f ca="1">IF(AN697&gt;0,M697-'模拟-单技能数据'!$K$10,AO696)</f>
        <v>0.42185145527300216</v>
      </c>
      <c r="AP697" s="61">
        <f ca="1">IF(AN697&gt;0,I697-'模拟-单技能数据'!$L$10,AP696)</f>
        <v>2.162482885499879</v>
      </c>
      <c r="AQ697" s="63">
        <f t="shared" ca="1" si="629"/>
        <v>0.44709807643795885</v>
      </c>
      <c r="AR697" s="64">
        <f ca="1">IF(AL697,IF(AQ697&lt;$F$10,0,IF(AQ697&lt;$F$10+$F$11,0.25,IF(AQ697&lt;$F$10+$F$11+AO697,AP697,1)))*IF(AN697&gt;0,AN697,IF(AN696&gt;0,AN696,IF(AN695&gt;0,AN695,IF(AN694&gt;0,AN694,IF(AN693&gt;0,AN693,IF(AN692&gt;0,AN692,IF(AN691&gt;0,AN691,IF(AN690&gt;0,AN690,IF(AN689&gt;0,AN689,IF(AN687&gt;0,AN687,IF(AN686&gt;0,AN686,IF(AN685&gt;0,AN685,0)))))))))))),0)*(1-$S697)*'模拟-单技能数据'!$I$21</f>
        <v>25101.867467669974</v>
      </c>
      <c r="AS697" s="61">
        <f ca="1">IF(OR(C697="净世破魔击·日",C697="净世破魔击·月"),M697-'模拟-单技能数据'!$K$10,0)</f>
        <v>0</v>
      </c>
      <c r="AT697" s="61">
        <f ca="1">IF(OR(C697="净世破魔击·日",C697="净世破魔击·月"),I697-'模拟-单技能数据'!$L$10,0)</f>
        <v>0</v>
      </c>
      <c r="AU697" s="62">
        <f t="shared" ca="1" si="630"/>
        <v>0.48178573217522958</v>
      </c>
      <c r="AV697" s="64">
        <f ca="1">IF(AS697&gt;0,('模拟-单技能数据'!$D$22+G697*'模拟-单技能数据'!$F$22)*(1+J697)*(1-S697)*IF(AU697&lt;$F$10,0,IF(AU697&lt;$F$10+$F$11,0.25,IF(AU697&lt;$F$10+$F$11+AS697,AT697,1)))*(1+U697),0)*'模拟-单技能数据'!$I$22</f>
        <v>0</v>
      </c>
      <c r="AW697" s="108">
        <f t="shared" ca="1" si="631"/>
        <v>4.3175000000000061</v>
      </c>
      <c r="AX697" s="108" t="b">
        <f ca="1">AND(模拟模式!$P$10="有",AW696=0,RAND()&lt;IF(C697="净世破魔击·月",0.1*8/3,IF(C697="净世破魔击·日",0.1*4/3,0.1*2/3)))</f>
        <v>0</v>
      </c>
      <c r="AY697" s="47">
        <f ca="1">IF(AX697,(18+G697*0.722)*(1+J697)*(1-S697)*(1+$I$4)*IF(P697="会",'模拟-全程加成'!$J$3+'模拟-全程加成'!$J$4+'模拟-全程加成'!$J$5+('模拟-全程加成'!$I$4+'模拟-全程加成'!$I$5)/系数!$B$4+BG697*10%,IF(P697="命",1,IF(P697="识",0.25,0))),0)</f>
        <v>0</v>
      </c>
      <c r="AZ697" s="108">
        <f t="shared" si="632"/>
        <v>10.775000000000006</v>
      </c>
      <c r="BA697" s="108" t="b">
        <f>AND(模拟模式!$Q$10="有",AZ696=0)</f>
        <v>0</v>
      </c>
      <c r="BB697" s="140">
        <f>IF(BA697,(0+G697*0.287)*(1+J697)*(1-S697)*(1+$I$4)*IF(P697="会",'模拟-全程加成'!$J$3+'模拟-全程加成'!$J$4+'模拟-全程加成'!$J$5+('模拟-全程加成'!$I$4+'模拟-全程加成'!$I$5)/系数!$B$4+BG697*10%,IF(P697="命",1,IF(P697="识",0.25,0))),0)</f>
        <v>0</v>
      </c>
      <c r="BC697" s="115" t="b">
        <f ca="1">AND(模拟模式!$R$7="伏明众生",E697=60,F697=20,DA697&lt;5,CZ696&lt;$F$4)</f>
        <v>0</v>
      </c>
      <c r="BD697" s="115">
        <f t="shared" ca="1" si="611"/>
        <v>0</v>
      </c>
      <c r="BE697" s="115" t="b">
        <f t="shared" ca="1" si="612"/>
        <v>0</v>
      </c>
      <c r="BF697" s="47">
        <f ca="1">IF(BC697,4*('模拟-单技能数据'!$D$24+G697*'模拟-单技能数据'!$F$24)*(1+J697)*(1+'模拟-单技能数据'!$J$24)*(1-S697)*(1+$I$3)*(('模拟-全程加成'!$J$3+'模拟-全程加成'!$J$4+'模拟-全程加成'!$J$5+('模拟-全程加成'!$I$4+'模拟-全程加成'!$I$5)/系数!$B$4+BG697*10%)*('模拟-全程加成'!$J$3+'模拟-全程加成'!$J$4+'模拟-全程加成'!$J$5+('模拟-全程加成'!$I$4+'模拟-全程加成'!$I$5)/系数!$B$4+BG697*10%)+(1-('模拟-全程加成'!$J$3+'模拟-全程加成'!$J$4+'模拟-全程加成'!$J$5+('模拟-全程加成'!$I$4+'模拟-全程加成'!$I$5)/系数!$B$4+BG697*10%)-$F$10-$F$11)+F683*0.25),0)*'模拟-单技能数据'!$I$24</f>
        <v>0</v>
      </c>
      <c r="BG697" s="115" t="b">
        <f ca="1">OR(AND(OR(C697="烈日斩",C697="银月斩"),模拟模式!$I$7="净身明礼"),AND(C697="净世破魔击·日",模拟模式!$J$7="洞若观火"),AND(C698="净世破魔击·月",模拟模式!$J$7="洞若观火"),AB697=1)</f>
        <v>1</v>
      </c>
      <c r="BH697" s="115" t="b">
        <f t="shared" ca="1" si="633"/>
        <v>0</v>
      </c>
      <c r="BI697" s="115">
        <f t="shared" ca="1" si="613"/>
        <v>2.3099999999999996</v>
      </c>
      <c r="BJ697" s="115" t="b">
        <f t="shared" ca="1" si="614"/>
        <v>1</v>
      </c>
      <c r="BK697" s="115" t="b">
        <f ca="1">AND(C697="驱夜断愁",模拟模式!$P$7="天地诛戮")</f>
        <v>0</v>
      </c>
      <c r="BL697" s="57">
        <f t="shared" ca="1" si="615"/>
        <v>15.387500000000003</v>
      </c>
      <c r="BM697" s="115" t="b">
        <f t="shared" ca="1" si="616"/>
        <v>1</v>
      </c>
      <c r="BN697" s="115" t="b">
        <f ca="1">AND(OR(C697="赤日轮1",C697="赤日轮2",C697="赤日轮3",C697="幽月轮1",C697="幽月轮2",C697="幽月轮3"),AB697=1,模拟模式!$L$7="明光恒照")</f>
        <v>1</v>
      </c>
      <c r="BO697" s="117">
        <f t="shared" ca="1" si="617"/>
        <v>30</v>
      </c>
      <c r="BP697" s="115">
        <f t="shared" ca="1" si="634"/>
        <v>6</v>
      </c>
      <c r="BQ697" s="115" t="b">
        <f>模拟模式!$K$10="2600·水"</f>
        <v>0</v>
      </c>
      <c r="BR697" s="117">
        <f t="shared" si="635"/>
        <v>0</v>
      </c>
      <c r="BS697" s="115">
        <f t="shared" si="636"/>
        <v>0</v>
      </c>
      <c r="BT697" s="115">
        <f t="shared" ca="1" si="637"/>
        <v>0</v>
      </c>
      <c r="BU697" s="115" t="b">
        <f ca="1">AND(模拟模式!$K$10="2300·雷",BT696=0,RAND()&lt;IF(C697="净世破魔击·月",5*0.05*2/3,IF(C697="净世破魔击·日",3*0.05*2/3,0.05*2*2/3)))</f>
        <v>0</v>
      </c>
      <c r="BV697" s="115">
        <f t="shared" ca="1" si="638"/>
        <v>0</v>
      </c>
      <c r="BW697" s="115">
        <f t="shared" ca="1" si="639"/>
        <v>120.03749999999924</v>
      </c>
      <c r="BX697" s="164" t="b">
        <f t="shared" ca="1" si="640"/>
        <v>0</v>
      </c>
      <c r="BY697" s="115">
        <f t="shared" ca="1" si="641"/>
        <v>0</v>
      </c>
      <c r="BZ697" s="115">
        <f>IF(OR(模拟模式!$P$16="10人团",模拟模式!$P$16="25人团"),IF(B697/30&gt;CA696,1,0),0)</f>
        <v>0</v>
      </c>
      <c r="CA697" s="115">
        <f t="shared" si="618"/>
        <v>0</v>
      </c>
      <c r="CB697" s="115">
        <f ca="1">IF(BZ697=1,IF(模拟模式!$P$16="10人团",15,0)+IF(模拟模式!$P$16="25人团",IF(RAND()&lt;0.6,15,0)),MAX(0,CB696-$F$4))</f>
        <v>0</v>
      </c>
      <c r="CC697" s="115" t="b">
        <f t="shared" ca="1" si="619"/>
        <v>0</v>
      </c>
      <c r="CD697" s="115">
        <f>IF(模拟模式!$Q$16="1个",IF(B697/40&gt;CE696,1,0),0)</f>
        <v>0</v>
      </c>
      <c r="CE697" s="115">
        <f t="shared" si="620"/>
        <v>0</v>
      </c>
      <c r="CF697" s="115">
        <f>IF(OR(CD697=1,模拟模式!$Q$16="2个"),20,MAX(0,CF696-$F$4))</f>
        <v>0</v>
      </c>
      <c r="CG697" s="115" t="b">
        <f t="shared" si="621"/>
        <v>0</v>
      </c>
      <c r="CH697" s="115">
        <f t="shared" ca="1" si="642"/>
        <v>1.4025000000000118</v>
      </c>
      <c r="CI697" s="115" t="b">
        <f t="shared" ca="1" si="643"/>
        <v>0</v>
      </c>
      <c r="CJ697" s="119">
        <f t="shared" ca="1" si="644"/>
        <v>0</v>
      </c>
      <c r="CK697" s="115">
        <f t="shared" ca="1" si="645"/>
        <v>0</v>
      </c>
      <c r="CL697" s="115" t="b">
        <f ca="1">AND(模拟模式!$S$7="驱夷逐法",OR(AND(C697="净世破魔击·月",E696&gt;59),AND(C697="净世破魔击·日",F696&gt;59)))</f>
        <v>0</v>
      </c>
      <c r="CM697" s="115" t="b">
        <f ca="1">OR(CL697,AND(C697="净世破魔击·日",CL696,RAND()&lt;模拟模式!$U$23))</f>
        <v>0</v>
      </c>
      <c r="CN697" s="115" t="b">
        <f ca="1">IF(模拟模式!$M$7="辉耀红尘",AND(C697="净世破魔击·月",CL697,CV697=0,E696&lt;80),AND(C697="净世破魔击·月",CL697,E696&lt;100))</f>
        <v>0</v>
      </c>
      <c r="CO697" s="115" t="b">
        <f t="shared" ca="1" si="622"/>
        <v>0</v>
      </c>
      <c r="CP697" s="115" t="b">
        <f ca="1">AND(模拟模式!$O$7="用晦而明",OR(C697="净世破魔击·日",C697="净世破魔击·月",C697="驱夜断愁"),AB697)</f>
        <v>0</v>
      </c>
      <c r="CQ697" s="115" t="b">
        <f ca="1">OR(CP697,AND(CP696,RAND()&lt;模拟模式!$U$23))</f>
        <v>1</v>
      </c>
      <c r="CR697" s="115" t="b">
        <f ca="1">AND(模拟模式!$S$7="日月齐光",OR(C697="幽月轮1",C697="幽月轮2",C697="幽月轮3",CR696),NOT(OR(C697="赤日轮1",C697="赤日轮2",C697="赤日轮3")))</f>
        <v>0</v>
      </c>
      <c r="CS697" s="115" t="b">
        <f ca="1">AND(模拟模式!$S$7="日月齐光",OR(C697="赤日轮1",C697="赤日轮2",C697="赤日轮3",CS696),NOT(OR(C697="幽月轮1",C697="幽月轮2",C697="幽月轮3")))</f>
        <v>0</v>
      </c>
      <c r="CT697" s="115">
        <f t="shared" ca="1" si="646"/>
        <v>0</v>
      </c>
      <c r="CU697" s="115" t="b">
        <f ca="1">AND(模拟模式!$K$10="阴阳往极",CT696=0,RAND()&lt;IF(C697="净世破魔击·月",0.0275*7/3,IF(C697="净世破魔击·日",0.0275*3/3,0.0275*2/3)))</f>
        <v>0</v>
      </c>
      <c r="CV697" s="115">
        <f t="shared" ca="1" si="647"/>
        <v>0</v>
      </c>
      <c r="CW697" s="115">
        <f t="shared" ca="1" si="648"/>
        <v>2.3099999999999996</v>
      </c>
      <c r="CX697" s="115">
        <f t="shared" ca="1" si="649"/>
        <v>0.46499999999999975</v>
      </c>
      <c r="CY697" s="115">
        <f ca="1">MAX(IF($C697="驱夜断愁",IF(模拟模式!$R$7="万念俱寂",6,45),CY696-$F$4),0)</f>
        <v>1.3874999999999997</v>
      </c>
      <c r="CZ697" s="115">
        <f t="shared" ca="1" si="623"/>
        <v>0</v>
      </c>
      <c r="DA697" s="115">
        <f ca="1">IF(模拟模式!$N$7="日月同辉",IF(DB696=2,0,MIN(6,IF(AND(OR(C697="赤日轮1",C697="赤日轮2",C697="赤日轮3",C697="幽月轮1",C697="幽月轮2",C697="幽月轮3"),AB697=1),DA696+1,DA696))),0)</f>
        <v>2</v>
      </c>
      <c r="DB697" s="115">
        <f t="shared" ca="1" si="624"/>
        <v>0</v>
      </c>
      <c r="DC697" s="115"/>
      <c r="DD697" s="115"/>
      <c r="DE697" s="115"/>
      <c r="DF697" s="115"/>
      <c r="DG697" s="115"/>
      <c r="DH697" s="115"/>
      <c r="DI697" s="115"/>
      <c r="DJ697" s="115"/>
      <c r="DK697" s="115"/>
      <c r="DL697" s="115"/>
      <c r="DM697" s="115"/>
    </row>
    <row r="698" spans="2:117" x14ac:dyDescent="0.2">
      <c r="B698" s="117">
        <f t="shared" si="625"/>
        <v>618.99750000000711</v>
      </c>
      <c r="C698" s="167" t="str">
        <f t="shared" ca="1" si="594"/>
        <v>银月斩</v>
      </c>
      <c r="D698" s="115">
        <f ca="1">IF(C698="赤日轮1",1,IF(C698="赤日轮2",2,IF(C698="赤日轮3",3,IF(C698="幽月轮1",4,IF(C698="幽月轮2",5,IF(C698="幽月轮3",6,IF(C698="烈日斩",7,IF(C698="银月斩",8,IF(C698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698="净世破魔击·月",17,IF(C698="驱夜断愁",18,0)))))))))))</f>
        <v>8</v>
      </c>
      <c r="E698" s="115">
        <f ca="1">IF(AND(CU698,OR(C698="幽月轮1",C698="幽月轮2",C698="幽月轮3",C698="银月斩",C698="驱夜断愁",C698="净世破魔击·月")),100,MIN(IF(OR(CN698,BE698),0,IF(OR($C698="赤日轮1",$C698="赤日轮2",$C698="赤日轮3"),E697+20+IF(模拟模式!$I$7="日月凌天",4,0)+IF(CR697,20,0),IF($C698="烈日斩",E697+40,IF($C698="驱夜断愁",IF(模拟模式!$R$7="万念俱寂",E697+20,E697+60),IF($C698="净世破魔击·月",IF(OR(DB697&gt;0,CV697&gt;0),100,IF(模拟模式!$M$7="辉耀红尘",E697+20,E697)),IF($C698="净世破魔击·日",E697-100,E697)))))),100))</f>
        <v>20</v>
      </c>
      <c r="F698" s="115">
        <f ca="1">IF(AND(CU698,OR(C698="赤日轮1",C698="赤日轮2",C698="赤日轮3",C698="烈日斩",C698="净世破魔击·日")),100,MIN(IF(CO698,0,IF(OR($C698="幽月轮1",$C698="幽月轮2",$C698="幽月轮3"),F697+20+IF(模拟模式!$I$7="日月凌天",4,0)+IF(CS697,20,0),IF($C698="银月斩",F697+40+IF(模拟模式!$X$12=1,5,0),IF($C698="驱夜断愁",IF(模拟模式!$R$7="万念俱寂",F697+20,F697+60),IF($C698="净世破魔击·月",IF(模拟模式!$M$7="辉耀红尘",F697-80,F697-100),IF(AND(C698="净世破魔击·日",OR(DB697&gt;0,CV697&gt;0)),100,F697)))))),100))</f>
        <v>65</v>
      </c>
      <c r="G698" s="117">
        <f ca="1">('模拟-全程加成'!$E$3+'模拟-全程加成'!$E$4+'模拟-全程加成'!$E$5+('模拟-全程加成'!$C$6-'模拟-全程加成'!$C$3)*系数!$B$9+BS698*23)*(1+'模拟-全程加成'!$F$4+'模拟-全程加成'!$F$5+BJ698*10%+BM698*20%+BP698*4%+CG698*30%)+$F$7*系数!$B$12</f>
        <v>21493.829400000002</v>
      </c>
      <c r="H698" s="45">
        <f ca="1">'模拟-全程加成'!$H$3+'模拟-全程加成'!$H$4+'模拟-全程加成'!$H$5+('模拟-全程加成'!$G$4+'模拟-全程加成'!$G$5+('模拟-全程加成'!$C$6-'模拟-全程加成'!$C$3)*系数!$B$13)/系数!$B$3+LOOKUP(D698,'模拟-单技能数据'!$A$2:$A$19,'模拟-单技能数据'!$K$2:$K$19)+BG698*10%+IF(BV698&gt;0,378,0)</f>
        <v>0.64185145527300214</v>
      </c>
      <c r="I698" s="45">
        <f ca="1">'模拟-全程加成'!$J$3+'模拟-全程加成'!$J$4+'模拟-全程加成'!$J$5+('模拟-全程加成'!$I$4+'模拟-全程加成'!$I$5)/系数!$B$4+LOOKUP(D698,'模拟-单技能数据'!$A$2:$A$19,'模拟-单技能数据'!$L$2:$L$19)+BG698*10%</f>
        <v>2.2624828854998791</v>
      </c>
      <c r="J698" s="45">
        <f ca="1">(('模拟-全程加成'!$K$3+'模拟-全程加成'!$K$4+'模拟-全程加成'!$K$5+('模拟-全程加成'!$C$6-'模拟-全程加成'!$C$3)*系数!$B$10+IF(BV698&gt;0,882,0)+IF(BY698&gt;0,1831,0))*(1+'模拟-全程加成'!$L$4+'模拟-全程加成'!$L$5+CC698*20%))/系数!$B$5</f>
        <v>0.69723220422048726</v>
      </c>
      <c r="K698" s="119">
        <f ca="1">LOOKUP(D698,'模拟-单技能数据'!$A$2:$A$19,'模拟-单技能数据'!$J$2:$J$19)+IF(CM698,60%,0)+IF(DB697-DB698&gt;0,30%,0)+IF(OR(AND(OR(C698="赤日轮1",C698="赤日轮2",C698="赤日轮3"),CR698),AND(OR(C698="幽月轮1",C698="幽月轮2",C698="幽月轮3"),CS698)),35%,0)+CJ698</f>
        <v>0.15</v>
      </c>
      <c r="L698" s="119">
        <f ca="1">IF(AND(C698="烈日斩",模拟模式!$X$11=1),10%,0)+IF(AND(C698="驱夜断愁",AB698=1),30%,0)</f>
        <v>0</v>
      </c>
      <c r="M698" s="45">
        <f t="shared" ca="1" si="595"/>
        <v>0.64185145527300214</v>
      </c>
      <c r="N698" s="45">
        <f t="shared" ca="1" si="596"/>
        <v>0.30424854472699792</v>
      </c>
      <c r="O698" s="46">
        <f t="shared" ca="1" si="626"/>
        <v>0.33573344882487488</v>
      </c>
      <c r="P698" s="46" t="str">
        <f t="shared" ca="1" si="597"/>
        <v>会</v>
      </c>
      <c r="Q698" s="45">
        <f t="shared" ca="1" si="598"/>
        <v>2.2624828854998791</v>
      </c>
      <c r="R698" s="117">
        <f ca="1">模拟模式!$E$20*(1-IF(模拟模式!$J$19="有",0.15,0))*(1-IF(模拟模式!$K$19="有",0.3,0)-IF(CQ698,0.5,0))</f>
        <v>2950.6049999999996</v>
      </c>
      <c r="S698" s="45">
        <f ca="1">R698/(R698+(185*模拟模式!$E$22-16800)*4.08224)</f>
        <v>0.24272716014590323</v>
      </c>
      <c r="T698" s="45" t="str">
        <f ca="1">LOOKUP(D698,'模拟-单技能数据'!$A$2:$A$19,'模拟-单技能数据'!$H$2:$H$19)</f>
        <v>阴</v>
      </c>
      <c r="U698" s="119">
        <f t="shared" ca="1" si="599"/>
        <v>0.08</v>
      </c>
      <c r="V698" s="47">
        <f ca="1">(1+L698)*(LOOKUP(D698,'模拟-单技能数据'!$A$2:$A$19,'模拟-单技能数据'!$D$2:$D$19)+G698*LOOKUP(D698,'模拟-单技能数据'!$A$2:$A$19,'模拟-单技能数据'!$F$2:$F$19))*(1+J698)*(1+K698)*(1-S698)*(1+U698)*Q698*LOOKUP(D698,'模拟-单技能数据'!$A$2:$A$19,'模拟-单技能数据'!$I$2:$I$20)</f>
        <v>41211.704893206668</v>
      </c>
      <c r="W698" s="47">
        <f ca="1">LOOKUP(D698,'模拟-单技能数据'!$A$2:$A$19,'模拟-单技能数据'!$G$2:$G$19)*$I$10</f>
        <v>361.51064354704795</v>
      </c>
      <c r="X698" s="47">
        <f t="shared" ca="1" si="627"/>
        <v>0</v>
      </c>
      <c r="Y698" s="47">
        <f t="shared" ca="1" si="600"/>
        <v>41573.21553675372</v>
      </c>
      <c r="Z698" s="49">
        <f t="shared" ca="1" si="601"/>
        <v>70225089.387210503</v>
      </c>
      <c r="AA698" s="97">
        <f t="shared" ca="1" si="602"/>
        <v>113449.71407349738</v>
      </c>
      <c r="AB698" s="115">
        <f ca="1">IF(OR(C698="赤日轮1",C698="赤日轮2",C698="赤日轮3"),IF(RAND()&lt;模拟模式!$Y$17,1,0),IF(OR(C698="幽月轮1",C698="幽月轮2",C698="幽月轮3"),IF(RAND()&lt;模拟模式!$Y$18,1,0),IF(C698="烈日斩",IF(RAND()&lt;模拟模式!$Y$19,1,0),IF(C698="银月斩",IF(RAND()&lt;模拟模式!$Y$20,1,0),IF(C698="驱夜断愁",IF(RAND()&lt;模拟模式!$Y$21,1,0),IF(C698="净世破魔击·日",IF(RAND()&lt;模拟模式!$Y$22,1,0),IF(C698="净世破魔击·月",IF(RAND()&lt;模拟模式!$Y$23,1,0),0)))))))</f>
        <v>1</v>
      </c>
      <c r="AC698" s="115" t="b">
        <f t="shared" ca="1" si="603"/>
        <v>1</v>
      </c>
      <c r="AD698" s="115" t="b">
        <f t="shared" ca="1" si="604"/>
        <v>0</v>
      </c>
      <c r="AE698" s="115">
        <f t="shared" ca="1" si="605"/>
        <v>6</v>
      </c>
      <c r="AF698" s="47">
        <f ca="1">IF(AC698,('模拟-单技能数据'!$D$20+G698*'模拟-单技能数据'!$F$20)*(1+J698)*(1+'模拟-单技能数据'!$J$20)*(1+U698),0)</f>
        <v>4639.7456468263617</v>
      </c>
      <c r="AG698" s="61">
        <f t="shared" ca="1" si="606"/>
        <v>0.64185145527300214</v>
      </c>
      <c r="AH698" s="61">
        <f t="shared" ca="1" si="607"/>
        <v>2.2624828854998791</v>
      </c>
      <c r="AI698" s="62">
        <f t="shared" ca="1" si="628"/>
        <v>0.32973896275435366</v>
      </c>
      <c r="AJ698" s="47">
        <f ca="1">IF(AD698,IF(AI698&lt;$F$10,0,IF(AI698&lt;$F$10+$F$11,0.25,IF(AI698&lt;$F$10+$F$11+AG698,AH698,1)))*IF(AF698&gt;0,AF698,IF(AF697&gt;0,AF697,IF(AF696&gt;0,AF696,IF(AF695&gt;0,AF695,IF(AF694&gt;0,AF694,IF(AF693&gt;0,AF693,IF(AF692&gt;0,AF692,IF(AF691&gt;0,AF691,IF(AF690&gt;0,AF690,IF(AF688&gt;0,AF688,IF(AF687&gt;0,AF687,IF(AF686&gt;0,AF686,0)))))))))))),0)*(1-$S698)*'模拟-单技能数据'!$I$20</f>
        <v>0</v>
      </c>
      <c r="AK698" s="115" t="b">
        <f t="shared" ca="1" si="608"/>
        <v>0</v>
      </c>
      <c r="AL698" s="115" t="b">
        <f t="shared" ca="1" si="609"/>
        <v>0</v>
      </c>
      <c r="AM698" s="115">
        <f t="shared" ca="1" si="610"/>
        <v>5</v>
      </c>
      <c r="AN698" s="47">
        <f ca="1">IF(AK698,('模拟-单技能数据'!$D$21+G698*'模拟-单技能数据'!$F$21)*(1+J698)*(1+'模拟-单技能数据'!$J$21)*(1+U698),0)</f>
        <v>0</v>
      </c>
      <c r="AO698" s="61">
        <f ca="1">IF(AN698&gt;0,M698-'模拟-单技能数据'!$K$10,AO697)</f>
        <v>0.42185145527300216</v>
      </c>
      <c r="AP698" s="61">
        <f ca="1">IF(AN698&gt;0,I698-'模拟-单技能数据'!$L$10,AP697)</f>
        <v>2.162482885499879</v>
      </c>
      <c r="AQ698" s="63">
        <f t="shared" ca="1" si="629"/>
        <v>0.63094579288433794</v>
      </c>
      <c r="AR698" s="64">
        <f ca="1">IF(AL698,IF(AQ698&lt;$F$10,0,IF(AQ698&lt;$F$10+$F$11,0.25,IF(AQ698&lt;$F$10+$F$11+AO698,AP698,1)))*IF(AN698&gt;0,AN698,IF(AN697&gt;0,AN697,IF(AN696&gt;0,AN696,IF(AN695&gt;0,AN695,IF(AN694&gt;0,AN694,IF(AN693&gt;0,AN693,IF(AN692&gt;0,AN692,IF(AN691&gt;0,AN691,IF(AN690&gt;0,AN690,IF(AN688&gt;0,AN688,IF(AN687&gt;0,AN687,IF(AN686&gt;0,AN686,0)))))))))))),0)*(1-$S698)*'模拟-单技能数据'!$I$21</f>
        <v>0</v>
      </c>
      <c r="AS698" s="61">
        <f ca="1">IF(OR(C698="净世破魔击·日",C698="净世破魔击·月"),M698-'模拟-单技能数据'!$K$10,0)</f>
        <v>0</v>
      </c>
      <c r="AT698" s="61">
        <f ca="1">IF(OR(C698="净世破魔击·日",C698="净世破魔击·月"),I698-'模拟-单技能数据'!$L$10,0)</f>
        <v>0</v>
      </c>
      <c r="AU698" s="62">
        <f t="shared" ca="1" si="630"/>
        <v>0.33039792814427171</v>
      </c>
      <c r="AV698" s="64">
        <f ca="1">IF(AS698&gt;0,('模拟-单技能数据'!$D$22+G698*'模拟-单技能数据'!$F$22)*(1+J698)*(1-S698)*IF(AU698&lt;$F$10,0,IF(AU698&lt;$F$10+$F$11,0.25,IF(AU698&lt;$F$10+$F$11+AS698,AT698,1)))*(1+U698),0)*'模拟-单技能数据'!$I$22</f>
        <v>0</v>
      </c>
      <c r="AW698" s="108">
        <f t="shared" ca="1" si="631"/>
        <v>3.3950000000000062</v>
      </c>
      <c r="AX698" s="108" t="b">
        <f ca="1">AND(模拟模式!$P$10="有",AW697=0,RAND()&lt;IF(C698="净世破魔击·月",0.1*8/3,IF(C698="净世破魔击·日",0.1*4/3,0.1*2/3)))</f>
        <v>0</v>
      </c>
      <c r="AY698" s="47">
        <f ca="1">IF(AX698,(18+G698*0.722)*(1+J698)*(1-S698)*(1+$I$4)*IF(P698="会",'模拟-全程加成'!$J$3+'模拟-全程加成'!$J$4+'模拟-全程加成'!$J$5+('模拟-全程加成'!$I$4+'模拟-全程加成'!$I$5)/系数!$B$4+BG698*10%,IF(P698="命",1,IF(P698="识",0.25,0))),0)</f>
        <v>0</v>
      </c>
      <c r="AZ698" s="108">
        <f t="shared" si="632"/>
        <v>9.8525000000000063</v>
      </c>
      <c r="BA698" s="108" t="b">
        <f>AND(模拟模式!$Q$10="有",AZ697=0)</f>
        <v>0</v>
      </c>
      <c r="BB698" s="140">
        <f>IF(BA698,(0+G698*0.287)*(1+J698)*(1-S698)*(1+$I$4)*IF(P698="会",'模拟-全程加成'!$J$3+'模拟-全程加成'!$J$4+'模拟-全程加成'!$J$5+('模拟-全程加成'!$I$4+'模拟-全程加成'!$I$5)/系数!$B$4+BG698*10%,IF(P698="命",1,IF(P698="识",0.25,0))),0)</f>
        <v>0</v>
      </c>
      <c r="BC698" s="115" t="b">
        <f ca="1">AND(模拟模式!$R$7="伏明众生",E698=60,F698=20,DA698&lt;5,CZ697&lt;$F$4)</f>
        <v>0</v>
      </c>
      <c r="BD698" s="115">
        <f t="shared" ca="1" si="611"/>
        <v>0</v>
      </c>
      <c r="BE698" s="115" t="b">
        <f t="shared" ca="1" si="612"/>
        <v>0</v>
      </c>
      <c r="BF698" s="47">
        <f ca="1">IF(BC698,4*('模拟-单技能数据'!$D$24+G698*'模拟-单技能数据'!$F$24)*(1+J698)*(1+'模拟-单技能数据'!$J$24)*(1-S698)*(1+$I$3)*(('模拟-全程加成'!$J$3+'模拟-全程加成'!$J$4+'模拟-全程加成'!$J$5+('模拟-全程加成'!$I$4+'模拟-全程加成'!$I$5)/系数!$B$4+BG698*10%)*('模拟-全程加成'!$J$3+'模拟-全程加成'!$J$4+'模拟-全程加成'!$J$5+('模拟-全程加成'!$I$4+'模拟-全程加成'!$I$5)/系数!$B$4+BG698*10%)+(1-('模拟-全程加成'!$J$3+'模拟-全程加成'!$J$4+'模拟-全程加成'!$J$5+('模拟-全程加成'!$I$4+'模拟-全程加成'!$I$5)/系数!$B$4+BG698*10%)-$F$10-$F$11)+F684*0.25),0)*'模拟-单技能数据'!$I$24</f>
        <v>0</v>
      </c>
      <c r="BG698" s="115" t="b">
        <f ca="1">OR(AND(OR(C698="烈日斩",C698="银月斩"),模拟模式!$I$7="净身明礼"),AND(C698="净世破魔击·日",模拟模式!$J$7="洞若观火"),AND(C699="净世破魔击·月",模拟模式!$J$7="洞若观火"),AB698=1)</f>
        <v>1</v>
      </c>
      <c r="BH698" s="115" t="b">
        <f t="shared" ca="1" si="633"/>
        <v>0</v>
      </c>
      <c r="BI698" s="115">
        <f t="shared" ca="1" si="613"/>
        <v>1.3874999999999997</v>
      </c>
      <c r="BJ698" s="115" t="b">
        <f t="shared" ca="1" si="614"/>
        <v>1</v>
      </c>
      <c r="BK698" s="115" t="b">
        <f ca="1">AND(C698="驱夜断愁",模拟模式!$P$7="天地诛戮")</f>
        <v>0</v>
      </c>
      <c r="BL698" s="57">
        <f t="shared" ca="1" si="615"/>
        <v>14.465000000000003</v>
      </c>
      <c r="BM698" s="115" t="b">
        <f t="shared" ca="1" si="616"/>
        <v>1</v>
      </c>
      <c r="BN698" s="115" t="b">
        <f ca="1">AND(OR(C698="赤日轮1",C698="赤日轮2",C698="赤日轮3",C698="幽月轮1",C698="幽月轮2",C698="幽月轮3"),AB698=1,模拟模式!$L$7="明光恒照")</f>
        <v>0</v>
      </c>
      <c r="BO698" s="117">
        <f t="shared" ca="1" si="617"/>
        <v>29.077500000000001</v>
      </c>
      <c r="BP698" s="115">
        <f t="shared" ca="1" si="634"/>
        <v>6</v>
      </c>
      <c r="BQ698" s="115" t="b">
        <f>模拟模式!$K$10="2600·水"</f>
        <v>0</v>
      </c>
      <c r="BR698" s="117">
        <f t="shared" si="635"/>
        <v>0</v>
      </c>
      <c r="BS698" s="115">
        <f t="shared" si="636"/>
        <v>0</v>
      </c>
      <c r="BT698" s="115">
        <f t="shared" ca="1" si="637"/>
        <v>0</v>
      </c>
      <c r="BU698" s="115" t="b">
        <f ca="1">AND(模拟模式!$K$10="2300·雷",BT697=0,RAND()&lt;IF(C698="净世破魔击·月",5*0.05*2/3,IF(C698="净世破魔击·日",3*0.05*2/3,0.05*2*2/3)))</f>
        <v>0</v>
      </c>
      <c r="BV698" s="115">
        <f t="shared" ca="1" si="638"/>
        <v>0</v>
      </c>
      <c r="BW698" s="115">
        <f t="shared" ca="1" si="639"/>
        <v>119.11499999999924</v>
      </c>
      <c r="BX698" s="164" t="b">
        <f t="shared" ca="1" si="640"/>
        <v>0</v>
      </c>
      <c r="BY698" s="115">
        <f t="shared" ca="1" si="641"/>
        <v>0</v>
      </c>
      <c r="BZ698" s="115">
        <f>IF(OR(模拟模式!$P$16="10人团",模拟模式!$P$16="25人团"),IF(B698/30&gt;CA697,1,0),0)</f>
        <v>0</v>
      </c>
      <c r="CA698" s="115">
        <f t="shared" si="618"/>
        <v>0</v>
      </c>
      <c r="CB698" s="115">
        <f ca="1">IF(BZ698=1,IF(模拟模式!$P$16="10人团",15,0)+IF(模拟模式!$P$16="25人团",IF(RAND()&lt;0.6,15,0)),MAX(0,CB697-$F$4))</f>
        <v>0</v>
      </c>
      <c r="CC698" s="115" t="b">
        <f t="shared" ca="1" si="619"/>
        <v>0</v>
      </c>
      <c r="CD698" s="115">
        <f>IF(模拟模式!$Q$16="1个",IF(B698/40&gt;CE697,1,0),0)</f>
        <v>0</v>
      </c>
      <c r="CE698" s="115">
        <f t="shared" si="620"/>
        <v>0</v>
      </c>
      <c r="CF698" s="115">
        <f>IF(OR(CD698=1,模拟模式!$Q$16="2个"),20,MAX(0,CF697-$F$4))</f>
        <v>0</v>
      </c>
      <c r="CG698" s="115" t="b">
        <f t="shared" si="621"/>
        <v>0</v>
      </c>
      <c r="CH698" s="115">
        <f t="shared" ca="1" si="642"/>
        <v>0.48000000000001186</v>
      </c>
      <c r="CI698" s="115" t="b">
        <f t="shared" ca="1" si="643"/>
        <v>0</v>
      </c>
      <c r="CJ698" s="119">
        <f t="shared" ca="1" si="644"/>
        <v>0</v>
      </c>
      <c r="CK698" s="115">
        <f t="shared" ca="1" si="645"/>
        <v>0</v>
      </c>
      <c r="CL698" s="115" t="b">
        <f ca="1">AND(模拟模式!$S$7="驱夷逐法",OR(AND(C698="净世破魔击·月",E697&gt;59),AND(C698="净世破魔击·日",F697&gt;59)))</f>
        <v>0</v>
      </c>
      <c r="CM698" s="115" t="b">
        <f ca="1">OR(CL698,AND(C698="净世破魔击·日",CL697,RAND()&lt;模拟模式!$U$23))</f>
        <v>0</v>
      </c>
      <c r="CN698" s="115" t="b">
        <f ca="1">IF(模拟模式!$M$7="辉耀红尘",AND(C698="净世破魔击·月",CL698,CV698=0,E697&lt;80),AND(C698="净世破魔击·月",CL698,E697&lt;100))</f>
        <v>0</v>
      </c>
      <c r="CO698" s="115" t="b">
        <f t="shared" ca="1" si="622"/>
        <v>0</v>
      </c>
      <c r="CP698" s="115" t="b">
        <f ca="1">AND(模拟模式!$O$7="用晦而明",OR(C698="净世破魔击·日",C698="净世破魔击·月",C698="驱夜断愁"),AB698)</f>
        <v>0</v>
      </c>
      <c r="CQ698" s="115" t="b">
        <f ca="1">OR(CP698,AND(CP697,RAND()&lt;模拟模式!$U$23))</f>
        <v>0</v>
      </c>
      <c r="CR698" s="115" t="b">
        <f ca="1">AND(模拟模式!$S$7="日月齐光",OR(C698="幽月轮1",C698="幽月轮2",C698="幽月轮3",CR697),NOT(OR(C698="赤日轮1",C698="赤日轮2",C698="赤日轮3")))</f>
        <v>0</v>
      </c>
      <c r="CS698" s="115" t="b">
        <f ca="1">AND(模拟模式!$S$7="日月齐光",OR(C698="赤日轮1",C698="赤日轮2",C698="赤日轮3",CS697),NOT(OR(C698="幽月轮1",C698="幽月轮2",C698="幽月轮3")))</f>
        <v>0</v>
      </c>
      <c r="CT698" s="115">
        <f t="shared" ca="1" si="646"/>
        <v>0</v>
      </c>
      <c r="CU698" s="115" t="b">
        <f ca="1">AND(模拟模式!$K$10="阴阳往极",CT697=0,RAND()&lt;IF(C698="净世破魔击·月",0.0275*7/3,IF(C698="净世破魔击·日",0.0275*3/3,0.0275*2/3)))</f>
        <v>0</v>
      </c>
      <c r="CV698" s="115">
        <f t="shared" ca="1" si="647"/>
        <v>0</v>
      </c>
      <c r="CW698" s="115">
        <f t="shared" ca="1" si="648"/>
        <v>1.3874999999999997</v>
      </c>
      <c r="CX698" s="115">
        <f t="shared" ca="1" si="649"/>
        <v>6</v>
      </c>
      <c r="CY698" s="115">
        <f ca="1">MAX(IF($C698="驱夜断愁",IF(模拟模式!$R$7="万念俱寂",6,45),CY697-$F$4),0)</f>
        <v>0.46499999999999975</v>
      </c>
      <c r="CZ698" s="115">
        <f t="shared" ca="1" si="623"/>
        <v>0</v>
      </c>
      <c r="DA698" s="115">
        <f ca="1">IF(模拟模式!$N$7="日月同辉",IF(DB697=2,0,MIN(6,IF(AND(OR(C698="赤日轮1",C698="赤日轮2",C698="赤日轮3",C698="幽月轮1",C698="幽月轮2",C698="幽月轮3"),AB698=1),DA697+1,DA697))),0)</f>
        <v>2</v>
      </c>
      <c r="DB698" s="115">
        <f t="shared" ca="1" si="624"/>
        <v>0</v>
      </c>
      <c r="DC698" s="115"/>
      <c r="DD698" s="115"/>
      <c r="DE698" s="115"/>
      <c r="DF698" s="115"/>
      <c r="DG698" s="115"/>
      <c r="DH698" s="115"/>
      <c r="DI698" s="115"/>
      <c r="DJ698" s="115"/>
      <c r="DK698" s="115"/>
      <c r="DL698" s="115"/>
      <c r="DM698" s="115"/>
    </row>
    <row r="699" spans="2:117" x14ac:dyDescent="0.2">
      <c r="B699" s="117">
        <f t="shared" si="625"/>
        <v>619.92000000000712</v>
      </c>
      <c r="C699" s="167" t="str">
        <f t="shared" ca="1" si="594"/>
        <v>驱夜断愁</v>
      </c>
      <c r="D699" s="115">
        <f ca="1">IF(C699="赤日轮1",1,IF(C699="赤日轮2",2,IF(C699="赤日轮3",3,IF(C699="幽月轮1",4,IF(C699="幽月轮2",5,IF(C699="幽月轮3",6,IF(C699="烈日斩",7,IF(C699="银月斩",8,IF(C699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699="净世破魔击·月",17,IF(C699="驱夜断愁",18,0)))))))))))</f>
        <v>18</v>
      </c>
      <c r="E699" s="115">
        <f ca="1">IF(AND(CU699,OR(C699="幽月轮1",C699="幽月轮2",C699="幽月轮3",C699="银月斩",C699="驱夜断愁",C699="净世破魔击·月")),100,MIN(IF(OR(CN699,BE699),0,IF(OR($C699="赤日轮1",$C699="赤日轮2",$C699="赤日轮3"),E698+20+IF(模拟模式!$I$7="日月凌天",4,0)+IF(CR698,20,0),IF($C699="烈日斩",E698+40,IF($C699="驱夜断愁",IF(模拟模式!$R$7="万念俱寂",E698+20,E698+60),IF($C699="净世破魔击·月",IF(OR(DB698&gt;0,CV698&gt;0),100,IF(模拟模式!$M$7="辉耀红尘",E698+20,E698)),IF($C699="净世破魔击·日",E698-100,E698)))))),100))</f>
        <v>40</v>
      </c>
      <c r="F699" s="115">
        <f ca="1">IF(AND(CU699,OR(C699="赤日轮1",C699="赤日轮2",C699="赤日轮3",C699="烈日斩",C699="净世破魔击·日")),100,MIN(IF(CO699,0,IF(OR($C699="幽月轮1",$C699="幽月轮2",$C699="幽月轮3"),F698+20+IF(模拟模式!$I$7="日月凌天",4,0)+IF(CS698,20,0),IF($C699="银月斩",F698+40+IF(模拟模式!$X$12=1,5,0),IF($C699="驱夜断愁",IF(模拟模式!$R$7="万念俱寂",F698+20,F698+60),IF($C699="净世破魔击·月",IF(模拟模式!$M$7="辉耀红尘",F698-80,F698-100),IF(AND(C699="净世破魔击·日",OR(DB698&gt;0,CV698&gt;0)),100,F698)))))),100))</f>
        <v>85</v>
      </c>
      <c r="G699" s="117">
        <f ca="1">('模拟-全程加成'!$E$3+'模拟-全程加成'!$E$4+'模拟-全程加成'!$E$5+('模拟-全程加成'!$C$6-'模拟-全程加成'!$C$3)*系数!$B$9+BS699*23)*(1+'模拟-全程加成'!$F$4+'模拟-全程加成'!$F$5+BJ699*10%+BM699*20%+BP699*4%+CG699*30%)+$F$7*系数!$B$12</f>
        <v>21493.829400000002</v>
      </c>
      <c r="H699" s="45">
        <f ca="1">'模拟-全程加成'!$H$3+'模拟-全程加成'!$H$4+'模拟-全程加成'!$H$5+('模拟-全程加成'!$G$4+'模拟-全程加成'!$G$5+('模拟-全程加成'!$C$6-'模拟-全程加成'!$C$3)*系数!$B$13)/系数!$B$3+LOOKUP(D699,'模拟-单技能数据'!$A$2:$A$19,'模拟-单技能数据'!$K$2:$K$19)+BG699*10%+IF(BV699&gt;0,378,0)</f>
        <v>0.51185145527300213</v>
      </c>
      <c r="I699" s="45">
        <f ca="1">'模拟-全程加成'!$J$3+'模拟-全程加成'!$J$4+'模拟-全程加成'!$J$5+('模拟-全程加成'!$I$4+'模拟-全程加成'!$I$5)/系数!$B$4+LOOKUP(D699,'模拟-单技能数据'!$A$2:$A$19,'模拟-单技能数据'!$L$2:$L$19)+BG699*10%</f>
        <v>2.162482885499879</v>
      </c>
      <c r="J699" s="45">
        <f ca="1">(('模拟-全程加成'!$K$3+'模拟-全程加成'!$K$4+'模拟-全程加成'!$K$5+('模拟-全程加成'!$C$6-'模拟-全程加成'!$C$3)*系数!$B$10+IF(BV699&gt;0,882,0)+IF(BY699&gt;0,1831,0))*(1+'模拟-全程加成'!$L$4+'模拟-全程加成'!$L$5+CC699*20%))/系数!$B$5</f>
        <v>0.69723220422048726</v>
      </c>
      <c r="K699" s="119">
        <f ca="1">LOOKUP(D699,'模拟-单技能数据'!$A$2:$A$19,'模拟-单技能数据'!$J$2:$J$19)+IF(CM699,60%,0)+IF(DB698-DB699&gt;0,30%,0)+IF(OR(AND(OR(C699="赤日轮1",C699="赤日轮2",C699="赤日轮3"),CR699),AND(OR(C699="幽月轮1",C699="幽月轮2",C699="幽月轮3"),CS699)),35%,0)+CJ699</f>
        <v>0.14000000000000001</v>
      </c>
      <c r="L699" s="119">
        <f ca="1">IF(AND(C699="烈日斩",模拟模式!$X$11=1),10%,0)+IF(AND(C699="驱夜断愁",AB699=1),30%,0)</f>
        <v>0.3</v>
      </c>
      <c r="M699" s="45">
        <f t="shared" ca="1" si="595"/>
        <v>0.51185145527300213</v>
      </c>
      <c r="N699" s="45">
        <f t="shared" ca="1" si="596"/>
        <v>0.43424854472699792</v>
      </c>
      <c r="O699" s="46">
        <f t="shared" ca="1" si="626"/>
        <v>3.7189206295952792E-2</v>
      </c>
      <c r="P699" s="46" t="str">
        <f t="shared" ca="1" si="597"/>
        <v>识</v>
      </c>
      <c r="Q699" s="45">
        <f t="shared" ca="1" si="598"/>
        <v>0.25</v>
      </c>
      <c r="R699" s="117">
        <f ca="1">模拟模式!$E$20*(1-IF(模拟模式!$J$19="有",0.15,0))*(1-IF(模拟模式!$K$19="有",0.3,0)-IF(CQ699,0.5,0))</f>
        <v>843.02999999999975</v>
      </c>
      <c r="S699" s="45">
        <f ca="1">R699/(R699+(185*模拟模式!$E$22-16800)*4.08224)</f>
        <v>8.389626085980037E-2</v>
      </c>
      <c r="T699" s="45" t="str">
        <f ca="1">LOOKUP(D699,'模拟-单技能数据'!$A$2:$A$19,'模拟-单技能数据'!$H$2:$H$19)</f>
        <v>阴</v>
      </c>
      <c r="U699" s="119">
        <f t="shared" ca="1" si="599"/>
        <v>0.08</v>
      </c>
      <c r="V699" s="47">
        <f ca="1">(1+L699)*(LOOKUP(D699,'模拟-单技能数据'!$A$2:$A$19,'模拟-单技能数据'!$D$2:$D$19)+G699*LOOKUP(D699,'模拟-单技能数据'!$A$2:$A$19,'模拟-单技能数据'!$F$2:$F$19))*(1+J699)*(1+K699)*(1-S699)*(1+U699)*Q699*LOOKUP(D699,'模拟-单技能数据'!$A$2:$A$19,'模拟-单技能数据'!$I$2:$I$20)</f>
        <v>15385.018372398006</v>
      </c>
      <c r="W699" s="47">
        <f ca="1">LOOKUP(D699,'模拟-单技能数据'!$A$2:$A$19,'模拟-单技能数据'!$G$2:$G$19)*$I$10</f>
        <v>723.0212870940959</v>
      </c>
      <c r="X699" s="47">
        <f t="shared" ca="1" si="627"/>
        <v>15858.380188173272</v>
      </c>
      <c r="Y699" s="47">
        <f t="shared" ca="1" si="600"/>
        <v>31966.419847665376</v>
      </c>
      <c r="Z699" s="49">
        <f t="shared" ca="1" si="601"/>
        <v>70257055.80705817</v>
      </c>
      <c r="AA699" s="97">
        <f t="shared" ca="1" si="602"/>
        <v>113332.45548951052</v>
      </c>
      <c r="AB699" s="115">
        <f ca="1">IF(OR(C699="赤日轮1",C699="赤日轮2",C699="赤日轮3"),IF(RAND()&lt;模拟模式!$Y$17,1,0),IF(OR(C699="幽月轮1",C699="幽月轮2",C699="幽月轮3"),IF(RAND()&lt;模拟模式!$Y$18,1,0),IF(C699="烈日斩",IF(RAND()&lt;模拟模式!$Y$19,1,0),IF(C699="银月斩",IF(RAND()&lt;模拟模式!$Y$20,1,0),IF(C699="驱夜断愁",IF(RAND()&lt;模拟模式!$Y$21,1,0),IF(C699="净世破魔击·日",IF(RAND()&lt;模拟模式!$Y$22,1,0),IF(C699="净世破魔击·月",IF(RAND()&lt;模拟模式!$Y$23,1,0),0)))))))</f>
        <v>1</v>
      </c>
      <c r="AC699" s="115" t="b">
        <f t="shared" ca="1" si="603"/>
        <v>0</v>
      </c>
      <c r="AD699" s="115" t="b">
        <f t="shared" ca="1" si="604"/>
        <v>1</v>
      </c>
      <c r="AE699" s="115">
        <f t="shared" ca="1" si="605"/>
        <v>5</v>
      </c>
      <c r="AF699" s="47">
        <f ca="1">IF(AC699,('模拟-单技能数据'!$D$20+G699*'模拟-单技能数据'!$F$20)*(1+J699)*(1+'模拟-单技能数据'!$J$20)*(1+U699),0)</f>
        <v>0</v>
      </c>
      <c r="AG699" s="61">
        <f t="shared" ca="1" si="606"/>
        <v>0.64185145527300214</v>
      </c>
      <c r="AH699" s="61">
        <f t="shared" ca="1" si="607"/>
        <v>2.2624828854998791</v>
      </c>
      <c r="AI699" s="62">
        <f t="shared" ca="1" si="628"/>
        <v>0.7029207230805532</v>
      </c>
      <c r="AJ699" s="47">
        <f ca="1">IF(AD699,IF(AI699&lt;$F$10,0,IF(AI699&lt;$F$10+$F$11,0.25,IF(AI699&lt;$F$10+$F$11+AG699,AH699,1)))*IF(AF699&gt;0,AF699,IF(AF698&gt;0,AF698,IF(AF697&gt;0,AF697,IF(AF696&gt;0,AF696,IF(AF695&gt;0,AF695,IF(AF694&gt;0,AF694,IF(AF693&gt;0,AF693,IF(AF692&gt;0,AF692,IF(AF691&gt;0,AF691,IF(AF689&gt;0,AF689,IF(AF688&gt;0,AF688,IF(AF687&gt;0,AF687,0)))))))))))),0)*(1-$S699)*'模拟-单技能数据'!$I$20</f>
        <v>4250.4883357170938</v>
      </c>
      <c r="AK699" s="115" t="b">
        <f t="shared" ca="1" si="608"/>
        <v>0</v>
      </c>
      <c r="AL699" s="115" t="b">
        <f t="shared" ca="1" si="609"/>
        <v>1</v>
      </c>
      <c r="AM699" s="115">
        <f t="shared" ca="1" si="610"/>
        <v>4</v>
      </c>
      <c r="AN699" s="47">
        <f ca="1">IF(AK699,('模拟-单技能数据'!$D$21+G699*'模拟-单技能数据'!$F$21)*(1+J699)*(1+'模拟-单技能数据'!$J$21)*(1+U699),0)</f>
        <v>0</v>
      </c>
      <c r="AO699" s="61">
        <f ca="1">IF(AN699&gt;0,M699-'模拟-单技能数据'!$K$10,AO698)</f>
        <v>0.42185145527300216</v>
      </c>
      <c r="AP699" s="61">
        <f ca="1">IF(AN699&gt;0,I699-'模拟-单技能数据'!$L$10,AP698)</f>
        <v>2.162482885499879</v>
      </c>
      <c r="AQ699" s="63">
        <f t="shared" ca="1" si="629"/>
        <v>0.92285183359486367</v>
      </c>
      <c r="AR699" s="64">
        <f ca="1">IF(AL699,IF(AQ699&lt;$F$10,0,IF(AQ699&lt;$F$10+$F$11,0.25,IF(AQ699&lt;$F$10+$F$11+AO699,AP699,1)))*IF(AN699&gt;0,AN699,IF(AN698&gt;0,AN698,IF(AN697&gt;0,AN697,IF(AN696&gt;0,AN696,IF(AN695&gt;0,AN695,IF(AN694&gt;0,AN694,IF(AN693&gt;0,AN693,IF(AN692&gt;0,AN692,IF(AN691&gt;0,AN691,IF(AN689&gt;0,AN689,IF(AN688&gt;0,AN688,IF(AN687&gt;0,AN687,0)))))))))))),0)*(1-$S699)*'模拟-单技能数据'!$I$21</f>
        <v>11607.89185245618</v>
      </c>
      <c r="AS699" s="61">
        <f ca="1">IF(OR(C699="净世破魔击·日",C699="净世破魔击·月"),M699-'模拟-单技能数据'!$K$10,0)</f>
        <v>0</v>
      </c>
      <c r="AT699" s="61">
        <f ca="1">IF(OR(C699="净世破魔击·日",C699="净世破魔击·月"),I699-'模拟-单技能数据'!$L$10,0)</f>
        <v>0</v>
      </c>
      <c r="AU699" s="62">
        <f t="shared" ca="1" si="630"/>
        <v>0.42194461022271357</v>
      </c>
      <c r="AV699" s="64">
        <f ca="1">IF(AS699&gt;0,('模拟-单技能数据'!$D$22+G699*'模拟-单技能数据'!$F$22)*(1+J699)*(1-S699)*IF(AU699&lt;$F$10,0,IF(AU699&lt;$F$10+$F$11,0.25,IF(AU699&lt;$F$10+$F$11+AS699,AT699,1)))*(1+U699),0)*'模拟-单技能数据'!$I$22</f>
        <v>0</v>
      </c>
      <c r="AW699" s="108">
        <f t="shared" ca="1" si="631"/>
        <v>2.4725000000000064</v>
      </c>
      <c r="AX699" s="108" t="b">
        <f ca="1">AND(模拟模式!$P$10="有",AW698=0,RAND()&lt;IF(C699="净世破魔击·月",0.1*8/3,IF(C699="净世破魔击·日",0.1*4/3,0.1*2/3)))</f>
        <v>0</v>
      </c>
      <c r="AY699" s="47">
        <f ca="1">IF(AX699,(18+G699*0.722)*(1+J699)*(1-S699)*(1+$I$4)*IF(P699="会",'模拟-全程加成'!$J$3+'模拟-全程加成'!$J$4+'模拟-全程加成'!$J$5+('模拟-全程加成'!$I$4+'模拟-全程加成'!$I$5)/系数!$B$4+BG699*10%,IF(P699="命",1,IF(P699="识",0.25,0))),0)</f>
        <v>0</v>
      </c>
      <c r="AZ699" s="108">
        <f t="shared" si="632"/>
        <v>8.9300000000000068</v>
      </c>
      <c r="BA699" s="108" t="b">
        <f>AND(模拟模式!$Q$10="有",AZ698=0)</f>
        <v>0</v>
      </c>
      <c r="BB699" s="140">
        <f>IF(BA699,(0+G699*0.287)*(1+J699)*(1-S699)*(1+$I$4)*IF(P699="会",'模拟-全程加成'!$J$3+'模拟-全程加成'!$J$4+'模拟-全程加成'!$J$5+('模拟-全程加成'!$I$4+'模拟-全程加成'!$I$5)/系数!$B$4+BG699*10%,IF(P699="命",1,IF(P699="识",0.25,0))),0)</f>
        <v>0</v>
      </c>
      <c r="BC699" s="115" t="b">
        <f ca="1">AND(模拟模式!$R$7="伏明众生",E699=60,F699=20,DA699&lt;5,CZ698&lt;$F$4)</f>
        <v>0</v>
      </c>
      <c r="BD699" s="115">
        <f t="shared" ca="1" si="611"/>
        <v>0</v>
      </c>
      <c r="BE699" s="115" t="b">
        <f t="shared" ca="1" si="612"/>
        <v>0</v>
      </c>
      <c r="BF699" s="47">
        <f ca="1">IF(BC699,4*('模拟-单技能数据'!$D$24+G699*'模拟-单技能数据'!$F$24)*(1+J699)*(1+'模拟-单技能数据'!$J$24)*(1-S699)*(1+$I$3)*(('模拟-全程加成'!$J$3+'模拟-全程加成'!$J$4+'模拟-全程加成'!$J$5+('模拟-全程加成'!$I$4+'模拟-全程加成'!$I$5)/系数!$B$4+BG699*10%)*('模拟-全程加成'!$J$3+'模拟-全程加成'!$J$4+'模拟-全程加成'!$J$5+('模拟-全程加成'!$I$4+'模拟-全程加成'!$I$5)/系数!$B$4+BG699*10%)+(1-('模拟-全程加成'!$J$3+'模拟-全程加成'!$J$4+'模拟-全程加成'!$J$5+('模拟-全程加成'!$I$4+'模拟-全程加成'!$I$5)/系数!$B$4+BG699*10%)-$F$10-$F$11)+F685*0.25),0)*'模拟-单技能数据'!$I$24</f>
        <v>0</v>
      </c>
      <c r="BG699" s="115" t="b">
        <f ca="1">OR(AND(OR(C699="烈日斩",C699="银月斩"),模拟模式!$I$7="净身明礼"),AND(C699="净世破魔击·日",模拟模式!$J$7="洞若观火"),AND(C700="净世破魔击·月",模拟模式!$J$7="洞若观火"),AB699=1)</f>
        <v>1</v>
      </c>
      <c r="BH699" s="115" t="b">
        <f t="shared" ca="1" si="633"/>
        <v>0</v>
      </c>
      <c r="BI699" s="115">
        <f t="shared" ca="1" si="613"/>
        <v>0.46499999999999975</v>
      </c>
      <c r="BJ699" s="115" t="b">
        <f t="shared" ca="1" si="614"/>
        <v>1</v>
      </c>
      <c r="BK699" s="115" t="b">
        <f ca="1">AND(C699="驱夜断愁",模拟模式!$P$7="天地诛戮")</f>
        <v>1</v>
      </c>
      <c r="BL699" s="57">
        <f t="shared" ca="1" si="615"/>
        <v>20</v>
      </c>
      <c r="BM699" s="115" t="b">
        <f t="shared" ca="1" si="616"/>
        <v>1</v>
      </c>
      <c r="BN699" s="115" t="b">
        <f ca="1">AND(OR(C699="赤日轮1",C699="赤日轮2",C699="赤日轮3",C699="幽月轮1",C699="幽月轮2",C699="幽月轮3"),AB699=1,模拟模式!$L$7="明光恒照")</f>
        <v>0</v>
      </c>
      <c r="BO699" s="117">
        <f t="shared" ca="1" si="617"/>
        <v>28.155000000000001</v>
      </c>
      <c r="BP699" s="115">
        <f t="shared" ca="1" si="634"/>
        <v>6</v>
      </c>
      <c r="BQ699" s="115" t="b">
        <f>模拟模式!$K$10="2600·水"</f>
        <v>0</v>
      </c>
      <c r="BR699" s="117">
        <f t="shared" si="635"/>
        <v>0</v>
      </c>
      <c r="BS699" s="115">
        <f t="shared" si="636"/>
        <v>0</v>
      </c>
      <c r="BT699" s="115">
        <f t="shared" ca="1" si="637"/>
        <v>0</v>
      </c>
      <c r="BU699" s="115" t="b">
        <f ca="1">AND(模拟模式!$K$10="2300·雷",BT698=0,RAND()&lt;IF(C699="净世破魔击·月",5*0.05*2/3,IF(C699="净世破魔击·日",3*0.05*2/3,0.05*2*2/3)))</f>
        <v>0</v>
      </c>
      <c r="BV699" s="115">
        <f t="shared" ca="1" si="638"/>
        <v>0</v>
      </c>
      <c r="BW699" s="115">
        <f t="shared" ca="1" si="639"/>
        <v>118.19249999999924</v>
      </c>
      <c r="BX699" s="164" t="b">
        <f t="shared" ca="1" si="640"/>
        <v>0</v>
      </c>
      <c r="BY699" s="115">
        <f t="shared" ca="1" si="641"/>
        <v>0</v>
      </c>
      <c r="BZ699" s="115">
        <f>IF(OR(模拟模式!$P$16="10人团",模拟模式!$P$16="25人团"),IF(B699/30&gt;CA698,1,0),0)</f>
        <v>0</v>
      </c>
      <c r="CA699" s="115">
        <f t="shared" si="618"/>
        <v>0</v>
      </c>
      <c r="CB699" s="115">
        <f ca="1">IF(BZ699=1,IF(模拟模式!$P$16="10人团",15,0)+IF(模拟模式!$P$16="25人团",IF(RAND()&lt;0.6,15,0)),MAX(0,CB698-$F$4))</f>
        <v>0</v>
      </c>
      <c r="CC699" s="115" t="b">
        <f t="shared" ca="1" si="619"/>
        <v>0</v>
      </c>
      <c r="CD699" s="115">
        <f>IF(模拟模式!$Q$16="1个",IF(B699/40&gt;CE698,1,0),0)</f>
        <v>0</v>
      </c>
      <c r="CE699" s="115">
        <f t="shared" si="620"/>
        <v>0</v>
      </c>
      <c r="CF699" s="115">
        <f>IF(OR(CD699=1,模拟模式!$Q$16="2个"),20,MAX(0,CF698-$F$4))</f>
        <v>0</v>
      </c>
      <c r="CG699" s="115" t="b">
        <f t="shared" si="621"/>
        <v>0</v>
      </c>
      <c r="CH699" s="115">
        <f t="shared" ca="1" si="642"/>
        <v>0</v>
      </c>
      <c r="CI699" s="115" t="b">
        <f t="shared" ca="1" si="643"/>
        <v>0</v>
      </c>
      <c r="CJ699" s="119">
        <f t="shared" ca="1" si="644"/>
        <v>0</v>
      </c>
      <c r="CK699" s="115">
        <f t="shared" ca="1" si="645"/>
        <v>0</v>
      </c>
      <c r="CL699" s="115" t="b">
        <f ca="1">AND(模拟模式!$S$7="驱夷逐法",OR(AND(C699="净世破魔击·月",E698&gt;59),AND(C699="净世破魔击·日",F698&gt;59)))</f>
        <v>0</v>
      </c>
      <c r="CM699" s="115" t="b">
        <f ca="1">OR(CL699,AND(C699="净世破魔击·日",CL698,RAND()&lt;模拟模式!$U$23))</f>
        <v>0</v>
      </c>
      <c r="CN699" s="115" t="b">
        <f ca="1">IF(模拟模式!$M$7="辉耀红尘",AND(C699="净世破魔击·月",CL699,CV699=0,E698&lt;80),AND(C699="净世破魔击·月",CL699,E698&lt;100))</f>
        <v>0</v>
      </c>
      <c r="CO699" s="115" t="b">
        <f t="shared" ca="1" si="622"/>
        <v>0</v>
      </c>
      <c r="CP699" s="115" t="b">
        <f ca="1">AND(模拟模式!$O$7="用晦而明",OR(C699="净世破魔击·日",C699="净世破魔击·月",C699="驱夜断愁"),AB699)</f>
        <v>1</v>
      </c>
      <c r="CQ699" s="115" t="b">
        <f ca="1">OR(CP699,AND(CP698,RAND()&lt;模拟模式!$U$23))</f>
        <v>1</v>
      </c>
      <c r="CR699" s="115" t="b">
        <f ca="1">AND(模拟模式!$S$7="日月齐光",OR(C699="幽月轮1",C699="幽月轮2",C699="幽月轮3",CR698),NOT(OR(C699="赤日轮1",C699="赤日轮2",C699="赤日轮3")))</f>
        <v>0</v>
      </c>
      <c r="CS699" s="115" t="b">
        <f ca="1">AND(模拟模式!$S$7="日月齐光",OR(C699="赤日轮1",C699="赤日轮2",C699="赤日轮3",CS698),NOT(OR(C699="幽月轮1",C699="幽月轮2",C699="幽月轮3")))</f>
        <v>0</v>
      </c>
      <c r="CT699" s="115">
        <f t="shared" ca="1" si="646"/>
        <v>0</v>
      </c>
      <c r="CU699" s="115" t="b">
        <f ca="1">AND(模拟模式!$K$10="阴阳往极",CT698=0,RAND()&lt;IF(C699="净世破魔击·月",0.0275*7/3,IF(C699="净世破魔击·日",0.0275*3/3,0.0275*2/3)))</f>
        <v>0</v>
      </c>
      <c r="CV699" s="115">
        <f t="shared" ca="1" si="647"/>
        <v>0</v>
      </c>
      <c r="CW699" s="115">
        <f t="shared" ca="1" si="648"/>
        <v>0.46499999999999975</v>
      </c>
      <c r="CX699" s="115">
        <f t="shared" ca="1" si="649"/>
        <v>5.0774999999999997</v>
      </c>
      <c r="CY699" s="115">
        <f ca="1">MAX(IF($C699="驱夜断愁",IF(模拟模式!$R$7="万念俱寂",6,45),CY698-$F$4),0)</f>
        <v>6</v>
      </c>
      <c r="CZ699" s="115">
        <f t="shared" ca="1" si="623"/>
        <v>0</v>
      </c>
      <c r="DA699" s="115">
        <f ca="1">IF(模拟模式!$N$7="日月同辉",IF(DB698=2,0,MIN(6,IF(AND(OR(C699="赤日轮1",C699="赤日轮2",C699="赤日轮3",C699="幽月轮1",C699="幽月轮2",C699="幽月轮3"),AB699=1),DA698+1,DA698))),0)</f>
        <v>2</v>
      </c>
      <c r="DB699" s="115">
        <f t="shared" ca="1" si="624"/>
        <v>0</v>
      </c>
      <c r="DC699" s="115"/>
      <c r="DD699" s="115"/>
      <c r="DE699" s="115"/>
      <c r="DF699" s="115"/>
      <c r="DG699" s="115"/>
      <c r="DH699" s="115"/>
      <c r="DI699" s="115"/>
      <c r="DJ699" s="115"/>
      <c r="DK699" s="115"/>
      <c r="DL699" s="115"/>
      <c r="DM699" s="115"/>
    </row>
    <row r="700" spans="2:117" x14ac:dyDescent="0.2">
      <c r="B700" s="117">
        <f t="shared" si="625"/>
        <v>620.84250000000713</v>
      </c>
      <c r="C700" s="167" t="str">
        <f t="shared" ca="1" si="594"/>
        <v>烈日斩</v>
      </c>
      <c r="D700" s="115">
        <f ca="1">IF(C700="赤日轮1",1,IF(C700="赤日轮2",2,IF(C700="赤日轮3",3,IF(C700="幽月轮1",4,IF(C700="幽月轮2",5,IF(C700="幽月轮3",6,IF(C700="烈日斩",7,IF(C700="银月斩",8,IF(C700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700="净世破魔击·月",17,IF(C700="驱夜断愁",18,0)))))))))))</f>
        <v>7</v>
      </c>
      <c r="E700" s="115">
        <f ca="1">IF(AND(CU700,OR(C700="幽月轮1",C700="幽月轮2",C700="幽月轮3",C700="银月斩",C700="驱夜断愁",C700="净世破魔击·月")),100,MIN(IF(OR(CN700,BE700),0,IF(OR($C700="赤日轮1",$C700="赤日轮2",$C700="赤日轮3"),E699+20+IF(模拟模式!$I$7="日月凌天",4,0)+IF(CR699,20,0),IF($C700="烈日斩",E699+40,IF($C700="驱夜断愁",IF(模拟模式!$R$7="万念俱寂",E699+20,E699+60),IF($C700="净世破魔击·月",IF(OR(DB699&gt;0,CV699&gt;0),100,IF(模拟模式!$M$7="辉耀红尘",E699+20,E699)),IF($C700="净世破魔击·日",E699-100,E699)))))),100))</f>
        <v>80</v>
      </c>
      <c r="F700" s="115">
        <f ca="1">IF(AND(CU700,OR(C700="赤日轮1",C700="赤日轮2",C700="赤日轮3",C700="烈日斩",C700="净世破魔击·日")),100,MIN(IF(CO700,0,IF(OR($C700="幽月轮1",$C700="幽月轮2",$C700="幽月轮3"),F699+20+IF(模拟模式!$I$7="日月凌天",4,0)+IF(CS699,20,0),IF($C700="银月斩",F699+40+IF(模拟模式!$X$12=1,5,0),IF($C700="驱夜断愁",IF(模拟模式!$R$7="万念俱寂",F699+20,F699+60),IF($C700="净世破魔击·月",IF(模拟模式!$M$7="辉耀红尘",F699-80,F699-100),IF(AND(C700="净世破魔击·日",OR(DB699&gt;0,CV699&gt;0)),100,F699)))))),100))</f>
        <v>85</v>
      </c>
      <c r="G700" s="117">
        <f ca="1">('模拟-全程加成'!$E$3+'模拟-全程加成'!$E$4+'模拟-全程加成'!$E$5+('模拟-全程加成'!$C$6-'模拟-全程加成'!$C$3)*系数!$B$9+BS700*23)*(1+'模拟-全程加成'!$F$4+'模拟-全程加成'!$F$5+BJ700*10%+BM700*20%+BP700*4%+CG700*30%)+$F$7*系数!$B$12</f>
        <v>20583.127400000001</v>
      </c>
      <c r="H700" s="45">
        <f ca="1">'模拟-全程加成'!$H$3+'模拟-全程加成'!$H$4+'模拟-全程加成'!$H$5+('模拟-全程加成'!$G$4+'模拟-全程加成'!$G$5+('模拟-全程加成'!$C$6-'模拟-全程加成'!$C$3)*系数!$B$13)/系数!$B$3+LOOKUP(D700,'模拟-单技能数据'!$A$2:$A$19,'模拟-单技能数据'!$K$2:$K$19)+BG700*10%+IF(BV700&gt;0,378,0)</f>
        <v>0.56185145527300218</v>
      </c>
      <c r="I700" s="45">
        <f ca="1">'模拟-全程加成'!$J$3+'模拟-全程加成'!$J$4+'模拟-全程加成'!$J$5+('模拟-全程加成'!$I$4+'模拟-全程加成'!$I$5)/系数!$B$4+LOOKUP(D700,'模拟-单技能数据'!$A$2:$A$19,'模拟-单技能数据'!$L$2:$L$19)+BG700*10%</f>
        <v>2.2624828854998791</v>
      </c>
      <c r="J700" s="45">
        <f ca="1">(('模拟-全程加成'!$K$3+'模拟-全程加成'!$K$4+'模拟-全程加成'!$K$5+('模拟-全程加成'!$C$6-'模拟-全程加成'!$C$3)*系数!$B$10+IF(BV700&gt;0,882,0)+IF(BY700&gt;0,1831,0))*(1+'模拟-全程加成'!$L$4+'模拟-全程加成'!$L$5+CC700*20%))/系数!$B$5</f>
        <v>0.69723220422048726</v>
      </c>
      <c r="K700" s="119">
        <f ca="1">LOOKUP(D700,'模拟-单技能数据'!$A$2:$A$19,'模拟-单技能数据'!$J$2:$J$19)+IF(CM700,60%,0)+IF(DB699-DB700&gt;0,30%,0)+IF(OR(AND(OR(C700="赤日轮1",C700="赤日轮2",C700="赤日轮3"),CR700),AND(OR(C700="幽月轮1",C700="幽月轮2",C700="幽月轮3"),CS700)),35%,0)+CJ700</f>
        <v>0.28999999999999998</v>
      </c>
      <c r="L700" s="119">
        <f ca="1">IF(AND(C700="烈日斩",模拟模式!$X$11=1),10%,0)+IF(AND(C700="驱夜断愁",AB700=1),30%,0)</f>
        <v>0.1</v>
      </c>
      <c r="M700" s="45">
        <f t="shared" ca="1" si="595"/>
        <v>0.56185145527300218</v>
      </c>
      <c r="N700" s="45">
        <f t="shared" ca="1" si="596"/>
        <v>0.38424854472699788</v>
      </c>
      <c r="O700" s="46">
        <f t="shared" ca="1" si="626"/>
        <v>0.57194352906745882</v>
      </c>
      <c r="P700" s="46" t="str">
        <f t="shared" ca="1" si="597"/>
        <v>会</v>
      </c>
      <c r="Q700" s="45">
        <f t="shared" ca="1" si="598"/>
        <v>2.2624828854998791</v>
      </c>
      <c r="R700" s="117">
        <f ca="1">模拟模式!$E$20*(1-IF(模拟模式!$J$19="有",0.15,0))*(1-IF(模拟模式!$K$19="有",0.3,0)-IF(CQ700,0.5,0))</f>
        <v>843.02999999999975</v>
      </c>
      <c r="S700" s="45">
        <f ca="1">R700/(R700+(185*模拟模式!$E$22-16800)*4.08224)</f>
        <v>8.389626085980037E-2</v>
      </c>
      <c r="T700" s="45" t="str">
        <f ca="1">LOOKUP(D700,'模拟-单技能数据'!$A$2:$A$19,'模拟-单技能数据'!$H$2:$H$19)</f>
        <v>阳</v>
      </c>
      <c r="U700" s="119">
        <f t="shared" ca="1" si="599"/>
        <v>0.2</v>
      </c>
      <c r="V700" s="47">
        <f ca="1">(1+L700)*(LOOKUP(D700,'模拟-单技能数据'!$A$2:$A$19,'模拟-单技能数据'!$D$2:$D$19)+G700*LOOKUP(D700,'模拟-单技能数据'!$A$2:$A$19,'模拟-单技能数据'!$F$2:$F$19))*(1+J700)*(1+K700)*(1-S700)*(1+U700)*Q700*LOOKUP(D700,'模拟-单技能数据'!$A$2:$A$19,'模拟-单技能数据'!$I$2:$I$20)</f>
        <v>110129.64280298242</v>
      </c>
      <c r="W700" s="47">
        <f ca="1">LOOKUP(D700,'模拟-单技能数据'!$A$2:$A$19,'模拟-单技能数据'!$G$2:$G$19)*$I$10</f>
        <v>361.51064354704795</v>
      </c>
      <c r="X700" s="47">
        <f t="shared" ca="1" si="627"/>
        <v>0</v>
      </c>
      <c r="Y700" s="47">
        <f t="shared" ca="1" si="600"/>
        <v>110491.15344652947</v>
      </c>
      <c r="Z700" s="49">
        <f t="shared" ca="1" si="601"/>
        <v>70367546.960504696</v>
      </c>
      <c r="AA700" s="97">
        <f t="shared" ca="1" si="602"/>
        <v>113342.02629572539</v>
      </c>
      <c r="AB700" s="115">
        <f ca="1">IF(OR(C700="赤日轮1",C700="赤日轮2",C700="赤日轮3"),IF(RAND()&lt;模拟模式!$Y$17,1,0),IF(OR(C700="幽月轮1",C700="幽月轮2",C700="幽月轮3"),IF(RAND()&lt;模拟模式!$Y$18,1,0),IF(C700="烈日斩",IF(RAND()&lt;模拟模式!$Y$19,1,0),IF(C700="银月斩",IF(RAND()&lt;模拟模式!$Y$20,1,0),IF(C700="驱夜断愁",IF(RAND()&lt;模拟模式!$Y$21,1,0),IF(C700="净世破魔击·日",IF(RAND()&lt;模拟模式!$Y$22,1,0),IF(C700="净世破魔击·月",IF(RAND()&lt;模拟模式!$Y$23,1,0),0)))))))</f>
        <v>1</v>
      </c>
      <c r="AC700" s="115" t="b">
        <f t="shared" ca="1" si="603"/>
        <v>0</v>
      </c>
      <c r="AD700" s="115" t="b">
        <f t="shared" ca="1" si="604"/>
        <v>0</v>
      </c>
      <c r="AE700" s="115">
        <f t="shared" ca="1" si="605"/>
        <v>5</v>
      </c>
      <c r="AF700" s="47">
        <f ca="1">IF(AC700,('模拟-单技能数据'!$D$20+G700*'模拟-单技能数据'!$F$20)*(1+J700)*(1+'模拟-单技能数据'!$J$20)*(1+U700),0)</f>
        <v>0</v>
      </c>
      <c r="AG700" s="61">
        <f t="shared" ca="1" si="606"/>
        <v>0.64185145527300214</v>
      </c>
      <c r="AH700" s="61">
        <f t="shared" ca="1" si="607"/>
        <v>2.2624828854998791</v>
      </c>
      <c r="AI700" s="62">
        <f t="shared" ca="1" si="628"/>
        <v>0.86328829403628216</v>
      </c>
      <c r="AJ700" s="47">
        <f ca="1">IF(AD700,IF(AI700&lt;$F$10,0,IF(AI700&lt;$F$10+$F$11,0.25,IF(AI700&lt;$F$10+$F$11+AG700,AH700,1)))*IF(AF700&gt;0,AF700,IF(AF699&gt;0,AF699,IF(AF698&gt;0,AF698,IF(AF697&gt;0,AF697,IF(AF696&gt;0,AF696,IF(AF695&gt;0,AF695,IF(AF694&gt;0,AF694,IF(AF693&gt;0,AF693,IF(AF692&gt;0,AF692,IF(AF690&gt;0,AF690,IF(AF689&gt;0,AF689,IF(AF688&gt;0,AF688,0)))))))))))),0)*(1-$S700)*'模拟-单技能数据'!$I$20</f>
        <v>0</v>
      </c>
      <c r="AK700" s="115" t="b">
        <f t="shared" ca="1" si="608"/>
        <v>0</v>
      </c>
      <c r="AL700" s="115" t="b">
        <f t="shared" ca="1" si="609"/>
        <v>0</v>
      </c>
      <c r="AM700" s="115">
        <f t="shared" ca="1" si="610"/>
        <v>4</v>
      </c>
      <c r="AN700" s="47">
        <f ca="1">IF(AK700,('模拟-单技能数据'!$D$21+G700*'模拟-单技能数据'!$F$21)*(1+J700)*(1+'模拟-单技能数据'!$J$21)*(1+U700),0)</f>
        <v>0</v>
      </c>
      <c r="AO700" s="61">
        <f ca="1">IF(AN700&gt;0,M700-'模拟-单技能数据'!$K$10,AO699)</f>
        <v>0.42185145527300216</v>
      </c>
      <c r="AP700" s="61">
        <f ca="1">IF(AN700&gt;0,I700-'模拟-单技能数据'!$L$10,AP699)</f>
        <v>2.162482885499879</v>
      </c>
      <c r="AQ700" s="63">
        <f t="shared" ca="1" si="629"/>
        <v>0.5476164338531877</v>
      </c>
      <c r="AR700" s="64">
        <f ca="1">IF(AL700,IF(AQ700&lt;$F$10,0,IF(AQ700&lt;$F$10+$F$11,0.25,IF(AQ700&lt;$F$10+$F$11+AO700,AP700,1)))*IF(AN700&gt;0,AN700,IF(AN699&gt;0,AN699,IF(AN698&gt;0,AN698,IF(AN697&gt;0,AN697,IF(AN696&gt;0,AN696,IF(AN695&gt;0,AN695,IF(AN694&gt;0,AN694,IF(AN693&gt;0,AN693,IF(AN692&gt;0,AN692,IF(AN690&gt;0,AN690,IF(AN689&gt;0,AN689,IF(AN688&gt;0,AN688,0)))))))))))),0)*(1-$S700)*'模拟-单技能数据'!$I$21</f>
        <v>0</v>
      </c>
      <c r="AS700" s="61">
        <f ca="1">IF(OR(C700="净世破魔击·日",C700="净世破魔击·月"),M700-'模拟-单技能数据'!$K$10,0)</f>
        <v>0</v>
      </c>
      <c r="AT700" s="61">
        <f ca="1">IF(OR(C700="净世破魔击·日",C700="净世破魔击·月"),I700-'模拟-单技能数据'!$L$10,0)</f>
        <v>0</v>
      </c>
      <c r="AU700" s="62">
        <f t="shared" ca="1" si="630"/>
        <v>0.45862096684176856</v>
      </c>
      <c r="AV700" s="64">
        <f ca="1">IF(AS700&gt;0,('模拟-单技能数据'!$D$22+G700*'模拟-单技能数据'!$F$22)*(1+J700)*(1-S700)*IF(AU700&lt;$F$10,0,IF(AU700&lt;$F$10+$F$11,0.25,IF(AU700&lt;$F$10+$F$11+AS700,AT700,1)))*(1+U700),0)*'模拟-单技能数据'!$I$22</f>
        <v>0</v>
      </c>
      <c r="AW700" s="108">
        <f t="shared" ca="1" si="631"/>
        <v>1.5500000000000065</v>
      </c>
      <c r="AX700" s="108" t="b">
        <f ca="1">AND(模拟模式!$P$10="有",AW699=0,RAND()&lt;IF(C700="净世破魔击·月",0.1*8/3,IF(C700="净世破魔击·日",0.1*4/3,0.1*2/3)))</f>
        <v>0</v>
      </c>
      <c r="AY700" s="47">
        <f ca="1">IF(AX700,(18+G700*0.722)*(1+J700)*(1-S700)*(1+$I$4)*IF(P700="会",'模拟-全程加成'!$J$3+'模拟-全程加成'!$J$4+'模拟-全程加成'!$J$5+('模拟-全程加成'!$I$4+'模拟-全程加成'!$I$5)/系数!$B$4+BG700*10%,IF(P700="命",1,IF(P700="识",0.25,0))),0)</f>
        <v>0</v>
      </c>
      <c r="AZ700" s="108">
        <f t="shared" si="632"/>
        <v>8.0075000000000074</v>
      </c>
      <c r="BA700" s="108" t="b">
        <f>AND(模拟模式!$Q$10="有",AZ699=0)</f>
        <v>0</v>
      </c>
      <c r="BB700" s="140">
        <f>IF(BA700,(0+G700*0.287)*(1+J700)*(1-S700)*(1+$I$4)*IF(P700="会",'模拟-全程加成'!$J$3+'模拟-全程加成'!$J$4+'模拟-全程加成'!$J$5+('模拟-全程加成'!$I$4+'模拟-全程加成'!$I$5)/系数!$B$4+BG700*10%,IF(P700="命",1,IF(P700="识",0.25,0))),0)</f>
        <v>0</v>
      </c>
      <c r="BC700" s="115" t="b">
        <f ca="1">AND(模拟模式!$R$7="伏明众生",E700=60,F700=20,DA700&lt;5,CZ699&lt;$F$4)</f>
        <v>0</v>
      </c>
      <c r="BD700" s="115">
        <f t="shared" ca="1" si="611"/>
        <v>0</v>
      </c>
      <c r="BE700" s="115" t="b">
        <f t="shared" ca="1" si="612"/>
        <v>0</v>
      </c>
      <c r="BF700" s="47">
        <f ca="1">IF(BC700,4*('模拟-单技能数据'!$D$24+G700*'模拟-单技能数据'!$F$24)*(1+J700)*(1+'模拟-单技能数据'!$J$24)*(1-S700)*(1+$I$3)*(('模拟-全程加成'!$J$3+'模拟-全程加成'!$J$4+'模拟-全程加成'!$J$5+('模拟-全程加成'!$I$4+'模拟-全程加成'!$I$5)/系数!$B$4+BG700*10%)*('模拟-全程加成'!$J$3+'模拟-全程加成'!$J$4+'模拟-全程加成'!$J$5+('模拟-全程加成'!$I$4+'模拟-全程加成'!$I$5)/系数!$B$4+BG700*10%)+(1-('模拟-全程加成'!$J$3+'模拟-全程加成'!$J$4+'模拟-全程加成'!$J$5+('模拟-全程加成'!$I$4+'模拟-全程加成'!$I$5)/系数!$B$4+BG700*10%)-$F$10-$F$11)+F686*0.25),0)*'模拟-单技能数据'!$I$24</f>
        <v>0</v>
      </c>
      <c r="BG700" s="115" t="b">
        <f ca="1">OR(AND(OR(C700="烈日斩",C700="银月斩"),模拟模式!$I$7="净身明礼"),AND(C700="净世破魔击·日",模拟模式!$J$7="洞若观火"),AND(C701="净世破魔击·月",模拟模式!$J$7="洞若观火"),AB700=1)</f>
        <v>1</v>
      </c>
      <c r="BH700" s="115" t="b">
        <f t="shared" ca="1" si="633"/>
        <v>0</v>
      </c>
      <c r="BI700" s="115">
        <f t="shared" ca="1" si="613"/>
        <v>0</v>
      </c>
      <c r="BJ700" s="115" t="b">
        <f t="shared" ca="1" si="614"/>
        <v>0</v>
      </c>
      <c r="BK700" s="115" t="b">
        <f ca="1">AND(C700="驱夜断愁",模拟模式!$P$7="天地诛戮")</f>
        <v>0</v>
      </c>
      <c r="BL700" s="57">
        <f t="shared" ca="1" si="615"/>
        <v>19.077500000000001</v>
      </c>
      <c r="BM700" s="115" t="b">
        <f t="shared" ca="1" si="616"/>
        <v>1</v>
      </c>
      <c r="BN700" s="115" t="b">
        <f ca="1">AND(OR(C700="赤日轮1",C700="赤日轮2",C700="赤日轮3",C700="幽月轮1",C700="幽月轮2",C700="幽月轮3"),AB700=1,模拟模式!$L$7="明光恒照")</f>
        <v>0</v>
      </c>
      <c r="BO700" s="117">
        <f t="shared" ca="1" si="617"/>
        <v>27.232500000000002</v>
      </c>
      <c r="BP700" s="115">
        <f t="shared" ca="1" si="634"/>
        <v>6</v>
      </c>
      <c r="BQ700" s="115" t="b">
        <f>模拟模式!$K$10="2600·水"</f>
        <v>0</v>
      </c>
      <c r="BR700" s="117">
        <f t="shared" si="635"/>
        <v>0</v>
      </c>
      <c r="BS700" s="115">
        <f t="shared" si="636"/>
        <v>0</v>
      </c>
      <c r="BT700" s="115">
        <f t="shared" ca="1" si="637"/>
        <v>0</v>
      </c>
      <c r="BU700" s="115" t="b">
        <f ca="1">AND(模拟模式!$K$10="2300·雷",BT699=0,RAND()&lt;IF(C700="净世破魔击·月",5*0.05*2/3,IF(C700="净世破魔击·日",3*0.05*2/3,0.05*2*2/3)))</f>
        <v>0</v>
      </c>
      <c r="BV700" s="115">
        <f t="shared" ca="1" si="638"/>
        <v>0</v>
      </c>
      <c r="BW700" s="115">
        <f t="shared" ca="1" si="639"/>
        <v>117.26999999999924</v>
      </c>
      <c r="BX700" s="164" t="b">
        <f t="shared" ca="1" si="640"/>
        <v>0</v>
      </c>
      <c r="BY700" s="115">
        <f t="shared" ca="1" si="641"/>
        <v>0</v>
      </c>
      <c r="BZ700" s="115">
        <f>IF(OR(模拟模式!$P$16="10人团",模拟模式!$P$16="25人团"),IF(B700/30&gt;CA699,1,0),0)</f>
        <v>0</v>
      </c>
      <c r="CA700" s="115">
        <f t="shared" si="618"/>
        <v>0</v>
      </c>
      <c r="CB700" s="115">
        <f ca="1">IF(BZ700=1,IF(模拟模式!$P$16="10人团",15,0)+IF(模拟模式!$P$16="25人团",IF(RAND()&lt;0.6,15,0)),MAX(0,CB699-$F$4))</f>
        <v>0</v>
      </c>
      <c r="CC700" s="115" t="b">
        <f t="shared" ca="1" si="619"/>
        <v>0</v>
      </c>
      <c r="CD700" s="115">
        <f>IF(模拟模式!$Q$16="1个",IF(B700/40&gt;CE699,1,0),0)</f>
        <v>0</v>
      </c>
      <c r="CE700" s="115">
        <f t="shared" si="620"/>
        <v>0</v>
      </c>
      <c r="CF700" s="115">
        <f>IF(OR(CD700=1,模拟模式!$Q$16="2个"),20,MAX(0,CF699-$F$4))</f>
        <v>0</v>
      </c>
      <c r="CG700" s="115" t="b">
        <f t="shared" si="621"/>
        <v>0</v>
      </c>
      <c r="CH700" s="115">
        <f t="shared" ca="1" si="642"/>
        <v>29.077500000000001</v>
      </c>
      <c r="CI700" s="115" t="b">
        <f t="shared" ca="1" si="643"/>
        <v>1</v>
      </c>
      <c r="CJ700" s="119">
        <f t="shared" ca="1" si="644"/>
        <v>0.05</v>
      </c>
      <c r="CK700" s="115">
        <f t="shared" ca="1" si="645"/>
        <v>7.0774999999999997</v>
      </c>
      <c r="CL700" s="115" t="b">
        <f ca="1">AND(模拟模式!$S$7="驱夷逐法",OR(AND(C700="净世破魔击·月",E699&gt;59),AND(C700="净世破魔击·日",F699&gt;59)))</f>
        <v>0</v>
      </c>
      <c r="CM700" s="115" t="b">
        <f ca="1">OR(CL700,AND(C700="净世破魔击·日",CL699,RAND()&lt;模拟模式!$U$23))</f>
        <v>0</v>
      </c>
      <c r="CN700" s="115" t="b">
        <f ca="1">IF(模拟模式!$M$7="辉耀红尘",AND(C700="净世破魔击·月",CL700,CV700=0,E699&lt;80),AND(C700="净世破魔击·月",CL700,E699&lt;100))</f>
        <v>0</v>
      </c>
      <c r="CO700" s="115" t="b">
        <f t="shared" ca="1" si="622"/>
        <v>0</v>
      </c>
      <c r="CP700" s="115" t="b">
        <f ca="1">AND(模拟模式!$O$7="用晦而明",OR(C700="净世破魔击·日",C700="净世破魔击·月",C700="驱夜断愁"),AB700)</f>
        <v>0</v>
      </c>
      <c r="CQ700" s="115" t="b">
        <f ca="1">OR(CP700,AND(CP699,RAND()&lt;模拟模式!$U$23))</f>
        <v>1</v>
      </c>
      <c r="CR700" s="115" t="b">
        <f ca="1">AND(模拟模式!$S$7="日月齐光",OR(C700="幽月轮1",C700="幽月轮2",C700="幽月轮3",CR699),NOT(OR(C700="赤日轮1",C700="赤日轮2",C700="赤日轮3")))</f>
        <v>0</v>
      </c>
      <c r="CS700" s="115" t="b">
        <f ca="1">AND(模拟模式!$S$7="日月齐光",OR(C700="赤日轮1",C700="赤日轮2",C700="赤日轮3",CS699),NOT(OR(C700="幽月轮1",C700="幽月轮2",C700="幽月轮3")))</f>
        <v>0</v>
      </c>
      <c r="CT700" s="115">
        <f t="shared" ca="1" si="646"/>
        <v>0</v>
      </c>
      <c r="CU700" s="115" t="b">
        <f ca="1">AND(模拟模式!$K$10="阴阳往极",CT699=0,RAND()&lt;IF(C700="净世破魔击·月",0.0275*7/3,IF(C700="净世破魔击·日",0.0275*3/3,0.0275*2/3)))</f>
        <v>0</v>
      </c>
      <c r="CV700" s="115">
        <f t="shared" ca="1" si="647"/>
        <v>0</v>
      </c>
      <c r="CW700" s="115">
        <f t="shared" ca="1" si="648"/>
        <v>6</v>
      </c>
      <c r="CX700" s="115">
        <f t="shared" ca="1" si="649"/>
        <v>4.1549999999999994</v>
      </c>
      <c r="CY700" s="115">
        <f ca="1">MAX(IF($C700="驱夜断愁",IF(模拟模式!$R$7="万念俱寂",6,45),CY699-$F$4),0)</f>
        <v>5.0774999999999997</v>
      </c>
      <c r="CZ700" s="115">
        <f t="shared" ca="1" si="623"/>
        <v>0</v>
      </c>
      <c r="DA700" s="115">
        <f ca="1">IF(模拟模式!$N$7="日月同辉",IF(DB699=2,0,MIN(6,IF(AND(OR(C700="赤日轮1",C700="赤日轮2",C700="赤日轮3",C700="幽月轮1",C700="幽月轮2",C700="幽月轮3"),AB700=1),DA699+1,DA699))),0)</f>
        <v>2</v>
      </c>
      <c r="DB700" s="115">
        <f t="shared" ca="1" si="624"/>
        <v>0</v>
      </c>
      <c r="DC700" s="115"/>
      <c r="DD700" s="115"/>
      <c r="DE700" s="115"/>
      <c r="DF700" s="115"/>
      <c r="DG700" s="115"/>
      <c r="DH700" s="115"/>
      <c r="DI700" s="115"/>
      <c r="DJ700" s="115"/>
      <c r="DK700" s="115"/>
      <c r="DL700" s="115"/>
      <c r="DM700" s="115"/>
    </row>
    <row r="701" spans="2:117" x14ac:dyDescent="0.2">
      <c r="B701" s="117">
        <f t="shared" si="625"/>
        <v>621.76500000000715</v>
      </c>
      <c r="C701" s="167" t="str">
        <f t="shared" ca="1" si="594"/>
        <v>幽月轮1</v>
      </c>
      <c r="D701" s="115">
        <f ca="1">IF(C701="赤日轮1",1,IF(C701="赤日轮2",2,IF(C701="赤日轮3",3,IF(C701="幽月轮1",4,IF(C701="幽月轮2",5,IF(C701="幽月轮3",6,IF(C701="烈日斩",7,IF(C701="银月斩",8,IF(C701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701="净世破魔击·月",17,IF(C701="驱夜断愁",18,0)))))))))))</f>
        <v>4</v>
      </c>
      <c r="E701" s="115">
        <f ca="1">IF(AND(CU701,OR(C701="幽月轮1",C701="幽月轮2",C701="幽月轮3",C701="银月斩",C701="驱夜断愁",C701="净世破魔击·月")),100,MIN(IF(OR(CN701,BE701),0,IF(OR($C701="赤日轮1",$C701="赤日轮2",$C701="赤日轮3"),E700+20+IF(模拟模式!$I$7="日月凌天",4,0)+IF(CR700,20,0),IF($C701="烈日斩",E700+40,IF($C701="驱夜断愁",IF(模拟模式!$R$7="万念俱寂",E700+20,E700+60),IF($C701="净世破魔击·月",IF(OR(DB700&gt;0,CV700&gt;0),100,IF(模拟模式!$M$7="辉耀红尘",E700+20,E700)),IF($C701="净世破魔击·日",E700-100,E700)))))),100))</f>
        <v>80</v>
      </c>
      <c r="F701" s="115">
        <f ca="1">IF(AND(CU701,OR(C701="赤日轮1",C701="赤日轮2",C701="赤日轮3",C701="烈日斩",C701="净世破魔击·日")),100,MIN(IF(CO701,0,IF(OR($C701="幽月轮1",$C701="幽月轮2",$C701="幽月轮3"),F700+20+IF(模拟模式!$I$7="日月凌天",4,0)+IF(CS700,20,0),IF($C701="银月斩",F700+40+IF(模拟模式!$X$12=1,5,0),IF($C701="驱夜断愁",IF(模拟模式!$R$7="万念俱寂",F700+20,F700+60),IF($C701="净世破魔击·月",IF(模拟模式!$M$7="辉耀红尘",F700-80,F700-100),IF(AND(C701="净世破魔击·日",OR(DB700&gt;0,CV700&gt;0)),100,F700)))))),100))</f>
        <v>100</v>
      </c>
      <c r="G701" s="117">
        <f ca="1">('模拟-全程加成'!$E$3+'模拟-全程加成'!$E$4+'模拟-全程加成'!$E$5+('模拟-全程加成'!$C$6-'模拟-全程加成'!$C$3)*系数!$B$9+BS701*23)*(1+'模拟-全程加成'!$F$4+'模拟-全程加成'!$F$5+BJ701*10%+BM701*20%+BP701*4%+CG701*30%)+$F$7*系数!$B$12</f>
        <v>20583.127400000001</v>
      </c>
      <c r="H701" s="45">
        <f ca="1">'模拟-全程加成'!$H$3+'模拟-全程加成'!$H$4+'模拟-全程加成'!$H$5+('模拟-全程加成'!$G$4+'模拟-全程加成'!$G$5+('模拟-全程加成'!$C$6-'模拟-全程加成'!$C$3)*系数!$B$13)/系数!$B$3+LOOKUP(D701,'模拟-单技能数据'!$A$2:$A$19,'模拟-单技能数据'!$K$2:$K$19)+BG701*10%+IF(BV701&gt;0,378,0)</f>
        <v>0.51185145527300213</v>
      </c>
      <c r="I701" s="45">
        <f ca="1">'模拟-全程加成'!$J$3+'模拟-全程加成'!$J$4+'模拟-全程加成'!$J$5+('模拟-全程加成'!$I$4+'模拟-全程加成'!$I$5)/系数!$B$4+LOOKUP(D701,'模拟-单技能数据'!$A$2:$A$19,'模拟-单技能数据'!$L$2:$L$19)+BG701*10%</f>
        <v>2.162482885499879</v>
      </c>
      <c r="J701" s="45">
        <f ca="1">(('模拟-全程加成'!$K$3+'模拟-全程加成'!$K$4+'模拟-全程加成'!$K$5+('模拟-全程加成'!$C$6-'模拟-全程加成'!$C$3)*系数!$B$10+IF(BV701&gt;0,882,0)+IF(BY701&gt;0,1831,0))*(1+'模拟-全程加成'!$L$4+'模拟-全程加成'!$L$5+CC701*20%))/系数!$B$5</f>
        <v>0.69723220422048726</v>
      </c>
      <c r="K701" s="119">
        <f ca="1">LOOKUP(D701,'模拟-单技能数据'!$A$2:$A$19,'模拟-单技能数据'!$J$2:$J$19)+IF(CM701,60%,0)+IF(DB700-DB701&gt;0,30%,0)+IF(OR(AND(OR(C701="赤日轮1",C701="赤日轮2",C701="赤日轮3"),CR701),AND(OR(C701="幽月轮1",C701="幽月轮2",C701="幽月轮3"),CS701)),35%,0)+CJ701</f>
        <v>0.12000000000000001</v>
      </c>
      <c r="L701" s="119">
        <f ca="1">IF(AND(C701="烈日斩",模拟模式!$X$11=1),10%,0)+IF(AND(C701="驱夜断愁",AB701=1),30%,0)</f>
        <v>0</v>
      </c>
      <c r="M701" s="45">
        <f t="shared" ca="1" si="595"/>
        <v>0.51185145527300213</v>
      </c>
      <c r="N701" s="45">
        <f t="shared" ca="1" si="596"/>
        <v>0.43424854472699792</v>
      </c>
      <c r="O701" s="46">
        <f t="shared" ca="1" si="626"/>
        <v>0.59000541790955796</v>
      </c>
      <c r="P701" s="46" t="str">
        <f t="shared" ca="1" si="597"/>
        <v>命</v>
      </c>
      <c r="Q701" s="45">
        <f t="shared" ca="1" si="598"/>
        <v>1</v>
      </c>
      <c r="R701" s="117">
        <f ca="1">模拟模式!$E$20*(1-IF(模拟模式!$J$19="有",0.15,0))*(1-IF(模拟模式!$K$19="有",0.3,0)-IF(CQ701,0.5,0))</f>
        <v>2950.6049999999996</v>
      </c>
      <c r="S701" s="45">
        <f ca="1">R701/(R701+(185*模拟模式!$E$22-16800)*4.08224)</f>
        <v>0.24272716014590323</v>
      </c>
      <c r="T701" s="45" t="str">
        <f ca="1">LOOKUP(D701,'模拟-单技能数据'!$A$2:$A$19,'模拟-单技能数据'!$H$2:$H$19)</f>
        <v>阴</v>
      </c>
      <c r="U701" s="119">
        <f t="shared" ca="1" si="599"/>
        <v>0.08</v>
      </c>
      <c r="V701" s="47">
        <f ca="1">(1+L701)*(LOOKUP(D701,'模拟-单技能数据'!$A$2:$A$19,'模拟-单技能数据'!$D$2:$D$19)+G701*LOOKUP(D701,'模拟-单技能数据'!$A$2:$A$19,'模拟-单技能数据'!$F$2:$F$19))*(1+J701)*(1+K701)*(1-S701)*(1+U701)*Q701*LOOKUP(D701,'模拟-单技能数据'!$A$2:$A$19,'模拟-单技能数据'!$I$2:$I$20)</f>
        <v>16984.452800333162</v>
      </c>
      <c r="W701" s="47">
        <f ca="1">LOOKUP(D701,'模拟-单技能数据'!$A$2:$A$19,'模拟-单技能数据'!$G$2:$G$19)*$I$10</f>
        <v>361.51064354704795</v>
      </c>
      <c r="X701" s="47">
        <f t="shared" ca="1" si="627"/>
        <v>28699.146813457843</v>
      </c>
      <c r="Y701" s="47">
        <f t="shared" ca="1" si="600"/>
        <v>46045.110257338049</v>
      </c>
      <c r="Z701" s="49">
        <f t="shared" ca="1" si="601"/>
        <v>70413592.070762038</v>
      </c>
      <c r="AA701" s="97">
        <f t="shared" ca="1" si="602"/>
        <v>113247.91853957882</v>
      </c>
      <c r="AB701" s="115">
        <f ca="1">IF(OR(C701="赤日轮1",C701="赤日轮2",C701="赤日轮3"),IF(RAND()&lt;模拟模式!$Y$17,1,0),IF(OR(C701="幽月轮1",C701="幽月轮2",C701="幽月轮3"),IF(RAND()&lt;模拟模式!$Y$18,1,0),IF(C701="烈日斩",IF(RAND()&lt;模拟模式!$Y$19,1,0),IF(C701="银月斩",IF(RAND()&lt;模拟模式!$Y$20,1,0),IF(C701="驱夜断愁",IF(RAND()&lt;模拟模式!$Y$21,1,0),IF(C701="净世破魔击·日",IF(RAND()&lt;模拟模式!$Y$22,1,0),IF(C701="净世破魔击·月",IF(RAND()&lt;模拟模式!$Y$23,1,0),0)))))))</f>
        <v>1</v>
      </c>
      <c r="AC701" s="115" t="b">
        <f t="shared" ca="1" si="603"/>
        <v>0</v>
      </c>
      <c r="AD701" s="115" t="b">
        <f t="shared" ca="1" si="604"/>
        <v>1</v>
      </c>
      <c r="AE701" s="115">
        <f t="shared" ca="1" si="605"/>
        <v>4</v>
      </c>
      <c r="AF701" s="47">
        <f ca="1">IF(AC701,('模拟-单技能数据'!$D$20+G701*'模拟-单技能数据'!$F$20)*(1+J701)*(1+'模拟-单技能数据'!$J$20)*(1+U701),0)</f>
        <v>0</v>
      </c>
      <c r="AG701" s="61">
        <f t="shared" ca="1" si="606"/>
        <v>0.64185145527300214</v>
      </c>
      <c r="AH701" s="61">
        <f t="shared" ca="1" si="607"/>
        <v>2.2624828854998791</v>
      </c>
      <c r="AI701" s="62">
        <f t="shared" ca="1" si="628"/>
        <v>0.49234771666723043</v>
      </c>
      <c r="AJ701" s="47">
        <f ca="1">IF(AD701,IF(AI701&lt;$F$10,0,IF(AI701&lt;$F$10+$F$11,0.25,IF(AI701&lt;$F$10+$F$11+AG701,AH701,1)))*IF(AF701&gt;0,AF701,IF(AF700&gt;0,AF700,IF(AF699&gt;0,AF699,IF(AF698&gt;0,AF698,IF(AF697&gt;0,AF697,IF(AF696&gt;0,AF696,IF(AF695&gt;0,AF695,IF(AF694&gt;0,AF694,IF(AF693&gt;0,AF693,IF(AF691&gt;0,AF691,IF(AF690&gt;0,AF690,IF(AF689&gt;0,AF689,0)))))))))))),0)*(1-$S701)*'模拟-单技能数据'!$I$20</f>
        <v>7949.3543492067038</v>
      </c>
      <c r="AK701" s="115" t="b">
        <f t="shared" ca="1" si="608"/>
        <v>0</v>
      </c>
      <c r="AL701" s="115" t="b">
        <f t="shared" ca="1" si="609"/>
        <v>1</v>
      </c>
      <c r="AM701" s="115">
        <f t="shared" ca="1" si="610"/>
        <v>3</v>
      </c>
      <c r="AN701" s="47">
        <f ca="1">IF(AK701,('模拟-单技能数据'!$D$21+G701*'模拟-单技能数据'!$F$21)*(1+J701)*(1+'模拟-单技能数据'!$J$21)*(1+U701),0)</f>
        <v>0</v>
      </c>
      <c r="AO701" s="61">
        <f ca="1">IF(AN701&gt;0,M701-'模拟-单技能数据'!$K$10,AO700)</f>
        <v>0.42185145527300216</v>
      </c>
      <c r="AP701" s="61">
        <f ca="1">IF(AN701&gt;0,I701-'模拟-单技能数据'!$L$10,AP700)</f>
        <v>2.162482885499879</v>
      </c>
      <c r="AQ701" s="63">
        <f t="shared" ca="1" si="629"/>
        <v>0.24987375958633018</v>
      </c>
      <c r="AR701" s="64">
        <f ca="1">IF(AL701,IF(AQ701&lt;$F$10,0,IF(AQ701&lt;$F$10+$F$11,0.25,IF(AQ701&lt;$F$10+$F$11+AO701,AP701,1)))*IF(AN701&gt;0,AN701,IF(AN700&gt;0,AN700,IF(AN699&gt;0,AN699,IF(AN698&gt;0,AN698,IF(AN697&gt;0,AN697,IF(AN696&gt;0,AN696,IF(AN695&gt;0,AN695,IF(AN694&gt;0,AN694,IF(AN693&gt;0,AN693,IF(AN691&gt;0,AN691,IF(AN690&gt;0,AN690,IF(AN689&gt;0,AN689,0)))))))))))),0)*(1-$S701)*'模拟-单技能数据'!$I$21</f>
        <v>20749.792464251139</v>
      </c>
      <c r="AS701" s="61">
        <f ca="1">IF(OR(C701="净世破魔击·日",C701="净世破魔击·月"),M701-'模拟-单技能数据'!$K$10,0)</f>
        <v>0</v>
      </c>
      <c r="AT701" s="61">
        <f ca="1">IF(OR(C701="净世破魔击·日",C701="净世破魔击·月"),I701-'模拟-单技能数据'!$L$10,0)</f>
        <v>0</v>
      </c>
      <c r="AU701" s="62">
        <f t="shared" ca="1" si="630"/>
        <v>0.94605541722981368</v>
      </c>
      <c r="AV701" s="64">
        <f ca="1">IF(AS701&gt;0,('模拟-单技能数据'!$D$22+G701*'模拟-单技能数据'!$F$22)*(1+J701)*(1-S701)*IF(AU701&lt;$F$10,0,IF(AU701&lt;$F$10+$F$11,0.25,IF(AU701&lt;$F$10+$F$11+AS701,AT701,1)))*(1+U701),0)*'模拟-单技能数据'!$I$22</f>
        <v>0</v>
      </c>
      <c r="AW701" s="108">
        <f t="shared" ca="1" si="631"/>
        <v>0.6275000000000065</v>
      </c>
      <c r="AX701" s="108" t="b">
        <f ca="1">AND(模拟模式!$P$10="有",AW700=0,RAND()&lt;IF(C701="净世破魔击·月",0.1*8/3,IF(C701="净世破魔击·日",0.1*4/3,0.1*2/3)))</f>
        <v>0</v>
      </c>
      <c r="AY701" s="47">
        <f ca="1">IF(AX701,(18+G701*0.722)*(1+J701)*(1-S701)*(1+$I$4)*IF(P701="会",'模拟-全程加成'!$J$3+'模拟-全程加成'!$J$4+'模拟-全程加成'!$J$5+('模拟-全程加成'!$I$4+'模拟-全程加成'!$I$5)/系数!$B$4+BG701*10%,IF(P701="命",1,IF(P701="识",0.25,0))),0)</f>
        <v>0</v>
      </c>
      <c r="AZ701" s="108">
        <f t="shared" si="632"/>
        <v>7.0850000000000071</v>
      </c>
      <c r="BA701" s="108" t="b">
        <f>AND(模拟模式!$Q$10="有",AZ700=0)</f>
        <v>0</v>
      </c>
      <c r="BB701" s="140">
        <f>IF(BA701,(0+G701*0.287)*(1+J701)*(1-S701)*(1+$I$4)*IF(P701="会",'模拟-全程加成'!$J$3+'模拟-全程加成'!$J$4+'模拟-全程加成'!$J$5+('模拟-全程加成'!$I$4+'模拟-全程加成'!$I$5)/系数!$B$4+BG701*10%,IF(P701="命",1,IF(P701="识",0.25,0))),0)</f>
        <v>0</v>
      </c>
      <c r="BC701" s="115" t="b">
        <f ca="1">AND(模拟模式!$R$7="伏明众生",E701=60,F701=20,DA701&lt;5,CZ700&lt;$F$4)</f>
        <v>0</v>
      </c>
      <c r="BD701" s="115">
        <f t="shared" ca="1" si="611"/>
        <v>0</v>
      </c>
      <c r="BE701" s="115" t="b">
        <f t="shared" ca="1" si="612"/>
        <v>0</v>
      </c>
      <c r="BF701" s="47">
        <f ca="1">IF(BC701,4*('模拟-单技能数据'!$D$24+G701*'模拟-单技能数据'!$F$24)*(1+J701)*(1+'模拟-单技能数据'!$J$24)*(1-S701)*(1+$I$3)*(('模拟-全程加成'!$J$3+'模拟-全程加成'!$J$4+'模拟-全程加成'!$J$5+('模拟-全程加成'!$I$4+'模拟-全程加成'!$I$5)/系数!$B$4+BG701*10%)*('模拟-全程加成'!$J$3+'模拟-全程加成'!$J$4+'模拟-全程加成'!$J$5+('模拟-全程加成'!$I$4+'模拟-全程加成'!$I$5)/系数!$B$4+BG701*10%)+(1-('模拟-全程加成'!$J$3+'模拟-全程加成'!$J$4+'模拟-全程加成'!$J$5+('模拟-全程加成'!$I$4+'模拟-全程加成'!$I$5)/系数!$B$4+BG701*10%)-$F$10-$F$11)+F687*0.25),0)*'模拟-单技能数据'!$I$24</f>
        <v>0</v>
      </c>
      <c r="BG701" s="115" t="b">
        <f ca="1">OR(AND(OR(C701="烈日斩",C701="银月斩"),模拟模式!$I$7="净身明礼"),AND(C701="净世破魔击·日",模拟模式!$J$7="洞若观火"),AND(C702="净世破魔击·月",模拟模式!$J$7="洞若观火"),AB701=1)</f>
        <v>1</v>
      </c>
      <c r="BH701" s="115" t="b">
        <f t="shared" ca="1" si="633"/>
        <v>0</v>
      </c>
      <c r="BI701" s="115">
        <f t="shared" ca="1" si="613"/>
        <v>0</v>
      </c>
      <c r="BJ701" s="115" t="b">
        <f t="shared" ca="1" si="614"/>
        <v>0</v>
      </c>
      <c r="BK701" s="115" t="b">
        <f ca="1">AND(C701="驱夜断愁",模拟模式!$P$7="天地诛戮")</f>
        <v>0</v>
      </c>
      <c r="BL701" s="57">
        <f t="shared" ca="1" si="615"/>
        <v>18.155000000000001</v>
      </c>
      <c r="BM701" s="115" t="b">
        <f t="shared" ca="1" si="616"/>
        <v>1</v>
      </c>
      <c r="BN701" s="115" t="b">
        <f ca="1">AND(OR(C701="赤日轮1",C701="赤日轮2",C701="赤日轮3",C701="幽月轮1",C701="幽月轮2",C701="幽月轮3"),AB701=1,模拟模式!$L$7="明光恒照")</f>
        <v>1</v>
      </c>
      <c r="BO701" s="117">
        <f t="shared" ca="1" si="617"/>
        <v>30</v>
      </c>
      <c r="BP701" s="115">
        <f t="shared" ca="1" si="634"/>
        <v>6</v>
      </c>
      <c r="BQ701" s="115" t="b">
        <f>模拟模式!$K$10="2600·水"</f>
        <v>0</v>
      </c>
      <c r="BR701" s="117">
        <f t="shared" si="635"/>
        <v>0</v>
      </c>
      <c r="BS701" s="115">
        <f t="shared" si="636"/>
        <v>0</v>
      </c>
      <c r="BT701" s="115">
        <f t="shared" ca="1" si="637"/>
        <v>0</v>
      </c>
      <c r="BU701" s="115" t="b">
        <f ca="1">AND(模拟模式!$K$10="2300·雷",BT700=0,RAND()&lt;IF(C701="净世破魔击·月",5*0.05*2/3,IF(C701="净世破魔击·日",3*0.05*2/3,0.05*2*2/3)))</f>
        <v>0</v>
      </c>
      <c r="BV701" s="115">
        <f t="shared" ca="1" si="638"/>
        <v>0</v>
      </c>
      <c r="BW701" s="115">
        <f t="shared" ca="1" si="639"/>
        <v>116.34749999999924</v>
      </c>
      <c r="BX701" s="164" t="b">
        <f t="shared" ca="1" si="640"/>
        <v>0</v>
      </c>
      <c r="BY701" s="115">
        <f t="shared" ca="1" si="641"/>
        <v>0</v>
      </c>
      <c r="BZ701" s="115">
        <f>IF(OR(模拟模式!$P$16="10人团",模拟模式!$P$16="25人团"),IF(B701/30&gt;CA700,1,0),0)</f>
        <v>0</v>
      </c>
      <c r="CA701" s="115">
        <f t="shared" si="618"/>
        <v>0</v>
      </c>
      <c r="CB701" s="115">
        <f ca="1">IF(BZ701=1,IF(模拟模式!$P$16="10人团",15,0)+IF(模拟模式!$P$16="25人团",IF(RAND()&lt;0.6,15,0)),MAX(0,CB700-$F$4))</f>
        <v>0</v>
      </c>
      <c r="CC701" s="115" t="b">
        <f t="shared" ca="1" si="619"/>
        <v>0</v>
      </c>
      <c r="CD701" s="115">
        <f>IF(模拟模式!$Q$16="1个",IF(B701/40&gt;CE700,1,0),0)</f>
        <v>0</v>
      </c>
      <c r="CE701" s="115">
        <f t="shared" si="620"/>
        <v>0</v>
      </c>
      <c r="CF701" s="115">
        <f>IF(OR(CD701=1,模拟模式!$Q$16="2个"),20,MAX(0,CF700-$F$4))</f>
        <v>0</v>
      </c>
      <c r="CG701" s="115" t="b">
        <f t="shared" si="621"/>
        <v>0</v>
      </c>
      <c r="CH701" s="115">
        <f t="shared" ca="1" si="642"/>
        <v>28.155000000000001</v>
      </c>
      <c r="CI701" s="115" t="b">
        <f t="shared" ca="1" si="643"/>
        <v>0</v>
      </c>
      <c r="CJ701" s="119">
        <f t="shared" ca="1" si="644"/>
        <v>0.05</v>
      </c>
      <c r="CK701" s="115">
        <f t="shared" ca="1" si="645"/>
        <v>6.1549999999999994</v>
      </c>
      <c r="CL701" s="115" t="b">
        <f ca="1">AND(模拟模式!$S$7="驱夷逐法",OR(AND(C701="净世破魔击·月",E700&gt;59),AND(C701="净世破魔击·日",F700&gt;59)))</f>
        <v>0</v>
      </c>
      <c r="CM701" s="115" t="b">
        <f ca="1">OR(CL701,AND(C701="净世破魔击·日",CL700,RAND()&lt;模拟模式!$U$23))</f>
        <v>0</v>
      </c>
      <c r="CN701" s="115" t="b">
        <f ca="1">IF(模拟模式!$M$7="辉耀红尘",AND(C701="净世破魔击·月",CL701,CV701=0,E700&lt;80),AND(C701="净世破魔击·月",CL701,E700&lt;100))</f>
        <v>0</v>
      </c>
      <c r="CO701" s="115" t="b">
        <f t="shared" ca="1" si="622"/>
        <v>0</v>
      </c>
      <c r="CP701" s="115" t="b">
        <f ca="1">AND(模拟模式!$O$7="用晦而明",OR(C701="净世破魔击·日",C701="净世破魔击·月",C701="驱夜断愁"),AB701)</f>
        <v>0</v>
      </c>
      <c r="CQ701" s="115" t="b">
        <f ca="1">OR(CP701,AND(CP700,RAND()&lt;模拟模式!$U$23))</f>
        <v>0</v>
      </c>
      <c r="CR701" s="115" t="b">
        <f ca="1">AND(模拟模式!$S$7="日月齐光",OR(C701="幽月轮1",C701="幽月轮2",C701="幽月轮3",CR700),NOT(OR(C701="赤日轮1",C701="赤日轮2",C701="赤日轮3")))</f>
        <v>0</v>
      </c>
      <c r="CS701" s="115" t="b">
        <f ca="1">AND(模拟模式!$S$7="日月齐光",OR(C701="赤日轮1",C701="赤日轮2",C701="赤日轮3",CS700),NOT(OR(C701="幽月轮1",C701="幽月轮2",C701="幽月轮3")))</f>
        <v>0</v>
      </c>
      <c r="CT701" s="115">
        <f t="shared" ca="1" si="646"/>
        <v>0</v>
      </c>
      <c r="CU701" s="115" t="b">
        <f ca="1">AND(模拟模式!$K$10="阴阳往极",CT700=0,RAND()&lt;IF(C701="净世破魔击·月",0.0275*7/3,IF(C701="净世破魔击·日",0.0275*3/3,0.0275*2/3)))</f>
        <v>0</v>
      </c>
      <c r="CV701" s="115">
        <f t="shared" ca="1" si="647"/>
        <v>0</v>
      </c>
      <c r="CW701" s="115">
        <f t="shared" ca="1" si="648"/>
        <v>5.0774999999999997</v>
      </c>
      <c r="CX701" s="115">
        <f t="shared" ca="1" si="649"/>
        <v>3.2324999999999995</v>
      </c>
      <c r="CY701" s="115">
        <f ca="1">MAX(IF($C701="驱夜断愁",IF(模拟模式!$R$7="万念俱寂",6,45),CY700-$F$4),0)</f>
        <v>4.1549999999999994</v>
      </c>
      <c r="CZ701" s="115">
        <f t="shared" ca="1" si="623"/>
        <v>0</v>
      </c>
      <c r="DA701" s="115">
        <f ca="1">IF(模拟模式!$N$7="日月同辉",IF(DB700=2,0,MIN(6,IF(AND(OR(C701="赤日轮1",C701="赤日轮2",C701="赤日轮3",C701="幽月轮1",C701="幽月轮2",C701="幽月轮3"),AB701=1),DA700+1,DA700))),0)</f>
        <v>3</v>
      </c>
      <c r="DB701" s="115">
        <f t="shared" ca="1" si="624"/>
        <v>0</v>
      </c>
      <c r="DC701" s="115"/>
      <c r="DD701" s="115"/>
      <c r="DE701" s="115"/>
      <c r="DF701" s="115"/>
      <c r="DG701" s="115"/>
      <c r="DH701" s="115"/>
      <c r="DI701" s="115"/>
      <c r="DJ701" s="115"/>
      <c r="DK701" s="115"/>
      <c r="DL701" s="115"/>
      <c r="DM701" s="115"/>
    </row>
    <row r="702" spans="2:117" x14ac:dyDescent="0.2">
      <c r="B702" s="117">
        <f t="shared" si="625"/>
        <v>622.68750000000716</v>
      </c>
      <c r="C702" s="167" t="str">
        <f t="shared" ca="1" si="594"/>
        <v>净世破魔击·月</v>
      </c>
      <c r="D702" s="115">
        <f ca="1">IF(C702="赤日轮1",1,IF(C702="赤日轮2",2,IF(C702="赤日轮3",3,IF(C702="幽月轮1",4,IF(C702="幽月轮2",5,IF(C702="幽月轮3",6,IF(C702="烈日斩",7,IF(C702="银月斩",8,IF(C702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702="净世破魔击·月",17,IF(C702="驱夜断愁",18,0)))))))))))</f>
        <v>17</v>
      </c>
      <c r="E702" s="115">
        <f ca="1">IF(AND(CU702,OR(C702="幽月轮1",C702="幽月轮2",C702="幽月轮3",C702="银月斩",C702="驱夜断愁",C702="净世破魔击·月")),100,MIN(IF(OR(CN702,BE702),0,IF(OR($C702="赤日轮1",$C702="赤日轮2",$C702="赤日轮3"),E701+20+IF(模拟模式!$I$7="日月凌天",4,0)+IF(CR701,20,0),IF($C702="烈日斩",E701+40,IF($C702="驱夜断愁",IF(模拟模式!$R$7="万念俱寂",E701+20,E701+60),IF($C702="净世破魔击·月",IF(OR(DB701&gt;0,CV701&gt;0),100,IF(模拟模式!$M$7="辉耀红尘",E701+20,E701)),IF($C702="净世破魔击·日",E701-100,E701)))))),100))</f>
        <v>100</v>
      </c>
      <c r="F702" s="115">
        <f ca="1">IF(AND(CU702,OR(C702="赤日轮1",C702="赤日轮2",C702="赤日轮3",C702="烈日斩",C702="净世破魔击·日")),100,MIN(IF(CO702,0,IF(OR($C702="幽月轮1",$C702="幽月轮2",$C702="幽月轮3"),F701+20+IF(模拟模式!$I$7="日月凌天",4,0)+IF(CS701,20,0),IF($C702="银月斩",F701+40+IF(模拟模式!$X$12=1,5,0),IF($C702="驱夜断愁",IF(模拟模式!$R$7="万念俱寂",F701+20,F701+60),IF($C702="净世破魔击·月",IF(模拟模式!$M$7="辉耀红尘",F701-80,F701-100),IF(AND(C702="净世破魔击·日",OR(DB701&gt;0,CV701&gt;0)),100,F701)))))),100))</f>
        <v>20</v>
      </c>
      <c r="G702" s="117">
        <f ca="1">('模拟-全程加成'!$E$3+'模拟-全程加成'!$E$4+'模拟-全程加成'!$E$5+('模拟-全程加成'!$C$6-'模拟-全程加成'!$C$3)*系数!$B$9+BS702*23)*(1+'模拟-全程加成'!$F$4+'模拟-全程加成'!$F$5+BJ702*10%+BM702*20%+BP702*4%+CG702*30%)+$F$7*系数!$B$12</f>
        <v>20583.127400000001</v>
      </c>
      <c r="H702" s="45">
        <f ca="1">'模拟-全程加成'!$H$3+'模拟-全程加成'!$H$4+'模拟-全程加成'!$H$5+('模拟-全程加成'!$G$4+'模拟-全程加成'!$G$5+('模拟-全程加成'!$C$6-'模拟-全程加成'!$C$3)*系数!$B$13)/系数!$B$3+LOOKUP(D702,'模拟-单技能数据'!$A$2:$A$19,'模拟-单技能数据'!$K$2:$K$19)+BG702*10%+IF(BV702&gt;0,378,0)</f>
        <v>0.54185145527300216</v>
      </c>
      <c r="I702" s="45">
        <f ca="1">'模拟-全程加成'!$J$3+'模拟-全程加成'!$J$4+'模拟-全程加成'!$J$5+('模拟-全程加成'!$I$4+'模拟-全程加成'!$I$5)/系数!$B$4+LOOKUP(D702,'模拟-单技能数据'!$A$2:$A$19,'模拟-单技能数据'!$L$2:$L$19)+BG702*10%</f>
        <v>2.162482885499879</v>
      </c>
      <c r="J702" s="45">
        <f ca="1">(('模拟-全程加成'!$K$3+'模拟-全程加成'!$K$4+'模拟-全程加成'!$K$5+('模拟-全程加成'!$C$6-'模拟-全程加成'!$C$3)*系数!$B$10+IF(BV702&gt;0,882,0)+IF(BY702&gt;0,1831,0))*(1+'模拟-全程加成'!$L$4+'模拟-全程加成'!$L$5+CC702*20%))/系数!$B$5</f>
        <v>0.69723220422048726</v>
      </c>
      <c r="K702" s="119">
        <f ca="1">LOOKUP(D702,'模拟-单技能数据'!$A$2:$A$19,'模拟-单技能数据'!$J$2:$J$19)+IF(CM702,60%,0)+IF(DB701-DB702&gt;0,30%,0)+IF(OR(AND(OR(C702="赤日轮1",C702="赤日轮2",C702="赤日轮3"),CR702),AND(OR(C702="幽月轮1",C702="幽月轮2",C702="幽月轮3"),CS702)),35%,0)+CJ702</f>
        <v>0.85000000000000009</v>
      </c>
      <c r="L702" s="119">
        <f ca="1">IF(AND(C702="烈日斩",模拟模式!$X$11=1),10%,0)+IF(AND(C702="驱夜断愁",AB702=1),30%,0)</f>
        <v>0</v>
      </c>
      <c r="M702" s="45">
        <f t="shared" ca="1" si="595"/>
        <v>0.54185145527300216</v>
      </c>
      <c r="N702" s="45">
        <f t="shared" ca="1" si="596"/>
        <v>0.40424854472699789</v>
      </c>
      <c r="O702" s="46">
        <f t="shared" ca="1" si="626"/>
        <v>0.83664282483870545</v>
      </c>
      <c r="P702" s="46" t="str">
        <f t="shared" ca="1" si="597"/>
        <v>命</v>
      </c>
      <c r="Q702" s="45">
        <f t="shared" ca="1" si="598"/>
        <v>1</v>
      </c>
      <c r="R702" s="117">
        <f ca="1">模拟模式!$E$20*(1-IF(模拟模式!$J$19="有",0.15,0))*(1-IF(模拟模式!$K$19="有",0.3,0)-IF(CQ702,0.5,0))</f>
        <v>843.02999999999975</v>
      </c>
      <c r="S702" s="45">
        <f ca="1">R702/(R702+(185*模拟模式!$E$22-16800)*4.08224)</f>
        <v>8.389626085980037E-2</v>
      </c>
      <c r="T702" s="45" t="str">
        <f ca="1">LOOKUP(D702,'模拟-单技能数据'!$A$2:$A$19,'模拟-单技能数据'!$H$2:$H$19)</f>
        <v>阴</v>
      </c>
      <c r="U702" s="119">
        <f t="shared" ca="1" si="599"/>
        <v>0.08</v>
      </c>
      <c r="V702" s="47">
        <f ca="1">(1+L702)*(LOOKUP(D702,'模拟-单技能数据'!$A$2:$A$19,'模拟-单技能数据'!$D$2:$D$19)+G702*LOOKUP(D702,'模拟-单技能数据'!$A$2:$A$19,'模拟-单技能数据'!$F$2:$F$19))*(1+J702)*(1+K702)*(1-S702)*(1+U702)*Q702*LOOKUP(D702,'模拟-单技能数据'!$A$2:$A$19,'模拟-单技能数据'!$I$2:$I$20)</f>
        <v>83110.861045983751</v>
      </c>
      <c r="W702" s="47">
        <f ca="1">LOOKUP(D702,'模拟-单技能数据'!$A$2:$A$19,'模拟-单技能数据'!$G$2:$G$19)*$I$10</f>
        <v>361.51064354704795</v>
      </c>
      <c r="X702" s="47">
        <f t="shared" ca="1" si="627"/>
        <v>16520.1836685288</v>
      </c>
      <c r="Y702" s="47">
        <f t="shared" ca="1" si="600"/>
        <v>99992.555358059602</v>
      </c>
      <c r="Z702" s="49">
        <f t="shared" ca="1" si="601"/>
        <v>70513584.62612009</v>
      </c>
      <c r="AA702" s="97">
        <f t="shared" ca="1" si="602"/>
        <v>113240.72608831762</v>
      </c>
      <c r="AB702" s="115">
        <f ca="1">IF(OR(C702="赤日轮1",C702="赤日轮2",C702="赤日轮3"),IF(RAND()&lt;模拟模式!$Y$17,1,0),IF(OR(C702="幽月轮1",C702="幽月轮2",C702="幽月轮3"),IF(RAND()&lt;模拟模式!$Y$18,1,0),IF(C702="烈日斩",IF(RAND()&lt;模拟模式!$Y$19,1,0),IF(C702="银月斩",IF(RAND()&lt;模拟模式!$Y$20,1,0),IF(C702="驱夜断愁",IF(RAND()&lt;模拟模式!$Y$21,1,0),IF(C702="净世破魔击·日",IF(RAND()&lt;模拟模式!$Y$22,1,0),IF(C702="净世破魔击·月",IF(RAND()&lt;模拟模式!$Y$23,1,0),0)))))))</f>
        <v>1</v>
      </c>
      <c r="AC702" s="115" t="b">
        <f t="shared" ca="1" si="603"/>
        <v>0</v>
      </c>
      <c r="AD702" s="115" t="b">
        <f t="shared" ca="1" si="604"/>
        <v>0</v>
      </c>
      <c r="AE702" s="115">
        <f t="shared" ca="1" si="605"/>
        <v>4</v>
      </c>
      <c r="AF702" s="47">
        <f ca="1">IF(AC702,('模拟-单技能数据'!$D$20+G702*'模拟-单技能数据'!$F$20)*(1+J702)*(1+'模拟-单技能数据'!$J$20)*(1+U702),0)</f>
        <v>0</v>
      </c>
      <c r="AG702" s="61">
        <f t="shared" ca="1" si="606"/>
        <v>0.64185145527300214</v>
      </c>
      <c r="AH702" s="61">
        <f t="shared" ca="1" si="607"/>
        <v>2.2624828854998791</v>
      </c>
      <c r="AI702" s="62">
        <f t="shared" ca="1" si="628"/>
        <v>3.0339443093881147E-2</v>
      </c>
      <c r="AJ702" s="47">
        <f ca="1">IF(AD702,IF(AI702&lt;$F$10,0,IF(AI702&lt;$F$10+$F$11,0.25,IF(AI702&lt;$F$10+$F$11+AG702,AH702,1)))*IF(AF702&gt;0,AF702,IF(AF701&gt;0,AF701,IF(AF700&gt;0,AF700,IF(AF699&gt;0,AF699,IF(AF698&gt;0,AF698,IF(AF697&gt;0,AF697,IF(AF696&gt;0,AF696,IF(AF695&gt;0,AF695,IF(AF694&gt;0,AF694,IF(AF692&gt;0,AF692,IF(AF691&gt;0,AF691,IF(AF690&gt;0,AF690,0)))))))))))),0)*(1-$S702)*'模拟-单技能数据'!$I$20</f>
        <v>0</v>
      </c>
      <c r="AK702" s="115" t="b">
        <f t="shared" ca="1" si="608"/>
        <v>0</v>
      </c>
      <c r="AL702" s="115" t="b">
        <f t="shared" ca="1" si="609"/>
        <v>0</v>
      </c>
      <c r="AM702" s="115">
        <f t="shared" ca="1" si="610"/>
        <v>3</v>
      </c>
      <c r="AN702" s="47">
        <f ca="1">IF(AK702,('模拟-单技能数据'!$D$21+G702*'模拟-单技能数据'!$F$21)*(1+J702)*(1+'模拟-单技能数据'!$J$21)*(1+U702),0)</f>
        <v>0</v>
      </c>
      <c r="AO702" s="61">
        <f ca="1">IF(AN702&gt;0,M702-'模拟-单技能数据'!$K$10,AO701)</f>
        <v>0.42185145527300216</v>
      </c>
      <c r="AP702" s="61">
        <f ca="1">IF(AN702&gt;0,I702-'模拟-单技能数据'!$L$10,AP701)</f>
        <v>2.162482885499879</v>
      </c>
      <c r="AQ702" s="63">
        <f t="shared" ca="1" si="629"/>
        <v>0.90968796727480883</v>
      </c>
      <c r="AR702" s="64">
        <f ca="1">IF(AL702,IF(AQ702&lt;$F$10,0,IF(AQ702&lt;$F$10+$F$11,0.25,IF(AQ702&lt;$F$10+$F$11+AO702,AP702,1)))*IF(AN702&gt;0,AN702,IF(AN701&gt;0,AN701,IF(AN700&gt;0,AN700,IF(AN699&gt;0,AN699,IF(AN698&gt;0,AN698,IF(AN697&gt;0,AN697,IF(AN696&gt;0,AN696,IF(AN695&gt;0,AN695,IF(AN694&gt;0,AN694,IF(AN692&gt;0,AN692,IF(AN691&gt;0,AN691,IF(AN690&gt;0,AN690,0)))))))))))),0)*(1-$S702)*'模拟-单技能数据'!$I$21</f>
        <v>0</v>
      </c>
      <c r="AS702" s="61">
        <f ca="1">IF(OR(C702="净世破魔击·日",C702="净世破魔击·月"),M702-'模拟-单技能数据'!$K$10,0)</f>
        <v>0.42185145527300216</v>
      </c>
      <c r="AT702" s="61">
        <f ca="1">IF(OR(C702="净世破魔击·日",C702="净世破魔击·月"),I702-'模拟-单技能数据'!$L$10,0)</f>
        <v>2.162482885499879</v>
      </c>
      <c r="AU702" s="62">
        <f t="shared" ca="1" si="630"/>
        <v>0.44970786277661456</v>
      </c>
      <c r="AV702" s="64">
        <f ca="1">IF(AS702&gt;0,('模拟-单技能数据'!$D$22+G702*'模拟-单技能数据'!$F$22)*(1+J702)*(1-S702)*IF(AU702&lt;$F$10,0,IF(AU702&lt;$F$10+$F$11,0.25,IF(AU702&lt;$F$10+$F$11+AS702,AT702,1)))*(1+U702),0)*'模拟-单技能数据'!$I$22</f>
        <v>16520.1836685288</v>
      </c>
      <c r="AW702" s="108">
        <f t="shared" ca="1" si="631"/>
        <v>0</v>
      </c>
      <c r="AX702" s="108" t="b">
        <f ca="1">AND(模拟模式!$P$10="有",AW701=0,RAND()&lt;IF(C702="净世破魔击·月",0.1*8/3,IF(C702="净世破魔击·日",0.1*4/3,0.1*2/3)))</f>
        <v>0</v>
      </c>
      <c r="AY702" s="47">
        <f ca="1">IF(AX702,(18+G702*0.722)*(1+J702)*(1-S702)*(1+$I$4)*IF(P702="会",'模拟-全程加成'!$J$3+'模拟-全程加成'!$J$4+'模拟-全程加成'!$J$5+('模拟-全程加成'!$I$4+'模拟-全程加成'!$I$5)/系数!$B$4+BG702*10%,IF(P702="命",1,IF(P702="识",0.25,0))),0)</f>
        <v>0</v>
      </c>
      <c r="AZ702" s="108">
        <f t="shared" si="632"/>
        <v>6.1625000000000068</v>
      </c>
      <c r="BA702" s="108" t="b">
        <f>AND(模拟模式!$Q$10="有",AZ701=0)</f>
        <v>0</v>
      </c>
      <c r="BB702" s="140">
        <f>IF(BA702,(0+G702*0.287)*(1+J702)*(1-S702)*(1+$I$4)*IF(P702="会",'模拟-全程加成'!$J$3+'模拟-全程加成'!$J$4+'模拟-全程加成'!$J$5+('模拟-全程加成'!$I$4+'模拟-全程加成'!$I$5)/系数!$B$4+BG702*10%,IF(P702="命",1,IF(P702="识",0.25,0))),0)</f>
        <v>0</v>
      </c>
      <c r="BC702" s="115" t="b">
        <f ca="1">AND(模拟模式!$R$7="伏明众生",E702=60,F702=20,DA702&lt;5,CZ701&lt;$F$4)</f>
        <v>0</v>
      </c>
      <c r="BD702" s="115">
        <f t="shared" ca="1" si="611"/>
        <v>0</v>
      </c>
      <c r="BE702" s="115" t="b">
        <f t="shared" ca="1" si="612"/>
        <v>0</v>
      </c>
      <c r="BF702" s="47">
        <f ca="1">IF(BC702,4*('模拟-单技能数据'!$D$24+G702*'模拟-单技能数据'!$F$24)*(1+J702)*(1+'模拟-单技能数据'!$J$24)*(1-S702)*(1+$I$3)*(('模拟-全程加成'!$J$3+'模拟-全程加成'!$J$4+'模拟-全程加成'!$J$5+('模拟-全程加成'!$I$4+'模拟-全程加成'!$I$5)/系数!$B$4+BG702*10%)*('模拟-全程加成'!$J$3+'模拟-全程加成'!$J$4+'模拟-全程加成'!$J$5+('模拟-全程加成'!$I$4+'模拟-全程加成'!$I$5)/系数!$B$4+BG702*10%)+(1-('模拟-全程加成'!$J$3+'模拟-全程加成'!$J$4+'模拟-全程加成'!$J$5+('模拟-全程加成'!$I$4+'模拟-全程加成'!$I$5)/系数!$B$4+BG702*10%)-$F$10-$F$11)+F688*0.25),0)*'模拟-单技能数据'!$I$24</f>
        <v>0</v>
      </c>
      <c r="BG702" s="115" t="b">
        <f ca="1">OR(AND(OR(C702="烈日斩",C702="银月斩"),模拟模式!$I$7="净身明礼"),AND(C702="净世破魔击·日",模拟模式!$J$7="洞若观火"),AND(C703="净世破魔击·月",模拟模式!$J$7="洞若观火"),AB702=1)</f>
        <v>1</v>
      </c>
      <c r="BH702" s="115" t="b">
        <f t="shared" ca="1" si="633"/>
        <v>0</v>
      </c>
      <c r="BI702" s="115">
        <f t="shared" ca="1" si="613"/>
        <v>0</v>
      </c>
      <c r="BJ702" s="115" t="b">
        <f t="shared" ca="1" si="614"/>
        <v>0</v>
      </c>
      <c r="BK702" s="115" t="b">
        <f ca="1">AND(C702="驱夜断愁",模拟模式!$P$7="天地诛戮")</f>
        <v>0</v>
      </c>
      <c r="BL702" s="57">
        <f t="shared" ca="1" si="615"/>
        <v>17.232500000000002</v>
      </c>
      <c r="BM702" s="115" t="b">
        <f t="shared" ca="1" si="616"/>
        <v>1</v>
      </c>
      <c r="BN702" s="115" t="b">
        <f ca="1">AND(OR(C702="赤日轮1",C702="赤日轮2",C702="赤日轮3",C702="幽月轮1",C702="幽月轮2",C702="幽月轮3"),AB702=1,模拟模式!$L$7="明光恒照")</f>
        <v>0</v>
      </c>
      <c r="BO702" s="117">
        <f t="shared" ca="1" si="617"/>
        <v>29.077500000000001</v>
      </c>
      <c r="BP702" s="115">
        <f t="shared" ca="1" si="634"/>
        <v>6</v>
      </c>
      <c r="BQ702" s="115" t="b">
        <f>模拟模式!$K$10="2600·水"</f>
        <v>0</v>
      </c>
      <c r="BR702" s="117">
        <f t="shared" si="635"/>
        <v>0</v>
      </c>
      <c r="BS702" s="115">
        <f t="shared" si="636"/>
        <v>0</v>
      </c>
      <c r="BT702" s="115">
        <f t="shared" ca="1" si="637"/>
        <v>0</v>
      </c>
      <c r="BU702" s="115" t="b">
        <f ca="1">AND(模拟模式!$K$10="2300·雷",BT701=0,RAND()&lt;IF(C702="净世破魔击·月",5*0.05*2/3,IF(C702="净世破魔击·日",3*0.05*2/3,0.05*2*2/3)))</f>
        <v>0</v>
      </c>
      <c r="BV702" s="115">
        <f t="shared" ca="1" si="638"/>
        <v>0</v>
      </c>
      <c r="BW702" s="115">
        <f t="shared" ca="1" si="639"/>
        <v>115.42499999999924</v>
      </c>
      <c r="BX702" s="164" t="b">
        <f t="shared" ca="1" si="640"/>
        <v>0</v>
      </c>
      <c r="BY702" s="115">
        <f t="shared" ca="1" si="641"/>
        <v>0</v>
      </c>
      <c r="BZ702" s="115">
        <f>IF(OR(模拟模式!$P$16="10人团",模拟模式!$P$16="25人团"),IF(B702/30&gt;CA701,1,0),0)</f>
        <v>0</v>
      </c>
      <c r="CA702" s="115">
        <f t="shared" si="618"/>
        <v>0</v>
      </c>
      <c r="CB702" s="115">
        <f ca="1">IF(BZ702=1,IF(模拟模式!$P$16="10人团",15,0)+IF(模拟模式!$P$16="25人团",IF(RAND()&lt;0.6,15,0)),MAX(0,CB701-$F$4))</f>
        <v>0</v>
      </c>
      <c r="CC702" s="115" t="b">
        <f t="shared" ca="1" si="619"/>
        <v>0</v>
      </c>
      <c r="CD702" s="115">
        <f>IF(模拟模式!$Q$16="1个",IF(B702/40&gt;CE701,1,0),0)</f>
        <v>0</v>
      </c>
      <c r="CE702" s="115">
        <f t="shared" si="620"/>
        <v>0</v>
      </c>
      <c r="CF702" s="115">
        <f>IF(OR(CD702=1,模拟模式!$Q$16="2个"),20,MAX(0,CF701-$F$4))</f>
        <v>0</v>
      </c>
      <c r="CG702" s="115" t="b">
        <f t="shared" si="621"/>
        <v>0</v>
      </c>
      <c r="CH702" s="115">
        <f t="shared" ca="1" si="642"/>
        <v>27.232500000000002</v>
      </c>
      <c r="CI702" s="115" t="b">
        <f t="shared" ca="1" si="643"/>
        <v>0</v>
      </c>
      <c r="CJ702" s="119">
        <f t="shared" ca="1" si="644"/>
        <v>0.05</v>
      </c>
      <c r="CK702" s="115">
        <f t="shared" ca="1" si="645"/>
        <v>5.232499999999999</v>
      </c>
      <c r="CL702" s="115" t="b">
        <f ca="1">AND(模拟模式!$S$7="驱夷逐法",OR(AND(C702="净世破魔击·月",E701&gt;59),AND(C702="净世破魔击·日",F701&gt;59)))</f>
        <v>1</v>
      </c>
      <c r="CM702" s="115" t="b">
        <f ca="1">OR(CL702,AND(C702="净世破魔击·日",CL701,RAND()&lt;模拟模式!$U$23))</f>
        <v>1</v>
      </c>
      <c r="CN702" s="115" t="b">
        <f ca="1">IF(模拟模式!$M$7="辉耀红尘",AND(C702="净世破魔击·月",CL702,CV702=0,E701&lt;80),AND(C702="净世破魔击·月",CL702,E701&lt;100))</f>
        <v>0</v>
      </c>
      <c r="CO702" s="115" t="b">
        <f t="shared" ca="1" si="622"/>
        <v>0</v>
      </c>
      <c r="CP702" s="115" t="b">
        <f ca="1">AND(模拟模式!$O$7="用晦而明",OR(C702="净世破魔击·日",C702="净世破魔击·月",C702="驱夜断愁"),AB702)</f>
        <v>1</v>
      </c>
      <c r="CQ702" s="115" t="b">
        <f ca="1">OR(CP702,AND(CP701,RAND()&lt;模拟模式!$U$23))</f>
        <v>1</v>
      </c>
      <c r="CR702" s="115" t="b">
        <f ca="1">AND(模拟模式!$S$7="日月齐光",OR(C702="幽月轮1",C702="幽月轮2",C702="幽月轮3",CR701),NOT(OR(C702="赤日轮1",C702="赤日轮2",C702="赤日轮3")))</f>
        <v>0</v>
      </c>
      <c r="CS702" s="115" t="b">
        <f ca="1">AND(模拟模式!$S$7="日月齐光",OR(C702="赤日轮1",C702="赤日轮2",C702="赤日轮3",CS701),NOT(OR(C702="幽月轮1",C702="幽月轮2",C702="幽月轮3")))</f>
        <v>0</v>
      </c>
      <c r="CT702" s="115">
        <f t="shared" ca="1" si="646"/>
        <v>0</v>
      </c>
      <c r="CU702" s="115" t="b">
        <f ca="1">AND(模拟模式!$K$10="阴阳往极",CT701=0,RAND()&lt;IF(C702="净世破魔击·月",0.0275*7/3,IF(C702="净世破魔击·日",0.0275*3/3,0.0275*2/3)))</f>
        <v>0</v>
      </c>
      <c r="CV702" s="115">
        <f t="shared" ca="1" si="647"/>
        <v>0</v>
      </c>
      <c r="CW702" s="115">
        <f t="shared" ca="1" si="648"/>
        <v>4.1549999999999994</v>
      </c>
      <c r="CX702" s="115">
        <f t="shared" ca="1" si="649"/>
        <v>2.3099999999999996</v>
      </c>
      <c r="CY702" s="115">
        <f ca="1">MAX(IF($C702="驱夜断愁",IF(模拟模式!$R$7="万念俱寂",6,45),CY701-$F$4),0)</f>
        <v>3.2324999999999995</v>
      </c>
      <c r="CZ702" s="115">
        <f t="shared" ca="1" si="623"/>
        <v>0</v>
      </c>
      <c r="DA702" s="115">
        <f ca="1">IF(模拟模式!$N$7="日月同辉",IF(DB701=2,0,MIN(6,IF(AND(OR(C702="赤日轮1",C702="赤日轮2",C702="赤日轮3",C702="幽月轮1",C702="幽月轮2",C702="幽月轮3"),AB702=1),DA701+1,DA701))),0)</f>
        <v>3</v>
      </c>
      <c r="DB702" s="115">
        <f t="shared" ca="1" si="624"/>
        <v>0</v>
      </c>
      <c r="DC702" s="115"/>
      <c r="DD702" s="115"/>
      <c r="DE702" s="115"/>
      <c r="DF702" s="115"/>
      <c r="DG702" s="115"/>
      <c r="DH702" s="115"/>
      <c r="DI702" s="115"/>
      <c r="DJ702" s="115"/>
      <c r="DK702" s="115"/>
      <c r="DL702" s="115"/>
      <c r="DM702" s="115"/>
    </row>
    <row r="703" spans="2:117" x14ac:dyDescent="0.2">
      <c r="B703" s="117">
        <f t="shared" si="625"/>
        <v>623.61000000000718</v>
      </c>
      <c r="C703" s="167" t="str">
        <f t="shared" ca="1" si="594"/>
        <v>净世破魔击·日</v>
      </c>
      <c r="D703" s="115">
        <f ca="1">IF(C703="赤日轮1",1,IF(C703="赤日轮2",2,IF(C703="赤日轮3",3,IF(C703="幽月轮1",4,IF(C703="幽月轮2",5,IF(C703="幽月轮3",6,IF(C703="烈日斩",7,IF(C703="银月斩",8,IF(C703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703="净世破魔击·月",17,IF(C703="驱夜断愁",18,0)))))))))))</f>
        <v>9</v>
      </c>
      <c r="E703" s="115">
        <f ca="1">IF(AND(CU703,OR(C703="幽月轮1",C703="幽月轮2",C703="幽月轮3",C703="银月斩",C703="驱夜断愁",C703="净世破魔击·月")),100,MIN(IF(OR(CN703,BE703),0,IF(OR($C703="赤日轮1",$C703="赤日轮2",$C703="赤日轮3"),E702+20+IF(模拟模式!$I$7="日月凌天",4,0)+IF(CR702,20,0),IF($C703="烈日斩",E702+40,IF($C703="驱夜断愁",IF(模拟模式!$R$7="万念俱寂",E702+20,E702+60),IF($C703="净世破魔击·月",IF(OR(DB702&gt;0,CV702&gt;0),100,IF(模拟模式!$M$7="辉耀红尘",E702+20,E702)),IF($C703="净世破魔击·日",E702-100,E702)))))),100))</f>
        <v>0</v>
      </c>
      <c r="F703" s="115">
        <f ca="1">IF(AND(CU703,OR(C703="赤日轮1",C703="赤日轮2",C703="赤日轮3",C703="烈日斩",C703="净世破魔击·日")),100,MIN(IF(CO703,0,IF(OR($C703="幽月轮1",$C703="幽月轮2",$C703="幽月轮3"),F702+20+IF(模拟模式!$I$7="日月凌天",4,0)+IF(CS702,20,0),IF($C703="银月斩",F702+40+IF(模拟模式!$X$12=1,5,0),IF($C703="驱夜断愁",IF(模拟模式!$R$7="万念俱寂",F702+20,F702+60),IF($C703="净世破魔击·月",IF(模拟模式!$M$7="辉耀红尘",F702-80,F702-100),IF(AND(C703="净世破魔击·日",OR(DB702&gt;0,CV702&gt;0)),100,F702)))))),100))</f>
        <v>20</v>
      </c>
      <c r="G703" s="117">
        <f ca="1">('模拟-全程加成'!$E$3+'模拟-全程加成'!$E$4+'模拟-全程加成'!$E$5+('模拟-全程加成'!$C$6-'模拟-全程加成'!$C$3)*系数!$B$9+BS703*23)*(1+'模拟-全程加成'!$F$4+'模拟-全程加成'!$F$5+BJ703*10%+BM703*20%+BP703*4%+CG703*30%)+$F$7*系数!$B$12</f>
        <v>20583.127400000001</v>
      </c>
      <c r="H703" s="45">
        <f ca="1">'模拟-全程加成'!$H$3+'模拟-全程加成'!$H$4+'模拟-全程加成'!$H$5+('模拟-全程加成'!$G$4+'模拟-全程加成'!$G$5+('模拟-全程加成'!$C$6-'模拟-全程加成'!$C$3)*系数!$B$13)/系数!$B$3+LOOKUP(D703,'模拟-单技能数据'!$A$2:$A$19,'模拟-单技能数据'!$K$2:$K$19)+BG703*10%+IF(BV703&gt;0,378,0)</f>
        <v>0.54185145527300216</v>
      </c>
      <c r="I703" s="45">
        <f ca="1">'模拟-全程加成'!$J$3+'模拟-全程加成'!$J$4+'模拟-全程加成'!$J$5+('模拟-全程加成'!$I$4+'模拟-全程加成'!$I$5)/系数!$B$4+LOOKUP(D703,'模拟-单技能数据'!$A$2:$A$19,'模拟-单技能数据'!$L$2:$L$19)+BG703*10%</f>
        <v>2.162482885499879</v>
      </c>
      <c r="J703" s="45">
        <f ca="1">(('模拟-全程加成'!$K$3+'模拟-全程加成'!$K$4+'模拟-全程加成'!$K$5+('模拟-全程加成'!$C$6-'模拟-全程加成'!$C$3)*系数!$B$10+IF(BV703&gt;0,882,0)+IF(BY703&gt;0,1831,0))*(1+'模拟-全程加成'!$L$4+'模拟-全程加成'!$L$5+CC703*20%))/系数!$B$5</f>
        <v>0.69723220422048726</v>
      </c>
      <c r="K703" s="119">
        <f ca="1">LOOKUP(D703,'模拟-单技能数据'!$A$2:$A$19,'模拟-单技能数据'!$J$2:$J$19)+IF(CM703,60%,0)+IF(DB702-DB703&gt;0,30%,0)+IF(OR(AND(OR(C703="赤日轮1",C703="赤日轮2",C703="赤日轮3"),CR703),AND(OR(C703="幽月轮1",C703="幽月轮2",C703="幽月轮3"),CS703)),35%,0)+CJ703</f>
        <v>0.85000000000000009</v>
      </c>
      <c r="L703" s="119">
        <f ca="1">IF(AND(C703="烈日斩",模拟模式!$X$11=1),10%,0)+IF(AND(C703="驱夜断愁",AB703=1),30%,0)</f>
        <v>0</v>
      </c>
      <c r="M703" s="45">
        <f t="shared" ca="1" si="595"/>
        <v>0.54185145527300216</v>
      </c>
      <c r="N703" s="45">
        <f t="shared" ca="1" si="596"/>
        <v>0.40424854472699789</v>
      </c>
      <c r="O703" s="46">
        <f t="shared" ca="1" si="626"/>
        <v>6.2108169258945356E-3</v>
      </c>
      <c r="P703" s="46" t="str">
        <f t="shared" ca="1" si="597"/>
        <v>识</v>
      </c>
      <c r="Q703" s="45">
        <f t="shared" ca="1" si="598"/>
        <v>0.25</v>
      </c>
      <c r="R703" s="117">
        <f ca="1">模拟模式!$E$20*(1-IF(模拟模式!$J$19="有",0.15,0))*(1-IF(模拟模式!$K$19="有",0.3,0)-IF(CQ703,0.5,0))</f>
        <v>843.02999999999975</v>
      </c>
      <c r="S703" s="45">
        <f ca="1">R703/(R703+(185*模拟模式!$E$22-16800)*4.08224)</f>
        <v>8.389626085980037E-2</v>
      </c>
      <c r="T703" s="45" t="str">
        <f ca="1">LOOKUP(D703,'模拟-单技能数据'!$A$2:$A$19,'模拟-单技能数据'!$H$2:$H$19)</f>
        <v>阳</v>
      </c>
      <c r="U703" s="119">
        <f t="shared" ca="1" si="599"/>
        <v>0.2</v>
      </c>
      <c r="V703" s="47">
        <f ca="1">(1+L703)*(LOOKUP(D703,'模拟-单技能数据'!$A$2:$A$19,'模拟-单技能数据'!$D$2:$D$19)+G703*LOOKUP(D703,'模拟-单技能数据'!$A$2:$A$19,'模拟-单技能数据'!$F$2:$F$19))*(1+J703)*(1+K703)*(1-S703)*(1+U703)*Q703*LOOKUP(D703,'模拟-单技能数据'!$A$2:$A$19,'模拟-单技能数据'!$I$2:$I$20)</f>
        <v>23278.556584876304</v>
      </c>
      <c r="W703" s="47">
        <f ca="1">LOOKUP(D703,'模拟-单技能数据'!$A$2:$A$19,'模拟-单技能数据'!$G$2:$G$19)*$I$10</f>
        <v>723.0212870940959</v>
      </c>
      <c r="X703" s="47">
        <f t="shared" ca="1" si="627"/>
        <v>39090.770255032796</v>
      </c>
      <c r="Y703" s="47">
        <f t="shared" ca="1" si="600"/>
        <v>63092.348127003192</v>
      </c>
      <c r="Z703" s="49">
        <f t="shared" ca="1" si="601"/>
        <v>70576676.974247098</v>
      </c>
      <c r="AA703" s="97">
        <f t="shared" ca="1" si="602"/>
        <v>113174.38298655616</v>
      </c>
      <c r="AB703" s="115">
        <f ca="1">IF(OR(C703="赤日轮1",C703="赤日轮2",C703="赤日轮3"),IF(RAND()&lt;模拟模式!$Y$17,1,0),IF(OR(C703="幽月轮1",C703="幽月轮2",C703="幽月轮3"),IF(RAND()&lt;模拟模式!$Y$18,1,0),IF(C703="烈日斩",IF(RAND()&lt;模拟模式!$Y$19,1,0),IF(C703="银月斩",IF(RAND()&lt;模拟模式!$Y$20,1,0),IF(C703="驱夜断愁",IF(RAND()&lt;模拟模式!$Y$21,1,0),IF(C703="净世破魔击·日",IF(RAND()&lt;模拟模式!$Y$22,1,0),IF(C703="净世破魔击·月",IF(RAND()&lt;模拟模式!$Y$23,1,0),0)))))))</f>
        <v>1</v>
      </c>
      <c r="AC703" s="115" t="b">
        <f t="shared" ca="1" si="603"/>
        <v>0</v>
      </c>
      <c r="AD703" s="115" t="b">
        <f t="shared" ca="1" si="604"/>
        <v>1</v>
      </c>
      <c r="AE703" s="115">
        <f t="shared" ca="1" si="605"/>
        <v>3</v>
      </c>
      <c r="AF703" s="47">
        <f ca="1">IF(AC703,('模拟-单技能数据'!$D$20+G703*'模拟-单技能数据'!$F$20)*(1+J703)*(1+'模拟-单技能数据'!$J$20)*(1+U703),0)</f>
        <v>0</v>
      </c>
      <c r="AG703" s="61">
        <f t="shared" ca="1" si="606"/>
        <v>0.64185145527300214</v>
      </c>
      <c r="AH703" s="61">
        <f t="shared" ca="1" si="607"/>
        <v>2.2624828854998791</v>
      </c>
      <c r="AI703" s="62">
        <f t="shared" ca="1" si="628"/>
        <v>0.19020552966330817</v>
      </c>
      <c r="AJ703" s="47">
        <f ca="1">IF(AD703,IF(AI703&lt;$F$10,0,IF(AI703&lt;$F$10+$F$11,0.25,IF(AI703&lt;$F$10+$F$11+AG703,AH703,1)))*IF(AF703&gt;0,AF703,IF(AF702&gt;0,AF702,IF(AF701&gt;0,AF701,IF(AF700&gt;0,AF700,IF(AF699&gt;0,AF699,IF(AF698&gt;0,AF698,IF(AF697&gt;0,AF697,IF(AF696&gt;0,AF696,IF(AF695&gt;0,AF695,IF(AF693&gt;0,AF693,IF(AF692&gt;0,AF692,IF(AF691&gt;0,AF691,0)))))))))))),0)*(1-$S703)*'模拟-单技能数据'!$I$20</f>
        <v>9616.6571145767884</v>
      </c>
      <c r="AK703" s="115" t="b">
        <f t="shared" ca="1" si="608"/>
        <v>1</v>
      </c>
      <c r="AL703" s="115" t="b">
        <f t="shared" ca="1" si="609"/>
        <v>1</v>
      </c>
      <c r="AM703" s="115">
        <f t="shared" ca="1" si="610"/>
        <v>5</v>
      </c>
      <c r="AN703" s="47">
        <f ca="1">IF(AK703,('模拟-单技能数据'!$D$21+G703*'模拟-单技能数据'!$F$21)*(1+J703)*(1+'模拟-单技能数据'!$J$21)*(1+U703),0)</f>
        <v>12136.56601728573</v>
      </c>
      <c r="AO703" s="61">
        <f ca="1">IF(AN703&gt;0,M703-'模拟-单技能数据'!$K$10,AO702)</f>
        <v>0.42185145527300216</v>
      </c>
      <c r="AP703" s="61">
        <f ca="1">IF(AN703&gt;0,I703-'模拟-单技能数据'!$L$10,AP702)</f>
        <v>2.162482885499879</v>
      </c>
      <c r="AQ703" s="63">
        <f t="shared" ca="1" si="629"/>
        <v>0.51949883065976488</v>
      </c>
      <c r="AR703" s="64">
        <f ca="1">IF(AL703,IF(AQ703&lt;$F$10,0,IF(AQ703&lt;$F$10+$F$11,0.25,IF(AQ703&lt;$F$10+$F$11+AO703,AP703,1)))*IF(AN703&gt;0,AN703,IF(AN702&gt;0,AN702,IF(AN701&gt;0,AN701,IF(AN700&gt;0,AN700,IF(AN699&gt;0,AN699,IF(AN698&gt;0,AN698,IF(AN697&gt;0,AN697,IF(AN696&gt;0,AN696,IF(AN695&gt;0,AN695,IF(AN693&gt;0,AN693,IF(AN692&gt;0,AN692,IF(AN691&gt;0,AN691,0)))))))))))),0)*(1-$S703)*'模拟-单技能数据'!$I$21</f>
        <v>11118.353508757338</v>
      </c>
      <c r="AS703" s="61">
        <f ca="1">IF(OR(C703="净世破魔击·日",C703="净世破魔击·月"),M703-'模拟-单技能数据'!$K$10,0)</f>
        <v>0.42185145527300216</v>
      </c>
      <c r="AT703" s="61">
        <f ca="1">IF(OR(C703="净世破魔击·日",C703="净世破魔击·月"),I703-'模拟-单技能数据'!$L$10,0)</f>
        <v>2.162482885499879</v>
      </c>
      <c r="AU703" s="62">
        <f t="shared" ca="1" si="630"/>
        <v>0.17025984670750693</v>
      </c>
      <c r="AV703" s="64">
        <f ca="1">IF(AS703&gt;0,('模拟-单技能数据'!$D$22+G703*'模拟-单技能数据'!$F$22)*(1+J703)*(1-S703)*IF(AU703&lt;$F$10,0,IF(AU703&lt;$F$10+$F$11,0.25,IF(AU703&lt;$F$10+$F$11+AS703,AT703,1)))*(1+U703),0)*'模拟-单技能数据'!$I$22</f>
        <v>18355.759631698667</v>
      </c>
      <c r="AW703" s="108">
        <f t="shared" ca="1" si="631"/>
        <v>0</v>
      </c>
      <c r="AX703" s="108" t="b">
        <f ca="1">AND(模拟模式!$P$10="有",AW702=0,RAND()&lt;IF(C703="净世破魔击·月",0.1*8/3,IF(C703="净世破魔击·日",0.1*4/3,0.1*2/3)))</f>
        <v>0</v>
      </c>
      <c r="AY703" s="47">
        <f ca="1">IF(AX703,(18+G703*0.722)*(1+J703)*(1-S703)*(1+$I$4)*IF(P703="会",'模拟-全程加成'!$J$3+'模拟-全程加成'!$J$4+'模拟-全程加成'!$J$5+('模拟-全程加成'!$I$4+'模拟-全程加成'!$I$5)/系数!$B$4+BG703*10%,IF(P703="命",1,IF(P703="识",0.25,0))),0)</f>
        <v>0</v>
      </c>
      <c r="AZ703" s="108">
        <f t="shared" si="632"/>
        <v>5.2400000000000064</v>
      </c>
      <c r="BA703" s="108" t="b">
        <f>AND(模拟模式!$Q$10="有",AZ702=0)</f>
        <v>0</v>
      </c>
      <c r="BB703" s="140">
        <f>IF(BA703,(0+G703*0.287)*(1+J703)*(1-S703)*(1+$I$4)*IF(P703="会",'模拟-全程加成'!$J$3+'模拟-全程加成'!$J$4+'模拟-全程加成'!$J$5+('模拟-全程加成'!$I$4+'模拟-全程加成'!$I$5)/系数!$B$4+BG703*10%,IF(P703="命",1,IF(P703="识",0.25,0))),0)</f>
        <v>0</v>
      </c>
      <c r="BC703" s="115" t="b">
        <f ca="1">AND(模拟模式!$R$7="伏明众生",E703=60,F703=20,DA703&lt;5,CZ702&lt;$F$4)</f>
        <v>0</v>
      </c>
      <c r="BD703" s="115">
        <f t="shared" ca="1" si="611"/>
        <v>0</v>
      </c>
      <c r="BE703" s="115" t="b">
        <f t="shared" ca="1" si="612"/>
        <v>0</v>
      </c>
      <c r="BF703" s="47">
        <f ca="1">IF(BC703,4*('模拟-单技能数据'!$D$24+G703*'模拟-单技能数据'!$F$24)*(1+J703)*(1+'模拟-单技能数据'!$J$24)*(1-S703)*(1+$I$3)*(('模拟-全程加成'!$J$3+'模拟-全程加成'!$J$4+'模拟-全程加成'!$J$5+('模拟-全程加成'!$I$4+'模拟-全程加成'!$I$5)/系数!$B$4+BG703*10%)*('模拟-全程加成'!$J$3+'模拟-全程加成'!$J$4+'模拟-全程加成'!$J$5+('模拟-全程加成'!$I$4+'模拟-全程加成'!$I$5)/系数!$B$4+BG703*10%)+(1-('模拟-全程加成'!$J$3+'模拟-全程加成'!$J$4+'模拟-全程加成'!$J$5+('模拟-全程加成'!$I$4+'模拟-全程加成'!$I$5)/系数!$B$4+BG703*10%)-$F$10-$F$11)+F689*0.25),0)*'模拟-单技能数据'!$I$24</f>
        <v>0</v>
      </c>
      <c r="BG703" s="115" t="b">
        <f ca="1">OR(AND(OR(C703="烈日斩",C703="银月斩"),模拟模式!$I$7="净身明礼"),AND(C703="净世破魔击·日",模拟模式!$J$7="洞若观火"),AND(C704="净世破魔击·月",模拟模式!$J$7="洞若观火"),AB703=1)</f>
        <v>1</v>
      </c>
      <c r="BH703" s="115" t="b">
        <f t="shared" ca="1" si="633"/>
        <v>0</v>
      </c>
      <c r="BI703" s="115">
        <f t="shared" ca="1" si="613"/>
        <v>0</v>
      </c>
      <c r="BJ703" s="115" t="b">
        <f t="shared" ca="1" si="614"/>
        <v>0</v>
      </c>
      <c r="BK703" s="115" t="b">
        <f ca="1">AND(C703="驱夜断愁",模拟模式!$P$7="天地诛戮")</f>
        <v>0</v>
      </c>
      <c r="BL703" s="57">
        <f t="shared" ca="1" si="615"/>
        <v>16.310000000000002</v>
      </c>
      <c r="BM703" s="115" t="b">
        <f t="shared" ca="1" si="616"/>
        <v>1</v>
      </c>
      <c r="BN703" s="115" t="b">
        <f ca="1">AND(OR(C703="赤日轮1",C703="赤日轮2",C703="赤日轮3",C703="幽月轮1",C703="幽月轮2",C703="幽月轮3"),AB703=1,模拟模式!$L$7="明光恒照")</f>
        <v>0</v>
      </c>
      <c r="BO703" s="117">
        <f t="shared" ca="1" si="617"/>
        <v>28.155000000000001</v>
      </c>
      <c r="BP703" s="115">
        <f t="shared" ca="1" si="634"/>
        <v>6</v>
      </c>
      <c r="BQ703" s="115" t="b">
        <f>模拟模式!$K$10="2600·水"</f>
        <v>0</v>
      </c>
      <c r="BR703" s="117">
        <f t="shared" si="635"/>
        <v>0</v>
      </c>
      <c r="BS703" s="115">
        <f t="shared" si="636"/>
        <v>0</v>
      </c>
      <c r="BT703" s="115">
        <f t="shared" ca="1" si="637"/>
        <v>0</v>
      </c>
      <c r="BU703" s="115" t="b">
        <f ca="1">AND(模拟模式!$K$10="2300·雷",BT702=0,RAND()&lt;IF(C703="净世破魔击·月",5*0.05*2/3,IF(C703="净世破魔击·日",3*0.05*2/3,0.05*2*2/3)))</f>
        <v>0</v>
      </c>
      <c r="BV703" s="115">
        <f t="shared" ca="1" si="638"/>
        <v>0</v>
      </c>
      <c r="BW703" s="115">
        <f t="shared" ca="1" si="639"/>
        <v>114.50249999999924</v>
      </c>
      <c r="BX703" s="164" t="b">
        <f t="shared" ca="1" si="640"/>
        <v>0</v>
      </c>
      <c r="BY703" s="115">
        <f t="shared" ca="1" si="641"/>
        <v>0</v>
      </c>
      <c r="BZ703" s="115">
        <f>IF(OR(模拟模式!$P$16="10人团",模拟模式!$P$16="25人团"),IF(B703/30&gt;CA702,1,0),0)</f>
        <v>0</v>
      </c>
      <c r="CA703" s="115">
        <f t="shared" si="618"/>
        <v>0</v>
      </c>
      <c r="CB703" s="115">
        <f ca="1">IF(BZ703=1,IF(模拟模式!$P$16="10人团",15,0)+IF(模拟模式!$P$16="25人团",IF(RAND()&lt;0.6,15,0)),MAX(0,CB702-$F$4))</f>
        <v>0</v>
      </c>
      <c r="CC703" s="115" t="b">
        <f t="shared" ca="1" si="619"/>
        <v>0</v>
      </c>
      <c r="CD703" s="115">
        <f>IF(模拟模式!$Q$16="1个",IF(B703/40&gt;CE702,1,0),0)</f>
        <v>0</v>
      </c>
      <c r="CE703" s="115">
        <f t="shared" si="620"/>
        <v>0</v>
      </c>
      <c r="CF703" s="115">
        <f>IF(OR(CD703=1,模拟模式!$Q$16="2个"),20,MAX(0,CF702-$F$4))</f>
        <v>0</v>
      </c>
      <c r="CG703" s="115" t="b">
        <f t="shared" si="621"/>
        <v>0</v>
      </c>
      <c r="CH703" s="115">
        <f t="shared" ca="1" si="642"/>
        <v>26.310000000000002</v>
      </c>
      <c r="CI703" s="115" t="b">
        <f t="shared" ca="1" si="643"/>
        <v>0</v>
      </c>
      <c r="CJ703" s="119">
        <f t="shared" ca="1" si="644"/>
        <v>0.05</v>
      </c>
      <c r="CK703" s="115">
        <f t="shared" ca="1" si="645"/>
        <v>4.3099999999999987</v>
      </c>
      <c r="CL703" s="115" t="b">
        <f ca="1">AND(模拟模式!$S$7="驱夷逐法",OR(AND(C703="净世破魔击·月",E702&gt;59),AND(C703="净世破魔击·日",F702&gt;59)))</f>
        <v>0</v>
      </c>
      <c r="CM703" s="115" t="b">
        <f ca="1">OR(CL703,AND(C703="净世破魔击·日",CL702,RAND()&lt;模拟模式!$U$23))</f>
        <v>1</v>
      </c>
      <c r="CN703" s="115" t="b">
        <f ca="1">IF(模拟模式!$M$7="辉耀红尘",AND(C703="净世破魔击·月",CL703,CV703=0,E702&lt;80),AND(C703="净世破魔击·月",CL703,E702&lt;100))</f>
        <v>0</v>
      </c>
      <c r="CO703" s="115" t="b">
        <f t="shared" ca="1" si="622"/>
        <v>0</v>
      </c>
      <c r="CP703" s="115" t="b">
        <f ca="1">AND(模拟模式!$O$7="用晦而明",OR(C703="净世破魔击·日",C703="净世破魔击·月",C703="驱夜断愁"),AB703)</f>
        <v>1</v>
      </c>
      <c r="CQ703" s="115" t="b">
        <f ca="1">OR(CP703,AND(CP702,RAND()&lt;模拟模式!$U$23))</f>
        <v>1</v>
      </c>
      <c r="CR703" s="115" t="b">
        <f ca="1">AND(模拟模式!$S$7="日月齐光",OR(C703="幽月轮1",C703="幽月轮2",C703="幽月轮3",CR702),NOT(OR(C703="赤日轮1",C703="赤日轮2",C703="赤日轮3")))</f>
        <v>0</v>
      </c>
      <c r="CS703" s="115" t="b">
        <f ca="1">AND(模拟模式!$S$7="日月齐光",OR(C703="赤日轮1",C703="赤日轮2",C703="赤日轮3",CS702),NOT(OR(C703="幽月轮1",C703="幽月轮2",C703="幽月轮3")))</f>
        <v>0</v>
      </c>
      <c r="CT703" s="115">
        <f t="shared" ca="1" si="646"/>
        <v>0</v>
      </c>
      <c r="CU703" s="115" t="b">
        <f ca="1">AND(模拟模式!$K$10="阴阳往极",CT702=0,RAND()&lt;IF(C703="净世破魔击·月",0.0275*7/3,IF(C703="净世破魔击·日",0.0275*3/3,0.0275*2/3)))</f>
        <v>0</v>
      </c>
      <c r="CV703" s="115">
        <f t="shared" ca="1" si="647"/>
        <v>0</v>
      </c>
      <c r="CW703" s="115">
        <f t="shared" ca="1" si="648"/>
        <v>3.2324999999999995</v>
      </c>
      <c r="CX703" s="115">
        <f t="shared" ca="1" si="649"/>
        <v>1.3874999999999997</v>
      </c>
      <c r="CY703" s="115">
        <f ca="1">MAX(IF($C703="驱夜断愁",IF(模拟模式!$R$7="万念俱寂",6,45),CY702-$F$4),0)</f>
        <v>2.3099999999999996</v>
      </c>
      <c r="CZ703" s="115">
        <f t="shared" ca="1" si="623"/>
        <v>0</v>
      </c>
      <c r="DA703" s="115">
        <f ca="1">IF(模拟模式!$N$7="日月同辉",IF(DB702=2,0,MIN(6,IF(AND(OR(C703="赤日轮1",C703="赤日轮2",C703="赤日轮3",C703="幽月轮1",C703="幽月轮2",C703="幽月轮3"),AB703=1),DA702+1,DA702))),0)</f>
        <v>3</v>
      </c>
      <c r="DB703" s="115">
        <f t="shared" ca="1" si="624"/>
        <v>0</v>
      </c>
      <c r="DC703" s="115"/>
      <c r="DD703" s="115"/>
      <c r="DE703" s="115"/>
      <c r="DF703" s="115"/>
      <c r="DG703" s="115"/>
      <c r="DH703" s="115"/>
      <c r="DI703" s="115"/>
      <c r="DJ703" s="115"/>
      <c r="DK703" s="115"/>
      <c r="DL703" s="115"/>
      <c r="DM703" s="115"/>
    </row>
    <row r="704" spans="2:117" x14ac:dyDescent="0.2">
      <c r="B704" s="117">
        <f t="shared" si="625"/>
        <v>624.53250000000719</v>
      </c>
      <c r="C704" s="167" t="str">
        <f t="shared" ca="1" si="594"/>
        <v>赤日轮1</v>
      </c>
      <c r="D704" s="115">
        <f ca="1">IF(C704="赤日轮1",1,IF(C704="赤日轮2",2,IF(C704="赤日轮3",3,IF(C704="幽月轮1",4,IF(C704="幽月轮2",5,IF(C704="幽月轮3",6,IF(C704="烈日斩",7,IF(C704="银月斩",8,IF(C704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704="净世破魔击·月",17,IF(C704="驱夜断愁",18,0)))))))))))</f>
        <v>1</v>
      </c>
      <c r="E704" s="115">
        <f ca="1">IF(AND(CU704,OR(C704="幽月轮1",C704="幽月轮2",C704="幽月轮3",C704="银月斩",C704="驱夜断愁",C704="净世破魔击·月")),100,MIN(IF(OR(CN704,BE704),0,IF(OR($C704="赤日轮1",$C704="赤日轮2",$C704="赤日轮3"),E703+20+IF(模拟模式!$I$7="日月凌天",4,0)+IF(CR703,20,0),IF($C704="烈日斩",E703+40,IF($C704="驱夜断愁",IF(模拟模式!$R$7="万念俱寂",E703+20,E703+60),IF($C704="净世破魔击·月",IF(OR(DB703&gt;0,CV703&gt;0),100,IF(模拟模式!$M$7="辉耀红尘",E703+20,E703)),IF($C704="净世破魔击·日",E703-100,E703)))))),100))</f>
        <v>20</v>
      </c>
      <c r="F704" s="115">
        <f ca="1">IF(AND(CU704,OR(C704="赤日轮1",C704="赤日轮2",C704="赤日轮3",C704="烈日斩",C704="净世破魔击·日")),100,MIN(IF(CO704,0,IF(OR($C704="幽月轮1",$C704="幽月轮2",$C704="幽月轮3"),F703+20+IF(模拟模式!$I$7="日月凌天",4,0)+IF(CS703,20,0),IF($C704="银月斩",F703+40+IF(模拟模式!$X$12=1,5,0),IF($C704="驱夜断愁",IF(模拟模式!$R$7="万念俱寂",F703+20,F703+60),IF($C704="净世破魔击·月",IF(模拟模式!$M$7="辉耀红尘",F703-80,F703-100),IF(AND(C704="净世破魔击·日",OR(DB703&gt;0,CV703&gt;0)),100,F703)))))),100))</f>
        <v>20</v>
      </c>
      <c r="G704" s="117">
        <f ca="1">('模拟-全程加成'!$E$3+'模拟-全程加成'!$E$4+'模拟-全程加成'!$E$5+('模拟-全程加成'!$C$6-'模拟-全程加成'!$C$3)*系数!$B$9+BS704*23)*(1+'模拟-全程加成'!$F$4+'模拟-全程加成'!$F$5+BJ704*10%+BM704*20%+BP704*4%+CG704*30%)+$F$7*系数!$B$12</f>
        <v>20583.127400000001</v>
      </c>
      <c r="H704" s="45">
        <f ca="1">'模拟-全程加成'!$H$3+'模拟-全程加成'!$H$4+'模拟-全程加成'!$H$5+('模拟-全程加成'!$G$4+'模拟-全程加成'!$G$5+('模拟-全程加成'!$C$6-'模拟-全程加成'!$C$3)*系数!$B$13)/系数!$B$3+LOOKUP(D704,'模拟-单技能数据'!$A$2:$A$19,'模拟-单技能数据'!$K$2:$K$19)+BG704*10%+IF(BV704&gt;0,378,0)</f>
        <v>0.4618514552730022</v>
      </c>
      <c r="I704" s="45">
        <f ca="1">'模拟-全程加成'!$J$3+'模拟-全程加成'!$J$4+'模拟-全程加成'!$J$5+('模拟-全程加成'!$I$4+'模拟-全程加成'!$I$5)/系数!$B$4+LOOKUP(D704,'模拟-单技能数据'!$A$2:$A$19,'模拟-单技能数据'!$L$2:$L$19)+BG704*10%</f>
        <v>2.162482885499879</v>
      </c>
      <c r="J704" s="45">
        <f ca="1">(('模拟-全程加成'!$K$3+'模拟-全程加成'!$K$4+'模拟-全程加成'!$K$5+('模拟-全程加成'!$C$6-'模拟-全程加成'!$C$3)*系数!$B$10+IF(BV704&gt;0,882,0)+IF(BY704&gt;0,1831,0))*(1+'模拟-全程加成'!$L$4+'模拟-全程加成'!$L$5+CC704*20%))/系数!$B$5</f>
        <v>0.69723220422048726</v>
      </c>
      <c r="K704" s="119">
        <f ca="1">LOOKUP(D704,'模拟-单技能数据'!$A$2:$A$19,'模拟-单技能数据'!$J$2:$J$19)+IF(CM704,60%,0)+IF(DB703-DB704&gt;0,30%,0)+IF(OR(AND(OR(C704="赤日轮1",C704="赤日轮2",C704="赤日轮3"),CR704),AND(OR(C704="幽月轮1",C704="幽月轮2",C704="幽月轮3"),CS704)),35%,0)+CJ704</f>
        <v>0.16999999999999998</v>
      </c>
      <c r="L704" s="119">
        <f ca="1">IF(AND(C704="烈日斩",模拟模式!$X$11=1),10%,0)+IF(AND(C704="驱夜断愁",AB704=1),30%,0)</f>
        <v>0</v>
      </c>
      <c r="M704" s="45">
        <f t="shared" ca="1" si="595"/>
        <v>0.4618514552730022</v>
      </c>
      <c r="N704" s="45">
        <f t="shared" ca="1" si="596"/>
        <v>0.48424854472699785</v>
      </c>
      <c r="O704" s="46">
        <f t="shared" ca="1" si="626"/>
        <v>0.29638810764663093</v>
      </c>
      <c r="P704" s="46" t="str">
        <f t="shared" ca="1" si="597"/>
        <v>会</v>
      </c>
      <c r="Q704" s="45">
        <f t="shared" ca="1" si="598"/>
        <v>2.162482885499879</v>
      </c>
      <c r="R704" s="117">
        <f ca="1">模拟模式!$E$20*(1-IF(模拟模式!$J$19="有",0.15,0))*(1-IF(模拟模式!$K$19="有",0.3,0)-IF(CQ704,0.5,0))</f>
        <v>843.02999999999975</v>
      </c>
      <c r="S704" s="45">
        <f ca="1">R704/(R704+(185*模拟模式!$E$22-16800)*4.08224)</f>
        <v>8.389626085980037E-2</v>
      </c>
      <c r="T704" s="45" t="str">
        <f ca="1">LOOKUP(D704,'模拟-单技能数据'!$A$2:$A$19,'模拟-单技能数据'!$H$2:$H$19)</f>
        <v>阳</v>
      </c>
      <c r="U704" s="119">
        <f t="shared" ca="1" si="599"/>
        <v>0.2</v>
      </c>
      <c r="V704" s="47">
        <f ca="1">(1+L704)*(LOOKUP(D704,'模拟-单技能数据'!$A$2:$A$19,'模拟-单技能数据'!$D$2:$D$19)+G704*LOOKUP(D704,'模拟-单技能数据'!$A$2:$A$19,'模拟-单技能数据'!$F$2:$F$19))*(1+J704)*(1+K704)*(1-S704)*(1+U704)*Q704*LOOKUP(D704,'模拟-单技能数据'!$A$2:$A$19,'模拟-单技能数据'!$I$2:$I$20)</f>
        <v>56914.819852461565</v>
      </c>
      <c r="W704" s="47">
        <f ca="1">LOOKUP(D704,'模拟-单技能数据'!$A$2:$A$19,'模拟-单技能数据'!$G$2:$G$19)*$I$10</f>
        <v>361.51064354704795</v>
      </c>
      <c r="X704" s="47">
        <f t="shared" ca="1" si="627"/>
        <v>0</v>
      </c>
      <c r="Y704" s="47">
        <f t="shared" ca="1" si="600"/>
        <v>57276.33049600861</v>
      </c>
      <c r="Z704" s="49">
        <f t="shared" ca="1" si="601"/>
        <v>70633953.304743111</v>
      </c>
      <c r="AA704" s="97">
        <f t="shared" ca="1" si="602"/>
        <v>113098.92328220277</v>
      </c>
      <c r="AB704" s="115">
        <f ca="1">IF(OR(C704="赤日轮1",C704="赤日轮2",C704="赤日轮3"),IF(RAND()&lt;模拟模式!$Y$17,1,0),IF(OR(C704="幽月轮1",C704="幽月轮2",C704="幽月轮3"),IF(RAND()&lt;模拟模式!$Y$18,1,0),IF(C704="烈日斩",IF(RAND()&lt;模拟模式!$Y$19,1,0),IF(C704="银月斩",IF(RAND()&lt;模拟模式!$Y$20,1,0),IF(C704="驱夜断愁",IF(RAND()&lt;模拟模式!$Y$21,1,0),IF(C704="净世破魔击·日",IF(RAND()&lt;模拟模式!$Y$22,1,0),IF(C704="净世破魔击·月",IF(RAND()&lt;模拟模式!$Y$23,1,0),0)))))))</f>
        <v>1</v>
      </c>
      <c r="AC704" s="115" t="b">
        <f t="shared" ca="1" si="603"/>
        <v>0</v>
      </c>
      <c r="AD704" s="115" t="b">
        <f t="shared" ca="1" si="604"/>
        <v>0</v>
      </c>
      <c r="AE704" s="115">
        <f t="shared" ca="1" si="605"/>
        <v>3</v>
      </c>
      <c r="AF704" s="47">
        <f ca="1">IF(AC704,('模拟-单技能数据'!$D$20+G704*'模拟-单技能数据'!$F$20)*(1+J704)*(1+'模拟-单技能数据'!$J$20)*(1+U704),0)</f>
        <v>0</v>
      </c>
      <c r="AG704" s="61">
        <f t="shared" ca="1" si="606"/>
        <v>0.64185145527300214</v>
      </c>
      <c r="AH704" s="61">
        <f t="shared" ca="1" si="607"/>
        <v>2.2624828854998791</v>
      </c>
      <c r="AI704" s="62">
        <f t="shared" ca="1" si="628"/>
        <v>2.9308940513499415E-2</v>
      </c>
      <c r="AJ704" s="47">
        <f ca="1">IF(AD704,IF(AI704&lt;$F$10,0,IF(AI704&lt;$F$10+$F$11,0.25,IF(AI704&lt;$F$10+$F$11+AG704,AH704,1)))*IF(AF704&gt;0,AF704,IF(AF703&gt;0,AF703,IF(AF702&gt;0,AF702,IF(AF701&gt;0,AF701,IF(AF700&gt;0,AF700,IF(AF699&gt;0,AF699,IF(AF698&gt;0,AF698,IF(AF697&gt;0,AF697,IF(AF696&gt;0,AF696,IF(AF694&gt;0,AF694,IF(AF693&gt;0,AF693,IF(AF692&gt;0,AF692,0)))))))))))),0)*(1-$S704)*'模拟-单技能数据'!$I$20</f>
        <v>0</v>
      </c>
      <c r="AK704" s="115" t="b">
        <f t="shared" ca="1" si="608"/>
        <v>0</v>
      </c>
      <c r="AL704" s="115" t="b">
        <f t="shared" ca="1" si="609"/>
        <v>0</v>
      </c>
      <c r="AM704" s="115">
        <f t="shared" ca="1" si="610"/>
        <v>5</v>
      </c>
      <c r="AN704" s="47">
        <f ca="1">IF(AK704,('模拟-单技能数据'!$D$21+G704*'模拟-单技能数据'!$F$21)*(1+J704)*(1+'模拟-单技能数据'!$J$21)*(1+U704),0)</f>
        <v>0</v>
      </c>
      <c r="AO704" s="61">
        <f ca="1">IF(AN704&gt;0,M704-'模拟-单技能数据'!$K$10,AO703)</f>
        <v>0.42185145527300216</v>
      </c>
      <c r="AP704" s="61">
        <f ca="1">IF(AN704&gt;0,I704-'模拟-单技能数据'!$L$10,AP703)</f>
        <v>2.162482885499879</v>
      </c>
      <c r="AQ704" s="63">
        <f t="shared" ca="1" si="629"/>
        <v>0.61938980655374376</v>
      </c>
      <c r="AR704" s="64">
        <f ca="1">IF(AL704,IF(AQ704&lt;$F$10,0,IF(AQ704&lt;$F$10+$F$11,0.25,IF(AQ704&lt;$F$10+$F$11+AO704,AP704,1)))*IF(AN704&gt;0,AN704,IF(AN703&gt;0,AN703,IF(AN702&gt;0,AN702,IF(AN701&gt;0,AN701,IF(AN700&gt;0,AN700,IF(AN699&gt;0,AN699,IF(AN698&gt;0,AN698,IF(AN697&gt;0,AN697,IF(AN696&gt;0,AN696,IF(AN694&gt;0,AN694,IF(AN693&gt;0,AN693,IF(AN692&gt;0,AN692,0)))))))))))),0)*(1-$S704)*'模拟-单技能数据'!$I$21</f>
        <v>0</v>
      </c>
      <c r="AS704" s="61">
        <f ca="1">IF(OR(C704="净世破魔击·日",C704="净世破魔击·月"),M704-'模拟-单技能数据'!$K$10,0)</f>
        <v>0</v>
      </c>
      <c r="AT704" s="61">
        <f ca="1">IF(OR(C704="净世破魔击·日",C704="净世破魔击·月"),I704-'模拟-单技能数据'!$L$10,0)</f>
        <v>0</v>
      </c>
      <c r="AU704" s="62">
        <f t="shared" ca="1" si="630"/>
        <v>0.85175067063551235</v>
      </c>
      <c r="AV704" s="64">
        <f ca="1">IF(AS704&gt;0,('模拟-单技能数据'!$D$22+G704*'模拟-单技能数据'!$F$22)*(1+J704)*(1-S704)*IF(AU704&lt;$F$10,0,IF(AU704&lt;$F$10+$F$11,0.25,IF(AU704&lt;$F$10+$F$11+AS704,AT704,1)))*(1+U704),0)*'模拟-单技能数据'!$I$22</f>
        <v>0</v>
      </c>
      <c r="AW704" s="108">
        <f t="shared" ca="1" si="631"/>
        <v>0</v>
      </c>
      <c r="AX704" s="108" t="b">
        <f ca="1">AND(模拟模式!$P$10="有",AW703=0,RAND()&lt;IF(C704="净世破魔击·月",0.1*8/3,IF(C704="净世破魔击·日",0.1*4/3,0.1*2/3)))</f>
        <v>0</v>
      </c>
      <c r="AY704" s="47">
        <f ca="1">IF(AX704,(18+G704*0.722)*(1+J704)*(1-S704)*(1+$I$4)*IF(P704="会",'模拟-全程加成'!$J$3+'模拟-全程加成'!$J$4+'模拟-全程加成'!$J$5+('模拟-全程加成'!$I$4+'模拟-全程加成'!$I$5)/系数!$B$4+BG704*10%,IF(P704="命",1,IF(P704="识",0.25,0))),0)</f>
        <v>0</v>
      </c>
      <c r="AZ704" s="108">
        <f t="shared" si="632"/>
        <v>4.3175000000000061</v>
      </c>
      <c r="BA704" s="108" t="b">
        <f>AND(模拟模式!$Q$10="有",AZ703=0)</f>
        <v>0</v>
      </c>
      <c r="BB704" s="140">
        <f>IF(BA704,(0+G704*0.287)*(1+J704)*(1-S704)*(1+$I$4)*IF(P704="会",'模拟-全程加成'!$J$3+'模拟-全程加成'!$J$4+'模拟-全程加成'!$J$5+('模拟-全程加成'!$I$4+'模拟-全程加成'!$I$5)/系数!$B$4+BG704*10%,IF(P704="命",1,IF(P704="识",0.25,0))),0)</f>
        <v>0</v>
      </c>
      <c r="BC704" s="115" t="b">
        <f ca="1">AND(模拟模式!$R$7="伏明众生",E704=60,F704=20,DA704&lt;5,CZ703&lt;$F$4)</f>
        <v>0</v>
      </c>
      <c r="BD704" s="115">
        <f t="shared" ca="1" si="611"/>
        <v>0</v>
      </c>
      <c r="BE704" s="115" t="b">
        <f t="shared" ca="1" si="612"/>
        <v>0</v>
      </c>
      <c r="BF704" s="47">
        <f ca="1">IF(BC704,4*('模拟-单技能数据'!$D$24+G704*'模拟-单技能数据'!$F$24)*(1+J704)*(1+'模拟-单技能数据'!$J$24)*(1-S704)*(1+$I$3)*(('模拟-全程加成'!$J$3+'模拟-全程加成'!$J$4+'模拟-全程加成'!$J$5+('模拟-全程加成'!$I$4+'模拟-全程加成'!$I$5)/系数!$B$4+BG704*10%)*('模拟-全程加成'!$J$3+'模拟-全程加成'!$J$4+'模拟-全程加成'!$J$5+('模拟-全程加成'!$I$4+'模拟-全程加成'!$I$5)/系数!$B$4+BG704*10%)+(1-('模拟-全程加成'!$J$3+'模拟-全程加成'!$J$4+'模拟-全程加成'!$J$5+('模拟-全程加成'!$I$4+'模拟-全程加成'!$I$5)/系数!$B$4+BG704*10%)-$F$10-$F$11)+F690*0.25),0)*'模拟-单技能数据'!$I$24</f>
        <v>0</v>
      </c>
      <c r="BG704" s="115" t="b">
        <f ca="1">OR(AND(OR(C704="烈日斩",C704="银月斩"),模拟模式!$I$7="净身明礼"),AND(C704="净世破魔击·日",模拟模式!$J$7="洞若观火"),AND(C705="净世破魔击·月",模拟模式!$J$7="洞若观火"),AB704=1)</f>
        <v>1</v>
      </c>
      <c r="BH704" s="115" t="b">
        <f t="shared" ca="1" si="633"/>
        <v>0</v>
      </c>
      <c r="BI704" s="115">
        <f t="shared" ca="1" si="613"/>
        <v>0</v>
      </c>
      <c r="BJ704" s="115" t="b">
        <f t="shared" ca="1" si="614"/>
        <v>0</v>
      </c>
      <c r="BK704" s="115" t="b">
        <f ca="1">AND(C704="驱夜断愁",模拟模式!$P$7="天地诛戮")</f>
        <v>0</v>
      </c>
      <c r="BL704" s="57">
        <f t="shared" ca="1" si="615"/>
        <v>15.387500000000003</v>
      </c>
      <c r="BM704" s="115" t="b">
        <f t="shared" ca="1" si="616"/>
        <v>1</v>
      </c>
      <c r="BN704" s="115" t="b">
        <f ca="1">AND(OR(C704="赤日轮1",C704="赤日轮2",C704="赤日轮3",C704="幽月轮1",C704="幽月轮2",C704="幽月轮3"),AB704=1,模拟模式!$L$7="明光恒照")</f>
        <v>1</v>
      </c>
      <c r="BO704" s="117">
        <f t="shared" ca="1" si="617"/>
        <v>30</v>
      </c>
      <c r="BP704" s="115">
        <f t="shared" ca="1" si="634"/>
        <v>6</v>
      </c>
      <c r="BQ704" s="115" t="b">
        <f>模拟模式!$K$10="2600·水"</f>
        <v>0</v>
      </c>
      <c r="BR704" s="117">
        <f t="shared" si="635"/>
        <v>0</v>
      </c>
      <c r="BS704" s="115">
        <f t="shared" si="636"/>
        <v>0</v>
      </c>
      <c r="BT704" s="115">
        <f t="shared" ca="1" si="637"/>
        <v>0</v>
      </c>
      <c r="BU704" s="115" t="b">
        <f ca="1">AND(模拟模式!$K$10="2300·雷",BT703=0,RAND()&lt;IF(C704="净世破魔击·月",5*0.05*2/3,IF(C704="净世破魔击·日",3*0.05*2/3,0.05*2*2/3)))</f>
        <v>0</v>
      </c>
      <c r="BV704" s="115">
        <f t="shared" ca="1" si="638"/>
        <v>0</v>
      </c>
      <c r="BW704" s="115">
        <f t="shared" ca="1" si="639"/>
        <v>113.57999999999925</v>
      </c>
      <c r="BX704" s="164" t="b">
        <f t="shared" ca="1" si="640"/>
        <v>0</v>
      </c>
      <c r="BY704" s="115">
        <f t="shared" ca="1" si="641"/>
        <v>0</v>
      </c>
      <c r="BZ704" s="115">
        <f>IF(OR(模拟模式!$P$16="10人团",模拟模式!$P$16="25人团"),IF(B704/30&gt;CA703,1,0),0)</f>
        <v>0</v>
      </c>
      <c r="CA704" s="115">
        <f t="shared" si="618"/>
        <v>0</v>
      </c>
      <c r="CB704" s="115">
        <f ca="1">IF(BZ704=1,IF(模拟模式!$P$16="10人团",15,0)+IF(模拟模式!$P$16="25人团",IF(RAND()&lt;0.6,15,0)),MAX(0,CB703-$F$4))</f>
        <v>0</v>
      </c>
      <c r="CC704" s="115" t="b">
        <f t="shared" ca="1" si="619"/>
        <v>0</v>
      </c>
      <c r="CD704" s="115">
        <f>IF(模拟模式!$Q$16="1个",IF(B704/40&gt;CE703,1,0),0)</f>
        <v>0</v>
      </c>
      <c r="CE704" s="115">
        <f t="shared" si="620"/>
        <v>0</v>
      </c>
      <c r="CF704" s="115">
        <f>IF(OR(CD704=1,模拟模式!$Q$16="2个"),20,MAX(0,CF703-$F$4))</f>
        <v>0</v>
      </c>
      <c r="CG704" s="115" t="b">
        <f t="shared" si="621"/>
        <v>0</v>
      </c>
      <c r="CH704" s="115">
        <f t="shared" ca="1" si="642"/>
        <v>25.387500000000003</v>
      </c>
      <c r="CI704" s="115" t="b">
        <f t="shared" ca="1" si="643"/>
        <v>0</v>
      </c>
      <c r="CJ704" s="119">
        <f t="shared" ca="1" si="644"/>
        <v>0.05</v>
      </c>
      <c r="CK704" s="115">
        <f t="shared" ca="1" si="645"/>
        <v>3.3874999999999988</v>
      </c>
      <c r="CL704" s="115" t="b">
        <f ca="1">AND(模拟模式!$S$7="驱夷逐法",OR(AND(C704="净世破魔击·月",E703&gt;59),AND(C704="净世破魔击·日",F703&gt;59)))</f>
        <v>0</v>
      </c>
      <c r="CM704" s="115" t="b">
        <f ca="1">OR(CL704,AND(C704="净世破魔击·日",CL703,RAND()&lt;模拟模式!$U$23))</f>
        <v>0</v>
      </c>
      <c r="CN704" s="115" t="b">
        <f ca="1">IF(模拟模式!$M$7="辉耀红尘",AND(C704="净世破魔击·月",CL704,CV704=0,E703&lt;80),AND(C704="净世破魔击·月",CL704,E703&lt;100))</f>
        <v>0</v>
      </c>
      <c r="CO704" s="115" t="b">
        <f t="shared" ca="1" si="622"/>
        <v>0</v>
      </c>
      <c r="CP704" s="115" t="b">
        <f ca="1">AND(模拟模式!$O$7="用晦而明",OR(C704="净世破魔击·日",C704="净世破魔击·月",C704="驱夜断愁"),AB704)</f>
        <v>0</v>
      </c>
      <c r="CQ704" s="115" t="b">
        <f ca="1">OR(CP704,AND(CP703,RAND()&lt;模拟模式!$U$23))</f>
        <v>1</v>
      </c>
      <c r="CR704" s="115" t="b">
        <f ca="1">AND(模拟模式!$S$7="日月齐光",OR(C704="幽月轮1",C704="幽月轮2",C704="幽月轮3",CR703),NOT(OR(C704="赤日轮1",C704="赤日轮2",C704="赤日轮3")))</f>
        <v>0</v>
      </c>
      <c r="CS704" s="115" t="b">
        <f ca="1">AND(模拟模式!$S$7="日月齐光",OR(C704="赤日轮1",C704="赤日轮2",C704="赤日轮3",CS703),NOT(OR(C704="幽月轮1",C704="幽月轮2",C704="幽月轮3")))</f>
        <v>0</v>
      </c>
      <c r="CT704" s="115">
        <f t="shared" ca="1" si="646"/>
        <v>0</v>
      </c>
      <c r="CU704" s="115" t="b">
        <f ca="1">AND(模拟模式!$K$10="阴阳往极",CT703=0,RAND()&lt;IF(C704="净世破魔击·月",0.0275*7/3,IF(C704="净世破魔击·日",0.0275*3/3,0.0275*2/3)))</f>
        <v>0</v>
      </c>
      <c r="CV704" s="115">
        <f t="shared" ca="1" si="647"/>
        <v>0</v>
      </c>
      <c r="CW704" s="115">
        <f t="shared" ca="1" si="648"/>
        <v>2.3099999999999996</v>
      </c>
      <c r="CX704" s="115">
        <f t="shared" ca="1" si="649"/>
        <v>0.46499999999999975</v>
      </c>
      <c r="CY704" s="115">
        <f ca="1">MAX(IF($C704="驱夜断愁",IF(模拟模式!$R$7="万念俱寂",6,45),CY703-$F$4),0)</f>
        <v>1.3874999999999997</v>
      </c>
      <c r="CZ704" s="115">
        <f t="shared" ca="1" si="623"/>
        <v>0</v>
      </c>
      <c r="DA704" s="115">
        <f ca="1">IF(模拟模式!$N$7="日月同辉",IF(DB703=2,0,MIN(6,IF(AND(OR(C704="赤日轮1",C704="赤日轮2",C704="赤日轮3",C704="幽月轮1",C704="幽月轮2",C704="幽月轮3"),AB704=1),DA703+1,DA703))),0)</f>
        <v>4</v>
      </c>
      <c r="DB704" s="115">
        <f t="shared" ca="1" si="624"/>
        <v>0</v>
      </c>
      <c r="DC704" s="115"/>
      <c r="DD704" s="115"/>
      <c r="DE704" s="115"/>
      <c r="DF704" s="115"/>
      <c r="DG704" s="115"/>
      <c r="DH704" s="115"/>
      <c r="DI704" s="115"/>
      <c r="DJ704" s="115"/>
      <c r="DK704" s="115"/>
      <c r="DL704" s="115"/>
      <c r="DM704" s="115"/>
    </row>
    <row r="705" spans="2:117" x14ac:dyDescent="0.2">
      <c r="B705" s="117">
        <f t="shared" si="625"/>
        <v>625.4550000000072</v>
      </c>
      <c r="C705" s="167" t="str">
        <f t="shared" ca="1" si="594"/>
        <v>银月斩</v>
      </c>
      <c r="D705" s="115">
        <f ca="1">IF(C705="赤日轮1",1,IF(C705="赤日轮2",2,IF(C705="赤日轮3",3,IF(C705="幽月轮1",4,IF(C705="幽月轮2",5,IF(C705="幽月轮3",6,IF(C705="烈日斩",7,IF(C705="银月斩",8,IF(C705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705="净世破魔击·月",17,IF(C705="驱夜断愁",18,0)))))))))))</f>
        <v>8</v>
      </c>
      <c r="E705" s="115">
        <f ca="1">IF(AND(CU705,OR(C705="幽月轮1",C705="幽月轮2",C705="幽月轮3",C705="银月斩",C705="驱夜断愁",C705="净世破魔击·月")),100,MIN(IF(OR(CN705,BE705),0,IF(OR($C705="赤日轮1",$C705="赤日轮2",$C705="赤日轮3"),E704+20+IF(模拟模式!$I$7="日月凌天",4,0)+IF(CR704,20,0),IF($C705="烈日斩",E704+40,IF($C705="驱夜断愁",IF(模拟模式!$R$7="万念俱寂",E704+20,E704+60),IF($C705="净世破魔击·月",IF(OR(DB704&gt;0,CV704&gt;0),100,IF(模拟模式!$M$7="辉耀红尘",E704+20,E704)),IF($C705="净世破魔击·日",E704-100,E704)))))),100))</f>
        <v>20</v>
      </c>
      <c r="F705" s="115">
        <f ca="1">IF(AND(CU705,OR(C705="赤日轮1",C705="赤日轮2",C705="赤日轮3",C705="烈日斩",C705="净世破魔击·日")),100,MIN(IF(CO705,0,IF(OR($C705="幽月轮1",$C705="幽月轮2",$C705="幽月轮3"),F704+20+IF(模拟模式!$I$7="日月凌天",4,0)+IF(CS704,20,0),IF($C705="银月斩",F704+40+IF(模拟模式!$X$12=1,5,0),IF($C705="驱夜断愁",IF(模拟模式!$R$7="万念俱寂",F704+20,F704+60),IF($C705="净世破魔击·月",IF(模拟模式!$M$7="辉耀红尘",F704-80,F704-100),IF(AND(C705="净世破魔击·日",OR(DB704&gt;0,CV704&gt;0)),100,F704)))))),100))</f>
        <v>65</v>
      </c>
      <c r="G705" s="117">
        <f ca="1">('模拟-全程加成'!$E$3+'模拟-全程加成'!$E$4+'模拟-全程加成'!$E$5+('模拟-全程加成'!$C$6-'模拟-全程加成'!$C$3)*系数!$B$9+BS705*23)*(1+'模拟-全程加成'!$F$4+'模拟-全程加成'!$F$5+BJ705*10%+BM705*20%+BP705*4%+CG705*30%)+$F$7*系数!$B$12</f>
        <v>20583.127400000001</v>
      </c>
      <c r="H705" s="45">
        <f ca="1">'模拟-全程加成'!$H$3+'模拟-全程加成'!$H$4+'模拟-全程加成'!$H$5+('模拟-全程加成'!$G$4+'模拟-全程加成'!$G$5+('模拟-全程加成'!$C$6-'模拟-全程加成'!$C$3)*系数!$B$13)/系数!$B$3+LOOKUP(D705,'模拟-单技能数据'!$A$2:$A$19,'模拟-单技能数据'!$K$2:$K$19)+BG705*10%+IF(BV705&gt;0,378,0)</f>
        <v>0.64185145527300214</v>
      </c>
      <c r="I705" s="45">
        <f ca="1">'模拟-全程加成'!$J$3+'模拟-全程加成'!$J$4+'模拟-全程加成'!$J$5+('模拟-全程加成'!$I$4+'模拟-全程加成'!$I$5)/系数!$B$4+LOOKUP(D705,'模拟-单技能数据'!$A$2:$A$19,'模拟-单技能数据'!$L$2:$L$19)+BG705*10%</f>
        <v>2.2624828854998791</v>
      </c>
      <c r="J705" s="45">
        <f ca="1">(('模拟-全程加成'!$K$3+'模拟-全程加成'!$K$4+'模拟-全程加成'!$K$5+('模拟-全程加成'!$C$6-'模拟-全程加成'!$C$3)*系数!$B$10+IF(BV705&gt;0,882,0)+IF(BY705&gt;0,1831,0))*(1+'模拟-全程加成'!$L$4+'模拟-全程加成'!$L$5+CC705*20%))/系数!$B$5</f>
        <v>0.69723220422048726</v>
      </c>
      <c r="K705" s="119">
        <f ca="1">LOOKUP(D705,'模拟-单技能数据'!$A$2:$A$19,'模拟-单技能数据'!$J$2:$J$19)+IF(CM705,60%,0)+IF(DB704-DB705&gt;0,30%,0)+IF(OR(AND(OR(C705="赤日轮1",C705="赤日轮2",C705="赤日轮3"),CR705),AND(OR(C705="幽月轮1",C705="幽月轮2",C705="幽月轮3"),CS705)),35%,0)+CJ705</f>
        <v>0.2</v>
      </c>
      <c r="L705" s="119">
        <f ca="1">IF(AND(C705="烈日斩",模拟模式!$X$11=1),10%,0)+IF(AND(C705="驱夜断愁",AB705=1),30%,0)</f>
        <v>0</v>
      </c>
      <c r="M705" s="45">
        <f t="shared" ca="1" si="595"/>
        <v>0.64185145527300214</v>
      </c>
      <c r="N705" s="45">
        <f t="shared" ca="1" si="596"/>
        <v>0.30424854472699792</v>
      </c>
      <c r="O705" s="46">
        <f t="shared" ca="1" si="626"/>
        <v>0.88266802852008841</v>
      </c>
      <c r="P705" s="46" t="str">
        <f t="shared" ca="1" si="597"/>
        <v>命</v>
      </c>
      <c r="Q705" s="45">
        <f t="shared" ca="1" si="598"/>
        <v>1</v>
      </c>
      <c r="R705" s="117">
        <f ca="1">模拟模式!$E$20*(1-IF(模拟模式!$J$19="有",0.15,0))*(1-IF(模拟模式!$K$19="有",0.3,0)-IF(CQ705,0.5,0))</f>
        <v>2950.6049999999996</v>
      </c>
      <c r="S705" s="45">
        <f ca="1">R705/(R705+(185*模拟模式!$E$22-16800)*4.08224)</f>
        <v>0.24272716014590323</v>
      </c>
      <c r="T705" s="45" t="str">
        <f ca="1">LOOKUP(D705,'模拟-单技能数据'!$A$2:$A$19,'模拟-单技能数据'!$H$2:$H$19)</f>
        <v>阴</v>
      </c>
      <c r="U705" s="119">
        <f t="shared" ca="1" si="599"/>
        <v>0.08</v>
      </c>
      <c r="V705" s="47">
        <f ca="1">(1+L705)*(LOOKUP(D705,'模拟-单技能数据'!$A$2:$A$19,'模拟-单技能数据'!$D$2:$D$19)+G705*LOOKUP(D705,'模拟-单技能数据'!$A$2:$A$19,'模拟-单技能数据'!$F$2:$F$19))*(1+J705)*(1+K705)*(1-S705)*(1+U705)*Q705*LOOKUP(D705,'模拟-单技能数据'!$A$2:$A$19,'模拟-单技能数据'!$I$2:$I$20)</f>
        <v>18209.149484399575</v>
      </c>
      <c r="W705" s="47">
        <f ca="1">LOOKUP(D705,'模拟-单技能数据'!$A$2:$A$19,'模拟-单技能数据'!$G$2:$G$19)*$I$10</f>
        <v>361.51064354704795</v>
      </c>
      <c r="X705" s="47">
        <f t="shared" ca="1" si="627"/>
        <v>27495.301292182321</v>
      </c>
      <c r="Y705" s="47">
        <f t="shared" ca="1" si="600"/>
        <v>46065.961420128944</v>
      </c>
      <c r="Z705" s="49">
        <f t="shared" ca="1" si="601"/>
        <v>70680019.266163245</v>
      </c>
      <c r="AA705" s="97">
        <f t="shared" ca="1" si="602"/>
        <v>113005.76263066477</v>
      </c>
      <c r="AB705" s="115">
        <f ca="1">IF(OR(C705="赤日轮1",C705="赤日轮2",C705="赤日轮3"),IF(RAND()&lt;模拟模式!$Y$17,1,0),IF(OR(C705="幽月轮1",C705="幽月轮2",C705="幽月轮3"),IF(RAND()&lt;模拟模式!$Y$18,1,0),IF(C705="烈日斩",IF(RAND()&lt;模拟模式!$Y$19,1,0),IF(C705="银月斩",IF(RAND()&lt;模拟模式!$Y$20,1,0),IF(C705="驱夜断愁",IF(RAND()&lt;模拟模式!$Y$21,1,0),IF(C705="净世破魔击·日",IF(RAND()&lt;模拟模式!$Y$22,1,0),IF(C705="净世破魔击·月",IF(RAND()&lt;模拟模式!$Y$23,1,0),0)))))))</f>
        <v>1</v>
      </c>
      <c r="AC705" s="115" t="b">
        <f t="shared" ca="1" si="603"/>
        <v>1</v>
      </c>
      <c r="AD705" s="115" t="b">
        <f t="shared" ca="1" si="604"/>
        <v>1</v>
      </c>
      <c r="AE705" s="115">
        <f t="shared" ca="1" si="605"/>
        <v>5</v>
      </c>
      <c r="AF705" s="47">
        <f ca="1">IF(AC705,('模拟-单技能数据'!$D$20+G705*'模拟-单技能数据'!$F$20)*(1+J705)*(1+'模拟-单技能数据'!$J$20)*(1+U705),0)</f>
        <v>4447.8565560098323</v>
      </c>
      <c r="AG705" s="61">
        <f t="shared" ca="1" si="606"/>
        <v>0.64185145527300214</v>
      </c>
      <c r="AH705" s="61">
        <f t="shared" ca="1" si="607"/>
        <v>2.2624828854998791</v>
      </c>
      <c r="AI705" s="62">
        <f t="shared" ca="1" si="628"/>
        <v>0.22121196553232536</v>
      </c>
      <c r="AJ705" s="47">
        <f ca="1">IF(AD705,IF(AI705&lt;$F$10,0,IF(AI705&lt;$F$10+$F$11,0.25,IF(AI705&lt;$F$10+$F$11+AG705,AH705,1)))*IF(AF705&gt;0,AF705,IF(AF704&gt;0,AF704,IF(AF703&gt;0,AF703,IF(AF702&gt;0,AF702,IF(AF701&gt;0,AF701,IF(AF700&gt;0,AF700,IF(AF699&gt;0,AF699,IF(AF698&gt;0,AF698,IF(AF697&gt;0,AF697,IF(AF695&gt;0,AF695,IF(AF694&gt;0,AF694,IF(AF693&gt;0,AF693,0)))))))))))),0)*(1-$S705)*'模拟-单技能数据'!$I$20</f>
        <v>7620.5875385322679</v>
      </c>
      <c r="AK705" s="115" t="b">
        <f t="shared" ca="1" si="608"/>
        <v>0</v>
      </c>
      <c r="AL705" s="115" t="b">
        <f t="shared" ca="1" si="609"/>
        <v>1</v>
      </c>
      <c r="AM705" s="115">
        <f t="shared" ca="1" si="610"/>
        <v>4</v>
      </c>
      <c r="AN705" s="47">
        <f ca="1">IF(AK705,('模拟-单技能数据'!$D$21+G705*'模拟-单技能数据'!$F$21)*(1+J705)*(1+'模拟-单技能数据'!$J$21)*(1+U705),0)</f>
        <v>0</v>
      </c>
      <c r="AO705" s="61">
        <f ca="1">IF(AN705&gt;0,M705-'模拟-单技能数据'!$K$10,AO704)</f>
        <v>0.42185145527300216</v>
      </c>
      <c r="AP705" s="61">
        <f ca="1">IF(AN705&gt;0,I705-'模拟-单技能数据'!$L$10,AP704)</f>
        <v>2.162482885499879</v>
      </c>
      <c r="AQ705" s="63">
        <f t="shared" ca="1" si="629"/>
        <v>6.6151383018468457E-2</v>
      </c>
      <c r="AR705" s="64">
        <f ca="1">IF(AL705,IF(AQ705&lt;$F$10,0,IF(AQ705&lt;$F$10+$F$11,0.25,IF(AQ705&lt;$F$10+$F$11+AO705,AP705,1)))*IF(AN705&gt;0,AN705,IF(AN704&gt;0,AN704,IF(AN703&gt;0,AN703,IF(AN702&gt;0,AN702,IF(AN701&gt;0,AN701,IF(AN700&gt;0,AN700,IF(AN699&gt;0,AN699,IF(AN698&gt;0,AN698,IF(AN697&gt;0,AN697,IF(AN695&gt;0,AN695,IF(AN694&gt;0,AN694,IF(AN693&gt;0,AN693,0)))))))))))),0)*(1-$S705)*'模拟-单技能数据'!$I$21</f>
        <v>19874.713753650052</v>
      </c>
      <c r="AS705" s="61">
        <f ca="1">IF(OR(C705="净世破魔击·日",C705="净世破魔击·月"),M705-'模拟-单技能数据'!$K$10,0)</f>
        <v>0</v>
      </c>
      <c r="AT705" s="61">
        <f ca="1">IF(OR(C705="净世破魔击·日",C705="净世破魔击·月"),I705-'模拟-单技能数据'!$L$10,0)</f>
        <v>0</v>
      </c>
      <c r="AU705" s="62">
        <f t="shared" ca="1" si="630"/>
        <v>0.37121047837208654</v>
      </c>
      <c r="AV705" s="64">
        <f ca="1">IF(AS705&gt;0,('模拟-单技能数据'!$D$22+G705*'模拟-单技能数据'!$F$22)*(1+J705)*(1-S705)*IF(AU705&lt;$F$10,0,IF(AU705&lt;$F$10+$F$11,0.25,IF(AU705&lt;$F$10+$F$11+AS705,AT705,1)))*(1+U705),0)*'模拟-单技能数据'!$I$22</f>
        <v>0</v>
      </c>
      <c r="AW705" s="108">
        <f t="shared" ca="1" si="631"/>
        <v>0</v>
      </c>
      <c r="AX705" s="108" t="b">
        <f ca="1">AND(模拟模式!$P$10="有",AW704=0,RAND()&lt;IF(C705="净世破魔击·月",0.1*8/3,IF(C705="净世破魔击·日",0.1*4/3,0.1*2/3)))</f>
        <v>0</v>
      </c>
      <c r="AY705" s="47">
        <f ca="1">IF(AX705,(18+G705*0.722)*(1+J705)*(1-S705)*(1+$I$4)*IF(P705="会",'模拟-全程加成'!$J$3+'模拟-全程加成'!$J$4+'模拟-全程加成'!$J$5+('模拟-全程加成'!$I$4+'模拟-全程加成'!$I$5)/系数!$B$4+BG705*10%,IF(P705="命",1,IF(P705="识",0.25,0))),0)</f>
        <v>0</v>
      </c>
      <c r="AZ705" s="108">
        <f t="shared" si="632"/>
        <v>3.3950000000000062</v>
      </c>
      <c r="BA705" s="108" t="b">
        <f>AND(模拟模式!$Q$10="有",AZ704=0)</f>
        <v>0</v>
      </c>
      <c r="BB705" s="140">
        <f>IF(BA705,(0+G705*0.287)*(1+J705)*(1-S705)*(1+$I$4)*IF(P705="会",'模拟-全程加成'!$J$3+'模拟-全程加成'!$J$4+'模拟-全程加成'!$J$5+('模拟-全程加成'!$I$4+'模拟-全程加成'!$I$5)/系数!$B$4+BG705*10%,IF(P705="命",1,IF(P705="识",0.25,0))),0)</f>
        <v>0</v>
      </c>
      <c r="BC705" s="115" t="b">
        <f ca="1">AND(模拟模式!$R$7="伏明众生",E705=60,F705=20,DA705&lt;5,CZ704&lt;$F$4)</f>
        <v>0</v>
      </c>
      <c r="BD705" s="115">
        <f t="shared" ca="1" si="611"/>
        <v>0</v>
      </c>
      <c r="BE705" s="115" t="b">
        <f t="shared" ca="1" si="612"/>
        <v>0</v>
      </c>
      <c r="BF705" s="47">
        <f ca="1">IF(BC705,4*('模拟-单技能数据'!$D$24+G705*'模拟-单技能数据'!$F$24)*(1+J705)*(1+'模拟-单技能数据'!$J$24)*(1-S705)*(1+$I$3)*(('模拟-全程加成'!$J$3+'模拟-全程加成'!$J$4+'模拟-全程加成'!$J$5+('模拟-全程加成'!$I$4+'模拟-全程加成'!$I$5)/系数!$B$4+BG705*10%)*('模拟-全程加成'!$J$3+'模拟-全程加成'!$J$4+'模拟-全程加成'!$J$5+('模拟-全程加成'!$I$4+'模拟-全程加成'!$I$5)/系数!$B$4+BG705*10%)+(1-('模拟-全程加成'!$J$3+'模拟-全程加成'!$J$4+'模拟-全程加成'!$J$5+('模拟-全程加成'!$I$4+'模拟-全程加成'!$I$5)/系数!$B$4+BG705*10%)-$F$10-$F$11)+F691*0.25),0)*'模拟-单技能数据'!$I$24</f>
        <v>0</v>
      </c>
      <c r="BG705" s="115" t="b">
        <f ca="1">OR(AND(OR(C705="烈日斩",C705="银月斩"),模拟模式!$I$7="净身明礼"),AND(C705="净世破魔击·日",模拟模式!$J$7="洞若观火"),AND(C706="净世破魔击·月",模拟模式!$J$7="洞若观火"),AB705=1)</f>
        <v>1</v>
      </c>
      <c r="BH705" s="115" t="b">
        <f t="shared" ca="1" si="633"/>
        <v>0</v>
      </c>
      <c r="BI705" s="115">
        <f t="shared" ca="1" si="613"/>
        <v>0</v>
      </c>
      <c r="BJ705" s="115" t="b">
        <f t="shared" ca="1" si="614"/>
        <v>0</v>
      </c>
      <c r="BK705" s="115" t="b">
        <f ca="1">AND(C705="驱夜断愁",模拟模式!$P$7="天地诛戮")</f>
        <v>0</v>
      </c>
      <c r="BL705" s="57">
        <f t="shared" ca="1" si="615"/>
        <v>14.465000000000003</v>
      </c>
      <c r="BM705" s="115" t="b">
        <f t="shared" ca="1" si="616"/>
        <v>1</v>
      </c>
      <c r="BN705" s="115" t="b">
        <f ca="1">AND(OR(C705="赤日轮1",C705="赤日轮2",C705="赤日轮3",C705="幽月轮1",C705="幽月轮2",C705="幽月轮3"),AB705=1,模拟模式!$L$7="明光恒照")</f>
        <v>0</v>
      </c>
      <c r="BO705" s="117">
        <f t="shared" ca="1" si="617"/>
        <v>29.077500000000001</v>
      </c>
      <c r="BP705" s="115">
        <f t="shared" ca="1" si="634"/>
        <v>6</v>
      </c>
      <c r="BQ705" s="115" t="b">
        <f>模拟模式!$K$10="2600·水"</f>
        <v>0</v>
      </c>
      <c r="BR705" s="117">
        <f t="shared" si="635"/>
        <v>0</v>
      </c>
      <c r="BS705" s="115">
        <f t="shared" si="636"/>
        <v>0</v>
      </c>
      <c r="BT705" s="115">
        <f t="shared" ca="1" si="637"/>
        <v>0</v>
      </c>
      <c r="BU705" s="115" t="b">
        <f ca="1">AND(模拟模式!$K$10="2300·雷",BT704=0,RAND()&lt;IF(C705="净世破魔击·月",5*0.05*2/3,IF(C705="净世破魔击·日",3*0.05*2/3,0.05*2*2/3)))</f>
        <v>0</v>
      </c>
      <c r="BV705" s="115">
        <f t="shared" ca="1" si="638"/>
        <v>0</v>
      </c>
      <c r="BW705" s="115">
        <f t="shared" ca="1" si="639"/>
        <v>112.65749999999925</v>
      </c>
      <c r="BX705" s="164" t="b">
        <f t="shared" ca="1" si="640"/>
        <v>0</v>
      </c>
      <c r="BY705" s="115">
        <f t="shared" ca="1" si="641"/>
        <v>0</v>
      </c>
      <c r="BZ705" s="115">
        <f>IF(OR(模拟模式!$P$16="10人团",模拟模式!$P$16="25人团"),IF(B705/30&gt;CA704,1,0),0)</f>
        <v>0</v>
      </c>
      <c r="CA705" s="115">
        <f t="shared" si="618"/>
        <v>0</v>
      </c>
      <c r="CB705" s="115">
        <f ca="1">IF(BZ705=1,IF(模拟模式!$P$16="10人团",15,0)+IF(模拟模式!$P$16="25人团",IF(RAND()&lt;0.6,15,0)),MAX(0,CB704-$F$4))</f>
        <v>0</v>
      </c>
      <c r="CC705" s="115" t="b">
        <f t="shared" ca="1" si="619"/>
        <v>0</v>
      </c>
      <c r="CD705" s="115">
        <f>IF(模拟模式!$Q$16="1个",IF(B705/40&gt;CE704,1,0),0)</f>
        <v>0</v>
      </c>
      <c r="CE705" s="115">
        <f t="shared" si="620"/>
        <v>0</v>
      </c>
      <c r="CF705" s="115">
        <f>IF(OR(CD705=1,模拟模式!$Q$16="2个"),20,MAX(0,CF704-$F$4))</f>
        <v>0</v>
      </c>
      <c r="CG705" s="115" t="b">
        <f t="shared" si="621"/>
        <v>0</v>
      </c>
      <c r="CH705" s="115">
        <f t="shared" ca="1" si="642"/>
        <v>24.465000000000003</v>
      </c>
      <c r="CI705" s="115" t="b">
        <f t="shared" ca="1" si="643"/>
        <v>0</v>
      </c>
      <c r="CJ705" s="119">
        <f t="shared" ca="1" si="644"/>
        <v>0.05</v>
      </c>
      <c r="CK705" s="115">
        <f t="shared" ca="1" si="645"/>
        <v>2.464999999999999</v>
      </c>
      <c r="CL705" s="115" t="b">
        <f ca="1">AND(模拟模式!$S$7="驱夷逐法",OR(AND(C705="净世破魔击·月",E704&gt;59),AND(C705="净世破魔击·日",F704&gt;59)))</f>
        <v>0</v>
      </c>
      <c r="CM705" s="115" t="b">
        <f ca="1">OR(CL705,AND(C705="净世破魔击·日",CL704,RAND()&lt;模拟模式!$U$23))</f>
        <v>0</v>
      </c>
      <c r="CN705" s="115" t="b">
        <f ca="1">IF(模拟模式!$M$7="辉耀红尘",AND(C705="净世破魔击·月",CL705,CV705=0,E704&lt;80),AND(C705="净世破魔击·月",CL705,E704&lt;100))</f>
        <v>0</v>
      </c>
      <c r="CO705" s="115" t="b">
        <f t="shared" ca="1" si="622"/>
        <v>0</v>
      </c>
      <c r="CP705" s="115" t="b">
        <f ca="1">AND(模拟模式!$O$7="用晦而明",OR(C705="净世破魔击·日",C705="净世破魔击·月",C705="驱夜断愁"),AB705)</f>
        <v>0</v>
      </c>
      <c r="CQ705" s="115" t="b">
        <f ca="1">OR(CP705,AND(CP704,RAND()&lt;模拟模式!$U$23))</f>
        <v>0</v>
      </c>
      <c r="CR705" s="115" t="b">
        <f ca="1">AND(模拟模式!$S$7="日月齐光",OR(C705="幽月轮1",C705="幽月轮2",C705="幽月轮3",CR704),NOT(OR(C705="赤日轮1",C705="赤日轮2",C705="赤日轮3")))</f>
        <v>0</v>
      </c>
      <c r="CS705" s="115" t="b">
        <f ca="1">AND(模拟模式!$S$7="日月齐光",OR(C705="赤日轮1",C705="赤日轮2",C705="赤日轮3",CS704),NOT(OR(C705="幽月轮1",C705="幽月轮2",C705="幽月轮3")))</f>
        <v>0</v>
      </c>
      <c r="CT705" s="115">
        <f t="shared" ca="1" si="646"/>
        <v>0</v>
      </c>
      <c r="CU705" s="115" t="b">
        <f ca="1">AND(模拟模式!$K$10="阴阳往极",CT704=0,RAND()&lt;IF(C705="净世破魔击·月",0.0275*7/3,IF(C705="净世破魔击·日",0.0275*3/3,0.0275*2/3)))</f>
        <v>0</v>
      </c>
      <c r="CV705" s="115">
        <f t="shared" ca="1" si="647"/>
        <v>0</v>
      </c>
      <c r="CW705" s="115">
        <f t="shared" ca="1" si="648"/>
        <v>1.3874999999999997</v>
      </c>
      <c r="CX705" s="115">
        <f t="shared" ca="1" si="649"/>
        <v>6</v>
      </c>
      <c r="CY705" s="115">
        <f ca="1">MAX(IF($C705="驱夜断愁",IF(模拟模式!$R$7="万念俱寂",6,45),CY704-$F$4),0)</f>
        <v>0.46499999999999975</v>
      </c>
      <c r="CZ705" s="115">
        <f t="shared" ca="1" si="623"/>
        <v>0</v>
      </c>
      <c r="DA705" s="115">
        <f ca="1">IF(模拟模式!$N$7="日月同辉",IF(DB704=2,0,MIN(6,IF(AND(OR(C705="赤日轮1",C705="赤日轮2",C705="赤日轮3",C705="幽月轮1",C705="幽月轮2",C705="幽月轮3"),AB705=1),DA704+1,DA704))),0)</f>
        <v>4</v>
      </c>
      <c r="DB705" s="115">
        <f t="shared" ca="1" si="624"/>
        <v>0</v>
      </c>
      <c r="DC705" s="115"/>
      <c r="DD705" s="115"/>
      <c r="DE705" s="115"/>
      <c r="DF705" s="115"/>
      <c r="DG705" s="115"/>
      <c r="DH705" s="115"/>
      <c r="DI705" s="115"/>
      <c r="DJ705" s="115"/>
      <c r="DK705" s="115"/>
      <c r="DL705" s="115"/>
      <c r="DM705" s="115"/>
    </row>
    <row r="706" spans="2:117" x14ac:dyDescent="0.2">
      <c r="B706" s="117">
        <f t="shared" si="625"/>
        <v>626.37750000000722</v>
      </c>
      <c r="C706" s="167" t="str">
        <f t="shared" ca="1" si="594"/>
        <v>驱夜断愁</v>
      </c>
      <c r="D706" s="115">
        <f ca="1">IF(C706="赤日轮1",1,IF(C706="赤日轮2",2,IF(C706="赤日轮3",3,IF(C706="幽月轮1",4,IF(C706="幽月轮2",5,IF(C706="幽月轮3",6,IF(C706="烈日斩",7,IF(C706="银月斩",8,IF(C706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706="净世破魔击·月",17,IF(C706="驱夜断愁",18,0)))))))))))</f>
        <v>18</v>
      </c>
      <c r="E706" s="115">
        <f ca="1">IF(AND(CU706,OR(C706="幽月轮1",C706="幽月轮2",C706="幽月轮3",C706="银月斩",C706="驱夜断愁",C706="净世破魔击·月")),100,MIN(IF(OR(CN706,BE706),0,IF(OR($C706="赤日轮1",$C706="赤日轮2",$C706="赤日轮3"),E705+20+IF(模拟模式!$I$7="日月凌天",4,0)+IF(CR705,20,0),IF($C706="烈日斩",E705+40,IF($C706="驱夜断愁",IF(模拟模式!$R$7="万念俱寂",E705+20,E705+60),IF($C706="净世破魔击·月",IF(OR(DB705&gt;0,CV705&gt;0),100,IF(模拟模式!$M$7="辉耀红尘",E705+20,E705)),IF($C706="净世破魔击·日",E705-100,E705)))))),100))</f>
        <v>40</v>
      </c>
      <c r="F706" s="115">
        <f ca="1">IF(AND(CU706,OR(C706="赤日轮1",C706="赤日轮2",C706="赤日轮3",C706="烈日斩",C706="净世破魔击·日")),100,MIN(IF(CO706,0,IF(OR($C706="幽月轮1",$C706="幽月轮2",$C706="幽月轮3"),F705+20+IF(模拟模式!$I$7="日月凌天",4,0)+IF(CS705,20,0),IF($C706="银月斩",F705+40+IF(模拟模式!$X$12=1,5,0),IF($C706="驱夜断愁",IF(模拟模式!$R$7="万念俱寂",F705+20,F705+60),IF($C706="净世破魔击·月",IF(模拟模式!$M$7="辉耀红尘",F705-80,F705-100),IF(AND(C706="净世破魔击·日",OR(DB705&gt;0,CV705&gt;0)),100,F705)))))),100))</f>
        <v>85</v>
      </c>
      <c r="G706" s="117">
        <f ca="1">('模拟-全程加成'!$E$3+'模拟-全程加成'!$E$4+'模拟-全程加成'!$E$5+('模拟-全程加成'!$C$6-'模拟-全程加成'!$C$3)*系数!$B$9+BS706*23)*(1+'模拟-全程加成'!$F$4+'模拟-全程加成'!$F$5+BJ706*10%+BM706*20%+BP706*4%+CG706*30%)+$F$7*系数!$B$12</f>
        <v>20583.127400000001</v>
      </c>
      <c r="H706" s="45">
        <f ca="1">'模拟-全程加成'!$H$3+'模拟-全程加成'!$H$4+'模拟-全程加成'!$H$5+('模拟-全程加成'!$G$4+'模拟-全程加成'!$G$5+('模拟-全程加成'!$C$6-'模拟-全程加成'!$C$3)*系数!$B$13)/系数!$B$3+LOOKUP(D706,'模拟-单技能数据'!$A$2:$A$19,'模拟-单技能数据'!$K$2:$K$19)+BG706*10%+IF(BV706&gt;0,378,0)</f>
        <v>0.51185145527300213</v>
      </c>
      <c r="I706" s="45">
        <f ca="1">'模拟-全程加成'!$J$3+'模拟-全程加成'!$J$4+'模拟-全程加成'!$J$5+('模拟-全程加成'!$I$4+'模拟-全程加成'!$I$5)/系数!$B$4+LOOKUP(D706,'模拟-单技能数据'!$A$2:$A$19,'模拟-单技能数据'!$L$2:$L$19)+BG706*10%</f>
        <v>2.162482885499879</v>
      </c>
      <c r="J706" s="45">
        <f ca="1">(('模拟-全程加成'!$K$3+'模拟-全程加成'!$K$4+'模拟-全程加成'!$K$5+('模拟-全程加成'!$C$6-'模拟-全程加成'!$C$3)*系数!$B$10+IF(BV706&gt;0,882,0)+IF(BY706&gt;0,1831,0))*(1+'模拟-全程加成'!$L$4+'模拟-全程加成'!$L$5+CC706*20%))/系数!$B$5</f>
        <v>0.69723220422048726</v>
      </c>
      <c r="K706" s="119">
        <f ca="1">LOOKUP(D706,'模拟-单技能数据'!$A$2:$A$19,'模拟-单技能数据'!$J$2:$J$19)+IF(CM706,60%,0)+IF(DB705-DB706&gt;0,30%,0)+IF(OR(AND(OR(C706="赤日轮1",C706="赤日轮2",C706="赤日轮3"),CR706),AND(OR(C706="幽月轮1",C706="幽月轮2",C706="幽月轮3"),CS706)),35%,0)+CJ706</f>
        <v>0.19</v>
      </c>
      <c r="L706" s="119">
        <f ca="1">IF(AND(C706="烈日斩",模拟模式!$X$11=1),10%,0)+IF(AND(C706="驱夜断愁",AB706=1),30%,0)</f>
        <v>0.3</v>
      </c>
      <c r="M706" s="45">
        <f t="shared" ca="1" si="595"/>
        <v>0.51185145527300213</v>
      </c>
      <c r="N706" s="45">
        <f t="shared" ca="1" si="596"/>
        <v>0.43424854472699792</v>
      </c>
      <c r="O706" s="46">
        <f t="shared" ca="1" si="626"/>
        <v>5.4287403300456338E-2</v>
      </c>
      <c r="P706" s="46" t="str">
        <f t="shared" ca="1" si="597"/>
        <v>会</v>
      </c>
      <c r="Q706" s="45">
        <f t="shared" ca="1" si="598"/>
        <v>2.162482885499879</v>
      </c>
      <c r="R706" s="117">
        <f ca="1">模拟模式!$E$20*(1-IF(模拟模式!$J$19="有",0.15,0))*(1-IF(模拟模式!$K$19="有",0.3,0)-IF(CQ706,0.5,0))</f>
        <v>843.02999999999975</v>
      </c>
      <c r="S706" s="45">
        <f ca="1">R706/(R706+(185*模拟模式!$E$22-16800)*4.08224)</f>
        <v>8.389626085980037E-2</v>
      </c>
      <c r="T706" s="45" t="str">
        <f ca="1">LOOKUP(D706,'模拟-单技能数据'!$A$2:$A$19,'模拟-单技能数据'!$H$2:$H$19)</f>
        <v>阴</v>
      </c>
      <c r="U706" s="119">
        <f t="shared" ca="1" si="599"/>
        <v>0.08</v>
      </c>
      <c r="V706" s="47">
        <f ca="1">(1+L706)*(LOOKUP(D706,'模拟-单技能数据'!$A$2:$A$19,'模拟-单技能数据'!$D$2:$D$19)+G706*LOOKUP(D706,'模拟-单技能数据'!$A$2:$A$19,'模拟-单技能数据'!$F$2:$F$19))*(1+J706)*(1+K706)*(1-S706)*(1+U706)*Q706*LOOKUP(D706,'模拟-单技能数据'!$A$2:$A$19,'模拟-单技能数据'!$I$2:$I$20)</f>
        <v>133053.91991757337</v>
      </c>
      <c r="W706" s="47">
        <f ca="1">LOOKUP(D706,'模拟-单技能数据'!$A$2:$A$19,'模拟-单技能数据'!$G$2:$G$19)*$I$10</f>
        <v>723.0212870940959</v>
      </c>
      <c r="X706" s="47">
        <f t="shared" ca="1" si="627"/>
        <v>0</v>
      </c>
      <c r="Y706" s="47">
        <f t="shared" ca="1" si="600"/>
        <v>133776.94120466747</v>
      </c>
      <c r="Z706" s="49">
        <f t="shared" ca="1" si="601"/>
        <v>70813796.207367912</v>
      </c>
      <c r="AA706" s="97">
        <f t="shared" ca="1" si="602"/>
        <v>113052.90532844346</v>
      </c>
      <c r="AB706" s="115">
        <f ca="1">IF(OR(C706="赤日轮1",C706="赤日轮2",C706="赤日轮3"),IF(RAND()&lt;模拟模式!$Y$17,1,0),IF(OR(C706="幽月轮1",C706="幽月轮2",C706="幽月轮3"),IF(RAND()&lt;模拟模式!$Y$18,1,0),IF(C706="烈日斩",IF(RAND()&lt;模拟模式!$Y$19,1,0),IF(C706="银月斩",IF(RAND()&lt;模拟模式!$Y$20,1,0),IF(C706="驱夜断愁",IF(RAND()&lt;模拟模式!$Y$21,1,0),IF(C706="净世破魔击·日",IF(RAND()&lt;模拟模式!$Y$22,1,0),IF(C706="净世破魔击·月",IF(RAND()&lt;模拟模式!$Y$23,1,0),0)))))))</f>
        <v>1</v>
      </c>
      <c r="AC706" s="115" t="b">
        <f t="shared" ca="1" si="603"/>
        <v>0</v>
      </c>
      <c r="AD706" s="115" t="b">
        <f t="shared" ca="1" si="604"/>
        <v>0</v>
      </c>
      <c r="AE706" s="115">
        <f t="shared" ca="1" si="605"/>
        <v>5</v>
      </c>
      <c r="AF706" s="47">
        <f ca="1">IF(AC706,('模拟-单技能数据'!$D$20+G706*'模拟-单技能数据'!$F$20)*(1+J706)*(1+'模拟-单技能数据'!$J$20)*(1+U706),0)</f>
        <v>0</v>
      </c>
      <c r="AG706" s="61">
        <f t="shared" ca="1" si="606"/>
        <v>0.64185145527300214</v>
      </c>
      <c r="AH706" s="61">
        <f t="shared" ca="1" si="607"/>
        <v>2.2624828854998791</v>
      </c>
      <c r="AI706" s="62">
        <f t="shared" ca="1" si="628"/>
        <v>0.27813113454561966</v>
      </c>
      <c r="AJ706" s="47">
        <f ca="1">IF(AD706,IF(AI706&lt;$F$10,0,IF(AI706&lt;$F$10+$F$11,0.25,IF(AI706&lt;$F$10+$F$11+AG706,AH706,1)))*IF(AF706&gt;0,AF706,IF(AF705&gt;0,AF705,IF(AF704&gt;0,AF704,IF(AF703&gt;0,AF703,IF(AF702&gt;0,AF702,IF(AF701&gt;0,AF701,IF(AF700&gt;0,AF700,IF(AF699&gt;0,AF699,IF(AF698&gt;0,AF698,IF(AF696&gt;0,AF696,IF(AF695&gt;0,AF695,IF(AF694&gt;0,AF694,0)))))))))))),0)*(1-$S706)*'模拟-单技能数据'!$I$20</f>
        <v>0</v>
      </c>
      <c r="AK706" s="115" t="b">
        <f t="shared" ca="1" si="608"/>
        <v>0</v>
      </c>
      <c r="AL706" s="115" t="b">
        <f t="shared" ca="1" si="609"/>
        <v>0</v>
      </c>
      <c r="AM706" s="115">
        <f t="shared" ca="1" si="610"/>
        <v>4</v>
      </c>
      <c r="AN706" s="47">
        <f ca="1">IF(AK706,('模拟-单技能数据'!$D$21+G706*'模拟-单技能数据'!$F$21)*(1+J706)*(1+'模拟-单技能数据'!$J$21)*(1+U706),0)</f>
        <v>0</v>
      </c>
      <c r="AO706" s="61">
        <f ca="1">IF(AN706&gt;0,M706-'模拟-单技能数据'!$K$10,AO705)</f>
        <v>0.42185145527300216</v>
      </c>
      <c r="AP706" s="61">
        <f ca="1">IF(AN706&gt;0,I706-'模拟-单技能数据'!$L$10,AP705)</f>
        <v>2.162482885499879</v>
      </c>
      <c r="AQ706" s="63">
        <f t="shared" ca="1" si="629"/>
        <v>0.784892355458225</v>
      </c>
      <c r="AR706" s="64">
        <f ca="1">IF(AL706,IF(AQ706&lt;$F$10,0,IF(AQ706&lt;$F$10+$F$11,0.25,IF(AQ706&lt;$F$10+$F$11+AO706,AP706,1)))*IF(AN706&gt;0,AN706,IF(AN705&gt;0,AN705,IF(AN704&gt;0,AN704,IF(AN703&gt;0,AN703,IF(AN702&gt;0,AN702,IF(AN701&gt;0,AN701,IF(AN700&gt;0,AN700,IF(AN699&gt;0,AN699,IF(AN698&gt;0,AN698,IF(AN696&gt;0,AN696,IF(AN695&gt;0,AN695,IF(AN694&gt;0,AN694,0)))))))))))),0)*(1-$S706)*'模拟-单技能数据'!$I$21</f>
        <v>0</v>
      </c>
      <c r="AS706" s="61">
        <f ca="1">IF(OR(C706="净世破魔击·日",C706="净世破魔击·月"),M706-'模拟-单技能数据'!$K$10,0)</f>
        <v>0</v>
      </c>
      <c r="AT706" s="61">
        <f ca="1">IF(OR(C706="净世破魔击·日",C706="净世破魔击·月"),I706-'模拟-单技能数据'!$L$10,0)</f>
        <v>0</v>
      </c>
      <c r="AU706" s="62">
        <f t="shared" ca="1" si="630"/>
        <v>0.38912840389159842</v>
      </c>
      <c r="AV706" s="64">
        <f ca="1">IF(AS706&gt;0,('模拟-单技能数据'!$D$22+G706*'模拟-单技能数据'!$F$22)*(1+J706)*(1-S706)*IF(AU706&lt;$F$10,0,IF(AU706&lt;$F$10+$F$11,0.25,IF(AU706&lt;$F$10+$F$11+AS706,AT706,1)))*(1+U706),0)*'模拟-单技能数据'!$I$22</f>
        <v>0</v>
      </c>
      <c r="AW706" s="108">
        <f t="shared" ca="1" si="631"/>
        <v>0</v>
      </c>
      <c r="AX706" s="108" t="b">
        <f ca="1">AND(模拟模式!$P$10="有",AW705=0,RAND()&lt;IF(C706="净世破魔击·月",0.1*8/3,IF(C706="净世破魔击·日",0.1*4/3,0.1*2/3)))</f>
        <v>0</v>
      </c>
      <c r="AY706" s="47">
        <f ca="1">IF(AX706,(18+G706*0.722)*(1+J706)*(1-S706)*(1+$I$4)*IF(P706="会",'模拟-全程加成'!$J$3+'模拟-全程加成'!$J$4+'模拟-全程加成'!$J$5+('模拟-全程加成'!$I$4+'模拟-全程加成'!$I$5)/系数!$B$4+BG706*10%,IF(P706="命",1,IF(P706="识",0.25,0))),0)</f>
        <v>0</v>
      </c>
      <c r="AZ706" s="108">
        <f t="shared" si="632"/>
        <v>2.4725000000000064</v>
      </c>
      <c r="BA706" s="108" t="b">
        <f>AND(模拟模式!$Q$10="有",AZ705=0)</f>
        <v>0</v>
      </c>
      <c r="BB706" s="140">
        <f>IF(BA706,(0+G706*0.287)*(1+J706)*(1-S706)*(1+$I$4)*IF(P706="会",'模拟-全程加成'!$J$3+'模拟-全程加成'!$J$4+'模拟-全程加成'!$J$5+('模拟-全程加成'!$I$4+'模拟-全程加成'!$I$5)/系数!$B$4+BG706*10%,IF(P706="命",1,IF(P706="识",0.25,0))),0)</f>
        <v>0</v>
      </c>
      <c r="BC706" s="115" t="b">
        <f ca="1">AND(模拟模式!$R$7="伏明众生",E706=60,F706=20,DA706&lt;5,CZ705&lt;$F$4)</f>
        <v>0</v>
      </c>
      <c r="BD706" s="115">
        <f t="shared" ca="1" si="611"/>
        <v>0</v>
      </c>
      <c r="BE706" s="115" t="b">
        <f t="shared" ca="1" si="612"/>
        <v>0</v>
      </c>
      <c r="BF706" s="47">
        <f ca="1">IF(BC706,4*('模拟-单技能数据'!$D$24+G706*'模拟-单技能数据'!$F$24)*(1+J706)*(1+'模拟-单技能数据'!$J$24)*(1-S706)*(1+$I$3)*(('模拟-全程加成'!$J$3+'模拟-全程加成'!$J$4+'模拟-全程加成'!$J$5+('模拟-全程加成'!$I$4+'模拟-全程加成'!$I$5)/系数!$B$4+BG706*10%)*('模拟-全程加成'!$J$3+'模拟-全程加成'!$J$4+'模拟-全程加成'!$J$5+('模拟-全程加成'!$I$4+'模拟-全程加成'!$I$5)/系数!$B$4+BG706*10%)+(1-('模拟-全程加成'!$J$3+'模拟-全程加成'!$J$4+'模拟-全程加成'!$J$5+('模拟-全程加成'!$I$4+'模拟-全程加成'!$I$5)/系数!$B$4+BG706*10%)-$F$10-$F$11)+F692*0.25),0)*'模拟-单技能数据'!$I$24</f>
        <v>0</v>
      </c>
      <c r="BG706" s="115" t="b">
        <f ca="1">OR(AND(OR(C706="烈日斩",C706="银月斩"),模拟模式!$I$7="净身明礼"),AND(C706="净世破魔击·日",模拟模式!$J$7="洞若观火"),AND(C707="净世破魔击·月",模拟模式!$J$7="洞若观火"),AB706=1)</f>
        <v>1</v>
      </c>
      <c r="BH706" s="115" t="b">
        <f t="shared" ca="1" si="633"/>
        <v>0</v>
      </c>
      <c r="BI706" s="115">
        <f t="shared" ca="1" si="613"/>
        <v>0</v>
      </c>
      <c r="BJ706" s="115" t="b">
        <f t="shared" ca="1" si="614"/>
        <v>0</v>
      </c>
      <c r="BK706" s="115" t="b">
        <f ca="1">AND(C706="驱夜断愁",模拟模式!$P$7="天地诛戮")</f>
        <v>1</v>
      </c>
      <c r="BL706" s="57">
        <f t="shared" ca="1" si="615"/>
        <v>20</v>
      </c>
      <c r="BM706" s="115" t="b">
        <f t="shared" ca="1" si="616"/>
        <v>1</v>
      </c>
      <c r="BN706" s="115" t="b">
        <f ca="1">AND(OR(C706="赤日轮1",C706="赤日轮2",C706="赤日轮3",C706="幽月轮1",C706="幽月轮2",C706="幽月轮3"),AB706=1,模拟模式!$L$7="明光恒照")</f>
        <v>0</v>
      </c>
      <c r="BO706" s="117">
        <f t="shared" ca="1" si="617"/>
        <v>28.155000000000001</v>
      </c>
      <c r="BP706" s="115">
        <f t="shared" ca="1" si="634"/>
        <v>6</v>
      </c>
      <c r="BQ706" s="115" t="b">
        <f>模拟模式!$K$10="2600·水"</f>
        <v>0</v>
      </c>
      <c r="BR706" s="117">
        <f t="shared" si="635"/>
        <v>0</v>
      </c>
      <c r="BS706" s="115">
        <f t="shared" si="636"/>
        <v>0</v>
      </c>
      <c r="BT706" s="115">
        <f t="shared" ca="1" si="637"/>
        <v>0</v>
      </c>
      <c r="BU706" s="115" t="b">
        <f ca="1">AND(模拟模式!$K$10="2300·雷",BT705=0,RAND()&lt;IF(C706="净世破魔击·月",5*0.05*2/3,IF(C706="净世破魔击·日",3*0.05*2/3,0.05*2*2/3)))</f>
        <v>0</v>
      </c>
      <c r="BV706" s="115">
        <f t="shared" ca="1" si="638"/>
        <v>0</v>
      </c>
      <c r="BW706" s="115">
        <f t="shared" ca="1" si="639"/>
        <v>111.73499999999925</v>
      </c>
      <c r="BX706" s="164" t="b">
        <f t="shared" ca="1" si="640"/>
        <v>0</v>
      </c>
      <c r="BY706" s="115">
        <f t="shared" ca="1" si="641"/>
        <v>0</v>
      </c>
      <c r="BZ706" s="115">
        <f>IF(OR(模拟模式!$P$16="10人团",模拟模式!$P$16="25人团"),IF(B706/30&gt;CA705,1,0),0)</f>
        <v>0</v>
      </c>
      <c r="CA706" s="115">
        <f t="shared" si="618"/>
        <v>0</v>
      </c>
      <c r="CB706" s="115">
        <f ca="1">IF(BZ706=1,IF(模拟模式!$P$16="10人团",15,0)+IF(模拟模式!$P$16="25人团",IF(RAND()&lt;0.6,15,0)),MAX(0,CB705-$F$4))</f>
        <v>0</v>
      </c>
      <c r="CC706" s="115" t="b">
        <f t="shared" ca="1" si="619"/>
        <v>0</v>
      </c>
      <c r="CD706" s="115">
        <f>IF(模拟模式!$Q$16="1个",IF(B706/40&gt;CE705,1,0),0)</f>
        <v>0</v>
      </c>
      <c r="CE706" s="115">
        <f t="shared" si="620"/>
        <v>0</v>
      </c>
      <c r="CF706" s="115">
        <f>IF(OR(CD706=1,模拟模式!$Q$16="2个"),20,MAX(0,CF705-$F$4))</f>
        <v>0</v>
      </c>
      <c r="CG706" s="115" t="b">
        <f t="shared" si="621"/>
        <v>0</v>
      </c>
      <c r="CH706" s="115">
        <f t="shared" ca="1" si="642"/>
        <v>23.542500000000004</v>
      </c>
      <c r="CI706" s="115" t="b">
        <f t="shared" ca="1" si="643"/>
        <v>0</v>
      </c>
      <c r="CJ706" s="119">
        <f t="shared" ca="1" si="644"/>
        <v>0.05</v>
      </c>
      <c r="CK706" s="115">
        <f t="shared" ca="1" si="645"/>
        <v>1.5424999999999991</v>
      </c>
      <c r="CL706" s="115" t="b">
        <f ca="1">AND(模拟模式!$S$7="驱夷逐法",OR(AND(C706="净世破魔击·月",E705&gt;59),AND(C706="净世破魔击·日",F705&gt;59)))</f>
        <v>0</v>
      </c>
      <c r="CM706" s="115" t="b">
        <f ca="1">OR(CL706,AND(C706="净世破魔击·日",CL705,RAND()&lt;模拟模式!$U$23))</f>
        <v>0</v>
      </c>
      <c r="CN706" s="115" t="b">
        <f ca="1">IF(模拟模式!$M$7="辉耀红尘",AND(C706="净世破魔击·月",CL706,CV706=0,E705&lt;80),AND(C706="净世破魔击·月",CL706,E705&lt;100))</f>
        <v>0</v>
      </c>
      <c r="CO706" s="115" t="b">
        <f t="shared" ca="1" si="622"/>
        <v>0</v>
      </c>
      <c r="CP706" s="115" t="b">
        <f ca="1">AND(模拟模式!$O$7="用晦而明",OR(C706="净世破魔击·日",C706="净世破魔击·月",C706="驱夜断愁"),AB706)</f>
        <v>1</v>
      </c>
      <c r="CQ706" s="115" t="b">
        <f ca="1">OR(CP706,AND(CP705,RAND()&lt;模拟模式!$U$23))</f>
        <v>1</v>
      </c>
      <c r="CR706" s="115" t="b">
        <f ca="1">AND(模拟模式!$S$7="日月齐光",OR(C706="幽月轮1",C706="幽月轮2",C706="幽月轮3",CR705),NOT(OR(C706="赤日轮1",C706="赤日轮2",C706="赤日轮3")))</f>
        <v>0</v>
      </c>
      <c r="CS706" s="115" t="b">
        <f ca="1">AND(模拟模式!$S$7="日月齐光",OR(C706="赤日轮1",C706="赤日轮2",C706="赤日轮3",CS705),NOT(OR(C706="幽月轮1",C706="幽月轮2",C706="幽月轮3")))</f>
        <v>0</v>
      </c>
      <c r="CT706" s="115">
        <f t="shared" ca="1" si="646"/>
        <v>0</v>
      </c>
      <c r="CU706" s="115" t="b">
        <f ca="1">AND(模拟模式!$K$10="阴阳往极",CT705=0,RAND()&lt;IF(C706="净世破魔击·月",0.0275*7/3,IF(C706="净世破魔击·日",0.0275*3/3,0.0275*2/3)))</f>
        <v>0</v>
      </c>
      <c r="CV706" s="115">
        <f t="shared" ca="1" si="647"/>
        <v>0</v>
      </c>
      <c r="CW706" s="115">
        <f t="shared" ca="1" si="648"/>
        <v>0.46499999999999975</v>
      </c>
      <c r="CX706" s="115">
        <f t="shared" ca="1" si="649"/>
        <v>5.0774999999999997</v>
      </c>
      <c r="CY706" s="115">
        <f ca="1">MAX(IF($C706="驱夜断愁",IF(模拟模式!$R$7="万念俱寂",6,45),CY705-$F$4),0)</f>
        <v>6</v>
      </c>
      <c r="CZ706" s="115">
        <f t="shared" ca="1" si="623"/>
        <v>0</v>
      </c>
      <c r="DA706" s="115">
        <f ca="1">IF(模拟模式!$N$7="日月同辉",IF(DB705=2,0,MIN(6,IF(AND(OR(C706="赤日轮1",C706="赤日轮2",C706="赤日轮3",C706="幽月轮1",C706="幽月轮2",C706="幽月轮3"),AB706=1),DA705+1,DA705))),0)</f>
        <v>4</v>
      </c>
      <c r="DB706" s="115">
        <f t="shared" ca="1" si="624"/>
        <v>0</v>
      </c>
      <c r="DC706" s="115"/>
      <c r="DD706" s="115"/>
      <c r="DE706" s="115"/>
      <c r="DF706" s="115"/>
      <c r="DG706" s="115"/>
      <c r="DH706" s="115"/>
      <c r="DI706" s="115"/>
      <c r="DJ706" s="115"/>
      <c r="DK706" s="115"/>
      <c r="DL706" s="115"/>
      <c r="DM706" s="115"/>
    </row>
    <row r="707" spans="2:117" x14ac:dyDescent="0.2">
      <c r="B707" s="117">
        <f t="shared" si="625"/>
        <v>627.30000000000723</v>
      </c>
      <c r="C707" s="167" t="str">
        <f t="shared" ca="1" si="594"/>
        <v>烈日斩</v>
      </c>
      <c r="D707" s="115">
        <f ca="1">IF(C707="赤日轮1",1,IF(C707="赤日轮2",2,IF(C707="赤日轮3",3,IF(C707="幽月轮1",4,IF(C707="幽月轮2",5,IF(C707="幽月轮3",6,IF(C707="烈日斩",7,IF(C707="银月斩",8,IF(C707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707="净世破魔击·月",17,IF(C707="驱夜断愁",18,0)))))))))))</f>
        <v>7</v>
      </c>
      <c r="E707" s="115">
        <f ca="1">IF(AND(CU707,OR(C707="幽月轮1",C707="幽月轮2",C707="幽月轮3",C707="银月斩",C707="驱夜断愁",C707="净世破魔击·月")),100,MIN(IF(OR(CN707,BE707),0,IF(OR($C707="赤日轮1",$C707="赤日轮2",$C707="赤日轮3"),E706+20+IF(模拟模式!$I$7="日月凌天",4,0)+IF(CR706,20,0),IF($C707="烈日斩",E706+40,IF($C707="驱夜断愁",IF(模拟模式!$R$7="万念俱寂",E706+20,E706+60),IF($C707="净世破魔击·月",IF(OR(DB706&gt;0,CV706&gt;0),100,IF(模拟模式!$M$7="辉耀红尘",E706+20,E706)),IF($C707="净世破魔击·日",E706-100,E706)))))),100))</f>
        <v>80</v>
      </c>
      <c r="F707" s="115">
        <f ca="1">IF(AND(CU707,OR(C707="赤日轮1",C707="赤日轮2",C707="赤日轮3",C707="烈日斩",C707="净世破魔击·日")),100,MIN(IF(CO707,0,IF(OR($C707="幽月轮1",$C707="幽月轮2",$C707="幽月轮3"),F706+20+IF(模拟模式!$I$7="日月凌天",4,0)+IF(CS706,20,0),IF($C707="银月斩",F706+40+IF(模拟模式!$X$12=1,5,0),IF($C707="驱夜断愁",IF(模拟模式!$R$7="万念俱寂",F706+20,F706+60),IF($C707="净世破魔击·月",IF(模拟模式!$M$7="辉耀红尘",F706-80,F706-100),IF(AND(C707="净世破魔击·日",OR(DB706&gt;0,CV706&gt;0)),100,F706)))))),100))</f>
        <v>85</v>
      </c>
      <c r="G707" s="117">
        <f ca="1">('模拟-全程加成'!$E$3+'模拟-全程加成'!$E$4+'模拟-全程加成'!$E$5+('模拟-全程加成'!$C$6-'模拟-全程加成'!$C$3)*系数!$B$9+BS707*23)*(1+'模拟-全程加成'!$F$4+'模拟-全程加成'!$F$5+BJ707*10%+BM707*20%+BP707*4%+CG707*30%)+$F$7*系数!$B$12</f>
        <v>20583.127400000001</v>
      </c>
      <c r="H707" s="45">
        <f ca="1">'模拟-全程加成'!$H$3+'模拟-全程加成'!$H$4+'模拟-全程加成'!$H$5+('模拟-全程加成'!$G$4+'模拟-全程加成'!$G$5+('模拟-全程加成'!$C$6-'模拟-全程加成'!$C$3)*系数!$B$13)/系数!$B$3+LOOKUP(D707,'模拟-单技能数据'!$A$2:$A$19,'模拟-单技能数据'!$K$2:$K$19)+BG707*10%+IF(BV707&gt;0,378,0)</f>
        <v>0.56185145527300218</v>
      </c>
      <c r="I707" s="45">
        <f ca="1">'模拟-全程加成'!$J$3+'模拟-全程加成'!$J$4+'模拟-全程加成'!$J$5+('模拟-全程加成'!$I$4+'模拟-全程加成'!$I$5)/系数!$B$4+LOOKUP(D707,'模拟-单技能数据'!$A$2:$A$19,'模拟-单技能数据'!$L$2:$L$19)+BG707*10%</f>
        <v>2.2624828854998791</v>
      </c>
      <c r="J707" s="45">
        <f ca="1">(('模拟-全程加成'!$K$3+'模拟-全程加成'!$K$4+'模拟-全程加成'!$K$5+('模拟-全程加成'!$C$6-'模拟-全程加成'!$C$3)*系数!$B$10+IF(BV707&gt;0,882,0)+IF(BY707&gt;0,1831,0))*(1+'模拟-全程加成'!$L$4+'模拟-全程加成'!$L$5+CC707*20%))/系数!$B$5</f>
        <v>0.69723220422048726</v>
      </c>
      <c r="K707" s="119">
        <f ca="1">LOOKUP(D707,'模拟-单技能数据'!$A$2:$A$19,'模拟-单技能数据'!$J$2:$J$19)+IF(CM707,60%,0)+IF(DB706-DB707&gt;0,30%,0)+IF(OR(AND(OR(C707="赤日轮1",C707="赤日轮2",C707="赤日轮3"),CR707),AND(OR(C707="幽月轮1",C707="幽月轮2",C707="幽月轮3"),CS707)),35%,0)+CJ707</f>
        <v>0.28999999999999998</v>
      </c>
      <c r="L707" s="119">
        <f ca="1">IF(AND(C707="烈日斩",模拟模式!$X$11=1),10%,0)+IF(AND(C707="驱夜断愁",AB707=1),30%,0)</f>
        <v>0.1</v>
      </c>
      <c r="M707" s="45">
        <f t="shared" ca="1" si="595"/>
        <v>0.56185145527300218</v>
      </c>
      <c r="N707" s="45">
        <f t="shared" ca="1" si="596"/>
        <v>0.38424854472699788</v>
      </c>
      <c r="O707" s="46">
        <f t="shared" ca="1" si="626"/>
        <v>0.82726321830073102</v>
      </c>
      <c r="P707" s="46" t="str">
        <f t="shared" ca="1" si="597"/>
        <v>命</v>
      </c>
      <c r="Q707" s="45">
        <f t="shared" ca="1" si="598"/>
        <v>1</v>
      </c>
      <c r="R707" s="117">
        <f ca="1">模拟模式!$E$20*(1-IF(模拟模式!$J$19="有",0.15,0))*(1-IF(模拟模式!$K$19="有",0.3,0)-IF(CQ707,0.5,0))</f>
        <v>843.02999999999975</v>
      </c>
      <c r="S707" s="45">
        <f ca="1">R707/(R707+(185*模拟模式!$E$22-16800)*4.08224)</f>
        <v>8.389626085980037E-2</v>
      </c>
      <c r="T707" s="45" t="str">
        <f ca="1">LOOKUP(D707,'模拟-单技能数据'!$A$2:$A$19,'模拟-单技能数据'!$H$2:$H$19)</f>
        <v>阳</v>
      </c>
      <c r="U707" s="119">
        <f t="shared" ca="1" si="599"/>
        <v>0.2</v>
      </c>
      <c r="V707" s="47">
        <f ca="1">(1+L707)*(LOOKUP(D707,'模拟-单技能数据'!$A$2:$A$19,'模拟-单技能数据'!$D$2:$D$19)+G707*LOOKUP(D707,'模拟-单技能数据'!$A$2:$A$19,'模拟-单技能数据'!$F$2:$F$19))*(1+J707)*(1+K707)*(1-S707)*(1+U707)*Q707*LOOKUP(D707,'模拟-单技能数据'!$A$2:$A$19,'模拟-单技能数据'!$I$2:$I$20)</f>
        <v>48676.453425922853</v>
      </c>
      <c r="W707" s="47">
        <f ca="1">LOOKUP(D707,'模拟-单技能数据'!$A$2:$A$19,'模拟-单技能数据'!$G$2:$G$19)*$I$10</f>
        <v>361.51064354704795</v>
      </c>
      <c r="X707" s="47">
        <f t="shared" ca="1" si="627"/>
        <v>28117.947199745129</v>
      </c>
      <c r="Y707" s="47">
        <f t="shared" ca="1" si="600"/>
        <v>77155.911269215037</v>
      </c>
      <c r="Z707" s="49">
        <f t="shared" ca="1" si="601"/>
        <v>70890952.11863713</v>
      </c>
      <c r="AA707" s="97">
        <f t="shared" ca="1" si="602"/>
        <v>113009.6478855991</v>
      </c>
      <c r="AB707" s="115">
        <f ca="1">IF(OR(C707="赤日轮1",C707="赤日轮2",C707="赤日轮3"),IF(RAND()&lt;模拟模式!$Y$17,1,0),IF(OR(C707="幽月轮1",C707="幽月轮2",C707="幽月轮3"),IF(RAND()&lt;模拟模式!$Y$18,1,0),IF(C707="烈日斩",IF(RAND()&lt;模拟模式!$Y$19,1,0),IF(C707="银月斩",IF(RAND()&lt;模拟模式!$Y$20,1,0),IF(C707="驱夜断愁",IF(RAND()&lt;模拟模式!$Y$21,1,0),IF(C707="净世破魔击·日",IF(RAND()&lt;模拟模式!$Y$22,1,0),IF(C707="净世破魔击·月",IF(RAND()&lt;模拟模式!$Y$23,1,0),0)))))))</f>
        <v>1</v>
      </c>
      <c r="AC707" s="115" t="b">
        <f t="shared" ca="1" si="603"/>
        <v>0</v>
      </c>
      <c r="AD707" s="115" t="b">
        <f t="shared" ca="1" si="604"/>
        <v>1</v>
      </c>
      <c r="AE707" s="115">
        <f t="shared" ca="1" si="605"/>
        <v>4</v>
      </c>
      <c r="AF707" s="47">
        <f ca="1">IF(AC707,('模拟-单技能数据'!$D$20+G707*'模拟-单技能数据'!$F$20)*(1+J707)*(1+'模拟-单技能数据'!$J$20)*(1+U707),0)</f>
        <v>0</v>
      </c>
      <c r="AG707" s="61">
        <f t="shared" ca="1" si="606"/>
        <v>0.64185145527300214</v>
      </c>
      <c r="AH707" s="61">
        <f t="shared" ca="1" si="607"/>
        <v>2.2624828854998791</v>
      </c>
      <c r="AI707" s="62">
        <f t="shared" ca="1" si="628"/>
        <v>0.89592811379468518</v>
      </c>
      <c r="AJ707" s="47">
        <f ca="1">IF(AD707,IF(AI707&lt;$F$10,0,IF(AI707&lt;$F$10+$F$11,0.25,IF(AI707&lt;$F$10+$F$11+AG707,AH707,1)))*IF(AF707&gt;0,AF707,IF(AF706&gt;0,AF706,IF(AF705&gt;0,AF705,IF(AF704&gt;0,AF704,IF(AF703&gt;0,AF703,IF(AF702&gt;0,AF702,IF(AF701&gt;0,AF701,IF(AF700&gt;0,AF700,IF(AF699&gt;0,AF699,IF(AF697&gt;0,AF697,IF(AF696&gt;0,AF696,IF(AF695&gt;0,AF695,0)))))))))))),0)*(1-$S707)*'模拟-单技能数据'!$I$20</f>
        <v>4074.6980221198578</v>
      </c>
      <c r="AK707" s="115" t="b">
        <f t="shared" ca="1" si="608"/>
        <v>0</v>
      </c>
      <c r="AL707" s="115" t="b">
        <f t="shared" ca="1" si="609"/>
        <v>1</v>
      </c>
      <c r="AM707" s="115">
        <f t="shared" ca="1" si="610"/>
        <v>3</v>
      </c>
      <c r="AN707" s="47">
        <f ca="1">IF(AK707,('模拟-单技能数据'!$D$21+G707*'模拟-单技能数据'!$F$21)*(1+J707)*(1+'模拟-单技能数据'!$J$21)*(1+U707),0)</f>
        <v>0</v>
      </c>
      <c r="AO707" s="61">
        <f ca="1">IF(AN707&gt;0,M707-'模拟-单技能数据'!$K$10,AO706)</f>
        <v>0.42185145527300216</v>
      </c>
      <c r="AP707" s="61">
        <f ca="1">IF(AN707&gt;0,I707-'模拟-单技能数据'!$L$10,AP706)</f>
        <v>2.162482885499879</v>
      </c>
      <c r="AQ707" s="63">
        <f t="shared" ca="1" si="629"/>
        <v>7.1644917081589821E-2</v>
      </c>
      <c r="AR707" s="64">
        <f ca="1">IF(AL707,IF(AQ707&lt;$F$10,0,IF(AQ707&lt;$F$10+$F$11,0.25,IF(AQ707&lt;$F$10+$F$11+AO707,AP707,1)))*IF(AN707&gt;0,AN707,IF(AN706&gt;0,AN706,IF(AN705&gt;0,AN705,IF(AN704&gt;0,AN704,IF(AN703&gt;0,AN703,IF(AN702&gt;0,AN702,IF(AN701&gt;0,AN701,IF(AN700&gt;0,AN700,IF(AN699&gt;0,AN699,IF(AN697&gt;0,AN697,IF(AN696&gt;0,AN696,IF(AN695&gt;0,AN695,0)))))))))))),0)*(1-$S707)*'模拟-单技能数据'!$I$21</f>
        <v>24043.249177625272</v>
      </c>
      <c r="AS707" s="61">
        <f ca="1">IF(OR(C707="净世破魔击·日",C707="净世破魔击·月"),M707-'模拟-单技能数据'!$K$10,0)</f>
        <v>0</v>
      </c>
      <c r="AT707" s="61">
        <f ca="1">IF(OR(C707="净世破魔击·日",C707="净世破魔击·月"),I707-'模拟-单技能数据'!$L$10,0)</f>
        <v>0</v>
      </c>
      <c r="AU707" s="62">
        <f t="shared" ca="1" si="630"/>
        <v>9.8914191251718964E-2</v>
      </c>
      <c r="AV707" s="64">
        <f ca="1">IF(AS707&gt;0,('模拟-单技能数据'!$D$22+G707*'模拟-单技能数据'!$F$22)*(1+J707)*(1-S707)*IF(AU707&lt;$F$10,0,IF(AU707&lt;$F$10+$F$11,0.25,IF(AU707&lt;$F$10+$F$11+AS707,AT707,1)))*(1+U707),0)*'模拟-单技能数据'!$I$22</f>
        <v>0</v>
      </c>
      <c r="AW707" s="108">
        <f t="shared" ca="1" si="631"/>
        <v>0</v>
      </c>
      <c r="AX707" s="108" t="b">
        <f ca="1">AND(模拟模式!$P$10="有",AW706=0,RAND()&lt;IF(C707="净世破魔击·月",0.1*8/3,IF(C707="净世破魔击·日",0.1*4/3,0.1*2/3)))</f>
        <v>0</v>
      </c>
      <c r="AY707" s="47">
        <f ca="1">IF(AX707,(18+G707*0.722)*(1+J707)*(1-S707)*(1+$I$4)*IF(P707="会",'模拟-全程加成'!$J$3+'模拟-全程加成'!$J$4+'模拟-全程加成'!$J$5+('模拟-全程加成'!$I$4+'模拟-全程加成'!$I$5)/系数!$B$4+BG707*10%,IF(P707="命",1,IF(P707="识",0.25,0))),0)</f>
        <v>0</v>
      </c>
      <c r="AZ707" s="108">
        <f t="shared" si="632"/>
        <v>1.5500000000000065</v>
      </c>
      <c r="BA707" s="108" t="b">
        <f>AND(模拟模式!$Q$10="有",AZ706=0)</f>
        <v>0</v>
      </c>
      <c r="BB707" s="140">
        <f>IF(BA707,(0+G707*0.287)*(1+J707)*(1-S707)*(1+$I$4)*IF(P707="会",'模拟-全程加成'!$J$3+'模拟-全程加成'!$J$4+'模拟-全程加成'!$J$5+('模拟-全程加成'!$I$4+'模拟-全程加成'!$I$5)/系数!$B$4+BG707*10%,IF(P707="命",1,IF(P707="识",0.25,0))),0)</f>
        <v>0</v>
      </c>
      <c r="BC707" s="115" t="b">
        <f ca="1">AND(模拟模式!$R$7="伏明众生",E707=60,F707=20,DA707&lt;5,CZ706&lt;$F$4)</f>
        <v>0</v>
      </c>
      <c r="BD707" s="115">
        <f t="shared" ca="1" si="611"/>
        <v>0</v>
      </c>
      <c r="BE707" s="115" t="b">
        <f t="shared" ca="1" si="612"/>
        <v>0</v>
      </c>
      <c r="BF707" s="47">
        <f ca="1">IF(BC707,4*('模拟-单技能数据'!$D$24+G707*'模拟-单技能数据'!$F$24)*(1+J707)*(1+'模拟-单技能数据'!$J$24)*(1-S707)*(1+$I$3)*(('模拟-全程加成'!$J$3+'模拟-全程加成'!$J$4+'模拟-全程加成'!$J$5+('模拟-全程加成'!$I$4+'模拟-全程加成'!$I$5)/系数!$B$4+BG707*10%)*('模拟-全程加成'!$J$3+'模拟-全程加成'!$J$4+'模拟-全程加成'!$J$5+('模拟-全程加成'!$I$4+'模拟-全程加成'!$I$5)/系数!$B$4+BG707*10%)+(1-('模拟-全程加成'!$J$3+'模拟-全程加成'!$J$4+'模拟-全程加成'!$J$5+('模拟-全程加成'!$I$4+'模拟-全程加成'!$I$5)/系数!$B$4+BG707*10%)-$F$10-$F$11)+F693*0.25),0)*'模拟-单技能数据'!$I$24</f>
        <v>0</v>
      </c>
      <c r="BG707" s="115" t="b">
        <f ca="1">OR(AND(OR(C707="烈日斩",C707="银月斩"),模拟模式!$I$7="净身明礼"),AND(C707="净世破魔击·日",模拟模式!$J$7="洞若观火"),AND(C708="净世破魔击·月",模拟模式!$J$7="洞若观火"),AB707=1)</f>
        <v>1</v>
      </c>
      <c r="BH707" s="115" t="b">
        <f t="shared" ca="1" si="633"/>
        <v>0</v>
      </c>
      <c r="BI707" s="115">
        <f t="shared" ca="1" si="613"/>
        <v>0</v>
      </c>
      <c r="BJ707" s="115" t="b">
        <f t="shared" ca="1" si="614"/>
        <v>0</v>
      </c>
      <c r="BK707" s="115" t="b">
        <f ca="1">AND(C707="驱夜断愁",模拟模式!$P$7="天地诛戮")</f>
        <v>0</v>
      </c>
      <c r="BL707" s="57">
        <f t="shared" ca="1" si="615"/>
        <v>19.077500000000001</v>
      </c>
      <c r="BM707" s="115" t="b">
        <f t="shared" ca="1" si="616"/>
        <v>1</v>
      </c>
      <c r="BN707" s="115" t="b">
        <f ca="1">AND(OR(C707="赤日轮1",C707="赤日轮2",C707="赤日轮3",C707="幽月轮1",C707="幽月轮2",C707="幽月轮3"),AB707=1,模拟模式!$L$7="明光恒照")</f>
        <v>0</v>
      </c>
      <c r="BO707" s="117">
        <f t="shared" ca="1" si="617"/>
        <v>27.232500000000002</v>
      </c>
      <c r="BP707" s="115">
        <f t="shared" ca="1" si="634"/>
        <v>6</v>
      </c>
      <c r="BQ707" s="115" t="b">
        <f>模拟模式!$K$10="2600·水"</f>
        <v>0</v>
      </c>
      <c r="BR707" s="117">
        <f t="shared" si="635"/>
        <v>0</v>
      </c>
      <c r="BS707" s="115">
        <f t="shared" si="636"/>
        <v>0</v>
      </c>
      <c r="BT707" s="115">
        <f t="shared" ca="1" si="637"/>
        <v>0</v>
      </c>
      <c r="BU707" s="115" t="b">
        <f ca="1">AND(模拟模式!$K$10="2300·雷",BT706=0,RAND()&lt;IF(C707="净世破魔击·月",5*0.05*2/3,IF(C707="净世破魔击·日",3*0.05*2/3,0.05*2*2/3)))</f>
        <v>0</v>
      </c>
      <c r="BV707" s="115">
        <f t="shared" ca="1" si="638"/>
        <v>0</v>
      </c>
      <c r="BW707" s="115">
        <f t="shared" ca="1" si="639"/>
        <v>110.81249999999925</v>
      </c>
      <c r="BX707" s="164" t="b">
        <f t="shared" ca="1" si="640"/>
        <v>0</v>
      </c>
      <c r="BY707" s="115">
        <f t="shared" ca="1" si="641"/>
        <v>0</v>
      </c>
      <c r="BZ707" s="115">
        <f>IF(OR(模拟模式!$P$16="10人团",模拟模式!$P$16="25人团"),IF(B707/30&gt;CA706,1,0),0)</f>
        <v>0</v>
      </c>
      <c r="CA707" s="115">
        <f t="shared" si="618"/>
        <v>0</v>
      </c>
      <c r="CB707" s="115">
        <f ca="1">IF(BZ707=1,IF(模拟模式!$P$16="10人团",15,0)+IF(模拟模式!$P$16="25人团",IF(RAND()&lt;0.6,15,0)),MAX(0,CB706-$F$4))</f>
        <v>0</v>
      </c>
      <c r="CC707" s="115" t="b">
        <f t="shared" ca="1" si="619"/>
        <v>0</v>
      </c>
      <c r="CD707" s="115">
        <f>IF(模拟模式!$Q$16="1个",IF(B707/40&gt;CE706,1,0),0)</f>
        <v>0</v>
      </c>
      <c r="CE707" s="115">
        <f t="shared" si="620"/>
        <v>0</v>
      </c>
      <c r="CF707" s="115">
        <f>IF(OR(CD707=1,模拟模式!$Q$16="2个"),20,MAX(0,CF706-$F$4))</f>
        <v>0</v>
      </c>
      <c r="CG707" s="115" t="b">
        <f t="shared" si="621"/>
        <v>0</v>
      </c>
      <c r="CH707" s="115">
        <f t="shared" ca="1" si="642"/>
        <v>22.620000000000005</v>
      </c>
      <c r="CI707" s="115" t="b">
        <f t="shared" ca="1" si="643"/>
        <v>0</v>
      </c>
      <c r="CJ707" s="119">
        <f t="shared" ca="1" si="644"/>
        <v>0.05</v>
      </c>
      <c r="CK707" s="115">
        <f t="shared" ca="1" si="645"/>
        <v>0.61999999999999911</v>
      </c>
      <c r="CL707" s="115" t="b">
        <f ca="1">AND(模拟模式!$S$7="驱夷逐法",OR(AND(C707="净世破魔击·月",E706&gt;59),AND(C707="净世破魔击·日",F706&gt;59)))</f>
        <v>0</v>
      </c>
      <c r="CM707" s="115" t="b">
        <f ca="1">OR(CL707,AND(C707="净世破魔击·日",CL706,RAND()&lt;模拟模式!$U$23))</f>
        <v>0</v>
      </c>
      <c r="CN707" s="115" t="b">
        <f ca="1">IF(模拟模式!$M$7="辉耀红尘",AND(C707="净世破魔击·月",CL707,CV707=0,E706&lt;80),AND(C707="净世破魔击·月",CL707,E706&lt;100))</f>
        <v>0</v>
      </c>
      <c r="CO707" s="115" t="b">
        <f t="shared" ca="1" si="622"/>
        <v>0</v>
      </c>
      <c r="CP707" s="115" t="b">
        <f ca="1">AND(模拟模式!$O$7="用晦而明",OR(C707="净世破魔击·日",C707="净世破魔击·月",C707="驱夜断愁"),AB707)</f>
        <v>0</v>
      </c>
      <c r="CQ707" s="115" t="b">
        <f ca="1">OR(CP707,AND(CP706,RAND()&lt;模拟模式!$U$23))</f>
        <v>1</v>
      </c>
      <c r="CR707" s="115" t="b">
        <f ca="1">AND(模拟模式!$S$7="日月齐光",OR(C707="幽月轮1",C707="幽月轮2",C707="幽月轮3",CR706),NOT(OR(C707="赤日轮1",C707="赤日轮2",C707="赤日轮3")))</f>
        <v>0</v>
      </c>
      <c r="CS707" s="115" t="b">
        <f ca="1">AND(模拟模式!$S$7="日月齐光",OR(C707="赤日轮1",C707="赤日轮2",C707="赤日轮3",CS706),NOT(OR(C707="幽月轮1",C707="幽月轮2",C707="幽月轮3")))</f>
        <v>0</v>
      </c>
      <c r="CT707" s="115">
        <f t="shared" ca="1" si="646"/>
        <v>0</v>
      </c>
      <c r="CU707" s="115" t="b">
        <f ca="1">AND(模拟模式!$K$10="阴阳往极",CT706=0,RAND()&lt;IF(C707="净世破魔击·月",0.0275*7/3,IF(C707="净世破魔击·日",0.0275*3/3,0.0275*2/3)))</f>
        <v>0</v>
      </c>
      <c r="CV707" s="115">
        <f t="shared" ca="1" si="647"/>
        <v>0</v>
      </c>
      <c r="CW707" s="115">
        <f t="shared" ca="1" si="648"/>
        <v>6</v>
      </c>
      <c r="CX707" s="115">
        <f t="shared" ca="1" si="649"/>
        <v>4.1549999999999994</v>
      </c>
      <c r="CY707" s="115">
        <f ca="1">MAX(IF($C707="驱夜断愁",IF(模拟模式!$R$7="万念俱寂",6,45),CY706-$F$4),0)</f>
        <v>5.0774999999999997</v>
      </c>
      <c r="CZ707" s="115">
        <f t="shared" ca="1" si="623"/>
        <v>0</v>
      </c>
      <c r="DA707" s="115">
        <f ca="1">IF(模拟模式!$N$7="日月同辉",IF(DB706=2,0,MIN(6,IF(AND(OR(C707="赤日轮1",C707="赤日轮2",C707="赤日轮3",C707="幽月轮1",C707="幽月轮2",C707="幽月轮3"),AB707=1),DA706+1,DA706))),0)</f>
        <v>4</v>
      </c>
      <c r="DB707" s="115">
        <f t="shared" ca="1" si="624"/>
        <v>0</v>
      </c>
      <c r="DC707" s="115"/>
      <c r="DD707" s="115"/>
      <c r="DE707" s="115"/>
      <c r="DF707" s="115"/>
      <c r="DG707" s="115"/>
      <c r="DH707" s="115"/>
      <c r="DI707" s="115"/>
      <c r="DJ707" s="115"/>
      <c r="DK707" s="115"/>
      <c r="DL707" s="115"/>
      <c r="DM707" s="115"/>
    </row>
    <row r="708" spans="2:117" x14ac:dyDescent="0.2">
      <c r="B708" s="117">
        <f t="shared" si="625"/>
        <v>628.22250000000724</v>
      </c>
      <c r="C708" s="167" t="str">
        <f t="shared" ca="1" si="594"/>
        <v>幽月轮1</v>
      </c>
      <c r="D708" s="115">
        <f ca="1">IF(C708="赤日轮1",1,IF(C708="赤日轮2",2,IF(C708="赤日轮3",3,IF(C708="幽月轮1",4,IF(C708="幽月轮2",5,IF(C708="幽月轮3",6,IF(C708="烈日斩",7,IF(C708="银月斩",8,IF(C708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708="净世破魔击·月",17,IF(C708="驱夜断愁",18,0)))))))))))</f>
        <v>4</v>
      </c>
      <c r="E708" s="115">
        <f ca="1">IF(AND(CU708,OR(C708="幽月轮1",C708="幽月轮2",C708="幽月轮3",C708="银月斩",C708="驱夜断愁",C708="净世破魔击·月")),100,MIN(IF(OR(CN708,BE708),0,IF(OR($C708="赤日轮1",$C708="赤日轮2",$C708="赤日轮3"),E707+20+IF(模拟模式!$I$7="日月凌天",4,0)+IF(CR707,20,0),IF($C708="烈日斩",E707+40,IF($C708="驱夜断愁",IF(模拟模式!$R$7="万念俱寂",E707+20,E707+60),IF($C708="净世破魔击·月",IF(OR(DB707&gt;0,CV707&gt;0),100,IF(模拟模式!$M$7="辉耀红尘",E707+20,E707)),IF($C708="净世破魔击·日",E707-100,E707)))))),100))</f>
        <v>80</v>
      </c>
      <c r="F708" s="115">
        <f ca="1">IF(AND(CU708,OR(C708="赤日轮1",C708="赤日轮2",C708="赤日轮3",C708="烈日斩",C708="净世破魔击·日")),100,MIN(IF(CO708,0,IF(OR($C708="幽月轮1",$C708="幽月轮2",$C708="幽月轮3"),F707+20+IF(模拟模式!$I$7="日月凌天",4,0)+IF(CS707,20,0),IF($C708="银月斩",F707+40+IF(模拟模式!$X$12=1,5,0),IF($C708="驱夜断愁",IF(模拟模式!$R$7="万念俱寂",F707+20,F707+60),IF($C708="净世破魔击·月",IF(模拟模式!$M$7="辉耀红尘",F707-80,F707-100),IF(AND(C708="净世破魔击·日",OR(DB707&gt;0,CV707&gt;0)),100,F707)))))),100))</f>
        <v>100</v>
      </c>
      <c r="G708" s="117">
        <f ca="1">('模拟-全程加成'!$E$3+'模拟-全程加成'!$E$4+'模拟-全程加成'!$E$5+('模拟-全程加成'!$C$6-'模拟-全程加成'!$C$3)*系数!$B$9+BS708*23)*(1+'模拟-全程加成'!$F$4+'模拟-全程加成'!$F$5+BJ708*10%+BM708*20%+BP708*4%+CG708*30%)+$F$7*系数!$B$12</f>
        <v>20583.127400000001</v>
      </c>
      <c r="H708" s="45">
        <f ca="1">'模拟-全程加成'!$H$3+'模拟-全程加成'!$H$4+'模拟-全程加成'!$H$5+('模拟-全程加成'!$G$4+'模拟-全程加成'!$G$5+('模拟-全程加成'!$C$6-'模拟-全程加成'!$C$3)*系数!$B$13)/系数!$B$3+LOOKUP(D708,'模拟-单技能数据'!$A$2:$A$19,'模拟-单技能数据'!$K$2:$K$19)+BG708*10%+IF(BV708&gt;0,378,0)</f>
        <v>0.51185145527300213</v>
      </c>
      <c r="I708" s="45">
        <f ca="1">'模拟-全程加成'!$J$3+'模拟-全程加成'!$J$4+'模拟-全程加成'!$J$5+('模拟-全程加成'!$I$4+'模拟-全程加成'!$I$5)/系数!$B$4+LOOKUP(D708,'模拟-单技能数据'!$A$2:$A$19,'模拟-单技能数据'!$L$2:$L$19)+BG708*10%</f>
        <v>2.162482885499879</v>
      </c>
      <c r="J708" s="45">
        <f ca="1">(('模拟-全程加成'!$K$3+'模拟-全程加成'!$K$4+'模拟-全程加成'!$K$5+('模拟-全程加成'!$C$6-'模拟-全程加成'!$C$3)*系数!$B$10+IF(BV708&gt;0,882,0)+IF(BY708&gt;0,1831,0))*(1+'模拟-全程加成'!$L$4+'模拟-全程加成'!$L$5+CC708*20%))/系数!$B$5</f>
        <v>0.69723220422048726</v>
      </c>
      <c r="K708" s="119">
        <f ca="1">LOOKUP(D708,'模拟-单技能数据'!$A$2:$A$19,'模拟-单技能数据'!$J$2:$J$19)+IF(CM708,60%,0)+IF(DB707-DB708&gt;0,30%,0)+IF(OR(AND(OR(C708="赤日轮1",C708="赤日轮2",C708="赤日轮3"),CR708),AND(OR(C708="幽月轮1",C708="幽月轮2",C708="幽月轮3"),CS708)),35%,0)+CJ708</f>
        <v>7.0000000000000007E-2</v>
      </c>
      <c r="L708" s="119">
        <f ca="1">IF(AND(C708="烈日斩",模拟模式!$X$11=1),10%,0)+IF(AND(C708="驱夜断愁",AB708=1),30%,0)</f>
        <v>0</v>
      </c>
      <c r="M708" s="45">
        <f t="shared" ca="1" si="595"/>
        <v>0.51185145527300213</v>
      </c>
      <c r="N708" s="45">
        <f t="shared" ca="1" si="596"/>
        <v>0.43424854472699792</v>
      </c>
      <c r="O708" s="46">
        <f t="shared" ca="1" si="626"/>
        <v>0.6661476262045205</v>
      </c>
      <c r="P708" s="46" t="str">
        <f t="shared" ca="1" si="597"/>
        <v>命</v>
      </c>
      <c r="Q708" s="45">
        <f t="shared" ca="1" si="598"/>
        <v>1</v>
      </c>
      <c r="R708" s="117">
        <f ca="1">模拟模式!$E$20*(1-IF(模拟模式!$J$19="有",0.15,0))*(1-IF(模拟模式!$K$19="有",0.3,0)-IF(CQ708,0.5,0))</f>
        <v>2950.6049999999996</v>
      </c>
      <c r="S708" s="45">
        <f ca="1">R708/(R708+(185*模拟模式!$E$22-16800)*4.08224)</f>
        <v>0.24272716014590323</v>
      </c>
      <c r="T708" s="45" t="str">
        <f ca="1">LOOKUP(D708,'模拟-单技能数据'!$A$2:$A$19,'模拟-单技能数据'!$H$2:$H$19)</f>
        <v>阴</v>
      </c>
      <c r="U708" s="119">
        <f t="shared" ca="1" si="599"/>
        <v>0.08</v>
      </c>
      <c r="V708" s="47">
        <f ca="1">(1+L708)*(LOOKUP(D708,'模拟-单技能数据'!$A$2:$A$19,'模拟-单技能数据'!$D$2:$D$19)+G708*LOOKUP(D708,'模拟-单技能数据'!$A$2:$A$19,'模拟-单技能数据'!$F$2:$F$19))*(1+J708)*(1+K708)*(1-S708)*(1+U708)*Q708*LOOKUP(D708,'模拟-单技能数据'!$A$2:$A$19,'模拟-单技能数据'!$I$2:$I$20)</f>
        <v>16226.218300318291</v>
      </c>
      <c r="W708" s="47">
        <f ca="1">LOOKUP(D708,'模拟-单技能数据'!$A$2:$A$19,'模拟-单技能数据'!$G$2:$G$19)*$I$10</f>
        <v>361.51064354704795</v>
      </c>
      <c r="X708" s="47">
        <f t="shared" ca="1" si="627"/>
        <v>0</v>
      </c>
      <c r="Y708" s="47">
        <f t="shared" ca="1" si="600"/>
        <v>16587.728943865339</v>
      </c>
      <c r="Z708" s="49">
        <f t="shared" ca="1" si="601"/>
        <v>70907539.847580999</v>
      </c>
      <c r="AA708" s="97">
        <f t="shared" ca="1" si="602"/>
        <v>112870.10549221045</v>
      </c>
      <c r="AB708" s="115">
        <f ca="1">IF(OR(C708="赤日轮1",C708="赤日轮2",C708="赤日轮3"),IF(RAND()&lt;模拟模式!$Y$17,1,0),IF(OR(C708="幽月轮1",C708="幽月轮2",C708="幽月轮3"),IF(RAND()&lt;模拟模式!$Y$18,1,0),IF(C708="烈日斩",IF(RAND()&lt;模拟模式!$Y$19,1,0),IF(C708="银月斩",IF(RAND()&lt;模拟模式!$Y$20,1,0),IF(C708="驱夜断愁",IF(RAND()&lt;模拟模式!$Y$21,1,0),IF(C708="净世破魔击·日",IF(RAND()&lt;模拟模式!$Y$22,1,0),IF(C708="净世破魔击·月",IF(RAND()&lt;模拟模式!$Y$23,1,0),0)))))))</f>
        <v>1</v>
      </c>
      <c r="AC708" s="115" t="b">
        <f t="shared" ca="1" si="603"/>
        <v>0</v>
      </c>
      <c r="AD708" s="115" t="b">
        <f t="shared" ca="1" si="604"/>
        <v>0</v>
      </c>
      <c r="AE708" s="115">
        <f t="shared" ca="1" si="605"/>
        <v>4</v>
      </c>
      <c r="AF708" s="47">
        <f ca="1">IF(AC708,('模拟-单技能数据'!$D$20+G708*'模拟-单技能数据'!$F$20)*(1+J708)*(1+'模拟-单技能数据'!$J$20)*(1+U708),0)</f>
        <v>0</v>
      </c>
      <c r="AG708" s="61">
        <f t="shared" ca="1" si="606"/>
        <v>0.64185145527300214</v>
      </c>
      <c r="AH708" s="61">
        <f t="shared" ca="1" si="607"/>
        <v>2.2624828854998791</v>
      </c>
      <c r="AI708" s="62">
        <f t="shared" ca="1" si="628"/>
        <v>0.638110664534285</v>
      </c>
      <c r="AJ708" s="47">
        <f ca="1">IF(AD708,IF(AI708&lt;$F$10,0,IF(AI708&lt;$F$10+$F$11,0.25,IF(AI708&lt;$F$10+$F$11+AG708,AH708,1)))*IF(AF708&gt;0,AF708,IF(AF707&gt;0,AF707,IF(AF706&gt;0,AF706,IF(AF705&gt;0,AF705,IF(AF704&gt;0,AF704,IF(AF703&gt;0,AF703,IF(AF702&gt;0,AF702,IF(AF701&gt;0,AF701,IF(AF700&gt;0,AF700,IF(AF698&gt;0,AF698,IF(AF697&gt;0,AF697,IF(AF696&gt;0,AF696,0)))))))))))),0)*(1-$S708)*'模拟-单技能数据'!$I$20</f>
        <v>0</v>
      </c>
      <c r="AK708" s="115" t="b">
        <f t="shared" ca="1" si="608"/>
        <v>0</v>
      </c>
      <c r="AL708" s="115" t="b">
        <f t="shared" ca="1" si="609"/>
        <v>0</v>
      </c>
      <c r="AM708" s="115">
        <f t="shared" ca="1" si="610"/>
        <v>3</v>
      </c>
      <c r="AN708" s="47">
        <f ca="1">IF(AK708,('模拟-单技能数据'!$D$21+G708*'模拟-单技能数据'!$F$21)*(1+J708)*(1+'模拟-单技能数据'!$J$21)*(1+U708),0)</f>
        <v>0</v>
      </c>
      <c r="AO708" s="61">
        <f ca="1">IF(AN708&gt;0,M708-'模拟-单技能数据'!$K$10,AO707)</f>
        <v>0.42185145527300216</v>
      </c>
      <c r="AP708" s="61">
        <f ca="1">IF(AN708&gt;0,I708-'模拟-单技能数据'!$L$10,AP707)</f>
        <v>2.162482885499879</v>
      </c>
      <c r="AQ708" s="63">
        <f t="shared" ca="1" si="629"/>
        <v>0.85999460836841335</v>
      </c>
      <c r="AR708" s="64">
        <f ca="1">IF(AL708,IF(AQ708&lt;$F$10,0,IF(AQ708&lt;$F$10+$F$11,0.25,IF(AQ708&lt;$F$10+$F$11+AO708,AP708,1)))*IF(AN708&gt;0,AN708,IF(AN707&gt;0,AN707,IF(AN706&gt;0,AN706,IF(AN705&gt;0,AN705,IF(AN704&gt;0,AN704,IF(AN703&gt;0,AN703,IF(AN702&gt;0,AN702,IF(AN701&gt;0,AN701,IF(AN700&gt;0,AN700,IF(AN698&gt;0,AN698,IF(AN697&gt;0,AN697,IF(AN696&gt;0,AN696,0)))))))))))),0)*(1-$S708)*'模拟-单技能数据'!$I$21</f>
        <v>0</v>
      </c>
      <c r="AS708" s="61">
        <f ca="1">IF(OR(C708="净世破魔击·日",C708="净世破魔击·月"),M708-'模拟-单技能数据'!$K$10,0)</f>
        <v>0</v>
      </c>
      <c r="AT708" s="61">
        <f ca="1">IF(OR(C708="净世破魔击·日",C708="净世破魔击·月"),I708-'模拟-单技能数据'!$L$10,0)</f>
        <v>0</v>
      </c>
      <c r="AU708" s="62">
        <f t="shared" ca="1" si="630"/>
        <v>0.45630945211325036</v>
      </c>
      <c r="AV708" s="64">
        <f ca="1">IF(AS708&gt;0,('模拟-单技能数据'!$D$22+G708*'模拟-单技能数据'!$F$22)*(1+J708)*(1-S708)*IF(AU708&lt;$F$10,0,IF(AU708&lt;$F$10+$F$11,0.25,IF(AU708&lt;$F$10+$F$11+AS708,AT708,1)))*(1+U708),0)*'模拟-单技能数据'!$I$22</f>
        <v>0</v>
      </c>
      <c r="AW708" s="108">
        <f t="shared" ca="1" si="631"/>
        <v>0</v>
      </c>
      <c r="AX708" s="108" t="b">
        <f ca="1">AND(模拟模式!$P$10="有",AW707=0,RAND()&lt;IF(C708="净世破魔击·月",0.1*8/3,IF(C708="净世破魔击·日",0.1*4/3,0.1*2/3)))</f>
        <v>0</v>
      </c>
      <c r="AY708" s="47">
        <f ca="1">IF(AX708,(18+G708*0.722)*(1+J708)*(1-S708)*(1+$I$4)*IF(P708="会",'模拟-全程加成'!$J$3+'模拟-全程加成'!$J$4+'模拟-全程加成'!$J$5+('模拟-全程加成'!$I$4+'模拟-全程加成'!$I$5)/系数!$B$4+BG708*10%,IF(P708="命",1,IF(P708="识",0.25,0))),0)</f>
        <v>0</v>
      </c>
      <c r="AZ708" s="108">
        <f t="shared" si="632"/>
        <v>0.6275000000000065</v>
      </c>
      <c r="BA708" s="108" t="b">
        <f>AND(模拟模式!$Q$10="有",AZ707=0)</f>
        <v>0</v>
      </c>
      <c r="BB708" s="140">
        <f>IF(BA708,(0+G708*0.287)*(1+J708)*(1-S708)*(1+$I$4)*IF(P708="会",'模拟-全程加成'!$J$3+'模拟-全程加成'!$J$4+'模拟-全程加成'!$J$5+('模拟-全程加成'!$I$4+'模拟-全程加成'!$I$5)/系数!$B$4+BG708*10%,IF(P708="命",1,IF(P708="识",0.25,0))),0)</f>
        <v>0</v>
      </c>
      <c r="BC708" s="115" t="b">
        <f ca="1">AND(模拟模式!$R$7="伏明众生",E708=60,F708=20,DA708&lt;5,CZ707&lt;$F$4)</f>
        <v>0</v>
      </c>
      <c r="BD708" s="115">
        <f t="shared" ca="1" si="611"/>
        <v>0</v>
      </c>
      <c r="BE708" s="115" t="b">
        <f t="shared" ca="1" si="612"/>
        <v>0</v>
      </c>
      <c r="BF708" s="47">
        <f ca="1">IF(BC708,4*('模拟-单技能数据'!$D$24+G708*'模拟-单技能数据'!$F$24)*(1+J708)*(1+'模拟-单技能数据'!$J$24)*(1-S708)*(1+$I$3)*(('模拟-全程加成'!$J$3+'模拟-全程加成'!$J$4+'模拟-全程加成'!$J$5+('模拟-全程加成'!$I$4+'模拟-全程加成'!$I$5)/系数!$B$4+BG708*10%)*('模拟-全程加成'!$J$3+'模拟-全程加成'!$J$4+'模拟-全程加成'!$J$5+('模拟-全程加成'!$I$4+'模拟-全程加成'!$I$5)/系数!$B$4+BG708*10%)+(1-('模拟-全程加成'!$J$3+'模拟-全程加成'!$J$4+'模拟-全程加成'!$J$5+('模拟-全程加成'!$I$4+'模拟-全程加成'!$I$5)/系数!$B$4+BG708*10%)-$F$10-$F$11)+F694*0.25),0)*'模拟-单技能数据'!$I$24</f>
        <v>0</v>
      </c>
      <c r="BG708" s="115" t="b">
        <f ca="1">OR(AND(OR(C708="烈日斩",C708="银月斩"),模拟模式!$I$7="净身明礼"),AND(C708="净世破魔击·日",模拟模式!$J$7="洞若观火"),AND(C709="净世破魔击·月",模拟模式!$J$7="洞若观火"),AB708=1)</f>
        <v>1</v>
      </c>
      <c r="BH708" s="115" t="b">
        <f t="shared" ca="1" si="633"/>
        <v>0</v>
      </c>
      <c r="BI708" s="115">
        <f t="shared" ca="1" si="613"/>
        <v>0</v>
      </c>
      <c r="BJ708" s="115" t="b">
        <f t="shared" ca="1" si="614"/>
        <v>0</v>
      </c>
      <c r="BK708" s="115" t="b">
        <f ca="1">AND(C708="驱夜断愁",模拟模式!$P$7="天地诛戮")</f>
        <v>0</v>
      </c>
      <c r="BL708" s="57">
        <f t="shared" ca="1" si="615"/>
        <v>18.155000000000001</v>
      </c>
      <c r="BM708" s="115" t="b">
        <f t="shared" ca="1" si="616"/>
        <v>1</v>
      </c>
      <c r="BN708" s="115" t="b">
        <f ca="1">AND(OR(C708="赤日轮1",C708="赤日轮2",C708="赤日轮3",C708="幽月轮1",C708="幽月轮2",C708="幽月轮3"),AB708=1,模拟模式!$L$7="明光恒照")</f>
        <v>1</v>
      </c>
      <c r="BO708" s="117">
        <f t="shared" ca="1" si="617"/>
        <v>30</v>
      </c>
      <c r="BP708" s="115">
        <f t="shared" ca="1" si="634"/>
        <v>6</v>
      </c>
      <c r="BQ708" s="115" t="b">
        <f>模拟模式!$K$10="2600·水"</f>
        <v>0</v>
      </c>
      <c r="BR708" s="117">
        <f t="shared" si="635"/>
        <v>0</v>
      </c>
      <c r="BS708" s="115">
        <f t="shared" si="636"/>
        <v>0</v>
      </c>
      <c r="BT708" s="115">
        <f t="shared" ca="1" si="637"/>
        <v>0</v>
      </c>
      <c r="BU708" s="115" t="b">
        <f ca="1">AND(模拟模式!$K$10="2300·雷",BT707=0,RAND()&lt;IF(C708="净世破魔击·月",5*0.05*2/3,IF(C708="净世破魔击·日",3*0.05*2/3,0.05*2*2/3)))</f>
        <v>0</v>
      </c>
      <c r="BV708" s="115">
        <f t="shared" ca="1" si="638"/>
        <v>0</v>
      </c>
      <c r="BW708" s="115">
        <f t="shared" ca="1" si="639"/>
        <v>109.88999999999925</v>
      </c>
      <c r="BX708" s="164" t="b">
        <f t="shared" ca="1" si="640"/>
        <v>0</v>
      </c>
      <c r="BY708" s="115">
        <f t="shared" ca="1" si="641"/>
        <v>0</v>
      </c>
      <c r="BZ708" s="115">
        <f>IF(OR(模拟模式!$P$16="10人团",模拟模式!$P$16="25人团"),IF(B708/30&gt;CA707,1,0),0)</f>
        <v>0</v>
      </c>
      <c r="CA708" s="115">
        <f t="shared" si="618"/>
        <v>0</v>
      </c>
      <c r="CB708" s="115">
        <f ca="1">IF(BZ708=1,IF(模拟模式!$P$16="10人团",15,0)+IF(模拟模式!$P$16="25人团",IF(RAND()&lt;0.6,15,0)),MAX(0,CB707-$F$4))</f>
        <v>0</v>
      </c>
      <c r="CC708" s="115" t="b">
        <f t="shared" ca="1" si="619"/>
        <v>0</v>
      </c>
      <c r="CD708" s="115">
        <f>IF(模拟模式!$Q$16="1个",IF(B708/40&gt;CE707,1,0),0)</f>
        <v>0</v>
      </c>
      <c r="CE708" s="115">
        <f t="shared" si="620"/>
        <v>0</v>
      </c>
      <c r="CF708" s="115">
        <f>IF(OR(CD708=1,模拟模式!$Q$16="2个"),20,MAX(0,CF707-$F$4))</f>
        <v>0</v>
      </c>
      <c r="CG708" s="115" t="b">
        <f t="shared" si="621"/>
        <v>0</v>
      </c>
      <c r="CH708" s="115">
        <f t="shared" ca="1" si="642"/>
        <v>21.697500000000005</v>
      </c>
      <c r="CI708" s="115" t="b">
        <f t="shared" ca="1" si="643"/>
        <v>0</v>
      </c>
      <c r="CJ708" s="119">
        <f t="shared" ca="1" si="644"/>
        <v>0</v>
      </c>
      <c r="CK708" s="115">
        <f t="shared" ca="1" si="645"/>
        <v>0</v>
      </c>
      <c r="CL708" s="115" t="b">
        <f ca="1">AND(模拟模式!$S$7="驱夷逐法",OR(AND(C708="净世破魔击·月",E707&gt;59),AND(C708="净世破魔击·日",F707&gt;59)))</f>
        <v>0</v>
      </c>
      <c r="CM708" s="115" t="b">
        <f ca="1">OR(CL708,AND(C708="净世破魔击·日",CL707,RAND()&lt;模拟模式!$U$23))</f>
        <v>0</v>
      </c>
      <c r="CN708" s="115" t="b">
        <f ca="1">IF(模拟模式!$M$7="辉耀红尘",AND(C708="净世破魔击·月",CL708,CV708=0,E707&lt;80),AND(C708="净世破魔击·月",CL708,E707&lt;100))</f>
        <v>0</v>
      </c>
      <c r="CO708" s="115" t="b">
        <f t="shared" ca="1" si="622"/>
        <v>0</v>
      </c>
      <c r="CP708" s="115" t="b">
        <f ca="1">AND(模拟模式!$O$7="用晦而明",OR(C708="净世破魔击·日",C708="净世破魔击·月",C708="驱夜断愁"),AB708)</f>
        <v>0</v>
      </c>
      <c r="CQ708" s="115" t="b">
        <f ca="1">OR(CP708,AND(CP707,RAND()&lt;模拟模式!$U$23))</f>
        <v>0</v>
      </c>
      <c r="CR708" s="115" t="b">
        <f ca="1">AND(模拟模式!$S$7="日月齐光",OR(C708="幽月轮1",C708="幽月轮2",C708="幽月轮3",CR707),NOT(OR(C708="赤日轮1",C708="赤日轮2",C708="赤日轮3")))</f>
        <v>0</v>
      </c>
      <c r="CS708" s="115" t="b">
        <f ca="1">AND(模拟模式!$S$7="日月齐光",OR(C708="赤日轮1",C708="赤日轮2",C708="赤日轮3",CS707),NOT(OR(C708="幽月轮1",C708="幽月轮2",C708="幽月轮3")))</f>
        <v>0</v>
      </c>
      <c r="CT708" s="115">
        <f t="shared" ca="1" si="646"/>
        <v>0</v>
      </c>
      <c r="CU708" s="115" t="b">
        <f ca="1">AND(模拟模式!$K$10="阴阳往极",CT707=0,RAND()&lt;IF(C708="净世破魔击·月",0.0275*7/3,IF(C708="净世破魔击·日",0.0275*3/3,0.0275*2/3)))</f>
        <v>0</v>
      </c>
      <c r="CV708" s="115">
        <f t="shared" ca="1" si="647"/>
        <v>0</v>
      </c>
      <c r="CW708" s="115">
        <f t="shared" ca="1" si="648"/>
        <v>5.0774999999999997</v>
      </c>
      <c r="CX708" s="115">
        <f t="shared" ca="1" si="649"/>
        <v>3.2324999999999995</v>
      </c>
      <c r="CY708" s="115">
        <f ca="1">MAX(IF($C708="驱夜断愁",IF(模拟模式!$R$7="万念俱寂",6,45),CY707-$F$4),0)</f>
        <v>4.1549999999999994</v>
      </c>
      <c r="CZ708" s="115">
        <f t="shared" ca="1" si="623"/>
        <v>0</v>
      </c>
      <c r="DA708" s="115">
        <f ca="1">IF(模拟模式!$N$7="日月同辉",IF(DB707=2,0,MIN(6,IF(AND(OR(C708="赤日轮1",C708="赤日轮2",C708="赤日轮3",C708="幽月轮1",C708="幽月轮2",C708="幽月轮3"),AB708=1),DA707+1,DA707))),0)</f>
        <v>5</v>
      </c>
      <c r="DB708" s="115">
        <f t="shared" ca="1" si="624"/>
        <v>0</v>
      </c>
      <c r="DC708" s="115"/>
      <c r="DD708" s="115"/>
      <c r="DE708" s="115"/>
      <c r="DF708" s="115"/>
      <c r="DG708" s="115"/>
      <c r="DH708" s="115"/>
      <c r="DI708" s="115"/>
      <c r="DJ708" s="115"/>
      <c r="DK708" s="115"/>
      <c r="DL708" s="115"/>
      <c r="DM708" s="115"/>
    </row>
    <row r="709" spans="2:117" x14ac:dyDescent="0.2">
      <c r="B709" s="117">
        <f t="shared" si="625"/>
        <v>629.14500000000726</v>
      </c>
      <c r="C709" s="167" t="str">
        <f t="shared" ca="1" si="594"/>
        <v>净世破魔击·月</v>
      </c>
      <c r="D709" s="115">
        <f ca="1">IF(C709="赤日轮1",1,IF(C709="赤日轮2",2,IF(C709="赤日轮3",3,IF(C709="幽月轮1",4,IF(C709="幽月轮2",5,IF(C709="幽月轮3",6,IF(C709="烈日斩",7,IF(C709="银月斩",8,IF(C709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709="净世破魔击·月",17,IF(C709="驱夜断愁",18,0)))))))))))</f>
        <v>17</v>
      </c>
      <c r="E709" s="115">
        <f ca="1">IF(AND(CU709,OR(C709="幽月轮1",C709="幽月轮2",C709="幽月轮3",C709="银月斩",C709="驱夜断愁",C709="净世破魔击·月")),100,MIN(IF(OR(CN709,BE709),0,IF(OR($C709="赤日轮1",$C709="赤日轮2",$C709="赤日轮3"),E708+20+IF(模拟模式!$I$7="日月凌天",4,0)+IF(CR708,20,0),IF($C709="烈日斩",E708+40,IF($C709="驱夜断愁",IF(模拟模式!$R$7="万念俱寂",E708+20,E708+60),IF($C709="净世破魔击·月",IF(OR(DB708&gt;0,CV708&gt;0),100,IF(模拟模式!$M$7="辉耀红尘",E708+20,E708)),IF($C709="净世破魔击·日",E708-100,E708)))))),100))</f>
        <v>100</v>
      </c>
      <c r="F709" s="115">
        <f ca="1">IF(AND(CU709,OR(C709="赤日轮1",C709="赤日轮2",C709="赤日轮3",C709="烈日斩",C709="净世破魔击·日")),100,MIN(IF(CO709,0,IF(OR($C709="幽月轮1",$C709="幽月轮2",$C709="幽月轮3"),F708+20+IF(模拟模式!$I$7="日月凌天",4,0)+IF(CS708,20,0),IF($C709="银月斩",F708+40+IF(模拟模式!$X$12=1,5,0),IF($C709="驱夜断愁",IF(模拟模式!$R$7="万念俱寂",F708+20,F708+60),IF($C709="净世破魔击·月",IF(模拟模式!$M$7="辉耀红尘",F708-80,F708-100),IF(AND(C709="净世破魔击·日",OR(DB708&gt;0,CV708&gt;0)),100,F708)))))),100))</f>
        <v>20</v>
      </c>
      <c r="G709" s="117">
        <f ca="1">('模拟-全程加成'!$E$3+'模拟-全程加成'!$E$4+'模拟-全程加成'!$E$5+('模拟-全程加成'!$C$6-'模拟-全程加成'!$C$3)*系数!$B$9+BS709*23)*(1+'模拟-全程加成'!$F$4+'模拟-全程加成'!$F$5+BJ709*10%+BM709*20%+BP709*4%+CG709*30%)+$F$7*系数!$B$12</f>
        <v>20583.127400000001</v>
      </c>
      <c r="H709" s="45">
        <f ca="1">'模拟-全程加成'!$H$3+'模拟-全程加成'!$H$4+'模拟-全程加成'!$H$5+('模拟-全程加成'!$G$4+'模拟-全程加成'!$G$5+('模拟-全程加成'!$C$6-'模拟-全程加成'!$C$3)*系数!$B$13)/系数!$B$3+LOOKUP(D709,'模拟-单技能数据'!$A$2:$A$19,'模拟-单技能数据'!$K$2:$K$19)+BG709*10%+IF(BV709&gt;0,378,0)</f>
        <v>0.54185145527300216</v>
      </c>
      <c r="I709" s="45">
        <f ca="1">'模拟-全程加成'!$J$3+'模拟-全程加成'!$J$4+'模拟-全程加成'!$J$5+('模拟-全程加成'!$I$4+'模拟-全程加成'!$I$5)/系数!$B$4+LOOKUP(D709,'模拟-单技能数据'!$A$2:$A$19,'模拟-单技能数据'!$L$2:$L$19)+BG709*10%</f>
        <v>2.162482885499879</v>
      </c>
      <c r="J709" s="45">
        <f ca="1">(('模拟-全程加成'!$K$3+'模拟-全程加成'!$K$4+'模拟-全程加成'!$K$5+('模拟-全程加成'!$C$6-'模拟-全程加成'!$C$3)*系数!$B$10+IF(BV709&gt;0,882,0)+IF(BY709&gt;0,1831,0))*(1+'模拟-全程加成'!$L$4+'模拟-全程加成'!$L$5+CC709*20%))/系数!$B$5</f>
        <v>0.69723220422048726</v>
      </c>
      <c r="K709" s="119">
        <f ca="1">LOOKUP(D709,'模拟-单技能数据'!$A$2:$A$19,'模拟-单技能数据'!$J$2:$J$19)+IF(CM709,60%,0)+IF(DB708-DB709&gt;0,30%,0)+IF(OR(AND(OR(C709="赤日轮1",C709="赤日轮2",C709="赤日轮3"),CR709),AND(OR(C709="幽月轮1",C709="幽月轮2",C709="幽月轮3"),CS709)),35%,0)+CJ709</f>
        <v>0.8</v>
      </c>
      <c r="L709" s="119">
        <f ca="1">IF(AND(C709="烈日斩",模拟模式!$X$11=1),10%,0)+IF(AND(C709="驱夜断愁",AB709=1),30%,0)</f>
        <v>0</v>
      </c>
      <c r="M709" s="45">
        <f t="shared" ca="1" si="595"/>
        <v>0.54185145527300216</v>
      </c>
      <c r="N709" s="45">
        <f t="shared" ca="1" si="596"/>
        <v>0.40424854472699789</v>
      </c>
      <c r="O709" s="46">
        <f t="shared" ca="1" si="626"/>
        <v>0.53721788657020753</v>
      </c>
      <c r="P709" s="46" t="str">
        <f t="shared" ca="1" si="597"/>
        <v>会</v>
      </c>
      <c r="Q709" s="45">
        <f t="shared" ca="1" si="598"/>
        <v>2.162482885499879</v>
      </c>
      <c r="R709" s="117">
        <f ca="1">模拟模式!$E$20*(1-IF(模拟模式!$J$19="有",0.15,0))*(1-IF(模拟模式!$K$19="有",0.3,0)-IF(CQ709,0.5,0))</f>
        <v>843.02999999999975</v>
      </c>
      <c r="S709" s="45">
        <f ca="1">R709/(R709+(185*模拟模式!$E$22-16800)*4.08224)</f>
        <v>8.389626085980037E-2</v>
      </c>
      <c r="T709" s="45" t="str">
        <f ca="1">LOOKUP(D709,'模拟-单技能数据'!$A$2:$A$19,'模拟-单技能数据'!$H$2:$H$19)</f>
        <v>阴</v>
      </c>
      <c r="U709" s="119">
        <f t="shared" ca="1" si="599"/>
        <v>0.08</v>
      </c>
      <c r="V709" s="47">
        <f ca="1">(1+L709)*(LOOKUP(D709,'模拟-单技能数据'!$A$2:$A$19,'模拟-单技能数据'!$D$2:$D$19)+G709*LOOKUP(D709,'模拟-单技能数据'!$A$2:$A$19,'模拟-单技能数据'!$F$2:$F$19))*(1+J709)*(1+K709)*(1-S709)*(1+U709)*Q709*LOOKUP(D709,'模拟-单技能数据'!$A$2:$A$19,'模拟-单技能数据'!$I$2:$I$20)</f>
        <v>174868.36016214982</v>
      </c>
      <c r="W709" s="47">
        <f ca="1">LOOKUP(D709,'模拟-单技能数据'!$A$2:$A$19,'模拟-单技能数据'!$G$2:$G$19)*$I$10</f>
        <v>361.51064354704795</v>
      </c>
      <c r="X709" s="47">
        <f t="shared" ca="1" si="627"/>
        <v>22832.503282982045</v>
      </c>
      <c r="Y709" s="47">
        <f t="shared" ca="1" si="600"/>
        <v>198062.37408867892</v>
      </c>
      <c r="Z709" s="49">
        <f t="shared" ca="1" si="601"/>
        <v>71105602.221669674</v>
      </c>
      <c r="AA709" s="97">
        <f t="shared" ca="1" si="602"/>
        <v>113019.41876939156</v>
      </c>
      <c r="AB709" s="115">
        <f ca="1">IF(OR(C709="赤日轮1",C709="赤日轮2",C709="赤日轮3"),IF(RAND()&lt;模拟模式!$Y$17,1,0),IF(OR(C709="幽月轮1",C709="幽月轮2",C709="幽月轮3"),IF(RAND()&lt;模拟模式!$Y$18,1,0),IF(C709="烈日斩",IF(RAND()&lt;模拟模式!$Y$19,1,0),IF(C709="银月斩",IF(RAND()&lt;模拟模式!$Y$20,1,0),IF(C709="驱夜断愁",IF(RAND()&lt;模拟模式!$Y$21,1,0),IF(C709="净世破魔击·日",IF(RAND()&lt;模拟模式!$Y$22,1,0),IF(C709="净世破魔击·月",IF(RAND()&lt;模拟模式!$Y$23,1,0),0)))))))</f>
        <v>1</v>
      </c>
      <c r="AC709" s="115" t="b">
        <f t="shared" ca="1" si="603"/>
        <v>0</v>
      </c>
      <c r="AD709" s="115" t="b">
        <f t="shared" ca="1" si="604"/>
        <v>1</v>
      </c>
      <c r="AE709" s="115">
        <f t="shared" ca="1" si="605"/>
        <v>3</v>
      </c>
      <c r="AF709" s="47">
        <f ca="1">IF(AC709,('模拟-单技能数据'!$D$20+G709*'模拟-单技能数据'!$F$20)*(1+J709)*(1+'模拟-单技能数据'!$J$20)*(1+U709),0)</f>
        <v>0</v>
      </c>
      <c r="AG709" s="61">
        <f t="shared" ca="1" si="606"/>
        <v>0.64185145527300214</v>
      </c>
      <c r="AH709" s="61">
        <f t="shared" ca="1" si="607"/>
        <v>2.2624828854998791</v>
      </c>
      <c r="AI709" s="62">
        <f t="shared" ca="1" si="628"/>
        <v>0.92454468477006402</v>
      </c>
      <c r="AJ709" s="47">
        <f ca="1">IF(AD709,IF(AI709&lt;$F$10,0,IF(AI709&lt;$F$10+$F$11,0.25,IF(AI709&lt;$F$10+$F$11+AG709,AH709,1)))*IF(AF709&gt;0,AF709,IF(AF708&gt;0,AF708,IF(AF707&gt;0,AF707,IF(AF706&gt;0,AF706,IF(AF705&gt;0,AF705,IF(AF704&gt;0,AF704,IF(AF703&gt;0,AF703,IF(AF702&gt;0,AF702,IF(AF701&gt;0,AF701,IF(AF699&gt;0,AF699,IF(AF698&gt;0,AF698,IF(AF697&gt;0,AF697,0)))))))))))),0)*(1-$S709)*'模拟-单技能数据'!$I$20</f>
        <v>4074.6980221198578</v>
      </c>
      <c r="AK709" s="115" t="b">
        <f t="shared" ca="1" si="608"/>
        <v>0</v>
      </c>
      <c r="AL709" s="115" t="b">
        <f t="shared" ca="1" si="609"/>
        <v>1</v>
      </c>
      <c r="AM709" s="115">
        <f t="shared" ca="1" si="610"/>
        <v>2</v>
      </c>
      <c r="AN709" s="47">
        <f ca="1">IF(AK709,('模拟-单技能数据'!$D$21+G709*'模拟-单技能数据'!$F$21)*(1+J709)*(1+'模拟-单技能数据'!$J$21)*(1+U709),0)</f>
        <v>0</v>
      </c>
      <c r="AO709" s="61">
        <f ca="1">IF(AN709&gt;0,M709-'模拟-单技能数据'!$K$10,AO708)</f>
        <v>0.42185145527300216</v>
      </c>
      <c r="AP709" s="61">
        <f ca="1">IF(AN709&gt;0,I709-'模拟-单技能数据'!$L$10,AP708)</f>
        <v>2.162482885499879</v>
      </c>
      <c r="AQ709" s="63">
        <f t="shared" ca="1" si="629"/>
        <v>0.70747463906219799</v>
      </c>
      <c r="AR709" s="64">
        <f ca="1">IF(AL709,IF(AQ709&lt;$F$10,0,IF(AQ709&lt;$F$10+$F$11,0.25,IF(AQ709&lt;$F$10+$F$11+AO709,AP709,1)))*IF(AN709&gt;0,AN709,IF(AN708&gt;0,AN708,IF(AN707&gt;0,AN707,IF(AN706&gt;0,AN706,IF(AN705&gt;0,AN705,IF(AN704&gt;0,AN704,IF(AN703&gt;0,AN703,IF(AN702&gt;0,AN702,IF(AN701&gt;0,AN701,IF(AN699&gt;0,AN699,IF(AN698&gt;0,AN698,IF(AN697&gt;0,AN697,0)))))))))))),0)*(1-$S709)*'模拟-单技能数据'!$I$21</f>
        <v>11118.353508757338</v>
      </c>
      <c r="AS709" s="61">
        <f ca="1">IF(OR(C709="净世破魔击·日",C709="净世破魔击·月"),M709-'模拟-单技能数据'!$K$10,0)</f>
        <v>0.42185145527300216</v>
      </c>
      <c r="AT709" s="61">
        <f ca="1">IF(OR(C709="净世破魔击·日",C709="净世破魔击·月"),I709-'模拟-单技能数据'!$L$10,0)</f>
        <v>2.162482885499879</v>
      </c>
      <c r="AU709" s="62">
        <f t="shared" ca="1" si="630"/>
        <v>0.96098336727982792</v>
      </c>
      <c r="AV709" s="64">
        <f ca="1">IF(AS709&gt;0,('模拟-单技能数据'!$D$22+G709*'模拟-单技能数据'!$F$22)*(1+J709)*(1-S709)*IF(AU709&lt;$F$10,0,IF(AU709&lt;$F$10+$F$11,0.25,IF(AU709&lt;$F$10+$F$11+AS709,AT709,1)))*(1+U709),0)*'模拟-单技能数据'!$I$22</f>
        <v>7639.4517521048492</v>
      </c>
      <c r="AW709" s="108">
        <f t="shared" ca="1" si="631"/>
        <v>0</v>
      </c>
      <c r="AX709" s="108" t="b">
        <f ca="1">AND(模拟模式!$P$10="有",AW708=0,RAND()&lt;IF(C709="净世破魔击·月",0.1*8/3,IF(C709="净世破魔击·日",0.1*4/3,0.1*2/3)))</f>
        <v>0</v>
      </c>
      <c r="AY709" s="47">
        <f ca="1">IF(AX709,(18+G709*0.722)*(1+J709)*(1-S709)*(1+$I$4)*IF(P709="会",'模拟-全程加成'!$J$3+'模拟-全程加成'!$J$4+'模拟-全程加成'!$J$5+('模拟-全程加成'!$I$4+'模拟-全程加成'!$I$5)/系数!$B$4+BG709*10%,IF(P709="命",1,IF(P709="识",0.25,0))),0)</f>
        <v>0</v>
      </c>
      <c r="AZ709" s="108">
        <f t="shared" si="632"/>
        <v>0</v>
      </c>
      <c r="BA709" s="108" t="b">
        <f>AND(模拟模式!$Q$10="有",AZ708=0)</f>
        <v>0</v>
      </c>
      <c r="BB709" s="140">
        <f>IF(BA709,(0+G709*0.287)*(1+J709)*(1-S709)*(1+$I$4)*IF(P709="会",'模拟-全程加成'!$J$3+'模拟-全程加成'!$J$4+'模拟-全程加成'!$J$5+('模拟-全程加成'!$I$4+'模拟-全程加成'!$I$5)/系数!$B$4+BG709*10%,IF(P709="命",1,IF(P709="识",0.25,0))),0)</f>
        <v>0</v>
      </c>
      <c r="BC709" s="115" t="b">
        <f ca="1">AND(模拟模式!$R$7="伏明众生",E709=60,F709=20,DA709&lt;5,CZ708&lt;$F$4)</f>
        <v>0</v>
      </c>
      <c r="BD709" s="115">
        <f t="shared" ca="1" si="611"/>
        <v>0</v>
      </c>
      <c r="BE709" s="115" t="b">
        <f t="shared" ca="1" si="612"/>
        <v>0</v>
      </c>
      <c r="BF709" s="47">
        <f ca="1">IF(BC709,4*('模拟-单技能数据'!$D$24+G709*'模拟-单技能数据'!$F$24)*(1+J709)*(1+'模拟-单技能数据'!$J$24)*(1-S709)*(1+$I$3)*(('模拟-全程加成'!$J$3+'模拟-全程加成'!$J$4+'模拟-全程加成'!$J$5+('模拟-全程加成'!$I$4+'模拟-全程加成'!$I$5)/系数!$B$4+BG709*10%)*('模拟-全程加成'!$J$3+'模拟-全程加成'!$J$4+'模拟-全程加成'!$J$5+('模拟-全程加成'!$I$4+'模拟-全程加成'!$I$5)/系数!$B$4+BG709*10%)+(1-('模拟-全程加成'!$J$3+'模拟-全程加成'!$J$4+'模拟-全程加成'!$J$5+('模拟-全程加成'!$I$4+'模拟-全程加成'!$I$5)/系数!$B$4+BG709*10%)-$F$10-$F$11)+F695*0.25),0)*'模拟-单技能数据'!$I$24</f>
        <v>0</v>
      </c>
      <c r="BG709" s="115" t="b">
        <f ca="1">OR(AND(OR(C709="烈日斩",C709="银月斩"),模拟模式!$I$7="净身明礼"),AND(C709="净世破魔击·日",模拟模式!$J$7="洞若观火"),AND(C710="净世破魔击·月",模拟模式!$J$7="洞若观火"),AB709=1)</f>
        <v>1</v>
      </c>
      <c r="BH709" s="115" t="b">
        <f t="shared" ca="1" si="633"/>
        <v>0</v>
      </c>
      <c r="BI709" s="115">
        <f t="shared" ca="1" si="613"/>
        <v>0</v>
      </c>
      <c r="BJ709" s="115" t="b">
        <f t="shared" ca="1" si="614"/>
        <v>0</v>
      </c>
      <c r="BK709" s="115" t="b">
        <f ca="1">AND(C709="驱夜断愁",模拟模式!$P$7="天地诛戮")</f>
        <v>0</v>
      </c>
      <c r="BL709" s="57">
        <f t="shared" ca="1" si="615"/>
        <v>17.232500000000002</v>
      </c>
      <c r="BM709" s="115" t="b">
        <f t="shared" ca="1" si="616"/>
        <v>1</v>
      </c>
      <c r="BN709" s="115" t="b">
        <f ca="1">AND(OR(C709="赤日轮1",C709="赤日轮2",C709="赤日轮3",C709="幽月轮1",C709="幽月轮2",C709="幽月轮3"),AB709=1,模拟模式!$L$7="明光恒照")</f>
        <v>0</v>
      </c>
      <c r="BO709" s="117">
        <f t="shared" ca="1" si="617"/>
        <v>29.077500000000001</v>
      </c>
      <c r="BP709" s="115">
        <f t="shared" ca="1" si="634"/>
        <v>6</v>
      </c>
      <c r="BQ709" s="115" t="b">
        <f>模拟模式!$K$10="2600·水"</f>
        <v>0</v>
      </c>
      <c r="BR709" s="117">
        <f t="shared" si="635"/>
        <v>0</v>
      </c>
      <c r="BS709" s="115">
        <f t="shared" si="636"/>
        <v>0</v>
      </c>
      <c r="BT709" s="115">
        <f t="shared" ca="1" si="637"/>
        <v>0</v>
      </c>
      <c r="BU709" s="115" t="b">
        <f ca="1">AND(模拟模式!$K$10="2300·雷",BT708=0,RAND()&lt;IF(C709="净世破魔击·月",5*0.05*2/3,IF(C709="净世破魔击·日",3*0.05*2/3,0.05*2*2/3)))</f>
        <v>0</v>
      </c>
      <c r="BV709" s="115">
        <f t="shared" ca="1" si="638"/>
        <v>0</v>
      </c>
      <c r="BW709" s="115">
        <f t="shared" ca="1" si="639"/>
        <v>108.96749999999925</v>
      </c>
      <c r="BX709" s="164" t="b">
        <f t="shared" ca="1" si="640"/>
        <v>0</v>
      </c>
      <c r="BY709" s="115">
        <f t="shared" ca="1" si="641"/>
        <v>0</v>
      </c>
      <c r="BZ709" s="115">
        <f>IF(OR(模拟模式!$P$16="10人团",模拟模式!$P$16="25人团"),IF(B709/30&gt;CA708,1,0),0)</f>
        <v>0</v>
      </c>
      <c r="CA709" s="115">
        <f t="shared" si="618"/>
        <v>0</v>
      </c>
      <c r="CB709" s="115">
        <f ca="1">IF(BZ709=1,IF(模拟模式!$P$16="10人团",15,0)+IF(模拟模式!$P$16="25人团",IF(RAND()&lt;0.6,15,0)),MAX(0,CB708-$F$4))</f>
        <v>0</v>
      </c>
      <c r="CC709" s="115" t="b">
        <f t="shared" ca="1" si="619"/>
        <v>0</v>
      </c>
      <c r="CD709" s="115">
        <f>IF(模拟模式!$Q$16="1个",IF(B709/40&gt;CE708,1,0),0)</f>
        <v>0</v>
      </c>
      <c r="CE709" s="115">
        <f t="shared" si="620"/>
        <v>0</v>
      </c>
      <c r="CF709" s="115">
        <f>IF(OR(CD709=1,模拟模式!$Q$16="2个"),20,MAX(0,CF708-$F$4))</f>
        <v>0</v>
      </c>
      <c r="CG709" s="115" t="b">
        <f t="shared" si="621"/>
        <v>0</v>
      </c>
      <c r="CH709" s="115">
        <f t="shared" ca="1" si="642"/>
        <v>20.775000000000006</v>
      </c>
      <c r="CI709" s="115" t="b">
        <f t="shared" ca="1" si="643"/>
        <v>0</v>
      </c>
      <c r="CJ709" s="119">
        <f t="shared" ca="1" si="644"/>
        <v>0</v>
      </c>
      <c r="CK709" s="115">
        <f t="shared" ca="1" si="645"/>
        <v>0</v>
      </c>
      <c r="CL709" s="115" t="b">
        <f ca="1">AND(模拟模式!$S$7="驱夷逐法",OR(AND(C709="净世破魔击·月",E708&gt;59),AND(C709="净世破魔击·日",F708&gt;59)))</f>
        <v>1</v>
      </c>
      <c r="CM709" s="115" t="b">
        <f ca="1">OR(CL709,AND(C709="净世破魔击·日",CL708,RAND()&lt;模拟模式!$U$23))</f>
        <v>1</v>
      </c>
      <c r="CN709" s="115" t="b">
        <f ca="1">IF(模拟模式!$M$7="辉耀红尘",AND(C709="净世破魔击·月",CL709,CV709=0,E708&lt;80),AND(C709="净世破魔击·月",CL709,E708&lt;100))</f>
        <v>0</v>
      </c>
      <c r="CO709" s="115" t="b">
        <f t="shared" ca="1" si="622"/>
        <v>0</v>
      </c>
      <c r="CP709" s="115" t="b">
        <f ca="1">AND(模拟模式!$O$7="用晦而明",OR(C709="净世破魔击·日",C709="净世破魔击·月",C709="驱夜断愁"),AB709)</f>
        <v>1</v>
      </c>
      <c r="CQ709" s="115" t="b">
        <f ca="1">OR(CP709,AND(CP708,RAND()&lt;模拟模式!$U$23))</f>
        <v>1</v>
      </c>
      <c r="CR709" s="115" t="b">
        <f ca="1">AND(模拟模式!$S$7="日月齐光",OR(C709="幽月轮1",C709="幽月轮2",C709="幽月轮3",CR708),NOT(OR(C709="赤日轮1",C709="赤日轮2",C709="赤日轮3")))</f>
        <v>0</v>
      </c>
      <c r="CS709" s="115" t="b">
        <f ca="1">AND(模拟模式!$S$7="日月齐光",OR(C709="赤日轮1",C709="赤日轮2",C709="赤日轮3",CS708),NOT(OR(C709="幽月轮1",C709="幽月轮2",C709="幽月轮3")))</f>
        <v>0</v>
      </c>
      <c r="CT709" s="115">
        <f t="shared" ca="1" si="646"/>
        <v>0</v>
      </c>
      <c r="CU709" s="115" t="b">
        <f ca="1">AND(模拟模式!$K$10="阴阳往极",CT708=0,RAND()&lt;IF(C709="净世破魔击·月",0.0275*7/3,IF(C709="净世破魔击·日",0.0275*3/3,0.0275*2/3)))</f>
        <v>0</v>
      </c>
      <c r="CV709" s="115">
        <f t="shared" ca="1" si="647"/>
        <v>0</v>
      </c>
      <c r="CW709" s="115">
        <f t="shared" ca="1" si="648"/>
        <v>4.1549999999999994</v>
      </c>
      <c r="CX709" s="115">
        <f t="shared" ca="1" si="649"/>
        <v>2.3099999999999996</v>
      </c>
      <c r="CY709" s="115">
        <f ca="1">MAX(IF($C709="驱夜断愁",IF(模拟模式!$R$7="万念俱寂",6,45),CY708-$F$4),0)</f>
        <v>3.2324999999999995</v>
      </c>
      <c r="CZ709" s="115">
        <f t="shared" ca="1" si="623"/>
        <v>0</v>
      </c>
      <c r="DA709" s="115">
        <f ca="1">IF(模拟模式!$N$7="日月同辉",IF(DB708=2,0,MIN(6,IF(AND(OR(C709="赤日轮1",C709="赤日轮2",C709="赤日轮3",C709="幽月轮1",C709="幽月轮2",C709="幽月轮3"),AB709=1),DA708+1,DA708))),0)</f>
        <v>5</v>
      </c>
      <c r="DB709" s="115">
        <f t="shared" ca="1" si="624"/>
        <v>0</v>
      </c>
      <c r="DC709" s="115"/>
      <c r="DD709" s="115"/>
      <c r="DE709" s="115"/>
      <c r="DF709" s="115"/>
      <c r="DG709" s="115"/>
      <c r="DH709" s="115"/>
      <c r="DI709" s="115"/>
      <c r="DJ709" s="115"/>
      <c r="DK709" s="115"/>
      <c r="DL709" s="115"/>
      <c r="DM709" s="115"/>
    </row>
    <row r="710" spans="2:117" x14ac:dyDescent="0.2">
      <c r="B710" s="117">
        <f t="shared" si="625"/>
        <v>630.06750000000727</v>
      </c>
      <c r="C710" s="167" t="str">
        <f t="shared" ca="1" si="594"/>
        <v>净世破魔击·日</v>
      </c>
      <c r="D710" s="115">
        <f ca="1">IF(C710="赤日轮1",1,IF(C710="赤日轮2",2,IF(C710="赤日轮3",3,IF(C710="幽月轮1",4,IF(C710="幽月轮2",5,IF(C710="幽月轮3",6,IF(C710="烈日斩",7,IF(C710="银月斩",8,IF(C710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710="净世破魔击·月",17,IF(C710="驱夜断愁",18,0)))))))))))</f>
        <v>9</v>
      </c>
      <c r="E710" s="115">
        <f ca="1">IF(AND(CU710,OR(C710="幽月轮1",C710="幽月轮2",C710="幽月轮3",C710="银月斩",C710="驱夜断愁",C710="净世破魔击·月")),100,MIN(IF(OR(CN710,BE710),0,IF(OR($C710="赤日轮1",$C710="赤日轮2",$C710="赤日轮3"),E709+20+IF(模拟模式!$I$7="日月凌天",4,0)+IF(CR709,20,0),IF($C710="烈日斩",E709+40,IF($C710="驱夜断愁",IF(模拟模式!$R$7="万念俱寂",E709+20,E709+60),IF($C710="净世破魔击·月",IF(OR(DB709&gt;0,CV709&gt;0),100,IF(模拟模式!$M$7="辉耀红尘",E709+20,E709)),IF($C710="净世破魔击·日",E709-100,E709)))))),100))</f>
        <v>0</v>
      </c>
      <c r="F710" s="115">
        <f ca="1">IF(AND(CU710,OR(C710="赤日轮1",C710="赤日轮2",C710="赤日轮3",C710="烈日斩",C710="净世破魔击·日")),100,MIN(IF(CO710,0,IF(OR($C710="幽月轮1",$C710="幽月轮2",$C710="幽月轮3"),F709+20+IF(模拟模式!$I$7="日月凌天",4,0)+IF(CS709,20,0),IF($C710="银月斩",F709+40+IF(模拟模式!$X$12=1,5,0),IF($C710="驱夜断愁",IF(模拟模式!$R$7="万念俱寂",F709+20,F709+60),IF($C710="净世破魔击·月",IF(模拟模式!$M$7="辉耀红尘",F709-80,F709-100),IF(AND(C710="净世破魔击·日",OR(DB709&gt;0,CV709&gt;0)),100,F709)))))),100))</f>
        <v>20</v>
      </c>
      <c r="G710" s="117">
        <f ca="1">('模拟-全程加成'!$E$3+'模拟-全程加成'!$E$4+'模拟-全程加成'!$E$5+('模拟-全程加成'!$C$6-'模拟-全程加成'!$C$3)*系数!$B$9+BS710*23)*(1+'模拟-全程加成'!$F$4+'模拟-全程加成'!$F$5+BJ710*10%+BM710*20%+BP710*4%+CG710*30%)+$F$7*系数!$B$12</f>
        <v>21493.829400000002</v>
      </c>
      <c r="H710" s="45">
        <f ca="1">'模拟-全程加成'!$H$3+'模拟-全程加成'!$H$4+'模拟-全程加成'!$H$5+('模拟-全程加成'!$G$4+'模拟-全程加成'!$G$5+('模拟-全程加成'!$C$6-'模拟-全程加成'!$C$3)*系数!$B$13)/系数!$B$3+LOOKUP(D710,'模拟-单技能数据'!$A$2:$A$19,'模拟-单技能数据'!$K$2:$K$19)+BG710*10%+IF(BV710&gt;0,378,0)</f>
        <v>0.54185145527300216</v>
      </c>
      <c r="I710" s="45">
        <f ca="1">'模拟-全程加成'!$J$3+'模拟-全程加成'!$J$4+'模拟-全程加成'!$J$5+('模拟-全程加成'!$I$4+'模拟-全程加成'!$I$5)/系数!$B$4+LOOKUP(D710,'模拟-单技能数据'!$A$2:$A$19,'模拟-单技能数据'!$L$2:$L$19)+BG710*10%</f>
        <v>2.162482885499879</v>
      </c>
      <c r="J710" s="45">
        <f ca="1">(('模拟-全程加成'!$K$3+'模拟-全程加成'!$K$4+'模拟-全程加成'!$K$5+('模拟-全程加成'!$C$6-'模拟-全程加成'!$C$3)*系数!$B$10+IF(BV710&gt;0,882,0)+IF(BY710&gt;0,1831,0))*(1+'模拟-全程加成'!$L$4+'模拟-全程加成'!$L$5+CC710*20%))/系数!$B$5</f>
        <v>0.69723220422048726</v>
      </c>
      <c r="K710" s="119">
        <f ca="1">LOOKUP(D710,'模拟-单技能数据'!$A$2:$A$19,'模拟-单技能数据'!$J$2:$J$19)+IF(CM710,60%,0)+IF(DB709-DB710&gt;0,30%,0)+IF(OR(AND(OR(C710="赤日轮1",C710="赤日轮2",C710="赤日轮3"),CR710),AND(OR(C710="幽月轮1",C710="幽月轮2",C710="幽月轮3"),CS710)),35%,0)+CJ710</f>
        <v>0.8</v>
      </c>
      <c r="L710" s="119">
        <f ca="1">IF(AND(C710="烈日斩",模拟模式!$X$11=1),10%,0)+IF(AND(C710="驱夜断愁",AB710=1),30%,0)</f>
        <v>0</v>
      </c>
      <c r="M710" s="45">
        <f t="shared" ca="1" si="595"/>
        <v>0.54185145527300216</v>
      </c>
      <c r="N710" s="45">
        <f t="shared" ca="1" si="596"/>
        <v>0.40424854472699789</v>
      </c>
      <c r="O710" s="46">
        <f t="shared" ca="1" si="626"/>
        <v>0.90894842462188996</v>
      </c>
      <c r="P710" s="46" t="str">
        <f t="shared" ca="1" si="597"/>
        <v>命</v>
      </c>
      <c r="Q710" s="45">
        <f t="shared" ca="1" si="598"/>
        <v>1</v>
      </c>
      <c r="R710" s="117">
        <f ca="1">模拟模式!$E$20*(1-IF(模拟模式!$J$19="有",0.15,0))*(1-IF(模拟模式!$K$19="有",0.3,0)-IF(CQ710,0.5,0))</f>
        <v>843.02999999999975</v>
      </c>
      <c r="S710" s="45">
        <f ca="1">R710/(R710+(185*模拟模式!$E$22-16800)*4.08224)</f>
        <v>8.389626085980037E-2</v>
      </c>
      <c r="T710" s="45" t="str">
        <f ca="1">LOOKUP(D710,'模拟-单技能数据'!$A$2:$A$19,'模拟-单技能数据'!$H$2:$H$19)</f>
        <v>阳</v>
      </c>
      <c r="U710" s="119">
        <f t="shared" ca="1" si="599"/>
        <v>0.2</v>
      </c>
      <c r="V710" s="47">
        <f ca="1">(1+L710)*(LOOKUP(D710,'模拟-单技能数据'!$A$2:$A$19,'模拟-单技能数据'!$D$2:$D$19)+G710*LOOKUP(D710,'模拟-单技能数据'!$A$2:$A$19,'模拟-单技能数据'!$F$2:$F$19))*(1+J710)*(1+K710)*(1-S710)*(1+U710)*Q710*LOOKUP(D710,'模拟-单技能数据'!$A$2:$A$19,'模拟-单技能数据'!$I$2:$I$20)</f>
        <v>94575.365106402023</v>
      </c>
      <c r="W710" s="47">
        <f ca="1">LOOKUP(D710,'模拟-单技能数据'!$A$2:$A$19,'模拟-单技能数据'!$G$2:$G$19)*$I$10</f>
        <v>723.0212870940959</v>
      </c>
      <c r="X710" s="47">
        <f t="shared" ca="1" si="627"/>
        <v>12568.761253176723</v>
      </c>
      <c r="Y710" s="47">
        <f t="shared" ca="1" si="600"/>
        <v>107867.14764667285</v>
      </c>
      <c r="Z710" s="49">
        <f t="shared" ca="1" si="601"/>
        <v>71213469.369316339</v>
      </c>
      <c r="AA710" s="97">
        <f t="shared" ca="1" si="602"/>
        <v>113025.14313040352</v>
      </c>
      <c r="AB710" s="115">
        <f ca="1">IF(OR(C710="赤日轮1",C710="赤日轮2",C710="赤日轮3"),IF(RAND()&lt;模拟模式!$Y$17,1,0),IF(OR(C710="幽月轮1",C710="幽月轮2",C710="幽月轮3"),IF(RAND()&lt;模拟模式!$Y$18,1,0),IF(C710="烈日斩",IF(RAND()&lt;模拟模式!$Y$19,1,0),IF(C710="银月斩",IF(RAND()&lt;模拟模式!$Y$20,1,0),IF(C710="驱夜断愁",IF(RAND()&lt;模拟模式!$Y$21,1,0),IF(C710="净世破魔击·日",IF(RAND()&lt;模拟模式!$Y$22,1,0),IF(C710="净世破魔击·月",IF(RAND()&lt;模拟模式!$Y$23,1,0),0)))))))</f>
        <v>1</v>
      </c>
      <c r="AC710" s="115" t="b">
        <f t="shared" ca="1" si="603"/>
        <v>0</v>
      </c>
      <c r="AD710" s="115" t="b">
        <f t="shared" ca="1" si="604"/>
        <v>0</v>
      </c>
      <c r="AE710" s="115">
        <f t="shared" ca="1" si="605"/>
        <v>3</v>
      </c>
      <c r="AF710" s="47">
        <f ca="1">IF(AC710,('模拟-单技能数据'!$D$20+G710*'模拟-单技能数据'!$F$20)*(1+J710)*(1+'模拟-单技能数据'!$J$20)*(1+U710),0)</f>
        <v>0</v>
      </c>
      <c r="AG710" s="61">
        <f t="shared" ca="1" si="606"/>
        <v>0.64185145527300214</v>
      </c>
      <c r="AH710" s="61">
        <f t="shared" ca="1" si="607"/>
        <v>2.2624828854998791</v>
      </c>
      <c r="AI710" s="62">
        <f t="shared" ca="1" si="628"/>
        <v>0.27186016943354629</v>
      </c>
      <c r="AJ710" s="47">
        <f ca="1">IF(AD710,IF(AI710&lt;$F$10,0,IF(AI710&lt;$F$10+$F$11,0.25,IF(AI710&lt;$F$10+$F$11+AG710,AH710,1)))*IF(AF710&gt;0,AF710,IF(AF709&gt;0,AF709,IF(AF708&gt;0,AF708,IF(AF707&gt;0,AF707,IF(AF706&gt;0,AF706,IF(AF705&gt;0,AF705,IF(AF704&gt;0,AF704,IF(AF703&gt;0,AF703,IF(AF702&gt;0,AF702,IF(AF700&gt;0,AF700,IF(AF699&gt;0,AF699,IF(AF698&gt;0,AF698,0)))))))))))),0)*(1-$S710)*'模拟-单技能数据'!$I$20</f>
        <v>0</v>
      </c>
      <c r="AK710" s="115" t="b">
        <f t="shared" ca="1" si="608"/>
        <v>1</v>
      </c>
      <c r="AL710" s="115" t="b">
        <f t="shared" ca="1" si="609"/>
        <v>0</v>
      </c>
      <c r="AM710" s="115">
        <f t="shared" ca="1" si="610"/>
        <v>6</v>
      </c>
      <c r="AN710" s="47">
        <f ca="1">IF(AK710,('模拟-单技能数据'!$D$21+G710*'模拟-单技能数据'!$F$21)*(1+J710)*(1+'模拟-单技能数据'!$J$21)*(1+U710),0)</f>
        <v>12670.936004857545</v>
      </c>
      <c r="AO710" s="61">
        <f ca="1">IF(AN710&gt;0,M710-'模拟-单技能数据'!$K$10,AO709)</f>
        <v>0.42185145527300216</v>
      </c>
      <c r="AP710" s="61">
        <f ca="1">IF(AN710&gt;0,I710-'模拟-单技能数据'!$L$10,AP709)</f>
        <v>2.162482885499879</v>
      </c>
      <c r="AQ710" s="63">
        <f t="shared" ca="1" si="629"/>
        <v>6.9076380362753875E-2</v>
      </c>
      <c r="AR710" s="64">
        <f ca="1">IF(AL710,IF(AQ710&lt;$F$10,0,IF(AQ710&lt;$F$10+$F$11,0.25,IF(AQ710&lt;$F$10+$F$11+AO710,AP710,1)))*IF(AN710&gt;0,AN710,IF(AN709&gt;0,AN709,IF(AN708&gt;0,AN708,IF(AN707&gt;0,AN707,IF(AN706&gt;0,AN706,IF(AN705&gt;0,AN705,IF(AN704&gt;0,AN704,IF(AN703&gt;0,AN703,IF(AN702&gt;0,AN702,IF(AN700&gt;0,AN700,IF(AN699&gt;0,AN699,IF(AN698&gt;0,AN698,0)))))))))))),0)*(1-$S710)*'模拟-单技能数据'!$I$21</f>
        <v>0</v>
      </c>
      <c r="AS710" s="61">
        <f ca="1">IF(OR(C710="净世破魔击·日",C710="净世破魔击·月"),M710-'模拟-单技能数据'!$K$10,0)</f>
        <v>0.42185145527300216</v>
      </c>
      <c r="AT710" s="61">
        <f ca="1">IF(OR(C710="净世破魔击·日",C710="净世破魔击·月"),I710-'模拟-单技能数据'!$L$10,0)</f>
        <v>2.162482885499879</v>
      </c>
      <c r="AU710" s="62">
        <f t="shared" ca="1" si="630"/>
        <v>2.6949040264545698E-2</v>
      </c>
      <c r="AV710" s="64">
        <f ca="1">IF(AS710&gt;0,('模拟-单技能数据'!$D$22+G710*'模拟-单技能数据'!$F$22)*(1+J710)*(1-S710)*IF(AU710&lt;$F$10,0,IF(AU710&lt;$F$10+$F$11,0.25,IF(AU710&lt;$F$10+$F$11+AS710,AT710,1)))*(1+U710),0)*'模拟-单技能数据'!$I$22</f>
        <v>2210.0585437142904</v>
      </c>
      <c r="AW710" s="108">
        <f t="shared" ca="1" si="631"/>
        <v>0</v>
      </c>
      <c r="AX710" s="108" t="b">
        <f ca="1">AND(模拟模式!$P$10="有",AW709=0,RAND()&lt;IF(C710="净世破魔击·月",0.1*8/3,IF(C710="净世破魔击·日",0.1*4/3,0.1*2/3)))</f>
        <v>0</v>
      </c>
      <c r="AY710" s="47">
        <f ca="1">IF(AX710,(18+G710*0.722)*(1+J710)*(1-S710)*(1+$I$4)*IF(P710="会",'模拟-全程加成'!$J$3+'模拟-全程加成'!$J$4+'模拟-全程加成'!$J$5+('模拟-全程加成'!$I$4+'模拟-全程加成'!$I$5)/系数!$B$4+BG710*10%,IF(P710="命",1,IF(P710="识",0.25,0))),0)</f>
        <v>0</v>
      </c>
      <c r="AZ710" s="108">
        <f t="shared" si="632"/>
        <v>19.077500000000001</v>
      </c>
      <c r="BA710" s="108" t="b">
        <f>AND(模拟模式!$Q$10="有",AZ709=0)</f>
        <v>1</v>
      </c>
      <c r="BB710" s="140">
        <f ca="1">IF(BA710,(0+G710*0.287)*(1+J710)*(1-S710)*(1+$I$4)*IF(P710="会",'模拟-全程加成'!$J$3+'模拟-全程加成'!$J$4+'模拟-全程加成'!$J$5+('模拟-全程加成'!$I$4+'模拟-全程加成'!$I$5)/系数!$B$4+BG710*10%,IF(P710="命",1,IF(P710="识",0.25,0))),0)</f>
        <v>10358.702709462432</v>
      </c>
      <c r="BC710" s="115" t="b">
        <f ca="1">AND(模拟模式!$R$7="伏明众生",E710=60,F710=20,DA710&lt;5,CZ709&lt;$F$4)</f>
        <v>0</v>
      </c>
      <c r="BD710" s="115">
        <f t="shared" ca="1" si="611"/>
        <v>0</v>
      </c>
      <c r="BE710" s="115" t="b">
        <f t="shared" ca="1" si="612"/>
        <v>0</v>
      </c>
      <c r="BF710" s="47">
        <f ca="1">IF(BC710,4*('模拟-单技能数据'!$D$24+G710*'模拟-单技能数据'!$F$24)*(1+J710)*(1+'模拟-单技能数据'!$J$24)*(1-S710)*(1+$I$3)*(('模拟-全程加成'!$J$3+'模拟-全程加成'!$J$4+'模拟-全程加成'!$J$5+('模拟-全程加成'!$I$4+'模拟-全程加成'!$I$5)/系数!$B$4+BG710*10%)*('模拟-全程加成'!$J$3+'模拟-全程加成'!$J$4+'模拟-全程加成'!$J$5+('模拟-全程加成'!$I$4+'模拟-全程加成'!$I$5)/系数!$B$4+BG710*10%)+(1-('模拟-全程加成'!$J$3+'模拟-全程加成'!$J$4+'模拟-全程加成'!$J$5+('模拟-全程加成'!$I$4+'模拟-全程加成'!$I$5)/系数!$B$4+BG710*10%)-$F$10-$F$11)+F696*0.25),0)*'模拟-单技能数据'!$I$24</f>
        <v>0</v>
      </c>
      <c r="BG710" s="115" t="b">
        <f ca="1">OR(AND(OR(C710="烈日斩",C710="银月斩"),模拟模式!$I$7="净身明礼"),AND(C710="净世破魔击·日",模拟模式!$J$7="洞若观火"),AND(C711="净世破魔击·月",模拟模式!$J$7="洞若观火"),AB710=1)</f>
        <v>1</v>
      </c>
      <c r="BH710" s="115" t="b">
        <f t="shared" ca="1" si="633"/>
        <v>1</v>
      </c>
      <c r="BI710" s="115">
        <f t="shared" ca="1" si="613"/>
        <v>6</v>
      </c>
      <c r="BJ710" s="115" t="b">
        <f t="shared" ca="1" si="614"/>
        <v>1</v>
      </c>
      <c r="BK710" s="115" t="b">
        <f ca="1">AND(C710="驱夜断愁",模拟模式!$P$7="天地诛戮")</f>
        <v>0</v>
      </c>
      <c r="BL710" s="57">
        <f t="shared" ca="1" si="615"/>
        <v>16.310000000000002</v>
      </c>
      <c r="BM710" s="115" t="b">
        <f t="shared" ca="1" si="616"/>
        <v>1</v>
      </c>
      <c r="BN710" s="115" t="b">
        <f ca="1">AND(OR(C710="赤日轮1",C710="赤日轮2",C710="赤日轮3",C710="幽月轮1",C710="幽月轮2",C710="幽月轮3"),AB710=1,模拟模式!$L$7="明光恒照")</f>
        <v>0</v>
      </c>
      <c r="BO710" s="117">
        <f t="shared" ca="1" si="617"/>
        <v>28.155000000000001</v>
      </c>
      <c r="BP710" s="115">
        <f t="shared" ca="1" si="634"/>
        <v>6</v>
      </c>
      <c r="BQ710" s="115" t="b">
        <f>模拟模式!$K$10="2600·水"</f>
        <v>0</v>
      </c>
      <c r="BR710" s="117">
        <f t="shared" si="635"/>
        <v>0</v>
      </c>
      <c r="BS710" s="115">
        <f t="shared" si="636"/>
        <v>0</v>
      </c>
      <c r="BT710" s="115">
        <f t="shared" ca="1" si="637"/>
        <v>0</v>
      </c>
      <c r="BU710" s="115" t="b">
        <f ca="1">AND(模拟模式!$K$10="2300·雷",BT709=0,RAND()&lt;IF(C710="净世破魔击·月",5*0.05*2/3,IF(C710="净世破魔击·日",3*0.05*2/3,0.05*2*2/3)))</f>
        <v>0</v>
      </c>
      <c r="BV710" s="115">
        <f t="shared" ca="1" si="638"/>
        <v>0</v>
      </c>
      <c r="BW710" s="115">
        <f t="shared" ca="1" si="639"/>
        <v>108.04499999999925</v>
      </c>
      <c r="BX710" s="164" t="b">
        <f t="shared" ca="1" si="640"/>
        <v>0</v>
      </c>
      <c r="BY710" s="115">
        <f t="shared" ca="1" si="641"/>
        <v>0</v>
      </c>
      <c r="BZ710" s="115">
        <f>IF(OR(模拟模式!$P$16="10人团",模拟模式!$P$16="25人团"),IF(B710/30&gt;CA709,1,0),0)</f>
        <v>0</v>
      </c>
      <c r="CA710" s="115">
        <f t="shared" si="618"/>
        <v>0</v>
      </c>
      <c r="CB710" s="115">
        <f ca="1">IF(BZ710=1,IF(模拟模式!$P$16="10人团",15,0)+IF(模拟模式!$P$16="25人团",IF(RAND()&lt;0.6,15,0)),MAX(0,CB709-$F$4))</f>
        <v>0</v>
      </c>
      <c r="CC710" s="115" t="b">
        <f t="shared" ca="1" si="619"/>
        <v>0</v>
      </c>
      <c r="CD710" s="115">
        <f>IF(模拟模式!$Q$16="1个",IF(B710/40&gt;CE709,1,0),0)</f>
        <v>0</v>
      </c>
      <c r="CE710" s="115">
        <f t="shared" si="620"/>
        <v>0</v>
      </c>
      <c r="CF710" s="115">
        <f>IF(OR(CD710=1,模拟模式!$Q$16="2个"),20,MAX(0,CF709-$F$4))</f>
        <v>0</v>
      </c>
      <c r="CG710" s="115" t="b">
        <f t="shared" si="621"/>
        <v>0</v>
      </c>
      <c r="CH710" s="115">
        <f t="shared" ca="1" si="642"/>
        <v>19.852500000000006</v>
      </c>
      <c r="CI710" s="115" t="b">
        <f t="shared" ca="1" si="643"/>
        <v>0</v>
      </c>
      <c r="CJ710" s="119">
        <f t="shared" ca="1" si="644"/>
        <v>0</v>
      </c>
      <c r="CK710" s="115">
        <f t="shared" ca="1" si="645"/>
        <v>0</v>
      </c>
      <c r="CL710" s="115" t="b">
        <f ca="1">AND(模拟模式!$S$7="驱夷逐法",OR(AND(C710="净世破魔击·月",E709&gt;59),AND(C710="净世破魔击·日",F709&gt;59)))</f>
        <v>0</v>
      </c>
      <c r="CM710" s="115" t="b">
        <f ca="1">OR(CL710,AND(C710="净世破魔击·日",CL709,RAND()&lt;模拟模式!$U$23))</f>
        <v>1</v>
      </c>
      <c r="CN710" s="115" t="b">
        <f ca="1">IF(模拟模式!$M$7="辉耀红尘",AND(C710="净世破魔击·月",CL710,CV710=0,E709&lt;80),AND(C710="净世破魔击·月",CL710,E709&lt;100))</f>
        <v>0</v>
      </c>
      <c r="CO710" s="115" t="b">
        <f t="shared" ca="1" si="622"/>
        <v>0</v>
      </c>
      <c r="CP710" s="115" t="b">
        <f ca="1">AND(模拟模式!$O$7="用晦而明",OR(C710="净世破魔击·日",C710="净世破魔击·月",C710="驱夜断愁"),AB710)</f>
        <v>1</v>
      </c>
      <c r="CQ710" s="115" t="b">
        <f ca="1">OR(CP710,AND(CP709,RAND()&lt;模拟模式!$U$23))</f>
        <v>1</v>
      </c>
      <c r="CR710" s="115" t="b">
        <f ca="1">AND(模拟模式!$S$7="日月齐光",OR(C710="幽月轮1",C710="幽月轮2",C710="幽月轮3",CR709),NOT(OR(C710="赤日轮1",C710="赤日轮2",C710="赤日轮3")))</f>
        <v>0</v>
      </c>
      <c r="CS710" s="115" t="b">
        <f ca="1">AND(模拟模式!$S$7="日月齐光",OR(C710="赤日轮1",C710="赤日轮2",C710="赤日轮3",CS709),NOT(OR(C710="幽月轮1",C710="幽月轮2",C710="幽月轮3")))</f>
        <v>0</v>
      </c>
      <c r="CT710" s="115">
        <f t="shared" ca="1" si="646"/>
        <v>0</v>
      </c>
      <c r="CU710" s="115" t="b">
        <f ca="1">AND(模拟模式!$K$10="阴阳往极",CT709=0,RAND()&lt;IF(C710="净世破魔击·月",0.0275*7/3,IF(C710="净世破魔击·日",0.0275*3/3,0.0275*2/3)))</f>
        <v>0</v>
      </c>
      <c r="CV710" s="115">
        <f t="shared" ca="1" si="647"/>
        <v>0</v>
      </c>
      <c r="CW710" s="115">
        <f t="shared" ca="1" si="648"/>
        <v>3.2324999999999995</v>
      </c>
      <c r="CX710" s="115">
        <f t="shared" ca="1" si="649"/>
        <v>1.3874999999999997</v>
      </c>
      <c r="CY710" s="115">
        <f ca="1">MAX(IF($C710="驱夜断愁",IF(模拟模式!$R$7="万念俱寂",6,45),CY709-$F$4),0)</f>
        <v>2.3099999999999996</v>
      </c>
      <c r="CZ710" s="115">
        <f t="shared" ca="1" si="623"/>
        <v>0</v>
      </c>
      <c r="DA710" s="115">
        <f ca="1">IF(模拟模式!$N$7="日月同辉",IF(DB709=2,0,MIN(6,IF(AND(OR(C710="赤日轮1",C710="赤日轮2",C710="赤日轮3",C710="幽月轮1",C710="幽月轮2",C710="幽月轮3"),AB710=1),DA709+1,DA709))),0)</f>
        <v>5</v>
      </c>
      <c r="DB710" s="115">
        <f t="shared" ca="1" si="624"/>
        <v>0</v>
      </c>
      <c r="DC710" s="115"/>
      <c r="DD710" s="115"/>
      <c r="DE710" s="115"/>
      <c r="DF710" s="115"/>
      <c r="DG710" s="115"/>
      <c r="DH710" s="115"/>
      <c r="DI710" s="115"/>
      <c r="DJ710" s="115"/>
      <c r="DK710" s="115"/>
      <c r="DL710" s="115"/>
      <c r="DM710" s="115"/>
    </row>
    <row r="711" spans="2:117" x14ac:dyDescent="0.2">
      <c r="B711" s="117">
        <f t="shared" si="625"/>
        <v>630.99000000000729</v>
      </c>
      <c r="C711" s="167" t="str">
        <f t="shared" ca="1" si="594"/>
        <v>赤日轮1</v>
      </c>
      <c r="D711" s="115">
        <f ca="1">IF(C711="赤日轮1",1,IF(C711="赤日轮2",2,IF(C711="赤日轮3",3,IF(C711="幽月轮1",4,IF(C711="幽月轮2",5,IF(C711="幽月轮3",6,IF(C711="烈日斩",7,IF(C711="银月斩",8,IF(C711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711="净世破魔击·月",17,IF(C711="驱夜断愁",18,0)))))))))))</f>
        <v>1</v>
      </c>
      <c r="E711" s="115">
        <f ca="1">IF(AND(CU711,OR(C711="幽月轮1",C711="幽月轮2",C711="幽月轮3",C711="银月斩",C711="驱夜断愁",C711="净世破魔击·月")),100,MIN(IF(OR(CN711,BE711),0,IF(OR($C711="赤日轮1",$C711="赤日轮2",$C711="赤日轮3"),E710+20+IF(模拟模式!$I$7="日月凌天",4,0)+IF(CR710,20,0),IF($C711="烈日斩",E710+40,IF($C711="驱夜断愁",IF(模拟模式!$R$7="万念俱寂",E710+20,E710+60),IF($C711="净世破魔击·月",IF(OR(DB710&gt;0,CV710&gt;0),100,IF(模拟模式!$M$7="辉耀红尘",E710+20,E710)),IF($C711="净世破魔击·日",E710-100,E710)))))),100))</f>
        <v>20</v>
      </c>
      <c r="F711" s="115">
        <f ca="1">IF(AND(CU711,OR(C711="赤日轮1",C711="赤日轮2",C711="赤日轮3",C711="烈日斩",C711="净世破魔击·日")),100,MIN(IF(CO711,0,IF(OR($C711="幽月轮1",$C711="幽月轮2",$C711="幽月轮3"),F710+20+IF(模拟模式!$I$7="日月凌天",4,0)+IF(CS710,20,0),IF($C711="银月斩",F710+40+IF(模拟模式!$X$12=1,5,0),IF($C711="驱夜断愁",IF(模拟模式!$R$7="万念俱寂",F710+20,F710+60),IF($C711="净世破魔击·月",IF(模拟模式!$M$7="辉耀红尘",F710-80,F710-100),IF(AND(C711="净世破魔击·日",OR(DB710&gt;0,CV710&gt;0)),100,F710)))))),100))</f>
        <v>20</v>
      </c>
      <c r="G711" s="117">
        <f ca="1">('模拟-全程加成'!$E$3+'模拟-全程加成'!$E$4+'模拟-全程加成'!$E$5+('模拟-全程加成'!$C$6-'模拟-全程加成'!$C$3)*系数!$B$9+BS711*23)*(1+'模拟-全程加成'!$F$4+'模拟-全程加成'!$F$5+BJ711*10%+BM711*20%+BP711*4%+CG711*30%)+$F$7*系数!$B$12</f>
        <v>21493.829400000002</v>
      </c>
      <c r="H711" s="45">
        <f ca="1">'模拟-全程加成'!$H$3+'模拟-全程加成'!$H$4+'模拟-全程加成'!$H$5+('模拟-全程加成'!$G$4+'模拟-全程加成'!$G$5+('模拟-全程加成'!$C$6-'模拟-全程加成'!$C$3)*系数!$B$13)/系数!$B$3+LOOKUP(D711,'模拟-单技能数据'!$A$2:$A$19,'模拟-单技能数据'!$K$2:$K$19)+BG711*10%+IF(BV711&gt;0,378,0)</f>
        <v>0.4618514552730022</v>
      </c>
      <c r="I711" s="45">
        <f ca="1">'模拟-全程加成'!$J$3+'模拟-全程加成'!$J$4+'模拟-全程加成'!$J$5+('模拟-全程加成'!$I$4+'模拟-全程加成'!$I$5)/系数!$B$4+LOOKUP(D711,'模拟-单技能数据'!$A$2:$A$19,'模拟-单技能数据'!$L$2:$L$19)+BG711*10%</f>
        <v>2.162482885499879</v>
      </c>
      <c r="J711" s="45">
        <f ca="1">(('模拟-全程加成'!$K$3+'模拟-全程加成'!$K$4+'模拟-全程加成'!$K$5+('模拟-全程加成'!$C$6-'模拟-全程加成'!$C$3)*系数!$B$10+IF(BV711&gt;0,882,0)+IF(BY711&gt;0,1831,0))*(1+'模拟-全程加成'!$L$4+'模拟-全程加成'!$L$5+CC711*20%))/系数!$B$5</f>
        <v>0.69723220422048726</v>
      </c>
      <c r="K711" s="119">
        <f ca="1">LOOKUP(D711,'模拟-单技能数据'!$A$2:$A$19,'模拟-单技能数据'!$J$2:$J$19)+IF(CM711,60%,0)+IF(DB710-DB711&gt;0,30%,0)+IF(OR(AND(OR(C711="赤日轮1",C711="赤日轮2",C711="赤日轮3"),CR711),AND(OR(C711="幽月轮1",C711="幽月轮2",C711="幽月轮3"),CS711)),35%,0)+CJ711</f>
        <v>0.12</v>
      </c>
      <c r="L711" s="119">
        <f ca="1">IF(AND(C711="烈日斩",模拟模式!$X$11=1),10%,0)+IF(AND(C711="驱夜断愁",AB711=1),30%,0)</f>
        <v>0</v>
      </c>
      <c r="M711" s="45">
        <f t="shared" ca="1" si="595"/>
        <v>0.4618514552730022</v>
      </c>
      <c r="N711" s="45">
        <f t="shared" ca="1" si="596"/>
        <v>0.48424854472699785</v>
      </c>
      <c r="O711" s="46">
        <f t="shared" ca="1" si="626"/>
        <v>5.1137140345836163E-2</v>
      </c>
      <c r="P711" s="46" t="str">
        <f t="shared" ca="1" si="597"/>
        <v>识</v>
      </c>
      <c r="Q711" s="45">
        <f t="shared" ca="1" si="598"/>
        <v>0.25</v>
      </c>
      <c r="R711" s="117">
        <f ca="1">模拟模式!$E$20*(1-IF(模拟模式!$J$19="有",0.15,0))*(1-IF(模拟模式!$K$19="有",0.3,0)-IF(CQ711,0.5,0))</f>
        <v>843.02999999999975</v>
      </c>
      <c r="S711" s="45">
        <f ca="1">R711/(R711+(185*模拟模式!$E$22-16800)*4.08224)</f>
        <v>8.389626085980037E-2</v>
      </c>
      <c r="T711" s="45" t="str">
        <f ca="1">LOOKUP(D711,'模拟-单技能数据'!$A$2:$A$19,'模拟-单技能数据'!$H$2:$H$19)</f>
        <v>阳</v>
      </c>
      <c r="U711" s="119">
        <f t="shared" ca="1" si="599"/>
        <v>0.2</v>
      </c>
      <c r="V711" s="47">
        <f ca="1">(1+L711)*(LOOKUP(D711,'模拟-单技能数据'!$A$2:$A$19,'模拟-单技能数据'!$D$2:$D$19)+G711*LOOKUP(D711,'模拟-单技能数据'!$A$2:$A$19,'模拟-单技能数据'!$F$2:$F$19))*(1+J711)*(1+K711)*(1-S711)*(1+U711)*Q711*LOOKUP(D711,'模拟-单技能数据'!$A$2:$A$19,'模拟-单技能数据'!$I$2:$I$20)</f>
        <v>6573.9429077858304</v>
      </c>
      <c r="W711" s="47">
        <f ca="1">LOOKUP(D711,'模拟-单技能数据'!$A$2:$A$19,'模拟-单技能数据'!$G$2:$G$19)*$I$10</f>
        <v>361.51064354704795</v>
      </c>
      <c r="X711" s="47">
        <f t="shared" ca="1" si="627"/>
        <v>29176.565489789831</v>
      </c>
      <c r="Y711" s="47">
        <f t="shared" ca="1" si="600"/>
        <v>36112.019041122709</v>
      </c>
      <c r="Z711" s="49">
        <f t="shared" ca="1" si="601"/>
        <v>71249581.38835746</v>
      </c>
      <c r="AA711" s="97">
        <f t="shared" ca="1" si="602"/>
        <v>112917.13242421692</v>
      </c>
      <c r="AB711" s="115">
        <f ca="1">IF(OR(C711="赤日轮1",C711="赤日轮2",C711="赤日轮3"),IF(RAND()&lt;模拟模式!$Y$17,1,0),IF(OR(C711="幽月轮1",C711="幽月轮2",C711="幽月轮3"),IF(RAND()&lt;模拟模式!$Y$18,1,0),IF(C711="烈日斩",IF(RAND()&lt;模拟模式!$Y$19,1,0),IF(C711="银月斩",IF(RAND()&lt;模拟模式!$Y$20,1,0),IF(C711="驱夜断愁",IF(RAND()&lt;模拟模式!$Y$21,1,0),IF(C711="净世破魔击·日",IF(RAND()&lt;模拟模式!$Y$22,1,0),IF(C711="净世破魔击·月",IF(RAND()&lt;模拟模式!$Y$23,1,0),0)))))))</f>
        <v>1</v>
      </c>
      <c r="AC711" s="115" t="b">
        <f t="shared" ca="1" si="603"/>
        <v>0</v>
      </c>
      <c r="AD711" s="115" t="b">
        <f t="shared" ca="1" si="604"/>
        <v>1</v>
      </c>
      <c r="AE711" s="115">
        <f t="shared" ca="1" si="605"/>
        <v>2</v>
      </c>
      <c r="AF711" s="47">
        <f ca="1">IF(AC711,('模拟-单技能数据'!$D$20+G711*'模拟-单技能数据'!$F$20)*(1+J711)*(1+'模拟-单技能数据'!$J$20)*(1+U711),0)</f>
        <v>0</v>
      </c>
      <c r="AG711" s="61">
        <f t="shared" ca="1" si="606"/>
        <v>0.64185145527300214</v>
      </c>
      <c r="AH711" s="61">
        <f t="shared" ca="1" si="607"/>
        <v>2.2624828854998791</v>
      </c>
      <c r="AI711" s="62">
        <f t="shared" ca="1" si="628"/>
        <v>0.8209048660645748</v>
      </c>
      <c r="AJ711" s="47">
        <f ca="1">IF(AD711,IF(AI711&lt;$F$10,0,IF(AI711&lt;$F$10+$F$11,0.25,IF(AI711&lt;$F$10+$F$11+AG711,AH711,1)))*IF(AF711&gt;0,AF711,IF(AF710&gt;0,AF710,IF(AF709&gt;0,AF709,IF(AF708&gt;0,AF708,IF(AF707&gt;0,AF707,IF(AF706&gt;0,AF706,IF(AF705&gt;0,AF705,IF(AF704&gt;0,AF704,IF(AF703&gt;0,AF703,IF(AF701&gt;0,AF701,IF(AF700&gt;0,AF700,IF(AF699&gt;0,AF699,0)))))))))))),0)*(1-$S711)*'模拟-单技能数据'!$I$20</f>
        <v>4074.6980221198578</v>
      </c>
      <c r="AK711" s="115" t="b">
        <f t="shared" ca="1" si="608"/>
        <v>0</v>
      </c>
      <c r="AL711" s="115" t="b">
        <f t="shared" ca="1" si="609"/>
        <v>1</v>
      </c>
      <c r="AM711" s="115">
        <f t="shared" ca="1" si="610"/>
        <v>5</v>
      </c>
      <c r="AN711" s="47">
        <f ca="1">IF(AK711,('模拟-单技能数据'!$D$21+G711*'模拟-单技能数据'!$F$21)*(1+J711)*(1+'模拟-单技能数据'!$J$21)*(1+U711),0)</f>
        <v>0</v>
      </c>
      <c r="AO711" s="61">
        <f ca="1">IF(AN711&gt;0,M711-'模拟-单技能数据'!$K$10,AO710)</f>
        <v>0.42185145527300216</v>
      </c>
      <c r="AP711" s="61">
        <f ca="1">IF(AN711&gt;0,I711-'模拟-单技能数据'!$L$10,AP710)</f>
        <v>2.162482885499879</v>
      </c>
      <c r="AQ711" s="63">
        <f t="shared" ca="1" si="629"/>
        <v>0.24952002499926773</v>
      </c>
      <c r="AR711" s="64">
        <f ca="1">IF(AL711,IF(AQ711&lt;$F$10,0,IF(AQ711&lt;$F$10+$F$11,0.25,IF(AQ711&lt;$F$10+$F$11+AO711,AP711,1)))*IF(AN711&gt;0,AN711,IF(AN710&gt;0,AN710,IF(AN709&gt;0,AN709,IF(AN708&gt;0,AN708,IF(AN707&gt;0,AN707,IF(AN706&gt;0,AN706,IF(AN705&gt;0,AN705,IF(AN704&gt;0,AN704,IF(AN703&gt;0,AN703,IF(AN701&gt;0,AN701,IF(AN700&gt;0,AN700,IF(AN699&gt;0,AN699,0)))))))))))),0)*(1-$S711)*'模拟-单技能数据'!$I$21</f>
        <v>25101.867467669974</v>
      </c>
      <c r="AS711" s="61">
        <f ca="1">IF(OR(C711="净世破魔击·日",C711="净世破魔击·月"),M711-'模拟-单技能数据'!$K$10,0)</f>
        <v>0</v>
      </c>
      <c r="AT711" s="61">
        <f ca="1">IF(OR(C711="净世破魔击·日",C711="净世破魔击·月"),I711-'模拟-单技能数据'!$L$10,0)</f>
        <v>0</v>
      </c>
      <c r="AU711" s="62">
        <f t="shared" ca="1" si="630"/>
        <v>0.34092268224348743</v>
      </c>
      <c r="AV711" s="64">
        <f ca="1">IF(AS711&gt;0,('模拟-单技能数据'!$D$22+G711*'模拟-单技能数据'!$F$22)*(1+J711)*(1-S711)*IF(AU711&lt;$F$10,0,IF(AU711&lt;$F$10+$F$11,0.25,IF(AU711&lt;$F$10+$F$11+AS711,AT711,1)))*(1+U711),0)*'模拟-单技能数据'!$I$22</f>
        <v>0</v>
      </c>
      <c r="AW711" s="108">
        <f t="shared" ca="1" si="631"/>
        <v>0</v>
      </c>
      <c r="AX711" s="108" t="b">
        <f ca="1">AND(模拟模式!$P$10="有",AW710=0,RAND()&lt;IF(C711="净世破魔击·月",0.1*8/3,IF(C711="净世破魔击·日",0.1*4/3,0.1*2/3)))</f>
        <v>0</v>
      </c>
      <c r="AY711" s="47">
        <f ca="1">IF(AX711,(18+G711*0.722)*(1+J711)*(1-S711)*(1+$I$4)*IF(P711="会",'模拟-全程加成'!$J$3+'模拟-全程加成'!$J$4+'模拟-全程加成'!$J$5+('模拟-全程加成'!$I$4+'模拟-全程加成'!$I$5)/系数!$B$4+BG711*10%,IF(P711="命",1,IF(P711="识",0.25,0))),0)</f>
        <v>0</v>
      </c>
      <c r="AZ711" s="108">
        <f t="shared" si="632"/>
        <v>18.155000000000001</v>
      </c>
      <c r="BA711" s="108" t="b">
        <f>AND(模拟模式!$Q$10="有",AZ710=0)</f>
        <v>0</v>
      </c>
      <c r="BB711" s="140">
        <f>IF(BA711,(0+G711*0.287)*(1+J711)*(1-S711)*(1+$I$4)*IF(P711="会",'模拟-全程加成'!$J$3+'模拟-全程加成'!$J$4+'模拟-全程加成'!$J$5+('模拟-全程加成'!$I$4+'模拟-全程加成'!$I$5)/系数!$B$4+BG711*10%,IF(P711="命",1,IF(P711="识",0.25,0))),0)</f>
        <v>0</v>
      </c>
      <c r="BC711" s="115" t="b">
        <f ca="1">AND(模拟模式!$R$7="伏明众生",E711=60,F711=20,DA711&lt;5,CZ710&lt;$F$4)</f>
        <v>0</v>
      </c>
      <c r="BD711" s="115">
        <f t="shared" ca="1" si="611"/>
        <v>0</v>
      </c>
      <c r="BE711" s="115" t="b">
        <f t="shared" ca="1" si="612"/>
        <v>0</v>
      </c>
      <c r="BF711" s="47">
        <f ca="1">IF(BC711,4*('模拟-单技能数据'!$D$24+G711*'模拟-单技能数据'!$F$24)*(1+J711)*(1+'模拟-单技能数据'!$J$24)*(1-S711)*(1+$I$3)*(('模拟-全程加成'!$J$3+'模拟-全程加成'!$J$4+'模拟-全程加成'!$J$5+('模拟-全程加成'!$I$4+'模拟-全程加成'!$I$5)/系数!$B$4+BG711*10%)*('模拟-全程加成'!$J$3+'模拟-全程加成'!$J$4+'模拟-全程加成'!$J$5+('模拟-全程加成'!$I$4+'模拟-全程加成'!$I$5)/系数!$B$4+BG711*10%)+(1-('模拟-全程加成'!$J$3+'模拟-全程加成'!$J$4+'模拟-全程加成'!$J$5+('模拟-全程加成'!$I$4+'模拟-全程加成'!$I$5)/系数!$B$4+BG711*10%)-$F$10-$F$11)+F697*0.25),0)*'模拟-单技能数据'!$I$24</f>
        <v>0</v>
      </c>
      <c r="BG711" s="115" t="b">
        <f ca="1">OR(AND(OR(C711="烈日斩",C711="银月斩"),模拟模式!$I$7="净身明礼"),AND(C711="净世破魔击·日",模拟模式!$J$7="洞若观火"),AND(C712="净世破魔击·月",模拟模式!$J$7="洞若观火"),AB711=1)</f>
        <v>1</v>
      </c>
      <c r="BH711" s="115" t="b">
        <f t="shared" ca="1" si="633"/>
        <v>0</v>
      </c>
      <c r="BI711" s="115">
        <f t="shared" ca="1" si="613"/>
        <v>5.0774999999999997</v>
      </c>
      <c r="BJ711" s="115" t="b">
        <f t="shared" ca="1" si="614"/>
        <v>1</v>
      </c>
      <c r="BK711" s="115" t="b">
        <f ca="1">AND(C711="驱夜断愁",模拟模式!$P$7="天地诛戮")</f>
        <v>0</v>
      </c>
      <c r="BL711" s="57">
        <f t="shared" ca="1" si="615"/>
        <v>15.387500000000003</v>
      </c>
      <c r="BM711" s="115" t="b">
        <f t="shared" ca="1" si="616"/>
        <v>1</v>
      </c>
      <c r="BN711" s="115" t="b">
        <f ca="1">AND(OR(C711="赤日轮1",C711="赤日轮2",C711="赤日轮3",C711="幽月轮1",C711="幽月轮2",C711="幽月轮3"),AB711=1,模拟模式!$L$7="明光恒照")</f>
        <v>1</v>
      </c>
      <c r="BO711" s="117">
        <f t="shared" ca="1" si="617"/>
        <v>30</v>
      </c>
      <c r="BP711" s="115">
        <f t="shared" ca="1" si="634"/>
        <v>6</v>
      </c>
      <c r="BQ711" s="115" t="b">
        <f>模拟模式!$K$10="2600·水"</f>
        <v>0</v>
      </c>
      <c r="BR711" s="117">
        <f t="shared" si="635"/>
        <v>0</v>
      </c>
      <c r="BS711" s="115">
        <f t="shared" si="636"/>
        <v>0</v>
      </c>
      <c r="BT711" s="115">
        <f t="shared" ca="1" si="637"/>
        <v>0</v>
      </c>
      <c r="BU711" s="115" t="b">
        <f ca="1">AND(模拟模式!$K$10="2300·雷",BT710=0,RAND()&lt;IF(C711="净世破魔击·月",5*0.05*2/3,IF(C711="净世破魔击·日",3*0.05*2/3,0.05*2*2/3)))</f>
        <v>0</v>
      </c>
      <c r="BV711" s="115">
        <f t="shared" ca="1" si="638"/>
        <v>0</v>
      </c>
      <c r="BW711" s="115">
        <f t="shared" ca="1" si="639"/>
        <v>107.12249999999925</v>
      </c>
      <c r="BX711" s="164" t="b">
        <f t="shared" ca="1" si="640"/>
        <v>0</v>
      </c>
      <c r="BY711" s="115">
        <f t="shared" ca="1" si="641"/>
        <v>0</v>
      </c>
      <c r="BZ711" s="115">
        <f>IF(OR(模拟模式!$P$16="10人团",模拟模式!$P$16="25人团"),IF(B711/30&gt;CA710,1,0),0)</f>
        <v>0</v>
      </c>
      <c r="CA711" s="115">
        <f t="shared" si="618"/>
        <v>0</v>
      </c>
      <c r="CB711" s="115">
        <f ca="1">IF(BZ711=1,IF(模拟模式!$P$16="10人团",15,0)+IF(模拟模式!$P$16="25人团",IF(RAND()&lt;0.6,15,0)),MAX(0,CB710-$F$4))</f>
        <v>0</v>
      </c>
      <c r="CC711" s="115" t="b">
        <f t="shared" ca="1" si="619"/>
        <v>0</v>
      </c>
      <c r="CD711" s="115">
        <f>IF(模拟模式!$Q$16="1个",IF(B711/40&gt;CE710,1,0),0)</f>
        <v>0</v>
      </c>
      <c r="CE711" s="115">
        <f t="shared" si="620"/>
        <v>0</v>
      </c>
      <c r="CF711" s="115">
        <f>IF(OR(CD711=1,模拟模式!$Q$16="2个"),20,MAX(0,CF710-$F$4))</f>
        <v>0</v>
      </c>
      <c r="CG711" s="115" t="b">
        <f t="shared" si="621"/>
        <v>0</v>
      </c>
      <c r="CH711" s="115">
        <f t="shared" ca="1" si="642"/>
        <v>18.930000000000007</v>
      </c>
      <c r="CI711" s="115" t="b">
        <f t="shared" ca="1" si="643"/>
        <v>0</v>
      </c>
      <c r="CJ711" s="119">
        <f t="shared" ca="1" si="644"/>
        <v>0</v>
      </c>
      <c r="CK711" s="115">
        <f t="shared" ca="1" si="645"/>
        <v>0</v>
      </c>
      <c r="CL711" s="115" t="b">
        <f ca="1">AND(模拟模式!$S$7="驱夷逐法",OR(AND(C711="净世破魔击·月",E710&gt;59),AND(C711="净世破魔击·日",F710&gt;59)))</f>
        <v>0</v>
      </c>
      <c r="CM711" s="115" t="b">
        <f ca="1">OR(CL711,AND(C711="净世破魔击·日",CL710,RAND()&lt;模拟模式!$U$23))</f>
        <v>0</v>
      </c>
      <c r="CN711" s="115" t="b">
        <f ca="1">IF(模拟模式!$M$7="辉耀红尘",AND(C711="净世破魔击·月",CL711,CV711=0,E710&lt;80),AND(C711="净世破魔击·月",CL711,E710&lt;100))</f>
        <v>0</v>
      </c>
      <c r="CO711" s="115" t="b">
        <f t="shared" ca="1" si="622"/>
        <v>0</v>
      </c>
      <c r="CP711" s="115" t="b">
        <f ca="1">AND(模拟模式!$O$7="用晦而明",OR(C711="净世破魔击·日",C711="净世破魔击·月",C711="驱夜断愁"),AB711)</f>
        <v>0</v>
      </c>
      <c r="CQ711" s="115" t="b">
        <f ca="1">OR(CP711,AND(CP710,RAND()&lt;模拟模式!$U$23))</f>
        <v>1</v>
      </c>
      <c r="CR711" s="115" t="b">
        <f ca="1">AND(模拟模式!$S$7="日月齐光",OR(C711="幽月轮1",C711="幽月轮2",C711="幽月轮3",CR710),NOT(OR(C711="赤日轮1",C711="赤日轮2",C711="赤日轮3")))</f>
        <v>0</v>
      </c>
      <c r="CS711" s="115" t="b">
        <f ca="1">AND(模拟模式!$S$7="日月齐光",OR(C711="赤日轮1",C711="赤日轮2",C711="赤日轮3",CS710),NOT(OR(C711="幽月轮1",C711="幽月轮2",C711="幽月轮3")))</f>
        <v>0</v>
      </c>
      <c r="CT711" s="115">
        <f t="shared" ca="1" si="646"/>
        <v>0</v>
      </c>
      <c r="CU711" s="115" t="b">
        <f ca="1">AND(模拟模式!$K$10="阴阳往极",CT710=0,RAND()&lt;IF(C711="净世破魔击·月",0.0275*7/3,IF(C711="净世破魔击·日",0.0275*3/3,0.0275*2/3)))</f>
        <v>0</v>
      </c>
      <c r="CV711" s="115">
        <f t="shared" ca="1" si="647"/>
        <v>0</v>
      </c>
      <c r="CW711" s="115">
        <f t="shared" ca="1" si="648"/>
        <v>2.3099999999999996</v>
      </c>
      <c r="CX711" s="115">
        <f t="shared" ca="1" si="649"/>
        <v>0.46499999999999975</v>
      </c>
      <c r="CY711" s="115">
        <f ca="1">MAX(IF($C711="驱夜断愁",IF(模拟模式!$R$7="万念俱寂",6,45),CY710-$F$4),0)</f>
        <v>1.3874999999999997</v>
      </c>
      <c r="CZ711" s="115">
        <f t="shared" ca="1" si="623"/>
        <v>0</v>
      </c>
      <c r="DA711" s="115">
        <f ca="1">IF(模拟模式!$N$7="日月同辉",IF(DB710=2,0,MIN(6,IF(AND(OR(C711="赤日轮1",C711="赤日轮2",C711="赤日轮3",C711="幽月轮1",C711="幽月轮2",C711="幽月轮3"),AB711=1),DA710+1,DA710))),0)</f>
        <v>6</v>
      </c>
      <c r="DB711" s="115">
        <f t="shared" ca="1" si="624"/>
        <v>2</v>
      </c>
      <c r="DC711" s="115"/>
      <c r="DD711" s="115"/>
      <c r="DE711" s="115"/>
      <c r="DF711" s="115"/>
      <c r="DG711" s="115"/>
      <c r="DH711" s="115"/>
      <c r="DI711" s="115"/>
      <c r="DJ711" s="115"/>
      <c r="DK711" s="115"/>
      <c r="DL711" s="115"/>
      <c r="DM711" s="115"/>
    </row>
    <row r="712" spans="2:117" x14ac:dyDescent="0.2">
      <c r="B712" s="117">
        <f t="shared" si="625"/>
        <v>631.9125000000073</v>
      </c>
      <c r="C712" s="167" t="str">
        <f t="shared" ca="1" si="594"/>
        <v>银月斩</v>
      </c>
      <c r="D712" s="115">
        <f ca="1">IF(C712="赤日轮1",1,IF(C712="赤日轮2",2,IF(C712="赤日轮3",3,IF(C712="幽月轮1",4,IF(C712="幽月轮2",5,IF(C712="幽月轮3",6,IF(C712="烈日斩",7,IF(C712="银月斩",8,IF(C712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712="净世破魔击·月",17,IF(C712="驱夜断愁",18,0)))))))))))</f>
        <v>8</v>
      </c>
      <c r="E712" s="115">
        <f ca="1">IF(AND(CU712,OR(C712="幽月轮1",C712="幽月轮2",C712="幽月轮3",C712="银月斩",C712="驱夜断愁",C712="净世破魔击·月")),100,MIN(IF(OR(CN712,BE712),0,IF(OR($C712="赤日轮1",$C712="赤日轮2",$C712="赤日轮3"),E711+20+IF(模拟模式!$I$7="日月凌天",4,0)+IF(CR711,20,0),IF($C712="烈日斩",E711+40,IF($C712="驱夜断愁",IF(模拟模式!$R$7="万念俱寂",E711+20,E711+60),IF($C712="净世破魔击·月",IF(OR(DB711&gt;0,CV711&gt;0),100,IF(模拟模式!$M$7="辉耀红尘",E711+20,E711)),IF($C712="净世破魔击·日",E711-100,E711)))))),100))</f>
        <v>20</v>
      </c>
      <c r="F712" s="115">
        <f ca="1">IF(AND(CU712,OR(C712="赤日轮1",C712="赤日轮2",C712="赤日轮3",C712="烈日斩",C712="净世破魔击·日")),100,MIN(IF(CO712,0,IF(OR($C712="幽月轮1",$C712="幽月轮2",$C712="幽月轮3"),F711+20+IF(模拟模式!$I$7="日月凌天",4,0)+IF(CS711,20,0),IF($C712="银月斩",F711+40+IF(模拟模式!$X$12=1,5,0),IF($C712="驱夜断愁",IF(模拟模式!$R$7="万念俱寂",F711+20,F711+60),IF($C712="净世破魔击·月",IF(模拟模式!$M$7="辉耀红尘",F711-80,F711-100),IF(AND(C712="净世破魔击·日",OR(DB711&gt;0,CV711&gt;0)),100,F711)))))),100))</f>
        <v>65</v>
      </c>
      <c r="G712" s="117">
        <f ca="1">('模拟-全程加成'!$E$3+'模拟-全程加成'!$E$4+'模拟-全程加成'!$E$5+('模拟-全程加成'!$C$6-'模拟-全程加成'!$C$3)*系数!$B$9+BS712*23)*(1+'模拟-全程加成'!$F$4+'模拟-全程加成'!$F$5+BJ712*10%+BM712*20%+BP712*4%+CG712*30%)+$F$7*系数!$B$12</f>
        <v>21493.829400000002</v>
      </c>
      <c r="H712" s="45">
        <f ca="1">'模拟-全程加成'!$H$3+'模拟-全程加成'!$H$4+'模拟-全程加成'!$H$5+('模拟-全程加成'!$G$4+'模拟-全程加成'!$G$5+('模拟-全程加成'!$C$6-'模拟-全程加成'!$C$3)*系数!$B$13)/系数!$B$3+LOOKUP(D712,'模拟-单技能数据'!$A$2:$A$19,'模拟-单技能数据'!$K$2:$K$19)+BG712*10%+IF(BV712&gt;0,378,0)</f>
        <v>0.64185145527300214</v>
      </c>
      <c r="I712" s="45">
        <f ca="1">'模拟-全程加成'!$J$3+'模拟-全程加成'!$J$4+'模拟-全程加成'!$J$5+('模拟-全程加成'!$I$4+'模拟-全程加成'!$I$5)/系数!$B$4+LOOKUP(D712,'模拟-单技能数据'!$A$2:$A$19,'模拟-单技能数据'!$L$2:$L$19)+BG712*10%</f>
        <v>2.2624828854998791</v>
      </c>
      <c r="J712" s="45">
        <f ca="1">(('模拟-全程加成'!$K$3+'模拟-全程加成'!$K$4+'模拟-全程加成'!$K$5+('模拟-全程加成'!$C$6-'模拟-全程加成'!$C$3)*系数!$B$10+IF(BV712&gt;0,882,0)+IF(BY712&gt;0,1831,0))*(1+'模拟-全程加成'!$L$4+'模拟-全程加成'!$L$5+CC712*20%))/系数!$B$5</f>
        <v>0.69723220422048726</v>
      </c>
      <c r="K712" s="119">
        <f ca="1">LOOKUP(D712,'模拟-单技能数据'!$A$2:$A$19,'模拟-单技能数据'!$J$2:$J$19)+IF(CM712,60%,0)+IF(DB711-DB712&gt;0,30%,0)+IF(OR(AND(OR(C712="赤日轮1",C712="赤日轮2",C712="赤日轮3"),CR712),AND(OR(C712="幽月轮1",C712="幽月轮2",C712="幽月轮3"),CS712)),35%,0)+CJ712</f>
        <v>0.15</v>
      </c>
      <c r="L712" s="119">
        <f ca="1">IF(AND(C712="烈日斩",模拟模式!$X$11=1),10%,0)+IF(AND(C712="驱夜断愁",AB712=1),30%,0)</f>
        <v>0</v>
      </c>
      <c r="M712" s="45">
        <f t="shared" ca="1" si="595"/>
        <v>0.64185145527300214</v>
      </c>
      <c r="N712" s="45">
        <f t="shared" ca="1" si="596"/>
        <v>0.30424854472699792</v>
      </c>
      <c r="O712" s="46">
        <f t="shared" ca="1" si="626"/>
        <v>0.38398737949087536</v>
      </c>
      <c r="P712" s="46" t="str">
        <f t="shared" ca="1" si="597"/>
        <v>会</v>
      </c>
      <c r="Q712" s="45">
        <f t="shared" ca="1" si="598"/>
        <v>2.2624828854998791</v>
      </c>
      <c r="R712" s="117">
        <f ca="1">模拟模式!$E$20*(1-IF(模拟模式!$J$19="有",0.15,0))*(1-IF(模拟模式!$K$19="有",0.3,0)-IF(CQ712,0.5,0))</f>
        <v>2950.6049999999996</v>
      </c>
      <c r="S712" s="45">
        <f ca="1">R712/(R712+(185*模拟模式!$E$22-16800)*4.08224)</f>
        <v>0.24272716014590323</v>
      </c>
      <c r="T712" s="45" t="str">
        <f ca="1">LOOKUP(D712,'模拟-单技能数据'!$A$2:$A$19,'模拟-单技能数据'!$H$2:$H$19)</f>
        <v>阴</v>
      </c>
      <c r="U712" s="119">
        <f t="shared" ca="1" si="599"/>
        <v>0.08</v>
      </c>
      <c r="V712" s="47">
        <f ca="1">(1+L712)*(LOOKUP(D712,'模拟-单技能数据'!$A$2:$A$19,'模拟-单技能数据'!$D$2:$D$19)+G712*LOOKUP(D712,'模拟-单技能数据'!$A$2:$A$19,'模拟-单技能数据'!$F$2:$F$19))*(1+J712)*(1+K712)*(1-S712)*(1+U712)*Q712*LOOKUP(D712,'模拟-单技能数据'!$A$2:$A$19,'模拟-单技能数据'!$I$2:$I$20)</f>
        <v>41211.704893206668</v>
      </c>
      <c r="W712" s="47">
        <f ca="1">LOOKUP(D712,'模拟-单技能数据'!$A$2:$A$19,'模拟-单技能数据'!$G$2:$G$19)*$I$10</f>
        <v>361.51064354704795</v>
      </c>
      <c r="X712" s="47">
        <f t="shared" ca="1" si="627"/>
        <v>0</v>
      </c>
      <c r="Y712" s="47">
        <f t="shared" ca="1" si="600"/>
        <v>41573.21553675372</v>
      </c>
      <c r="Z712" s="49">
        <f t="shared" ca="1" si="601"/>
        <v>71291154.603894219</v>
      </c>
      <c r="AA712" s="97">
        <f t="shared" ca="1" si="602"/>
        <v>112818.0794079772</v>
      </c>
      <c r="AB712" s="115">
        <f ca="1">IF(OR(C712="赤日轮1",C712="赤日轮2",C712="赤日轮3"),IF(RAND()&lt;模拟模式!$Y$17,1,0),IF(OR(C712="幽月轮1",C712="幽月轮2",C712="幽月轮3"),IF(RAND()&lt;模拟模式!$Y$18,1,0),IF(C712="烈日斩",IF(RAND()&lt;模拟模式!$Y$19,1,0),IF(C712="银月斩",IF(RAND()&lt;模拟模式!$Y$20,1,0),IF(C712="驱夜断愁",IF(RAND()&lt;模拟模式!$Y$21,1,0),IF(C712="净世破魔击·日",IF(RAND()&lt;模拟模式!$Y$22,1,0),IF(C712="净世破魔击·月",IF(RAND()&lt;模拟模式!$Y$23,1,0),0)))))))</f>
        <v>1</v>
      </c>
      <c r="AC712" s="115" t="b">
        <f t="shared" ca="1" si="603"/>
        <v>1</v>
      </c>
      <c r="AD712" s="115" t="b">
        <f t="shared" ca="1" si="604"/>
        <v>0</v>
      </c>
      <c r="AE712" s="115">
        <f t="shared" ca="1" si="605"/>
        <v>6</v>
      </c>
      <c r="AF712" s="47">
        <f ca="1">IF(AC712,('模拟-单技能数据'!$D$20+G712*'模拟-单技能数据'!$F$20)*(1+J712)*(1+'模拟-单技能数据'!$J$20)*(1+U712),0)</f>
        <v>4639.7456468263617</v>
      </c>
      <c r="AG712" s="61">
        <f t="shared" ca="1" si="606"/>
        <v>0.64185145527300214</v>
      </c>
      <c r="AH712" s="61">
        <f t="shared" ca="1" si="607"/>
        <v>2.2624828854998791</v>
      </c>
      <c r="AI712" s="62">
        <f t="shared" ca="1" si="628"/>
        <v>0.93535879396874255</v>
      </c>
      <c r="AJ712" s="47">
        <f ca="1">IF(AD712,IF(AI712&lt;$F$10,0,IF(AI712&lt;$F$10+$F$11,0.25,IF(AI712&lt;$F$10+$F$11+AG712,AH712,1)))*IF(AF712&gt;0,AF712,IF(AF711&gt;0,AF711,IF(AF710&gt;0,AF710,IF(AF709&gt;0,AF709,IF(AF708&gt;0,AF708,IF(AF707&gt;0,AF707,IF(AF706&gt;0,AF706,IF(AF705&gt;0,AF705,IF(AF704&gt;0,AF704,IF(AF702&gt;0,AF702,IF(AF701&gt;0,AF701,IF(AF700&gt;0,AF700,0)))))))))))),0)*(1-$S712)*'模拟-单技能数据'!$I$20</f>
        <v>0</v>
      </c>
      <c r="AK712" s="115" t="b">
        <f t="shared" ca="1" si="608"/>
        <v>0</v>
      </c>
      <c r="AL712" s="115" t="b">
        <f t="shared" ca="1" si="609"/>
        <v>0</v>
      </c>
      <c r="AM712" s="115">
        <f t="shared" ca="1" si="610"/>
        <v>5</v>
      </c>
      <c r="AN712" s="47">
        <f ca="1">IF(AK712,('模拟-单技能数据'!$D$21+G712*'模拟-单技能数据'!$F$21)*(1+J712)*(1+'模拟-单技能数据'!$J$21)*(1+U712),0)</f>
        <v>0</v>
      </c>
      <c r="AO712" s="61">
        <f ca="1">IF(AN712&gt;0,M712-'模拟-单技能数据'!$K$10,AO711)</f>
        <v>0.42185145527300216</v>
      </c>
      <c r="AP712" s="61">
        <f ca="1">IF(AN712&gt;0,I712-'模拟-单技能数据'!$L$10,AP711)</f>
        <v>2.162482885499879</v>
      </c>
      <c r="AQ712" s="63">
        <f t="shared" ca="1" si="629"/>
        <v>0.35246022623866169</v>
      </c>
      <c r="AR712" s="64">
        <f ca="1">IF(AL712,IF(AQ712&lt;$F$10,0,IF(AQ712&lt;$F$10+$F$11,0.25,IF(AQ712&lt;$F$10+$F$11+AO712,AP712,1)))*IF(AN712&gt;0,AN712,IF(AN711&gt;0,AN711,IF(AN710&gt;0,AN710,IF(AN709&gt;0,AN709,IF(AN708&gt;0,AN708,IF(AN707&gt;0,AN707,IF(AN706&gt;0,AN706,IF(AN705&gt;0,AN705,IF(AN704&gt;0,AN704,IF(AN702&gt;0,AN702,IF(AN701&gt;0,AN701,IF(AN700&gt;0,AN700,0)))))))))))),0)*(1-$S712)*'模拟-单技能数据'!$I$21</f>
        <v>0</v>
      </c>
      <c r="AS712" s="61">
        <f ca="1">IF(OR(C712="净世破魔击·日",C712="净世破魔击·月"),M712-'模拟-单技能数据'!$K$10,0)</f>
        <v>0</v>
      </c>
      <c r="AT712" s="61">
        <f ca="1">IF(OR(C712="净世破魔击·日",C712="净世破魔击·月"),I712-'模拟-单技能数据'!$L$10,0)</f>
        <v>0</v>
      </c>
      <c r="AU712" s="62">
        <f t="shared" ca="1" si="630"/>
        <v>0.15345058668985823</v>
      </c>
      <c r="AV712" s="64">
        <f ca="1">IF(AS712&gt;0,('模拟-单技能数据'!$D$22+G712*'模拟-单技能数据'!$F$22)*(1+J712)*(1-S712)*IF(AU712&lt;$F$10,0,IF(AU712&lt;$F$10+$F$11,0.25,IF(AU712&lt;$F$10+$F$11+AS712,AT712,1)))*(1+U712),0)*'模拟-单技能数据'!$I$22</f>
        <v>0</v>
      </c>
      <c r="AW712" s="108">
        <f t="shared" ca="1" si="631"/>
        <v>0</v>
      </c>
      <c r="AX712" s="108" t="b">
        <f ca="1">AND(模拟模式!$P$10="有",AW711=0,RAND()&lt;IF(C712="净世破魔击·月",0.1*8/3,IF(C712="净世破魔击·日",0.1*4/3,0.1*2/3)))</f>
        <v>0</v>
      </c>
      <c r="AY712" s="47">
        <f ca="1">IF(AX712,(18+G712*0.722)*(1+J712)*(1-S712)*(1+$I$4)*IF(P712="会",'模拟-全程加成'!$J$3+'模拟-全程加成'!$J$4+'模拟-全程加成'!$J$5+('模拟-全程加成'!$I$4+'模拟-全程加成'!$I$5)/系数!$B$4+BG712*10%,IF(P712="命",1,IF(P712="识",0.25,0))),0)</f>
        <v>0</v>
      </c>
      <c r="AZ712" s="108">
        <f t="shared" si="632"/>
        <v>17.232500000000002</v>
      </c>
      <c r="BA712" s="108" t="b">
        <f>AND(模拟模式!$Q$10="有",AZ711=0)</f>
        <v>0</v>
      </c>
      <c r="BB712" s="140">
        <f>IF(BA712,(0+G712*0.287)*(1+J712)*(1-S712)*(1+$I$4)*IF(P712="会",'模拟-全程加成'!$J$3+'模拟-全程加成'!$J$4+'模拟-全程加成'!$J$5+('模拟-全程加成'!$I$4+'模拟-全程加成'!$I$5)/系数!$B$4+BG712*10%,IF(P712="命",1,IF(P712="识",0.25,0))),0)</f>
        <v>0</v>
      </c>
      <c r="BC712" s="115" t="b">
        <f ca="1">AND(模拟模式!$R$7="伏明众生",E712=60,F712=20,DA712&lt;5,CZ711&lt;$F$4)</f>
        <v>0</v>
      </c>
      <c r="BD712" s="115">
        <f t="shared" ca="1" si="611"/>
        <v>0</v>
      </c>
      <c r="BE712" s="115" t="b">
        <f t="shared" ca="1" si="612"/>
        <v>0</v>
      </c>
      <c r="BF712" s="47">
        <f ca="1">IF(BC712,4*('模拟-单技能数据'!$D$24+G712*'模拟-单技能数据'!$F$24)*(1+J712)*(1+'模拟-单技能数据'!$J$24)*(1-S712)*(1+$I$3)*(('模拟-全程加成'!$J$3+'模拟-全程加成'!$J$4+'模拟-全程加成'!$J$5+('模拟-全程加成'!$I$4+'模拟-全程加成'!$I$5)/系数!$B$4+BG712*10%)*('模拟-全程加成'!$J$3+'模拟-全程加成'!$J$4+'模拟-全程加成'!$J$5+('模拟-全程加成'!$I$4+'模拟-全程加成'!$I$5)/系数!$B$4+BG712*10%)+(1-('模拟-全程加成'!$J$3+'模拟-全程加成'!$J$4+'模拟-全程加成'!$J$5+('模拟-全程加成'!$I$4+'模拟-全程加成'!$I$5)/系数!$B$4+BG712*10%)-$F$10-$F$11)+F698*0.25),0)*'模拟-单技能数据'!$I$24</f>
        <v>0</v>
      </c>
      <c r="BG712" s="115" t="b">
        <f ca="1">OR(AND(OR(C712="烈日斩",C712="银月斩"),模拟模式!$I$7="净身明礼"),AND(C712="净世破魔击·日",模拟模式!$J$7="洞若观火"),AND(C713="净世破魔击·月",模拟模式!$J$7="洞若观火"),AB712=1)</f>
        <v>1</v>
      </c>
      <c r="BH712" s="115" t="b">
        <f t="shared" ca="1" si="633"/>
        <v>0</v>
      </c>
      <c r="BI712" s="115">
        <f t="shared" ca="1" si="613"/>
        <v>4.1549999999999994</v>
      </c>
      <c r="BJ712" s="115" t="b">
        <f t="shared" ca="1" si="614"/>
        <v>1</v>
      </c>
      <c r="BK712" s="115" t="b">
        <f ca="1">AND(C712="驱夜断愁",模拟模式!$P$7="天地诛戮")</f>
        <v>0</v>
      </c>
      <c r="BL712" s="57">
        <f t="shared" ca="1" si="615"/>
        <v>14.465000000000003</v>
      </c>
      <c r="BM712" s="115" t="b">
        <f t="shared" ca="1" si="616"/>
        <v>1</v>
      </c>
      <c r="BN712" s="115" t="b">
        <f ca="1">AND(OR(C712="赤日轮1",C712="赤日轮2",C712="赤日轮3",C712="幽月轮1",C712="幽月轮2",C712="幽月轮3"),AB712=1,模拟模式!$L$7="明光恒照")</f>
        <v>0</v>
      </c>
      <c r="BO712" s="117">
        <f t="shared" ca="1" si="617"/>
        <v>29.077500000000001</v>
      </c>
      <c r="BP712" s="115">
        <f t="shared" ca="1" si="634"/>
        <v>6</v>
      </c>
      <c r="BQ712" s="115" t="b">
        <f>模拟模式!$K$10="2600·水"</f>
        <v>0</v>
      </c>
      <c r="BR712" s="117">
        <f t="shared" si="635"/>
        <v>0</v>
      </c>
      <c r="BS712" s="115">
        <f t="shared" si="636"/>
        <v>0</v>
      </c>
      <c r="BT712" s="115">
        <f t="shared" ca="1" si="637"/>
        <v>0</v>
      </c>
      <c r="BU712" s="115" t="b">
        <f ca="1">AND(模拟模式!$K$10="2300·雷",BT711=0,RAND()&lt;IF(C712="净世破魔击·月",5*0.05*2/3,IF(C712="净世破魔击·日",3*0.05*2/3,0.05*2*2/3)))</f>
        <v>0</v>
      </c>
      <c r="BV712" s="115">
        <f t="shared" ca="1" si="638"/>
        <v>0</v>
      </c>
      <c r="BW712" s="115">
        <f t="shared" ca="1" si="639"/>
        <v>106.19999999999925</v>
      </c>
      <c r="BX712" s="164" t="b">
        <f t="shared" ca="1" si="640"/>
        <v>0</v>
      </c>
      <c r="BY712" s="115">
        <f t="shared" ca="1" si="641"/>
        <v>0</v>
      </c>
      <c r="BZ712" s="115">
        <f>IF(OR(模拟模式!$P$16="10人团",模拟模式!$P$16="25人团"),IF(B712/30&gt;CA711,1,0),0)</f>
        <v>0</v>
      </c>
      <c r="CA712" s="115">
        <f t="shared" si="618"/>
        <v>0</v>
      </c>
      <c r="CB712" s="115">
        <f ca="1">IF(BZ712=1,IF(模拟模式!$P$16="10人团",15,0)+IF(模拟模式!$P$16="25人团",IF(RAND()&lt;0.6,15,0)),MAX(0,CB711-$F$4))</f>
        <v>0</v>
      </c>
      <c r="CC712" s="115" t="b">
        <f t="shared" ca="1" si="619"/>
        <v>0</v>
      </c>
      <c r="CD712" s="115">
        <f>IF(模拟模式!$Q$16="1个",IF(B712/40&gt;CE711,1,0),0)</f>
        <v>0</v>
      </c>
      <c r="CE712" s="115">
        <f t="shared" si="620"/>
        <v>0</v>
      </c>
      <c r="CF712" s="115">
        <f>IF(OR(CD712=1,模拟模式!$Q$16="2个"),20,MAX(0,CF711-$F$4))</f>
        <v>0</v>
      </c>
      <c r="CG712" s="115" t="b">
        <f t="shared" si="621"/>
        <v>0</v>
      </c>
      <c r="CH712" s="115">
        <f t="shared" ca="1" si="642"/>
        <v>18.007500000000007</v>
      </c>
      <c r="CI712" s="115" t="b">
        <f t="shared" ca="1" si="643"/>
        <v>0</v>
      </c>
      <c r="CJ712" s="119">
        <f t="shared" ca="1" si="644"/>
        <v>0</v>
      </c>
      <c r="CK712" s="115">
        <f t="shared" ca="1" si="645"/>
        <v>0</v>
      </c>
      <c r="CL712" s="115" t="b">
        <f ca="1">AND(模拟模式!$S$7="驱夷逐法",OR(AND(C712="净世破魔击·月",E711&gt;59),AND(C712="净世破魔击·日",F711&gt;59)))</f>
        <v>0</v>
      </c>
      <c r="CM712" s="115" t="b">
        <f ca="1">OR(CL712,AND(C712="净世破魔击·日",CL711,RAND()&lt;模拟模式!$U$23))</f>
        <v>0</v>
      </c>
      <c r="CN712" s="115" t="b">
        <f ca="1">IF(模拟模式!$M$7="辉耀红尘",AND(C712="净世破魔击·月",CL712,CV712=0,E711&lt;80),AND(C712="净世破魔击·月",CL712,E711&lt;100))</f>
        <v>0</v>
      </c>
      <c r="CO712" s="115" t="b">
        <f t="shared" ca="1" si="622"/>
        <v>0</v>
      </c>
      <c r="CP712" s="115" t="b">
        <f ca="1">AND(模拟模式!$O$7="用晦而明",OR(C712="净世破魔击·日",C712="净世破魔击·月",C712="驱夜断愁"),AB712)</f>
        <v>0</v>
      </c>
      <c r="CQ712" s="115" t="b">
        <f ca="1">OR(CP712,AND(CP711,RAND()&lt;模拟模式!$U$23))</f>
        <v>0</v>
      </c>
      <c r="CR712" s="115" t="b">
        <f ca="1">AND(模拟模式!$S$7="日月齐光",OR(C712="幽月轮1",C712="幽月轮2",C712="幽月轮3",CR711),NOT(OR(C712="赤日轮1",C712="赤日轮2",C712="赤日轮3")))</f>
        <v>0</v>
      </c>
      <c r="CS712" s="115" t="b">
        <f ca="1">AND(模拟模式!$S$7="日月齐光",OR(C712="赤日轮1",C712="赤日轮2",C712="赤日轮3",CS711),NOT(OR(C712="幽月轮1",C712="幽月轮2",C712="幽月轮3")))</f>
        <v>0</v>
      </c>
      <c r="CT712" s="115">
        <f t="shared" ca="1" si="646"/>
        <v>0</v>
      </c>
      <c r="CU712" s="115" t="b">
        <f ca="1">AND(模拟模式!$K$10="阴阳往极",CT711=0,RAND()&lt;IF(C712="净世破魔击·月",0.0275*7/3,IF(C712="净世破魔击·日",0.0275*3/3,0.0275*2/3)))</f>
        <v>0</v>
      </c>
      <c r="CV712" s="115">
        <f t="shared" ca="1" si="647"/>
        <v>0</v>
      </c>
      <c r="CW712" s="115">
        <f t="shared" ca="1" si="648"/>
        <v>1.3874999999999997</v>
      </c>
      <c r="CX712" s="115">
        <f t="shared" ca="1" si="649"/>
        <v>6</v>
      </c>
      <c r="CY712" s="115">
        <f ca="1">MAX(IF($C712="驱夜断愁",IF(模拟模式!$R$7="万念俱寂",6,45),CY711-$F$4),0)</f>
        <v>0.46499999999999975</v>
      </c>
      <c r="CZ712" s="115">
        <f t="shared" ca="1" si="623"/>
        <v>0</v>
      </c>
      <c r="DA712" s="115">
        <f ca="1">IF(模拟模式!$N$7="日月同辉",IF(DB711=2,0,MIN(6,IF(AND(OR(C712="赤日轮1",C712="赤日轮2",C712="赤日轮3",C712="幽月轮1",C712="幽月轮2",C712="幽月轮3"),AB712=1),DA711+1,DA711))),0)</f>
        <v>0</v>
      </c>
      <c r="DB712" s="115">
        <f t="shared" ca="1" si="624"/>
        <v>2</v>
      </c>
      <c r="DC712" s="115"/>
      <c r="DD712" s="115"/>
      <c r="DE712" s="115"/>
      <c r="DF712" s="115"/>
      <c r="DG712" s="115"/>
      <c r="DH712" s="115"/>
      <c r="DI712" s="115"/>
      <c r="DJ712" s="115"/>
      <c r="DK712" s="115"/>
      <c r="DL712" s="115"/>
      <c r="DM712" s="115"/>
    </row>
    <row r="713" spans="2:117" x14ac:dyDescent="0.2">
      <c r="B713" s="117">
        <f t="shared" si="625"/>
        <v>632.83500000000731</v>
      </c>
      <c r="C713" s="167" t="str">
        <f t="shared" ca="1" si="594"/>
        <v>驱夜断愁</v>
      </c>
      <c r="D713" s="115">
        <f ca="1">IF(C713="赤日轮1",1,IF(C713="赤日轮2",2,IF(C713="赤日轮3",3,IF(C713="幽月轮1",4,IF(C713="幽月轮2",5,IF(C713="幽月轮3",6,IF(C713="烈日斩",7,IF(C713="银月斩",8,IF(C713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713="净世破魔击·月",17,IF(C713="驱夜断愁",18,0)))))))))))</f>
        <v>18</v>
      </c>
      <c r="E713" s="115">
        <f ca="1">IF(AND(CU713,OR(C713="幽月轮1",C713="幽月轮2",C713="幽月轮3",C713="银月斩",C713="驱夜断愁",C713="净世破魔击·月")),100,MIN(IF(OR(CN713,BE713),0,IF(OR($C713="赤日轮1",$C713="赤日轮2",$C713="赤日轮3"),E712+20+IF(模拟模式!$I$7="日月凌天",4,0)+IF(CR712,20,0),IF($C713="烈日斩",E712+40,IF($C713="驱夜断愁",IF(模拟模式!$R$7="万念俱寂",E712+20,E712+60),IF($C713="净世破魔击·月",IF(OR(DB712&gt;0,CV712&gt;0),100,IF(模拟模式!$M$7="辉耀红尘",E712+20,E712)),IF($C713="净世破魔击·日",E712-100,E712)))))),100))</f>
        <v>40</v>
      </c>
      <c r="F713" s="115">
        <f ca="1">IF(AND(CU713,OR(C713="赤日轮1",C713="赤日轮2",C713="赤日轮3",C713="烈日斩",C713="净世破魔击·日")),100,MIN(IF(CO713,0,IF(OR($C713="幽月轮1",$C713="幽月轮2",$C713="幽月轮3"),F712+20+IF(模拟模式!$I$7="日月凌天",4,0)+IF(CS712,20,0),IF($C713="银月斩",F712+40+IF(模拟模式!$X$12=1,5,0),IF($C713="驱夜断愁",IF(模拟模式!$R$7="万念俱寂",F712+20,F712+60),IF($C713="净世破魔击·月",IF(模拟模式!$M$7="辉耀红尘",F712-80,F712-100),IF(AND(C713="净世破魔击·日",OR(DB712&gt;0,CV712&gt;0)),100,F712)))))),100))</f>
        <v>85</v>
      </c>
      <c r="G713" s="117">
        <f ca="1">('模拟-全程加成'!$E$3+'模拟-全程加成'!$E$4+'模拟-全程加成'!$E$5+('模拟-全程加成'!$C$6-'模拟-全程加成'!$C$3)*系数!$B$9+BS713*23)*(1+'模拟-全程加成'!$F$4+'模拟-全程加成'!$F$5+BJ713*10%+BM713*20%+BP713*4%+CG713*30%)+$F$7*系数!$B$12</f>
        <v>21493.829400000002</v>
      </c>
      <c r="H713" s="45">
        <f ca="1">'模拟-全程加成'!$H$3+'模拟-全程加成'!$H$4+'模拟-全程加成'!$H$5+('模拟-全程加成'!$G$4+'模拟-全程加成'!$G$5+('模拟-全程加成'!$C$6-'模拟-全程加成'!$C$3)*系数!$B$13)/系数!$B$3+LOOKUP(D713,'模拟-单技能数据'!$A$2:$A$19,'模拟-单技能数据'!$K$2:$K$19)+BG713*10%+IF(BV713&gt;0,378,0)</f>
        <v>0.51185145527300213</v>
      </c>
      <c r="I713" s="45">
        <f ca="1">'模拟-全程加成'!$J$3+'模拟-全程加成'!$J$4+'模拟-全程加成'!$J$5+('模拟-全程加成'!$I$4+'模拟-全程加成'!$I$5)/系数!$B$4+LOOKUP(D713,'模拟-单技能数据'!$A$2:$A$19,'模拟-单技能数据'!$L$2:$L$19)+BG713*10%</f>
        <v>2.162482885499879</v>
      </c>
      <c r="J713" s="45">
        <f ca="1">(('模拟-全程加成'!$K$3+'模拟-全程加成'!$K$4+'模拟-全程加成'!$K$5+('模拟-全程加成'!$C$6-'模拟-全程加成'!$C$3)*系数!$B$10+IF(BV713&gt;0,882,0)+IF(BY713&gt;0,1831,0))*(1+'模拟-全程加成'!$L$4+'模拟-全程加成'!$L$5+CC713*20%))/系数!$B$5</f>
        <v>0.69723220422048726</v>
      </c>
      <c r="K713" s="119">
        <f ca="1">LOOKUP(D713,'模拟-单技能数据'!$A$2:$A$19,'模拟-单技能数据'!$J$2:$J$19)+IF(CM713,60%,0)+IF(DB712-DB713&gt;0,30%,0)+IF(OR(AND(OR(C713="赤日轮1",C713="赤日轮2",C713="赤日轮3"),CR713),AND(OR(C713="幽月轮1",C713="幽月轮2",C713="幽月轮3"),CS713)),35%,0)+CJ713</f>
        <v>0.14000000000000001</v>
      </c>
      <c r="L713" s="119">
        <f ca="1">IF(AND(C713="烈日斩",模拟模式!$X$11=1),10%,0)+IF(AND(C713="驱夜断愁",AB713=1),30%,0)</f>
        <v>0.3</v>
      </c>
      <c r="M713" s="45">
        <f t="shared" ca="1" si="595"/>
        <v>0.51185145527300213</v>
      </c>
      <c r="N713" s="45">
        <f t="shared" ca="1" si="596"/>
        <v>0.43424854472699792</v>
      </c>
      <c r="O713" s="46">
        <f t="shared" ca="1" si="626"/>
        <v>0.15260529976764947</v>
      </c>
      <c r="P713" s="46" t="str">
        <f t="shared" ca="1" si="597"/>
        <v>会</v>
      </c>
      <c r="Q713" s="45">
        <f t="shared" ca="1" si="598"/>
        <v>2.162482885499879</v>
      </c>
      <c r="R713" s="117">
        <f ca="1">模拟模式!$E$20*(1-IF(模拟模式!$J$19="有",0.15,0))*(1-IF(模拟模式!$K$19="有",0.3,0)-IF(CQ713,0.5,0))</f>
        <v>843.02999999999975</v>
      </c>
      <c r="S713" s="45">
        <f ca="1">R713/(R713+(185*模拟模式!$E$22-16800)*4.08224)</f>
        <v>8.389626085980037E-2</v>
      </c>
      <c r="T713" s="45" t="str">
        <f ca="1">LOOKUP(D713,'模拟-单技能数据'!$A$2:$A$19,'模拟-单技能数据'!$H$2:$H$19)</f>
        <v>阴</v>
      </c>
      <c r="U713" s="119">
        <f t="shared" ca="1" si="599"/>
        <v>0.08</v>
      </c>
      <c r="V713" s="47">
        <f ca="1">(1+L713)*(LOOKUP(D713,'模拟-单技能数据'!$A$2:$A$19,'模拟-单技能数据'!$D$2:$D$19)+G713*LOOKUP(D713,'模拟-单技能数据'!$A$2:$A$19,'模拟-单技能数据'!$F$2:$F$19))*(1+J713)*(1+K713)*(1-S713)*(1+U713)*Q713*LOOKUP(D713,'模拟-单技能数据'!$A$2:$A$19,'模拟-单技能数据'!$I$2:$I$20)</f>
        <v>133079.35569364758</v>
      </c>
      <c r="W713" s="47">
        <f ca="1">LOOKUP(D713,'模拟-单技能数据'!$A$2:$A$19,'模拟-单技能数据'!$G$2:$G$19)*$I$10</f>
        <v>723.0212870940959</v>
      </c>
      <c r="X713" s="47">
        <f t="shared" ca="1" si="627"/>
        <v>29352.355803387069</v>
      </c>
      <c r="Y713" s="47">
        <f t="shared" ca="1" si="600"/>
        <v>163154.73278412875</v>
      </c>
      <c r="Z713" s="49">
        <f t="shared" ca="1" si="601"/>
        <v>71454309.336678341</v>
      </c>
      <c r="AA713" s="97">
        <f t="shared" ca="1" si="602"/>
        <v>112911.43716241598</v>
      </c>
      <c r="AB713" s="115">
        <f ca="1">IF(OR(C713="赤日轮1",C713="赤日轮2",C713="赤日轮3"),IF(RAND()&lt;模拟模式!$Y$17,1,0),IF(OR(C713="幽月轮1",C713="幽月轮2",C713="幽月轮3"),IF(RAND()&lt;模拟模式!$Y$18,1,0),IF(C713="烈日斩",IF(RAND()&lt;模拟模式!$Y$19,1,0),IF(C713="银月斩",IF(RAND()&lt;模拟模式!$Y$20,1,0),IF(C713="驱夜断愁",IF(RAND()&lt;模拟模式!$Y$21,1,0),IF(C713="净世破魔击·日",IF(RAND()&lt;模拟模式!$Y$22,1,0),IF(C713="净世破魔击·月",IF(RAND()&lt;模拟模式!$Y$23,1,0),0)))))))</f>
        <v>1</v>
      </c>
      <c r="AC713" s="115" t="b">
        <f t="shared" ca="1" si="603"/>
        <v>0</v>
      </c>
      <c r="AD713" s="115" t="b">
        <f t="shared" ca="1" si="604"/>
        <v>1</v>
      </c>
      <c r="AE713" s="115">
        <f t="shared" ca="1" si="605"/>
        <v>5</v>
      </c>
      <c r="AF713" s="47">
        <f ca="1">IF(AC713,('模拟-单技能数据'!$D$20+G713*'模拟-单技能数据'!$F$20)*(1+J713)*(1+'模拟-单技能数据'!$J$20)*(1+U713),0)</f>
        <v>0</v>
      </c>
      <c r="AG713" s="61">
        <f t="shared" ca="1" si="606"/>
        <v>0.64185145527300214</v>
      </c>
      <c r="AH713" s="61">
        <f t="shared" ca="1" si="607"/>
        <v>2.2624828854998791</v>
      </c>
      <c r="AI713" s="62">
        <f t="shared" ca="1" si="628"/>
        <v>0.9869938647249783</v>
      </c>
      <c r="AJ713" s="47">
        <f ca="1">IF(AD713,IF(AI713&lt;$F$10,0,IF(AI713&lt;$F$10+$F$11,0.25,IF(AI713&lt;$F$10+$F$11+AG713,AH713,1)))*IF(AF713&gt;0,AF713,IF(AF712&gt;0,AF712,IF(AF711&gt;0,AF711,IF(AF710&gt;0,AF710,IF(AF709&gt;0,AF709,IF(AF708&gt;0,AF708,IF(AF707&gt;0,AF707,IF(AF706&gt;0,AF706,IF(AF705&gt;0,AF705,IF(AF703&gt;0,AF703,IF(AF702&gt;0,AF702,IF(AF701&gt;0,AF701,0)))))))))))),0)*(1-$S713)*'模拟-单技能数据'!$I$20</f>
        <v>4250.4883357170938</v>
      </c>
      <c r="AK713" s="115" t="b">
        <f t="shared" ca="1" si="608"/>
        <v>0</v>
      </c>
      <c r="AL713" s="115" t="b">
        <f t="shared" ca="1" si="609"/>
        <v>1</v>
      </c>
      <c r="AM713" s="115">
        <f t="shared" ca="1" si="610"/>
        <v>4</v>
      </c>
      <c r="AN713" s="47">
        <f ca="1">IF(AK713,('模拟-单技能数据'!$D$21+G713*'模拟-单技能数据'!$F$21)*(1+J713)*(1+'模拟-单技能数据'!$J$21)*(1+U713),0)</f>
        <v>0</v>
      </c>
      <c r="AO713" s="61">
        <f ca="1">IF(AN713&gt;0,M713-'模拟-单技能数据'!$K$10,AO712)</f>
        <v>0.42185145527300216</v>
      </c>
      <c r="AP713" s="61">
        <f ca="1">IF(AN713&gt;0,I713-'模拟-单技能数据'!$L$10,AP712)</f>
        <v>2.162482885499879</v>
      </c>
      <c r="AQ713" s="63">
        <f t="shared" ca="1" si="629"/>
        <v>0.25067253089422536</v>
      </c>
      <c r="AR713" s="64">
        <f ca="1">IF(AL713,IF(AQ713&lt;$F$10,0,IF(AQ713&lt;$F$10+$F$11,0.25,IF(AQ713&lt;$F$10+$F$11+AO713,AP713,1)))*IF(AN713&gt;0,AN713,IF(AN712&gt;0,AN712,IF(AN711&gt;0,AN711,IF(AN710&gt;0,AN710,IF(AN709&gt;0,AN709,IF(AN708&gt;0,AN708,IF(AN707&gt;0,AN707,IF(AN706&gt;0,AN706,IF(AN705&gt;0,AN705,IF(AN703&gt;0,AN703,IF(AN702&gt;0,AN702,IF(AN701&gt;0,AN701,0)))))))))))),0)*(1-$S713)*'模拟-单技能数据'!$I$21</f>
        <v>25101.867467669974</v>
      </c>
      <c r="AS713" s="61">
        <f ca="1">IF(OR(C713="净世破魔击·日",C713="净世破魔击·月"),M713-'模拟-单技能数据'!$K$10,0)</f>
        <v>0</v>
      </c>
      <c r="AT713" s="61">
        <f ca="1">IF(OR(C713="净世破魔击·日",C713="净世破魔击·月"),I713-'模拟-单技能数据'!$L$10,0)</f>
        <v>0</v>
      </c>
      <c r="AU713" s="62">
        <f t="shared" ca="1" si="630"/>
        <v>0.89657212669786923</v>
      </c>
      <c r="AV713" s="64">
        <f ca="1">IF(AS713&gt;0,('模拟-单技能数据'!$D$22+G713*'模拟-单技能数据'!$F$22)*(1+J713)*(1-S713)*IF(AU713&lt;$F$10,0,IF(AU713&lt;$F$10+$F$11,0.25,IF(AU713&lt;$F$10+$F$11+AS713,AT713,1)))*(1+U713),0)*'模拟-单技能数据'!$I$22</f>
        <v>0</v>
      </c>
      <c r="AW713" s="108">
        <f t="shared" ca="1" si="631"/>
        <v>0</v>
      </c>
      <c r="AX713" s="108" t="b">
        <f ca="1">AND(模拟模式!$P$10="有",AW712=0,RAND()&lt;IF(C713="净世破魔击·月",0.1*8/3,IF(C713="净世破魔击·日",0.1*4/3,0.1*2/3)))</f>
        <v>0</v>
      </c>
      <c r="AY713" s="47">
        <f ca="1">IF(AX713,(18+G713*0.722)*(1+J713)*(1-S713)*(1+$I$4)*IF(P713="会",'模拟-全程加成'!$J$3+'模拟-全程加成'!$J$4+'模拟-全程加成'!$J$5+('模拟-全程加成'!$I$4+'模拟-全程加成'!$I$5)/系数!$B$4+BG713*10%,IF(P713="命",1,IF(P713="识",0.25,0))),0)</f>
        <v>0</v>
      </c>
      <c r="AZ713" s="108">
        <f t="shared" si="632"/>
        <v>16.310000000000002</v>
      </c>
      <c r="BA713" s="108" t="b">
        <f>AND(模拟模式!$Q$10="有",AZ712=0)</f>
        <v>0</v>
      </c>
      <c r="BB713" s="140">
        <f>IF(BA713,(0+G713*0.287)*(1+J713)*(1-S713)*(1+$I$4)*IF(P713="会",'模拟-全程加成'!$J$3+'模拟-全程加成'!$J$4+'模拟-全程加成'!$J$5+('模拟-全程加成'!$I$4+'模拟-全程加成'!$I$5)/系数!$B$4+BG713*10%,IF(P713="命",1,IF(P713="识",0.25,0))),0)</f>
        <v>0</v>
      </c>
      <c r="BC713" s="115" t="b">
        <f ca="1">AND(模拟模式!$R$7="伏明众生",E713=60,F713=20,DA713&lt;5,CZ712&lt;$F$4)</f>
        <v>0</v>
      </c>
      <c r="BD713" s="115">
        <f t="shared" ca="1" si="611"/>
        <v>0</v>
      </c>
      <c r="BE713" s="115" t="b">
        <f t="shared" ca="1" si="612"/>
        <v>0</v>
      </c>
      <c r="BF713" s="47">
        <f ca="1">IF(BC713,4*('模拟-单技能数据'!$D$24+G713*'模拟-单技能数据'!$F$24)*(1+J713)*(1+'模拟-单技能数据'!$J$24)*(1-S713)*(1+$I$3)*(('模拟-全程加成'!$J$3+'模拟-全程加成'!$J$4+'模拟-全程加成'!$J$5+('模拟-全程加成'!$I$4+'模拟-全程加成'!$I$5)/系数!$B$4+BG713*10%)*('模拟-全程加成'!$J$3+'模拟-全程加成'!$J$4+'模拟-全程加成'!$J$5+('模拟-全程加成'!$I$4+'模拟-全程加成'!$I$5)/系数!$B$4+BG713*10%)+(1-('模拟-全程加成'!$J$3+'模拟-全程加成'!$J$4+'模拟-全程加成'!$J$5+('模拟-全程加成'!$I$4+'模拟-全程加成'!$I$5)/系数!$B$4+BG713*10%)-$F$10-$F$11)+F699*0.25),0)*'模拟-单技能数据'!$I$24</f>
        <v>0</v>
      </c>
      <c r="BG713" s="115" t="b">
        <f ca="1">OR(AND(OR(C713="烈日斩",C713="银月斩"),模拟模式!$I$7="净身明礼"),AND(C713="净世破魔击·日",模拟模式!$J$7="洞若观火"),AND(C714="净世破魔击·月",模拟模式!$J$7="洞若观火"),AB713=1)</f>
        <v>1</v>
      </c>
      <c r="BH713" s="115" t="b">
        <f t="shared" ca="1" si="633"/>
        <v>0</v>
      </c>
      <c r="BI713" s="115">
        <f t="shared" ca="1" si="613"/>
        <v>3.2324999999999995</v>
      </c>
      <c r="BJ713" s="115" t="b">
        <f t="shared" ca="1" si="614"/>
        <v>1</v>
      </c>
      <c r="BK713" s="115" t="b">
        <f ca="1">AND(C713="驱夜断愁",模拟模式!$P$7="天地诛戮")</f>
        <v>1</v>
      </c>
      <c r="BL713" s="57">
        <f t="shared" ca="1" si="615"/>
        <v>20</v>
      </c>
      <c r="BM713" s="115" t="b">
        <f t="shared" ca="1" si="616"/>
        <v>1</v>
      </c>
      <c r="BN713" s="115" t="b">
        <f ca="1">AND(OR(C713="赤日轮1",C713="赤日轮2",C713="赤日轮3",C713="幽月轮1",C713="幽月轮2",C713="幽月轮3"),AB713=1,模拟模式!$L$7="明光恒照")</f>
        <v>0</v>
      </c>
      <c r="BO713" s="117">
        <f t="shared" ca="1" si="617"/>
        <v>28.155000000000001</v>
      </c>
      <c r="BP713" s="115">
        <f t="shared" ca="1" si="634"/>
        <v>6</v>
      </c>
      <c r="BQ713" s="115" t="b">
        <f>模拟模式!$K$10="2600·水"</f>
        <v>0</v>
      </c>
      <c r="BR713" s="117">
        <f t="shared" si="635"/>
        <v>0</v>
      </c>
      <c r="BS713" s="115">
        <f t="shared" si="636"/>
        <v>0</v>
      </c>
      <c r="BT713" s="115">
        <f t="shared" ca="1" si="637"/>
        <v>0</v>
      </c>
      <c r="BU713" s="115" t="b">
        <f ca="1">AND(模拟模式!$K$10="2300·雷",BT712=0,RAND()&lt;IF(C713="净世破魔击·月",5*0.05*2/3,IF(C713="净世破魔击·日",3*0.05*2/3,0.05*2*2/3)))</f>
        <v>0</v>
      </c>
      <c r="BV713" s="115">
        <f t="shared" ca="1" si="638"/>
        <v>0</v>
      </c>
      <c r="BW713" s="115">
        <f t="shared" ca="1" si="639"/>
        <v>105.27749999999925</v>
      </c>
      <c r="BX713" s="164" t="b">
        <f t="shared" ca="1" si="640"/>
        <v>0</v>
      </c>
      <c r="BY713" s="115">
        <f t="shared" ca="1" si="641"/>
        <v>0</v>
      </c>
      <c r="BZ713" s="115">
        <f>IF(OR(模拟模式!$P$16="10人团",模拟模式!$P$16="25人团"),IF(B713/30&gt;CA712,1,0),0)</f>
        <v>0</v>
      </c>
      <c r="CA713" s="115">
        <f t="shared" si="618"/>
        <v>0</v>
      </c>
      <c r="CB713" s="115">
        <f ca="1">IF(BZ713=1,IF(模拟模式!$P$16="10人团",15,0)+IF(模拟模式!$P$16="25人团",IF(RAND()&lt;0.6,15,0)),MAX(0,CB712-$F$4))</f>
        <v>0</v>
      </c>
      <c r="CC713" s="115" t="b">
        <f t="shared" ca="1" si="619"/>
        <v>0</v>
      </c>
      <c r="CD713" s="115">
        <f>IF(模拟模式!$Q$16="1个",IF(B713/40&gt;CE712,1,0),0)</f>
        <v>0</v>
      </c>
      <c r="CE713" s="115">
        <f t="shared" si="620"/>
        <v>0</v>
      </c>
      <c r="CF713" s="115">
        <f>IF(OR(CD713=1,模拟模式!$Q$16="2个"),20,MAX(0,CF712-$F$4))</f>
        <v>0</v>
      </c>
      <c r="CG713" s="115" t="b">
        <f t="shared" si="621"/>
        <v>0</v>
      </c>
      <c r="CH713" s="115">
        <f t="shared" ca="1" si="642"/>
        <v>17.085000000000008</v>
      </c>
      <c r="CI713" s="115" t="b">
        <f t="shared" ca="1" si="643"/>
        <v>0</v>
      </c>
      <c r="CJ713" s="119">
        <f t="shared" ca="1" si="644"/>
        <v>0</v>
      </c>
      <c r="CK713" s="115">
        <f t="shared" ca="1" si="645"/>
        <v>0</v>
      </c>
      <c r="CL713" s="115" t="b">
        <f ca="1">AND(模拟模式!$S$7="驱夷逐法",OR(AND(C713="净世破魔击·月",E712&gt;59),AND(C713="净世破魔击·日",F712&gt;59)))</f>
        <v>0</v>
      </c>
      <c r="CM713" s="115" t="b">
        <f ca="1">OR(CL713,AND(C713="净世破魔击·日",CL712,RAND()&lt;模拟模式!$U$23))</f>
        <v>0</v>
      </c>
      <c r="CN713" s="115" t="b">
        <f ca="1">IF(模拟模式!$M$7="辉耀红尘",AND(C713="净世破魔击·月",CL713,CV713=0,E712&lt;80),AND(C713="净世破魔击·月",CL713,E712&lt;100))</f>
        <v>0</v>
      </c>
      <c r="CO713" s="115" t="b">
        <f t="shared" ca="1" si="622"/>
        <v>0</v>
      </c>
      <c r="CP713" s="115" t="b">
        <f ca="1">AND(模拟模式!$O$7="用晦而明",OR(C713="净世破魔击·日",C713="净世破魔击·月",C713="驱夜断愁"),AB713)</f>
        <v>1</v>
      </c>
      <c r="CQ713" s="115" t="b">
        <f ca="1">OR(CP713,AND(CP712,RAND()&lt;模拟模式!$U$23))</f>
        <v>1</v>
      </c>
      <c r="CR713" s="115" t="b">
        <f ca="1">AND(模拟模式!$S$7="日月齐光",OR(C713="幽月轮1",C713="幽月轮2",C713="幽月轮3",CR712),NOT(OR(C713="赤日轮1",C713="赤日轮2",C713="赤日轮3")))</f>
        <v>0</v>
      </c>
      <c r="CS713" s="115" t="b">
        <f ca="1">AND(模拟模式!$S$7="日月齐光",OR(C713="赤日轮1",C713="赤日轮2",C713="赤日轮3",CS712),NOT(OR(C713="幽月轮1",C713="幽月轮2",C713="幽月轮3")))</f>
        <v>0</v>
      </c>
      <c r="CT713" s="115">
        <f t="shared" ca="1" si="646"/>
        <v>0</v>
      </c>
      <c r="CU713" s="115" t="b">
        <f ca="1">AND(模拟模式!$K$10="阴阳往极",CT712=0,RAND()&lt;IF(C713="净世破魔击·月",0.0275*7/3,IF(C713="净世破魔击·日",0.0275*3/3,0.0275*2/3)))</f>
        <v>0</v>
      </c>
      <c r="CV713" s="115">
        <f t="shared" ca="1" si="647"/>
        <v>0</v>
      </c>
      <c r="CW713" s="115">
        <f t="shared" ca="1" si="648"/>
        <v>0.46499999999999975</v>
      </c>
      <c r="CX713" s="115">
        <f t="shared" ca="1" si="649"/>
        <v>5.0774999999999997</v>
      </c>
      <c r="CY713" s="115">
        <f ca="1">MAX(IF($C713="驱夜断愁",IF(模拟模式!$R$7="万念俱寂",6,45),CY712-$F$4),0)</f>
        <v>6</v>
      </c>
      <c r="CZ713" s="115">
        <f t="shared" ca="1" si="623"/>
        <v>0</v>
      </c>
      <c r="DA713" s="115">
        <f ca="1">IF(模拟模式!$N$7="日月同辉",IF(DB712=2,0,MIN(6,IF(AND(OR(C713="赤日轮1",C713="赤日轮2",C713="赤日轮3",C713="幽月轮1",C713="幽月轮2",C713="幽月轮3"),AB713=1),DA712+1,DA712))),0)</f>
        <v>0</v>
      </c>
      <c r="DB713" s="115">
        <f t="shared" ca="1" si="624"/>
        <v>2</v>
      </c>
      <c r="DC713" s="115"/>
      <c r="DD713" s="115"/>
      <c r="DE713" s="115"/>
      <c r="DF713" s="115"/>
      <c r="DG713" s="115"/>
      <c r="DH713" s="115"/>
      <c r="DI713" s="115"/>
      <c r="DJ713" s="115"/>
      <c r="DK713" s="115"/>
      <c r="DL713" s="115"/>
      <c r="DM713" s="115"/>
    </row>
    <row r="714" spans="2:117" x14ac:dyDescent="0.2">
      <c r="B714" s="117">
        <f t="shared" si="625"/>
        <v>633.75750000000733</v>
      </c>
      <c r="C714" s="167" t="str">
        <f t="shared" ca="1" si="594"/>
        <v>烈日斩</v>
      </c>
      <c r="D714" s="115">
        <f ca="1">IF(C714="赤日轮1",1,IF(C714="赤日轮2",2,IF(C714="赤日轮3",3,IF(C714="幽月轮1",4,IF(C714="幽月轮2",5,IF(C714="幽月轮3",6,IF(C714="烈日斩",7,IF(C714="银月斩",8,IF(C714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714="净世破魔击·月",17,IF(C714="驱夜断愁",18,0)))))))))))</f>
        <v>7</v>
      </c>
      <c r="E714" s="115">
        <f ca="1">IF(AND(CU714,OR(C714="幽月轮1",C714="幽月轮2",C714="幽月轮3",C714="银月斩",C714="驱夜断愁",C714="净世破魔击·月")),100,MIN(IF(OR(CN714,BE714),0,IF(OR($C714="赤日轮1",$C714="赤日轮2",$C714="赤日轮3"),E713+20+IF(模拟模式!$I$7="日月凌天",4,0)+IF(CR713,20,0),IF($C714="烈日斩",E713+40,IF($C714="驱夜断愁",IF(模拟模式!$R$7="万念俱寂",E713+20,E713+60),IF($C714="净世破魔击·月",IF(OR(DB713&gt;0,CV713&gt;0),100,IF(模拟模式!$M$7="辉耀红尘",E713+20,E713)),IF($C714="净世破魔击·日",E713-100,E713)))))),100))</f>
        <v>80</v>
      </c>
      <c r="F714" s="115">
        <f ca="1">IF(AND(CU714,OR(C714="赤日轮1",C714="赤日轮2",C714="赤日轮3",C714="烈日斩",C714="净世破魔击·日")),100,MIN(IF(CO714,0,IF(OR($C714="幽月轮1",$C714="幽月轮2",$C714="幽月轮3"),F713+20+IF(模拟模式!$I$7="日月凌天",4,0)+IF(CS713,20,0),IF($C714="银月斩",F713+40+IF(模拟模式!$X$12=1,5,0),IF($C714="驱夜断愁",IF(模拟模式!$R$7="万念俱寂",F713+20,F713+60),IF($C714="净世破魔击·月",IF(模拟模式!$M$7="辉耀红尘",F713-80,F713-100),IF(AND(C714="净世破魔击·日",OR(DB713&gt;0,CV713&gt;0)),100,F713)))))),100))</f>
        <v>85</v>
      </c>
      <c r="G714" s="117">
        <f ca="1">('模拟-全程加成'!$E$3+'模拟-全程加成'!$E$4+'模拟-全程加成'!$E$5+('模拟-全程加成'!$C$6-'模拟-全程加成'!$C$3)*系数!$B$9+BS714*23)*(1+'模拟-全程加成'!$F$4+'模拟-全程加成'!$F$5+BJ714*10%+BM714*20%+BP714*4%+CG714*30%)+$F$7*系数!$B$12</f>
        <v>21493.829400000002</v>
      </c>
      <c r="H714" s="45">
        <f ca="1">'模拟-全程加成'!$H$3+'模拟-全程加成'!$H$4+'模拟-全程加成'!$H$5+('模拟-全程加成'!$G$4+'模拟-全程加成'!$G$5+('模拟-全程加成'!$C$6-'模拟-全程加成'!$C$3)*系数!$B$13)/系数!$B$3+LOOKUP(D714,'模拟-单技能数据'!$A$2:$A$19,'模拟-单技能数据'!$K$2:$K$19)+BG714*10%+IF(BV714&gt;0,378,0)</f>
        <v>0.56185145527300218</v>
      </c>
      <c r="I714" s="45">
        <f ca="1">'模拟-全程加成'!$J$3+'模拟-全程加成'!$J$4+'模拟-全程加成'!$J$5+('模拟-全程加成'!$I$4+'模拟-全程加成'!$I$5)/系数!$B$4+LOOKUP(D714,'模拟-单技能数据'!$A$2:$A$19,'模拟-单技能数据'!$L$2:$L$19)+BG714*10%</f>
        <v>2.2624828854998791</v>
      </c>
      <c r="J714" s="45">
        <f ca="1">(('模拟-全程加成'!$K$3+'模拟-全程加成'!$K$4+'模拟-全程加成'!$K$5+('模拟-全程加成'!$C$6-'模拟-全程加成'!$C$3)*系数!$B$10+IF(BV714&gt;0,882,0)+IF(BY714&gt;0,1831,0))*(1+'模拟-全程加成'!$L$4+'模拟-全程加成'!$L$5+CC714*20%))/系数!$B$5</f>
        <v>0.69723220422048726</v>
      </c>
      <c r="K714" s="119">
        <f ca="1">LOOKUP(D714,'模拟-单技能数据'!$A$2:$A$19,'模拟-单技能数据'!$J$2:$J$19)+IF(CM714,60%,0)+IF(DB713-DB714&gt;0,30%,0)+IF(OR(AND(OR(C714="赤日轮1",C714="赤日轮2",C714="赤日轮3"),CR714),AND(OR(C714="幽月轮1",C714="幽月轮2",C714="幽月轮3"),CS714)),35%,0)+CJ714</f>
        <v>0.24</v>
      </c>
      <c r="L714" s="119">
        <f ca="1">IF(AND(C714="烈日斩",模拟模式!$X$11=1),10%,0)+IF(AND(C714="驱夜断愁",AB714=1),30%,0)</f>
        <v>0.1</v>
      </c>
      <c r="M714" s="45">
        <f t="shared" ca="1" si="595"/>
        <v>0.56185145527300218</v>
      </c>
      <c r="N714" s="45">
        <f t="shared" ca="1" si="596"/>
        <v>0.38424854472699788</v>
      </c>
      <c r="O714" s="46">
        <f t="shared" ca="1" si="626"/>
        <v>0.74114179687050152</v>
      </c>
      <c r="P714" s="46" t="str">
        <f t="shared" ca="1" si="597"/>
        <v>命</v>
      </c>
      <c r="Q714" s="45">
        <f t="shared" ca="1" si="598"/>
        <v>1</v>
      </c>
      <c r="R714" s="117">
        <f ca="1">模拟模式!$E$20*(1-IF(模拟模式!$J$19="有",0.15,0))*(1-IF(模拟模式!$K$19="有",0.3,0)-IF(CQ714,0.5,0))</f>
        <v>843.02999999999975</v>
      </c>
      <c r="S714" s="45">
        <f ca="1">R714/(R714+(185*模拟模式!$E$22-16800)*4.08224)</f>
        <v>8.389626085980037E-2</v>
      </c>
      <c r="T714" s="45" t="str">
        <f ca="1">LOOKUP(D714,'模拟-单技能数据'!$A$2:$A$19,'模拟-单技能数据'!$H$2:$H$19)</f>
        <v>阳</v>
      </c>
      <c r="U714" s="119">
        <f t="shared" ca="1" si="599"/>
        <v>0.2</v>
      </c>
      <c r="V714" s="47">
        <f ca="1">(1+L714)*(LOOKUP(D714,'模拟-单技能数据'!$A$2:$A$19,'模拟-单技能数据'!$D$2:$D$19)+G714*LOOKUP(D714,'模拟-单技能数据'!$A$2:$A$19,'模拟-单技能数据'!$F$2:$F$19))*(1+J714)*(1+K714)*(1-S714)*(1+U714)*Q714*LOOKUP(D714,'模拟-单技能数据'!$A$2:$A$19,'模拟-单技能数据'!$I$2:$I$20)</f>
        <v>48841.631854871324</v>
      </c>
      <c r="W714" s="47">
        <f ca="1">LOOKUP(D714,'模拟-单技能数据'!$A$2:$A$19,'模拟-单技能数据'!$G$2:$G$19)*$I$10</f>
        <v>361.51064354704795</v>
      </c>
      <c r="X714" s="47">
        <f t="shared" ca="1" si="627"/>
        <v>0</v>
      </c>
      <c r="Y714" s="47">
        <f t="shared" ca="1" si="600"/>
        <v>49203.142498418369</v>
      </c>
      <c r="Z714" s="49">
        <f t="shared" ca="1" si="601"/>
        <v>71503512.47917676</v>
      </c>
      <c r="AA714" s="97">
        <f t="shared" ca="1" si="602"/>
        <v>112824.7199901791</v>
      </c>
      <c r="AB714" s="115">
        <f ca="1">IF(OR(C714="赤日轮1",C714="赤日轮2",C714="赤日轮3"),IF(RAND()&lt;模拟模式!$Y$17,1,0),IF(OR(C714="幽月轮1",C714="幽月轮2",C714="幽月轮3"),IF(RAND()&lt;模拟模式!$Y$18,1,0),IF(C714="烈日斩",IF(RAND()&lt;模拟模式!$Y$19,1,0),IF(C714="银月斩",IF(RAND()&lt;模拟模式!$Y$20,1,0),IF(C714="驱夜断愁",IF(RAND()&lt;模拟模式!$Y$21,1,0),IF(C714="净世破魔击·日",IF(RAND()&lt;模拟模式!$Y$22,1,0),IF(C714="净世破魔击·月",IF(RAND()&lt;模拟模式!$Y$23,1,0),0)))))))</f>
        <v>1</v>
      </c>
      <c r="AC714" s="115" t="b">
        <f t="shared" ca="1" si="603"/>
        <v>0</v>
      </c>
      <c r="AD714" s="115" t="b">
        <f t="shared" ca="1" si="604"/>
        <v>0</v>
      </c>
      <c r="AE714" s="115">
        <f t="shared" ca="1" si="605"/>
        <v>5</v>
      </c>
      <c r="AF714" s="47">
        <f ca="1">IF(AC714,('模拟-单技能数据'!$D$20+G714*'模拟-单技能数据'!$F$20)*(1+J714)*(1+'模拟-单技能数据'!$J$20)*(1+U714),0)</f>
        <v>0</v>
      </c>
      <c r="AG714" s="61">
        <f t="shared" ca="1" si="606"/>
        <v>0.64185145527300214</v>
      </c>
      <c r="AH714" s="61">
        <f t="shared" ca="1" si="607"/>
        <v>2.2624828854998791</v>
      </c>
      <c r="AI714" s="62">
        <f t="shared" ca="1" si="628"/>
        <v>0.5702340104693695</v>
      </c>
      <c r="AJ714" s="47">
        <f ca="1">IF(AD714,IF(AI714&lt;$F$10,0,IF(AI714&lt;$F$10+$F$11,0.25,IF(AI714&lt;$F$10+$F$11+AG714,AH714,1)))*IF(AF714&gt;0,AF714,IF(AF713&gt;0,AF713,IF(AF712&gt;0,AF712,IF(AF711&gt;0,AF711,IF(AF710&gt;0,AF710,IF(AF709&gt;0,AF709,IF(AF708&gt;0,AF708,IF(AF707&gt;0,AF707,IF(AF706&gt;0,AF706,IF(AF704&gt;0,AF704,IF(AF703&gt;0,AF703,IF(AF702&gt;0,AF702,0)))))))))))),0)*(1-$S714)*'模拟-单技能数据'!$I$20</f>
        <v>0</v>
      </c>
      <c r="AK714" s="115" t="b">
        <f t="shared" ca="1" si="608"/>
        <v>0</v>
      </c>
      <c r="AL714" s="115" t="b">
        <f t="shared" ca="1" si="609"/>
        <v>0</v>
      </c>
      <c r="AM714" s="115">
        <f t="shared" ca="1" si="610"/>
        <v>4</v>
      </c>
      <c r="AN714" s="47">
        <f ca="1">IF(AK714,('模拟-单技能数据'!$D$21+G714*'模拟-单技能数据'!$F$21)*(1+J714)*(1+'模拟-单技能数据'!$J$21)*(1+U714),0)</f>
        <v>0</v>
      </c>
      <c r="AO714" s="61">
        <f ca="1">IF(AN714&gt;0,M714-'模拟-单技能数据'!$K$10,AO713)</f>
        <v>0.42185145527300216</v>
      </c>
      <c r="AP714" s="61">
        <f ca="1">IF(AN714&gt;0,I714-'模拟-单技能数据'!$L$10,AP713)</f>
        <v>2.162482885499879</v>
      </c>
      <c r="AQ714" s="63">
        <f t="shared" ca="1" si="629"/>
        <v>6.9023161630410446E-2</v>
      </c>
      <c r="AR714" s="64">
        <f ca="1">IF(AL714,IF(AQ714&lt;$F$10,0,IF(AQ714&lt;$F$10+$F$11,0.25,IF(AQ714&lt;$F$10+$F$11+AO714,AP714,1)))*IF(AN714&gt;0,AN714,IF(AN713&gt;0,AN713,IF(AN712&gt;0,AN712,IF(AN711&gt;0,AN711,IF(AN710&gt;0,AN710,IF(AN709&gt;0,AN709,IF(AN708&gt;0,AN708,IF(AN707&gt;0,AN707,IF(AN706&gt;0,AN706,IF(AN704&gt;0,AN704,IF(AN703&gt;0,AN703,IF(AN702&gt;0,AN702,0)))))))))))),0)*(1-$S714)*'模拟-单技能数据'!$I$21</f>
        <v>0</v>
      </c>
      <c r="AS714" s="61">
        <f ca="1">IF(OR(C714="净世破魔击·日",C714="净世破魔击·月"),M714-'模拟-单技能数据'!$K$10,0)</f>
        <v>0</v>
      </c>
      <c r="AT714" s="61">
        <f ca="1">IF(OR(C714="净世破魔击·日",C714="净世破魔击·月"),I714-'模拟-单技能数据'!$L$10,0)</f>
        <v>0</v>
      </c>
      <c r="AU714" s="62">
        <f t="shared" ca="1" si="630"/>
        <v>0.46070076107408486</v>
      </c>
      <c r="AV714" s="64">
        <f ca="1">IF(AS714&gt;0,('模拟-单技能数据'!$D$22+G714*'模拟-单技能数据'!$F$22)*(1+J714)*(1-S714)*IF(AU714&lt;$F$10,0,IF(AU714&lt;$F$10+$F$11,0.25,IF(AU714&lt;$F$10+$F$11+AS714,AT714,1)))*(1+U714),0)*'模拟-单技能数据'!$I$22</f>
        <v>0</v>
      </c>
      <c r="AW714" s="108">
        <f t="shared" ca="1" si="631"/>
        <v>0</v>
      </c>
      <c r="AX714" s="108" t="b">
        <f ca="1">AND(模拟模式!$P$10="有",AW713=0,RAND()&lt;IF(C714="净世破魔击·月",0.1*8/3,IF(C714="净世破魔击·日",0.1*4/3,0.1*2/3)))</f>
        <v>0</v>
      </c>
      <c r="AY714" s="47">
        <f ca="1">IF(AX714,(18+G714*0.722)*(1+J714)*(1-S714)*(1+$I$4)*IF(P714="会",'模拟-全程加成'!$J$3+'模拟-全程加成'!$J$4+'模拟-全程加成'!$J$5+('模拟-全程加成'!$I$4+'模拟-全程加成'!$I$5)/系数!$B$4+BG714*10%,IF(P714="命",1,IF(P714="识",0.25,0))),0)</f>
        <v>0</v>
      </c>
      <c r="AZ714" s="108">
        <f t="shared" si="632"/>
        <v>15.387500000000003</v>
      </c>
      <c r="BA714" s="108" t="b">
        <f>AND(模拟模式!$Q$10="有",AZ713=0)</f>
        <v>0</v>
      </c>
      <c r="BB714" s="140">
        <f>IF(BA714,(0+G714*0.287)*(1+J714)*(1-S714)*(1+$I$4)*IF(P714="会",'模拟-全程加成'!$J$3+'模拟-全程加成'!$J$4+'模拟-全程加成'!$J$5+('模拟-全程加成'!$I$4+'模拟-全程加成'!$I$5)/系数!$B$4+BG714*10%,IF(P714="命",1,IF(P714="识",0.25,0))),0)</f>
        <v>0</v>
      </c>
      <c r="BC714" s="115" t="b">
        <f ca="1">AND(模拟模式!$R$7="伏明众生",E714=60,F714=20,DA714&lt;5,CZ713&lt;$F$4)</f>
        <v>0</v>
      </c>
      <c r="BD714" s="115">
        <f t="shared" ca="1" si="611"/>
        <v>0</v>
      </c>
      <c r="BE714" s="115" t="b">
        <f t="shared" ca="1" si="612"/>
        <v>0</v>
      </c>
      <c r="BF714" s="47">
        <f ca="1">IF(BC714,4*('模拟-单技能数据'!$D$24+G714*'模拟-单技能数据'!$F$24)*(1+J714)*(1+'模拟-单技能数据'!$J$24)*(1-S714)*(1+$I$3)*(('模拟-全程加成'!$J$3+'模拟-全程加成'!$J$4+'模拟-全程加成'!$J$5+('模拟-全程加成'!$I$4+'模拟-全程加成'!$I$5)/系数!$B$4+BG714*10%)*('模拟-全程加成'!$J$3+'模拟-全程加成'!$J$4+'模拟-全程加成'!$J$5+('模拟-全程加成'!$I$4+'模拟-全程加成'!$I$5)/系数!$B$4+BG714*10%)+(1-('模拟-全程加成'!$J$3+'模拟-全程加成'!$J$4+'模拟-全程加成'!$J$5+('模拟-全程加成'!$I$4+'模拟-全程加成'!$I$5)/系数!$B$4+BG714*10%)-$F$10-$F$11)+F700*0.25),0)*'模拟-单技能数据'!$I$24</f>
        <v>0</v>
      </c>
      <c r="BG714" s="115" t="b">
        <f ca="1">OR(AND(OR(C714="烈日斩",C714="银月斩"),模拟模式!$I$7="净身明礼"),AND(C714="净世破魔击·日",模拟模式!$J$7="洞若观火"),AND(C715="净世破魔击·月",模拟模式!$J$7="洞若观火"),AB714=1)</f>
        <v>1</v>
      </c>
      <c r="BH714" s="115" t="b">
        <f t="shared" ca="1" si="633"/>
        <v>0</v>
      </c>
      <c r="BI714" s="115">
        <f t="shared" ca="1" si="613"/>
        <v>2.3099999999999996</v>
      </c>
      <c r="BJ714" s="115" t="b">
        <f t="shared" ca="1" si="614"/>
        <v>1</v>
      </c>
      <c r="BK714" s="115" t="b">
        <f ca="1">AND(C714="驱夜断愁",模拟模式!$P$7="天地诛戮")</f>
        <v>0</v>
      </c>
      <c r="BL714" s="57">
        <f t="shared" ca="1" si="615"/>
        <v>19.077500000000001</v>
      </c>
      <c r="BM714" s="115" t="b">
        <f t="shared" ca="1" si="616"/>
        <v>1</v>
      </c>
      <c r="BN714" s="115" t="b">
        <f ca="1">AND(OR(C714="赤日轮1",C714="赤日轮2",C714="赤日轮3",C714="幽月轮1",C714="幽月轮2",C714="幽月轮3"),AB714=1,模拟模式!$L$7="明光恒照")</f>
        <v>0</v>
      </c>
      <c r="BO714" s="117">
        <f t="shared" ca="1" si="617"/>
        <v>27.232500000000002</v>
      </c>
      <c r="BP714" s="115">
        <f t="shared" ca="1" si="634"/>
        <v>6</v>
      </c>
      <c r="BQ714" s="115" t="b">
        <f>模拟模式!$K$10="2600·水"</f>
        <v>0</v>
      </c>
      <c r="BR714" s="117">
        <f t="shared" si="635"/>
        <v>0</v>
      </c>
      <c r="BS714" s="115">
        <f t="shared" si="636"/>
        <v>0</v>
      </c>
      <c r="BT714" s="115">
        <f t="shared" ca="1" si="637"/>
        <v>0</v>
      </c>
      <c r="BU714" s="115" t="b">
        <f ca="1">AND(模拟模式!$K$10="2300·雷",BT713=0,RAND()&lt;IF(C714="净世破魔击·月",5*0.05*2/3,IF(C714="净世破魔击·日",3*0.05*2/3,0.05*2*2/3)))</f>
        <v>0</v>
      </c>
      <c r="BV714" s="115">
        <f t="shared" ca="1" si="638"/>
        <v>0</v>
      </c>
      <c r="BW714" s="115">
        <f t="shared" ca="1" si="639"/>
        <v>104.35499999999925</v>
      </c>
      <c r="BX714" s="164" t="b">
        <f t="shared" ca="1" si="640"/>
        <v>0</v>
      </c>
      <c r="BY714" s="115">
        <f t="shared" ca="1" si="641"/>
        <v>0</v>
      </c>
      <c r="BZ714" s="115">
        <f>IF(OR(模拟模式!$P$16="10人团",模拟模式!$P$16="25人团"),IF(B714/30&gt;CA713,1,0),0)</f>
        <v>0</v>
      </c>
      <c r="CA714" s="115">
        <f t="shared" si="618"/>
        <v>0</v>
      </c>
      <c r="CB714" s="115">
        <f ca="1">IF(BZ714=1,IF(模拟模式!$P$16="10人团",15,0)+IF(模拟模式!$P$16="25人团",IF(RAND()&lt;0.6,15,0)),MAX(0,CB713-$F$4))</f>
        <v>0</v>
      </c>
      <c r="CC714" s="115" t="b">
        <f t="shared" ca="1" si="619"/>
        <v>0</v>
      </c>
      <c r="CD714" s="115">
        <f>IF(模拟模式!$Q$16="1个",IF(B714/40&gt;CE713,1,0),0)</f>
        <v>0</v>
      </c>
      <c r="CE714" s="115">
        <f t="shared" si="620"/>
        <v>0</v>
      </c>
      <c r="CF714" s="115">
        <f>IF(OR(CD714=1,模拟模式!$Q$16="2个"),20,MAX(0,CF713-$F$4))</f>
        <v>0</v>
      </c>
      <c r="CG714" s="115" t="b">
        <f t="shared" si="621"/>
        <v>0</v>
      </c>
      <c r="CH714" s="115">
        <f t="shared" ca="1" si="642"/>
        <v>16.162500000000009</v>
      </c>
      <c r="CI714" s="115" t="b">
        <f t="shared" ca="1" si="643"/>
        <v>0</v>
      </c>
      <c r="CJ714" s="119">
        <f t="shared" ca="1" si="644"/>
        <v>0</v>
      </c>
      <c r="CK714" s="115">
        <f t="shared" ca="1" si="645"/>
        <v>0</v>
      </c>
      <c r="CL714" s="115" t="b">
        <f ca="1">AND(模拟模式!$S$7="驱夷逐法",OR(AND(C714="净世破魔击·月",E713&gt;59),AND(C714="净世破魔击·日",F713&gt;59)))</f>
        <v>0</v>
      </c>
      <c r="CM714" s="115" t="b">
        <f ca="1">OR(CL714,AND(C714="净世破魔击·日",CL713,RAND()&lt;模拟模式!$U$23))</f>
        <v>0</v>
      </c>
      <c r="CN714" s="115" t="b">
        <f ca="1">IF(模拟模式!$M$7="辉耀红尘",AND(C714="净世破魔击·月",CL714,CV714=0,E713&lt;80),AND(C714="净世破魔击·月",CL714,E713&lt;100))</f>
        <v>0</v>
      </c>
      <c r="CO714" s="115" t="b">
        <f t="shared" ca="1" si="622"/>
        <v>0</v>
      </c>
      <c r="CP714" s="115" t="b">
        <f ca="1">AND(模拟模式!$O$7="用晦而明",OR(C714="净世破魔击·日",C714="净世破魔击·月",C714="驱夜断愁"),AB714)</f>
        <v>0</v>
      </c>
      <c r="CQ714" s="115" t="b">
        <f ca="1">OR(CP714,AND(CP713,RAND()&lt;模拟模式!$U$23))</f>
        <v>1</v>
      </c>
      <c r="CR714" s="115" t="b">
        <f ca="1">AND(模拟模式!$S$7="日月齐光",OR(C714="幽月轮1",C714="幽月轮2",C714="幽月轮3",CR713),NOT(OR(C714="赤日轮1",C714="赤日轮2",C714="赤日轮3")))</f>
        <v>0</v>
      </c>
      <c r="CS714" s="115" t="b">
        <f ca="1">AND(模拟模式!$S$7="日月齐光",OR(C714="赤日轮1",C714="赤日轮2",C714="赤日轮3",CS713),NOT(OR(C714="幽月轮1",C714="幽月轮2",C714="幽月轮3")))</f>
        <v>0</v>
      </c>
      <c r="CT714" s="115">
        <f t="shared" ca="1" si="646"/>
        <v>0</v>
      </c>
      <c r="CU714" s="115" t="b">
        <f ca="1">AND(模拟模式!$K$10="阴阳往极",CT713=0,RAND()&lt;IF(C714="净世破魔击·月",0.0275*7/3,IF(C714="净世破魔击·日",0.0275*3/3,0.0275*2/3)))</f>
        <v>0</v>
      </c>
      <c r="CV714" s="115">
        <f t="shared" ca="1" si="647"/>
        <v>0</v>
      </c>
      <c r="CW714" s="115">
        <f t="shared" ca="1" si="648"/>
        <v>6</v>
      </c>
      <c r="CX714" s="115">
        <f t="shared" ca="1" si="649"/>
        <v>4.1549999999999994</v>
      </c>
      <c r="CY714" s="115">
        <f ca="1">MAX(IF($C714="驱夜断愁",IF(模拟模式!$R$7="万念俱寂",6,45),CY713-$F$4),0)</f>
        <v>5.0774999999999997</v>
      </c>
      <c r="CZ714" s="115">
        <f t="shared" ca="1" si="623"/>
        <v>0</v>
      </c>
      <c r="DA714" s="115">
        <f ca="1">IF(模拟模式!$N$7="日月同辉",IF(DB713=2,0,MIN(6,IF(AND(OR(C714="赤日轮1",C714="赤日轮2",C714="赤日轮3",C714="幽月轮1",C714="幽月轮2",C714="幽月轮3"),AB714=1),DA713+1,DA713))),0)</f>
        <v>0</v>
      </c>
      <c r="DB714" s="115">
        <f t="shared" ca="1" si="624"/>
        <v>2</v>
      </c>
      <c r="DC714" s="115"/>
      <c r="DD714" s="115"/>
      <c r="DE714" s="115"/>
      <c r="DF714" s="115"/>
      <c r="DG714" s="115"/>
      <c r="DH714" s="115"/>
      <c r="DI714" s="115"/>
      <c r="DJ714" s="115"/>
      <c r="DK714" s="115"/>
      <c r="DL714" s="115"/>
      <c r="DM714" s="115"/>
    </row>
    <row r="715" spans="2:117" x14ac:dyDescent="0.2">
      <c r="B715" s="117">
        <f t="shared" si="625"/>
        <v>634.68000000000734</v>
      </c>
      <c r="C715" s="167" t="str">
        <f t="shared" ca="1" si="594"/>
        <v>幽月轮1</v>
      </c>
      <c r="D715" s="115">
        <f ca="1">IF(C715="赤日轮1",1,IF(C715="赤日轮2",2,IF(C715="赤日轮3",3,IF(C715="幽月轮1",4,IF(C715="幽月轮2",5,IF(C715="幽月轮3",6,IF(C715="烈日斩",7,IF(C715="银月斩",8,IF(C715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715="净世破魔击·月",17,IF(C715="驱夜断愁",18,0)))))))))))</f>
        <v>4</v>
      </c>
      <c r="E715" s="115">
        <f ca="1">IF(AND(CU715,OR(C715="幽月轮1",C715="幽月轮2",C715="幽月轮3",C715="银月斩",C715="驱夜断愁",C715="净世破魔击·月")),100,MIN(IF(OR(CN715,BE715),0,IF(OR($C715="赤日轮1",$C715="赤日轮2",$C715="赤日轮3"),E714+20+IF(模拟模式!$I$7="日月凌天",4,0)+IF(CR714,20,0),IF($C715="烈日斩",E714+40,IF($C715="驱夜断愁",IF(模拟模式!$R$7="万念俱寂",E714+20,E714+60),IF($C715="净世破魔击·月",IF(OR(DB714&gt;0,CV714&gt;0),100,IF(模拟模式!$M$7="辉耀红尘",E714+20,E714)),IF($C715="净世破魔击·日",E714-100,E714)))))),100))</f>
        <v>80</v>
      </c>
      <c r="F715" s="115">
        <f ca="1">IF(AND(CU715,OR(C715="赤日轮1",C715="赤日轮2",C715="赤日轮3",C715="烈日斩",C715="净世破魔击·日")),100,MIN(IF(CO715,0,IF(OR($C715="幽月轮1",$C715="幽月轮2",$C715="幽月轮3"),F714+20+IF(模拟模式!$I$7="日月凌天",4,0)+IF(CS714,20,0),IF($C715="银月斩",F714+40+IF(模拟模式!$X$12=1,5,0),IF($C715="驱夜断愁",IF(模拟模式!$R$7="万念俱寂",F714+20,F714+60),IF($C715="净世破魔击·月",IF(模拟模式!$M$7="辉耀红尘",F714-80,F714-100),IF(AND(C715="净世破魔击·日",OR(DB714&gt;0,CV714&gt;0)),100,F714)))))),100))</f>
        <v>100</v>
      </c>
      <c r="G715" s="117">
        <f ca="1">('模拟-全程加成'!$E$3+'模拟-全程加成'!$E$4+'模拟-全程加成'!$E$5+('模拟-全程加成'!$C$6-'模拟-全程加成'!$C$3)*系数!$B$9+BS715*23)*(1+'模拟-全程加成'!$F$4+'模拟-全程加成'!$F$5+BJ715*10%+BM715*20%+BP715*4%+CG715*30%)+$F$7*系数!$B$12</f>
        <v>21493.829400000002</v>
      </c>
      <c r="H715" s="45">
        <f ca="1">'模拟-全程加成'!$H$3+'模拟-全程加成'!$H$4+'模拟-全程加成'!$H$5+('模拟-全程加成'!$G$4+'模拟-全程加成'!$G$5+('模拟-全程加成'!$C$6-'模拟-全程加成'!$C$3)*系数!$B$13)/系数!$B$3+LOOKUP(D715,'模拟-单技能数据'!$A$2:$A$19,'模拟-单技能数据'!$K$2:$K$19)+BG715*10%+IF(BV715&gt;0,378,0)</f>
        <v>0.51185145527300213</v>
      </c>
      <c r="I715" s="45">
        <f ca="1">'模拟-全程加成'!$J$3+'模拟-全程加成'!$J$4+'模拟-全程加成'!$J$5+('模拟-全程加成'!$I$4+'模拟-全程加成'!$I$5)/系数!$B$4+LOOKUP(D715,'模拟-单技能数据'!$A$2:$A$19,'模拟-单技能数据'!$L$2:$L$19)+BG715*10%</f>
        <v>2.162482885499879</v>
      </c>
      <c r="J715" s="45">
        <f ca="1">(('模拟-全程加成'!$K$3+'模拟-全程加成'!$K$4+'模拟-全程加成'!$K$5+('模拟-全程加成'!$C$6-'模拟-全程加成'!$C$3)*系数!$B$10+IF(BV715&gt;0,882,0)+IF(BY715&gt;0,1831,0))*(1+'模拟-全程加成'!$L$4+'模拟-全程加成'!$L$5+CC715*20%))/系数!$B$5</f>
        <v>0.69723220422048726</v>
      </c>
      <c r="K715" s="119">
        <f ca="1">LOOKUP(D715,'模拟-单技能数据'!$A$2:$A$19,'模拟-单技能数据'!$J$2:$J$19)+IF(CM715,60%,0)+IF(DB714-DB715&gt;0,30%,0)+IF(OR(AND(OR(C715="赤日轮1",C715="赤日轮2",C715="赤日轮3"),CR715),AND(OR(C715="幽月轮1",C715="幽月轮2",C715="幽月轮3"),CS715)),35%,0)+CJ715</f>
        <v>7.0000000000000007E-2</v>
      </c>
      <c r="L715" s="119">
        <f ca="1">IF(AND(C715="烈日斩",模拟模式!$X$11=1),10%,0)+IF(AND(C715="驱夜断愁",AB715=1),30%,0)</f>
        <v>0</v>
      </c>
      <c r="M715" s="45">
        <f t="shared" ca="1" si="595"/>
        <v>0.51185145527300213</v>
      </c>
      <c r="N715" s="45">
        <f t="shared" ca="1" si="596"/>
        <v>0.43424854472699792</v>
      </c>
      <c r="O715" s="46">
        <f t="shared" ca="1" si="626"/>
        <v>0.29115415800795486</v>
      </c>
      <c r="P715" s="46" t="str">
        <f t="shared" ca="1" si="597"/>
        <v>会</v>
      </c>
      <c r="Q715" s="45">
        <f t="shared" ca="1" si="598"/>
        <v>2.162482885499879</v>
      </c>
      <c r="R715" s="117">
        <f ca="1">模拟模式!$E$20*(1-IF(模拟模式!$J$19="有",0.15,0))*(1-IF(模拟模式!$K$19="有",0.3,0)-IF(CQ715,0.5,0))</f>
        <v>2950.6049999999996</v>
      </c>
      <c r="S715" s="45">
        <f ca="1">R715/(R715+(185*模拟模式!$E$22-16800)*4.08224)</f>
        <v>0.24272716014590323</v>
      </c>
      <c r="T715" s="45" t="str">
        <f ca="1">LOOKUP(D715,'模拟-单技能数据'!$A$2:$A$19,'模拟-单技能数据'!$H$2:$H$19)</f>
        <v>阴</v>
      </c>
      <c r="U715" s="119">
        <f t="shared" ca="1" si="599"/>
        <v>0.08</v>
      </c>
      <c r="V715" s="47">
        <f ca="1">(1+L715)*(LOOKUP(D715,'模拟-单技能数据'!$A$2:$A$19,'模拟-单技能数据'!$D$2:$D$19)+G715*LOOKUP(D715,'模拟-单技能数据'!$A$2:$A$19,'模拟-单技能数据'!$F$2:$F$19))*(1+J715)*(1+K715)*(1-S715)*(1+U715)*Q715*LOOKUP(D715,'模拟-单技能数据'!$A$2:$A$19,'模拟-单技能数据'!$I$2:$I$20)</f>
        <v>36630.702053185581</v>
      </c>
      <c r="W715" s="47">
        <f ca="1">LOOKUP(D715,'模拟-单技能数据'!$A$2:$A$19,'模拟-单技能数据'!$G$2:$G$19)*$I$10</f>
        <v>361.51064354704795</v>
      </c>
      <c r="X715" s="47">
        <f t="shared" ca="1" si="627"/>
        <v>24263.345826424022</v>
      </c>
      <c r="Y715" s="47">
        <f t="shared" ca="1" si="600"/>
        <v>61255.558523156651</v>
      </c>
      <c r="Z715" s="49">
        <f t="shared" ca="1" si="601"/>
        <v>71564768.037699923</v>
      </c>
      <c r="AA715" s="97">
        <f t="shared" ca="1" si="602"/>
        <v>112757.24465510035</v>
      </c>
      <c r="AB715" s="115">
        <f ca="1">IF(OR(C715="赤日轮1",C715="赤日轮2",C715="赤日轮3"),IF(RAND()&lt;模拟模式!$Y$17,1,0),IF(OR(C715="幽月轮1",C715="幽月轮2",C715="幽月轮3"),IF(RAND()&lt;模拟模式!$Y$18,1,0),IF(C715="烈日斩",IF(RAND()&lt;模拟模式!$Y$19,1,0),IF(C715="银月斩",IF(RAND()&lt;模拟模式!$Y$20,1,0),IF(C715="驱夜断愁",IF(RAND()&lt;模拟模式!$Y$21,1,0),IF(C715="净世破魔击·日",IF(RAND()&lt;模拟模式!$Y$22,1,0),IF(C715="净世破魔击·月",IF(RAND()&lt;模拟模式!$Y$23,1,0),0)))))))</f>
        <v>1</v>
      </c>
      <c r="AC715" s="115" t="b">
        <f t="shared" ca="1" si="603"/>
        <v>0</v>
      </c>
      <c r="AD715" s="115" t="b">
        <f t="shared" ca="1" si="604"/>
        <v>1</v>
      </c>
      <c r="AE715" s="115">
        <f t="shared" ca="1" si="605"/>
        <v>4</v>
      </c>
      <c r="AF715" s="47">
        <f ca="1">IF(AC715,('模拟-单技能数据'!$D$20+G715*'模拟-单技能数据'!$F$20)*(1+J715)*(1+'模拟-单技能数据'!$J$20)*(1+U715),0)</f>
        <v>0</v>
      </c>
      <c r="AG715" s="61">
        <f t="shared" ca="1" si="606"/>
        <v>0.64185145527300214</v>
      </c>
      <c r="AH715" s="61">
        <f t="shared" ca="1" si="607"/>
        <v>2.2624828854998791</v>
      </c>
      <c r="AI715" s="62">
        <f t="shared" ca="1" si="628"/>
        <v>0.81380101450054476</v>
      </c>
      <c r="AJ715" s="47">
        <f ca="1">IF(AD715,IF(AI715&lt;$F$10,0,IF(AI715&lt;$F$10+$F$11,0.25,IF(AI715&lt;$F$10+$F$11+AG715,AH715,1)))*IF(AF715&gt;0,AF715,IF(AF714&gt;0,AF714,IF(AF713&gt;0,AF713,IF(AF712&gt;0,AF712,IF(AF711&gt;0,AF711,IF(AF710&gt;0,AF710,IF(AF709&gt;0,AF709,IF(AF708&gt;0,AF708,IF(AF707&gt;0,AF707,IF(AF705&gt;0,AF705,IF(AF704&gt;0,AF704,IF(AF703&gt;0,AF703,0)))))))))))),0)*(1-$S715)*'模拟-单技能数据'!$I$20</f>
        <v>3513.5533621728819</v>
      </c>
      <c r="AK715" s="115" t="b">
        <f t="shared" ca="1" si="608"/>
        <v>0</v>
      </c>
      <c r="AL715" s="115" t="b">
        <f t="shared" ca="1" si="609"/>
        <v>1</v>
      </c>
      <c r="AM715" s="115">
        <f t="shared" ca="1" si="610"/>
        <v>3</v>
      </c>
      <c r="AN715" s="47">
        <f ca="1">IF(AK715,('模拟-单技能数据'!$D$21+G715*'模拟-单技能数据'!$F$21)*(1+J715)*(1+'模拟-单技能数据'!$J$21)*(1+U715),0)</f>
        <v>0</v>
      </c>
      <c r="AO715" s="61">
        <f ca="1">IF(AN715&gt;0,M715-'模拟-单技能数据'!$K$10,AO714)</f>
        <v>0.42185145527300216</v>
      </c>
      <c r="AP715" s="61">
        <f ca="1">IF(AN715&gt;0,I715-'模拟-单技能数据'!$L$10,AP714)</f>
        <v>2.162482885499879</v>
      </c>
      <c r="AQ715" s="63">
        <f t="shared" ca="1" si="629"/>
        <v>0.24308870946453542</v>
      </c>
      <c r="AR715" s="64">
        <f ca="1">IF(AL715,IF(AQ715&lt;$F$10,0,IF(AQ715&lt;$F$10+$F$11,0.25,IF(AQ715&lt;$F$10+$F$11+AO715,AP715,1)))*IF(AN715&gt;0,AN715,IF(AN714&gt;0,AN714,IF(AN713&gt;0,AN713,IF(AN712&gt;0,AN712,IF(AN711&gt;0,AN711,IF(AN710&gt;0,AN710,IF(AN709&gt;0,AN709,IF(AN708&gt;0,AN708,IF(AN707&gt;0,AN707,IF(AN705&gt;0,AN705,IF(AN704&gt;0,AN704,IF(AN703&gt;0,AN703,0)))))))))))),0)*(1-$S715)*'模拟-单技能数据'!$I$21</f>
        <v>20749.792464251139</v>
      </c>
      <c r="AS715" s="61">
        <f ca="1">IF(OR(C715="净世破魔击·日",C715="净世破魔击·月"),M715-'模拟-单技能数据'!$K$10,0)</f>
        <v>0</v>
      </c>
      <c r="AT715" s="61">
        <f ca="1">IF(OR(C715="净世破魔击·日",C715="净世破魔击·月"),I715-'模拟-单技能数据'!$L$10,0)</f>
        <v>0</v>
      </c>
      <c r="AU715" s="62">
        <f t="shared" ca="1" si="630"/>
        <v>0.68763033673169716</v>
      </c>
      <c r="AV715" s="64">
        <f ca="1">IF(AS715&gt;0,('模拟-单技能数据'!$D$22+G715*'模拟-单技能数据'!$F$22)*(1+J715)*(1-S715)*IF(AU715&lt;$F$10,0,IF(AU715&lt;$F$10+$F$11,0.25,IF(AU715&lt;$F$10+$F$11+AS715,AT715,1)))*(1+U715),0)*'模拟-单技能数据'!$I$22</f>
        <v>0</v>
      </c>
      <c r="AW715" s="108">
        <f t="shared" ca="1" si="631"/>
        <v>0</v>
      </c>
      <c r="AX715" s="108" t="b">
        <f ca="1">AND(模拟模式!$P$10="有",AW714=0,RAND()&lt;IF(C715="净世破魔击·月",0.1*8/3,IF(C715="净世破魔击·日",0.1*4/3,0.1*2/3)))</f>
        <v>0</v>
      </c>
      <c r="AY715" s="47">
        <f ca="1">IF(AX715,(18+G715*0.722)*(1+J715)*(1-S715)*(1+$I$4)*IF(P715="会",'模拟-全程加成'!$J$3+'模拟-全程加成'!$J$4+'模拟-全程加成'!$J$5+('模拟-全程加成'!$I$4+'模拟-全程加成'!$I$5)/系数!$B$4+BG715*10%,IF(P715="命",1,IF(P715="识",0.25,0))),0)</f>
        <v>0</v>
      </c>
      <c r="AZ715" s="108">
        <f t="shared" si="632"/>
        <v>14.465000000000003</v>
      </c>
      <c r="BA715" s="108" t="b">
        <f>AND(模拟模式!$Q$10="有",AZ714=0)</f>
        <v>0</v>
      </c>
      <c r="BB715" s="140">
        <f>IF(BA715,(0+G715*0.287)*(1+J715)*(1-S715)*(1+$I$4)*IF(P715="会",'模拟-全程加成'!$J$3+'模拟-全程加成'!$J$4+'模拟-全程加成'!$J$5+('模拟-全程加成'!$I$4+'模拟-全程加成'!$I$5)/系数!$B$4+BG715*10%,IF(P715="命",1,IF(P715="识",0.25,0))),0)</f>
        <v>0</v>
      </c>
      <c r="BC715" s="115" t="b">
        <f ca="1">AND(模拟模式!$R$7="伏明众生",E715=60,F715=20,DA715&lt;5,CZ714&lt;$F$4)</f>
        <v>0</v>
      </c>
      <c r="BD715" s="115">
        <f t="shared" ca="1" si="611"/>
        <v>0</v>
      </c>
      <c r="BE715" s="115" t="b">
        <f t="shared" ca="1" si="612"/>
        <v>0</v>
      </c>
      <c r="BF715" s="47">
        <f ca="1">IF(BC715,4*('模拟-单技能数据'!$D$24+G715*'模拟-单技能数据'!$F$24)*(1+J715)*(1+'模拟-单技能数据'!$J$24)*(1-S715)*(1+$I$3)*(('模拟-全程加成'!$J$3+'模拟-全程加成'!$J$4+'模拟-全程加成'!$J$5+('模拟-全程加成'!$I$4+'模拟-全程加成'!$I$5)/系数!$B$4+BG715*10%)*('模拟-全程加成'!$J$3+'模拟-全程加成'!$J$4+'模拟-全程加成'!$J$5+('模拟-全程加成'!$I$4+'模拟-全程加成'!$I$5)/系数!$B$4+BG715*10%)+(1-('模拟-全程加成'!$J$3+'模拟-全程加成'!$J$4+'模拟-全程加成'!$J$5+('模拟-全程加成'!$I$4+'模拟-全程加成'!$I$5)/系数!$B$4+BG715*10%)-$F$10-$F$11)+F701*0.25),0)*'模拟-单技能数据'!$I$24</f>
        <v>0</v>
      </c>
      <c r="BG715" s="115" t="b">
        <f ca="1">OR(AND(OR(C715="烈日斩",C715="银月斩"),模拟模式!$I$7="净身明礼"),AND(C715="净世破魔击·日",模拟模式!$J$7="洞若观火"),AND(C716="净世破魔击·月",模拟模式!$J$7="洞若观火"),AB715=1)</f>
        <v>1</v>
      </c>
      <c r="BH715" s="115" t="b">
        <f t="shared" ca="1" si="633"/>
        <v>0</v>
      </c>
      <c r="BI715" s="115">
        <f t="shared" ca="1" si="613"/>
        <v>1.3874999999999997</v>
      </c>
      <c r="BJ715" s="115" t="b">
        <f t="shared" ca="1" si="614"/>
        <v>1</v>
      </c>
      <c r="BK715" s="115" t="b">
        <f ca="1">AND(C715="驱夜断愁",模拟模式!$P$7="天地诛戮")</f>
        <v>0</v>
      </c>
      <c r="BL715" s="57">
        <f t="shared" ca="1" si="615"/>
        <v>18.155000000000001</v>
      </c>
      <c r="BM715" s="115" t="b">
        <f t="shared" ca="1" si="616"/>
        <v>1</v>
      </c>
      <c r="BN715" s="115" t="b">
        <f ca="1">AND(OR(C715="赤日轮1",C715="赤日轮2",C715="赤日轮3",C715="幽月轮1",C715="幽月轮2",C715="幽月轮3"),AB715=1,模拟模式!$L$7="明光恒照")</f>
        <v>1</v>
      </c>
      <c r="BO715" s="117">
        <f t="shared" ca="1" si="617"/>
        <v>30</v>
      </c>
      <c r="BP715" s="115">
        <f t="shared" ca="1" si="634"/>
        <v>6</v>
      </c>
      <c r="BQ715" s="115" t="b">
        <f>模拟模式!$K$10="2600·水"</f>
        <v>0</v>
      </c>
      <c r="BR715" s="117">
        <f t="shared" si="635"/>
        <v>0</v>
      </c>
      <c r="BS715" s="115">
        <f t="shared" si="636"/>
        <v>0</v>
      </c>
      <c r="BT715" s="115">
        <f t="shared" ca="1" si="637"/>
        <v>0</v>
      </c>
      <c r="BU715" s="115" t="b">
        <f ca="1">AND(模拟模式!$K$10="2300·雷",BT714=0,RAND()&lt;IF(C715="净世破魔击·月",5*0.05*2/3,IF(C715="净世破魔击·日",3*0.05*2/3,0.05*2*2/3)))</f>
        <v>0</v>
      </c>
      <c r="BV715" s="115">
        <f t="shared" ca="1" si="638"/>
        <v>0</v>
      </c>
      <c r="BW715" s="115">
        <f t="shared" ca="1" si="639"/>
        <v>103.43249999999925</v>
      </c>
      <c r="BX715" s="164" t="b">
        <f t="shared" ca="1" si="640"/>
        <v>0</v>
      </c>
      <c r="BY715" s="115">
        <f t="shared" ca="1" si="641"/>
        <v>0</v>
      </c>
      <c r="BZ715" s="115">
        <f>IF(OR(模拟模式!$P$16="10人团",模拟模式!$P$16="25人团"),IF(B715/30&gt;CA714,1,0),0)</f>
        <v>0</v>
      </c>
      <c r="CA715" s="115">
        <f t="shared" si="618"/>
        <v>0</v>
      </c>
      <c r="CB715" s="115">
        <f ca="1">IF(BZ715=1,IF(模拟模式!$P$16="10人团",15,0)+IF(模拟模式!$P$16="25人团",IF(RAND()&lt;0.6,15,0)),MAX(0,CB714-$F$4))</f>
        <v>0</v>
      </c>
      <c r="CC715" s="115" t="b">
        <f t="shared" ca="1" si="619"/>
        <v>0</v>
      </c>
      <c r="CD715" s="115">
        <f>IF(模拟模式!$Q$16="1个",IF(B715/40&gt;CE714,1,0),0)</f>
        <v>0</v>
      </c>
      <c r="CE715" s="115">
        <f t="shared" si="620"/>
        <v>0</v>
      </c>
      <c r="CF715" s="115">
        <f>IF(OR(CD715=1,模拟模式!$Q$16="2个"),20,MAX(0,CF714-$F$4))</f>
        <v>0</v>
      </c>
      <c r="CG715" s="115" t="b">
        <f t="shared" si="621"/>
        <v>0</v>
      </c>
      <c r="CH715" s="115">
        <f t="shared" ca="1" si="642"/>
        <v>15.240000000000009</v>
      </c>
      <c r="CI715" s="115" t="b">
        <f t="shared" ca="1" si="643"/>
        <v>0</v>
      </c>
      <c r="CJ715" s="119">
        <f t="shared" ca="1" si="644"/>
        <v>0</v>
      </c>
      <c r="CK715" s="115">
        <f t="shared" ca="1" si="645"/>
        <v>0</v>
      </c>
      <c r="CL715" s="115" t="b">
        <f ca="1">AND(模拟模式!$S$7="驱夷逐法",OR(AND(C715="净世破魔击·月",E714&gt;59),AND(C715="净世破魔击·日",F714&gt;59)))</f>
        <v>0</v>
      </c>
      <c r="CM715" s="115" t="b">
        <f ca="1">OR(CL715,AND(C715="净世破魔击·日",CL714,RAND()&lt;模拟模式!$U$23))</f>
        <v>0</v>
      </c>
      <c r="CN715" s="115" t="b">
        <f ca="1">IF(模拟模式!$M$7="辉耀红尘",AND(C715="净世破魔击·月",CL715,CV715=0,E714&lt;80),AND(C715="净世破魔击·月",CL715,E714&lt;100))</f>
        <v>0</v>
      </c>
      <c r="CO715" s="115" t="b">
        <f t="shared" ca="1" si="622"/>
        <v>0</v>
      </c>
      <c r="CP715" s="115" t="b">
        <f ca="1">AND(模拟模式!$O$7="用晦而明",OR(C715="净世破魔击·日",C715="净世破魔击·月",C715="驱夜断愁"),AB715)</f>
        <v>0</v>
      </c>
      <c r="CQ715" s="115" t="b">
        <f ca="1">OR(CP715,AND(CP714,RAND()&lt;模拟模式!$U$23))</f>
        <v>0</v>
      </c>
      <c r="CR715" s="115" t="b">
        <f ca="1">AND(模拟模式!$S$7="日月齐光",OR(C715="幽月轮1",C715="幽月轮2",C715="幽月轮3",CR714),NOT(OR(C715="赤日轮1",C715="赤日轮2",C715="赤日轮3")))</f>
        <v>0</v>
      </c>
      <c r="CS715" s="115" t="b">
        <f ca="1">AND(模拟模式!$S$7="日月齐光",OR(C715="赤日轮1",C715="赤日轮2",C715="赤日轮3",CS714),NOT(OR(C715="幽月轮1",C715="幽月轮2",C715="幽月轮3")))</f>
        <v>0</v>
      </c>
      <c r="CT715" s="115">
        <f t="shared" ca="1" si="646"/>
        <v>0</v>
      </c>
      <c r="CU715" s="115" t="b">
        <f ca="1">AND(模拟模式!$K$10="阴阳往极",CT714=0,RAND()&lt;IF(C715="净世破魔击·月",0.0275*7/3,IF(C715="净世破魔击·日",0.0275*3/3,0.0275*2/3)))</f>
        <v>0</v>
      </c>
      <c r="CV715" s="115">
        <f t="shared" ca="1" si="647"/>
        <v>0</v>
      </c>
      <c r="CW715" s="115">
        <f t="shared" ca="1" si="648"/>
        <v>5.0774999999999997</v>
      </c>
      <c r="CX715" s="115">
        <f t="shared" ca="1" si="649"/>
        <v>3.2324999999999995</v>
      </c>
      <c r="CY715" s="115">
        <f ca="1">MAX(IF($C715="驱夜断愁",IF(模拟模式!$R$7="万念俱寂",6,45),CY714-$F$4),0)</f>
        <v>4.1549999999999994</v>
      </c>
      <c r="CZ715" s="115">
        <f t="shared" ca="1" si="623"/>
        <v>0</v>
      </c>
      <c r="DA715" s="115">
        <f ca="1">IF(模拟模式!$N$7="日月同辉",IF(DB714=2,0,MIN(6,IF(AND(OR(C715="赤日轮1",C715="赤日轮2",C715="赤日轮3",C715="幽月轮1",C715="幽月轮2",C715="幽月轮3"),AB715=1),DA714+1,DA714))),0)</f>
        <v>0</v>
      </c>
      <c r="DB715" s="115">
        <f t="shared" ca="1" si="624"/>
        <v>2</v>
      </c>
      <c r="DC715" s="115"/>
      <c r="DD715" s="115"/>
      <c r="DE715" s="115"/>
      <c r="DF715" s="115"/>
      <c r="DG715" s="115"/>
      <c r="DH715" s="115"/>
      <c r="DI715" s="115"/>
      <c r="DJ715" s="115"/>
      <c r="DK715" s="115"/>
      <c r="DL715" s="115"/>
      <c r="DM715" s="115"/>
    </row>
    <row r="716" spans="2:117" x14ac:dyDescent="0.2">
      <c r="B716" s="117">
        <f t="shared" si="625"/>
        <v>635.60250000000735</v>
      </c>
      <c r="C716" s="167" t="str">
        <f t="shared" ca="1" si="594"/>
        <v>净世破魔击·月</v>
      </c>
      <c r="D716" s="115">
        <f ca="1">IF(C716="赤日轮1",1,IF(C716="赤日轮2",2,IF(C716="赤日轮3",3,IF(C716="幽月轮1",4,IF(C716="幽月轮2",5,IF(C716="幽月轮3",6,IF(C716="烈日斩",7,IF(C716="银月斩",8,IF(C716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716="净世破魔击·月",17,IF(C716="驱夜断愁",18,0)))))))))))</f>
        <v>17</v>
      </c>
      <c r="E716" s="115">
        <f ca="1">IF(AND(CU716,OR(C716="幽月轮1",C716="幽月轮2",C716="幽月轮3",C716="银月斩",C716="驱夜断愁",C716="净世破魔击·月")),100,MIN(IF(OR(CN716,BE716),0,IF(OR($C716="赤日轮1",$C716="赤日轮2",$C716="赤日轮3"),E715+20+IF(模拟模式!$I$7="日月凌天",4,0)+IF(CR715,20,0),IF($C716="烈日斩",E715+40,IF($C716="驱夜断愁",IF(模拟模式!$R$7="万念俱寂",E715+20,E715+60),IF($C716="净世破魔击·月",IF(OR(DB715&gt;0,CV715&gt;0),100,IF(模拟模式!$M$7="辉耀红尘",E715+20,E715)),IF($C716="净世破魔击·日",E715-100,E715)))))),100))</f>
        <v>100</v>
      </c>
      <c r="F716" s="115">
        <f ca="1">IF(AND(CU716,OR(C716="赤日轮1",C716="赤日轮2",C716="赤日轮3",C716="烈日斩",C716="净世破魔击·日")),100,MIN(IF(CO716,0,IF(OR($C716="幽月轮1",$C716="幽月轮2",$C716="幽月轮3"),F715+20+IF(模拟模式!$I$7="日月凌天",4,0)+IF(CS715,20,0),IF($C716="银月斩",F715+40+IF(模拟模式!$X$12=1,5,0),IF($C716="驱夜断愁",IF(模拟模式!$R$7="万念俱寂",F715+20,F715+60),IF($C716="净世破魔击·月",IF(模拟模式!$M$7="辉耀红尘",F715-80,F715-100),IF(AND(C716="净世破魔击·日",OR(DB715&gt;0,CV715&gt;0)),100,F715)))))),100))</f>
        <v>20</v>
      </c>
      <c r="G716" s="117">
        <f ca="1">('模拟-全程加成'!$E$3+'模拟-全程加成'!$E$4+'模拟-全程加成'!$E$5+('模拟-全程加成'!$C$6-'模拟-全程加成'!$C$3)*系数!$B$9+BS716*23)*(1+'模拟-全程加成'!$F$4+'模拟-全程加成'!$F$5+BJ716*10%+BM716*20%+BP716*4%+CG716*30%)+$F$7*系数!$B$12</f>
        <v>21493.829400000002</v>
      </c>
      <c r="H716" s="45">
        <f ca="1">'模拟-全程加成'!$H$3+'模拟-全程加成'!$H$4+'模拟-全程加成'!$H$5+('模拟-全程加成'!$G$4+'模拟-全程加成'!$G$5+('模拟-全程加成'!$C$6-'模拟-全程加成'!$C$3)*系数!$B$13)/系数!$B$3+LOOKUP(D716,'模拟-单技能数据'!$A$2:$A$19,'模拟-单技能数据'!$K$2:$K$19)+BG716*10%+IF(BV716&gt;0,378,0)</f>
        <v>0.54185145527300216</v>
      </c>
      <c r="I716" s="45">
        <f ca="1">'模拟-全程加成'!$J$3+'模拟-全程加成'!$J$4+'模拟-全程加成'!$J$5+('模拟-全程加成'!$I$4+'模拟-全程加成'!$I$5)/系数!$B$4+LOOKUP(D716,'模拟-单技能数据'!$A$2:$A$19,'模拟-单技能数据'!$L$2:$L$19)+BG716*10%</f>
        <v>2.162482885499879</v>
      </c>
      <c r="J716" s="45">
        <f ca="1">(('模拟-全程加成'!$K$3+'模拟-全程加成'!$K$4+'模拟-全程加成'!$K$5+('模拟-全程加成'!$C$6-'模拟-全程加成'!$C$3)*系数!$B$10+IF(BV716&gt;0,882,0)+IF(BY716&gt;0,1831,0))*(1+'模拟-全程加成'!$L$4+'模拟-全程加成'!$L$5+CC716*20%))/系数!$B$5</f>
        <v>0.69723220422048726</v>
      </c>
      <c r="K716" s="119">
        <f ca="1">LOOKUP(D716,'模拟-单技能数据'!$A$2:$A$19,'模拟-单技能数据'!$J$2:$J$19)+IF(CM716,60%,0)+IF(DB715-DB716&gt;0,30%,0)+IF(OR(AND(OR(C716="赤日轮1",C716="赤日轮2",C716="赤日轮3"),CR716),AND(OR(C716="幽月轮1",C716="幽月轮2",C716="幽月轮3"),CS716)),35%,0)+CJ716</f>
        <v>1.1000000000000001</v>
      </c>
      <c r="L716" s="119">
        <f ca="1">IF(AND(C716="烈日斩",模拟模式!$X$11=1),10%,0)+IF(AND(C716="驱夜断愁",AB716=1),30%,0)</f>
        <v>0</v>
      </c>
      <c r="M716" s="45">
        <f t="shared" ca="1" si="595"/>
        <v>0.54185145527300216</v>
      </c>
      <c r="N716" s="45">
        <f t="shared" ca="1" si="596"/>
        <v>0.40424854472699789</v>
      </c>
      <c r="O716" s="46">
        <f t="shared" ca="1" si="626"/>
        <v>0.57931067919149948</v>
      </c>
      <c r="P716" s="46" t="str">
        <f t="shared" ca="1" si="597"/>
        <v>会</v>
      </c>
      <c r="Q716" s="45">
        <f t="shared" ca="1" si="598"/>
        <v>2.162482885499879</v>
      </c>
      <c r="R716" s="117">
        <f ca="1">模拟模式!$E$20*(1-IF(模拟模式!$J$19="有",0.15,0))*(1-IF(模拟模式!$K$19="有",0.3,0)-IF(CQ716,0.5,0))</f>
        <v>843.02999999999975</v>
      </c>
      <c r="S716" s="45">
        <f ca="1">R716/(R716+(185*模拟模式!$E$22-16800)*4.08224)</f>
        <v>8.389626085980037E-2</v>
      </c>
      <c r="T716" s="45" t="str">
        <f ca="1">LOOKUP(D716,'模拟-单技能数据'!$A$2:$A$19,'模拟-单技能数据'!$H$2:$H$19)</f>
        <v>阴</v>
      </c>
      <c r="U716" s="119">
        <f t="shared" ca="1" si="599"/>
        <v>0.08</v>
      </c>
      <c r="V716" s="47">
        <f ca="1">(1+L716)*(LOOKUP(D716,'模拟-单技能数据'!$A$2:$A$19,'模拟-单技能数据'!$D$2:$D$19)+G716*LOOKUP(D716,'模拟-单技能数据'!$A$2:$A$19,'模拟-单技能数据'!$F$2:$F$19))*(1+J716)*(1+K716)*(1-S716)*(1+U716)*Q716*LOOKUP(D716,'模拟-单技能数据'!$A$2:$A$19,'模拟-单技能数据'!$I$2:$I$20)</f>
        <v>212964.75797218451</v>
      </c>
      <c r="W716" s="47">
        <f ca="1">LOOKUP(D716,'模拟-单技能数据'!$A$2:$A$19,'模拟-单技能数据'!$G$2:$G$19)*$I$10</f>
        <v>361.51064354704795</v>
      </c>
      <c r="X716" s="47">
        <f t="shared" ca="1" si="627"/>
        <v>7956.2107573714466</v>
      </c>
      <c r="Y716" s="47">
        <f t="shared" ca="1" si="600"/>
        <v>221282.47937310301</v>
      </c>
      <c r="Z716" s="49">
        <f t="shared" ca="1" si="601"/>
        <v>71786050.51707302</v>
      </c>
      <c r="AA716" s="97">
        <f t="shared" ca="1" si="602"/>
        <v>112941.73719749716</v>
      </c>
      <c r="AB716" s="115">
        <f ca="1">IF(OR(C716="赤日轮1",C716="赤日轮2",C716="赤日轮3"),IF(RAND()&lt;模拟模式!$Y$17,1,0),IF(OR(C716="幽月轮1",C716="幽月轮2",C716="幽月轮3"),IF(RAND()&lt;模拟模式!$Y$18,1,0),IF(C716="烈日斩",IF(RAND()&lt;模拟模式!$Y$19,1,0),IF(C716="银月斩",IF(RAND()&lt;模拟模式!$Y$20,1,0),IF(C716="驱夜断愁",IF(RAND()&lt;模拟模式!$Y$21,1,0),IF(C716="净世破魔击·日",IF(RAND()&lt;模拟模式!$Y$22,1,0),IF(C716="净世破魔击·月",IF(RAND()&lt;模拟模式!$Y$23,1,0),0)))))))</f>
        <v>1</v>
      </c>
      <c r="AC716" s="115" t="b">
        <f t="shared" ca="1" si="603"/>
        <v>0</v>
      </c>
      <c r="AD716" s="115" t="b">
        <f t="shared" ca="1" si="604"/>
        <v>0</v>
      </c>
      <c r="AE716" s="115">
        <f t="shared" ca="1" si="605"/>
        <v>4</v>
      </c>
      <c r="AF716" s="47">
        <f ca="1">IF(AC716,('模拟-单技能数据'!$D$20+G716*'模拟-单技能数据'!$F$20)*(1+J716)*(1+'模拟-单技能数据'!$J$20)*(1+U716),0)</f>
        <v>0</v>
      </c>
      <c r="AG716" s="61">
        <f t="shared" ca="1" si="606"/>
        <v>0.64185145527300214</v>
      </c>
      <c r="AH716" s="61">
        <f t="shared" ca="1" si="607"/>
        <v>2.2624828854998791</v>
      </c>
      <c r="AI716" s="62">
        <f t="shared" ca="1" si="628"/>
        <v>0.97681525313060791</v>
      </c>
      <c r="AJ716" s="47">
        <f ca="1">IF(AD716,IF(AI716&lt;$F$10,0,IF(AI716&lt;$F$10+$F$11,0.25,IF(AI716&lt;$F$10+$F$11+AG716,AH716,1)))*IF(AF716&gt;0,AF716,IF(AF715&gt;0,AF715,IF(AF714&gt;0,AF714,IF(AF713&gt;0,AF713,IF(AF712&gt;0,AF712,IF(AF711&gt;0,AF711,IF(AF710&gt;0,AF710,IF(AF709&gt;0,AF709,IF(AF708&gt;0,AF708,IF(AF706&gt;0,AF706,IF(AF705&gt;0,AF705,IF(AF704&gt;0,AF704,0)))))))))))),0)*(1-$S716)*'模拟-单技能数据'!$I$20</f>
        <v>0</v>
      </c>
      <c r="AK716" s="115" t="b">
        <f t="shared" ca="1" si="608"/>
        <v>0</v>
      </c>
      <c r="AL716" s="115" t="b">
        <f t="shared" ca="1" si="609"/>
        <v>0</v>
      </c>
      <c r="AM716" s="115">
        <f t="shared" ca="1" si="610"/>
        <v>3</v>
      </c>
      <c r="AN716" s="47">
        <f ca="1">IF(AK716,('模拟-单技能数据'!$D$21+G716*'模拟-单技能数据'!$F$21)*(1+J716)*(1+'模拟-单技能数据'!$J$21)*(1+U716),0)</f>
        <v>0</v>
      </c>
      <c r="AO716" s="61">
        <f ca="1">IF(AN716&gt;0,M716-'模拟-单技能数据'!$K$10,AO715)</f>
        <v>0.42185145527300216</v>
      </c>
      <c r="AP716" s="61">
        <f ca="1">IF(AN716&gt;0,I716-'模拟-单技能数据'!$L$10,AP715)</f>
        <v>2.162482885499879</v>
      </c>
      <c r="AQ716" s="63">
        <f t="shared" ca="1" si="629"/>
        <v>0.84857334155753306</v>
      </c>
      <c r="AR716" s="64">
        <f ca="1">IF(AL716,IF(AQ716&lt;$F$10,0,IF(AQ716&lt;$F$10+$F$11,0.25,IF(AQ716&lt;$F$10+$F$11+AO716,AP716,1)))*IF(AN716&gt;0,AN716,IF(AN715&gt;0,AN715,IF(AN714&gt;0,AN714,IF(AN713&gt;0,AN713,IF(AN712&gt;0,AN712,IF(AN711&gt;0,AN711,IF(AN710&gt;0,AN710,IF(AN709&gt;0,AN709,IF(AN708&gt;0,AN708,IF(AN706&gt;0,AN706,IF(AN705&gt;0,AN705,IF(AN704&gt;0,AN704,0)))))))))))),0)*(1-$S716)*'模拟-单技能数据'!$I$21</f>
        <v>0</v>
      </c>
      <c r="AS716" s="61">
        <f ca="1">IF(OR(C716="净世破魔击·日",C716="净世破魔击·月"),M716-'模拟-单技能数据'!$K$10,0)</f>
        <v>0.42185145527300216</v>
      </c>
      <c r="AT716" s="61">
        <f ca="1">IF(OR(C716="净世破魔击·日",C716="净世破魔击·月"),I716-'模拟-单技能数据'!$L$10,0)</f>
        <v>2.162482885499879</v>
      </c>
      <c r="AU716" s="62">
        <f t="shared" ca="1" si="630"/>
        <v>0.87970003781899275</v>
      </c>
      <c r="AV716" s="64">
        <f ca="1">IF(AS716&gt;0,('模拟-单技能数据'!$D$22+G716*'模拟-单技能数据'!$F$22)*(1+J716)*(1-S716)*IF(AU716&lt;$F$10,0,IF(AU716&lt;$F$10+$F$11,0.25,IF(AU716&lt;$F$10+$F$11+AS716,AT716,1)))*(1+U716),0)*'模拟-单技能数据'!$I$22</f>
        <v>7956.2107573714466</v>
      </c>
      <c r="AW716" s="108">
        <f t="shared" ca="1" si="631"/>
        <v>0</v>
      </c>
      <c r="AX716" s="108" t="b">
        <f ca="1">AND(模拟模式!$P$10="有",AW715=0,RAND()&lt;IF(C716="净世破魔击·月",0.1*8/3,IF(C716="净世破魔击·日",0.1*4/3,0.1*2/3)))</f>
        <v>0</v>
      </c>
      <c r="AY716" s="47">
        <f ca="1">IF(AX716,(18+G716*0.722)*(1+J716)*(1-S716)*(1+$I$4)*IF(P716="会",'模拟-全程加成'!$J$3+'模拟-全程加成'!$J$4+'模拟-全程加成'!$J$5+('模拟-全程加成'!$I$4+'模拟-全程加成'!$I$5)/系数!$B$4+BG716*10%,IF(P716="命",1,IF(P716="识",0.25,0))),0)</f>
        <v>0</v>
      </c>
      <c r="AZ716" s="108">
        <f t="shared" si="632"/>
        <v>13.542500000000004</v>
      </c>
      <c r="BA716" s="108" t="b">
        <f>AND(模拟模式!$Q$10="有",AZ715=0)</f>
        <v>0</v>
      </c>
      <c r="BB716" s="140">
        <f>IF(BA716,(0+G716*0.287)*(1+J716)*(1-S716)*(1+$I$4)*IF(P716="会",'模拟-全程加成'!$J$3+'模拟-全程加成'!$J$4+'模拟-全程加成'!$J$5+('模拟-全程加成'!$I$4+'模拟-全程加成'!$I$5)/系数!$B$4+BG716*10%,IF(P716="命",1,IF(P716="识",0.25,0))),0)</f>
        <v>0</v>
      </c>
      <c r="BC716" s="115" t="b">
        <f ca="1">AND(模拟模式!$R$7="伏明众生",E716=60,F716=20,DA716&lt;5,CZ715&lt;$F$4)</f>
        <v>0</v>
      </c>
      <c r="BD716" s="115">
        <f t="shared" ca="1" si="611"/>
        <v>0</v>
      </c>
      <c r="BE716" s="115" t="b">
        <f t="shared" ca="1" si="612"/>
        <v>0</v>
      </c>
      <c r="BF716" s="47">
        <f ca="1">IF(BC716,4*('模拟-单技能数据'!$D$24+G716*'模拟-单技能数据'!$F$24)*(1+J716)*(1+'模拟-单技能数据'!$J$24)*(1-S716)*(1+$I$3)*(('模拟-全程加成'!$J$3+'模拟-全程加成'!$J$4+'模拟-全程加成'!$J$5+('模拟-全程加成'!$I$4+'模拟-全程加成'!$I$5)/系数!$B$4+BG716*10%)*('模拟-全程加成'!$J$3+'模拟-全程加成'!$J$4+'模拟-全程加成'!$J$5+('模拟-全程加成'!$I$4+'模拟-全程加成'!$I$5)/系数!$B$4+BG716*10%)+(1-('模拟-全程加成'!$J$3+'模拟-全程加成'!$J$4+'模拟-全程加成'!$J$5+('模拟-全程加成'!$I$4+'模拟-全程加成'!$I$5)/系数!$B$4+BG716*10%)-$F$10-$F$11)+F702*0.25),0)*'模拟-单技能数据'!$I$24</f>
        <v>0</v>
      </c>
      <c r="BG716" s="115" t="b">
        <f ca="1">OR(AND(OR(C716="烈日斩",C716="银月斩"),模拟模式!$I$7="净身明礼"),AND(C716="净世破魔击·日",模拟模式!$J$7="洞若观火"),AND(C717="净世破魔击·月",模拟模式!$J$7="洞若观火"),AB716=1)</f>
        <v>1</v>
      </c>
      <c r="BH716" s="115" t="b">
        <f t="shared" ca="1" si="633"/>
        <v>1</v>
      </c>
      <c r="BI716" s="115">
        <f t="shared" ca="1" si="613"/>
        <v>6</v>
      </c>
      <c r="BJ716" s="115" t="b">
        <f t="shared" ca="1" si="614"/>
        <v>1</v>
      </c>
      <c r="BK716" s="115" t="b">
        <f ca="1">AND(C716="驱夜断愁",模拟模式!$P$7="天地诛戮")</f>
        <v>0</v>
      </c>
      <c r="BL716" s="57">
        <f t="shared" ca="1" si="615"/>
        <v>17.232500000000002</v>
      </c>
      <c r="BM716" s="115" t="b">
        <f t="shared" ca="1" si="616"/>
        <v>1</v>
      </c>
      <c r="BN716" s="115" t="b">
        <f ca="1">AND(OR(C716="赤日轮1",C716="赤日轮2",C716="赤日轮3",C716="幽月轮1",C716="幽月轮2",C716="幽月轮3"),AB716=1,模拟模式!$L$7="明光恒照")</f>
        <v>0</v>
      </c>
      <c r="BO716" s="117">
        <f t="shared" ca="1" si="617"/>
        <v>29.077500000000001</v>
      </c>
      <c r="BP716" s="115">
        <f t="shared" ca="1" si="634"/>
        <v>6</v>
      </c>
      <c r="BQ716" s="115" t="b">
        <f>模拟模式!$K$10="2600·水"</f>
        <v>0</v>
      </c>
      <c r="BR716" s="117">
        <f t="shared" si="635"/>
        <v>0</v>
      </c>
      <c r="BS716" s="115">
        <f t="shared" si="636"/>
        <v>0</v>
      </c>
      <c r="BT716" s="115">
        <f t="shared" ca="1" si="637"/>
        <v>0</v>
      </c>
      <c r="BU716" s="115" t="b">
        <f ca="1">AND(模拟模式!$K$10="2300·雷",BT715=0,RAND()&lt;IF(C716="净世破魔击·月",5*0.05*2/3,IF(C716="净世破魔击·日",3*0.05*2/3,0.05*2*2/3)))</f>
        <v>0</v>
      </c>
      <c r="BV716" s="115">
        <f t="shared" ca="1" si="638"/>
        <v>0</v>
      </c>
      <c r="BW716" s="115">
        <f t="shared" ca="1" si="639"/>
        <v>102.50999999999925</v>
      </c>
      <c r="BX716" s="164" t="b">
        <f t="shared" ca="1" si="640"/>
        <v>0</v>
      </c>
      <c r="BY716" s="115">
        <f t="shared" ca="1" si="641"/>
        <v>0</v>
      </c>
      <c r="BZ716" s="115">
        <f>IF(OR(模拟模式!$P$16="10人团",模拟模式!$P$16="25人团"),IF(B716/30&gt;CA715,1,0),0)</f>
        <v>0</v>
      </c>
      <c r="CA716" s="115">
        <f t="shared" si="618"/>
        <v>0</v>
      </c>
      <c r="CB716" s="115">
        <f ca="1">IF(BZ716=1,IF(模拟模式!$P$16="10人团",15,0)+IF(模拟模式!$P$16="25人团",IF(RAND()&lt;0.6,15,0)),MAX(0,CB715-$F$4))</f>
        <v>0</v>
      </c>
      <c r="CC716" s="115" t="b">
        <f t="shared" ca="1" si="619"/>
        <v>0</v>
      </c>
      <c r="CD716" s="115">
        <f>IF(模拟模式!$Q$16="1个",IF(B716/40&gt;CE715,1,0),0)</f>
        <v>0</v>
      </c>
      <c r="CE716" s="115">
        <f t="shared" si="620"/>
        <v>0</v>
      </c>
      <c r="CF716" s="115">
        <f>IF(OR(CD716=1,模拟模式!$Q$16="2个"),20,MAX(0,CF715-$F$4))</f>
        <v>0</v>
      </c>
      <c r="CG716" s="115" t="b">
        <f t="shared" si="621"/>
        <v>0</v>
      </c>
      <c r="CH716" s="115">
        <f t="shared" ca="1" si="642"/>
        <v>14.31750000000001</v>
      </c>
      <c r="CI716" s="115" t="b">
        <f t="shared" ca="1" si="643"/>
        <v>0</v>
      </c>
      <c r="CJ716" s="119">
        <f t="shared" ca="1" si="644"/>
        <v>0</v>
      </c>
      <c r="CK716" s="115">
        <f t="shared" ca="1" si="645"/>
        <v>0</v>
      </c>
      <c r="CL716" s="115" t="b">
        <f ca="1">AND(模拟模式!$S$7="驱夷逐法",OR(AND(C716="净世破魔击·月",E715&gt;59),AND(C716="净世破魔击·日",F715&gt;59)))</f>
        <v>1</v>
      </c>
      <c r="CM716" s="115" t="b">
        <f ca="1">OR(CL716,AND(C716="净世破魔击·日",CL715,RAND()&lt;模拟模式!$U$23))</f>
        <v>1</v>
      </c>
      <c r="CN716" s="115" t="b">
        <f ca="1">IF(模拟模式!$M$7="辉耀红尘",AND(C716="净世破魔击·月",CL716,CV716=0,E715&lt;80),AND(C716="净世破魔击·月",CL716,E715&lt;100))</f>
        <v>0</v>
      </c>
      <c r="CO716" s="115" t="b">
        <f t="shared" ca="1" si="622"/>
        <v>0</v>
      </c>
      <c r="CP716" s="115" t="b">
        <f ca="1">AND(模拟模式!$O$7="用晦而明",OR(C716="净世破魔击·日",C716="净世破魔击·月",C716="驱夜断愁"),AB716)</f>
        <v>1</v>
      </c>
      <c r="CQ716" s="115" t="b">
        <f ca="1">OR(CP716,AND(CP715,RAND()&lt;模拟模式!$U$23))</f>
        <v>1</v>
      </c>
      <c r="CR716" s="115" t="b">
        <f ca="1">AND(模拟模式!$S$7="日月齐光",OR(C716="幽月轮1",C716="幽月轮2",C716="幽月轮3",CR715),NOT(OR(C716="赤日轮1",C716="赤日轮2",C716="赤日轮3")))</f>
        <v>0</v>
      </c>
      <c r="CS716" s="115" t="b">
        <f ca="1">AND(模拟模式!$S$7="日月齐光",OR(C716="赤日轮1",C716="赤日轮2",C716="赤日轮3",CS715),NOT(OR(C716="幽月轮1",C716="幽月轮2",C716="幽月轮3")))</f>
        <v>0</v>
      </c>
      <c r="CT716" s="115">
        <f t="shared" ca="1" si="646"/>
        <v>0</v>
      </c>
      <c r="CU716" s="115" t="b">
        <f ca="1">AND(模拟模式!$K$10="阴阳往极",CT715=0,RAND()&lt;IF(C716="净世破魔击·月",0.0275*7/3,IF(C716="净世破魔击·日",0.0275*3/3,0.0275*2/3)))</f>
        <v>0</v>
      </c>
      <c r="CV716" s="115">
        <f t="shared" ca="1" si="647"/>
        <v>0</v>
      </c>
      <c r="CW716" s="115">
        <f t="shared" ca="1" si="648"/>
        <v>4.1549999999999994</v>
      </c>
      <c r="CX716" s="115">
        <f t="shared" ca="1" si="649"/>
        <v>2.3099999999999996</v>
      </c>
      <c r="CY716" s="115">
        <f ca="1">MAX(IF($C716="驱夜断愁",IF(模拟模式!$R$7="万念俱寂",6,45),CY715-$F$4),0)</f>
        <v>3.2324999999999995</v>
      </c>
      <c r="CZ716" s="115">
        <f t="shared" ca="1" si="623"/>
        <v>0</v>
      </c>
      <c r="DA716" s="115">
        <f ca="1">IF(模拟模式!$N$7="日月同辉",IF(DB715=2,0,MIN(6,IF(AND(OR(C716="赤日轮1",C716="赤日轮2",C716="赤日轮3",C716="幽月轮1",C716="幽月轮2",C716="幽月轮3"),AB716=1),DA715+1,DA715))),0)</f>
        <v>0</v>
      </c>
      <c r="DB716" s="115">
        <f t="shared" ca="1" si="624"/>
        <v>1</v>
      </c>
      <c r="DC716" s="115"/>
      <c r="DD716" s="115"/>
      <c r="DE716" s="115"/>
      <c r="DF716" s="115"/>
      <c r="DG716" s="115"/>
      <c r="DH716" s="115"/>
      <c r="DI716" s="115"/>
      <c r="DJ716" s="115"/>
      <c r="DK716" s="115"/>
      <c r="DL716" s="115"/>
      <c r="DM716" s="115"/>
    </row>
    <row r="717" spans="2:117" x14ac:dyDescent="0.2">
      <c r="B717" s="117">
        <f t="shared" si="625"/>
        <v>636.52500000000737</v>
      </c>
      <c r="C717" s="167" t="str">
        <f t="shared" ca="1" si="594"/>
        <v>净世破魔击·日</v>
      </c>
      <c r="D717" s="115">
        <f ca="1">IF(C717="赤日轮1",1,IF(C717="赤日轮2",2,IF(C717="赤日轮3",3,IF(C717="幽月轮1",4,IF(C717="幽月轮2",5,IF(C717="幽月轮3",6,IF(C717="烈日斩",7,IF(C717="银月斩",8,IF(C717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717="净世破魔击·月",17,IF(C717="驱夜断愁",18,0)))))))))))</f>
        <v>9</v>
      </c>
      <c r="E717" s="115">
        <f ca="1">IF(AND(CU717,OR(C717="幽月轮1",C717="幽月轮2",C717="幽月轮3",C717="银月斩",C717="驱夜断愁",C717="净世破魔击·月")),100,MIN(IF(OR(CN717,BE717),0,IF(OR($C717="赤日轮1",$C717="赤日轮2",$C717="赤日轮3"),E716+20+IF(模拟模式!$I$7="日月凌天",4,0)+IF(CR716,20,0),IF($C717="烈日斩",E716+40,IF($C717="驱夜断愁",IF(模拟模式!$R$7="万念俱寂",E716+20,E716+60),IF($C717="净世破魔击·月",IF(OR(DB716&gt;0,CV716&gt;0),100,IF(模拟模式!$M$7="辉耀红尘",E716+20,E716)),IF($C717="净世破魔击·日",E716-100,E716)))))),100))</f>
        <v>0</v>
      </c>
      <c r="F717" s="115">
        <f ca="1">IF(AND(CU717,OR(C717="赤日轮1",C717="赤日轮2",C717="赤日轮3",C717="烈日斩",C717="净世破魔击·日")),100,MIN(IF(CO717,0,IF(OR($C717="幽月轮1",$C717="幽月轮2",$C717="幽月轮3"),F716+20+IF(模拟模式!$I$7="日月凌天",4,0)+IF(CS716,20,0),IF($C717="银月斩",F716+40+IF(模拟模式!$X$12=1,5,0),IF($C717="驱夜断愁",IF(模拟模式!$R$7="万念俱寂",F716+20,F716+60),IF($C717="净世破魔击·月",IF(模拟模式!$M$7="辉耀红尘",F716-80,F716-100),IF(AND(C717="净世破魔击·日",OR(DB716&gt;0,CV716&gt;0)),100,F716)))))),100))</f>
        <v>100</v>
      </c>
      <c r="G717" s="117">
        <f ca="1">('模拟-全程加成'!$E$3+'模拟-全程加成'!$E$4+'模拟-全程加成'!$E$5+('模拟-全程加成'!$C$6-'模拟-全程加成'!$C$3)*系数!$B$9+BS717*23)*(1+'模拟-全程加成'!$F$4+'模拟-全程加成'!$F$5+BJ717*10%+BM717*20%+BP717*4%+CG717*30%)+$F$7*系数!$B$12</f>
        <v>21493.829400000002</v>
      </c>
      <c r="H717" s="45">
        <f ca="1">'模拟-全程加成'!$H$3+'模拟-全程加成'!$H$4+'模拟-全程加成'!$H$5+('模拟-全程加成'!$G$4+'模拟-全程加成'!$G$5+('模拟-全程加成'!$C$6-'模拟-全程加成'!$C$3)*系数!$B$13)/系数!$B$3+LOOKUP(D717,'模拟-单技能数据'!$A$2:$A$19,'模拟-单技能数据'!$K$2:$K$19)+BG717*10%+IF(BV717&gt;0,378,0)</f>
        <v>0.54185145527300216</v>
      </c>
      <c r="I717" s="45">
        <f ca="1">'模拟-全程加成'!$J$3+'模拟-全程加成'!$J$4+'模拟-全程加成'!$J$5+('模拟-全程加成'!$I$4+'模拟-全程加成'!$I$5)/系数!$B$4+LOOKUP(D717,'模拟-单技能数据'!$A$2:$A$19,'模拟-单技能数据'!$L$2:$L$19)+BG717*10%</f>
        <v>2.162482885499879</v>
      </c>
      <c r="J717" s="45">
        <f ca="1">(('模拟-全程加成'!$K$3+'模拟-全程加成'!$K$4+'模拟-全程加成'!$K$5+('模拟-全程加成'!$C$6-'模拟-全程加成'!$C$3)*系数!$B$10+IF(BV717&gt;0,882,0)+IF(BY717&gt;0,1831,0))*(1+'模拟-全程加成'!$L$4+'模拟-全程加成'!$L$5+CC717*20%))/系数!$B$5</f>
        <v>0.69723220422048726</v>
      </c>
      <c r="K717" s="119">
        <f ca="1">LOOKUP(D717,'模拟-单技能数据'!$A$2:$A$19,'模拟-单技能数据'!$J$2:$J$19)+IF(CM717,60%,0)+IF(DB716-DB717&gt;0,30%,0)+IF(OR(AND(OR(C717="赤日轮1",C717="赤日轮2",C717="赤日轮3"),CR717),AND(OR(C717="幽月轮1",C717="幽月轮2",C717="幽月轮3"),CS717)),35%,0)+CJ717</f>
        <v>1.1000000000000001</v>
      </c>
      <c r="L717" s="119">
        <f ca="1">IF(AND(C717="烈日斩",模拟模式!$X$11=1),10%,0)+IF(AND(C717="驱夜断愁",AB717=1),30%,0)</f>
        <v>0</v>
      </c>
      <c r="M717" s="45">
        <f t="shared" ca="1" si="595"/>
        <v>0.54185145527300216</v>
      </c>
      <c r="N717" s="45">
        <f t="shared" ca="1" si="596"/>
        <v>0.40424854472699789</v>
      </c>
      <c r="O717" s="46">
        <f t="shared" ca="1" si="626"/>
        <v>0.91175893020845156</v>
      </c>
      <c r="P717" s="46" t="str">
        <f t="shared" ca="1" si="597"/>
        <v>命</v>
      </c>
      <c r="Q717" s="45">
        <f t="shared" ca="1" si="598"/>
        <v>1</v>
      </c>
      <c r="R717" s="117">
        <f ca="1">模拟模式!$E$20*(1-IF(模拟模式!$J$19="有",0.15,0))*(1-IF(模拟模式!$K$19="有",0.3,0)-IF(CQ717,0.5,0))</f>
        <v>843.02999999999975</v>
      </c>
      <c r="S717" s="45">
        <f ca="1">R717/(R717+(185*模拟模式!$E$22-16800)*4.08224)</f>
        <v>8.389626085980037E-2</v>
      </c>
      <c r="T717" s="45" t="str">
        <f ca="1">LOOKUP(D717,'模拟-单技能数据'!$A$2:$A$19,'模拟-单技能数据'!$H$2:$H$19)</f>
        <v>阳</v>
      </c>
      <c r="U717" s="119">
        <f t="shared" ca="1" si="599"/>
        <v>0.2</v>
      </c>
      <c r="V717" s="47">
        <f ca="1">(1+L717)*(LOOKUP(D717,'模拟-单技能数据'!$A$2:$A$19,'模拟-单技能数据'!$D$2:$D$19)+G717*LOOKUP(D717,'模拟-单技能数据'!$A$2:$A$19,'模拟-单技能数据'!$F$2:$F$19))*(1+J717)*(1+K717)*(1-S717)*(1+U717)*Q717*LOOKUP(D717,'模拟-单技能数据'!$A$2:$A$19,'模拟-单技能数据'!$I$2:$I$20)</f>
        <v>110337.92595746904</v>
      </c>
      <c r="W717" s="47">
        <f ca="1">LOOKUP(D717,'模拟-单技能数据'!$A$2:$A$19,'模拟-单技能数据'!$G$2:$G$19)*$I$10</f>
        <v>723.0212870940959</v>
      </c>
      <c r="X717" s="47">
        <f t="shared" ca="1" si="627"/>
        <v>69648.160318897018</v>
      </c>
      <c r="Y717" s="47">
        <f t="shared" ca="1" si="600"/>
        <v>180709.10756346016</v>
      </c>
      <c r="Z717" s="49">
        <f t="shared" ca="1" si="601"/>
        <v>71966759.624636486</v>
      </c>
      <c r="AA717" s="97">
        <f t="shared" ca="1" si="602"/>
        <v>113061.95298634877</v>
      </c>
      <c r="AB717" s="115">
        <f ca="1">IF(OR(C717="赤日轮1",C717="赤日轮2",C717="赤日轮3"),IF(RAND()&lt;模拟模式!$Y$17,1,0),IF(OR(C717="幽月轮1",C717="幽月轮2",C717="幽月轮3"),IF(RAND()&lt;模拟模式!$Y$18,1,0),IF(C717="烈日斩",IF(RAND()&lt;模拟模式!$Y$19,1,0),IF(C717="银月斩",IF(RAND()&lt;模拟模式!$Y$20,1,0),IF(C717="驱夜断愁",IF(RAND()&lt;模拟模式!$Y$21,1,0),IF(C717="净世破魔击·日",IF(RAND()&lt;模拟模式!$Y$22,1,0),IF(C717="净世破魔击·月",IF(RAND()&lt;模拟模式!$Y$23,1,0),0)))))))</f>
        <v>1</v>
      </c>
      <c r="AC717" s="115" t="b">
        <f t="shared" ca="1" si="603"/>
        <v>0</v>
      </c>
      <c r="AD717" s="115" t="b">
        <f t="shared" ca="1" si="604"/>
        <v>1</v>
      </c>
      <c r="AE717" s="115">
        <f t="shared" ca="1" si="605"/>
        <v>3</v>
      </c>
      <c r="AF717" s="47">
        <f ca="1">IF(AC717,('模拟-单技能数据'!$D$20+G717*'模拟-单技能数据'!$F$20)*(1+J717)*(1+'模拟-单技能数据'!$J$20)*(1+U717),0)</f>
        <v>0</v>
      </c>
      <c r="AG717" s="61">
        <f t="shared" ca="1" si="606"/>
        <v>0.64185145527300214</v>
      </c>
      <c r="AH717" s="61">
        <f t="shared" ca="1" si="607"/>
        <v>2.2624828854998791</v>
      </c>
      <c r="AI717" s="62">
        <f t="shared" ca="1" si="628"/>
        <v>7.7897550100170632E-2</v>
      </c>
      <c r="AJ717" s="47">
        <f ca="1">IF(AD717,IF(AI717&lt;$F$10,0,IF(AI717&lt;$F$10+$F$11,0.25,IF(AI717&lt;$F$10+$F$11+AG717,AH717,1)))*IF(AF717&gt;0,AF717,IF(AF716&gt;0,AF716,IF(AF715&gt;0,AF715,IF(AF714&gt;0,AF714,IF(AF713&gt;0,AF713,IF(AF712&gt;0,AF712,IF(AF711&gt;0,AF711,IF(AF710&gt;0,AF710,IF(AF709&gt;0,AF709,IF(AF707&gt;0,AF707,IF(AF706&gt;0,AF706,IF(AF705&gt;0,AF705,0)))))))))))),0)*(1-$S717)*'模拟-单技能数据'!$I$20</f>
        <v>9616.6571145767884</v>
      </c>
      <c r="AK717" s="115" t="b">
        <f t="shared" ca="1" si="608"/>
        <v>1</v>
      </c>
      <c r="AL717" s="115" t="b">
        <f t="shared" ca="1" si="609"/>
        <v>1</v>
      </c>
      <c r="AM717" s="115">
        <f t="shared" ca="1" si="610"/>
        <v>5</v>
      </c>
      <c r="AN717" s="47">
        <f ca="1">IF(AK717,('模拟-单技能数据'!$D$21+G717*'模拟-单技能数据'!$F$21)*(1+J717)*(1+'模拟-单技能数据'!$J$21)*(1+U717),0)</f>
        <v>12670.936004857545</v>
      </c>
      <c r="AO717" s="61">
        <f ca="1">IF(AN717&gt;0,M717-'模拟-单技能数据'!$K$10,AO716)</f>
        <v>0.42185145527300216</v>
      </c>
      <c r="AP717" s="61">
        <f ca="1">IF(AN717&gt;0,I717-'模拟-单技能数据'!$L$10,AP716)</f>
        <v>2.162482885499879</v>
      </c>
      <c r="AQ717" s="63">
        <f t="shared" ca="1" si="629"/>
        <v>5.8002959731105586E-2</v>
      </c>
      <c r="AR717" s="64">
        <f ca="1">IF(AL717,IF(AQ717&lt;$F$10,0,IF(AQ717&lt;$F$10+$F$11,0.25,IF(AQ717&lt;$F$10+$F$11+AO717,AP717,1)))*IF(AN717&gt;0,AN717,IF(AN716&gt;0,AN716,IF(AN715&gt;0,AN715,IF(AN714&gt;0,AN714,IF(AN713&gt;0,AN713,IF(AN712&gt;0,AN712,IF(AN711&gt;0,AN711,IF(AN710&gt;0,AN710,IF(AN709&gt;0,AN709,IF(AN707&gt;0,AN707,IF(AN706&gt;0,AN706,IF(AN705&gt;0,AN705,0)))))))))))),0)*(1-$S717)*'模拟-单技能数据'!$I$21</f>
        <v>25101.867467669974</v>
      </c>
      <c r="AS717" s="61">
        <f ca="1">IF(OR(C717="净世破魔击·日",C717="净世破魔击·月"),M717-'模拟-单技能数据'!$K$10,0)</f>
        <v>0.42185145527300216</v>
      </c>
      <c r="AT717" s="61">
        <f ca="1">IF(OR(C717="净世破魔击·日",C717="净世破魔击·月"),I717-'模拟-单技能数据'!$L$10,0)</f>
        <v>2.162482885499879</v>
      </c>
      <c r="AU717" s="62">
        <f t="shared" ca="1" si="630"/>
        <v>0.91435634885828987</v>
      </c>
      <c r="AV717" s="64">
        <f ca="1">IF(AS717&gt;0,('模拟-单技能数据'!$D$22+G717*'模拟-单技能数据'!$F$22)*(1+J717)*(1-S717)*IF(AU717&lt;$F$10,0,IF(AU717&lt;$F$10+$F$11,0.25,IF(AU717&lt;$F$10+$F$11+AS717,AT717,1)))*(1+U717),0)*'模拟-单技能数据'!$I$22</f>
        <v>8840.2341748571616</v>
      </c>
      <c r="AW717" s="108">
        <f t="shared" ca="1" si="631"/>
        <v>19.077500000000001</v>
      </c>
      <c r="AX717" s="108" t="b">
        <f ca="1">AND(模拟模式!$P$10="有",AW716=0,RAND()&lt;IF(C717="净世破魔击·月",0.1*8/3,IF(C717="净世破魔击·日",0.1*4/3,0.1*2/3)))</f>
        <v>1</v>
      </c>
      <c r="AY717" s="47">
        <f ca="1">IF(AX717,(18+G717*0.722)*(1+J717)*(1-S717)*(1+$I$4)*IF(P717="会",'模拟-全程加成'!$J$3+'模拟-全程加成'!$J$4+'模拟-全程加成'!$J$5+('模拟-全程加成'!$I$4+'模拟-全程加成'!$I$5)/系数!$B$4+BG717*10%,IF(P717="命",1,IF(P717="识",0.25,0))),0)</f>
        <v>26089.401561793093</v>
      </c>
      <c r="AZ717" s="108">
        <f t="shared" si="632"/>
        <v>12.620000000000005</v>
      </c>
      <c r="BA717" s="108" t="b">
        <f>AND(模拟模式!$Q$10="有",AZ716=0)</f>
        <v>0</v>
      </c>
      <c r="BB717" s="140">
        <f>IF(BA717,(0+G717*0.287)*(1+J717)*(1-S717)*(1+$I$4)*IF(P717="会",'模拟-全程加成'!$J$3+'模拟-全程加成'!$J$4+'模拟-全程加成'!$J$5+('模拟-全程加成'!$I$4+'模拟-全程加成'!$I$5)/系数!$B$4+BG717*10%,IF(P717="命",1,IF(P717="识",0.25,0))),0)</f>
        <v>0</v>
      </c>
      <c r="BC717" s="115" t="b">
        <f ca="1">AND(模拟模式!$R$7="伏明众生",E717=60,F717=20,DA717&lt;5,CZ716&lt;$F$4)</f>
        <v>0</v>
      </c>
      <c r="BD717" s="115">
        <f t="shared" ca="1" si="611"/>
        <v>0</v>
      </c>
      <c r="BE717" s="115" t="b">
        <f t="shared" ca="1" si="612"/>
        <v>0</v>
      </c>
      <c r="BF717" s="47">
        <f ca="1">IF(BC717,4*('模拟-单技能数据'!$D$24+G717*'模拟-单技能数据'!$F$24)*(1+J717)*(1+'模拟-单技能数据'!$J$24)*(1-S717)*(1+$I$3)*(('模拟-全程加成'!$J$3+'模拟-全程加成'!$J$4+'模拟-全程加成'!$J$5+('模拟-全程加成'!$I$4+'模拟-全程加成'!$I$5)/系数!$B$4+BG717*10%)*('模拟-全程加成'!$J$3+'模拟-全程加成'!$J$4+'模拟-全程加成'!$J$5+('模拟-全程加成'!$I$4+'模拟-全程加成'!$I$5)/系数!$B$4+BG717*10%)+(1-('模拟-全程加成'!$J$3+'模拟-全程加成'!$J$4+'模拟-全程加成'!$J$5+('模拟-全程加成'!$I$4+'模拟-全程加成'!$I$5)/系数!$B$4+BG717*10%)-$F$10-$F$11)+F703*0.25),0)*'模拟-单技能数据'!$I$24</f>
        <v>0</v>
      </c>
      <c r="BG717" s="115" t="b">
        <f ca="1">OR(AND(OR(C717="烈日斩",C717="银月斩"),模拟模式!$I$7="净身明礼"),AND(C717="净世破魔击·日",模拟模式!$J$7="洞若观火"),AND(C718="净世破魔击·月",模拟模式!$J$7="洞若观火"),AB717=1)</f>
        <v>1</v>
      </c>
      <c r="BH717" s="115" t="b">
        <f t="shared" ca="1" si="633"/>
        <v>0</v>
      </c>
      <c r="BI717" s="115">
        <f t="shared" ca="1" si="613"/>
        <v>5.0774999999999997</v>
      </c>
      <c r="BJ717" s="115" t="b">
        <f t="shared" ca="1" si="614"/>
        <v>1</v>
      </c>
      <c r="BK717" s="115" t="b">
        <f ca="1">AND(C717="驱夜断愁",模拟模式!$P$7="天地诛戮")</f>
        <v>0</v>
      </c>
      <c r="BL717" s="57">
        <f t="shared" ca="1" si="615"/>
        <v>16.310000000000002</v>
      </c>
      <c r="BM717" s="115" t="b">
        <f t="shared" ca="1" si="616"/>
        <v>1</v>
      </c>
      <c r="BN717" s="115" t="b">
        <f ca="1">AND(OR(C717="赤日轮1",C717="赤日轮2",C717="赤日轮3",C717="幽月轮1",C717="幽月轮2",C717="幽月轮3"),AB717=1,模拟模式!$L$7="明光恒照")</f>
        <v>0</v>
      </c>
      <c r="BO717" s="117">
        <f t="shared" ca="1" si="617"/>
        <v>28.155000000000001</v>
      </c>
      <c r="BP717" s="115">
        <f t="shared" ca="1" si="634"/>
        <v>6</v>
      </c>
      <c r="BQ717" s="115" t="b">
        <f>模拟模式!$K$10="2600·水"</f>
        <v>0</v>
      </c>
      <c r="BR717" s="117">
        <f t="shared" si="635"/>
        <v>0</v>
      </c>
      <c r="BS717" s="115">
        <f t="shared" si="636"/>
        <v>0</v>
      </c>
      <c r="BT717" s="115">
        <f t="shared" ca="1" si="637"/>
        <v>0</v>
      </c>
      <c r="BU717" s="115" t="b">
        <f ca="1">AND(模拟模式!$K$10="2300·雷",BT716=0,RAND()&lt;IF(C717="净世破魔击·月",5*0.05*2/3,IF(C717="净世破魔击·日",3*0.05*2/3,0.05*2*2/3)))</f>
        <v>0</v>
      </c>
      <c r="BV717" s="115">
        <f t="shared" ca="1" si="638"/>
        <v>0</v>
      </c>
      <c r="BW717" s="115">
        <f t="shared" ca="1" si="639"/>
        <v>101.58749999999925</v>
      </c>
      <c r="BX717" s="164" t="b">
        <f t="shared" ca="1" si="640"/>
        <v>0</v>
      </c>
      <c r="BY717" s="115">
        <f t="shared" ca="1" si="641"/>
        <v>0</v>
      </c>
      <c r="BZ717" s="115">
        <f>IF(OR(模拟模式!$P$16="10人团",模拟模式!$P$16="25人团"),IF(B717/30&gt;CA716,1,0),0)</f>
        <v>0</v>
      </c>
      <c r="CA717" s="115">
        <f t="shared" si="618"/>
        <v>0</v>
      </c>
      <c r="CB717" s="115">
        <f ca="1">IF(BZ717=1,IF(模拟模式!$P$16="10人团",15,0)+IF(模拟模式!$P$16="25人团",IF(RAND()&lt;0.6,15,0)),MAX(0,CB716-$F$4))</f>
        <v>0</v>
      </c>
      <c r="CC717" s="115" t="b">
        <f t="shared" ca="1" si="619"/>
        <v>0</v>
      </c>
      <c r="CD717" s="115">
        <f>IF(模拟模式!$Q$16="1个",IF(B717/40&gt;CE716,1,0),0)</f>
        <v>0</v>
      </c>
      <c r="CE717" s="115">
        <f t="shared" si="620"/>
        <v>0</v>
      </c>
      <c r="CF717" s="115">
        <f>IF(OR(CD717=1,模拟模式!$Q$16="2个"),20,MAX(0,CF716-$F$4))</f>
        <v>0</v>
      </c>
      <c r="CG717" s="115" t="b">
        <f t="shared" si="621"/>
        <v>0</v>
      </c>
      <c r="CH717" s="115">
        <f t="shared" ca="1" si="642"/>
        <v>13.39500000000001</v>
      </c>
      <c r="CI717" s="115" t="b">
        <f t="shared" ca="1" si="643"/>
        <v>0</v>
      </c>
      <c r="CJ717" s="119">
        <f t="shared" ca="1" si="644"/>
        <v>0</v>
      </c>
      <c r="CK717" s="115">
        <f t="shared" ca="1" si="645"/>
        <v>0</v>
      </c>
      <c r="CL717" s="115" t="b">
        <f ca="1">AND(模拟模式!$S$7="驱夷逐法",OR(AND(C717="净世破魔击·月",E716&gt;59),AND(C717="净世破魔击·日",F716&gt;59)))</f>
        <v>0</v>
      </c>
      <c r="CM717" s="115" t="b">
        <f ca="1">OR(CL717,AND(C717="净世破魔击·日",CL716,RAND()&lt;模拟模式!$U$23))</f>
        <v>1</v>
      </c>
      <c r="CN717" s="115" t="b">
        <f ca="1">IF(模拟模式!$M$7="辉耀红尘",AND(C717="净世破魔击·月",CL717,CV717=0,E716&lt;80),AND(C717="净世破魔击·月",CL717,E716&lt;100))</f>
        <v>0</v>
      </c>
      <c r="CO717" s="115" t="b">
        <f t="shared" ca="1" si="622"/>
        <v>0</v>
      </c>
      <c r="CP717" s="115" t="b">
        <f ca="1">AND(模拟模式!$O$7="用晦而明",OR(C717="净世破魔击·日",C717="净世破魔击·月",C717="驱夜断愁"),AB717)</f>
        <v>1</v>
      </c>
      <c r="CQ717" s="115" t="b">
        <f ca="1">OR(CP717,AND(CP716,RAND()&lt;模拟模式!$U$23))</f>
        <v>1</v>
      </c>
      <c r="CR717" s="115" t="b">
        <f ca="1">AND(模拟模式!$S$7="日月齐光",OR(C717="幽月轮1",C717="幽月轮2",C717="幽月轮3",CR716),NOT(OR(C717="赤日轮1",C717="赤日轮2",C717="赤日轮3")))</f>
        <v>0</v>
      </c>
      <c r="CS717" s="115" t="b">
        <f ca="1">AND(模拟模式!$S$7="日月齐光",OR(C717="赤日轮1",C717="赤日轮2",C717="赤日轮3",CS716),NOT(OR(C717="幽月轮1",C717="幽月轮2",C717="幽月轮3")))</f>
        <v>0</v>
      </c>
      <c r="CT717" s="115">
        <f t="shared" ca="1" si="646"/>
        <v>0</v>
      </c>
      <c r="CU717" s="115" t="b">
        <f ca="1">AND(模拟模式!$K$10="阴阳往极",CT716=0,RAND()&lt;IF(C717="净世破魔击·月",0.0275*7/3,IF(C717="净世破魔击·日",0.0275*3/3,0.0275*2/3)))</f>
        <v>0</v>
      </c>
      <c r="CV717" s="115">
        <f t="shared" ca="1" si="647"/>
        <v>0</v>
      </c>
      <c r="CW717" s="115">
        <f t="shared" ca="1" si="648"/>
        <v>3.2324999999999995</v>
      </c>
      <c r="CX717" s="115">
        <f t="shared" ca="1" si="649"/>
        <v>1.3874999999999997</v>
      </c>
      <c r="CY717" s="115">
        <f ca="1">MAX(IF($C717="驱夜断愁",IF(模拟模式!$R$7="万念俱寂",6,45),CY716-$F$4),0)</f>
        <v>2.3099999999999996</v>
      </c>
      <c r="CZ717" s="115">
        <f t="shared" ca="1" si="623"/>
        <v>0</v>
      </c>
      <c r="DA717" s="115">
        <f ca="1">IF(模拟模式!$N$7="日月同辉",IF(DB716=2,0,MIN(6,IF(AND(OR(C717="赤日轮1",C717="赤日轮2",C717="赤日轮3",C717="幽月轮1",C717="幽月轮2",C717="幽月轮3"),AB717=1),DA716+1,DA716))),0)</f>
        <v>0</v>
      </c>
      <c r="DB717" s="115">
        <f t="shared" ca="1" si="624"/>
        <v>0</v>
      </c>
      <c r="DC717" s="115"/>
      <c r="DD717" s="115"/>
      <c r="DE717" s="115"/>
      <c r="DF717" s="115"/>
      <c r="DG717" s="115"/>
      <c r="DH717" s="115"/>
      <c r="DI717" s="115"/>
      <c r="DJ717" s="115"/>
      <c r="DK717" s="115"/>
      <c r="DL717" s="115"/>
      <c r="DM717" s="115"/>
    </row>
    <row r="718" spans="2:117" x14ac:dyDescent="0.2">
      <c r="B718" s="117">
        <f t="shared" si="625"/>
        <v>637.44750000000738</v>
      </c>
      <c r="C718" s="167" t="str">
        <f t="shared" ca="1" si="594"/>
        <v>净世破魔击·月</v>
      </c>
      <c r="D718" s="115">
        <f ca="1">IF(C718="赤日轮1",1,IF(C718="赤日轮2",2,IF(C718="赤日轮3",3,IF(C718="幽月轮1",4,IF(C718="幽月轮2",5,IF(C718="幽月轮3",6,IF(C718="烈日斩",7,IF(C718="银月斩",8,IF(C718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718="净世破魔击·月",17,IF(C718="驱夜断愁",18,0)))))))))))</f>
        <v>17</v>
      </c>
      <c r="E718" s="115">
        <f ca="1">IF(AND(CU718,OR(C718="幽月轮1",C718="幽月轮2",C718="幽月轮3",C718="银月斩",C718="驱夜断愁",C718="净世破魔击·月")),100,MIN(IF(OR(CN718,BE718),0,IF(OR($C718="赤日轮1",$C718="赤日轮2",$C718="赤日轮3"),E717+20+IF(模拟模式!$I$7="日月凌天",4,0)+IF(CR717,20,0),IF($C718="烈日斩",E717+40,IF($C718="驱夜断愁",IF(模拟模式!$R$7="万念俱寂",E717+20,E717+60),IF($C718="净世破魔击·月",IF(OR(DB717&gt;0,CV717&gt;0),100,IF(模拟模式!$M$7="辉耀红尘",E717+20,E717)),IF($C718="净世破魔击·日",E717-100,E717)))))),100))</f>
        <v>100</v>
      </c>
      <c r="F718" s="115">
        <f ca="1">IF(AND(CU718,OR(C718="赤日轮1",C718="赤日轮2",C718="赤日轮3",C718="烈日斩",C718="净世破魔击·日")),100,MIN(IF(CO718,0,IF(OR($C718="幽月轮1",$C718="幽月轮2",$C718="幽月轮3"),F717+20+IF(模拟模式!$I$7="日月凌天",4,0)+IF(CS717,20,0),IF($C718="银月斩",F717+40+IF(模拟模式!$X$12=1,5,0),IF($C718="驱夜断愁",IF(模拟模式!$R$7="万念俱寂",F717+20,F717+60),IF($C718="净世破魔击·月",IF(模拟模式!$M$7="辉耀红尘",F717-80,F717-100),IF(AND(C718="净世破魔击·日",OR(DB717&gt;0,CV717&gt;0)),100,F717)))))),100))</f>
        <v>20</v>
      </c>
      <c r="G718" s="117">
        <f ca="1">('模拟-全程加成'!$E$3+'模拟-全程加成'!$E$4+'模拟-全程加成'!$E$5+('模拟-全程加成'!$C$6-'模拟-全程加成'!$C$3)*系数!$B$9+BS718*23)*(1+'模拟-全程加成'!$F$4+'模拟-全程加成'!$F$5+BJ718*10%+BM718*20%+BP718*4%+CG718*30%)+$F$7*系数!$B$12</f>
        <v>21493.829400000002</v>
      </c>
      <c r="H718" s="45">
        <f ca="1">'模拟-全程加成'!$H$3+'模拟-全程加成'!$H$4+'模拟-全程加成'!$H$5+('模拟-全程加成'!$G$4+'模拟-全程加成'!$G$5+('模拟-全程加成'!$C$6-'模拟-全程加成'!$C$3)*系数!$B$13)/系数!$B$3+LOOKUP(D718,'模拟-单技能数据'!$A$2:$A$19,'模拟-单技能数据'!$K$2:$K$19)+BG718*10%+IF(BV718&gt;0,378,0)</f>
        <v>0.54185145527300216</v>
      </c>
      <c r="I718" s="45">
        <f ca="1">'模拟-全程加成'!$J$3+'模拟-全程加成'!$J$4+'模拟-全程加成'!$J$5+('模拟-全程加成'!$I$4+'模拟-全程加成'!$I$5)/系数!$B$4+LOOKUP(D718,'模拟-单技能数据'!$A$2:$A$19,'模拟-单技能数据'!$L$2:$L$19)+BG718*10%</f>
        <v>2.162482885499879</v>
      </c>
      <c r="J718" s="45">
        <f ca="1">(('模拟-全程加成'!$K$3+'模拟-全程加成'!$K$4+'模拟-全程加成'!$K$5+('模拟-全程加成'!$C$6-'模拟-全程加成'!$C$3)*系数!$B$10+IF(BV718&gt;0,882,0)+IF(BY718&gt;0,1831,0))*(1+'模拟-全程加成'!$L$4+'模拟-全程加成'!$L$5+CC718*20%))/系数!$B$5</f>
        <v>0.69723220422048726</v>
      </c>
      <c r="K718" s="119">
        <f ca="1">LOOKUP(D718,'模拟-单技能数据'!$A$2:$A$19,'模拟-单技能数据'!$J$2:$J$19)+IF(CM718,60%,0)+IF(DB717-DB718&gt;0,30%,0)+IF(OR(AND(OR(C718="赤日轮1",C718="赤日轮2",C718="赤日轮3"),CR718),AND(OR(C718="幽月轮1",C718="幽月轮2",C718="幽月轮3"),CS718)),35%,0)+CJ718</f>
        <v>0.2</v>
      </c>
      <c r="L718" s="119">
        <f ca="1">IF(AND(C718="烈日斩",模拟模式!$X$11=1),10%,0)+IF(AND(C718="驱夜断愁",AB718=1),30%,0)</f>
        <v>0</v>
      </c>
      <c r="M718" s="45">
        <f t="shared" ca="1" si="595"/>
        <v>0.54185145527300216</v>
      </c>
      <c r="N718" s="45">
        <f t="shared" ca="1" si="596"/>
        <v>0.40424854472699789</v>
      </c>
      <c r="O718" s="46">
        <f t="shared" ca="1" si="626"/>
        <v>0.79012082001440109</v>
      </c>
      <c r="P718" s="46" t="str">
        <f t="shared" ca="1" si="597"/>
        <v>命</v>
      </c>
      <c r="Q718" s="45">
        <f t="shared" ca="1" si="598"/>
        <v>1</v>
      </c>
      <c r="R718" s="117">
        <f ca="1">模拟模式!$E$20*(1-IF(模拟模式!$J$19="有",0.15,0))*(1-IF(模拟模式!$K$19="有",0.3,0)-IF(CQ718,0.5,0))</f>
        <v>843.02999999999975</v>
      </c>
      <c r="S718" s="45">
        <f ca="1">R718/(R718+(185*模拟模式!$E$22-16800)*4.08224)</f>
        <v>8.389626085980037E-2</v>
      </c>
      <c r="T718" s="45" t="str">
        <f ca="1">LOOKUP(D718,'模拟-单技能数据'!$A$2:$A$19,'模拟-单技能数据'!$H$2:$H$19)</f>
        <v>阴</v>
      </c>
      <c r="U718" s="119">
        <f t="shared" ca="1" si="599"/>
        <v>0.08</v>
      </c>
      <c r="V718" s="47">
        <f ca="1">(1+L718)*(LOOKUP(D718,'模拟-单技能数据'!$A$2:$A$19,'模拟-单技能数据'!$D$2:$D$19)+G718*LOOKUP(D718,'模拟-单技能数据'!$A$2:$A$19,'模拟-单技能数据'!$F$2:$F$19))*(1+J718)*(1+K718)*(1-S718)*(1+U718)*Q718*LOOKUP(D718,'模拟-单技能数据'!$A$2:$A$19,'模拟-单技能数据'!$I$2:$I$20)</f>
        <v>56275.195622899046</v>
      </c>
      <c r="W718" s="47">
        <f ca="1">LOOKUP(D718,'模拟-单技能数据'!$A$2:$A$19,'模拟-单技能数据'!$G$2:$G$19)*$I$10</f>
        <v>361.51064354704795</v>
      </c>
      <c r="X718" s="47">
        <f t="shared" ca="1" si="627"/>
        <v>7956.2107573714466</v>
      </c>
      <c r="Y718" s="47">
        <f t="shared" ca="1" si="600"/>
        <v>64592.917023817543</v>
      </c>
      <c r="Z718" s="49">
        <f t="shared" ca="1" si="601"/>
        <v>72031352.541660309</v>
      </c>
      <c r="AA718" s="97">
        <f t="shared" ca="1" si="602"/>
        <v>112999.6627826754</v>
      </c>
      <c r="AB718" s="115">
        <f ca="1">IF(OR(C718="赤日轮1",C718="赤日轮2",C718="赤日轮3"),IF(RAND()&lt;模拟模式!$Y$17,1,0),IF(OR(C718="幽月轮1",C718="幽月轮2",C718="幽月轮3"),IF(RAND()&lt;模拟模式!$Y$18,1,0),IF(C718="烈日斩",IF(RAND()&lt;模拟模式!$Y$19,1,0),IF(C718="银月斩",IF(RAND()&lt;模拟模式!$Y$20,1,0),IF(C718="驱夜断愁",IF(RAND()&lt;模拟模式!$Y$21,1,0),IF(C718="净世破魔击·日",IF(RAND()&lt;模拟模式!$Y$22,1,0),IF(C718="净世破魔击·月",IF(RAND()&lt;模拟模式!$Y$23,1,0),0)))))))</f>
        <v>1</v>
      </c>
      <c r="AC718" s="115" t="b">
        <f t="shared" ca="1" si="603"/>
        <v>0</v>
      </c>
      <c r="AD718" s="115" t="b">
        <f t="shared" ca="1" si="604"/>
        <v>0</v>
      </c>
      <c r="AE718" s="115">
        <f t="shared" ca="1" si="605"/>
        <v>3</v>
      </c>
      <c r="AF718" s="47">
        <f ca="1">IF(AC718,('模拟-单技能数据'!$D$20+G718*'模拟-单技能数据'!$F$20)*(1+J718)*(1+'模拟-单技能数据'!$J$20)*(1+U718),0)</f>
        <v>0</v>
      </c>
      <c r="AG718" s="61">
        <f t="shared" ca="1" si="606"/>
        <v>0.64185145527300214</v>
      </c>
      <c r="AH718" s="61">
        <f t="shared" ca="1" si="607"/>
        <v>2.2624828854998791</v>
      </c>
      <c r="AI718" s="62">
        <f t="shared" ca="1" si="628"/>
        <v>3.3777040928979374E-2</v>
      </c>
      <c r="AJ718" s="47">
        <f ca="1">IF(AD718,IF(AI718&lt;$F$10,0,IF(AI718&lt;$F$10+$F$11,0.25,IF(AI718&lt;$F$10+$F$11+AG718,AH718,1)))*IF(AF718&gt;0,AF718,IF(AF717&gt;0,AF717,IF(AF716&gt;0,AF716,IF(AF715&gt;0,AF715,IF(AF714&gt;0,AF714,IF(AF713&gt;0,AF713,IF(AF712&gt;0,AF712,IF(AF711&gt;0,AF711,IF(AF710&gt;0,AF710,IF(AF708&gt;0,AF708,IF(AF707&gt;0,AF707,IF(AF706&gt;0,AF706,0)))))))))))),0)*(1-$S718)*'模拟-单技能数据'!$I$20</f>
        <v>0</v>
      </c>
      <c r="AK718" s="115" t="b">
        <f t="shared" ca="1" si="608"/>
        <v>0</v>
      </c>
      <c r="AL718" s="115" t="b">
        <f t="shared" ca="1" si="609"/>
        <v>0</v>
      </c>
      <c r="AM718" s="115">
        <f t="shared" ca="1" si="610"/>
        <v>5</v>
      </c>
      <c r="AN718" s="47">
        <f ca="1">IF(AK718,('模拟-单技能数据'!$D$21+G718*'模拟-单技能数据'!$F$21)*(1+J718)*(1+'模拟-单技能数据'!$J$21)*(1+U718),0)</f>
        <v>0</v>
      </c>
      <c r="AO718" s="61">
        <f ca="1">IF(AN718&gt;0,M718-'模拟-单技能数据'!$K$10,AO717)</f>
        <v>0.42185145527300216</v>
      </c>
      <c r="AP718" s="61">
        <f ca="1">IF(AN718&gt;0,I718-'模拟-单技能数据'!$L$10,AP717)</f>
        <v>2.162482885499879</v>
      </c>
      <c r="AQ718" s="63">
        <f t="shared" ca="1" si="629"/>
        <v>0.57363630480271999</v>
      </c>
      <c r="AR718" s="64">
        <f ca="1">IF(AL718,IF(AQ718&lt;$F$10,0,IF(AQ718&lt;$F$10+$F$11,0.25,IF(AQ718&lt;$F$10+$F$11+AO718,AP718,1)))*IF(AN718&gt;0,AN718,IF(AN717&gt;0,AN717,IF(AN716&gt;0,AN716,IF(AN715&gt;0,AN715,IF(AN714&gt;0,AN714,IF(AN713&gt;0,AN713,IF(AN712&gt;0,AN712,IF(AN711&gt;0,AN711,IF(AN710&gt;0,AN710,IF(AN708&gt;0,AN708,IF(AN707&gt;0,AN707,IF(AN706&gt;0,AN706,0)))))))))))),0)*(1-$S718)*'模拟-单技能数据'!$I$21</f>
        <v>0</v>
      </c>
      <c r="AS718" s="61">
        <f ca="1">IF(OR(C718="净世破魔击·日",C718="净世破魔击·月"),M718-'模拟-单技能数据'!$K$10,0)</f>
        <v>0.42185145527300216</v>
      </c>
      <c r="AT718" s="61">
        <f ca="1">IF(OR(C718="净世破魔击·日",C718="净世破魔击·月"),I718-'模拟-单技能数据'!$L$10,0)</f>
        <v>2.162482885499879</v>
      </c>
      <c r="AU718" s="62">
        <f t="shared" ca="1" si="630"/>
        <v>0.88902935706941277</v>
      </c>
      <c r="AV718" s="64">
        <f ca="1">IF(AS718&gt;0,('模拟-单技能数据'!$D$22+G718*'模拟-单技能数据'!$F$22)*(1+J718)*(1-S718)*IF(AU718&lt;$F$10,0,IF(AU718&lt;$F$10+$F$11,0.25,IF(AU718&lt;$F$10+$F$11+AS718,AT718,1)))*(1+U718),0)*'模拟-单技能数据'!$I$22</f>
        <v>7956.2107573714466</v>
      </c>
      <c r="AW718" s="108">
        <f t="shared" ca="1" si="631"/>
        <v>18.155000000000001</v>
      </c>
      <c r="AX718" s="108" t="b">
        <f ca="1">AND(模拟模式!$P$10="有",AW717=0,RAND()&lt;IF(C718="净世破魔击·月",0.1*8/3,IF(C718="净世破魔击·日",0.1*4/3,0.1*2/3)))</f>
        <v>0</v>
      </c>
      <c r="AY718" s="47">
        <f ca="1">IF(AX718,(18+G718*0.722)*(1+J718)*(1-S718)*(1+$I$4)*IF(P718="会",'模拟-全程加成'!$J$3+'模拟-全程加成'!$J$4+'模拟-全程加成'!$J$5+('模拟-全程加成'!$I$4+'模拟-全程加成'!$I$5)/系数!$B$4+BG718*10%,IF(P718="命",1,IF(P718="识",0.25,0))),0)</f>
        <v>0</v>
      </c>
      <c r="AZ718" s="108">
        <f t="shared" si="632"/>
        <v>11.697500000000005</v>
      </c>
      <c r="BA718" s="108" t="b">
        <f>AND(模拟模式!$Q$10="有",AZ717=0)</f>
        <v>0</v>
      </c>
      <c r="BB718" s="140">
        <f>IF(BA718,(0+G718*0.287)*(1+J718)*(1-S718)*(1+$I$4)*IF(P718="会",'模拟-全程加成'!$J$3+'模拟-全程加成'!$J$4+'模拟-全程加成'!$J$5+('模拟-全程加成'!$I$4+'模拟-全程加成'!$I$5)/系数!$B$4+BG718*10%,IF(P718="命",1,IF(P718="识",0.25,0))),0)</f>
        <v>0</v>
      </c>
      <c r="BC718" s="115" t="b">
        <f ca="1">AND(模拟模式!$R$7="伏明众生",E718=60,F718=20,DA718&lt;5,CZ717&lt;$F$4)</f>
        <v>0</v>
      </c>
      <c r="BD718" s="115">
        <f t="shared" ca="1" si="611"/>
        <v>0</v>
      </c>
      <c r="BE718" s="115" t="b">
        <f t="shared" ca="1" si="612"/>
        <v>0</v>
      </c>
      <c r="BF718" s="47">
        <f ca="1">IF(BC718,4*('模拟-单技能数据'!$D$24+G718*'模拟-单技能数据'!$F$24)*(1+J718)*(1+'模拟-单技能数据'!$J$24)*(1-S718)*(1+$I$3)*(('模拟-全程加成'!$J$3+'模拟-全程加成'!$J$4+'模拟-全程加成'!$J$5+('模拟-全程加成'!$I$4+'模拟-全程加成'!$I$5)/系数!$B$4+BG718*10%)*('模拟-全程加成'!$J$3+'模拟-全程加成'!$J$4+'模拟-全程加成'!$J$5+('模拟-全程加成'!$I$4+'模拟-全程加成'!$I$5)/系数!$B$4+BG718*10%)+(1-('模拟-全程加成'!$J$3+'模拟-全程加成'!$J$4+'模拟-全程加成'!$J$5+('模拟-全程加成'!$I$4+'模拟-全程加成'!$I$5)/系数!$B$4+BG718*10%)-$F$10-$F$11)+F704*0.25),0)*'模拟-单技能数据'!$I$24</f>
        <v>0</v>
      </c>
      <c r="BG718" s="115" t="b">
        <f ca="1">OR(AND(OR(C718="烈日斩",C718="银月斩"),模拟模式!$I$7="净身明礼"),AND(C718="净世破魔击·日",模拟模式!$J$7="洞若观火"),AND(C719="净世破魔击·月",模拟模式!$J$7="洞若观火"),AB718=1)</f>
        <v>1</v>
      </c>
      <c r="BH718" s="115" t="b">
        <f t="shared" ca="1" si="633"/>
        <v>0</v>
      </c>
      <c r="BI718" s="115">
        <f t="shared" ca="1" si="613"/>
        <v>4.1549999999999994</v>
      </c>
      <c r="BJ718" s="115" t="b">
        <f t="shared" ca="1" si="614"/>
        <v>1</v>
      </c>
      <c r="BK718" s="115" t="b">
        <f ca="1">AND(C718="驱夜断愁",模拟模式!$P$7="天地诛戮")</f>
        <v>0</v>
      </c>
      <c r="BL718" s="57">
        <f t="shared" ca="1" si="615"/>
        <v>15.387500000000003</v>
      </c>
      <c r="BM718" s="115" t="b">
        <f t="shared" ca="1" si="616"/>
        <v>1</v>
      </c>
      <c r="BN718" s="115" t="b">
        <f ca="1">AND(OR(C718="赤日轮1",C718="赤日轮2",C718="赤日轮3",C718="幽月轮1",C718="幽月轮2",C718="幽月轮3"),AB718=1,模拟模式!$L$7="明光恒照")</f>
        <v>0</v>
      </c>
      <c r="BO718" s="117">
        <f t="shared" ca="1" si="617"/>
        <v>27.232500000000002</v>
      </c>
      <c r="BP718" s="115">
        <f t="shared" ca="1" si="634"/>
        <v>6</v>
      </c>
      <c r="BQ718" s="115" t="b">
        <f>模拟模式!$K$10="2600·水"</f>
        <v>0</v>
      </c>
      <c r="BR718" s="117">
        <f t="shared" si="635"/>
        <v>0</v>
      </c>
      <c r="BS718" s="115">
        <f t="shared" si="636"/>
        <v>0</v>
      </c>
      <c r="BT718" s="115">
        <f t="shared" ca="1" si="637"/>
        <v>0</v>
      </c>
      <c r="BU718" s="115" t="b">
        <f ca="1">AND(模拟模式!$K$10="2300·雷",BT717=0,RAND()&lt;IF(C718="净世破魔击·月",5*0.05*2/3,IF(C718="净世破魔击·日",3*0.05*2/3,0.05*2*2/3)))</f>
        <v>0</v>
      </c>
      <c r="BV718" s="115">
        <f t="shared" ca="1" si="638"/>
        <v>0</v>
      </c>
      <c r="BW718" s="115">
        <f t="shared" ca="1" si="639"/>
        <v>100.66499999999925</v>
      </c>
      <c r="BX718" s="164" t="b">
        <f t="shared" ca="1" si="640"/>
        <v>0</v>
      </c>
      <c r="BY718" s="115">
        <f t="shared" ca="1" si="641"/>
        <v>0</v>
      </c>
      <c r="BZ718" s="115">
        <f>IF(OR(模拟模式!$P$16="10人团",模拟模式!$P$16="25人团"),IF(B718/30&gt;CA717,1,0),0)</f>
        <v>0</v>
      </c>
      <c r="CA718" s="115">
        <f t="shared" si="618"/>
        <v>0</v>
      </c>
      <c r="CB718" s="115">
        <f ca="1">IF(BZ718=1,IF(模拟模式!$P$16="10人团",15,0)+IF(模拟模式!$P$16="25人团",IF(RAND()&lt;0.6,15,0)),MAX(0,CB717-$F$4))</f>
        <v>0</v>
      </c>
      <c r="CC718" s="115" t="b">
        <f t="shared" ca="1" si="619"/>
        <v>0</v>
      </c>
      <c r="CD718" s="115">
        <f>IF(模拟模式!$Q$16="1个",IF(B718/40&gt;CE717,1,0),0)</f>
        <v>0</v>
      </c>
      <c r="CE718" s="115">
        <f t="shared" si="620"/>
        <v>0</v>
      </c>
      <c r="CF718" s="115">
        <f>IF(OR(CD718=1,模拟模式!$Q$16="2个"),20,MAX(0,CF717-$F$4))</f>
        <v>0</v>
      </c>
      <c r="CG718" s="115" t="b">
        <f t="shared" si="621"/>
        <v>0</v>
      </c>
      <c r="CH718" s="115">
        <f t="shared" ca="1" si="642"/>
        <v>12.472500000000011</v>
      </c>
      <c r="CI718" s="115" t="b">
        <f t="shared" ca="1" si="643"/>
        <v>0</v>
      </c>
      <c r="CJ718" s="119">
        <f t="shared" ca="1" si="644"/>
        <v>0</v>
      </c>
      <c r="CK718" s="115">
        <f t="shared" ca="1" si="645"/>
        <v>0</v>
      </c>
      <c r="CL718" s="115" t="b">
        <f ca="1">AND(模拟模式!$S$7="驱夷逐法",OR(AND(C718="净世破魔击·月",E717&gt;59),AND(C718="净世破魔击·日",F717&gt;59)))</f>
        <v>0</v>
      </c>
      <c r="CM718" s="115" t="b">
        <f ca="1">OR(CL718,AND(C718="净世破魔击·日",CL717,RAND()&lt;模拟模式!$U$23))</f>
        <v>0</v>
      </c>
      <c r="CN718" s="115" t="b">
        <f ca="1">IF(模拟模式!$M$7="辉耀红尘",AND(C718="净世破魔击·月",CL718,CV718=0,E717&lt;80),AND(C718="净世破魔击·月",CL718,E717&lt;100))</f>
        <v>0</v>
      </c>
      <c r="CO718" s="115" t="b">
        <f t="shared" ca="1" si="622"/>
        <v>0</v>
      </c>
      <c r="CP718" s="115" t="b">
        <f ca="1">AND(模拟模式!$O$7="用晦而明",OR(C718="净世破魔击·日",C718="净世破魔击·月",C718="驱夜断愁"),AB718)</f>
        <v>1</v>
      </c>
      <c r="CQ718" s="115" t="b">
        <f ca="1">OR(CP718,AND(CP717,RAND()&lt;模拟模式!$U$23))</f>
        <v>1</v>
      </c>
      <c r="CR718" s="115" t="b">
        <f ca="1">AND(模拟模式!$S$7="日月齐光",OR(C718="幽月轮1",C718="幽月轮2",C718="幽月轮3",CR717),NOT(OR(C718="赤日轮1",C718="赤日轮2",C718="赤日轮3")))</f>
        <v>0</v>
      </c>
      <c r="CS718" s="115" t="b">
        <f ca="1">AND(模拟模式!$S$7="日月齐光",OR(C718="赤日轮1",C718="赤日轮2",C718="赤日轮3",CS717),NOT(OR(C718="幽月轮1",C718="幽月轮2",C718="幽月轮3")))</f>
        <v>0</v>
      </c>
      <c r="CT718" s="115">
        <f t="shared" ca="1" si="646"/>
        <v>30</v>
      </c>
      <c r="CU718" s="115" t="b">
        <f ca="1">AND(模拟模式!$K$10="阴阳往极",CT717=0,RAND()&lt;IF(C718="净世破魔击·月",0.0275*7/3,IF(C718="净世破魔击·日",0.0275*3/3,0.0275*2/3)))</f>
        <v>1</v>
      </c>
      <c r="CV718" s="115">
        <f t="shared" ca="1" si="647"/>
        <v>4.0774999999999997</v>
      </c>
      <c r="CW718" s="115">
        <f t="shared" ca="1" si="648"/>
        <v>2.3099999999999996</v>
      </c>
      <c r="CX718" s="115">
        <f t="shared" ca="1" si="649"/>
        <v>0.46499999999999975</v>
      </c>
      <c r="CY718" s="115">
        <f ca="1">MAX(IF($C718="驱夜断愁",IF(模拟模式!$R$7="万念俱寂",6,45),CY717-$F$4),0)</f>
        <v>1.3874999999999997</v>
      </c>
      <c r="CZ718" s="115">
        <f t="shared" ca="1" si="623"/>
        <v>0</v>
      </c>
      <c r="DA718" s="115">
        <f ca="1">IF(模拟模式!$N$7="日月同辉",IF(DB717=2,0,MIN(6,IF(AND(OR(C718="赤日轮1",C718="赤日轮2",C718="赤日轮3",C718="幽月轮1",C718="幽月轮2",C718="幽月轮3"),AB718=1),DA717+1,DA717))),0)</f>
        <v>0</v>
      </c>
      <c r="DB718" s="115">
        <f t="shared" ca="1" si="624"/>
        <v>0</v>
      </c>
      <c r="DC718" s="115"/>
      <c r="DD718" s="115"/>
      <c r="DE718" s="115"/>
      <c r="DF718" s="115"/>
      <c r="DG718" s="115"/>
      <c r="DH718" s="115"/>
      <c r="DI718" s="115"/>
      <c r="DJ718" s="115"/>
      <c r="DK718" s="115"/>
      <c r="DL718" s="115"/>
      <c r="DM718" s="115"/>
    </row>
    <row r="719" spans="2:117" x14ac:dyDescent="0.2">
      <c r="B719" s="117">
        <f t="shared" si="625"/>
        <v>638.37000000000739</v>
      </c>
      <c r="C719" s="167" t="str">
        <f t="shared" ca="1" si="594"/>
        <v>净世破魔击·日</v>
      </c>
      <c r="D719" s="115">
        <f ca="1">IF(C719="赤日轮1",1,IF(C719="赤日轮2",2,IF(C719="赤日轮3",3,IF(C719="幽月轮1",4,IF(C719="幽月轮2",5,IF(C719="幽月轮3",6,IF(C719="烈日斩",7,IF(C719="银月斩",8,IF(C719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719="净世破魔击·月",17,IF(C719="驱夜断愁",18,0)))))))))))</f>
        <v>9</v>
      </c>
      <c r="E719" s="115">
        <f ca="1">IF(AND(CU719,OR(C719="幽月轮1",C719="幽月轮2",C719="幽月轮3",C719="银月斩",C719="驱夜断愁",C719="净世破魔击·月")),100,MIN(IF(OR(CN719,BE719),0,IF(OR($C719="赤日轮1",$C719="赤日轮2",$C719="赤日轮3"),E718+20+IF(模拟模式!$I$7="日月凌天",4,0)+IF(CR718,20,0),IF($C719="烈日斩",E718+40,IF($C719="驱夜断愁",IF(模拟模式!$R$7="万念俱寂",E718+20,E718+60),IF($C719="净世破魔击·月",IF(OR(DB718&gt;0,CV718&gt;0),100,IF(模拟模式!$M$7="辉耀红尘",E718+20,E718)),IF($C719="净世破魔击·日",E718-100,E718)))))),100))</f>
        <v>0</v>
      </c>
      <c r="F719" s="115">
        <f ca="1">IF(AND(CU719,OR(C719="赤日轮1",C719="赤日轮2",C719="赤日轮3",C719="烈日斩",C719="净世破魔击·日")),100,MIN(IF(CO719,0,IF(OR($C719="幽月轮1",$C719="幽月轮2",$C719="幽月轮3"),F718+20+IF(模拟模式!$I$7="日月凌天",4,0)+IF(CS718,20,0),IF($C719="银月斩",F718+40+IF(模拟模式!$X$12=1,5,0),IF($C719="驱夜断愁",IF(模拟模式!$R$7="万念俱寂",F718+20,F718+60),IF($C719="净世破魔击·月",IF(模拟模式!$M$7="辉耀红尘",F718-80,F718-100),IF(AND(C719="净世破魔击·日",OR(DB718&gt;0,CV718&gt;0)),100,F718)))))),100))</f>
        <v>100</v>
      </c>
      <c r="G719" s="117">
        <f ca="1">('模拟-全程加成'!$E$3+'模拟-全程加成'!$E$4+'模拟-全程加成'!$E$5+('模拟-全程加成'!$C$6-'模拟-全程加成'!$C$3)*系数!$B$9+BS719*23)*(1+'模拟-全程加成'!$F$4+'模拟-全程加成'!$F$5+BJ719*10%+BM719*20%+BP719*4%+CG719*30%)+$F$7*系数!$B$12</f>
        <v>21493.829400000002</v>
      </c>
      <c r="H719" s="45">
        <f ca="1">'模拟-全程加成'!$H$3+'模拟-全程加成'!$H$4+'模拟-全程加成'!$H$5+('模拟-全程加成'!$G$4+'模拟-全程加成'!$G$5+('模拟-全程加成'!$C$6-'模拟-全程加成'!$C$3)*系数!$B$13)/系数!$B$3+LOOKUP(D719,'模拟-单技能数据'!$A$2:$A$19,'模拟-单技能数据'!$K$2:$K$19)+BG719*10%+IF(BV719&gt;0,378,0)</f>
        <v>0.54185145527300216</v>
      </c>
      <c r="I719" s="45">
        <f ca="1">'模拟-全程加成'!$J$3+'模拟-全程加成'!$J$4+'模拟-全程加成'!$J$5+('模拟-全程加成'!$I$4+'模拟-全程加成'!$I$5)/系数!$B$4+LOOKUP(D719,'模拟-单技能数据'!$A$2:$A$19,'模拟-单技能数据'!$L$2:$L$19)+BG719*10%</f>
        <v>2.162482885499879</v>
      </c>
      <c r="J719" s="45">
        <f ca="1">(('模拟-全程加成'!$K$3+'模拟-全程加成'!$K$4+'模拟-全程加成'!$K$5+('模拟-全程加成'!$C$6-'模拟-全程加成'!$C$3)*系数!$B$10+IF(BV719&gt;0,882,0)+IF(BY719&gt;0,1831,0))*(1+'模拟-全程加成'!$L$4+'模拟-全程加成'!$L$5+CC719*20%))/系数!$B$5</f>
        <v>0.69723220422048726</v>
      </c>
      <c r="K719" s="119">
        <f ca="1">LOOKUP(D719,'模拟-单技能数据'!$A$2:$A$19,'模拟-单技能数据'!$J$2:$J$19)+IF(CM719,60%,0)+IF(DB718-DB719&gt;0,30%,0)+IF(OR(AND(OR(C719="赤日轮1",C719="赤日轮2",C719="赤日轮3"),CR719),AND(OR(C719="幽月轮1",C719="幽月轮2",C719="幽月轮3"),CS719)),35%,0)+CJ719</f>
        <v>0.2</v>
      </c>
      <c r="L719" s="119">
        <f ca="1">IF(AND(C719="烈日斩",模拟模式!$X$11=1),10%,0)+IF(AND(C719="驱夜断愁",AB719=1),30%,0)</f>
        <v>0</v>
      </c>
      <c r="M719" s="45">
        <f t="shared" ca="1" si="595"/>
        <v>0.54185145527300216</v>
      </c>
      <c r="N719" s="45">
        <f t="shared" ca="1" si="596"/>
        <v>0.40424854472699789</v>
      </c>
      <c r="O719" s="46">
        <f t="shared" ca="1" si="626"/>
        <v>0.60084408298171676</v>
      </c>
      <c r="P719" s="46" t="str">
        <f t="shared" ca="1" si="597"/>
        <v>命</v>
      </c>
      <c r="Q719" s="45">
        <f t="shared" ca="1" si="598"/>
        <v>1</v>
      </c>
      <c r="R719" s="117">
        <f ca="1">模拟模式!$E$20*(1-IF(模拟模式!$J$19="有",0.15,0))*(1-IF(模拟模式!$K$19="有",0.3,0)-IF(CQ719,0.5,0))</f>
        <v>843.02999999999975</v>
      </c>
      <c r="S719" s="45">
        <f ca="1">R719/(R719+(185*模拟模式!$E$22-16800)*4.08224)</f>
        <v>8.389626085980037E-2</v>
      </c>
      <c r="T719" s="45" t="str">
        <f ca="1">LOOKUP(D719,'模拟-单技能数据'!$A$2:$A$19,'模拟-单技能数据'!$H$2:$H$19)</f>
        <v>阳</v>
      </c>
      <c r="U719" s="119">
        <f t="shared" ca="1" si="599"/>
        <v>0.2</v>
      </c>
      <c r="V719" s="47">
        <f ca="1">(1+L719)*(LOOKUP(D719,'模拟-单技能数据'!$A$2:$A$19,'模拟-单技能数据'!$D$2:$D$19)+G719*LOOKUP(D719,'模拟-单技能数据'!$A$2:$A$19,'模拟-单技能数据'!$F$2:$F$19))*(1+J719)*(1+K719)*(1-S719)*(1+U719)*Q719*LOOKUP(D719,'模拟-单技能数据'!$A$2:$A$19,'模拟-单技能数据'!$I$2:$I$20)</f>
        <v>63050.243404268018</v>
      </c>
      <c r="W719" s="47">
        <f ca="1">LOOKUP(D719,'模拟-单技能数据'!$A$2:$A$19,'模拟-单技能数据'!$G$2:$G$19)*$I$10</f>
        <v>723.0212870940959</v>
      </c>
      <c r="X719" s="47">
        <f t="shared" ca="1" si="627"/>
        <v>30064.783141890133</v>
      </c>
      <c r="Y719" s="47">
        <f t="shared" ca="1" si="600"/>
        <v>93838.047833252247</v>
      </c>
      <c r="Z719" s="49">
        <f t="shared" ca="1" si="601"/>
        <v>72125190.589493558</v>
      </c>
      <c r="AA719" s="97">
        <f t="shared" ca="1" si="602"/>
        <v>112983.36480331582</v>
      </c>
      <c r="AB719" s="115">
        <f ca="1">IF(OR(C719="赤日轮1",C719="赤日轮2",C719="赤日轮3"),IF(RAND()&lt;模拟模式!$Y$17,1,0),IF(OR(C719="幽月轮1",C719="幽月轮2",C719="幽月轮3"),IF(RAND()&lt;模拟模式!$Y$18,1,0),IF(C719="烈日斩",IF(RAND()&lt;模拟模式!$Y$19,1,0),IF(C719="银月斩",IF(RAND()&lt;模拟模式!$Y$20,1,0),IF(C719="驱夜断愁",IF(RAND()&lt;模拟模式!$Y$21,1,0),IF(C719="净世破魔击·日",IF(RAND()&lt;模拟模式!$Y$22,1,0),IF(C719="净世破魔击·月",IF(RAND()&lt;模拟模式!$Y$23,1,0),0)))))))</f>
        <v>1</v>
      </c>
      <c r="AC719" s="115" t="b">
        <f t="shared" ca="1" si="603"/>
        <v>0</v>
      </c>
      <c r="AD719" s="115" t="b">
        <f t="shared" ca="1" si="604"/>
        <v>1</v>
      </c>
      <c r="AE719" s="115">
        <f t="shared" ca="1" si="605"/>
        <v>2</v>
      </c>
      <c r="AF719" s="47">
        <f ca="1">IF(AC719,('模拟-单技能数据'!$D$20+G719*'模拟-单技能数据'!$F$20)*(1+J719)*(1+'模拟-单技能数据'!$J$20)*(1+U719),0)</f>
        <v>0</v>
      </c>
      <c r="AG719" s="61">
        <f t="shared" ca="1" si="606"/>
        <v>0.64185145527300214</v>
      </c>
      <c r="AH719" s="61">
        <f t="shared" ca="1" si="607"/>
        <v>2.2624828854998791</v>
      </c>
      <c r="AI719" s="62">
        <f t="shared" ca="1" si="628"/>
        <v>0.19992213970011352</v>
      </c>
      <c r="AJ719" s="47">
        <f ca="1">IF(AD719,IF(AI719&lt;$F$10,0,IF(AI719&lt;$F$10+$F$11,0.25,IF(AI719&lt;$F$10+$F$11+AG719,AH719,1)))*IF(AF719&gt;0,AF719,IF(AF718&gt;0,AF718,IF(AF717&gt;0,AF717,IF(AF716&gt;0,AF716,IF(AF715&gt;0,AF715,IF(AF714&gt;0,AF714,IF(AF713&gt;0,AF713,IF(AF712&gt;0,AF712,IF(AF711&gt;0,AF711,IF(AF709&gt;0,AF709,IF(AF708&gt;0,AF708,IF(AF707&gt;0,AF707,0)))))))))))),0)*(1-$S719)*'模拟-单技能数据'!$I$20</f>
        <v>9616.6571145767884</v>
      </c>
      <c r="AK719" s="115" t="b">
        <f t="shared" ca="1" si="608"/>
        <v>1</v>
      </c>
      <c r="AL719" s="115" t="b">
        <f t="shared" ca="1" si="609"/>
        <v>1</v>
      </c>
      <c r="AM719" s="115">
        <f t="shared" ca="1" si="610"/>
        <v>5</v>
      </c>
      <c r="AN719" s="47">
        <f ca="1">IF(AK719,('模拟-单技能数据'!$D$21+G719*'模拟-单技能数据'!$F$21)*(1+J719)*(1+'模拟-单技能数据'!$J$21)*(1+U719),0)</f>
        <v>12670.936004857545</v>
      </c>
      <c r="AO719" s="61">
        <f ca="1">IF(AN719&gt;0,M719-'模拟-单技能数据'!$K$10,AO718)</f>
        <v>0.42185145527300216</v>
      </c>
      <c r="AP719" s="61">
        <f ca="1">IF(AN719&gt;0,I719-'模拟-单技能数据'!$L$10,AP718)</f>
        <v>2.162482885499879</v>
      </c>
      <c r="AQ719" s="63">
        <f t="shared" ca="1" si="629"/>
        <v>0.66692445305228876</v>
      </c>
      <c r="AR719" s="64">
        <f ca="1">IF(AL719,IF(AQ719&lt;$F$10,0,IF(AQ719&lt;$F$10+$F$11,0.25,IF(AQ719&lt;$F$10+$F$11+AO719,AP719,1)))*IF(AN719&gt;0,AN719,IF(AN718&gt;0,AN718,IF(AN717&gt;0,AN717,IF(AN716&gt;0,AN716,IF(AN715&gt;0,AN715,IF(AN714&gt;0,AN714,IF(AN713&gt;0,AN713,IF(AN712&gt;0,AN712,IF(AN711&gt;0,AN711,IF(AN709&gt;0,AN709,IF(AN708&gt;0,AN708,IF(AN707&gt;0,AN707,0)))))))))))),0)*(1-$S719)*'模拟-单技能数据'!$I$21</f>
        <v>11607.89185245618</v>
      </c>
      <c r="AS719" s="61">
        <f ca="1">IF(OR(C719="净世破魔击·日",C719="净世破魔击·月"),M719-'模拟-单技能数据'!$K$10,0)</f>
        <v>0.42185145527300216</v>
      </c>
      <c r="AT719" s="61">
        <f ca="1">IF(OR(C719="净世破魔击·日",C719="净世破魔击·月"),I719-'模拟-单技能数据'!$L$10,0)</f>
        <v>2.162482885499879</v>
      </c>
      <c r="AU719" s="62">
        <f t="shared" ca="1" si="630"/>
        <v>0.56942409696439622</v>
      </c>
      <c r="AV719" s="64">
        <f ca="1">IF(AS719&gt;0,('模拟-单技能数据'!$D$22+G719*'模拟-单技能数据'!$F$22)*(1+J719)*(1-S719)*IF(AU719&lt;$F$10,0,IF(AU719&lt;$F$10+$F$11,0.25,IF(AU719&lt;$F$10+$F$11+AS719,AT719,1)))*(1+U719),0)*'模拟-单技能数据'!$I$22</f>
        <v>8840.2341748571616</v>
      </c>
      <c r="AW719" s="108">
        <f t="shared" ca="1" si="631"/>
        <v>17.232500000000002</v>
      </c>
      <c r="AX719" s="108" t="b">
        <f ca="1">AND(模拟模式!$P$10="有",AW718=0,RAND()&lt;IF(C719="净世破魔击·月",0.1*8/3,IF(C719="净世破魔击·日",0.1*4/3,0.1*2/3)))</f>
        <v>0</v>
      </c>
      <c r="AY719" s="47">
        <f ca="1">IF(AX719,(18+G719*0.722)*(1+J719)*(1-S719)*(1+$I$4)*IF(P719="会",'模拟-全程加成'!$J$3+'模拟-全程加成'!$J$4+'模拟-全程加成'!$J$5+('模拟-全程加成'!$I$4+'模拟-全程加成'!$I$5)/系数!$B$4+BG719*10%,IF(P719="命",1,IF(P719="识",0.25,0))),0)</f>
        <v>0</v>
      </c>
      <c r="AZ719" s="108">
        <f t="shared" si="632"/>
        <v>10.775000000000006</v>
      </c>
      <c r="BA719" s="108" t="b">
        <f>AND(模拟模式!$Q$10="有",AZ718=0)</f>
        <v>0</v>
      </c>
      <c r="BB719" s="140">
        <f>IF(BA719,(0+G719*0.287)*(1+J719)*(1-S719)*(1+$I$4)*IF(P719="会",'模拟-全程加成'!$J$3+'模拟-全程加成'!$J$4+'模拟-全程加成'!$J$5+('模拟-全程加成'!$I$4+'模拟-全程加成'!$I$5)/系数!$B$4+BG719*10%,IF(P719="命",1,IF(P719="识",0.25,0))),0)</f>
        <v>0</v>
      </c>
      <c r="BC719" s="115" t="b">
        <f ca="1">AND(模拟模式!$R$7="伏明众生",E719=60,F719=20,DA719&lt;5,CZ718&lt;$F$4)</f>
        <v>0</v>
      </c>
      <c r="BD719" s="115">
        <f t="shared" ca="1" si="611"/>
        <v>0</v>
      </c>
      <c r="BE719" s="115" t="b">
        <f t="shared" ca="1" si="612"/>
        <v>0</v>
      </c>
      <c r="BF719" s="47">
        <f ca="1">IF(BC719,4*('模拟-单技能数据'!$D$24+G719*'模拟-单技能数据'!$F$24)*(1+J719)*(1+'模拟-单技能数据'!$J$24)*(1-S719)*(1+$I$3)*(('模拟-全程加成'!$J$3+'模拟-全程加成'!$J$4+'模拟-全程加成'!$J$5+('模拟-全程加成'!$I$4+'模拟-全程加成'!$I$5)/系数!$B$4+BG719*10%)*('模拟-全程加成'!$J$3+'模拟-全程加成'!$J$4+'模拟-全程加成'!$J$5+('模拟-全程加成'!$I$4+'模拟-全程加成'!$I$5)/系数!$B$4+BG719*10%)+(1-('模拟-全程加成'!$J$3+'模拟-全程加成'!$J$4+'模拟-全程加成'!$J$5+('模拟-全程加成'!$I$4+'模拟-全程加成'!$I$5)/系数!$B$4+BG719*10%)-$F$10-$F$11)+F705*0.25),0)*'模拟-单技能数据'!$I$24</f>
        <v>0</v>
      </c>
      <c r="BG719" s="115" t="b">
        <f ca="1">OR(AND(OR(C719="烈日斩",C719="银月斩"),模拟模式!$I$7="净身明礼"),AND(C719="净世破魔击·日",模拟模式!$J$7="洞若观火"),AND(C720="净世破魔击·月",模拟模式!$J$7="洞若观火"),AB719=1)</f>
        <v>1</v>
      </c>
      <c r="BH719" s="115" t="b">
        <f t="shared" ca="1" si="633"/>
        <v>1</v>
      </c>
      <c r="BI719" s="115">
        <f t="shared" ca="1" si="613"/>
        <v>6</v>
      </c>
      <c r="BJ719" s="115" t="b">
        <f t="shared" ca="1" si="614"/>
        <v>1</v>
      </c>
      <c r="BK719" s="115" t="b">
        <f ca="1">AND(C719="驱夜断愁",模拟模式!$P$7="天地诛戮")</f>
        <v>0</v>
      </c>
      <c r="BL719" s="57">
        <f t="shared" ca="1" si="615"/>
        <v>14.465000000000003</v>
      </c>
      <c r="BM719" s="115" t="b">
        <f t="shared" ca="1" si="616"/>
        <v>1</v>
      </c>
      <c r="BN719" s="115" t="b">
        <f ca="1">AND(OR(C719="赤日轮1",C719="赤日轮2",C719="赤日轮3",C719="幽月轮1",C719="幽月轮2",C719="幽月轮3"),AB719=1,模拟模式!$L$7="明光恒照")</f>
        <v>0</v>
      </c>
      <c r="BO719" s="117">
        <f t="shared" ca="1" si="617"/>
        <v>26.310000000000002</v>
      </c>
      <c r="BP719" s="115">
        <f t="shared" ca="1" si="634"/>
        <v>6</v>
      </c>
      <c r="BQ719" s="115" t="b">
        <f>模拟模式!$K$10="2600·水"</f>
        <v>0</v>
      </c>
      <c r="BR719" s="117">
        <f t="shared" si="635"/>
        <v>0</v>
      </c>
      <c r="BS719" s="115">
        <f t="shared" si="636"/>
        <v>0</v>
      </c>
      <c r="BT719" s="115">
        <f t="shared" ca="1" si="637"/>
        <v>0</v>
      </c>
      <c r="BU719" s="115" t="b">
        <f ca="1">AND(模拟模式!$K$10="2300·雷",BT718=0,RAND()&lt;IF(C719="净世破魔击·月",5*0.05*2/3,IF(C719="净世破魔击·日",3*0.05*2/3,0.05*2*2/3)))</f>
        <v>0</v>
      </c>
      <c r="BV719" s="115">
        <f t="shared" ca="1" si="638"/>
        <v>0</v>
      </c>
      <c r="BW719" s="115">
        <f t="shared" ca="1" si="639"/>
        <v>99.742499999999254</v>
      </c>
      <c r="BX719" s="164" t="b">
        <f t="shared" ca="1" si="640"/>
        <v>0</v>
      </c>
      <c r="BY719" s="115">
        <f t="shared" ca="1" si="641"/>
        <v>0</v>
      </c>
      <c r="BZ719" s="115">
        <f>IF(OR(模拟模式!$P$16="10人团",模拟模式!$P$16="25人团"),IF(B719/30&gt;CA718,1,0),0)</f>
        <v>0</v>
      </c>
      <c r="CA719" s="115">
        <f t="shared" si="618"/>
        <v>0</v>
      </c>
      <c r="CB719" s="115">
        <f ca="1">IF(BZ719=1,IF(模拟模式!$P$16="10人团",15,0)+IF(模拟模式!$P$16="25人团",IF(RAND()&lt;0.6,15,0)),MAX(0,CB718-$F$4))</f>
        <v>0</v>
      </c>
      <c r="CC719" s="115" t="b">
        <f t="shared" ca="1" si="619"/>
        <v>0</v>
      </c>
      <c r="CD719" s="115">
        <f>IF(模拟模式!$Q$16="1个",IF(B719/40&gt;CE718,1,0),0)</f>
        <v>0</v>
      </c>
      <c r="CE719" s="115">
        <f t="shared" si="620"/>
        <v>0</v>
      </c>
      <c r="CF719" s="115">
        <f>IF(OR(CD719=1,模拟模式!$Q$16="2个"),20,MAX(0,CF718-$F$4))</f>
        <v>0</v>
      </c>
      <c r="CG719" s="115" t="b">
        <f t="shared" si="621"/>
        <v>0</v>
      </c>
      <c r="CH719" s="115">
        <f t="shared" ca="1" si="642"/>
        <v>11.550000000000011</v>
      </c>
      <c r="CI719" s="115" t="b">
        <f t="shared" ca="1" si="643"/>
        <v>0</v>
      </c>
      <c r="CJ719" s="119">
        <f t="shared" ca="1" si="644"/>
        <v>0</v>
      </c>
      <c r="CK719" s="115">
        <f t="shared" ca="1" si="645"/>
        <v>0</v>
      </c>
      <c r="CL719" s="115" t="b">
        <f ca="1">AND(模拟模式!$S$7="驱夷逐法",OR(AND(C719="净世破魔击·月",E718&gt;59),AND(C719="净世破魔击·日",F718&gt;59)))</f>
        <v>0</v>
      </c>
      <c r="CM719" s="115" t="b">
        <f ca="1">OR(CL719,AND(C719="净世破魔击·日",CL718,RAND()&lt;模拟模式!$U$23))</f>
        <v>0</v>
      </c>
      <c r="CN719" s="115" t="b">
        <f ca="1">IF(模拟模式!$M$7="辉耀红尘",AND(C719="净世破魔击·月",CL719,CV719=0,E718&lt;80),AND(C719="净世破魔击·月",CL719,E718&lt;100))</f>
        <v>0</v>
      </c>
      <c r="CO719" s="115" t="b">
        <f t="shared" ca="1" si="622"/>
        <v>0</v>
      </c>
      <c r="CP719" s="115" t="b">
        <f ca="1">AND(模拟模式!$O$7="用晦而明",OR(C719="净世破魔击·日",C719="净世破魔击·月",C719="驱夜断愁"),AB719)</f>
        <v>1</v>
      </c>
      <c r="CQ719" s="115" t="b">
        <f ca="1">OR(CP719,AND(CP718,RAND()&lt;模拟模式!$U$23))</f>
        <v>1</v>
      </c>
      <c r="CR719" s="115" t="b">
        <f ca="1">AND(模拟模式!$S$7="日月齐光",OR(C719="幽月轮1",C719="幽月轮2",C719="幽月轮3",CR718),NOT(OR(C719="赤日轮1",C719="赤日轮2",C719="赤日轮3")))</f>
        <v>0</v>
      </c>
      <c r="CS719" s="115" t="b">
        <f ca="1">AND(模拟模式!$S$7="日月齐光",OR(C719="赤日轮1",C719="赤日轮2",C719="赤日轮3",CS718),NOT(OR(C719="幽月轮1",C719="幽月轮2",C719="幽月轮3")))</f>
        <v>0</v>
      </c>
      <c r="CT719" s="115">
        <f t="shared" ca="1" si="646"/>
        <v>29.077500000000001</v>
      </c>
      <c r="CU719" s="115" t="b">
        <f ca="1">AND(模拟模式!$K$10="阴阳往极",CT718=0,RAND()&lt;IF(C719="净世破魔击·月",0.0275*7/3,IF(C719="净世破魔击·日",0.0275*3/3,0.0275*2/3)))</f>
        <v>0</v>
      </c>
      <c r="CV719" s="115">
        <f t="shared" ca="1" si="647"/>
        <v>3.1549999999999998</v>
      </c>
      <c r="CW719" s="115">
        <f t="shared" ca="1" si="648"/>
        <v>1.3874999999999997</v>
      </c>
      <c r="CX719" s="115">
        <f t="shared" ca="1" si="649"/>
        <v>0</v>
      </c>
      <c r="CY719" s="115">
        <f ca="1">MAX(IF($C719="驱夜断愁",IF(模拟模式!$R$7="万念俱寂",6,45),CY718-$F$4),0)</f>
        <v>0.46499999999999975</v>
      </c>
      <c r="CZ719" s="115">
        <f t="shared" ca="1" si="623"/>
        <v>0</v>
      </c>
      <c r="DA719" s="115">
        <f ca="1">IF(模拟模式!$N$7="日月同辉",IF(DB718=2,0,MIN(6,IF(AND(OR(C719="赤日轮1",C719="赤日轮2",C719="赤日轮3",C719="幽月轮1",C719="幽月轮2",C719="幽月轮3"),AB719=1),DA718+1,DA718))),0)</f>
        <v>0</v>
      </c>
      <c r="DB719" s="115">
        <f t="shared" ca="1" si="624"/>
        <v>0</v>
      </c>
      <c r="DC719" s="115"/>
      <c r="DD719" s="115"/>
      <c r="DE719" s="115"/>
      <c r="DF719" s="115"/>
      <c r="DG719" s="115"/>
      <c r="DH719" s="115"/>
      <c r="DI719" s="115"/>
      <c r="DJ719" s="115"/>
      <c r="DK719" s="115"/>
      <c r="DL719" s="115"/>
      <c r="DM719" s="115"/>
    </row>
    <row r="720" spans="2:117" x14ac:dyDescent="0.2">
      <c r="B720" s="117">
        <f t="shared" si="625"/>
        <v>639.29250000000741</v>
      </c>
      <c r="C720" s="167" t="str">
        <f t="shared" ca="1" si="594"/>
        <v>净世破魔击·月</v>
      </c>
      <c r="D720" s="115">
        <f ca="1">IF(C720="赤日轮1",1,IF(C720="赤日轮2",2,IF(C720="赤日轮3",3,IF(C720="幽月轮1",4,IF(C720="幽月轮2",5,IF(C720="幽月轮3",6,IF(C720="烈日斩",7,IF(C720="银月斩",8,IF(C720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720="净世破魔击·月",17,IF(C720="驱夜断愁",18,0)))))))))))</f>
        <v>17</v>
      </c>
      <c r="E720" s="115">
        <f ca="1">IF(AND(CU720,OR(C720="幽月轮1",C720="幽月轮2",C720="幽月轮3",C720="银月斩",C720="驱夜断愁",C720="净世破魔击·月")),100,MIN(IF(OR(CN720,BE720),0,IF(OR($C720="赤日轮1",$C720="赤日轮2",$C720="赤日轮3"),E719+20+IF(模拟模式!$I$7="日月凌天",4,0)+IF(CR719,20,0),IF($C720="烈日斩",E719+40,IF($C720="驱夜断愁",IF(模拟模式!$R$7="万念俱寂",E719+20,E719+60),IF($C720="净世破魔击·月",IF(OR(DB719&gt;0,CV719&gt;0),100,IF(模拟模式!$M$7="辉耀红尘",E719+20,E719)),IF($C720="净世破魔击·日",E719-100,E719)))))),100))</f>
        <v>100</v>
      </c>
      <c r="F720" s="115">
        <f ca="1">IF(AND(CU720,OR(C720="赤日轮1",C720="赤日轮2",C720="赤日轮3",C720="烈日斩",C720="净世破魔击·日")),100,MIN(IF(CO720,0,IF(OR($C720="幽月轮1",$C720="幽月轮2",$C720="幽月轮3"),F719+20+IF(模拟模式!$I$7="日月凌天",4,0)+IF(CS719,20,0),IF($C720="银月斩",F719+40+IF(模拟模式!$X$12=1,5,0),IF($C720="驱夜断愁",IF(模拟模式!$R$7="万念俱寂",F719+20,F719+60),IF($C720="净世破魔击·月",IF(模拟模式!$M$7="辉耀红尘",F719-80,F719-100),IF(AND(C720="净世破魔击·日",OR(DB719&gt;0,CV719&gt;0)),100,F719)))))),100))</f>
        <v>20</v>
      </c>
      <c r="G720" s="117">
        <f ca="1">('模拟-全程加成'!$E$3+'模拟-全程加成'!$E$4+'模拟-全程加成'!$E$5+('模拟-全程加成'!$C$6-'模拟-全程加成'!$C$3)*系数!$B$9+BS720*23)*(1+'模拟-全程加成'!$F$4+'模拟-全程加成'!$F$5+BJ720*10%+BM720*20%+BP720*4%+CG720*30%)+$F$7*系数!$B$12</f>
        <v>21493.829400000002</v>
      </c>
      <c r="H720" s="45">
        <f ca="1">'模拟-全程加成'!$H$3+'模拟-全程加成'!$H$4+'模拟-全程加成'!$H$5+('模拟-全程加成'!$G$4+'模拟-全程加成'!$G$5+('模拟-全程加成'!$C$6-'模拟-全程加成'!$C$3)*系数!$B$13)/系数!$B$3+LOOKUP(D720,'模拟-单技能数据'!$A$2:$A$19,'模拟-单技能数据'!$K$2:$K$19)+BG720*10%+IF(BV720&gt;0,378,0)</f>
        <v>0.54185145527300216</v>
      </c>
      <c r="I720" s="45">
        <f ca="1">'模拟-全程加成'!$J$3+'模拟-全程加成'!$J$4+'模拟-全程加成'!$J$5+('模拟-全程加成'!$I$4+'模拟-全程加成'!$I$5)/系数!$B$4+LOOKUP(D720,'模拟-单技能数据'!$A$2:$A$19,'模拟-单技能数据'!$L$2:$L$19)+BG720*10%</f>
        <v>2.162482885499879</v>
      </c>
      <c r="J720" s="45">
        <f ca="1">(('模拟-全程加成'!$K$3+'模拟-全程加成'!$K$4+'模拟-全程加成'!$K$5+('模拟-全程加成'!$C$6-'模拟-全程加成'!$C$3)*系数!$B$10+IF(BV720&gt;0,882,0)+IF(BY720&gt;0,1831,0))*(1+'模拟-全程加成'!$L$4+'模拟-全程加成'!$L$5+CC720*20%))/系数!$B$5</f>
        <v>0.69723220422048726</v>
      </c>
      <c r="K720" s="119">
        <f ca="1">LOOKUP(D720,'模拟-单技能数据'!$A$2:$A$19,'模拟-单技能数据'!$J$2:$J$19)+IF(CM720,60%,0)+IF(DB719-DB720&gt;0,30%,0)+IF(OR(AND(OR(C720="赤日轮1",C720="赤日轮2",C720="赤日轮3"),CR720),AND(OR(C720="幽月轮1",C720="幽月轮2",C720="幽月轮3"),CS720)),35%,0)+CJ720</f>
        <v>0.2</v>
      </c>
      <c r="L720" s="119">
        <f ca="1">IF(AND(C720="烈日斩",模拟模式!$X$11=1),10%,0)+IF(AND(C720="驱夜断愁",AB720=1),30%,0)</f>
        <v>0</v>
      </c>
      <c r="M720" s="45">
        <f t="shared" ca="1" si="595"/>
        <v>0.54185145527300216</v>
      </c>
      <c r="N720" s="45">
        <f t="shared" ca="1" si="596"/>
        <v>0.40424854472699789</v>
      </c>
      <c r="O720" s="46">
        <f t="shared" ca="1" si="626"/>
        <v>0.47246745206266527</v>
      </c>
      <c r="P720" s="46" t="str">
        <f t="shared" ca="1" si="597"/>
        <v>会</v>
      </c>
      <c r="Q720" s="45">
        <f t="shared" ca="1" si="598"/>
        <v>2.162482885499879</v>
      </c>
      <c r="R720" s="117">
        <f ca="1">模拟模式!$E$20*(1-IF(模拟模式!$J$19="有",0.15,0))*(1-IF(模拟模式!$K$19="有",0.3,0)-IF(CQ720,0.5,0))</f>
        <v>843.02999999999975</v>
      </c>
      <c r="S720" s="45">
        <f ca="1">R720/(R720+(185*模拟模式!$E$22-16800)*4.08224)</f>
        <v>8.389626085980037E-2</v>
      </c>
      <c r="T720" s="45" t="str">
        <f ca="1">LOOKUP(D720,'模拟-单技能数据'!$A$2:$A$19,'模拟-单技能数据'!$H$2:$H$19)</f>
        <v>阴</v>
      </c>
      <c r="U720" s="119">
        <f t="shared" ca="1" si="599"/>
        <v>0.08</v>
      </c>
      <c r="V720" s="47">
        <f ca="1">(1+L720)*(LOOKUP(D720,'模拟-单技能数据'!$A$2:$A$19,'模拟-单技能数据'!$D$2:$D$19)+G720*LOOKUP(D720,'模拟-单技能数据'!$A$2:$A$19,'模拟-单技能数据'!$F$2:$F$19))*(1+J720)*(1+K720)*(1-S720)*(1+U720)*Q720*LOOKUP(D720,'模拟-单技能数据'!$A$2:$A$19,'模拟-单技能数据'!$I$2:$I$20)</f>
        <v>121694.14741267689</v>
      </c>
      <c r="W720" s="47">
        <f ca="1">LOOKUP(D720,'模拟-单技能数据'!$A$2:$A$19,'模拟-单技能数据'!$G$2:$G$19)*$I$10</f>
        <v>361.51064354704795</v>
      </c>
      <c r="X720" s="47">
        <f t="shared" ca="1" si="627"/>
        <v>17205.169596245785</v>
      </c>
      <c r="Y720" s="47">
        <f t="shared" ca="1" si="600"/>
        <v>139260.82765246971</v>
      </c>
      <c r="Z720" s="49">
        <f t="shared" ca="1" si="601"/>
        <v>72264451.417146027</v>
      </c>
      <c r="AA720" s="97">
        <f t="shared" ca="1" si="602"/>
        <v>113038.16549880561</v>
      </c>
      <c r="AB720" s="115">
        <f ca="1">IF(OR(C720="赤日轮1",C720="赤日轮2",C720="赤日轮3"),IF(RAND()&lt;模拟模式!$Y$17,1,0),IF(OR(C720="幽月轮1",C720="幽月轮2",C720="幽月轮3"),IF(RAND()&lt;模拟模式!$Y$18,1,0),IF(C720="烈日斩",IF(RAND()&lt;模拟模式!$Y$19,1,0),IF(C720="银月斩",IF(RAND()&lt;模拟模式!$Y$20,1,0),IF(C720="驱夜断愁",IF(RAND()&lt;模拟模式!$Y$21,1,0),IF(C720="净世破魔击·日",IF(RAND()&lt;模拟模式!$Y$22,1,0),IF(C720="净世破魔击·月",IF(RAND()&lt;模拟模式!$Y$23,1,0),0)))))))</f>
        <v>1</v>
      </c>
      <c r="AC720" s="115" t="b">
        <f t="shared" ca="1" si="603"/>
        <v>0</v>
      </c>
      <c r="AD720" s="115" t="b">
        <f t="shared" ca="1" si="604"/>
        <v>0</v>
      </c>
      <c r="AE720" s="115">
        <f t="shared" ca="1" si="605"/>
        <v>2</v>
      </c>
      <c r="AF720" s="47">
        <f ca="1">IF(AC720,('模拟-单技能数据'!$D$20+G720*'模拟-单技能数据'!$F$20)*(1+J720)*(1+'模拟-单技能数据'!$J$20)*(1+U720),0)</f>
        <v>0</v>
      </c>
      <c r="AG720" s="61">
        <f t="shared" ca="1" si="606"/>
        <v>0.64185145527300214</v>
      </c>
      <c r="AH720" s="61">
        <f t="shared" ca="1" si="607"/>
        <v>2.2624828854998791</v>
      </c>
      <c r="AI720" s="62">
        <f t="shared" ca="1" si="628"/>
        <v>0.32566469286954214</v>
      </c>
      <c r="AJ720" s="47">
        <f ca="1">IF(AD720,IF(AI720&lt;$F$10,0,IF(AI720&lt;$F$10+$F$11,0.25,IF(AI720&lt;$F$10+$F$11+AG720,AH720,1)))*IF(AF720&gt;0,AF720,IF(AF719&gt;0,AF719,IF(AF718&gt;0,AF718,IF(AF717&gt;0,AF717,IF(AF716&gt;0,AF716,IF(AF715&gt;0,AF715,IF(AF714&gt;0,AF714,IF(AF713&gt;0,AF713,IF(AF712&gt;0,AF712,IF(AF710&gt;0,AF710,IF(AF709&gt;0,AF709,IF(AF708&gt;0,AF708,0)))))))))))),0)*(1-$S720)*'模拟-单技能数据'!$I$20</f>
        <v>0</v>
      </c>
      <c r="AK720" s="115" t="b">
        <f t="shared" ca="1" si="608"/>
        <v>0</v>
      </c>
      <c r="AL720" s="115" t="b">
        <f t="shared" ca="1" si="609"/>
        <v>0</v>
      </c>
      <c r="AM720" s="115">
        <f t="shared" ca="1" si="610"/>
        <v>5</v>
      </c>
      <c r="AN720" s="47">
        <f ca="1">IF(AK720,('模拟-单技能数据'!$D$21+G720*'模拟-单技能数据'!$F$21)*(1+J720)*(1+'模拟-单技能数据'!$J$21)*(1+U720),0)</f>
        <v>0</v>
      </c>
      <c r="AO720" s="61">
        <f ca="1">IF(AN720&gt;0,M720-'模拟-单技能数据'!$K$10,AO719)</f>
        <v>0.42185145527300216</v>
      </c>
      <c r="AP720" s="61">
        <f ca="1">IF(AN720&gt;0,I720-'模拟-单技能数据'!$L$10,AP719)</f>
        <v>2.162482885499879</v>
      </c>
      <c r="AQ720" s="63">
        <f t="shared" ca="1" si="629"/>
        <v>0.70918154812173151</v>
      </c>
      <c r="AR720" s="64">
        <f ca="1">IF(AL720,IF(AQ720&lt;$F$10,0,IF(AQ720&lt;$F$10+$F$11,0.25,IF(AQ720&lt;$F$10+$F$11+AO720,AP720,1)))*IF(AN720&gt;0,AN720,IF(AN719&gt;0,AN719,IF(AN718&gt;0,AN718,IF(AN717&gt;0,AN717,IF(AN716&gt;0,AN716,IF(AN715&gt;0,AN715,IF(AN714&gt;0,AN714,IF(AN713&gt;0,AN713,IF(AN712&gt;0,AN712,IF(AN710&gt;0,AN710,IF(AN709&gt;0,AN709,IF(AN708&gt;0,AN708,0)))))))))))),0)*(1-$S720)*'模拟-单技能数据'!$I$21</f>
        <v>0</v>
      </c>
      <c r="AS720" s="61">
        <f ca="1">IF(OR(C720="净世破魔击·日",C720="净世破魔击·月"),M720-'模拟-单技能数据'!$K$10,0)</f>
        <v>0.42185145527300216</v>
      </c>
      <c r="AT720" s="61">
        <f ca="1">IF(OR(C720="净世破魔击·日",C720="净世破魔击·月"),I720-'模拟-单技能数据'!$L$10,0)</f>
        <v>2.162482885499879</v>
      </c>
      <c r="AU720" s="62">
        <f t="shared" ca="1" si="630"/>
        <v>0.45377655518687521</v>
      </c>
      <c r="AV720" s="64">
        <f ca="1">IF(AS720&gt;0,('模拟-单技能数据'!$D$22+G720*'模拟-单技能数据'!$F$22)*(1+J720)*(1-S720)*IF(AU720&lt;$F$10,0,IF(AU720&lt;$F$10+$F$11,0.25,IF(AU720&lt;$F$10+$F$11+AS720,AT720,1)))*(1+U720),0)*'模拟-单技能数据'!$I$22</f>
        <v>17205.169596245785</v>
      </c>
      <c r="AW720" s="108">
        <f t="shared" ca="1" si="631"/>
        <v>16.310000000000002</v>
      </c>
      <c r="AX720" s="108" t="b">
        <f ca="1">AND(模拟模式!$P$10="有",AW719=0,RAND()&lt;IF(C720="净世破魔击·月",0.1*8/3,IF(C720="净世破魔击·日",0.1*4/3,0.1*2/3)))</f>
        <v>0</v>
      </c>
      <c r="AY720" s="47">
        <f ca="1">IF(AX720,(18+G720*0.722)*(1+J720)*(1-S720)*(1+$I$4)*IF(P720="会",'模拟-全程加成'!$J$3+'模拟-全程加成'!$J$4+'模拟-全程加成'!$J$5+('模拟-全程加成'!$I$4+'模拟-全程加成'!$I$5)/系数!$B$4+BG720*10%,IF(P720="命",1,IF(P720="识",0.25,0))),0)</f>
        <v>0</v>
      </c>
      <c r="AZ720" s="108">
        <f t="shared" si="632"/>
        <v>9.8525000000000063</v>
      </c>
      <c r="BA720" s="108" t="b">
        <f>AND(模拟模式!$Q$10="有",AZ719=0)</f>
        <v>0</v>
      </c>
      <c r="BB720" s="140">
        <f>IF(BA720,(0+G720*0.287)*(1+J720)*(1-S720)*(1+$I$4)*IF(P720="会",'模拟-全程加成'!$J$3+'模拟-全程加成'!$J$4+'模拟-全程加成'!$J$5+('模拟-全程加成'!$I$4+'模拟-全程加成'!$I$5)/系数!$B$4+BG720*10%,IF(P720="命",1,IF(P720="识",0.25,0))),0)</f>
        <v>0</v>
      </c>
      <c r="BC720" s="115" t="b">
        <f ca="1">AND(模拟模式!$R$7="伏明众生",E720=60,F720=20,DA720&lt;5,CZ719&lt;$F$4)</f>
        <v>0</v>
      </c>
      <c r="BD720" s="115">
        <f t="shared" ca="1" si="611"/>
        <v>0</v>
      </c>
      <c r="BE720" s="115" t="b">
        <f t="shared" ca="1" si="612"/>
        <v>0</v>
      </c>
      <c r="BF720" s="47">
        <f ca="1">IF(BC720,4*('模拟-单技能数据'!$D$24+G720*'模拟-单技能数据'!$F$24)*(1+J720)*(1+'模拟-单技能数据'!$J$24)*(1-S720)*(1+$I$3)*(('模拟-全程加成'!$J$3+'模拟-全程加成'!$J$4+'模拟-全程加成'!$J$5+('模拟-全程加成'!$I$4+'模拟-全程加成'!$I$5)/系数!$B$4+BG720*10%)*('模拟-全程加成'!$J$3+'模拟-全程加成'!$J$4+'模拟-全程加成'!$J$5+('模拟-全程加成'!$I$4+'模拟-全程加成'!$I$5)/系数!$B$4+BG720*10%)+(1-('模拟-全程加成'!$J$3+'模拟-全程加成'!$J$4+'模拟-全程加成'!$J$5+('模拟-全程加成'!$I$4+'模拟-全程加成'!$I$5)/系数!$B$4+BG720*10%)-$F$10-$F$11)+F706*0.25),0)*'模拟-单技能数据'!$I$24</f>
        <v>0</v>
      </c>
      <c r="BG720" s="115" t="b">
        <f ca="1">OR(AND(OR(C720="烈日斩",C720="银月斩"),模拟模式!$I$7="净身明礼"),AND(C720="净世破魔击·日",模拟模式!$J$7="洞若观火"),AND(C721="净世破魔击·月",模拟模式!$J$7="洞若观火"),AB720=1)</f>
        <v>1</v>
      </c>
      <c r="BH720" s="115" t="b">
        <f t="shared" ca="1" si="633"/>
        <v>0</v>
      </c>
      <c r="BI720" s="115">
        <f t="shared" ca="1" si="613"/>
        <v>5.0774999999999997</v>
      </c>
      <c r="BJ720" s="115" t="b">
        <f t="shared" ca="1" si="614"/>
        <v>1</v>
      </c>
      <c r="BK720" s="115" t="b">
        <f ca="1">AND(C720="驱夜断愁",模拟模式!$P$7="天地诛戮")</f>
        <v>0</v>
      </c>
      <c r="BL720" s="57">
        <f t="shared" ca="1" si="615"/>
        <v>13.542500000000004</v>
      </c>
      <c r="BM720" s="115" t="b">
        <f t="shared" ca="1" si="616"/>
        <v>1</v>
      </c>
      <c r="BN720" s="115" t="b">
        <f ca="1">AND(OR(C720="赤日轮1",C720="赤日轮2",C720="赤日轮3",C720="幽月轮1",C720="幽月轮2",C720="幽月轮3"),AB720=1,模拟模式!$L$7="明光恒照")</f>
        <v>0</v>
      </c>
      <c r="BO720" s="117">
        <f t="shared" ca="1" si="617"/>
        <v>25.387500000000003</v>
      </c>
      <c r="BP720" s="115">
        <f t="shared" ca="1" si="634"/>
        <v>6</v>
      </c>
      <c r="BQ720" s="115" t="b">
        <f>模拟模式!$K$10="2600·水"</f>
        <v>0</v>
      </c>
      <c r="BR720" s="117">
        <f t="shared" si="635"/>
        <v>0</v>
      </c>
      <c r="BS720" s="115">
        <f t="shared" si="636"/>
        <v>0</v>
      </c>
      <c r="BT720" s="115">
        <f t="shared" ca="1" si="637"/>
        <v>0</v>
      </c>
      <c r="BU720" s="115" t="b">
        <f ca="1">AND(模拟模式!$K$10="2300·雷",BT719=0,RAND()&lt;IF(C720="净世破魔击·月",5*0.05*2/3,IF(C720="净世破魔击·日",3*0.05*2/3,0.05*2*2/3)))</f>
        <v>0</v>
      </c>
      <c r="BV720" s="115">
        <f t="shared" ca="1" si="638"/>
        <v>0</v>
      </c>
      <c r="BW720" s="115">
        <f t="shared" ca="1" si="639"/>
        <v>98.819999999999254</v>
      </c>
      <c r="BX720" s="164" t="b">
        <f t="shared" ca="1" si="640"/>
        <v>0</v>
      </c>
      <c r="BY720" s="115">
        <f t="shared" ca="1" si="641"/>
        <v>0</v>
      </c>
      <c r="BZ720" s="115">
        <f>IF(OR(模拟模式!$P$16="10人团",模拟模式!$P$16="25人团"),IF(B720/30&gt;CA719,1,0),0)</f>
        <v>0</v>
      </c>
      <c r="CA720" s="115">
        <f t="shared" si="618"/>
        <v>0</v>
      </c>
      <c r="CB720" s="115">
        <f ca="1">IF(BZ720=1,IF(模拟模式!$P$16="10人团",15,0)+IF(模拟模式!$P$16="25人团",IF(RAND()&lt;0.6,15,0)),MAX(0,CB719-$F$4))</f>
        <v>0</v>
      </c>
      <c r="CC720" s="115" t="b">
        <f t="shared" ca="1" si="619"/>
        <v>0</v>
      </c>
      <c r="CD720" s="115">
        <f>IF(模拟模式!$Q$16="1个",IF(B720/40&gt;CE719,1,0),0)</f>
        <v>0</v>
      </c>
      <c r="CE720" s="115">
        <f t="shared" si="620"/>
        <v>0</v>
      </c>
      <c r="CF720" s="115">
        <f>IF(OR(CD720=1,模拟模式!$Q$16="2个"),20,MAX(0,CF719-$F$4))</f>
        <v>0</v>
      </c>
      <c r="CG720" s="115" t="b">
        <f t="shared" si="621"/>
        <v>0</v>
      </c>
      <c r="CH720" s="115">
        <f t="shared" ca="1" si="642"/>
        <v>10.627500000000012</v>
      </c>
      <c r="CI720" s="115" t="b">
        <f t="shared" ca="1" si="643"/>
        <v>0</v>
      </c>
      <c r="CJ720" s="119">
        <f t="shared" ca="1" si="644"/>
        <v>0</v>
      </c>
      <c r="CK720" s="115">
        <f t="shared" ca="1" si="645"/>
        <v>0</v>
      </c>
      <c r="CL720" s="115" t="b">
        <f ca="1">AND(模拟模式!$S$7="驱夷逐法",OR(AND(C720="净世破魔击·月",E719&gt;59),AND(C720="净世破魔击·日",F719&gt;59)))</f>
        <v>0</v>
      </c>
      <c r="CM720" s="115" t="b">
        <f ca="1">OR(CL720,AND(C720="净世破魔击·日",CL719,RAND()&lt;模拟模式!$U$23))</f>
        <v>0</v>
      </c>
      <c r="CN720" s="115" t="b">
        <f ca="1">IF(模拟模式!$M$7="辉耀红尘",AND(C720="净世破魔击·月",CL720,CV720=0,E719&lt;80),AND(C720="净世破魔击·月",CL720,E719&lt;100))</f>
        <v>0</v>
      </c>
      <c r="CO720" s="115" t="b">
        <f t="shared" ca="1" si="622"/>
        <v>0</v>
      </c>
      <c r="CP720" s="115" t="b">
        <f ca="1">AND(模拟模式!$O$7="用晦而明",OR(C720="净世破魔击·日",C720="净世破魔击·月",C720="驱夜断愁"),AB720)</f>
        <v>1</v>
      </c>
      <c r="CQ720" s="115" t="b">
        <f ca="1">OR(CP720,AND(CP719,RAND()&lt;模拟模式!$U$23))</f>
        <v>1</v>
      </c>
      <c r="CR720" s="115" t="b">
        <f ca="1">AND(模拟模式!$S$7="日月齐光",OR(C720="幽月轮1",C720="幽月轮2",C720="幽月轮3",CR719),NOT(OR(C720="赤日轮1",C720="赤日轮2",C720="赤日轮3")))</f>
        <v>0</v>
      </c>
      <c r="CS720" s="115" t="b">
        <f ca="1">AND(模拟模式!$S$7="日月齐光",OR(C720="赤日轮1",C720="赤日轮2",C720="赤日轮3",CS719),NOT(OR(C720="幽月轮1",C720="幽月轮2",C720="幽月轮3")))</f>
        <v>0</v>
      </c>
      <c r="CT720" s="115">
        <f t="shared" ca="1" si="646"/>
        <v>28.155000000000001</v>
      </c>
      <c r="CU720" s="115" t="b">
        <f ca="1">AND(模拟模式!$K$10="阴阳往极",CT719=0,RAND()&lt;IF(C720="净世破魔击·月",0.0275*7/3,IF(C720="净世破魔击·日",0.0275*3/3,0.0275*2/3)))</f>
        <v>0</v>
      </c>
      <c r="CV720" s="115">
        <f t="shared" ca="1" si="647"/>
        <v>2.2324999999999999</v>
      </c>
      <c r="CW720" s="115">
        <f t="shared" ca="1" si="648"/>
        <v>0.46499999999999975</v>
      </c>
      <c r="CX720" s="115">
        <f t="shared" ca="1" si="649"/>
        <v>0</v>
      </c>
      <c r="CY720" s="115">
        <f ca="1">MAX(IF($C720="驱夜断愁",IF(模拟模式!$R$7="万念俱寂",6,45),CY719-$F$4),0)</f>
        <v>0</v>
      </c>
      <c r="CZ720" s="115">
        <f t="shared" ca="1" si="623"/>
        <v>0</v>
      </c>
      <c r="DA720" s="115">
        <f ca="1">IF(模拟模式!$N$7="日月同辉",IF(DB719=2,0,MIN(6,IF(AND(OR(C720="赤日轮1",C720="赤日轮2",C720="赤日轮3",C720="幽月轮1",C720="幽月轮2",C720="幽月轮3"),AB720=1),DA719+1,DA719))),0)</f>
        <v>0</v>
      </c>
      <c r="DB720" s="115">
        <f t="shared" ca="1" si="624"/>
        <v>0</v>
      </c>
      <c r="DC720" s="115"/>
      <c r="DD720" s="115"/>
      <c r="DE720" s="115"/>
      <c r="DF720" s="115"/>
      <c r="DG720" s="115"/>
      <c r="DH720" s="115"/>
      <c r="DI720" s="115"/>
      <c r="DJ720" s="115"/>
      <c r="DK720" s="115"/>
      <c r="DL720" s="115"/>
      <c r="DM720" s="115"/>
    </row>
    <row r="721" spans="2:117" x14ac:dyDescent="0.2">
      <c r="B721" s="117">
        <f t="shared" si="625"/>
        <v>640.21500000000742</v>
      </c>
      <c r="C721" s="167" t="str">
        <f t="shared" ca="1" si="594"/>
        <v>净世破魔击·日</v>
      </c>
      <c r="D721" s="115">
        <f ca="1">IF(C721="赤日轮1",1,IF(C721="赤日轮2",2,IF(C721="赤日轮3",3,IF(C721="幽月轮1",4,IF(C721="幽月轮2",5,IF(C721="幽月轮3",6,IF(C721="烈日斩",7,IF(C721="银月斩",8,IF(C721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721="净世破魔击·月",17,IF(C721="驱夜断愁",18,0)))))))))))</f>
        <v>9</v>
      </c>
      <c r="E721" s="115">
        <f ca="1">IF(AND(CU721,OR(C721="幽月轮1",C721="幽月轮2",C721="幽月轮3",C721="银月斩",C721="驱夜断愁",C721="净世破魔击·月")),100,MIN(IF(OR(CN721,BE721),0,IF(OR($C721="赤日轮1",$C721="赤日轮2",$C721="赤日轮3"),E720+20+IF(模拟模式!$I$7="日月凌天",4,0)+IF(CR720,20,0),IF($C721="烈日斩",E720+40,IF($C721="驱夜断愁",IF(模拟模式!$R$7="万念俱寂",E720+20,E720+60),IF($C721="净世破魔击·月",IF(OR(DB720&gt;0,CV720&gt;0),100,IF(模拟模式!$M$7="辉耀红尘",E720+20,E720)),IF($C721="净世破魔击·日",E720-100,E720)))))),100))</f>
        <v>0</v>
      </c>
      <c r="F721" s="115">
        <f ca="1">IF(AND(CU721,OR(C721="赤日轮1",C721="赤日轮2",C721="赤日轮3",C721="烈日斩",C721="净世破魔击·日")),100,MIN(IF(CO721,0,IF(OR($C721="幽月轮1",$C721="幽月轮2",$C721="幽月轮3"),F720+20+IF(模拟模式!$I$7="日月凌天",4,0)+IF(CS720,20,0),IF($C721="银月斩",F720+40+IF(模拟模式!$X$12=1,5,0),IF($C721="驱夜断愁",IF(模拟模式!$R$7="万念俱寂",F720+20,F720+60),IF($C721="净世破魔击·月",IF(模拟模式!$M$7="辉耀红尘",F720-80,F720-100),IF(AND(C721="净世破魔击·日",OR(DB720&gt;0,CV720&gt;0)),100,F720)))))),100))</f>
        <v>100</v>
      </c>
      <c r="G721" s="117">
        <f ca="1">('模拟-全程加成'!$E$3+'模拟-全程加成'!$E$4+'模拟-全程加成'!$E$5+('模拟-全程加成'!$C$6-'模拟-全程加成'!$C$3)*系数!$B$9+BS721*23)*(1+'模拟-全程加成'!$F$4+'模拟-全程加成'!$F$5+BJ721*10%+BM721*20%+BP721*4%+CG721*30%)+$F$7*系数!$B$12</f>
        <v>21493.829400000002</v>
      </c>
      <c r="H721" s="45">
        <f ca="1">'模拟-全程加成'!$H$3+'模拟-全程加成'!$H$4+'模拟-全程加成'!$H$5+('模拟-全程加成'!$G$4+'模拟-全程加成'!$G$5+('模拟-全程加成'!$C$6-'模拟-全程加成'!$C$3)*系数!$B$13)/系数!$B$3+LOOKUP(D721,'模拟-单技能数据'!$A$2:$A$19,'模拟-单技能数据'!$K$2:$K$19)+BG721*10%+IF(BV721&gt;0,378,0)</f>
        <v>0.54185145527300216</v>
      </c>
      <c r="I721" s="45">
        <f ca="1">'模拟-全程加成'!$J$3+'模拟-全程加成'!$J$4+'模拟-全程加成'!$J$5+('模拟-全程加成'!$I$4+'模拟-全程加成'!$I$5)/系数!$B$4+LOOKUP(D721,'模拟-单技能数据'!$A$2:$A$19,'模拟-单技能数据'!$L$2:$L$19)+BG721*10%</f>
        <v>2.162482885499879</v>
      </c>
      <c r="J721" s="45">
        <f ca="1">(('模拟-全程加成'!$K$3+'模拟-全程加成'!$K$4+'模拟-全程加成'!$K$5+('模拟-全程加成'!$C$6-'模拟-全程加成'!$C$3)*系数!$B$10+IF(BV721&gt;0,882,0)+IF(BY721&gt;0,1831,0))*(1+'模拟-全程加成'!$L$4+'模拟-全程加成'!$L$5+CC721*20%))/系数!$B$5</f>
        <v>0.69723220422048726</v>
      </c>
      <c r="K721" s="119">
        <f ca="1">LOOKUP(D721,'模拟-单技能数据'!$A$2:$A$19,'模拟-单技能数据'!$J$2:$J$19)+IF(CM721,60%,0)+IF(DB720-DB721&gt;0,30%,0)+IF(OR(AND(OR(C721="赤日轮1",C721="赤日轮2",C721="赤日轮3"),CR721),AND(OR(C721="幽月轮1",C721="幽月轮2",C721="幽月轮3"),CS721)),35%,0)+CJ721</f>
        <v>0.2</v>
      </c>
      <c r="L721" s="119">
        <f ca="1">IF(AND(C721="烈日斩",模拟模式!$X$11=1),10%,0)+IF(AND(C721="驱夜断愁",AB721=1),30%,0)</f>
        <v>0</v>
      </c>
      <c r="M721" s="45">
        <f t="shared" ca="1" si="595"/>
        <v>0.54185145527300216</v>
      </c>
      <c r="N721" s="45">
        <f t="shared" ca="1" si="596"/>
        <v>0.40424854472699789</v>
      </c>
      <c r="O721" s="46">
        <f t="shared" ca="1" si="626"/>
        <v>0.39709277986377745</v>
      </c>
      <c r="P721" s="46" t="str">
        <f t="shared" ca="1" si="597"/>
        <v>会</v>
      </c>
      <c r="Q721" s="45">
        <f t="shared" ca="1" si="598"/>
        <v>2.162482885499879</v>
      </c>
      <c r="R721" s="117">
        <f ca="1">模拟模式!$E$20*(1-IF(模拟模式!$J$19="有",0.15,0))*(1-IF(模拟模式!$K$19="有",0.3,0)-IF(CQ721,0.5,0))</f>
        <v>843.02999999999975</v>
      </c>
      <c r="S721" s="45">
        <f ca="1">R721/(R721+(185*模拟模式!$E$22-16800)*4.08224)</f>
        <v>8.389626085980037E-2</v>
      </c>
      <c r="T721" s="45" t="str">
        <f ca="1">LOOKUP(D721,'模拟-单技能数据'!$A$2:$A$19,'模拟-单技能数据'!$H$2:$H$19)</f>
        <v>阳</v>
      </c>
      <c r="U721" s="119">
        <f t="shared" ca="1" si="599"/>
        <v>0.2</v>
      </c>
      <c r="V721" s="47">
        <f ca="1">(1+L721)*(LOOKUP(D721,'模拟-单技能数据'!$A$2:$A$19,'模拟-单技能数据'!$D$2:$D$19)+G721*LOOKUP(D721,'模拟-单技能数据'!$A$2:$A$19,'模拟-单技能数据'!$F$2:$F$19))*(1+J721)*(1+K721)*(1-S721)*(1+U721)*Q721*LOOKUP(D721,'模拟-单技能数据'!$A$2:$A$19,'模拟-单技能数据'!$I$2:$I$20)</f>
        <v>136345.07228833123</v>
      </c>
      <c r="W721" s="47">
        <f ca="1">LOOKUP(D721,'模拟-单技能数据'!$A$2:$A$19,'模拟-单技能数据'!$G$2:$G$19)*$I$10</f>
        <v>723.0212870940959</v>
      </c>
      <c r="X721" s="47">
        <f t="shared" ca="1" si="627"/>
        <v>27311.926011384265</v>
      </c>
      <c r="Y721" s="47">
        <f t="shared" ca="1" si="600"/>
        <v>164380.01958680959</v>
      </c>
      <c r="Z721" s="49">
        <f t="shared" ca="1" si="601"/>
        <v>72428831.436732844</v>
      </c>
      <c r="AA721" s="97">
        <f t="shared" ca="1" si="602"/>
        <v>113132.04382392166</v>
      </c>
      <c r="AB721" s="115">
        <f ca="1">IF(OR(C721="赤日轮1",C721="赤日轮2",C721="赤日轮3"),IF(RAND()&lt;模拟模式!$Y$17,1,0),IF(OR(C721="幽月轮1",C721="幽月轮2",C721="幽月轮3"),IF(RAND()&lt;模拟模式!$Y$18,1,0),IF(C721="烈日斩",IF(RAND()&lt;模拟模式!$Y$19,1,0),IF(C721="银月斩",IF(RAND()&lt;模拟模式!$Y$20,1,0),IF(C721="驱夜断愁",IF(RAND()&lt;模拟模式!$Y$21,1,0),IF(C721="净世破魔击·日",IF(RAND()&lt;模拟模式!$Y$22,1,0),IF(C721="净世破魔击·月",IF(RAND()&lt;模拟模式!$Y$23,1,0),0)))))))</f>
        <v>1</v>
      </c>
      <c r="AC721" s="115" t="b">
        <f t="shared" ca="1" si="603"/>
        <v>0</v>
      </c>
      <c r="AD721" s="115" t="b">
        <f t="shared" ca="1" si="604"/>
        <v>1</v>
      </c>
      <c r="AE721" s="115">
        <f t="shared" ca="1" si="605"/>
        <v>1</v>
      </c>
      <c r="AF721" s="47">
        <f ca="1">IF(AC721,('模拟-单技能数据'!$D$20+G721*'模拟-单技能数据'!$F$20)*(1+J721)*(1+'模拟-单技能数据'!$J$20)*(1+U721),0)</f>
        <v>0</v>
      </c>
      <c r="AG721" s="61">
        <f t="shared" ca="1" si="606"/>
        <v>0.64185145527300214</v>
      </c>
      <c r="AH721" s="61">
        <f t="shared" ca="1" si="607"/>
        <v>2.2624828854998791</v>
      </c>
      <c r="AI721" s="62">
        <f t="shared" ca="1" si="628"/>
        <v>0.96487989239125516</v>
      </c>
      <c r="AJ721" s="47">
        <f ca="1">IF(AD721,IF(AI721&lt;$F$10,0,IF(AI721&lt;$F$10+$F$11,0.25,IF(AI721&lt;$F$10+$F$11+AG721,AH721,1)))*IF(AF721&gt;0,AF721,IF(AF720&gt;0,AF720,IF(AF719&gt;0,AF719,IF(AF718&gt;0,AF718,IF(AF717&gt;0,AF717,IF(AF716&gt;0,AF716,IF(AF715&gt;0,AF715,IF(AF714&gt;0,AF714,IF(AF713&gt;0,AF713,IF(AF711&gt;0,AF711,IF(AF710&gt;0,AF710,IF(AF709&gt;0,AF709,0)))))))))))),0)*(1-$S721)*'模拟-单技能数据'!$I$20</f>
        <v>0</v>
      </c>
      <c r="AK721" s="115" t="b">
        <f t="shared" ca="1" si="608"/>
        <v>1</v>
      </c>
      <c r="AL721" s="115" t="b">
        <f t="shared" ca="1" si="609"/>
        <v>1</v>
      </c>
      <c r="AM721" s="115">
        <f t="shared" ca="1" si="610"/>
        <v>5</v>
      </c>
      <c r="AN721" s="47">
        <f ca="1">IF(AK721,('模拟-单技能数据'!$D$21+G721*'模拟-单技能数据'!$F$21)*(1+J721)*(1+'模拟-单技能数据'!$J$21)*(1+U721),0)</f>
        <v>12670.936004857545</v>
      </c>
      <c r="AO721" s="61">
        <f ca="1">IF(AN721&gt;0,M721-'模拟-单技能数据'!$K$10,AO720)</f>
        <v>0.42185145527300216</v>
      </c>
      <c r="AP721" s="61">
        <f ca="1">IF(AN721&gt;0,I721-'模拟-单技能数据'!$L$10,AP720)</f>
        <v>2.162482885499879</v>
      </c>
      <c r="AQ721" s="63">
        <f t="shared" ca="1" si="629"/>
        <v>0.37575735845853486</v>
      </c>
      <c r="AR721" s="64">
        <f ca="1">IF(AL721,IF(AQ721&lt;$F$10,0,IF(AQ721&lt;$F$10+$F$11,0.25,IF(AQ721&lt;$F$10+$F$11+AO721,AP721,1)))*IF(AN721&gt;0,AN721,IF(AN720&gt;0,AN720,IF(AN719&gt;0,AN719,IF(AN718&gt;0,AN718,IF(AN717&gt;0,AN717,IF(AN716&gt;0,AN716,IF(AN715&gt;0,AN715,IF(AN714&gt;0,AN714,IF(AN713&gt;0,AN713,IF(AN711&gt;0,AN711,IF(AN710&gt;0,AN710,IF(AN709&gt;0,AN709,0)))))))))))),0)*(1-$S721)*'模拟-单技能数据'!$I$21</f>
        <v>25101.867467669974</v>
      </c>
      <c r="AS721" s="61">
        <f ca="1">IF(OR(C721="净世破魔击·日",C721="净世破魔击·月"),M721-'模拟-单技能数据'!$K$10,0)</f>
        <v>0.42185145527300216</v>
      </c>
      <c r="AT721" s="61">
        <f ca="1">IF(OR(C721="净世破魔击·日",C721="净世破魔击·月"),I721-'模拟-单技能数据'!$L$10,0)</f>
        <v>2.162482885499879</v>
      </c>
      <c r="AU721" s="62">
        <f t="shared" ca="1" si="630"/>
        <v>5.030466192617844E-2</v>
      </c>
      <c r="AV721" s="64">
        <f ca="1">IF(AS721&gt;0,('模拟-单技能数据'!$D$22+G721*'模拟-单技能数据'!$F$22)*(1+J721)*(1-S721)*IF(AU721&lt;$F$10,0,IF(AU721&lt;$F$10+$F$11,0.25,IF(AU721&lt;$F$10+$F$11+AS721,AT721,1)))*(1+U721),0)*'模拟-单技能数据'!$I$22</f>
        <v>2210.0585437142904</v>
      </c>
      <c r="AW721" s="108">
        <f t="shared" ca="1" si="631"/>
        <v>15.387500000000003</v>
      </c>
      <c r="AX721" s="108" t="b">
        <f ca="1">AND(模拟模式!$P$10="有",AW720=0,RAND()&lt;IF(C721="净世破魔击·月",0.1*8/3,IF(C721="净世破魔击·日",0.1*4/3,0.1*2/3)))</f>
        <v>0</v>
      </c>
      <c r="AY721" s="47">
        <f ca="1">IF(AX721,(18+G721*0.722)*(1+J721)*(1-S721)*(1+$I$4)*IF(P721="会",'模拟-全程加成'!$J$3+'模拟-全程加成'!$J$4+'模拟-全程加成'!$J$5+('模拟-全程加成'!$I$4+'模拟-全程加成'!$I$5)/系数!$B$4+BG721*10%,IF(P721="命",1,IF(P721="识",0.25,0))),0)</f>
        <v>0</v>
      </c>
      <c r="AZ721" s="108">
        <f t="shared" si="632"/>
        <v>8.9300000000000068</v>
      </c>
      <c r="BA721" s="108" t="b">
        <f>AND(模拟模式!$Q$10="有",AZ720=0)</f>
        <v>0</v>
      </c>
      <c r="BB721" s="140">
        <f>IF(BA721,(0+G721*0.287)*(1+J721)*(1-S721)*(1+$I$4)*IF(P721="会",'模拟-全程加成'!$J$3+'模拟-全程加成'!$J$4+'模拟-全程加成'!$J$5+('模拟-全程加成'!$I$4+'模拟-全程加成'!$I$5)/系数!$B$4+BG721*10%,IF(P721="命",1,IF(P721="识",0.25,0))),0)</f>
        <v>0</v>
      </c>
      <c r="BC721" s="115" t="b">
        <f ca="1">AND(模拟模式!$R$7="伏明众生",E721=60,F721=20,DA721&lt;5,CZ720&lt;$F$4)</f>
        <v>0</v>
      </c>
      <c r="BD721" s="115">
        <f t="shared" ca="1" si="611"/>
        <v>0</v>
      </c>
      <c r="BE721" s="115" t="b">
        <f t="shared" ca="1" si="612"/>
        <v>0</v>
      </c>
      <c r="BF721" s="47">
        <f ca="1">IF(BC721,4*('模拟-单技能数据'!$D$24+G721*'模拟-单技能数据'!$F$24)*(1+J721)*(1+'模拟-单技能数据'!$J$24)*(1-S721)*(1+$I$3)*(('模拟-全程加成'!$J$3+'模拟-全程加成'!$J$4+'模拟-全程加成'!$J$5+('模拟-全程加成'!$I$4+'模拟-全程加成'!$I$5)/系数!$B$4+BG721*10%)*('模拟-全程加成'!$J$3+'模拟-全程加成'!$J$4+'模拟-全程加成'!$J$5+('模拟-全程加成'!$I$4+'模拟-全程加成'!$I$5)/系数!$B$4+BG721*10%)+(1-('模拟-全程加成'!$J$3+'模拟-全程加成'!$J$4+'模拟-全程加成'!$J$5+('模拟-全程加成'!$I$4+'模拟-全程加成'!$I$5)/系数!$B$4+BG721*10%)-$F$10-$F$11)+F707*0.25),0)*'模拟-单技能数据'!$I$24</f>
        <v>0</v>
      </c>
      <c r="BG721" s="115" t="b">
        <f ca="1">OR(AND(OR(C721="烈日斩",C721="银月斩"),模拟模式!$I$7="净身明礼"),AND(C721="净世破魔击·日",模拟模式!$J$7="洞若观火"),AND(C722="净世破魔击·月",模拟模式!$J$7="洞若观火"),AB721=1)</f>
        <v>1</v>
      </c>
      <c r="BH721" s="115" t="b">
        <f t="shared" ca="1" si="633"/>
        <v>0</v>
      </c>
      <c r="BI721" s="115">
        <f t="shared" ca="1" si="613"/>
        <v>4.1549999999999994</v>
      </c>
      <c r="BJ721" s="115" t="b">
        <f t="shared" ca="1" si="614"/>
        <v>1</v>
      </c>
      <c r="BK721" s="115" t="b">
        <f ca="1">AND(C721="驱夜断愁",模拟模式!$P$7="天地诛戮")</f>
        <v>0</v>
      </c>
      <c r="BL721" s="57">
        <f t="shared" ca="1" si="615"/>
        <v>12.620000000000005</v>
      </c>
      <c r="BM721" s="115" t="b">
        <f t="shared" ca="1" si="616"/>
        <v>1</v>
      </c>
      <c r="BN721" s="115" t="b">
        <f ca="1">AND(OR(C721="赤日轮1",C721="赤日轮2",C721="赤日轮3",C721="幽月轮1",C721="幽月轮2",C721="幽月轮3"),AB721=1,模拟模式!$L$7="明光恒照")</f>
        <v>0</v>
      </c>
      <c r="BO721" s="117">
        <f t="shared" ca="1" si="617"/>
        <v>24.465000000000003</v>
      </c>
      <c r="BP721" s="115">
        <f t="shared" ca="1" si="634"/>
        <v>6</v>
      </c>
      <c r="BQ721" s="115" t="b">
        <f>模拟模式!$K$10="2600·水"</f>
        <v>0</v>
      </c>
      <c r="BR721" s="117">
        <f t="shared" si="635"/>
        <v>0</v>
      </c>
      <c r="BS721" s="115">
        <f t="shared" si="636"/>
        <v>0</v>
      </c>
      <c r="BT721" s="115">
        <f t="shared" ca="1" si="637"/>
        <v>0</v>
      </c>
      <c r="BU721" s="115" t="b">
        <f ca="1">AND(模拟模式!$K$10="2300·雷",BT720=0,RAND()&lt;IF(C721="净世破魔击·月",5*0.05*2/3,IF(C721="净世破魔击·日",3*0.05*2/3,0.05*2*2/3)))</f>
        <v>0</v>
      </c>
      <c r="BV721" s="115">
        <f t="shared" ca="1" si="638"/>
        <v>0</v>
      </c>
      <c r="BW721" s="115">
        <f t="shared" ca="1" si="639"/>
        <v>97.897499999999255</v>
      </c>
      <c r="BX721" s="164" t="b">
        <f t="shared" ca="1" si="640"/>
        <v>0</v>
      </c>
      <c r="BY721" s="115">
        <f t="shared" ca="1" si="641"/>
        <v>0</v>
      </c>
      <c r="BZ721" s="115">
        <f>IF(OR(模拟模式!$P$16="10人团",模拟模式!$P$16="25人团"),IF(B721/30&gt;CA720,1,0),0)</f>
        <v>0</v>
      </c>
      <c r="CA721" s="115">
        <f t="shared" si="618"/>
        <v>0</v>
      </c>
      <c r="CB721" s="115">
        <f ca="1">IF(BZ721=1,IF(模拟模式!$P$16="10人团",15,0)+IF(模拟模式!$P$16="25人团",IF(RAND()&lt;0.6,15,0)),MAX(0,CB720-$F$4))</f>
        <v>0</v>
      </c>
      <c r="CC721" s="115" t="b">
        <f t="shared" ca="1" si="619"/>
        <v>0</v>
      </c>
      <c r="CD721" s="115">
        <f>IF(模拟模式!$Q$16="1个",IF(B721/40&gt;CE720,1,0),0)</f>
        <v>0</v>
      </c>
      <c r="CE721" s="115">
        <f t="shared" si="620"/>
        <v>0</v>
      </c>
      <c r="CF721" s="115">
        <f>IF(OR(CD721=1,模拟模式!$Q$16="2个"),20,MAX(0,CF720-$F$4))</f>
        <v>0</v>
      </c>
      <c r="CG721" s="115" t="b">
        <f t="shared" si="621"/>
        <v>0</v>
      </c>
      <c r="CH721" s="115">
        <f t="shared" ca="1" si="642"/>
        <v>9.7050000000000125</v>
      </c>
      <c r="CI721" s="115" t="b">
        <f t="shared" ca="1" si="643"/>
        <v>0</v>
      </c>
      <c r="CJ721" s="119">
        <f t="shared" ca="1" si="644"/>
        <v>0</v>
      </c>
      <c r="CK721" s="115">
        <f t="shared" ca="1" si="645"/>
        <v>0</v>
      </c>
      <c r="CL721" s="115" t="b">
        <f ca="1">AND(模拟模式!$S$7="驱夷逐法",OR(AND(C721="净世破魔击·月",E720&gt;59),AND(C721="净世破魔击·日",F720&gt;59)))</f>
        <v>0</v>
      </c>
      <c r="CM721" s="115" t="b">
        <f ca="1">OR(CL721,AND(C721="净世破魔击·日",CL720,RAND()&lt;模拟模式!$U$23))</f>
        <v>0</v>
      </c>
      <c r="CN721" s="115" t="b">
        <f ca="1">IF(模拟模式!$M$7="辉耀红尘",AND(C721="净世破魔击·月",CL721,CV721=0,E720&lt;80),AND(C721="净世破魔击·月",CL721,E720&lt;100))</f>
        <v>0</v>
      </c>
      <c r="CO721" s="115" t="b">
        <f t="shared" ca="1" si="622"/>
        <v>0</v>
      </c>
      <c r="CP721" s="115" t="b">
        <f ca="1">AND(模拟模式!$O$7="用晦而明",OR(C721="净世破魔击·日",C721="净世破魔击·月",C721="驱夜断愁"),AB721)</f>
        <v>1</v>
      </c>
      <c r="CQ721" s="115" t="b">
        <f ca="1">OR(CP721,AND(CP720,RAND()&lt;模拟模式!$U$23))</f>
        <v>1</v>
      </c>
      <c r="CR721" s="115" t="b">
        <f ca="1">AND(模拟模式!$S$7="日月齐光",OR(C721="幽月轮1",C721="幽月轮2",C721="幽月轮3",CR720),NOT(OR(C721="赤日轮1",C721="赤日轮2",C721="赤日轮3")))</f>
        <v>0</v>
      </c>
      <c r="CS721" s="115" t="b">
        <f ca="1">AND(模拟模式!$S$7="日月齐光",OR(C721="赤日轮1",C721="赤日轮2",C721="赤日轮3",CS720),NOT(OR(C721="幽月轮1",C721="幽月轮2",C721="幽月轮3")))</f>
        <v>0</v>
      </c>
      <c r="CT721" s="115">
        <f t="shared" ca="1" si="646"/>
        <v>27.232500000000002</v>
      </c>
      <c r="CU721" s="115" t="b">
        <f ca="1">AND(模拟模式!$K$10="阴阳往极",CT720=0,RAND()&lt;IF(C721="净世破魔击·月",0.0275*7/3,IF(C721="净世破魔击·日",0.0275*3/3,0.0275*2/3)))</f>
        <v>0</v>
      </c>
      <c r="CV721" s="115">
        <f t="shared" ca="1" si="647"/>
        <v>1.31</v>
      </c>
      <c r="CW721" s="115">
        <f t="shared" ca="1" si="648"/>
        <v>0</v>
      </c>
      <c r="CX721" s="115">
        <f t="shared" ca="1" si="649"/>
        <v>0</v>
      </c>
      <c r="CY721" s="115">
        <f ca="1">MAX(IF($C721="驱夜断愁",IF(模拟模式!$R$7="万念俱寂",6,45),CY720-$F$4),0)</f>
        <v>0</v>
      </c>
      <c r="CZ721" s="115">
        <f t="shared" ca="1" si="623"/>
        <v>0</v>
      </c>
      <c r="DA721" s="115">
        <f ca="1">IF(模拟模式!$N$7="日月同辉",IF(DB720=2,0,MIN(6,IF(AND(OR(C721="赤日轮1",C721="赤日轮2",C721="赤日轮3",C721="幽月轮1",C721="幽月轮2",C721="幽月轮3"),AB721=1),DA720+1,DA720))),0)</f>
        <v>0</v>
      </c>
      <c r="DB721" s="115">
        <f t="shared" ca="1" si="624"/>
        <v>0</v>
      </c>
      <c r="DC721" s="115"/>
      <c r="DD721" s="115"/>
      <c r="DE721" s="115"/>
      <c r="DF721" s="115"/>
      <c r="DG721" s="115"/>
      <c r="DH721" s="115"/>
      <c r="DI721" s="115"/>
      <c r="DJ721" s="115"/>
      <c r="DK721" s="115"/>
      <c r="DL721" s="115"/>
      <c r="DM721" s="115"/>
    </row>
    <row r="722" spans="2:117" x14ac:dyDescent="0.2">
      <c r="B722" s="117">
        <f t="shared" si="625"/>
        <v>641.13750000000744</v>
      </c>
      <c r="C722" s="167" t="str">
        <f t="shared" ca="1" si="594"/>
        <v>净世破魔击·月</v>
      </c>
      <c r="D722" s="115">
        <f ca="1">IF(C722="赤日轮1",1,IF(C722="赤日轮2",2,IF(C722="赤日轮3",3,IF(C722="幽月轮1",4,IF(C722="幽月轮2",5,IF(C722="幽月轮3",6,IF(C722="烈日斩",7,IF(C722="银月斩",8,IF(C722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722="净世破魔击·月",17,IF(C722="驱夜断愁",18,0)))))))))))</f>
        <v>17</v>
      </c>
      <c r="E722" s="115">
        <f ca="1">IF(AND(CU722,OR(C722="幽月轮1",C722="幽月轮2",C722="幽月轮3",C722="银月斩",C722="驱夜断愁",C722="净世破魔击·月")),100,MIN(IF(OR(CN722,BE722),0,IF(OR($C722="赤日轮1",$C722="赤日轮2",$C722="赤日轮3"),E721+20+IF(模拟模式!$I$7="日月凌天",4,0)+IF(CR721,20,0),IF($C722="烈日斩",E721+40,IF($C722="驱夜断愁",IF(模拟模式!$R$7="万念俱寂",E721+20,E721+60),IF($C722="净世破魔击·月",IF(OR(DB721&gt;0,CV721&gt;0),100,IF(模拟模式!$M$7="辉耀红尘",E721+20,E721)),IF($C722="净世破魔击·日",E721-100,E721)))))),100))</f>
        <v>100</v>
      </c>
      <c r="F722" s="115">
        <f ca="1">IF(AND(CU722,OR(C722="赤日轮1",C722="赤日轮2",C722="赤日轮3",C722="烈日斩",C722="净世破魔击·日")),100,MIN(IF(CO722,0,IF(OR($C722="幽月轮1",$C722="幽月轮2",$C722="幽月轮3"),F721+20+IF(模拟模式!$I$7="日月凌天",4,0)+IF(CS721,20,0),IF($C722="银月斩",F721+40+IF(模拟模式!$X$12=1,5,0),IF($C722="驱夜断愁",IF(模拟模式!$R$7="万念俱寂",F721+20,F721+60),IF($C722="净世破魔击·月",IF(模拟模式!$M$7="辉耀红尘",F721-80,F721-100),IF(AND(C722="净世破魔击·日",OR(DB721&gt;0,CV721&gt;0)),100,F721)))))),100))</f>
        <v>20</v>
      </c>
      <c r="G722" s="117">
        <f ca="1">('模拟-全程加成'!$E$3+'模拟-全程加成'!$E$4+'模拟-全程加成'!$E$5+('模拟-全程加成'!$C$6-'模拟-全程加成'!$C$3)*系数!$B$9+BS722*23)*(1+'模拟-全程加成'!$F$4+'模拟-全程加成'!$F$5+BJ722*10%+BM722*20%+BP722*4%+CG722*30%)+$F$7*系数!$B$12</f>
        <v>21493.829400000002</v>
      </c>
      <c r="H722" s="45">
        <f ca="1">'模拟-全程加成'!$H$3+'模拟-全程加成'!$H$4+'模拟-全程加成'!$H$5+('模拟-全程加成'!$G$4+'模拟-全程加成'!$G$5+('模拟-全程加成'!$C$6-'模拟-全程加成'!$C$3)*系数!$B$13)/系数!$B$3+LOOKUP(D722,'模拟-单技能数据'!$A$2:$A$19,'模拟-单技能数据'!$K$2:$K$19)+BG722*10%+IF(BV722&gt;0,378,0)</f>
        <v>0.54185145527300216</v>
      </c>
      <c r="I722" s="45">
        <f ca="1">'模拟-全程加成'!$J$3+'模拟-全程加成'!$J$4+'模拟-全程加成'!$J$5+('模拟-全程加成'!$I$4+'模拟-全程加成'!$I$5)/系数!$B$4+LOOKUP(D722,'模拟-单技能数据'!$A$2:$A$19,'模拟-单技能数据'!$L$2:$L$19)+BG722*10%</f>
        <v>2.162482885499879</v>
      </c>
      <c r="J722" s="45">
        <f ca="1">(('模拟-全程加成'!$K$3+'模拟-全程加成'!$K$4+'模拟-全程加成'!$K$5+('模拟-全程加成'!$C$6-'模拟-全程加成'!$C$3)*系数!$B$10+IF(BV722&gt;0,882,0)+IF(BY722&gt;0,1831,0))*(1+'模拟-全程加成'!$L$4+'模拟-全程加成'!$L$5+CC722*20%))/系数!$B$5</f>
        <v>0.69723220422048726</v>
      </c>
      <c r="K722" s="119">
        <f ca="1">LOOKUP(D722,'模拟-单技能数据'!$A$2:$A$19,'模拟-单技能数据'!$J$2:$J$19)+IF(CM722,60%,0)+IF(DB721-DB722&gt;0,30%,0)+IF(OR(AND(OR(C722="赤日轮1",C722="赤日轮2",C722="赤日轮3"),CR722),AND(OR(C722="幽月轮1",C722="幽月轮2",C722="幽月轮3"),CS722)),35%,0)+CJ722</f>
        <v>0.2</v>
      </c>
      <c r="L722" s="119">
        <f ca="1">IF(AND(C722="烈日斩",模拟模式!$X$11=1),10%,0)+IF(AND(C722="驱夜断愁",AB722=1),30%,0)</f>
        <v>0</v>
      </c>
      <c r="M722" s="45">
        <f t="shared" ca="1" si="595"/>
        <v>0.54185145527300216</v>
      </c>
      <c r="N722" s="45">
        <f t="shared" ca="1" si="596"/>
        <v>0.40424854472699789</v>
      </c>
      <c r="O722" s="46">
        <f t="shared" ca="1" si="626"/>
        <v>0.30897401547263226</v>
      </c>
      <c r="P722" s="46" t="str">
        <f t="shared" ca="1" si="597"/>
        <v>会</v>
      </c>
      <c r="Q722" s="45">
        <f t="shared" ca="1" si="598"/>
        <v>2.162482885499879</v>
      </c>
      <c r="R722" s="117">
        <f ca="1">模拟模式!$E$20*(1-IF(模拟模式!$J$19="有",0.15,0))*(1-IF(模拟模式!$K$19="有",0.3,0)-IF(CQ722,0.5,0))</f>
        <v>843.02999999999975</v>
      </c>
      <c r="S722" s="45">
        <f ca="1">R722/(R722+(185*模拟模式!$E$22-16800)*4.08224)</f>
        <v>8.389626085980037E-2</v>
      </c>
      <c r="T722" s="45" t="str">
        <f ca="1">LOOKUP(D722,'模拟-单技能数据'!$A$2:$A$19,'模拟-单技能数据'!$H$2:$H$19)</f>
        <v>阴</v>
      </c>
      <c r="U722" s="119">
        <f t="shared" ca="1" si="599"/>
        <v>0.08</v>
      </c>
      <c r="V722" s="47">
        <f ca="1">(1+L722)*(LOOKUP(D722,'模拟-单技能数据'!$A$2:$A$19,'模拟-单技能数据'!$D$2:$D$19)+G722*LOOKUP(D722,'模拟-单技能数据'!$A$2:$A$19,'模拟-单技能数据'!$F$2:$F$19))*(1+J722)*(1+K722)*(1-S722)*(1+U722)*Q722*LOOKUP(D722,'模拟-单技能数据'!$A$2:$A$19,'模拟-单技能数据'!$I$2:$I$20)</f>
        <v>121694.14741267689</v>
      </c>
      <c r="W722" s="47">
        <f ca="1">LOOKUP(D722,'模拟-单技能数据'!$A$2:$A$19,'模拟-单技能数据'!$G$2:$G$19)*$I$10</f>
        <v>361.51064354704795</v>
      </c>
      <c r="X722" s="47">
        <f t="shared" ca="1" si="627"/>
        <v>7956.2107573714466</v>
      </c>
      <c r="Y722" s="47">
        <f t="shared" ca="1" si="600"/>
        <v>130011.86881359539</v>
      </c>
      <c r="Z722" s="49">
        <f t="shared" ca="1" si="601"/>
        <v>72558843.305546433</v>
      </c>
      <c r="AA722" s="97">
        <f t="shared" ca="1" si="602"/>
        <v>113172.04703444362</v>
      </c>
      <c r="AB722" s="115">
        <f ca="1">IF(OR(C722="赤日轮1",C722="赤日轮2",C722="赤日轮3"),IF(RAND()&lt;模拟模式!$Y$17,1,0),IF(OR(C722="幽月轮1",C722="幽月轮2",C722="幽月轮3"),IF(RAND()&lt;模拟模式!$Y$18,1,0),IF(C722="烈日斩",IF(RAND()&lt;模拟模式!$Y$19,1,0),IF(C722="银月斩",IF(RAND()&lt;模拟模式!$Y$20,1,0),IF(C722="驱夜断愁",IF(RAND()&lt;模拟模式!$Y$21,1,0),IF(C722="净世破魔击·日",IF(RAND()&lt;模拟模式!$Y$22,1,0),IF(C722="净世破魔击·月",IF(RAND()&lt;模拟模式!$Y$23,1,0),0)))))))</f>
        <v>1</v>
      </c>
      <c r="AC722" s="115" t="b">
        <f t="shared" ca="1" si="603"/>
        <v>0</v>
      </c>
      <c r="AD722" s="115" t="b">
        <f t="shared" ca="1" si="604"/>
        <v>0</v>
      </c>
      <c r="AE722" s="115">
        <f t="shared" ca="1" si="605"/>
        <v>1</v>
      </c>
      <c r="AF722" s="47">
        <f ca="1">IF(AC722,('模拟-单技能数据'!$D$20+G722*'模拟-单技能数据'!$F$20)*(1+J722)*(1+'模拟-单技能数据'!$J$20)*(1+U722),0)</f>
        <v>0</v>
      </c>
      <c r="AG722" s="61">
        <f t="shared" ca="1" si="606"/>
        <v>0.64185145527300214</v>
      </c>
      <c r="AH722" s="61">
        <f t="shared" ca="1" si="607"/>
        <v>2.2624828854998791</v>
      </c>
      <c r="AI722" s="62">
        <f t="shared" ca="1" si="628"/>
        <v>0.47005399061409114</v>
      </c>
      <c r="AJ722" s="47">
        <f ca="1">IF(AD722,IF(AI722&lt;$F$10,0,IF(AI722&lt;$F$10+$F$11,0.25,IF(AI722&lt;$F$10+$F$11+AG722,AH722,1)))*IF(AF722&gt;0,AF722,IF(AF721&gt;0,AF721,IF(AF720&gt;0,AF720,IF(AF719&gt;0,AF719,IF(AF718&gt;0,AF718,IF(AF717&gt;0,AF717,IF(AF716&gt;0,AF716,IF(AF715&gt;0,AF715,IF(AF714&gt;0,AF714,IF(AF712&gt;0,AF712,IF(AF711&gt;0,AF711,IF(AF710&gt;0,AF710,0)))))))))))),0)*(1-$S722)*'模拟-单技能数据'!$I$20</f>
        <v>0</v>
      </c>
      <c r="AK722" s="115" t="b">
        <f t="shared" ca="1" si="608"/>
        <v>0</v>
      </c>
      <c r="AL722" s="115" t="b">
        <f t="shared" ca="1" si="609"/>
        <v>0</v>
      </c>
      <c r="AM722" s="115">
        <f t="shared" ca="1" si="610"/>
        <v>5</v>
      </c>
      <c r="AN722" s="47">
        <f ca="1">IF(AK722,('模拟-单技能数据'!$D$21+G722*'模拟-单技能数据'!$F$21)*(1+J722)*(1+'模拟-单技能数据'!$J$21)*(1+U722),0)</f>
        <v>0</v>
      </c>
      <c r="AO722" s="61">
        <f ca="1">IF(AN722&gt;0,M722-'模拟-单技能数据'!$K$10,AO721)</f>
        <v>0.42185145527300216</v>
      </c>
      <c r="AP722" s="61">
        <f ca="1">IF(AN722&gt;0,I722-'模拟-单技能数据'!$L$10,AP721)</f>
        <v>2.162482885499879</v>
      </c>
      <c r="AQ722" s="63">
        <f t="shared" ca="1" si="629"/>
        <v>0.44461931896812035</v>
      </c>
      <c r="AR722" s="64">
        <f ca="1">IF(AL722,IF(AQ722&lt;$F$10,0,IF(AQ722&lt;$F$10+$F$11,0.25,IF(AQ722&lt;$F$10+$F$11+AO722,AP722,1)))*IF(AN722&gt;0,AN722,IF(AN721&gt;0,AN721,IF(AN720&gt;0,AN720,IF(AN719&gt;0,AN719,IF(AN718&gt;0,AN718,IF(AN717&gt;0,AN717,IF(AN716&gt;0,AN716,IF(AN715&gt;0,AN715,IF(AN714&gt;0,AN714,IF(AN712&gt;0,AN712,IF(AN711&gt;0,AN711,IF(AN710&gt;0,AN710,0)))))))))))),0)*(1-$S722)*'模拟-单技能数据'!$I$21</f>
        <v>0</v>
      </c>
      <c r="AS722" s="61">
        <f ca="1">IF(OR(C722="净世破魔击·日",C722="净世破魔击·月"),M722-'模拟-单技能数据'!$K$10,0)</f>
        <v>0.42185145527300216</v>
      </c>
      <c r="AT722" s="61">
        <f ca="1">IF(OR(C722="净世破魔击·日",C722="净世破魔击·月"),I722-'模拟-单技能数据'!$L$10,0)</f>
        <v>2.162482885499879</v>
      </c>
      <c r="AU722" s="62">
        <f t="shared" ca="1" si="630"/>
        <v>0.50421917677760442</v>
      </c>
      <c r="AV722" s="64">
        <f ca="1">IF(AS722&gt;0,('模拟-单技能数据'!$D$22+G722*'模拟-单技能数据'!$F$22)*(1+J722)*(1-S722)*IF(AU722&lt;$F$10,0,IF(AU722&lt;$F$10+$F$11,0.25,IF(AU722&lt;$F$10+$F$11+AS722,AT722,1)))*(1+U722),0)*'模拟-单技能数据'!$I$22</f>
        <v>7956.2107573714466</v>
      </c>
      <c r="AW722" s="108">
        <f t="shared" ca="1" si="631"/>
        <v>14.465000000000003</v>
      </c>
      <c r="AX722" s="108" t="b">
        <f ca="1">AND(模拟模式!$P$10="有",AW721=0,RAND()&lt;IF(C722="净世破魔击·月",0.1*8/3,IF(C722="净世破魔击·日",0.1*4/3,0.1*2/3)))</f>
        <v>0</v>
      </c>
      <c r="AY722" s="47">
        <f ca="1">IF(AX722,(18+G722*0.722)*(1+J722)*(1-S722)*(1+$I$4)*IF(P722="会",'模拟-全程加成'!$J$3+'模拟-全程加成'!$J$4+'模拟-全程加成'!$J$5+('模拟-全程加成'!$I$4+'模拟-全程加成'!$I$5)/系数!$B$4+BG722*10%,IF(P722="命",1,IF(P722="识",0.25,0))),0)</f>
        <v>0</v>
      </c>
      <c r="AZ722" s="108">
        <f t="shared" si="632"/>
        <v>8.0075000000000074</v>
      </c>
      <c r="BA722" s="108" t="b">
        <f>AND(模拟模式!$Q$10="有",AZ721=0)</f>
        <v>0</v>
      </c>
      <c r="BB722" s="140">
        <f>IF(BA722,(0+G722*0.287)*(1+J722)*(1-S722)*(1+$I$4)*IF(P722="会",'模拟-全程加成'!$J$3+'模拟-全程加成'!$J$4+'模拟-全程加成'!$J$5+('模拟-全程加成'!$I$4+'模拟-全程加成'!$I$5)/系数!$B$4+BG722*10%,IF(P722="命",1,IF(P722="识",0.25,0))),0)</f>
        <v>0</v>
      </c>
      <c r="BC722" s="115" t="b">
        <f ca="1">AND(模拟模式!$R$7="伏明众生",E722=60,F722=20,DA722&lt;5,CZ721&lt;$F$4)</f>
        <v>0</v>
      </c>
      <c r="BD722" s="115">
        <f t="shared" ca="1" si="611"/>
        <v>0</v>
      </c>
      <c r="BE722" s="115" t="b">
        <f t="shared" ca="1" si="612"/>
        <v>0</v>
      </c>
      <c r="BF722" s="47">
        <f ca="1">IF(BC722,4*('模拟-单技能数据'!$D$24+G722*'模拟-单技能数据'!$F$24)*(1+J722)*(1+'模拟-单技能数据'!$J$24)*(1-S722)*(1+$I$3)*(('模拟-全程加成'!$J$3+'模拟-全程加成'!$J$4+'模拟-全程加成'!$J$5+('模拟-全程加成'!$I$4+'模拟-全程加成'!$I$5)/系数!$B$4+BG722*10%)*('模拟-全程加成'!$J$3+'模拟-全程加成'!$J$4+'模拟-全程加成'!$J$5+('模拟-全程加成'!$I$4+'模拟-全程加成'!$I$5)/系数!$B$4+BG722*10%)+(1-('模拟-全程加成'!$J$3+'模拟-全程加成'!$J$4+'模拟-全程加成'!$J$5+('模拟-全程加成'!$I$4+'模拟-全程加成'!$I$5)/系数!$B$4+BG722*10%)-$F$10-$F$11)+F708*0.25),0)*'模拟-单技能数据'!$I$24</f>
        <v>0</v>
      </c>
      <c r="BG722" s="115" t="b">
        <f ca="1">OR(AND(OR(C722="烈日斩",C722="银月斩"),模拟模式!$I$7="净身明礼"),AND(C722="净世破魔击·日",模拟模式!$J$7="洞若观火"),AND(C723="净世破魔击·月",模拟模式!$J$7="洞若观火"),AB722=1)</f>
        <v>1</v>
      </c>
      <c r="BH722" s="115" t="b">
        <f t="shared" ca="1" si="633"/>
        <v>0</v>
      </c>
      <c r="BI722" s="115">
        <f t="shared" ca="1" si="613"/>
        <v>3.2324999999999995</v>
      </c>
      <c r="BJ722" s="115" t="b">
        <f t="shared" ca="1" si="614"/>
        <v>1</v>
      </c>
      <c r="BK722" s="115" t="b">
        <f ca="1">AND(C722="驱夜断愁",模拟模式!$P$7="天地诛戮")</f>
        <v>0</v>
      </c>
      <c r="BL722" s="57">
        <f t="shared" ca="1" si="615"/>
        <v>11.697500000000005</v>
      </c>
      <c r="BM722" s="115" t="b">
        <f t="shared" ca="1" si="616"/>
        <v>1</v>
      </c>
      <c r="BN722" s="115" t="b">
        <f ca="1">AND(OR(C722="赤日轮1",C722="赤日轮2",C722="赤日轮3",C722="幽月轮1",C722="幽月轮2",C722="幽月轮3"),AB722=1,模拟模式!$L$7="明光恒照")</f>
        <v>0</v>
      </c>
      <c r="BO722" s="117">
        <f t="shared" ca="1" si="617"/>
        <v>23.542500000000004</v>
      </c>
      <c r="BP722" s="115">
        <f t="shared" ca="1" si="634"/>
        <v>6</v>
      </c>
      <c r="BQ722" s="115" t="b">
        <f>模拟模式!$K$10="2600·水"</f>
        <v>0</v>
      </c>
      <c r="BR722" s="117">
        <f t="shared" si="635"/>
        <v>0</v>
      </c>
      <c r="BS722" s="115">
        <f t="shared" si="636"/>
        <v>0</v>
      </c>
      <c r="BT722" s="115">
        <f t="shared" ca="1" si="637"/>
        <v>0</v>
      </c>
      <c r="BU722" s="115" t="b">
        <f ca="1">AND(模拟模式!$K$10="2300·雷",BT721=0,RAND()&lt;IF(C722="净世破魔击·月",5*0.05*2/3,IF(C722="净世破魔击·日",3*0.05*2/3,0.05*2*2/3)))</f>
        <v>0</v>
      </c>
      <c r="BV722" s="115">
        <f t="shared" ca="1" si="638"/>
        <v>0</v>
      </c>
      <c r="BW722" s="115">
        <f t="shared" ca="1" si="639"/>
        <v>96.974999999999255</v>
      </c>
      <c r="BX722" s="164" t="b">
        <f t="shared" ca="1" si="640"/>
        <v>0</v>
      </c>
      <c r="BY722" s="115">
        <f t="shared" ca="1" si="641"/>
        <v>0</v>
      </c>
      <c r="BZ722" s="115">
        <f>IF(OR(模拟模式!$P$16="10人团",模拟模式!$P$16="25人团"),IF(B722/30&gt;CA721,1,0),0)</f>
        <v>0</v>
      </c>
      <c r="CA722" s="115">
        <f t="shared" si="618"/>
        <v>0</v>
      </c>
      <c r="CB722" s="115">
        <f ca="1">IF(BZ722=1,IF(模拟模式!$P$16="10人团",15,0)+IF(模拟模式!$P$16="25人团",IF(RAND()&lt;0.6,15,0)),MAX(0,CB721-$F$4))</f>
        <v>0</v>
      </c>
      <c r="CC722" s="115" t="b">
        <f t="shared" ca="1" si="619"/>
        <v>0</v>
      </c>
      <c r="CD722" s="115">
        <f>IF(模拟模式!$Q$16="1个",IF(B722/40&gt;CE721,1,0),0)</f>
        <v>0</v>
      </c>
      <c r="CE722" s="115">
        <f t="shared" si="620"/>
        <v>0</v>
      </c>
      <c r="CF722" s="115">
        <f>IF(OR(CD722=1,模拟模式!$Q$16="2个"),20,MAX(0,CF721-$F$4))</f>
        <v>0</v>
      </c>
      <c r="CG722" s="115" t="b">
        <f t="shared" si="621"/>
        <v>0</v>
      </c>
      <c r="CH722" s="115">
        <f t="shared" ca="1" si="642"/>
        <v>8.7825000000000131</v>
      </c>
      <c r="CI722" s="115" t="b">
        <f t="shared" ca="1" si="643"/>
        <v>0</v>
      </c>
      <c r="CJ722" s="119">
        <f t="shared" ca="1" si="644"/>
        <v>0</v>
      </c>
      <c r="CK722" s="115">
        <f t="shared" ca="1" si="645"/>
        <v>0</v>
      </c>
      <c r="CL722" s="115" t="b">
        <f ca="1">AND(模拟模式!$S$7="驱夷逐法",OR(AND(C722="净世破魔击·月",E721&gt;59),AND(C722="净世破魔击·日",F721&gt;59)))</f>
        <v>0</v>
      </c>
      <c r="CM722" s="115" t="b">
        <f ca="1">OR(CL722,AND(C722="净世破魔击·日",CL721,RAND()&lt;模拟模式!$U$23))</f>
        <v>0</v>
      </c>
      <c r="CN722" s="115" t="b">
        <f ca="1">IF(模拟模式!$M$7="辉耀红尘",AND(C722="净世破魔击·月",CL722,CV722=0,E721&lt;80),AND(C722="净世破魔击·月",CL722,E721&lt;100))</f>
        <v>0</v>
      </c>
      <c r="CO722" s="115" t="b">
        <f t="shared" ca="1" si="622"/>
        <v>0</v>
      </c>
      <c r="CP722" s="115" t="b">
        <f ca="1">AND(模拟模式!$O$7="用晦而明",OR(C722="净世破魔击·日",C722="净世破魔击·月",C722="驱夜断愁"),AB722)</f>
        <v>1</v>
      </c>
      <c r="CQ722" s="115" t="b">
        <f ca="1">OR(CP722,AND(CP721,RAND()&lt;模拟模式!$U$23))</f>
        <v>1</v>
      </c>
      <c r="CR722" s="115" t="b">
        <f ca="1">AND(模拟模式!$S$7="日月齐光",OR(C722="幽月轮1",C722="幽月轮2",C722="幽月轮3",CR721),NOT(OR(C722="赤日轮1",C722="赤日轮2",C722="赤日轮3")))</f>
        <v>0</v>
      </c>
      <c r="CS722" s="115" t="b">
        <f ca="1">AND(模拟模式!$S$7="日月齐光",OR(C722="赤日轮1",C722="赤日轮2",C722="赤日轮3",CS721),NOT(OR(C722="幽月轮1",C722="幽月轮2",C722="幽月轮3")))</f>
        <v>0</v>
      </c>
      <c r="CT722" s="115">
        <f t="shared" ca="1" si="646"/>
        <v>26.310000000000002</v>
      </c>
      <c r="CU722" s="115" t="b">
        <f ca="1">AND(模拟模式!$K$10="阴阳往极",CT721=0,RAND()&lt;IF(C722="净世破魔击·月",0.0275*7/3,IF(C722="净世破魔击·日",0.0275*3/3,0.0275*2/3)))</f>
        <v>0</v>
      </c>
      <c r="CV722" s="115">
        <f t="shared" ca="1" si="647"/>
        <v>0.38750000000000007</v>
      </c>
      <c r="CW722" s="115">
        <f t="shared" ca="1" si="648"/>
        <v>0</v>
      </c>
      <c r="CX722" s="115">
        <f t="shared" ca="1" si="649"/>
        <v>0</v>
      </c>
      <c r="CY722" s="115">
        <f ca="1">MAX(IF($C722="驱夜断愁",IF(模拟模式!$R$7="万念俱寂",6,45),CY721-$F$4),0)</f>
        <v>0</v>
      </c>
      <c r="CZ722" s="115">
        <f t="shared" ca="1" si="623"/>
        <v>0</v>
      </c>
      <c r="DA722" s="115">
        <f ca="1">IF(模拟模式!$N$7="日月同辉",IF(DB721=2,0,MIN(6,IF(AND(OR(C722="赤日轮1",C722="赤日轮2",C722="赤日轮3",C722="幽月轮1",C722="幽月轮2",C722="幽月轮3"),AB722=1),DA721+1,DA721))),0)</f>
        <v>0</v>
      </c>
      <c r="DB722" s="115">
        <f t="shared" ca="1" si="624"/>
        <v>0</v>
      </c>
      <c r="DC722" s="115"/>
      <c r="DD722" s="115"/>
      <c r="DE722" s="115"/>
      <c r="DF722" s="115"/>
      <c r="DG722" s="115"/>
      <c r="DH722" s="115"/>
      <c r="DI722" s="115"/>
      <c r="DJ722" s="115"/>
      <c r="DK722" s="115"/>
      <c r="DL722" s="115"/>
      <c r="DM722" s="115"/>
    </row>
    <row r="723" spans="2:117" x14ac:dyDescent="0.2">
      <c r="B723" s="117">
        <f t="shared" si="625"/>
        <v>642.06000000000745</v>
      </c>
      <c r="C723" s="167" t="str">
        <f t="shared" ca="1" si="594"/>
        <v>净世破魔击·日</v>
      </c>
      <c r="D723" s="115">
        <f ca="1">IF(C723="赤日轮1",1,IF(C723="赤日轮2",2,IF(C723="赤日轮3",3,IF(C723="幽月轮1",4,IF(C723="幽月轮2",5,IF(C723="幽月轮3",6,IF(C723="烈日斩",7,IF(C723="银月斩",8,IF(C723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723="净世破魔击·月",17,IF(C723="驱夜断愁",18,0)))))))))))</f>
        <v>9</v>
      </c>
      <c r="E723" s="115">
        <f ca="1">IF(AND(CU723,OR(C723="幽月轮1",C723="幽月轮2",C723="幽月轮3",C723="银月斩",C723="驱夜断愁",C723="净世破魔击·月")),100,MIN(IF(OR(CN723,BE723),0,IF(OR($C723="赤日轮1",$C723="赤日轮2",$C723="赤日轮3"),E722+20+IF(模拟模式!$I$7="日月凌天",4,0)+IF(CR722,20,0),IF($C723="烈日斩",E722+40,IF($C723="驱夜断愁",IF(模拟模式!$R$7="万念俱寂",E722+20,E722+60),IF($C723="净世破魔击·月",IF(OR(DB722&gt;0,CV722&gt;0),100,IF(模拟模式!$M$7="辉耀红尘",E722+20,E722)),IF($C723="净世破魔击·日",E722-100,E722)))))),100))</f>
        <v>0</v>
      </c>
      <c r="F723" s="115">
        <f ca="1">IF(AND(CU723,OR(C723="赤日轮1",C723="赤日轮2",C723="赤日轮3",C723="烈日斩",C723="净世破魔击·日")),100,MIN(IF(CO723,0,IF(OR($C723="幽月轮1",$C723="幽月轮2",$C723="幽月轮3"),F722+20+IF(模拟模式!$I$7="日月凌天",4,0)+IF(CS722,20,0),IF($C723="银月斩",F722+40+IF(模拟模式!$X$12=1,5,0),IF($C723="驱夜断愁",IF(模拟模式!$R$7="万念俱寂",F722+20,F722+60),IF($C723="净世破魔击·月",IF(模拟模式!$M$7="辉耀红尘",F722-80,F722-100),IF(AND(C723="净世破魔击·日",OR(DB722&gt;0,CV722&gt;0)),100,F722)))))),100))</f>
        <v>100</v>
      </c>
      <c r="G723" s="117">
        <f ca="1">('模拟-全程加成'!$E$3+'模拟-全程加成'!$E$4+'模拟-全程加成'!$E$5+('模拟-全程加成'!$C$6-'模拟-全程加成'!$C$3)*系数!$B$9+BS723*23)*(1+'模拟-全程加成'!$F$4+'模拟-全程加成'!$F$5+BJ723*10%+BM723*20%+BP723*4%+CG723*30%)+$F$7*系数!$B$12</f>
        <v>21493.829400000002</v>
      </c>
      <c r="H723" s="45">
        <f ca="1">'模拟-全程加成'!$H$3+'模拟-全程加成'!$H$4+'模拟-全程加成'!$H$5+('模拟-全程加成'!$G$4+'模拟-全程加成'!$G$5+('模拟-全程加成'!$C$6-'模拟-全程加成'!$C$3)*系数!$B$13)/系数!$B$3+LOOKUP(D723,'模拟-单技能数据'!$A$2:$A$19,'模拟-单技能数据'!$K$2:$K$19)+BG723*10%+IF(BV723&gt;0,378,0)</f>
        <v>0.54185145527300216</v>
      </c>
      <c r="I723" s="45">
        <f ca="1">'模拟-全程加成'!$J$3+'模拟-全程加成'!$J$4+'模拟-全程加成'!$J$5+('模拟-全程加成'!$I$4+'模拟-全程加成'!$I$5)/系数!$B$4+LOOKUP(D723,'模拟-单技能数据'!$A$2:$A$19,'模拟-单技能数据'!$L$2:$L$19)+BG723*10%</f>
        <v>2.162482885499879</v>
      </c>
      <c r="J723" s="45">
        <f ca="1">(('模拟-全程加成'!$K$3+'模拟-全程加成'!$K$4+'模拟-全程加成'!$K$5+('模拟-全程加成'!$C$6-'模拟-全程加成'!$C$3)*系数!$B$10+IF(BV723&gt;0,882,0)+IF(BY723&gt;0,1831,0))*(1+'模拟-全程加成'!$L$4+'模拟-全程加成'!$L$5+CC723*20%))/系数!$B$5</f>
        <v>0.69723220422048726</v>
      </c>
      <c r="K723" s="119">
        <f ca="1">LOOKUP(D723,'模拟-单技能数据'!$A$2:$A$19,'模拟-单技能数据'!$J$2:$J$19)+IF(CM723,60%,0)+IF(DB722-DB723&gt;0,30%,0)+IF(OR(AND(OR(C723="赤日轮1",C723="赤日轮2",C723="赤日轮3"),CR723),AND(OR(C723="幽月轮1",C723="幽月轮2",C723="幽月轮3"),CS723)),35%,0)+CJ723</f>
        <v>0.2</v>
      </c>
      <c r="L723" s="119">
        <f ca="1">IF(AND(C723="烈日斩",模拟模式!$X$11=1),10%,0)+IF(AND(C723="驱夜断愁",AB723=1),30%,0)</f>
        <v>0</v>
      </c>
      <c r="M723" s="45">
        <f t="shared" ca="1" si="595"/>
        <v>0.54185145527300216</v>
      </c>
      <c r="N723" s="45">
        <f t="shared" ca="1" si="596"/>
        <v>0.40424854472699789</v>
      </c>
      <c r="O723" s="46">
        <f t="shared" ca="1" si="626"/>
        <v>0.94438406163730138</v>
      </c>
      <c r="P723" s="46" t="str">
        <f t="shared" ca="1" si="597"/>
        <v>命</v>
      </c>
      <c r="Q723" s="45">
        <f t="shared" ca="1" si="598"/>
        <v>1</v>
      </c>
      <c r="R723" s="117">
        <f ca="1">模拟模式!$E$20*(1-IF(模拟模式!$J$19="有",0.15,0))*(1-IF(模拟模式!$K$19="有",0.3,0)-IF(CQ723,0.5,0))</f>
        <v>843.02999999999975</v>
      </c>
      <c r="S723" s="45">
        <f ca="1">R723/(R723+(185*模拟模式!$E$22-16800)*4.08224)</f>
        <v>8.389626085980037E-2</v>
      </c>
      <c r="T723" s="45" t="str">
        <f ca="1">LOOKUP(D723,'模拟-单技能数据'!$A$2:$A$19,'模拟-单技能数据'!$H$2:$H$19)</f>
        <v>阳</v>
      </c>
      <c r="U723" s="119">
        <f t="shared" ca="1" si="599"/>
        <v>0.2</v>
      </c>
      <c r="V723" s="47">
        <f ca="1">(1+L723)*(LOOKUP(D723,'模拟-单技能数据'!$A$2:$A$19,'模拟-单技能数据'!$D$2:$D$19)+G723*LOOKUP(D723,'模拟-单技能数据'!$A$2:$A$19,'模拟-单技能数据'!$F$2:$F$19))*(1+J723)*(1+K723)*(1-S723)*(1+U723)*Q723*LOOKUP(D723,'模拟-单技能数据'!$A$2:$A$19,'模拟-单技能数据'!$I$2:$I$20)</f>
        <v>63050.243404268018</v>
      </c>
      <c r="W723" s="47">
        <f ca="1">LOOKUP(D723,'模拟-单技能数据'!$A$2:$A$19,'模拟-单技能数据'!$G$2:$G$19)*$I$10</f>
        <v>723.0212870940959</v>
      </c>
      <c r="X723" s="47">
        <f t="shared" ca="1" si="627"/>
        <v>34975.235295113031</v>
      </c>
      <c r="Y723" s="47">
        <f t="shared" ca="1" si="600"/>
        <v>98748.499986475144</v>
      </c>
      <c r="Z723" s="49">
        <f t="shared" ca="1" si="601"/>
        <v>72657591.805532902</v>
      </c>
      <c r="AA723" s="97">
        <f t="shared" ca="1" si="602"/>
        <v>113163.24300771276</v>
      </c>
      <c r="AB723" s="115">
        <f ca="1">IF(OR(C723="赤日轮1",C723="赤日轮2",C723="赤日轮3"),IF(RAND()&lt;模拟模式!$Y$17,1,0),IF(OR(C723="幽月轮1",C723="幽月轮2",C723="幽月轮3"),IF(RAND()&lt;模拟模式!$Y$18,1,0),IF(C723="烈日斩",IF(RAND()&lt;模拟模式!$Y$19,1,0),IF(C723="银月斩",IF(RAND()&lt;模拟模式!$Y$20,1,0),IF(C723="驱夜断愁",IF(RAND()&lt;模拟模式!$Y$21,1,0),IF(C723="净世破魔击·日",IF(RAND()&lt;模拟模式!$Y$22,1,0),IF(C723="净世破魔击·月",IF(RAND()&lt;模拟模式!$Y$23,1,0),0)))))))</f>
        <v>1</v>
      </c>
      <c r="AC723" s="115" t="b">
        <f t="shared" ca="1" si="603"/>
        <v>0</v>
      </c>
      <c r="AD723" s="115" t="b">
        <f t="shared" ca="1" si="604"/>
        <v>1</v>
      </c>
      <c r="AE723" s="115">
        <f t="shared" ca="1" si="605"/>
        <v>0</v>
      </c>
      <c r="AF723" s="47">
        <f ca="1">IF(AC723,('模拟-单技能数据'!$D$20+G723*'模拟-单技能数据'!$F$20)*(1+J723)*(1+'模拟-单技能数据'!$J$20)*(1+U723),0)</f>
        <v>0</v>
      </c>
      <c r="AG723" s="61">
        <f t="shared" ca="1" si="606"/>
        <v>0.64185145527300214</v>
      </c>
      <c r="AH723" s="61">
        <f t="shared" ca="1" si="607"/>
        <v>2.2624828854998791</v>
      </c>
      <c r="AI723" s="62">
        <f t="shared" ca="1" si="628"/>
        <v>0.83151068941768702</v>
      </c>
      <c r="AJ723" s="47">
        <f ca="1">IF(AD723,IF(AI723&lt;$F$10,0,IF(AI723&lt;$F$10+$F$11,0.25,IF(AI723&lt;$F$10+$F$11+AG723,AH723,1)))*IF(AF723&gt;0,AF723,IF(AF722&gt;0,AF722,IF(AF721&gt;0,AF721,IF(AF720&gt;0,AF720,IF(AF719&gt;0,AF719,IF(AF718&gt;0,AF718,IF(AF717&gt;0,AF717,IF(AF716&gt;0,AF716,IF(AF715&gt;0,AF715,IF(AF713&gt;0,AF713,IF(AF712&gt;0,AF712,IF(AF711&gt;0,AF711,0)))))))))))),0)*(1-$S723)*'模拟-单技能数据'!$I$20</f>
        <v>4250.4883357170938</v>
      </c>
      <c r="AK723" s="115" t="b">
        <f t="shared" ca="1" si="608"/>
        <v>1</v>
      </c>
      <c r="AL723" s="115" t="b">
        <f t="shared" ca="1" si="609"/>
        <v>1</v>
      </c>
      <c r="AM723" s="115">
        <f t="shared" ca="1" si="610"/>
        <v>5</v>
      </c>
      <c r="AN723" s="47">
        <f ca="1">IF(AK723,('模拟-单技能数据'!$D$21+G723*'模拟-单技能数据'!$F$21)*(1+J723)*(1+'模拟-单技能数据'!$J$21)*(1+U723),0)</f>
        <v>12670.936004857545</v>
      </c>
      <c r="AO723" s="61">
        <f ca="1">IF(AN723&gt;0,M723-'模拟-单技能数据'!$K$10,AO722)</f>
        <v>0.42185145527300216</v>
      </c>
      <c r="AP723" s="61">
        <f ca="1">IF(AN723&gt;0,I723-'模拟-单技能数据'!$L$10,AP722)</f>
        <v>2.162482885499879</v>
      </c>
      <c r="AQ723" s="63">
        <f t="shared" ca="1" si="629"/>
        <v>0.90484493527478072</v>
      </c>
      <c r="AR723" s="64">
        <f ca="1">IF(AL723,IF(AQ723&lt;$F$10,0,IF(AQ723&lt;$F$10+$F$11,0.25,IF(AQ723&lt;$F$10+$F$11+AO723,AP723,1)))*IF(AN723&gt;0,AN723,IF(AN722&gt;0,AN722,IF(AN721&gt;0,AN721,IF(AN720&gt;0,AN720,IF(AN719&gt;0,AN719,IF(AN718&gt;0,AN718,IF(AN717&gt;0,AN717,IF(AN716&gt;0,AN716,IF(AN715&gt;0,AN715,IF(AN713&gt;0,AN713,IF(AN712&gt;0,AN712,IF(AN711&gt;0,AN711,0)))))))))))),0)*(1-$S723)*'模拟-单技能数据'!$I$21</f>
        <v>11607.89185245618</v>
      </c>
      <c r="AS723" s="61">
        <f ca="1">IF(OR(C723="净世破魔击·日",C723="净世破魔击·月"),M723-'模拟-单技能数据'!$K$10,0)</f>
        <v>0.42185145527300216</v>
      </c>
      <c r="AT723" s="61">
        <f ca="1">IF(OR(C723="净世破魔击·日",C723="净世破魔击·月"),I723-'模拟-单技能数据'!$L$10,0)</f>
        <v>2.162482885499879</v>
      </c>
      <c r="AU723" s="62">
        <f t="shared" ca="1" si="630"/>
        <v>0.19516078951169435</v>
      </c>
      <c r="AV723" s="64">
        <f ca="1">IF(AS723&gt;0,('模拟-单技能数据'!$D$22+G723*'模拟-单技能数据'!$F$22)*(1+J723)*(1-S723)*IF(AU723&lt;$F$10,0,IF(AU723&lt;$F$10+$F$11,0.25,IF(AU723&lt;$F$10+$F$11+AS723,AT723,1)))*(1+U723),0)*'模拟-单技能数据'!$I$22</f>
        <v>19116.855106939758</v>
      </c>
      <c r="AW723" s="108">
        <f t="shared" ca="1" si="631"/>
        <v>13.542500000000004</v>
      </c>
      <c r="AX723" s="108" t="b">
        <f ca="1">AND(模拟模式!$P$10="有",AW722=0,RAND()&lt;IF(C723="净世破魔击·月",0.1*8/3,IF(C723="净世破魔击·日",0.1*4/3,0.1*2/3)))</f>
        <v>0</v>
      </c>
      <c r="AY723" s="47">
        <f ca="1">IF(AX723,(18+G723*0.722)*(1+J723)*(1-S723)*(1+$I$4)*IF(P723="会",'模拟-全程加成'!$J$3+'模拟-全程加成'!$J$4+'模拟-全程加成'!$J$5+('模拟-全程加成'!$I$4+'模拟-全程加成'!$I$5)/系数!$B$4+BG723*10%,IF(P723="命",1,IF(P723="识",0.25,0))),0)</f>
        <v>0</v>
      </c>
      <c r="AZ723" s="108">
        <f t="shared" si="632"/>
        <v>7.0850000000000071</v>
      </c>
      <c r="BA723" s="108" t="b">
        <f>AND(模拟模式!$Q$10="有",AZ722=0)</f>
        <v>0</v>
      </c>
      <c r="BB723" s="140">
        <f>IF(BA723,(0+G723*0.287)*(1+J723)*(1-S723)*(1+$I$4)*IF(P723="会",'模拟-全程加成'!$J$3+'模拟-全程加成'!$J$4+'模拟-全程加成'!$J$5+('模拟-全程加成'!$I$4+'模拟-全程加成'!$I$5)/系数!$B$4+BG723*10%,IF(P723="命",1,IF(P723="识",0.25,0))),0)</f>
        <v>0</v>
      </c>
      <c r="BC723" s="115" t="b">
        <f ca="1">AND(模拟模式!$R$7="伏明众生",E723=60,F723=20,DA723&lt;5,CZ722&lt;$F$4)</f>
        <v>0</v>
      </c>
      <c r="BD723" s="115">
        <f t="shared" ca="1" si="611"/>
        <v>0</v>
      </c>
      <c r="BE723" s="115" t="b">
        <f t="shared" ca="1" si="612"/>
        <v>0</v>
      </c>
      <c r="BF723" s="47">
        <f ca="1">IF(BC723,4*('模拟-单技能数据'!$D$24+G723*'模拟-单技能数据'!$F$24)*(1+J723)*(1+'模拟-单技能数据'!$J$24)*(1-S723)*(1+$I$3)*(('模拟-全程加成'!$J$3+'模拟-全程加成'!$J$4+'模拟-全程加成'!$J$5+('模拟-全程加成'!$I$4+'模拟-全程加成'!$I$5)/系数!$B$4+BG723*10%)*('模拟-全程加成'!$J$3+'模拟-全程加成'!$J$4+'模拟-全程加成'!$J$5+('模拟-全程加成'!$I$4+'模拟-全程加成'!$I$5)/系数!$B$4+BG723*10%)+(1-('模拟-全程加成'!$J$3+'模拟-全程加成'!$J$4+'模拟-全程加成'!$J$5+('模拟-全程加成'!$I$4+'模拟-全程加成'!$I$5)/系数!$B$4+BG723*10%)-$F$10-$F$11)+F709*0.25),0)*'模拟-单技能数据'!$I$24</f>
        <v>0</v>
      </c>
      <c r="BG723" s="115" t="b">
        <f ca="1">OR(AND(OR(C723="烈日斩",C723="银月斩"),模拟模式!$I$7="净身明礼"),AND(C723="净世破魔击·日",模拟模式!$J$7="洞若观火"),AND(C724="净世破魔击·月",模拟模式!$J$7="洞若观火"),AB723=1)</f>
        <v>1</v>
      </c>
      <c r="BH723" s="115" t="b">
        <f t="shared" ca="1" si="633"/>
        <v>0</v>
      </c>
      <c r="BI723" s="115">
        <f t="shared" ca="1" si="613"/>
        <v>2.3099999999999996</v>
      </c>
      <c r="BJ723" s="115" t="b">
        <f t="shared" ca="1" si="614"/>
        <v>1</v>
      </c>
      <c r="BK723" s="115" t="b">
        <f ca="1">AND(C723="驱夜断愁",模拟模式!$P$7="天地诛戮")</f>
        <v>0</v>
      </c>
      <c r="BL723" s="57">
        <f t="shared" ca="1" si="615"/>
        <v>10.775000000000006</v>
      </c>
      <c r="BM723" s="115" t="b">
        <f t="shared" ca="1" si="616"/>
        <v>1</v>
      </c>
      <c r="BN723" s="115" t="b">
        <f ca="1">AND(OR(C723="赤日轮1",C723="赤日轮2",C723="赤日轮3",C723="幽月轮1",C723="幽月轮2",C723="幽月轮3"),AB723=1,模拟模式!$L$7="明光恒照")</f>
        <v>0</v>
      </c>
      <c r="BO723" s="117">
        <f t="shared" ca="1" si="617"/>
        <v>22.620000000000005</v>
      </c>
      <c r="BP723" s="115">
        <f t="shared" ca="1" si="634"/>
        <v>6</v>
      </c>
      <c r="BQ723" s="115" t="b">
        <f>模拟模式!$K$10="2600·水"</f>
        <v>0</v>
      </c>
      <c r="BR723" s="117">
        <f t="shared" si="635"/>
        <v>0</v>
      </c>
      <c r="BS723" s="115">
        <f t="shared" si="636"/>
        <v>0</v>
      </c>
      <c r="BT723" s="115">
        <f t="shared" ca="1" si="637"/>
        <v>0</v>
      </c>
      <c r="BU723" s="115" t="b">
        <f ca="1">AND(模拟模式!$K$10="2300·雷",BT722=0,RAND()&lt;IF(C723="净世破魔击·月",5*0.05*2/3,IF(C723="净世破魔击·日",3*0.05*2/3,0.05*2*2/3)))</f>
        <v>0</v>
      </c>
      <c r="BV723" s="115">
        <f t="shared" ca="1" si="638"/>
        <v>0</v>
      </c>
      <c r="BW723" s="115">
        <f t="shared" ca="1" si="639"/>
        <v>96.052499999999256</v>
      </c>
      <c r="BX723" s="164" t="b">
        <f t="shared" ca="1" si="640"/>
        <v>0</v>
      </c>
      <c r="BY723" s="115">
        <f t="shared" ca="1" si="641"/>
        <v>0</v>
      </c>
      <c r="BZ723" s="115">
        <f>IF(OR(模拟模式!$P$16="10人团",模拟模式!$P$16="25人团"),IF(B723/30&gt;CA722,1,0),0)</f>
        <v>0</v>
      </c>
      <c r="CA723" s="115">
        <f t="shared" si="618"/>
        <v>0</v>
      </c>
      <c r="CB723" s="115">
        <f ca="1">IF(BZ723=1,IF(模拟模式!$P$16="10人团",15,0)+IF(模拟模式!$P$16="25人团",IF(RAND()&lt;0.6,15,0)),MAX(0,CB722-$F$4))</f>
        <v>0</v>
      </c>
      <c r="CC723" s="115" t="b">
        <f t="shared" ca="1" si="619"/>
        <v>0</v>
      </c>
      <c r="CD723" s="115">
        <f>IF(模拟模式!$Q$16="1个",IF(B723/40&gt;CE722,1,0),0)</f>
        <v>0</v>
      </c>
      <c r="CE723" s="115">
        <f t="shared" si="620"/>
        <v>0</v>
      </c>
      <c r="CF723" s="115">
        <f>IF(OR(CD723=1,模拟模式!$Q$16="2个"),20,MAX(0,CF722-$F$4))</f>
        <v>0</v>
      </c>
      <c r="CG723" s="115" t="b">
        <f t="shared" si="621"/>
        <v>0</v>
      </c>
      <c r="CH723" s="115">
        <f t="shared" ca="1" si="642"/>
        <v>7.8600000000000128</v>
      </c>
      <c r="CI723" s="115" t="b">
        <f t="shared" ca="1" si="643"/>
        <v>0</v>
      </c>
      <c r="CJ723" s="119">
        <f t="shared" ca="1" si="644"/>
        <v>0</v>
      </c>
      <c r="CK723" s="115">
        <f t="shared" ca="1" si="645"/>
        <v>0</v>
      </c>
      <c r="CL723" s="115" t="b">
        <f ca="1">AND(模拟模式!$S$7="驱夷逐法",OR(AND(C723="净世破魔击·月",E722&gt;59),AND(C723="净世破魔击·日",F722&gt;59)))</f>
        <v>0</v>
      </c>
      <c r="CM723" s="115" t="b">
        <f ca="1">OR(CL723,AND(C723="净世破魔击·日",CL722,RAND()&lt;模拟模式!$U$23))</f>
        <v>0</v>
      </c>
      <c r="CN723" s="115" t="b">
        <f ca="1">IF(模拟模式!$M$7="辉耀红尘",AND(C723="净世破魔击·月",CL723,CV723=0,E722&lt;80),AND(C723="净世破魔击·月",CL723,E722&lt;100))</f>
        <v>0</v>
      </c>
      <c r="CO723" s="115" t="b">
        <f t="shared" ca="1" si="622"/>
        <v>0</v>
      </c>
      <c r="CP723" s="115" t="b">
        <f ca="1">AND(模拟模式!$O$7="用晦而明",OR(C723="净世破魔击·日",C723="净世破魔击·月",C723="驱夜断愁"),AB723)</f>
        <v>1</v>
      </c>
      <c r="CQ723" s="115" t="b">
        <f ca="1">OR(CP723,AND(CP722,RAND()&lt;模拟模式!$U$23))</f>
        <v>1</v>
      </c>
      <c r="CR723" s="115" t="b">
        <f ca="1">AND(模拟模式!$S$7="日月齐光",OR(C723="幽月轮1",C723="幽月轮2",C723="幽月轮3",CR722),NOT(OR(C723="赤日轮1",C723="赤日轮2",C723="赤日轮3")))</f>
        <v>0</v>
      </c>
      <c r="CS723" s="115" t="b">
        <f ca="1">AND(模拟模式!$S$7="日月齐光",OR(C723="赤日轮1",C723="赤日轮2",C723="赤日轮3",CS722),NOT(OR(C723="幽月轮1",C723="幽月轮2",C723="幽月轮3")))</f>
        <v>0</v>
      </c>
      <c r="CT723" s="115">
        <f t="shared" ca="1" si="646"/>
        <v>25.387500000000003</v>
      </c>
      <c r="CU723" s="115" t="b">
        <f ca="1">AND(模拟模式!$K$10="阴阳往极",CT722=0,RAND()&lt;IF(C723="净世破魔击·月",0.0275*7/3,IF(C723="净世破魔击·日",0.0275*3/3,0.0275*2/3)))</f>
        <v>0</v>
      </c>
      <c r="CV723" s="115">
        <f t="shared" ca="1" si="647"/>
        <v>0</v>
      </c>
      <c r="CW723" s="115">
        <f t="shared" ca="1" si="648"/>
        <v>0</v>
      </c>
      <c r="CX723" s="115">
        <f t="shared" ca="1" si="649"/>
        <v>0</v>
      </c>
      <c r="CY723" s="115">
        <f ca="1">MAX(IF($C723="驱夜断愁",IF(模拟模式!$R$7="万念俱寂",6,45),CY722-$F$4),0)</f>
        <v>0</v>
      </c>
      <c r="CZ723" s="115">
        <f t="shared" ca="1" si="623"/>
        <v>0</v>
      </c>
      <c r="DA723" s="115">
        <f ca="1">IF(模拟模式!$N$7="日月同辉",IF(DB722=2,0,MIN(6,IF(AND(OR(C723="赤日轮1",C723="赤日轮2",C723="赤日轮3",C723="幽月轮1",C723="幽月轮2",C723="幽月轮3"),AB723=1),DA722+1,DA722))),0)</f>
        <v>0</v>
      </c>
      <c r="DB723" s="115">
        <f t="shared" ca="1" si="624"/>
        <v>0</v>
      </c>
      <c r="DC723" s="115"/>
      <c r="DD723" s="115"/>
      <c r="DE723" s="115"/>
      <c r="DF723" s="115"/>
      <c r="DG723" s="115"/>
      <c r="DH723" s="115"/>
      <c r="DI723" s="115"/>
      <c r="DJ723" s="115"/>
      <c r="DK723" s="115"/>
      <c r="DL723" s="115"/>
      <c r="DM723" s="115"/>
    </row>
    <row r="724" spans="2:117" x14ac:dyDescent="0.2">
      <c r="B724" s="117">
        <f t="shared" si="625"/>
        <v>642.98250000000746</v>
      </c>
      <c r="C724" s="167" t="str">
        <f t="shared" ca="1" si="594"/>
        <v>净世破魔击·月</v>
      </c>
      <c r="D724" s="115">
        <f ca="1">IF(C724="赤日轮1",1,IF(C724="赤日轮2",2,IF(C724="赤日轮3",3,IF(C724="幽月轮1",4,IF(C724="幽月轮2",5,IF(C724="幽月轮3",6,IF(C724="烈日斩",7,IF(C724="银月斩",8,IF(C724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724="净世破魔击·月",17,IF(C724="驱夜断愁",18,0)))))))))))</f>
        <v>17</v>
      </c>
      <c r="E724" s="115">
        <f ca="1">IF(AND(CU724,OR(C724="幽月轮1",C724="幽月轮2",C724="幽月轮3",C724="银月斩",C724="驱夜断愁",C724="净世破魔击·月")),100,MIN(IF(OR(CN724,BE724),0,IF(OR($C724="赤日轮1",$C724="赤日轮2",$C724="赤日轮3"),E723+20+IF(模拟模式!$I$7="日月凌天",4,0)+IF(CR723,20,0),IF($C724="烈日斩",E723+40,IF($C724="驱夜断愁",IF(模拟模式!$R$7="万念俱寂",E723+20,E723+60),IF($C724="净世破魔击·月",IF(OR(DB723&gt;0,CV723&gt;0),100,IF(模拟模式!$M$7="辉耀红尘",E723+20,E723)),IF($C724="净世破魔击·日",E723-100,E723)))))),100))</f>
        <v>20</v>
      </c>
      <c r="F724" s="115">
        <f ca="1">IF(AND(CU724,OR(C724="赤日轮1",C724="赤日轮2",C724="赤日轮3",C724="烈日斩",C724="净世破魔击·日")),100,MIN(IF(CO724,0,IF(OR($C724="幽月轮1",$C724="幽月轮2",$C724="幽月轮3"),F723+20+IF(模拟模式!$I$7="日月凌天",4,0)+IF(CS723,20,0),IF($C724="银月斩",F723+40+IF(模拟模式!$X$12=1,5,0),IF($C724="驱夜断愁",IF(模拟模式!$R$7="万念俱寂",F723+20,F723+60),IF($C724="净世破魔击·月",IF(模拟模式!$M$7="辉耀红尘",F723-80,F723-100),IF(AND(C724="净世破魔击·日",OR(DB723&gt;0,CV723&gt;0)),100,F723)))))),100))</f>
        <v>20</v>
      </c>
      <c r="G724" s="117">
        <f ca="1">('模拟-全程加成'!$E$3+'模拟-全程加成'!$E$4+'模拟-全程加成'!$E$5+('模拟-全程加成'!$C$6-'模拟-全程加成'!$C$3)*系数!$B$9+BS724*23)*(1+'模拟-全程加成'!$F$4+'模拟-全程加成'!$F$5+BJ724*10%+BM724*20%+BP724*4%+CG724*30%)+$F$7*系数!$B$12</f>
        <v>21493.829400000002</v>
      </c>
      <c r="H724" s="45">
        <f ca="1">'模拟-全程加成'!$H$3+'模拟-全程加成'!$H$4+'模拟-全程加成'!$H$5+('模拟-全程加成'!$G$4+'模拟-全程加成'!$G$5+('模拟-全程加成'!$C$6-'模拟-全程加成'!$C$3)*系数!$B$13)/系数!$B$3+LOOKUP(D724,'模拟-单技能数据'!$A$2:$A$19,'模拟-单技能数据'!$K$2:$K$19)+BG724*10%+IF(BV724&gt;0,378,0)</f>
        <v>0.54185145527300216</v>
      </c>
      <c r="I724" s="45">
        <f ca="1">'模拟-全程加成'!$J$3+'模拟-全程加成'!$J$4+'模拟-全程加成'!$J$5+('模拟-全程加成'!$I$4+'模拟-全程加成'!$I$5)/系数!$B$4+LOOKUP(D724,'模拟-单技能数据'!$A$2:$A$19,'模拟-单技能数据'!$L$2:$L$19)+BG724*10%</f>
        <v>2.162482885499879</v>
      </c>
      <c r="J724" s="45">
        <f ca="1">(('模拟-全程加成'!$K$3+'模拟-全程加成'!$K$4+'模拟-全程加成'!$K$5+('模拟-全程加成'!$C$6-'模拟-全程加成'!$C$3)*系数!$B$10+IF(BV724&gt;0,882,0)+IF(BY724&gt;0,1831,0))*(1+'模拟-全程加成'!$L$4+'模拟-全程加成'!$L$5+CC724*20%))/系数!$B$5</f>
        <v>0.69723220422048726</v>
      </c>
      <c r="K724" s="119">
        <f ca="1">LOOKUP(D724,'模拟-单技能数据'!$A$2:$A$19,'模拟-单技能数据'!$J$2:$J$19)+IF(CM724,60%,0)+IF(DB723-DB724&gt;0,30%,0)+IF(OR(AND(OR(C724="赤日轮1",C724="赤日轮2",C724="赤日轮3"),CR724),AND(OR(C724="幽月轮1",C724="幽月轮2",C724="幽月轮3"),CS724)),35%,0)+CJ724</f>
        <v>0.2</v>
      </c>
      <c r="L724" s="119">
        <f ca="1">IF(AND(C724="烈日斩",模拟模式!$X$11=1),10%,0)+IF(AND(C724="驱夜断愁",AB724=1),30%,0)</f>
        <v>0</v>
      </c>
      <c r="M724" s="45">
        <f t="shared" ca="1" si="595"/>
        <v>0.54185145527300216</v>
      </c>
      <c r="N724" s="45">
        <f t="shared" ca="1" si="596"/>
        <v>0.40424854472699789</v>
      </c>
      <c r="O724" s="46">
        <f t="shared" ca="1" si="626"/>
        <v>0.58938381252936733</v>
      </c>
      <c r="P724" s="46" t="str">
        <f t="shared" ca="1" si="597"/>
        <v>会</v>
      </c>
      <c r="Q724" s="45">
        <f t="shared" ca="1" si="598"/>
        <v>2.162482885499879</v>
      </c>
      <c r="R724" s="117">
        <f ca="1">模拟模式!$E$20*(1-IF(模拟模式!$J$19="有",0.15,0))*(1-IF(模拟模式!$K$19="有",0.3,0)-IF(CQ724,0.5,0))</f>
        <v>843.02999999999975</v>
      </c>
      <c r="S724" s="45">
        <f ca="1">R724/(R724+(185*模拟模式!$E$22-16800)*4.08224)</f>
        <v>8.389626085980037E-2</v>
      </c>
      <c r="T724" s="45" t="str">
        <f ca="1">LOOKUP(D724,'模拟-单技能数据'!$A$2:$A$19,'模拟-单技能数据'!$H$2:$H$19)</f>
        <v>阴</v>
      </c>
      <c r="U724" s="119">
        <f t="shared" ca="1" si="599"/>
        <v>0.08</v>
      </c>
      <c r="V724" s="47">
        <f ca="1">(1+L724)*(LOOKUP(D724,'模拟-单技能数据'!$A$2:$A$19,'模拟-单技能数据'!$D$2:$D$19)+G724*LOOKUP(D724,'模拟-单技能数据'!$A$2:$A$19,'模拟-单技能数据'!$F$2:$F$19))*(1+J724)*(1+K724)*(1-S724)*(1+U724)*Q724*LOOKUP(D724,'模拟-单技能数据'!$A$2:$A$19,'模拟-单技能数据'!$I$2:$I$20)</f>
        <v>121694.14741267689</v>
      </c>
      <c r="W724" s="47">
        <f ca="1">LOOKUP(D724,'模拟-单技能数据'!$A$2:$A$19,'模拟-单技能数据'!$G$2:$G$19)*$I$10</f>
        <v>361.51064354704795</v>
      </c>
      <c r="X724" s="47">
        <f t="shared" ca="1" si="627"/>
        <v>7956.2107573714466</v>
      </c>
      <c r="Y724" s="47">
        <f t="shared" ca="1" si="600"/>
        <v>130011.86881359539</v>
      </c>
      <c r="Z724" s="49">
        <f t="shared" ca="1" si="601"/>
        <v>72787603.674346492</v>
      </c>
      <c r="AA724" s="97">
        <f t="shared" ca="1" si="602"/>
        <v>113203.08666930383</v>
      </c>
      <c r="AB724" s="115">
        <f ca="1">IF(OR(C724="赤日轮1",C724="赤日轮2",C724="赤日轮3"),IF(RAND()&lt;模拟模式!$Y$17,1,0),IF(OR(C724="幽月轮1",C724="幽月轮2",C724="幽月轮3"),IF(RAND()&lt;模拟模式!$Y$18,1,0),IF(C724="烈日斩",IF(RAND()&lt;模拟模式!$Y$19,1,0),IF(C724="银月斩",IF(RAND()&lt;模拟模式!$Y$20,1,0),IF(C724="驱夜断愁",IF(RAND()&lt;模拟模式!$Y$21,1,0),IF(C724="净世破魔击·日",IF(RAND()&lt;模拟模式!$Y$22,1,0),IF(C724="净世破魔击·月",IF(RAND()&lt;模拟模式!$Y$23,1,0),0)))))))</f>
        <v>1</v>
      </c>
      <c r="AC724" s="115" t="b">
        <f t="shared" ca="1" si="603"/>
        <v>0</v>
      </c>
      <c r="AD724" s="115" t="b">
        <f t="shared" ca="1" si="604"/>
        <v>0</v>
      </c>
      <c r="AE724" s="115">
        <f t="shared" ca="1" si="605"/>
        <v>0</v>
      </c>
      <c r="AF724" s="47">
        <f ca="1">IF(AC724,('模拟-单技能数据'!$D$20+G724*'模拟-单技能数据'!$F$20)*(1+J724)*(1+'模拟-单技能数据'!$J$20)*(1+U724),0)</f>
        <v>0</v>
      </c>
      <c r="AG724" s="61">
        <f t="shared" ca="1" si="606"/>
        <v>0.64185145527300214</v>
      </c>
      <c r="AH724" s="61">
        <f t="shared" ca="1" si="607"/>
        <v>2.2624828854998791</v>
      </c>
      <c r="AI724" s="62">
        <f t="shared" ca="1" si="628"/>
        <v>0.6593825345589176</v>
      </c>
      <c r="AJ724" s="47">
        <f ca="1">IF(AD724,IF(AI724&lt;$F$10,0,IF(AI724&lt;$F$10+$F$11,0.25,IF(AI724&lt;$F$10+$F$11+AG724,AH724,1)))*IF(AF724&gt;0,AF724,IF(AF723&gt;0,AF723,IF(AF722&gt;0,AF722,IF(AF721&gt;0,AF721,IF(AF720&gt;0,AF720,IF(AF719&gt;0,AF719,IF(AF718&gt;0,AF718,IF(AF717&gt;0,AF717,IF(AF716&gt;0,AF716,IF(AF714&gt;0,AF714,IF(AF713&gt;0,AF713,IF(AF712&gt;0,AF712,0)))))))))))),0)*(1-$S724)*'模拟-单技能数据'!$I$20</f>
        <v>0</v>
      </c>
      <c r="AK724" s="115" t="b">
        <f t="shared" ca="1" si="608"/>
        <v>0</v>
      </c>
      <c r="AL724" s="115" t="b">
        <f t="shared" ca="1" si="609"/>
        <v>0</v>
      </c>
      <c r="AM724" s="115">
        <f t="shared" ca="1" si="610"/>
        <v>5</v>
      </c>
      <c r="AN724" s="47">
        <f ca="1">IF(AK724,('模拟-单技能数据'!$D$21+G724*'模拟-单技能数据'!$F$21)*(1+J724)*(1+'模拟-单技能数据'!$J$21)*(1+U724),0)</f>
        <v>0</v>
      </c>
      <c r="AO724" s="61">
        <f ca="1">IF(AN724&gt;0,M724-'模拟-单技能数据'!$K$10,AO723)</f>
        <v>0.42185145527300216</v>
      </c>
      <c r="AP724" s="61">
        <f ca="1">IF(AN724&gt;0,I724-'模拟-单技能数据'!$L$10,AP723)</f>
        <v>2.162482885499879</v>
      </c>
      <c r="AQ724" s="63">
        <f t="shared" ca="1" si="629"/>
        <v>0.71584975843988796</v>
      </c>
      <c r="AR724" s="64">
        <f ca="1">IF(AL724,IF(AQ724&lt;$F$10,0,IF(AQ724&lt;$F$10+$F$11,0.25,IF(AQ724&lt;$F$10+$F$11+AO724,AP724,1)))*IF(AN724&gt;0,AN724,IF(AN723&gt;0,AN723,IF(AN722&gt;0,AN722,IF(AN721&gt;0,AN721,IF(AN720&gt;0,AN720,IF(AN719&gt;0,AN719,IF(AN718&gt;0,AN718,IF(AN717&gt;0,AN717,IF(AN716&gt;0,AN716,IF(AN714&gt;0,AN714,IF(AN713&gt;0,AN713,IF(AN712&gt;0,AN712,0)))))))))))),0)*(1-$S724)*'模拟-单技能数据'!$I$21</f>
        <v>0</v>
      </c>
      <c r="AS724" s="61">
        <f ca="1">IF(OR(C724="净世破魔击·日",C724="净世破魔击·月"),M724-'模拟-单技能数据'!$K$10,0)</f>
        <v>0.42185145527300216</v>
      </c>
      <c r="AT724" s="61">
        <f ca="1">IF(OR(C724="净世破魔击·日",C724="净世破魔击·月"),I724-'模拟-单技能数据'!$L$10,0)</f>
        <v>2.162482885499879</v>
      </c>
      <c r="AU724" s="62">
        <f t="shared" ca="1" si="630"/>
        <v>0.91530561465970461</v>
      </c>
      <c r="AV724" s="64">
        <f ca="1">IF(AS724&gt;0,('模拟-单技能数据'!$D$22+G724*'模拟-单技能数据'!$F$22)*(1+J724)*(1-S724)*IF(AU724&lt;$F$10,0,IF(AU724&lt;$F$10+$F$11,0.25,IF(AU724&lt;$F$10+$F$11+AS724,AT724,1)))*(1+U724),0)*'模拟-单技能数据'!$I$22</f>
        <v>7956.2107573714466</v>
      </c>
      <c r="AW724" s="108">
        <f t="shared" ca="1" si="631"/>
        <v>12.620000000000005</v>
      </c>
      <c r="AX724" s="108" t="b">
        <f ca="1">AND(模拟模式!$P$10="有",AW723=0,RAND()&lt;IF(C724="净世破魔击·月",0.1*8/3,IF(C724="净世破魔击·日",0.1*4/3,0.1*2/3)))</f>
        <v>0</v>
      </c>
      <c r="AY724" s="47">
        <f ca="1">IF(AX724,(18+G724*0.722)*(1+J724)*(1-S724)*(1+$I$4)*IF(P724="会",'模拟-全程加成'!$J$3+'模拟-全程加成'!$J$4+'模拟-全程加成'!$J$5+('模拟-全程加成'!$I$4+'模拟-全程加成'!$I$5)/系数!$B$4+BG724*10%,IF(P724="命",1,IF(P724="识",0.25,0))),0)</f>
        <v>0</v>
      </c>
      <c r="AZ724" s="108">
        <f t="shared" si="632"/>
        <v>6.1625000000000068</v>
      </c>
      <c r="BA724" s="108" t="b">
        <f>AND(模拟模式!$Q$10="有",AZ723=0)</f>
        <v>0</v>
      </c>
      <c r="BB724" s="140">
        <f>IF(BA724,(0+G724*0.287)*(1+J724)*(1-S724)*(1+$I$4)*IF(P724="会",'模拟-全程加成'!$J$3+'模拟-全程加成'!$J$4+'模拟-全程加成'!$J$5+('模拟-全程加成'!$I$4+'模拟-全程加成'!$I$5)/系数!$B$4+BG724*10%,IF(P724="命",1,IF(P724="识",0.25,0))),0)</f>
        <v>0</v>
      </c>
      <c r="BC724" s="115" t="b">
        <f ca="1">AND(模拟模式!$R$7="伏明众生",E724=60,F724=20,DA724&lt;5,CZ723&lt;$F$4)</f>
        <v>0</v>
      </c>
      <c r="BD724" s="115">
        <f t="shared" ca="1" si="611"/>
        <v>0</v>
      </c>
      <c r="BE724" s="115" t="b">
        <f t="shared" ca="1" si="612"/>
        <v>0</v>
      </c>
      <c r="BF724" s="47">
        <f ca="1">IF(BC724,4*('模拟-单技能数据'!$D$24+G724*'模拟-单技能数据'!$F$24)*(1+J724)*(1+'模拟-单技能数据'!$J$24)*(1-S724)*(1+$I$3)*(('模拟-全程加成'!$J$3+'模拟-全程加成'!$J$4+'模拟-全程加成'!$J$5+('模拟-全程加成'!$I$4+'模拟-全程加成'!$I$5)/系数!$B$4+BG724*10%)*('模拟-全程加成'!$J$3+'模拟-全程加成'!$J$4+'模拟-全程加成'!$J$5+('模拟-全程加成'!$I$4+'模拟-全程加成'!$I$5)/系数!$B$4+BG724*10%)+(1-('模拟-全程加成'!$J$3+'模拟-全程加成'!$J$4+'模拟-全程加成'!$J$5+('模拟-全程加成'!$I$4+'模拟-全程加成'!$I$5)/系数!$B$4+BG724*10%)-$F$10-$F$11)+F710*0.25),0)*'模拟-单技能数据'!$I$24</f>
        <v>0</v>
      </c>
      <c r="BG724" s="115" t="b">
        <f ca="1">OR(AND(OR(C724="烈日斩",C724="银月斩"),模拟模式!$I$7="净身明礼"),AND(C724="净世破魔击·日",模拟模式!$J$7="洞若观火"),AND(C725="净世破魔击·月",模拟模式!$J$7="洞若观火"),AB724=1)</f>
        <v>1</v>
      </c>
      <c r="BH724" s="115" t="b">
        <f t="shared" ca="1" si="633"/>
        <v>0</v>
      </c>
      <c r="BI724" s="115">
        <f t="shared" ca="1" si="613"/>
        <v>1.3874999999999997</v>
      </c>
      <c r="BJ724" s="115" t="b">
        <f t="shared" ca="1" si="614"/>
        <v>1</v>
      </c>
      <c r="BK724" s="115" t="b">
        <f ca="1">AND(C724="驱夜断愁",模拟模式!$P$7="天地诛戮")</f>
        <v>0</v>
      </c>
      <c r="BL724" s="57">
        <f t="shared" ca="1" si="615"/>
        <v>9.8525000000000063</v>
      </c>
      <c r="BM724" s="115" t="b">
        <f t="shared" ca="1" si="616"/>
        <v>1</v>
      </c>
      <c r="BN724" s="115" t="b">
        <f ca="1">AND(OR(C724="赤日轮1",C724="赤日轮2",C724="赤日轮3",C724="幽月轮1",C724="幽月轮2",C724="幽月轮3"),AB724=1,模拟模式!$L$7="明光恒照")</f>
        <v>0</v>
      </c>
      <c r="BO724" s="117">
        <f t="shared" ca="1" si="617"/>
        <v>21.697500000000005</v>
      </c>
      <c r="BP724" s="115">
        <f t="shared" ca="1" si="634"/>
        <v>6</v>
      </c>
      <c r="BQ724" s="115" t="b">
        <f>模拟模式!$K$10="2600·水"</f>
        <v>0</v>
      </c>
      <c r="BR724" s="117">
        <f t="shared" si="635"/>
        <v>0</v>
      </c>
      <c r="BS724" s="115">
        <f t="shared" si="636"/>
        <v>0</v>
      </c>
      <c r="BT724" s="115">
        <f t="shared" ca="1" si="637"/>
        <v>0</v>
      </c>
      <c r="BU724" s="115" t="b">
        <f ca="1">AND(模拟模式!$K$10="2300·雷",BT723=0,RAND()&lt;IF(C724="净世破魔击·月",5*0.05*2/3,IF(C724="净世破魔击·日",3*0.05*2/3,0.05*2*2/3)))</f>
        <v>0</v>
      </c>
      <c r="BV724" s="115">
        <f t="shared" ca="1" si="638"/>
        <v>0</v>
      </c>
      <c r="BW724" s="115">
        <f t="shared" ca="1" si="639"/>
        <v>95.129999999999256</v>
      </c>
      <c r="BX724" s="164" t="b">
        <f t="shared" ca="1" si="640"/>
        <v>0</v>
      </c>
      <c r="BY724" s="115">
        <f t="shared" ca="1" si="641"/>
        <v>0</v>
      </c>
      <c r="BZ724" s="115">
        <f>IF(OR(模拟模式!$P$16="10人团",模拟模式!$P$16="25人团"),IF(B724/30&gt;CA723,1,0),0)</f>
        <v>0</v>
      </c>
      <c r="CA724" s="115">
        <f t="shared" si="618"/>
        <v>0</v>
      </c>
      <c r="CB724" s="115">
        <f ca="1">IF(BZ724=1,IF(模拟模式!$P$16="10人团",15,0)+IF(模拟模式!$P$16="25人团",IF(RAND()&lt;0.6,15,0)),MAX(0,CB723-$F$4))</f>
        <v>0</v>
      </c>
      <c r="CC724" s="115" t="b">
        <f t="shared" ca="1" si="619"/>
        <v>0</v>
      </c>
      <c r="CD724" s="115">
        <f>IF(模拟模式!$Q$16="1个",IF(B724/40&gt;CE723,1,0),0)</f>
        <v>0</v>
      </c>
      <c r="CE724" s="115">
        <f t="shared" si="620"/>
        <v>0</v>
      </c>
      <c r="CF724" s="115">
        <f>IF(OR(CD724=1,模拟模式!$Q$16="2个"),20,MAX(0,CF723-$F$4))</f>
        <v>0</v>
      </c>
      <c r="CG724" s="115" t="b">
        <f t="shared" si="621"/>
        <v>0</v>
      </c>
      <c r="CH724" s="115">
        <f t="shared" ca="1" si="642"/>
        <v>6.9375000000000124</v>
      </c>
      <c r="CI724" s="115" t="b">
        <f t="shared" ca="1" si="643"/>
        <v>0</v>
      </c>
      <c r="CJ724" s="119">
        <f t="shared" ca="1" si="644"/>
        <v>0</v>
      </c>
      <c r="CK724" s="115">
        <f t="shared" ca="1" si="645"/>
        <v>0</v>
      </c>
      <c r="CL724" s="115" t="b">
        <f ca="1">AND(模拟模式!$S$7="驱夷逐法",OR(AND(C724="净世破魔击·月",E723&gt;59),AND(C724="净世破魔击·日",F723&gt;59)))</f>
        <v>0</v>
      </c>
      <c r="CM724" s="115" t="b">
        <f ca="1">OR(CL724,AND(C724="净世破魔击·日",CL723,RAND()&lt;模拟模式!$U$23))</f>
        <v>0</v>
      </c>
      <c r="CN724" s="115" t="b">
        <f ca="1">IF(模拟模式!$M$7="辉耀红尘",AND(C724="净世破魔击·月",CL724,CV724=0,E723&lt;80),AND(C724="净世破魔击·月",CL724,E723&lt;100))</f>
        <v>0</v>
      </c>
      <c r="CO724" s="115" t="b">
        <f t="shared" ca="1" si="622"/>
        <v>0</v>
      </c>
      <c r="CP724" s="115" t="b">
        <f ca="1">AND(模拟模式!$O$7="用晦而明",OR(C724="净世破魔击·日",C724="净世破魔击·月",C724="驱夜断愁"),AB724)</f>
        <v>1</v>
      </c>
      <c r="CQ724" s="115" t="b">
        <f ca="1">OR(CP724,AND(CP723,RAND()&lt;模拟模式!$U$23))</f>
        <v>1</v>
      </c>
      <c r="CR724" s="115" t="b">
        <f ca="1">AND(模拟模式!$S$7="日月齐光",OR(C724="幽月轮1",C724="幽月轮2",C724="幽月轮3",CR723),NOT(OR(C724="赤日轮1",C724="赤日轮2",C724="赤日轮3")))</f>
        <v>0</v>
      </c>
      <c r="CS724" s="115" t="b">
        <f ca="1">AND(模拟模式!$S$7="日月齐光",OR(C724="赤日轮1",C724="赤日轮2",C724="赤日轮3",CS723),NOT(OR(C724="幽月轮1",C724="幽月轮2",C724="幽月轮3")))</f>
        <v>0</v>
      </c>
      <c r="CT724" s="115">
        <f t="shared" ca="1" si="646"/>
        <v>24.465000000000003</v>
      </c>
      <c r="CU724" s="115" t="b">
        <f ca="1">AND(模拟模式!$K$10="阴阳往极",CT723=0,RAND()&lt;IF(C724="净世破魔击·月",0.0275*7/3,IF(C724="净世破魔击·日",0.0275*3/3,0.0275*2/3)))</f>
        <v>0</v>
      </c>
      <c r="CV724" s="115">
        <f t="shared" ca="1" si="647"/>
        <v>0</v>
      </c>
      <c r="CW724" s="115">
        <f t="shared" ca="1" si="648"/>
        <v>0</v>
      </c>
      <c r="CX724" s="115">
        <f t="shared" ca="1" si="649"/>
        <v>0</v>
      </c>
      <c r="CY724" s="115">
        <f ca="1">MAX(IF($C724="驱夜断愁",IF(模拟模式!$R$7="万念俱寂",6,45),CY723-$F$4),0)</f>
        <v>0</v>
      </c>
      <c r="CZ724" s="115">
        <f t="shared" ca="1" si="623"/>
        <v>0</v>
      </c>
      <c r="DA724" s="115">
        <f ca="1">IF(模拟模式!$N$7="日月同辉",IF(DB723=2,0,MIN(6,IF(AND(OR(C724="赤日轮1",C724="赤日轮2",C724="赤日轮3",C724="幽月轮1",C724="幽月轮2",C724="幽月轮3"),AB724=1),DA723+1,DA723))),0)</f>
        <v>0</v>
      </c>
      <c r="DB724" s="115">
        <f t="shared" ca="1" si="624"/>
        <v>0</v>
      </c>
      <c r="DC724" s="115"/>
      <c r="DD724" s="115"/>
      <c r="DE724" s="115"/>
      <c r="DF724" s="115"/>
      <c r="DG724" s="115"/>
      <c r="DH724" s="115"/>
      <c r="DI724" s="115"/>
      <c r="DJ724" s="115"/>
      <c r="DK724" s="115"/>
      <c r="DL724" s="115"/>
      <c r="DM724" s="115"/>
    </row>
    <row r="725" spans="2:117" x14ac:dyDescent="0.2">
      <c r="B725" s="117">
        <f t="shared" si="625"/>
        <v>643.90500000000748</v>
      </c>
      <c r="C725" s="167" t="str">
        <f t="shared" ca="1" si="594"/>
        <v>银月斩</v>
      </c>
      <c r="D725" s="115">
        <f ca="1">IF(C725="赤日轮1",1,IF(C725="赤日轮2",2,IF(C725="赤日轮3",3,IF(C725="幽月轮1",4,IF(C725="幽月轮2",5,IF(C725="幽月轮3",6,IF(C725="烈日斩",7,IF(C725="银月斩",8,IF(C725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725="净世破魔击·月",17,IF(C725="驱夜断愁",18,0)))))))))))</f>
        <v>8</v>
      </c>
      <c r="E725" s="115">
        <f ca="1">IF(AND(CU725,OR(C725="幽月轮1",C725="幽月轮2",C725="幽月轮3",C725="银月斩",C725="驱夜断愁",C725="净世破魔击·月")),100,MIN(IF(OR(CN725,BE725),0,IF(OR($C725="赤日轮1",$C725="赤日轮2",$C725="赤日轮3"),E724+20+IF(模拟模式!$I$7="日月凌天",4,0)+IF(CR724,20,0),IF($C725="烈日斩",E724+40,IF($C725="驱夜断愁",IF(模拟模式!$R$7="万念俱寂",E724+20,E724+60),IF($C725="净世破魔击·月",IF(OR(DB724&gt;0,CV724&gt;0),100,IF(模拟模式!$M$7="辉耀红尘",E724+20,E724)),IF($C725="净世破魔击·日",E724-100,E724)))))),100))</f>
        <v>20</v>
      </c>
      <c r="F725" s="115">
        <f ca="1">IF(AND(CU725,OR(C725="赤日轮1",C725="赤日轮2",C725="赤日轮3",C725="烈日斩",C725="净世破魔击·日")),100,MIN(IF(CO725,0,IF(OR($C725="幽月轮1",$C725="幽月轮2",$C725="幽月轮3"),F724+20+IF(模拟模式!$I$7="日月凌天",4,0)+IF(CS724,20,0),IF($C725="银月斩",F724+40+IF(模拟模式!$X$12=1,5,0),IF($C725="驱夜断愁",IF(模拟模式!$R$7="万念俱寂",F724+20,F724+60),IF($C725="净世破魔击·月",IF(模拟模式!$M$7="辉耀红尘",F724-80,F724-100),IF(AND(C725="净世破魔击·日",OR(DB724&gt;0,CV724&gt;0)),100,F724)))))),100))</f>
        <v>65</v>
      </c>
      <c r="G725" s="117">
        <f ca="1">('模拟-全程加成'!$E$3+'模拟-全程加成'!$E$4+'模拟-全程加成'!$E$5+('模拟-全程加成'!$C$6-'模拟-全程加成'!$C$3)*系数!$B$9+BS725*23)*(1+'模拟-全程加成'!$F$4+'模拟-全程加成'!$F$5+BJ725*10%+BM725*20%+BP725*4%+CG725*30%)+$F$7*系数!$B$12</f>
        <v>21493.829400000002</v>
      </c>
      <c r="H725" s="45">
        <f ca="1">'模拟-全程加成'!$H$3+'模拟-全程加成'!$H$4+'模拟-全程加成'!$H$5+('模拟-全程加成'!$G$4+'模拟-全程加成'!$G$5+('模拟-全程加成'!$C$6-'模拟-全程加成'!$C$3)*系数!$B$13)/系数!$B$3+LOOKUP(D725,'模拟-单技能数据'!$A$2:$A$19,'模拟-单技能数据'!$K$2:$K$19)+BG725*10%+IF(BV725&gt;0,378,0)</f>
        <v>0.64185145527300214</v>
      </c>
      <c r="I725" s="45">
        <f ca="1">'模拟-全程加成'!$J$3+'模拟-全程加成'!$J$4+'模拟-全程加成'!$J$5+('模拟-全程加成'!$I$4+'模拟-全程加成'!$I$5)/系数!$B$4+LOOKUP(D725,'模拟-单技能数据'!$A$2:$A$19,'模拟-单技能数据'!$L$2:$L$19)+BG725*10%</f>
        <v>2.2624828854998791</v>
      </c>
      <c r="J725" s="45">
        <f ca="1">(('模拟-全程加成'!$K$3+'模拟-全程加成'!$K$4+'模拟-全程加成'!$K$5+('模拟-全程加成'!$C$6-'模拟-全程加成'!$C$3)*系数!$B$10+IF(BV725&gt;0,882,0)+IF(BY725&gt;0,1831,0))*(1+'模拟-全程加成'!$L$4+'模拟-全程加成'!$L$5+CC725*20%))/系数!$B$5</f>
        <v>0.69723220422048726</v>
      </c>
      <c r="K725" s="119">
        <f ca="1">LOOKUP(D725,'模拟-单技能数据'!$A$2:$A$19,'模拟-单技能数据'!$J$2:$J$19)+IF(CM725,60%,0)+IF(DB724-DB725&gt;0,30%,0)+IF(OR(AND(OR(C725="赤日轮1",C725="赤日轮2",C725="赤日轮3"),CR725),AND(OR(C725="幽月轮1",C725="幽月轮2",C725="幽月轮3"),CS725)),35%,0)+CJ725</f>
        <v>0.15</v>
      </c>
      <c r="L725" s="119">
        <f ca="1">IF(AND(C725="烈日斩",模拟模式!$X$11=1),10%,0)+IF(AND(C725="驱夜断愁",AB725=1),30%,0)</f>
        <v>0</v>
      </c>
      <c r="M725" s="45">
        <f t="shared" ca="1" si="595"/>
        <v>0.64185145527300214</v>
      </c>
      <c r="N725" s="45">
        <f t="shared" ca="1" si="596"/>
        <v>0.30424854472699792</v>
      </c>
      <c r="O725" s="46">
        <f t="shared" ca="1" si="626"/>
        <v>0.92896713859835578</v>
      </c>
      <c r="P725" s="46" t="str">
        <f t="shared" ca="1" si="597"/>
        <v>命</v>
      </c>
      <c r="Q725" s="45">
        <f t="shared" ca="1" si="598"/>
        <v>1</v>
      </c>
      <c r="R725" s="117">
        <f ca="1">模拟模式!$E$20*(1-IF(模拟模式!$J$19="有",0.15,0))*(1-IF(模拟模式!$K$19="有",0.3,0)-IF(CQ725,0.5,0))</f>
        <v>843.02999999999975</v>
      </c>
      <c r="S725" s="45">
        <f ca="1">R725/(R725+(185*模拟模式!$E$22-16800)*4.08224)</f>
        <v>8.389626085980037E-2</v>
      </c>
      <c r="T725" s="45" t="str">
        <f ca="1">LOOKUP(D725,'模拟-单技能数据'!$A$2:$A$19,'模拟-单技能数据'!$H$2:$H$19)</f>
        <v>阴</v>
      </c>
      <c r="U725" s="119">
        <f t="shared" ca="1" si="599"/>
        <v>0.08</v>
      </c>
      <c r="V725" s="47">
        <f ca="1">(1+L725)*(LOOKUP(D725,'模拟-单技能数据'!$A$2:$A$19,'模拟-单技能数据'!$D$2:$D$19)+G725*LOOKUP(D725,'模拟-单技能数据'!$A$2:$A$19,'模拟-单技能数据'!$F$2:$F$19))*(1+J725)*(1+K725)*(1-S725)*(1+U725)*Q725*LOOKUP(D725,'模拟-单技能数据'!$A$2:$A$19,'模拟-单技能数据'!$I$2:$I$20)</f>
        <v>22035.73563947</v>
      </c>
      <c r="W725" s="47">
        <f ca="1">LOOKUP(D725,'模拟-单技能数据'!$A$2:$A$19,'模拟-单技能数据'!$G$2:$G$19)*$I$10</f>
        <v>361.51064354704795</v>
      </c>
      <c r="X725" s="47">
        <f t="shared" ca="1" si="627"/>
        <v>11607.89185245618</v>
      </c>
      <c r="Y725" s="47">
        <f t="shared" ca="1" si="600"/>
        <v>34005.138135473229</v>
      </c>
      <c r="Z725" s="49">
        <f t="shared" ca="1" si="601"/>
        <v>72821608.81248197</v>
      </c>
      <c r="AA725" s="97">
        <f t="shared" ca="1" si="602"/>
        <v>113093.71539665187</v>
      </c>
      <c r="AB725" s="115">
        <f ca="1">IF(OR(C725="赤日轮1",C725="赤日轮2",C725="赤日轮3"),IF(RAND()&lt;模拟模式!$Y$17,1,0),IF(OR(C725="幽月轮1",C725="幽月轮2",C725="幽月轮3"),IF(RAND()&lt;模拟模式!$Y$18,1,0),IF(C725="烈日斩",IF(RAND()&lt;模拟模式!$Y$19,1,0),IF(C725="银月斩",IF(RAND()&lt;模拟模式!$Y$20,1,0),IF(C725="驱夜断愁",IF(RAND()&lt;模拟模式!$Y$21,1,0),IF(C725="净世破魔击·日",IF(RAND()&lt;模拟模式!$Y$22,1,0),IF(C725="净世破魔击·月",IF(RAND()&lt;模拟模式!$Y$23,1,0),0)))))))</f>
        <v>1</v>
      </c>
      <c r="AC725" s="115" t="b">
        <f t="shared" ca="1" si="603"/>
        <v>1</v>
      </c>
      <c r="AD725" s="115" t="b">
        <f t="shared" ca="1" si="604"/>
        <v>0</v>
      </c>
      <c r="AE725" s="115">
        <f t="shared" ca="1" si="605"/>
        <v>6</v>
      </c>
      <c r="AF725" s="47">
        <f ca="1">IF(AC725,('模拟-单技能数据'!$D$20+G725*'模拟-单技能数据'!$F$20)*(1+J725)*(1+'模拟-单技能数据'!$J$20)*(1+U725),0)</f>
        <v>4639.7456468263617</v>
      </c>
      <c r="AG725" s="61">
        <f t="shared" ca="1" si="606"/>
        <v>0.64185145527300214</v>
      </c>
      <c r="AH725" s="61">
        <f t="shared" ca="1" si="607"/>
        <v>2.2624828854998791</v>
      </c>
      <c r="AI725" s="62">
        <f t="shared" ca="1" si="628"/>
        <v>0.42429473725432654</v>
      </c>
      <c r="AJ725" s="47">
        <f ca="1">IF(AD725,IF(AI725&lt;$F$10,0,IF(AI725&lt;$F$10+$F$11,0.25,IF(AI725&lt;$F$10+$F$11+AG725,AH725,1)))*IF(AF725&gt;0,AF725,IF(AF724&gt;0,AF724,IF(AF723&gt;0,AF723,IF(AF722&gt;0,AF722,IF(AF721&gt;0,AF721,IF(AF720&gt;0,AF720,IF(AF719&gt;0,AF719,IF(AF718&gt;0,AF718,IF(AF717&gt;0,AF717,IF(AF715&gt;0,AF715,IF(AF714&gt;0,AF714,IF(AF713&gt;0,AF713,0)))))))))))),0)*(1-$S725)*'模拟-单技能数据'!$I$20</f>
        <v>0</v>
      </c>
      <c r="AK725" s="115" t="b">
        <f t="shared" ca="1" si="608"/>
        <v>0</v>
      </c>
      <c r="AL725" s="115" t="b">
        <f t="shared" ca="1" si="609"/>
        <v>1</v>
      </c>
      <c r="AM725" s="115">
        <f t="shared" ca="1" si="610"/>
        <v>4</v>
      </c>
      <c r="AN725" s="47">
        <f ca="1">IF(AK725,('模拟-单技能数据'!$D$21+G725*'模拟-单技能数据'!$F$21)*(1+J725)*(1+'模拟-单技能数据'!$J$21)*(1+U725),0)</f>
        <v>0</v>
      </c>
      <c r="AO725" s="61">
        <f ca="1">IF(AN725&gt;0,M725-'模拟-单技能数据'!$K$10,AO724)</f>
        <v>0.42185145527300216</v>
      </c>
      <c r="AP725" s="61">
        <f ca="1">IF(AN725&gt;0,I725-'模拟-单技能数据'!$L$10,AP724)</f>
        <v>2.162482885499879</v>
      </c>
      <c r="AQ725" s="63">
        <f t="shared" ca="1" si="629"/>
        <v>0.79000548484361233</v>
      </c>
      <c r="AR725" s="64">
        <f ca="1">IF(AL725,IF(AQ725&lt;$F$10,0,IF(AQ725&lt;$F$10+$F$11,0.25,IF(AQ725&lt;$F$10+$F$11+AO725,AP725,1)))*IF(AN725&gt;0,AN725,IF(AN724&gt;0,AN724,IF(AN723&gt;0,AN723,IF(AN722&gt;0,AN722,IF(AN721&gt;0,AN721,IF(AN720&gt;0,AN720,IF(AN719&gt;0,AN719,IF(AN718&gt;0,AN718,IF(AN717&gt;0,AN717,IF(AN715&gt;0,AN715,IF(AN714&gt;0,AN714,IF(AN713&gt;0,AN713,0)))))))))))),0)*(1-$S725)*'模拟-单技能数据'!$I$21</f>
        <v>11607.89185245618</v>
      </c>
      <c r="AS725" s="61">
        <f ca="1">IF(OR(C725="净世破魔击·日",C725="净世破魔击·月"),M725-'模拟-单技能数据'!$K$10,0)</f>
        <v>0</v>
      </c>
      <c r="AT725" s="61">
        <f ca="1">IF(OR(C725="净世破魔击·日",C725="净世破魔击·月"),I725-'模拟-单技能数据'!$L$10,0)</f>
        <v>0</v>
      </c>
      <c r="AU725" s="62">
        <f t="shared" ca="1" si="630"/>
        <v>3.303748583095234E-2</v>
      </c>
      <c r="AV725" s="64">
        <f ca="1">IF(AS725&gt;0,('模拟-单技能数据'!$D$22+G725*'模拟-单技能数据'!$F$22)*(1+J725)*(1-S725)*IF(AU725&lt;$F$10,0,IF(AU725&lt;$F$10+$F$11,0.25,IF(AU725&lt;$F$10+$F$11+AS725,AT725,1)))*(1+U725),0)*'模拟-单技能数据'!$I$22</f>
        <v>0</v>
      </c>
      <c r="AW725" s="108">
        <f t="shared" ca="1" si="631"/>
        <v>11.697500000000005</v>
      </c>
      <c r="AX725" s="108" t="b">
        <f ca="1">AND(模拟模式!$P$10="有",AW724=0,RAND()&lt;IF(C725="净世破魔击·月",0.1*8/3,IF(C725="净世破魔击·日",0.1*4/3,0.1*2/3)))</f>
        <v>0</v>
      </c>
      <c r="AY725" s="47">
        <f ca="1">IF(AX725,(18+G725*0.722)*(1+J725)*(1-S725)*(1+$I$4)*IF(P725="会",'模拟-全程加成'!$J$3+'模拟-全程加成'!$J$4+'模拟-全程加成'!$J$5+('模拟-全程加成'!$I$4+'模拟-全程加成'!$I$5)/系数!$B$4+BG725*10%,IF(P725="命",1,IF(P725="识",0.25,0))),0)</f>
        <v>0</v>
      </c>
      <c r="AZ725" s="108">
        <f t="shared" si="632"/>
        <v>5.2400000000000064</v>
      </c>
      <c r="BA725" s="108" t="b">
        <f>AND(模拟模式!$Q$10="有",AZ724=0)</f>
        <v>0</v>
      </c>
      <c r="BB725" s="140">
        <f>IF(BA725,(0+G725*0.287)*(1+J725)*(1-S725)*(1+$I$4)*IF(P725="会",'模拟-全程加成'!$J$3+'模拟-全程加成'!$J$4+'模拟-全程加成'!$J$5+('模拟-全程加成'!$I$4+'模拟-全程加成'!$I$5)/系数!$B$4+BG725*10%,IF(P725="命",1,IF(P725="识",0.25,0))),0)</f>
        <v>0</v>
      </c>
      <c r="BC725" s="115" t="b">
        <f ca="1">AND(模拟模式!$R$7="伏明众生",E725=60,F725=20,DA725&lt;5,CZ724&lt;$F$4)</f>
        <v>0</v>
      </c>
      <c r="BD725" s="115">
        <f t="shared" ca="1" si="611"/>
        <v>0</v>
      </c>
      <c r="BE725" s="115" t="b">
        <f t="shared" ca="1" si="612"/>
        <v>0</v>
      </c>
      <c r="BF725" s="47">
        <f ca="1">IF(BC725,4*('模拟-单技能数据'!$D$24+G725*'模拟-单技能数据'!$F$24)*(1+J725)*(1+'模拟-单技能数据'!$J$24)*(1-S725)*(1+$I$3)*(('模拟-全程加成'!$J$3+'模拟-全程加成'!$J$4+'模拟-全程加成'!$J$5+('模拟-全程加成'!$I$4+'模拟-全程加成'!$I$5)/系数!$B$4+BG725*10%)*('模拟-全程加成'!$J$3+'模拟-全程加成'!$J$4+'模拟-全程加成'!$J$5+('模拟-全程加成'!$I$4+'模拟-全程加成'!$I$5)/系数!$B$4+BG725*10%)+(1-('模拟-全程加成'!$J$3+'模拟-全程加成'!$J$4+'模拟-全程加成'!$J$5+('模拟-全程加成'!$I$4+'模拟-全程加成'!$I$5)/系数!$B$4+BG725*10%)-$F$10-$F$11)+F711*0.25),0)*'模拟-单技能数据'!$I$24</f>
        <v>0</v>
      </c>
      <c r="BG725" s="115" t="b">
        <f ca="1">OR(AND(OR(C725="烈日斩",C725="银月斩"),模拟模式!$I$7="净身明礼"),AND(C725="净世破魔击·日",模拟模式!$J$7="洞若观火"),AND(C726="净世破魔击·月",模拟模式!$J$7="洞若观火"),AB725=1)</f>
        <v>1</v>
      </c>
      <c r="BH725" s="115" t="b">
        <f t="shared" ca="1" si="633"/>
        <v>0</v>
      </c>
      <c r="BI725" s="115">
        <f t="shared" ca="1" si="613"/>
        <v>0.46499999999999975</v>
      </c>
      <c r="BJ725" s="115" t="b">
        <f t="shared" ca="1" si="614"/>
        <v>1</v>
      </c>
      <c r="BK725" s="115" t="b">
        <f ca="1">AND(C725="驱夜断愁",模拟模式!$P$7="天地诛戮")</f>
        <v>0</v>
      </c>
      <c r="BL725" s="57">
        <f t="shared" ca="1" si="615"/>
        <v>8.9300000000000068</v>
      </c>
      <c r="BM725" s="115" t="b">
        <f t="shared" ca="1" si="616"/>
        <v>1</v>
      </c>
      <c r="BN725" s="115" t="b">
        <f ca="1">AND(OR(C725="赤日轮1",C725="赤日轮2",C725="赤日轮3",C725="幽月轮1",C725="幽月轮2",C725="幽月轮3"),AB725=1,模拟模式!$L$7="明光恒照")</f>
        <v>0</v>
      </c>
      <c r="BO725" s="117">
        <f t="shared" ca="1" si="617"/>
        <v>20.775000000000006</v>
      </c>
      <c r="BP725" s="115">
        <f t="shared" ca="1" si="634"/>
        <v>6</v>
      </c>
      <c r="BQ725" s="115" t="b">
        <f>模拟模式!$K$10="2600·水"</f>
        <v>0</v>
      </c>
      <c r="BR725" s="117">
        <f t="shared" si="635"/>
        <v>0</v>
      </c>
      <c r="BS725" s="115">
        <f t="shared" si="636"/>
        <v>0</v>
      </c>
      <c r="BT725" s="115">
        <f t="shared" ca="1" si="637"/>
        <v>0</v>
      </c>
      <c r="BU725" s="115" t="b">
        <f ca="1">AND(模拟模式!$K$10="2300·雷",BT724=0,RAND()&lt;IF(C725="净世破魔击·月",5*0.05*2/3,IF(C725="净世破魔击·日",3*0.05*2/3,0.05*2*2/3)))</f>
        <v>0</v>
      </c>
      <c r="BV725" s="115">
        <f t="shared" ca="1" si="638"/>
        <v>0</v>
      </c>
      <c r="BW725" s="115">
        <f t="shared" ca="1" si="639"/>
        <v>94.207499999999257</v>
      </c>
      <c r="BX725" s="164" t="b">
        <f t="shared" ca="1" si="640"/>
        <v>0</v>
      </c>
      <c r="BY725" s="115">
        <f t="shared" ca="1" si="641"/>
        <v>0</v>
      </c>
      <c r="BZ725" s="115">
        <f>IF(OR(模拟模式!$P$16="10人团",模拟模式!$P$16="25人团"),IF(B725/30&gt;CA724,1,0),0)</f>
        <v>0</v>
      </c>
      <c r="CA725" s="115">
        <f t="shared" si="618"/>
        <v>0</v>
      </c>
      <c r="CB725" s="115">
        <f ca="1">IF(BZ725=1,IF(模拟模式!$P$16="10人团",15,0)+IF(模拟模式!$P$16="25人团",IF(RAND()&lt;0.6,15,0)),MAX(0,CB724-$F$4))</f>
        <v>0</v>
      </c>
      <c r="CC725" s="115" t="b">
        <f t="shared" ca="1" si="619"/>
        <v>0</v>
      </c>
      <c r="CD725" s="115">
        <f>IF(模拟模式!$Q$16="1个",IF(B725/40&gt;CE724,1,0),0)</f>
        <v>0</v>
      </c>
      <c r="CE725" s="115">
        <f t="shared" si="620"/>
        <v>0</v>
      </c>
      <c r="CF725" s="115">
        <f>IF(OR(CD725=1,模拟模式!$Q$16="2个"),20,MAX(0,CF724-$F$4))</f>
        <v>0</v>
      </c>
      <c r="CG725" s="115" t="b">
        <f t="shared" si="621"/>
        <v>0</v>
      </c>
      <c r="CH725" s="115">
        <f t="shared" ca="1" si="642"/>
        <v>6.0150000000000121</v>
      </c>
      <c r="CI725" s="115" t="b">
        <f t="shared" ca="1" si="643"/>
        <v>0</v>
      </c>
      <c r="CJ725" s="119">
        <f t="shared" ca="1" si="644"/>
        <v>0</v>
      </c>
      <c r="CK725" s="115">
        <f t="shared" ca="1" si="645"/>
        <v>0</v>
      </c>
      <c r="CL725" s="115" t="b">
        <f ca="1">AND(模拟模式!$S$7="驱夷逐法",OR(AND(C725="净世破魔击·月",E724&gt;59),AND(C725="净世破魔击·日",F724&gt;59)))</f>
        <v>0</v>
      </c>
      <c r="CM725" s="115" t="b">
        <f ca="1">OR(CL725,AND(C725="净世破魔击·日",CL724,RAND()&lt;模拟模式!$U$23))</f>
        <v>0</v>
      </c>
      <c r="CN725" s="115" t="b">
        <f ca="1">IF(模拟模式!$M$7="辉耀红尘",AND(C725="净世破魔击·月",CL725,CV725=0,E724&lt;80),AND(C725="净世破魔击·月",CL725,E724&lt;100))</f>
        <v>0</v>
      </c>
      <c r="CO725" s="115" t="b">
        <f t="shared" ca="1" si="622"/>
        <v>0</v>
      </c>
      <c r="CP725" s="115" t="b">
        <f ca="1">AND(模拟模式!$O$7="用晦而明",OR(C725="净世破魔击·日",C725="净世破魔击·月",C725="驱夜断愁"),AB725)</f>
        <v>0</v>
      </c>
      <c r="CQ725" s="115" t="b">
        <f ca="1">OR(CP725,AND(CP724,RAND()&lt;模拟模式!$U$23))</f>
        <v>1</v>
      </c>
      <c r="CR725" s="115" t="b">
        <f ca="1">AND(模拟模式!$S$7="日月齐光",OR(C725="幽月轮1",C725="幽月轮2",C725="幽月轮3",CR724),NOT(OR(C725="赤日轮1",C725="赤日轮2",C725="赤日轮3")))</f>
        <v>0</v>
      </c>
      <c r="CS725" s="115" t="b">
        <f ca="1">AND(模拟模式!$S$7="日月齐光",OR(C725="赤日轮1",C725="赤日轮2",C725="赤日轮3",CS724),NOT(OR(C725="幽月轮1",C725="幽月轮2",C725="幽月轮3")))</f>
        <v>0</v>
      </c>
      <c r="CT725" s="115">
        <f t="shared" ca="1" si="646"/>
        <v>23.542500000000004</v>
      </c>
      <c r="CU725" s="115" t="b">
        <f ca="1">AND(模拟模式!$K$10="阴阳往极",CT724=0,RAND()&lt;IF(C725="净世破魔击·月",0.0275*7/3,IF(C725="净世破魔击·日",0.0275*3/3,0.0275*2/3)))</f>
        <v>0</v>
      </c>
      <c r="CV725" s="115">
        <f t="shared" ca="1" si="647"/>
        <v>0</v>
      </c>
      <c r="CW725" s="115">
        <f t="shared" ca="1" si="648"/>
        <v>0</v>
      </c>
      <c r="CX725" s="115">
        <f t="shared" ca="1" si="649"/>
        <v>6</v>
      </c>
      <c r="CY725" s="115">
        <f ca="1">MAX(IF($C725="驱夜断愁",IF(模拟模式!$R$7="万念俱寂",6,45),CY724-$F$4),0)</f>
        <v>0</v>
      </c>
      <c r="CZ725" s="115">
        <f t="shared" ca="1" si="623"/>
        <v>0</v>
      </c>
      <c r="DA725" s="115">
        <f ca="1">IF(模拟模式!$N$7="日月同辉",IF(DB724=2,0,MIN(6,IF(AND(OR(C725="赤日轮1",C725="赤日轮2",C725="赤日轮3",C725="幽月轮1",C725="幽月轮2",C725="幽月轮3"),AB725=1),DA724+1,DA724))),0)</f>
        <v>0</v>
      </c>
      <c r="DB725" s="115">
        <f t="shared" ca="1" si="624"/>
        <v>0</v>
      </c>
      <c r="DC725" s="115"/>
      <c r="DD725" s="115"/>
      <c r="DE725" s="115"/>
      <c r="DF725" s="115"/>
      <c r="DG725" s="115"/>
      <c r="DH725" s="115"/>
      <c r="DI725" s="115"/>
      <c r="DJ725" s="115"/>
      <c r="DK725" s="115"/>
      <c r="DL725" s="115"/>
      <c r="DM725" s="115"/>
    </row>
    <row r="726" spans="2:117" x14ac:dyDescent="0.2">
      <c r="B726" s="117">
        <f t="shared" si="625"/>
        <v>644.82750000000749</v>
      </c>
      <c r="C726" s="167" t="str">
        <f t="shared" ca="1" si="594"/>
        <v>驱夜断愁</v>
      </c>
      <c r="D726" s="115">
        <f ca="1">IF(C726="赤日轮1",1,IF(C726="赤日轮2",2,IF(C726="赤日轮3",3,IF(C726="幽月轮1",4,IF(C726="幽月轮2",5,IF(C726="幽月轮3",6,IF(C726="烈日斩",7,IF(C726="银月斩",8,IF(C726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726="净世破魔击·月",17,IF(C726="驱夜断愁",18,0)))))))))))</f>
        <v>18</v>
      </c>
      <c r="E726" s="115">
        <f ca="1">IF(AND(CU726,OR(C726="幽月轮1",C726="幽月轮2",C726="幽月轮3",C726="银月斩",C726="驱夜断愁",C726="净世破魔击·月")),100,MIN(IF(OR(CN726,BE726),0,IF(OR($C726="赤日轮1",$C726="赤日轮2",$C726="赤日轮3"),E725+20+IF(模拟模式!$I$7="日月凌天",4,0)+IF(CR725,20,0),IF($C726="烈日斩",E725+40,IF($C726="驱夜断愁",IF(模拟模式!$R$7="万念俱寂",E725+20,E725+60),IF($C726="净世破魔击·月",IF(OR(DB725&gt;0,CV725&gt;0),100,IF(模拟模式!$M$7="辉耀红尘",E725+20,E725)),IF($C726="净世破魔击·日",E725-100,E725)))))),100))</f>
        <v>40</v>
      </c>
      <c r="F726" s="115">
        <f ca="1">IF(AND(CU726,OR(C726="赤日轮1",C726="赤日轮2",C726="赤日轮3",C726="烈日斩",C726="净世破魔击·日")),100,MIN(IF(CO726,0,IF(OR($C726="幽月轮1",$C726="幽月轮2",$C726="幽月轮3"),F725+20+IF(模拟模式!$I$7="日月凌天",4,0)+IF(CS725,20,0),IF($C726="银月斩",F725+40+IF(模拟模式!$X$12=1,5,0),IF($C726="驱夜断愁",IF(模拟模式!$R$7="万念俱寂",F725+20,F725+60),IF($C726="净世破魔击·月",IF(模拟模式!$M$7="辉耀红尘",F725-80,F725-100),IF(AND(C726="净世破魔击·日",OR(DB725&gt;0,CV725&gt;0)),100,F725)))))),100))</f>
        <v>85</v>
      </c>
      <c r="G726" s="117">
        <f ca="1">('模拟-全程加成'!$E$3+'模拟-全程加成'!$E$4+'模拟-全程加成'!$E$5+('模拟-全程加成'!$C$6-'模拟-全程加成'!$C$3)*系数!$B$9+BS726*23)*(1+'模拟-全程加成'!$F$4+'模拟-全程加成'!$F$5+BJ726*10%+BM726*20%+BP726*4%+CG726*30%)+$F$7*系数!$B$12</f>
        <v>20583.127400000001</v>
      </c>
      <c r="H726" s="45">
        <f ca="1">'模拟-全程加成'!$H$3+'模拟-全程加成'!$H$4+'模拟-全程加成'!$H$5+('模拟-全程加成'!$G$4+'模拟-全程加成'!$G$5+('模拟-全程加成'!$C$6-'模拟-全程加成'!$C$3)*系数!$B$13)/系数!$B$3+LOOKUP(D726,'模拟-单技能数据'!$A$2:$A$19,'模拟-单技能数据'!$K$2:$K$19)+BG726*10%+IF(BV726&gt;0,378,0)</f>
        <v>0.51185145527300213</v>
      </c>
      <c r="I726" s="45">
        <f ca="1">'模拟-全程加成'!$J$3+'模拟-全程加成'!$J$4+'模拟-全程加成'!$J$5+('模拟-全程加成'!$I$4+'模拟-全程加成'!$I$5)/系数!$B$4+LOOKUP(D726,'模拟-单技能数据'!$A$2:$A$19,'模拟-单技能数据'!$L$2:$L$19)+BG726*10%</f>
        <v>2.162482885499879</v>
      </c>
      <c r="J726" s="45">
        <f ca="1">(('模拟-全程加成'!$K$3+'模拟-全程加成'!$K$4+'模拟-全程加成'!$K$5+('模拟-全程加成'!$C$6-'模拟-全程加成'!$C$3)*系数!$B$10+IF(BV726&gt;0,882,0)+IF(BY726&gt;0,1831,0))*(1+'模拟-全程加成'!$L$4+'模拟-全程加成'!$L$5+CC726*20%))/系数!$B$5</f>
        <v>0.69723220422048726</v>
      </c>
      <c r="K726" s="119">
        <f ca="1">LOOKUP(D726,'模拟-单技能数据'!$A$2:$A$19,'模拟-单技能数据'!$J$2:$J$19)+IF(CM726,60%,0)+IF(DB725-DB726&gt;0,30%,0)+IF(OR(AND(OR(C726="赤日轮1",C726="赤日轮2",C726="赤日轮3"),CR726),AND(OR(C726="幽月轮1",C726="幽月轮2",C726="幽月轮3"),CS726)),35%,0)+CJ726</f>
        <v>0.14000000000000001</v>
      </c>
      <c r="L726" s="119">
        <f ca="1">IF(AND(C726="烈日斩",模拟模式!$X$11=1),10%,0)+IF(AND(C726="驱夜断愁",AB726=1),30%,0)</f>
        <v>0.3</v>
      </c>
      <c r="M726" s="45">
        <f t="shared" ca="1" si="595"/>
        <v>0.51185145527300213</v>
      </c>
      <c r="N726" s="45">
        <f t="shared" ca="1" si="596"/>
        <v>0.43424854472699792</v>
      </c>
      <c r="O726" s="46">
        <f t="shared" ca="1" si="626"/>
        <v>0.77818673865045451</v>
      </c>
      <c r="P726" s="46" t="str">
        <f t="shared" ca="1" si="597"/>
        <v>命</v>
      </c>
      <c r="Q726" s="45">
        <f t="shared" ca="1" si="598"/>
        <v>1</v>
      </c>
      <c r="R726" s="117">
        <f ca="1">模拟模式!$E$20*(1-IF(模拟模式!$J$19="有",0.15,0))*(1-IF(模拟模式!$K$19="有",0.3,0)-IF(CQ726,0.5,0))</f>
        <v>843.02999999999975</v>
      </c>
      <c r="S726" s="45">
        <f ca="1">R726/(R726+(185*模拟模式!$E$22-16800)*4.08224)</f>
        <v>8.389626085980037E-2</v>
      </c>
      <c r="T726" s="45" t="str">
        <f ca="1">LOOKUP(D726,'模拟-单技能数据'!$A$2:$A$19,'模拟-单技能数据'!$H$2:$H$19)</f>
        <v>阴</v>
      </c>
      <c r="U726" s="119">
        <f t="shared" ca="1" si="599"/>
        <v>0.08</v>
      </c>
      <c r="V726" s="47">
        <f ca="1">(1+L726)*(LOOKUP(D726,'模拟-单技能数据'!$A$2:$A$19,'模拟-单技能数据'!$D$2:$D$19)+G726*LOOKUP(D726,'模拟-单技能数据'!$A$2:$A$19,'模拟-单技能数据'!$F$2:$F$19))*(1+J726)*(1+K726)*(1-S726)*(1+U726)*Q726*LOOKUP(D726,'模拟-单技能数据'!$A$2:$A$19,'模拟-单技能数据'!$I$2:$I$20)</f>
        <v>58943.088028757353</v>
      </c>
      <c r="W726" s="47">
        <f ca="1">LOOKUP(D726,'模拟-单技能数据'!$A$2:$A$19,'模拟-单技能数据'!$G$2:$G$19)*$I$10</f>
        <v>723.0212870940959</v>
      </c>
      <c r="X726" s="47">
        <f t="shared" ca="1" si="627"/>
        <v>0</v>
      </c>
      <c r="Y726" s="47">
        <f t="shared" ca="1" si="600"/>
        <v>59666.109315851449</v>
      </c>
      <c r="Z726" s="49">
        <f t="shared" ca="1" si="601"/>
        <v>72881274.921797827</v>
      </c>
      <c r="AA726" s="97">
        <f t="shared" ca="1" si="602"/>
        <v>113024.45215471886</v>
      </c>
      <c r="AB726" s="115">
        <f ca="1">IF(OR(C726="赤日轮1",C726="赤日轮2",C726="赤日轮3"),IF(RAND()&lt;模拟模式!$Y$17,1,0),IF(OR(C726="幽月轮1",C726="幽月轮2",C726="幽月轮3"),IF(RAND()&lt;模拟模式!$Y$18,1,0),IF(C726="烈日斩",IF(RAND()&lt;模拟模式!$Y$19,1,0),IF(C726="银月斩",IF(RAND()&lt;模拟模式!$Y$20,1,0),IF(C726="驱夜断愁",IF(RAND()&lt;模拟模式!$Y$21,1,0),IF(C726="净世破魔击·日",IF(RAND()&lt;模拟模式!$Y$22,1,0),IF(C726="净世破魔击·月",IF(RAND()&lt;模拟模式!$Y$23,1,0),0)))))))</f>
        <v>1</v>
      </c>
      <c r="AC726" s="115" t="b">
        <f t="shared" ca="1" si="603"/>
        <v>0</v>
      </c>
      <c r="AD726" s="115" t="b">
        <f t="shared" ca="1" si="604"/>
        <v>0</v>
      </c>
      <c r="AE726" s="115">
        <f t="shared" ca="1" si="605"/>
        <v>6</v>
      </c>
      <c r="AF726" s="47">
        <f ca="1">IF(AC726,('模拟-单技能数据'!$D$20+G726*'模拟-单技能数据'!$F$20)*(1+J726)*(1+'模拟-单技能数据'!$J$20)*(1+U726),0)</f>
        <v>0</v>
      </c>
      <c r="AG726" s="61">
        <f t="shared" ca="1" si="606"/>
        <v>0.64185145527300214</v>
      </c>
      <c r="AH726" s="61">
        <f t="shared" ca="1" si="607"/>
        <v>2.2624828854998791</v>
      </c>
      <c r="AI726" s="62">
        <f t="shared" ca="1" si="628"/>
        <v>0.88808834926733948</v>
      </c>
      <c r="AJ726" s="47">
        <f ca="1">IF(AD726,IF(AI726&lt;$F$10,0,IF(AI726&lt;$F$10+$F$11,0.25,IF(AI726&lt;$F$10+$F$11+AG726,AH726,1)))*IF(AF726&gt;0,AF726,IF(AF725&gt;0,AF725,IF(AF724&gt;0,AF724,IF(AF723&gt;0,AF723,IF(AF722&gt;0,AF722,IF(AF721&gt;0,AF721,IF(AF720&gt;0,AF720,IF(AF719&gt;0,AF719,IF(AF718&gt;0,AF718,IF(AF716&gt;0,AF716,IF(AF715&gt;0,AF715,IF(AF714&gt;0,AF714,0)))))))))))),0)*(1-$S726)*'模拟-单技能数据'!$I$20</f>
        <v>0</v>
      </c>
      <c r="AK726" s="115" t="b">
        <f t="shared" ca="1" si="608"/>
        <v>0</v>
      </c>
      <c r="AL726" s="115" t="b">
        <f t="shared" ca="1" si="609"/>
        <v>0</v>
      </c>
      <c r="AM726" s="115">
        <f t="shared" ca="1" si="610"/>
        <v>4</v>
      </c>
      <c r="AN726" s="47">
        <f ca="1">IF(AK726,('模拟-单技能数据'!$D$21+G726*'模拟-单技能数据'!$F$21)*(1+J726)*(1+'模拟-单技能数据'!$J$21)*(1+U726),0)</f>
        <v>0</v>
      </c>
      <c r="AO726" s="61">
        <f ca="1">IF(AN726&gt;0,M726-'模拟-单技能数据'!$K$10,AO725)</f>
        <v>0.42185145527300216</v>
      </c>
      <c r="AP726" s="61">
        <f ca="1">IF(AN726&gt;0,I726-'模拟-单技能数据'!$L$10,AP725)</f>
        <v>2.162482885499879</v>
      </c>
      <c r="AQ726" s="63">
        <f t="shared" ca="1" si="629"/>
        <v>8.9569013576704104E-2</v>
      </c>
      <c r="AR726" s="64">
        <f ca="1">IF(AL726,IF(AQ726&lt;$F$10,0,IF(AQ726&lt;$F$10+$F$11,0.25,IF(AQ726&lt;$F$10+$F$11+AO726,AP726,1)))*IF(AN726&gt;0,AN726,IF(AN725&gt;0,AN725,IF(AN724&gt;0,AN724,IF(AN723&gt;0,AN723,IF(AN722&gt;0,AN722,IF(AN721&gt;0,AN721,IF(AN720&gt;0,AN720,IF(AN719&gt;0,AN719,IF(AN718&gt;0,AN718,IF(AN716&gt;0,AN716,IF(AN715&gt;0,AN715,IF(AN714&gt;0,AN714,0)))))))))))),0)*(1-$S726)*'模拟-单技能数据'!$I$21</f>
        <v>0</v>
      </c>
      <c r="AS726" s="61">
        <f ca="1">IF(OR(C726="净世破魔击·日",C726="净世破魔击·月"),M726-'模拟-单技能数据'!$K$10,0)</f>
        <v>0</v>
      </c>
      <c r="AT726" s="61">
        <f ca="1">IF(OR(C726="净世破魔击·日",C726="净世破魔击·月"),I726-'模拟-单技能数据'!$L$10,0)</f>
        <v>0</v>
      </c>
      <c r="AU726" s="62">
        <f t="shared" ca="1" si="630"/>
        <v>0.42460986558925828</v>
      </c>
      <c r="AV726" s="64">
        <f ca="1">IF(AS726&gt;0,('模拟-单技能数据'!$D$22+G726*'模拟-单技能数据'!$F$22)*(1+J726)*(1-S726)*IF(AU726&lt;$F$10,0,IF(AU726&lt;$F$10+$F$11,0.25,IF(AU726&lt;$F$10+$F$11+AS726,AT726,1)))*(1+U726),0)*'模拟-单技能数据'!$I$22</f>
        <v>0</v>
      </c>
      <c r="AW726" s="108">
        <f t="shared" ca="1" si="631"/>
        <v>10.775000000000006</v>
      </c>
      <c r="AX726" s="108" t="b">
        <f ca="1">AND(模拟模式!$P$10="有",AW725=0,RAND()&lt;IF(C726="净世破魔击·月",0.1*8/3,IF(C726="净世破魔击·日",0.1*4/3,0.1*2/3)))</f>
        <v>0</v>
      </c>
      <c r="AY726" s="47">
        <f ca="1">IF(AX726,(18+G726*0.722)*(1+J726)*(1-S726)*(1+$I$4)*IF(P726="会",'模拟-全程加成'!$J$3+'模拟-全程加成'!$J$4+'模拟-全程加成'!$J$5+('模拟-全程加成'!$I$4+'模拟-全程加成'!$I$5)/系数!$B$4+BG726*10%,IF(P726="命",1,IF(P726="识",0.25,0))),0)</f>
        <v>0</v>
      </c>
      <c r="AZ726" s="108">
        <f t="shared" si="632"/>
        <v>4.3175000000000061</v>
      </c>
      <c r="BA726" s="108" t="b">
        <f>AND(模拟模式!$Q$10="有",AZ725=0)</f>
        <v>0</v>
      </c>
      <c r="BB726" s="140">
        <f>IF(BA726,(0+G726*0.287)*(1+J726)*(1-S726)*(1+$I$4)*IF(P726="会",'模拟-全程加成'!$J$3+'模拟-全程加成'!$J$4+'模拟-全程加成'!$J$5+('模拟-全程加成'!$I$4+'模拟-全程加成'!$I$5)/系数!$B$4+BG726*10%,IF(P726="命",1,IF(P726="识",0.25,0))),0)</f>
        <v>0</v>
      </c>
      <c r="BC726" s="115" t="b">
        <f ca="1">AND(模拟模式!$R$7="伏明众生",E726=60,F726=20,DA726&lt;5,CZ725&lt;$F$4)</f>
        <v>0</v>
      </c>
      <c r="BD726" s="115">
        <f t="shared" ca="1" si="611"/>
        <v>0</v>
      </c>
      <c r="BE726" s="115" t="b">
        <f t="shared" ca="1" si="612"/>
        <v>0</v>
      </c>
      <c r="BF726" s="47">
        <f ca="1">IF(BC726,4*('模拟-单技能数据'!$D$24+G726*'模拟-单技能数据'!$F$24)*(1+J726)*(1+'模拟-单技能数据'!$J$24)*(1-S726)*(1+$I$3)*(('模拟-全程加成'!$J$3+'模拟-全程加成'!$J$4+'模拟-全程加成'!$J$5+('模拟-全程加成'!$I$4+'模拟-全程加成'!$I$5)/系数!$B$4+BG726*10%)*('模拟-全程加成'!$J$3+'模拟-全程加成'!$J$4+'模拟-全程加成'!$J$5+('模拟-全程加成'!$I$4+'模拟-全程加成'!$I$5)/系数!$B$4+BG726*10%)+(1-('模拟-全程加成'!$J$3+'模拟-全程加成'!$J$4+'模拟-全程加成'!$J$5+('模拟-全程加成'!$I$4+'模拟-全程加成'!$I$5)/系数!$B$4+BG726*10%)-$F$10-$F$11)+F712*0.25),0)*'模拟-单技能数据'!$I$24</f>
        <v>0</v>
      </c>
      <c r="BG726" s="115" t="b">
        <f ca="1">OR(AND(OR(C726="烈日斩",C726="银月斩"),模拟模式!$I$7="净身明礼"),AND(C726="净世破魔击·日",模拟模式!$J$7="洞若观火"),AND(C727="净世破魔击·月",模拟模式!$J$7="洞若观火"),AB726=1)</f>
        <v>1</v>
      </c>
      <c r="BH726" s="115" t="b">
        <f t="shared" ca="1" si="633"/>
        <v>0</v>
      </c>
      <c r="BI726" s="115">
        <f t="shared" ca="1" si="613"/>
        <v>0</v>
      </c>
      <c r="BJ726" s="115" t="b">
        <f t="shared" ca="1" si="614"/>
        <v>0</v>
      </c>
      <c r="BK726" s="115" t="b">
        <f ca="1">AND(C726="驱夜断愁",模拟模式!$P$7="天地诛戮")</f>
        <v>1</v>
      </c>
      <c r="BL726" s="57">
        <f t="shared" ca="1" si="615"/>
        <v>20</v>
      </c>
      <c r="BM726" s="115" t="b">
        <f t="shared" ca="1" si="616"/>
        <v>1</v>
      </c>
      <c r="BN726" s="115" t="b">
        <f ca="1">AND(OR(C726="赤日轮1",C726="赤日轮2",C726="赤日轮3",C726="幽月轮1",C726="幽月轮2",C726="幽月轮3"),AB726=1,模拟模式!$L$7="明光恒照")</f>
        <v>0</v>
      </c>
      <c r="BO726" s="117">
        <f t="shared" ca="1" si="617"/>
        <v>19.852500000000006</v>
      </c>
      <c r="BP726" s="115">
        <f t="shared" ca="1" si="634"/>
        <v>6</v>
      </c>
      <c r="BQ726" s="115" t="b">
        <f>模拟模式!$K$10="2600·水"</f>
        <v>0</v>
      </c>
      <c r="BR726" s="117">
        <f t="shared" si="635"/>
        <v>0</v>
      </c>
      <c r="BS726" s="115">
        <f t="shared" si="636"/>
        <v>0</v>
      </c>
      <c r="BT726" s="115">
        <f t="shared" ca="1" si="637"/>
        <v>0</v>
      </c>
      <c r="BU726" s="115" t="b">
        <f ca="1">AND(模拟模式!$K$10="2300·雷",BT725=0,RAND()&lt;IF(C726="净世破魔击·月",5*0.05*2/3,IF(C726="净世破魔击·日",3*0.05*2/3,0.05*2*2/3)))</f>
        <v>0</v>
      </c>
      <c r="BV726" s="115">
        <f t="shared" ca="1" si="638"/>
        <v>0</v>
      </c>
      <c r="BW726" s="115">
        <f t="shared" ca="1" si="639"/>
        <v>93.284999999999258</v>
      </c>
      <c r="BX726" s="164" t="b">
        <f t="shared" ca="1" si="640"/>
        <v>0</v>
      </c>
      <c r="BY726" s="115">
        <f t="shared" ca="1" si="641"/>
        <v>0</v>
      </c>
      <c r="BZ726" s="115">
        <f>IF(OR(模拟模式!$P$16="10人团",模拟模式!$P$16="25人团"),IF(B726/30&gt;CA725,1,0),0)</f>
        <v>0</v>
      </c>
      <c r="CA726" s="115">
        <f t="shared" si="618"/>
        <v>0</v>
      </c>
      <c r="CB726" s="115">
        <f ca="1">IF(BZ726=1,IF(模拟模式!$P$16="10人团",15,0)+IF(模拟模式!$P$16="25人团",IF(RAND()&lt;0.6,15,0)),MAX(0,CB725-$F$4))</f>
        <v>0</v>
      </c>
      <c r="CC726" s="115" t="b">
        <f t="shared" ca="1" si="619"/>
        <v>0</v>
      </c>
      <c r="CD726" s="115">
        <f>IF(模拟模式!$Q$16="1个",IF(B726/40&gt;CE725,1,0),0)</f>
        <v>0</v>
      </c>
      <c r="CE726" s="115">
        <f t="shared" si="620"/>
        <v>0</v>
      </c>
      <c r="CF726" s="115">
        <f>IF(OR(CD726=1,模拟模式!$Q$16="2个"),20,MAX(0,CF725-$F$4))</f>
        <v>0</v>
      </c>
      <c r="CG726" s="115" t="b">
        <f t="shared" si="621"/>
        <v>0</v>
      </c>
      <c r="CH726" s="115">
        <f t="shared" ca="1" si="642"/>
        <v>5.0925000000000118</v>
      </c>
      <c r="CI726" s="115" t="b">
        <f t="shared" ca="1" si="643"/>
        <v>0</v>
      </c>
      <c r="CJ726" s="119">
        <f t="shared" ca="1" si="644"/>
        <v>0</v>
      </c>
      <c r="CK726" s="115">
        <f t="shared" ca="1" si="645"/>
        <v>0</v>
      </c>
      <c r="CL726" s="115" t="b">
        <f ca="1">AND(模拟模式!$S$7="驱夷逐法",OR(AND(C726="净世破魔击·月",E725&gt;59),AND(C726="净世破魔击·日",F725&gt;59)))</f>
        <v>0</v>
      </c>
      <c r="CM726" s="115" t="b">
        <f ca="1">OR(CL726,AND(C726="净世破魔击·日",CL725,RAND()&lt;模拟模式!$U$23))</f>
        <v>0</v>
      </c>
      <c r="CN726" s="115" t="b">
        <f ca="1">IF(模拟模式!$M$7="辉耀红尘",AND(C726="净世破魔击·月",CL726,CV726=0,E725&lt;80),AND(C726="净世破魔击·月",CL726,E725&lt;100))</f>
        <v>0</v>
      </c>
      <c r="CO726" s="115" t="b">
        <f t="shared" ca="1" si="622"/>
        <v>0</v>
      </c>
      <c r="CP726" s="115" t="b">
        <f ca="1">AND(模拟模式!$O$7="用晦而明",OR(C726="净世破魔击·日",C726="净世破魔击·月",C726="驱夜断愁"),AB726)</f>
        <v>1</v>
      </c>
      <c r="CQ726" s="115" t="b">
        <f ca="1">OR(CP726,AND(CP725,RAND()&lt;模拟模式!$U$23))</f>
        <v>1</v>
      </c>
      <c r="CR726" s="115" t="b">
        <f ca="1">AND(模拟模式!$S$7="日月齐光",OR(C726="幽月轮1",C726="幽月轮2",C726="幽月轮3",CR725),NOT(OR(C726="赤日轮1",C726="赤日轮2",C726="赤日轮3")))</f>
        <v>0</v>
      </c>
      <c r="CS726" s="115" t="b">
        <f ca="1">AND(模拟模式!$S$7="日月齐光",OR(C726="赤日轮1",C726="赤日轮2",C726="赤日轮3",CS725),NOT(OR(C726="幽月轮1",C726="幽月轮2",C726="幽月轮3")))</f>
        <v>0</v>
      </c>
      <c r="CT726" s="115">
        <f t="shared" ca="1" si="646"/>
        <v>22.620000000000005</v>
      </c>
      <c r="CU726" s="115" t="b">
        <f ca="1">AND(模拟模式!$K$10="阴阳往极",CT725=0,RAND()&lt;IF(C726="净世破魔击·月",0.0275*7/3,IF(C726="净世破魔击·日",0.0275*3/3,0.0275*2/3)))</f>
        <v>0</v>
      </c>
      <c r="CV726" s="115">
        <f t="shared" ca="1" si="647"/>
        <v>0</v>
      </c>
      <c r="CW726" s="115">
        <f t="shared" ca="1" si="648"/>
        <v>0</v>
      </c>
      <c r="CX726" s="115">
        <f t="shared" ca="1" si="649"/>
        <v>5.0774999999999997</v>
      </c>
      <c r="CY726" s="115">
        <f ca="1">MAX(IF($C726="驱夜断愁",IF(模拟模式!$R$7="万念俱寂",6,45),CY725-$F$4),0)</f>
        <v>6</v>
      </c>
      <c r="CZ726" s="115">
        <f t="shared" ca="1" si="623"/>
        <v>0</v>
      </c>
      <c r="DA726" s="115">
        <f ca="1">IF(模拟模式!$N$7="日月同辉",IF(DB725=2,0,MIN(6,IF(AND(OR(C726="赤日轮1",C726="赤日轮2",C726="赤日轮3",C726="幽月轮1",C726="幽月轮2",C726="幽月轮3"),AB726=1),DA725+1,DA725))),0)</f>
        <v>0</v>
      </c>
      <c r="DB726" s="115">
        <f t="shared" ca="1" si="624"/>
        <v>0</v>
      </c>
      <c r="DC726" s="115"/>
      <c r="DD726" s="115"/>
      <c r="DE726" s="115"/>
      <c r="DF726" s="115"/>
      <c r="DG726" s="115"/>
      <c r="DH726" s="115"/>
      <c r="DI726" s="115"/>
      <c r="DJ726" s="115"/>
      <c r="DK726" s="115"/>
      <c r="DL726" s="115"/>
      <c r="DM726" s="115"/>
    </row>
    <row r="727" spans="2:117" x14ac:dyDescent="0.2">
      <c r="B727" s="117">
        <f t="shared" si="625"/>
        <v>645.7500000000075</v>
      </c>
      <c r="C727" s="167" t="str">
        <f t="shared" ca="1" si="594"/>
        <v>烈日斩</v>
      </c>
      <c r="D727" s="115">
        <f ca="1">IF(C727="赤日轮1",1,IF(C727="赤日轮2",2,IF(C727="赤日轮3",3,IF(C727="幽月轮1",4,IF(C727="幽月轮2",5,IF(C727="幽月轮3",6,IF(C727="烈日斩",7,IF(C727="银月斩",8,IF(C727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727="净世破魔击·月",17,IF(C727="驱夜断愁",18,0)))))))))))</f>
        <v>7</v>
      </c>
      <c r="E727" s="115">
        <f ca="1">IF(AND(CU727,OR(C727="幽月轮1",C727="幽月轮2",C727="幽月轮3",C727="银月斩",C727="驱夜断愁",C727="净世破魔击·月")),100,MIN(IF(OR(CN727,BE727),0,IF(OR($C727="赤日轮1",$C727="赤日轮2",$C727="赤日轮3"),E726+20+IF(模拟模式!$I$7="日月凌天",4,0)+IF(CR726,20,0),IF($C727="烈日斩",E726+40,IF($C727="驱夜断愁",IF(模拟模式!$R$7="万念俱寂",E726+20,E726+60),IF($C727="净世破魔击·月",IF(OR(DB726&gt;0,CV726&gt;0),100,IF(模拟模式!$M$7="辉耀红尘",E726+20,E726)),IF($C727="净世破魔击·日",E726-100,E726)))))),100))</f>
        <v>80</v>
      </c>
      <c r="F727" s="115">
        <f ca="1">IF(AND(CU727,OR(C727="赤日轮1",C727="赤日轮2",C727="赤日轮3",C727="烈日斩",C727="净世破魔击·日")),100,MIN(IF(CO727,0,IF(OR($C727="幽月轮1",$C727="幽月轮2",$C727="幽月轮3"),F726+20+IF(模拟模式!$I$7="日月凌天",4,0)+IF(CS726,20,0),IF($C727="银月斩",F726+40+IF(模拟模式!$X$12=1,5,0),IF($C727="驱夜断愁",IF(模拟模式!$R$7="万念俱寂",F726+20,F726+60),IF($C727="净世破魔击·月",IF(模拟模式!$M$7="辉耀红尘",F726-80,F726-100),IF(AND(C727="净世破魔击·日",OR(DB726&gt;0,CV726&gt;0)),100,F726)))))),100))</f>
        <v>85</v>
      </c>
      <c r="G727" s="117">
        <f ca="1">('模拟-全程加成'!$E$3+'模拟-全程加成'!$E$4+'模拟-全程加成'!$E$5+('模拟-全程加成'!$C$6-'模拟-全程加成'!$C$3)*系数!$B$9+BS727*23)*(1+'模拟-全程加成'!$F$4+'模拟-全程加成'!$F$5+BJ727*10%+BM727*20%+BP727*4%+CG727*30%)+$F$7*系数!$B$12</f>
        <v>20583.127400000001</v>
      </c>
      <c r="H727" s="45">
        <f ca="1">'模拟-全程加成'!$H$3+'模拟-全程加成'!$H$4+'模拟-全程加成'!$H$5+('模拟-全程加成'!$G$4+'模拟-全程加成'!$G$5+('模拟-全程加成'!$C$6-'模拟-全程加成'!$C$3)*系数!$B$13)/系数!$B$3+LOOKUP(D727,'模拟-单技能数据'!$A$2:$A$19,'模拟-单技能数据'!$K$2:$K$19)+BG727*10%+IF(BV727&gt;0,378,0)</f>
        <v>0.56185145527300218</v>
      </c>
      <c r="I727" s="45">
        <f ca="1">'模拟-全程加成'!$J$3+'模拟-全程加成'!$J$4+'模拟-全程加成'!$J$5+('模拟-全程加成'!$I$4+'模拟-全程加成'!$I$5)/系数!$B$4+LOOKUP(D727,'模拟-单技能数据'!$A$2:$A$19,'模拟-单技能数据'!$L$2:$L$19)+BG727*10%</f>
        <v>2.2624828854998791</v>
      </c>
      <c r="J727" s="45">
        <f ca="1">(('模拟-全程加成'!$K$3+'模拟-全程加成'!$K$4+'模拟-全程加成'!$K$5+('模拟-全程加成'!$C$6-'模拟-全程加成'!$C$3)*系数!$B$10+IF(BV727&gt;0,882,0)+IF(BY727&gt;0,1831,0))*(1+'模拟-全程加成'!$L$4+'模拟-全程加成'!$L$5+CC727*20%))/系数!$B$5</f>
        <v>0.69723220422048726</v>
      </c>
      <c r="K727" s="119">
        <f ca="1">LOOKUP(D727,'模拟-单技能数据'!$A$2:$A$19,'模拟-单技能数据'!$J$2:$J$19)+IF(CM727,60%,0)+IF(DB726-DB727&gt;0,30%,0)+IF(OR(AND(OR(C727="赤日轮1",C727="赤日轮2",C727="赤日轮3"),CR727),AND(OR(C727="幽月轮1",C727="幽月轮2",C727="幽月轮3"),CS727)),35%,0)+CJ727</f>
        <v>0.24</v>
      </c>
      <c r="L727" s="119">
        <f ca="1">IF(AND(C727="烈日斩",模拟模式!$X$11=1),10%,0)+IF(AND(C727="驱夜断愁",AB727=1),30%,0)</f>
        <v>0.1</v>
      </c>
      <c r="M727" s="45">
        <f t="shared" ca="1" si="595"/>
        <v>0.56185145527300218</v>
      </c>
      <c r="N727" s="45">
        <f t="shared" ca="1" si="596"/>
        <v>0.38424854472699788</v>
      </c>
      <c r="O727" s="46">
        <f t="shared" ca="1" si="626"/>
        <v>0.3520385667430832</v>
      </c>
      <c r="P727" s="46" t="str">
        <f t="shared" ca="1" si="597"/>
        <v>会</v>
      </c>
      <c r="Q727" s="45">
        <f t="shared" ca="1" si="598"/>
        <v>2.2624828854998791</v>
      </c>
      <c r="R727" s="117">
        <f ca="1">模拟模式!$E$20*(1-IF(模拟模式!$J$19="有",0.15,0))*(1-IF(模拟模式!$K$19="有",0.3,0)-IF(CQ727,0.5,0))</f>
        <v>843.02999999999975</v>
      </c>
      <c r="S727" s="45">
        <f ca="1">R727/(R727+(185*模拟模式!$E$22-16800)*4.08224)</f>
        <v>8.389626085980037E-2</v>
      </c>
      <c r="T727" s="45" t="str">
        <f ca="1">LOOKUP(D727,'模拟-单技能数据'!$A$2:$A$19,'模拟-单技能数据'!$H$2:$H$19)</f>
        <v>阳</v>
      </c>
      <c r="U727" s="119">
        <f t="shared" ca="1" si="599"/>
        <v>0.2</v>
      </c>
      <c r="V727" s="47">
        <f ca="1">(1+L727)*(LOOKUP(D727,'模拟-单技能数据'!$A$2:$A$19,'模拟-单技能数据'!$D$2:$D$19)+G727*LOOKUP(D727,'模拟-单技能数据'!$A$2:$A$19,'模拟-单技能数据'!$F$2:$F$19))*(1+J727)*(1+K727)*(1-S727)*(1+U727)*Q727*LOOKUP(D727,'模拟-单技能数据'!$A$2:$A$19,'模拟-单技能数据'!$I$2:$I$20)</f>
        <v>105861.05199666526</v>
      </c>
      <c r="W727" s="47">
        <f ca="1">LOOKUP(D727,'模拟-单技能数据'!$A$2:$A$19,'模拟-单技能数据'!$G$2:$G$19)*$I$10</f>
        <v>361.51064354704795</v>
      </c>
      <c r="X727" s="47">
        <f t="shared" ca="1" si="627"/>
        <v>2901.9729631140449</v>
      </c>
      <c r="Y727" s="47">
        <f t="shared" ca="1" si="600"/>
        <v>109124.53560332637</v>
      </c>
      <c r="Z727" s="49">
        <f t="shared" ca="1" si="601"/>
        <v>72990399.457401156</v>
      </c>
      <c r="AA727" s="97">
        <f t="shared" ca="1" si="602"/>
        <v>113031.97747952041</v>
      </c>
      <c r="AB727" s="115">
        <f ca="1">IF(OR(C727="赤日轮1",C727="赤日轮2",C727="赤日轮3"),IF(RAND()&lt;模拟模式!$Y$17,1,0),IF(OR(C727="幽月轮1",C727="幽月轮2",C727="幽月轮3"),IF(RAND()&lt;模拟模式!$Y$18,1,0),IF(C727="烈日斩",IF(RAND()&lt;模拟模式!$Y$19,1,0),IF(C727="银月斩",IF(RAND()&lt;模拟模式!$Y$20,1,0),IF(C727="驱夜断愁",IF(RAND()&lt;模拟模式!$Y$21,1,0),IF(C727="净世破魔击·日",IF(RAND()&lt;模拟模式!$Y$22,1,0),IF(C727="净世破魔击·月",IF(RAND()&lt;模拟模式!$Y$23,1,0),0)))))))</f>
        <v>1</v>
      </c>
      <c r="AC727" s="115" t="b">
        <f t="shared" ca="1" si="603"/>
        <v>0</v>
      </c>
      <c r="AD727" s="115" t="b">
        <f t="shared" ca="1" si="604"/>
        <v>0</v>
      </c>
      <c r="AE727" s="115">
        <f t="shared" ca="1" si="605"/>
        <v>6</v>
      </c>
      <c r="AF727" s="47">
        <f ca="1">IF(AC727,('模拟-单技能数据'!$D$20+G727*'模拟-单技能数据'!$F$20)*(1+J727)*(1+'模拟-单技能数据'!$J$20)*(1+U727),0)</f>
        <v>0</v>
      </c>
      <c r="AG727" s="61">
        <f t="shared" ca="1" si="606"/>
        <v>0.64185145527300214</v>
      </c>
      <c r="AH727" s="61">
        <f t="shared" ca="1" si="607"/>
        <v>2.2624828854998791</v>
      </c>
      <c r="AI727" s="62">
        <f t="shared" ca="1" si="628"/>
        <v>9.0155920546598933E-2</v>
      </c>
      <c r="AJ727" s="47">
        <f ca="1">IF(AD727,IF(AI727&lt;$F$10,0,IF(AI727&lt;$F$10+$F$11,0.25,IF(AI727&lt;$F$10+$F$11+AG727,AH727,1)))*IF(AF727&gt;0,AF727,IF(AF726&gt;0,AF726,IF(AF725&gt;0,AF725,IF(AF724&gt;0,AF724,IF(AF723&gt;0,AF723,IF(AF722&gt;0,AF722,IF(AF721&gt;0,AF721,IF(AF720&gt;0,AF720,IF(AF719&gt;0,AF719,IF(AF717&gt;0,AF717,IF(AF716&gt;0,AF716,IF(AF715&gt;0,AF715,0)))))))))))),0)*(1-$S727)*'模拟-单技能数据'!$I$20</f>
        <v>0</v>
      </c>
      <c r="AK727" s="115" t="b">
        <f t="shared" ca="1" si="608"/>
        <v>0</v>
      </c>
      <c r="AL727" s="115" t="b">
        <f t="shared" ca="1" si="609"/>
        <v>1</v>
      </c>
      <c r="AM727" s="115">
        <f t="shared" ca="1" si="610"/>
        <v>3</v>
      </c>
      <c r="AN727" s="47">
        <f ca="1">IF(AK727,('模拟-单技能数据'!$D$21+G727*'模拟-单技能数据'!$F$21)*(1+J727)*(1+'模拟-单技能数据'!$J$21)*(1+U727),0)</f>
        <v>0</v>
      </c>
      <c r="AO727" s="61">
        <f ca="1">IF(AN727&gt;0,M727-'模拟-单技能数据'!$K$10,AO726)</f>
        <v>0.42185145527300216</v>
      </c>
      <c r="AP727" s="61">
        <f ca="1">IF(AN727&gt;0,I727-'模拟-单技能数据'!$L$10,AP726)</f>
        <v>2.162482885499879</v>
      </c>
      <c r="AQ727" s="63">
        <f t="shared" ca="1" si="629"/>
        <v>1.3743345039851307E-2</v>
      </c>
      <c r="AR727" s="64">
        <f ca="1">IF(AL727,IF(AQ727&lt;$F$10,0,IF(AQ727&lt;$F$10+$F$11,0.25,IF(AQ727&lt;$F$10+$F$11+AO727,AP727,1)))*IF(AN727&gt;0,AN727,IF(AN726&gt;0,AN726,IF(AN725&gt;0,AN725,IF(AN724&gt;0,AN724,IF(AN723&gt;0,AN723,IF(AN722&gt;0,AN722,IF(AN721&gt;0,AN721,IF(AN720&gt;0,AN720,IF(AN719&gt;0,AN719,IF(AN717&gt;0,AN717,IF(AN716&gt;0,AN716,IF(AN715&gt;0,AN715,0)))))))))))),0)*(1-$S727)*'模拟-单技能数据'!$I$21</f>
        <v>2901.9729631140449</v>
      </c>
      <c r="AS727" s="61">
        <f ca="1">IF(OR(C727="净世破魔击·日",C727="净世破魔击·月"),M727-'模拟-单技能数据'!$K$10,0)</f>
        <v>0</v>
      </c>
      <c r="AT727" s="61">
        <f ca="1">IF(OR(C727="净世破魔击·日",C727="净世破魔击·月"),I727-'模拟-单技能数据'!$L$10,0)</f>
        <v>0</v>
      </c>
      <c r="AU727" s="62">
        <f t="shared" ca="1" si="630"/>
        <v>4.8085240094282278E-2</v>
      </c>
      <c r="AV727" s="64">
        <f ca="1">IF(AS727&gt;0,('模拟-单技能数据'!$D$22+G727*'模拟-单技能数据'!$F$22)*(1+J727)*(1-S727)*IF(AU727&lt;$F$10,0,IF(AU727&lt;$F$10+$F$11,0.25,IF(AU727&lt;$F$10+$F$11+AS727,AT727,1)))*(1+U727),0)*'模拟-单技能数据'!$I$22</f>
        <v>0</v>
      </c>
      <c r="AW727" s="108">
        <f t="shared" ca="1" si="631"/>
        <v>9.8525000000000063</v>
      </c>
      <c r="AX727" s="108" t="b">
        <f ca="1">AND(模拟模式!$P$10="有",AW726=0,RAND()&lt;IF(C727="净世破魔击·月",0.1*8/3,IF(C727="净世破魔击·日",0.1*4/3,0.1*2/3)))</f>
        <v>0</v>
      </c>
      <c r="AY727" s="47">
        <f ca="1">IF(AX727,(18+G727*0.722)*(1+J727)*(1-S727)*(1+$I$4)*IF(P727="会",'模拟-全程加成'!$J$3+'模拟-全程加成'!$J$4+'模拟-全程加成'!$J$5+('模拟-全程加成'!$I$4+'模拟-全程加成'!$I$5)/系数!$B$4+BG727*10%,IF(P727="命",1,IF(P727="识",0.25,0))),0)</f>
        <v>0</v>
      </c>
      <c r="AZ727" s="108">
        <f t="shared" si="632"/>
        <v>3.3950000000000062</v>
      </c>
      <c r="BA727" s="108" t="b">
        <f>AND(模拟模式!$Q$10="有",AZ726=0)</f>
        <v>0</v>
      </c>
      <c r="BB727" s="140">
        <f>IF(BA727,(0+G727*0.287)*(1+J727)*(1-S727)*(1+$I$4)*IF(P727="会",'模拟-全程加成'!$J$3+'模拟-全程加成'!$J$4+'模拟-全程加成'!$J$5+('模拟-全程加成'!$I$4+'模拟-全程加成'!$I$5)/系数!$B$4+BG727*10%,IF(P727="命",1,IF(P727="识",0.25,0))),0)</f>
        <v>0</v>
      </c>
      <c r="BC727" s="115" t="b">
        <f ca="1">AND(模拟模式!$R$7="伏明众生",E727=60,F727=20,DA727&lt;5,CZ726&lt;$F$4)</f>
        <v>0</v>
      </c>
      <c r="BD727" s="115">
        <f t="shared" ca="1" si="611"/>
        <v>0</v>
      </c>
      <c r="BE727" s="115" t="b">
        <f t="shared" ca="1" si="612"/>
        <v>0</v>
      </c>
      <c r="BF727" s="47">
        <f ca="1">IF(BC727,4*('模拟-单技能数据'!$D$24+G727*'模拟-单技能数据'!$F$24)*(1+J727)*(1+'模拟-单技能数据'!$J$24)*(1-S727)*(1+$I$3)*(('模拟-全程加成'!$J$3+'模拟-全程加成'!$J$4+'模拟-全程加成'!$J$5+('模拟-全程加成'!$I$4+'模拟-全程加成'!$I$5)/系数!$B$4+BG727*10%)*('模拟-全程加成'!$J$3+'模拟-全程加成'!$J$4+'模拟-全程加成'!$J$5+('模拟-全程加成'!$I$4+'模拟-全程加成'!$I$5)/系数!$B$4+BG727*10%)+(1-('模拟-全程加成'!$J$3+'模拟-全程加成'!$J$4+'模拟-全程加成'!$J$5+('模拟-全程加成'!$I$4+'模拟-全程加成'!$I$5)/系数!$B$4+BG727*10%)-$F$10-$F$11)+F713*0.25),0)*'模拟-单技能数据'!$I$24</f>
        <v>0</v>
      </c>
      <c r="BG727" s="115" t="b">
        <f ca="1">OR(AND(OR(C727="烈日斩",C727="银月斩"),模拟模式!$I$7="净身明礼"),AND(C727="净世破魔击·日",模拟模式!$J$7="洞若观火"),AND(C728="净世破魔击·月",模拟模式!$J$7="洞若观火"),AB727=1)</f>
        <v>1</v>
      </c>
      <c r="BH727" s="115" t="b">
        <f t="shared" ca="1" si="633"/>
        <v>0</v>
      </c>
      <c r="BI727" s="115">
        <f t="shared" ca="1" si="613"/>
        <v>0</v>
      </c>
      <c r="BJ727" s="115" t="b">
        <f t="shared" ca="1" si="614"/>
        <v>0</v>
      </c>
      <c r="BK727" s="115" t="b">
        <f ca="1">AND(C727="驱夜断愁",模拟模式!$P$7="天地诛戮")</f>
        <v>0</v>
      </c>
      <c r="BL727" s="57">
        <f t="shared" ca="1" si="615"/>
        <v>19.077500000000001</v>
      </c>
      <c r="BM727" s="115" t="b">
        <f t="shared" ca="1" si="616"/>
        <v>1</v>
      </c>
      <c r="BN727" s="115" t="b">
        <f ca="1">AND(OR(C727="赤日轮1",C727="赤日轮2",C727="赤日轮3",C727="幽月轮1",C727="幽月轮2",C727="幽月轮3"),AB727=1,模拟模式!$L$7="明光恒照")</f>
        <v>0</v>
      </c>
      <c r="BO727" s="117">
        <f t="shared" ca="1" si="617"/>
        <v>18.930000000000007</v>
      </c>
      <c r="BP727" s="115">
        <f t="shared" ca="1" si="634"/>
        <v>6</v>
      </c>
      <c r="BQ727" s="115" t="b">
        <f>模拟模式!$K$10="2600·水"</f>
        <v>0</v>
      </c>
      <c r="BR727" s="117">
        <f t="shared" si="635"/>
        <v>0</v>
      </c>
      <c r="BS727" s="115">
        <f t="shared" si="636"/>
        <v>0</v>
      </c>
      <c r="BT727" s="115">
        <f t="shared" ca="1" si="637"/>
        <v>0</v>
      </c>
      <c r="BU727" s="115" t="b">
        <f ca="1">AND(模拟模式!$K$10="2300·雷",BT726=0,RAND()&lt;IF(C727="净世破魔击·月",5*0.05*2/3,IF(C727="净世破魔击·日",3*0.05*2/3,0.05*2*2/3)))</f>
        <v>0</v>
      </c>
      <c r="BV727" s="115">
        <f t="shared" ca="1" si="638"/>
        <v>0</v>
      </c>
      <c r="BW727" s="115">
        <f t="shared" ca="1" si="639"/>
        <v>92.362499999999258</v>
      </c>
      <c r="BX727" s="164" t="b">
        <f t="shared" ca="1" si="640"/>
        <v>0</v>
      </c>
      <c r="BY727" s="115">
        <f t="shared" ca="1" si="641"/>
        <v>0</v>
      </c>
      <c r="BZ727" s="115">
        <f>IF(OR(模拟模式!$P$16="10人团",模拟模式!$P$16="25人团"),IF(B727/30&gt;CA726,1,0),0)</f>
        <v>0</v>
      </c>
      <c r="CA727" s="115">
        <f t="shared" si="618"/>
        <v>0</v>
      </c>
      <c r="CB727" s="115">
        <f ca="1">IF(BZ727=1,IF(模拟模式!$P$16="10人团",15,0)+IF(模拟模式!$P$16="25人团",IF(RAND()&lt;0.6,15,0)),MAX(0,CB726-$F$4))</f>
        <v>0</v>
      </c>
      <c r="CC727" s="115" t="b">
        <f t="shared" ca="1" si="619"/>
        <v>0</v>
      </c>
      <c r="CD727" s="115">
        <f>IF(模拟模式!$Q$16="1个",IF(B727/40&gt;CE726,1,0),0)</f>
        <v>0</v>
      </c>
      <c r="CE727" s="115">
        <f t="shared" si="620"/>
        <v>0</v>
      </c>
      <c r="CF727" s="115">
        <f>IF(OR(CD727=1,模拟模式!$Q$16="2个"),20,MAX(0,CF726-$F$4))</f>
        <v>0</v>
      </c>
      <c r="CG727" s="115" t="b">
        <f t="shared" si="621"/>
        <v>0</v>
      </c>
      <c r="CH727" s="115">
        <f t="shared" ca="1" si="642"/>
        <v>4.1700000000000115</v>
      </c>
      <c r="CI727" s="115" t="b">
        <f t="shared" ca="1" si="643"/>
        <v>0</v>
      </c>
      <c r="CJ727" s="119">
        <f t="shared" ca="1" si="644"/>
        <v>0</v>
      </c>
      <c r="CK727" s="115">
        <f t="shared" ca="1" si="645"/>
        <v>0</v>
      </c>
      <c r="CL727" s="115" t="b">
        <f ca="1">AND(模拟模式!$S$7="驱夷逐法",OR(AND(C727="净世破魔击·月",E726&gt;59),AND(C727="净世破魔击·日",F726&gt;59)))</f>
        <v>0</v>
      </c>
      <c r="CM727" s="115" t="b">
        <f ca="1">OR(CL727,AND(C727="净世破魔击·日",CL726,RAND()&lt;模拟模式!$U$23))</f>
        <v>0</v>
      </c>
      <c r="CN727" s="115" t="b">
        <f ca="1">IF(模拟模式!$M$7="辉耀红尘",AND(C727="净世破魔击·月",CL727,CV727=0,E726&lt;80),AND(C727="净世破魔击·月",CL727,E726&lt;100))</f>
        <v>0</v>
      </c>
      <c r="CO727" s="115" t="b">
        <f t="shared" ca="1" si="622"/>
        <v>0</v>
      </c>
      <c r="CP727" s="115" t="b">
        <f ca="1">AND(模拟模式!$O$7="用晦而明",OR(C727="净世破魔击·日",C727="净世破魔击·月",C727="驱夜断愁"),AB727)</f>
        <v>0</v>
      </c>
      <c r="CQ727" s="115" t="b">
        <f ca="1">OR(CP727,AND(CP726,RAND()&lt;模拟模式!$U$23))</f>
        <v>1</v>
      </c>
      <c r="CR727" s="115" t="b">
        <f ca="1">AND(模拟模式!$S$7="日月齐光",OR(C727="幽月轮1",C727="幽月轮2",C727="幽月轮3",CR726),NOT(OR(C727="赤日轮1",C727="赤日轮2",C727="赤日轮3")))</f>
        <v>0</v>
      </c>
      <c r="CS727" s="115" t="b">
        <f ca="1">AND(模拟模式!$S$7="日月齐光",OR(C727="赤日轮1",C727="赤日轮2",C727="赤日轮3",CS726),NOT(OR(C727="幽月轮1",C727="幽月轮2",C727="幽月轮3")))</f>
        <v>0</v>
      </c>
      <c r="CT727" s="115">
        <f t="shared" ca="1" si="646"/>
        <v>21.697500000000005</v>
      </c>
      <c r="CU727" s="115" t="b">
        <f ca="1">AND(模拟模式!$K$10="阴阳往极",CT726=0,RAND()&lt;IF(C727="净世破魔击·月",0.0275*7/3,IF(C727="净世破魔击·日",0.0275*3/3,0.0275*2/3)))</f>
        <v>0</v>
      </c>
      <c r="CV727" s="115">
        <f t="shared" ca="1" si="647"/>
        <v>0</v>
      </c>
      <c r="CW727" s="115">
        <f t="shared" ca="1" si="648"/>
        <v>6</v>
      </c>
      <c r="CX727" s="115">
        <f t="shared" ca="1" si="649"/>
        <v>4.1549999999999994</v>
      </c>
      <c r="CY727" s="115">
        <f ca="1">MAX(IF($C727="驱夜断愁",IF(模拟模式!$R$7="万念俱寂",6,45),CY726-$F$4),0)</f>
        <v>5.0774999999999997</v>
      </c>
      <c r="CZ727" s="115">
        <f t="shared" ca="1" si="623"/>
        <v>0</v>
      </c>
      <c r="DA727" s="115">
        <f ca="1">IF(模拟模式!$N$7="日月同辉",IF(DB726=2,0,MIN(6,IF(AND(OR(C727="赤日轮1",C727="赤日轮2",C727="赤日轮3",C727="幽月轮1",C727="幽月轮2",C727="幽月轮3"),AB727=1),DA726+1,DA726))),0)</f>
        <v>0</v>
      </c>
      <c r="DB727" s="115">
        <f t="shared" ca="1" si="624"/>
        <v>0</v>
      </c>
      <c r="DC727" s="115"/>
      <c r="DD727" s="115"/>
      <c r="DE727" s="115"/>
      <c r="DF727" s="115"/>
      <c r="DG727" s="115"/>
      <c r="DH727" s="115"/>
      <c r="DI727" s="115"/>
      <c r="DJ727" s="115"/>
      <c r="DK727" s="115"/>
      <c r="DL727" s="115"/>
      <c r="DM727" s="115"/>
    </row>
    <row r="728" spans="2:117" x14ac:dyDescent="0.2">
      <c r="B728" s="117">
        <f t="shared" si="625"/>
        <v>646.67250000000752</v>
      </c>
      <c r="C728" s="167" t="str">
        <f t="shared" ca="1" si="594"/>
        <v>幽月轮1</v>
      </c>
      <c r="D728" s="115">
        <f ca="1">IF(C728="赤日轮1",1,IF(C728="赤日轮2",2,IF(C728="赤日轮3",3,IF(C728="幽月轮1",4,IF(C728="幽月轮2",5,IF(C728="幽月轮3",6,IF(C728="烈日斩",7,IF(C728="银月斩",8,IF(C728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728="净世破魔击·月",17,IF(C728="驱夜断愁",18,0)))))))))))</f>
        <v>4</v>
      </c>
      <c r="E728" s="115">
        <f ca="1">IF(AND(CU728,OR(C728="幽月轮1",C728="幽月轮2",C728="幽月轮3",C728="银月斩",C728="驱夜断愁",C728="净世破魔击·月")),100,MIN(IF(OR(CN728,BE728),0,IF(OR($C728="赤日轮1",$C728="赤日轮2",$C728="赤日轮3"),E727+20+IF(模拟模式!$I$7="日月凌天",4,0)+IF(CR727,20,0),IF($C728="烈日斩",E727+40,IF($C728="驱夜断愁",IF(模拟模式!$R$7="万念俱寂",E727+20,E727+60),IF($C728="净世破魔击·月",IF(OR(DB727&gt;0,CV727&gt;0),100,IF(模拟模式!$M$7="辉耀红尘",E727+20,E727)),IF($C728="净世破魔击·日",E727-100,E727)))))),100))</f>
        <v>80</v>
      </c>
      <c r="F728" s="115">
        <f ca="1">IF(AND(CU728,OR(C728="赤日轮1",C728="赤日轮2",C728="赤日轮3",C728="烈日斩",C728="净世破魔击·日")),100,MIN(IF(CO728,0,IF(OR($C728="幽月轮1",$C728="幽月轮2",$C728="幽月轮3"),F727+20+IF(模拟模式!$I$7="日月凌天",4,0)+IF(CS727,20,0),IF($C728="银月斩",F727+40+IF(模拟模式!$X$12=1,5,0),IF($C728="驱夜断愁",IF(模拟模式!$R$7="万念俱寂",F727+20,F727+60),IF($C728="净世破魔击·月",IF(模拟模式!$M$7="辉耀红尘",F727-80,F727-100),IF(AND(C728="净世破魔击·日",OR(DB727&gt;0,CV727&gt;0)),100,F727)))))),100))</f>
        <v>100</v>
      </c>
      <c r="G728" s="117">
        <f ca="1">('模拟-全程加成'!$E$3+'模拟-全程加成'!$E$4+'模拟-全程加成'!$E$5+('模拟-全程加成'!$C$6-'模拟-全程加成'!$C$3)*系数!$B$9+BS728*23)*(1+'模拟-全程加成'!$F$4+'模拟-全程加成'!$F$5+BJ728*10%+BM728*20%+BP728*4%+CG728*30%)+$F$7*系数!$B$12</f>
        <v>20583.127400000001</v>
      </c>
      <c r="H728" s="45">
        <f ca="1">'模拟-全程加成'!$H$3+'模拟-全程加成'!$H$4+'模拟-全程加成'!$H$5+('模拟-全程加成'!$G$4+'模拟-全程加成'!$G$5+('模拟-全程加成'!$C$6-'模拟-全程加成'!$C$3)*系数!$B$13)/系数!$B$3+LOOKUP(D728,'模拟-单技能数据'!$A$2:$A$19,'模拟-单技能数据'!$K$2:$K$19)+BG728*10%+IF(BV728&gt;0,378,0)</f>
        <v>0.51185145527300213</v>
      </c>
      <c r="I728" s="45">
        <f ca="1">'模拟-全程加成'!$J$3+'模拟-全程加成'!$J$4+'模拟-全程加成'!$J$5+('模拟-全程加成'!$I$4+'模拟-全程加成'!$I$5)/系数!$B$4+LOOKUP(D728,'模拟-单技能数据'!$A$2:$A$19,'模拟-单技能数据'!$L$2:$L$19)+BG728*10%</f>
        <v>2.162482885499879</v>
      </c>
      <c r="J728" s="45">
        <f ca="1">(('模拟-全程加成'!$K$3+'模拟-全程加成'!$K$4+'模拟-全程加成'!$K$5+('模拟-全程加成'!$C$6-'模拟-全程加成'!$C$3)*系数!$B$10+IF(BV728&gt;0,882,0)+IF(BY728&gt;0,1831,0))*(1+'模拟-全程加成'!$L$4+'模拟-全程加成'!$L$5+CC728*20%))/系数!$B$5</f>
        <v>0.69723220422048726</v>
      </c>
      <c r="K728" s="119">
        <f ca="1">LOOKUP(D728,'模拟-单技能数据'!$A$2:$A$19,'模拟-单技能数据'!$J$2:$J$19)+IF(CM728,60%,0)+IF(DB727-DB728&gt;0,30%,0)+IF(OR(AND(OR(C728="赤日轮1",C728="赤日轮2",C728="赤日轮3"),CR728),AND(OR(C728="幽月轮1",C728="幽月轮2",C728="幽月轮3"),CS728)),35%,0)+CJ728</f>
        <v>7.0000000000000007E-2</v>
      </c>
      <c r="L728" s="119">
        <f ca="1">IF(AND(C728="烈日斩",模拟模式!$X$11=1),10%,0)+IF(AND(C728="驱夜断愁",AB728=1),30%,0)</f>
        <v>0</v>
      </c>
      <c r="M728" s="45">
        <f t="shared" ca="1" si="595"/>
        <v>0.51185145527300213</v>
      </c>
      <c r="N728" s="45">
        <f t="shared" ca="1" si="596"/>
        <v>0.43424854472699792</v>
      </c>
      <c r="O728" s="46">
        <f t="shared" ca="1" si="626"/>
        <v>0.235456380013912</v>
      </c>
      <c r="P728" s="46" t="str">
        <f t="shared" ca="1" si="597"/>
        <v>会</v>
      </c>
      <c r="Q728" s="45">
        <f t="shared" ca="1" si="598"/>
        <v>2.162482885499879</v>
      </c>
      <c r="R728" s="117">
        <f ca="1">模拟模式!$E$20*(1-IF(模拟模式!$J$19="有",0.15,0))*(1-IF(模拟模式!$K$19="有",0.3,0)-IF(CQ728,0.5,0))</f>
        <v>2950.6049999999996</v>
      </c>
      <c r="S728" s="45">
        <f ca="1">R728/(R728+(185*模拟模式!$E$22-16800)*4.08224)</f>
        <v>0.24272716014590323</v>
      </c>
      <c r="T728" s="45" t="str">
        <f ca="1">LOOKUP(D728,'模拟-单技能数据'!$A$2:$A$19,'模拟-单技能数据'!$H$2:$H$19)</f>
        <v>阴</v>
      </c>
      <c r="U728" s="119">
        <f t="shared" ca="1" si="599"/>
        <v>0.08</v>
      </c>
      <c r="V728" s="47">
        <f ca="1">(1+L728)*(LOOKUP(D728,'模拟-单技能数据'!$A$2:$A$19,'模拟-单技能数据'!$D$2:$D$19)+G728*LOOKUP(D728,'模拟-单技能数据'!$A$2:$A$19,'模拟-单技能数据'!$F$2:$F$19))*(1+J728)*(1+K728)*(1-S728)*(1+U728)*Q728*LOOKUP(D728,'模拟-单技能数据'!$A$2:$A$19,'模拟-单技能数据'!$I$2:$I$20)</f>
        <v>35088.919370823241</v>
      </c>
      <c r="W728" s="47">
        <f ca="1">LOOKUP(D728,'模拟-单技能数据'!$A$2:$A$19,'模拟-单技能数据'!$G$2:$G$19)*$I$10</f>
        <v>361.51064354704795</v>
      </c>
      <c r="X728" s="47">
        <f t="shared" ca="1" si="627"/>
        <v>0</v>
      </c>
      <c r="Y728" s="47">
        <f t="shared" ca="1" si="600"/>
        <v>35450.430014370286</v>
      </c>
      <c r="Z728" s="49">
        <f t="shared" ca="1" si="601"/>
        <v>73025849.887415528</v>
      </c>
      <c r="AA728" s="97">
        <f t="shared" ca="1" si="602"/>
        <v>112925.55333250553</v>
      </c>
      <c r="AB728" s="115">
        <f ca="1">IF(OR(C728="赤日轮1",C728="赤日轮2",C728="赤日轮3"),IF(RAND()&lt;模拟模式!$Y$17,1,0),IF(OR(C728="幽月轮1",C728="幽月轮2",C728="幽月轮3"),IF(RAND()&lt;模拟模式!$Y$18,1,0),IF(C728="烈日斩",IF(RAND()&lt;模拟模式!$Y$19,1,0),IF(C728="银月斩",IF(RAND()&lt;模拟模式!$Y$20,1,0),IF(C728="驱夜断愁",IF(RAND()&lt;模拟模式!$Y$21,1,0),IF(C728="净世破魔击·日",IF(RAND()&lt;模拟模式!$Y$22,1,0),IF(C728="净世破魔击·月",IF(RAND()&lt;模拟模式!$Y$23,1,0),0)))))))</f>
        <v>1</v>
      </c>
      <c r="AC728" s="115" t="b">
        <f t="shared" ca="1" si="603"/>
        <v>0</v>
      </c>
      <c r="AD728" s="115" t="b">
        <f t="shared" ca="1" si="604"/>
        <v>0</v>
      </c>
      <c r="AE728" s="115">
        <f t="shared" ca="1" si="605"/>
        <v>6</v>
      </c>
      <c r="AF728" s="47">
        <f ca="1">IF(AC728,('模拟-单技能数据'!$D$20+G728*'模拟-单技能数据'!$F$20)*(1+J728)*(1+'模拟-单技能数据'!$J$20)*(1+U728),0)</f>
        <v>0</v>
      </c>
      <c r="AG728" s="61">
        <f t="shared" ca="1" si="606"/>
        <v>0.64185145527300214</v>
      </c>
      <c r="AH728" s="61">
        <f t="shared" ca="1" si="607"/>
        <v>2.2624828854998791</v>
      </c>
      <c r="AI728" s="62">
        <f t="shared" ca="1" si="628"/>
        <v>0.92967606527515778</v>
      </c>
      <c r="AJ728" s="47">
        <f ca="1">IF(AD728,IF(AI728&lt;$F$10,0,IF(AI728&lt;$F$10+$F$11,0.25,IF(AI728&lt;$F$10+$F$11+AG728,AH728,1)))*IF(AF728&gt;0,AF728,IF(AF727&gt;0,AF727,IF(AF726&gt;0,AF726,IF(AF725&gt;0,AF725,IF(AF724&gt;0,AF724,IF(AF723&gt;0,AF723,IF(AF722&gt;0,AF722,IF(AF721&gt;0,AF721,IF(AF720&gt;0,AF720,IF(AF718&gt;0,AF718,IF(AF717&gt;0,AF717,IF(AF716&gt;0,AF716,0)))))))))))),0)*(1-$S728)*'模拟-单技能数据'!$I$20</f>
        <v>0</v>
      </c>
      <c r="AK728" s="115" t="b">
        <f t="shared" ca="1" si="608"/>
        <v>0</v>
      </c>
      <c r="AL728" s="115" t="b">
        <f t="shared" ca="1" si="609"/>
        <v>0</v>
      </c>
      <c r="AM728" s="115">
        <f t="shared" ca="1" si="610"/>
        <v>3</v>
      </c>
      <c r="AN728" s="47">
        <f ca="1">IF(AK728,('模拟-单技能数据'!$D$21+G728*'模拟-单技能数据'!$F$21)*(1+J728)*(1+'模拟-单技能数据'!$J$21)*(1+U728),0)</f>
        <v>0</v>
      </c>
      <c r="AO728" s="61">
        <f ca="1">IF(AN728&gt;0,M728-'模拟-单技能数据'!$K$10,AO727)</f>
        <v>0.42185145527300216</v>
      </c>
      <c r="AP728" s="61">
        <f ca="1">IF(AN728&gt;0,I728-'模拟-单技能数据'!$L$10,AP727)</f>
        <v>2.162482885499879</v>
      </c>
      <c r="AQ728" s="63">
        <f t="shared" ca="1" si="629"/>
        <v>0.60387838280843487</v>
      </c>
      <c r="AR728" s="64">
        <f ca="1">IF(AL728,IF(AQ728&lt;$F$10,0,IF(AQ728&lt;$F$10+$F$11,0.25,IF(AQ728&lt;$F$10+$F$11+AO728,AP728,1)))*IF(AN728&gt;0,AN728,IF(AN727&gt;0,AN727,IF(AN726&gt;0,AN726,IF(AN725&gt;0,AN725,IF(AN724&gt;0,AN724,IF(AN723&gt;0,AN723,IF(AN722&gt;0,AN722,IF(AN721&gt;0,AN721,IF(AN720&gt;0,AN720,IF(AN718&gt;0,AN718,IF(AN717&gt;0,AN717,IF(AN716&gt;0,AN716,0)))))))))))),0)*(1-$S728)*'模拟-单技能数据'!$I$21</f>
        <v>0</v>
      </c>
      <c r="AS728" s="61">
        <f ca="1">IF(OR(C728="净世破魔击·日",C728="净世破魔击·月"),M728-'模拟-单技能数据'!$K$10,0)</f>
        <v>0</v>
      </c>
      <c r="AT728" s="61">
        <f ca="1">IF(OR(C728="净世破魔击·日",C728="净世破魔击·月"),I728-'模拟-单技能数据'!$L$10,0)</f>
        <v>0</v>
      </c>
      <c r="AU728" s="62">
        <f t="shared" ca="1" si="630"/>
        <v>0.38238893909438942</v>
      </c>
      <c r="AV728" s="64">
        <f ca="1">IF(AS728&gt;0,('模拟-单技能数据'!$D$22+G728*'模拟-单技能数据'!$F$22)*(1+J728)*(1-S728)*IF(AU728&lt;$F$10,0,IF(AU728&lt;$F$10+$F$11,0.25,IF(AU728&lt;$F$10+$F$11+AS728,AT728,1)))*(1+U728),0)*'模拟-单技能数据'!$I$22</f>
        <v>0</v>
      </c>
      <c r="AW728" s="108">
        <f t="shared" ca="1" si="631"/>
        <v>8.9300000000000068</v>
      </c>
      <c r="AX728" s="108" t="b">
        <f ca="1">AND(模拟模式!$P$10="有",AW727=0,RAND()&lt;IF(C728="净世破魔击·月",0.1*8/3,IF(C728="净世破魔击·日",0.1*4/3,0.1*2/3)))</f>
        <v>0</v>
      </c>
      <c r="AY728" s="47">
        <f ca="1">IF(AX728,(18+G728*0.722)*(1+J728)*(1-S728)*(1+$I$4)*IF(P728="会",'模拟-全程加成'!$J$3+'模拟-全程加成'!$J$4+'模拟-全程加成'!$J$5+('模拟-全程加成'!$I$4+'模拟-全程加成'!$I$5)/系数!$B$4+BG728*10%,IF(P728="命",1,IF(P728="识",0.25,0))),0)</f>
        <v>0</v>
      </c>
      <c r="AZ728" s="108">
        <f t="shared" si="632"/>
        <v>2.4725000000000064</v>
      </c>
      <c r="BA728" s="108" t="b">
        <f>AND(模拟模式!$Q$10="有",AZ727=0)</f>
        <v>0</v>
      </c>
      <c r="BB728" s="140">
        <f>IF(BA728,(0+G728*0.287)*(1+J728)*(1-S728)*(1+$I$4)*IF(P728="会",'模拟-全程加成'!$J$3+'模拟-全程加成'!$J$4+'模拟-全程加成'!$J$5+('模拟-全程加成'!$I$4+'模拟-全程加成'!$I$5)/系数!$B$4+BG728*10%,IF(P728="命",1,IF(P728="识",0.25,0))),0)</f>
        <v>0</v>
      </c>
      <c r="BC728" s="115" t="b">
        <f ca="1">AND(模拟模式!$R$7="伏明众生",E728=60,F728=20,DA728&lt;5,CZ727&lt;$F$4)</f>
        <v>0</v>
      </c>
      <c r="BD728" s="115">
        <f t="shared" ca="1" si="611"/>
        <v>0</v>
      </c>
      <c r="BE728" s="115" t="b">
        <f t="shared" ca="1" si="612"/>
        <v>0</v>
      </c>
      <c r="BF728" s="47">
        <f ca="1">IF(BC728,4*('模拟-单技能数据'!$D$24+G728*'模拟-单技能数据'!$F$24)*(1+J728)*(1+'模拟-单技能数据'!$J$24)*(1-S728)*(1+$I$3)*(('模拟-全程加成'!$J$3+'模拟-全程加成'!$J$4+'模拟-全程加成'!$J$5+('模拟-全程加成'!$I$4+'模拟-全程加成'!$I$5)/系数!$B$4+BG728*10%)*('模拟-全程加成'!$J$3+'模拟-全程加成'!$J$4+'模拟-全程加成'!$J$5+('模拟-全程加成'!$I$4+'模拟-全程加成'!$I$5)/系数!$B$4+BG728*10%)+(1-('模拟-全程加成'!$J$3+'模拟-全程加成'!$J$4+'模拟-全程加成'!$J$5+('模拟-全程加成'!$I$4+'模拟-全程加成'!$I$5)/系数!$B$4+BG728*10%)-$F$10-$F$11)+F714*0.25),0)*'模拟-单技能数据'!$I$24</f>
        <v>0</v>
      </c>
      <c r="BG728" s="115" t="b">
        <f ca="1">OR(AND(OR(C728="烈日斩",C728="银月斩"),模拟模式!$I$7="净身明礼"),AND(C728="净世破魔击·日",模拟模式!$J$7="洞若观火"),AND(C729="净世破魔击·月",模拟模式!$J$7="洞若观火"),AB728=1)</f>
        <v>1</v>
      </c>
      <c r="BH728" s="115" t="b">
        <f t="shared" ca="1" si="633"/>
        <v>0</v>
      </c>
      <c r="BI728" s="115">
        <f t="shared" ca="1" si="613"/>
        <v>0</v>
      </c>
      <c r="BJ728" s="115" t="b">
        <f t="shared" ca="1" si="614"/>
        <v>0</v>
      </c>
      <c r="BK728" s="115" t="b">
        <f ca="1">AND(C728="驱夜断愁",模拟模式!$P$7="天地诛戮")</f>
        <v>0</v>
      </c>
      <c r="BL728" s="57">
        <f t="shared" ca="1" si="615"/>
        <v>18.155000000000001</v>
      </c>
      <c r="BM728" s="115" t="b">
        <f t="shared" ca="1" si="616"/>
        <v>1</v>
      </c>
      <c r="BN728" s="115" t="b">
        <f ca="1">AND(OR(C728="赤日轮1",C728="赤日轮2",C728="赤日轮3",C728="幽月轮1",C728="幽月轮2",C728="幽月轮3"),AB728=1,模拟模式!$L$7="明光恒照")</f>
        <v>1</v>
      </c>
      <c r="BO728" s="117">
        <f t="shared" ca="1" si="617"/>
        <v>30</v>
      </c>
      <c r="BP728" s="115">
        <f t="shared" ca="1" si="634"/>
        <v>6</v>
      </c>
      <c r="BQ728" s="115" t="b">
        <f>模拟模式!$K$10="2600·水"</f>
        <v>0</v>
      </c>
      <c r="BR728" s="117">
        <f t="shared" si="635"/>
        <v>0</v>
      </c>
      <c r="BS728" s="115">
        <f t="shared" si="636"/>
        <v>0</v>
      </c>
      <c r="BT728" s="115">
        <f t="shared" ca="1" si="637"/>
        <v>0</v>
      </c>
      <c r="BU728" s="115" t="b">
        <f ca="1">AND(模拟模式!$K$10="2300·雷",BT727=0,RAND()&lt;IF(C728="净世破魔击·月",5*0.05*2/3,IF(C728="净世破魔击·日",3*0.05*2/3,0.05*2*2/3)))</f>
        <v>0</v>
      </c>
      <c r="BV728" s="115">
        <f t="shared" ca="1" si="638"/>
        <v>0</v>
      </c>
      <c r="BW728" s="115">
        <f t="shared" ca="1" si="639"/>
        <v>91.439999999999259</v>
      </c>
      <c r="BX728" s="164" t="b">
        <f t="shared" ca="1" si="640"/>
        <v>0</v>
      </c>
      <c r="BY728" s="115">
        <f t="shared" ca="1" si="641"/>
        <v>0</v>
      </c>
      <c r="BZ728" s="115">
        <f>IF(OR(模拟模式!$P$16="10人团",模拟模式!$P$16="25人团"),IF(B728/30&gt;CA727,1,0),0)</f>
        <v>0</v>
      </c>
      <c r="CA728" s="115">
        <f t="shared" si="618"/>
        <v>0</v>
      </c>
      <c r="CB728" s="115">
        <f ca="1">IF(BZ728=1,IF(模拟模式!$P$16="10人团",15,0)+IF(模拟模式!$P$16="25人团",IF(RAND()&lt;0.6,15,0)),MAX(0,CB727-$F$4))</f>
        <v>0</v>
      </c>
      <c r="CC728" s="115" t="b">
        <f t="shared" ca="1" si="619"/>
        <v>0</v>
      </c>
      <c r="CD728" s="115">
        <f>IF(模拟模式!$Q$16="1个",IF(B728/40&gt;CE727,1,0),0)</f>
        <v>0</v>
      </c>
      <c r="CE728" s="115">
        <f t="shared" si="620"/>
        <v>0</v>
      </c>
      <c r="CF728" s="115">
        <f>IF(OR(CD728=1,模拟模式!$Q$16="2个"),20,MAX(0,CF727-$F$4))</f>
        <v>0</v>
      </c>
      <c r="CG728" s="115" t="b">
        <f t="shared" si="621"/>
        <v>0</v>
      </c>
      <c r="CH728" s="115">
        <f t="shared" ca="1" si="642"/>
        <v>3.2475000000000116</v>
      </c>
      <c r="CI728" s="115" t="b">
        <f t="shared" ca="1" si="643"/>
        <v>0</v>
      </c>
      <c r="CJ728" s="119">
        <f t="shared" ca="1" si="644"/>
        <v>0</v>
      </c>
      <c r="CK728" s="115">
        <f t="shared" ca="1" si="645"/>
        <v>0</v>
      </c>
      <c r="CL728" s="115" t="b">
        <f ca="1">AND(模拟模式!$S$7="驱夷逐法",OR(AND(C728="净世破魔击·月",E727&gt;59),AND(C728="净世破魔击·日",F727&gt;59)))</f>
        <v>0</v>
      </c>
      <c r="CM728" s="115" t="b">
        <f ca="1">OR(CL728,AND(C728="净世破魔击·日",CL727,RAND()&lt;模拟模式!$U$23))</f>
        <v>0</v>
      </c>
      <c r="CN728" s="115" t="b">
        <f ca="1">IF(模拟模式!$M$7="辉耀红尘",AND(C728="净世破魔击·月",CL728,CV728=0,E727&lt;80),AND(C728="净世破魔击·月",CL728,E727&lt;100))</f>
        <v>0</v>
      </c>
      <c r="CO728" s="115" t="b">
        <f t="shared" ca="1" si="622"/>
        <v>0</v>
      </c>
      <c r="CP728" s="115" t="b">
        <f ca="1">AND(模拟模式!$O$7="用晦而明",OR(C728="净世破魔击·日",C728="净世破魔击·月",C728="驱夜断愁"),AB728)</f>
        <v>0</v>
      </c>
      <c r="CQ728" s="115" t="b">
        <f ca="1">OR(CP728,AND(CP727,RAND()&lt;模拟模式!$U$23))</f>
        <v>0</v>
      </c>
      <c r="CR728" s="115" t="b">
        <f ca="1">AND(模拟模式!$S$7="日月齐光",OR(C728="幽月轮1",C728="幽月轮2",C728="幽月轮3",CR727),NOT(OR(C728="赤日轮1",C728="赤日轮2",C728="赤日轮3")))</f>
        <v>0</v>
      </c>
      <c r="CS728" s="115" t="b">
        <f ca="1">AND(模拟模式!$S$7="日月齐光",OR(C728="赤日轮1",C728="赤日轮2",C728="赤日轮3",CS727),NOT(OR(C728="幽月轮1",C728="幽月轮2",C728="幽月轮3")))</f>
        <v>0</v>
      </c>
      <c r="CT728" s="115">
        <f t="shared" ca="1" si="646"/>
        <v>20.775000000000006</v>
      </c>
      <c r="CU728" s="115" t="b">
        <f ca="1">AND(模拟模式!$K$10="阴阳往极",CT727=0,RAND()&lt;IF(C728="净世破魔击·月",0.0275*7/3,IF(C728="净世破魔击·日",0.0275*3/3,0.0275*2/3)))</f>
        <v>0</v>
      </c>
      <c r="CV728" s="115">
        <f t="shared" ca="1" si="647"/>
        <v>0</v>
      </c>
      <c r="CW728" s="115">
        <f t="shared" ca="1" si="648"/>
        <v>5.0774999999999997</v>
      </c>
      <c r="CX728" s="115">
        <f t="shared" ca="1" si="649"/>
        <v>3.2324999999999995</v>
      </c>
      <c r="CY728" s="115">
        <f ca="1">MAX(IF($C728="驱夜断愁",IF(模拟模式!$R$7="万念俱寂",6,45),CY727-$F$4),0)</f>
        <v>4.1549999999999994</v>
      </c>
      <c r="CZ728" s="115">
        <f t="shared" ca="1" si="623"/>
        <v>0</v>
      </c>
      <c r="DA728" s="115">
        <f ca="1">IF(模拟模式!$N$7="日月同辉",IF(DB727=2,0,MIN(6,IF(AND(OR(C728="赤日轮1",C728="赤日轮2",C728="赤日轮3",C728="幽月轮1",C728="幽月轮2",C728="幽月轮3"),AB728=1),DA727+1,DA727))),0)</f>
        <v>1</v>
      </c>
      <c r="DB728" s="115">
        <f t="shared" ca="1" si="624"/>
        <v>0</v>
      </c>
      <c r="DC728" s="115"/>
      <c r="DD728" s="115"/>
      <c r="DE728" s="115"/>
      <c r="DF728" s="115"/>
      <c r="DG728" s="115"/>
      <c r="DH728" s="115"/>
      <c r="DI728" s="115"/>
      <c r="DJ728" s="115"/>
      <c r="DK728" s="115"/>
      <c r="DL728" s="115"/>
      <c r="DM728" s="115"/>
    </row>
    <row r="729" spans="2:117" x14ac:dyDescent="0.2">
      <c r="B729" s="117">
        <f t="shared" si="625"/>
        <v>647.59500000000753</v>
      </c>
      <c r="C729" s="167" t="str">
        <f t="shared" ca="1" si="594"/>
        <v>净世破魔击·月</v>
      </c>
      <c r="D729" s="115">
        <f ca="1">IF(C729="赤日轮1",1,IF(C729="赤日轮2",2,IF(C729="赤日轮3",3,IF(C729="幽月轮1",4,IF(C729="幽月轮2",5,IF(C729="幽月轮3",6,IF(C729="烈日斩",7,IF(C729="银月斩",8,IF(C729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729="净世破魔击·月",17,IF(C729="驱夜断愁",18,0)))))))))))</f>
        <v>17</v>
      </c>
      <c r="E729" s="115">
        <f ca="1">IF(AND(CU729,OR(C729="幽月轮1",C729="幽月轮2",C729="幽月轮3",C729="银月斩",C729="驱夜断愁",C729="净世破魔击·月")),100,MIN(IF(OR(CN729,BE729),0,IF(OR($C729="赤日轮1",$C729="赤日轮2",$C729="赤日轮3"),E728+20+IF(模拟模式!$I$7="日月凌天",4,0)+IF(CR728,20,0),IF($C729="烈日斩",E728+40,IF($C729="驱夜断愁",IF(模拟模式!$R$7="万念俱寂",E728+20,E728+60),IF($C729="净世破魔击·月",IF(OR(DB728&gt;0,CV728&gt;0),100,IF(模拟模式!$M$7="辉耀红尘",E728+20,E728)),IF($C729="净世破魔击·日",E728-100,E728)))))),100))</f>
        <v>100</v>
      </c>
      <c r="F729" s="115">
        <f ca="1">IF(AND(CU729,OR(C729="赤日轮1",C729="赤日轮2",C729="赤日轮3",C729="烈日斩",C729="净世破魔击·日")),100,MIN(IF(CO729,0,IF(OR($C729="幽月轮1",$C729="幽月轮2",$C729="幽月轮3"),F728+20+IF(模拟模式!$I$7="日月凌天",4,0)+IF(CS728,20,0),IF($C729="银月斩",F728+40+IF(模拟模式!$X$12=1,5,0),IF($C729="驱夜断愁",IF(模拟模式!$R$7="万念俱寂",F728+20,F728+60),IF($C729="净世破魔击·月",IF(模拟模式!$M$7="辉耀红尘",F728-80,F728-100),IF(AND(C729="净世破魔击·日",OR(DB728&gt;0,CV728&gt;0)),100,F728)))))),100))</f>
        <v>20</v>
      </c>
      <c r="G729" s="117">
        <f ca="1">('模拟-全程加成'!$E$3+'模拟-全程加成'!$E$4+'模拟-全程加成'!$E$5+('模拟-全程加成'!$C$6-'模拟-全程加成'!$C$3)*系数!$B$9+BS729*23)*(1+'模拟-全程加成'!$F$4+'模拟-全程加成'!$F$5+BJ729*10%+BM729*20%+BP729*4%+CG729*30%)+$F$7*系数!$B$12</f>
        <v>20583.127400000001</v>
      </c>
      <c r="H729" s="45">
        <f ca="1">'模拟-全程加成'!$H$3+'模拟-全程加成'!$H$4+'模拟-全程加成'!$H$5+('模拟-全程加成'!$G$4+'模拟-全程加成'!$G$5+('模拟-全程加成'!$C$6-'模拟-全程加成'!$C$3)*系数!$B$13)/系数!$B$3+LOOKUP(D729,'模拟-单技能数据'!$A$2:$A$19,'模拟-单技能数据'!$K$2:$K$19)+BG729*10%+IF(BV729&gt;0,378,0)</f>
        <v>0.54185145527300216</v>
      </c>
      <c r="I729" s="45">
        <f ca="1">'模拟-全程加成'!$J$3+'模拟-全程加成'!$J$4+'模拟-全程加成'!$J$5+('模拟-全程加成'!$I$4+'模拟-全程加成'!$I$5)/系数!$B$4+LOOKUP(D729,'模拟-单技能数据'!$A$2:$A$19,'模拟-单技能数据'!$L$2:$L$19)+BG729*10%</f>
        <v>2.162482885499879</v>
      </c>
      <c r="J729" s="45">
        <f ca="1">(('模拟-全程加成'!$K$3+'模拟-全程加成'!$K$4+'模拟-全程加成'!$K$5+('模拟-全程加成'!$C$6-'模拟-全程加成'!$C$3)*系数!$B$10+IF(BV729&gt;0,882,0)+IF(BY729&gt;0,1831,0))*(1+'模拟-全程加成'!$L$4+'模拟-全程加成'!$L$5+CC729*20%))/系数!$B$5</f>
        <v>0.69723220422048726</v>
      </c>
      <c r="K729" s="119">
        <f ca="1">LOOKUP(D729,'模拟-单技能数据'!$A$2:$A$19,'模拟-单技能数据'!$J$2:$J$19)+IF(CM729,60%,0)+IF(DB728-DB729&gt;0,30%,0)+IF(OR(AND(OR(C729="赤日轮1",C729="赤日轮2",C729="赤日轮3"),CR729),AND(OR(C729="幽月轮1",C729="幽月轮2",C729="幽月轮3"),CS729)),35%,0)+CJ729</f>
        <v>0.8</v>
      </c>
      <c r="L729" s="119">
        <f ca="1">IF(AND(C729="烈日斩",模拟模式!$X$11=1),10%,0)+IF(AND(C729="驱夜断愁",AB729=1),30%,0)</f>
        <v>0</v>
      </c>
      <c r="M729" s="45">
        <f t="shared" ca="1" si="595"/>
        <v>0.54185145527300216</v>
      </c>
      <c r="N729" s="45">
        <f t="shared" ca="1" si="596"/>
        <v>0.40424854472699789</v>
      </c>
      <c r="O729" s="46">
        <f t="shared" ca="1" si="626"/>
        <v>0.7947259815007498</v>
      </c>
      <c r="P729" s="46" t="str">
        <f t="shared" ca="1" si="597"/>
        <v>命</v>
      </c>
      <c r="Q729" s="45">
        <f t="shared" ca="1" si="598"/>
        <v>1</v>
      </c>
      <c r="R729" s="117">
        <f ca="1">模拟模式!$E$20*(1-IF(模拟模式!$J$19="有",0.15,0))*(1-IF(模拟模式!$K$19="有",0.3,0)-IF(CQ729,0.5,0))</f>
        <v>843.02999999999975</v>
      </c>
      <c r="S729" s="45">
        <f ca="1">R729/(R729+(185*模拟模式!$E$22-16800)*4.08224)</f>
        <v>8.389626085980037E-2</v>
      </c>
      <c r="T729" s="45" t="str">
        <f ca="1">LOOKUP(D729,'模拟-单技能数据'!$A$2:$A$19,'模拟-单技能数据'!$H$2:$H$19)</f>
        <v>阴</v>
      </c>
      <c r="U729" s="119">
        <f t="shared" ca="1" si="599"/>
        <v>0.08</v>
      </c>
      <c r="V729" s="47">
        <f ca="1">(1+L729)*(LOOKUP(D729,'模拟-单技能数据'!$A$2:$A$19,'模拟-单技能数据'!$D$2:$D$19)+G729*LOOKUP(D729,'模拟-单技能数据'!$A$2:$A$19,'模拟-单技能数据'!$F$2:$F$19))*(1+J729)*(1+K729)*(1-S729)*(1+U729)*Q729*LOOKUP(D729,'模拟-单技能数据'!$A$2:$A$19,'模拟-单技能数据'!$I$2:$I$20)</f>
        <v>80864.621558254468</v>
      </c>
      <c r="W729" s="47">
        <f ca="1">LOOKUP(D729,'模拟-单技能数据'!$A$2:$A$19,'模拟-单技能数据'!$G$2:$G$19)*$I$10</f>
        <v>361.51064354704795</v>
      </c>
      <c r="X729" s="47">
        <f t="shared" ca="1" si="627"/>
        <v>32741.319219774821</v>
      </c>
      <c r="Y729" s="47">
        <f t="shared" ca="1" si="600"/>
        <v>113967.45142157635</v>
      </c>
      <c r="Z729" s="49">
        <f t="shared" ca="1" si="601"/>
        <v>73139817.338837102</v>
      </c>
      <c r="AA729" s="97">
        <f t="shared" ca="1" si="602"/>
        <v>112940.6764086138</v>
      </c>
      <c r="AB729" s="115">
        <f ca="1">IF(OR(C729="赤日轮1",C729="赤日轮2",C729="赤日轮3"),IF(RAND()&lt;模拟模式!$Y$17,1,0),IF(OR(C729="幽月轮1",C729="幽月轮2",C729="幽月轮3"),IF(RAND()&lt;模拟模式!$Y$18,1,0),IF(C729="烈日斩",IF(RAND()&lt;模拟模式!$Y$19,1,0),IF(C729="银月斩",IF(RAND()&lt;模拟模式!$Y$20,1,0),IF(C729="驱夜断愁",IF(RAND()&lt;模拟模式!$Y$21,1,0),IF(C729="净世破魔击·日",IF(RAND()&lt;模拟模式!$Y$22,1,0),IF(C729="净世破魔击·月",IF(RAND()&lt;模拟模式!$Y$23,1,0),0)))))))</f>
        <v>1</v>
      </c>
      <c r="AC729" s="115" t="b">
        <f t="shared" ca="1" si="603"/>
        <v>0</v>
      </c>
      <c r="AD729" s="115" t="b">
        <f t="shared" ca="1" si="604"/>
        <v>0</v>
      </c>
      <c r="AE729" s="115">
        <f t="shared" ca="1" si="605"/>
        <v>6</v>
      </c>
      <c r="AF729" s="47">
        <f ca="1">IF(AC729,('模拟-单技能数据'!$D$20+G729*'模拟-单技能数据'!$F$20)*(1+J729)*(1+'模拟-单技能数据'!$J$20)*(1+U729),0)</f>
        <v>0</v>
      </c>
      <c r="AG729" s="61">
        <f t="shared" ca="1" si="606"/>
        <v>0.64185145527300214</v>
      </c>
      <c r="AH729" s="61">
        <f t="shared" ca="1" si="607"/>
        <v>2.2624828854998791</v>
      </c>
      <c r="AI729" s="62">
        <f t="shared" ca="1" si="628"/>
        <v>0.82324555558163459</v>
      </c>
      <c r="AJ729" s="47">
        <f ca="1">IF(AD729,IF(AI729&lt;$F$10,0,IF(AI729&lt;$F$10+$F$11,0.25,IF(AI729&lt;$F$10+$F$11+AG729,AH729,1)))*IF(AF729&gt;0,AF729,IF(AF728&gt;0,AF728,IF(AF727&gt;0,AF727,IF(AF726&gt;0,AF726,IF(AF725&gt;0,AF725,IF(AF724&gt;0,AF724,IF(AF723&gt;0,AF723,IF(AF722&gt;0,AF722,IF(AF721&gt;0,AF721,IF(AF719&gt;0,AF719,IF(AF718&gt;0,AF718,IF(AF717&gt;0,AF717,0)))))))))))),0)*(1-$S729)*'模拟-单技能数据'!$I$20</f>
        <v>0</v>
      </c>
      <c r="AK729" s="115" t="b">
        <f t="shared" ca="1" si="608"/>
        <v>0</v>
      </c>
      <c r="AL729" s="115" t="b">
        <f t="shared" ca="1" si="609"/>
        <v>1</v>
      </c>
      <c r="AM729" s="115">
        <f t="shared" ca="1" si="610"/>
        <v>2</v>
      </c>
      <c r="AN729" s="47">
        <f ca="1">IF(AK729,('模拟-单技能数据'!$D$21+G729*'模拟-单技能数据'!$F$21)*(1+J729)*(1+'模拟-单技能数据'!$J$21)*(1+U729),0)</f>
        <v>0</v>
      </c>
      <c r="AO729" s="61">
        <f ca="1">IF(AN729&gt;0,M729-'模拟-单技能数据'!$K$10,AO728)</f>
        <v>0.42185145527300216</v>
      </c>
      <c r="AP729" s="61">
        <f ca="1">IF(AN729&gt;0,I729-'模拟-单技能数据'!$L$10,AP728)</f>
        <v>2.162482885499879</v>
      </c>
      <c r="AQ729" s="63">
        <f t="shared" ca="1" si="629"/>
        <v>0.27424782702006423</v>
      </c>
      <c r="AR729" s="64">
        <f ca="1">IF(AL729,IF(AQ729&lt;$F$10,0,IF(AQ729&lt;$F$10+$F$11,0.25,IF(AQ729&lt;$F$10+$F$11+AO729,AP729,1)))*IF(AN729&gt;0,AN729,IF(AN728&gt;0,AN728,IF(AN727&gt;0,AN727,IF(AN726&gt;0,AN726,IF(AN725&gt;0,AN725,IF(AN724&gt;0,AN724,IF(AN723&gt;0,AN723,IF(AN722&gt;0,AN722,IF(AN721&gt;0,AN721,IF(AN719&gt;0,AN719,IF(AN718&gt;0,AN718,IF(AN717&gt;0,AN717,0)))))))))))),0)*(1-$S729)*'模拟-单技能数据'!$I$21</f>
        <v>25101.867467669974</v>
      </c>
      <c r="AS729" s="61">
        <f ca="1">IF(OR(C729="净世破魔击·日",C729="净世破魔击·月"),M729-'模拟-单技能数据'!$K$10,0)</f>
        <v>0.42185145527300216</v>
      </c>
      <c r="AT729" s="61">
        <f ca="1">IF(OR(C729="净世破魔击·日",C729="净世破魔击·月"),I729-'模拟-单技能数据'!$L$10,0)</f>
        <v>2.162482885499879</v>
      </c>
      <c r="AU729" s="62">
        <f t="shared" ca="1" si="630"/>
        <v>0.78970621405755614</v>
      </c>
      <c r="AV729" s="64">
        <f ca="1">IF(AS729&gt;0,('模拟-单技能数据'!$D$22+G729*'模拟-单技能数据'!$F$22)*(1+J729)*(1-S729)*IF(AU729&lt;$F$10,0,IF(AU729&lt;$F$10+$F$11,0.25,IF(AU729&lt;$F$10+$F$11+AS729,AT729,1)))*(1+U729),0)*'模拟-单技能数据'!$I$22</f>
        <v>7639.4517521048492</v>
      </c>
      <c r="AW729" s="108">
        <f t="shared" ca="1" si="631"/>
        <v>8.0075000000000074</v>
      </c>
      <c r="AX729" s="108" t="b">
        <f ca="1">AND(模拟模式!$P$10="有",AW728=0,RAND()&lt;IF(C729="净世破魔击·月",0.1*8/3,IF(C729="净世破魔击·日",0.1*4/3,0.1*2/3)))</f>
        <v>0</v>
      </c>
      <c r="AY729" s="47">
        <f ca="1">IF(AX729,(18+G729*0.722)*(1+J729)*(1-S729)*(1+$I$4)*IF(P729="会",'模拟-全程加成'!$J$3+'模拟-全程加成'!$J$4+'模拟-全程加成'!$J$5+('模拟-全程加成'!$I$4+'模拟-全程加成'!$I$5)/系数!$B$4+BG729*10%,IF(P729="命",1,IF(P729="识",0.25,0))),0)</f>
        <v>0</v>
      </c>
      <c r="AZ729" s="108">
        <f t="shared" si="632"/>
        <v>1.5500000000000065</v>
      </c>
      <c r="BA729" s="108" t="b">
        <f>AND(模拟模式!$Q$10="有",AZ728=0)</f>
        <v>0</v>
      </c>
      <c r="BB729" s="140">
        <f>IF(BA729,(0+G729*0.287)*(1+J729)*(1-S729)*(1+$I$4)*IF(P729="会",'模拟-全程加成'!$J$3+'模拟-全程加成'!$J$4+'模拟-全程加成'!$J$5+('模拟-全程加成'!$I$4+'模拟-全程加成'!$I$5)/系数!$B$4+BG729*10%,IF(P729="命",1,IF(P729="识",0.25,0))),0)</f>
        <v>0</v>
      </c>
      <c r="BC729" s="115" t="b">
        <f ca="1">AND(模拟模式!$R$7="伏明众生",E729=60,F729=20,DA729&lt;5,CZ728&lt;$F$4)</f>
        <v>0</v>
      </c>
      <c r="BD729" s="115">
        <f t="shared" ca="1" si="611"/>
        <v>0</v>
      </c>
      <c r="BE729" s="115" t="b">
        <f t="shared" ca="1" si="612"/>
        <v>0</v>
      </c>
      <c r="BF729" s="47">
        <f ca="1">IF(BC729,4*('模拟-单技能数据'!$D$24+G729*'模拟-单技能数据'!$F$24)*(1+J729)*(1+'模拟-单技能数据'!$J$24)*(1-S729)*(1+$I$3)*(('模拟-全程加成'!$J$3+'模拟-全程加成'!$J$4+'模拟-全程加成'!$J$5+('模拟-全程加成'!$I$4+'模拟-全程加成'!$I$5)/系数!$B$4+BG729*10%)*('模拟-全程加成'!$J$3+'模拟-全程加成'!$J$4+'模拟-全程加成'!$J$5+('模拟-全程加成'!$I$4+'模拟-全程加成'!$I$5)/系数!$B$4+BG729*10%)+(1-('模拟-全程加成'!$J$3+'模拟-全程加成'!$J$4+'模拟-全程加成'!$J$5+('模拟-全程加成'!$I$4+'模拟-全程加成'!$I$5)/系数!$B$4+BG729*10%)-$F$10-$F$11)+F715*0.25),0)*'模拟-单技能数据'!$I$24</f>
        <v>0</v>
      </c>
      <c r="BG729" s="115" t="b">
        <f ca="1">OR(AND(OR(C729="烈日斩",C729="银月斩"),模拟模式!$I$7="净身明礼"),AND(C729="净世破魔击·日",模拟模式!$J$7="洞若观火"),AND(C730="净世破魔击·月",模拟模式!$J$7="洞若观火"),AB729=1)</f>
        <v>1</v>
      </c>
      <c r="BH729" s="115" t="b">
        <f t="shared" ca="1" si="633"/>
        <v>0</v>
      </c>
      <c r="BI729" s="115">
        <f t="shared" ca="1" si="613"/>
        <v>0</v>
      </c>
      <c r="BJ729" s="115" t="b">
        <f t="shared" ca="1" si="614"/>
        <v>0</v>
      </c>
      <c r="BK729" s="115" t="b">
        <f ca="1">AND(C729="驱夜断愁",模拟模式!$P$7="天地诛戮")</f>
        <v>0</v>
      </c>
      <c r="BL729" s="57">
        <f t="shared" ca="1" si="615"/>
        <v>17.232500000000002</v>
      </c>
      <c r="BM729" s="115" t="b">
        <f t="shared" ca="1" si="616"/>
        <v>1</v>
      </c>
      <c r="BN729" s="115" t="b">
        <f ca="1">AND(OR(C729="赤日轮1",C729="赤日轮2",C729="赤日轮3",C729="幽月轮1",C729="幽月轮2",C729="幽月轮3"),AB729=1,模拟模式!$L$7="明光恒照")</f>
        <v>0</v>
      </c>
      <c r="BO729" s="117">
        <f t="shared" ca="1" si="617"/>
        <v>29.077500000000001</v>
      </c>
      <c r="BP729" s="115">
        <f t="shared" ca="1" si="634"/>
        <v>6</v>
      </c>
      <c r="BQ729" s="115" t="b">
        <f>模拟模式!$K$10="2600·水"</f>
        <v>0</v>
      </c>
      <c r="BR729" s="117">
        <f t="shared" si="635"/>
        <v>0</v>
      </c>
      <c r="BS729" s="115">
        <f t="shared" si="636"/>
        <v>0</v>
      </c>
      <c r="BT729" s="115">
        <f t="shared" ca="1" si="637"/>
        <v>0</v>
      </c>
      <c r="BU729" s="115" t="b">
        <f ca="1">AND(模拟模式!$K$10="2300·雷",BT728=0,RAND()&lt;IF(C729="净世破魔击·月",5*0.05*2/3,IF(C729="净世破魔击·日",3*0.05*2/3,0.05*2*2/3)))</f>
        <v>0</v>
      </c>
      <c r="BV729" s="115">
        <f t="shared" ca="1" si="638"/>
        <v>0</v>
      </c>
      <c r="BW729" s="115">
        <f t="shared" ca="1" si="639"/>
        <v>90.517499999999259</v>
      </c>
      <c r="BX729" s="164" t="b">
        <f t="shared" ca="1" si="640"/>
        <v>0</v>
      </c>
      <c r="BY729" s="115">
        <f t="shared" ca="1" si="641"/>
        <v>0</v>
      </c>
      <c r="BZ729" s="115">
        <f>IF(OR(模拟模式!$P$16="10人团",模拟模式!$P$16="25人团"),IF(B729/30&gt;CA728,1,0),0)</f>
        <v>0</v>
      </c>
      <c r="CA729" s="115">
        <f t="shared" si="618"/>
        <v>0</v>
      </c>
      <c r="CB729" s="115">
        <f ca="1">IF(BZ729=1,IF(模拟模式!$P$16="10人团",15,0)+IF(模拟模式!$P$16="25人团",IF(RAND()&lt;0.6,15,0)),MAX(0,CB728-$F$4))</f>
        <v>0</v>
      </c>
      <c r="CC729" s="115" t="b">
        <f t="shared" ca="1" si="619"/>
        <v>0</v>
      </c>
      <c r="CD729" s="115">
        <f>IF(模拟模式!$Q$16="1个",IF(B729/40&gt;CE728,1,0),0)</f>
        <v>0</v>
      </c>
      <c r="CE729" s="115">
        <f t="shared" si="620"/>
        <v>0</v>
      </c>
      <c r="CF729" s="115">
        <f>IF(OR(CD729=1,模拟模式!$Q$16="2个"),20,MAX(0,CF728-$F$4))</f>
        <v>0</v>
      </c>
      <c r="CG729" s="115" t="b">
        <f t="shared" si="621"/>
        <v>0</v>
      </c>
      <c r="CH729" s="115">
        <f t="shared" ca="1" si="642"/>
        <v>2.3250000000000117</v>
      </c>
      <c r="CI729" s="115" t="b">
        <f t="shared" ca="1" si="643"/>
        <v>0</v>
      </c>
      <c r="CJ729" s="119">
        <f t="shared" ca="1" si="644"/>
        <v>0</v>
      </c>
      <c r="CK729" s="115">
        <f t="shared" ca="1" si="645"/>
        <v>0</v>
      </c>
      <c r="CL729" s="115" t="b">
        <f ca="1">AND(模拟模式!$S$7="驱夷逐法",OR(AND(C729="净世破魔击·月",E728&gt;59),AND(C729="净世破魔击·日",F728&gt;59)))</f>
        <v>1</v>
      </c>
      <c r="CM729" s="115" t="b">
        <f ca="1">OR(CL729,AND(C729="净世破魔击·日",CL728,RAND()&lt;模拟模式!$U$23))</f>
        <v>1</v>
      </c>
      <c r="CN729" s="115" t="b">
        <f ca="1">IF(模拟模式!$M$7="辉耀红尘",AND(C729="净世破魔击·月",CL729,CV729=0,E728&lt;80),AND(C729="净世破魔击·月",CL729,E728&lt;100))</f>
        <v>0</v>
      </c>
      <c r="CO729" s="115" t="b">
        <f t="shared" ca="1" si="622"/>
        <v>0</v>
      </c>
      <c r="CP729" s="115" t="b">
        <f ca="1">AND(模拟模式!$O$7="用晦而明",OR(C729="净世破魔击·日",C729="净世破魔击·月",C729="驱夜断愁"),AB729)</f>
        <v>1</v>
      </c>
      <c r="CQ729" s="115" t="b">
        <f ca="1">OR(CP729,AND(CP728,RAND()&lt;模拟模式!$U$23))</f>
        <v>1</v>
      </c>
      <c r="CR729" s="115" t="b">
        <f ca="1">AND(模拟模式!$S$7="日月齐光",OR(C729="幽月轮1",C729="幽月轮2",C729="幽月轮3",CR728),NOT(OR(C729="赤日轮1",C729="赤日轮2",C729="赤日轮3")))</f>
        <v>0</v>
      </c>
      <c r="CS729" s="115" t="b">
        <f ca="1">AND(模拟模式!$S$7="日月齐光",OR(C729="赤日轮1",C729="赤日轮2",C729="赤日轮3",CS728),NOT(OR(C729="幽月轮1",C729="幽月轮2",C729="幽月轮3")))</f>
        <v>0</v>
      </c>
      <c r="CT729" s="115">
        <f t="shared" ca="1" si="646"/>
        <v>19.852500000000006</v>
      </c>
      <c r="CU729" s="115" t="b">
        <f ca="1">AND(模拟模式!$K$10="阴阳往极",CT728=0,RAND()&lt;IF(C729="净世破魔击·月",0.0275*7/3,IF(C729="净世破魔击·日",0.0275*3/3,0.0275*2/3)))</f>
        <v>0</v>
      </c>
      <c r="CV729" s="115">
        <f t="shared" ca="1" si="647"/>
        <v>0</v>
      </c>
      <c r="CW729" s="115">
        <f t="shared" ca="1" si="648"/>
        <v>4.1549999999999994</v>
      </c>
      <c r="CX729" s="115">
        <f t="shared" ca="1" si="649"/>
        <v>2.3099999999999996</v>
      </c>
      <c r="CY729" s="115">
        <f ca="1">MAX(IF($C729="驱夜断愁",IF(模拟模式!$R$7="万念俱寂",6,45),CY728-$F$4),0)</f>
        <v>3.2324999999999995</v>
      </c>
      <c r="CZ729" s="115">
        <f t="shared" ca="1" si="623"/>
        <v>0</v>
      </c>
      <c r="DA729" s="115">
        <f ca="1">IF(模拟模式!$N$7="日月同辉",IF(DB728=2,0,MIN(6,IF(AND(OR(C729="赤日轮1",C729="赤日轮2",C729="赤日轮3",C729="幽月轮1",C729="幽月轮2",C729="幽月轮3"),AB729=1),DA728+1,DA728))),0)</f>
        <v>1</v>
      </c>
      <c r="DB729" s="115">
        <f t="shared" ca="1" si="624"/>
        <v>0</v>
      </c>
      <c r="DC729" s="115"/>
      <c r="DD729" s="115"/>
      <c r="DE729" s="115"/>
      <c r="DF729" s="115"/>
      <c r="DG729" s="115"/>
      <c r="DH729" s="115"/>
      <c r="DI729" s="115"/>
      <c r="DJ729" s="115"/>
      <c r="DK729" s="115"/>
      <c r="DL729" s="115"/>
      <c r="DM729" s="115"/>
    </row>
    <row r="730" spans="2:117" x14ac:dyDescent="0.2">
      <c r="B730" s="117">
        <f t="shared" si="625"/>
        <v>648.51750000000754</v>
      </c>
      <c r="C730" s="167" t="str">
        <f t="shared" ca="1" si="594"/>
        <v>净世破魔击·日</v>
      </c>
      <c r="D730" s="115">
        <f ca="1">IF(C730="赤日轮1",1,IF(C730="赤日轮2",2,IF(C730="赤日轮3",3,IF(C730="幽月轮1",4,IF(C730="幽月轮2",5,IF(C730="幽月轮3",6,IF(C730="烈日斩",7,IF(C730="银月斩",8,IF(C730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730="净世破魔击·月",17,IF(C730="驱夜断愁",18,0)))))))))))</f>
        <v>9</v>
      </c>
      <c r="E730" s="115">
        <f ca="1">IF(AND(CU730,OR(C730="幽月轮1",C730="幽月轮2",C730="幽月轮3",C730="银月斩",C730="驱夜断愁",C730="净世破魔击·月")),100,MIN(IF(OR(CN730,BE730),0,IF(OR($C730="赤日轮1",$C730="赤日轮2",$C730="赤日轮3"),E729+20+IF(模拟模式!$I$7="日月凌天",4,0)+IF(CR729,20,0),IF($C730="烈日斩",E729+40,IF($C730="驱夜断愁",IF(模拟模式!$R$7="万念俱寂",E729+20,E729+60),IF($C730="净世破魔击·月",IF(OR(DB729&gt;0,CV729&gt;0),100,IF(模拟模式!$M$7="辉耀红尘",E729+20,E729)),IF($C730="净世破魔击·日",E729-100,E729)))))),100))</f>
        <v>0</v>
      </c>
      <c r="F730" s="115">
        <f ca="1">IF(AND(CU730,OR(C730="赤日轮1",C730="赤日轮2",C730="赤日轮3",C730="烈日斩",C730="净世破魔击·日")),100,MIN(IF(CO730,0,IF(OR($C730="幽月轮1",$C730="幽月轮2",$C730="幽月轮3"),F729+20+IF(模拟模式!$I$7="日月凌天",4,0)+IF(CS729,20,0),IF($C730="银月斩",F729+40+IF(模拟模式!$X$12=1,5,0),IF($C730="驱夜断愁",IF(模拟模式!$R$7="万念俱寂",F729+20,F729+60),IF($C730="净世破魔击·月",IF(模拟模式!$M$7="辉耀红尘",F729-80,F729-100),IF(AND(C730="净世破魔击·日",OR(DB729&gt;0,CV729&gt;0)),100,F729)))))),100))</f>
        <v>20</v>
      </c>
      <c r="G730" s="117">
        <f ca="1">('模拟-全程加成'!$E$3+'模拟-全程加成'!$E$4+'模拟-全程加成'!$E$5+('模拟-全程加成'!$C$6-'模拟-全程加成'!$C$3)*系数!$B$9+BS730*23)*(1+'模拟-全程加成'!$F$4+'模拟-全程加成'!$F$5+BJ730*10%+BM730*20%+BP730*4%+CG730*30%)+$F$7*系数!$B$12</f>
        <v>20583.127400000001</v>
      </c>
      <c r="H730" s="45">
        <f ca="1">'模拟-全程加成'!$H$3+'模拟-全程加成'!$H$4+'模拟-全程加成'!$H$5+('模拟-全程加成'!$G$4+'模拟-全程加成'!$G$5+('模拟-全程加成'!$C$6-'模拟-全程加成'!$C$3)*系数!$B$13)/系数!$B$3+LOOKUP(D730,'模拟-单技能数据'!$A$2:$A$19,'模拟-单技能数据'!$K$2:$K$19)+BG730*10%+IF(BV730&gt;0,378,0)</f>
        <v>0.54185145527300216</v>
      </c>
      <c r="I730" s="45">
        <f ca="1">'模拟-全程加成'!$J$3+'模拟-全程加成'!$J$4+'模拟-全程加成'!$J$5+('模拟-全程加成'!$I$4+'模拟-全程加成'!$I$5)/系数!$B$4+LOOKUP(D730,'模拟-单技能数据'!$A$2:$A$19,'模拟-单技能数据'!$L$2:$L$19)+BG730*10%</f>
        <v>2.162482885499879</v>
      </c>
      <c r="J730" s="45">
        <f ca="1">(('模拟-全程加成'!$K$3+'模拟-全程加成'!$K$4+'模拟-全程加成'!$K$5+('模拟-全程加成'!$C$6-'模拟-全程加成'!$C$3)*系数!$B$10+IF(BV730&gt;0,882,0)+IF(BY730&gt;0,1831,0))*(1+'模拟-全程加成'!$L$4+'模拟-全程加成'!$L$5+CC730*20%))/系数!$B$5</f>
        <v>0.69723220422048726</v>
      </c>
      <c r="K730" s="119">
        <f ca="1">LOOKUP(D730,'模拟-单技能数据'!$A$2:$A$19,'模拟-单技能数据'!$J$2:$J$19)+IF(CM730,60%,0)+IF(DB729-DB730&gt;0,30%,0)+IF(OR(AND(OR(C730="赤日轮1",C730="赤日轮2",C730="赤日轮3"),CR730),AND(OR(C730="幽月轮1",C730="幽月轮2",C730="幽月轮3"),CS730)),35%,0)+CJ730</f>
        <v>0.8</v>
      </c>
      <c r="L730" s="119">
        <f ca="1">IF(AND(C730="烈日斩",模拟模式!$X$11=1),10%,0)+IF(AND(C730="驱夜断愁",AB730=1),30%,0)</f>
        <v>0</v>
      </c>
      <c r="M730" s="45">
        <f t="shared" ca="1" si="595"/>
        <v>0.54185145527300216</v>
      </c>
      <c r="N730" s="45">
        <f t="shared" ca="1" si="596"/>
        <v>0.40424854472699789</v>
      </c>
      <c r="O730" s="46">
        <f t="shared" ca="1" si="626"/>
        <v>0.3218169506025701</v>
      </c>
      <c r="P730" s="46" t="str">
        <f t="shared" ca="1" si="597"/>
        <v>会</v>
      </c>
      <c r="Q730" s="45">
        <f t="shared" ca="1" si="598"/>
        <v>2.162482885499879</v>
      </c>
      <c r="R730" s="117">
        <f ca="1">模拟模式!$E$20*(1-IF(模拟模式!$J$19="有",0.15,0))*(1-IF(模拟模式!$K$19="有",0.3,0)-IF(CQ730,0.5,0))</f>
        <v>843.02999999999975</v>
      </c>
      <c r="S730" s="45">
        <f ca="1">R730/(R730+(185*模拟模式!$E$22-16800)*4.08224)</f>
        <v>8.389626085980037E-2</v>
      </c>
      <c r="T730" s="45" t="str">
        <f ca="1">LOOKUP(D730,'模拟-单技能数据'!$A$2:$A$19,'模拟-单技能数据'!$H$2:$H$19)</f>
        <v>阳</v>
      </c>
      <c r="U730" s="119">
        <f t="shared" ca="1" si="599"/>
        <v>0.2</v>
      </c>
      <c r="V730" s="47">
        <f ca="1">(1+L730)*(LOOKUP(D730,'模拟-单技能数据'!$A$2:$A$19,'模拟-单技能数据'!$D$2:$D$19)+G730*LOOKUP(D730,'模拟-单技能数据'!$A$2:$A$19,'模拟-单技能数据'!$F$2:$F$19))*(1+J730)*(1+K730)*(1-S730)*(1+U730)*Q730*LOOKUP(D730,'模拟-单技能数据'!$A$2:$A$19,'模拟-单技能数据'!$I$2:$I$20)</f>
        <v>195915.814886668</v>
      </c>
      <c r="W730" s="47">
        <f ca="1">LOOKUP(D730,'模拟-单技能数据'!$A$2:$A$19,'模拟-单技能数据'!$G$2:$G$19)*$I$10</f>
        <v>723.0212870940959</v>
      </c>
      <c r="X730" s="47">
        <f t="shared" ca="1" si="627"/>
        <v>8488.2797245609418</v>
      </c>
      <c r="Y730" s="47">
        <f t="shared" ca="1" si="600"/>
        <v>205127.11589832304</v>
      </c>
      <c r="Z730" s="49">
        <f t="shared" ca="1" si="601"/>
        <v>73344944.454735428</v>
      </c>
      <c r="AA730" s="97">
        <f t="shared" ca="1" si="602"/>
        <v>113096.32269712779</v>
      </c>
      <c r="AB730" s="115">
        <f ca="1">IF(OR(C730="赤日轮1",C730="赤日轮2",C730="赤日轮3"),IF(RAND()&lt;模拟模式!$Y$17,1,0),IF(OR(C730="幽月轮1",C730="幽月轮2",C730="幽月轮3"),IF(RAND()&lt;模拟模式!$Y$18,1,0),IF(C730="烈日斩",IF(RAND()&lt;模拟模式!$Y$19,1,0),IF(C730="银月斩",IF(RAND()&lt;模拟模式!$Y$20,1,0),IF(C730="驱夜断愁",IF(RAND()&lt;模拟模式!$Y$21,1,0),IF(C730="净世破魔击·日",IF(RAND()&lt;模拟模式!$Y$22,1,0),IF(C730="净世破魔击·月",IF(RAND()&lt;模拟模式!$Y$23,1,0),0)))))))</f>
        <v>1</v>
      </c>
      <c r="AC730" s="115" t="b">
        <f t="shared" ca="1" si="603"/>
        <v>0</v>
      </c>
      <c r="AD730" s="115" t="b">
        <f t="shared" ca="1" si="604"/>
        <v>0</v>
      </c>
      <c r="AE730" s="115">
        <f t="shared" ca="1" si="605"/>
        <v>6</v>
      </c>
      <c r="AF730" s="47">
        <f ca="1">IF(AC730,('模拟-单技能数据'!$D$20+G730*'模拟-单技能数据'!$F$20)*(1+J730)*(1+'模拟-单技能数据'!$J$20)*(1+U730),0)</f>
        <v>0</v>
      </c>
      <c r="AG730" s="61">
        <f t="shared" ca="1" si="606"/>
        <v>0.64185145527300214</v>
      </c>
      <c r="AH730" s="61">
        <f t="shared" ca="1" si="607"/>
        <v>2.2624828854998791</v>
      </c>
      <c r="AI730" s="62">
        <f t="shared" ca="1" si="628"/>
        <v>0.53615122078482613</v>
      </c>
      <c r="AJ730" s="47">
        <f ca="1">IF(AD730,IF(AI730&lt;$F$10,0,IF(AI730&lt;$F$10+$F$11,0.25,IF(AI730&lt;$F$10+$F$11+AG730,AH730,1)))*IF(AF730&gt;0,AF730,IF(AF729&gt;0,AF729,IF(AF728&gt;0,AF728,IF(AF727&gt;0,AF727,IF(AF726&gt;0,AF726,IF(AF725&gt;0,AF725,IF(AF724&gt;0,AF724,IF(AF723&gt;0,AF723,IF(AF722&gt;0,AF722,IF(AF720&gt;0,AF720,IF(AF719&gt;0,AF719,IF(AF718&gt;0,AF718,0)))))))))))),0)*(1-$S730)*'模拟-单技能数据'!$I$20</f>
        <v>0</v>
      </c>
      <c r="AK730" s="115" t="b">
        <f t="shared" ca="1" si="608"/>
        <v>1</v>
      </c>
      <c r="AL730" s="115" t="b">
        <f t="shared" ca="1" si="609"/>
        <v>0</v>
      </c>
      <c r="AM730" s="115">
        <f t="shared" ca="1" si="610"/>
        <v>6</v>
      </c>
      <c r="AN730" s="47">
        <f ca="1">IF(AK730,('模拟-单技能数据'!$D$21+G730*'模拟-单技能数据'!$F$21)*(1+J730)*(1+'模拟-单技能数据'!$J$21)*(1+U730),0)</f>
        <v>12136.56601728573</v>
      </c>
      <c r="AO730" s="61">
        <f ca="1">IF(AN730&gt;0,M730-'模拟-单技能数据'!$K$10,AO729)</f>
        <v>0.42185145527300216</v>
      </c>
      <c r="AP730" s="61">
        <f ca="1">IF(AN730&gt;0,I730-'模拟-单技能数据'!$L$10,AP729)</f>
        <v>2.162482885499879</v>
      </c>
      <c r="AQ730" s="63">
        <f t="shared" ca="1" si="629"/>
        <v>0.88218188177359047</v>
      </c>
      <c r="AR730" s="64">
        <f ca="1">IF(AL730,IF(AQ730&lt;$F$10,0,IF(AQ730&lt;$F$10+$F$11,0.25,IF(AQ730&lt;$F$10+$F$11+AO730,AP730,1)))*IF(AN730&gt;0,AN730,IF(AN729&gt;0,AN729,IF(AN728&gt;0,AN728,IF(AN727&gt;0,AN727,IF(AN726&gt;0,AN726,IF(AN725&gt;0,AN725,IF(AN724&gt;0,AN724,IF(AN723&gt;0,AN723,IF(AN722&gt;0,AN722,IF(AN720&gt;0,AN720,IF(AN719&gt;0,AN719,IF(AN718&gt;0,AN718,0)))))))))))),0)*(1-$S730)*'模拟-单技能数据'!$I$21</f>
        <v>0</v>
      </c>
      <c r="AS730" s="61">
        <f ca="1">IF(OR(C730="净世破魔击·日",C730="净世破魔击·月"),M730-'模拟-单技能数据'!$K$10,0)</f>
        <v>0.42185145527300216</v>
      </c>
      <c r="AT730" s="61">
        <f ca="1">IF(OR(C730="净世破魔击·日",C730="净世破魔击·月"),I730-'模拟-单技能数据'!$L$10,0)</f>
        <v>2.162482885499879</v>
      </c>
      <c r="AU730" s="62">
        <f t="shared" ca="1" si="630"/>
        <v>0.63039359288275232</v>
      </c>
      <c r="AV730" s="64">
        <f ca="1">IF(AS730&gt;0,('模拟-单技能数据'!$D$22+G730*'模拟-单技能数据'!$F$22)*(1+J730)*(1-S730)*IF(AU730&lt;$F$10,0,IF(AU730&lt;$F$10+$F$11,0.25,IF(AU730&lt;$F$10+$F$11+AS730,AT730,1)))*(1+U730),0)*'模拟-单技能数据'!$I$22</f>
        <v>8488.2797245609418</v>
      </c>
      <c r="AW730" s="108">
        <f t="shared" ca="1" si="631"/>
        <v>7.0850000000000071</v>
      </c>
      <c r="AX730" s="108" t="b">
        <f ca="1">AND(模拟模式!$P$10="有",AW729=0,RAND()&lt;IF(C730="净世破魔击·月",0.1*8/3,IF(C730="净世破魔击·日",0.1*4/3,0.1*2/3)))</f>
        <v>0</v>
      </c>
      <c r="AY730" s="47">
        <f ca="1">IF(AX730,(18+G730*0.722)*(1+J730)*(1-S730)*(1+$I$4)*IF(P730="会",'模拟-全程加成'!$J$3+'模拟-全程加成'!$J$4+'模拟-全程加成'!$J$5+('模拟-全程加成'!$I$4+'模拟-全程加成'!$I$5)/系数!$B$4+BG730*10%,IF(P730="命",1,IF(P730="识",0.25,0))),0)</f>
        <v>0</v>
      </c>
      <c r="AZ730" s="108">
        <f t="shared" si="632"/>
        <v>0.6275000000000065</v>
      </c>
      <c r="BA730" s="108" t="b">
        <f>AND(模拟模式!$Q$10="有",AZ729=0)</f>
        <v>0</v>
      </c>
      <c r="BB730" s="140">
        <f>IF(BA730,(0+G730*0.287)*(1+J730)*(1-S730)*(1+$I$4)*IF(P730="会",'模拟-全程加成'!$J$3+'模拟-全程加成'!$J$4+'模拟-全程加成'!$J$5+('模拟-全程加成'!$I$4+'模拟-全程加成'!$I$5)/系数!$B$4+BG730*10%,IF(P730="命",1,IF(P730="识",0.25,0))),0)</f>
        <v>0</v>
      </c>
      <c r="BC730" s="115" t="b">
        <f ca="1">AND(模拟模式!$R$7="伏明众生",E730=60,F730=20,DA730&lt;5,CZ729&lt;$F$4)</f>
        <v>0</v>
      </c>
      <c r="BD730" s="115">
        <f t="shared" ca="1" si="611"/>
        <v>0</v>
      </c>
      <c r="BE730" s="115" t="b">
        <f t="shared" ca="1" si="612"/>
        <v>0</v>
      </c>
      <c r="BF730" s="47">
        <f ca="1">IF(BC730,4*('模拟-单技能数据'!$D$24+G730*'模拟-单技能数据'!$F$24)*(1+J730)*(1+'模拟-单技能数据'!$J$24)*(1-S730)*(1+$I$3)*(('模拟-全程加成'!$J$3+'模拟-全程加成'!$J$4+'模拟-全程加成'!$J$5+('模拟-全程加成'!$I$4+'模拟-全程加成'!$I$5)/系数!$B$4+BG730*10%)*('模拟-全程加成'!$J$3+'模拟-全程加成'!$J$4+'模拟-全程加成'!$J$5+('模拟-全程加成'!$I$4+'模拟-全程加成'!$I$5)/系数!$B$4+BG730*10%)+(1-('模拟-全程加成'!$J$3+'模拟-全程加成'!$J$4+'模拟-全程加成'!$J$5+('模拟-全程加成'!$I$4+'模拟-全程加成'!$I$5)/系数!$B$4+BG730*10%)-$F$10-$F$11)+F716*0.25),0)*'模拟-单技能数据'!$I$24</f>
        <v>0</v>
      </c>
      <c r="BG730" s="115" t="b">
        <f ca="1">OR(AND(OR(C730="烈日斩",C730="银月斩"),模拟模式!$I$7="净身明礼"),AND(C730="净世破魔击·日",模拟模式!$J$7="洞若观火"),AND(C731="净世破魔击·月",模拟模式!$J$7="洞若观火"),AB730=1)</f>
        <v>1</v>
      </c>
      <c r="BH730" s="115" t="b">
        <f t="shared" ca="1" si="633"/>
        <v>0</v>
      </c>
      <c r="BI730" s="115">
        <f t="shared" ca="1" si="613"/>
        <v>0</v>
      </c>
      <c r="BJ730" s="115" t="b">
        <f t="shared" ca="1" si="614"/>
        <v>0</v>
      </c>
      <c r="BK730" s="115" t="b">
        <f ca="1">AND(C730="驱夜断愁",模拟模式!$P$7="天地诛戮")</f>
        <v>0</v>
      </c>
      <c r="BL730" s="57">
        <f t="shared" ca="1" si="615"/>
        <v>16.310000000000002</v>
      </c>
      <c r="BM730" s="115" t="b">
        <f t="shared" ca="1" si="616"/>
        <v>1</v>
      </c>
      <c r="BN730" s="115" t="b">
        <f ca="1">AND(OR(C730="赤日轮1",C730="赤日轮2",C730="赤日轮3",C730="幽月轮1",C730="幽月轮2",C730="幽月轮3"),AB730=1,模拟模式!$L$7="明光恒照")</f>
        <v>0</v>
      </c>
      <c r="BO730" s="117">
        <f t="shared" ca="1" si="617"/>
        <v>28.155000000000001</v>
      </c>
      <c r="BP730" s="115">
        <f t="shared" ca="1" si="634"/>
        <v>6</v>
      </c>
      <c r="BQ730" s="115" t="b">
        <f>模拟模式!$K$10="2600·水"</f>
        <v>0</v>
      </c>
      <c r="BR730" s="117">
        <f t="shared" si="635"/>
        <v>0</v>
      </c>
      <c r="BS730" s="115">
        <f t="shared" si="636"/>
        <v>0</v>
      </c>
      <c r="BT730" s="115">
        <f t="shared" ca="1" si="637"/>
        <v>0</v>
      </c>
      <c r="BU730" s="115" t="b">
        <f ca="1">AND(模拟模式!$K$10="2300·雷",BT729=0,RAND()&lt;IF(C730="净世破魔击·月",5*0.05*2/3,IF(C730="净世破魔击·日",3*0.05*2/3,0.05*2*2/3)))</f>
        <v>0</v>
      </c>
      <c r="BV730" s="115">
        <f t="shared" ca="1" si="638"/>
        <v>0</v>
      </c>
      <c r="BW730" s="115">
        <f t="shared" ca="1" si="639"/>
        <v>89.59499999999926</v>
      </c>
      <c r="BX730" s="164" t="b">
        <f t="shared" ca="1" si="640"/>
        <v>0</v>
      </c>
      <c r="BY730" s="115">
        <f t="shared" ca="1" si="641"/>
        <v>0</v>
      </c>
      <c r="BZ730" s="115">
        <f>IF(OR(模拟模式!$P$16="10人团",模拟模式!$P$16="25人团"),IF(B730/30&gt;CA729,1,0),0)</f>
        <v>0</v>
      </c>
      <c r="CA730" s="115">
        <f t="shared" si="618"/>
        <v>0</v>
      </c>
      <c r="CB730" s="115">
        <f ca="1">IF(BZ730=1,IF(模拟模式!$P$16="10人团",15,0)+IF(模拟模式!$P$16="25人团",IF(RAND()&lt;0.6,15,0)),MAX(0,CB729-$F$4))</f>
        <v>0</v>
      </c>
      <c r="CC730" s="115" t="b">
        <f t="shared" ca="1" si="619"/>
        <v>0</v>
      </c>
      <c r="CD730" s="115">
        <f>IF(模拟模式!$Q$16="1个",IF(B730/40&gt;CE729,1,0),0)</f>
        <v>0</v>
      </c>
      <c r="CE730" s="115">
        <f t="shared" si="620"/>
        <v>0</v>
      </c>
      <c r="CF730" s="115">
        <f>IF(OR(CD730=1,模拟模式!$Q$16="2个"),20,MAX(0,CF729-$F$4))</f>
        <v>0</v>
      </c>
      <c r="CG730" s="115" t="b">
        <f t="shared" si="621"/>
        <v>0</v>
      </c>
      <c r="CH730" s="115">
        <f t="shared" ca="1" si="642"/>
        <v>1.4025000000000118</v>
      </c>
      <c r="CI730" s="115" t="b">
        <f t="shared" ca="1" si="643"/>
        <v>0</v>
      </c>
      <c r="CJ730" s="119">
        <f t="shared" ca="1" si="644"/>
        <v>0</v>
      </c>
      <c r="CK730" s="115">
        <f t="shared" ca="1" si="645"/>
        <v>0</v>
      </c>
      <c r="CL730" s="115" t="b">
        <f ca="1">AND(模拟模式!$S$7="驱夷逐法",OR(AND(C730="净世破魔击·月",E729&gt;59),AND(C730="净世破魔击·日",F729&gt;59)))</f>
        <v>0</v>
      </c>
      <c r="CM730" s="115" t="b">
        <f ca="1">OR(CL730,AND(C730="净世破魔击·日",CL729,RAND()&lt;模拟模式!$U$23))</f>
        <v>1</v>
      </c>
      <c r="CN730" s="115" t="b">
        <f ca="1">IF(模拟模式!$M$7="辉耀红尘",AND(C730="净世破魔击·月",CL730,CV730=0,E729&lt;80),AND(C730="净世破魔击·月",CL730,E729&lt;100))</f>
        <v>0</v>
      </c>
      <c r="CO730" s="115" t="b">
        <f t="shared" ca="1" si="622"/>
        <v>0</v>
      </c>
      <c r="CP730" s="115" t="b">
        <f ca="1">AND(模拟模式!$O$7="用晦而明",OR(C730="净世破魔击·日",C730="净世破魔击·月",C730="驱夜断愁"),AB730)</f>
        <v>1</v>
      </c>
      <c r="CQ730" s="115" t="b">
        <f ca="1">OR(CP730,AND(CP729,RAND()&lt;模拟模式!$U$23))</f>
        <v>1</v>
      </c>
      <c r="CR730" s="115" t="b">
        <f ca="1">AND(模拟模式!$S$7="日月齐光",OR(C730="幽月轮1",C730="幽月轮2",C730="幽月轮3",CR729),NOT(OR(C730="赤日轮1",C730="赤日轮2",C730="赤日轮3")))</f>
        <v>0</v>
      </c>
      <c r="CS730" s="115" t="b">
        <f ca="1">AND(模拟模式!$S$7="日月齐光",OR(C730="赤日轮1",C730="赤日轮2",C730="赤日轮3",CS729),NOT(OR(C730="幽月轮1",C730="幽月轮2",C730="幽月轮3")))</f>
        <v>0</v>
      </c>
      <c r="CT730" s="115">
        <f t="shared" ca="1" si="646"/>
        <v>18.930000000000007</v>
      </c>
      <c r="CU730" s="115" t="b">
        <f ca="1">AND(模拟模式!$K$10="阴阳往极",CT729=0,RAND()&lt;IF(C730="净世破魔击·月",0.0275*7/3,IF(C730="净世破魔击·日",0.0275*3/3,0.0275*2/3)))</f>
        <v>0</v>
      </c>
      <c r="CV730" s="115">
        <f t="shared" ca="1" si="647"/>
        <v>0</v>
      </c>
      <c r="CW730" s="115">
        <f t="shared" ca="1" si="648"/>
        <v>3.2324999999999995</v>
      </c>
      <c r="CX730" s="115">
        <f t="shared" ca="1" si="649"/>
        <v>1.3874999999999997</v>
      </c>
      <c r="CY730" s="115">
        <f ca="1">MAX(IF($C730="驱夜断愁",IF(模拟模式!$R$7="万念俱寂",6,45),CY729-$F$4),0)</f>
        <v>2.3099999999999996</v>
      </c>
      <c r="CZ730" s="115">
        <f t="shared" ca="1" si="623"/>
        <v>0</v>
      </c>
      <c r="DA730" s="115">
        <f ca="1">IF(模拟模式!$N$7="日月同辉",IF(DB729=2,0,MIN(6,IF(AND(OR(C730="赤日轮1",C730="赤日轮2",C730="赤日轮3",C730="幽月轮1",C730="幽月轮2",C730="幽月轮3"),AB730=1),DA729+1,DA729))),0)</f>
        <v>1</v>
      </c>
      <c r="DB730" s="115">
        <f t="shared" ca="1" si="624"/>
        <v>0</v>
      </c>
      <c r="DC730" s="115"/>
      <c r="DD730" s="115"/>
      <c r="DE730" s="115"/>
      <c r="DF730" s="115"/>
      <c r="DG730" s="115"/>
      <c r="DH730" s="115"/>
      <c r="DI730" s="115"/>
      <c r="DJ730" s="115"/>
      <c r="DK730" s="115"/>
      <c r="DL730" s="115"/>
      <c r="DM730" s="115"/>
    </row>
    <row r="731" spans="2:117" x14ac:dyDescent="0.2">
      <c r="B731" s="117">
        <f t="shared" si="625"/>
        <v>649.44000000000756</v>
      </c>
      <c r="C731" s="167" t="str">
        <f t="shared" ca="1" si="594"/>
        <v>赤日轮1</v>
      </c>
      <c r="D731" s="115">
        <f ca="1">IF(C731="赤日轮1",1,IF(C731="赤日轮2",2,IF(C731="赤日轮3",3,IF(C731="幽月轮1",4,IF(C731="幽月轮2",5,IF(C731="幽月轮3",6,IF(C731="烈日斩",7,IF(C731="银月斩",8,IF(C731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731="净世破魔击·月",17,IF(C731="驱夜断愁",18,0)))))))))))</f>
        <v>1</v>
      </c>
      <c r="E731" s="115">
        <f ca="1">IF(AND(CU731,OR(C731="幽月轮1",C731="幽月轮2",C731="幽月轮3",C731="银月斩",C731="驱夜断愁",C731="净世破魔击·月")),100,MIN(IF(OR(CN731,BE731),0,IF(OR($C731="赤日轮1",$C731="赤日轮2",$C731="赤日轮3"),E730+20+IF(模拟模式!$I$7="日月凌天",4,0)+IF(CR730,20,0),IF($C731="烈日斩",E730+40,IF($C731="驱夜断愁",IF(模拟模式!$R$7="万念俱寂",E730+20,E730+60),IF($C731="净世破魔击·月",IF(OR(DB730&gt;0,CV730&gt;0),100,IF(模拟模式!$M$7="辉耀红尘",E730+20,E730)),IF($C731="净世破魔击·日",E730-100,E730)))))),100))</f>
        <v>20</v>
      </c>
      <c r="F731" s="115">
        <f ca="1">IF(AND(CU731,OR(C731="赤日轮1",C731="赤日轮2",C731="赤日轮3",C731="烈日斩",C731="净世破魔击·日")),100,MIN(IF(CO731,0,IF(OR($C731="幽月轮1",$C731="幽月轮2",$C731="幽月轮3"),F730+20+IF(模拟模式!$I$7="日月凌天",4,0)+IF(CS730,20,0),IF($C731="银月斩",F730+40+IF(模拟模式!$X$12=1,5,0),IF($C731="驱夜断愁",IF(模拟模式!$R$7="万念俱寂",F730+20,F730+60),IF($C731="净世破魔击·月",IF(模拟模式!$M$7="辉耀红尘",F730-80,F730-100),IF(AND(C731="净世破魔击·日",OR(DB730&gt;0,CV730&gt;0)),100,F730)))))),100))</f>
        <v>20</v>
      </c>
      <c r="G731" s="117">
        <f ca="1">('模拟-全程加成'!$E$3+'模拟-全程加成'!$E$4+'模拟-全程加成'!$E$5+('模拟-全程加成'!$C$6-'模拟-全程加成'!$C$3)*系数!$B$9+BS731*23)*(1+'模拟-全程加成'!$F$4+'模拟-全程加成'!$F$5+BJ731*10%+BM731*20%+BP731*4%+CG731*30%)+$F$7*系数!$B$12</f>
        <v>20583.127400000001</v>
      </c>
      <c r="H731" s="45">
        <f ca="1">'模拟-全程加成'!$H$3+'模拟-全程加成'!$H$4+'模拟-全程加成'!$H$5+('模拟-全程加成'!$G$4+'模拟-全程加成'!$G$5+('模拟-全程加成'!$C$6-'模拟-全程加成'!$C$3)*系数!$B$13)/系数!$B$3+LOOKUP(D731,'模拟-单技能数据'!$A$2:$A$19,'模拟-单技能数据'!$K$2:$K$19)+BG731*10%+IF(BV731&gt;0,378,0)</f>
        <v>0.4618514552730022</v>
      </c>
      <c r="I731" s="45">
        <f ca="1">'模拟-全程加成'!$J$3+'模拟-全程加成'!$J$4+'模拟-全程加成'!$J$5+('模拟-全程加成'!$I$4+'模拟-全程加成'!$I$5)/系数!$B$4+LOOKUP(D731,'模拟-单技能数据'!$A$2:$A$19,'模拟-单技能数据'!$L$2:$L$19)+BG731*10%</f>
        <v>2.162482885499879</v>
      </c>
      <c r="J731" s="45">
        <f ca="1">(('模拟-全程加成'!$K$3+'模拟-全程加成'!$K$4+'模拟-全程加成'!$K$5+('模拟-全程加成'!$C$6-'模拟-全程加成'!$C$3)*系数!$B$10+IF(BV731&gt;0,882,0)+IF(BY731&gt;0,1831,0))*(1+'模拟-全程加成'!$L$4+'模拟-全程加成'!$L$5+CC731*20%))/系数!$B$5</f>
        <v>0.69723220422048726</v>
      </c>
      <c r="K731" s="119">
        <f ca="1">LOOKUP(D731,'模拟-单技能数据'!$A$2:$A$19,'模拟-单技能数据'!$J$2:$J$19)+IF(CM731,60%,0)+IF(DB730-DB731&gt;0,30%,0)+IF(OR(AND(OR(C731="赤日轮1",C731="赤日轮2",C731="赤日轮3"),CR731),AND(OR(C731="幽月轮1",C731="幽月轮2",C731="幽月轮3"),CS731)),35%,0)+CJ731</f>
        <v>0.12</v>
      </c>
      <c r="L731" s="119">
        <f ca="1">IF(AND(C731="烈日斩",模拟模式!$X$11=1),10%,0)+IF(AND(C731="驱夜断愁",AB731=1),30%,0)</f>
        <v>0</v>
      </c>
      <c r="M731" s="45">
        <f t="shared" ca="1" si="595"/>
        <v>0.4618514552730022</v>
      </c>
      <c r="N731" s="45">
        <f t="shared" ca="1" si="596"/>
        <v>0.48424854472699785</v>
      </c>
      <c r="O731" s="46">
        <f t="shared" ca="1" si="626"/>
        <v>0.53218697289092554</v>
      </c>
      <c r="P731" s="46" t="str">
        <f t="shared" ca="1" si="597"/>
        <v>命</v>
      </c>
      <c r="Q731" s="45">
        <f t="shared" ca="1" si="598"/>
        <v>1</v>
      </c>
      <c r="R731" s="117">
        <f ca="1">模拟模式!$E$20*(1-IF(模拟模式!$J$19="有",0.15,0))*(1-IF(模拟模式!$K$19="有",0.3,0)-IF(CQ731,0.5,0))</f>
        <v>843.02999999999975</v>
      </c>
      <c r="S731" s="45">
        <f ca="1">R731/(R731+(185*模拟模式!$E$22-16800)*4.08224)</f>
        <v>8.389626085980037E-2</v>
      </c>
      <c r="T731" s="45" t="str">
        <f ca="1">LOOKUP(D731,'模拟-单技能数据'!$A$2:$A$19,'模拟-单技能数据'!$H$2:$H$19)</f>
        <v>阳</v>
      </c>
      <c r="U731" s="119">
        <f t="shared" ca="1" si="599"/>
        <v>0.2</v>
      </c>
      <c r="V731" s="47">
        <f ca="1">(1+L731)*(LOOKUP(D731,'模拟-单技能数据'!$A$2:$A$19,'模拟-单技能数据'!$D$2:$D$19)+G731*LOOKUP(D731,'模拟-单技能数据'!$A$2:$A$19,'模拟-单技能数据'!$F$2:$F$19))*(1+J731)*(1+K731)*(1-S731)*(1+U731)*Q731*LOOKUP(D731,'模拟-单技能数据'!$A$2:$A$19,'模拟-单技能数据'!$I$2:$I$20)</f>
        <v>25194.44799269021</v>
      </c>
      <c r="W731" s="47">
        <f ca="1">LOOKUP(D731,'模拟-单技能数据'!$A$2:$A$19,'模拟-单技能数据'!$G$2:$G$19)*$I$10</f>
        <v>361.51064354704795</v>
      </c>
      <c r="X731" s="47">
        <f t="shared" ca="1" si="627"/>
        <v>2779.5883771893346</v>
      </c>
      <c r="Y731" s="47">
        <f t="shared" ca="1" si="600"/>
        <v>28335.547013426592</v>
      </c>
      <c r="Z731" s="49">
        <f t="shared" ca="1" si="601"/>
        <v>73373280.00174886</v>
      </c>
      <c r="AA731" s="97">
        <f t="shared" ca="1" si="602"/>
        <v>112979.30525028949</v>
      </c>
      <c r="AB731" s="115">
        <f ca="1">IF(OR(C731="赤日轮1",C731="赤日轮2",C731="赤日轮3"),IF(RAND()&lt;模拟模式!$Y$17,1,0),IF(OR(C731="幽月轮1",C731="幽月轮2",C731="幽月轮3"),IF(RAND()&lt;模拟模式!$Y$18,1,0),IF(C731="烈日斩",IF(RAND()&lt;模拟模式!$Y$19,1,0),IF(C731="银月斩",IF(RAND()&lt;模拟模式!$Y$20,1,0),IF(C731="驱夜断愁",IF(RAND()&lt;模拟模式!$Y$21,1,0),IF(C731="净世破魔击·日",IF(RAND()&lt;模拟模式!$Y$22,1,0),IF(C731="净世破魔击·月",IF(RAND()&lt;模拟模式!$Y$23,1,0),0)))))))</f>
        <v>1</v>
      </c>
      <c r="AC731" s="115" t="b">
        <f t="shared" ca="1" si="603"/>
        <v>0</v>
      </c>
      <c r="AD731" s="115" t="b">
        <f t="shared" ca="1" si="604"/>
        <v>0</v>
      </c>
      <c r="AE731" s="115">
        <f t="shared" ca="1" si="605"/>
        <v>6</v>
      </c>
      <c r="AF731" s="47">
        <f ca="1">IF(AC731,('模拟-单技能数据'!$D$20+G731*'模拟-单技能数据'!$F$20)*(1+J731)*(1+'模拟-单技能数据'!$J$20)*(1+U731),0)</f>
        <v>0</v>
      </c>
      <c r="AG731" s="61">
        <f t="shared" ca="1" si="606"/>
        <v>0.64185145527300214</v>
      </c>
      <c r="AH731" s="61">
        <f t="shared" ca="1" si="607"/>
        <v>2.2624828854998791</v>
      </c>
      <c r="AI731" s="62">
        <f t="shared" ca="1" si="628"/>
        <v>0.3510156646946675</v>
      </c>
      <c r="AJ731" s="47">
        <f ca="1">IF(AD731,IF(AI731&lt;$F$10,0,IF(AI731&lt;$F$10+$F$11,0.25,IF(AI731&lt;$F$10+$F$11+AG731,AH731,1)))*IF(AF731&gt;0,AF731,IF(AF730&gt;0,AF730,IF(AF729&gt;0,AF729,IF(AF728&gt;0,AF728,IF(AF727&gt;0,AF727,IF(AF726&gt;0,AF726,IF(AF725&gt;0,AF725,IF(AF724&gt;0,AF724,IF(AF723&gt;0,AF723,IF(AF721&gt;0,AF721,IF(AF720&gt;0,AF720,IF(AF719&gt;0,AF719,0)))))))))))),0)*(1-$S731)*'模拟-单技能数据'!$I$20</f>
        <v>0</v>
      </c>
      <c r="AK731" s="115" t="b">
        <f t="shared" ca="1" si="608"/>
        <v>0</v>
      </c>
      <c r="AL731" s="115" t="b">
        <f t="shared" ca="1" si="609"/>
        <v>1</v>
      </c>
      <c r="AM731" s="115">
        <f t="shared" ca="1" si="610"/>
        <v>5</v>
      </c>
      <c r="AN731" s="47">
        <f ca="1">IF(AK731,('模拟-单技能数据'!$D$21+G731*'模拟-单技能数据'!$F$21)*(1+J731)*(1+'模拟-单技能数据'!$J$21)*(1+U731),0)</f>
        <v>0</v>
      </c>
      <c r="AO731" s="61">
        <f ca="1">IF(AN731&gt;0,M731-'模拟-单技能数据'!$K$10,AO730)</f>
        <v>0.42185145527300216</v>
      </c>
      <c r="AP731" s="61">
        <f ca="1">IF(AN731&gt;0,I731-'模拟-单技能数据'!$L$10,AP730)</f>
        <v>2.162482885499879</v>
      </c>
      <c r="AQ731" s="63">
        <f t="shared" ca="1" si="629"/>
        <v>8.5818360901891433E-3</v>
      </c>
      <c r="AR731" s="64">
        <f ca="1">IF(AL731,IF(AQ731&lt;$F$10,0,IF(AQ731&lt;$F$10+$F$11,0.25,IF(AQ731&lt;$F$10+$F$11+AO731,AP731,1)))*IF(AN731&gt;0,AN731,IF(AN730&gt;0,AN730,IF(AN729&gt;0,AN729,IF(AN728&gt;0,AN728,IF(AN727&gt;0,AN727,IF(AN726&gt;0,AN726,IF(AN725&gt;0,AN725,IF(AN724&gt;0,AN724,IF(AN723&gt;0,AN723,IF(AN721&gt;0,AN721,IF(AN720&gt;0,AN720,IF(AN719&gt;0,AN719,0)))))))))))),0)*(1-$S731)*'模拟-单技能数据'!$I$21</f>
        <v>2779.5883771893346</v>
      </c>
      <c r="AS731" s="61">
        <f ca="1">IF(OR(C731="净世破魔击·日",C731="净世破魔击·月"),M731-'模拟-单技能数据'!$K$10,0)</f>
        <v>0</v>
      </c>
      <c r="AT731" s="61">
        <f ca="1">IF(OR(C731="净世破魔击·日",C731="净世破魔击·月"),I731-'模拟-单技能数据'!$L$10,0)</f>
        <v>0</v>
      </c>
      <c r="AU731" s="62">
        <f t="shared" ca="1" si="630"/>
        <v>0.93010697368120598</v>
      </c>
      <c r="AV731" s="64">
        <f ca="1">IF(AS731&gt;0,('模拟-单技能数据'!$D$22+G731*'模拟-单技能数据'!$F$22)*(1+J731)*(1-S731)*IF(AU731&lt;$F$10,0,IF(AU731&lt;$F$10+$F$11,0.25,IF(AU731&lt;$F$10+$F$11+AS731,AT731,1)))*(1+U731),0)*'模拟-单技能数据'!$I$22</f>
        <v>0</v>
      </c>
      <c r="AW731" s="108">
        <f t="shared" ca="1" si="631"/>
        <v>6.1625000000000068</v>
      </c>
      <c r="AX731" s="108" t="b">
        <f ca="1">AND(模拟模式!$P$10="有",AW730=0,RAND()&lt;IF(C731="净世破魔击·月",0.1*8/3,IF(C731="净世破魔击·日",0.1*4/3,0.1*2/3)))</f>
        <v>0</v>
      </c>
      <c r="AY731" s="47">
        <f ca="1">IF(AX731,(18+G731*0.722)*(1+J731)*(1-S731)*(1+$I$4)*IF(P731="会",'模拟-全程加成'!$J$3+'模拟-全程加成'!$J$4+'模拟-全程加成'!$J$5+('模拟-全程加成'!$I$4+'模拟-全程加成'!$I$5)/系数!$B$4+BG731*10%,IF(P731="命",1,IF(P731="识",0.25,0))),0)</f>
        <v>0</v>
      </c>
      <c r="AZ731" s="108">
        <f t="shared" si="632"/>
        <v>0</v>
      </c>
      <c r="BA731" s="108" t="b">
        <f>AND(模拟模式!$Q$10="有",AZ730=0)</f>
        <v>0</v>
      </c>
      <c r="BB731" s="140">
        <f>IF(BA731,(0+G731*0.287)*(1+J731)*(1-S731)*(1+$I$4)*IF(P731="会",'模拟-全程加成'!$J$3+'模拟-全程加成'!$J$4+'模拟-全程加成'!$J$5+('模拟-全程加成'!$I$4+'模拟-全程加成'!$I$5)/系数!$B$4+BG731*10%,IF(P731="命",1,IF(P731="识",0.25,0))),0)</f>
        <v>0</v>
      </c>
      <c r="BC731" s="115" t="b">
        <f ca="1">AND(模拟模式!$R$7="伏明众生",E731=60,F731=20,DA731&lt;5,CZ730&lt;$F$4)</f>
        <v>0</v>
      </c>
      <c r="BD731" s="115">
        <f t="shared" ca="1" si="611"/>
        <v>0</v>
      </c>
      <c r="BE731" s="115" t="b">
        <f t="shared" ca="1" si="612"/>
        <v>0</v>
      </c>
      <c r="BF731" s="47">
        <f ca="1">IF(BC731,4*('模拟-单技能数据'!$D$24+G731*'模拟-单技能数据'!$F$24)*(1+J731)*(1+'模拟-单技能数据'!$J$24)*(1-S731)*(1+$I$3)*(('模拟-全程加成'!$J$3+'模拟-全程加成'!$J$4+'模拟-全程加成'!$J$5+('模拟-全程加成'!$I$4+'模拟-全程加成'!$I$5)/系数!$B$4+BG731*10%)*('模拟-全程加成'!$J$3+'模拟-全程加成'!$J$4+'模拟-全程加成'!$J$5+('模拟-全程加成'!$I$4+'模拟-全程加成'!$I$5)/系数!$B$4+BG731*10%)+(1-('模拟-全程加成'!$J$3+'模拟-全程加成'!$J$4+'模拟-全程加成'!$J$5+('模拟-全程加成'!$I$4+'模拟-全程加成'!$I$5)/系数!$B$4+BG731*10%)-$F$10-$F$11)+F717*0.25),0)*'模拟-单技能数据'!$I$24</f>
        <v>0</v>
      </c>
      <c r="BG731" s="115" t="b">
        <f ca="1">OR(AND(OR(C731="烈日斩",C731="银月斩"),模拟模式!$I$7="净身明礼"),AND(C731="净世破魔击·日",模拟模式!$J$7="洞若观火"),AND(C732="净世破魔击·月",模拟模式!$J$7="洞若观火"),AB731=1)</f>
        <v>1</v>
      </c>
      <c r="BH731" s="115" t="b">
        <f t="shared" ca="1" si="633"/>
        <v>0</v>
      </c>
      <c r="BI731" s="115">
        <f t="shared" ca="1" si="613"/>
        <v>0</v>
      </c>
      <c r="BJ731" s="115" t="b">
        <f t="shared" ca="1" si="614"/>
        <v>0</v>
      </c>
      <c r="BK731" s="115" t="b">
        <f ca="1">AND(C731="驱夜断愁",模拟模式!$P$7="天地诛戮")</f>
        <v>0</v>
      </c>
      <c r="BL731" s="57">
        <f t="shared" ca="1" si="615"/>
        <v>15.387500000000003</v>
      </c>
      <c r="BM731" s="115" t="b">
        <f t="shared" ca="1" si="616"/>
        <v>1</v>
      </c>
      <c r="BN731" s="115" t="b">
        <f ca="1">AND(OR(C731="赤日轮1",C731="赤日轮2",C731="赤日轮3",C731="幽月轮1",C731="幽月轮2",C731="幽月轮3"),AB731=1,模拟模式!$L$7="明光恒照")</f>
        <v>1</v>
      </c>
      <c r="BO731" s="117">
        <f t="shared" ca="1" si="617"/>
        <v>30</v>
      </c>
      <c r="BP731" s="115">
        <f t="shared" ca="1" si="634"/>
        <v>6</v>
      </c>
      <c r="BQ731" s="115" t="b">
        <f>模拟模式!$K$10="2600·水"</f>
        <v>0</v>
      </c>
      <c r="BR731" s="117">
        <f t="shared" si="635"/>
        <v>0</v>
      </c>
      <c r="BS731" s="115">
        <f t="shared" si="636"/>
        <v>0</v>
      </c>
      <c r="BT731" s="115">
        <f t="shared" ca="1" si="637"/>
        <v>0</v>
      </c>
      <c r="BU731" s="115" t="b">
        <f ca="1">AND(模拟模式!$K$10="2300·雷",BT730=0,RAND()&lt;IF(C731="净世破魔击·月",5*0.05*2/3,IF(C731="净世破魔击·日",3*0.05*2/3,0.05*2*2/3)))</f>
        <v>0</v>
      </c>
      <c r="BV731" s="115">
        <f t="shared" ca="1" si="638"/>
        <v>0</v>
      </c>
      <c r="BW731" s="115">
        <f t="shared" ca="1" si="639"/>
        <v>88.67249999999926</v>
      </c>
      <c r="BX731" s="164" t="b">
        <f t="shared" ca="1" si="640"/>
        <v>0</v>
      </c>
      <c r="BY731" s="115">
        <f t="shared" ca="1" si="641"/>
        <v>0</v>
      </c>
      <c r="BZ731" s="115">
        <f>IF(OR(模拟模式!$P$16="10人团",模拟模式!$P$16="25人团"),IF(B731/30&gt;CA730,1,0),0)</f>
        <v>0</v>
      </c>
      <c r="CA731" s="115">
        <f t="shared" si="618"/>
        <v>0</v>
      </c>
      <c r="CB731" s="115">
        <f ca="1">IF(BZ731=1,IF(模拟模式!$P$16="10人团",15,0)+IF(模拟模式!$P$16="25人团",IF(RAND()&lt;0.6,15,0)),MAX(0,CB730-$F$4))</f>
        <v>0</v>
      </c>
      <c r="CC731" s="115" t="b">
        <f t="shared" ca="1" si="619"/>
        <v>0</v>
      </c>
      <c r="CD731" s="115">
        <f>IF(模拟模式!$Q$16="1个",IF(B731/40&gt;CE730,1,0),0)</f>
        <v>0</v>
      </c>
      <c r="CE731" s="115">
        <f t="shared" si="620"/>
        <v>0</v>
      </c>
      <c r="CF731" s="115">
        <f>IF(OR(CD731=1,模拟模式!$Q$16="2个"),20,MAX(0,CF730-$F$4))</f>
        <v>0</v>
      </c>
      <c r="CG731" s="115" t="b">
        <f t="shared" si="621"/>
        <v>0</v>
      </c>
      <c r="CH731" s="115">
        <f t="shared" ca="1" si="642"/>
        <v>0.48000000000001186</v>
      </c>
      <c r="CI731" s="115" t="b">
        <f t="shared" ca="1" si="643"/>
        <v>0</v>
      </c>
      <c r="CJ731" s="119">
        <f t="shared" ca="1" si="644"/>
        <v>0</v>
      </c>
      <c r="CK731" s="115">
        <f t="shared" ca="1" si="645"/>
        <v>0</v>
      </c>
      <c r="CL731" s="115" t="b">
        <f ca="1">AND(模拟模式!$S$7="驱夷逐法",OR(AND(C731="净世破魔击·月",E730&gt;59),AND(C731="净世破魔击·日",F730&gt;59)))</f>
        <v>0</v>
      </c>
      <c r="CM731" s="115" t="b">
        <f ca="1">OR(CL731,AND(C731="净世破魔击·日",CL730,RAND()&lt;模拟模式!$U$23))</f>
        <v>0</v>
      </c>
      <c r="CN731" s="115" t="b">
        <f ca="1">IF(模拟模式!$M$7="辉耀红尘",AND(C731="净世破魔击·月",CL731,CV731=0,E730&lt;80),AND(C731="净世破魔击·月",CL731,E730&lt;100))</f>
        <v>0</v>
      </c>
      <c r="CO731" s="115" t="b">
        <f t="shared" ca="1" si="622"/>
        <v>0</v>
      </c>
      <c r="CP731" s="115" t="b">
        <f ca="1">AND(模拟模式!$O$7="用晦而明",OR(C731="净世破魔击·日",C731="净世破魔击·月",C731="驱夜断愁"),AB731)</f>
        <v>0</v>
      </c>
      <c r="CQ731" s="115" t="b">
        <f ca="1">OR(CP731,AND(CP730,RAND()&lt;模拟模式!$U$23))</f>
        <v>1</v>
      </c>
      <c r="CR731" s="115" t="b">
        <f ca="1">AND(模拟模式!$S$7="日月齐光",OR(C731="幽月轮1",C731="幽月轮2",C731="幽月轮3",CR730),NOT(OR(C731="赤日轮1",C731="赤日轮2",C731="赤日轮3")))</f>
        <v>0</v>
      </c>
      <c r="CS731" s="115" t="b">
        <f ca="1">AND(模拟模式!$S$7="日月齐光",OR(C731="赤日轮1",C731="赤日轮2",C731="赤日轮3",CS730),NOT(OR(C731="幽月轮1",C731="幽月轮2",C731="幽月轮3")))</f>
        <v>0</v>
      </c>
      <c r="CT731" s="115">
        <f t="shared" ca="1" si="646"/>
        <v>18.007500000000007</v>
      </c>
      <c r="CU731" s="115" t="b">
        <f ca="1">AND(模拟模式!$K$10="阴阳往极",CT730=0,RAND()&lt;IF(C731="净世破魔击·月",0.0275*7/3,IF(C731="净世破魔击·日",0.0275*3/3,0.0275*2/3)))</f>
        <v>0</v>
      </c>
      <c r="CV731" s="115">
        <f t="shared" ca="1" si="647"/>
        <v>0</v>
      </c>
      <c r="CW731" s="115">
        <f t="shared" ca="1" si="648"/>
        <v>2.3099999999999996</v>
      </c>
      <c r="CX731" s="115">
        <f t="shared" ca="1" si="649"/>
        <v>0.46499999999999975</v>
      </c>
      <c r="CY731" s="115">
        <f ca="1">MAX(IF($C731="驱夜断愁",IF(模拟模式!$R$7="万念俱寂",6,45),CY730-$F$4),0)</f>
        <v>1.3874999999999997</v>
      </c>
      <c r="CZ731" s="115">
        <f t="shared" ca="1" si="623"/>
        <v>0</v>
      </c>
      <c r="DA731" s="115">
        <f ca="1">IF(模拟模式!$N$7="日月同辉",IF(DB730=2,0,MIN(6,IF(AND(OR(C731="赤日轮1",C731="赤日轮2",C731="赤日轮3",C731="幽月轮1",C731="幽月轮2",C731="幽月轮3"),AB731=1),DA730+1,DA730))),0)</f>
        <v>2</v>
      </c>
      <c r="DB731" s="115">
        <f t="shared" ca="1" si="624"/>
        <v>0</v>
      </c>
      <c r="DC731" s="115"/>
      <c r="DD731" s="115"/>
      <c r="DE731" s="115"/>
      <c r="DF731" s="115"/>
      <c r="DG731" s="115"/>
      <c r="DH731" s="115"/>
      <c r="DI731" s="115"/>
      <c r="DJ731" s="115"/>
      <c r="DK731" s="115"/>
      <c r="DL731" s="115"/>
      <c r="DM731" s="115"/>
    </row>
    <row r="732" spans="2:117" x14ac:dyDescent="0.2">
      <c r="B732" s="117">
        <f t="shared" si="625"/>
        <v>650.36250000000757</v>
      </c>
      <c r="C732" s="167" t="str">
        <f t="shared" ref="C732:C753" ca="1" si="650">IF(F731=100,"净世破魔击·月",IF(E731=100,"净世破魔击·日",IF(E731&lt;20,IF(C731="赤日轮1","赤日轮2",IF(C731="赤日轮2","赤日轮3","赤日轮1")),IF(AND(E731&gt;19,F731&lt;44,CX731&lt;$F$4),"银月斩",IF(AND(E731&lt;40,CY731&lt;$F$4),"驱夜断愁",IF(AND(E731&lt;60,CW731&lt;$F$4),"烈日斩",IF(C731="幽月轮1","幽月轮2",IF(C731="幽月轮2","幽月轮3","幽月轮1"))))))))</f>
        <v>银月斩</v>
      </c>
      <c r="D732" s="115">
        <f ca="1">IF(C732="赤日轮1",1,IF(C732="赤日轮2",2,IF(C732="赤日轮3",3,IF(C732="幽月轮1",4,IF(C732="幽月轮2",5,IF(C732="幽月轮3",6,IF(C732="烈日斩",7,IF(C732="银月斩",8,IF(C732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732="净世破魔击·月",17,IF(C732="驱夜断愁",18,0)))))))))))</f>
        <v>8</v>
      </c>
      <c r="E732" s="115">
        <f ca="1">IF(AND(CU732,OR(C732="幽月轮1",C732="幽月轮2",C732="幽月轮3",C732="银月斩",C732="驱夜断愁",C732="净世破魔击·月")),100,MIN(IF(OR(CN732,BE732),0,IF(OR($C732="赤日轮1",$C732="赤日轮2",$C732="赤日轮3"),E731+20+IF(模拟模式!$I$7="日月凌天",4,0)+IF(CR731,20,0),IF($C732="烈日斩",E731+40,IF($C732="驱夜断愁",IF(模拟模式!$R$7="万念俱寂",E731+20,E731+60),IF($C732="净世破魔击·月",IF(OR(DB731&gt;0,CV731&gt;0),100,IF(模拟模式!$M$7="辉耀红尘",E731+20,E731)),IF($C732="净世破魔击·日",E731-100,E731)))))),100))</f>
        <v>20</v>
      </c>
      <c r="F732" s="115">
        <f ca="1">IF(AND(CU732,OR(C732="赤日轮1",C732="赤日轮2",C732="赤日轮3",C732="烈日斩",C732="净世破魔击·日")),100,MIN(IF(CO732,0,IF(OR($C732="幽月轮1",$C732="幽月轮2",$C732="幽月轮3"),F731+20+IF(模拟模式!$I$7="日月凌天",4,0)+IF(CS731,20,0),IF($C732="银月斩",F731+40+IF(模拟模式!$X$12=1,5,0),IF($C732="驱夜断愁",IF(模拟模式!$R$7="万念俱寂",F731+20,F731+60),IF($C732="净世破魔击·月",IF(模拟模式!$M$7="辉耀红尘",F731-80,F731-100),IF(AND(C732="净世破魔击·日",OR(DB731&gt;0,CV731&gt;0)),100,F731)))))),100))</f>
        <v>65</v>
      </c>
      <c r="G732" s="117">
        <f ca="1">('模拟-全程加成'!$E$3+'模拟-全程加成'!$E$4+'模拟-全程加成'!$E$5+('模拟-全程加成'!$C$6-'模拟-全程加成'!$C$3)*系数!$B$9+BS732*23)*(1+'模拟-全程加成'!$F$4+'模拟-全程加成'!$F$5+BJ732*10%+BM732*20%+BP732*4%+CG732*30%)+$F$7*系数!$B$12</f>
        <v>20583.127400000001</v>
      </c>
      <c r="H732" s="45">
        <f ca="1">'模拟-全程加成'!$H$3+'模拟-全程加成'!$H$4+'模拟-全程加成'!$H$5+('模拟-全程加成'!$G$4+'模拟-全程加成'!$G$5+('模拟-全程加成'!$C$6-'模拟-全程加成'!$C$3)*系数!$B$13)/系数!$B$3+LOOKUP(D732,'模拟-单技能数据'!$A$2:$A$19,'模拟-单技能数据'!$K$2:$K$19)+BG732*10%+IF(BV732&gt;0,378,0)</f>
        <v>0.64185145527300214</v>
      </c>
      <c r="I732" s="45">
        <f ca="1">'模拟-全程加成'!$J$3+'模拟-全程加成'!$J$4+'模拟-全程加成'!$J$5+('模拟-全程加成'!$I$4+'模拟-全程加成'!$I$5)/系数!$B$4+LOOKUP(D732,'模拟-单技能数据'!$A$2:$A$19,'模拟-单技能数据'!$L$2:$L$19)+BG732*10%</f>
        <v>2.2624828854998791</v>
      </c>
      <c r="J732" s="45">
        <f ca="1">(('模拟-全程加成'!$K$3+'模拟-全程加成'!$K$4+'模拟-全程加成'!$K$5+('模拟-全程加成'!$C$6-'模拟-全程加成'!$C$3)*系数!$B$10+IF(BV732&gt;0,882,0)+IF(BY732&gt;0,1831,0))*(1+'模拟-全程加成'!$L$4+'模拟-全程加成'!$L$5+CC732*20%))/系数!$B$5</f>
        <v>0.69723220422048726</v>
      </c>
      <c r="K732" s="119">
        <f ca="1">LOOKUP(D732,'模拟-单技能数据'!$A$2:$A$19,'模拟-单技能数据'!$J$2:$J$19)+IF(CM732,60%,0)+IF(DB731-DB732&gt;0,30%,0)+IF(OR(AND(OR(C732="赤日轮1",C732="赤日轮2",C732="赤日轮3"),CR732),AND(OR(C732="幽月轮1",C732="幽月轮2",C732="幽月轮3"),CS732)),35%,0)+CJ732</f>
        <v>0.15</v>
      </c>
      <c r="L732" s="119">
        <f ca="1">IF(AND(C732="烈日斩",模拟模式!$X$11=1),10%,0)+IF(AND(C732="驱夜断愁",AB732=1),30%,0)</f>
        <v>0</v>
      </c>
      <c r="M732" s="45">
        <f t="shared" ref="M732:M753" ca="1" si="651">MIN(H732,1-$F$10-$F$11)</f>
        <v>0.64185145527300214</v>
      </c>
      <c r="N732" s="45">
        <f t="shared" ref="N732:N753" ca="1" si="652">1-$F$10-$F$11-M732</f>
        <v>0.30424854472699792</v>
      </c>
      <c r="O732" s="46">
        <f t="shared" ca="1" si="626"/>
        <v>0.43989540334529509</v>
      </c>
      <c r="P732" s="46" t="str">
        <f t="shared" ref="P732:P753" ca="1" si="653">IF(O732&lt;$F$10,"偏",IF(O732&lt;$F$10+$F$11,"识",IF(O732&lt;$F$10+$F$11+H732,"会","命")))</f>
        <v>会</v>
      </c>
      <c r="Q732" s="45">
        <f t="shared" ref="Q732:Q753" ca="1" si="654">IF(P732="会",I732,IF(P732="命",1,IF(P732="识",0.25,0)))</f>
        <v>2.2624828854998791</v>
      </c>
      <c r="R732" s="117">
        <f ca="1">模拟模式!$E$20*(1-IF(模拟模式!$J$19="有",0.15,0))*(1-IF(模拟模式!$K$19="有",0.3,0)-IF(CQ732,0.5,0))</f>
        <v>2950.6049999999996</v>
      </c>
      <c r="S732" s="45">
        <f ca="1">R732/(R732+(185*模拟模式!$E$22-16800)*4.08224)</f>
        <v>0.24272716014590323</v>
      </c>
      <c r="T732" s="45" t="str">
        <f ca="1">LOOKUP(D732,'模拟-单技能数据'!$A$2:$A$19,'模拟-单技能数据'!$H$2:$H$19)</f>
        <v>阴</v>
      </c>
      <c r="U732" s="119">
        <f t="shared" ref="U732:U753" ca="1" si="655">IF(T732="阳",$I$3,IF(T732="阴",$I$4,0))</f>
        <v>0.08</v>
      </c>
      <c r="V732" s="47">
        <f ca="1">(1+L732)*(LOOKUP(D732,'模拟-单技能数据'!$A$2:$A$19,'模拟-单技能数据'!$D$2:$D$19)+G732*LOOKUP(D732,'模拟-单技能数据'!$A$2:$A$19,'模拟-单技能数据'!$F$2:$F$19))*(1+J732)*(1+K732)*(1-S732)*(1+U732)*Q732*LOOKUP(D732,'模拟-单技能数据'!$A$2:$A$19,'模拟-单技能数据'!$I$2:$I$20)</f>
        <v>39481.310356797861</v>
      </c>
      <c r="W732" s="47">
        <f ca="1">LOOKUP(D732,'模拟-单技能数据'!$A$2:$A$19,'模拟-单技能数据'!$G$2:$G$19)*$I$10</f>
        <v>361.51064354704795</v>
      </c>
      <c r="X732" s="47">
        <f t="shared" ca="1" si="627"/>
        <v>21100.470235654804</v>
      </c>
      <c r="Y732" s="47">
        <f t="shared" ref="Y732:Y753" ca="1" si="656">V732+W732+X732</f>
        <v>60943.291235999714</v>
      </c>
      <c r="Z732" s="49">
        <f t="shared" ref="Z732:Z753" ca="1" si="657">Z731+Y732</f>
        <v>73434223.292984858</v>
      </c>
      <c r="AA732" s="97">
        <f t="shared" ref="AA732:AA753" ca="1" si="658">Z732/B732</f>
        <v>112912.75756671703</v>
      </c>
      <c r="AB732" s="115">
        <f ca="1">IF(OR(C732="赤日轮1",C732="赤日轮2",C732="赤日轮3"),IF(RAND()&lt;模拟模式!$Y$17,1,0),IF(OR(C732="幽月轮1",C732="幽月轮2",C732="幽月轮3"),IF(RAND()&lt;模拟模式!$Y$18,1,0),IF(C732="烈日斩",IF(RAND()&lt;模拟模式!$Y$19,1,0),IF(C732="银月斩",IF(RAND()&lt;模拟模式!$Y$20,1,0),IF(C732="驱夜断愁",IF(RAND()&lt;模拟模式!$Y$21,1,0),IF(C732="净世破魔击·日",IF(RAND()&lt;模拟模式!$Y$22,1,0),IF(C732="净世破魔击·月",IF(RAND()&lt;模拟模式!$Y$23,1,0),0)))))))</f>
        <v>1</v>
      </c>
      <c r="AC732" s="115" t="b">
        <f t="shared" ref="AC732:AC753" ca="1" si="659">C732="银月斩"</f>
        <v>1</v>
      </c>
      <c r="AD732" s="115" t="b">
        <f t="shared" ref="AD732:AD753" ca="1" si="660">IF(AD731+AD730=1,IF(AE731&gt;0,NOT(AD731),FALSE),AC732)</f>
        <v>1</v>
      </c>
      <c r="AE732" s="115">
        <f t="shared" ref="AE732:AE753" ca="1" si="661">IF(AC732,IF(AD730+AD731=0,6,6-AD732),AE731-AD732)</f>
        <v>6</v>
      </c>
      <c r="AF732" s="47">
        <f ca="1">IF(AC732,('模拟-单技能数据'!$D$20+G732*'模拟-单技能数据'!$F$20)*(1+J732)*(1+'模拟-单技能数据'!$J$20)*(1+U732),0)</f>
        <v>4447.8565560098323</v>
      </c>
      <c r="AG732" s="61">
        <f t="shared" ref="AG732:AG753" ca="1" si="662">IF(AF732&gt;0,M732,AG731)</f>
        <v>0.64185145527300214</v>
      </c>
      <c r="AH732" s="61">
        <f t="shared" ref="AH732:AH753" ca="1" si="663">IF(AF732&gt;0,I732,AH731)</f>
        <v>2.2624828854998791</v>
      </c>
      <c r="AI732" s="62">
        <f t="shared" ca="1" si="628"/>
        <v>0.80861219049762589</v>
      </c>
      <c r="AJ732" s="47">
        <f ca="1">IF(AD732,IF(AI732&lt;$F$10,0,IF(AI732&lt;$F$10+$F$11,0.25,IF(AI732&lt;$F$10+$F$11+AG732,AH732,1)))*IF(AF732&gt;0,AF732,IF(AF731&gt;0,AF731,IF(AF730&gt;0,AF730,IF(AF729&gt;0,AF729,IF(AF728&gt;0,AF728,IF(AF727&gt;0,AF727,IF(AF726&gt;0,AF726,IF(AF725&gt;0,AF725,IF(AF724&gt;0,AF724,IF(AF722&gt;0,AF722,IF(AF721&gt;0,AF721,IF(AF720&gt;0,AF720,0)))))))))))),0)*(1-$S732)*'模拟-单技能数据'!$I$20</f>
        <v>3368.2409654332282</v>
      </c>
      <c r="AK732" s="115" t="b">
        <f t="shared" ref="AK732:AK753" ca="1" si="664">C732="净世破魔击·日"</f>
        <v>0</v>
      </c>
      <c r="AL732" s="115" t="b">
        <f t="shared" ref="AL732:AL753" ca="1" si="665">IF(AL731+AL730=1,IF(AM731&gt;0,NOT(AL731),FALSE),AK732)</f>
        <v>0</v>
      </c>
      <c r="AM732" s="115">
        <f t="shared" ref="AM732:AM753" ca="1" si="666">IF(AK732,IF(AL730+AL731=0,6,6-AL732),AM731-AL732)</f>
        <v>5</v>
      </c>
      <c r="AN732" s="47">
        <f ca="1">IF(AK732,('模拟-单技能数据'!$D$21+G732*'模拟-单技能数据'!$F$21)*(1+J732)*(1+'模拟-单技能数据'!$J$21)*(1+U732),0)</f>
        <v>0</v>
      </c>
      <c r="AO732" s="61">
        <f ca="1">IF(AN732&gt;0,M732-'模拟-单技能数据'!$K$10,AO731)</f>
        <v>0.42185145527300216</v>
      </c>
      <c r="AP732" s="61">
        <f ca="1">IF(AN732&gt;0,I732-'模拟-单技能数据'!$L$10,AP731)</f>
        <v>2.162482885499879</v>
      </c>
      <c r="AQ732" s="63">
        <f t="shared" ca="1" si="629"/>
        <v>0.68584442446677096</v>
      </c>
      <c r="AR732" s="64">
        <f ca="1">IF(AL732,IF(AQ732&lt;$F$10,0,IF(AQ732&lt;$F$10+$F$11,0.25,IF(AQ732&lt;$F$10+$F$11+AO732,AP732,1)))*IF(AN732&gt;0,AN732,IF(AN731&gt;0,AN731,IF(AN730&gt;0,AN730,IF(AN729&gt;0,AN729,IF(AN728&gt;0,AN728,IF(AN727&gt;0,AN727,IF(AN726&gt;0,AN726,IF(AN725&gt;0,AN725,IF(AN724&gt;0,AN724,IF(AN722&gt;0,AN722,IF(AN721&gt;0,AN721,IF(AN720&gt;0,AN720,0)))))))))))),0)*(1-$S732)*'模拟-单技能数据'!$I$21</f>
        <v>0</v>
      </c>
      <c r="AS732" s="61">
        <f ca="1">IF(OR(C732="净世破魔击·日",C732="净世破魔击·月"),M732-'模拟-单技能数据'!$K$10,0)</f>
        <v>0</v>
      </c>
      <c r="AT732" s="61">
        <f ca="1">IF(OR(C732="净世破魔击·日",C732="净世破魔击·月"),I732-'模拟-单技能数据'!$L$10,0)</f>
        <v>0</v>
      </c>
      <c r="AU732" s="62">
        <f t="shared" ca="1" si="630"/>
        <v>0.32589102565118389</v>
      </c>
      <c r="AV732" s="64">
        <f ca="1">IF(AS732&gt;0,('模拟-单技能数据'!$D$22+G732*'模拟-单技能数据'!$F$22)*(1+J732)*(1-S732)*IF(AU732&lt;$F$10,0,IF(AU732&lt;$F$10+$F$11,0.25,IF(AU732&lt;$F$10+$F$11+AS732,AT732,1)))*(1+U732),0)*'模拟-单技能数据'!$I$22</f>
        <v>0</v>
      </c>
      <c r="AW732" s="108">
        <f t="shared" ca="1" si="631"/>
        <v>5.2400000000000064</v>
      </c>
      <c r="AX732" s="108" t="b">
        <f ca="1">AND(模拟模式!$P$10="有",AW731=0,RAND()&lt;IF(C732="净世破魔击·月",0.1*8/3,IF(C732="净世破魔击·日",0.1*4/3,0.1*2/3)))</f>
        <v>0</v>
      </c>
      <c r="AY732" s="47">
        <f ca="1">IF(AX732,(18+G732*0.722)*(1+J732)*(1-S732)*(1+$I$4)*IF(P732="会",'模拟-全程加成'!$J$3+'模拟-全程加成'!$J$4+'模拟-全程加成'!$J$5+('模拟-全程加成'!$I$4+'模拟-全程加成'!$I$5)/系数!$B$4+BG732*10%,IF(P732="命",1,IF(P732="识",0.25,0))),0)</f>
        <v>0</v>
      </c>
      <c r="AZ732" s="108">
        <f t="shared" si="632"/>
        <v>19.077500000000001</v>
      </c>
      <c r="BA732" s="108" t="b">
        <f>AND(模拟模式!$Q$10="有",AZ731=0)</f>
        <v>1</v>
      </c>
      <c r="BB732" s="140">
        <f ca="1">IF(BA732,(0+G732*0.287)*(1+J732)*(1-S732)*(1+$I$4)*IF(P732="会",'模拟-全程加成'!$J$3+'模拟-全程加成'!$J$4+'模拟-全程加成'!$J$5+('模拟-全程加成'!$I$4+'模拟-全程加成'!$I$5)/系数!$B$4+BG732*10%,IF(P732="命",1,IF(P732="识",0.25,0))),0)</f>
        <v>17732.229270221575</v>
      </c>
      <c r="BC732" s="115" t="b">
        <f ca="1">AND(模拟模式!$R$7="伏明众生",E732=60,F732=20,DA732&lt;5,CZ731&lt;$F$4)</f>
        <v>0</v>
      </c>
      <c r="BD732" s="115">
        <f t="shared" ref="BD732:BD753" ca="1" si="667">IF(BC732,6-$F$4,MAX(0,BD731-$F$4))</f>
        <v>0</v>
      </c>
      <c r="BE732" s="115" t="b">
        <f t="shared" ref="BE732:BE753" ca="1" si="668">AND(BD731&gt;0,BD731-$F$4&lt;0)</f>
        <v>0</v>
      </c>
      <c r="BF732" s="47">
        <f ca="1">IF(BC732,4*('模拟-单技能数据'!$D$24+G732*'模拟-单技能数据'!$F$24)*(1+J732)*(1+'模拟-单技能数据'!$J$24)*(1-S732)*(1+$I$3)*(('模拟-全程加成'!$J$3+'模拟-全程加成'!$J$4+'模拟-全程加成'!$J$5+('模拟-全程加成'!$I$4+'模拟-全程加成'!$I$5)/系数!$B$4+BG732*10%)*('模拟-全程加成'!$J$3+'模拟-全程加成'!$J$4+'模拟-全程加成'!$J$5+('模拟-全程加成'!$I$4+'模拟-全程加成'!$I$5)/系数!$B$4+BG732*10%)+(1-('模拟-全程加成'!$J$3+'模拟-全程加成'!$J$4+'模拟-全程加成'!$J$5+('模拟-全程加成'!$I$4+'模拟-全程加成'!$I$5)/系数!$B$4+BG732*10%)-$F$10-$F$11)+F718*0.25),0)*'模拟-单技能数据'!$I$24</f>
        <v>0</v>
      </c>
      <c r="BG732" s="115" t="b">
        <f ca="1">OR(AND(OR(C732="烈日斩",C732="银月斩"),模拟模式!$I$7="净身明礼"),AND(C732="净世破魔击·日",模拟模式!$J$7="洞若观火"),AND(C733="净世破魔击·月",模拟模式!$J$7="洞若观火"),AB732=1)</f>
        <v>1</v>
      </c>
      <c r="BH732" s="115" t="b">
        <f t="shared" ca="1" si="633"/>
        <v>0</v>
      </c>
      <c r="BI732" s="115">
        <f t="shared" ref="BI732:BI753" ca="1" si="669">IF(BH732,6,MAX(0,BI731-$F$4))</f>
        <v>0</v>
      </c>
      <c r="BJ732" s="115" t="b">
        <f t="shared" ref="BJ732:BJ753" ca="1" si="670">BI732&gt;0</f>
        <v>0</v>
      </c>
      <c r="BK732" s="115" t="b">
        <f ca="1">AND(C732="驱夜断愁",模拟模式!$P$7="天地诛戮")</f>
        <v>0</v>
      </c>
      <c r="BL732" s="57">
        <f t="shared" ref="BL732:BL753" ca="1" si="671">IF(BK732,20,MAX(0,BL731-$F$4))</f>
        <v>14.465000000000003</v>
      </c>
      <c r="BM732" s="115" t="b">
        <f t="shared" ref="BM732:BM753" ca="1" si="672">BL732&gt;0</f>
        <v>1</v>
      </c>
      <c r="BN732" s="115" t="b">
        <f ca="1">AND(OR(C732="赤日轮1",C732="赤日轮2",C732="赤日轮3",C732="幽月轮1",C732="幽月轮2",C732="幽月轮3"),AB732=1,模拟模式!$L$7="明光恒照")</f>
        <v>0</v>
      </c>
      <c r="BO732" s="117">
        <f t="shared" ref="BO732:BO753" ca="1" si="673">IF(BN732,30,MAX(0,BO731-$F$4))</f>
        <v>29.077500000000001</v>
      </c>
      <c r="BP732" s="115">
        <f t="shared" ca="1" si="634"/>
        <v>6</v>
      </c>
      <c r="BQ732" s="115" t="b">
        <f>模拟模式!$K$10="2600·水"</f>
        <v>0</v>
      </c>
      <c r="BR732" s="117">
        <f t="shared" si="635"/>
        <v>0</v>
      </c>
      <c r="BS732" s="115">
        <f t="shared" si="636"/>
        <v>0</v>
      </c>
      <c r="BT732" s="115">
        <f t="shared" ca="1" si="637"/>
        <v>0</v>
      </c>
      <c r="BU732" s="115" t="b">
        <f ca="1">AND(模拟模式!$K$10="2300·雷",BT731=0,RAND()&lt;IF(C732="净世破魔击·月",5*0.05*2/3,IF(C732="净世破魔击·日",3*0.05*2/3,0.05*2*2/3)))</f>
        <v>0</v>
      </c>
      <c r="BV732" s="115">
        <f t="shared" ca="1" si="638"/>
        <v>0</v>
      </c>
      <c r="BW732" s="115">
        <f t="shared" ca="1" si="639"/>
        <v>87.749999999999261</v>
      </c>
      <c r="BX732" s="164" t="b">
        <f t="shared" ca="1" si="640"/>
        <v>0</v>
      </c>
      <c r="BY732" s="115">
        <f t="shared" ca="1" si="641"/>
        <v>0</v>
      </c>
      <c r="BZ732" s="115">
        <f>IF(OR(模拟模式!$P$16="10人团",模拟模式!$P$16="25人团"),IF(B732/30&gt;CA731,1,0),0)</f>
        <v>0</v>
      </c>
      <c r="CA732" s="115">
        <f t="shared" ref="CA732:CA753" si="674">CA731+BZ732</f>
        <v>0</v>
      </c>
      <c r="CB732" s="115">
        <f ca="1">IF(BZ732=1,IF(模拟模式!$P$16="10人团",15,0)+IF(模拟模式!$P$16="25人团",IF(RAND()&lt;0.6,15,0)),MAX(0,CB731-$F$4))</f>
        <v>0</v>
      </c>
      <c r="CC732" s="115" t="b">
        <f t="shared" ref="CC732:CC753" ca="1" si="675">CB732&gt;0</f>
        <v>0</v>
      </c>
      <c r="CD732" s="115">
        <f>IF(模拟模式!$Q$16="1个",IF(B732/40&gt;CE731,1,0),0)</f>
        <v>0</v>
      </c>
      <c r="CE732" s="115">
        <f t="shared" ref="CE732:CE753" si="676">CE731+CD732</f>
        <v>0</v>
      </c>
      <c r="CF732" s="115">
        <f>IF(OR(CD732=1,模拟模式!$Q$16="2个"),20,MAX(0,CF731-$F$4))</f>
        <v>0</v>
      </c>
      <c r="CG732" s="115" t="b">
        <f t="shared" ref="CG732:CG753" si="677">CF732&gt;0</f>
        <v>0</v>
      </c>
      <c r="CH732" s="115">
        <f t="shared" ca="1" si="642"/>
        <v>0</v>
      </c>
      <c r="CI732" s="115" t="b">
        <f t="shared" ca="1" si="643"/>
        <v>0</v>
      </c>
      <c r="CJ732" s="119">
        <f t="shared" ca="1" si="644"/>
        <v>0</v>
      </c>
      <c r="CK732" s="115">
        <f t="shared" ca="1" si="645"/>
        <v>0</v>
      </c>
      <c r="CL732" s="115" t="b">
        <f ca="1">AND(模拟模式!$S$7="驱夷逐法",OR(AND(C732="净世破魔击·月",E731&gt;59),AND(C732="净世破魔击·日",F731&gt;59)))</f>
        <v>0</v>
      </c>
      <c r="CM732" s="115" t="b">
        <f ca="1">OR(CL732,AND(C732="净世破魔击·日",CL731,RAND()&lt;模拟模式!$U$23))</f>
        <v>0</v>
      </c>
      <c r="CN732" s="115" t="b">
        <f ca="1">IF(模拟模式!$M$7="辉耀红尘",AND(C732="净世破魔击·月",CL732,CV732=0,E731&lt;80),AND(C732="净世破魔击·月",CL732,E731&lt;100))</f>
        <v>0</v>
      </c>
      <c r="CO732" s="115" t="b">
        <f t="shared" ref="CO732:CO753" ca="1" si="678">AND(C732="净世破魔击·日",CL732,CV732=0)</f>
        <v>0</v>
      </c>
      <c r="CP732" s="115" t="b">
        <f ca="1">AND(模拟模式!$O$7="用晦而明",OR(C732="净世破魔击·日",C732="净世破魔击·月",C732="驱夜断愁"),AB732)</f>
        <v>0</v>
      </c>
      <c r="CQ732" s="115" t="b">
        <f ca="1">OR(CP732,AND(CP731,RAND()&lt;模拟模式!$U$23))</f>
        <v>0</v>
      </c>
      <c r="CR732" s="115" t="b">
        <f ca="1">AND(模拟模式!$S$7="日月齐光",OR(C732="幽月轮1",C732="幽月轮2",C732="幽月轮3",CR731),NOT(OR(C732="赤日轮1",C732="赤日轮2",C732="赤日轮3")))</f>
        <v>0</v>
      </c>
      <c r="CS732" s="115" t="b">
        <f ca="1">AND(模拟模式!$S$7="日月齐光",OR(C732="赤日轮1",C732="赤日轮2",C732="赤日轮3",CS731),NOT(OR(C732="幽月轮1",C732="幽月轮2",C732="幽月轮3")))</f>
        <v>0</v>
      </c>
      <c r="CT732" s="115">
        <f t="shared" ca="1" si="646"/>
        <v>17.085000000000008</v>
      </c>
      <c r="CU732" s="115" t="b">
        <f ca="1">AND(模拟模式!$K$10="阴阳往极",CT731=0,RAND()&lt;IF(C732="净世破魔击·月",0.0275*7/3,IF(C732="净世破魔击·日",0.0275*3/3,0.0275*2/3)))</f>
        <v>0</v>
      </c>
      <c r="CV732" s="115">
        <f t="shared" ca="1" si="647"/>
        <v>0</v>
      </c>
      <c r="CW732" s="115">
        <f t="shared" ca="1" si="648"/>
        <v>1.3874999999999997</v>
      </c>
      <c r="CX732" s="115">
        <f t="shared" ca="1" si="649"/>
        <v>6</v>
      </c>
      <c r="CY732" s="115">
        <f ca="1">MAX(IF($C732="驱夜断愁",IF(模拟模式!$R$7="万念俱寂",6,45),CY731-$F$4),0)</f>
        <v>0.46499999999999975</v>
      </c>
      <c r="CZ732" s="115">
        <f t="shared" ref="CZ732:CZ753" ca="1" si="679">IF(BC732,25,MAX(0,CZ731-$F$4))</f>
        <v>0</v>
      </c>
      <c r="DA732" s="115">
        <f ca="1">IF(模拟模式!$N$7="日月同辉",IF(DB731=2,0,MIN(6,IF(AND(OR(C732="赤日轮1",C732="赤日轮2",C732="赤日轮3",C732="幽月轮1",C732="幽月轮2",C732="幽月轮3"),AB732=1),DA731+1,DA731))),0)</f>
        <v>2</v>
      </c>
      <c r="DB732" s="115">
        <f t="shared" ref="DB732:DB753" ca="1" si="680">MAX(0,IF(DA732=6,2,IF(OR(C732="净世破魔击·月",C732="净世破魔击·日"),DB731-1,DB731)))</f>
        <v>0</v>
      </c>
      <c r="DC732" s="115"/>
      <c r="DD732" s="115"/>
      <c r="DE732" s="115"/>
      <c r="DF732" s="115"/>
      <c r="DG732" s="115"/>
      <c r="DH732" s="115"/>
      <c r="DI732" s="115"/>
      <c r="DJ732" s="115"/>
      <c r="DK732" s="115"/>
      <c r="DL732" s="115"/>
      <c r="DM732" s="115"/>
    </row>
    <row r="733" spans="2:117" x14ac:dyDescent="0.2">
      <c r="B733" s="117">
        <f t="shared" ref="B733:B753" si="681">B732+$F$4</f>
        <v>651.28500000000759</v>
      </c>
      <c r="C733" s="167" t="str">
        <f t="shared" ca="1" si="650"/>
        <v>驱夜断愁</v>
      </c>
      <c r="D733" s="115">
        <f ca="1">IF(C733="赤日轮1",1,IF(C733="赤日轮2",2,IF(C733="赤日轮3",3,IF(C733="幽月轮1",4,IF(C733="幽月轮2",5,IF(C733="幽月轮3",6,IF(C733="烈日斩",7,IF(C733="银月斩",8,IF(C733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733="净世破魔击·月",17,IF(C733="驱夜断愁",18,0)))))))))))</f>
        <v>18</v>
      </c>
      <c r="E733" s="115">
        <f ca="1">IF(AND(CU733,OR(C733="幽月轮1",C733="幽月轮2",C733="幽月轮3",C733="银月斩",C733="驱夜断愁",C733="净世破魔击·月")),100,MIN(IF(OR(CN733,BE733),0,IF(OR($C733="赤日轮1",$C733="赤日轮2",$C733="赤日轮3"),E732+20+IF(模拟模式!$I$7="日月凌天",4,0)+IF(CR732,20,0),IF($C733="烈日斩",E732+40,IF($C733="驱夜断愁",IF(模拟模式!$R$7="万念俱寂",E732+20,E732+60),IF($C733="净世破魔击·月",IF(OR(DB732&gt;0,CV732&gt;0),100,IF(模拟模式!$M$7="辉耀红尘",E732+20,E732)),IF($C733="净世破魔击·日",E732-100,E732)))))),100))</f>
        <v>40</v>
      </c>
      <c r="F733" s="115">
        <f ca="1">IF(AND(CU733,OR(C733="赤日轮1",C733="赤日轮2",C733="赤日轮3",C733="烈日斩",C733="净世破魔击·日")),100,MIN(IF(CO733,0,IF(OR($C733="幽月轮1",$C733="幽月轮2",$C733="幽月轮3"),F732+20+IF(模拟模式!$I$7="日月凌天",4,0)+IF(CS732,20,0),IF($C733="银月斩",F732+40+IF(模拟模式!$X$12=1,5,0),IF($C733="驱夜断愁",IF(模拟模式!$R$7="万念俱寂",F732+20,F732+60),IF($C733="净世破魔击·月",IF(模拟模式!$M$7="辉耀红尘",F732-80,F732-100),IF(AND(C733="净世破魔击·日",OR(DB732&gt;0,CV732&gt;0)),100,F732)))))),100))</f>
        <v>85</v>
      </c>
      <c r="G733" s="117">
        <f ca="1">('模拟-全程加成'!$E$3+'模拟-全程加成'!$E$4+'模拟-全程加成'!$E$5+('模拟-全程加成'!$C$6-'模拟-全程加成'!$C$3)*系数!$B$9+BS733*23)*(1+'模拟-全程加成'!$F$4+'模拟-全程加成'!$F$5+BJ733*10%+BM733*20%+BP733*4%+CG733*30%)+$F$7*系数!$B$12</f>
        <v>20583.127400000001</v>
      </c>
      <c r="H733" s="45">
        <f ca="1">'模拟-全程加成'!$H$3+'模拟-全程加成'!$H$4+'模拟-全程加成'!$H$5+('模拟-全程加成'!$G$4+'模拟-全程加成'!$G$5+('模拟-全程加成'!$C$6-'模拟-全程加成'!$C$3)*系数!$B$13)/系数!$B$3+LOOKUP(D733,'模拟-单技能数据'!$A$2:$A$19,'模拟-单技能数据'!$K$2:$K$19)+BG733*10%+IF(BV733&gt;0,378,0)</f>
        <v>0.51185145527300213</v>
      </c>
      <c r="I733" s="45">
        <f ca="1">'模拟-全程加成'!$J$3+'模拟-全程加成'!$J$4+'模拟-全程加成'!$J$5+('模拟-全程加成'!$I$4+'模拟-全程加成'!$I$5)/系数!$B$4+LOOKUP(D733,'模拟-单技能数据'!$A$2:$A$19,'模拟-单技能数据'!$L$2:$L$19)+BG733*10%</f>
        <v>2.162482885499879</v>
      </c>
      <c r="J733" s="45">
        <f ca="1">(('模拟-全程加成'!$K$3+'模拟-全程加成'!$K$4+'模拟-全程加成'!$K$5+('模拟-全程加成'!$C$6-'模拟-全程加成'!$C$3)*系数!$B$10+IF(BV733&gt;0,882,0)+IF(BY733&gt;0,1831,0))*(1+'模拟-全程加成'!$L$4+'模拟-全程加成'!$L$5+CC733*20%))/系数!$B$5</f>
        <v>0.69723220422048726</v>
      </c>
      <c r="K733" s="119">
        <f ca="1">LOOKUP(D733,'模拟-单技能数据'!$A$2:$A$19,'模拟-单技能数据'!$J$2:$J$19)+IF(CM733,60%,0)+IF(DB732-DB733&gt;0,30%,0)+IF(OR(AND(OR(C733="赤日轮1",C733="赤日轮2",C733="赤日轮3"),CR733),AND(OR(C733="幽月轮1",C733="幽月轮2",C733="幽月轮3"),CS733)),35%,0)+CJ733</f>
        <v>0.14000000000000001</v>
      </c>
      <c r="L733" s="119">
        <f ca="1">IF(AND(C733="烈日斩",模拟模式!$X$11=1),10%,0)+IF(AND(C733="驱夜断愁",AB733=1),30%,0)</f>
        <v>0.3</v>
      </c>
      <c r="M733" s="45">
        <f t="shared" ca="1" si="651"/>
        <v>0.51185145527300213</v>
      </c>
      <c r="N733" s="45">
        <f t="shared" ca="1" si="652"/>
        <v>0.43424854472699792</v>
      </c>
      <c r="O733" s="46">
        <f t="shared" ref="O733:O753" ca="1" si="682">RAND()</f>
        <v>0.94396290468365385</v>
      </c>
      <c r="P733" s="46" t="str">
        <f t="shared" ca="1" si="653"/>
        <v>命</v>
      </c>
      <c r="Q733" s="45">
        <f t="shared" ca="1" si="654"/>
        <v>1</v>
      </c>
      <c r="R733" s="117">
        <f ca="1">模拟模式!$E$20*(1-IF(模拟模式!$J$19="有",0.15,0))*(1-IF(模拟模式!$K$19="有",0.3,0)-IF(CQ733,0.5,0))</f>
        <v>843.02999999999975</v>
      </c>
      <c r="S733" s="45">
        <f ca="1">R733/(R733+(185*模拟模式!$E$22-16800)*4.08224)</f>
        <v>8.389626085980037E-2</v>
      </c>
      <c r="T733" s="45" t="str">
        <f ca="1">LOOKUP(D733,'模拟-单技能数据'!$A$2:$A$19,'模拟-单技能数据'!$H$2:$H$19)</f>
        <v>阴</v>
      </c>
      <c r="U733" s="119">
        <f t="shared" ca="1" si="655"/>
        <v>0.08</v>
      </c>
      <c r="V733" s="47">
        <f ca="1">(1+L733)*(LOOKUP(D733,'模拟-单技能数据'!$A$2:$A$19,'模拟-单技能数据'!$D$2:$D$19)+G733*LOOKUP(D733,'模拟-单技能数据'!$A$2:$A$19,'模拟-单技能数据'!$F$2:$F$19))*(1+J733)*(1+K733)*(1-S733)*(1+U733)*Q733*LOOKUP(D733,'模拟-单技能数据'!$A$2:$A$19,'模拟-单技能数据'!$I$2:$I$20)</f>
        <v>58943.088028757353</v>
      </c>
      <c r="W733" s="47">
        <f ca="1">LOOKUP(D733,'模拟-单技能数据'!$A$2:$A$19,'模拟-单技能数据'!$G$2:$G$19)*$I$10</f>
        <v>723.0212870940959</v>
      </c>
      <c r="X733" s="47">
        <f t="shared" ref="X733:X753" ca="1" si="683">AJ733+AR733+AV733+BF733+AY733+BB733</f>
        <v>11118.353508757338</v>
      </c>
      <c r="Y733" s="47">
        <f t="shared" ca="1" si="656"/>
        <v>70784.462824608781</v>
      </c>
      <c r="Z733" s="49">
        <f t="shared" ca="1" si="657"/>
        <v>73505007.755809471</v>
      </c>
      <c r="AA733" s="97">
        <f t="shared" ca="1" si="658"/>
        <v>112861.50879539466</v>
      </c>
      <c r="AB733" s="115">
        <f ca="1">IF(OR(C733="赤日轮1",C733="赤日轮2",C733="赤日轮3"),IF(RAND()&lt;模拟模式!$Y$17,1,0),IF(OR(C733="幽月轮1",C733="幽月轮2",C733="幽月轮3"),IF(RAND()&lt;模拟模式!$Y$18,1,0),IF(C733="烈日斩",IF(RAND()&lt;模拟模式!$Y$19,1,0),IF(C733="银月斩",IF(RAND()&lt;模拟模式!$Y$20,1,0),IF(C733="驱夜断愁",IF(RAND()&lt;模拟模式!$Y$21,1,0),IF(C733="净世破魔击·日",IF(RAND()&lt;模拟模式!$Y$22,1,0),IF(C733="净世破魔击·月",IF(RAND()&lt;模拟模式!$Y$23,1,0),0)))))))</f>
        <v>1</v>
      </c>
      <c r="AC733" s="115" t="b">
        <f t="shared" ca="1" si="659"/>
        <v>0</v>
      </c>
      <c r="AD733" s="115" t="b">
        <f t="shared" ca="1" si="660"/>
        <v>0</v>
      </c>
      <c r="AE733" s="115">
        <f t="shared" ca="1" si="661"/>
        <v>6</v>
      </c>
      <c r="AF733" s="47">
        <f ca="1">IF(AC733,('模拟-单技能数据'!$D$20+G733*'模拟-单技能数据'!$F$20)*(1+J733)*(1+'模拟-单技能数据'!$J$20)*(1+U733),0)</f>
        <v>0</v>
      </c>
      <c r="AG733" s="61">
        <f t="shared" ca="1" si="662"/>
        <v>0.64185145527300214</v>
      </c>
      <c r="AH733" s="61">
        <f t="shared" ca="1" si="663"/>
        <v>2.2624828854998791</v>
      </c>
      <c r="AI733" s="62">
        <f t="shared" ref="AI733:AI753" ca="1" si="684">RAND()</f>
        <v>0.97713817878908116</v>
      </c>
      <c r="AJ733" s="47">
        <f ca="1">IF(AD733,IF(AI733&lt;$F$10,0,IF(AI733&lt;$F$10+$F$11,0.25,IF(AI733&lt;$F$10+$F$11+AG733,AH733,1)))*IF(AF733&gt;0,AF733,IF(AF732&gt;0,AF732,IF(AF731&gt;0,AF731,IF(AF730&gt;0,AF730,IF(AF729&gt;0,AF729,IF(AF728&gt;0,AF728,IF(AF727&gt;0,AF727,IF(AF726&gt;0,AF726,IF(AF725&gt;0,AF725,IF(AF723&gt;0,AF723,IF(AF722&gt;0,AF722,IF(AF721&gt;0,AF721,0)))))))))))),0)*(1-$S733)*'模拟-单技能数据'!$I$20</f>
        <v>0</v>
      </c>
      <c r="AK733" s="115" t="b">
        <f t="shared" ca="1" si="664"/>
        <v>0</v>
      </c>
      <c r="AL733" s="115" t="b">
        <f t="shared" ca="1" si="665"/>
        <v>1</v>
      </c>
      <c r="AM733" s="115">
        <f t="shared" ca="1" si="666"/>
        <v>4</v>
      </c>
      <c r="AN733" s="47">
        <f ca="1">IF(AK733,('模拟-单技能数据'!$D$21+G733*'模拟-单技能数据'!$F$21)*(1+J733)*(1+'模拟-单技能数据'!$J$21)*(1+U733),0)</f>
        <v>0</v>
      </c>
      <c r="AO733" s="61">
        <f ca="1">IF(AN733&gt;0,M733-'模拟-单技能数据'!$K$10,AO732)</f>
        <v>0.42185145527300216</v>
      </c>
      <c r="AP733" s="61">
        <f ca="1">IF(AN733&gt;0,I733-'模拟-单技能数据'!$L$10,AP732)</f>
        <v>2.162482885499879</v>
      </c>
      <c r="AQ733" s="63">
        <f t="shared" ref="AQ733:AQ753" ca="1" si="685">RAND()</f>
        <v>0.67860002428910227</v>
      </c>
      <c r="AR733" s="64">
        <f ca="1">IF(AL733,IF(AQ733&lt;$F$10,0,IF(AQ733&lt;$F$10+$F$11,0.25,IF(AQ733&lt;$F$10+$F$11+AO733,AP733,1)))*IF(AN733&gt;0,AN733,IF(AN732&gt;0,AN732,IF(AN731&gt;0,AN731,IF(AN730&gt;0,AN730,IF(AN729&gt;0,AN729,IF(AN728&gt;0,AN728,IF(AN727&gt;0,AN727,IF(AN726&gt;0,AN726,IF(AN725&gt;0,AN725,IF(AN723&gt;0,AN723,IF(AN722&gt;0,AN722,IF(AN721&gt;0,AN721,0)))))))))))),0)*(1-$S733)*'模拟-单技能数据'!$I$21</f>
        <v>11118.353508757338</v>
      </c>
      <c r="AS733" s="61">
        <f ca="1">IF(OR(C733="净世破魔击·日",C733="净世破魔击·月"),M733-'模拟-单技能数据'!$K$10,0)</f>
        <v>0</v>
      </c>
      <c r="AT733" s="61">
        <f ca="1">IF(OR(C733="净世破魔击·日",C733="净世破魔击·月"),I733-'模拟-单技能数据'!$L$10,0)</f>
        <v>0</v>
      </c>
      <c r="AU733" s="62">
        <f t="shared" ref="AU733:AU753" ca="1" si="686">RAND()</f>
        <v>0.67265236437674403</v>
      </c>
      <c r="AV733" s="64">
        <f ca="1">IF(AS733&gt;0,('模拟-单技能数据'!$D$22+G733*'模拟-单技能数据'!$F$22)*(1+J733)*(1-S733)*IF(AU733&lt;$F$10,0,IF(AU733&lt;$F$10+$F$11,0.25,IF(AU733&lt;$F$10+$F$11+AS733,AT733,1)))*(1+U733),0)*'模拟-单技能数据'!$I$22</f>
        <v>0</v>
      </c>
      <c r="AW733" s="108">
        <f t="shared" ref="AW733:AW753" ca="1" si="687">IF(AX733,20-$F$4,MAX(AW732-$F$4,0))</f>
        <v>4.3175000000000061</v>
      </c>
      <c r="AX733" s="108" t="b">
        <f ca="1">AND(模拟模式!$P$10="有",AW732=0,RAND()&lt;IF(C733="净世破魔击·月",0.1*8/3,IF(C733="净世破魔击·日",0.1*4/3,0.1*2/3)))</f>
        <v>0</v>
      </c>
      <c r="AY733" s="47">
        <f ca="1">IF(AX733,(18+G733*0.722)*(1+J733)*(1-S733)*(1+$I$4)*IF(P733="会",'模拟-全程加成'!$J$3+'模拟-全程加成'!$J$4+'模拟-全程加成'!$J$5+('模拟-全程加成'!$I$4+'模拟-全程加成'!$I$5)/系数!$B$4+BG733*10%,IF(P733="命",1,IF(P733="识",0.25,0))),0)</f>
        <v>0</v>
      </c>
      <c r="AZ733" s="108">
        <f t="shared" ref="AZ733:AZ753" si="688">IF(BA733,20-$F$4,MAX(AZ732-$F$4,0))</f>
        <v>18.155000000000001</v>
      </c>
      <c r="BA733" s="108" t="b">
        <f>AND(模拟模式!$Q$10="有",AZ732=0)</f>
        <v>0</v>
      </c>
      <c r="BB733" s="140">
        <f>IF(BA733,(0+G733*0.287)*(1+J733)*(1-S733)*(1+$I$4)*IF(P733="会",'模拟-全程加成'!$J$3+'模拟-全程加成'!$J$4+'模拟-全程加成'!$J$5+('模拟-全程加成'!$I$4+'模拟-全程加成'!$I$5)/系数!$B$4+BG733*10%,IF(P733="命",1,IF(P733="识",0.25,0))),0)</f>
        <v>0</v>
      </c>
      <c r="BC733" s="115" t="b">
        <f ca="1">AND(模拟模式!$R$7="伏明众生",E733=60,F733=20,DA733&lt;5,CZ732&lt;$F$4)</f>
        <v>0</v>
      </c>
      <c r="BD733" s="115">
        <f t="shared" ca="1" si="667"/>
        <v>0</v>
      </c>
      <c r="BE733" s="115" t="b">
        <f t="shared" ca="1" si="668"/>
        <v>0</v>
      </c>
      <c r="BF733" s="47">
        <f ca="1">IF(BC733,4*('模拟-单技能数据'!$D$24+G733*'模拟-单技能数据'!$F$24)*(1+J733)*(1+'模拟-单技能数据'!$J$24)*(1-S733)*(1+$I$3)*(('模拟-全程加成'!$J$3+'模拟-全程加成'!$J$4+'模拟-全程加成'!$J$5+('模拟-全程加成'!$I$4+'模拟-全程加成'!$I$5)/系数!$B$4+BG733*10%)*('模拟-全程加成'!$J$3+'模拟-全程加成'!$J$4+'模拟-全程加成'!$J$5+('模拟-全程加成'!$I$4+'模拟-全程加成'!$I$5)/系数!$B$4+BG733*10%)+(1-('模拟-全程加成'!$J$3+'模拟-全程加成'!$J$4+'模拟-全程加成'!$J$5+('模拟-全程加成'!$I$4+'模拟-全程加成'!$I$5)/系数!$B$4+BG733*10%)-$F$10-$F$11)+F719*0.25),0)*'模拟-单技能数据'!$I$24</f>
        <v>0</v>
      </c>
      <c r="BG733" s="115" t="b">
        <f ca="1">OR(AND(OR(C733="烈日斩",C733="银月斩"),模拟模式!$I$7="净身明礼"),AND(C733="净世破魔击·日",模拟模式!$J$7="洞若观火"),AND(C734="净世破魔击·月",模拟模式!$J$7="洞若观火"),AB733=1)</f>
        <v>1</v>
      </c>
      <c r="BH733" s="115" t="b">
        <f t="shared" ref="BH733:BH753" ca="1" si="689">RAND()&lt;IF(C733="净世破魔击·月",4*$I$7,IF(C733="净世破魔击·日",2*$I$7,$I$7))</f>
        <v>0</v>
      </c>
      <c r="BI733" s="115">
        <f t="shared" ca="1" si="669"/>
        <v>0</v>
      </c>
      <c r="BJ733" s="115" t="b">
        <f t="shared" ca="1" si="670"/>
        <v>0</v>
      </c>
      <c r="BK733" s="115" t="b">
        <f ca="1">AND(C733="驱夜断愁",模拟模式!$P$7="天地诛戮")</f>
        <v>1</v>
      </c>
      <c r="BL733" s="57">
        <f t="shared" ca="1" si="671"/>
        <v>20</v>
      </c>
      <c r="BM733" s="115" t="b">
        <f t="shared" ca="1" si="672"/>
        <v>1</v>
      </c>
      <c r="BN733" s="115" t="b">
        <f ca="1">AND(OR(C733="赤日轮1",C733="赤日轮2",C733="赤日轮3",C733="幽月轮1",C733="幽月轮2",C733="幽月轮3"),AB733=1,模拟模式!$L$7="明光恒照")</f>
        <v>0</v>
      </c>
      <c r="BO733" s="117">
        <f t="shared" ca="1" si="673"/>
        <v>28.155000000000001</v>
      </c>
      <c r="BP733" s="115">
        <f t="shared" ref="BP733:BP753" ca="1" si="690">IF(BO733&gt;0,MIN(6,IF(BN733,BP732+1,BP732)),0)</f>
        <v>6</v>
      </c>
      <c r="BQ733" s="115" t="b">
        <f>模拟模式!$K$10="2600·水"</f>
        <v>0</v>
      </c>
      <c r="BR733" s="117">
        <f t="shared" ref="BR733:BR753" si="691">IF(BQ733,6,MAX(0,BR732-$F$4))</f>
        <v>0</v>
      </c>
      <c r="BS733" s="115">
        <f t="shared" ref="BS733:BS753" si="692">IF(BR733&gt;0,MIN(10,IF(BQ733,BS732+IF(C733="净世破魔击·月",4,IF(C733="净世破魔击·日",2,1)),BS732)),0)</f>
        <v>0</v>
      </c>
      <c r="BT733" s="115">
        <f t="shared" ref="BT733:BT753" ca="1" si="693">IF(BU733,60-$F$4,MAX(0,BT732-$F$4))</f>
        <v>0</v>
      </c>
      <c r="BU733" s="115" t="b">
        <f ca="1">AND(模拟模式!$K$10="2300·雷",BT732=0,RAND()&lt;IF(C733="净世破魔击·月",5*0.05*2/3,IF(C733="净世破魔击·日",3*0.05*2/3,0.05*2*2/3)))</f>
        <v>0</v>
      </c>
      <c r="BV733" s="115">
        <f t="shared" ref="BV733:BV753" ca="1" si="694">IF(BU733,15-$F$4,MAX(0,BV732-$F$4))</f>
        <v>0</v>
      </c>
      <c r="BW733" s="115">
        <f t="shared" ref="BW733:BW753" ca="1" si="695">IF(BX733,180-$F$4,MAX(0,BW732-$F$4))</f>
        <v>86.827499999999262</v>
      </c>
      <c r="BX733" s="164" t="b">
        <f t="shared" ref="BX733:BX753" ca="1" si="696">AND(BW732=0,OR(AND(E732=80,F732=100),CU733))</f>
        <v>0</v>
      </c>
      <c r="BY733" s="115">
        <f t="shared" ref="BY733:BY753" ca="1" si="697">IF(BX733,15-$F$4,MAX(0,BY732-$F$4))</f>
        <v>0</v>
      </c>
      <c r="BZ733" s="115">
        <f>IF(OR(模拟模式!$P$16="10人团",模拟模式!$P$16="25人团"),IF(B733/30&gt;CA732,1,0),0)</f>
        <v>0</v>
      </c>
      <c r="CA733" s="115">
        <f t="shared" si="674"/>
        <v>0</v>
      </c>
      <c r="CB733" s="115">
        <f ca="1">IF(BZ733=1,IF(模拟模式!$P$16="10人团",15,0)+IF(模拟模式!$P$16="25人团",IF(RAND()&lt;0.6,15,0)),MAX(0,CB732-$F$4))</f>
        <v>0</v>
      </c>
      <c r="CC733" s="115" t="b">
        <f t="shared" ca="1" si="675"/>
        <v>0</v>
      </c>
      <c r="CD733" s="115">
        <f>IF(模拟模式!$Q$16="1个",IF(B733/40&gt;CE732,1,0),0)</f>
        <v>0</v>
      </c>
      <c r="CE733" s="115">
        <f t="shared" si="676"/>
        <v>0</v>
      </c>
      <c r="CF733" s="115">
        <f>IF(OR(CD733=1,模拟模式!$Q$16="2个"),20,MAX(0,CF732-$F$4))</f>
        <v>0</v>
      </c>
      <c r="CG733" s="115" t="b">
        <f t="shared" si="677"/>
        <v>0</v>
      </c>
      <c r="CH733" s="115">
        <f t="shared" ref="CH733:CH753" ca="1" si="698">IF(CI733,30-$F$4,MAX(0,CH732-$F$4))</f>
        <v>0</v>
      </c>
      <c r="CI733" s="115" t="b">
        <f t="shared" ref="CI733:CI753" ca="1" si="699">AND(CH732=0,RAND()&lt;IF(C733="净世破魔击·月",4*0.2*2/3,IF(C733="净世破魔击·日",2*0.2*2/3,0.2*2/3)))</f>
        <v>0</v>
      </c>
      <c r="CJ733" s="119">
        <f t="shared" ref="CJ733:CJ753" ca="1" si="700">IF(CI733,IF(RAND()&lt;0.7,0.05,0.01),IF(CK733&gt;0,CJ732,0))</f>
        <v>0</v>
      </c>
      <c r="CK733" s="115">
        <f t="shared" ref="CK733:CK753" ca="1" si="701">IF(CI733,8-$F$4,MAX(0,CK732-$F$4))</f>
        <v>0</v>
      </c>
      <c r="CL733" s="115" t="b">
        <f ca="1">AND(模拟模式!$S$7="驱夷逐法",OR(AND(C733="净世破魔击·月",E732&gt;59),AND(C733="净世破魔击·日",F732&gt;59)))</f>
        <v>0</v>
      </c>
      <c r="CM733" s="115" t="b">
        <f ca="1">OR(CL733,AND(C733="净世破魔击·日",CL732,RAND()&lt;模拟模式!$U$23))</f>
        <v>0</v>
      </c>
      <c r="CN733" s="115" t="b">
        <f ca="1">IF(模拟模式!$M$7="辉耀红尘",AND(C733="净世破魔击·月",CL733,CV733=0,E732&lt;80),AND(C733="净世破魔击·月",CL733,E732&lt;100))</f>
        <v>0</v>
      </c>
      <c r="CO733" s="115" t="b">
        <f t="shared" ca="1" si="678"/>
        <v>0</v>
      </c>
      <c r="CP733" s="115" t="b">
        <f ca="1">AND(模拟模式!$O$7="用晦而明",OR(C733="净世破魔击·日",C733="净世破魔击·月",C733="驱夜断愁"),AB733)</f>
        <v>1</v>
      </c>
      <c r="CQ733" s="115" t="b">
        <f ca="1">OR(CP733,AND(CP732,RAND()&lt;模拟模式!$U$23))</f>
        <v>1</v>
      </c>
      <c r="CR733" s="115" t="b">
        <f ca="1">AND(模拟模式!$S$7="日月齐光",OR(C733="幽月轮1",C733="幽月轮2",C733="幽月轮3",CR732),NOT(OR(C733="赤日轮1",C733="赤日轮2",C733="赤日轮3")))</f>
        <v>0</v>
      </c>
      <c r="CS733" s="115" t="b">
        <f ca="1">AND(模拟模式!$S$7="日月齐光",OR(C733="赤日轮1",C733="赤日轮2",C733="赤日轮3",CS732),NOT(OR(C733="幽月轮1",C733="幽月轮2",C733="幽月轮3")))</f>
        <v>0</v>
      </c>
      <c r="CT733" s="115">
        <f t="shared" ref="CT733:CT753" ca="1" si="702">IF(CU733,30,MAX(CT732-$F$4,0))</f>
        <v>16.162500000000009</v>
      </c>
      <c r="CU733" s="115" t="b">
        <f ca="1">AND(模拟模式!$K$10="阴阳往极",CT732=0,RAND()&lt;IF(C733="净世破魔击·月",0.0275*7/3,IF(C733="净世破魔击·日",0.0275*3/3,0.0275*2/3)))</f>
        <v>0</v>
      </c>
      <c r="CV733" s="115">
        <f t="shared" ref="CV733:CV753" ca="1" si="703">IF(CU733,5-$F$4,MAX(CV732-$F$4,0))</f>
        <v>0</v>
      </c>
      <c r="CW733" s="115">
        <f t="shared" ref="CW733:CW753" ca="1" si="704">MAX(IF($C733="烈日斩",6,CW732-$F$4),0)</f>
        <v>0.46499999999999975</v>
      </c>
      <c r="CX733" s="115">
        <f t="shared" ref="CX733:CX753" ca="1" si="705">MAX(IF($C733="银月斩",6,CX732-$F$4),0)</f>
        <v>5.0774999999999997</v>
      </c>
      <c r="CY733" s="115">
        <f ca="1">MAX(IF($C733="驱夜断愁",IF(模拟模式!$R$7="万念俱寂",6,45),CY732-$F$4),0)</f>
        <v>6</v>
      </c>
      <c r="CZ733" s="115">
        <f t="shared" ca="1" si="679"/>
        <v>0</v>
      </c>
      <c r="DA733" s="115">
        <f ca="1">IF(模拟模式!$N$7="日月同辉",IF(DB732=2,0,MIN(6,IF(AND(OR(C733="赤日轮1",C733="赤日轮2",C733="赤日轮3",C733="幽月轮1",C733="幽月轮2",C733="幽月轮3"),AB733=1),DA732+1,DA732))),0)</f>
        <v>2</v>
      </c>
      <c r="DB733" s="115">
        <f t="shared" ca="1" si="680"/>
        <v>0</v>
      </c>
      <c r="DC733" s="115"/>
      <c r="DD733" s="115"/>
      <c r="DE733" s="115"/>
      <c r="DF733" s="115"/>
      <c r="DG733" s="115"/>
      <c r="DH733" s="115"/>
      <c r="DI733" s="115"/>
      <c r="DJ733" s="115"/>
      <c r="DK733" s="115"/>
      <c r="DL733" s="115"/>
      <c r="DM733" s="115"/>
    </row>
    <row r="734" spans="2:117" x14ac:dyDescent="0.2">
      <c r="B734" s="117">
        <f t="shared" si="681"/>
        <v>652.2075000000076</v>
      </c>
      <c r="C734" s="167" t="str">
        <f t="shared" ca="1" si="650"/>
        <v>烈日斩</v>
      </c>
      <c r="D734" s="115">
        <f ca="1">IF(C734="赤日轮1",1,IF(C734="赤日轮2",2,IF(C734="赤日轮3",3,IF(C734="幽月轮1",4,IF(C734="幽月轮2",5,IF(C734="幽月轮3",6,IF(C734="烈日斩",7,IF(C734="银月斩",8,IF(C734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734="净世破魔击·月",17,IF(C734="驱夜断愁",18,0)))))))))))</f>
        <v>7</v>
      </c>
      <c r="E734" s="115">
        <f ca="1">IF(AND(CU734,OR(C734="幽月轮1",C734="幽月轮2",C734="幽月轮3",C734="银月斩",C734="驱夜断愁",C734="净世破魔击·月")),100,MIN(IF(OR(CN734,BE734),0,IF(OR($C734="赤日轮1",$C734="赤日轮2",$C734="赤日轮3"),E733+20+IF(模拟模式!$I$7="日月凌天",4,0)+IF(CR733,20,0),IF($C734="烈日斩",E733+40,IF($C734="驱夜断愁",IF(模拟模式!$R$7="万念俱寂",E733+20,E733+60),IF($C734="净世破魔击·月",IF(OR(DB733&gt;0,CV733&gt;0),100,IF(模拟模式!$M$7="辉耀红尘",E733+20,E733)),IF($C734="净世破魔击·日",E733-100,E733)))))),100))</f>
        <v>80</v>
      </c>
      <c r="F734" s="115">
        <f ca="1">IF(AND(CU734,OR(C734="赤日轮1",C734="赤日轮2",C734="赤日轮3",C734="烈日斩",C734="净世破魔击·日")),100,MIN(IF(CO734,0,IF(OR($C734="幽月轮1",$C734="幽月轮2",$C734="幽月轮3"),F733+20+IF(模拟模式!$I$7="日月凌天",4,0)+IF(CS733,20,0),IF($C734="银月斩",F733+40+IF(模拟模式!$X$12=1,5,0),IF($C734="驱夜断愁",IF(模拟模式!$R$7="万念俱寂",F733+20,F733+60),IF($C734="净世破魔击·月",IF(模拟模式!$M$7="辉耀红尘",F733-80,F733-100),IF(AND(C734="净世破魔击·日",OR(DB733&gt;0,CV733&gt;0)),100,F733)))))),100))</f>
        <v>85</v>
      </c>
      <c r="G734" s="117">
        <f ca="1">('模拟-全程加成'!$E$3+'模拟-全程加成'!$E$4+'模拟-全程加成'!$E$5+('模拟-全程加成'!$C$6-'模拟-全程加成'!$C$3)*系数!$B$9+BS734*23)*(1+'模拟-全程加成'!$F$4+'模拟-全程加成'!$F$5+BJ734*10%+BM734*20%+BP734*4%+CG734*30%)+$F$7*系数!$B$12</f>
        <v>20583.127400000001</v>
      </c>
      <c r="H734" s="45">
        <f ca="1">'模拟-全程加成'!$H$3+'模拟-全程加成'!$H$4+'模拟-全程加成'!$H$5+('模拟-全程加成'!$G$4+'模拟-全程加成'!$G$5+('模拟-全程加成'!$C$6-'模拟-全程加成'!$C$3)*系数!$B$13)/系数!$B$3+LOOKUP(D734,'模拟-单技能数据'!$A$2:$A$19,'模拟-单技能数据'!$K$2:$K$19)+BG734*10%+IF(BV734&gt;0,378,0)</f>
        <v>0.56185145527300218</v>
      </c>
      <c r="I734" s="45">
        <f ca="1">'模拟-全程加成'!$J$3+'模拟-全程加成'!$J$4+'模拟-全程加成'!$J$5+('模拟-全程加成'!$I$4+'模拟-全程加成'!$I$5)/系数!$B$4+LOOKUP(D734,'模拟-单技能数据'!$A$2:$A$19,'模拟-单技能数据'!$L$2:$L$19)+BG734*10%</f>
        <v>2.2624828854998791</v>
      </c>
      <c r="J734" s="45">
        <f ca="1">(('模拟-全程加成'!$K$3+'模拟-全程加成'!$K$4+'模拟-全程加成'!$K$5+('模拟-全程加成'!$C$6-'模拟-全程加成'!$C$3)*系数!$B$10+IF(BV734&gt;0,882,0)+IF(BY734&gt;0,1831,0))*(1+'模拟-全程加成'!$L$4+'模拟-全程加成'!$L$5+CC734*20%))/系数!$B$5</f>
        <v>0.69723220422048726</v>
      </c>
      <c r="K734" s="119">
        <f ca="1">LOOKUP(D734,'模拟-单技能数据'!$A$2:$A$19,'模拟-单技能数据'!$J$2:$J$19)+IF(CM734,60%,0)+IF(DB733-DB734&gt;0,30%,0)+IF(OR(AND(OR(C734="赤日轮1",C734="赤日轮2",C734="赤日轮3"),CR734),AND(OR(C734="幽月轮1",C734="幽月轮2",C734="幽月轮3"),CS734)),35%,0)+CJ734</f>
        <v>0.24</v>
      </c>
      <c r="L734" s="119">
        <f ca="1">IF(AND(C734="烈日斩",模拟模式!$X$11=1),10%,0)+IF(AND(C734="驱夜断愁",AB734=1),30%,0)</f>
        <v>0.1</v>
      </c>
      <c r="M734" s="45">
        <f t="shared" ca="1" si="651"/>
        <v>0.56185145527300218</v>
      </c>
      <c r="N734" s="45">
        <f t="shared" ca="1" si="652"/>
        <v>0.38424854472699788</v>
      </c>
      <c r="O734" s="46">
        <f t="shared" ca="1" si="682"/>
        <v>0.25483363479060384</v>
      </c>
      <c r="P734" s="46" t="str">
        <f t="shared" ca="1" si="653"/>
        <v>会</v>
      </c>
      <c r="Q734" s="45">
        <f t="shared" ca="1" si="654"/>
        <v>2.2624828854998791</v>
      </c>
      <c r="R734" s="117">
        <f ca="1">模拟模式!$E$20*(1-IF(模拟模式!$J$19="有",0.15,0))*(1-IF(模拟模式!$K$19="有",0.3,0)-IF(CQ734,0.5,0))</f>
        <v>843.02999999999975</v>
      </c>
      <c r="S734" s="45">
        <f ca="1">R734/(R734+(185*模拟模式!$E$22-16800)*4.08224)</f>
        <v>8.389626085980037E-2</v>
      </c>
      <c r="T734" s="45" t="str">
        <f ca="1">LOOKUP(D734,'模拟-单技能数据'!$A$2:$A$19,'模拟-单技能数据'!$H$2:$H$19)</f>
        <v>阳</v>
      </c>
      <c r="U734" s="119">
        <f t="shared" ca="1" si="655"/>
        <v>0.2</v>
      </c>
      <c r="V734" s="47">
        <f ca="1">(1+L734)*(LOOKUP(D734,'模拟-单技能数据'!$A$2:$A$19,'模拟-单技能数据'!$D$2:$D$19)+G734*LOOKUP(D734,'模拟-单技能数据'!$A$2:$A$19,'模拟-单技能数据'!$F$2:$F$19))*(1+J734)*(1+K734)*(1-S734)*(1+U734)*Q734*LOOKUP(D734,'模拟-单技能数据'!$A$2:$A$19,'模拟-单技能数据'!$I$2:$I$20)</f>
        <v>105861.05199666526</v>
      </c>
      <c r="W734" s="47">
        <f ca="1">LOOKUP(D734,'模拟-单技能数据'!$A$2:$A$19,'模拟-单技能数据'!$G$2:$G$19)*$I$10</f>
        <v>361.51064354704795</v>
      </c>
      <c r="X734" s="47">
        <f t="shared" ca="1" si="683"/>
        <v>1018.6745055299644</v>
      </c>
      <c r="Y734" s="47">
        <f t="shared" ca="1" si="656"/>
        <v>107241.23714574229</v>
      </c>
      <c r="Z734" s="49">
        <f t="shared" ca="1" si="657"/>
        <v>73612248.992955208</v>
      </c>
      <c r="AA734" s="97">
        <f t="shared" ca="1" si="658"/>
        <v>112866.30250795084</v>
      </c>
      <c r="AB734" s="115">
        <f ca="1">IF(OR(C734="赤日轮1",C734="赤日轮2",C734="赤日轮3"),IF(RAND()&lt;模拟模式!$Y$17,1,0),IF(OR(C734="幽月轮1",C734="幽月轮2",C734="幽月轮3"),IF(RAND()&lt;模拟模式!$Y$18,1,0),IF(C734="烈日斩",IF(RAND()&lt;模拟模式!$Y$19,1,0),IF(C734="银月斩",IF(RAND()&lt;模拟模式!$Y$20,1,0),IF(C734="驱夜断愁",IF(RAND()&lt;模拟模式!$Y$21,1,0),IF(C734="净世破魔击·日",IF(RAND()&lt;模拟模式!$Y$22,1,0),IF(C734="净世破魔击·月",IF(RAND()&lt;模拟模式!$Y$23,1,0),0)))))))</f>
        <v>1</v>
      </c>
      <c r="AC734" s="115" t="b">
        <f t="shared" ca="1" si="659"/>
        <v>0</v>
      </c>
      <c r="AD734" s="115" t="b">
        <f t="shared" ca="1" si="660"/>
        <v>1</v>
      </c>
      <c r="AE734" s="115">
        <f t="shared" ca="1" si="661"/>
        <v>5</v>
      </c>
      <c r="AF734" s="47">
        <f ca="1">IF(AC734,('模拟-单技能数据'!$D$20+G734*'模拟-单技能数据'!$F$20)*(1+J734)*(1+'模拟-单技能数据'!$J$20)*(1+U734),0)</f>
        <v>0</v>
      </c>
      <c r="AG734" s="61">
        <f t="shared" ca="1" si="662"/>
        <v>0.64185145527300214</v>
      </c>
      <c r="AH734" s="61">
        <f t="shared" ca="1" si="663"/>
        <v>2.2624828854998791</v>
      </c>
      <c r="AI734" s="62">
        <f t="shared" ca="1" si="684"/>
        <v>4.7656970924101261E-2</v>
      </c>
      <c r="AJ734" s="47">
        <f ca="1">IF(AD734,IF(AI734&lt;$F$10,0,IF(AI734&lt;$F$10+$F$11,0.25,IF(AI734&lt;$F$10+$F$11+AG734,AH734,1)))*IF(AF734&gt;0,AF734,IF(AF733&gt;0,AF733,IF(AF732&gt;0,AF732,IF(AF731&gt;0,AF731,IF(AF730&gt;0,AF730,IF(AF729&gt;0,AF729,IF(AF728&gt;0,AF728,IF(AF727&gt;0,AF727,IF(AF726&gt;0,AF726,IF(AF724&gt;0,AF724,IF(AF723&gt;0,AF723,IF(AF722&gt;0,AF722,0)))))))))))),0)*(1-$S734)*'模拟-单技能数据'!$I$20</f>
        <v>1018.6745055299644</v>
      </c>
      <c r="AK734" s="115" t="b">
        <f t="shared" ca="1" si="664"/>
        <v>0</v>
      </c>
      <c r="AL734" s="115" t="b">
        <f t="shared" ca="1" si="665"/>
        <v>0</v>
      </c>
      <c r="AM734" s="115">
        <f t="shared" ca="1" si="666"/>
        <v>4</v>
      </c>
      <c r="AN734" s="47">
        <f ca="1">IF(AK734,('模拟-单技能数据'!$D$21+G734*'模拟-单技能数据'!$F$21)*(1+J734)*(1+'模拟-单技能数据'!$J$21)*(1+U734),0)</f>
        <v>0</v>
      </c>
      <c r="AO734" s="61">
        <f ca="1">IF(AN734&gt;0,M734-'模拟-单技能数据'!$K$10,AO733)</f>
        <v>0.42185145527300216</v>
      </c>
      <c r="AP734" s="61">
        <f ca="1">IF(AN734&gt;0,I734-'模拟-单技能数据'!$L$10,AP733)</f>
        <v>2.162482885499879</v>
      </c>
      <c r="AQ734" s="63">
        <f t="shared" ca="1" si="685"/>
        <v>9.3712632885672442E-2</v>
      </c>
      <c r="AR734" s="64">
        <f ca="1">IF(AL734,IF(AQ734&lt;$F$10,0,IF(AQ734&lt;$F$10+$F$11,0.25,IF(AQ734&lt;$F$10+$F$11+AO734,AP734,1)))*IF(AN734&gt;0,AN734,IF(AN733&gt;0,AN733,IF(AN732&gt;0,AN732,IF(AN731&gt;0,AN731,IF(AN730&gt;0,AN730,IF(AN729&gt;0,AN729,IF(AN728&gt;0,AN728,IF(AN727&gt;0,AN727,IF(AN726&gt;0,AN726,IF(AN724&gt;0,AN724,IF(AN723&gt;0,AN723,IF(AN722&gt;0,AN722,0)))))))))))),0)*(1-$S734)*'模拟-单技能数据'!$I$21</f>
        <v>0</v>
      </c>
      <c r="AS734" s="61">
        <f ca="1">IF(OR(C734="净世破魔击·日",C734="净世破魔击·月"),M734-'模拟-单技能数据'!$K$10,0)</f>
        <v>0</v>
      </c>
      <c r="AT734" s="61">
        <f ca="1">IF(OR(C734="净世破魔击·日",C734="净世破魔击·月"),I734-'模拟-单技能数据'!$L$10,0)</f>
        <v>0</v>
      </c>
      <c r="AU734" s="62">
        <f t="shared" ca="1" si="686"/>
        <v>1.3391101089211044E-2</v>
      </c>
      <c r="AV734" s="64">
        <f ca="1">IF(AS734&gt;0,('模拟-单技能数据'!$D$22+G734*'模拟-单技能数据'!$F$22)*(1+J734)*(1-S734)*IF(AU734&lt;$F$10,0,IF(AU734&lt;$F$10+$F$11,0.25,IF(AU734&lt;$F$10+$F$11+AS734,AT734,1)))*(1+U734),0)*'模拟-单技能数据'!$I$22</f>
        <v>0</v>
      </c>
      <c r="AW734" s="108">
        <f t="shared" ca="1" si="687"/>
        <v>3.3950000000000062</v>
      </c>
      <c r="AX734" s="108" t="b">
        <f ca="1">AND(模拟模式!$P$10="有",AW733=0,RAND()&lt;IF(C734="净世破魔击·月",0.1*8/3,IF(C734="净世破魔击·日",0.1*4/3,0.1*2/3)))</f>
        <v>0</v>
      </c>
      <c r="AY734" s="47">
        <f ca="1">IF(AX734,(18+G734*0.722)*(1+J734)*(1-S734)*(1+$I$4)*IF(P734="会",'模拟-全程加成'!$J$3+'模拟-全程加成'!$J$4+'模拟-全程加成'!$J$5+('模拟-全程加成'!$I$4+'模拟-全程加成'!$I$5)/系数!$B$4+BG734*10%,IF(P734="命",1,IF(P734="识",0.25,0))),0)</f>
        <v>0</v>
      </c>
      <c r="AZ734" s="108">
        <f t="shared" si="688"/>
        <v>17.232500000000002</v>
      </c>
      <c r="BA734" s="108" t="b">
        <f>AND(模拟模式!$Q$10="有",AZ733=0)</f>
        <v>0</v>
      </c>
      <c r="BB734" s="140">
        <f>IF(BA734,(0+G734*0.287)*(1+J734)*(1-S734)*(1+$I$4)*IF(P734="会",'模拟-全程加成'!$J$3+'模拟-全程加成'!$J$4+'模拟-全程加成'!$J$5+('模拟-全程加成'!$I$4+'模拟-全程加成'!$I$5)/系数!$B$4+BG734*10%,IF(P734="命",1,IF(P734="识",0.25,0))),0)</f>
        <v>0</v>
      </c>
      <c r="BC734" s="115" t="b">
        <f ca="1">AND(模拟模式!$R$7="伏明众生",E734=60,F734=20,DA734&lt;5,CZ733&lt;$F$4)</f>
        <v>0</v>
      </c>
      <c r="BD734" s="115">
        <f t="shared" ca="1" si="667"/>
        <v>0</v>
      </c>
      <c r="BE734" s="115" t="b">
        <f t="shared" ca="1" si="668"/>
        <v>0</v>
      </c>
      <c r="BF734" s="47">
        <f ca="1">IF(BC734,4*('模拟-单技能数据'!$D$24+G734*'模拟-单技能数据'!$F$24)*(1+J734)*(1+'模拟-单技能数据'!$J$24)*(1-S734)*(1+$I$3)*(('模拟-全程加成'!$J$3+'模拟-全程加成'!$J$4+'模拟-全程加成'!$J$5+('模拟-全程加成'!$I$4+'模拟-全程加成'!$I$5)/系数!$B$4+BG734*10%)*('模拟-全程加成'!$J$3+'模拟-全程加成'!$J$4+'模拟-全程加成'!$J$5+('模拟-全程加成'!$I$4+'模拟-全程加成'!$I$5)/系数!$B$4+BG734*10%)+(1-('模拟-全程加成'!$J$3+'模拟-全程加成'!$J$4+'模拟-全程加成'!$J$5+('模拟-全程加成'!$I$4+'模拟-全程加成'!$I$5)/系数!$B$4+BG734*10%)-$F$10-$F$11)+F720*0.25),0)*'模拟-单技能数据'!$I$24</f>
        <v>0</v>
      </c>
      <c r="BG734" s="115" t="b">
        <f ca="1">OR(AND(OR(C734="烈日斩",C734="银月斩"),模拟模式!$I$7="净身明礼"),AND(C734="净世破魔击·日",模拟模式!$J$7="洞若观火"),AND(C735="净世破魔击·月",模拟模式!$J$7="洞若观火"),AB734=1)</f>
        <v>1</v>
      </c>
      <c r="BH734" s="115" t="b">
        <f t="shared" ca="1" si="689"/>
        <v>0</v>
      </c>
      <c r="BI734" s="115">
        <f t="shared" ca="1" si="669"/>
        <v>0</v>
      </c>
      <c r="BJ734" s="115" t="b">
        <f t="shared" ca="1" si="670"/>
        <v>0</v>
      </c>
      <c r="BK734" s="115" t="b">
        <f ca="1">AND(C734="驱夜断愁",模拟模式!$P$7="天地诛戮")</f>
        <v>0</v>
      </c>
      <c r="BL734" s="57">
        <f t="shared" ca="1" si="671"/>
        <v>19.077500000000001</v>
      </c>
      <c r="BM734" s="115" t="b">
        <f t="shared" ca="1" si="672"/>
        <v>1</v>
      </c>
      <c r="BN734" s="115" t="b">
        <f ca="1">AND(OR(C734="赤日轮1",C734="赤日轮2",C734="赤日轮3",C734="幽月轮1",C734="幽月轮2",C734="幽月轮3"),AB734=1,模拟模式!$L$7="明光恒照")</f>
        <v>0</v>
      </c>
      <c r="BO734" s="117">
        <f t="shared" ca="1" si="673"/>
        <v>27.232500000000002</v>
      </c>
      <c r="BP734" s="115">
        <f t="shared" ca="1" si="690"/>
        <v>6</v>
      </c>
      <c r="BQ734" s="115" t="b">
        <f>模拟模式!$K$10="2600·水"</f>
        <v>0</v>
      </c>
      <c r="BR734" s="117">
        <f t="shared" si="691"/>
        <v>0</v>
      </c>
      <c r="BS734" s="115">
        <f t="shared" si="692"/>
        <v>0</v>
      </c>
      <c r="BT734" s="115">
        <f t="shared" ca="1" si="693"/>
        <v>0</v>
      </c>
      <c r="BU734" s="115" t="b">
        <f ca="1">AND(模拟模式!$K$10="2300·雷",BT733=0,RAND()&lt;IF(C734="净世破魔击·月",5*0.05*2/3,IF(C734="净世破魔击·日",3*0.05*2/3,0.05*2*2/3)))</f>
        <v>0</v>
      </c>
      <c r="BV734" s="115">
        <f t="shared" ca="1" si="694"/>
        <v>0</v>
      </c>
      <c r="BW734" s="115">
        <f t="shared" ca="1" si="695"/>
        <v>85.904999999999262</v>
      </c>
      <c r="BX734" s="164" t="b">
        <f t="shared" ca="1" si="696"/>
        <v>0</v>
      </c>
      <c r="BY734" s="115">
        <f t="shared" ca="1" si="697"/>
        <v>0</v>
      </c>
      <c r="BZ734" s="115">
        <f>IF(OR(模拟模式!$P$16="10人团",模拟模式!$P$16="25人团"),IF(B734/30&gt;CA733,1,0),0)</f>
        <v>0</v>
      </c>
      <c r="CA734" s="115">
        <f t="shared" si="674"/>
        <v>0</v>
      </c>
      <c r="CB734" s="115">
        <f ca="1">IF(BZ734=1,IF(模拟模式!$P$16="10人团",15,0)+IF(模拟模式!$P$16="25人团",IF(RAND()&lt;0.6,15,0)),MAX(0,CB733-$F$4))</f>
        <v>0</v>
      </c>
      <c r="CC734" s="115" t="b">
        <f t="shared" ca="1" si="675"/>
        <v>0</v>
      </c>
      <c r="CD734" s="115">
        <f>IF(模拟模式!$Q$16="1个",IF(B734/40&gt;CE733,1,0),0)</f>
        <v>0</v>
      </c>
      <c r="CE734" s="115">
        <f t="shared" si="676"/>
        <v>0</v>
      </c>
      <c r="CF734" s="115">
        <f>IF(OR(CD734=1,模拟模式!$Q$16="2个"),20,MAX(0,CF733-$F$4))</f>
        <v>0</v>
      </c>
      <c r="CG734" s="115" t="b">
        <f t="shared" si="677"/>
        <v>0</v>
      </c>
      <c r="CH734" s="115">
        <f t="shared" ca="1" si="698"/>
        <v>0</v>
      </c>
      <c r="CI734" s="115" t="b">
        <f t="shared" ca="1" si="699"/>
        <v>0</v>
      </c>
      <c r="CJ734" s="119">
        <f t="shared" ca="1" si="700"/>
        <v>0</v>
      </c>
      <c r="CK734" s="115">
        <f t="shared" ca="1" si="701"/>
        <v>0</v>
      </c>
      <c r="CL734" s="115" t="b">
        <f ca="1">AND(模拟模式!$S$7="驱夷逐法",OR(AND(C734="净世破魔击·月",E733&gt;59),AND(C734="净世破魔击·日",F733&gt;59)))</f>
        <v>0</v>
      </c>
      <c r="CM734" s="115" t="b">
        <f ca="1">OR(CL734,AND(C734="净世破魔击·日",CL733,RAND()&lt;模拟模式!$U$23))</f>
        <v>0</v>
      </c>
      <c r="CN734" s="115" t="b">
        <f ca="1">IF(模拟模式!$M$7="辉耀红尘",AND(C734="净世破魔击·月",CL734,CV734=0,E733&lt;80),AND(C734="净世破魔击·月",CL734,E733&lt;100))</f>
        <v>0</v>
      </c>
      <c r="CO734" s="115" t="b">
        <f t="shared" ca="1" si="678"/>
        <v>0</v>
      </c>
      <c r="CP734" s="115" t="b">
        <f ca="1">AND(模拟模式!$O$7="用晦而明",OR(C734="净世破魔击·日",C734="净世破魔击·月",C734="驱夜断愁"),AB734)</f>
        <v>0</v>
      </c>
      <c r="CQ734" s="115" t="b">
        <f ca="1">OR(CP734,AND(CP733,RAND()&lt;模拟模式!$U$23))</f>
        <v>1</v>
      </c>
      <c r="CR734" s="115" t="b">
        <f ca="1">AND(模拟模式!$S$7="日月齐光",OR(C734="幽月轮1",C734="幽月轮2",C734="幽月轮3",CR733),NOT(OR(C734="赤日轮1",C734="赤日轮2",C734="赤日轮3")))</f>
        <v>0</v>
      </c>
      <c r="CS734" s="115" t="b">
        <f ca="1">AND(模拟模式!$S$7="日月齐光",OR(C734="赤日轮1",C734="赤日轮2",C734="赤日轮3",CS733),NOT(OR(C734="幽月轮1",C734="幽月轮2",C734="幽月轮3")))</f>
        <v>0</v>
      </c>
      <c r="CT734" s="115">
        <f t="shared" ca="1" si="702"/>
        <v>15.240000000000009</v>
      </c>
      <c r="CU734" s="115" t="b">
        <f ca="1">AND(模拟模式!$K$10="阴阳往极",CT733=0,RAND()&lt;IF(C734="净世破魔击·月",0.0275*7/3,IF(C734="净世破魔击·日",0.0275*3/3,0.0275*2/3)))</f>
        <v>0</v>
      </c>
      <c r="CV734" s="115">
        <f t="shared" ca="1" si="703"/>
        <v>0</v>
      </c>
      <c r="CW734" s="115">
        <f t="shared" ca="1" si="704"/>
        <v>6</v>
      </c>
      <c r="CX734" s="115">
        <f t="shared" ca="1" si="705"/>
        <v>4.1549999999999994</v>
      </c>
      <c r="CY734" s="115">
        <f ca="1">MAX(IF($C734="驱夜断愁",IF(模拟模式!$R$7="万念俱寂",6,45),CY733-$F$4),0)</f>
        <v>5.0774999999999997</v>
      </c>
      <c r="CZ734" s="115">
        <f t="shared" ca="1" si="679"/>
        <v>0</v>
      </c>
      <c r="DA734" s="115">
        <f ca="1">IF(模拟模式!$N$7="日月同辉",IF(DB733=2,0,MIN(6,IF(AND(OR(C734="赤日轮1",C734="赤日轮2",C734="赤日轮3",C734="幽月轮1",C734="幽月轮2",C734="幽月轮3"),AB734=1),DA733+1,DA733))),0)</f>
        <v>2</v>
      </c>
      <c r="DB734" s="115">
        <f t="shared" ca="1" si="680"/>
        <v>0</v>
      </c>
      <c r="DC734" s="115"/>
      <c r="DD734" s="115"/>
      <c r="DE734" s="115"/>
      <c r="DF734" s="115"/>
      <c r="DG734" s="115"/>
      <c r="DH734" s="115"/>
      <c r="DI734" s="115"/>
      <c r="DJ734" s="115"/>
      <c r="DK734" s="115"/>
      <c r="DL734" s="115"/>
      <c r="DM734" s="115"/>
    </row>
    <row r="735" spans="2:117" x14ac:dyDescent="0.2">
      <c r="B735" s="117">
        <f t="shared" si="681"/>
        <v>653.13000000000761</v>
      </c>
      <c r="C735" s="167" t="str">
        <f t="shared" ca="1" si="650"/>
        <v>幽月轮1</v>
      </c>
      <c r="D735" s="115">
        <f ca="1">IF(C735="赤日轮1",1,IF(C735="赤日轮2",2,IF(C735="赤日轮3",3,IF(C735="幽月轮1",4,IF(C735="幽月轮2",5,IF(C735="幽月轮3",6,IF(C735="烈日斩",7,IF(C735="银月斩",8,IF(C735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735="净世破魔击·月",17,IF(C735="驱夜断愁",18,0)))))))))))</f>
        <v>4</v>
      </c>
      <c r="E735" s="115">
        <f ca="1">IF(AND(CU735,OR(C735="幽月轮1",C735="幽月轮2",C735="幽月轮3",C735="银月斩",C735="驱夜断愁",C735="净世破魔击·月")),100,MIN(IF(OR(CN735,BE735),0,IF(OR($C735="赤日轮1",$C735="赤日轮2",$C735="赤日轮3"),E734+20+IF(模拟模式!$I$7="日月凌天",4,0)+IF(CR734,20,0),IF($C735="烈日斩",E734+40,IF($C735="驱夜断愁",IF(模拟模式!$R$7="万念俱寂",E734+20,E734+60),IF($C735="净世破魔击·月",IF(OR(DB734&gt;0,CV734&gt;0),100,IF(模拟模式!$M$7="辉耀红尘",E734+20,E734)),IF($C735="净世破魔击·日",E734-100,E734)))))),100))</f>
        <v>80</v>
      </c>
      <c r="F735" s="115">
        <f ca="1">IF(AND(CU735,OR(C735="赤日轮1",C735="赤日轮2",C735="赤日轮3",C735="烈日斩",C735="净世破魔击·日")),100,MIN(IF(CO735,0,IF(OR($C735="幽月轮1",$C735="幽月轮2",$C735="幽月轮3"),F734+20+IF(模拟模式!$I$7="日月凌天",4,0)+IF(CS734,20,0),IF($C735="银月斩",F734+40+IF(模拟模式!$X$12=1,5,0),IF($C735="驱夜断愁",IF(模拟模式!$R$7="万念俱寂",F734+20,F734+60),IF($C735="净世破魔击·月",IF(模拟模式!$M$7="辉耀红尘",F734-80,F734-100),IF(AND(C735="净世破魔击·日",OR(DB734&gt;0,CV734&gt;0)),100,F734)))))),100))</f>
        <v>100</v>
      </c>
      <c r="G735" s="117">
        <f ca="1">('模拟-全程加成'!$E$3+'模拟-全程加成'!$E$4+'模拟-全程加成'!$E$5+('模拟-全程加成'!$C$6-'模拟-全程加成'!$C$3)*系数!$B$9+BS735*23)*(1+'模拟-全程加成'!$F$4+'模拟-全程加成'!$F$5+BJ735*10%+BM735*20%+BP735*4%+CG735*30%)+$F$7*系数!$B$12</f>
        <v>20583.127400000001</v>
      </c>
      <c r="H735" s="45">
        <f ca="1">'模拟-全程加成'!$H$3+'模拟-全程加成'!$H$4+'模拟-全程加成'!$H$5+('模拟-全程加成'!$G$4+'模拟-全程加成'!$G$5+('模拟-全程加成'!$C$6-'模拟-全程加成'!$C$3)*系数!$B$13)/系数!$B$3+LOOKUP(D735,'模拟-单技能数据'!$A$2:$A$19,'模拟-单技能数据'!$K$2:$K$19)+BG735*10%+IF(BV735&gt;0,378,0)</f>
        <v>0.51185145527300213</v>
      </c>
      <c r="I735" s="45">
        <f ca="1">'模拟-全程加成'!$J$3+'模拟-全程加成'!$J$4+'模拟-全程加成'!$J$5+('模拟-全程加成'!$I$4+'模拟-全程加成'!$I$5)/系数!$B$4+LOOKUP(D735,'模拟-单技能数据'!$A$2:$A$19,'模拟-单技能数据'!$L$2:$L$19)+BG735*10%</f>
        <v>2.162482885499879</v>
      </c>
      <c r="J735" s="45">
        <f ca="1">(('模拟-全程加成'!$K$3+'模拟-全程加成'!$K$4+'模拟-全程加成'!$K$5+('模拟-全程加成'!$C$6-'模拟-全程加成'!$C$3)*系数!$B$10+IF(BV735&gt;0,882,0)+IF(BY735&gt;0,1831,0))*(1+'模拟-全程加成'!$L$4+'模拟-全程加成'!$L$5+CC735*20%))/系数!$B$5</f>
        <v>0.69723220422048726</v>
      </c>
      <c r="K735" s="119">
        <f ca="1">LOOKUP(D735,'模拟-单技能数据'!$A$2:$A$19,'模拟-单技能数据'!$J$2:$J$19)+IF(CM735,60%,0)+IF(DB734-DB735&gt;0,30%,0)+IF(OR(AND(OR(C735="赤日轮1",C735="赤日轮2",C735="赤日轮3"),CR735),AND(OR(C735="幽月轮1",C735="幽月轮2",C735="幽月轮3"),CS735)),35%,0)+CJ735</f>
        <v>0.12000000000000001</v>
      </c>
      <c r="L735" s="119">
        <f ca="1">IF(AND(C735="烈日斩",模拟模式!$X$11=1),10%,0)+IF(AND(C735="驱夜断愁",AB735=1),30%,0)</f>
        <v>0</v>
      </c>
      <c r="M735" s="45">
        <f t="shared" ca="1" si="651"/>
        <v>0.51185145527300213</v>
      </c>
      <c r="N735" s="45">
        <f t="shared" ca="1" si="652"/>
        <v>0.43424854472699792</v>
      </c>
      <c r="O735" s="46">
        <f t="shared" ca="1" si="682"/>
        <v>6.3562067849847192E-3</v>
      </c>
      <c r="P735" s="46" t="str">
        <f t="shared" ca="1" si="653"/>
        <v>识</v>
      </c>
      <c r="Q735" s="45">
        <f t="shared" ca="1" si="654"/>
        <v>0.25</v>
      </c>
      <c r="R735" s="117">
        <f ca="1">模拟模式!$E$20*(1-IF(模拟模式!$J$19="有",0.15,0))*(1-IF(模拟模式!$K$19="有",0.3,0)-IF(CQ735,0.5,0))</f>
        <v>2950.6049999999996</v>
      </c>
      <c r="S735" s="45">
        <f ca="1">R735/(R735+(185*模拟模式!$E$22-16800)*4.08224)</f>
        <v>0.24272716014590323</v>
      </c>
      <c r="T735" s="45" t="str">
        <f ca="1">LOOKUP(D735,'模拟-单技能数据'!$A$2:$A$19,'模拟-单技能数据'!$H$2:$H$19)</f>
        <v>阴</v>
      </c>
      <c r="U735" s="119">
        <f t="shared" ca="1" si="655"/>
        <v>0.08</v>
      </c>
      <c r="V735" s="47">
        <f ca="1">(1+L735)*(LOOKUP(D735,'模拟-单技能数据'!$A$2:$A$19,'模拟-单技能数据'!$D$2:$D$19)+G735*LOOKUP(D735,'模拟-单技能数据'!$A$2:$A$19,'模拟-单技能数据'!$F$2:$F$19))*(1+J735)*(1+K735)*(1-S735)*(1+U735)*Q735*LOOKUP(D735,'模拟-单技能数据'!$A$2:$A$19,'模拟-单技能数据'!$I$2:$I$20)</f>
        <v>4246.1132000832904</v>
      </c>
      <c r="W735" s="47">
        <f ca="1">LOOKUP(D735,'模拟-单技能数据'!$A$2:$A$19,'模拟-单技能数据'!$G$2:$G$19)*$I$10</f>
        <v>361.51064354704795</v>
      </c>
      <c r="X735" s="47">
        <f t="shared" ca="1" si="683"/>
        <v>9190.6918139866902</v>
      </c>
      <c r="Y735" s="47">
        <f t="shared" ca="1" si="656"/>
        <v>13798.31565761703</v>
      </c>
      <c r="Z735" s="49">
        <f t="shared" ca="1" si="657"/>
        <v>73626047.308612823</v>
      </c>
      <c r="AA735" s="97">
        <f t="shared" ca="1" si="658"/>
        <v>112728.01327241432</v>
      </c>
      <c r="AB735" s="115">
        <f ca="1">IF(OR(C735="赤日轮1",C735="赤日轮2",C735="赤日轮3"),IF(RAND()&lt;模拟模式!$Y$17,1,0),IF(OR(C735="幽月轮1",C735="幽月轮2",C735="幽月轮3"),IF(RAND()&lt;模拟模式!$Y$18,1,0),IF(C735="烈日斩",IF(RAND()&lt;模拟模式!$Y$19,1,0),IF(C735="银月斩",IF(RAND()&lt;模拟模式!$Y$20,1,0),IF(C735="驱夜断愁",IF(RAND()&lt;模拟模式!$Y$21,1,0),IF(C735="净世破魔击·日",IF(RAND()&lt;模拟模式!$Y$22,1,0),IF(C735="净世破魔击·月",IF(RAND()&lt;模拟模式!$Y$23,1,0),0)))))))</f>
        <v>1</v>
      </c>
      <c r="AC735" s="115" t="b">
        <f t="shared" ca="1" si="659"/>
        <v>0</v>
      </c>
      <c r="AD735" s="115" t="b">
        <f t="shared" ca="1" si="660"/>
        <v>0</v>
      </c>
      <c r="AE735" s="115">
        <f t="shared" ca="1" si="661"/>
        <v>5</v>
      </c>
      <c r="AF735" s="47">
        <f ca="1">IF(AC735,('模拟-单技能数据'!$D$20+G735*'模拟-单技能数据'!$F$20)*(1+J735)*(1+'模拟-单技能数据'!$J$20)*(1+U735),0)</f>
        <v>0</v>
      </c>
      <c r="AG735" s="61">
        <f t="shared" ca="1" si="662"/>
        <v>0.64185145527300214</v>
      </c>
      <c r="AH735" s="61">
        <f t="shared" ca="1" si="663"/>
        <v>2.2624828854998791</v>
      </c>
      <c r="AI735" s="62">
        <f t="shared" ca="1" si="684"/>
        <v>0.24608186469305315</v>
      </c>
      <c r="AJ735" s="47">
        <f ca="1">IF(AD735,IF(AI735&lt;$F$10,0,IF(AI735&lt;$F$10+$F$11,0.25,IF(AI735&lt;$F$10+$F$11+AG735,AH735,1)))*IF(AF735&gt;0,AF735,IF(AF734&gt;0,AF734,IF(AF733&gt;0,AF733,IF(AF732&gt;0,AF732,IF(AF731&gt;0,AF731,IF(AF730&gt;0,AF730,IF(AF729&gt;0,AF729,IF(AF728&gt;0,AF728,IF(AF727&gt;0,AF727,IF(AF725&gt;0,AF725,IF(AF724&gt;0,AF724,IF(AF723&gt;0,AF723,0)))))))))))),0)*(1-$S735)*'模拟-单技能数据'!$I$20</f>
        <v>0</v>
      </c>
      <c r="AK735" s="115" t="b">
        <f t="shared" ca="1" si="664"/>
        <v>0</v>
      </c>
      <c r="AL735" s="115" t="b">
        <f t="shared" ca="1" si="665"/>
        <v>1</v>
      </c>
      <c r="AM735" s="115">
        <f t="shared" ca="1" si="666"/>
        <v>3</v>
      </c>
      <c r="AN735" s="47">
        <f ca="1">IF(AK735,('模拟-单技能数据'!$D$21+G735*'模拟-单技能数据'!$F$21)*(1+J735)*(1+'模拟-单技能数据'!$J$21)*(1+U735),0)</f>
        <v>0</v>
      </c>
      <c r="AO735" s="61">
        <f ca="1">IF(AN735&gt;0,M735-'模拟-单技能数据'!$K$10,AO734)</f>
        <v>0.42185145527300216</v>
      </c>
      <c r="AP735" s="61">
        <f ca="1">IF(AN735&gt;0,I735-'模拟-单技能数据'!$L$10,AP734)</f>
        <v>2.162482885499879</v>
      </c>
      <c r="AQ735" s="63">
        <f t="shared" ca="1" si="685"/>
        <v>0.95681565585317985</v>
      </c>
      <c r="AR735" s="64">
        <f ca="1">IF(AL735,IF(AQ735&lt;$F$10,0,IF(AQ735&lt;$F$10+$F$11,0.25,IF(AQ735&lt;$F$10+$F$11+AO735,AP735,1)))*IF(AN735&gt;0,AN735,IF(AN734&gt;0,AN734,IF(AN733&gt;0,AN733,IF(AN732&gt;0,AN732,IF(AN731&gt;0,AN731,IF(AN730&gt;0,AN730,IF(AN729&gt;0,AN729,IF(AN728&gt;0,AN728,IF(AN727&gt;0,AN727,IF(AN725&gt;0,AN725,IF(AN724&gt;0,AN724,IF(AN723&gt;0,AN723,0)))))))))))),0)*(1-$S735)*'模拟-单技能数据'!$I$21</f>
        <v>9190.6918139866902</v>
      </c>
      <c r="AS735" s="61">
        <f ca="1">IF(OR(C735="净世破魔击·日",C735="净世破魔击·月"),M735-'模拟-单技能数据'!$K$10,0)</f>
        <v>0</v>
      </c>
      <c r="AT735" s="61">
        <f ca="1">IF(OR(C735="净世破魔击·日",C735="净世破魔击·月"),I735-'模拟-单技能数据'!$L$10,0)</f>
        <v>0</v>
      </c>
      <c r="AU735" s="62">
        <f t="shared" ca="1" si="686"/>
        <v>0.78288151328527567</v>
      </c>
      <c r="AV735" s="64">
        <f ca="1">IF(AS735&gt;0,('模拟-单技能数据'!$D$22+G735*'模拟-单技能数据'!$F$22)*(1+J735)*(1-S735)*IF(AU735&lt;$F$10,0,IF(AU735&lt;$F$10+$F$11,0.25,IF(AU735&lt;$F$10+$F$11+AS735,AT735,1)))*(1+U735),0)*'模拟-单技能数据'!$I$22</f>
        <v>0</v>
      </c>
      <c r="AW735" s="108">
        <f t="shared" ca="1" si="687"/>
        <v>2.4725000000000064</v>
      </c>
      <c r="AX735" s="108" t="b">
        <f ca="1">AND(模拟模式!$P$10="有",AW734=0,RAND()&lt;IF(C735="净世破魔击·月",0.1*8/3,IF(C735="净世破魔击·日",0.1*4/3,0.1*2/3)))</f>
        <v>0</v>
      </c>
      <c r="AY735" s="47">
        <f ca="1">IF(AX735,(18+G735*0.722)*(1+J735)*(1-S735)*(1+$I$4)*IF(P735="会",'模拟-全程加成'!$J$3+'模拟-全程加成'!$J$4+'模拟-全程加成'!$J$5+('模拟-全程加成'!$I$4+'模拟-全程加成'!$I$5)/系数!$B$4+BG735*10%,IF(P735="命",1,IF(P735="识",0.25,0))),0)</f>
        <v>0</v>
      </c>
      <c r="AZ735" s="108">
        <f t="shared" si="688"/>
        <v>16.310000000000002</v>
      </c>
      <c r="BA735" s="108" t="b">
        <f>AND(模拟模式!$Q$10="有",AZ734=0)</f>
        <v>0</v>
      </c>
      <c r="BB735" s="140">
        <f>IF(BA735,(0+G735*0.287)*(1+J735)*(1-S735)*(1+$I$4)*IF(P735="会",'模拟-全程加成'!$J$3+'模拟-全程加成'!$J$4+'模拟-全程加成'!$J$5+('模拟-全程加成'!$I$4+'模拟-全程加成'!$I$5)/系数!$B$4+BG735*10%,IF(P735="命",1,IF(P735="识",0.25,0))),0)</f>
        <v>0</v>
      </c>
      <c r="BC735" s="115" t="b">
        <f ca="1">AND(模拟模式!$R$7="伏明众生",E735=60,F735=20,DA735&lt;5,CZ734&lt;$F$4)</f>
        <v>0</v>
      </c>
      <c r="BD735" s="115">
        <f t="shared" ca="1" si="667"/>
        <v>0</v>
      </c>
      <c r="BE735" s="115" t="b">
        <f t="shared" ca="1" si="668"/>
        <v>0</v>
      </c>
      <c r="BF735" s="47">
        <f ca="1">IF(BC735,4*('模拟-单技能数据'!$D$24+G735*'模拟-单技能数据'!$F$24)*(1+J735)*(1+'模拟-单技能数据'!$J$24)*(1-S735)*(1+$I$3)*(('模拟-全程加成'!$J$3+'模拟-全程加成'!$J$4+'模拟-全程加成'!$J$5+('模拟-全程加成'!$I$4+'模拟-全程加成'!$I$5)/系数!$B$4+BG735*10%)*('模拟-全程加成'!$J$3+'模拟-全程加成'!$J$4+'模拟-全程加成'!$J$5+('模拟-全程加成'!$I$4+'模拟-全程加成'!$I$5)/系数!$B$4+BG735*10%)+(1-('模拟-全程加成'!$J$3+'模拟-全程加成'!$J$4+'模拟-全程加成'!$J$5+('模拟-全程加成'!$I$4+'模拟-全程加成'!$I$5)/系数!$B$4+BG735*10%)-$F$10-$F$11)+F721*0.25),0)*'模拟-单技能数据'!$I$24</f>
        <v>0</v>
      </c>
      <c r="BG735" s="115" t="b">
        <f ca="1">OR(AND(OR(C735="烈日斩",C735="银月斩"),模拟模式!$I$7="净身明礼"),AND(C735="净世破魔击·日",模拟模式!$J$7="洞若观火"),AND(C736="净世破魔击·月",模拟模式!$J$7="洞若观火"),AB735=1)</f>
        <v>1</v>
      </c>
      <c r="BH735" s="115" t="b">
        <f t="shared" ca="1" si="689"/>
        <v>0</v>
      </c>
      <c r="BI735" s="115">
        <f t="shared" ca="1" si="669"/>
        <v>0</v>
      </c>
      <c r="BJ735" s="115" t="b">
        <f t="shared" ca="1" si="670"/>
        <v>0</v>
      </c>
      <c r="BK735" s="115" t="b">
        <f ca="1">AND(C735="驱夜断愁",模拟模式!$P$7="天地诛戮")</f>
        <v>0</v>
      </c>
      <c r="BL735" s="57">
        <f t="shared" ca="1" si="671"/>
        <v>18.155000000000001</v>
      </c>
      <c r="BM735" s="115" t="b">
        <f t="shared" ca="1" si="672"/>
        <v>1</v>
      </c>
      <c r="BN735" s="115" t="b">
        <f ca="1">AND(OR(C735="赤日轮1",C735="赤日轮2",C735="赤日轮3",C735="幽月轮1",C735="幽月轮2",C735="幽月轮3"),AB735=1,模拟模式!$L$7="明光恒照")</f>
        <v>1</v>
      </c>
      <c r="BO735" s="117">
        <f t="shared" ca="1" si="673"/>
        <v>30</v>
      </c>
      <c r="BP735" s="115">
        <f t="shared" ca="1" si="690"/>
        <v>6</v>
      </c>
      <c r="BQ735" s="115" t="b">
        <f>模拟模式!$K$10="2600·水"</f>
        <v>0</v>
      </c>
      <c r="BR735" s="117">
        <f t="shared" si="691"/>
        <v>0</v>
      </c>
      <c r="BS735" s="115">
        <f t="shared" si="692"/>
        <v>0</v>
      </c>
      <c r="BT735" s="115">
        <f t="shared" ca="1" si="693"/>
        <v>0</v>
      </c>
      <c r="BU735" s="115" t="b">
        <f ca="1">AND(模拟模式!$K$10="2300·雷",BT734=0,RAND()&lt;IF(C735="净世破魔击·月",5*0.05*2/3,IF(C735="净世破魔击·日",3*0.05*2/3,0.05*2*2/3)))</f>
        <v>0</v>
      </c>
      <c r="BV735" s="115">
        <f t="shared" ca="1" si="694"/>
        <v>0</v>
      </c>
      <c r="BW735" s="115">
        <f t="shared" ca="1" si="695"/>
        <v>84.982499999999263</v>
      </c>
      <c r="BX735" s="164" t="b">
        <f t="shared" ca="1" si="696"/>
        <v>0</v>
      </c>
      <c r="BY735" s="115">
        <f t="shared" ca="1" si="697"/>
        <v>0</v>
      </c>
      <c r="BZ735" s="115">
        <f>IF(OR(模拟模式!$P$16="10人团",模拟模式!$P$16="25人团"),IF(B735/30&gt;CA734,1,0),0)</f>
        <v>0</v>
      </c>
      <c r="CA735" s="115">
        <f t="shared" si="674"/>
        <v>0</v>
      </c>
      <c r="CB735" s="115">
        <f ca="1">IF(BZ735=1,IF(模拟模式!$P$16="10人团",15,0)+IF(模拟模式!$P$16="25人团",IF(RAND()&lt;0.6,15,0)),MAX(0,CB734-$F$4))</f>
        <v>0</v>
      </c>
      <c r="CC735" s="115" t="b">
        <f t="shared" ca="1" si="675"/>
        <v>0</v>
      </c>
      <c r="CD735" s="115">
        <f>IF(模拟模式!$Q$16="1个",IF(B735/40&gt;CE734,1,0),0)</f>
        <v>0</v>
      </c>
      <c r="CE735" s="115">
        <f t="shared" si="676"/>
        <v>0</v>
      </c>
      <c r="CF735" s="115">
        <f>IF(OR(CD735=1,模拟模式!$Q$16="2个"),20,MAX(0,CF734-$F$4))</f>
        <v>0</v>
      </c>
      <c r="CG735" s="115" t="b">
        <f t="shared" si="677"/>
        <v>0</v>
      </c>
      <c r="CH735" s="115">
        <f t="shared" ca="1" si="698"/>
        <v>29.077500000000001</v>
      </c>
      <c r="CI735" s="115" t="b">
        <f t="shared" ca="1" si="699"/>
        <v>1</v>
      </c>
      <c r="CJ735" s="119">
        <f t="shared" ca="1" si="700"/>
        <v>0.05</v>
      </c>
      <c r="CK735" s="115">
        <f t="shared" ca="1" si="701"/>
        <v>7.0774999999999997</v>
      </c>
      <c r="CL735" s="115" t="b">
        <f ca="1">AND(模拟模式!$S$7="驱夷逐法",OR(AND(C735="净世破魔击·月",E734&gt;59),AND(C735="净世破魔击·日",F734&gt;59)))</f>
        <v>0</v>
      </c>
      <c r="CM735" s="115" t="b">
        <f ca="1">OR(CL735,AND(C735="净世破魔击·日",CL734,RAND()&lt;模拟模式!$U$23))</f>
        <v>0</v>
      </c>
      <c r="CN735" s="115" t="b">
        <f ca="1">IF(模拟模式!$M$7="辉耀红尘",AND(C735="净世破魔击·月",CL735,CV735=0,E734&lt;80),AND(C735="净世破魔击·月",CL735,E734&lt;100))</f>
        <v>0</v>
      </c>
      <c r="CO735" s="115" t="b">
        <f t="shared" ca="1" si="678"/>
        <v>0</v>
      </c>
      <c r="CP735" s="115" t="b">
        <f ca="1">AND(模拟模式!$O$7="用晦而明",OR(C735="净世破魔击·日",C735="净世破魔击·月",C735="驱夜断愁"),AB735)</f>
        <v>0</v>
      </c>
      <c r="CQ735" s="115" t="b">
        <f ca="1">OR(CP735,AND(CP734,RAND()&lt;模拟模式!$U$23))</f>
        <v>0</v>
      </c>
      <c r="CR735" s="115" t="b">
        <f ca="1">AND(模拟模式!$S$7="日月齐光",OR(C735="幽月轮1",C735="幽月轮2",C735="幽月轮3",CR734),NOT(OR(C735="赤日轮1",C735="赤日轮2",C735="赤日轮3")))</f>
        <v>0</v>
      </c>
      <c r="CS735" s="115" t="b">
        <f ca="1">AND(模拟模式!$S$7="日月齐光",OR(C735="赤日轮1",C735="赤日轮2",C735="赤日轮3",CS734),NOT(OR(C735="幽月轮1",C735="幽月轮2",C735="幽月轮3")))</f>
        <v>0</v>
      </c>
      <c r="CT735" s="115">
        <f t="shared" ca="1" si="702"/>
        <v>14.31750000000001</v>
      </c>
      <c r="CU735" s="115" t="b">
        <f ca="1">AND(模拟模式!$K$10="阴阳往极",CT734=0,RAND()&lt;IF(C735="净世破魔击·月",0.0275*7/3,IF(C735="净世破魔击·日",0.0275*3/3,0.0275*2/3)))</f>
        <v>0</v>
      </c>
      <c r="CV735" s="115">
        <f t="shared" ca="1" si="703"/>
        <v>0</v>
      </c>
      <c r="CW735" s="115">
        <f t="shared" ca="1" si="704"/>
        <v>5.0774999999999997</v>
      </c>
      <c r="CX735" s="115">
        <f t="shared" ca="1" si="705"/>
        <v>3.2324999999999995</v>
      </c>
      <c r="CY735" s="115">
        <f ca="1">MAX(IF($C735="驱夜断愁",IF(模拟模式!$R$7="万念俱寂",6,45),CY734-$F$4),0)</f>
        <v>4.1549999999999994</v>
      </c>
      <c r="CZ735" s="115">
        <f t="shared" ca="1" si="679"/>
        <v>0</v>
      </c>
      <c r="DA735" s="115">
        <f ca="1">IF(模拟模式!$N$7="日月同辉",IF(DB734=2,0,MIN(6,IF(AND(OR(C735="赤日轮1",C735="赤日轮2",C735="赤日轮3",C735="幽月轮1",C735="幽月轮2",C735="幽月轮3"),AB735=1),DA734+1,DA734))),0)</f>
        <v>3</v>
      </c>
      <c r="DB735" s="115">
        <f t="shared" ca="1" si="680"/>
        <v>0</v>
      </c>
      <c r="DC735" s="115"/>
      <c r="DD735" s="115"/>
      <c r="DE735" s="115"/>
      <c r="DF735" s="115"/>
      <c r="DG735" s="115"/>
      <c r="DH735" s="115"/>
      <c r="DI735" s="115"/>
      <c r="DJ735" s="115"/>
      <c r="DK735" s="115"/>
      <c r="DL735" s="115"/>
      <c r="DM735" s="115"/>
    </row>
    <row r="736" spans="2:117" x14ac:dyDescent="0.2">
      <c r="B736" s="117">
        <f t="shared" si="681"/>
        <v>654.05250000000763</v>
      </c>
      <c r="C736" s="167" t="str">
        <f t="shared" ca="1" si="650"/>
        <v>净世破魔击·月</v>
      </c>
      <c r="D736" s="115">
        <f ca="1">IF(C736="赤日轮1",1,IF(C736="赤日轮2",2,IF(C736="赤日轮3",3,IF(C736="幽月轮1",4,IF(C736="幽月轮2",5,IF(C736="幽月轮3",6,IF(C736="烈日斩",7,IF(C736="银月斩",8,IF(C736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736="净世破魔击·月",17,IF(C736="驱夜断愁",18,0)))))))))))</f>
        <v>17</v>
      </c>
      <c r="E736" s="115">
        <f ca="1">IF(AND(CU736,OR(C736="幽月轮1",C736="幽月轮2",C736="幽月轮3",C736="银月斩",C736="驱夜断愁",C736="净世破魔击·月")),100,MIN(IF(OR(CN736,BE736),0,IF(OR($C736="赤日轮1",$C736="赤日轮2",$C736="赤日轮3"),E735+20+IF(模拟模式!$I$7="日月凌天",4,0)+IF(CR735,20,0),IF($C736="烈日斩",E735+40,IF($C736="驱夜断愁",IF(模拟模式!$R$7="万念俱寂",E735+20,E735+60),IF($C736="净世破魔击·月",IF(OR(DB735&gt;0,CV735&gt;0),100,IF(模拟模式!$M$7="辉耀红尘",E735+20,E735)),IF($C736="净世破魔击·日",E735-100,E735)))))),100))</f>
        <v>100</v>
      </c>
      <c r="F736" s="115">
        <f ca="1">IF(AND(CU736,OR(C736="赤日轮1",C736="赤日轮2",C736="赤日轮3",C736="烈日斩",C736="净世破魔击·日")),100,MIN(IF(CO736,0,IF(OR($C736="幽月轮1",$C736="幽月轮2",$C736="幽月轮3"),F735+20+IF(模拟模式!$I$7="日月凌天",4,0)+IF(CS735,20,0),IF($C736="银月斩",F735+40+IF(模拟模式!$X$12=1,5,0),IF($C736="驱夜断愁",IF(模拟模式!$R$7="万念俱寂",F735+20,F735+60),IF($C736="净世破魔击·月",IF(模拟模式!$M$7="辉耀红尘",F735-80,F735-100),IF(AND(C736="净世破魔击·日",OR(DB735&gt;0,CV735&gt;0)),100,F735)))))),100))</f>
        <v>20</v>
      </c>
      <c r="G736" s="117">
        <f ca="1">('模拟-全程加成'!$E$3+'模拟-全程加成'!$E$4+'模拟-全程加成'!$E$5+('模拟-全程加成'!$C$6-'模拟-全程加成'!$C$3)*系数!$B$9+BS736*23)*(1+'模拟-全程加成'!$F$4+'模拟-全程加成'!$F$5+BJ736*10%+BM736*20%+BP736*4%+CG736*30%)+$F$7*系数!$B$12</f>
        <v>20583.127400000001</v>
      </c>
      <c r="H736" s="45">
        <f ca="1">'模拟-全程加成'!$H$3+'模拟-全程加成'!$H$4+'模拟-全程加成'!$H$5+('模拟-全程加成'!$G$4+'模拟-全程加成'!$G$5+('模拟-全程加成'!$C$6-'模拟-全程加成'!$C$3)*系数!$B$13)/系数!$B$3+LOOKUP(D736,'模拟-单技能数据'!$A$2:$A$19,'模拟-单技能数据'!$K$2:$K$19)+BG736*10%+IF(BV736&gt;0,378,0)</f>
        <v>0.54185145527300216</v>
      </c>
      <c r="I736" s="45">
        <f ca="1">'模拟-全程加成'!$J$3+'模拟-全程加成'!$J$4+'模拟-全程加成'!$J$5+('模拟-全程加成'!$I$4+'模拟-全程加成'!$I$5)/系数!$B$4+LOOKUP(D736,'模拟-单技能数据'!$A$2:$A$19,'模拟-单技能数据'!$L$2:$L$19)+BG736*10%</f>
        <v>2.162482885499879</v>
      </c>
      <c r="J736" s="45">
        <f ca="1">(('模拟-全程加成'!$K$3+'模拟-全程加成'!$K$4+'模拟-全程加成'!$K$5+('模拟-全程加成'!$C$6-'模拟-全程加成'!$C$3)*系数!$B$10+IF(BV736&gt;0,882,0)+IF(BY736&gt;0,1831,0))*(1+'模拟-全程加成'!$L$4+'模拟-全程加成'!$L$5+CC736*20%))/系数!$B$5</f>
        <v>0.69723220422048726</v>
      </c>
      <c r="K736" s="119">
        <f ca="1">LOOKUP(D736,'模拟-单技能数据'!$A$2:$A$19,'模拟-单技能数据'!$J$2:$J$19)+IF(CM736,60%,0)+IF(DB735-DB736&gt;0,30%,0)+IF(OR(AND(OR(C736="赤日轮1",C736="赤日轮2",C736="赤日轮3"),CR736),AND(OR(C736="幽月轮1",C736="幽月轮2",C736="幽月轮3"),CS736)),35%,0)+CJ736</f>
        <v>0.85000000000000009</v>
      </c>
      <c r="L736" s="119">
        <f ca="1">IF(AND(C736="烈日斩",模拟模式!$X$11=1),10%,0)+IF(AND(C736="驱夜断愁",AB736=1),30%,0)</f>
        <v>0</v>
      </c>
      <c r="M736" s="45">
        <f t="shared" ca="1" si="651"/>
        <v>0.54185145527300216</v>
      </c>
      <c r="N736" s="45">
        <f t="shared" ca="1" si="652"/>
        <v>0.40424854472699789</v>
      </c>
      <c r="O736" s="46">
        <f t="shared" ca="1" si="682"/>
        <v>0.53497943161136674</v>
      </c>
      <c r="P736" s="46" t="str">
        <f t="shared" ca="1" si="653"/>
        <v>会</v>
      </c>
      <c r="Q736" s="45">
        <f t="shared" ca="1" si="654"/>
        <v>2.162482885499879</v>
      </c>
      <c r="R736" s="117">
        <f ca="1">模拟模式!$E$20*(1-IF(模拟模式!$J$19="有",0.15,0))*(1-IF(模拟模式!$K$19="有",0.3,0)-IF(CQ736,0.5,0))</f>
        <v>843.02999999999975</v>
      </c>
      <c r="S736" s="45">
        <f ca="1">R736/(R736+(185*模拟模式!$E$22-16800)*4.08224)</f>
        <v>8.389626085980037E-2</v>
      </c>
      <c r="T736" s="45" t="str">
        <f ca="1">LOOKUP(D736,'模拟-单技能数据'!$A$2:$A$19,'模拟-单技能数据'!$H$2:$H$19)</f>
        <v>阴</v>
      </c>
      <c r="U736" s="119">
        <f t="shared" ca="1" si="655"/>
        <v>0.08</v>
      </c>
      <c r="V736" s="47">
        <f ca="1">(1+L736)*(LOOKUP(D736,'模拟-单技能数据'!$A$2:$A$19,'模拟-单技能数据'!$D$2:$D$19)+G736*LOOKUP(D736,'模拟-单技能数据'!$A$2:$A$19,'模拟-单技能数据'!$F$2:$F$19))*(1+J736)*(1+K736)*(1-S736)*(1+U736)*Q736*LOOKUP(D736,'模拟-单技能数据'!$A$2:$A$19,'模拟-单技能数据'!$I$2:$I$20)</f>
        <v>179725.81461109844</v>
      </c>
      <c r="W736" s="47">
        <f ca="1">LOOKUP(D736,'模拟-单技能数据'!$A$2:$A$19,'模拟-单技能数据'!$G$2:$G$19)*$I$10</f>
        <v>361.51064354704795</v>
      </c>
      <c r="X736" s="47">
        <f t="shared" ca="1" si="683"/>
        <v>25739.118207155185</v>
      </c>
      <c r="Y736" s="47">
        <f t="shared" ca="1" si="656"/>
        <v>205826.44346180066</v>
      </c>
      <c r="Z736" s="49">
        <f t="shared" ca="1" si="657"/>
        <v>73831873.752074629</v>
      </c>
      <c r="AA736" s="97">
        <f t="shared" ca="1" si="658"/>
        <v>112883.71155537784</v>
      </c>
      <c r="AB736" s="115">
        <f ca="1">IF(OR(C736="赤日轮1",C736="赤日轮2",C736="赤日轮3"),IF(RAND()&lt;模拟模式!$Y$17,1,0),IF(OR(C736="幽月轮1",C736="幽月轮2",C736="幽月轮3"),IF(RAND()&lt;模拟模式!$Y$18,1,0),IF(C736="烈日斩",IF(RAND()&lt;模拟模式!$Y$19,1,0),IF(C736="银月斩",IF(RAND()&lt;模拟模式!$Y$20,1,0),IF(C736="驱夜断愁",IF(RAND()&lt;模拟模式!$Y$21,1,0),IF(C736="净世破魔击·日",IF(RAND()&lt;模拟模式!$Y$22,1,0),IF(C736="净世破魔击·月",IF(RAND()&lt;模拟模式!$Y$23,1,0),0)))))))</f>
        <v>1</v>
      </c>
      <c r="AC736" s="115" t="b">
        <f t="shared" ca="1" si="659"/>
        <v>0</v>
      </c>
      <c r="AD736" s="115" t="b">
        <f t="shared" ca="1" si="660"/>
        <v>1</v>
      </c>
      <c r="AE736" s="115">
        <f t="shared" ca="1" si="661"/>
        <v>4</v>
      </c>
      <c r="AF736" s="47">
        <f ca="1">IF(AC736,('模拟-单技能数据'!$D$20+G736*'模拟-单技能数据'!$F$20)*(1+J736)*(1+'模拟-单技能数据'!$J$20)*(1+U736),0)</f>
        <v>0</v>
      </c>
      <c r="AG736" s="61">
        <f t="shared" ca="1" si="662"/>
        <v>0.64185145527300214</v>
      </c>
      <c r="AH736" s="61">
        <f t="shared" ca="1" si="663"/>
        <v>2.2624828854998791</v>
      </c>
      <c r="AI736" s="62">
        <f t="shared" ca="1" si="684"/>
        <v>0.499621597270131</v>
      </c>
      <c r="AJ736" s="47">
        <f ca="1">IF(AD736,IF(AI736&lt;$F$10,0,IF(AI736&lt;$F$10+$F$11,0.25,IF(AI736&lt;$F$10+$F$11+AG736,AH736,1)))*IF(AF736&gt;0,AF736,IF(AF735&gt;0,AF735,IF(AF734&gt;0,AF734,IF(AF733&gt;0,AF733,IF(AF732&gt;0,AF732,IF(AF731&gt;0,AF731,IF(AF730&gt;0,AF730,IF(AF729&gt;0,AF729,IF(AF728&gt;0,AF728,IF(AF726&gt;0,AF726,IF(AF725&gt;0,AF725,IF(AF724&gt;0,AF724,0)))))))))))),0)*(1-$S736)*'模拟-单技能数据'!$I$20</f>
        <v>9218.9345386263849</v>
      </c>
      <c r="AK736" s="115" t="b">
        <f t="shared" ca="1" si="664"/>
        <v>0</v>
      </c>
      <c r="AL736" s="115" t="b">
        <f t="shared" ca="1" si="665"/>
        <v>0</v>
      </c>
      <c r="AM736" s="115">
        <f t="shared" ca="1" si="666"/>
        <v>3</v>
      </c>
      <c r="AN736" s="47">
        <f ca="1">IF(AK736,('模拟-单技能数据'!$D$21+G736*'模拟-单技能数据'!$F$21)*(1+J736)*(1+'模拟-单技能数据'!$J$21)*(1+U736),0)</f>
        <v>0</v>
      </c>
      <c r="AO736" s="61">
        <f ca="1">IF(AN736&gt;0,M736-'模拟-单技能数据'!$K$10,AO735)</f>
        <v>0.42185145527300216</v>
      </c>
      <c r="AP736" s="61">
        <f ca="1">IF(AN736&gt;0,I736-'模拟-单技能数据'!$L$10,AP735)</f>
        <v>2.162482885499879</v>
      </c>
      <c r="AQ736" s="63">
        <f t="shared" ca="1" si="685"/>
        <v>0.69765386355195136</v>
      </c>
      <c r="AR736" s="64">
        <f ca="1">IF(AL736,IF(AQ736&lt;$F$10,0,IF(AQ736&lt;$F$10+$F$11,0.25,IF(AQ736&lt;$F$10+$F$11+AO736,AP736,1)))*IF(AN736&gt;0,AN736,IF(AN735&gt;0,AN735,IF(AN734&gt;0,AN734,IF(AN733&gt;0,AN733,IF(AN732&gt;0,AN732,IF(AN731&gt;0,AN731,IF(AN730&gt;0,AN730,IF(AN729&gt;0,AN729,IF(AN728&gt;0,AN728,IF(AN726&gt;0,AN726,IF(AN725&gt;0,AN725,IF(AN724&gt;0,AN724,0)))))))))))),0)*(1-$S736)*'模拟-单技能数据'!$I$21</f>
        <v>0</v>
      </c>
      <c r="AS736" s="61">
        <f ca="1">IF(OR(C736="净世破魔击·日",C736="净世破魔击·月"),M736-'模拟-单技能数据'!$K$10,0)</f>
        <v>0.42185145527300216</v>
      </c>
      <c r="AT736" s="61">
        <f ca="1">IF(OR(C736="净世破魔击·日",C736="净世破魔击·月"),I736-'模拟-单技能数据'!$L$10,0)</f>
        <v>2.162482885499879</v>
      </c>
      <c r="AU736" s="62">
        <f t="shared" ca="1" si="686"/>
        <v>6.2087396626066993E-2</v>
      </c>
      <c r="AV736" s="64">
        <f ca="1">IF(AS736&gt;0,('模拟-单技能数据'!$D$22+G736*'模拟-单技能数据'!$F$22)*(1+J736)*(1-S736)*IF(AU736&lt;$F$10,0,IF(AU736&lt;$F$10+$F$11,0.25,IF(AU736&lt;$F$10+$F$11+AS736,AT736,1)))*(1+U736),0)*'模拟-单技能数据'!$I$22</f>
        <v>16520.1836685288</v>
      </c>
      <c r="AW736" s="108">
        <f t="shared" ca="1" si="687"/>
        <v>1.5500000000000065</v>
      </c>
      <c r="AX736" s="108" t="b">
        <f ca="1">AND(模拟模式!$P$10="有",AW735=0,RAND()&lt;IF(C736="净世破魔击·月",0.1*8/3,IF(C736="净世破魔击·日",0.1*4/3,0.1*2/3)))</f>
        <v>0</v>
      </c>
      <c r="AY736" s="47">
        <f ca="1">IF(AX736,(18+G736*0.722)*(1+J736)*(1-S736)*(1+$I$4)*IF(P736="会",'模拟-全程加成'!$J$3+'模拟-全程加成'!$J$4+'模拟-全程加成'!$J$5+('模拟-全程加成'!$I$4+'模拟-全程加成'!$I$5)/系数!$B$4+BG736*10%,IF(P736="命",1,IF(P736="识",0.25,0))),0)</f>
        <v>0</v>
      </c>
      <c r="AZ736" s="108">
        <f t="shared" si="688"/>
        <v>15.387500000000003</v>
      </c>
      <c r="BA736" s="108" t="b">
        <f>AND(模拟模式!$Q$10="有",AZ735=0)</f>
        <v>0</v>
      </c>
      <c r="BB736" s="140">
        <f>IF(BA736,(0+G736*0.287)*(1+J736)*(1-S736)*(1+$I$4)*IF(P736="会",'模拟-全程加成'!$J$3+'模拟-全程加成'!$J$4+'模拟-全程加成'!$J$5+('模拟-全程加成'!$I$4+'模拟-全程加成'!$I$5)/系数!$B$4+BG736*10%,IF(P736="命",1,IF(P736="识",0.25,0))),0)</f>
        <v>0</v>
      </c>
      <c r="BC736" s="115" t="b">
        <f ca="1">AND(模拟模式!$R$7="伏明众生",E736=60,F736=20,DA736&lt;5,CZ735&lt;$F$4)</f>
        <v>0</v>
      </c>
      <c r="BD736" s="115">
        <f t="shared" ca="1" si="667"/>
        <v>0</v>
      </c>
      <c r="BE736" s="115" t="b">
        <f t="shared" ca="1" si="668"/>
        <v>0</v>
      </c>
      <c r="BF736" s="47">
        <f ca="1">IF(BC736,4*('模拟-单技能数据'!$D$24+G736*'模拟-单技能数据'!$F$24)*(1+J736)*(1+'模拟-单技能数据'!$J$24)*(1-S736)*(1+$I$3)*(('模拟-全程加成'!$J$3+'模拟-全程加成'!$J$4+'模拟-全程加成'!$J$5+('模拟-全程加成'!$I$4+'模拟-全程加成'!$I$5)/系数!$B$4+BG736*10%)*('模拟-全程加成'!$J$3+'模拟-全程加成'!$J$4+'模拟-全程加成'!$J$5+('模拟-全程加成'!$I$4+'模拟-全程加成'!$I$5)/系数!$B$4+BG736*10%)+(1-('模拟-全程加成'!$J$3+'模拟-全程加成'!$J$4+'模拟-全程加成'!$J$5+('模拟-全程加成'!$I$4+'模拟-全程加成'!$I$5)/系数!$B$4+BG736*10%)-$F$10-$F$11)+F722*0.25),0)*'模拟-单技能数据'!$I$24</f>
        <v>0</v>
      </c>
      <c r="BG736" s="115" t="b">
        <f ca="1">OR(AND(OR(C736="烈日斩",C736="银月斩"),模拟模式!$I$7="净身明礼"),AND(C736="净世破魔击·日",模拟模式!$J$7="洞若观火"),AND(C737="净世破魔击·月",模拟模式!$J$7="洞若观火"),AB736=1)</f>
        <v>1</v>
      </c>
      <c r="BH736" s="115" t="b">
        <f t="shared" ca="1" si="689"/>
        <v>0</v>
      </c>
      <c r="BI736" s="115">
        <f t="shared" ca="1" si="669"/>
        <v>0</v>
      </c>
      <c r="BJ736" s="115" t="b">
        <f t="shared" ca="1" si="670"/>
        <v>0</v>
      </c>
      <c r="BK736" s="115" t="b">
        <f ca="1">AND(C736="驱夜断愁",模拟模式!$P$7="天地诛戮")</f>
        <v>0</v>
      </c>
      <c r="BL736" s="57">
        <f t="shared" ca="1" si="671"/>
        <v>17.232500000000002</v>
      </c>
      <c r="BM736" s="115" t="b">
        <f t="shared" ca="1" si="672"/>
        <v>1</v>
      </c>
      <c r="BN736" s="115" t="b">
        <f ca="1">AND(OR(C736="赤日轮1",C736="赤日轮2",C736="赤日轮3",C736="幽月轮1",C736="幽月轮2",C736="幽月轮3"),AB736=1,模拟模式!$L$7="明光恒照")</f>
        <v>0</v>
      </c>
      <c r="BO736" s="117">
        <f t="shared" ca="1" si="673"/>
        <v>29.077500000000001</v>
      </c>
      <c r="BP736" s="115">
        <f t="shared" ca="1" si="690"/>
        <v>6</v>
      </c>
      <c r="BQ736" s="115" t="b">
        <f>模拟模式!$K$10="2600·水"</f>
        <v>0</v>
      </c>
      <c r="BR736" s="117">
        <f t="shared" si="691"/>
        <v>0</v>
      </c>
      <c r="BS736" s="115">
        <f t="shared" si="692"/>
        <v>0</v>
      </c>
      <c r="BT736" s="115">
        <f t="shared" ca="1" si="693"/>
        <v>0</v>
      </c>
      <c r="BU736" s="115" t="b">
        <f ca="1">AND(模拟模式!$K$10="2300·雷",BT735=0,RAND()&lt;IF(C736="净世破魔击·月",5*0.05*2/3,IF(C736="净世破魔击·日",3*0.05*2/3,0.05*2*2/3)))</f>
        <v>0</v>
      </c>
      <c r="BV736" s="115">
        <f t="shared" ca="1" si="694"/>
        <v>0</v>
      </c>
      <c r="BW736" s="115">
        <f t="shared" ca="1" si="695"/>
        <v>84.059999999999263</v>
      </c>
      <c r="BX736" s="164" t="b">
        <f t="shared" ca="1" si="696"/>
        <v>0</v>
      </c>
      <c r="BY736" s="115">
        <f t="shared" ca="1" si="697"/>
        <v>0</v>
      </c>
      <c r="BZ736" s="115">
        <f>IF(OR(模拟模式!$P$16="10人团",模拟模式!$P$16="25人团"),IF(B736/30&gt;CA735,1,0),0)</f>
        <v>0</v>
      </c>
      <c r="CA736" s="115">
        <f t="shared" si="674"/>
        <v>0</v>
      </c>
      <c r="CB736" s="115">
        <f ca="1">IF(BZ736=1,IF(模拟模式!$P$16="10人团",15,0)+IF(模拟模式!$P$16="25人团",IF(RAND()&lt;0.6,15,0)),MAX(0,CB735-$F$4))</f>
        <v>0</v>
      </c>
      <c r="CC736" s="115" t="b">
        <f t="shared" ca="1" si="675"/>
        <v>0</v>
      </c>
      <c r="CD736" s="115">
        <f>IF(模拟模式!$Q$16="1个",IF(B736/40&gt;CE735,1,0),0)</f>
        <v>0</v>
      </c>
      <c r="CE736" s="115">
        <f t="shared" si="676"/>
        <v>0</v>
      </c>
      <c r="CF736" s="115">
        <f>IF(OR(CD736=1,模拟模式!$Q$16="2个"),20,MAX(0,CF735-$F$4))</f>
        <v>0</v>
      </c>
      <c r="CG736" s="115" t="b">
        <f t="shared" si="677"/>
        <v>0</v>
      </c>
      <c r="CH736" s="115">
        <f t="shared" ca="1" si="698"/>
        <v>28.155000000000001</v>
      </c>
      <c r="CI736" s="115" t="b">
        <f t="shared" ca="1" si="699"/>
        <v>0</v>
      </c>
      <c r="CJ736" s="119">
        <f t="shared" ca="1" si="700"/>
        <v>0.05</v>
      </c>
      <c r="CK736" s="115">
        <f t="shared" ca="1" si="701"/>
        <v>6.1549999999999994</v>
      </c>
      <c r="CL736" s="115" t="b">
        <f ca="1">AND(模拟模式!$S$7="驱夷逐法",OR(AND(C736="净世破魔击·月",E735&gt;59),AND(C736="净世破魔击·日",F735&gt;59)))</f>
        <v>1</v>
      </c>
      <c r="CM736" s="115" t="b">
        <f ca="1">OR(CL736,AND(C736="净世破魔击·日",CL735,RAND()&lt;模拟模式!$U$23))</f>
        <v>1</v>
      </c>
      <c r="CN736" s="115" t="b">
        <f ca="1">IF(模拟模式!$M$7="辉耀红尘",AND(C736="净世破魔击·月",CL736,CV736=0,E735&lt;80),AND(C736="净世破魔击·月",CL736,E735&lt;100))</f>
        <v>0</v>
      </c>
      <c r="CO736" s="115" t="b">
        <f t="shared" ca="1" si="678"/>
        <v>0</v>
      </c>
      <c r="CP736" s="115" t="b">
        <f ca="1">AND(模拟模式!$O$7="用晦而明",OR(C736="净世破魔击·日",C736="净世破魔击·月",C736="驱夜断愁"),AB736)</f>
        <v>1</v>
      </c>
      <c r="CQ736" s="115" t="b">
        <f ca="1">OR(CP736,AND(CP735,RAND()&lt;模拟模式!$U$23))</f>
        <v>1</v>
      </c>
      <c r="CR736" s="115" t="b">
        <f ca="1">AND(模拟模式!$S$7="日月齐光",OR(C736="幽月轮1",C736="幽月轮2",C736="幽月轮3",CR735),NOT(OR(C736="赤日轮1",C736="赤日轮2",C736="赤日轮3")))</f>
        <v>0</v>
      </c>
      <c r="CS736" s="115" t="b">
        <f ca="1">AND(模拟模式!$S$7="日月齐光",OR(C736="赤日轮1",C736="赤日轮2",C736="赤日轮3",CS735),NOT(OR(C736="幽月轮1",C736="幽月轮2",C736="幽月轮3")))</f>
        <v>0</v>
      </c>
      <c r="CT736" s="115">
        <f t="shared" ca="1" si="702"/>
        <v>13.39500000000001</v>
      </c>
      <c r="CU736" s="115" t="b">
        <f ca="1">AND(模拟模式!$K$10="阴阳往极",CT735=0,RAND()&lt;IF(C736="净世破魔击·月",0.0275*7/3,IF(C736="净世破魔击·日",0.0275*3/3,0.0275*2/3)))</f>
        <v>0</v>
      </c>
      <c r="CV736" s="115">
        <f t="shared" ca="1" si="703"/>
        <v>0</v>
      </c>
      <c r="CW736" s="115">
        <f t="shared" ca="1" si="704"/>
        <v>4.1549999999999994</v>
      </c>
      <c r="CX736" s="115">
        <f t="shared" ca="1" si="705"/>
        <v>2.3099999999999996</v>
      </c>
      <c r="CY736" s="115">
        <f ca="1">MAX(IF($C736="驱夜断愁",IF(模拟模式!$R$7="万念俱寂",6,45),CY735-$F$4),0)</f>
        <v>3.2324999999999995</v>
      </c>
      <c r="CZ736" s="115">
        <f t="shared" ca="1" si="679"/>
        <v>0</v>
      </c>
      <c r="DA736" s="115">
        <f ca="1">IF(模拟模式!$N$7="日月同辉",IF(DB735=2,0,MIN(6,IF(AND(OR(C736="赤日轮1",C736="赤日轮2",C736="赤日轮3",C736="幽月轮1",C736="幽月轮2",C736="幽月轮3"),AB736=1),DA735+1,DA735))),0)</f>
        <v>3</v>
      </c>
      <c r="DB736" s="115">
        <f t="shared" ca="1" si="680"/>
        <v>0</v>
      </c>
      <c r="DC736" s="115"/>
      <c r="DD736" s="115"/>
      <c r="DE736" s="115"/>
      <c r="DF736" s="115"/>
      <c r="DG736" s="115"/>
      <c r="DH736" s="115"/>
      <c r="DI736" s="115"/>
      <c r="DJ736" s="115"/>
      <c r="DK736" s="115"/>
      <c r="DL736" s="115"/>
      <c r="DM736" s="115"/>
    </row>
    <row r="737" spans="2:117" x14ac:dyDescent="0.2">
      <c r="B737" s="117">
        <f t="shared" si="681"/>
        <v>654.97500000000764</v>
      </c>
      <c r="C737" s="167" t="str">
        <f t="shared" ca="1" si="650"/>
        <v>净世破魔击·日</v>
      </c>
      <c r="D737" s="115">
        <f ca="1">IF(C737="赤日轮1",1,IF(C737="赤日轮2",2,IF(C737="赤日轮3",3,IF(C737="幽月轮1",4,IF(C737="幽月轮2",5,IF(C737="幽月轮3",6,IF(C737="烈日斩",7,IF(C737="银月斩",8,IF(C737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737="净世破魔击·月",17,IF(C737="驱夜断愁",18,0)))))))))))</f>
        <v>9</v>
      </c>
      <c r="E737" s="115">
        <f ca="1">IF(AND(CU737,OR(C737="幽月轮1",C737="幽月轮2",C737="幽月轮3",C737="银月斩",C737="驱夜断愁",C737="净世破魔击·月")),100,MIN(IF(OR(CN737,BE737),0,IF(OR($C737="赤日轮1",$C737="赤日轮2",$C737="赤日轮3"),E736+20+IF(模拟模式!$I$7="日月凌天",4,0)+IF(CR736,20,0),IF($C737="烈日斩",E736+40,IF($C737="驱夜断愁",IF(模拟模式!$R$7="万念俱寂",E736+20,E736+60),IF($C737="净世破魔击·月",IF(OR(DB736&gt;0,CV736&gt;0),100,IF(模拟模式!$M$7="辉耀红尘",E736+20,E736)),IF($C737="净世破魔击·日",E736-100,E736)))))),100))</f>
        <v>0</v>
      </c>
      <c r="F737" s="115">
        <f ca="1">IF(AND(CU737,OR(C737="赤日轮1",C737="赤日轮2",C737="赤日轮3",C737="烈日斩",C737="净世破魔击·日")),100,MIN(IF(CO737,0,IF(OR($C737="幽月轮1",$C737="幽月轮2",$C737="幽月轮3"),F736+20+IF(模拟模式!$I$7="日月凌天",4,0)+IF(CS736,20,0),IF($C737="银月斩",F736+40+IF(模拟模式!$X$12=1,5,0),IF($C737="驱夜断愁",IF(模拟模式!$R$7="万念俱寂",F736+20,F736+60),IF($C737="净世破魔击·月",IF(模拟模式!$M$7="辉耀红尘",F736-80,F736-100),IF(AND(C737="净世破魔击·日",OR(DB736&gt;0,CV736&gt;0)),100,F736)))))),100))</f>
        <v>20</v>
      </c>
      <c r="G737" s="117">
        <f ca="1">('模拟-全程加成'!$E$3+'模拟-全程加成'!$E$4+'模拟-全程加成'!$E$5+('模拟-全程加成'!$C$6-'模拟-全程加成'!$C$3)*系数!$B$9+BS737*23)*(1+'模拟-全程加成'!$F$4+'模拟-全程加成'!$F$5+BJ737*10%+BM737*20%+BP737*4%+CG737*30%)+$F$7*系数!$B$12</f>
        <v>20583.127400000001</v>
      </c>
      <c r="H737" s="45">
        <f ca="1">'模拟-全程加成'!$H$3+'模拟-全程加成'!$H$4+'模拟-全程加成'!$H$5+('模拟-全程加成'!$G$4+'模拟-全程加成'!$G$5+('模拟-全程加成'!$C$6-'模拟-全程加成'!$C$3)*系数!$B$13)/系数!$B$3+LOOKUP(D737,'模拟-单技能数据'!$A$2:$A$19,'模拟-单技能数据'!$K$2:$K$19)+BG737*10%+IF(BV737&gt;0,378,0)</f>
        <v>0.54185145527300216</v>
      </c>
      <c r="I737" s="45">
        <f ca="1">'模拟-全程加成'!$J$3+'模拟-全程加成'!$J$4+'模拟-全程加成'!$J$5+('模拟-全程加成'!$I$4+'模拟-全程加成'!$I$5)/系数!$B$4+LOOKUP(D737,'模拟-单技能数据'!$A$2:$A$19,'模拟-单技能数据'!$L$2:$L$19)+BG737*10%</f>
        <v>2.162482885499879</v>
      </c>
      <c r="J737" s="45">
        <f ca="1">(('模拟-全程加成'!$K$3+'模拟-全程加成'!$K$4+'模拟-全程加成'!$K$5+('模拟-全程加成'!$C$6-'模拟-全程加成'!$C$3)*系数!$B$10+IF(BV737&gt;0,882,0)+IF(BY737&gt;0,1831,0))*(1+'模拟-全程加成'!$L$4+'模拟-全程加成'!$L$5+CC737*20%))/系数!$B$5</f>
        <v>0.69723220422048726</v>
      </c>
      <c r="K737" s="119">
        <f ca="1">LOOKUP(D737,'模拟-单技能数据'!$A$2:$A$19,'模拟-单技能数据'!$J$2:$J$19)+IF(CM737,60%,0)+IF(DB736-DB737&gt;0,30%,0)+IF(OR(AND(OR(C737="赤日轮1",C737="赤日轮2",C737="赤日轮3"),CR737),AND(OR(C737="幽月轮1",C737="幽月轮2",C737="幽月轮3"),CS737)),35%,0)+CJ737</f>
        <v>0.85000000000000009</v>
      </c>
      <c r="L737" s="119">
        <f ca="1">IF(AND(C737="烈日斩",模拟模式!$X$11=1),10%,0)+IF(AND(C737="驱夜断愁",AB737=1),30%,0)</f>
        <v>0</v>
      </c>
      <c r="M737" s="45">
        <f t="shared" ca="1" si="651"/>
        <v>0.54185145527300216</v>
      </c>
      <c r="N737" s="45">
        <f t="shared" ca="1" si="652"/>
        <v>0.40424854472699789</v>
      </c>
      <c r="O737" s="46">
        <f t="shared" ca="1" si="682"/>
        <v>0.3863996590794252</v>
      </c>
      <c r="P737" s="46" t="str">
        <f t="shared" ca="1" si="653"/>
        <v>会</v>
      </c>
      <c r="Q737" s="45">
        <f t="shared" ca="1" si="654"/>
        <v>2.162482885499879</v>
      </c>
      <c r="R737" s="117">
        <f ca="1">模拟模式!$E$20*(1-IF(模拟模式!$J$19="有",0.15,0))*(1-IF(模拟模式!$K$19="有",0.3,0)-IF(CQ737,0.5,0))</f>
        <v>843.02999999999975</v>
      </c>
      <c r="S737" s="45">
        <f ca="1">R737/(R737+(185*模拟模式!$E$22-16800)*4.08224)</f>
        <v>8.389626085980037E-2</v>
      </c>
      <c r="T737" s="45" t="str">
        <f ca="1">LOOKUP(D737,'模拟-单技能数据'!$A$2:$A$19,'模拟-单技能数据'!$H$2:$H$19)</f>
        <v>阳</v>
      </c>
      <c r="U737" s="119">
        <f t="shared" ca="1" si="655"/>
        <v>0.2</v>
      </c>
      <c r="V737" s="47">
        <f ca="1">(1+L737)*(LOOKUP(D737,'模拟-单技能数据'!$A$2:$A$19,'模拟-单技能数据'!$D$2:$D$19)+G737*LOOKUP(D737,'模拟-单技能数据'!$A$2:$A$19,'模拟-单技能数据'!$F$2:$F$19))*(1+J737)*(1+K737)*(1-S737)*(1+U737)*Q737*LOOKUP(D737,'模拟-单技能数据'!$A$2:$A$19,'模拟-单技能数据'!$I$2:$I$20)</f>
        <v>201357.92085574206</v>
      </c>
      <c r="W737" s="47">
        <f ca="1">LOOKUP(D737,'模拟-单技能数据'!$A$2:$A$19,'模拟-单技能数据'!$G$2:$G$19)*$I$10</f>
        <v>723.0212870940959</v>
      </c>
      <c r="X737" s="47">
        <f t="shared" ca="1" si="683"/>
        <v>42399.008809323939</v>
      </c>
      <c r="Y737" s="47">
        <f t="shared" ca="1" si="656"/>
        <v>244479.95095216011</v>
      </c>
      <c r="Z737" s="49">
        <f t="shared" ca="1" si="657"/>
        <v>74076353.703026786</v>
      </c>
      <c r="AA737" s="97">
        <f t="shared" ca="1" si="658"/>
        <v>113097.9864926538</v>
      </c>
      <c r="AB737" s="115">
        <f ca="1">IF(OR(C737="赤日轮1",C737="赤日轮2",C737="赤日轮3"),IF(RAND()&lt;模拟模式!$Y$17,1,0),IF(OR(C737="幽月轮1",C737="幽月轮2",C737="幽月轮3"),IF(RAND()&lt;模拟模式!$Y$18,1,0),IF(C737="烈日斩",IF(RAND()&lt;模拟模式!$Y$19,1,0),IF(C737="银月斩",IF(RAND()&lt;模拟模式!$Y$20,1,0),IF(C737="驱夜断愁",IF(RAND()&lt;模拟模式!$Y$21,1,0),IF(C737="净世破魔击·日",IF(RAND()&lt;模拟模式!$Y$22,1,0),IF(C737="净世破魔击·月",IF(RAND()&lt;模拟模式!$Y$23,1,0),0)))))))</f>
        <v>1</v>
      </c>
      <c r="AC737" s="115" t="b">
        <f t="shared" ca="1" si="659"/>
        <v>0</v>
      </c>
      <c r="AD737" s="115" t="b">
        <f t="shared" ca="1" si="660"/>
        <v>0</v>
      </c>
      <c r="AE737" s="115">
        <f t="shared" ca="1" si="661"/>
        <v>4</v>
      </c>
      <c r="AF737" s="47">
        <f ca="1">IF(AC737,('模拟-单技能数据'!$D$20+G737*'模拟-单技能数据'!$F$20)*(1+J737)*(1+'模拟-单技能数据'!$J$20)*(1+U737),0)</f>
        <v>0</v>
      </c>
      <c r="AG737" s="61">
        <f t="shared" ca="1" si="662"/>
        <v>0.64185145527300214</v>
      </c>
      <c r="AH737" s="61">
        <f t="shared" ca="1" si="663"/>
        <v>2.2624828854998791</v>
      </c>
      <c r="AI737" s="62">
        <f t="shared" ca="1" si="684"/>
        <v>0.23380290110532109</v>
      </c>
      <c r="AJ737" s="47">
        <f ca="1">IF(AD737,IF(AI737&lt;$F$10,0,IF(AI737&lt;$F$10+$F$11,0.25,IF(AI737&lt;$F$10+$F$11+AG737,AH737,1)))*IF(AF737&gt;0,AF737,IF(AF736&gt;0,AF736,IF(AF735&gt;0,AF735,IF(AF734&gt;0,AF734,IF(AF733&gt;0,AF733,IF(AF732&gt;0,AF732,IF(AF731&gt;0,AF731,IF(AF730&gt;0,AF730,IF(AF729&gt;0,AF729,IF(AF727&gt;0,AF727,IF(AF726&gt;0,AF726,IF(AF725&gt;0,AF725,0)))))))))))),0)*(1-$S737)*'模拟-单技能数据'!$I$20</f>
        <v>0</v>
      </c>
      <c r="AK737" s="115" t="b">
        <f t="shared" ca="1" si="664"/>
        <v>1</v>
      </c>
      <c r="AL737" s="115" t="b">
        <f t="shared" ca="1" si="665"/>
        <v>1</v>
      </c>
      <c r="AM737" s="115">
        <f t="shared" ca="1" si="666"/>
        <v>5</v>
      </c>
      <c r="AN737" s="47">
        <f ca="1">IF(AK737,('模拟-单技能数据'!$D$21+G737*'模拟-单技能数据'!$F$21)*(1+J737)*(1+'模拟-单技能数据'!$J$21)*(1+U737),0)</f>
        <v>12136.56601728573</v>
      </c>
      <c r="AO737" s="61">
        <f ca="1">IF(AN737&gt;0,M737-'模拟-单技能数据'!$K$10,AO736)</f>
        <v>0.42185145527300216</v>
      </c>
      <c r="AP737" s="61">
        <f ca="1">IF(AN737&gt;0,I737-'模拟-单技能数据'!$L$10,AP736)</f>
        <v>2.162482885499879</v>
      </c>
      <c r="AQ737" s="63">
        <f t="shared" ca="1" si="685"/>
        <v>0.45512901515232973</v>
      </c>
      <c r="AR737" s="64">
        <f ca="1">IF(AL737,IF(AQ737&lt;$F$10,0,IF(AQ737&lt;$F$10+$F$11,0.25,IF(AQ737&lt;$F$10+$F$11+AO737,AP737,1)))*IF(AN737&gt;0,AN737,IF(AN736&gt;0,AN736,IF(AN735&gt;0,AN735,IF(AN734&gt;0,AN734,IF(AN733&gt;0,AN733,IF(AN732&gt;0,AN732,IF(AN731&gt;0,AN731,IF(AN730&gt;0,AN730,IF(AN729&gt;0,AN729,IF(AN727&gt;0,AN727,IF(AN726&gt;0,AN726,IF(AN725&gt;0,AN725,0)))))))))))),0)*(1-$S737)*'模拟-单技能数据'!$I$21</f>
        <v>24043.249177625272</v>
      </c>
      <c r="AS737" s="61">
        <f ca="1">IF(OR(C737="净世破魔击·日",C737="净世破魔击·月"),M737-'模拟-单技能数据'!$K$10,0)</f>
        <v>0.42185145527300216</v>
      </c>
      <c r="AT737" s="61">
        <f ca="1">IF(OR(C737="净世破魔击·日",C737="净世破魔击·月"),I737-'模拟-单技能数据'!$L$10,0)</f>
        <v>2.162482885499879</v>
      </c>
      <c r="AU737" s="62">
        <f t="shared" ca="1" si="686"/>
        <v>0.12580808257430098</v>
      </c>
      <c r="AV737" s="64">
        <f ca="1">IF(AS737&gt;0,('模拟-单技能数据'!$D$22+G737*'模拟-单技能数据'!$F$22)*(1+J737)*(1-S737)*IF(AU737&lt;$F$10,0,IF(AU737&lt;$F$10+$F$11,0.25,IF(AU737&lt;$F$10+$F$11+AS737,AT737,1)))*(1+U737),0)*'模拟-单技能数据'!$I$22</f>
        <v>18355.759631698667</v>
      </c>
      <c r="AW737" s="108">
        <f t="shared" ca="1" si="687"/>
        <v>0.6275000000000065</v>
      </c>
      <c r="AX737" s="108" t="b">
        <f ca="1">AND(模拟模式!$P$10="有",AW736=0,RAND()&lt;IF(C737="净世破魔击·月",0.1*8/3,IF(C737="净世破魔击·日",0.1*4/3,0.1*2/3)))</f>
        <v>0</v>
      </c>
      <c r="AY737" s="47">
        <f ca="1">IF(AX737,(18+G737*0.722)*(1+J737)*(1-S737)*(1+$I$4)*IF(P737="会",'模拟-全程加成'!$J$3+'模拟-全程加成'!$J$4+'模拟-全程加成'!$J$5+('模拟-全程加成'!$I$4+'模拟-全程加成'!$I$5)/系数!$B$4+BG737*10%,IF(P737="命",1,IF(P737="识",0.25,0))),0)</f>
        <v>0</v>
      </c>
      <c r="AZ737" s="108">
        <f t="shared" si="688"/>
        <v>14.465000000000003</v>
      </c>
      <c r="BA737" s="108" t="b">
        <f>AND(模拟模式!$Q$10="有",AZ736=0)</f>
        <v>0</v>
      </c>
      <c r="BB737" s="140">
        <f>IF(BA737,(0+G737*0.287)*(1+J737)*(1-S737)*(1+$I$4)*IF(P737="会",'模拟-全程加成'!$J$3+'模拟-全程加成'!$J$4+'模拟-全程加成'!$J$5+('模拟-全程加成'!$I$4+'模拟-全程加成'!$I$5)/系数!$B$4+BG737*10%,IF(P737="命",1,IF(P737="识",0.25,0))),0)</f>
        <v>0</v>
      </c>
      <c r="BC737" s="115" t="b">
        <f ca="1">AND(模拟模式!$R$7="伏明众生",E737=60,F737=20,DA737&lt;5,CZ736&lt;$F$4)</f>
        <v>0</v>
      </c>
      <c r="BD737" s="115">
        <f t="shared" ca="1" si="667"/>
        <v>0</v>
      </c>
      <c r="BE737" s="115" t="b">
        <f t="shared" ca="1" si="668"/>
        <v>0</v>
      </c>
      <c r="BF737" s="47">
        <f ca="1">IF(BC737,4*('模拟-单技能数据'!$D$24+G737*'模拟-单技能数据'!$F$24)*(1+J737)*(1+'模拟-单技能数据'!$J$24)*(1-S737)*(1+$I$3)*(('模拟-全程加成'!$J$3+'模拟-全程加成'!$J$4+'模拟-全程加成'!$J$5+('模拟-全程加成'!$I$4+'模拟-全程加成'!$I$5)/系数!$B$4+BG737*10%)*('模拟-全程加成'!$J$3+'模拟-全程加成'!$J$4+'模拟-全程加成'!$J$5+('模拟-全程加成'!$I$4+'模拟-全程加成'!$I$5)/系数!$B$4+BG737*10%)+(1-('模拟-全程加成'!$J$3+'模拟-全程加成'!$J$4+'模拟-全程加成'!$J$5+('模拟-全程加成'!$I$4+'模拟-全程加成'!$I$5)/系数!$B$4+BG737*10%)-$F$10-$F$11)+F723*0.25),0)*'模拟-单技能数据'!$I$24</f>
        <v>0</v>
      </c>
      <c r="BG737" s="115" t="b">
        <f ca="1">OR(AND(OR(C737="烈日斩",C737="银月斩"),模拟模式!$I$7="净身明礼"),AND(C737="净世破魔击·日",模拟模式!$J$7="洞若观火"),AND(C738="净世破魔击·月",模拟模式!$J$7="洞若观火"),AB737=1)</f>
        <v>1</v>
      </c>
      <c r="BH737" s="115" t="b">
        <f t="shared" ca="1" si="689"/>
        <v>0</v>
      </c>
      <c r="BI737" s="115">
        <f t="shared" ca="1" si="669"/>
        <v>0</v>
      </c>
      <c r="BJ737" s="115" t="b">
        <f t="shared" ca="1" si="670"/>
        <v>0</v>
      </c>
      <c r="BK737" s="115" t="b">
        <f ca="1">AND(C737="驱夜断愁",模拟模式!$P$7="天地诛戮")</f>
        <v>0</v>
      </c>
      <c r="BL737" s="57">
        <f t="shared" ca="1" si="671"/>
        <v>16.310000000000002</v>
      </c>
      <c r="BM737" s="115" t="b">
        <f t="shared" ca="1" si="672"/>
        <v>1</v>
      </c>
      <c r="BN737" s="115" t="b">
        <f ca="1">AND(OR(C737="赤日轮1",C737="赤日轮2",C737="赤日轮3",C737="幽月轮1",C737="幽月轮2",C737="幽月轮3"),AB737=1,模拟模式!$L$7="明光恒照")</f>
        <v>0</v>
      </c>
      <c r="BO737" s="117">
        <f t="shared" ca="1" si="673"/>
        <v>28.155000000000001</v>
      </c>
      <c r="BP737" s="115">
        <f t="shared" ca="1" si="690"/>
        <v>6</v>
      </c>
      <c r="BQ737" s="115" t="b">
        <f>模拟模式!$K$10="2600·水"</f>
        <v>0</v>
      </c>
      <c r="BR737" s="117">
        <f t="shared" si="691"/>
        <v>0</v>
      </c>
      <c r="BS737" s="115">
        <f t="shared" si="692"/>
        <v>0</v>
      </c>
      <c r="BT737" s="115">
        <f t="shared" ca="1" si="693"/>
        <v>0</v>
      </c>
      <c r="BU737" s="115" t="b">
        <f ca="1">AND(模拟模式!$K$10="2300·雷",BT736=0,RAND()&lt;IF(C737="净世破魔击·月",5*0.05*2/3,IF(C737="净世破魔击·日",3*0.05*2/3,0.05*2*2/3)))</f>
        <v>0</v>
      </c>
      <c r="BV737" s="115">
        <f t="shared" ca="1" si="694"/>
        <v>0</v>
      </c>
      <c r="BW737" s="115">
        <f t="shared" ca="1" si="695"/>
        <v>83.137499999999264</v>
      </c>
      <c r="BX737" s="164" t="b">
        <f t="shared" ca="1" si="696"/>
        <v>0</v>
      </c>
      <c r="BY737" s="115">
        <f t="shared" ca="1" si="697"/>
        <v>0</v>
      </c>
      <c r="BZ737" s="115">
        <f>IF(OR(模拟模式!$P$16="10人团",模拟模式!$P$16="25人团"),IF(B737/30&gt;CA736,1,0),0)</f>
        <v>0</v>
      </c>
      <c r="CA737" s="115">
        <f t="shared" si="674"/>
        <v>0</v>
      </c>
      <c r="CB737" s="115">
        <f ca="1">IF(BZ737=1,IF(模拟模式!$P$16="10人团",15,0)+IF(模拟模式!$P$16="25人团",IF(RAND()&lt;0.6,15,0)),MAX(0,CB736-$F$4))</f>
        <v>0</v>
      </c>
      <c r="CC737" s="115" t="b">
        <f t="shared" ca="1" si="675"/>
        <v>0</v>
      </c>
      <c r="CD737" s="115">
        <f>IF(模拟模式!$Q$16="1个",IF(B737/40&gt;CE736,1,0),0)</f>
        <v>0</v>
      </c>
      <c r="CE737" s="115">
        <f t="shared" si="676"/>
        <v>0</v>
      </c>
      <c r="CF737" s="115">
        <f>IF(OR(CD737=1,模拟模式!$Q$16="2个"),20,MAX(0,CF736-$F$4))</f>
        <v>0</v>
      </c>
      <c r="CG737" s="115" t="b">
        <f t="shared" si="677"/>
        <v>0</v>
      </c>
      <c r="CH737" s="115">
        <f t="shared" ca="1" si="698"/>
        <v>27.232500000000002</v>
      </c>
      <c r="CI737" s="115" t="b">
        <f t="shared" ca="1" si="699"/>
        <v>0</v>
      </c>
      <c r="CJ737" s="119">
        <f t="shared" ca="1" si="700"/>
        <v>0.05</v>
      </c>
      <c r="CK737" s="115">
        <f t="shared" ca="1" si="701"/>
        <v>5.232499999999999</v>
      </c>
      <c r="CL737" s="115" t="b">
        <f ca="1">AND(模拟模式!$S$7="驱夷逐法",OR(AND(C737="净世破魔击·月",E736&gt;59),AND(C737="净世破魔击·日",F736&gt;59)))</f>
        <v>0</v>
      </c>
      <c r="CM737" s="115" t="b">
        <f ca="1">OR(CL737,AND(C737="净世破魔击·日",CL736,RAND()&lt;模拟模式!$U$23))</f>
        <v>1</v>
      </c>
      <c r="CN737" s="115" t="b">
        <f ca="1">IF(模拟模式!$M$7="辉耀红尘",AND(C737="净世破魔击·月",CL737,CV737=0,E736&lt;80),AND(C737="净世破魔击·月",CL737,E736&lt;100))</f>
        <v>0</v>
      </c>
      <c r="CO737" s="115" t="b">
        <f t="shared" ca="1" si="678"/>
        <v>0</v>
      </c>
      <c r="CP737" s="115" t="b">
        <f ca="1">AND(模拟模式!$O$7="用晦而明",OR(C737="净世破魔击·日",C737="净世破魔击·月",C737="驱夜断愁"),AB737)</f>
        <v>1</v>
      </c>
      <c r="CQ737" s="115" t="b">
        <f ca="1">OR(CP737,AND(CP736,RAND()&lt;模拟模式!$U$23))</f>
        <v>1</v>
      </c>
      <c r="CR737" s="115" t="b">
        <f ca="1">AND(模拟模式!$S$7="日月齐光",OR(C737="幽月轮1",C737="幽月轮2",C737="幽月轮3",CR736),NOT(OR(C737="赤日轮1",C737="赤日轮2",C737="赤日轮3")))</f>
        <v>0</v>
      </c>
      <c r="CS737" s="115" t="b">
        <f ca="1">AND(模拟模式!$S$7="日月齐光",OR(C737="赤日轮1",C737="赤日轮2",C737="赤日轮3",CS736),NOT(OR(C737="幽月轮1",C737="幽月轮2",C737="幽月轮3")))</f>
        <v>0</v>
      </c>
      <c r="CT737" s="115">
        <f t="shared" ca="1" si="702"/>
        <v>12.472500000000011</v>
      </c>
      <c r="CU737" s="115" t="b">
        <f ca="1">AND(模拟模式!$K$10="阴阳往极",CT736=0,RAND()&lt;IF(C737="净世破魔击·月",0.0275*7/3,IF(C737="净世破魔击·日",0.0275*3/3,0.0275*2/3)))</f>
        <v>0</v>
      </c>
      <c r="CV737" s="115">
        <f t="shared" ca="1" si="703"/>
        <v>0</v>
      </c>
      <c r="CW737" s="115">
        <f t="shared" ca="1" si="704"/>
        <v>3.2324999999999995</v>
      </c>
      <c r="CX737" s="115">
        <f t="shared" ca="1" si="705"/>
        <v>1.3874999999999997</v>
      </c>
      <c r="CY737" s="115">
        <f ca="1">MAX(IF($C737="驱夜断愁",IF(模拟模式!$R$7="万念俱寂",6,45),CY736-$F$4),0)</f>
        <v>2.3099999999999996</v>
      </c>
      <c r="CZ737" s="115">
        <f t="shared" ca="1" si="679"/>
        <v>0</v>
      </c>
      <c r="DA737" s="115">
        <f ca="1">IF(模拟模式!$N$7="日月同辉",IF(DB736=2,0,MIN(6,IF(AND(OR(C737="赤日轮1",C737="赤日轮2",C737="赤日轮3",C737="幽月轮1",C737="幽月轮2",C737="幽月轮3"),AB737=1),DA736+1,DA736))),0)</f>
        <v>3</v>
      </c>
      <c r="DB737" s="115">
        <f t="shared" ca="1" si="680"/>
        <v>0</v>
      </c>
      <c r="DC737" s="115"/>
      <c r="DD737" s="115"/>
      <c r="DE737" s="115"/>
      <c r="DF737" s="115"/>
      <c r="DG737" s="115"/>
      <c r="DH737" s="115"/>
      <c r="DI737" s="115"/>
      <c r="DJ737" s="115"/>
      <c r="DK737" s="115"/>
      <c r="DL737" s="115"/>
      <c r="DM737" s="115"/>
    </row>
    <row r="738" spans="2:117" x14ac:dyDescent="0.2">
      <c r="B738" s="117">
        <f t="shared" si="681"/>
        <v>655.89750000000765</v>
      </c>
      <c r="C738" s="167" t="str">
        <f t="shared" ca="1" si="650"/>
        <v>赤日轮1</v>
      </c>
      <c r="D738" s="115">
        <f ca="1">IF(C738="赤日轮1",1,IF(C738="赤日轮2",2,IF(C738="赤日轮3",3,IF(C738="幽月轮1",4,IF(C738="幽月轮2",5,IF(C738="幽月轮3",6,IF(C738="烈日斩",7,IF(C738="银月斩",8,IF(C738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738="净世破魔击·月",17,IF(C738="驱夜断愁",18,0)))))))))))</f>
        <v>1</v>
      </c>
      <c r="E738" s="115">
        <f ca="1">IF(AND(CU738,OR(C738="幽月轮1",C738="幽月轮2",C738="幽月轮3",C738="银月斩",C738="驱夜断愁",C738="净世破魔击·月")),100,MIN(IF(OR(CN738,BE738),0,IF(OR($C738="赤日轮1",$C738="赤日轮2",$C738="赤日轮3"),E737+20+IF(模拟模式!$I$7="日月凌天",4,0)+IF(CR737,20,0),IF($C738="烈日斩",E737+40,IF($C738="驱夜断愁",IF(模拟模式!$R$7="万念俱寂",E737+20,E737+60),IF($C738="净世破魔击·月",IF(OR(DB737&gt;0,CV737&gt;0),100,IF(模拟模式!$M$7="辉耀红尘",E737+20,E737)),IF($C738="净世破魔击·日",E737-100,E737)))))),100))</f>
        <v>20</v>
      </c>
      <c r="F738" s="115">
        <f ca="1">IF(AND(CU738,OR(C738="赤日轮1",C738="赤日轮2",C738="赤日轮3",C738="烈日斩",C738="净世破魔击·日")),100,MIN(IF(CO738,0,IF(OR($C738="幽月轮1",$C738="幽月轮2",$C738="幽月轮3"),F737+20+IF(模拟模式!$I$7="日月凌天",4,0)+IF(CS737,20,0),IF($C738="银月斩",F737+40+IF(模拟模式!$X$12=1,5,0),IF($C738="驱夜断愁",IF(模拟模式!$R$7="万念俱寂",F737+20,F737+60),IF($C738="净世破魔击·月",IF(模拟模式!$M$7="辉耀红尘",F737-80,F737-100),IF(AND(C738="净世破魔击·日",OR(DB737&gt;0,CV737&gt;0)),100,F737)))))),100))</f>
        <v>20</v>
      </c>
      <c r="G738" s="117">
        <f ca="1">('模拟-全程加成'!$E$3+'模拟-全程加成'!$E$4+'模拟-全程加成'!$E$5+('模拟-全程加成'!$C$6-'模拟-全程加成'!$C$3)*系数!$B$9+BS738*23)*(1+'模拟-全程加成'!$F$4+'模拟-全程加成'!$F$5+BJ738*10%+BM738*20%+BP738*4%+CG738*30%)+$F$7*系数!$B$12</f>
        <v>20583.127400000001</v>
      </c>
      <c r="H738" s="45">
        <f ca="1">'模拟-全程加成'!$H$3+'模拟-全程加成'!$H$4+'模拟-全程加成'!$H$5+('模拟-全程加成'!$G$4+'模拟-全程加成'!$G$5+('模拟-全程加成'!$C$6-'模拟-全程加成'!$C$3)*系数!$B$13)/系数!$B$3+LOOKUP(D738,'模拟-单技能数据'!$A$2:$A$19,'模拟-单技能数据'!$K$2:$K$19)+BG738*10%+IF(BV738&gt;0,378,0)</f>
        <v>0.4618514552730022</v>
      </c>
      <c r="I738" s="45">
        <f ca="1">'模拟-全程加成'!$J$3+'模拟-全程加成'!$J$4+'模拟-全程加成'!$J$5+('模拟-全程加成'!$I$4+'模拟-全程加成'!$I$5)/系数!$B$4+LOOKUP(D738,'模拟-单技能数据'!$A$2:$A$19,'模拟-单技能数据'!$L$2:$L$19)+BG738*10%</f>
        <v>2.162482885499879</v>
      </c>
      <c r="J738" s="45">
        <f ca="1">(('模拟-全程加成'!$K$3+'模拟-全程加成'!$K$4+'模拟-全程加成'!$K$5+('模拟-全程加成'!$C$6-'模拟-全程加成'!$C$3)*系数!$B$10+IF(BV738&gt;0,882,0)+IF(BY738&gt;0,1831,0))*(1+'模拟-全程加成'!$L$4+'模拟-全程加成'!$L$5+CC738*20%))/系数!$B$5</f>
        <v>0.69723220422048726</v>
      </c>
      <c r="K738" s="119">
        <f ca="1">LOOKUP(D738,'模拟-单技能数据'!$A$2:$A$19,'模拟-单技能数据'!$J$2:$J$19)+IF(CM738,60%,0)+IF(DB737-DB738&gt;0,30%,0)+IF(OR(AND(OR(C738="赤日轮1",C738="赤日轮2",C738="赤日轮3"),CR738),AND(OR(C738="幽月轮1",C738="幽月轮2",C738="幽月轮3"),CS738)),35%,0)+CJ738</f>
        <v>0.16999999999999998</v>
      </c>
      <c r="L738" s="119">
        <f ca="1">IF(AND(C738="烈日斩",模拟模式!$X$11=1),10%,0)+IF(AND(C738="驱夜断愁",AB738=1),30%,0)</f>
        <v>0</v>
      </c>
      <c r="M738" s="45">
        <f t="shared" ca="1" si="651"/>
        <v>0.4618514552730022</v>
      </c>
      <c r="N738" s="45">
        <f t="shared" ca="1" si="652"/>
        <v>0.48424854472699785</v>
      </c>
      <c r="O738" s="46">
        <f t="shared" ca="1" si="682"/>
        <v>0.75690619201280585</v>
      </c>
      <c r="P738" s="46" t="str">
        <f t="shared" ca="1" si="653"/>
        <v>命</v>
      </c>
      <c r="Q738" s="45">
        <f t="shared" ca="1" si="654"/>
        <v>1</v>
      </c>
      <c r="R738" s="117">
        <f ca="1">模拟模式!$E$20*(1-IF(模拟模式!$J$19="有",0.15,0))*(1-IF(模拟模式!$K$19="有",0.3,0)-IF(CQ738,0.5,0))</f>
        <v>843.02999999999975</v>
      </c>
      <c r="S738" s="45">
        <f ca="1">R738/(R738+(185*模拟模式!$E$22-16800)*4.08224)</f>
        <v>8.389626085980037E-2</v>
      </c>
      <c r="T738" s="45" t="str">
        <f ca="1">LOOKUP(D738,'模拟-单技能数据'!$A$2:$A$19,'模拟-单技能数据'!$H$2:$H$19)</f>
        <v>阳</v>
      </c>
      <c r="U738" s="119">
        <f t="shared" ca="1" si="655"/>
        <v>0.2</v>
      </c>
      <c r="V738" s="47">
        <f ca="1">(1+L738)*(LOOKUP(D738,'模拟-单技能数据'!$A$2:$A$19,'模拟-单技能数据'!$D$2:$D$19)+G738*LOOKUP(D738,'模拟-单技能数据'!$A$2:$A$19,'模拟-单技能数据'!$F$2:$F$19))*(1+J738)*(1+K738)*(1-S738)*(1+U738)*Q738*LOOKUP(D738,'模拟-单技能数据'!$A$2:$A$19,'模拟-单技能数据'!$I$2:$I$20)</f>
        <v>26319.200135221025</v>
      </c>
      <c r="W738" s="47">
        <f ca="1">LOOKUP(D738,'模拟-单技能数据'!$A$2:$A$19,'模拟-单技能数据'!$G$2:$G$19)*$I$10</f>
        <v>361.51064354704795</v>
      </c>
      <c r="X738" s="47">
        <f t="shared" ca="1" si="683"/>
        <v>9218.9345386263849</v>
      </c>
      <c r="Y738" s="47">
        <f t="shared" ca="1" si="656"/>
        <v>35899.645317394461</v>
      </c>
      <c r="Z738" s="49">
        <f t="shared" ca="1" si="657"/>
        <v>74112253.348344177</v>
      </c>
      <c r="AA738" s="97">
        <f t="shared" ca="1" si="658"/>
        <v>112993.6512158429</v>
      </c>
      <c r="AB738" s="115">
        <f ca="1">IF(OR(C738="赤日轮1",C738="赤日轮2",C738="赤日轮3"),IF(RAND()&lt;模拟模式!$Y$17,1,0),IF(OR(C738="幽月轮1",C738="幽月轮2",C738="幽月轮3"),IF(RAND()&lt;模拟模式!$Y$18,1,0),IF(C738="烈日斩",IF(RAND()&lt;模拟模式!$Y$19,1,0),IF(C738="银月斩",IF(RAND()&lt;模拟模式!$Y$20,1,0),IF(C738="驱夜断愁",IF(RAND()&lt;模拟模式!$Y$21,1,0),IF(C738="净世破魔击·日",IF(RAND()&lt;模拟模式!$Y$22,1,0),IF(C738="净世破魔击·月",IF(RAND()&lt;模拟模式!$Y$23,1,0),0)))))))</f>
        <v>1</v>
      </c>
      <c r="AC738" s="115" t="b">
        <f t="shared" ca="1" si="659"/>
        <v>0</v>
      </c>
      <c r="AD738" s="115" t="b">
        <f t="shared" ca="1" si="660"/>
        <v>1</v>
      </c>
      <c r="AE738" s="115">
        <f t="shared" ca="1" si="661"/>
        <v>3</v>
      </c>
      <c r="AF738" s="47">
        <f ca="1">IF(AC738,('模拟-单技能数据'!$D$20+G738*'模拟-单技能数据'!$F$20)*(1+J738)*(1+'模拟-单技能数据'!$J$20)*(1+U738),0)</f>
        <v>0</v>
      </c>
      <c r="AG738" s="61">
        <f t="shared" ca="1" si="662"/>
        <v>0.64185145527300214</v>
      </c>
      <c r="AH738" s="61">
        <f t="shared" ca="1" si="663"/>
        <v>2.2624828854998791</v>
      </c>
      <c r="AI738" s="62">
        <f t="shared" ca="1" si="684"/>
        <v>0.23187019852877222</v>
      </c>
      <c r="AJ738" s="47">
        <f ca="1">IF(AD738,IF(AI738&lt;$F$10,0,IF(AI738&lt;$F$10+$F$11,0.25,IF(AI738&lt;$F$10+$F$11+AG738,AH738,1)))*IF(AF738&gt;0,AF738,IF(AF737&gt;0,AF737,IF(AF736&gt;0,AF736,IF(AF735&gt;0,AF735,IF(AF734&gt;0,AF734,IF(AF733&gt;0,AF733,IF(AF732&gt;0,AF732,IF(AF731&gt;0,AF731,IF(AF730&gt;0,AF730,IF(AF728&gt;0,AF728,IF(AF727&gt;0,AF727,IF(AF726&gt;0,AF726,0)))))))))))),0)*(1-$S738)*'模拟-单技能数据'!$I$20</f>
        <v>9218.9345386263849</v>
      </c>
      <c r="AK738" s="115" t="b">
        <f t="shared" ca="1" si="664"/>
        <v>0</v>
      </c>
      <c r="AL738" s="115" t="b">
        <f t="shared" ca="1" si="665"/>
        <v>0</v>
      </c>
      <c r="AM738" s="115">
        <f t="shared" ca="1" si="666"/>
        <v>5</v>
      </c>
      <c r="AN738" s="47">
        <f ca="1">IF(AK738,('模拟-单技能数据'!$D$21+G738*'模拟-单技能数据'!$F$21)*(1+J738)*(1+'模拟-单技能数据'!$J$21)*(1+U738),0)</f>
        <v>0</v>
      </c>
      <c r="AO738" s="61">
        <f ca="1">IF(AN738&gt;0,M738-'模拟-单技能数据'!$K$10,AO737)</f>
        <v>0.42185145527300216</v>
      </c>
      <c r="AP738" s="61">
        <f ca="1">IF(AN738&gt;0,I738-'模拟-单技能数据'!$L$10,AP737)</f>
        <v>2.162482885499879</v>
      </c>
      <c r="AQ738" s="63">
        <f t="shared" ca="1" si="685"/>
        <v>0.22085621265610178</v>
      </c>
      <c r="AR738" s="64">
        <f ca="1">IF(AL738,IF(AQ738&lt;$F$10,0,IF(AQ738&lt;$F$10+$F$11,0.25,IF(AQ738&lt;$F$10+$F$11+AO738,AP738,1)))*IF(AN738&gt;0,AN738,IF(AN737&gt;0,AN737,IF(AN736&gt;0,AN736,IF(AN735&gt;0,AN735,IF(AN734&gt;0,AN734,IF(AN733&gt;0,AN733,IF(AN732&gt;0,AN732,IF(AN731&gt;0,AN731,IF(AN730&gt;0,AN730,IF(AN728&gt;0,AN728,IF(AN727&gt;0,AN727,IF(AN726&gt;0,AN726,0)))))))))))),0)*(1-$S738)*'模拟-单技能数据'!$I$21</f>
        <v>0</v>
      </c>
      <c r="AS738" s="61">
        <f ca="1">IF(OR(C738="净世破魔击·日",C738="净世破魔击·月"),M738-'模拟-单技能数据'!$K$10,0)</f>
        <v>0</v>
      </c>
      <c r="AT738" s="61">
        <f ca="1">IF(OR(C738="净世破魔击·日",C738="净世破魔击·月"),I738-'模拟-单技能数据'!$L$10,0)</f>
        <v>0</v>
      </c>
      <c r="AU738" s="62">
        <f t="shared" ca="1" si="686"/>
        <v>0.91624153668355879</v>
      </c>
      <c r="AV738" s="64">
        <f ca="1">IF(AS738&gt;0,('模拟-单技能数据'!$D$22+G738*'模拟-单技能数据'!$F$22)*(1+J738)*(1-S738)*IF(AU738&lt;$F$10,0,IF(AU738&lt;$F$10+$F$11,0.25,IF(AU738&lt;$F$10+$F$11+AS738,AT738,1)))*(1+U738),0)*'模拟-单技能数据'!$I$22</f>
        <v>0</v>
      </c>
      <c r="AW738" s="108">
        <f t="shared" ca="1" si="687"/>
        <v>0</v>
      </c>
      <c r="AX738" s="108" t="b">
        <f ca="1">AND(模拟模式!$P$10="有",AW737=0,RAND()&lt;IF(C738="净世破魔击·月",0.1*8/3,IF(C738="净世破魔击·日",0.1*4/3,0.1*2/3)))</f>
        <v>0</v>
      </c>
      <c r="AY738" s="47">
        <f ca="1">IF(AX738,(18+G738*0.722)*(1+J738)*(1-S738)*(1+$I$4)*IF(P738="会",'模拟-全程加成'!$J$3+'模拟-全程加成'!$J$4+'模拟-全程加成'!$J$5+('模拟-全程加成'!$I$4+'模拟-全程加成'!$I$5)/系数!$B$4+BG738*10%,IF(P738="命",1,IF(P738="识",0.25,0))),0)</f>
        <v>0</v>
      </c>
      <c r="AZ738" s="108">
        <f t="shared" si="688"/>
        <v>13.542500000000004</v>
      </c>
      <c r="BA738" s="108" t="b">
        <f>AND(模拟模式!$Q$10="有",AZ737=0)</f>
        <v>0</v>
      </c>
      <c r="BB738" s="140">
        <f>IF(BA738,(0+G738*0.287)*(1+J738)*(1-S738)*(1+$I$4)*IF(P738="会",'模拟-全程加成'!$J$3+'模拟-全程加成'!$J$4+'模拟-全程加成'!$J$5+('模拟-全程加成'!$I$4+'模拟-全程加成'!$I$5)/系数!$B$4+BG738*10%,IF(P738="命",1,IF(P738="识",0.25,0))),0)</f>
        <v>0</v>
      </c>
      <c r="BC738" s="115" t="b">
        <f ca="1">AND(模拟模式!$R$7="伏明众生",E738=60,F738=20,DA738&lt;5,CZ737&lt;$F$4)</f>
        <v>0</v>
      </c>
      <c r="BD738" s="115">
        <f t="shared" ca="1" si="667"/>
        <v>0</v>
      </c>
      <c r="BE738" s="115" t="b">
        <f t="shared" ca="1" si="668"/>
        <v>0</v>
      </c>
      <c r="BF738" s="47">
        <f ca="1">IF(BC738,4*('模拟-单技能数据'!$D$24+G738*'模拟-单技能数据'!$F$24)*(1+J738)*(1+'模拟-单技能数据'!$J$24)*(1-S738)*(1+$I$3)*(('模拟-全程加成'!$J$3+'模拟-全程加成'!$J$4+'模拟-全程加成'!$J$5+('模拟-全程加成'!$I$4+'模拟-全程加成'!$I$5)/系数!$B$4+BG738*10%)*('模拟-全程加成'!$J$3+'模拟-全程加成'!$J$4+'模拟-全程加成'!$J$5+('模拟-全程加成'!$I$4+'模拟-全程加成'!$I$5)/系数!$B$4+BG738*10%)+(1-('模拟-全程加成'!$J$3+'模拟-全程加成'!$J$4+'模拟-全程加成'!$J$5+('模拟-全程加成'!$I$4+'模拟-全程加成'!$I$5)/系数!$B$4+BG738*10%)-$F$10-$F$11)+F724*0.25),0)*'模拟-单技能数据'!$I$24</f>
        <v>0</v>
      </c>
      <c r="BG738" s="115" t="b">
        <f ca="1">OR(AND(OR(C738="烈日斩",C738="银月斩"),模拟模式!$I$7="净身明礼"),AND(C738="净世破魔击·日",模拟模式!$J$7="洞若观火"),AND(C739="净世破魔击·月",模拟模式!$J$7="洞若观火"),AB738=1)</f>
        <v>1</v>
      </c>
      <c r="BH738" s="115" t="b">
        <f t="shared" ca="1" si="689"/>
        <v>0</v>
      </c>
      <c r="BI738" s="115">
        <f t="shared" ca="1" si="669"/>
        <v>0</v>
      </c>
      <c r="BJ738" s="115" t="b">
        <f t="shared" ca="1" si="670"/>
        <v>0</v>
      </c>
      <c r="BK738" s="115" t="b">
        <f ca="1">AND(C738="驱夜断愁",模拟模式!$P$7="天地诛戮")</f>
        <v>0</v>
      </c>
      <c r="BL738" s="57">
        <f t="shared" ca="1" si="671"/>
        <v>15.387500000000003</v>
      </c>
      <c r="BM738" s="115" t="b">
        <f t="shared" ca="1" si="672"/>
        <v>1</v>
      </c>
      <c r="BN738" s="115" t="b">
        <f ca="1">AND(OR(C738="赤日轮1",C738="赤日轮2",C738="赤日轮3",C738="幽月轮1",C738="幽月轮2",C738="幽月轮3"),AB738=1,模拟模式!$L$7="明光恒照")</f>
        <v>1</v>
      </c>
      <c r="BO738" s="117">
        <f t="shared" ca="1" si="673"/>
        <v>30</v>
      </c>
      <c r="BP738" s="115">
        <f t="shared" ca="1" si="690"/>
        <v>6</v>
      </c>
      <c r="BQ738" s="115" t="b">
        <f>模拟模式!$K$10="2600·水"</f>
        <v>0</v>
      </c>
      <c r="BR738" s="117">
        <f t="shared" si="691"/>
        <v>0</v>
      </c>
      <c r="BS738" s="115">
        <f t="shared" si="692"/>
        <v>0</v>
      </c>
      <c r="BT738" s="115">
        <f t="shared" ca="1" si="693"/>
        <v>0</v>
      </c>
      <c r="BU738" s="115" t="b">
        <f ca="1">AND(模拟模式!$K$10="2300·雷",BT737=0,RAND()&lt;IF(C738="净世破魔击·月",5*0.05*2/3,IF(C738="净世破魔击·日",3*0.05*2/3,0.05*2*2/3)))</f>
        <v>0</v>
      </c>
      <c r="BV738" s="115">
        <f t="shared" ca="1" si="694"/>
        <v>0</v>
      </c>
      <c r="BW738" s="115">
        <f t="shared" ca="1" si="695"/>
        <v>82.214999999999264</v>
      </c>
      <c r="BX738" s="164" t="b">
        <f t="shared" ca="1" si="696"/>
        <v>0</v>
      </c>
      <c r="BY738" s="115">
        <f t="shared" ca="1" si="697"/>
        <v>0</v>
      </c>
      <c r="BZ738" s="115">
        <f>IF(OR(模拟模式!$P$16="10人团",模拟模式!$P$16="25人团"),IF(B738/30&gt;CA737,1,0),0)</f>
        <v>0</v>
      </c>
      <c r="CA738" s="115">
        <f t="shared" si="674"/>
        <v>0</v>
      </c>
      <c r="CB738" s="115">
        <f ca="1">IF(BZ738=1,IF(模拟模式!$P$16="10人团",15,0)+IF(模拟模式!$P$16="25人团",IF(RAND()&lt;0.6,15,0)),MAX(0,CB737-$F$4))</f>
        <v>0</v>
      </c>
      <c r="CC738" s="115" t="b">
        <f t="shared" ca="1" si="675"/>
        <v>0</v>
      </c>
      <c r="CD738" s="115">
        <f>IF(模拟模式!$Q$16="1个",IF(B738/40&gt;CE737,1,0),0)</f>
        <v>0</v>
      </c>
      <c r="CE738" s="115">
        <f t="shared" si="676"/>
        <v>0</v>
      </c>
      <c r="CF738" s="115">
        <f>IF(OR(CD738=1,模拟模式!$Q$16="2个"),20,MAX(0,CF737-$F$4))</f>
        <v>0</v>
      </c>
      <c r="CG738" s="115" t="b">
        <f t="shared" si="677"/>
        <v>0</v>
      </c>
      <c r="CH738" s="115">
        <f t="shared" ca="1" si="698"/>
        <v>26.310000000000002</v>
      </c>
      <c r="CI738" s="115" t="b">
        <f t="shared" ca="1" si="699"/>
        <v>0</v>
      </c>
      <c r="CJ738" s="119">
        <f t="shared" ca="1" si="700"/>
        <v>0.05</v>
      </c>
      <c r="CK738" s="115">
        <f t="shared" ca="1" si="701"/>
        <v>4.3099999999999987</v>
      </c>
      <c r="CL738" s="115" t="b">
        <f ca="1">AND(模拟模式!$S$7="驱夷逐法",OR(AND(C738="净世破魔击·月",E737&gt;59),AND(C738="净世破魔击·日",F737&gt;59)))</f>
        <v>0</v>
      </c>
      <c r="CM738" s="115" t="b">
        <f ca="1">OR(CL738,AND(C738="净世破魔击·日",CL737,RAND()&lt;模拟模式!$U$23))</f>
        <v>0</v>
      </c>
      <c r="CN738" s="115" t="b">
        <f ca="1">IF(模拟模式!$M$7="辉耀红尘",AND(C738="净世破魔击·月",CL738,CV738=0,E737&lt;80),AND(C738="净世破魔击·月",CL738,E737&lt;100))</f>
        <v>0</v>
      </c>
      <c r="CO738" s="115" t="b">
        <f t="shared" ca="1" si="678"/>
        <v>0</v>
      </c>
      <c r="CP738" s="115" t="b">
        <f ca="1">AND(模拟模式!$O$7="用晦而明",OR(C738="净世破魔击·日",C738="净世破魔击·月",C738="驱夜断愁"),AB738)</f>
        <v>0</v>
      </c>
      <c r="CQ738" s="115" t="b">
        <f ca="1">OR(CP738,AND(CP737,RAND()&lt;模拟模式!$U$23))</f>
        <v>1</v>
      </c>
      <c r="CR738" s="115" t="b">
        <f ca="1">AND(模拟模式!$S$7="日月齐光",OR(C738="幽月轮1",C738="幽月轮2",C738="幽月轮3",CR737),NOT(OR(C738="赤日轮1",C738="赤日轮2",C738="赤日轮3")))</f>
        <v>0</v>
      </c>
      <c r="CS738" s="115" t="b">
        <f ca="1">AND(模拟模式!$S$7="日月齐光",OR(C738="赤日轮1",C738="赤日轮2",C738="赤日轮3",CS737),NOT(OR(C738="幽月轮1",C738="幽月轮2",C738="幽月轮3")))</f>
        <v>0</v>
      </c>
      <c r="CT738" s="115">
        <f t="shared" ca="1" si="702"/>
        <v>11.550000000000011</v>
      </c>
      <c r="CU738" s="115" t="b">
        <f ca="1">AND(模拟模式!$K$10="阴阳往极",CT737=0,RAND()&lt;IF(C738="净世破魔击·月",0.0275*7/3,IF(C738="净世破魔击·日",0.0275*3/3,0.0275*2/3)))</f>
        <v>0</v>
      </c>
      <c r="CV738" s="115">
        <f t="shared" ca="1" si="703"/>
        <v>0</v>
      </c>
      <c r="CW738" s="115">
        <f t="shared" ca="1" si="704"/>
        <v>2.3099999999999996</v>
      </c>
      <c r="CX738" s="115">
        <f t="shared" ca="1" si="705"/>
        <v>0.46499999999999975</v>
      </c>
      <c r="CY738" s="115">
        <f ca="1">MAX(IF($C738="驱夜断愁",IF(模拟模式!$R$7="万念俱寂",6,45),CY737-$F$4),0)</f>
        <v>1.3874999999999997</v>
      </c>
      <c r="CZ738" s="115">
        <f t="shared" ca="1" si="679"/>
        <v>0</v>
      </c>
      <c r="DA738" s="115">
        <f ca="1">IF(模拟模式!$N$7="日月同辉",IF(DB737=2,0,MIN(6,IF(AND(OR(C738="赤日轮1",C738="赤日轮2",C738="赤日轮3",C738="幽月轮1",C738="幽月轮2",C738="幽月轮3"),AB738=1),DA737+1,DA737))),0)</f>
        <v>4</v>
      </c>
      <c r="DB738" s="115">
        <f t="shared" ca="1" si="680"/>
        <v>0</v>
      </c>
      <c r="DC738" s="115"/>
      <c r="DD738" s="115"/>
      <c r="DE738" s="115"/>
      <c r="DF738" s="115"/>
      <c r="DG738" s="115"/>
      <c r="DH738" s="115"/>
      <c r="DI738" s="115"/>
      <c r="DJ738" s="115"/>
      <c r="DK738" s="115"/>
      <c r="DL738" s="115"/>
      <c r="DM738" s="115"/>
    </row>
    <row r="739" spans="2:117" x14ac:dyDescent="0.2">
      <c r="B739" s="117">
        <f t="shared" si="681"/>
        <v>656.82000000000767</v>
      </c>
      <c r="C739" s="167" t="str">
        <f t="shared" ca="1" si="650"/>
        <v>银月斩</v>
      </c>
      <c r="D739" s="115">
        <f ca="1">IF(C739="赤日轮1",1,IF(C739="赤日轮2",2,IF(C739="赤日轮3",3,IF(C739="幽月轮1",4,IF(C739="幽月轮2",5,IF(C739="幽月轮3",6,IF(C739="烈日斩",7,IF(C739="银月斩",8,IF(C739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739="净世破魔击·月",17,IF(C739="驱夜断愁",18,0)))))))))))</f>
        <v>8</v>
      </c>
      <c r="E739" s="115">
        <f ca="1">IF(AND(CU739,OR(C739="幽月轮1",C739="幽月轮2",C739="幽月轮3",C739="银月斩",C739="驱夜断愁",C739="净世破魔击·月")),100,MIN(IF(OR(CN739,BE739),0,IF(OR($C739="赤日轮1",$C739="赤日轮2",$C739="赤日轮3"),E738+20+IF(模拟模式!$I$7="日月凌天",4,0)+IF(CR738,20,0),IF($C739="烈日斩",E738+40,IF($C739="驱夜断愁",IF(模拟模式!$R$7="万念俱寂",E738+20,E738+60),IF($C739="净世破魔击·月",IF(OR(DB738&gt;0,CV738&gt;0),100,IF(模拟模式!$M$7="辉耀红尘",E738+20,E738)),IF($C739="净世破魔击·日",E738-100,E738)))))),100))</f>
        <v>20</v>
      </c>
      <c r="F739" s="115">
        <f ca="1">IF(AND(CU739,OR(C739="赤日轮1",C739="赤日轮2",C739="赤日轮3",C739="烈日斩",C739="净世破魔击·日")),100,MIN(IF(CO739,0,IF(OR($C739="幽月轮1",$C739="幽月轮2",$C739="幽月轮3"),F738+20+IF(模拟模式!$I$7="日月凌天",4,0)+IF(CS738,20,0),IF($C739="银月斩",F738+40+IF(模拟模式!$X$12=1,5,0),IF($C739="驱夜断愁",IF(模拟模式!$R$7="万念俱寂",F738+20,F738+60),IF($C739="净世破魔击·月",IF(模拟模式!$M$7="辉耀红尘",F738-80,F738-100),IF(AND(C739="净世破魔击·日",OR(DB738&gt;0,CV738&gt;0)),100,F738)))))),100))</f>
        <v>65</v>
      </c>
      <c r="G739" s="117">
        <f ca="1">('模拟-全程加成'!$E$3+'模拟-全程加成'!$E$4+'模拟-全程加成'!$E$5+('模拟-全程加成'!$C$6-'模拟-全程加成'!$C$3)*系数!$B$9+BS739*23)*(1+'模拟-全程加成'!$F$4+'模拟-全程加成'!$F$5+BJ739*10%+BM739*20%+BP739*4%+CG739*30%)+$F$7*系数!$B$12</f>
        <v>20583.127400000001</v>
      </c>
      <c r="H739" s="45">
        <f ca="1">'模拟-全程加成'!$H$3+'模拟-全程加成'!$H$4+'模拟-全程加成'!$H$5+('模拟-全程加成'!$G$4+'模拟-全程加成'!$G$5+('模拟-全程加成'!$C$6-'模拟-全程加成'!$C$3)*系数!$B$13)/系数!$B$3+LOOKUP(D739,'模拟-单技能数据'!$A$2:$A$19,'模拟-单技能数据'!$K$2:$K$19)+BG739*10%+IF(BV739&gt;0,378,0)</f>
        <v>0.64185145527300214</v>
      </c>
      <c r="I739" s="45">
        <f ca="1">'模拟-全程加成'!$J$3+'模拟-全程加成'!$J$4+'模拟-全程加成'!$J$5+('模拟-全程加成'!$I$4+'模拟-全程加成'!$I$5)/系数!$B$4+LOOKUP(D739,'模拟-单技能数据'!$A$2:$A$19,'模拟-单技能数据'!$L$2:$L$19)+BG739*10%</f>
        <v>2.2624828854998791</v>
      </c>
      <c r="J739" s="45">
        <f ca="1">(('模拟-全程加成'!$K$3+'模拟-全程加成'!$K$4+'模拟-全程加成'!$K$5+('模拟-全程加成'!$C$6-'模拟-全程加成'!$C$3)*系数!$B$10+IF(BV739&gt;0,882,0)+IF(BY739&gt;0,1831,0))*(1+'模拟-全程加成'!$L$4+'模拟-全程加成'!$L$5+CC739*20%))/系数!$B$5</f>
        <v>0.69723220422048726</v>
      </c>
      <c r="K739" s="119">
        <f ca="1">LOOKUP(D739,'模拟-单技能数据'!$A$2:$A$19,'模拟-单技能数据'!$J$2:$J$19)+IF(CM739,60%,0)+IF(DB738-DB739&gt;0,30%,0)+IF(OR(AND(OR(C739="赤日轮1",C739="赤日轮2",C739="赤日轮3"),CR739),AND(OR(C739="幽月轮1",C739="幽月轮2",C739="幽月轮3"),CS739)),35%,0)+CJ739</f>
        <v>0.2</v>
      </c>
      <c r="L739" s="119">
        <f ca="1">IF(AND(C739="烈日斩",模拟模式!$X$11=1),10%,0)+IF(AND(C739="驱夜断愁",AB739=1),30%,0)</f>
        <v>0</v>
      </c>
      <c r="M739" s="45">
        <f t="shared" ca="1" si="651"/>
        <v>0.64185145527300214</v>
      </c>
      <c r="N739" s="45">
        <f t="shared" ca="1" si="652"/>
        <v>0.30424854472699792</v>
      </c>
      <c r="O739" s="46">
        <f t="shared" ca="1" si="682"/>
        <v>0.68230898213919222</v>
      </c>
      <c r="P739" s="46" t="str">
        <f t="shared" ca="1" si="653"/>
        <v>会</v>
      </c>
      <c r="Q739" s="45">
        <f t="shared" ca="1" si="654"/>
        <v>2.2624828854998791</v>
      </c>
      <c r="R739" s="117">
        <f ca="1">模拟模式!$E$20*(1-IF(模拟模式!$J$19="有",0.15,0))*(1-IF(模拟模式!$K$19="有",0.3,0)-IF(CQ739,0.5,0))</f>
        <v>2950.6049999999996</v>
      </c>
      <c r="S739" s="45">
        <f ca="1">R739/(R739+(185*模拟模式!$E$22-16800)*4.08224)</f>
        <v>0.24272716014590323</v>
      </c>
      <c r="T739" s="45" t="str">
        <f ca="1">LOOKUP(D739,'模拟-单技能数据'!$A$2:$A$19,'模拟-单技能数据'!$H$2:$H$19)</f>
        <v>阴</v>
      </c>
      <c r="U739" s="119">
        <f t="shared" ca="1" si="655"/>
        <v>0.08</v>
      </c>
      <c r="V739" s="47">
        <f ca="1">(1+L739)*(LOOKUP(D739,'模拟-单技能数据'!$A$2:$A$19,'模拟-单技能数据'!$D$2:$D$19)+G739*LOOKUP(D739,'模拟-单技能数据'!$A$2:$A$19,'模拟-单技能数据'!$F$2:$F$19))*(1+J739)*(1+K739)*(1-S739)*(1+U739)*Q739*LOOKUP(D739,'模拟-单技能数据'!$A$2:$A$19,'模拟-单技能数据'!$I$2:$I$20)</f>
        <v>41197.889067962984</v>
      </c>
      <c r="W739" s="47">
        <f ca="1">LOOKUP(D739,'模拟-单技能数据'!$A$2:$A$19,'模拟-单技能数据'!$G$2:$G$19)*$I$10</f>
        <v>361.51064354704795</v>
      </c>
      <c r="X739" s="47">
        <f t="shared" ca="1" si="683"/>
        <v>19874.713753650052</v>
      </c>
      <c r="Y739" s="47">
        <f t="shared" ca="1" si="656"/>
        <v>61434.113465160088</v>
      </c>
      <c r="Z739" s="49">
        <f t="shared" ca="1" si="657"/>
        <v>74173687.461809337</v>
      </c>
      <c r="AA739" s="97">
        <f t="shared" ca="1" si="658"/>
        <v>112928.48491490587</v>
      </c>
      <c r="AB739" s="115">
        <f ca="1">IF(OR(C739="赤日轮1",C739="赤日轮2",C739="赤日轮3"),IF(RAND()&lt;模拟模式!$Y$17,1,0),IF(OR(C739="幽月轮1",C739="幽月轮2",C739="幽月轮3"),IF(RAND()&lt;模拟模式!$Y$18,1,0),IF(C739="烈日斩",IF(RAND()&lt;模拟模式!$Y$19,1,0),IF(C739="银月斩",IF(RAND()&lt;模拟模式!$Y$20,1,0),IF(C739="驱夜断愁",IF(RAND()&lt;模拟模式!$Y$21,1,0),IF(C739="净世破魔击·日",IF(RAND()&lt;模拟模式!$Y$22,1,0),IF(C739="净世破魔击·月",IF(RAND()&lt;模拟模式!$Y$23,1,0),0)))))))</f>
        <v>1</v>
      </c>
      <c r="AC739" s="115" t="b">
        <f t="shared" ca="1" si="659"/>
        <v>1</v>
      </c>
      <c r="AD739" s="115" t="b">
        <f t="shared" ca="1" si="660"/>
        <v>0</v>
      </c>
      <c r="AE739" s="115">
        <f t="shared" ca="1" si="661"/>
        <v>6</v>
      </c>
      <c r="AF739" s="47">
        <f ca="1">IF(AC739,('模拟-单技能数据'!$D$20+G739*'模拟-单技能数据'!$F$20)*(1+J739)*(1+'模拟-单技能数据'!$J$20)*(1+U739),0)</f>
        <v>4447.8565560098323</v>
      </c>
      <c r="AG739" s="61">
        <f t="shared" ca="1" si="662"/>
        <v>0.64185145527300214</v>
      </c>
      <c r="AH739" s="61">
        <f t="shared" ca="1" si="663"/>
        <v>2.2624828854998791</v>
      </c>
      <c r="AI739" s="62">
        <f t="shared" ca="1" si="684"/>
        <v>0.83249730579946457</v>
      </c>
      <c r="AJ739" s="47">
        <f ca="1">IF(AD739,IF(AI739&lt;$F$10,0,IF(AI739&lt;$F$10+$F$11,0.25,IF(AI739&lt;$F$10+$F$11+AG739,AH739,1)))*IF(AF739&gt;0,AF739,IF(AF738&gt;0,AF738,IF(AF737&gt;0,AF737,IF(AF736&gt;0,AF736,IF(AF735&gt;0,AF735,IF(AF734&gt;0,AF734,IF(AF733&gt;0,AF733,IF(AF732&gt;0,AF732,IF(AF731&gt;0,AF731,IF(AF729&gt;0,AF729,IF(AF728&gt;0,AF728,IF(AF727&gt;0,AF727,0)))))))))))),0)*(1-$S739)*'模拟-单技能数据'!$I$20</f>
        <v>0</v>
      </c>
      <c r="AK739" s="115" t="b">
        <f t="shared" ca="1" si="664"/>
        <v>0</v>
      </c>
      <c r="AL739" s="115" t="b">
        <f t="shared" ca="1" si="665"/>
        <v>1</v>
      </c>
      <c r="AM739" s="115">
        <f t="shared" ca="1" si="666"/>
        <v>4</v>
      </c>
      <c r="AN739" s="47">
        <f ca="1">IF(AK739,('模拟-单技能数据'!$D$21+G739*'模拟-单技能数据'!$F$21)*(1+J739)*(1+'模拟-单技能数据'!$J$21)*(1+U739),0)</f>
        <v>0</v>
      </c>
      <c r="AO739" s="61">
        <f ca="1">IF(AN739&gt;0,M739-'模拟-单技能数据'!$K$10,AO738)</f>
        <v>0.42185145527300216</v>
      </c>
      <c r="AP739" s="61">
        <f ca="1">IF(AN739&gt;0,I739-'模拟-单技能数据'!$L$10,AP738)</f>
        <v>2.162482885499879</v>
      </c>
      <c r="AQ739" s="63">
        <f t="shared" ca="1" si="685"/>
        <v>0.41956513336224688</v>
      </c>
      <c r="AR739" s="64">
        <f ca="1">IF(AL739,IF(AQ739&lt;$F$10,0,IF(AQ739&lt;$F$10+$F$11,0.25,IF(AQ739&lt;$F$10+$F$11+AO739,AP739,1)))*IF(AN739&gt;0,AN739,IF(AN738&gt;0,AN738,IF(AN737&gt;0,AN737,IF(AN736&gt;0,AN736,IF(AN735&gt;0,AN735,IF(AN734&gt;0,AN734,IF(AN733&gt;0,AN733,IF(AN732&gt;0,AN732,IF(AN731&gt;0,AN731,IF(AN729&gt;0,AN729,IF(AN728&gt;0,AN728,IF(AN727&gt;0,AN727,0)))))))))))),0)*(1-$S739)*'模拟-单技能数据'!$I$21</f>
        <v>19874.713753650052</v>
      </c>
      <c r="AS739" s="61">
        <f ca="1">IF(OR(C739="净世破魔击·日",C739="净世破魔击·月"),M739-'模拟-单技能数据'!$K$10,0)</f>
        <v>0</v>
      </c>
      <c r="AT739" s="61">
        <f ca="1">IF(OR(C739="净世破魔击·日",C739="净世破魔击·月"),I739-'模拟-单技能数据'!$L$10,0)</f>
        <v>0</v>
      </c>
      <c r="AU739" s="62">
        <f t="shared" ca="1" si="686"/>
        <v>0.63679899582050692</v>
      </c>
      <c r="AV739" s="64">
        <f ca="1">IF(AS739&gt;0,('模拟-单技能数据'!$D$22+G739*'模拟-单技能数据'!$F$22)*(1+J739)*(1-S739)*IF(AU739&lt;$F$10,0,IF(AU739&lt;$F$10+$F$11,0.25,IF(AU739&lt;$F$10+$F$11+AS739,AT739,1)))*(1+U739),0)*'模拟-单技能数据'!$I$22</f>
        <v>0</v>
      </c>
      <c r="AW739" s="108">
        <f t="shared" ca="1" si="687"/>
        <v>0</v>
      </c>
      <c r="AX739" s="108" t="b">
        <f ca="1">AND(模拟模式!$P$10="有",AW738=0,RAND()&lt;IF(C739="净世破魔击·月",0.1*8/3,IF(C739="净世破魔击·日",0.1*4/3,0.1*2/3)))</f>
        <v>0</v>
      </c>
      <c r="AY739" s="47">
        <f ca="1">IF(AX739,(18+G739*0.722)*(1+J739)*(1-S739)*(1+$I$4)*IF(P739="会",'模拟-全程加成'!$J$3+'模拟-全程加成'!$J$4+'模拟-全程加成'!$J$5+('模拟-全程加成'!$I$4+'模拟-全程加成'!$I$5)/系数!$B$4+BG739*10%,IF(P739="命",1,IF(P739="识",0.25,0))),0)</f>
        <v>0</v>
      </c>
      <c r="AZ739" s="108">
        <f t="shared" si="688"/>
        <v>12.620000000000005</v>
      </c>
      <c r="BA739" s="108" t="b">
        <f>AND(模拟模式!$Q$10="有",AZ738=0)</f>
        <v>0</v>
      </c>
      <c r="BB739" s="140">
        <f>IF(BA739,(0+G739*0.287)*(1+J739)*(1-S739)*(1+$I$4)*IF(P739="会",'模拟-全程加成'!$J$3+'模拟-全程加成'!$J$4+'模拟-全程加成'!$J$5+('模拟-全程加成'!$I$4+'模拟-全程加成'!$I$5)/系数!$B$4+BG739*10%,IF(P739="命",1,IF(P739="识",0.25,0))),0)</f>
        <v>0</v>
      </c>
      <c r="BC739" s="115" t="b">
        <f ca="1">AND(模拟模式!$R$7="伏明众生",E739=60,F739=20,DA739&lt;5,CZ738&lt;$F$4)</f>
        <v>0</v>
      </c>
      <c r="BD739" s="115">
        <f t="shared" ca="1" si="667"/>
        <v>0</v>
      </c>
      <c r="BE739" s="115" t="b">
        <f t="shared" ca="1" si="668"/>
        <v>0</v>
      </c>
      <c r="BF739" s="47">
        <f ca="1">IF(BC739,4*('模拟-单技能数据'!$D$24+G739*'模拟-单技能数据'!$F$24)*(1+J739)*(1+'模拟-单技能数据'!$J$24)*(1-S739)*(1+$I$3)*(('模拟-全程加成'!$J$3+'模拟-全程加成'!$J$4+'模拟-全程加成'!$J$5+('模拟-全程加成'!$I$4+'模拟-全程加成'!$I$5)/系数!$B$4+BG739*10%)*('模拟-全程加成'!$J$3+'模拟-全程加成'!$J$4+'模拟-全程加成'!$J$5+('模拟-全程加成'!$I$4+'模拟-全程加成'!$I$5)/系数!$B$4+BG739*10%)+(1-('模拟-全程加成'!$J$3+'模拟-全程加成'!$J$4+'模拟-全程加成'!$J$5+('模拟-全程加成'!$I$4+'模拟-全程加成'!$I$5)/系数!$B$4+BG739*10%)-$F$10-$F$11)+F725*0.25),0)*'模拟-单技能数据'!$I$24</f>
        <v>0</v>
      </c>
      <c r="BG739" s="115" t="b">
        <f ca="1">OR(AND(OR(C739="烈日斩",C739="银月斩"),模拟模式!$I$7="净身明礼"),AND(C739="净世破魔击·日",模拟模式!$J$7="洞若观火"),AND(C740="净世破魔击·月",模拟模式!$J$7="洞若观火"),AB739=1)</f>
        <v>1</v>
      </c>
      <c r="BH739" s="115" t="b">
        <f t="shared" ca="1" si="689"/>
        <v>0</v>
      </c>
      <c r="BI739" s="115">
        <f t="shared" ca="1" si="669"/>
        <v>0</v>
      </c>
      <c r="BJ739" s="115" t="b">
        <f t="shared" ca="1" si="670"/>
        <v>0</v>
      </c>
      <c r="BK739" s="115" t="b">
        <f ca="1">AND(C739="驱夜断愁",模拟模式!$P$7="天地诛戮")</f>
        <v>0</v>
      </c>
      <c r="BL739" s="57">
        <f t="shared" ca="1" si="671"/>
        <v>14.465000000000003</v>
      </c>
      <c r="BM739" s="115" t="b">
        <f t="shared" ca="1" si="672"/>
        <v>1</v>
      </c>
      <c r="BN739" s="115" t="b">
        <f ca="1">AND(OR(C739="赤日轮1",C739="赤日轮2",C739="赤日轮3",C739="幽月轮1",C739="幽月轮2",C739="幽月轮3"),AB739=1,模拟模式!$L$7="明光恒照")</f>
        <v>0</v>
      </c>
      <c r="BO739" s="117">
        <f t="shared" ca="1" si="673"/>
        <v>29.077500000000001</v>
      </c>
      <c r="BP739" s="115">
        <f t="shared" ca="1" si="690"/>
        <v>6</v>
      </c>
      <c r="BQ739" s="115" t="b">
        <f>模拟模式!$K$10="2600·水"</f>
        <v>0</v>
      </c>
      <c r="BR739" s="117">
        <f t="shared" si="691"/>
        <v>0</v>
      </c>
      <c r="BS739" s="115">
        <f t="shared" si="692"/>
        <v>0</v>
      </c>
      <c r="BT739" s="115">
        <f t="shared" ca="1" si="693"/>
        <v>0</v>
      </c>
      <c r="BU739" s="115" t="b">
        <f ca="1">AND(模拟模式!$K$10="2300·雷",BT738=0,RAND()&lt;IF(C739="净世破魔击·月",5*0.05*2/3,IF(C739="净世破魔击·日",3*0.05*2/3,0.05*2*2/3)))</f>
        <v>0</v>
      </c>
      <c r="BV739" s="115">
        <f t="shared" ca="1" si="694"/>
        <v>0</v>
      </c>
      <c r="BW739" s="115">
        <f t="shared" ca="1" si="695"/>
        <v>81.292499999999265</v>
      </c>
      <c r="BX739" s="164" t="b">
        <f t="shared" ca="1" si="696"/>
        <v>0</v>
      </c>
      <c r="BY739" s="115">
        <f t="shared" ca="1" si="697"/>
        <v>0</v>
      </c>
      <c r="BZ739" s="115">
        <f>IF(OR(模拟模式!$P$16="10人团",模拟模式!$P$16="25人团"),IF(B739/30&gt;CA738,1,0),0)</f>
        <v>0</v>
      </c>
      <c r="CA739" s="115">
        <f t="shared" si="674"/>
        <v>0</v>
      </c>
      <c r="CB739" s="115">
        <f ca="1">IF(BZ739=1,IF(模拟模式!$P$16="10人团",15,0)+IF(模拟模式!$P$16="25人团",IF(RAND()&lt;0.6,15,0)),MAX(0,CB738-$F$4))</f>
        <v>0</v>
      </c>
      <c r="CC739" s="115" t="b">
        <f t="shared" ca="1" si="675"/>
        <v>0</v>
      </c>
      <c r="CD739" s="115">
        <f>IF(模拟模式!$Q$16="1个",IF(B739/40&gt;CE738,1,0),0)</f>
        <v>0</v>
      </c>
      <c r="CE739" s="115">
        <f t="shared" si="676"/>
        <v>0</v>
      </c>
      <c r="CF739" s="115">
        <f>IF(OR(CD739=1,模拟模式!$Q$16="2个"),20,MAX(0,CF738-$F$4))</f>
        <v>0</v>
      </c>
      <c r="CG739" s="115" t="b">
        <f t="shared" si="677"/>
        <v>0</v>
      </c>
      <c r="CH739" s="115">
        <f t="shared" ca="1" si="698"/>
        <v>25.387500000000003</v>
      </c>
      <c r="CI739" s="115" t="b">
        <f t="shared" ca="1" si="699"/>
        <v>0</v>
      </c>
      <c r="CJ739" s="119">
        <f t="shared" ca="1" si="700"/>
        <v>0.05</v>
      </c>
      <c r="CK739" s="115">
        <f t="shared" ca="1" si="701"/>
        <v>3.3874999999999988</v>
      </c>
      <c r="CL739" s="115" t="b">
        <f ca="1">AND(模拟模式!$S$7="驱夷逐法",OR(AND(C739="净世破魔击·月",E738&gt;59),AND(C739="净世破魔击·日",F738&gt;59)))</f>
        <v>0</v>
      </c>
      <c r="CM739" s="115" t="b">
        <f ca="1">OR(CL739,AND(C739="净世破魔击·日",CL738,RAND()&lt;模拟模式!$U$23))</f>
        <v>0</v>
      </c>
      <c r="CN739" s="115" t="b">
        <f ca="1">IF(模拟模式!$M$7="辉耀红尘",AND(C739="净世破魔击·月",CL739,CV739=0,E738&lt;80),AND(C739="净世破魔击·月",CL739,E738&lt;100))</f>
        <v>0</v>
      </c>
      <c r="CO739" s="115" t="b">
        <f t="shared" ca="1" si="678"/>
        <v>0</v>
      </c>
      <c r="CP739" s="115" t="b">
        <f ca="1">AND(模拟模式!$O$7="用晦而明",OR(C739="净世破魔击·日",C739="净世破魔击·月",C739="驱夜断愁"),AB739)</f>
        <v>0</v>
      </c>
      <c r="CQ739" s="115" t="b">
        <f ca="1">OR(CP739,AND(CP738,RAND()&lt;模拟模式!$U$23))</f>
        <v>0</v>
      </c>
      <c r="CR739" s="115" t="b">
        <f ca="1">AND(模拟模式!$S$7="日月齐光",OR(C739="幽月轮1",C739="幽月轮2",C739="幽月轮3",CR738),NOT(OR(C739="赤日轮1",C739="赤日轮2",C739="赤日轮3")))</f>
        <v>0</v>
      </c>
      <c r="CS739" s="115" t="b">
        <f ca="1">AND(模拟模式!$S$7="日月齐光",OR(C739="赤日轮1",C739="赤日轮2",C739="赤日轮3",CS738),NOT(OR(C739="幽月轮1",C739="幽月轮2",C739="幽月轮3")))</f>
        <v>0</v>
      </c>
      <c r="CT739" s="115">
        <f t="shared" ca="1" si="702"/>
        <v>10.627500000000012</v>
      </c>
      <c r="CU739" s="115" t="b">
        <f ca="1">AND(模拟模式!$K$10="阴阳往极",CT738=0,RAND()&lt;IF(C739="净世破魔击·月",0.0275*7/3,IF(C739="净世破魔击·日",0.0275*3/3,0.0275*2/3)))</f>
        <v>0</v>
      </c>
      <c r="CV739" s="115">
        <f t="shared" ca="1" si="703"/>
        <v>0</v>
      </c>
      <c r="CW739" s="115">
        <f t="shared" ca="1" si="704"/>
        <v>1.3874999999999997</v>
      </c>
      <c r="CX739" s="115">
        <f t="shared" ca="1" si="705"/>
        <v>6</v>
      </c>
      <c r="CY739" s="115">
        <f ca="1">MAX(IF($C739="驱夜断愁",IF(模拟模式!$R$7="万念俱寂",6,45),CY738-$F$4),0)</f>
        <v>0.46499999999999975</v>
      </c>
      <c r="CZ739" s="115">
        <f t="shared" ca="1" si="679"/>
        <v>0</v>
      </c>
      <c r="DA739" s="115">
        <f ca="1">IF(模拟模式!$N$7="日月同辉",IF(DB738=2,0,MIN(6,IF(AND(OR(C739="赤日轮1",C739="赤日轮2",C739="赤日轮3",C739="幽月轮1",C739="幽月轮2",C739="幽月轮3"),AB739=1),DA738+1,DA738))),0)</f>
        <v>4</v>
      </c>
      <c r="DB739" s="115">
        <f t="shared" ca="1" si="680"/>
        <v>0</v>
      </c>
      <c r="DC739" s="115"/>
      <c r="DD739" s="115"/>
      <c r="DE739" s="115"/>
      <c r="DF739" s="115"/>
      <c r="DG739" s="115"/>
      <c r="DH739" s="115"/>
      <c r="DI739" s="115"/>
      <c r="DJ739" s="115"/>
      <c r="DK739" s="115"/>
      <c r="DL739" s="115"/>
      <c r="DM739" s="115"/>
    </row>
    <row r="740" spans="2:117" x14ac:dyDescent="0.2">
      <c r="B740" s="117">
        <f t="shared" si="681"/>
        <v>657.74250000000768</v>
      </c>
      <c r="C740" s="167" t="str">
        <f t="shared" ca="1" si="650"/>
        <v>驱夜断愁</v>
      </c>
      <c r="D740" s="115">
        <f ca="1">IF(C740="赤日轮1",1,IF(C740="赤日轮2",2,IF(C740="赤日轮3",3,IF(C740="幽月轮1",4,IF(C740="幽月轮2",5,IF(C740="幽月轮3",6,IF(C740="烈日斩",7,IF(C740="银月斩",8,IF(C740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740="净世破魔击·月",17,IF(C740="驱夜断愁",18,0)))))))))))</f>
        <v>18</v>
      </c>
      <c r="E740" s="115">
        <f ca="1">IF(AND(CU740,OR(C740="幽月轮1",C740="幽月轮2",C740="幽月轮3",C740="银月斩",C740="驱夜断愁",C740="净世破魔击·月")),100,MIN(IF(OR(CN740,BE740),0,IF(OR($C740="赤日轮1",$C740="赤日轮2",$C740="赤日轮3"),E739+20+IF(模拟模式!$I$7="日月凌天",4,0)+IF(CR739,20,0),IF($C740="烈日斩",E739+40,IF($C740="驱夜断愁",IF(模拟模式!$R$7="万念俱寂",E739+20,E739+60),IF($C740="净世破魔击·月",IF(OR(DB739&gt;0,CV739&gt;0),100,IF(模拟模式!$M$7="辉耀红尘",E739+20,E739)),IF($C740="净世破魔击·日",E739-100,E739)))))),100))</f>
        <v>40</v>
      </c>
      <c r="F740" s="115">
        <f ca="1">IF(AND(CU740,OR(C740="赤日轮1",C740="赤日轮2",C740="赤日轮3",C740="烈日斩",C740="净世破魔击·日")),100,MIN(IF(CO740,0,IF(OR($C740="幽月轮1",$C740="幽月轮2",$C740="幽月轮3"),F739+20+IF(模拟模式!$I$7="日月凌天",4,0)+IF(CS739,20,0),IF($C740="银月斩",F739+40+IF(模拟模式!$X$12=1,5,0),IF($C740="驱夜断愁",IF(模拟模式!$R$7="万念俱寂",F739+20,F739+60),IF($C740="净世破魔击·月",IF(模拟模式!$M$7="辉耀红尘",F739-80,F739-100),IF(AND(C740="净世破魔击·日",OR(DB739&gt;0,CV739&gt;0)),100,F739)))))),100))</f>
        <v>85</v>
      </c>
      <c r="G740" s="117">
        <f ca="1">('模拟-全程加成'!$E$3+'模拟-全程加成'!$E$4+'模拟-全程加成'!$E$5+('模拟-全程加成'!$C$6-'模拟-全程加成'!$C$3)*系数!$B$9+BS740*23)*(1+'模拟-全程加成'!$F$4+'模拟-全程加成'!$F$5+BJ740*10%+BM740*20%+BP740*4%+CG740*30%)+$F$7*系数!$B$12</f>
        <v>20583.127400000001</v>
      </c>
      <c r="H740" s="45">
        <f ca="1">'模拟-全程加成'!$H$3+'模拟-全程加成'!$H$4+'模拟-全程加成'!$H$5+('模拟-全程加成'!$G$4+'模拟-全程加成'!$G$5+('模拟-全程加成'!$C$6-'模拟-全程加成'!$C$3)*系数!$B$13)/系数!$B$3+LOOKUP(D740,'模拟-单技能数据'!$A$2:$A$19,'模拟-单技能数据'!$K$2:$K$19)+BG740*10%+IF(BV740&gt;0,378,0)</f>
        <v>0.51185145527300213</v>
      </c>
      <c r="I740" s="45">
        <f ca="1">'模拟-全程加成'!$J$3+'模拟-全程加成'!$J$4+'模拟-全程加成'!$J$5+('模拟-全程加成'!$I$4+'模拟-全程加成'!$I$5)/系数!$B$4+LOOKUP(D740,'模拟-单技能数据'!$A$2:$A$19,'模拟-单技能数据'!$L$2:$L$19)+BG740*10%</f>
        <v>2.162482885499879</v>
      </c>
      <c r="J740" s="45">
        <f ca="1">(('模拟-全程加成'!$K$3+'模拟-全程加成'!$K$4+'模拟-全程加成'!$K$5+('模拟-全程加成'!$C$6-'模拟-全程加成'!$C$3)*系数!$B$10+IF(BV740&gt;0,882,0)+IF(BY740&gt;0,1831,0))*(1+'模拟-全程加成'!$L$4+'模拟-全程加成'!$L$5+CC740*20%))/系数!$B$5</f>
        <v>0.69723220422048726</v>
      </c>
      <c r="K740" s="119">
        <f ca="1">LOOKUP(D740,'模拟-单技能数据'!$A$2:$A$19,'模拟-单技能数据'!$J$2:$J$19)+IF(CM740,60%,0)+IF(DB739-DB740&gt;0,30%,0)+IF(OR(AND(OR(C740="赤日轮1",C740="赤日轮2",C740="赤日轮3"),CR740),AND(OR(C740="幽月轮1",C740="幽月轮2",C740="幽月轮3"),CS740)),35%,0)+CJ740</f>
        <v>0.19</v>
      </c>
      <c r="L740" s="119">
        <f ca="1">IF(AND(C740="烈日斩",模拟模式!$X$11=1),10%,0)+IF(AND(C740="驱夜断愁",AB740=1),30%,0)</f>
        <v>0.3</v>
      </c>
      <c r="M740" s="45">
        <f t="shared" ca="1" si="651"/>
        <v>0.51185145527300213</v>
      </c>
      <c r="N740" s="45">
        <f t="shared" ca="1" si="652"/>
        <v>0.43424854472699792</v>
      </c>
      <c r="O740" s="46">
        <f t="shared" ca="1" si="682"/>
        <v>0.56366752196594228</v>
      </c>
      <c r="P740" s="46" t="str">
        <f t="shared" ca="1" si="653"/>
        <v>会</v>
      </c>
      <c r="Q740" s="45">
        <f t="shared" ca="1" si="654"/>
        <v>2.162482885499879</v>
      </c>
      <c r="R740" s="117">
        <f ca="1">模拟模式!$E$20*(1-IF(模拟模式!$J$19="有",0.15,0))*(1-IF(模拟模式!$K$19="有",0.3,0)-IF(CQ740,0.5,0))</f>
        <v>843.02999999999975</v>
      </c>
      <c r="S740" s="45">
        <f ca="1">R740/(R740+(185*模拟模式!$E$22-16800)*4.08224)</f>
        <v>8.389626085980037E-2</v>
      </c>
      <c r="T740" s="45" t="str">
        <f ca="1">LOOKUP(D740,'模拟-单技能数据'!$A$2:$A$19,'模拟-单技能数据'!$H$2:$H$19)</f>
        <v>阴</v>
      </c>
      <c r="U740" s="119">
        <f t="shared" ca="1" si="655"/>
        <v>0.08</v>
      </c>
      <c r="V740" s="47">
        <f ca="1">(1+L740)*(LOOKUP(D740,'模拟-单技能数据'!$A$2:$A$19,'模拟-单技能数据'!$D$2:$D$19)+G740*LOOKUP(D740,'模拟-单技能数据'!$A$2:$A$19,'模拟-单技能数据'!$F$2:$F$19))*(1+J740)*(1+K740)*(1-S740)*(1+U740)*Q740*LOOKUP(D740,'模拟-单技能数据'!$A$2:$A$19,'模拟-单技能数据'!$I$2:$I$20)</f>
        <v>133053.91991757337</v>
      </c>
      <c r="W740" s="47">
        <f ca="1">LOOKUP(D740,'模拟-单技能数据'!$A$2:$A$19,'模拟-单技能数据'!$G$2:$G$19)*$I$10</f>
        <v>723.0212870940959</v>
      </c>
      <c r="X740" s="47">
        <f t="shared" ca="1" si="683"/>
        <v>4074.6980221198578</v>
      </c>
      <c r="Y740" s="47">
        <f t="shared" ca="1" si="656"/>
        <v>137851.63922678732</v>
      </c>
      <c r="Z740" s="49">
        <f t="shared" ca="1" si="657"/>
        <v>74311539.101036131</v>
      </c>
      <c r="AA740" s="97">
        <f t="shared" ca="1" si="658"/>
        <v>112979.68293220412</v>
      </c>
      <c r="AB740" s="115">
        <f ca="1">IF(OR(C740="赤日轮1",C740="赤日轮2",C740="赤日轮3"),IF(RAND()&lt;模拟模式!$Y$17,1,0),IF(OR(C740="幽月轮1",C740="幽月轮2",C740="幽月轮3"),IF(RAND()&lt;模拟模式!$Y$18,1,0),IF(C740="烈日斩",IF(RAND()&lt;模拟模式!$Y$19,1,0),IF(C740="银月斩",IF(RAND()&lt;模拟模式!$Y$20,1,0),IF(C740="驱夜断愁",IF(RAND()&lt;模拟模式!$Y$21,1,0),IF(C740="净世破魔击·日",IF(RAND()&lt;模拟模式!$Y$22,1,0),IF(C740="净世破魔击·月",IF(RAND()&lt;模拟模式!$Y$23,1,0),0)))))))</f>
        <v>1</v>
      </c>
      <c r="AC740" s="115" t="b">
        <f t="shared" ca="1" si="659"/>
        <v>0</v>
      </c>
      <c r="AD740" s="115" t="b">
        <f t="shared" ca="1" si="660"/>
        <v>1</v>
      </c>
      <c r="AE740" s="115">
        <f t="shared" ca="1" si="661"/>
        <v>5</v>
      </c>
      <c r="AF740" s="47">
        <f ca="1">IF(AC740,('模拟-单技能数据'!$D$20+G740*'模拟-单技能数据'!$F$20)*(1+J740)*(1+'模拟-单技能数据'!$J$20)*(1+U740),0)</f>
        <v>0</v>
      </c>
      <c r="AG740" s="61">
        <f t="shared" ca="1" si="662"/>
        <v>0.64185145527300214</v>
      </c>
      <c r="AH740" s="61">
        <f t="shared" ca="1" si="663"/>
        <v>2.2624828854998791</v>
      </c>
      <c r="AI740" s="62">
        <f t="shared" ca="1" si="684"/>
        <v>0.88504113816569552</v>
      </c>
      <c r="AJ740" s="47">
        <f ca="1">IF(AD740,IF(AI740&lt;$F$10,0,IF(AI740&lt;$F$10+$F$11,0.25,IF(AI740&lt;$F$10+$F$11+AG740,AH740,1)))*IF(AF740&gt;0,AF740,IF(AF739&gt;0,AF739,IF(AF738&gt;0,AF738,IF(AF737&gt;0,AF737,IF(AF736&gt;0,AF736,IF(AF735&gt;0,AF735,IF(AF734&gt;0,AF734,IF(AF733&gt;0,AF733,IF(AF732&gt;0,AF732,IF(AF730&gt;0,AF730,IF(AF729&gt;0,AF729,IF(AF728&gt;0,AF728,0)))))))))))),0)*(1-$S740)*'模拟-单技能数据'!$I$20</f>
        <v>4074.6980221198578</v>
      </c>
      <c r="AK740" s="115" t="b">
        <f t="shared" ca="1" si="664"/>
        <v>0</v>
      </c>
      <c r="AL740" s="115" t="b">
        <f t="shared" ca="1" si="665"/>
        <v>0</v>
      </c>
      <c r="AM740" s="115">
        <f t="shared" ca="1" si="666"/>
        <v>4</v>
      </c>
      <c r="AN740" s="47">
        <f ca="1">IF(AK740,('模拟-单技能数据'!$D$21+G740*'模拟-单技能数据'!$F$21)*(1+J740)*(1+'模拟-单技能数据'!$J$21)*(1+U740),0)</f>
        <v>0</v>
      </c>
      <c r="AO740" s="61">
        <f ca="1">IF(AN740&gt;0,M740-'模拟-单技能数据'!$K$10,AO739)</f>
        <v>0.42185145527300216</v>
      </c>
      <c r="AP740" s="61">
        <f ca="1">IF(AN740&gt;0,I740-'模拟-单技能数据'!$L$10,AP739)</f>
        <v>2.162482885499879</v>
      </c>
      <c r="AQ740" s="63">
        <f t="shared" ca="1" si="685"/>
        <v>0.25473303405768843</v>
      </c>
      <c r="AR740" s="64">
        <f ca="1">IF(AL740,IF(AQ740&lt;$F$10,0,IF(AQ740&lt;$F$10+$F$11,0.25,IF(AQ740&lt;$F$10+$F$11+AO740,AP740,1)))*IF(AN740&gt;0,AN740,IF(AN739&gt;0,AN739,IF(AN738&gt;0,AN738,IF(AN737&gt;0,AN737,IF(AN736&gt;0,AN736,IF(AN735&gt;0,AN735,IF(AN734&gt;0,AN734,IF(AN733&gt;0,AN733,IF(AN732&gt;0,AN732,IF(AN730&gt;0,AN730,IF(AN729&gt;0,AN729,IF(AN728&gt;0,AN728,0)))))))))))),0)*(1-$S740)*'模拟-单技能数据'!$I$21</f>
        <v>0</v>
      </c>
      <c r="AS740" s="61">
        <f ca="1">IF(OR(C740="净世破魔击·日",C740="净世破魔击·月"),M740-'模拟-单技能数据'!$K$10,0)</f>
        <v>0</v>
      </c>
      <c r="AT740" s="61">
        <f ca="1">IF(OR(C740="净世破魔击·日",C740="净世破魔击·月"),I740-'模拟-单技能数据'!$L$10,0)</f>
        <v>0</v>
      </c>
      <c r="AU740" s="62">
        <f t="shared" ca="1" si="686"/>
        <v>0.20068851147550371</v>
      </c>
      <c r="AV740" s="64">
        <f ca="1">IF(AS740&gt;0,('模拟-单技能数据'!$D$22+G740*'模拟-单技能数据'!$F$22)*(1+J740)*(1-S740)*IF(AU740&lt;$F$10,0,IF(AU740&lt;$F$10+$F$11,0.25,IF(AU740&lt;$F$10+$F$11+AS740,AT740,1)))*(1+U740),0)*'模拟-单技能数据'!$I$22</f>
        <v>0</v>
      </c>
      <c r="AW740" s="108">
        <f t="shared" ca="1" si="687"/>
        <v>0</v>
      </c>
      <c r="AX740" s="108" t="b">
        <f ca="1">AND(模拟模式!$P$10="有",AW739=0,RAND()&lt;IF(C740="净世破魔击·月",0.1*8/3,IF(C740="净世破魔击·日",0.1*4/3,0.1*2/3)))</f>
        <v>0</v>
      </c>
      <c r="AY740" s="47">
        <f ca="1">IF(AX740,(18+G740*0.722)*(1+J740)*(1-S740)*(1+$I$4)*IF(P740="会",'模拟-全程加成'!$J$3+'模拟-全程加成'!$J$4+'模拟-全程加成'!$J$5+('模拟-全程加成'!$I$4+'模拟-全程加成'!$I$5)/系数!$B$4+BG740*10%,IF(P740="命",1,IF(P740="识",0.25,0))),0)</f>
        <v>0</v>
      </c>
      <c r="AZ740" s="108">
        <f t="shared" si="688"/>
        <v>11.697500000000005</v>
      </c>
      <c r="BA740" s="108" t="b">
        <f>AND(模拟模式!$Q$10="有",AZ739=0)</f>
        <v>0</v>
      </c>
      <c r="BB740" s="140">
        <f>IF(BA740,(0+G740*0.287)*(1+J740)*(1-S740)*(1+$I$4)*IF(P740="会",'模拟-全程加成'!$J$3+'模拟-全程加成'!$J$4+'模拟-全程加成'!$J$5+('模拟-全程加成'!$I$4+'模拟-全程加成'!$I$5)/系数!$B$4+BG740*10%,IF(P740="命",1,IF(P740="识",0.25,0))),0)</f>
        <v>0</v>
      </c>
      <c r="BC740" s="115" t="b">
        <f ca="1">AND(模拟模式!$R$7="伏明众生",E740=60,F740=20,DA740&lt;5,CZ739&lt;$F$4)</f>
        <v>0</v>
      </c>
      <c r="BD740" s="115">
        <f t="shared" ca="1" si="667"/>
        <v>0</v>
      </c>
      <c r="BE740" s="115" t="b">
        <f t="shared" ca="1" si="668"/>
        <v>0</v>
      </c>
      <c r="BF740" s="47">
        <f ca="1">IF(BC740,4*('模拟-单技能数据'!$D$24+G740*'模拟-单技能数据'!$F$24)*(1+J740)*(1+'模拟-单技能数据'!$J$24)*(1-S740)*(1+$I$3)*(('模拟-全程加成'!$J$3+'模拟-全程加成'!$J$4+'模拟-全程加成'!$J$5+('模拟-全程加成'!$I$4+'模拟-全程加成'!$I$5)/系数!$B$4+BG740*10%)*('模拟-全程加成'!$J$3+'模拟-全程加成'!$J$4+'模拟-全程加成'!$J$5+('模拟-全程加成'!$I$4+'模拟-全程加成'!$I$5)/系数!$B$4+BG740*10%)+(1-('模拟-全程加成'!$J$3+'模拟-全程加成'!$J$4+'模拟-全程加成'!$J$5+('模拟-全程加成'!$I$4+'模拟-全程加成'!$I$5)/系数!$B$4+BG740*10%)-$F$10-$F$11)+F726*0.25),0)*'模拟-单技能数据'!$I$24</f>
        <v>0</v>
      </c>
      <c r="BG740" s="115" t="b">
        <f ca="1">OR(AND(OR(C740="烈日斩",C740="银月斩"),模拟模式!$I$7="净身明礼"),AND(C740="净世破魔击·日",模拟模式!$J$7="洞若观火"),AND(C741="净世破魔击·月",模拟模式!$J$7="洞若观火"),AB740=1)</f>
        <v>1</v>
      </c>
      <c r="BH740" s="115" t="b">
        <f t="shared" ca="1" si="689"/>
        <v>0</v>
      </c>
      <c r="BI740" s="115">
        <f t="shared" ca="1" si="669"/>
        <v>0</v>
      </c>
      <c r="BJ740" s="115" t="b">
        <f t="shared" ca="1" si="670"/>
        <v>0</v>
      </c>
      <c r="BK740" s="115" t="b">
        <f ca="1">AND(C740="驱夜断愁",模拟模式!$P$7="天地诛戮")</f>
        <v>1</v>
      </c>
      <c r="BL740" s="57">
        <f t="shared" ca="1" si="671"/>
        <v>20</v>
      </c>
      <c r="BM740" s="115" t="b">
        <f t="shared" ca="1" si="672"/>
        <v>1</v>
      </c>
      <c r="BN740" s="115" t="b">
        <f ca="1">AND(OR(C740="赤日轮1",C740="赤日轮2",C740="赤日轮3",C740="幽月轮1",C740="幽月轮2",C740="幽月轮3"),AB740=1,模拟模式!$L$7="明光恒照")</f>
        <v>0</v>
      </c>
      <c r="BO740" s="117">
        <f t="shared" ca="1" si="673"/>
        <v>28.155000000000001</v>
      </c>
      <c r="BP740" s="115">
        <f t="shared" ca="1" si="690"/>
        <v>6</v>
      </c>
      <c r="BQ740" s="115" t="b">
        <f>模拟模式!$K$10="2600·水"</f>
        <v>0</v>
      </c>
      <c r="BR740" s="117">
        <f t="shared" si="691"/>
        <v>0</v>
      </c>
      <c r="BS740" s="115">
        <f t="shared" si="692"/>
        <v>0</v>
      </c>
      <c r="BT740" s="115">
        <f t="shared" ca="1" si="693"/>
        <v>0</v>
      </c>
      <c r="BU740" s="115" t="b">
        <f ca="1">AND(模拟模式!$K$10="2300·雷",BT739=0,RAND()&lt;IF(C740="净世破魔击·月",5*0.05*2/3,IF(C740="净世破魔击·日",3*0.05*2/3,0.05*2*2/3)))</f>
        <v>0</v>
      </c>
      <c r="BV740" s="115">
        <f t="shared" ca="1" si="694"/>
        <v>0</v>
      </c>
      <c r="BW740" s="115">
        <f t="shared" ca="1" si="695"/>
        <v>80.369999999999266</v>
      </c>
      <c r="BX740" s="164" t="b">
        <f t="shared" ca="1" si="696"/>
        <v>0</v>
      </c>
      <c r="BY740" s="115">
        <f t="shared" ca="1" si="697"/>
        <v>0</v>
      </c>
      <c r="BZ740" s="115">
        <f>IF(OR(模拟模式!$P$16="10人团",模拟模式!$P$16="25人团"),IF(B740/30&gt;CA739,1,0),0)</f>
        <v>0</v>
      </c>
      <c r="CA740" s="115">
        <f t="shared" si="674"/>
        <v>0</v>
      </c>
      <c r="CB740" s="115">
        <f ca="1">IF(BZ740=1,IF(模拟模式!$P$16="10人团",15,0)+IF(模拟模式!$P$16="25人团",IF(RAND()&lt;0.6,15,0)),MAX(0,CB739-$F$4))</f>
        <v>0</v>
      </c>
      <c r="CC740" s="115" t="b">
        <f t="shared" ca="1" si="675"/>
        <v>0</v>
      </c>
      <c r="CD740" s="115">
        <f>IF(模拟模式!$Q$16="1个",IF(B740/40&gt;CE739,1,0),0)</f>
        <v>0</v>
      </c>
      <c r="CE740" s="115">
        <f t="shared" si="676"/>
        <v>0</v>
      </c>
      <c r="CF740" s="115">
        <f>IF(OR(CD740=1,模拟模式!$Q$16="2个"),20,MAX(0,CF739-$F$4))</f>
        <v>0</v>
      </c>
      <c r="CG740" s="115" t="b">
        <f t="shared" si="677"/>
        <v>0</v>
      </c>
      <c r="CH740" s="115">
        <f t="shared" ca="1" si="698"/>
        <v>24.465000000000003</v>
      </c>
      <c r="CI740" s="115" t="b">
        <f t="shared" ca="1" si="699"/>
        <v>0</v>
      </c>
      <c r="CJ740" s="119">
        <f t="shared" ca="1" si="700"/>
        <v>0.05</v>
      </c>
      <c r="CK740" s="115">
        <f t="shared" ca="1" si="701"/>
        <v>2.464999999999999</v>
      </c>
      <c r="CL740" s="115" t="b">
        <f ca="1">AND(模拟模式!$S$7="驱夷逐法",OR(AND(C740="净世破魔击·月",E739&gt;59),AND(C740="净世破魔击·日",F739&gt;59)))</f>
        <v>0</v>
      </c>
      <c r="CM740" s="115" t="b">
        <f ca="1">OR(CL740,AND(C740="净世破魔击·日",CL739,RAND()&lt;模拟模式!$U$23))</f>
        <v>0</v>
      </c>
      <c r="CN740" s="115" t="b">
        <f ca="1">IF(模拟模式!$M$7="辉耀红尘",AND(C740="净世破魔击·月",CL740,CV740=0,E739&lt;80),AND(C740="净世破魔击·月",CL740,E739&lt;100))</f>
        <v>0</v>
      </c>
      <c r="CO740" s="115" t="b">
        <f t="shared" ca="1" si="678"/>
        <v>0</v>
      </c>
      <c r="CP740" s="115" t="b">
        <f ca="1">AND(模拟模式!$O$7="用晦而明",OR(C740="净世破魔击·日",C740="净世破魔击·月",C740="驱夜断愁"),AB740)</f>
        <v>1</v>
      </c>
      <c r="CQ740" s="115" t="b">
        <f ca="1">OR(CP740,AND(CP739,RAND()&lt;模拟模式!$U$23))</f>
        <v>1</v>
      </c>
      <c r="CR740" s="115" t="b">
        <f ca="1">AND(模拟模式!$S$7="日月齐光",OR(C740="幽月轮1",C740="幽月轮2",C740="幽月轮3",CR739),NOT(OR(C740="赤日轮1",C740="赤日轮2",C740="赤日轮3")))</f>
        <v>0</v>
      </c>
      <c r="CS740" s="115" t="b">
        <f ca="1">AND(模拟模式!$S$7="日月齐光",OR(C740="赤日轮1",C740="赤日轮2",C740="赤日轮3",CS739),NOT(OR(C740="幽月轮1",C740="幽月轮2",C740="幽月轮3")))</f>
        <v>0</v>
      </c>
      <c r="CT740" s="115">
        <f t="shared" ca="1" si="702"/>
        <v>9.7050000000000125</v>
      </c>
      <c r="CU740" s="115" t="b">
        <f ca="1">AND(模拟模式!$K$10="阴阳往极",CT739=0,RAND()&lt;IF(C740="净世破魔击·月",0.0275*7/3,IF(C740="净世破魔击·日",0.0275*3/3,0.0275*2/3)))</f>
        <v>0</v>
      </c>
      <c r="CV740" s="115">
        <f t="shared" ca="1" si="703"/>
        <v>0</v>
      </c>
      <c r="CW740" s="115">
        <f t="shared" ca="1" si="704"/>
        <v>0.46499999999999975</v>
      </c>
      <c r="CX740" s="115">
        <f t="shared" ca="1" si="705"/>
        <v>5.0774999999999997</v>
      </c>
      <c r="CY740" s="115">
        <f ca="1">MAX(IF($C740="驱夜断愁",IF(模拟模式!$R$7="万念俱寂",6,45),CY739-$F$4),0)</f>
        <v>6</v>
      </c>
      <c r="CZ740" s="115">
        <f t="shared" ca="1" si="679"/>
        <v>0</v>
      </c>
      <c r="DA740" s="115">
        <f ca="1">IF(模拟模式!$N$7="日月同辉",IF(DB739=2,0,MIN(6,IF(AND(OR(C740="赤日轮1",C740="赤日轮2",C740="赤日轮3",C740="幽月轮1",C740="幽月轮2",C740="幽月轮3"),AB740=1),DA739+1,DA739))),0)</f>
        <v>4</v>
      </c>
      <c r="DB740" s="115">
        <f t="shared" ca="1" si="680"/>
        <v>0</v>
      </c>
      <c r="DC740" s="115"/>
      <c r="DD740" s="115"/>
      <c r="DE740" s="115"/>
      <c r="DF740" s="115"/>
      <c r="DG740" s="115"/>
      <c r="DH740" s="115"/>
      <c r="DI740" s="115"/>
      <c r="DJ740" s="115"/>
      <c r="DK740" s="115"/>
      <c r="DL740" s="115"/>
      <c r="DM740" s="115"/>
    </row>
    <row r="741" spans="2:117" x14ac:dyDescent="0.2">
      <c r="B741" s="117">
        <f t="shared" si="681"/>
        <v>658.66500000000769</v>
      </c>
      <c r="C741" s="167" t="str">
        <f t="shared" ca="1" si="650"/>
        <v>烈日斩</v>
      </c>
      <c r="D741" s="115">
        <f ca="1">IF(C741="赤日轮1",1,IF(C741="赤日轮2",2,IF(C741="赤日轮3",3,IF(C741="幽月轮1",4,IF(C741="幽月轮2",5,IF(C741="幽月轮3",6,IF(C741="烈日斩",7,IF(C741="银月斩",8,IF(C741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741="净世破魔击·月",17,IF(C741="驱夜断愁",18,0)))))))))))</f>
        <v>7</v>
      </c>
      <c r="E741" s="115">
        <f ca="1">IF(AND(CU741,OR(C741="幽月轮1",C741="幽月轮2",C741="幽月轮3",C741="银月斩",C741="驱夜断愁",C741="净世破魔击·月")),100,MIN(IF(OR(CN741,BE741),0,IF(OR($C741="赤日轮1",$C741="赤日轮2",$C741="赤日轮3"),E740+20+IF(模拟模式!$I$7="日月凌天",4,0)+IF(CR740,20,0),IF($C741="烈日斩",E740+40,IF($C741="驱夜断愁",IF(模拟模式!$R$7="万念俱寂",E740+20,E740+60),IF($C741="净世破魔击·月",IF(OR(DB740&gt;0,CV740&gt;0),100,IF(模拟模式!$M$7="辉耀红尘",E740+20,E740)),IF($C741="净世破魔击·日",E740-100,E740)))))),100))</f>
        <v>80</v>
      </c>
      <c r="F741" s="115">
        <f ca="1">IF(AND(CU741,OR(C741="赤日轮1",C741="赤日轮2",C741="赤日轮3",C741="烈日斩",C741="净世破魔击·日")),100,MIN(IF(CO741,0,IF(OR($C741="幽月轮1",$C741="幽月轮2",$C741="幽月轮3"),F740+20+IF(模拟模式!$I$7="日月凌天",4,0)+IF(CS740,20,0),IF($C741="银月斩",F740+40+IF(模拟模式!$X$12=1,5,0),IF($C741="驱夜断愁",IF(模拟模式!$R$7="万念俱寂",F740+20,F740+60),IF($C741="净世破魔击·月",IF(模拟模式!$M$7="辉耀红尘",F740-80,F740-100),IF(AND(C741="净世破魔击·日",OR(DB740&gt;0,CV740&gt;0)),100,F740)))))),100))</f>
        <v>85</v>
      </c>
      <c r="G741" s="117">
        <f ca="1">('模拟-全程加成'!$E$3+'模拟-全程加成'!$E$4+'模拟-全程加成'!$E$5+('模拟-全程加成'!$C$6-'模拟-全程加成'!$C$3)*系数!$B$9+BS741*23)*(1+'模拟-全程加成'!$F$4+'模拟-全程加成'!$F$5+BJ741*10%+BM741*20%+BP741*4%+CG741*30%)+$F$7*系数!$B$12</f>
        <v>20583.127400000001</v>
      </c>
      <c r="H741" s="45">
        <f ca="1">'模拟-全程加成'!$H$3+'模拟-全程加成'!$H$4+'模拟-全程加成'!$H$5+('模拟-全程加成'!$G$4+'模拟-全程加成'!$G$5+('模拟-全程加成'!$C$6-'模拟-全程加成'!$C$3)*系数!$B$13)/系数!$B$3+LOOKUP(D741,'模拟-单技能数据'!$A$2:$A$19,'模拟-单技能数据'!$K$2:$K$19)+BG741*10%+IF(BV741&gt;0,378,0)</f>
        <v>0.56185145527300218</v>
      </c>
      <c r="I741" s="45">
        <f ca="1">'模拟-全程加成'!$J$3+'模拟-全程加成'!$J$4+'模拟-全程加成'!$J$5+('模拟-全程加成'!$I$4+'模拟-全程加成'!$I$5)/系数!$B$4+LOOKUP(D741,'模拟-单技能数据'!$A$2:$A$19,'模拟-单技能数据'!$L$2:$L$19)+BG741*10%</f>
        <v>2.2624828854998791</v>
      </c>
      <c r="J741" s="45">
        <f ca="1">(('模拟-全程加成'!$K$3+'模拟-全程加成'!$K$4+'模拟-全程加成'!$K$5+('模拟-全程加成'!$C$6-'模拟-全程加成'!$C$3)*系数!$B$10+IF(BV741&gt;0,882,0)+IF(BY741&gt;0,1831,0))*(1+'模拟-全程加成'!$L$4+'模拟-全程加成'!$L$5+CC741*20%))/系数!$B$5</f>
        <v>0.69723220422048726</v>
      </c>
      <c r="K741" s="119">
        <f ca="1">LOOKUP(D741,'模拟-单技能数据'!$A$2:$A$19,'模拟-单技能数据'!$J$2:$J$19)+IF(CM741,60%,0)+IF(DB740-DB741&gt;0,30%,0)+IF(OR(AND(OR(C741="赤日轮1",C741="赤日轮2",C741="赤日轮3"),CR741),AND(OR(C741="幽月轮1",C741="幽月轮2",C741="幽月轮3"),CS741)),35%,0)+CJ741</f>
        <v>0.28999999999999998</v>
      </c>
      <c r="L741" s="119">
        <f ca="1">IF(AND(C741="烈日斩",模拟模式!$X$11=1),10%,0)+IF(AND(C741="驱夜断愁",AB741=1),30%,0)</f>
        <v>0.1</v>
      </c>
      <c r="M741" s="45">
        <f t="shared" ca="1" si="651"/>
        <v>0.56185145527300218</v>
      </c>
      <c r="N741" s="45">
        <f t="shared" ca="1" si="652"/>
        <v>0.38424854472699788</v>
      </c>
      <c r="O741" s="46">
        <f t="shared" ca="1" si="682"/>
        <v>0.47197777702466237</v>
      </c>
      <c r="P741" s="46" t="str">
        <f t="shared" ca="1" si="653"/>
        <v>会</v>
      </c>
      <c r="Q741" s="45">
        <f t="shared" ca="1" si="654"/>
        <v>2.2624828854998791</v>
      </c>
      <c r="R741" s="117">
        <f ca="1">模拟模式!$E$20*(1-IF(模拟模式!$J$19="有",0.15,0))*(1-IF(模拟模式!$K$19="有",0.3,0)-IF(CQ741,0.5,0))</f>
        <v>843.02999999999975</v>
      </c>
      <c r="S741" s="45">
        <f ca="1">R741/(R741+(185*模拟模式!$E$22-16800)*4.08224)</f>
        <v>8.389626085980037E-2</v>
      </c>
      <c r="T741" s="45" t="str">
        <f ca="1">LOOKUP(D741,'模拟-单技能数据'!$A$2:$A$19,'模拟-单技能数据'!$H$2:$H$19)</f>
        <v>阳</v>
      </c>
      <c r="U741" s="119">
        <f t="shared" ca="1" si="655"/>
        <v>0.2</v>
      </c>
      <c r="V741" s="47">
        <f ca="1">(1+L741)*(LOOKUP(D741,'模拟-单技能数据'!$A$2:$A$19,'模拟-单技能数据'!$D$2:$D$19)+G741*LOOKUP(D741,'模拟-单技能数据'!$A$2:$A$19,'模拟-单技能数据'!$F$2:$F$19))*(1+J741)*(1+K741)*(1-S741)*(1+U741)*Q741*LOOKUP(D741,'模拟-单技能数据'!$A$2:$A$19,'模拟-单技能数据'!$I$2:$I$20)</f>
        <v>110129.64280298242</v>
      </c>
      <c r="W741" s="47">
        <f ca="1">LOOKUP(D741,'模拟-单技能数据'!$A$2:$A$19,'模拟-单技能数据'!$G$2:$G$19)*$I$10</f>
        <v>361.51064354704795</v>
      </c>
      <c r="X741" s="47">
        <f t="shared" ca="1" si="683"/>
        <v>24043.249177625272</v>
      </c>
      <c r="Y741" s="47">
        <f t="shared" ca="1" si="656"/>
        <v>134534.40262415475</v>
      </c>
      <c r="Z741" s="49">
        <f t="shared" ca="1" si="657"/>
        <v>74446073.503660291</v>
      </c>
      <c r="AA741" s="97">
        <f t="shared" ca="1" si="658"/>
        <v>113025.70123455689</v>
      </c>
      <c r="AB741" s="115">
        <f ca="1">IF(OR(C741="赤日轮1",C741="赤日轮2",C741="赤日轮3"),IF(RAND()&lt;模拟模式!$Y$17,1,0),IF(OR(C741="幽月轮1",C741="幽月轮2",C741="幽月轮3"),IF(RAND()&lt;模拟模式!$Y$18,1,0),IF(C741="烈日斩",IF(RAND()&lt;模拟模式!$Y$19,1,0),IF(C741="银月斩",IF(RAND()&lt;模拟模式!$Y$20,1,0),IF(C741="驱夜断愁",IF(RAND()&lt;模拟模式!$Y$21,1,0),IF(C741="净世破魔击·日",IF(RAND()&lt;模拟模式!$Y$22,1,0),IF(C741="净世破魔击·月",IF(RAND()&lt;模拟模式!$Y$23,1,0),0)))))))</f>
        <v>1</v>
      </c>
      <c r="AC741" s="115" t="b">
        <f t="shared" ca="1" si="659"/>
        <v>0</v>
      </c>
      <c r="AD741" s="115" t="b">
        <f t="shared" ca="1" si="660"/>
        <v>0</v>
      </c>
      <c r="AE741" s="115">
        <f t="shared" ca="1" si="661"/>
        <v>5</v>
      </c>
      <c r="AF741" s="47">
        <f ca="1">IF(AC741,('模拟-单技能数据'!$D$20+G741*'模拟-单技能数据'!$F$20)*(1+J741)*(1+'模拟-单技能数据'!$J$20)*(1+U741),0)</f>
        <v>0</v>
      </c>
      <c r="AG741" s="61">
        <f t="shared" ca="1" si="662"/>
        <v>0.64185145527300214</v>
      </c>
      <c r="AH741" s="61">
        <f t="shared" ca="1" si="663"/>
        <v>2.2624828854998791</v>
      </c>
      <c r="AI741" s="62">
        <f t="shared" ca="1" si="684"/>
        <v>0.97746766285628461</v>
      </c>
      <c r="AJ741" s="47">
        <f ca="1">IF(AD741,IF(AI741&lt;$F$10,0,IF(AI741&lt;$F$10+$F$11,0.25,IF(AI741&lt;$F$10+$F$11+AG741,AH741,1)))*IF(AF741&gt;0,AF741,IF(AF740&gt;0,AF740,IF(AF739&gt;0,AF739,IF(AF738&gt;0,AF738,IF(AF737&gt;0,AF737,IF(AF736&gt;0,AF736,IF(AF735&gt;0,AF735,IF(AF734&gt;0,AF734,IF(AF733&gt;0,AF733,IF(AF731&gt;0,AF731,IF(AF730&gt;0,AF730,IF(AF729&gt;0,AF729,0)))))))))))),0)*(1-$S741)*'模拟-单技能数据'!$I$20</f>
        <v>0</v>
      </c>
      <c r="AK741" s="115" t="b">
        <f t="shared" ca="1" si="664"/>
        <v>0</v>
      </c>
      <c r="AL741" s="115" t="b">
        <f t="shared" ca="1" si="665"/>
        <v>1</v>
      </c>
      <c r="AM741" s="115">
        <f t="shared" ca="1" si="666"/>
        <v>3</v>
      </c>
      <c r="AN741" s="47">
        <f ca="1">IF(AK741,('模拟-单技能数据'!$D$21+G741*'模拟-单技能数据'!$F$21)*(1+J741)*(1+'模拟-单技能数据'!$J$21)*(1+U741),0)</f>
        <v>0</v>
      </c>
      <c r="AO741" s="61">
        <f ca="1">IF(AN741&gt;0,M741-'模拟-单技能数据'!$K$10,AO740)</f>
        <v>0.42185145527300216</v>
      </c>
      <c r="AP741" s="61">
        <f ca="1">IF(AN741&gt;0,I741-'模拟-单技能数据'!$L$10,AP740)</f>
        <v>2.162482885499879</v>
      </c>
      <c r="AQ741" s="63">
        <f t="shared" ca="1" si="685"/>
        <v>0.3836393062663257</v>
      </c>
      <c r="AR741" s="64">
        <f ca="1">IF(AL741,IF(AQ741&lt;$F$10,0,IF(AQ741&lt;$F$10+$F$11,0.25,IF(AQ741&lt;$F$10+$F$11+AO741,AP741,1)))*IF(AN741&gt;0,AN741,IF(AN740&gt;0,AN740,IF(AN739&gt;0,AN739,IF(AN738&gt;0,AN738,IF(AN737&gt;0,AN737,IF(AN736&gt;0,AN736,IF(AN735&gt;0,AN735,IF(AN734&gt;0,AN734,IF(AN733&gt;0,AN733,IF(AN731&gt;0,AN731,IF(AN730&gt;0,AN730,IF(AN729&gt;0,AN729,0)))))))))))),0)*(1-$S741)*'模拟-单技能数据'!$I$21</f>
        <v>24043.249177625272</v>
      </c>
      <c r="AS741" s="61">
        <f ca="1">IF(OR(C741="净世破魔击·日",C741="净世破魔击·月"),M741-'模拟-单技能数据'!$K$10,0)</f>
        <v>0</v>
      </c>
      <c r="AT741" s="61">
        <f ca="1">IF(OR(C741="净世破魔击·日",C741="净世破魔击·月"),I741-'模拟-单技能数据'!$L$10,0)</f>
        <v>0</v>
      </c>
      <c r="AU741" s="62">
        <f t="shared" ca="1" si="686"/>
        <v>0.77808773140207854</v>
      </c>
      <c r="AV741" s="64">
        <f ca="1">IF(AS741&gt;0,('模拟-单技能数据'!$D$22+G741*'模拟-单技能数据'!$F$22)*(1+J741)*(1-S741)*IF(AU741&lt;$F$10,0,IF(AU741&lt;$F$10+$F$11,0.25,IF(AU741&lt;$F$10+$F$11+AS741,AT741,1)))*(1+U741),0)*'模拟-单技能数据'!$I$22</f>
        <v>0</v>
      </c>
      <c r="AW741" s="108">
        <f t="shared" ca="1" si="687"/>
        <v>0</v>
      </c>
      <c r="AX741" s="108" t="b">
        <f ca="1">AND(模拟模式!$P$10="有",AW740=0,RAND()&lt;IF(C741="净世破魔击·月",0.1*8/3,IF(C741="净世破魔击·日",0.1*4/3,0.1*2/3)))</f>
        <v>0</v>
      </c>
      <c r="AY741" s="47">
        <f ca="1">IF(AX741,(18+G741*0.722)*(1+J741)*(1-S741)*(1+$I$4)*IF(P741="会",'模拟-全程加成'!$J$3+'模拟-全程加成'!$J$4+'模拟-全程加成'!$J$5+('模拟-全程加成'!$I$4+'模拟-全程加成'!$I$5)/系数!$B$4+BG741*10%,IF(P741="命",1,IF(P741="识",0.25,0))),0)</f>
        <v>0</v>
      </c>
      <c r="AZ741" s="108">
        <f t="shared" si="688"/>
        <v>10.775000000000006</v>
      </c>
      <c r="BA741" s="108" t="b">
        <f>AND(模拟模式!$Q$10="有",AZ740=0)</f>
        <v>0</v>
      </c>
      <c r="BB741" s="140">
        <f>IF(BA741,(0+G741*0.287)*(1+J741)*(1-S741)*(1+$I$4)*IF(P741="会",'模拟-全程加成'!$J$3+'模拟-全程加成'!$J$4+'模拟-全程加成'!$J$5+('模拟-全程加成'!$I$4+'模拟-全程加成'!$I$5)/系数!$B$4+BG741*10%,IF(P741="命",1,IF(P741="识",0.25,0))),0)</f>
        <v>0</v>
      </c>
      <c r="BC741" s="115" t="b">
        <f ca="1">AND(模拟模式!$R$7="伏明众生",E741=60,F741=20,DA741&lt;5,CZ740&lt;$F$4)</f>
        <v>0</v>
      </c>
      <c r="BD741" s="115">
        <f t="shared" ca="1" si="667"/>
        <v>0</v>
      </c>
      <c r="BE741" s="115" t="b">
        <f t="shared" ca="1" si="668"/>
        <v>0</v>
      </c>
      <c r="BF741" s="47">
        <f ca="1">IF(BC741,4*('模拟-单技能数据'!$D$24+G741*'模拟-单技能数据'!$F$24)*(1+J741)*(1+'模拟-单技能数据'!$J$24)*(1-S741)*(1+$I$3)*(('模拟-全程加成'!$J$3+'模拟-全程加成'!$J$4+'模拟-全程加成'!$J$5+('模拟-全程加成'!$I$4+'模拟-全程加成'!$I$5)/系数!$B$4+BG741*10%)*('模拟-全程加成'!$J$3+'模拟-全程加成'!$J$4+'模拟-全程加成'!$J$5+('模拟-全程加成'!$I$4+'模拟-全程加成'!$I$5)/系数!$B$4+BG741*10%)+(1-('模拟-全程加成'!$J$3+'模拟-全程加成'!$J$4+'模拟-全程加成'!$J$5+('模拟-全程加成'!$I$4+'模拟-全程加成'!$I$5)/系数!$B$4+BG741*10%)-$F$10-$F$11)+F727*0.25),0)*'模拟-单技能数据'!$I$24</f>
        <v>0</v>
      </c>
      <c r="BG741" s="115" t="b">
        <f ca="1">OR(AND(OR(C741="烈日斩",C741="银月斩"),模拟模式!$I$7="净身明礼"),AND(C741="净世破魔击·日",模拟模式!$J$7="洞若观火"),AND(C742="净世破魔击·月",模拟模式!$J$7="洞若观火"),AB741=1)</f>
        <v>1</v>
      </c>
      <c r="BH741" s="115" t="b">
        <f t="shared" ca="1" si="689"/>
        <v>0</v>
      </c>
      <c r="BI741" s="115">
        <f t="shared" ca="1" si="669"/>
        <v>0</v>
      </c>
      <c r="BJ741" s="115" t="b">
        <f t="shared" ca="1" si="670"/>
        <v>0</v>
      </c>
      <c r="BK741" s="115" t="b">
        <f ca="1">AND(C741="驱夜断愁",模拟模式!$P$7="天地诛戮")</f>
        <v>0</v>
      </c>
      <c r="BL741" s="57">
        <f t="shared" ca="1" si="671"/>
        <v>19.077500000000001</v>
      </c>
      <c r="BM741" s="115" t="b">
        <f t="shared" ca="1" si="672"/>
        <v>1</v>
      </c>
      <c r="BN741" s="115" t="b">
        <f ca="1">AND(OR(C741="赤日轮1",C741="赤日轮2",C741="赤日轮3",C741="幽月轮1",C741="幽月轮2",C741="幽月轮3"),AB741=1,模拟模式!$L$7="明光恒照")</f>
        <v>0</v>
      </c>
      <c r="BO741" s="117">
        <f t="shared" ca="1" si="673"/>
        <v>27.232500000000002</v>
      </c>
      <c r="BP741" s="115">
        <f t="shared" ca="1" si="690"/>
        <v>6</v>
      </c>
      <c r="BQ741" s="115" t="b">
        <f>模拟模式!$K$10="2600·水"</f>
        <v>0</v>
      </c>
      <c r="BR741" s="117">
        <f t="shared" si="691"/>
        <v>0</v>
      </c>
      <c r="BS741" s="115">
        <f t="shared" si="692"/>
        <v>0</v>
      </c>
      <c r="BT741" s="115">
        <f t="shared" ca="1" si="693"/>
        <v>0</v>
      </c>
      <c r="BU741" s="115" t="b">
        <f ca="1">AND(模拟模式!$K$10="2300·雷",BT740=0,RAND()&lt;IF(C741="净世破魔击·月",5*0.05*2/3,IF(C741="净世破魔击·日",3*0.05*2/3,0.05*2*2/3)))</f>
        <v>0</v>
      </c>
      <c r="BV741" s="115">
        <f t="shared" ca="1" si="694"/>
        <v>0</v>
      </c>
      <c r="BW741" s="115">
        <f t="shared" ca="1" si="695"/>
        <v>79.447499999999266</v>
      </c>
      <c r="BX741" s="164" t="b">
        <f t="shared" ca="1" si="696"/>
        <v>0</v>
      </c>
      <c r="BY741" s="115">
        <f t="shared" ca="1" si="697"/>
        <v>0</v>
      </c>
      <c r="BZ741" s="115">
        <f>IF(OR(模拟模式!$P$16="10人团",模拟模式!$P$16="25人团"),IF(B741/30&gt;CA740,1,0),0)</f>
        <v>0</v>
      </c>
      <c r="CA741" s="115">
        <f t="shared" si="674"/>
        <v>0</v>
      </c>
      <c r="CB741" s="115">
        <f ca="1">IF(BZ741=1,IF(模拟模式!$P$16="10人团",15,0)+IF(模拟模式!$P$16="25人团",IF(RAND()&lt;0.6,15,0)),MAX(0,CB740-$F$4))</f>
        <v>0</v>
      </c>
      <c r="CC741" s="115" t="b">
        <f t="shared" ca="1" si="675"/>
        <v>0</v>
      </c>
      <c r="CD741" s="115">
        <f>IF(模拟模式!$Q$16="1个",IF(B741/40&gt;CE740,1,0),0)</f>
        <v>0</v>
      </c>
      <c r="CE741" s="115">
        <f t="shared" si="676"/>
        <v>0</v>
      </c>
      <c r="CF741" s="115">
        <f>IF(OR(CD741=1,模拟模式!$Q$16="2个"),20,MAX(0,CF740-$F$4))</f>
        <v>0</v>
      </c>
      <c r="CG741" s="115" t="b">
        <f t="shared" si="677"/>
        <v>0</v>
      </c>
      <c r="CH741" s="115">
        <f t="shared" ca="1" si="698"/>
        <v>23.542500000000004</v>
      </c>
      <c r="CI741" s="115" t="b">
        <f t="shared" ca="1" si="699"/>
        <v>0</v>
      </c>
      <c r="CJ741" s="119">
        <f t="shared" ca="1" si="700"/>
        <v>0.05</v>
      </c>
      <c r="CK741" s="115">
        <f t="shared" ca="1" si="701"/>
        <v>1.5424999999999991</v>
      </c>
      <c r="CL741" s="115" t="b">
        <f ca="1">AND(模拟模式!$S$7="驱夷逐法",OR(AND(C741="净世破魔击·月",E740&gt;59),AND(C741="净世破魔击·日",F740&gt;59)))</f>
        <v>0</v>
      </c>
      <c r="CM741" s="115" t="b">
        <f ca="1">OR(CL741,AND(C741="净世破魔击·日",CL740,RAND()&lt;模拟模式!$U$23))</f>
        <v>0</v>
      </c>
      <c r="CN741" s="115" t="b">
        <f ca="1">IF(模拟模式!$M$7="辉耀红尘",AND(C741="净世破魔击·月",CL741,CV741=0,E740&lt;80),AND(C741="净世破魔击·月",CL741,E740&lt;100))</f>
        <v>0</v>
      </c>
      <c r="CO741" s="115" t="b">
        <f t="shared" ca="1" si="678"/>
        <v>0</v>
      </c>
      <c r="CP741" s="115" t="b">
        <f ca="1">AND(模拟模式!$O$7="用晦而明",OR(C741="净世破魔击·日",C741="净世破魔击·月",C741="驱夜断愁"),AB741)</f>
        <v>0</v>
      </c>
      <c r="CQ741" s="115" t="b">
        <f ca="1">OR(CP741,AND(CP740,RAND()&lt;模拟模式!$U$23))</f>
        <v>1</v>
      </c>
      <c r="CR741" s="115" t="b">
        <f ca="1">AND(模拟模式!$S$7="日月齐光",OR(C741="幽月轮1",C741="幽月轮2",C741="幽月轮3",CR740),NOT(OR(C741="赤日轮1",C741="赤日轮2",C741="赤日轮3")))</f>
        <v>0</v>
      </c>
      <c r="CS741" s="115" t="b">
        <f ca="1">AND(模拟模式!$S$7="日月齐光",OR(C741="赤日轮1",C741="赤日轮2",C741="赤日轮3",CS740),NOT(OR(C741="幽月轮1",C741="幽月轮2",C741="幽月轮3")))</f>
        <v>0</v>
      </c>
      <c r="CT741" s="115">
        <f t="shared" ca="1" si="702"/>
        <v>8.7825000000000131</v>
      </c>
      <c r="CU741" s="115" t="b">
        <f ca="1">AND(模拟模式!$K$10="阴阳往极",CT740=0,RAND()&lt;IF(C741="净世破魔击·月",0.0275*7/3,IF(C741="净世破魔击·日",0.0275*3/3,0.0275*2/3)))</f>
        <v>0</v>
      </c>
      <c r="CV741" s="115">
        <f t="shared" ca="1" si="703"/>
        <v>0</v>
      </c>
      <c r="CW741" s="115">
        <f t="shared" ca="1" si="704"/>
        <v>6</v>
      </c>
      <c r="CX741" s="115">
        <f t="shared" ca="1" si="705"/>
        <v>4.1549999999999994</v>
      </c>
      <c r="CY741" s="115">
        <f ca="1">MAX(IF($C741="驱夜断愁",IF(模拟模式!$R$7="万念俱寂",6,45),CY740-$F$4),0)</f>
        <v>5.0774999999999997</v>
      </c>
      <c r="CZ741" s="115">
        <f t="shared" ca="1" si="679"/>
        <v>0</v>
      </c>
      <c r="DA741" s="115">
        <f ca="1">IF(模拟模式!$N$7="日月同辉",IF(DB740=2,0,MIN(6,IF(AND(OR(C741="赤日轮1",C741="赤日轮2",C741="赤日轮3",C741="幽月轮1",C741="幽月轮2",C741="幽月轮3"),AB741=1),DA740+1,DA740))),0)</f>
        <v>4</v>
      </c>
      <c r="DB741" s="115">
        <f t="shared" ca="1" si="680"/>
        <v>0</v>
      </c>
      <c r="DC741" s="115"/>
      <c r="DD741" s="115"/>
      <c r="DE741" s="115"/>
      <c r="DF741" s="115"/>
      <c r="DG741" s="115"/>
      <c r="DH741" s="115"/>
      <c r="DI741" s="115"/>
      <c r="DJ741" s="115"/>
      <c r="DK741" s="115"/>
      <c r="DL741" s="115"/>
      <c r="DM741" s="115"/>
    </row>
    <row r="742" spans="2:117" x14ac:dyDescent="0.2">
      <c r="B742" s="117">
        <f t="shared" si="681"/>
        <v>659.58750000000771</v>
      </c>
      <c r="C742" s="167" t="str">
        <f t="shared" ca="1" si="650"/>
        <v>幽月轮1</v>
      </c>
      <c r="D742" s="115">
        <f ca="1">IF(C742="赤日轮1",1,IF(C742="赤日轮2",2,IF(C742="赤日轮3",3,IF(C742="幽月轮1",4,IF(C742="幽月轮2",5,IF(C742="幽月轮3",6,IF(C742="烈日斩",7,IF(C742="银月斩",8,IF(C742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742="净世破魔击·月",17,IF(C742="驱夜断愁",18,0)))))))))))</f>
        <v>4</v>
      </c>
      <c r="E742" s="115">
        <f ca="1">IF(AND(CU742,OR(C742="幽月轮1",C742="幽月轮2",C742="幽月轮3",C742="银月斩",C742="驱夜断愁",C742="净世破魔击·月")),100,MIN(IF(OR(CN742,BE742),0,IF(OR($C742="赤日轮1",$C742="赤日轮2",$C742="赤日轮3"),E741+20+IF(模拟模式!$I$7="日月凌天",4,0)+IF(CR741,20,0),IF($C742="烈日斩",E741+40,IF($C742="驱夜断愁",IF(模拟模式!$R$7="万念俱寂",E741+20,E741+60),IF($C742="净世破魔击·月",IF(OR(DB741&gt;0,CV741&gt;0),100,IF(模拟模式!$M$7="辉耀红尘",E741+20,E741)),IF($C742="净世破魔击·日",E741-100,E741)))))),100))</f>
        <v>80</v>
      </c>
      <c r="F742" s="115">
        <f ca="1">IF(AND(CU742,OR(C742="赤日轮1",C742="赤日轮2",C742="赤日轮3",C742="烈日斩",C742="净世破魔击·日")),100,MIN(IF(CO742,0,IF(OR($C742="幽月轮1",$C742="幽月轮2",$C742="幽月轮3"),F741+20+IF(模拟模式!$I$7="日月凌天",4,0)+IF(CS741,20,0),IF($C742="银月斩",F741+40+IF(模拟模式!$X$12=1,5,0),IF($C742="驱夜断愁",IF(模拟模式!$R$7="万念俱寂",F741+20,F741+60),IF($C742="净世破魔击·月",IF(模拟模式!$M$7="辉耀红尘",F741-80,F741-100),IF(AND(C742="净世破魔击·日",OR(DB741&gt;0,CV741&gt;0)),100,F741)))))),100))</f>
        <v>100</v>
      </c>
      <c r="G742" s="117">
        <f ca="1">('模拟-全程加成'!$E$3+'模拟-全程加成'!$E$4+'模拟-全程加成'!$E$5+('模拟-全程加成'!$C$6-'模拟-全程加成'!$C$3)*系数!$B$9+BS742*23)*(1+'模拟-全程加成'!$F$4+'模拟-全程加成'!$F$5+BJ742*10%+BM742*20%+BP742*4%+CG742*30%)+$F$7*系数!$B$12</f>
        <v>20583.127400000001</v>
      </c>
      <c r="H742" s="45">
        <f ca="1">'模拟-全程加成'!$H$3+'模拟-全程加成'!$H$4+'模拟-全程加成'!$H$5+('模拟-全程加成'!$G$4+'模拟-全程加成'!$G$5+('模拟-全程加成'!$C$6-'模拟-全程加成'!$C$3)*系数!$B$13)/系数!$B$3+LOOKUP(D742,'模拟-单技能数据'!$A$2:$A$19,'模拟-单技能数据'!$K$2:$K$19)+BG742*10%+IF(BV742&gt;0,378,0)</f>
        <v>0.51185145527300213</v>
      </c>
      <c r="I742" s="45">
        <f ca="1">'模拟-全程加成'!$J$3+'模拟-全程加成'!$J$4+'模拟-全程加成'!$J$5+('模拟-全程加成'!$I$4+'模拟-全程加成'!$I$5)/系数!$B$4+LOOKUP(D742,'模拟-单技能数据'!$A$2:$A$19,'模拟-单技能数据'!$L$2:$L$19)+BG742*10%</f>
        <v>2.162482885499879</v>
      </c>
      <c r="J742" s="45">
        <f ca="1">(('模拟-全程加成'!$K$3+'模拟-全程加成'!$K$4+'模拟-全程加成'!$K$5+('模拟-全程加成'!$C$6-'模拟-全程加成'!$C$3)*系数!$B$10+IF(BV742&gt;0,882,0)+IF(BY742&gt;0,1831,0))*(1+'模拟-全程加成'!$L$4+'模拟-全程加成'!$L$5+CC742*20%))/系数!$B$5</f>
        <v>0.69723220422048726</v>
      </c>
      <c r="K742" s="119">
        <f ca="1">LOOKUP(D742,'模拟-单技能数据'!$A$2:$A$19,'模拟-单技能数据'!$J$2:$J$19)+IF(CM742,60%,0)+IF(DB741-DB742&gt;0,30%,0)+IF(OR(AND(OR(C742="赤日轮1",C742="赤日轮2",C742="赤日轮3"),CR742),AND(OR(C742="幽月轮1",C742="幽月轮2",C742="幽月轮3"),CS742)),35%,0)+CJ742</f>
        <v>0.12000000000000001</v>
      </c>
      <c r="L742" s="119">
        <f ca="1">IF(AND(C742="烈日斩",模拟模式!$X$11=1),10%,0)+IF(AND(C742="驱夜断愁",AB742=1),30%,0)</f>
        <v>0</v>
      </c>
      <c r="M742" s="45">
        <f t="shared" ca="1" si="651"/>
        <v>0.51185145527300213</v>
      </c>
      <c r="N742" s="45">
        <f t="shared" ca="1" si="652"/>
        <v>0.43424854472699792</v>
      </c>
      <c r="O742" s="46">
        <f t="shared" ca="1" si="682"/>
        <v>0.41457311137679742</v>
      </c>
      <c r="P742" s="46" t="str">
        <f t="shared" ca="1" si="653"/>
        <v>会</v>
      </c>
      <c r="Q742" s="45">
        <f t="shared" ca="1" si="654"/>
        <v>2.162482885499879</v>
      </c>
      <c r="R742" s="117">
        <f ca="1">模拟模式!$E$20*(1-IF(模拟模式!$J$19="有",0.15,0))*(1-IF(模拟模式!$K$19="有",0.3,0)-IF(CQ742,0.5,0))</f>
        <v>2950.6049999999996</v>
      </c>
      <c r="S742" s="45">
        <f ca="1">R742/(R742+(185*模拟模式!$E$22-16800)*4.08224)</f>
        <v>0.24272716014590323</v>
      </c>
      <c r="T742" s="45" t="str">
        <f ca="1">LOOKUP(D742,'模拟-单技能数据'!$A$2:$A$19,'模拟-单技能数据'!$H$2:$H$19)</f>
        <v>阴</v>
      </c>
      <c r="U742" s="119">
        <f t="shared" ca="1" si="655"/>
        <v>0.08</v>
      </c>
      <c r="V742" s="47">
        <f ca="1">(1+L742)*(LOOKUP(D742,'模拟-单技能数据'!$A$2:$A$19,'模拟-单技能数据'!$D$2:$D$19)+G742*LOOKUP(D742,'模拟-单技能数据'!$A$2:$A$19,'模拟-单技能数据'!$F$2:$F$19))*(1+J742)*(1+K742)*(1-S742)*(1+U742)*Q742*LOOKUP(D742,'模拟-单技能数据'!$A$2:$A$19,'模拟-单技能数据'!$I$2:$I$20)</f>
        <v>36728.588500300953</v>
      </c>
      <c r="W742" s="47">
        <f ca="1">LOOKUP(D742,'模拟-单技能数据'!$A$2:$A$19,'模拟-单技能数据'!$G$2:$G$19)*$I$10</f>
        <v>361.51064354704795</v>
      </c>
      <c r="X742" s="47">
        <f t="shared" ca="1" si="683"/>
        <v>7620.5875385322679</v>
      </c>
      <c r="Y742" s="47">
        <f t="shared" ca="1" si="656"/>
        <v>44710.686682380263</v>
      </c>
      <c r="Z742" s="49">
        <f t="shared" ca="1" si="657"/>
        <v>74490784.190342665</v>
      </c>
      <c r="AA742" s="97">
        <f t="shared" ca="1" si="658"/>
        <v>112935.40916154686</v>
      </c>
      <c r="AB742" s="115">
        <f ca="1">IF(OR(C742="赤日轮1",C742="赤日轮2",C742="赤日轮3"),IF(RAND()&lt;模拟模式!$Y$17,1,0),IF(OR(C742="幽月轮1",C742="幽月轮2",C742="幽月轮3"),IF(RAND()&lt;模拟模式!$Y$18,1,0),IF(C742="烈日斩",IF(RAND()&lt;模拟模式!$Y$19,1,0),IF(C742="银月斩",IF(RAND()&lt;模拟模式!$Y$20,1,0),IF(C742="驱夜断愁",IF(RAND()&lt;模拟模式!$Y$21,1,0),IF(C742="净世破魔击·日",IF(RAND()&lt;模拟模式!$Y$22,1,0),IF(C742="净世破魔击·月",IF(RAND()&lt;模拟模式!$Y$23,1,0),0)))))))</f>
        <v>1</v>
      </c>
      <c r="AC742" s="115" t="b">
        <f t="shared" ca="1" si="659"/>
        <v>0</v>
      </c>
      <c r="AD742" s="115" t="b">
        <f t="shared" ca="1" si="660"/>
        <v>1</v>
      </c>
      <c r="AE742" s="115">
        <f t="shared" ca="1" si="661"/>
        <v>4</v>
      </c>
      <c r="AF742" s="47">
        <f ca="1">IF(AC742,('模拟-单技能数据'!$D$20+G742*'模拟-单技能数据'!$F$20)*(1+J742)*(1+'模拟-单技能数据'!$J$20)*(1+U742),0)</f>
        <v>0</v>
      </c>
      <c r="AG742" s="61">
        <f t="shared" ca="1" si="662"/>
        <v>0.64185145527300214</v>
      </c>
      <c r="AH742" s="61">
        <f t="shared" ca="1" si="663"/>
        <v>2.2624828854998791</v>
      </c>
      <c r="AI742" s="62">
        <f t="shared" ca="1" si="684"/>
        <v>0.41546136529549516</v>
      </c>
      <c r="AJ742" s="47">
        <f ca="1">IF(AD742,IF(AI742&lt;$F$10,0,IF(AI742&lt;$F$10+$F$11,0.25,IF(AI742&lt;$F$10+$F$11+AG742,AH742,1)))*IF(AF742&gt;0,AF742,IF(AF741&gt;0,AF741,IF(AF740&gt;0,AF740,IF(AF739&gt;0,AF739,IF(AF738&gt;0,AF738,IF(AF737&gt;0,AF737,IF(AF736&gt;0,AF736,IF(AF735&gt;0,AF735,IF(AF734&gt;0,AF734,IF(AF732&gt;0,AF732,IF(AF731&gt;0,AF731,IF(AF730&gt;0,AF730,0)))))))))))),0)*(1-$S742)*'模拟-单技能数据'!$I$20</f>
        <v>7620.5875385322679</v>
      </c>
      <c r="AK742" s="115" t="b">
        <f t="shared" ca="1" si="664"/>
        <v>0</v>
      </c>
      <c r="AL742" s="115" t="b">
        <f t="shared" ca="1" si="665"/>
        <v>0</v>
      </c>
      <c r="AM742" s="115">
        <f t="shared" ca="1" si="666"/>
        <v>3</v>
      </c>
      <c r="AN742" s="47">
        <f ca="1">IF(AK742,('模拟-单技能数据'!$D$21+G742*'模拟-单技能数据'!$F$21)*(1+J742)*(1+'模拟-单技能数据'!$J$21)*(1+U742),0)</f>
        <v>0</v>
      </c>
      <c r="AO742" s="61">
        <f ca="1">IF(AN742&gt;0,M742-'模拟-单技能数据'!$K$10,AO741)</f>
        <v>0.42185145527300216</v>
      </c>
      <c r="AP742" s="61">
        <f ca="1">IF(AN742&gt;0,I742-'模拟-单技能数据'!$L$10,AP741)</f>
        <v>2.162482885499879</v>
      </c>
      <c r="AQ742" s="63">
        <f t="shared" ca="1" si="685"/>
        <v>0.20477758492932308</v>
      </c>
      <c r="AR742" s="64">
        <f ca="1">IF(AL742,IF(AQ742&lt;$F$10,0,IF(AQ742&lt;$F$10+$F$11,0.25,IF(AQ742&lt;$F$10+$F$11+AO742,AP742,1)))*IF(AN742&gt;0,AN742,IF(AN741&gt;0,AN741,IF(AN740&gt;0,AN740,IF(AN739&gt;0,AN739,IF(AN738&gt;0,AN738,IF(AN737&gt;0,AN737,IF(AN736&gt;0,AN736,IF(AN735&gt;0,AN735,IF(AN734&gt;0,AN734,IF(AN732&gt;0,AN732,IF(AN731&gt;0,AN731,IF(AN730&gt;0,AN730,0)))))))))))),0)*(1-$S742)*'模拟-单技能数据'!$I$21</f>
        <v>0</v>
      </c>
      <c r="AS742" s="61">
        <f ca="1">IF(OR(C742="净世破魔击·日",C742="净世破魔击·月"),M742-'模拟-单技能数据'!$K$10,0)</f>
        <v>0</v>
      </c>
      <c r="AT742" s="61">
        <f ca="1">IF(OR(C742="净世破魔击·日",C742="净世破魔击·月"),I742-'模拟-单技能数据'!$L$10,0)</f>
        <v>0</v>
      </c>
      <c r="AU742" s="62">
        <f t="shared" ca="1" si="686"/>
        <v>0.99935363747201067</v>
      </c>
      <c r="AV742" s="64">
        <f ca="1">IF(AS742&gt;0,('模拟-单技能数据'!$D$22+G742*'模拟-单技能数据'!$F$22)*(1+J742)*(1-S742)*IF(AU742&lt;$F$10,0,IF(AU742&lt;$F$10+$F$11,0.25,IF(AU742&lt;$F$10+$F$11+AS742,AT742,1)))*(1+U742),0)*'模拟-单技能数据'!$I$22</f>
        <v>0</v>
      </c>
      <c r="AW742" s="108">
        <f t="shared" ca="1" si="687"/>
        <v>0</v>
      </c>
      <c r="AX742" s="108" t="b">
        <f ca="1">AND(模拟模式!$P$10="有",AW741=0,RAND()&lt;IF(C742="净世破魔击·月",0.1*8/3,IF(C742="净世破魔击·日",0.1*4/3,0.1*2/3)))</f>
        <v>0</v>
      </c>
      <c r="AY742" s="47">
        <f ca="1">IF(AX742,(18+G742*0.722)*(1+J742)*(1-S742)*(1+$I$4)*IF(P742="会",'模拟-全程加成'!$J$3+'模拟-全程加成'!$J$4+'模拟-全程加成'!$J$5+('模拟-全程加成'!$I$4+'模拟-全程加成'!$I$5)/系数!$B$4+BG742*10%,IF(P742="命",1,IF(P742="识",0.25,0))),0)</f>
        <v>0</v>
      </c>
      <c r="AZ742" s="108">
        <f t="shared" si="688"/>
        <v>9.8525000000000063</v>
      </c>
      <c r="BA742" s="108" t="b">
        <f>AND(模拟模式!$Q$10="有",AZ741=0)</f>
        <v>0</v>
      </c>
      <c r="BB742" s="140">
        <f>IF(BA742,(0+G742*0.287)*(1+J742)*(1-S742)*(1+$I$4)*IF(P742="会",'模拟-全程加成'!$J$3+'模拟-全程加成'!$J$4+'模拟-全程加成'!$J$5+('模拟-全程加成'!$I$4+'模拟-全程加成'!$I$5)/系数!$B$4+BG742*10%,IF(P742="命",1,IF(P742="识",0.25,0))),0)</f>
        <v>0</v>
      </c>
      <c r="BC742" s="115" t="b">
        <f ca="1">AND(模拟模式!$R$7="伏明众生",E742=60,F742=20,DA742&lt;5,CZ741&lt;$F$4)</f>
        <v>0</v>
      </c>
      <c r="BD742" s="115">
        <f t="shared" ca="1" si="667"/>
        <v>0</v>
      </c>
      <c r="BE742" s="115" t="b">
        <f t="shared" ca="1" si="668"/>
        <v>0</v>
      </c>
      <c r="BF742" s="47">
        <f ca="1">IF(BC742,4*('模拟-单技能数据'!$D$24+G742*'模拟-单技能数据'!$F$24)*(1+J742)*(1+'模拟-单技能数据'!$J$24)*(1-S742)*(1+$I$3)*(('模拟-全程加成'!$J$3+'模拟-全程加成'!$J$4+'模拟-全程加成'!$J$5+('模拟-全程加成'!$I$4+'模拟-全程加成'!$I$5)/系数!$B$4+BG742*10%)*('模拟-全程加成'!$J$3+'模拟-全程加成'!$J$4+'模拟-全程加成'!$J$5+('模拟-全程加成'!$I$4+'模拟-全程加成'!$I$5)/系数!$B$4+BG742*10%)+(1-('模拟-全程加成'!$J$3+'模拟-全程加成'!$J$4+'模拟-全程加成'!$J$5+('模拟-全程加成'!$I$4+'模拟-全程加成'!$I$5)/系数!$B$4+BG742*10%)-$F$10-$F$11)+F728*0.25),0)*'模拟-单技能数据'!$I$24</f>
        <v>0</v>
      </c>
      <c r="BG742" s="115" t="b">
        <f ca="1">OR(AND(OR(C742="烈日斩",C742="银月斩"),模拟模式!$I$7="净身明礼"),AND(C742="净世破魔击·日",模拟模式!$J$7="洞若观火"),AND(C743="净世破魔击·月",模拟模式!$J$7="洞若观火"),AB742=1)</f>
        <v>1</v>
      </c>
      <c r="BH742" s="115" t="b">
        <f t="shared" ca="1" si="689"/>
        <v>0</v>
      </c>
      <c r="BI742" s="115">
        <f t="shared" ca="1" si="669"/>
        <v>0</v>
      </c>
      <c r="BJ742" s="115" t="b">
        <f t="shared" ca="1" si="670"/>
        <v>0</v>
      </c>
      <c r="BK742" s="115" t="b">
        <f ca="1">AND(C742="驱夜断愁",模拟模式!$P$7="天地诛戮")</f>
        <v>0</v>
      </c>
      <c r="BL742" s="57">
        <f t="shared" ca="1" si="671"/>
        <v>18.155000000000001</v>
      </c>
      <c r="BM742" s="115" t="b">
        <f t="shared" ca="1" si="672"/>
        <v>1</v>
      </c>
      <c r="BN742" s="115" t="b">
        <f ca="1">AND(OR(C742="赤日轮1",C742="赤日轮2",C742="赤日轮3",C742="幽月轮1",C742="幽月轮2",C742="幽月轮3"),AB742=1,模拟模式!$L$7="明光恒照")</f>
        <v>1</v>
      </c>
      <c r="BO742" s="117">
        <f t="shared" ca="1" si="673"/>
        <v>30</v>
      </c>
      <c r="BP742" s="115">
        <f t="shared" ca="1" si="690"/>
        <v>6</v>
      </c>
      <c r="BQ742" s="115" t="b">
        <f>模拟模式!$K$10="2600·水"</f>
        <v>0</v>
      </c>
      <c r="BR742" s="117">
        <f t="shared" si="691"/>
        <v>0</v>
      </c>
      <c r="BS742" s="115">
        <f t="shared" si="692"/>
        <v>0</v>
      </c>
      <c r="BT742" s="115">
        <f t="shared" ca="1" si="693"/>
        <v>0</v>
      </c>
      <c r="BU742" s="115" t="b">
        <f ca="1">AND(模拟模式!$K$10="2300·雷",BT741=0,RAND()&lt;IF(C742="净世破魔击·月",5*0.05*2/3,IF(C742="净世破魔击·日",3*0.05*2/3,0.05*2*2/3)))</f>
        <v>0</v>
      </c>
      <c r="BV742" s="115">
        <f t="shared" ca="1" si="694"/>
        <v>0</v>
      </c>
      <c r="BW742" s="115">
        <f t="shared" ca="1" si="695"/>
        <v>78.524999999999267</v>
      </c>
      <c r="BX742" s="164" t="b">
        <f t="shared" ca="1" si="696"/>
        <v>0</v>
      </c>
      <c r="BY742" s="115">
        <f t="shared" ca="1" si="697"/>
        <v>0</v>
      </c>
      <c r="BZ742" s="115">
        <f>IF(OR(模拟模式!$P$16="10人团",模拟模式!$P$16="25人团"),IF(B742/30&gt;CA741,1,0),0)</f>
        <v>0</v>
      </c>
      <c r="CA742" s="115">
        <f t="shared" si="674"/>
        <v>0</v>
      </c>
      <c r="CB742" s="115">
        <f ca="1">IF(BZ742=1,IF(模拟模式!$P$16="10人团",15,0)+IF(模拟模式!$P$16="25人团",IF(RAND()&lt;0.6,15,0)),MAX(0,CB741-$F$4))</f>
        <v>0</v>
      </c>
      <c r="CC742" s="115" t="b">
        <f t="shared" ca="1" si="675"/>
        <v>0</v>
      </c>
      <c r="CD742" s="115">
        <f>IF(模拟模式!$Q$16="1个",IF(B742/40&gt;CE741,1,0),0)</f>
        <v>0</v>
      </c>
      <c r="CE742" s="115">
        <f t="shared" si="676"/>
        <v>0</v>
      </c>
      <c r="CF742" s="115">
        <f>IF(OR(CD742=1,模拟模式!$Q$16="2个"),20,MAX(0,CF741-$F$4))</f>
        <v>0</v>
      </c>
      <c r="CG742" s="115" t="b">
        <f t="shared" si="677"/>
        <v>0</v>
      </c>
      <c r="CH742" s="115">
        <f t="shared" ca="1" si="698"/>
        <v>22.620000000000005</v>
      </c>
      <c r="CI742" s="115" t="b">
        <f t="shared" ca="1" si="699"/>
        <v>0</v>
      </c>
      <c r="CJ742" s="119">
        <f t="shared" ca="1" si="700"/>
        <v>0.05</v>
      </c>
      <c r="CK742" s="115">
        <f t="shared" ca="1" si="701"/>
        <v>0.61999999999999911</v>
      </c>
      <c r="CL742" s="115" t="b">
        <f ca="1">AND(模拟模式!$S$7="驱夷逐法",OR(AND(C742="净世破魔击·月",E741&gt;59),AND(C742="净世破魔击·日",F741&gt;59)))</f>
        <v>0</v>
      </c>
      <c r="CM742" s="115" t="b">
        <f ca="1">OR(CL742,AND(C742="净世破魔击·日",CL741,RAND()&lt;模拟模式!$U$23))</f>
        <v>0</v>
      </c>
      <c r="CN742" s="115" t="b">
        <f ca="1">IF(模拟模式!$M$7="辉耀红尘",AND(C742="净世破魔击·月",CL742,CV742=0,E741&lt;80),AND(C742="净世破魔击·月",CL742,E741&lt;100))</f>
        <v>0</v>
      </c>
      <c r="CO742" s="115" t="b">
        <f t="shared" ca="1" si="678"/>
        <v>0</v>
      </c>
      <c r="CP742" s="115" t="b">
        <f ca="1">AND(模拟模式!$O$7="用晦而明",OR(C742="净世破魔击·日",C742="净世破魔击·月",C742="驱夜断愁"),AB742)</f>
        <v>0</v>
      </c>
      <c r="CQ742" s="115" t="b">
        <f ca="1">OR(CP742,AND(CP741,RAND()&lt;模拟模式!$U$23))</f>
        <v>0</v>
      </c>
      <c r="CR742" s="115" t="b">
        <f ca="1">AND(模拟模式!$S$7="日月齐光",OR(C742="幽月轮1",C742="幽月轮2",C742="幽月轮3",CR741),NOT(OR(C742="赤日轮1",C742="赤日轮2",C742="赤日轮3")))</f>
        <v>0</v>
      </c>
      <c r="CS742" s="115" t="b">
        <f ca="1">AND(模拟模式!$S$7="日月齐光",OR(C742="赤日轮1",C742="赤日轮2",C742="赤日轮3",CS741),NOT(OR(C742="幽月轮1",C742="幽月轮2",C742="幽月轮3")))</f>
        <v>0</v>
      </c>
      <c r="CT742" s="115">
        <f t="shared" ca="1" si="702"/>
        <v>7.8600000000000128</v>
      </c>
      <c r="CU742" s="115" t="b">
        <f ca="1">AND(模拟模式!$K$10="阴阳往极",CT741=0,RAND()&lt;IF(C742="净世破魔击·月",0.0275*7/3,IF(C742="净世破魔击·日",0.0275*3/3,0.0275*2/3)))</f>
        <v>0</v>
      </c>
      <c r="CV742" s="115">
        <f t="shared" ca="1" si="703"/>
        <v>0</v>
      </c>
      <c r="CW742" s="115">
        <f t="shared" ca="1" si="704"/>
        <v>5.0774999999999997</v>
      </c>
      <c r="CX742" s="115">
        <f t="shared" ca="1" si="705"/>
        <v>3.2324999999999995</v>
      </c>
      <c r="CY742" s="115">
        <f ca="1">MAX(IF($C742="驱夜断愁",IF(模拟模式!$R$7="万念俱寂",6,45),CY741-$F$4),0)</f>
        <v>4.1549999999999994</v>
      </c>
      <c r="CZ742" s="115">
        <f t="shared" ca="1" si="679"/>
        <v>0</v>
      </c>
      <c r="DA742" s="115">
        <f ca="1">IF(模拟模式!$N$7="日月同辉",IF(DB741=2,0,MIN(6,IF(AND(OR(C742="赤日轮1",C742="赤日轮2",C742="赤日轮3",C742="幽月轮1",C742="幽月轮2",C742="幽月轮3"),AB742=1),DA741+1,DA741))),0)</f>
        <v>5</v>
      </c>
      <c r="DB742" s="115">
        <f t="shared" ca="1" si="680"/>
        <v>0</v>
      </c>
      <c r="DC742" s="115"/>
      <c r="DD742" s="115"/>
      <c r="DE742" s="115"/>
      <c r="DF742" s="115"/>
      <c r="DG742" s="115"/>
      <c r="DH742" s="115"/>
      <c r="DI742" s="115"/>
      <c r="DJ742" s="115"/>
      <c r="DK742" s="115"/>
      <c r="DL742" s="115"/>
      <c r="DM742" s="115"/>
    </row>
    <row r="743" spans="2:117" x14ac:dyDescent="0.2">
      <c r="B743" s="117">
        <f t="shared" si="681"/>
        <v>660.51000000000772</v>
      </c>
      <c r="C743" s="167" t="str">
        <f t="shared" ca="1" si="650"/>
        <v>净世破魔击·月</v>
      </c>
      <c r="D743" s="115">
        <f ca="1">IF(C743="赤日轮1",1,IF(C743="赤日轮2",2,IF(C743="赤日轮3",3,IF(C743="幽月轮1",4,IF(C743="幽月轮2",5,IF(C743="幽月轮3",6,IF(C743="烈日斩",7,IF(C743="银月斩",8,IF(C743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743="净世破魔击·月",17,IF(C743="驱夜断愁",18,0)))))))))))</f>
        <v>17</v>
      </c>
      <c r="E743" s="115">
        <f ca="1">IF(AND(CU743,OR(C743="幽月轮1",C743="幽月轮2",C743="幽月轮3",C743="银月斩",C743="驱夜断愁",C743="净世破魔击·月")),100,MIN(IF(OR(CN743,BE743),0,IF(OR($C743="赤日轮1",$C743="赤日轮2",$C743="赤日轮3"),E742+20+IF(模拟模式!$I$7="日月凌天",4,0)+IF(CR742,20,0),IF($C743="烈日斩",E742+40,IF($C743="驱夜断愁",IF(模拟模式!$R$7="万念俱寂",E742+20,E742+60),IF($C743="净世破魔击·月",IF(OR(DB742&gt;0,CV742&gt;0),100,IF(模拟模式!$M$7="辉耀红尘",E742+20,E742)),IF($C743="净世破魔击·日",E742-100,E742)))))),100))</f>
        <v>100</v>
      </c>
      <c r="F743" s="115">
        <f ca="1">IF(AND(CU743,OR(C743="赤日轮1",C743="赤日轮2",C743="赤日轮3",C743="烈日斩",C743="净世破魔击·日")),100,MIN(IF(CO743,0,IF(OR($C743="幽月轮1",$C743="幽月轮2",$C743="幽月轮3"),F742+20+IF(模拟模式!$I$7="日月凌天",4,0)+IF(CS742,20,0),IF($C743="银月斩",F742+40+IF(模拟模式!$X$12=1,5,0),IF($C743="驱夜断愁",IF(模拟模式!$R$7="万念俱寂",F742+20,F742+60),IF($C743="净世破魔击·月",IF(模拟模式!$M$7="辉耀红尘",F742-80,F742-100),IF(AND(C743="净世破魔击·日",OR(DB742&gt;0,CV742&gt;0)),100,F742)))))),100))</f>
        <v>20</v>
      </c>
      <c r="G743" s="117">
        <f ca="1">('模拟-全程加成'!$E$3+'模拟-全程加成'!$E$4+'模拟-全程加成'!$E$5+('模拟-全程加成'!$C$6-'模拟-全程加成'!$C$3)*系数!$B$9+BS743*23)*(1+'模拟-全程加成'!$F$4+'模拟-全程加成'!$F$5+BJ743*10%+BM743*20%+BP743*4%+CG743*30%)+$F$7*系数!$B$12</f>
        <v>21493.829400000002</v>
      </c>
      <c r="H743" s="45">
        <f ca="1">'模拟-全程加成'!$H$3+'模拟-全程加成'!$H$4+'模拟-全程加成'!$H$5+('模拟-全程加成'!$G$4+'模拟-全程加成'!$G$5+('模拟-全程加成'!$C$6-'模拟-全程加成'!$C$3)*系数!$B$13)/系数!$B$3+LOOKUP(D743,'模拟-单技能数据'!$A$2:$A$19,'模拟-单技能数据'!$K$2:$K$19)+BG743*10%+IF(BV743&gt;0,378,0)</f>
        <v>0.54185145527300216</v>
      </c>
      <c r="I743" s="45">
        <f ca="1">'模拟-全程加成'!$J$3+'模拟-全程加成'!$J$4+'模拟-全程加成'!$J$5+('模拟-全程加成'!$I$4+'模拟-全程加成'!$I$5)/系数!$B$4+LOOKUP(D743,'模拟-单技能数据'!$A$2:$A$19,'模拟-单技能数据'!$L$2:$L$19)+BG743*10%</f>
        <v>2.162482885499879</v>
      </c>
      <c r="J743" s="45">
        <f ca="1">(('模拟-全程加成'!$K$3+'模拟-全程加成'!$K$4+'模拟-全程加成'!$K$5+('模拟-全程加成'!$C$6-'模拟-全程加成'!$C$3)*系数!$B$10+IF(BV743&gt;0,882,0)+IF(BY743&gt;0,1831,0))*(1+'模拟-全程加成'!$L$4+'模拟-全程加成'!$L$5+CC743*20%))/系数!$B$5</f>
        <v>0.69723220422048726</v>
      </c>
      <c r="K743" s="119">
        <f ca="1">LOOKUP(D743,'模拟-单技能数据'!$A$2:$A$19,'模拟-单技能数据'!$J$2:$J$19)+IF(CM743,60%,0)+IF(DB742-DB743&gt;0,30%,0)+IF(OR(AND(OR(C743="赤日轮1",C743="赤日轮2",C743="赤日轮3"),CR743),AND(OR(C743="幽月轮1",C743="幽月轮2",C743="幽月轮3"),CS743)),35%,0)+CJ743</f>
        <v>0.8</v>
      </c>
      <c r="L743" s="119">
        <f ca="1">IF(AND(C743="烈日斩",模拟模式!$X$11=1),10%,0)+IF(AND(C743="驱夜断愁",AB743=1),30%,0)</f>
        <v>0</v>
      </c>
      <c r="M743" s="45">
        <f t="shared" ca="1" si="651"/>
        <v>0.54185145527300216</v>
      </c>
      <c r="N743" s="45">
        <f t="shared" ca="1" si="652"/>
        <v>0.40424854472699789</v>
      </c>
      <c r="O743" s="46">
        <f t="shared" ca="1" si="682"/>
        <v>0.21904517375032928</v>
      </c>
      <c r="P743" s="46" t="str">
        <f t="shared" ca="1" si="653"/>
        <v>会</v>
      </c>
      <c r="Q743" s="45">
        <f t="shared" ca="1" si="654"/>
        <v>2.162482885499879</v>
      </c>
      <c r="R743" s="117">
        <f ca="1">模拟模式!$E$20*(1-IF(模拟模式!$J$19="有",0.15,0))*(1-IF(模拟模式!$K$19="有",0.3,0)-IF(CQ743,0.5,0))</f>
        <v>843.02999999999975</v>
      </c>
      <c r="S743" s="45">
        <f ca="1">R743/(R743+(185*模拟模式!$E$22-16800)*4.08224)</f>
        <v>8.389626085980037E-2</v>
      </c>
      <c r="T743" s="45" t="str">
        <f ca="1">LOOKUP(D743,'模拟-单技能数据'!$A$2:$A$19,'模拟-单技能数据'!$H$2:$H$19)</f>
        <v>阴</v>
      </c>
      <c r="U743" s="119">
        <f t="shared" ca="1" si="655"/>
        <v>0.08</v>
      </c>
      <c r="V743" s="47">
        <f ca="1">(1+L743)*(LOOKUP(D743,'模拟-单技能数据'!$A$2:$A$19,'模拟-单技能数据'!$D$2:$D$19)+G743*LOOKUP(D743,'模拟-单技能数据'!$A$2:$A$19,'模拟-单技能数据'!$F$2:$F$19))*(1+J743)*(1+K743)*(1-S743)*(1+U743)*Q743*LOOKUP(D743,'模拟-单技能数据'!$A$2:$A$19,'模拟-单技能数据'!$I$2:$I$20)</f>
        <v>182541.2211190153</v>
      </c>
      <c r="W743" s="47">
        <f ca="1">LOOKUP(D743,'模拟-单技能数据'!$A$2:$A$19,'模拟-单技能数据'!$G$2:$G$19)*$I$10</f>
        <v>361.51064354704795</v>
      </c>
      <c r="X743" s="47">
        <f t="shared" ca="1" si="683"/>
        <v>19074.564266128786</v>
      </c>
      <c r="Y743" s="47">
        <f t="shared" ca="1" si="656"/>
        <v>201977.29602869114</v>
      </c>
      <c r="Z743" s="49">
        <f t="shared" ca="1" si="657"/>
        <v>74692761.486371353</v>
      </c>
      <c r="AA743" s="97">
        <f t="shared" ca="1" si="658"/>
        <v>113083.4680570627</v>
      </c>
      <c r="AB743" s="115">
        <f ca="1">IF(OR(C743="赤日轮1",C743="赤日轮2",C743="赤日轮3"),IF(RAND()&lt;模拟模式!$Y$17,1,0),IF(OR(C743="幽月轮1",C743="幽月轮2",C743="幽月轮3"),IF(RAND()&lt;模拟模式!$Y$18,1,0),IF(C743="烈日斩",IF(RAND()&lt;模拟模式!$Y$19,1,0),IF(C743="银月斩",IF(RAND()&lt;模拟模式!$Y$20,1,0),IF(C743="驱夜断愁",IF(RAND()&lt;模拟模式!$Y$21,1,0),IF(C743="净世破魔击·日",IF(RAND()&lt;模拟模式!$Y$22,1,0),IF(C743="净世破魔击·月",IF(RAND()&lt;模拟模式!$Y$23,1,0),0)))))))</f>
        <v>1</v>
      </c>
      <c r="AC743" s="115" t="b">
        <f t="shared" ca="1" si="659"/>
        <v>0</v>
      </c>
      <c r="AD743" s="115" t="b">
        <f t="shared" ca="1" si="660"/>
        <v>0</v>
      </c>
      <c r="AE743" s="115">
        <f t="shared" ca="1" si="661"/>
        <v>4</v>
      </c>
      <c r="AF743" s="47">
        <f ca="1">IF(AC743,('模拟-单技能数据'!$D$20+G743*'模拟-单技能数据'!$F$20)*(1+J743)*(1+'模拟-单技能数据'!$J$20)*(1+U743),0)</f>
        <v>0</v>
      </c>
      <c r="AG743" s="61">
        <f t="shared" ca="1" si="662"/>
        <v>0.64185145527300214</v>
      </c>
      <c r="AH743" s="61">
        <f t="shared" ca="1" si="663"/>
        <v>2.2624828854998791</v>
      </c>
      <c r="AI743" s="62">
        <f t="shared" ca="1" si="684"/>
        <v>0.47850626829491205</v>
      </c>
      <c r="AJ743" s="47">
        <f ca="1">IF(AD743,IF(AI743&lt;$F$10,0,IF(AI743&lt;$F$10+$F$11,0.25,IF(AI743&lt;$F$10+$F$11+AG743,AH743,1)))*IF(AF743&gt;0,AF743,IF(AF742&gt;0,AF742,IF(AF741&gt;0,AF741,IF(AF740&gt;0,AF740,IF(AF739&gt;0,AF739,IF(AF738&gt;0,AF738,IF(AF737&gt;0,AF737,IF(AF736&gt;0,AF736,IF(AF735&gt;0,AF735,IF(AF733&gt;0,AF733,IF(AF732&gt;0,AF732,IF(AF731&gt;0,AF731,0)))))))))))),0)*(1-$S743)*'模拟-单技能数据'!$I$20</f>
        <v>0</v>
      </c>
      <c r="AK743" s="115" t="b">
        <f t="shared" ca="1" si="664"/>
        <v>0</v>
      </c>
      <c r="AL743" s="115" t="b">
        <f t="shared" ca="1" si="665"/>
        <v>1</v>
      </c>
      <c r="AM743" s="115">
        <f t="shared" ca="1" si="666"/>
        <v>2</v>
      </c>
      <c r="AN743" s="47">
        <f ca="1">IF(AK743,('模拟-单技能数据'!$D$21+G743*'模拟-单技能数据'!$F$21)*(1+J743)*(1+'模拟-单技能数据'!$J$21)*(1+U743),0)</f>
        <v>0</v>
      </c>
      <c r="AO743" s="61">
        <f ca="1">IF(AN743&gt;0,M743-'模拟-单技能数据'!$K$10,AO742)</f>
        <v>0.42185145527300216</v>
      </c>
      <c r="AP743" s="61">
        <f ca="1">IF(AN743&gt;0,I743-'模拟-单技能数据'!$L$10,AP742)</f>
        <v>2.162482885499879</v>
      </c>
      <c r="AQ743" s="63">
        <f t="shared" ca="1" si="685"/>
        <v>0.6503156086731211</v>
      </c>
      <c r="AR743" s="64">
        <f ca="1">IF(AL743,IF(AQ743&lt;$F$10,0,IF(AQ743&lt;$F$10+$F$11,0.25,IF(AQ743&lt;$F$10+$F$11+AO743,AP743,1)))*IF(AN743&gt;0,AN743,IF(AN742&gt;0,AN742,IF(AN741&gt;0,AN741,IF(AN740&gt;0,AN740,IF(AN739&gt;0,AN739,IF(AN738&gt;0,AN738,IF(AN737&gt;0,AN737,IF(AN736&gt;0,AN736,IF(AN735&gt;0,AN735,IF(AN733&gt;0,AN733,IF(AN732&gt;0,AN732,IF(AN731&gt;0,AN731,0)))))))))))),0)*(1-$S743)*'模拟-单技能数据'!$I$21</f>
        <v>11118.353508757338</v>
      </c>
      <c r="AS743" s="61">
        <f ca="1">IF(OR(C743="净世破魔击·日",C743="净世破魔击·月"),M743-'模拟-单技能数据'!$K$10,0)</f>
        <v>0.42185145527300216</v>
      </c>
      <c r="AT743" s="61">
        <f ca="1">IF(OR(C743="净世破魔击·日",C743="净世破魔击·月"),I743-'模拟-单技能数据'!$L$10,0)</f>
        <v>2.162482885499879</v>
      </c>
      <c r="AU743" s="62">
        <f t="shared" ca="1" si="686"/>
        <v>0.73832235137722435</v>
      </c>
      <c r="AV743" s="64">
        <f ca="1">IF(AS743&gt;0,('模拟-单技能数据'!$D$22+G743*'模拟-单技能数据'!$F$22)*(1+J743)*(1-S743)*IF(AU743&lt;$F$10,0,IF(AU743&lt;$F$10+$F$11,0.25,IF(AU743&lt;$F$10+$F$11+AS743,AT743,1)))*(1+U743),0)*'模拟-单技能数据'!$I$22</f>
        <v>7956.2107573714466</v>
      </c>
      <c r="AW743" s="108">
        <f t="shared" ca="1" si="687"/>
        <v>0</v>
      </c>
      <c r="AX743" s="108" t="b">
        <f ca="1">AND(模拟模式!$P$10="有",AW742=0,RAND()&lt;IF(C743="净世破魔击·月",0.1*8/3,IF(C743="净世破魔击·日",0.1*4/3,0.1*2/3)))</f>
        <v>0</v>
      </c>
      <c r="AY743" s="47">
        <f ca="1">IF(AX743,(18+G743*0.722)*(1+J743)*(1-S743)*(1+$I$4)*IF(P743="会",'模拟-全程加成'!$J$3+'模拟-全程加成'!$J$4+'模拟-全程加成'!$J$5+('模拟-全程加成'!$I$4+'模拟-全程加成'!$I$5)/系数!$B$4+BG743*10%,IF(P743="命",1,IF(P743="识",0.25,0))),0)</f>
        <v>0</v>
      </c>
      <c r="AZ743" s="108">
        <f t="shared" si="688"/>
        <v>8.9300000000000068</v>
      </c>
      <c r="BA743" s="108" t="b">
        <f>AND(模拟模式!$Q$10="有",AZ742=0)</f>
        <v>0</v>
      </c>
      <c r="BB743" s="140">
        <f>IF(BA743,(0+G743*0.287)*(1+J743)*(1-S743)*(1+$I$4)*IF(P743="会",'模拟-全程加成'!$J$3+'模拟-全程加成'!$J$4+'模拟-全程加成'!$J$5+('模拟-全程加成'!$I$4+'模拟-全程加成'!$I$5)/系数!$B$4+BG743*10%,IF(P743="命",1,IF(P743="识",0.25,0))),0)</f>
        <v>0</v>
      </c>
      <c r="BC743" s="115" t="b">
        <f ca="1">AND(模拟模式!$R$7="伏明众生",E743=60,F743=20,DA743&lt;5,CZ742&lt;$F$4)</f>
        <v>0</v>
      </c>
      <c r="BD743" s="115">
        <f t="shared" ca="1" si="667"/>
        <v>0</v>
      </c>
      <c r="BE743" s="115" t="b">
        <f t="shared" ca="1" si="668"/>
        <v>0</v>
      </c>
      <c r="BF743" s="47">
        <f ca="1">IF(BC743,4*('模拟-单技能数据'!$D$24+G743*'模拟-单技能数据'!$F$24)*(1+J743)*(1+'模拟-单技能数据'!$J$24)*(1-S743)*(1+$I$3)*(('模拟-全程加成'!$J$3+'模拟-全程加成'!$J$4+'模拟-全程加成'!$J$5+('模拟-全程加成'!$I$4+'模拟-全程加成'!$I$5)/系数!$B$4+BG743*10%)*('模拟-全程加成'!$J$3+'模拟-全程加成'!$J$4+'模拟-全程加成'!$J$5+('模拟-全程加成'!$I$4+'模拟-全程加成'!$I$5)/系数!$B$4+BG743*10%)+(1-('模拟-全程加成'!$J$3+'模拟-全程加成'!$J$4+'模拟-全程加成'!$J$5+('模拟-全程加成'!$I$4+'模拟-全程加成'!$I$5)/系数!$B$4+BG743*10%)-$F$10-$F$11)+F729*0.25),0)*'模拟-单技能数据'!$I$24</f>
        <v>0</v>
      </c>
      <c r="BG743" s="115" t="b">
        <f ca="1">OR(AND(OR(C743="烈日斩",C743="银月斩"),模拟模式!$I$7="净身明礼"),AND(C743="净世破魔击·日",模拟模式!$J$7="洞若观火"),AND(C744="净世破魔击·月",模拟模式!$J$7="洞若观火"),AB743=1)</f>
        <v>1</v>
      </c>
      <c r="BH743" s="115" t="b">
        <f t="shared" ca="1" si="689"/>
        <v>1</v>
      </c>
      <c r="BI743" s="115">
        <f t="shared" ca="1" si="669"/>
        <v>6</v>
      </c>
      <c r="BJ743" s="115" t="b">
        <f t="shared" ca="1" si="670"/>
        <v>1</v>
      </c>
      <c r="BK743" s="115" t="b">
        <f ca="1">AND(C743="驱夜断愁",模拟模式!$P$7="天地诛戮")</f>
        <v>0</v>
      </c>
      <c r="BL743" s="57">
        <f t="shared" ca="1" si="671"/>
        <v>17.232500000000002</v>
      </c>
      <c r="BM743" s="115" t="b">
        <f t="shared" ca="1" si="672"/>
        <v>1</v>
      </c>
      <c r="BN743" s="115" t="b">
        <f ca="1">AND(OR(C743="赤日轮1",C743="赤日轮2",C743="赤日轮3",C743="幽月轮1",C743="幽月轮2",C743="幽月轮3"),AB743=1,模拟模式!$L$7="明光恒照")</f>
        <v>0</v>
      </c>
      <c r="BO743" s="117">
        <f t="shared" ca="1" si="673"/>
        <v>29.077500000000001</v>
      </c>
      <c r="BP743" s="115">
        <f t="shared" ca="1" si="690"/>
        <v>6</v>
      </c>
      <c r="BQ743" s="115" t="b">
        <f>模拟模式!$K$10="2600·水"</f>
        <v>0</v>
      </c>
      <c r="BR743" s="117">
        <f t="shared" si="691"/>
        <v>0</v>
      </c>
      <c r="BS743" s="115">
        <f t="shared" si="692"/>
        <v>0</v>
      </c>
      <c r="BT743" s="115">
        <f t="shared" ca="1" si="693"/>
        <v>0</v>
      </c>
      <c r="BU743" s="115" t="b">
        <f ca="1">AND(模拟模式!$K$10="2300·雷",BT742=0,RAND()&lt;IF(C743="净世破魔击·月",5*0.05*2/3,IF(C743="净世破魔击·日",3*0.05*2/3,0.05*2*2/3)))</f>
        <v>0</v>
      </c>
      <c r="BV743" s="115">
        <f t="shared" ca="1" si="694"/>
        <v>0</v>
      </c>
      <c r="BW743" s="115">
        <f t="shared" ca="1" si="695"/>
        <v>77.602499999999267</v>
      </c>
      <c r="BX743" s="164" t="b">
        <f t="shared" ca="1" si="696"/>
        <v>0</v>
      </c>
      <c r="BY743" s="115">
        <f t="shared" ca="1" si="697"/>
        <v>0</v>
      </c>
      <c r="BZ743" s="115">
        <f>IF(OR(模拟模式!$P$16="10人团",模拟模式!$P$16="25人团"),IF(B743/30&gt;CA742,1,0),0)</f>
        <v>0</v>
      </c>
      <c r="CA743" s="115">
        <f t="shared" si="674"/>
        <v>0</v>
      </c>
      <c r="CB743" s="115">
        <f ca="1">IF(BZ743=1,IF(模拟模式!$P$16="10人团",15,0)+IF(模拟模式!$P$16="25人团",IF(RAND()&lt;0.6,15,0)),MAX(0,CB742-$F$4))</f>
        <v>0</v>
      </c>
      <c r="CC743" s="115" t="b">
        <f t="shared" ca="1" si="675"/>
        <v>0</v>
      </c>
      <c r="CD743" s="115">
        <f>IF(模拟模式!$Q$16="1个",IF(B743/40&gt;CE742,1,0),0)</f>
        <v>0</v>
      </c>
      <c r="CE743" s="115">
        <f t="shared" si="676"/>
        <v>0</v>
      </c>
      <c r="CF743" s="115">
        <f>IF(OR(CD743=1,模拟模式!$Q$16="2个"),20,MAX(0,CF742-$F$4))</f>
        <v>0</v>
      </c>
      <c r="CG743" s="115" t="b">
        <f t="shared" si="677"/>
        <v>0</v>
      </c>
      <c r="CH743" s="115">
        <f t="shared" ca="1" si="698"/>
        <v>21.697500000000005</v>
      </c>
      <c r="CI743" s="115" t="b">
        <f t="shared" ca="1" si="699"/>
        <v>0</v>
      </c>
      <c r="CJ743" s="119">
        <f t="shared" ca="1" si="700"/>
        <v>0</v>
      </c>
      <c r="CK743" s="115">
        <f t="shared" ca="1" si="701"/>
        <v>0</v>
      </c>
      <c r="CL743" s="115" t="b">
        <f ca="1">AND(模拟模式!$S$7="驱夷逐法",OR(AND(C743="净世破魔击·月",E742&gt;59),AND(C743="净世破魔击·日",F742&gt;59)))</f>
        <v>1</v>
      </c>
      <c r="CM743" s="115" t="b">
        <f ca="1">OR(CL743,AND(C743="净世破魔击·日",CL742,RAND()&lt;模拟模式!$U$23))</f>
        <v>1</v>
      </c>
      <c r="CN743" s="115" t="b">
        <f ca="1">IF(模拟模式!$M$7="辉耀红尘",AND(C743="净世破魔击·月",CL743,CV743=0,E742&lt;80),AND(C743="净世破魔击·月",CL743,E742&lt;100))</f>
        <v>0</v>
      </c>
      <c r="CO743" s="115" t="b">
        <f t="shared" ca="1" si="678"/>
        <v>0</v>
      </c>
      <c r="CP743" s="115" t="b">
        <f ca="1">AND(模拟模式!$O$7="用晦而明",OR(C743="净世破魔击·日",C743="净世破魔击·月",C743="驱夜断愁"),AB743)</f>
        <v>1</v>
      </c>
      <c r="CQ743" s="115" t="b">
        <f ca="1">OR(CP743,AND(CP742,RAND()&lt;模拟模式!$U$23))</f>
        <v>1</v>
      </c>
      <c r="CR743" s="115" t="b">
        <f ca="1">AND(模拟模式!$S$7="日月齐光",OR(C743="幽月轮1",C743="幽月轮2",C743="幽月轮3",CR742),NOT(OR(C743="赤日轮1",C743="赤日轮2",C743="赤日轮3")))</f>
        <v>0</v>
      </c>
      <c r="CS743" s="115" t="b">
        <f ca="1">AND(模拟模式!$S$7="日月齐光",OR(C743="赤日轮1",C743="赤日轮2",C743="赤日轮3",CS742),NOT(OR(C743="幽月轮1",C743="幽月轮2",C743="幽月轮3")))</f>
        <v>0</v>
      </c>
      <c r="CT743" s="115">
        <f t="shared" ca="1" si="702"/>
        <v>6.9375000000000124</v>
      </c>
      <c r="CU743" s="115" t="b">
        <f ca="1">AND(模拟模式!$K$10="阴阳往极",CT742=0,RAND()&lt;IF(C743="净世破魔击·月",0.0275*7/3,IF(C743="净世破魔击·日",0.0275*3/3,0.0275*2/3)))</f>
        <v>0</v>
      </c>
      <c r="CV743" s="115">
        <f t="shared" ca="1" si="703"/>
        <v>0</v>
      </c>
      <c r="CW743" s="115">
        <f t="shared" ca="1" si="704"/>
        <v>4.1549999999999994</v>
      </c>
      <c r="CX743" s="115">
        <f t="shared" ca="1" si="705"/>
        <v>2.3099999999999996</v>
      </c>
      <c r="CY743" s="115">
        <f ca="1">MAX(IF($C743="驱夜断愁",IF(模拟模式!$R$7="万念俱寂",6,45),CY742-$F$4),0)</f>
        <v>3.2324999999999995</v>
      </c>
      <c r="CZ743" s="115">
        <f t="shared" ca="1" si="679"/>
        <v>0</v>
      </c>
      <c r="DA743" s="115">
        <f ca="1">IF(模拟模式!$N$7="日月同辉",IF(DB742=2,0,MIN(6,IF(AND(OR(C743="赤日轮1",C743="赤日轮2",C743="赤日轮3",C743="幽月轮1",C743="幽月轮2",C743="幽月轮3"),AB743=1),DA742+1,DA742))),0)</f>
        <v>5</v>
      </c>
      <c r="DB743" s="115">
        <f t="shared" ca="1" si="680"/>
        <v>0</v>
      </c>
      <c r="DC743" s="115"/>
      <c r="DD743" s="115"/>
      <c r="DE743" s="115"/>
      <c r="DF743" s="115"/>
      <c r="DG743" s="115"/>
      <c r="DH743" s="115"/>
      <c r="DI743" s="115"/>
      <c r="DJ743" s="115"/>
      <c r="DK743" s="115"/>
      <c r="DL743" s="115"/>
      <c r="DM743" s="115"/>
    </row>
    <row r="744" spans="2:117" x14ac:dyDescent="0.2">
      <c r="B744" s="117">
        <f t="shared" si="681"/>
        <v>661.43250000000774</v>
      </c>
      <c r="C744" s="167" t="str">
        <f t="shared" ca="1" si="650"/>
        <v>净世破魔击·日</v>
      </c>
      <c r="D744" s="115">
        <f ca="1">IF(C744="赤日轮1",1,IF(C744="赤日轮2",2,IF(C744="赤日轮3",3,IF(C744="幽月轮1",4,IF(C744="幽月轮2",5,IF(C744="幽月轮3",6,IF(C744="烈日斩",7,IF(C744="银月斩",8,IF(C744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744="净世破魔击·月",17,IF(C744="驱夜断愁",18,0)))))))))))</f>
        <v>9</v>
      </c>
      <c r="E744" s="115">
        <f ca="1">IF(AND(CU744,OR(C744="幽月轮1",C744="幽月轮2",C744="幽月轮3",C744="银月斩",C744="驱夜断愁",C744="净世破魔击·月")),100,MIN(IF(OR(CN744,BE744),0,IF(OR($C744="赤日轮1",$C744="赤日轮2",$C744="赤日轮3"),E743+20+IF(模拟模式!$I$7="日月凌天",4,0)+IF(CR743,20,0),IF($C744="烈日斩",E743+40,IF($C744="驱夜断愁",IF(模拟模式!$R$7="万念俱寂",E743+20,E743+60),IF($C744="净世破魔击·月",IF(OR(DB743&gt;0,CV743&gt;0),100,IF(模拟模式!$M$7="辉耀红尘",E743+20,E743)),IF($C744="净世破魔击·日",E743-100,E743)))))),100))</f>
        <v>0</v>
      </c>
      <c r="F744" s="115">
        <f ca="1">IF(AND(CU744,OR(C744="赤日轮1",C744="赤日轮2",C744="赤日轮3",C744="烈日斩",C744="净世破魔击·日")),100,MIN(IF(CO744,0,IF(OR($C744="幽月轮1",$C744="幽月轮2",$C744="幽月轮3"),F743+20+IF(模拟模式!$I$7="日月凌天",4,0)+IF(CS743,20,0),IF($C744="银月斩",F743+40+IF(模拟模式!$X$12=1,5,0),IF($C744="驱夜断愁",IF(模拟模式!$R$7="万念俱寂",F743+20,F743+60),IF($C744="净世破魔击·月",IF(模拟模式!$M$7="辉耀红尘",F743-80,F743-100),IF(AND(C744="净世破魔击·日",OR(DB743&gt;0,CV743&gt;0)),100,F743)))))),100))</f>
        <v>20</v>
      </c>
      <c r="G744" s="117">
        <f ca="1">('模拟-全程加成'!$E$3+'模拟-全程加成'!$E$4+'模拟-全程加成'!$E$5+('模拟-全程加成'!$C$6-'模拟-全程加成'!$C$3)*系数!$B$9+BS744*23)*(1+'模拟-全程加成'!$F$4+'模拟-全程加成'!$F$5+BJ744*10%+BM744*20%+BP744*4%+CG744*30%)+$F$7*系数!$B$12</f>
        <v>21493.829400000002</v>
      </c>
      <c r="H744" s="45">
        <f ca="1">'模拟-全程加成'!$H$3+'模拟-全程加成'!$H$4+'模拟-全程加成'!$H$5+('模拟-全程加成'!$G$4+'模拟-全程加成'!$G$5+('模拟-全程加成'!$C$6-'模拟-全程加成'!$C$3)*系数!$B$13)/系数!$B$3+LOOKUP(D744,'模拟-单技能数据'!$A$2:$A$19,'模拟-单技能数据'!$K$2:$K$19)+BG744*10%+IF(BV744&gt;0,378,0)</f>
        <v>0.54185145527300216</v>
      </c>
      <c r="I744" s="45">
        <f ca="1">'模拟-全程加成'!$J$3+'模拟-全程加成'!$J$4+'模拟-全程加成'!$J$5+('模拟-全程加成'!$I$4+'模拟-全程加成'!$I$5)/系数!$B$4+LOOKUP(D744,'模拟-单技能数据'!$A$2:$A$19,'模拟-单技能数据'!$L$2:$L$19)+BG744*10%</f>
        <v>2.162482885499879</v>
      </c>
      <c r="J744" s="45">
        <f ca="1">(('模拟-全程加成'!$K$3+'模拟-全程加成'!$K$4+'模拟-全程加成'!$K$5+('模拟-全程加成'!$C$6-'模拟-全程加成'!$C$3)*系数!$B$10+IF(BV744&gt;0,882,0)+IF(BY744&gt;0,1831,0))*(1+'模拟-全程加成'!$L$4+'模拟-全程加成'!$L$5+CC744*20%))/系数!$B$5</f>
        <v>0.69723220422048726</v>
      </c>
      <c r="K744" s="119">
        <f ca="1">LOOKUP(D744,'模拟-单技能数据'!$A$2:$A$19,'模拟-单技能数据'!$J$2:$J$19)+IF(CM744,60%,0)+IF(DB743-DB744&gt;0,30%,0)+IF(OR(AND(OR(C744="赤日轮1",C744="赤日轮2",C744="赤日轮3"),CR744),AND(OR(C744="幽月轮1",C744="幽月轮2",C744="幽月轮3"),CS744)),35%,0)+CJ744</f>
        <v>0.8</v>
      </c>
      <c r="L744" s="119">
        <f ca="1">IF(AND(C744="烈日斩",模拟模式!$X$11=1),10%,0)+IF(AND(C744="驱夜断愁",AB744=1),30%,0)</f>
        <v>0</v>
      </c>
      <c r="M744" s="45">
        <f t="shared" ca="1" si="651"/>
        <v>0.54185145527300216</v>
      </c>
      <c r="N744" s="45">
        <f t="shared" ca="1" si="652"/>
        <v>0.40424854472699789</v>
      </c>
      <c r="O744" s="46">
        <f t="shared" ca="1" si="682"/>
        <v>0.25778248965859352</v>
      </c>
      <c r="P744" s="46" t="str">
        <f t="shared" ca="1" si="653"/>
        <v>会</v>
      </c>
      <c r="Q744" s="45">
        <f t="shared" ca="1" si="654"/>
        <v>2.162482885499879</v>
      </c>
      <c r="R744" s="117">
        <f ca="1">模拟模式!$E$20*(1-IF(模拟模式!$J$19="有",0.15,0))*(1-IF(模拟模式!$K$19="有",0.3,0)-IF(CQ744,0.5,0))</f>
        <v>843.02999999999975</v>
      </c>
      <c r="S744" s="45">
        <f ca="1">R744/(R744+(185*模拟模式!$E$22-16800)*4.08224)</f>
        <v>8.389626085980037E-2</v>
      </c>
      <c r="T744" s="45" t="str">
        <f ca="1">LOOKUP(D744,'模拟-单技能数据'!$A$2:$A$19,'模拟-单技能数据'!$H$2:$H$19)</f>
        <v>阳</v>
      </c>
      <c r="U744" s="119">
        <f t="shared" ca="1" si="655"/>
        <v>0.2</v>
      </c>
      <c r="V744" s="47">
        <f ca="1">(1+L744)*(LOOKUP(D744,'模拟-单技能数据'!$A$2:$A$19,'模拟-单技能数据'!$D$2:$D$19)+G744*LOOKUP(D744,'模拟-单技能数据'!$A$2:$A$19,'模拟-单技能数据'!$F$2:$F$19))*(1+J744)*(1+K744)*(1-S744)*(1+U744)*Q744*LOOKUP(D744,'模拟-单技能数据'!$A$2:$A$19,'模拟-单技能数据'!$I$2:$I$20)</f>
        <v>204517.60843249681</v>
      </c>
      <c r="W744" s="47">
        <f ca="1">LOOKUP(D744,'模拟-单技能数据'!$A$2:$A$19,'模拟-单技能数据'!$G$2:$G$19)*$I$10</f>
        <v>723.0212870940959</v>
      </c>
      <c r="X744" s="47">
        <f t="shared" ca="1" si="683"/>
        <v>28335.789645566143</v>
      </c>
      <c r="Y744" s="47">
        <f t="shared" ca="1" si="656"/>
        <v>233576.41936515705</v>
      </c>
      <c r="Z744" s="49">
        <f t="shared" ca="1" si="657"/>
        <v>74926337.905736506</v>
      </c>
      <c r="AA744" s="97">
        <f t="shared" ca="1" si="658"/>
        <v>113278.88772586112</v>
      </c>
      <c r="AB744" s="115">
        <f ca="1">IF(OR(C744="赤日轮1",C744="赤日轮2",C744="赤日轮3"),IF(RAND()&lt;模拟模式!$Y$17,1,0),IF(OR(C744="幽月轮1",C744="幽月轮2",C744="幽月轮3"),IF(RAND()&lt;模拟模式!$Y$18,1,0),IF(C744="烈日斩",IF(RAND()&lt;模拟模式!$Y$19,1,0),IF(C744="银月斩",IF(RAND()&lt;模拟模式!$Y$20,1,0),IF(C744="驱夜断愁",IF(RAND()&lt;模拟模式!$Y$21,1,0),IF(C744="净世破魔击·日",IF(RAND()&lt;模拟模式!$Y$22,1,0),IF(C744="净世破魔击·月",IF(RAND()&lt;模拟模式!$Y$23,1,0),0)))))))</f>
        <v>1</v>
      </c>
      <c r="AC744" s="115" t="b">
        <f t="shared" ca="1" si="659"/>
        <v>0</v>
      </c>
      <c r="AD744" s="115" t="b">
        <f t="shared" ca="1" si="660"/>
        <v>1</v>
      </c>
      <c r="AE744" s="115">
        <f t="shared" ca="1" si="661"/>
        <v>3</v>
      </c>
      <c r="AF744" s="47">
        <f ca="1">IF(AC744,('模拟-单技能数据'!$D$20+G744*'模拟-单技能数据'!$F$20)*(1+J744)*(1+'模拟-单技能数据'!$J$20)*(1+U744),0)</f>
        <v>0</v>
      </c>
      <c r="AG744" s="61">
        <f t="shared" ca="1" si="662"/>
        <v>0.64185145527300214</v>
      </c>
      <c r="AH744" s="61">
        <f t="shared" ca="1" si="663"/>
        <v>2.2624828854998791</v>
      </c>
      <c r="AI744" s="62">
        <f t="shared" ca="1" si="684"/>
        <v>0.6556798241309032</v>
      </c>
      <c r="AJ744" s="47">
        <f ca="1">IF(AD744,IF(AI744&lt;$F$10,0,IF(AI744&lt;$F$10+$F$11,0.25,IF(AI744&lt;$F$10+$F$11+AG744,AH744,1)))*IF(AF744&gt;0,AF744,IF(AF743&gt;0,AF743,IF(AF742&gt;0,AF742,IF(AF741&gt;0,AF741,IF(AF740&gt;0,AF740,IF(AF739&gt;0,AF739,IF(AF738&gt;0,AF738,IF(AF737&gt;0,AF737,IF(AF736&gt;0,AF736,IF(AF734&gt;0,AF734,IF(AF733&gt;0,AF733,IF(AF732&gt;0,AF732,0)))))))))))),0)*(1-$S744)*'模拟-单技能数据'!$I$20</f>
        <v>9218.9345386263849</v>
      </c>
      <c r="AK744" s="115" t="b">
        <f t="shared" ca="1" si="664"/>
        <v>1</v>
      </c>
      <c r="AL744" s="115" t="b">
        <f t="shared" ca="1" si="665"/>
        <v>0</v>
      </c>
      <c r="AM744" s="115">
        <f t="shared" ca="1" si="666"/>
        <v>6</v>
      </c>
      <c r="AN744" s="47">
        <f ca="1">IF(AK744,('模拟-单技能数据'!$D$21+G744*'模拟-单技能数据'!$F$21)*(1+J744)*(1+'模拟-单技能数据'!$J$21)*(1+U744),0)</f>
        <v>12670.936004857545</v>
      </c>
      <c r="AO744" s="61">
        <f ca="1">IF(AN744&gt;0,M744-'模拟-单技能数据'!$K$10,AO743)</f>
        <v>0.42185145527300216</v>
      </c>
      <c r="AP744" s="61">
        <f ca="1">IF(AN744&gt;0,I744-'模拟-单技能数据'!$L$10,AP743)</f>
        <v>2.162482885499879</v>
      </c>
      <c r="AQ744" s="63">
        <f t="shared" ca="1" si="685"/>
        <v>0.2335002256534523</v>
      </c>
      <c r="AR744" s="64">
        <f ca="1">IF(AL744,IF(AQ744&lt;$F$10,0,IF(AQ744&lt;$F$10+$F$11,0.25,IF(AQ744&lt;$F$10+$F$11+AO744,AP744,1)))*IF(AN744&gt;0,AN744,IF(AN743&gt;0,AN743,IF(AN742&gt;0,AN742,IF(AN741&gt;0,AN741,IF(AN740&gt;0,AN740,IF(AN739&gt;0,AN739,IF(AN738&gt;0,AN738,IF(AN737&gt;0,AN737,IF(AN736&gt;0,AN736,IF(AN734&gt;0,AN734,IF(AN733&gt;0,AN733,IF(AN732&gt;0,AN732,0)))))))))))),0)*(1-$S744)*'模拟-单技能数据'!$I$21</f>
        <v>0</v>
      </c>
      <c r="AS744" s="61">
        <f ca="1">IF(OR(C744="净世破魔击·日",C744="净世破魔击·月"),M744-'模拟-单技能数据'!$K$10,0)</f>
        <v>0.42185145527300216</v>
      </c>
      <c r="AT744" s="61">
        <f ca="1">IF(OR(C744="净世破魔击·日",C744="净世破魔击·月"),I744-'模拟-单技能数据'!$L$10,0)</f>
        <v>2.162482885499879</v>
      </c>
      <c r="AU744" s="62">
        <f t="shared" ca="1" si="686"/>
        <v>0.39321898571240543</v>
      </c>
      <c r="AV744" s="64">
        <f ca="1">IF(AS744&gt;0,('模拟-单技能数据'!$D$22+G744*'模拟-单技能数据'!$F$22)*(1+J744)*(1-S744)*IF(AU744&lt;$F$10,0,IF(AU744&lt;$F$10+$F$11,0.25,IF(AU744&lt;$F$10+$F$11+AS744,AT744,1)))*(1+U744),0)*'模拟-单技能数据'!$I$22</f>
        <v>19116.855106939758</v>
      </c>
      <c r="AW744" s="108">
        <f t="shared" ca="1" si="687"/>
        <v>0</v>
      </c>
      <c r="AX744" s="108" t="b">
        <f ca="1">AND(模拟模式!$P$10="有",AW743=0,RAND()&lt;IF(C744="净世破魔击·月",0.1*8/3,IF(C744="净世破魔击·日",0.1*4/3,0.1*2/3)))</f>
        <v>0</v>
      </c>
      <c r="AY744" s="47">
        <f ca="1">IF(AX744,(18+G744*0.722)*(1+J744)*(1-S744)*(1+$I$4)*IF(P744="会",'模拟-全程加成'!$J$3+'模拟-全程加成'!$J$4+'模拟-全程加成'!$J$5+('模拟-全程加成'!$I$4+'模拟-全程加成'!$I$5)/系数!$B$4+BG744*10%,IF(P744="命",1,IF(P744="识",0.25,0))),0)</f>
        <v>0</v>
      </c>
      <c r="AZ744" s="108">
        <f t="shared" si="688"/>
        <v>8.0075000000000074</v>
      </c>
      <c r="BA744" s="108" t="b">
        <f>AND(模拟模式!$Q$10="有",AZ743=0)</f>
        <v>0</v>
      </c>
      <c r="BB744" s="140">
        <f>IF(BA744,(0+G744*0.287)*(1+J744)*(1-S744)*(1+$I$4)*IF(P744="会",'模拟-全程加成'!$J$3+'模拟-全程加成'!$J$4+'模拟-全程加成'!$J$5+('模拟-全程加成'!$I$4+'模拟-全程加成'!$I$5)/系数!$B$4+BG744*10%,IF(P744="命",1,IF(P744="识",0.25,0))),0)</f>
        <v>0</v>
      </c>
      <c r="BC744" s="115" t="b">
        <f ca="1">AND(模拟模式!$R$7="伏明众生",E744=60,F744=20,DA744&lt;5,CZ743&lt;$F$4)</f>
        <v>0</v>
      </c>
      <c r="BD744" s="115">
        <f t="shared" ca="1" si="667"/>
        <v>0</v>
      </c>
      <c r="BE744" s="115" t="b">
        <f t="shared" ca="1" si="668"/>
        <v>0</v>
      </c>
      <c r="BF744" s="47">
        <f ca="1">IF(BC744,4*('模拟-单技能数据'!$D$24+G744*'模拟-单技能数据'!$F$24)*(1+J744)*(1+'模拟-单技能数据'!$J$24)*(1-S744)*(1+$I$3)*(('模拟-全程加成'!$J$3+'模拟-全程加成'!$J$4+'模拟-全程加成'!$J$5+('模拟-全程加成'!$I$4+'模拟-全程加成'!$I$5)/系数!$B$4+BG744*10%)*('模拟-全程加成'!$J$3+'模拟-全程加成'!$J$4+'模拟-全程加成'!$J$5+('模拟-全程加成'!$I$4+'模拟-全程加成'!$I$5)/系数!$B$4+BG744*10%)+(1-('模拟-全程加成'!$J$3+'模拟-全程加成'!$J$4+'模拟-全程加成'!$J$5+('模拟-全程加成'!$I$4+'模拟-全程加成'!$I$5)/系数!$B$4+BG744*10%)-$F$10-$F$11)+F730*0.25),0)*'模拟-单技能数据'!$I$24</f>
        <v>0</v>
      </c>
      <c r="BG744" s="115" t="b">
        <f ca="1">OR(AND(OR(C744="烈日斩",C744="银月斩"),模拟模式!$I$7="净身明礼"),AND(C744="净世破魔击·日",模拟模式!$J$7="洞若观火"),AND(C745="净世破魔击·月",模拟模式!$J$7="洞若观火"),AB744=1)</f>
        <v>1</v>
      </c>
      <c r="BH744" s="115" t="b">
        <f t="shared" ca="1" si="689"/>
        <v>0</v>
      </c>
      <c r="BI744" s="115">
        <f t="shared" ca="1" si="669"/>
        <v>5.0774999999999997</v>
      </c>
      <c r="BJ744" s="115" t="b">
        <f t="shared" ca="1" si="670"/>
        <v>1</v>
      </c>
      <c r="BK744" s="115" t="b">
        <f ca="1">AND(C744="驱夜断愁",模拟模式!$P$7="天地诛戮")</f>
        <v>0</v>
      </c>
      <c r="BL744" s="57">
        <f t="shared" ca="1" si="671"/>
        <v>16.310000000000002</v>
      </c>
      <c r="BM744" s="115" t="b">
        <f t="shared" ca="1" si="672"/>
        <v>1</v>
      </c>
      <c r="BN744" s="115" t="b">
        <f ca="1">AND(OR(C744="赤日轮1",C744="赤日轮2",C744="赤日轮3",C744="幽月轮1",C744="幽月轮2",C744="幽月轮3"),AB744=1,模拟模式!$L$7="明光恒照")</f>
        <v>0</v>
      </c>
      <c r="BO744" s="117">
        <f t="shared" ca="1" si="673"/>
        <v>28.155000000000001</v>
      </c>
      <c r="BP744" s="115">
        <f t="shared" ca="1" si="690"/>
        <v>6</v>
      </c>
      <c r="BQ744" s="115" t="b">
        <f>模拟模式!$K$10="2600·水"</f>
        <v>0</v>
      </c>
      <c r="BR744" s="117">
        <f t="shared" si="691"/>
        <v>0</v>
      </c>
      <c r="BS744" s="115">
        <f t="shared" si="692"/>
        <v>0</v>
      </c>
      <c r="BT744" s="115">
        <f t="shared" ca="1" si="693"/>
        <v>0</v>
      </c>
      <c r="BU744" s="115" t="b">
        <f ca="1">AND(模拟模式!$K$10="2300·雷",BT743=0,RAND()&lt;IF(C744="净世破魔击·月",5*0.05*2/3,IF(C744="净世破魔击·日",3*0.05*2/3,0.05*2*2/3)))</f>
        <v>0</v>
      </c>
      <c r="BV744" s="115">
        <f t="shared" ca="1" si="694"/>
        <v>0</v>
      </c>
      <c r="BW744" s="115">
        <f t="shared" ca="1" si="695"/>
        <v>76.679999999999268</v>
      </c>
      <c r="BX744" s="164" t="b">
        <f t="shared" ca="1" si="696"/>
        <v>0</v>
      </c>
      <c r="BY744" s="115">
        <f t="shared" ca="1" si="697"/>
        <v>0</v>
      </c>
      <c r="BZ744" s="115">
        <f>IF(OR(模拟模式!$P$16="10人团",模拟模式!$P$16="25人团"),IF(B744/30&gt;CA743,1,0),0)</f>
        <v>0</v>
      </c>
      <c r="CA744" s="115">
        <f t="shared" si="674"/>
        <v>0</v>
      </c>
      <c r="CB744" s="115">
        <f ca="1">IF(BZ744=1,IF(模拟模式!$P$16="10人团",15,0)+IF(模拟模式!$P$16="25人团",IF(RAND()&lt;0.6,15,0)),MAX(0,CB743-$F$4))</f>
        <v>0</v>
      </c>
      <c r="CC744" s="115" t="b">
        <f t="shared" ca="1" si="675"/>
        <v>0</v>
      </c>
      <c r="CD744" s="115">
        <f>IF(模拟模式!$Q$16="1个",IF(B744/40&gt;CE743,1,0),0)</f>
        <v>0</v>
      </c>
      <c r="CE744" s="115">
        <f t="shared" si="676"/>
        <v>0</v>
      </c>
      <c r="CF744" s="115">
        <f>IF(OR(CD744=1,模拟模式!$Q$16="2个"),20,MAX(0,CF743-$F$4))</f>
        <v>0</v>
      </c>
      <c r="CG744" s="115" t="b">
        <f t="shared" si="677"/>
        <v>0</v>
      </c>
      <c r="CH744" s="115">
        <f t="shared" ca="1" si="698"/>
        <v>20.775000000000006</v>
      </c>
      <c r="CI744" s="115" t="b">
        <f t="shared" ca="1" si="699"/>
        <v>0</v>
      </c>
      <c r="CJ744" s="119">
        <f t="shared" ca="1" si="700"/>
        <v>0</v>
      </c>
      <c r="CK744" s="115">
        <f t="shared" ca="1" si="701"/>
        <v>0</v>
      </c>
      <c r="CL744" s="115" t="b">
        <f ca="1">AND(模拟模式!$S$7="驱夷逐法",OR(AND(C744="净世破魔击·月",E743&gt;59),AND(C744="净世破魔击·日",F743&gt;59)))</f>
        <v>0</v>
      </c>
      <c r="CM744" s="115" t="b">
        <f ca="1">OR(CL744,AND(C744="净世破魔击·日",CL743,RAND()&lt;模拟模式!$U$23))</f>
        <v>1</v>
      </c>
      <c r="CN744" s="115" t="b">
        <f ca="1">IF(模拟模式!$M$7="辉耀红尘",AND(C744="净世破魔击·月",CL744,CV744=0,E743&lt;80),AND(C744="净世破魔击·月",CL744,E743&lt;100))</f>
        <v>0</v>
      </c>
      <c r="CO744" s="115" t="b">
        <f t="shared" ca="1" si="678"/>
        <v>0</v>
      </c>
      <c r="CP744" s="115" t="b">
        <f ca="1">AND(模拟模式!$O$7="用晦而明",OR(C744="净世破魔击·日",C744="净世破魔击·月",C744="驱夜断愁"),AB744)</f>
        <v>1</v>
      </c>
      <c r="CQ744" s="115" t="b">
        <f ca="1">OR(CP744,AND(CP743,RAND()&lt;模拟模式!$U$23))</f>
        <v>1</v>
      </c>
      <c r="CR744" s="115" t="b">
        <f ca="1">AND(模拟模式!$S$7="日月齐光",OR(C744="幽月轮1",C744="幽月轮2",C744="幽月轮3",CR743),NOT(OR(C744="赤日轮1",C744="赤日轮2",C744="赤日轮3")))</f>
        <v>0</v>
      </c>
      <c r="CS744" s="115" t="b">
        <f ca="1">AND(模拟模式!$S$7="日月齐光",OR(C744="赤日轮1",C744="赤日轮2",C744="赤日轮3",CS743),NOT(OR(C744="幽月轮1",C744="幽月轮2",C744="幽月轮3")))</f>
        <v>0</v>
      </c>
      <c r="CT744" s="115">
        <f t="shared" ca="1" si="702"/>
        <v>6.0150000000000121</v>
      </c>
      <c r="CU744" s="115" t="b">
        <f ca="1">AND(模拟模式!$K$10="阴阳往极",CT743=0,RAND()&lt;IF(C744="净世破魔击·月",0.0275*7/3,IF(C744="净世破魔击·日",0.0275*3/3,0.0275*2/3)))</f>
        <v>0</v>
      </c>
      <c r="CV744" s="115">
        <f t="shared" ca="1" si="703"/>
        <v>0</v>
      </c>
      <c r="CW744" s="115">
        <f t="shared" ca="1" si="704"/>
        <v>3.2324999999999995</v>
      </c>
      <c r="CX744" s="115">
        <f t="shared" ca="1" si="705"/>
        <v>1.3874999999999997</v>
      </c>
      <c r="CY744" s="115">
        <f ca="1">MAX(IF($C744="驱夜断愁",IF(模拟模式!$R$7="万念俱寂",6,45),CY743-$F$4),0)</f>
        <v>2.3099999999999996</v>
      </c>
      <c r="CZ744" s="115">
        <f t="shared" ca="1" si="679"/>
        <v>0</v>
      </c>
      <c r="DA744" s="115">
        <f ca="1">IF(模拟模式!$N$7="日月同辉",IF(DB743=2,0,MIN(6,IF(AND(OR(C744="赤日轮1",C744="赤日轮2",C744="赤日轮3",C744="幽月轮1",C744="幽月轮2",C744="幽月轮3"),AB744=1),DA743+1,DA743))),0)</f>
        <v>5</v>
      </c>
      <c r="DB744" s="115">
        <f t="shared" ca="1" si="680"/>
        <v>0</v>
      </c>
      <c r="DC744" s="115"/>
      <c r="DD744" s="115"/>
      <c r="DE744" s="115"/>
      <c r="DF744" s="115"/>
      <c r="DG744" s="115"/>
      <c r="DH744" s="115"/>
      <c r="DI744" s="115"/>
      <c r="DJ744" s="115"/>
      <c r="DK744" s="115"/>
      <c r="DL744" s="115"/>
      <c r="DM744" s="115"/>
    </row>
    <row r="745" spans="2:117" x14ac:dyDescent="0.2">
      <c r="B745" s="117">
        <f t="shared" si="681"/>
        <v>662.35500000000775</v>
      </c>
      <c r="C745" s="167" t="str">
        <f t="shared" ca="1" si="650"/>
        <v>赤日轮1</v>
      </c>
      <c r="D745" s="115">
        <f ca="1">IF(C745="赤日轮1",1,IF(C745="赤日轮2",2,IF(C745="赤日轮3",3,IF(C745="幽月轮1",4,IF(C745="幽月轮2",5,IF(C745="幽月轮3",6,IF(C745="烈日斩",7,IF(C745="银月斩",8,IF(C745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745="净世破魔击·月",17,IF(C745="驱夜断愁",18,0)))))))))))</f>
        <v>1</v>
      </c>
      <c r="E745" s="115">
        <f ca="1">IF(AND(CU745,OR(C745="幽月轮1",C745="幽月轮2",C745="幽月轮3",C745="银月斩",C745="驱夜断愁",C745="净世破魔击·月")),100,MIN(IF(OR(CN745,BE745),0,IF(OR($C745="赤日轮1",$C745="赤日轮2",$C745="赤日轮3"),E744+20+IF(模拟模式!$I$7="日月凌天",4,0)+IF(CR744,20,0),IF($C745="烈日斩",E744+40,IF($C745="驱夜断愁",IF(模拟模式!$R$7="万念俱寂",E744+20,E744+60),IF($C745="净世破魔击·月",IF(OR(DB744&gt;0,CV744&gt;0),100,IF(模拟模式!$M$7="辉耀红尘",E744+20,E744)),IF($C745="净世破魔击·日",E744-100,E744)))))),100))</f>
        <v>20</v>
      </c>
      <c r="F745" s="115">
        <f ca="1">IF(AND(CU745,OR(C745="赤日轮1",C745="赤日轮2",C745="赤日轮3",C745="烈日斩",C745="净世破魔击·日")),100,MIN(IF(CO745,0,IF(OR($C745="幽月轮1",$C745="幽月轮2",$C745="幽月轮3"),F744+20+IF(模拟模式!$I$7="日月凌天",4,0)+IF(CS744,20,0),IF($C745="银月斩",F744+40+IF(模拟模式!$X$12=1,5,0),IF($C745="驱夜断愁",IF(模拟模式!$R$7="万念俱寂",F744+20,F744+60),IF($C745="净世破魔击·月",IF(模拟模式!$M$7="辉耀红尘",F744-80,F744-100),IF(AND(C745="净世破魔击·日",OR(DB744&gt;0,CV744&gt;0)),100,F744)))))),100))</f>
        <v>20</v>
      </c>
      <c r="G745" s="117">
        <f ca="1">('模拟-全程加成'!$E$3+'模拟-全程加成'!$E$4+'模拟-全程加成'!$E$5+('模拟-全程加成'!$C$6-'模拟-全程加成'!$C$3)*系数!$B$9+BS745*23)*(1+'模拟-全程加成'!$F$4+'模拟-全程加成'!$F$5+BJ745*10%+BM745*20%+BP745*4%+CG745*30%)+$F$7*系数!$B$12</f>
        <v>21493.829400000002</v>
      </c>
      <c r="H745" s="45">
        <f ca="1">'模拟-全程加成'!$H$3+'模拟-全程加成'!$H$4+'模拟-全程加成'!$H$5+('模拟-全程加成'!$G$4+'模拟-全程加成'!$G$5+('模拟-全程加成'!$C$6-'模拟-全程加成'!$C$3)*系数!$B$13)/系数!$B$3+LOOKUP(D745,'模拟-单技能数据'!$A$2:$A$19,'模拟-单技能数据'!$K$2:$K$19)+BG745*10%+IF(BV745&gt;0,378,0)</f>
        <v>0.4618514552730022</v>
      </c>
      <c r="I745" s="45">
        <f ca="1">'模拟-全程加成'!$J$3+'模拟-全程加成'!$J$4+'模拟-全程加成'!$J$5+('模拟-全程加成'!$I$4+'模拟-全程加成'!$I$5)/系数!$B$4+LOOKUP(D745,'模拟-单技能数据'!$A$2:$A$19,'模拟-单技能数据'!$L$2:$L$19)+BG745*10%</f>
        <v>2.162482885499879</v>
      </c>
      <c r="J745" s="45">
        <f ca="1">(('模拟-全程加成'!$K$3+'模拟-全程加成'!$K$4+'模拟-全程加成'!$K$5+('模拟-全程加成'!$C$6-'模拟-全程加成'!$C$3)*系数!$B$10+IF(BV745&gt;0,882,0)+IF(BY745&gt;0,1831,0))*(1+'模拟-全程加成'!$L$4+'模拟-全程加成'!$L$5+CC745*20%))/系数!$B$5</f>
        <v>0.69723220422048726</v>
      </c>
      <c r="K745" s="119">
        <f ca="1">LOOKUP(D745,'模拟-单技能数据'!$A$2:$A$19,'模拟-单技能数据'!$J$2:$J$19)+IF(CM745,60%,0)+IF(DB744-DB745&gt;0,30%,0)+IF(OR(AND(OR(C745="赤日轮1",C745="赤日轮2",C745="赤日轮3"),CR745),AND(OR(C745="幽月轮1",C745="幽月轮2",C745="幽月轮3"),CS745)),35%,0)+CJ745</f>
        <v>0.12</v>
      </c>
      <c r="L745" s="119">
        <f ca="1">IF(AND(C745="烈日斩",模拟模式!$X$11=1),10%,0)+IF(AND(C745="驱夜断愁",AB745=1),30%,0)</f>
        <v>0</v>
      </c>
      <c r="M745" s="45">
        <f t="shared" ca="1" si="651"/>
        <v>0.4618514552730022</v>
      </c>
      <c r="N745" s="45">
        <f t="shared" ca="1" si="652"/>
        <v>0.48424854472699785</v>
      </c>
      <c r="O745" s="46">
        <f t="shared" ca="1" si="682"/>
        <v>0.93101429103317834</v>
      </c>
      <c r="P745" s="46" t="str">
        <f t="shared" ca="1" si="653"/>
        <v>命</v>
      </c>
      <c r="Q745" s="45">
        <f t="shared" ca="1" si="654"/>
        <v>1</v>
      </c>
      <c r="R745" s="117">
        <f ca="1">模拟模式!$E$20*(1-IF(模拟模式!$J$19="有",0.15,0))*(1-IF(模拟模式!$K$19="有",0.3,0)-IF(CQ745,0.5,0))</f>
        <v>843.02999999999975</v>
      </c>
      <c r="S745" s="45">
        <f ca="1">R745/(R745+(185*模拟模式!$E$22-16800)*4.08224)</f>
        <v>8.389626085980037E-2</v>
      </c>
      <c r="T745" s="45" t="str">
        <f ca="1">LOOKUP(D745,'模拟-单技能数据'!$A$2:$A$19,'模拟-单技能数据'!$H$2:$H$19)</f>
        <v>阳</v>
      </c>
      <c r="U745" s="119">
        <f t="shared" ca="1" si="655"/>
        <v>0.2</v>
      </c>
      <c r="V745" s="47">
        <f ca="1">(1+L745)*(LOOKUP(D745,'模拟-单技能数据'!$A$2:$A$19,'模拟-单技能数据'!$D$2:$D$19)+G745*LOOKUP(D745,'模拟-单技能数据'!$A$2:$A$19,'模拟-单技能数据'!$F$2:$F$19))*(1+J745)*(1+K745)*(1-S745)*(1+U745)*Q745*LOOKUP(D745,'模拟-单技能数据'!$A$2:$A$19,'模拟-单技能数据'!$I$2:$I$20)</f>
        <v>26295.771631143321</v>
      </c>
      <c r="W745" s="47">
        <f ca="1">LOOKUP(D745,'模拟-单技能数据'!$A$2:$A$19,'模拟-单技能数据'!$G$2:$G$19)*$I$10</f>
        <v>361.51064354704795</v>
      </c>
      <c r="X745" s="47">
        <f t="shared" ca="1" si="683"/>
        <v>51191.269029463067</v>
      </c>
      <c r="Y745" s="47">
        <f t="shared" ca="1" si="656"/>
        <v>77848.551304153429</v>
      </c>
      <c r="Z745" s="49">
        <f t="shared" ca="1" si="657"/>
        <v>75004186.457040653</v>
      </c>
      <c r="AA745" s="97">
        <f t="shared" ca="1" si="658"/>
        <v>113238.65065869477</v>
      </c>
      <c r="AB745" s="115">
        <f ca="1">IF(OR(C745="赤日轮1",C745="赤日轮2",C745="赤日轮3"),IF(RAND()&lt;模拟模式!$Y$17,1,0),IF(OR(C745="幽月轮1",C745="幽月轮2",C745="幽月轮3"),IF(RAND()&lt;模拟模式!$Y$18,1,0),IF(C745="烈日斩",IF(RAND()&lt;模拟模式!$Y$19,1,0),IF(C745="银月斩",IF(RAND()&lt;模拟模式!$Y$20,1,0),IF(C745="驱夜断愁",IF(RAND()&lt;模拟模式!$Y$21,1,0),IF(C745="净世破魔击·日",IF(RAND()&lt;模拟模式!$Y$22,1,0),IF(C745="净世破魔击·月",IF(RAND()&lt;模拟模式!$Y$23,1,0),0)))))))</f>
        <v>1</v>
      </c>
      <c r="AC745" s="115" t="b">
        <f t="shared" ca="1" si="659"/>
        <v>0</v>
      </c>
      <c r="AD745" s="115" t="b">
        <f t="shared" ca="1" si="660"/>
        <v>0</v>
      </c>
      <c r="AE745" s="115">
        <f t="shared" ca="1" si="661"/>
        <v>3</v>
      </c>
      <c r="AF745" s="47">
        <f ca="1">IF(AC745,('模拟-单技能数据'!$D$20+G745*'模拟-单技能数据'!$F$20)*(1+J745)*(1+'模拟-单技能数据'!$J$20)*(1+U745),0)</f>
        <v>0</v>
      </c>
      <c r="AG745" s="61">
        <f t="shared" ca="1" si="662"/>
        <v>0.64185145527300214</v>
      </c>
      <c r="AH745" s="61">
        <f t="shared" ca="1" si="663"/>
        <v>2.2624828854998791</v>
      </c>
      <c r="AI745" s="62">
        <f t="shared" ca="1" si="684"/>
        <v>0.57910502516058893</v>
      </c>
      <c r="AJ745" s="47">
        <f ca="1">IF(AD745,IF(AI745&lt;$F$10,0,IF(AI745&lt;$F$10+$F$11,0.25,IF(AI745&lt;$F$10+$F$11+AG745,AH745,1)))*IF(AF745&gt;0,AF745,IF(AF744&gt;0,AF744,IF(AF743&gt;0,AF743,IF(AF742&gt;0,AF742,IF(AF741&gt;0,AF741,IF(AF740&gt;0,AF740,IF(AF739&gt;0,AF739,IF(AF738&gt;0,AF738,IF(AF737&gt;0,AF737,IF(AF735&gt;0,AF735,IF(AF734&gt;0,AF734,IF(AF733&gt;0,AF733,0)))))))))))),0)*(1-$S745)*'模拟-单技能数据'!$I$20</f>
        <v>0</v>
      </c>
      <c r="AK745" s="115" t="b">
        <f t="shared" ca="1" si="664"/>
        <v>0</v>
      </c>
      <c r="AL745" s="115" t="b">
        <f t="shared" ca="1" si="665"/>
        <v>1</v>
      </c>
      <c r="AM745" s="115">
        <f t="shared" ca="1" si="666"/>
        <v>5</v>
      </c>
      <c r="AN745" s="47">
        <f ca="1">IF(AK745,('模拟-单技能数据'!$D$21+G745*'模拟-单技能数据'!$F$21)*(1+J745)*(1+'模拟-单技能数据'!$J$21)*(1+U745),0)</f>
        <v>0</v>
      </c>
      <c r="AO745" s="61">
        <f ca="1">IF(AN745&gt;0,M745-'模拟-单技能数据'!$K$10,AO744)</f>
        <v>0.42185145527300216</v>
      </c>
      <c r="AP745" s="61">
        <f ca="1">IF(AN745&gt;0,I745-'模拟-单技能数据'!$L$10,AP744)</f>
        <v>2.162482885499879</v>
      </c>
      <c r="AQ745" s="63">
        <f t="shared" ca="1" si="685"/>
        <v>0.33182717966369124</v>
      </c>
      <c r="AR745" s="64">
        <f ca="1">IF(AL745,IF(AQ745&lt;$F$10,0,IF(AQ745&lt;$F$10+$F$11,0.25,IF(AQ745&lt;$F$10+$F$11+AO745,AP745,1)))*IF(AN745&gt;0,AN745,IF(AN744&gt;0,AN744,IF(AN743&gt;0,AN743,IF(AN742&gt;0,AN742,IF(AN741&gt;0,AN741,IF(AN740&gt;0,AN740,IF(AN739&gt;0,AN739,IF(AN738&gt;0,AN738,IF(AN737&gt;0,AN737,IF(AN735&gt;0,AN735,IF(AN734&gt;0,AN734,IF(AN733&gt;0,AN733,0)))))))))))),0)*(1-$S745)*'模拟-单技能数据'!$I$21</f>
        <v>25101.867467669974</v>
      </c>
      <c r="AS745" s="61">
        <f ca="1">IF(OR(C745="净世破魔击·日",C745="净世破魔击·月"),M745-'模拟-单技能数据'!$K$10,0)</f>
        <v>0</v>
      </c>
      <c r="AT745" s="61">
        <f ca="1">IF(OR(C745="净世破魔击·日",C745="净世破魔击·月"),I745-'模拟-单技能数据'!$L$10,0)</f>
        <v>0</v>
      </c>
      <c r="AU745" s="62">
        <f t="shared" ca="1" si="686"/>
        <v>0.3214340261747628</v>
      </c>
      <c r="AV745" s="64">
        <f ca="1">IF(AS745&gt;0,('模拟-单技能数据'!$D$22+G745*'模拟-单技能数据'!$F$22)*(1+J745)*(1-S745)*IF(AU745&lt;$F$10,0,IF(AU745&lt;$F$10+$F$11,0.25,IF(AU745&lt;$F$10+$F$11+AS745,AT745,1)))*(1+U745),0)*'模拟-单技能数据'!$I$22</f>
        <v>0</v>
      </c>
      <c r="AW745" s="108">
        <f t="shared" ca="1" si="687"/>
        <v>19.077500000000001</v>
      </c>
      <c r="AX745" s="108" t="b">
        <f ca="1">AND(模拟模式!$P$10="有",AW744=0,RAND()&lt;IF(C745="净世破魔击·月",0.1*8/3,IF(C745="净世破魔击·日",0.1*4/3,0.1*2/3)))</f>
        <v>1</v>
      </c>
      <c r="AY745" s="47">
        <f ca="1">IF(AX745,(18+G745*0.722)*(1+J745)*(1-S745)*(1+$I$4)*IF(P745="会",'模拟-全程加成'!$J$3+'模拟-全程加成'!$J$4+'模拟-全程加成'!$J$5+('模拟-全程加成'!$I$4+'模拟-全程加成'!$I$5)/系数!$B$4+BG745*10%,IF(P745="命",1,IF(P745="识",0.25,0))),0)</f>
        <v>26089.401561793093</v>
      </c>
      <c r="AZ745" s="108">
        <f t="shared" si="688"/>
        <v>7.0850000000000071</v>
      </c>
      <c r="BA745" s="108" t="b">
        <f>AND(模拟模式!$Q$10="有",AZ744=0)</f>
        <v>0</v>
      </c>
      <c r="BB745" s="140">
        <f>IF(BA745,(0+G745*0.287)*(1+J745)*(1-S745)*(1+$I$4)*IF(P745="会",'模拟-全程加成'!$J$3+'模拟-全程加成'!$J$4+'模拟-全程加成'!$J$5+('模拟-全程加成'!$I$4+'模拟-全程加成'!$I$5)/系数!$B$4+BG745*10%,IF(P745="命",1,IF(P745="识",0.25,0))),0)</f>
        <v>0</v>
      </c>
      <c r="BC745" s="115" t="b">
        <f ca="1">AND(模拟模式!$R$7="伏明众生",E745=60,F745=20,DA745&lt;5,CZ744&lt;$F$4)</f>
        <v>0</v>
      </c>
      <c r="BD745" s="115">
        <f t="shared" ca="1" si="667"/>
        <v>0</v>
      </c>
      <c r="BE745" s="115" t="b">
        <f t="shared" ca="1" si="668"/>
        <v>0</v>
      </c>
      <c r="BF745" s="47">
        <f ca="1">IF(BC745,4*('模拟-单技能数据'!$D$24+G745*'模拟-单技能数据'!$F$24)*(1+J745)*(1+'模拟-单技能数据'!$J$24)*(1-S745)*(1+$I$3)*(('模拟-全程加成'!$J$3+'模拟-全程加成'!$J$4+'模拟-全程加成'!$J$5+('模拟-全程加成'!$I$4+'模拟-全程加成'!$I$5)/系数!$B$4+BG745*10%)*('模拟-全程加成'!$J$3+'模拟-全程加成'!$J$4+'模拟-全程加成'!$J$5+('模拟-全程加成'!$I$4+'模拟-全程加成'!$I$5)/系数!$B$4+BG745*10%)+(1-('模拟-全程加成'!$J$3+'模拟-全程加成'!$J$4+'模拟-全程加成'!$J$5+('模拟-全程加成'!$I$4+'模拟-全程加成'!$I$5)/系数!$B$4+BG745*10%)-$F$10-$F$11)+F731*0.25),0)*'模拟-单技能数据'!$I$24</f>
        <v>0</v>
      </c>
      <c r="BG745" s="115" t="b">
        <f ca="1">OR(AND(OR(C745="烈日斩",C745="银月斩"),模拟模式!$I$7="净身明礼"),AND(C745="净世破魔击·日",模拟模式!$J$7="洞若观火"),AND(C746="净世破魔击·月",模拟模式!$J$7="洞若观火"),AB745=1)</f>
        <v>1</v>
      </c>
      <c r="BH745" s="115" t="b">
        <f t="shared" ca="1" si="689"/>
        <v>0</v>
      </c>
      <c r="BI745" s="115">
        <f t="shared" ca="1" si="669"/>
        <v>4.1549999999999994</v>
      </c>
      <c r="BJ745" s="115" t="b">
        <f t="shared" ca="1" si="670"/>
        <v>1</v>
      </c>
      <c r="BK745" s="115" t="b">
        <f ca="1">AND(C745="驱夜断愁",模拟模式!$P$7="天地诛戮")</f>
        <v>0</v>
      </c>
      <c r="BL745" s="57">
        <f t="shared" ca="1" si="671"/>
        <v>15.387500000000003</v>
      </c>
      <c r="BM745" s="115" t="b">
        <f t="shared" ca="1" si="672"/>
        <v>1</v>
      </c>
      <c r="BN745" s="115" t="b">
        <f ca="1">AND(OR(C745="赤日轮1",C745="赤日轮2",C745="赤日轮3",C745="幽月轮1",C745="幽月轮2",C745="幽月轮3"),AB745=1,模拟模式!$L$7="明光恒照")</f>
        <v>1</v>
      </c>
      <c r="BO745" s="117">
        <f t="shared" ca="1" si="673"/>
        <v>30</v>
      </c>
      <c r="BP745" s="115">
        <f t="shared" ca="1" si="690"/>
        <v>6</v>
      </c>
      <c r="BQ745" s="115" t="b">
        <f>模拟模式!$K$10="2600·水"</f>
        <v>0</v>
      </c>
      <c r="BR745" s="117">
        <f t="shared" si="691"/>
        <v>0</v>
      </c>
      <c r="BS745" s="115">
        <f t="shared" si="692"/>
        <v>0</v>
      </c>
      <c r="BT745" s="115">
        <f t="shared" ca="1" si="693"/>
        <v>0</v>
      </c>
      <c r="BU745" s="115" t="b">
        <f ca="1">AND(模拟模式!$K$10="2300·雷",BT744=0,RAND()&lt;IF(C745="净世破魔击·月",5*0.05*2/3,IF(C745="净世破魔击·日",3*0.05*2/3,0.05*2*2/3)))</f>
        <v>0</v>
      </c>
      <c r="BV745" s="115">
        <f t="shared" ca="1" si="694"/>
        <v>0</v>
      </c>
      <c r="BW745" s="115">
        <f t="shared" ca="1" si="695"/>
        <v>75.757499999999268</v>
      </c>
      <c r="BX745" s="164" t="b">
        <f t="shared" ca="1" si="696"/>
        <v>0</v>
      </c>
      <c r="BY745" s="115">
        <f t="shared" ca="1" si="697"/>
        <v>0</v>
      </c>
      <c r="BZ745" s="115">
        <f>IF(OR(模拟模式!$P$16="10人团",模拟模式!$P$16="25人团"),IF(B745/30&gt;CA744,1,0),0)</f>
        <v>0</v>
      </c>
      <c r="CA745" s="115">
        <f t="shared" si="674"/>
        <v>0</v>
      </c>
      <c r="CB745" s="115">
        <f ca="1">IF(BZ745=1,IF(模拟模式!$P$16="10人团",15,0)+IF(模拟模式!$P$16="25人团",IF(RAND()&lt;0.6,15,0)),MAX(0,CB744-$F$4))</f>
        <v>0</v>
      </c>
      <c r="CC745" s="115" t="b">
        <f t="shared" ca="1" si="675"/>
        <v>0</v>
      </c>
      <c r="CD745" s="115">
        <f>IF(模拟模式!$Q$16="1个",IF(B745/40&gt;CE744,1,0),0)</f>
        <v>0</v>
      </c>
      <c r="CE745" s="115">
        <f t="shared" si="676"/>
        <v>0</v>
      </c>
      <c r="CF745" s="115">
        <f>IF(OR(CD745=1,模拟模式!$Q$16="2个"),20,MAX(0,CF744-$F$4))</f>
        <v>0</v>
      </c>
      <c r="CG745" s="115" t="b">
        <f t="shared" si="677"/>
        <v>0</v>
      </c>
      <c r="CH745" s="115">
        <f t="shared" ca="1" si="698"/>
        <v>19.852500000000006</v>
      </c>
      <c r="CI745" s="115" t="b">
        <f t="shared" ca="1" si="699"/>
        <v>0</v>
      </c>
      <c r="CJ745" s="119">
        <f t="shared" ca="1" si="700"/>
        <v>0</v>
      </c>
      <c r="CK745" s="115">
        <f t="shared" ca="1" si="701"/>
        <v>0</v>
      </c>
      <c r="CL745" s="115" t="b">
        <f ca="1">AND(模拟模式!$S$7="驱夷逐法",OR(AND(C745="净世破魔击·月",E744&gt;59),AND(C745="净世破魔击·日",F744&gt;59)))</f>
        <v>0</v>
      </c>
      <c r="CM745" s="115" t="b">
        <f ca="1">OR(CL745,AND(C745="净世破魔击·日",CL744,RAND()&lt;模拟模式!$U$23))</f>
        <v>0</v>
      </c>
      <c r="CN745" s="115" t="b">
        <f ca="1">IF(模拟模式!$M$7="辉耀红尘",AND(C745="净世破魔击·月",CL745,CV745=0,E744&lt;80),AND(C745="净世破魔击·月",CL745,E744&lt;100))</f>
        <v>0</v>
      </c>
      <c r="CO745" s="115" t="b">
        <f t="shared" ca="1" si="678"/>
        <v>0</v>
      </c>
      <c r="CP745" s="115" t="b">
        <f ca="1">AND(模拟模式!$O$7="用晦而明",OR(C745="净世破魔击·日",C745="净世破魔击·月",C745="驱夜断愁"),AB745)</f>
        <v>0</v>
      </c>
      <c r="CQ745" s="115" t="b">
        <f ca="1">OR(CP745,AND(CP744,RAND()&lt;模拟模式!$U$23))</f>
        <v>1</v>
      </c>
      <c r="CR745" s="115" t="b">
        <f ca="1">AND(模拟模式!$S$7="日月齐光",OR(C745="幽月轮1",C745="幽月轮2",C745="幽月轮3",CR744),NOT(OR(C745="赤日轮1",C745="赤日轮2",C745="赤日轮3")))</f>
        <v>0</v>
      </c>
      <c r="CS745" s="115" t="b">
        <f ca="1">AND(模拟模式!$S$7="日月齐光",OR(C745="赤日轮1",C745="赤日轮2",C745="赤日轮3",CS744),NOT(OR(C745="幽月轮1",C745="幽月轮2",C745="幽月轮3")))</f>
        <v>0</v>
      </c>
      <c r="CT745" s="115">
        <f t="shared" ca="1" si="702"/>
        <v>5.0925000000000118</v>
      </c>
      <c r="CU745" s="115" t="b">
        <f ca="1">AND(模拟模式!$K$10="阴阳往极",CT744=0,RAND()&lt;IF(C745="净世破魔击·月",0.0275*7/3,IF(C745="净世破魔击·日",0.0275*3/3,0.0275*2/3)))</f>
        <v>0</v>
      </c>
      <c r="CV745" s="115">
        <f t="shared" ca="1" si="703"/>
        <v>0</v>
      </c>
      <c r="CW745" s="115">
        <f t="shared" ca="1" si="704"/>
        <v>2.3099999999999996</v>
      </c>
      <c r="CX745" s="115">
        <f t="shared" ca="1" si="705"/>
        <v>0.46499999999999975</v>
      </c>
      <c r="CY745" s="115">
        <f ca="1">MAX(IF($C745="驱夜断愁",IF(模拟模式!$R$7="万念俱寂",6,45),CY744-$F$4),0)</f>
        <v>1.3874999999999997</v>
      </c>
      <c r="CZ745" s="115">
        <f t="shared" ca="1" si="679"/>
        <v>0</v>
      </c>
      <c r="DA745" s="115">
        <f ca="1">IF(模拟模式!$N$7="日月同辉",IF(DB744=2,0,MIN(6,IF(AND(OR(C745="赤日轮1",C745="赤日轮2",C745="赤日轮3",C745="幽月轮1",C745="幽月轮2",C745="幽月轮3"),AB745=1),DA744+1,DA744))),0)</f>
        <v>6</v>
      </c>
      <c r="DB745" s="115">
        <f t="shared" ca="1" si="680"/>
        <v>2</v>
      </c>
      <c r="DC745" s="115"/>
      <c r="DD745" s="115"/>
      <c r="DE745" s="115"/>
      <c r="DF745" s="115"/>
      <c r="DG745" s="115"/>
      <c r="DH745" s="115"/>
      <c r="DI745" s="115"/>
      <c r="DJ745" s="115"/>
      <c r="DK745" s="115"/>
      <c r="DL745" s="115"/>
      <c r="DM745" s="115"/>
    </row>
    <row r="746" spans="2:117" x14ac:dyDescent="0.2">
      <c r="B746" s="117">
        <f t="shared" si="681"/>
        <v>663.27750000000776</v>
      </c>
      <c r="C746" s="167" t="str">
        <f t="shared" ca="1" si="650"/>
        <v>银月斩</v>
      </c>
      <c r="D746" s="115">
        <f ca="1">IF(C746="赤日轮1",1,IF(C746="赤日轮2",2,IF(C746="赤日轮3",3,IF(C746="幽月轮1",4,IF(C746="幽月轮2",5,IF(C746="幽月轮3",6,IF(C746="烈日斩",7,IF(C746="银月斩",8,IF(C746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746="净世破魔击·月",17,IF(C746="驱夜断愁",18,0)))))))))))</f>
        <v>8</v>
      </c>
      <c r="E746" s="115">
        <f ca="1">IF(AND(CU746,OR(C746="幽月轮1",C746="幽月轮2",C746="幽月轮3",C746="银月斩",C746="驱夜断愁",C746="净世破魔击·月")),100,MIN(IF(OR(CN746,BE746),0,IF(OR($C746="赤日轮1",$C746="赤日轮2",$C746="赤日轮3"),E745+20+IF(模拟模式!$I$7="日月凌天",4,0)+IF(CR745,20,0),IF($C746="烈日斩",E745+40,IF($C746="驱夜断愁",IF(模拟模式!$R$7="万念俱寂",E745+20,E745+60),IF($C746="净世破魔击·月",IF(OR(DB745&gt;0,CV745&gt;0),100,IF(模拟模式!$M$7="辉耀红尘",E745+20,E745)),IF($C746="净世破魔击·日",E745-100,E745)))))),100))</f>
        <v>20</v>
      </c>
      <c r="F746" s="115">
        <f ca="1">IF(AND(CU746,OR(C746="赤日轮1",C746="赤日轮2",C746="赤日轮3",C746="烈日斩",C746="净世破魔击·日")),100,MIN(IF(CO746,0,IF(OR($C746="幽月轮1",$C746="幽月轮2",$C746="幽月轮3"),F745+20+IF(模拟模式!$I$7="日月凌天",4,0)+IF(CS745,20,0),IF($C746="银月斩",F745+40+IF(模拟模式!$X$12=1,5,0),IF($C746="驱夜断愁",IF(模拟模式!$R$7="万念俱寂",F745+20,F745+60),IF($C746="净世破魔击·月",IF(模拟模式!$M$7="辉耀红尘",F745-80,F745-100),IF(AND(C746="净世破魔击·日",OR(DB745&gt;0,CV745&gt;0)),100,F745)))))),100))</f>
        <v>65</v>
      </c>
      <c r="G746" s="117">
        <f ca="1">('模拟-全程加成'!$E$3+'模拟-全程加成'!$E$4+'模拟-全程加成'!$E$5+('模拟-全程加成'!$C$6-'模拟-全程加成'!$C$3)*系数!$B$9+BS746*23)*(1+'模拟-全程加成'!$F$4+'模拟-全程加成'!$F$5+BJ746*10%+BM746*20%+BP746*4%+CG746*30%)+$F$7*系数!$B$12</f>
        <v>21493.829400000002</v>
      </c>
      <c r="H746" s="45">
        <f ca="1">'模拟-全程加成'!$H$3+'模拟-全程加成'!$H$4+'模拟-全程加成'!$H$5+('模拟-全程加成'!$G$4+'模拟-全程加成'!$G$5+('模拟-全程加成'!$C$6-'模拟-全程加成'!$C$3)*系数!$B$13)/系数!$B$3+LOOKUP(D746,'模拟-单技能数据'!$A$2:$A$19,'模拟-单技能数据'!$K$2:$K$19)+BG746*10%+IF(BV746&gt;0,378,0)</f>
        <v>0.64185145527300214</v>
      </c>
      <c r="I746" s="45">
        <f ca="1">'模拟-全程加成'!$J$3+'模拟-全程加成'!$J$4+'模拟-全程加成'!$J$5+('模拟-全程加成'!$I$4+'模拟-全程加成'!$I$5)/系数!$B$4+LOOKUP(D746,'模拟-单技能数据'!$A$2:$A$19,'模拟-单技能数据'!$L$2:$L$19)+BG746*10%</f>
        <v>2.2624828854998791</v>
      </c>
      <c r="J746" s="45">
        <f ca="1">(('模拟-全程加成'!$K$3+'模拟-全程加成'!$K$4+'模拟-全程加成'!$K$5+('模拟-全程加成'!$C$6-'模拟-全程加成'!$C$3)*系数!$B$10+IF(BV746&gt;0,882,0)+IF(BY746&gt;0,1831,0))*(1+'模拟-全程加成'!$L$4+'模拟-全程加成'!$L$5+CC746*20%))/系数!$B$5</f>
        <v>0.69723220422048726</v>
      </c>
      <c r="K746" s="119">
        <f ca="1">LOOKUP(D746,'模拟-单技能数据'!$A$2:$A$19,'模拟-单技能数据'!$J$2:$J$19)+IF(CM746,60%,0)+IF(DB745-DB746&gt;0,30%,0)+IF(OR(AND(OR(C746="赤日轮1",C746="赤日轮2",C746="赤日轮3"),CR746),AND(OR(C746="幽月轮1",C746="幽月轮2",C746="幽月轮3"),CS746)),35%,0)+CJ746</f>
        <v>0.15</v>
      </c>
      <c r="L746" s="119">
        <f ca="1">IF(AND(C746="烈日斩",模拟模式!$X$11=1),10%,0)+IF(AND(C746="驱夜断愁",AB746=1),30%,0)</f>
        <v>0</v>
      </c>
      <c r="M746" s="45">
        <f t="shared" ca="1" si="651"/>
        <v>0.64185145527300214</v>
      </c>
      <c r="N746" s="45">
        <f t="shared" ca="1" si="652"/>
        <v>0.30424854472699792</v>
      </c>
      <c r="O746" s="46">
        <f t="shared" ca="1" si="682"/>
        <v>0.89563010769507456</v>
      </c>
      <c r="P746" s="46" t="str">
        <f t="shared" ca="1" si="653"/>
        <v>命</v>
      </c>
      <c r="Q746" s="45">
        <f t="shared" ca="1" si="654"/>
        <v>1</v>
      </c>
      <c r="R746" s="117">
        <f ca="1">模拟模式!$E$20*(1-IF(模拟模式!$J$19="有",0.15,0))*(1-IF(模拟模式!$K$19="有",0.3,0)-IF(CQ746,0.5,0))</f>
        <v>2950.6049999999996</v>
      </c>
      <c r="S746" s="45">
        <f ca="1">R746/(R746+(185*模拟模式!$E$22-16800)*4.08224)</f>
        <v>0.24272716014590323</v>
      </c>
      <c r="T746" s="45" t="str">
        <f ca="1">LOOKUP(D746,'模拟-单技能数据'!$A$2:$A$19,'模拟-单技能数据'!$H$2:$H$19)</f>
        <v>阴</v>
      </c>
      <c r="U746" s="119">
        <f t="shared" ca="1" si="655"/>
        <v>0.08</v>
      </c>
      <c r="V746" s="47">
        <f ca="1">(1+L746)*(LOOKUP(D746,'模拟-单技能数据'!$A$2:$A$19,'模拟-单技能数据'!$D$2:$D$19)+G746*LOOKUP(D746,'模拟-单技能数据'!$A$2:$A$19,'模拟-单技能数据'!$F$2:$F$19))*(1+J746)*(1+K746)*(1-S746)*(1+U746)*Q746*LOOKUP(D746,'模拟-单技能数据'!$A$2:$A$19,'模拟-单技能数据'!$I$2:$I$20)</f>
        <v>18215.255972688272</v>
      </c>
      <c r="W746" s="47">
        <f ca="1">LOOKUP(D746,'模拟-单技能数据'!$A$2:$A$19,'模拟-单技能数据'!$G$2:$G$19)*$I$10</f>
        <v>361.51064354704795</v>
      </c>
      <c r="X746" s="47">
        <f t="shared" ca="1" si="683"/>
        <v>7949.3543492067038</v>
      </c>
      <c r="Y746" s="47">
        <f t="shared" ca="1" si="656"/>
        <v>26526.120965442024</v>
      </c>
      <c r="Z746" s="49">
        <f t="shared" ca="1" si="657"/>
        <v>75030712.578006089</v>
      </c>
      <c r="AA746" s="97">
        <f t="shared" ca="1" si="658"/>
        <v>113121.14850572379</v>
      </c>
      <c r="AB746" s="115">
        <f ca="1">IF(OR(C746="赤日轮1",C746="赤日轮2",C746="赤日轮3"),IF(RAND()&lt;模拟模式!$Y$17,1,0),IF(OR(C746="幽月轮1",C746="幽月轮2",C746="幽月轮3"),IF(RAND()&lt;模拟模式!$Y$18,1,0),IF(C746="烈日斩",IF(RAND()&lt;模拟模式!$Y$19,1,0),IF(C746="银月斩",IF(RAND()&lt;模拟模式!$Y$20,1,0),IF(C746="驱夜断愁",IF(RAND()&lt;模拟模式!$Y$21,1,0),IF(C746="净世破魔击·日",IF(RAND()&lt;模拟模式!$Y$22,1,0),IF(C746="净世破魔击·月",IF(RAND()&lt;模拟模式!$Y$23,1,0),0)))))))</f>
        <v>1</v>
      </c>
      <c r="AC746" s="115" t="b">
        <f t="shared" ca="1" si="659"/>
        <v>1</v>
      </c>
      <c r="AD746" s="115" t="b">
        <f t="shared" ca="1" si="660"/>
        <v>1</v>
      </c>
      <c r="AE746" s="115">
        <f t="shared" ca="1" si="661"/>
        <v>5</v>
      </c>
      <c r="AF746" s="47">
        <f ca="1">IF(AC746,('模拟-单技能数据'!$D$20+G746*'模拟-单技能数据'!$F$20)*(1+J746)*(1+'模拟-单技能数据'!$J$20)*(1+U746),0)</f>
        <v>4639.7456468263617</v>
      </c>
      <c r="AG746" s="61">
        <f t="shared" ca="1" si="662"/>
        <v>0.64185145527300214</v>
      </c>
      <c r="AH746" s="61">
        <f t="shared" ca="1" si="663"/>
        <v>2.2624828854998791</v>
      </c>
      <c r="AI746" s="62">
        <f t="shared" ca="1" si="684"/>
        <v>0.25944806980361035</v>
      </c>
      <c r="AJ746" s="47">
        <f ca="1">IF(AD746,IF(AI746&lt;$F$10,0,IF(AI746&lt;$F$10+$F$11,0.25,IF(AI746&lt;$F$10+$F$11+AG746,AH746,1)))*IF(AF746&gt;0,AF746,IF(AF745&gt;0,AF745,IF(AF744&gt;0,AF744,IF(AF743&gt;0,AF743,IF(AF742&gt;0,AF742,IF(AF741&gt;0,AF741,IF(AF740&gt;0,AF740,IF(AF739&gt;0,AF739,IF(AF738&gt;0,AF738,IF(AF736&gt;0,AF736,IF(AF735&gt;0,AF735,IF(AF734&gt;0,AF734,0)))))))))))),0)*(1-$S746)*'模拟-单技能数据'!$I$20</f>
        <v>7949.3543492067038</v>
      </c>
      <c r="AK746" s="115" t="b">
        <f t="shared" ca="1" si="664"/>
        <v>0</v>
      </c>
      <c r="AL746" s="115" t="b">
        <f t="shared" ca="1" si="665"/>
        <v>0</v>
      </c>
      <c r="AM746" s="115">
        <f t="shared" ca="1" si="666"/>
        <v>5</v>
      </c>
      <c r="AN746" s="47">
        <f ca="1">IF(AK746,('模拟-单技能数据'!$D$21+G746*'模拟-单技能数据'!$F$21)*(1+J746)*(1+'模拟-单技能数据'!$J$21)*(1+U746),0)</f>
        <v>0</v>
      </c>
      <c r="AO746" s="61">
        <f ca="1">IF(AN746&gt;0,M746-'模拟-单技能数据'!$K$10,AO745)</f>
        <v>0.42185145527300216</v>
      </c>
      <c r="AP746" s="61">
        <f ca="1">IF(AN746&gt;0,I746-'模拟-单技能数据'!$L$10,AP745)</f>
        <v>2.162482885499879</v>
      </c>
      <c r="AQ746" s="63">
        <f t="shared" ca="1" si="685"/>
        <v>5.1608589446616726E-3</v>
      </c>
      <c r="AR746" s="64">
        <f ca="1">IF(AL746,IF(AQ746&lt;$F$10,0,IF(AQ746&lt;$F$10+$F$11,0.25,IF(AQ746&lt;$F$10+$F$11+AO746,AP746,1)))*IF(AN746&gt;0,AN746,IF(AN745&gt;0,AN745,IF(AN744&gt;0,AN744,IF(AN743&gt;0,AN743,IF(AN742&gt;0,AN742,IF(AN741&gt;0,AN741,IF(AN740&gt;0,AN740,IF(AN739&gt;0,AN739,IF(AN738&gt;0,AN738,IF(AN736&gt;0,AN736,IF(AN735&gt;0,AN735,IF(AN734&gt;0,AN734,0)))))))))))),0)*(1-$S746)*'模拟-单技能数据'!$I$21</f>
        <v>0</v>
      </c>
      <c r="AS746" s="61">
        <f ca="1">IF(OR(C746="净世破魔击·日",C746="净世破魔击·月"),M746-'模拟-单技能数据'!$K$10,0)</f>
        <v>0</v>
      </c>
      <c r="AT746" s="61">
        <f ca="1">IF(OR(C746="净世破魔击·日",C746="净世破魔击·月"),I746-'模拟-单技能数据'!$L$10,0)</f>
        <v>0</v>
      </c>
      <c r="AU746" s="62">
        <f t="shared" ca="1" si="686"/>
        <v>0.76285913817618967</v>
      </c>
      <c r="AV746" s="64">
        <f ca="1">IF(AS746&gt;0,('模拟-单技能数据'!$D$22+G746*'模拟-单技能数据'!$F$22)*(1+J746)*(1-S746)*IF(AU746&lt;$F$10,0,IF(AU746&lt;$F$10+$F$11,0.25,IF(AU746&lt;$F$10+$F$11+AS746,AT746,1)))*(1+U746),0)*'模拟-单技能数据'!$I$22</f>
        <v>0</v>
      </c>
      <c r="AW746" s="108">
        <f t="shared" ca="1" si="687"/>
        <v>18.155000000000001</v>
      </c>
      <c r="AX746" s="108" t="b">
        <f ca="1">AND(模拟模式!$P$10="有",AW745=0,RAND()&lt;IF(C746="净世破魔击·月",0.1*8/3,IF(C746="净世破魔击·日",0.1*4/3,0.1*2/3)))</f>
        <v>0</v>
      </c>
      <c r="AY746" s="47">
        <f ca="1">IF(AX746,(18+G746*0.722)*(1+J746)*(1-S746)*(1+$I$4)*IF(P746="会",'模拟-全程加成'!$J$3+'模拟-全程加成'!$J$4+'模拟-全程加成'!$J$5+('模拟-全程加成'!$I$4+'模拟-全程加成'!$I$5)/系数!$B$4+BG746*10%,IF(P746="命",1,IF(P746="识",0.25,0))),0)</f>
        <v>0</v>
      </c>
      <c r="AZ746" s="108">
        <f t="shared" si="688"/>
        <v>6.1625000000000068</v>
      </c>
      <c r="BA746" s="108" t="b">
        <f>AND(模拟模式!$Q$10="有",AZ745=0)</f>
        <v>0</v>
      </c>
      <c r="BB746" s="140">
        <f>IF(BA746,(0+G746*0.287)*(1+J746)*(1-S746)*(1+$I$4)*IF(P746="会",'模拟-全程加成'!$J$3+'模拟-全程加成'!$J$4+'模拟-全程加成'!$J$5+('模拟-全程加成'!$I$4+'模拟-全程加成'!$I$5)/系数!$B$4+BG746*10%,IF(P746="命",1,IF(P746="识",0.25,0))),0)</f>
        <v>0</v>
      </c>
      <c r="BC746" s="115" t="b">
        <f ca="1">AND(模拟模式!$R$7="伏明众生",E746=60,F746=20,DA746&lt;5,CZ745&lt;$F$4)</f>
        <v>0</v>
      </c>
      <c r="BD746" s="115">
        <f t="shared" ca="1" si="667"/>
        <v>0</v>
      </c>
      <c r="BE746" s="115" t="b">
        <f t="shared" ca="1" si="668"/>
        <v>0</v>
      </c>
      <c r="BF746" s="47">
        <f ca="1">IF(BC746,4*('模拟-单技能数据'!$D$24+G746*'模拟-单技能数据'!$F$24)*(1+J746)*(1+'模拟-单技能数据'!$J$24)*(1-S746)*(1+$I$3)*(('模拟-全程加成'!$J$3+'模拟-全程加成'!$J$4+'模拟-全程加成'!$J$5+('模拟-全程加成'!$I$4+'模拟-全程加成'!$I$5)/系数!$B$4+BG746*10%)*('模拟-全程加成'!$J$3+'模拟-全程加成'!$J$4+'模拟-全程加成'!$J$5+('模拟-全程加成'!$I$4+'模拟-全程加成'!$I$5)/系数!$B$4+BG746*10%)+(1-('模拟-全程加成'!$J$3+'模拟-全程加成'!$J$4+'模拟-全程加成'!$J$5+('模拟-全程加成'!$I$4+'模拟-全程加成'!$I$5)/系数!$B$4+BG746*10%)-$F$10-$F$11)+F732*0.25),0)*'模拟-单技能数据'!$I$24</f>
        <v>0</v>
      </c>
      <c r="BG746" s="115" t="b">
        <f ca="1">OR(AND(OR(C746="烈日斩",C746="银月斩"),模拟模式!$I$7="净身明礼"),AND(C746="净世破魔击·日",模拟模式!$J$7="洞若观火"),AND(C747="净世破魔击·月",模拟模式!$J$7="洞若观火"),AB746=1)</f>
        <v>1</v>
      </c>
      <c r="BH746" s="115" t="b">
        <f t="shared" ca="1" si="689"/>
        <v>0</v>
      </c>
      <c r="BI746" s="115">
        <f t="shared" ca="1" si="669"/>
        <v>3.2324999999999995</v>
      </c>
      <c r="BJ746" s="115" t="b">
        <f t="shared" ca="1" si="670"/>
        <v>1</v>
      </c>
      <c r="BK746" s="115" t="b">
        <f ca="1">AND(C746="驱夜断愁",模拟模式!$P$7="天地诛戮")</f>
        <v>0</v>
      </c>
      <c r="BL746" s="57">
        <f t="shared" ca="1" si="671"/>
        <v>14.465000000000003</v>
      </c>
      <c r="BM746" s="115" t="b">
        <f t="shared" ca="1" si="672"/>
        <v>1</v>
      </c>
      <c r="BN746" s="115" t="b">
        <f ca="1">AND(OR(C746="赤日轮1",C746="赤日轮2",C746="赤日轮3",C746="幽月轮1",C746="幽月轮2",C746="幽月轮3"),AB746=1,模拟模式!$L$7="明光恒照")</f>
        <v>0</v>
      </c>
      <c r="BO746" s="117">
        <f t="shared" ca="1" si="673"/>
        <v>29.077500000000001</v>
      </c>
      <c r="BP746" s="115">
        <f t="shared" ca="1" si="690"/>
        <v>6</v>
      </c>
      <c r="BQ746" s="115" t="b">
        <f>模拟模式!$K$10="2600·水"</f>
        <v>0</v>
      </c>
      <c r="BR746" s="117">
        <f t="shared" si="691"/>
        <v>0</v>
      </c>
      <c r="BS746" s="115">
        <f t="shared" si="692"/>
        <v>0</v>
      </c>
      <c r="BT746" s="115">
        <f t="shared" ca="1" si="693"/>
        <v>0</v>
      </c>
      <c r="BU746" s="115" t="b">
        <f ca="1">AND(模拟模式!$K$10="2300·雷",BT745=0,RAND()&lt;IF(C746="净世破魔击·月",5*0.05*2/3,IF(C746="净世破魔击·日",3*0.05*2/3,0.05*2*2/3)))</f>
        <v>0</v>
      </c>
      <c r="BV746" s="115">
        <f t="shared" ca="1" si="694"/>
        <v>0</v>
      </c>
      <c r="BW746" s="115">
        <f t="shared" ca="1" si="695"/>
        <v>74.834999999999269</v>
      </c>
      <c r="BX746" s="164" t="b">
        <f t="shared" ca="1" si="696"/>
        <v>0</v>
      </c>
      <c r="BY746" s="115">
        <f t="shared" ca="1" si="697"/>
        <v>0</v>
      </c>
      <c r="BZ746" s="115">
        <f>IF(OR(模拟模式!$P$16="10人团",模拟模式!$P$16="25人团"),IF(B746/30&gt;CA745,1,0),0)</f>
        <v>0</v>
      </c>
      <c r="CA746" s="115">
        <f t="shared" si="674"/>
        <v>0</v>
      </c>
      <c r="CB746" s="115">
        <f ca="1">IF(BZ746=1,IF(模拟模式!$P$16="10人团",15,0)+IF(模拟模式!$P$16="25人团",IF(RAND()&lt;0.6,15,0)),MAX(0,CB745-$F$4))</f>
        <v>0</v>
      </c>
      <c r="CC746" s="115" t="b">
        <f t="shared" ca="1" si="675"/>
        <v>0</v>
      </c>
      <c r="CD746" s="115">
        <f>IF(模拟模式!$Q$16="1个",IF(B746/40&gt;CE745,1,0),0)</f>
        <v>0</v>
      </c>
      <c r="CE746" s="115">
        <f t="shared" si="676"/>
        <v>0</v>
      </c>
      <c r="CF746" s="115">
        <f>IF(OR(CD746=1,模拟模式!$Q$16="2个"),20,MAX(0,CF745-$F$4))</f>
        <v>0</v>
      </c>
      <c r="CG746" s="115" t="b">
        <f t="shared" si="677"/>
        <v>0</v>
      </c>
      <c r="CH746" s="115">
        <f t="shared" ca="1" si="698"/>
        <v>18.930000000000007</v>
      </c>
      <c r="CI746" s="115" t="b">
        <f t="shared" ca="1" si="699"/>
        <v>0</v>
      </c>
      <c r="CJ746" s="119">
        <f t="shared" ca="1" si="700"/>
        <v>0</v>
      </c>
      <c r="CK746" s="115">
        <f t="shared" ca="1" si="701"/>
        <v>0</v>
      </c>
      <c r="CL746" s="115" t="b">
        <f ca="1">AND(模拟模式!$S$7="驱夷逐法",OR(AND(C746="净世破魔击·月",E745&gt;59),AND(C746="净世破魔击·日",F745&gt;59)))</f>
        <v>0</v>
      </c>
      <c r="CM746" s="115" t="b">
        <f ca="1">OR(CL746,AND(C746="净世破魔击·日",CL745,RAND()&lt;模拟模式!$U$23))</f>
        <v>0</v>
      </c>
      <c r="CN746" s="115" t="b">
        <f ca="1">IF(模拟模式!$M$7="辉耀红尘",AND(C746="净世破魔击·月",CL746,CV746=0,E745&lt;80),AND(C746="净世破魔击·月",CL746,E745&lt;100))</f>
        <v>0</v>
      </c>
      <c r="CO746" s="115" t="b">
        <f t="shared" ca="1" si="678"/>
        <v>0</v>
      </c>
      <c r="CP746" s="115" t="b">
        <f ca="1">AND(模拟模式!$O$7="用晦而明",OR(C746="净世破魔击·日",C746="净世破魔击·月",C746="驱夜断愁"),AB746)</f>
        <v>0</v>
      </c>
      <c r="CQ746" s="115" t="b">
        <f ca="1">OR(CP746,AND(CP745,RAND()&lt;模拟模式!$U$23))</f>
        <v>0</v>
      </c>
      <c r="CR746" s="115" t="b">
        <f ca="1">AND(模拟模式!$S$7="日月齐光",OR(C746="幽月轮1",C746="幽月轮2",C746="幽月轮3",CR745),NOT(OR(C746="赤日轮1",C746="赤日轮2",C746="赤日轮3")))</f>
        <v>0</v>
      </c>
      <c r="CS746" s="115" t="b">
        <f ca="1">AND(模拟模式!$S$7="日月齐光",OR(C746="赤日轮1",C746="赤日轮2",C746="赤日轮3",CS745),NOT(OR(C746="幽月轮1",C746="幽月轮2",C746="幽月轮3")))</f>
        <v>0</v>
      </c>
      <c r="CT746" s="115">
        <f t="shared" ca="1" si="702"/>
        <v>4.1700000000000115</v>
      </c>
      <c r="CU746" s="115" t="b">
        <f ca="1">AND(模拟模式!$K$10="阴阳往极",CT745=0,RAND()&lt;IF(C746="净世破魔击·月",0.0275*7/3,IF(C746="净世破魔击·日",0.0275*3/3,0.0275*2/3)))</f>
        <v>0</v>
      </c>
      <c r="CV746" s="115">
        <f t="shared" ca="1" si="703"/>
        <v>0</v>
      </c>
      <c r="CW746" s="115">
        <f t="shared" ca="1" si="704"/>
        <v>1.3874999999999997</v>
      </c>
      <c r="CX746" s="115">
        <f t="shared" ca="1" si="705"/>
        <v>6</v>
      </c>
      <c r="CY746" s="115">
        <f ca="1">MAX(IF($C746="驱夜断愁",IF(模拟模式!$R$7="万念俱寂",6,45),CY745-$F$4),0)</f>
        <v>0.46499999999999975</v>
      </c>
      <c r="CZ746" s="115">
        <f t="shared" ca="1" si="679"/>
        <v>0</v>
      </c>
      <c r="DA746" s="115">
        <f ca="1">IF(模拟模式!$N$7="日月同辉",IF(DB745=2,0,MIN(6,IF(AND(OR(C746="赤日轮1",C746="赤日轮2",C746="赤日轮3",C746="幽月轮1",C746="幽月轮2",C746="幽月轮3"),AB746=1),DA745+1,DA745))),0)</f>
        <v>0</v>
      </c>
      <c r="DB746" s="115">
        <f t="shared" ca="1" si="680"/>
        <v>2</v>
      </c>
      <c r="DC746" s="115"/>
      <c r="DD746" s="115"/>
      <c r="DE746" s="115"/>
      <c r="DF746" s="115"/>
      <c r="DG746" s="115"/>
      <c r="DH746" s="115"/>
      <c r="DI746" s="115"/>
      <c r="DJ746" s="115"/>
      <c r="DK746" s="115"/>
      <c r="DL746" s="115"/>
      <c r="DM746" s="115"/>
    </row>
    <row r="747" spans="2:117" x14ac:dyDescent="0.2">
      <c r="B747" s="117">
        <f t="shared" si="681"/>
        <v>664.20000000000778</v>
      </c>
      <c r="C747" s="167" t="str">
        <f t="shared" ca="1" si="650"/>
        <v>驱夜断愁</v>
      </c>
      <c r="D747" s="115">
        <f ca="1">IF(C747="赤日轮1",1,IF(C747="赤日轮2",2,IF(C747="赤日轮3",3,IF(C747="幽月轮1",4,IF(C747="幽月轮2",5,IF(C747="幽月轮3",6,IF(C747="烈日斩",7,IF(C747="银月斩",8,IF(C747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747="净世破魔击·月",17,IF(C747="驱夜断愁",18,0)))))))))))</f>
        <v>18</v>
      </c>
      <c r="E747" s="115">
        <f ca="1">IF(AND(CU747,OR(C747="幽月轮1",C747="幽月轮2",C747="幽月轮3",C747="银月斩",C747="驱夜断愁",C747="净世破魔击·月")),100,MIN(IF(OR(CN747,BE747),0,IF(OR($C747="赤日轮1",$C747="赤日轮2",$C747="赤日轮3"),E746+20+IF(模拟模式!$I$7="日月凌天",4,0)+IF(CR746,20,0),IF($C747="烈日斩",E746+40,IF($C747="驱夜断愁",IF(模拟模式!$R$7="万念俱寂",E746+20,E746+60),IF($C747="净世破魔击·月",IF(OR(DB746&gt;0,CV746&gt;0),100,IF(模拟模式!$M$7="辉耀红尘",E746+20,E746)),IF($C747="净世破魔击·日",E746-100,E746)))))),100))</f>
        <v>40</v>
      </c>
      <c r="F747" s="115">
        <f ca="1">IF(AND(CU747,OR(C747="赤日轮1",C747="赤日轮2",C747="赤日轮3",C747="烈日斩",C747="净世破魔击·日")),100,MIN(IF(CO747,0,IF(OR($C747="幽月轮1",$C747="幽月轮2",$C747="幽月轮3"),F746+20+IF(模拟模式!$I$7="日月凌天",4,0)+IF(CS746,20,0),IF($C747="银月斩",F746+40+IF(模拟模式!$X$12=1,5,0),IF($C747="驱夜断愁",IF(模拟模式!$R$7="万念俱寂",F746+20,F746+60),IF($C747="净世破魔击·月",IF(模拟模式!$M$7="辉耀红尘",F746-80,F746-100),IF(AND(C747="净世破魔击·日",OR(DB746&gt;0,CV746&gt;0)),100,F746)))))),100))</f>
        <v>85</v>
      </c>
      <c r="G747" s="117">
        <f ca="1">('模拟-全程加成'!$E$3+'模拟-全程加成'!$E$4+'模拟-全程加成'!$E$5+('模拟-全程加成'!$C$6-'模拟-全程加成'!$C$3)*系数!$B$9+BS747*23)*(1+'模拟-全程加成'!$F$4+'模拟-全程加成'!$F$5+BJ747*10%+BM747*20%+BP747*4%+CG747*30%)+$F$7*系数!$B$12</f>
        <v>21493.829400000002</v>
      </c>
      <c r="H747" s="45">
        <f ca="1">'模拟-全程加成'!$H$3+'模拟-全程加成'!$H$4+'模拟-全程加成'!$H$5+('模拟-全程加成'!$G$4+'模拟-全程加成'!$G$5+('模拟-全程加成'!$C$6-'模拟-全程加成'!$C$3)*系数!$B$13)/系数!$B$3+LOOKUP(D747,'模拟-单技能数据'!$A$2:$A$19,'模拟-单技能数据'!$K$2:$K$19)+BG747*10%+IF(BV747&gt;0,378,0)</f>
        <v>0.51185145527300213</v>
      </c>
      <c r="I747" s="45">
        <f ca="1">'模拟-全程加成'!$J$3+'模拟-全程加成'!$J$4+'模拟-全程加成'!$J$5+('模拟-全程加成'!$I$4+'模拟-全程加成'!$I$5)/系数!$B$4+LOOKUP(D747,'模拟-单技能数据'!$A$2:$A$19,'模拟-单技能数据'!$L$2:$L$19)+BG747*10%</f>
        <v>2.162482885499879</v>
      </c>
      <c r="J747" s="45">
        <f ca="1">(('模拟-全程加成'!$K$3+'模拟-全程加成'!$K$4+'模拟-全程加成'!$K$5+('模拟-全程加成'!$C$6-'模拟-全程加成'!$C$3)*系数!$B$10+IF(BV747&gt;0,882,0)+IF(BY747&gt;0,1831,0))*(1+'模拟-全程加成'!$L$4+'模拟-全程加成'!$L$5+CC747*20%))/系数!$B$5</f>
        <v>0.69723220422048726</v>
      </c>
      <c r="K747" s="119">
        <f ca="1">LOOKUP(D747,'模拟-单技能数据'!$A$2:$A$19,'模拟-单技能数据'!$J$2:$J$19)+IF(CM747,60%,0)+IF(DB746-DB747&gt;0,30%,0)+IF(OR(AND(OR(C747="赤日轮1",C747="赤日轮2",C747="赤日轮3"),CR747),AND(OR(C747="幽月轮1",C747="幽月轮2",C747="幽月轮3"),CS747)),35%,0)+CJ747</f>
        <v>0.14000000000000001</v>
      </c>
      <c r="L747" s="119">
        <f ca="1">IF(AND(C747="烈日斩",模拟模式!$X$11=1),10%,0)+IF(AND(C747="驱夜断愁",AB747=1),30%,0)</f>
        <v>0.3</v>
      </c>
      <c r="M747" s="45">
        <f t="shared" ca="1" si="651"/>
        <v>0.51185145527300213</v>
      </c>
      <c r="N747" s="45">
        <f t="shared" ca="1" si="652"/>
        <v>0.43424854472699792</v>
      </c>
      <c r="O747" s="46">
        <f t="shared" ca="1" si="682"/>
        <v>0.90713629766211157</v>
      </c>
      <c r="P747" s="46" t="str">
        <f t="shared" ca="1" si="653"/>
        <v>命</v>
      </c>
      <c r="Q747" s="45">
        <f t="shared" ca="1" si="654"/>
        <v>1</v>
      </c>
      <c r="R747" s="117">
        <f ca="1">模拟模式!$E$20*(1-IF(模拟模式!$J$19="有",0.15,0))*(1-IF(模拟模式!$K$19="有",0.3,0)-IF(CQ747,0.5,0))</f>
        <v>843.02999999999975</v>
      </c>
      <c r="S747" s="45">
        <f ca="1">R747/(R747+(185*模拟模式!$E$22-16800)*4.08224)</f>
        <v>8.389626085980037E-2</v>
      </c>
      <c r="T747" s="45" t="str">
        <f ca="1">LOOKUP(D747,'模拟-单技能数据'!$A$2:$A$19,'模拟-单技能数据'!$H$2:$H$19)</f>
        <v>阴</v>
      </c>
      <c r="U747" s="119">
        <f t="shared" ca="1" si="655"/>
        <v>0.08</v>
      </c>
      <c r="V747" s="47">
        <f ca="1">(1+L747)*(LOOKUP(D747,'模拟-单技能数据'!$A$2:$A$19,'模拟-单技能数据'!$D$2:$D$19)+G747*LOOKUP(D747,'模拟-单技能数据'!$A$2:$A$19,'模拟-单技能数据'!$F$2:$F$19))*(1+J747)*(1+K747)*(1-S747)*(1+U747)*Q747*LOOKUP(D747,'模拟-单技能数据'!$A$2:$A$19,'模拟-单技能数据'!$I$2:$I$20)</f>
        <v>61540.073489592025</v>
      </c>
      <c r="W747" s="47">
        <f ca="1">LOOKUP(D747,'模拟-单技能数据'!$A$2:$A$19,'模拟-单技能数据'!$G$2:$G$19)*$I$10</f>
        <v>723.0212870940959</v>
      </c>
      <c r="X747" s="47">
        <f t="shared" ca="1" si="683"/>
        <v>11607.89185245618</v>
      </c>
      <c r="Y747" s="47">
        <f t="shared" ca="1" si="656"/>
        <v>73870.986629142295</v>
      </c>
      <c r="Z747" s="49">
        <f t="shared" ca="1" si="657"/>
        <v>75104583.564635232</v>
      </c>
      <c r="AA747" s="97">
        <f t="shared" ca="1" si="658"/>
        <v>113075.25378595958</v>
      </c>
      <c r="AB747" s="115">
        <f ca="1">IF(OR(C747="赤日轮1",C747="赤日轮2",C747="赤日轮3"),IF(RAND()&lt;模拟模式!$Y$17,1,0),IF(OR(C747="幽月轮1",C747="幽月轮2",C747="幽月轮3"),IF(RAND()&lt;模拟模式!$Y$18,1,0),IF(C747="烈日斩",IF(RAND()&lt;模拟模式!$Y$19,1,0),IF(C747="银月斩",IF(RAND()&lt;模拟模式!$Y$20,1,0),IF(C747="驱夜断愁",IF(RAND()&lt;模拟模式!$Y$21,1,0),IF(C747="净世破魔击·日",IF(RAND()&lt;模拟模式!$Y$22,1,0),IF(C747="净世破魔击·月",IF(RAND()&lt;模拟模式!$Y$23,1,0),0)))))))</f>
        <v>1</v>
      </c>
      <c r="AC747" s="115" t="b">
        <f t="shared" ca="1" si="659"/>
        <v>0</v>
      </c>
      <c r="AD747" s="115" t="b">
        <f t="shared" ca="1" si="660"/>
        <v>0</v>
      </c>
      <c r="AE747" s="115">
        <f t="shared" ca="1" si="661"/>
        <v>5</v>
      </c>
      <c r="AF747" s="47">
        <f ca="1">IF(AC747,('模拟-单技能数据'!$D$20+G747*'模拟-单技能数据'!$F$20)*(1+J747)*(1+'模拟-单技能数据'!$J$20)*(1+U747),0)</f>
        <v>0</v>
      </c>
      <c r="AG747" s="61">
        <f t="shared" ca="1" si="662"/>
        <v>0.64185145527300214</v>
      </c>
      <c r="AH747" s="61">
        <f t="shared" ca="1" si="663"/>
        <v>2.2624828854998791</v>
      </c>
      <c r="AI747" s="62">
        <f t="shared" ca="1" si="684"/>
        <v>0.47628352905269522</v>
      </c>
      <c r="AJ747" s="47">
        <f ca="1">IF(AD747,IF(AI747&lt;$F$10,0,IF(AI747&lt;$F$10+$F$11,0.25,IF(AI747&lt;$F$10+$F$11+AG747,AH747,1)))*IF(AF747&gt;0,AF747,IF(AF746&gt;0,AF746,IF(AF745&gt;0,AF745,IF(AF744&gt;0,AF744,IF(AF743&gt;0,AF743,IF(AF742&gt;0,AF742,IF(AF741&gt;0,AF741,IF(AF740&gt;0,AF740,IF(AF739&gt;0,AF739,IF(AF737&gt;0,AF737,IF(AF736&gt;0,AF736,IF(AF735&gt;0,AF735,0)))))))))))),0)*(1-$S747)*'模拟-单技能数据'!$I$20</f>
        <v>0</v>
      </c>
      <c r="AK747" s="115" t="b">
        <f t="shared" ca="1" si="664"/>
        <v>0</v>
      </c>
      <c r="AL747" s="115" t="b">
        <f t="shared" ca="1" si="665"/>
        <v>1</v>
      </c>
      <c r="AM747" s="115">
        <f t="shared" ca="1" si="666"/>
        <v>4</v>
      </c>
      <c r="AN747" s="47">
        <f ca="1">IF(AK747,('模拟-单技能数据'!$D$21+G747*'模拟-单技能数据'!$F$21)*(1+J747)*(1+'模拟-单技能数据'!$J$21)*(1+U747),0)</f>
        <v>0</v>
      </c>
      <c r="AO747" s="61">
        <f ca="1">IF(AN747&gt;0,M747-'模拟-单技能数据'!$K$10,AO746)</f>
        <v>0.42185145527300216</v>
      </c>
      <c r="AP747" s="61">
        <f ca="1">IF(AN747&gt;0,I747-'模拟-单技能数据'!$L$10,AP746)</f>
        <v>2.162482885499879</v>
      </c>
      <c r="AQ747" s="63">
        <f t="shared" ca="1" si="685"/>
        <v>0.93037787813410222</v>
      </c>
      <c r="AR747" s="64">
        <f ca="1">IF(AL747,IF(AQ747&lt;$F$10,0,IF(AQ747&lt;$F$10+$F$11,0.25,IF(AQ747&lt;$F$10+$F$11+AO747,AP747,1)))*IF(AN747&gt;0,AN747,IF(AN746&gt;0,AN746,IF(AN745&gt;0,AN745,IF(AN744&gt;0,AN744,IF(AN743&gt;0,AN743,IF(AN742&gt;0,AN742,IF(AN741&gt;0,AN741,IF(AN740&gt;0,AN740,IF(AN739&gt;0,AN739,IF(AN737&gt;0,AN737,IF(AN736&gt;0,AN736,IF(AN735&gt;0,AN735,0)))))))))))),0)*(1-$S747)*'模拟-单技能数据'!$I$21</f>
        <v>11607.89185245618</v>
      </c>
      <c r="AS747" s="61">
        <f ca="1">IF(OR(C747="净世破魔击·日",C747="净世破魔击·月"),M747-'模拟-单技能数据'!$K$10,0)</f>
        <v>0</v>
      </c>
      <c r="AT747" s="61">
        <f ca="1">IF(OR(C747="净世破魔击·日",C747="净世破魔击·月"),I747-'模拟-单技能数据'!$L$10,0)</f>
        <v>0</v>
      </c>
      <c r="AU747" s="62">
        <f t="shared" ca="1" si="686"/>
        <v>0.76323478441786463</v>
      </c>
      <c r="AV747" s="64">
        <f ca="1">IF(AS747&gt;0,('模拟-单技能数据'!$D$22+G747*'模拟-单技能数据'!$F$22)*(1+J747)*(1-S747)*IF(AU747&lt;$F$10,0,IF(AU747&lt;$F$10+$F$11,0.25,IF(AU747&lt;$F$10+$F$11+AS747,AT747,1)))*(1+U747),0)*'模拟-单技能数据'!$I$22</f>
        <v>0</v>
      </c>
      <c r="AW747" s="108">
        <f t="shared" ca="1" si="687"/>
        <v>17.232500000000002</v>
      </c>
      <c r="AX747" s="108" t="b">
        <f ca="1">AND(模拟模式!$P$10="有",AW746=0,RAND()&lt;IF(C747="净世破魔击·月",0.1*8/3,IF(C747="净世破魔击·日",0.1*4/3,0.1*2/3)))</f>
        <v>0</v>
      </c>
      <c r="AY747" s="47">
        <f ca="1">IF(AX747,(18+G747*0.722)*(1+J747)*(1-S747)*(1+$I$4)*IF(P747="会",'模拟-全程加成'!$J$3+'模拟-全程加成'!$J$4+'模拟-全程加成'!$J$5+('模拟-全程加成'!$I$4+'模拟-全程加成'!$I$5)/系数!$B$4+BG747*10%,IF(P747="命",1,IF(P747="识",0.25,0))),0)</f>
        <v>0</v>
      </c>
      <c r="AZ747" s="108">
        <f t="shared" si="688"/>
        <v>5.2400000000000064</v>
      </c>
      <c r="BA747" s="108" t="b">
        <f>AND(模拟模式!$Q$10="有",AZ746=0)</f>
        <v>0</v>
      </c>
      <c r="BB747" s="140">
        <f>IF(BA747,(0+G747*0.287)*(1+J747)*(1-S747)*(1+$I$4)*IF(P747="会",'模拟-全程加成'!$J$3+'模拟-全程加成'!$J$4+'模拟-全程加成'!$J$5+('模拟-全程加成'!$I$4+'模拟-全程加成'!$I$5)/系数!$B$4+BG747*10%,IF(P747="命",1,IF(P747="识",0.25,0))),0)</f>
        <v>0</v>
      </c>
      <c r="BC747" s="115" t="b">
        <f ca="1">AND(模拟模式!$R$7="伏明众生",E747=60,F747=20,DA747&lt;5,CZ746&lt;$F$4)</f>
        <v>0</v>
      </c>
      <c r="BD747" s="115">
        <f t="shared" ca="1" si="667"/>
        <v>0</v>
      </c>
      <c r="BE747" s="115" t="b">
        <f t="shared" ca="1" si="668"/>
        <v>0</v>
      </c>
      <c r="BF747" s="47">
        <f ca="1">IF(BC747,4*('模拟-单技能数据'!$D$24+G747*'模拟-单技能数据'!$F$24)*(1+J747)*(1+'模拟-单技能数据'!$J$24)*(1-S747)*(1+$I$3)*(('模拟-全程加成'!$J$3+'模拟-全程加成'!$J$4+'模拟-全程加成'!$J$5+('模拟-全程加成'!$I$4+'模拟-全程加成'!$I$5)/系数!$B$4+BG747*10%)*('模拟-全程加成'!$J$3+'模拟-全程加成'!$J$4+'模拟-全程加成'!$J$5+('模拟-全程加成'!$I$4+'模拟-全程加成'!$I$5)/系数!$B$4+BG747*10%)+(1-('模拟-全程加成'!$J$3+'模拟-全程加成'!$J$4+'模拟-全程加成'!$J$5+('模拟-全程加成'!$I$4+'模拟-全程加成'!$I$5)/系数!$B$4+BG747*10%)-$F$10-$F$11)+F733*0.25),0)*'模拟-单技能数据'!$I$24</f>
        <v>0</v>
      </c>
      <c r="BG747" s="115" t="b">
        <f ca="1">OR(AND(OR(C747="烈日斩",C747="银月斩"),模拟模式!$I$7="净身明礼"),AND(C747="净世破魔击·日",模拟模式!$J$7="洞若观火"),AND(C748="净世破魔击·月",模拟模式!$J$7="洞若观火"),AB747=1)</f>
        <v>1</v>
      </c>
      <c r="BH747" s="115" t="b">
        <f t="shared" ca="1" si="689"/>
        <v>0</v>
      </c>
      <c r="BI747" s="115">
        <f t="shared" ca="1" si="669"/>
        <v>2.3099999999999996</v>
      </c>
      <c r="BJ747" s="115" t="b">
        <f t="shared" ca="1" si="670"/>
        <v>1</v>
      </c>
      <c r="BK747" s="115" t="b">
        <f ca="1">AND(C747="驱夜断愁",模拟模式!$P$7="天地诛戮")</f>
        <v>1</v>
      </c>
      <c r="BL747" s="57">
        <f t="shared" ca="1" si="671"/>
        <v>20</v>
      </c>
      <c r="BM747" s="115" t="b">
        <f t="shared" ca="1" si="672"/>
        <v>1</v>
      </c>
      <c r="BN747" s="115" t="b">
        <f ca="1">AND(OR(C747="赤日轮1",C747="赤日轮2",C747="赤日轮3",C747="幽月轮1",C747="幽月轮2",C747="幽月轮3"),AB747=1,模拟模式!$L$7="明光恒照")</f>
        <v>0</v>
      </c>
      <c r="BO747" s="117">
        <f t="shared" ca="1" si="673"/>
        <v>28.155000000000001</v>
      </c>
      <c r="BP747" s="115">
        <f t="shared" ca="1" si="690"/>
        <v>6</v>
      </c>
      <c r="BQ747" s="115" t="b">
        <f>模拟模式!$K$10="2600·水"</f>
        <v>0</v>
      </c>
      <c r="BR747" s="117">
        <f t="shared" si="691"/>
        <v>0</v>
      </c>
      <c r="BS747" s="115">
        <f t="shared" si="692"/>
        <v>0</v>
      </c>
      <c r="BT747" s="115">
        <f t="shared" ca="1" si="693"/>
        <v>0</v>
      </c>
      <c r="BU747" s="115" t="b">
        <f ca="1">AND(模拟模式!$K$10="2300·雷",BT746=0,RAND()&lt;IF(C747="净世破魔击·月",5*0.05*2/3,IF(C747="净世破魔击·日",3*0.05*2/3,0.05*2*2/3)))</f>
        <v>0</v>
      </c>
      <c r="BV747" s="115">
        <f t="shared" ca="1" si="694"/>
        <v>0</v>
      </c>
      <c r="BW747" s="115">
        <f t="shared" ca="1" si="695"/>
        <v>73.91249999999927</v>
      </c>
      <c r="BX747" s="164" t="b">
        <f t="shared" ca="1" si="696"/>
        <v>0</v>
      </c>
      <c r="BY747" s="115">
        <f t="shared" ca="1" si="697"/>
        <v>0</v>
      </c>
      <c r="BZ747" s="115">
        <f>IF(OR(模拟模式!$P$16="10人团",模拟模式!$P$16="25人团"),IF(B747/30&gt;CA746,1,0),0)</f>
        <v>0</v>
      </c>
      <c r="CA747" s="115">
        <f t="shared" si="674"/>
        <v>0</v>
      </c>
      <c r="CB747" s="115">
        <f ca="1">IF(BZ747=1,IF(模拟模式!$P$16="10人团",15,0)+IF(模拟模式!$P$16="25人团",IF(RAND()&lt;0.6,15,0)),MAX(0,CB746-$F$4))</f>
        <v>0</v>
      </c>
      <c r="CC747" s="115" t="b">
        <f t="shared" ca="1" si="675"/>
        <v>0</v>
      </c>
      <c r="CD747" s="115">
        <f>IF(模拟模式!$Q$16="1个",IF(B747/40&gt;CE746,1,0),0)</f>
        <v>0</v>
      </c>
      <c r="CE747" s="115">
        <f t="shared" si="676"/>
        <v>0</v>
      </c>
      <c r="CF747" s="115">
        <f>IF(OR(CD747=1,模拟模式!$Q$16="2个"),20,MAX(0,CF746-$F$4))</f>
        <v>0</v>
      </c>
      <c r="CG747" s="115" t="b">
        <f t="shared" si="677"/>
        <v>0</v>
      </c>
      <c r="CH747" s="115">
        <f t="shared" ca="1" si="698"/>
        <v>18.007500000000007</v>
      </c>
      <c r="CI747" s="115" t="b">
        <f t="shared" ca="1" si="699"/>
        <v>0</v>
      </c>
      <c r="CJ747" s="119">
        <f t="shared" ca="1" si="700"/>
        <v>0</v>
      </c>
      <c r="CK747" s="115">
        <f t="shared" ca="1" si="701"/>
        <v>0</v>
      </c>
      <c r="CL747" s="115" t="b">
        <f ca="1">AND(模拟模式!$S$7="驱夷逐法",OR(AND(C747="净世破魔击·月",E746&gt;59),AND(C747="净世破魔击·日",F746&gt;59)))</f>
        <v>0</v>
      </c>
      <c r="CM747" s="115" t="b">
        <f ca="1">OR(CL747,AND(C747="净世破魔击·日",CL746,RAND()&lt;模拟模式!$U$23))</f>
        <v>0</v>
      </c>
      <c r="CN747" s="115" t="b">
        <f ca="1">IF(模拟模式!$M$7="辉耀红尘",AND(C747="净世破魔击·月",CL747,CV747=0,E746&lt;80),AND(C747="净世破魔击·月",CL747,E746&lt;100))</f>
        <v>0</v>
      </c>
      <c r="CO747" s="115" t="b">
        <f t="shared" ca="1" si="678"/>
        <v>0</v>
      </c>
      <c r="CP747" s="115" t="b">
        <f ca="1">AND(模拟模式!$O$7="用晦而明",OR(C747="净世破魔击·日",C747="净世破魔击·月",C747="驱夜断愁"),AB747)</f>
        <v>1</v>
      </c>
      <c r="CQ747" s="115" t="b">
        <f ca="1">OR(CP747,AND(CP746,RAND()&lt;模拟模式!$U$23))</f>
        <v>1</v>
      </c>
      <c r="CR747" s="115" t="b">
        <f ca="1">AND(模拟模式!$S$7="日月齐光",OR(C747="幽月轮1",C747="幽月轮2",C747="幽月轮3",CR746),NOT(OR(C747="赤日轮1",C747="赤日轮2",C747="赤日轮3")))</f>
        <v>0</v>
      </c>
      <c r="CS747" s="115" t="b">
        <f ca="1">AND(模拟模式!$S$7="日月齐光",OR(C747="赤日轮1",C747="赤日轮2",C747="赤日轮3",CS746),NOT(OR(C747="幽月轮1",C747="幽月轮2",C747="幽月轮3")))</f>
        <v>0</v>
      </c>
      <c r="CT747" s="115">
        <f t="shared" ca="1" si="702"/>
        <v>3.2475000000000116</v>
      </c>
      <c r="CU747" s="115" t="b">
        <f ca="1">AND(模拟模式!$K$10="阴阳往极",CT746=0,RAND()&lt;IF(C747="净世破魔击·月",0.0275*7/3,IF(C747="净世破魔击·日",0.0275*3/3,0.0275*2/3)))</f>
        <v>0</v>
      </c>
      <c r="CV747" s="115">
        <f t="shared" ca="1" si="703"/>
        <v>0</v>
      </c>
      <c r="CW747" s="115">
        <f t="shared" ca="1" si="704"/>
        <v>0.46499999999999975</v>
      </c>
      <c r="CX747" s="115">
        <f t="shared" ca="1" si="705"/>
        <v>5.0774999999999997</v>
      </c>
      <c r="CY747" s="115">
        <f ca="1">MAX(IF($C747="驱夜断愁",IF(模拟模式!$R$7="万念俱寂",6,45),CY746-$F$4),0)</f>
        <v>6</v>
      </c>
      <c r="CZ747" s="115">
        <f t="shared" ca="1" si="679"/>
        <v>0</v>
      </c>
      <c r="DA747" s="115">
        <f ca="1">IF(模拟模式!$N$7="日月同辉",IF(DB746=2,0,MIN(6,IF(AND(OR(C747="赤日轮1",C747="赤日轮2",C747="赤日轮3",C747="幽月轮1",C747="幽月轮2",C747="幽月轮3"),AB747=1),DA746+1,DA746))),0)</f>
        <v>0</v>
      </c>
      <c r="DB747" s="115">
        <f t="shared" ca="1" si="680"/>
        <v>2</v>
      </c>
      <c r="DC747" s="115"/>
      <c r="DD747" s="115"/>
      <c r="DE747" s="115"/>
      <c r="DF747" s="115"/>
      <c r="DG747" s="115"/>
      <c r="DH747" s="115"/>
      <c r="DI747" s="115"/>
      <c r="DJ747" s="115"/>
      <c r="DK747" s="115"/>
      <c r="DL747" s="115"/>
      <c r="DM747" s="115"/>
    </row>
    <row r="748" spans="2:117" x14ac:dyDescent="0.2">
      <c r="B748" s="117">
        <f t="shared" si="681"/>
        <v>665.12250000000779</v>
      </c>
      <c r="C748" s="167" t="str">
        <f t="shared" ca="1" si="650"/>
        <v>烈日斩</v>
      </c>
      <c r="D748" s="115">
        <f ca="1">IF(C748="赤日轮1",1,IF(C748="赤日轮2",2,IF(C748="赤日轮3",3,IF(C748="幽月轮1",4,IF(C748="幽月轮2",5,IF(C748="幽月轮3",6,IF(C748="烈日斩",7,IF(C748="银月斩",8,IF(C748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748="净世破魔击·月",17,IF(C748="驱夜断愁",18,0)))))))))))</f>
        <v>7</v>
      </c>
      <c r="E748" s="115">
        <f ca="1">IF(AND(CU748,OR(C748="幽月轮1",C748="幽月轮2",C748="幽月轮3",C748="银月斩",C748="驱夜断愁",C748="净世破魔击·月")),100,MIN(IF(OR(CN748,BE748),0,IF(OR($C748="赤日轮1",$C748="赤日轮2",$C748="赤日轮3"),E747+20+IF(模拟模式!$I$7="日月凌天",4,0)+IF(CR747,20,0),IF($C748="烈日斩",E747+40,IF($C748="驱夜断愁",IF(模拟模式!$R$7="万念俱寂",E747+20,E747+60),IF($C748="净世破魔击·月",IF(OR(DB747&gt;0,CV747&gt;0),100,IF(模拟模式!$M$7="辉耀红尘",E747+20,E747)),IF($C748="净世破魔击·日",E747-100,E747)))))),100))</f>
        <v>80</v>
      </c>
      <c r="F748" s="115">
        <f ca="1">IF(AND(CU748,OR(C748="赤日轮1",C748="赤日轮2",C748="赤日轮3",C748="烈日斩",C748="净世破魔击·日")),100,MIN(IF(CO748,0,IF(OR($C748="幽月轮1",$C748="幽月轮2",$C748="幽月轮3"),F747+20+IF(模拟模式!$I$7="日月凌天",4,0)+IF(CS747,20,0),IF($C748="银月斩",F747+40+IF(模拟模式!$X$12=1,5,0),IF($C748="驱夜断愁",IF(模拟模式!$R$7="万念俱寂",F747+20,F747+60),IF($C748="净世破魔击·月",IF(模拟模式!$M$7="辉耀红尘",F747-80,F747-100),IF(AND(C748="净世破魔击·日",OR(DB747&gt;0,CV747&gt;0)),100,F747)))))),100))</f>
        <v>85</v>
      </c>
      <c r="G748" s="117">
        <f ca="1">('模拟-全程加成'!$E$3+'模拟-全程加成'!$E$4+'模拟-全程加成'!$E$5+('模拟-全程加成'!$C$6-'模拟-全程加成'!$C$3)*系数!$B$9+BS748*23)*(1+'模拟-全程加成'!$F$4+'模拟-全程加成'!$F$5+BJ748*10%+BM748*20%+BP748*4%+CG748*30%)+$F$7*系数!$B$12</f>
        <v>21493.829400000002</v>
      </c>
      <c r="H748" s="45">
        <f ca="1">'模拟-全程加成'!$H$3+'模拟-全程加成'!$H$4+'模拟-全程加成'!$H$5+('模拟-全程加成'!$G$4+'模拟-全程加成'!$G$5+('模拟-全程加成'!$C$6-'模拟-全程加成'!$C$3)*系数!$B$13)/系数!$B$3+LOOKUP(D748,'模拟-单技能数据'!$A$2:$A$19,'模拟-单技能数据'!$K$2:$K$19)+BG748*10%+IF(BV748&gt;0,378,0)</f>
        <v>0.56185145527300218</v>
      </c>
      <c r="I748" s="45">
        <f ca="1">'模拟-全程加成'!$J$3+'模拟-全程加成'!$J$4+'模拟-全程加成'!$J$5+('模拟-全程加成'!$I$4+'模拟-全程加成'!$I$5)/系数!$B$4+LOOKUP(D748,'模拟-单技能数据'!$A$2:$A$19,'模拟-单技能数据'!$L$2:$L$19)+BG748*10%</f>
        <v>2.2624828854998791</v>
      </c>
      <c r="J748" s="45">
        <f ca="1">(('模拟-全程加成'!$K$3+'模拟-全程加成'!$K$4+'模拟-全程加成'!$K$5+('模拟-全程加成'!$C$6-'模拟-全程加成'!$C$3)*系数!$B$10+IF(BV748&gt;0,882,0)+IF(BY748&gt;0,1831,0))*(1+'模拟-全程加成'!$L$4+'模拟-全程加成'!$L$5+CC748*20%))/系数!$B$5</f>
        <v>0.69723220422048726</v>
      </c>
      <c r="K748" s="119">
        <f ca="1">LOOKUP(D748,'模拟-单技能数据'!$A$2:$A$19,'模拟-单技能数据'!$J$2:$J$19)+IF(CM748,60%,0)+IF(DB747-DB748&gt;0,30%,0)+IF(OR(AND(OR(C748="赤日轮1",C748="赤日轮2",C748="赤日轮3"),CR748),AND(OR(C748="幽月轮1",C748="幽月轮2",C748="幽月轮3"),CS748)),35%,0)+CJ748</f>
        <v>0.24</v>
      </c>
      <c r="L748" s="119">
        <f ca="1">IF(AND(C748="烈日斩",模拟模式!$X$11=1),10%,0)+IF(AND(C748="驱夜断愁",AB748=1),30%,0)</f>
        <v>0.1</v>
      </c>
      <c r="M748" s="45">
        <f t="shared" ca="1" si="651"/>
        <v>0.56185145527300218</v>
      </c>
      <c r="N748" s="45">
        <f t="shared" ca="1" si="652"/>
        <v>0.38424854472699788</v>
      </c>
      <c r="O748" s="46">
        <f t="shared" ca="1" si="682"/>
        <v>5.7088795306838414E-2</v>
      </c>
      <c r="P748" s="46" t="str">
        <f t="shared" ca="1" si="653"/>
        <v>会</v>
      </c>
      <c r="Q748" s="45">
        <f t="shared" ca="1" si="654"/>
        <v>2.2624828854998791</v>
      </c>
      <c r="R748" s="117">
        <f ca="1">模拟模式!$E$20*(1-IF(模拟模式!$J$19="有",0.15,0))*(1-IF(模拟模式!$K$19="有",0.3,0)-IF(CQ748,0.5,0))</f>
        <v>843.02999999999975</v>
      </c>
      <c r="S748" s="45">
        <f ca="1">R748/(R748+(185*模拟模式!$E$22-16800)*4.08224)</f>
        <v>8.389626085980037E-2</v>
      </c>
      <c r="T748" s="45" t="str">
        <f ca="1">LOOKUP(D748,'模拟-单技能数据'!$A$2:$A$19,'模拟-单技能数据'!$H$2:$H$19)</f>
        <v>阳</v>
      </c>
      <c r="U748" s="119">
        <f t="shared" ca="1" si="655"/>
        <v>0.2</v>
      </c>
      <c r="V748" s="47">
        <f ca="1">(1+L748)*(LOOKUP(D748,'模拟-单技能数据'!$A$2:$A$19,'模拟-单技能数据'!$D$2:$D$19)+G748*LOOKUP(D748,'模拟-单技能数据'!$A$2:$A$19,'模拟-单技能数据'!$F$2:$F$19))*(1+J748)*(1+K748)*(1-S748)*(1+U748)*Q748*LOOKUP(D748,'模拟-单技能数据'!$A$2:$A$19,'模拟-单技能数据'!$I$2:$I$20)</f>
        <v>110503.35617153208</v>
      </c>
      <c r="W748" s="47">
        <f ca="1">LOOKUP(D748,'模拟-单技能数据'!$A$2:$A$19,'模拟-单技能数据'!$G$2:$G$19)*$I$10</f>
        <v>361.51064354704795</v>
      </c>
      <c r="X748" s="47">
        <f t="shared" ca="1" si="683"/>
        <v>4250.4883357170938</v>
      </c>
      <c r="Y748" s="47">
        <f t="shared" ca="1" si="656"/>
        <v>115115.35515079623</v>
      </c>
      <c r="Z748" s="49">
        <f t="shared" ca="1" si="657"/>
        <v>75219698.919786021</v>
      </c>
      <c r="AA748" s="97">
        <f t="shared" ca="1" si="658"/>
        <v>113091.49655858152</v>
      </c>
      <c r="AB748" s="115">
        <f ca="1">IF(OR(C748="赤日轮1",C748="赤日轮2",C748="赤日轮3"),IF(RAND()&lt;模拟模式!$Y$17,1,0),IF(OR(C748="幽月轮1",C748="幽月轮2",C748="幽月轮3"),IF(RAND()&lt;模拟模式!$Y$18,1,0),IF(C748="烈日斩",IF(RAND()&lt;模拟模式!$Y$19,1,0),IF(C748="银月斩",IF(RAND()&lt;模拟模式!$Y$20,1,0),IF(C748="驱夜断愁",IF(RAND()&lt;模拟模式!$Y$21,1,0),IF(C748="净世破魔击·日",IF(RAND()&lt;模拟模式!$Y$22,1,0),IF(C748="净世破魔击·月",IF(RAND()&lt;模拟模式!$Y$23,1,0),0)))))))</f>
        <v>1</v>
      </c>
      <c r="AC748" s="115" t="b">
        <f t="shared" ca="1" si="659"/>
        <v>0</v>
      </c>
      <c r="AD748" s="115" t="b">
        <f t="shared" ca="1" si="660"/>
        <v>1</v>
      </c>
      <c r="AE748" s="115">
        <f t="shared" ca="1" si="661"/>
        <v>4</v>
      </c>
      <c r="AF748" s="47">
        <f ca="1">IF(AC748,('模拟-单技能数据'!$D$20+G748*'模拟-单技能数据'!$F$20)*(1+J748)*(1+'模拟-单技能数据'!$J$20)*(1+U748),0)</f>
        <v>0</v>
      </c>
      <c r="AG748" s="61">
        <f t="shared" ca="1" si="662"/>
        <v>0.64185145527300214</v>
      </c>
      <c r="AH748" s="61">
        <f t="shared" ca="1" si="663"/>
        <v>2.2624828854998791</v>
      </c>
      <c r="AI748" s="62">
        <f t="shared" ca="1" si="684"/>
        <v>0.71471509151038004</v>
      </c>
      <c r="AJ748" s="47">
        <f ca="1">IF(AD748,IF(AI748&lt;$F$10,0,IF(AI748&lt;$F$10+$F$11,0.25,IF(AI748&lt;$F$10+$F$11+AG748,AH748,1)))*IF(AF748&gt;0,AF748,IF(AF747&gt;0,AF747,IF(AF746&gt;0,AF746,IF(AF745&gt;0,AF745,IF(AF744&gt;0,AF744,IF(AF743&gt;0,AF743,IF(AF742&gt;0,AF742,IF(AF741&gt;0,AF741,IF(AF740&gt;0,AF740,IF(AF738&gt;0,AF738,IF(AF737&gt;0,AF737,IF(AF736&gt;0,AF736,0)))))))))))),0)*(1-$S748)*'模拟-单技能数据'!$I$20</f>
        <v>4250.4883357170938</v>
      </c>
      <c r="AK748" s="115" t="b">
        <f t="shared" ca="1" si="664"/>
        <v>0</v>
      </c>
      <c r="AL748" s="115" t="b">
        <f t="shared" ca="1" si="665"/>
        <v>0</v>
      </c>
      <c r="AM748" s="115">
        <f t="shared" ca="1" si="666"/>
        <v>4</v>
      </c>
      <c r="AN748" s="47">
        <f ca="1">IF(AK748,('模拟-单技能数据'!$D$21+G748*'模拟-单技能数据'!$F$21)*(1+J748)*(1+'模拟-单技能数据'!$J$21)*(1+U748),0)</f>
        <v>0</v>
      </c>
      <c r="AO748" s="61">
        <f ca="1">IF(AN748&gt;0,M748-'模拟-单技能数据'!$K$10,AO747)</f>
        <v>0.42185145527300216</v>
      </c>
      <c r="AP748" s="61">
        <f ca="1">IF(AN748&gt;0,I748-'模拟-单技能数据'!$L$10,AP747)</f>
        <v>2.162482885499879</v>
      </c>
      <c r="AQ748" s="63">
        <f t="shared" ca="1" si="685"/>
        <v>0.15062555396180977</v>
      </c>
      <c r="AR748" s="64">
        <f ca="1">IF(AL748,IF(AQ748&lt;$F$10,0,IF(AQ748&lt;$F$10+$F$11,0.25,IF(AQ748&lt;$F$10+$F$11+AO748,AP748,1)))*IF(AN748&gt;0,AN748,IF(AN747&gt;0,AN747,IF(AN746&gt;0,AN746,IF(AN745&gt;0,AN745,IF(AN744&gt;0,AN744,IF(AN743&gt;0,AN743,IF(AN742&gt;0,AN742,IF(AN741&gt;0,AN741,IF(AN740&gt;0,AN740,IF(AN738&gt;0,AN738,IF(AN737&gt;0,AN737,IF(AN736&gt;0,AN736,0)))))))))))),0)*(1-$S748)*'模拟-单技能数据'!$I$21</f>
        <v>0</v>
      </c>
      <c r="AS748" s="61">
        <f ca="1">IF(OR(C748="净世破魔击·日",C748="净世破魔击·月"),M748-'模拟-单技能数据'!$K$10,0)</f>
        <v>0</v>
      </c>
      <c r="AT748" s="61">
        <f ca="1">IF(OR(C748="净世破魔击·日",C748="净世破魔击·月"),I748-'模拟-单技能数据'!$L$10,0)</f>
        <v>0</v>
      </c>
      <c r="AU748" s="62">
        <f t="shared" ca="1" si="686"/>
        <v>0.78591814107321523</v>
      </c>
      <c r="AV748" s="64">
        <f ca="1">IF(AS748&gt;0,('模拟-单技能数据'!$D$22+G748*'模拟-单技能数据'!$F$22)*(1+J748)*(1-S748)*IF(AU748&lt;$F$10,0,IF(AU748&lt;$F$10+$F$11,0.25,IF(AU748&lt;$F$10+$F$11+AS748,AT748,1)))*(1+U748),0)*'模拟-单技能数据'!$I$22</f>
        <v>0</v>
      </c>
      <c r="AW748" s="108">
        <f t="shared" ca="1" si="687"/>
        <v>16.310000000000002</v>
      </c>
      <c r="AX748" s="108" t="b">
        <f ca="1">AND(模拟模式!$P$10="有",AW747=0,RAND()&lt;IF(C748="净世破魔击·月",0.1*8/3,IF(C748="净世破魔击·日",0.1*4/3,0.1*2/3)))</f>
        <v>0</v>
      </c>
      <c r="AY748" s="47">
        <f ca="1">IF(AX748,(18+G748*0.722)*(1+J748)*(1-S748)*(1+$I$4)*IF(P748="会",'模拟-全程加成'!$J$3+'模拟-全程加成'!$J$4+'模拟-全程加成'!$J$5+('模拟-全程加成'!$I$4+'模拟-全程加成'!$I$5)/系数!$B$4+BG748*10%,IF(P748="命",1,IF(P748="识",0.25,0))),0)</f>
        <v>0</v>
      </c>
      <c r="AZ748" s="108">
        <f t="shared" si="688"/>
        <v>4.3175000000000061</v>
      </c>
      <c r="BA748" s="108" t="b">
        <f>AND(模拟模式!$Q$10="有",AZ747=0)</f>
        <v>0</v>
      </c>
      <c r="BB748" s="140">
        <f>IF(BA748,(0+G748*0.287)*(1+J748)*(1-S748)*(1+$I$4)*IF(P748="会",'模拟-全程加成'!$J$3+'模拟-全程加成'!$J$4+'模拟-全程加成'!$J$5+('模拟-全程加成'!$I$4+'模拟-全程加成'!$I$5)/系数!$B$4+BG748*10%,IF(P748="命",1,IF(P748="识",0.25,0))),0)</f>
        <v>0</v>
      </c>
      <c r="BC748" s="115" t="b">
        <f ca="1">AND(模拟模式!$R$7="伏明众生",E748=60,F748=20,DA748&lt;5,CZ747&lt;$F$4)</f>
        <v>0</v>
      </c>
      <c r="BD748" s="115">
        <f t="shared" ca="1" si="667"/>
        <v>0</v>
      </c>
      <c r="BE748" s="115" t="b">
        <f t="shared" ca="1" si="668"/>
        <v>0</v>
      </c>
      <c r="BF748" s="47">
        <f ca="1">IF(BC748,4*('模拟-单技能数据'!$D$24+G748*'模拟-单技能数据'!$F$24)*(1+J748)*(1+'模拟-单技能数据'!$J$24)*(1-S748)*(1+$I$3)*(('模拟-全程加成'!$J$3+'模拟-全程加成'!$J$4+'模拟-全程加成'!$J$5+('模拟-全程加成'!$I$4+'模拟-全程加成'!$I$5)/系数!$B$4+BG748*10%)*('模拟-全程加成'!$J$3+'模拟-全程加成'!$J$4+'模拟-全程加成'!$J$5+('模拟-全程加成'!$I$4+'模拟-全程加成'!$I$5)/系数!$B$4+BG748*10%)+(1-('模拟-全程加成'!$J$3+'模拟-全程加成'!$J$4+'模拟-全程加成'!$J$5+('模拟-全程加成'!$I$4+'模拟-全程加成'!$I$5)/系数!$B$4+BG748*10%)-$F$10-$F$11)+F734*0.25),0)*'模拟-单技能数据'!$I$24</f>
        <v>0</v>
      </c>
      <c r="BG748" s="115" t="b">
        <f ca="1">OR(AND(OR(C748="烈日斩",C748="银月斩"),模拟模式!$I$7="净身明礼"),AND(C748="净世破魔击·日",模拟模式!$J$7="洞若观火"),AND(C749="净世破魔击·月",模拟模式!$J$7="洞若观火"),AB748=1)</f>
        <v>1</v>
      </c>
      <c r="BH748" s="115" t="b">
        <f t="shared" ca="1" si="689"/>
        <v>0</v>
      </c>
      <c r="BI748" s="115">
        <f t="shared" ca="1" si="669"/>
        <v>1.3874999999999997</v>
      </c>
      <c r="BJ748" s="115" t="b">
        <f t="shared" ca="1" si="670"/>
        <v>1</v>
      </c>
      <c r="BK748" s="115" t="b">
        <f ca="1">AND(C748="驱夜断愁",模拟模式!$P$7="天地诛戮")</f>
        <v>0</v>
      </c>
      <c r="BL748" s="57">
        <f t="shared" ca="1" si="671"/>
        <v>19.077500000000001</v>
      </c>
      <c r="BM748" s="115" t="b">
        <f t="shared" ca="1" si="672"/>
        <v>1</v>
      </c>
      <c r="BN748" s="115" t="b">
        <f ca="1">AND(OR(C748="赤日轮1",C748="赤日轮2",C748="赤日轮3",C748="幽月轮1",C748="幽月轮2",C748="幽月轮3"),AB748=1,模拟模式!$L$7="明光恒照")</f>
        <v>0</v>
      </c>
      <c r="BO748" s="117">
        <f t="shared" ca="1" si="673"/>
        <v>27.232500000000002</v>
      </c>
      <c r="BP748" s="115">
        <f t="shared" ca="1" si="690"/>
        <v>6</v>
      </c>
      <c r="BQ748" s="115" t="b">
        <f>模拟模式!$K$10="2600·水"</f>
        <v>0</v>
      </c>
      <c r="BR748" s="117">
        <f t="shared" si="691"/>
        <v>0</v>
      </c>
      <c r="BS748" s="115">
        <f t="shared" si="692"/>
        <v>0</v>
      </c>
      <c r="BT748" s="115">
        <f t="shared" ca="1" si="693"/>
        <v>0</v>
      </c>
      <c r="BU748" s="115" t="b">
        <f ca="1">AND(模拟模式!$K$10="2300·雷",BT747=0,RAND()&lt;IF(C748="净世破魔击·月",5*0.05*2/3,IF(C748="净世破魔击·日",3*0.05*2/3,0.05*2*2/3)))</f>
        <v>0</v>
      </c>
      <c r="BV748" s="115">
        <f t="shared" ca="1" si="694"/>
        <v>0</v>
      </c>
      <c r="BW748" s="115">
        <f t="shared" ca="1" si="695"/>
        <v>72.98999999999927</v>
      </c>
      <c r="BX748" s="164" t="b">
        <f t="shared" ca="1" si="696"/>
        <v>0</v>
      </c>
      <c r="BY748" s="115">
        <f t="shared" ca="1" si="697"/>
        <v>0</v>
      </c>
      <c r="BZ748" s="115">
        <f>IF(OR(模拟模式!$P$16="10人团",模拟模式!$P$16="25人团"),IF(B748/30&gt;CA747,1,0),0)</f>
        <v>0</v>
      </c>
      <c r="CA748" s="115">
        <f t="shared" si="674"/>
        <v>0</v>
      </c>
      <c r="CB748" s="115">
        <f ca="1">IF(BZ748=1,IF(模拟模式!$P$16="10人团",15,0)+IF(模拟模式!$P$16="25人团",IF(RAND()&lt;0.6,15,0)),MAX(0,CB747-$F$4))</f>
        <v>0</v>
      </c>
      <c r="CC748" s="115" t="b">
        <f t="shared" ca="1" si="675"/>
        <v>0</v>
      </c>
      <c r="CD748" s="115">
        <f>IF(模拟模式!$Q$16="1个",IF(B748/40&gt;CE747,1,0),0)</f>
        <v>0</v>
      </c>
      <c r="CE748" s="115">
        <f t="shared" si="676"/>
        <v>0</v>
      </c>
      <c r="CF748" s="115">
        <f>IF(OR(CD748=1,模拟模式!$Q$16="2个"),20,MAX(0,CF747-$F$4))</f>
        <v>0</v>
      </c>
      <c r="CG748" s="115" t="b">
        <f t="shared" si="677"/>
        <v>0</v>
      </c>
      <c r="CH748" s="115">
        <f t="shared" ca="1" si="698"/>
        <v>17.085000000000008</v>
      </c>
      <c r="CI748" s="115" t="b">
        <f t="shared" ca="1" si="699"/>
        <v>0</v>
      </c>
      <c r="CJ748" s="119">
        <f t="shared" ca="1" si="700"/>
        <v>0</v>
      </c>
      <c r="CK748" s="115">
        <f t="shared" ca="1" si="701"/>
        <v>0</v>
      </c>
      <c r="CL748" s="115" t="b">
        <f ca="1">AND(模拟模式!$S$7="驱夷逐法",OR(AND(C748="净世破魔击·月",E747&gt;59),AND(C748="净世破魔击·日",F747&gt;59)))</f>
        <v>0</v>
      </c>
      <c r="CM748" s="115" t="b">
        <f ca="1">OR(CL748,AND(C748="净世破魔击·日",CL747,RAND()&lt;模拟模式!$U$23))</f>
        <v>0</v>
      </c>
      <c r="CN748" s="115" t="b">
        <f ca="1">IF(模拟模式!$M$7="辉耀红尘",AND(C748="净世破魔击·月",CL748,CV748=0,E747&lt;80),AND(C748="净世破魔击·月",CL748,E747&lt;100))</f>
        <v>0</v>
      </c>
      <c r="CO748" s="115" t="b">
        <f t="shared" ca="1" si="678"/>
        <v>0</v>
      </c>
      <c r="CP748" s="115" t="b">
        <f ca="1">AND(模拟模式!$O$7="用晦而明",OR(C748="净世破魔击·日",C748="净世破魔击·月",C748="驱夜断愁"),AB748)</f>
        <v>0</v>
      </c>
      <c r="CQ748" s="115" t="b">
        <f ca="1">OR(CP748,AND(CP747,RAND()&lt;模拟模式!$U$23))</f>
        <v>1</v>
      </c>
      <c r="CR748" s="115" t="b">
        <f ca="1">AND(模拟模式!$S$7="日月齐光",OR(C748="幽月轮1",C748="幽月轮2",C748="幽月轮3",CR747),NOT(OR(C748="赤日轮1",C748="赤日轮2",C748="赤日轮3")))</f>
        <v>0</v>
      </c>
      <c r="CS748" s="115" t="b">
        <f ca="1">AND(模拟模式!$S$7="日月齐光",OR(C748="赤日轮1",C748="赤日轮2",C748="赤日轮3",CS747),NOT(OR(C748="幽月轮1",C748="幽月轮2",C748="幽月轮3")))</f>
        <v>0</v>
      </c>
      <c r="CT748" s="115">
        <f t="shared" ca="1" si="702"/>
        <v>2.3250000000000117</v>
      </c>
      <c r="CU748" s="115" t="b">
        <f ca="1">AND(模拟模式!$K$10="阴阳往极",CT747=0,RAND()&lt;IF(C748="净世破魔击·月",0.0275*7/3,IF(C748="净世破魔击·日",0.0275*3/3,0.0275*2/3)))</f>
        <v>0</v>
      </c>
      <c r="CV748" s="115">
        <f t="shared" ca="1" si="703"/>
        <v>0</v>
      </c>
      <c r="CW748" s="115">
        <f t="shared" ca="1" si="704"/>
        <v>6</v>
      </c>
      <c r="CX748" s="115">
        <f t="shared" ca="1" si="705"/>
        <v>4.1549999999999994</v>
      </c>
      <c r="CY748" s="115">
        <f ca="1">MAX(IF($C748="驱夜断愁",IF(模拟模式!$R$7="万念俱寂",6,45),CY747-$F$4),0)</f>
        <v>5.0774999999999997</v>
      </c>
      <c r="CZ748" s="115">
        <f t="shared" ca="1" si="679"/>
        <v>0</v>
      </c>
      <c r="DA748" s="115">
        <f ca="1">IF(模拟模式!$N$7="日月同辉",IF(DB747=2,0,MIN(6,IF(AND(OR(C748="赤日轮1",C748="赤日轮2",C748="赤日轮3",C748="幽月轮1",C748="幽月轮2",C748="幽月轮3"),AB748=1),DA747+1,DA747))),0)</f>
        <v>0</v>
      </c>
      <c r="DB748" s="115">
        <f t="shared" ca="1" si="680"/>
        <v>2</v>
      </c>
      <c r="DC748" s="115"/>
      <c r="DD748" s="115"/>
      <c r="DE748" s="115"/>
      <c r="DF748" s="115"/>
      <c r="DG748" s="115"/>
      <c r="DH748" s="115"/>
      <c r="DI748" s="115"/>
      <c r="DJ748" s="115"/>
      <c r="DK748" s="115"/>
      <c r="DL748" s="115"/>
      <c r="DM748" s="115"/>
    </row>
    <row r="749" spans="2:117" x14ac:dyDescent="0.2">
      <c r="B749" s="117">
        <f t="shared" si="681"/>
        <v>666.0450000000078</v>
      </c>
      <c r="C749" s="167" t="str">
        <f t="shared" ca="1" si="650"/>
        <v>幽月轮1</v>
      </c>
      <c r="D749" s="115">
        <f ca="1">IF(C749="赤日轮1",1,IF(C749="赤日轮2",2,IF(C749="赤日轮3",3,IF(C749="幽月轮1",4,IF(C749="幽月轮2",5,IF(C749="幽月轮3",6,IF(C749="烈日斩",7,IF(C749="银月斩",8,IF(C749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749="净世破魔击·月",17,IF(C749="驱夜断愁",18,0)))))))))))</f>
        <v>4</v>
      </c>
      <c r="E749" s="115">
        <f ca="1">IF(AND(CU749,OR(C749="幽月轮1",C749="幽月轮2",C749="幽月轮3",C749="银月斩",C749="驱夜断愁",C749="净世破魔击·月")),100,MIN(IF(OR(CN749,BE749),0,IF(OR($C749="赤日轮1",$C749="赤日轮2",$C749="赤日轮3"),E748+20+IF(模拟模式!$I$7="日月凌天",4,0)+IF(CR748,20,0),IF($C749="烈日斩",E748+40,IF($C749="驱夜断愁",IF(模拟模式!$R$7="万念俱寂",E748+20,E748+60),IF($C749="净世破魔击·月",IF(OR(DB748&gt;0,CV748&gt;0),100,IF(模拟模式!$M$7="辉耀红尘",E748+20,E748)),IF($C749="净世破魔击·日",E748-100,E748)))))),100))</f>
        <v>80</v>
      </c>
      <c r="F749" s="115">
        <f ca="1">IF(AND(CU749,OR(C749="赤日轮1",C749="赤日轮2",C749="赤日轮3",C749="烈日斩",C749="净世破魔击·日")),100,MIN(IF(CO749,0,IF(OR($C749="幽月轮1",$C749="幽月轮2",$C749="幽月轮3"),F748+20+IF(模拟模式!$I$7="日月凌天",4,0)+IF(CS748,20,0),IF($C749="银月斩",F748+40+IF(模拟模式!$X$12=1,5,0),IF($C749="驱夜断愁",IF(模拟模式!$R$7="万念俱寂",F748+20,F748+60),IF($C749="净世破魔击·月",IF(模拟模式!$M$7="辉耀红尘",F748-80,F748-100),IF(AND(C749="净世破魔击·日",OR(DB748&gt;0,CV748&gt;0)),100,F748)))))),100))</f>
        <v>100</v>
      </c>
      <c r="G749" s="117">
        <f ca="1">('模拟-全程加成'!$E$3+'模拟-全程加成'!$E$4+'模拟-全程加成'!$E$5+('模拟-全程加成'!$C$6-'模拟-全程加成'!$C$3)*系数!$B$9+BS749*23)*(1+'模拟-全程加成'!$F$4+'模拟-全程加成'!$F$5+BJ749*10%+BM749*20%+BP749*4%+CG749*30%)+$F$7*系数!$B$12</f>
        <v>21493.829400000002</v>
      </c>
      <c r="H749" s="45">
        <f ca="1">'模拟-全程加成'!$H$3+'模拟-全程加成'!$H$4+'模拟-全程加成'!$H$5+('模拟-全程加成'!$G$4+'模拟-全程加成'!$G$5+('模拟-全程加成'!$C$6-'模拟-全程加成'!$C$3)*系数!$B$13)/系数!$B$3+LOOKUP(D749,'模拟-单技能数据'!$A$2:$A$19,'模拟-单技能数据'!$K$2:$K$19)+BG749*10%+IF(BV749&gt;0,378,0)</f>
        <v>0.51185145527300213</v>
      </c>
      <c r="I749" s="45">
        <f ca="1">'模拟-全程加成'!$J$3+'模拟-全程加成'!$J$4+'模拟-全程加成'!$J$5+('模拟-全程加成'!$I$4+'模拟-全程加成'!$I$5)/系数!$B$4+LOOKUP(D749,'模拟-单技能数据'!$A$2:$A$19,'模拟-单技能数据'!$L$2:$L$19)+BG749*10%</f>
        <v>2.162482885499879</v>
      </c>
      <c r="J749" s="45">
        <f ca="1">(('模拟-全程加成'!$K$3+'模拟-全程加成'!$K$4+'模拟-全程加成'!$K$5+('模拟-全程加成'!$C$6-'模拟-全程加成'!$C$3)*系数!$B$10+IF(BV749&gt;0,882,0)+IF(BY749&gt;0,1831,0))*(1+'模拟-全程加成'!$L$4+'模拟-全程加成'!$L$5+CC749*20%))/系数!$B$5</f>
        <v>0.69723220422048726</v>
      </c>
      <c r="K749" s="119">
        <f ca="1">LOOKUP(D749,'模拟-单技能数据'!$A$2:$A$19,'模拟-单技能数据'!$J$2:$J$19)+IF(CM749,60%,0)+IF(DB748-DB749&gt;0,30%,0)+IF(OR(AND(OR(C749="赤日轮1",C749="赤日轮2",C749="赤日轮3"),CR749),AND(OR(C749="幽月轮1",C749="幽月轮2",C749="幽月轮3"),CS749)),35%,0)+CJ749</f>
        <v>7.0000000000000007E-2</v>
      </c>
      <c r="L749" s="119">
        <f ca="1">IF(AND(C749="烈日斩",模拟模式!$X$11=1),10%,0)+IF(AND(C749="驱夜断愁",AB749=1),30%,0)</f>
        <v>0</v>
      </c>
      <c r="M749" s="45">
        <f t="shared" ca="1" si="651"/>
        <v>0.51185145527300213</v>
      </c>
      <c r="N749" s="45">
        <f t="shared" ca="1" si="652"/>
        <v>0.43424854472699792</v>
      </c>
      <c r="O749" s="46">
        <f t="shared" ca="1" si="682"/>
        <v>0.976384645040977</v>
      </c>
      <c r="P749" s="46" t="str">
        <f t="shared" ca="1" si="653"/>
        <v>命</v>
      </c>
      <c r="Q749" s="45">
        <f t="shared" ca="1" si="654"/>
        <v>1</v>
      </c>
      <c r="R749" s="117">
        <f ca="1">模拟模式!$E$20*(1-IF(模拟模式!$J$19="有",0.15,0))*(1-IF(模拟模式!$K$19="有",0.3,0)-IF(CQ749,0.5,0))</f>
        <v>2950.6049999999996</v>
      </c>
      <c r="S749" s="45">
        <f ca="1">R749/(R749+(185*模拟模式!$E$22-16800)*4.08224)</f>
        <v>0.24272716014590323</v>
      </c>
      <c r="T749" s="45" t="str">
        <f ca="1">LOOKUP(D749,'模拟-单技能数据'!$A$2:$A$19,'模拟-单技能数据'!$H$2:$H$19)</f>
        <v>阴</v>
      </c>
      <c r="U749" s="119">
        <f t="shared" ca="1" si="655"/>
        <v>0.08</v>
      </c>
      <c r="V749" s="47">
        <f ca="1">(1+L749)*(LOOKUP(D749,'模拟-单技能数据'!$A$2:$A$19,'模拟-单技能数据'!$D$2:$D$19)+G749*LOOKUP(D749,'模拟-单技能数据'!$A$2:$A$19,'模拟-单技能数据'!$F$2:$F$19))*(1+J749)*(1+K749)*(1-S749)*(1+U749)*Q749*LOOKUP(D749,'模拟-单技能数据'!$A$2:$A$19,'模拟-单技能数据'!$I$2:$I$20)</f>
        <v>16939.18703301924</v>
      </c>
      <c r="W749" s="47">
        <f ca="1">LOOKUP(D749,'模拟-单技能数据'!$A$2:$A$19,'模拟-单技能数据'!$G$2:$G$19)*$I$10</f>
        <v>361.51064354704795</v>
      </c>
      <c r="X749" s="47">
        <f t="shared" ca="1" si="683"/>
        <v>20749.792464251139</v>
      </c>
      <c r="Y749" s="47">
        <f t="shared" ca="1" si="656"/>
        <v>38050.490140817426</v>
      </c>
      <c r="Z749" s="49">
        <f t="shared" ca="1" si="657"/>
        <v>75257749.409926832</v>
      </c>
      <c r="AA749" s="97">
        <f t="shared" ca="1" si="658"/>
        <v>112991.98914476643</v>
      </c>
      <c r="AB749" s="115">
        <f ca="1">IF(OR(C749="赤日轮1",C749="赤日轮2",C749="赤日轮3"),IF(RAND()&lt;模拟模式!$Y$17,1,0),IF(OR(C749="幽月轮1",C749="幽月轮2",C749="幽月轮3"),IF(RAND()&lt;模拟模式!$Y$18,1,0),IF(C749="烈日斩",IF(RAND()&lt;模拟模式!$Y$19,1,0),IF(C749="银月斩",IF(RAND()&lt;模拟模式!$Y$20,1,0),IF(C749="驱夜断愁",IF(RAND()&lt;模拟模式!$Y$21,1,0),IF(C749="净世破魔击·日",IF(RAND()&lt;模拟模式!$Y$22,1,0),IF(C749="净世破魔击·月",IF(RAND()&lt;模拟模式!$Y$23,1,0),0)))))))</f>
        <v>1</v>
      </c>
      <c r="AC749" s="115" t="b">
        <f t="shared" ca="1" si="659"/>
        <v>0</v>
      </c>
      <c r="AD749" s="115" t="b">
        <f t="shared" ca="1" si="660"/>
        <v>0</v>
      </c>
      <c r="AE749" s="115">
        <f t="shared" ca="1" si="661"/>
        <v>4</v>
      </c>
      <c r="AF749" s="47">
        <f ca="1">IF(AC749,('模拟-单技能数据'!$D$20+G749*'模拟-单技能数据'!$F$20)*(1+J749)*(1+'模拟-单技能数据'!$J$20)*(1+U749),0)</f>
        <v>0</v>
      </c>
      <c r="AG749" s="61">
        <f t="shared" ca="1" si="662"/>
        <v>0.64185145527300214</v>
      </c>
      <c r="AH749" s="61">
        <f t="shared" ca="1" si="663"/>
        <v>2.2624828854998791</v>
      </c>
      <c r="AI749" s="62">
        <f t="shared" ca="1" si="684"/>
        <v>0.66458596382342339</v>
      </c>
      <c r="AJ749" s="47">
        <f ca="1">IF(AD749,IF(AI749&lt;$F$10,0,IF(AI749&lt;$F$10+$F$11,0.25,IF(AI749&lt;$F$10+$F$11+AG749,AH749,1)))*IF(AF749&gt;0,AF749,IF(AF748&gt;0,AF748,IF(AF747&gt;0,AF747,IF(AF746&gt;0,AF746,IF(AF745&gt;0,AF745,IF(AF744&gt;0,AF744,IF(AF743&gt;0,AF743,IF(AF742&gt;0,AF742,IF(AF741&gt;0,AF741,IF(AF739&gt;0,AF739,IF(AF738&gt;0,AF738,IF(AF737&gt;0,AF737,0)))))))))))),0)*(1-$S749)*'模拟-单技能数据'!$I$20</f>
        <v>0</v>
      </c>
      <c r="AK749" s="115" t="b">
        <f t="shared" ca="1" si="664"/>
        <v>0</v>
      </c>
      <c r="AL749" s="115" t="b">
        <f t="shared" ca="1" si="665"/>
        <v>1</v>
      </c>
      <c r="AM749" s="115">
        <f t="shared" ca="1" si="666"/>
        <v>3</v>
      </c>
      <c r="AN749" s="47">
        <f ca="1">IF(AK749,('模拟-单技能数据'!$D$21+G749*'模拟-单技能数据'!$F$21)*(1+J749)*(1+'模拟-单技能数据'!$J$21)*(1+U749),0)</f>
        <v>0</v>
      </c>
      <c r="AO749" s="61">
        <f ca="1">IF(AN749&gt;0,M749-'模拟-单技能数据'!$K$10,AO748)</f>
        <v>0.42185145527300216</v>
      </c>
      <c r="AP749" s="61">
        <f ca="1">IF(AN749&gt;0,I749-'模拟-单技能数据'!$L$10,AP748)</f>
        <v>2.162482885499879</v>
      </c>
      <c r="AQ749" s="63">
        <f t="shared" ca="1" si="685"/>
        <v>0.31563514611789012</v>
      </c>
      <c r="AR749" s="64">
        <f ca="1">IF(AL749,IF(AQ749&lt;$F$10,0,IF(AQ749&lt;$F$10+$F$11,0.25,IF(AQ749&lt;$F$10+$F$11+AO749,AP749,1)))*IF(AN749&gt;0,AN749,IF(AN748&gt;0,AN748,IF(AN747&gt;0,AN747,IF(AN746&gt;0,AN746,IF(AN745&gt;0,AN745,IF(AN744&gt;0,AN744,IF(AN743&gt;0,AN743,IF(AN742&gt;0,AN742,IF(AN741&gt;0,AN741,IF(AN739&gt;0,AN739,IF(AN738&gt;0,AN738,IF(AN737&gt;0,AN737,0)))))))))))),0)*(1-$S749)*'模拟-单技能数据'!$I$21</f>
        <v>20749.792464251139</v>
      </c>
      <c r="AS749" s="61">
        <f ca="1">IF(OR(C749="净世破魔击·日",C749="净世破魔击·月"),M749-'模拟-单技能数据'!$K$10,0)</f>
        <v>0</v>
      </c>
      <c r="AT749" s="61">
        <f ca="1">IF(OR(C749="净世破魔击·日",C749="净世破魔击·月"),I749-'模拟-单技能数据'!$L$10,0)</f>
        <v>0</v>
      </c>
      <c r="AU749" s="62">
        <f t="shared" ca="1" si="686"/>
        <v>0.67691338398377587</v>
      </c>
      <c r="AV749" s="64">
        <f ca="1">IF(AS749&gt;0,('模拟-单技能数据'!$D$22+G749*'模拟-单技能数据'!$F$22)*(1+J749)*(1-S749)*IF(AU749&lt;$F$10,0,IF(AU749&lt;$F$10+$F$11,0.25,IF(AU749&lt;$F$10+$F$11+AS749,AT749,1)))*(1+U749),0)*'模拟-单技能数据'!$I$22</f>
        <v>0</v>
      </c>
      <c r="AW749" s="108">
        <f t="shared" ca="1" si="687"/>
        <v>15.387500000000003</v>
      </c>
      <c r="AX749" s="108" t="b">
        <f ca="1">AND(模拟模式!$P$10="有",AW748=0,RAND()&lt;IF(C749="净世破魔击·月",0.1*8/3,IF(C749="净世破魔击·日",0.1*4/3,0.1*2/3)))</f>
        <v>0</v>
      </c>
      <c r="AY749" s="47">
        <f ca="1">IF(AX749,(18+G749*0.722)*(1+J749)*(1-S749)*(1+$I$4)*IF(P749="会",'模拟-全程加成'!$J$3+'模拟-全程加成'!$J$4+'模拟-全程加成'!$J$5+('模拟-全程加成'!$I$4+'模拟-全程加成'!$I$5)/系数!$B$4+BG749*10%,IF(P749="命",1,IF(P749="识",0.25,0))),0)</f>
        <v>0</v>
      </c>
      <c r="AZ749" s="108">
        <f t="shared" si="688"/>
        <v>3.3950000000000062</v>
      </c>
      <c r="BA749" s="108" t="b">
        <f>AND(模拟模式!$Q$10="有",AZ748=0)</f>
        <v>0</v>
      </c>
      <c r="BB749" s="140">
        <f>IF(BA749,(0+G749*0.287)*(1+J749)*(1-S749)*(1+$I$4)*IF(P749="会",'模拟-全程加成'!$J$3+'模拟-全程加成'!$J$4+'模拟-全程加成'!$J$5+('模拟-全程加成'!$I$4+'模拟-全程加成'!$I$5)/系数!$B$4+BG749*10%,IF(P749="命",1,IF(P749="识",0.25,0))),0)</f>
        <v>0</v>
      </c>
      <c r="BC749" s="115" t="b">
        <f ca="1">AND(模拟模式!$R$7="伏明众生",E749=60,F749=20,DA749&lt;5,CZ748&lt;$F$4)</f>
        <v>0</v>
      </c>
      <c r="BD749" s="115">
        <f t="shared" ca="1" si="667"/>
        <v>0</v>
      </c>
      <c r="BE749" s="115" t="b">
        <f t="shared" ca="1" si="668"/>
        <v>0</v>
      </c>
      <c r="BF749" s="47">
        <f ca="1">IF(BC749,4*('模拟-单技能数据'!$D$24+G749*'模拟-单技能数据'!$F$24)*(1+J749)*(1+'模拟-单技能数据'!$J$24)*(1-S749)*(1+$I$3)*(('模拟-全程加成'!$J$3+'模拟-全程加成'!$J$4+'模拟-全程加成'!$J$5+('模拟-全程加成'!$I$4+'模拟-全程加成'!$I$5)/系数!$B$4+BG749*10%)*('模拟-全程加成'!$J$3+'模拟-全程加成'!$J$4+'模拟-全程加成'!$J$5+('模拟-全程加成'!$I$4+'模拟-全程加成'!$I$5)/系数!$B$4+BG749*10%)+(1-('模拟-全程加成'!$J$3+'模拟-全程加成'!$J$4+'模拟-全程加成'!$J$5+('模拟-全程加成'!$I$4+'模拟-全程加成'!$I$5)/系数!$B$4+BG749*10%)-$F$10-$F$11)+F735*0.25),0)*'模拟-单技能数据'!$I$24</f>
        <v>0</v>
      </c>
      <c r="BG749" s="115" t="b">
        <f ca="1">OR(AND(OR(C749="烈日斩",C749="银月斩"),模拟模式!$I$7="净身明礼"),AND(C749="净世破魔击·日",模拟模式!$J$7="洞若观火"),AND(C750="净世破魔击·月",模拟模式!$J$7="洞若观火"),AB749=1)</f>
        <v>1</v>
      </c>
      <c r="BH749" s="115" t="b">
        <f t="shared" ca="1" si="689"/>
        <v>0</v>
      </c>
      <c r="BI749" s="115">
        <f t="shared" ca="1" si="669"/>
        <v>0.46499999999999975</v>
      </c>
      <c r="BJ749" s="115" t="b">
        <f t="shared" ca="1" si="670"/>
        <v>1</v>
      </c>
      <c r="BK749" s="115" t="b">
        <f ca="1">AND(C749="驱夜断愁",模拟模式!$P$7="天地诛戮")</f>
        <v>0</v>
      </c>
      <c r="BL749" s="57">
        <f t="shared" ca="1" si="671"/>
        <v>18.155000000000001</v>
      </c>
      <c r="BM749" s="115" t="b">
        <f t="shared" ca="1" si="672"/>
        <v>1</v>
      </c>
      <c r="BN749" s="115" t="b">
        <f ca="1">AND(OR(C749="赤日轮1",C749="赤日轮2",C749="赤日轮3",C749="幽月轮1",C749="幽月轮2",C749="幽月轮3"),AB749=1,模拟模式!$L$7="明光恒照")</f>
        <v>1</v>
      </c>
      <c r="BO749" s="117">
        <f t="shared" ca="1" si="673"/>
        <v>30</v>
      </c>
      <c r="BP749" s="115">
        <f t="shared" ca="1" si="690"/>
        <v>6</v>
      </c>
      <c r="BQ749" s="115" t="b">
        <f>模拟模式!$K$10="2600·水"</f>
        <v>0</v>
      </c>
      <c r="BR749" s="117">
        <f t="shared" si="691"/>
        <v>0</v>
      </c>
      <c r="BS749" s="115">
        <f t="shared" si="692"/>
        <v>0</v>
      </c>
      <c r="BT749" s="115">
        <f t="shared" ca="1" si="693"/>
        <v>0</v>
      </c>
      <c r="BU749" s="115" t="b">
        <f ca="1">AND(模拟模式!$K$10="2300·雷",BT748=0,RAND()&lt;IF(C749="净世破魔击·月",5*0.05*2/3,IF(C749="净世破魔击·日",3*0.05*2/3,0.05*2*2/3)))</f>
        <v>0</v>
      </c>
      <c r="BV749" s="115">
        <f t="shared" ca="1" si="694"/>
        <v>0</v>
      </c>
      <c r="BW749" s="115">
        <f t="shared" ca="1" si="695"/>
        <v>72.067499999999271</v>
      </c>
      <c r="BX749" s="164" t="b">
        <f t="shared" ca="1" si="696"/>
        <v>0</v>
      </c>
      <c r="BY749" s="115">
        <f t="shared" ca="1" si="697"/>
        <v>0</v>
      </c>
      <c r="BZ749" s="115">
        <f>IF(OR(模拟模式!$P$16="10人团",模拟模式!$P$16="25人团"),IF(B749/30&gt;CA748,1,0),0)</f>
        <v>0</v>
      </c>
      <c r="CA749" s="115">
        <f t="shared" si="674"/>
        <v>0</v>
      </c>
      <c r="CB749" s="115">
        <f ca="1">IF(BZ749=1,IF(模拟模式!$P$16="10人团",15,0)+IF(模拟模式!$P$16="25人团",IF(RAND()&lt;0.6,15,0)),MAX(0,CB748-$F$4))</f>
        <v>0</v>
      </c>
      <c r="CC749" s="115" t="b">
        <f t="shared" ca="1" si="675"/>
        <v>0</v>
      </c>
      <c r="CD749" s="115">
        <f>IF(模拟模式!$Q$16="1个",IF(B749/40&gt;CE748,1,0),0)</f>
        <v>0</v>
      </c>
      <c r="CE749" s="115">
        <f t="shared" si="676"/>
        <v>0</v>
      </c>
      <c r="CF749" s="115">
        <f>IF(OR(CD749=1,模拟模式!$Q$16="2个"),20,MAX(0,CF748-$F$4))</f>
        <v>0</v>
      </c>
      <c r="CG749" s="115" t="b">
        <f t="shared" si="677"/>
        <v>0</v>
      </c>
      <c r="CH749" s="115">
        <f t="shared" ca="1" si="698"/>
        <v>16.162500000000009</v>
      </c>
      <c r="CI749" s="115" t="b">
        <f t="shared" ca="1" si="699"/>
        <v>0</v>
      </c>
      <c r="CJ749" s="119">
        <f t="shared" ca="1" si="700"/>
        <v>0</v>
      </c>
      <c r="CK749" s="115">
        <f t="shared" ca="1" si="701"/>
        <v>0</v>
      </c>
      <c r="CL749" s="115" t="b">
        <f ca="1">AND(模拟模式!$S$7="驱夷逐法",OR(AND(C749="净世破魔击·月",E748&gt;59),AND(C749="净世破魔击·日",F748&gt;59)))</f>
        <v>0</v>
      </c>
      <c r="CM749" s="115" t="b">
        <f ca="1">OR(CL749,AND(C749="净世破魔击·日",CL748,RAND()&lt;模拟模式!$U$23))</f>
        <v>0</v>
      </c>
      <c r="CN749" s="115" t="b">
        <f ca="1">IF(模拟模式!$M$7="辉耀红尘",AND(C749="净世破魔击·月",CL749,CV749=0,E748&lt;80),AND(C749="净世破魔击·月",CL749,E748&lt;100))</f>
        <v>0</v>
      </c>
      <c r="CO749" s="115" t="b">
        <f t="shared" ca="1" si="678"/>
        <v>0</v>
      </c>
      <c r="CP749" s="115" t="b">
        <f ca="1">AND(模拟模式!$O$7="用晦而明",OR(C749="净世破魔击·日",C749="净世破魔击·月",C749="驱夜断愁"),AB749)</f>
        <v>0</v>
      </c>
      <c r="CQ749" s="115" t="b">
        <f ca="1">OR(CP749,AND(CP748,RAND()&lt;模拟模式!$U$23))</f>
        <v>0</v>
      </c>
      <c r="CR749" s="115" t="b">
        <f ca="1">AND(模拟模式!$S$7="日月齐光",OR(C749="幽月轮1",C749="幽月轮2",C749="幽月轮3",CR748),NOT(OR(C749="赤日轮1",C749="赤日轮2",C749="赤日轮3")))</f>
        <v>0</v>
      </c>
      <c r="CS749" s="115" t="b">
        <f ca="1">AND(模拟模式!$S$7="日月齐光",OR(C749="赤日轮1",C749="赤日轮2",C749="赤日轮3",CS748),NOT(OR(C749="幽月轮1",C749="幽月轮2",C749="幽月轮3")))</f>
        <v>0</v>
      </c>
      <c r="CT749" s="115">
        <f t="shared" ca="1" si="702"/>
        <v>1.4025000000000118</v>
      </c>
      <c r="CU749" s="115" t="b">
        <f ca="1">AND(模拟模式!$K$10="阴阳往极",CT748=0,RAND()&lt;IF(C749="净世破魔击·月",0.0275*7/3,IF(C749="净世破魔击·日",0.0275*3/3,0.0275*2/3)))</f>
        <v>0</v>
      </c>
      <c r="CV749" s="115">
        <f t="shared" ca="1" si="703"/>
        <v>0</v>
      </c>
      <c r="CW749" s="115">
        <f t="shared" ca="1" si="704"/>
        <v>5.0774999999999997</v>
      </c>
      <c r="CX749" s="115">
        <f t="shared" ca="1" si="705"/>
        <v>3.2324999999999995</v>
      </c>
      <c r="CY749" s="115">
        <f ca="1">MAX(IF($C749="驱夜断愁",IF(模拟模式!$R$7="万念俱寂",6,45),CY748-$F$4),0)</f>
        <v>4.1549999999999994</v>
      </c>
      <c r="CZ749" s="115">
        <f t="shared" ca="1" si="679"/>
        <v>0</v>
      </c>
      <c r="DA749" s="115">
        <f ca="1">IF(模拟模式!$N$7="日月同辉",IF(DB748=2,0,MIN(6,IF(AND(OR(C749="赤日轮1",C749="赤日轮2",C749="赤日轮3",C749="幽月轮1",C749="幽月轮2",C749="幽月轮3"),AB749=1),DA748+1,DA748))),0)</f>
        <v>0</v>
      </c>
      <c r="DB749" s="115">
        <f t="shared" ca="1" si="680"/>
        <v>2</v>
      </c>
      <c r="DC749" s="115"/>
      <c r="DD749" s="115"/>
      <c r="DE749" s="115"/>
      <c r="DF749" s="115"/>
      <c r="DG749" s="115"/>
      <c r="DH749" s="115"/>
      <c r="DI749" s="115"/>
      <c r="DJ749" s="115"/>
      <c r="DK749" s="115"/>
      <c r="DL749" s="115"/>
      <c r="DM749" s="115"/>
    </row>
    <row r="750" spans="2:117" x14ac:dyDescent="0.2">
      <c r="B750" s="117">
        <f t="shared" si="681"/>
        <v>666.96750000000782</v>
      </c>
      <c r="C750" s="167" t="str">
        <f t="shared" ca="1" si="650"/>
        <v>净世破魔击·月</v>
      </c>
      <c r="D750" s="115">
        <f ca="1">IF(C750="赤日轮1",1,IF(C750="赤日轮2",2,IF(C750="赤日轮3",3,IF(C750="幽月轮1",4,IF(C750="幽月轮2",5,IF(C750="幽月轮3",6,IF(C750="烈日斩",7,IF(C750="银月斩",8,IF(C750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750="净世破魔击·月",17,IF(C750="驱夜断愁",18,0)))))))))))</f>
        <v>17</v>
      </c>
      <c r="E750" s="115">
        <f ca="1">IF(AND(CU750,OR(C750="幽月轮1",C750="幽月轮2",C750="幽月轮3",C750="银月斩",C750="驱夜断愁",C750="净世破魔击·月")),100,MIN(IF(OR(CN750,BE750),0,IF(OR($C750="赤日轮1",$C750="赤日轮2",$C750="赤日轮3"),E749+20+IF(模拟模式!$I$7="日月凌天",4,0)+IF(CR749,20,0),IF($C750="烈日斩",E749+40,IF($C750="驱夜断愁",IF(模拟模式!$R$7="万念俱寂",E749+20,E749+60),IF($C750="净世破魔击·月",IF(OR(DB749&gt;0,CV749&gt;0),100,IF(模拟模式!$M$7="辉耀红尘",E749+20,E749)),IF($C750="净世破魔击·日",E749-100,E749)))))),100))</f>
        <v>100</v>
      </c>
      <c r="F750" s="115">
        <f ca="1">IF(AND(CU750,OR(C750="赤日轮1",C750="赤日轮2",C750="赤日轮3",C750="烈日斩",C750="净世破魔击·日")),100,MIN(IF(CO750,0,IF(OR($C750="幽月轮1",$C750="幽月轮2",$C750="幽月轮3"),F749+20+IF(模拟模式!$I$7="日月凌天",4,0)+IF(CS749,20,0),IF($C750="银月斩",F749+40+IF(模拟模式!$X$12=1,5,0),IF($C750="驱夜断愁",IF(模拟模式!$R$7="万念俱寂",F749+20,F749+60),IF($C750="净世破魔击·月",IF(模拟模式!$M$7="辉耀红尘",F749-80,F749-100),IF(AND(C750="净世破魔击·日",OR(DB749&gt;0,CV749&gt;0)),100,F749)))))),100))</f>
        <v>20</v>
      </c>
      <c r="G750" s="117">
        <f ca="1">('模拟-全程加成'!$E$3+'模拟-全程加成'!$E$4+'模拟-全程加成'!$E$5+('模拟-全程加成'!$C$6-'模拟-全程加成'!$C$3)*系数!$B$9+BS750*23)*(1+'模拟-全程加成'!$F$4+'模拟-全程加成'!$F$5+BJ750*10%+BM750*20%+BP750*4%+CG750*30%)+$F$7*系数!$B$12</f>
        <v>20583.127400000001</v>
      </c>
      <c r="H750" s="45">
        <f ca="1">'模拟-全程加成'!$H$3+'模拟-全程加成'!$H$4+'模拟-全程加成'!$H$5+('模拟-全程加成'!$G$4+'模拟-全程加成'!$G$5+('模拟-全程加成'!$C$6-'模拟-全程加成'!$C$3)*系数!$B$13)/系数!$B$3+LOOKUP(D750,'模拟-单技能数据'!$A$2:$A$19,'模拟-单技能数据'!$K$2:$K$19)+BG750*10%+IF(BV750&gt;0,378,0)</f>
        <v>0.54185145527300216</v>
      </c>
      <c r="I750" s="45">
        <f ca="1">'模拟-全程加成'!$J$3+'模拟-全程加成'!$J$4+'模拟-全程加成'!$J$5+('模拟-全程加成'!$I$4+'模拟-全程加成'!$I$5)/系数!$B$4+LOOKUP(D750,'模拟-单技能数据'!$A$2:$A$19,'模拟-单技能数据'!$L$2:$L$19)+BG750*10%</f>
        <v>2.162482885499879</v>
      </c>
      <c r="J750" s="45">
        <f ca="1">(('模拟-全程加成'!$K$3+'模拟-全程加成'!$K$4+'模拟-全程加成'!$K$5+('模拟-全程加成'!$C$6-'模拟-全程加成'!$C$3)*系数!$B$10+IF(BV750&gt;0,882,0)+IF(BY750&gt;0,1831,0))*(1+'模拟-全程加成'!$L$4+'模拟-全程加成'!$L$5+CC750*20%))/系数!$B$5</f>
        <v>0.69723220422048726</v>
      </c>
      <c r="K750" s="119">
        <f ca="1">LOOKUP(D750,'模拟-单技能数据'!$A$2:$A$19,'模拟-单技能数据'!$J$2:$J$19)+IF(CM750,60%,0)+IF(DB749-DB750&gt;0,30%,0)+IF(OR(AND(OR(C750="赤日轮1",C750="赤日轮2",C750="赤日轮3"),CR750),AND(OR(C750="幽月轮1",C750="幽月轮2",C750="幽月轮3"),CS750)),35%,0)+CJ750</f>
        <v>1.1000000000000001</v>
      </c>
      <c r="L750" s="119">
        <f ca="1">IF(AND(C750="烈日斩",模拟模式!$X$11=1),10%,0)+IF(AND(C750="驱夜断愁",AB750=1),30%,0)</f>
        <v>0</v>
      </c>
      <c r="M750" s="45">
        <f t="shared" ca="1" si="651"/>
        <v>0.54185145527300216</v>
      </c>
      <c r="N750" s="45">
        <f t="shared" ca="1" si="652"/>
        <v>0.40424854472699789</v>
      </c>
      <c r="O750" s="46">
        <f t="shared" ca="1" si="682"/>
        <v>0.40243514336702946</v>
      </c>
      <c r="P750" s="46" t="str">
        <f t="shared" ca="1" si="653"/>
        <v>会</v>
      </c>
      <c r="Q750" s="45">
        <f t="shared" ca="1" si="654"/>
        <v>2.162482885499879</v>
      </c>
      <c r="R750" s="117">
        <f ca="1">模拟模式!$E$20*(1-IF(模拟模式!$J$19="有",0.15,0))*(1-IF(模拟模式!$K$19="有",0.3,0)-IF(CQ750,0.5,0))</f>
        <v>843.02999999999975</v>
      </c>
      <c r="S750" s="45">
        <f ca="1">R750/(R750+(185*模拟模式!$E$22-16800)*4.08224)</f>
        <v>8.389626085980037E-2</v>
      </c>
      <c r="T750" s="45" t="str">
        <f ca="1">LOOKUP(D750,'模拟-单技能数据'!$A$2:$A$19,'模拟-单技能数据'!$H$2:$H$19)</f>
        <v>阴</v>
      </c>
      <c r="U750" s="119">
        <f t="shared" ca="1" si="655"/>
        <v>0.08</v>
      </c>
      <c r="V750" s="47">
        <f ca="1">(1+L750)*(LOOKUP(D750,'模拟-单技能数据'!$A$2:$A$19,'模拟-单技能数据'!$D$2:$D$19)+G750*LOOKUP(D750,'模拟-单技能数据'!$A$2:$A$19,'模拟-单技能数据'!$F$2:$F$19))*(1+J750)*(1+K750)*(1-S750)*(1+U750)*Q750*LOOKUP(D750,'模拟-单技能数据'!$A$2:$A$19,'模拟-单技能数据'!$I$2:$I$20)</f>
        <v>204013.08685584151</v>
      </c>
      <c r="W750" s="47">
        <f ca="1">LOOKUP(D750,'模拟-单技能数据'!$A$2:$A$19,'模拟-单技能数据'!$G$2:$G$19)*$I$10</f>
        <v>361.51064354704795</v>
      </c>
      <c r="X750" s="47">
        <f t="shared" ca="1" si="683"/>
        <v>26136.840783105588</v>
      </c>
      <c r="Y750" s="47">
        <f t="shared" ca="1" si="656"/>
        <v>230511.43828249414</v>
      </c>
      <c r="Z750" s="49">
        <f t="shared" ca="1" si="657"/>
        <v>75488260.848209321</v>
      </c>
      <c r="AA750" s="97">
        <f t="shared" ca="1" si="658"/>
        <v>113181.31820247379</v>
      </c>
      <c r="AB750" s="115">
        <f ca="1">IF(OR(C750="赤日轮1",C750="赤日轮2",C750="赤日轮3"),IF(RAND()&lt;模拟模式!$Y$17,1,0),IF(OR(C750="幽月轮1",C750="幽月轮2",C750="幽月轮3"),IF(RAND()&lt;模拟模式!$Y$18,1,0),IF(C750="烈日斩",IF(RAND()&lt;模拟模式!$Y$19,1,0),IF(C750="银月斩",IF(RAND()&lt;模拟模式!$Y$20,1,0),IF(C750="驱夜断愁",IF(RAND()&lt;模拟模式!$Y$21,1,0),IF(C750="净世破魔击·日",IF(RAND()&lt;模拟模式!$Y$22,1,0),IF(C750="净世破魔击·月",IF(RAND()&lt;模拟模式!$Y$23,1,0),0)))))))</f>
        <v>1</v>
      </c>
      <c r="AC750" s="115" t="b">
        <f t="shared" ca="1" si="659"/>
        <v>0</v>
      </c>
      <c r="AD750" s="115" t="b">
        <f t="shared" ca="1" si="660"/>
        <v>1</v>
      </c>
      <c r="AE750" s="115">
        <f t="shared" ca="1" si="661"/>
        <v>3</v>
      </c>
      <c r="AF750" s="47">
        <f ca="1">IF(AC750,('模拟-单技能数据'!$D$20+G750*'模拟-单技能数据'!$F$20)*(1+J750)*(1+'模拟-单技能数据'!$J$20)*(1+U750),0)</f>
        <v>0</v>
      </c>
      <c r="AG750" s="61">
        <f t="shared" ca="1" si="662"/>
        <v>0.64185145527300214</v>
      </c>
      <c r="AH750" s="61">
        <f t="shared" ca="1" si="663"/>
        <v>2.2624828854998791</v>
      </c>
      <c r="AI750" s="62">
        <f t="shared" ca="1" si="684"/>
        <v>0.61921799888911022</v>
      </c>
      <c r="AJ750" s="47">
        <f ca="1">IF(AD750,IF(AI750&lt;$F$10,0,IF(AI750&lt;$F$10+$F$11,0.25,IF(AI750&lt;$F$10+$F$11+AG750,AH750,1)))*IF(AF750&gt;0,AF750,IF(AF749&gt;0,AF749,IF(AF748&gt;0,AF748,IF(AF747&gt;0,AF747,IF(AF746&gt;0,AF746,IF(AF745&gt;0,AF745,IF(AF744&gt;0,AF744,IF(AF743&gt;0,AF743,IF(AF742&gt;0,AF742,IF(AF740&gt;0,AF740,IF(AF739&gt;0,AF739,IF(AF738&gt;0,AF738,0)))))))))))),0)*(1-$S750)*'模拟-单技能数据'!$I$20</f>
        <v>9616.6571145767884</v>
      </c>
      <c r="AK750" s="115" t="b">
        <f t="shared" ca="1" si="664"/>
        <v>0</v>
      </c>
      <c r="AL750" s="115" t="b">
        <f t="shared" ca="1" si="665"/>
        <v>0</v>
      </c>
      <c r="AM750" s="115">
        <f t="shared" ca="1" si="666"/>
        <v>3</v>
      </c>
      <c r="AN750" s="47">
        <f ca="1">IF(AK750,('模拟-单技能数据'!$D$21+G750*'模拟-单技能数据'!$F$21)*(1+J750)*(1+'模拟-单技能数据'!$J$21)*(1+U750),0)</f>
        <v>0</v>
      </c>
      <c r="AO750" s="61">
        <f ca="1">IF(AN750&gt;0,M750-'模拟-单技能数据'!$K$10,AO749)</f>
        <v>0.42185145527300216</v>
      </c>
      <c r="AP750" s="61">
        <f ca="1">IF(AN750&gt;0,I750-'模拟-单技能数据'!$L$10,AP749)</f>
        <v>2.162482885499879</v>
      </c>
      <c r="AQ750" s="63">
        <f t="shared" ca="1" si="685"/>
        <v>6.4287814639584107E-2</v>
      </c>
      <c r="AR750" s="64">
        <f ca="1">IF(AL750,IF(AQ750&lt;$F$10,0,IF(AQ750&lt;$F$10+$F$11,0.25,IF(AQ750&lt;$F$10+$F$11+AO750,AP750,1)))*IF(AN750&gt;0,AN750,IF(AN749&gt;0,AN749,IF(AN748&gt;0,AN748,IF(AN747&gt;0,AN747,IF(AN746&gt;0,AN746,IF(AN745&gt;0,AN745,IF(AN744&gt;0,AN744,IF(AN743&gt;0,AN743,IF(AN742&gt;0,AN742,IF(AN740&gt;0,AN740,IF(AN739&gt;0,AN739,IF(AN738&gt;0,AN738,0)))))))))))),0)*(1-$S750)*'模拟-单技能数据'!$I$21</f>
        <v>0</v>
      </c>
      <c r="AS750" s="61">
        <f ca="1">IF(OR(C750="净世破魔击·日",C750="净世破魔击·月"),M750-'模拟-单技能数据'!$K$10,0)</f>
        <v>0.42185145527300216</v>
      </c>
      <c r="AT750" s="61">
        <f ca="1">IF(OR(C750="净世破魔击·日",C750="净世破魔击·月"),I750-'模拟-单技能数据'!$L$10,0)</f>
        <v>2.162482885499879</v>
      </c>
      <c r="AU750" s="62">
        <f t="shared" ca="1" si="686"/>
        <v>0.34105337583369821</v>
      </c>
      <c r="AV750" s="64">
        <f ca="1">IF(AS750&gt;0,('模拟-单技能数据'!$D$22+G750*'模拟-单技能数据'!$F$22)*(1+J750)*(1-S750)*IF(AU750&lt;$F$10,0,IF(AU750&lt;$F$10+$F$11,0.25,IF(AU750&lt;$F$10+$F$11+AS750,AT750,1)))*(1+U750),0)*'模拟-单技能数据'!$I$22</f>
        <v>16520.1836685288</v>
      </c>
      <c r="AW750" s="108">
        <f t="shared" ca="1" si="687"/>
        <v>14.465000000000003</v>
      </c>
      <c r="AX750" s="108" t="b">
        <f ca="1">AND(模拟模式!$P$10="有",AW749=0,RAND()&lt;IF(C750="净世破魔击·月",0.1*8/3,IF(C750="净世破魔击·日",0.1*4/3,0.1*2/3)))</f>
        <v>0</v>
      </c>
      <c r="AY750" s="47">
        <f ca="1">IF(AX750,(18+G750*0.722)*(1+J750)*(1-S750)*(1+$I$4)*IF(P750="会",'模拟-全程加成'!$J$3+'模拟-全程加成'!$J$4+'模拟-全程加成'!$J$5+('模拟-全程加成'!$I$4+'模拟-全程加成'!$I$5)/系数!$B$4+BG750*10%,IF(P750="命",1,IF(P750="识",0.25,0))),0)</f>
        <v>0</v>
      </c>
      <c r="AZ750" s="108">
        <f t="shared" si="688"/>
        <v>2.4725000000000064</v>
      </c>
      <c r="BA750" s="108" t="b">
        <f>AND(模拟模式!$Q$10="有",AZ749=0)</f>
        <v>0</v>
      </c>
      <c r="BB750" s="140">
        <f>IF(BA750,(0+G750*0.287)*(1+J750)*(1-S750)*(1+$I$4)*IF(P750="会",'模拟-全程加成'!$J$3+'模拟-全程加成'!$J$4+'模拟-全程加成'!$J$5+('模拟-全程加成'!$I$4+'模拟-全程加成'!$I$5)/系数!$B$4+BG750*10%,IF(P750="命",1,IF(P750="识",0.25,0))),0)</f>
        <v>0</v>
      </c>
      <c r="BC750" s="115" t="b">
        <f ca="1">AND(模拟模式!$R$7="伏明众生",E750=60,F750=20,DA750&lt;5,CZ749&lt;$F$4)</f>
        <v>0</v>
      </c>
      <c r="BD750" s="115">
        <f t="shared" ca="1" si="667"/>
        <v>0</v>
      </c>
      <c r="BE750" s="115" t="b">
        <f t="shared" ca="1" si="668"/>
        <v>0</v>
      </c>
      <c r="BF750" s="47">
        <f ca="1">IF(BC750,4*('模拟-单技能数据'!$D$24+G750*'模拟-单技能数据'!$F$24)*(1+J750)*(1+'模拟-单技能数据'!$J$24)*(1-S750)*(1+$I$3)*(('模拟-全程加成'!$J$3+'模拟-全程加成'!$J$4+'模拟-全程加成'!$J$5+('模拟-全程加成'!$I$4+'模拟-全程加成'!$I$5)/系数!$B$4+BG750*10%)*('模拟-全程加成'!$J$3+'模拟-全程加成'!$J$4+'模拟-全程加成'!$J$5+('模拟-全程加成'!$I$4+'模拟-全程加成'!$I$5)/系数!$B$4+BG750*10%)+(1-('模拟-全程加成'!$J$3+'模拟-全程加成'!$J$4+'模拟-全程加成'!$J$5+('模拟-全程加成'!$I$4+'模拟-全程加成'!$I$5)/系数!$B$4+BG750*10%)-$F$10-$F$11)+F736*0.25),0)*'模拟-单技能数据'!$I$24</f>
        <v>0</v>
      </c>
      <c r="BG750" s="115" t="b">
        <f ca="1">OR(AND(OR(C750="烈日斩",C750="银月斩"),模拟模式!$I$7="净身明礼"),AND(C750="净世破魔击·日",模拟模式!$J$7="洞若观火"),AND(C751="净世破魔击·月",模拟模式!$J$7="洞若观火"),AB750=1)</f>
        <v>1</v>
      </c>
      <c r="BH750" s="115" t="b">
        <f t="shared" ca="1" si="689"/>
        <v>0</v>
      </c>
      <c r="BI750" s="115">
        <f t="shared" ca="1" si="669"/>
        <v>0</v>
      </c>
      <c r="BJ750" s="115" t="b">
        <f t="shared" ca="1" si="670"/>
        <v>0</v>
      </c>
      <c r="BK750" s="115" t="b">
        <f ca="1">AND(C750="驱夜断愁",模拟模式!$P$7="天地诛戮")</f>
        <v>0</v>
      </c>
      <c r="BL750" s="57">
        <f t="shared" ca="1" si="671"/>
        <v>17.232500000000002</v>
      </c>
      <c r="BM750" s="115" t="b">
        <f t="shared" ca="1" si="672"/>
        <v>1</v>
      </c>
      <c r="BN750" s="115" t="b">
        <f ca="1">AND(OR(C750="赤日轮1",C750="赤日轮2",C750="赤日轮3",C750="幽月轮1",C750="幽月轮2",C750="幽月轮3"),AB750=1,模拟模式!$L$7="明光恒照")</f>
        <v>0</v>
      </c>
      <c r="BO750" s="117">
        <f t="shared" ca="1" si="673"/>
        <v>29.077500000000001</v>
      </c>
      <c r="BP750" s="115">
        <f t="shared" ca="1" si="690"/>
        <v>6</v>
      </c>
      <c r="BQ750" s="115" t="b">
        <f>模拟模式!$K$10="2600·水"</f>
        <v>0</v>
      </c>
      <c r="BR750" s="117">
        <f t="shared" si="691"/>
        <v>0</v>
      </c>
      <c r="BS750" s="115">
        <f t="shared" si="692"/>
        <v>0</v>
      </c>
      <c r="BT750" s="115">
        <f t="shared" ca="1" si="693"/>
        <v>0</v>
      </c>
      <c r="BU750" s="115" t="b">
        <f ca="1">AND(模拟模式!$K$10="2300·雷",BT749=0,RAND()&lt;IF(C750="净世破魔击·月",5*0.05*2/3,IF(C750="净世破魔击·日",3*0.05*2/3,0.05*2*2/3)))</f>
        <v>0</v>
      </c>
      <c r="BV750" s="115">
        <f t="shared" ca="1" si="694"/>
        <v>0</v>
      </c>
      <c r="BW750" s="115">
        <f t="shared" ca="1" si="695"/>
        <v>71.144999999999271</v>
      </c>
      <c r="BX750" s="164" t="b">
        <f t="shared" ca="1" si="696"/>
        <v>0</v>
      </c>
      <c r="BY750" s="115">
        <f t="shared" ca="1" si="697"/>
        <v>0</v>
      </c>
      <c r="BZ750" s="115">
        <f>IF(OR(模拟模式!$P$16="10人团",模拟模式!$P$16="25人团"),IF(B750/30&gt;CA749,1,0),0)</f>
        <v>0</v>
      </c>
      <c r="CA750" s="115">
        <f t="shared" si="674"/>
        <v>0</v>
      </c>
      <c r="CB750" s="115">
        <f ca="1">IF(BZ750=1,IF(模拟模式!$P$16="10人团",15,0)+IF(模拟模式!$P$16="25人团",IF(RAND()&lt;0.6,15,0)),MAX(0,CB749-$F$4))</f>
        <v>0</v>
      </c>
      <c r="CC750" s="115" t="b">
        <f t="shared" ca="1" si="675"/>
        <v>0</v>
      </c>
      <c r="CD750" s="115">
        <f>IF(模拟模式!$Q$16="1个",IF(B750/40&gt;CE749,1,0),0)</f>
        <v>0</v>
      </c>
      <c r="CE750" s="115">
        <f t="shared" si="676"/>
        <v>0</v>
      </c>
      <c r="CF750" s="115">
        <f>IF(OR(CD750=1,模拟模式!$Q$16="2个"),20,MAX(0,CF749-$F$4))</f>
        <v>0</v>
      </c>
      <c r="CG750" s="115" t="b">
        <f t="shared" si="677"/>
        <v>0</v>
      </c>
      <c r="CH750" s="115">
        <f t="shared" ca="1" si="698"/>
        <v>15.240000000000009</v>
      </c>
      <c r="CI750" s="115" t="b">
        <f t="shared" ca="1" si="699"/>
        <v>0</v>
      </c>
      <c r="CJ750" s="119">
        <f t="shared" ca="1" si="700"/>
        <v>0</v>
      </c>
      <c r="CK750" s="115">
        <f t="shared" ca="1" si="701"/>
        <v>0</v>
      </c>
      <c r="CL750" s="115" t="b">
        <f ca="1">AND(模拟模式!$S$7="驱夷逐法",OR(AND(C750="净世破魔击·月",E749&gt;59),AND(C750="净世破魔击·日",F749&gt;59)))</f>
        <v>1</v>
      </c>
      <c r="CM750" s="115" t="b">
        <f ca="1">OR(CL750,AND(C750="净世破魔击·日",CL749,RAND()&lt;模拟模式!$U$23))</f>
        <v>1</v>
      </c>
      <c r="CN750" s="115" t="b">
        <f ca="1">IF(模拟模式!$M$7="辉耀红尘",AND(C750="净世破魔击·月",CL750,CV750=0,E749&lt;80),AND(C750="净世破魔击·月",CL750,E749&lt;100))</f>
        <v>0</v>
      </c>
      <c r="CO750" s="115" t="b">
        <f t="shared" ca="1" si="678"/>
        <v>0</v>
      </c>
      <c r="CP750" s="115" t="b">
        <f ca="1">AND(模拟模式!$O$7="用晦而明",OR(C750="净世破魔击·日",C750="净世破魔击·月",C750="驱夜断愁"),AB750)</f>
        <v>1</v>
      </c>
      <c r="CQ750" s="115" t="b">
        <f ca="1">OR(CP750,AND(CP749,RAND()&lt;模拟模式!$U$23))</f>
        <v>1</v>
      </c>
      <c r="CR750" s="115" t="b">
        <f ca="1">AND(模拟模式!$S$7="日月齐光",OR(C750="幽月轮1",C750="幽月轮2",C750="幽月轮3",CR749),NOT(OR(C750="赤日轮1",C750="赤日轮2",C750="赤日轮3")))</f>
        <v>0</v>
      </c>
      <c r="CS750" s="115" t="b">
        <f ca="1">AND(模拟模式!$S$7="日月齐光",OR(C750="赤日轮1",C750="赤日轮2",C750="赤日轮3",CS749),NOT(OR(C750="幽月轮1",C750="幽月轮2",C750="幽月轮3")))</f>
        <v>0</v>
      </c>
      <c r="CT750" s="115">
        <f t="shared" ca="1" si="702"/>
        <v>0.48000000000001186</v>
      </c>
      <c r="CU750" s="115" t="b">
        <f ca="1">AND(模拟模式!$K$10="阴阳往极",CT749=0,RAND()&lt;IF(C750="净世破魔击·月",0.0275*7/3,IF(C750="净世破魔击·日",0.0275*3/3,0.0275*2/3)))</f>
        <v>0</v>
      </c>
      <c r="CV750" s="115">
        <f t="shared" ca="1" si="703"/>
        <v>0</v>
      </c>
      <c r="CW750" s="115">
        <f t="shared" ca="1" si="704"/>
        <v>4.1549999999999994</v>
      </c>
      <c r="CX750" s="115">
        <f t="shared" ca="1" si="705"/>
        <v>2.3099999999999996</v>
      </c>
      <c r="CY750" s="115">
        <f ca="1">MAX(IF($C750="驱夜断愁",IF(模拟模式!$R$7="万念俱寂",6,45),CY749-$F$4),0)</f>
        <v>3.2324999999999995</v>
      </c>
      <c r="CZ750" s="115">
        <f t="shared" ca="1" si="679"/>
        <v>0</v>
      </c>
      <c r="DA750" s="115">
        <f ca="1">IF(模拟模式!$N$7="日月同辉",IF(DB749=2,0,MIN(6,IF(AND(OR(C750="赤日轮1",C750="赤日轮2",C750="赤日轮3",C750="幽月轮1",C750="幽月轮2",C750="幽月轮3"),AB750=1),DA749+1,DA749))),0)</f>
        <v>0</v>
      </c>
      <c r="DB750" s="115">
        <f t="shared" ca="1" si="680"/>
        <v>1</v>
      </c>
      <c r="DC750" s="115"/>
      <c r="DD750" s="115"/>
      <c r="DE750" s="115"/>
      <c r="DF750" s="115"/>
      <c r="DG750" s="115"/>
      <c r="DH750" s="115"/>
      <c r="DI750" s="115"/>
      <c r="DJ750" s="115"/>
      <c r="DK750" s="115"/>
      <c r="DL750" s="115"/>
      <c r="DM750" s="115"/>
    </row>
    <row r="751" spans="2:117" x14ac:dyDescent="0.2">
      <c r="B751" s="117">
        <f t="shared" si="681"/>
        <v>667.89000000000783</v>
      </c>
      <c r="C751" s="167" t="str">
        <f t="shared" ca="1" si="650"/>
        <v>净世破魔击·日</v>
      </c>
      <c r="D751" s="115">
        <f ca="1">IF(C751="赤日轮1",1,IF(C751="赤日轮2",2,IF(C751="赤日轮3",3,IF(C751="幽月轮1",4,IF(C751="幽月轮2",5,IF(C751="幽月轮3",6,IF(C751="烈日斩",7,IF(C751="银月斩",8,IF(C751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751="净世破魔击·月",17,IF(C751="驱夜断愁",18,0)))))))))))</f>
        <v>9</v>
      </c>
      <c r="E751" s="115">
        <f ca="1">IF(AND(CU751,OR(C751="幽月轮1",C751="幽月轮2",C751="幽月轮3",C751="银月斩",C751="驱夜断愁",C751="净世破魔击·月")),100,MIN(IF(OR(CN751,BE751),0,IF(OR($C751="赤日轮1",$C751="赤日轮2",$C751="赤日轮3"),E750+20+IF(模拟模式!$I$7="日月凌天",4,0)+IF(CR750,20,0),IF($C751="烈日斩",E750+40,IF($C751="驱夜断愁",IF(模拟模式!$R$7="万念俱寂",E750+20,E750+60),IF($C751="净世破魔击·月",IF(OR(DB750&gt;0,CV750&gt;0),100,IF(模拟模式!$M$7="辉耀红尘",E750+20,E750)),IF($C751="净世破魔击·日",E750-100,E750)))))),100))</f>
        <v>0</v>
      </c>
      <c r="F751" s="115">
        <f ca="1">IF(AND(CU751,OR(C751="赤日轮1",C751="赤日轮2",C751="赤日轮3",C751="烈日斩",C751="净世破魔击·日")),100,MIN(IF(CO751,0,IF(OR($C751="幽月轮1",$C751="幽月轮2",$C751="幽月轮3"),F750+20+IF(模拟模式!$I$7="日月凌天",4,0)+IF(CS750,20,0),IF($C751="银月斩",F750+40+IF(模拟模式!$X$12=1,5,0),IF($C751="驱夜断愁",IF(模拟模式!$R$7="万念俱寂",F750+20,F750+60),IF($C751="净世破魔击·月",IF(模拟模式!$M$7="辉耀红尘",F750-80,F750-100),IF(AND(C751="净世破魔击·日",OR(DB750&gt;0,CV750&gt;0)),100,F750)))))),100))</f>
        <v>100</v>
      </c>
      <c r="G751" s="117">
        <f ca="1">('模拟-全程加成'!$E$3+'模拟-全程加成'!$E$4+'模拟-全程加成'!$E$5+('模拟-全程加成'!$C$6-'模拟-全程加成'!$C$3)*系数!$B$9+BS751*23)*(1+'模拟-全程加成'!$F$4+'模拟-全程加成'!$F$5+BJ751*10%+BM751*20%+BP751*4%+CG751*30%)+$F$7*系数!$B$12</f>
        <v>20583.127400000001</v>
      </c>
      <c r="H751" s="45">
        <f ca="1">'模拟-全程加成'!$H$3+'模拟-全程加成'!$H$4+'模拟-全程加成'!$H$5+('模拟-全程加成'!$G$4+'模拟-全程加成'!$G$5+('模拟-全程加成'!$C$6-'模拟-全程加成'!$C$3)*系数!$B$13)/系数!$B$3+LOOKUP(D751,'模拟-单技能数据'!$A$2:$A$19,'模拟-单技能数据'!$K$2:$K$19)+BG751*10%+IF(BV751&gt;0,378,0)</f>
        <v>0.54185145527300216</v>
      </c>
      <c r="I751" s="45">
        <f ca="1">'模拟-全程加成'!$J$3+'模拟-全程加成'!$J$4+'模拟-全程加成'!$J$5+('模拟-全程加成'!$I$4+'模拟-全程加成'!$I$5)/系数!$B$4+LOOKUP(D751,'模拟-单技能数据'!$A$2:$A$19,'模拟-单技能数据'!$L$2:$L$19)+BG751*10%</f>
        <v>2.162482885499879</v>
      </c>
      <c r="J751" s="45">
        <f ca="1">(('模拟-全程加成'!$K$3+'模拟-全程加成'!$K$4+'模拟-全程加成'!$K$5+('模拟-全程加成'!$C$6-'模拟-全程加成'!$C$3)*系数!$B$10+IF(BV751&gt;0,882,0)+IF(BY751&gt;0,1831,0))*(1+'模拟-全程加成'!$L$4+'模拟-全程加成'!$L$5+CC751*20%))/系数!$B$5</f>
        <v>0.69723220422048726</v>
      </c>
      <c r="K751" s="119">
        <f ca="1">LOOKUP(D751,'模拟-单技能数据'!$A$2:$A$19,'模拟-单技能数据'!$J$2:$J$19)+IF(CM751,60%,0)+IF(DB750-DB751&gt;0,30%,0)+IF(OR(AND(OR(C751="赤日轮1",C751="赤日轮2",C751="赤日轮3"),CR751),AND(OR(C751="幽月轮1",C751="幽月轮2",C751="幽月轮3"),CS751)),35%,0)+CJ751</f>
        <v>1.1000000000000001</v>
      </c>
      <c r="L751" s="119">
        <f ca="1">IF(AND(C751="烈日斩",模拟模式!$X$11=1),10%,0)+IF(AND(C751="驱夜断愁",AB751=1),30%,0)</f>
        <v>0</v>
      </c>
      <c r="M751" s="45">
        <f t="shared" ca="1" si="651"/>
        <v>0.54185145527300216</v>
      </c>
      <c r="N751" s="45">
        <f t="shared" ca="1" si="652"/>
        <v>0.40424854472699789</v>
      </c>
      <c r="O751" s="46">
        <f t="shared" ca="1" si="682"/>
        <v>0.21174770804620613</v>
      </c>
      <c r="P751" s="46" t="str">
        <f t="shared" ca="1" si="653"/>
        <v>会</v>
      </c>
      <c r="Q751" s="45">
        <f t="shared" ca="1" si="654"/>
        <v>2.162482885499879</v>
      </c>
      <c r="R751" s="117">
        <f ca="1">模拟模式!$E$20*(1-IF(模拟模式!$J$19="有",0.15,0))*(1-IF(模拟模式!$K$19="有",0.3,0)-IF(CQ751,0.5,0))</f>
        <v>843.02999999999975</v>
      </c>
      <c r="S751" s="45">
        <f ca="1">R751/(R751+(185*模拟模式!$E$22-16800)*4.08224)</f>
        <v>8.389626085980037E-2</v>
      </c>
      <c r="T751" s="45" t="str">
        <f ca="1">LOOKUP(D751,'模拟-单技能数据'!$A$2:$A$19,'模拟-单技能数据'!$H$2:$H$19)</f>
        <v>阳</v>
      </c>
      <c r="U751" s="119">
        <f t="shared" ca="1" si="655"/>
        <v>0.2</v>
      </c>
      <c r="V751" s="47">
        <f ca="1">(1+L751)*(LOOKUP(D751,'模拟-单技能数据'!$A$2:$A$19,'模拟-单技能数据'!$D$2:$D$19)+G751*LOOKUP(D751,'模拟-单技能数据'!$A$2:$A$19,'模拟-单技能数据'!$F$2:$F$19))*(1+J751)*(1+K751)*(1-S751)*(1+U751)*Q751*LOOKUP(D751,'模拟-单技能数据'!$A$2:$A$19,'模拟-单技能数据'!$I$2:$I$20)</f>
        <v>228568.4507011126</v>
      </c>
      <c r="W751" s="47">
        <f ca="1">LOOKUP(D751,'模拟-单技能数据'!$A$2:$A$19,'模拟-单技能数据'!$G$2:$G$19)*$I$10</f>
        <v>723.0212870940959</v>
      </c>
      <c r="X751" s="47">
        <f t="shared" ca="1" si="683"/>
        <v>42399.008809323939</v>
      </c>
      <c r="Y751" s="47">
        <f t="shared" ca="1" si="656"/>
        <v>271690.48079753062</v>
      </c>
      <c r="Z751" s="49">
        <f t="shared" ca="1" si="657"/>
        <v>75759951.329006851</v>
      </c>
      <c r="AA751" s="97">
        <f t="shared" ca="1" si="658"/>
        <v>113431.77967780018</v>
      </c>
      <c r="AB751" s="115">
        <f ca="1">IF(OR(C751="赤日轮1",C751="赤日轮2",C751="赤日轮3"),IF(RAND()&lt;模拟模式!$Y$17,1,0),IF(OR(C751="幽月轮1",C751="幽月轮2",C751="幽月轮3"),IF(RAND()&lt;模拟模式!$Y$18,1,0),IF(C751="烈日斩",IF(RAND()&lt;模拟模式!$Y$19,1,0),IF(C751="银月斩",IF(RAND()&lt;模拟模式!$Y$20,1,0),IF(C751="驱夜断愁",IF(RAND()&lt;模拟模式!$Y$21,1,0),IF(C751="净世破魔击·日",IF(RAND()&lt;模拟模式!$Y$22,1,0),IF(C751="净世破魔击·月",IF(RAND()&lt;模拟模式!$Y$23,1,0),0)))))))</f>
        <v>1</v>
      </c>
      <c r="AC751" s="115" t="b">
        <f t="shared" ca="1" si="659"/>
        <v>0</v>
      </c>
      <c r="AD751" s="115" t="b">
        <f t="shared" ca="1" si="660"/>
        <v>0</v>
      </c>
      <c r="AE751" s="115">
        <f t="shared" ca="1" si="661"/>
        <v>3</v>
      </c>
      <c r="AF751" s="47">
        <f ca="1">IF(AC751,('模拟-单技能数据'!$D$20+G751*'模拟-单技能数据'!$F$20)*(1+J751)*(1+'模拟-单技能数据'!$J$20)*(1+U751),0)</f>
        <v>0</v>
      </c>
      <c r="AG751" s="61">
        <f t="shared" ca="1" si="662"/>
        <v>0.64185145527300214</v>
      </c>
      <c r="AH751" s="61">
        <f t="shared" ca="1" si="663"/>
        <v>2.2624828854998791</v>
      </c>
      <c r="AI751" s="62">
        <f t="shared" ca="1" si="684"/>
        <v>0.68366951724314207</v>
      </c>
      <c r="AJ751" s="47">
        <f ca="1">IF(AD751,IF(AI751&lt;$F$10,0,IF(AI751&lt;$F$10+$F$11,0.25,IF(AI751&lt;$F$10+$F$11+AG751,AH751,1)))*IF(AF751&gt;0,AF751,IF(AF750&gt;0,AF750,IF(AF749&gt;0,AF749,IF(AF748&gt;0,AF748,IF(AF747&gt;0,AF747,IF(AF746&gt;0,AF746,IF(AF745&gt;0,AF745,IF(AF744&gt;0,AF744,IF(AF743&gt;0,AF743,IF(AF741&gt;0,AF741,IF(AF740&gt;0,AF740,IF(AF739&gt;0,AF739,0)))))))))))),0)*(1-$S751)*'模拟-单技能数据'!$I$20</f>
        <v>0</v>
      </c>
      <c r="AK751" s="115" t="b">
        <f t="shared" ca="1" si="664"/>
        <v>1</v>
      </c>
      <c r="AL751" s="115" t="b">
        <f t="shared" ca="1" si="665"/>
        <v>1</v>
      </c>
      <c r="AM751" s="115">
        <f t="shared" ca="1" si="666"/>
        <v>5</v>
      </c>
      <c r="AN751" s="47">
        <f ca="1">IF(AK751,('模拟-单技能数据'!$D$21+G751*'模拟-单技能数据'!$F$21)*(1+J751)*(1+'模拟-单技能数据'!$J$21)*(1+U751),0)</f>
        <v>12136.56601728573</v>
      </c>
      <c r="AO751" s="61">
        <f ca="1">IF(AN751&gt;0,M751-'模拟-单技能数据'!$K$10,AO750)</f>
        <v>0.42185145527300216</v>
      </c>
      <c r="AP751" s="61">
        <f ca="1">IF(AN751&gt;0,I751-'模拟-单技能数据'!$L$10,AP750)</f>
        <v>2.162482885499879</v>
      </c>
      <c r="AQ751" s="63">
        <f t="shared" ca="1" si="685"/>
        <v>0.31545824550602741</v>
      </c>
      <c r="AR751" s="64">
        <f ca="1">IF(AL751,IF(AQ751&lt;$F$10,0,IF(AQ751&lt;$F$10+$F$11,0.25,IF(AQ751&lt;$F$10+$F$11+AO751,AP751,1)))*IF(AN751&gt;0,AN751,IF(AN750&gt;0,AN750,IF(AN749&gt;0,AN749,IF(AN748&gt;0,AN748,IF(AN747&gt;0,AN747,IF(AN746&gt;0,AN746,IF(AN745&gt;0,AN745,IF(AN744&gt;0,AN744,IF(AN743&gt;0,AN743,IF(AN741&gt;0,AN741,IF(AN740&gt;0,AN740,IF(AN739&gt;0,AN739,0)))))))))))),0)*(1-$S751)*'模拟-单技能数据'!$I$21</f>
        <v>24043.249177625272</v>
      </c>
      <c r="AS751" s="61">
        <f ca="1">IF(OR(C751="净世破魔击·日",C751="净世破魔击·月"),M751-'模拟-单技能数据'!$K$10,0)</f>
        <v>0.42185145527300216</v>
      </c>
      <c r="AT751" s="61">
        <f ca="1">IF(OR(C751="净世破魔击·日",C751="净世破魔击·月"),I751-'模拟-单技能数据'!$L$10,0)</f>
        <v>2.162482885499879</v>
      </c>
      <c r="AU751" s="62">
        <f t="shared" ca="1" si="686"/>
        <v>0.33563185025307096</v>
      </c>
      <c r="AV751" s="64">
        <f ca="1">IF(AS751&gt;0,('模拟-单技能数据'!$D$22+G751*'模拟-单技能数据'!$F$22)*(1+J751)*(1-S751)*IF(AU751&lt;$F$10,0,IF(AU751&lt;$F$10+$F$11,0.25,IF(AU751&lt;$F$10+$F$11+AS751,AT751,1)))*(1+U751),0)*'模拟-单技能数据'!$I$22</f>
        <v>18355.759631698667</v>
      </c>
      <c r="AW751" s="108">
        <f t="shared" ca="1" si="687"/>
        <v>13.542500000000004</v>
      </c>
      <c r="AX751" s="108" t="b">
        <f ca="1">AND(模拟模式!$P$10="有",AW750=0,RAND()&lt;IF(C751="净世破魔击·月",0.1*8/3,IF(C751="净世破魔击·日",0.1*4/3,0.1*2/3)))</f>
        <v>0</v>
      </c>
      <c r="AY751" s="47">
        <f ca="1">IF(AX751,(18+G751*0.722)*(1+J751)*(1-S751)*(1+$I$4)*IF(P751="会",'模拟-全程加成'!$J$3+'模拟-全程加成'!$J$4+'模拟-全程加成'!$J$5+('模拟-全程加成'!$I$4+'模拟-全程加成'!$I$5)/系数!$B$4+BG751*10%,IF(P751="命",1,IF(P751="识",0.25,0))),0)</f>
        <v>0</v>
      </c>
      <c r="AZ751" s="108">
        <f t="shared" si="688"/>
        <v>1.5500000000000065</v>
      </c>
      <c r="BA751" s="108" t="b">
        <f>AND(模拟模式!$Q$10="有",AZ750=0)</f>
        <v>0</v>
      </c>
      <c r="BB751" s="140">
        <f>IF(BA751,(0+G751*0.287)*(1+J751)*(1-S751)*(1+$I$4)*IF(P751="会",'模拟-全程加成'!$J$3+'模拟-全程加成'!$J$4+'模拟-全程加成'!$J$5+('模拟-全程加成'!$I$4+'模拟-全程加成'!$I$5)/系数!$B$4+BG751*10%,IF(P751="命",1,IF(P751="识",0.25,0))),0)</f>
        <v>0</v>
      </c>
      <c r="BC751" s="115" t="b">
        <f ca="1">AND(模拟模式!$R$7="伏明众生",E751=60,F751=20,DA751&lt;5,CZ750&lt;$F$4)</f>
        <v>0</v>
      </c>
      <c r="BD751" s="115">
        <f t="shared" ca="1" si="667"/>
        <v>0</v>
      </c>
      <c r="BE751" s="115" t="b">
        <f t="shared" ca="1" si="668"/>
        <v>0</v>
      </c>
      <c r="BF751" s="47">
        <f ca="1">IF(BC751,4*('模拟-单技能数据'!$D$24+G751*'模拟-单技能数据'!$F$24)*(1+J751)*(1+'模拟-单技能数据'!$J$24)*(1-S751)*(1+$I$3)*(('模拟-全程加成'!$J$3+'模拟-全程加成'!$J$4+'模拟-全程加成'!$J$5+('模拟-全程加成'!$I$4+'模拟-全程加成'!$I$5)/系数!$B$4+BG751*10%)*('模拟-全程加成'!$J$3+'模拟-全程加成'!$J$4+'模拟-全程加成'!$J$5+('模拟-全程加成'!$I$4+'模拟-全程加成'!$I$5)/系数!$B$4+BG751*10%)+(1-('模拟-全程加成'!$J$3+'模拟-全程加成'!$J$4+'模拟-全程加成'!$J$5+('模拟-全程加成'!$I$4+'模拟-全程加成'!$I$5)/系数!$B$4+BG751*10%)-$F$10-$F$11)+F737*0.25),0)*'模拟-单技能数据'!$I$24</f>
        <v>0</v>
      </c>
      <c r="BG751" s="115" t="b">
        <f ca="1">OR(AND(OR(C751="烈日斩",C751="银月斩"),模拟模式!$I$7="净身明礼"),AND(C751="净世破魔击·日",模拟模式!$J$7="洞若观火"),AND(C752="净世破魔击·月",模拟模式!$J$7="洞若观火"),AB751=1)</f>
        <v>1</v>
      </c>
      <c r="BH751" s="115" t="b">
        <f t="shared" ca="1" si="689"/>
        <v>0</v>
      </c>
      <c r="BI751" s="115">
        <f t="shared" ca="1" si="669"/>
        <v>0</v>
      </c>
      <c r="BJ751" s="115" t="b">
        <f t="shared" ca="1" si="670"/>
        <v>0</v>
      </c>
      <c r="BK751" s="115" t="b">
        <f ca="1">AND(C751="驱夜断愁",模拟模式!$P$7="天地诛戮")</f>
        <v>0</v>
      </c>
      <c r="BL751" s="57">
        <f t="shared" ca="1" si="671"/>
        <v>16.310000000000002</v>
      </c>
      <c r="BM751" s="115" t="b">
        <f t="shared" ca="1" si="672"/>
        <v>1</v>
      </c>
      <c r="BN751" s="115" t="b">
        <f ca="1">AND(OR(C751="赤日轮1",C751="赤日轮2",C751="赤日轮3",C751="幽月轮1",C751="幽月轮2",C751="幽月轮3"),AB751=1,模拟模式!$L$7="明光恒照")</f>
        <v>0</v>
      </c>
      <c r="BO751" s="117">
        <f t="shared" ca="1" si="673"/>
        <v>28.155000000000001</v>
      </c>
      <c r="BP751" s="115">
        <f t="shared" ca="1" si="690"/>
        <v>6</v>
      </c>
      <c r="BQ751" s="115" t="b">
        <f>模拟模式!$K$10="2600·水"</f>
        <v>0</v>
      </c>
      <c r="BR751" s="117">
        <f t="shared" si="691"/>
        <v>0</v>
      </c>
      <c r="BS751" s="115">
        <f t="shared" si="692"/>
        <v>0</v>
      </c>
      <c r="BT751" s="115">
        <f t="shared" ca="1" si="693"/>
        <v>0</v>
      </c>
      <c r="BU751" s="115" t="b">
        <f ca="1">AND(模拟模式!$K$10="2300·雷",BT750=0,RAND()&lt;IF(C751="净世破魔击·月",5*0.05*2/3,IF(C751="净世破魔击·日",3*0.05*2/3,0.05*2*2/3)))</f>
        <v>0</v>
      </c>
      <c r="BV751" s="115">
        <f t="shared" ca="1" si="694"/>
        <v>0</v>
      </c>
      <c r="BW751" s="115">
        <f t="shared" ca="1" si="695"/>
        <v>70.222499999999272</v>
      </c>
      <c r="BX751" s="164" t="b">
        <f t="shared" ca="1" si="696"/>
        <v>0</v>
      </c>
      <c r="BY751" s="115">
        <f t="shared" ca="1" si="697"/>
        <v>0</v>
      </c>
      <c r="BZ751" s="115">
        <f>IF(OR(模拟模式!$P$16="10人团",模拟模式!$P$16="25人团"),IF(B751/30&gt;CA750,1,0),0)</f>
        <v>0</v>
      </c>
      <c r="CA751" s="115">
        <f t="shared" si="674"/>
        <v>0</v>
      </c>
      <c r="CB751" s="115">
        <f ca="1">IF(BZ751=1,IF(模拟模式!$P$16="10人团",15,0)+IF(模拟模式!$P$16="25人团",IF(RAND()&lt;0.6,15,0)),MAX(0,CB750-$F$4))</f>
        <v>0</v>
      </c>
      <c r="CC751" s="115" t="b">
        <f t="shared" ca="1" si="675"/>
        <v>0</v>
      </c>
      <c r="CD751" s="115">
        <f>IF(模拟模式!$Q$16="1个",IF(B751/40&gt;CE750,1,0),0)</f>
        <v>0</v>
      </c>
      <c r="CE751" s="115">
        <f t="shared" si="676"/>
        <v>0</v>
      </c>
      <c r="CF751" s="115">
        <f>IF(OR(CD751=1,模拟模式!$Q$16="2个"),20,MAX(0,CF750-$F$4))</f>
        <v>0</v>
      </c>
      <c r="CG751" s="115" t="b">
        <f t="shared" si="677"/>
        <v>0</v>
      </c>
      <c r="CH751" s="115">
        <f t="shared" ca="1" si="698"/>
        <v>14.31750000000001</v>
      </c>
      <c r="CI751" s="115" t="b">
        <f t="shared" ca="1" si="699"/>
        <v>0</v>
      </c>
      <c r="CJ751" s="119">
        <f t="shared" ca="1" si="700"/>
        <v>0</v>
      </c>
      <c r="CK751" s="115">
        <f t="shared" ca="1" si="701"/>
        <v>0</v>
      </c>
      <c r="CL751" s="115" t="b">
        <f ca="1">AND(模拟模式!$S$7="驱夷逐法",OR(AND(C751="净世破魔击·月",E750&gt;59),AND(C751="净世破魔击·日",F750&gt;59)))</f>
        <v>0</v>
      </c>
      <c r="CM751" s="115" t="b">
        <f ca="1">OR(CL751,AND(C751="净世破魔击·日",CL750,RAND()&lt;模拟模式!$U$23))</f>
        <v>1</v>
      </c>
      <c r="CN751" s="115" t="b">
        <f ca="1">IF(模拟模式!$M$7="辉耀红尘",AND(C751="净世破魔击·月",CL751,CV751=0,E750&lt;80),AND(C751="净世破魔击·月",CL751,E750&lt;100))</f>
        <v>0</v>
      </c>
      <c r="CO751" s="115" t="b">
        <f t="shared" ca="1" si="678"/>
        <v>0</v>
      </c>
      <c r="CP751" s="115" t="b">
        <f ca="1">AND(模拟模式!$O$7="用晦而明",OR(C751="净世破魔击·日",C751="净世破魔击·月",C751="驱夜断愁"),AB751)</f>
        <v>1</v>
      </c>
      <c r="CQ751" s="115" t="b">
        <f ca="1">OR(CP751,AND(CP750,RAND()&lt;模拟模式!$U$23))</f>
        <v>1</v>
      </c>
      <c r="CR751" s="115" t="b">
        <f ca="1">AND(模拟模式!$S$7="日月齐光",OR(C751="幽月轮1",C751="幽月轮2",C751="幽月轮3",CR750),NOT(OR(C751="赤日轮1",C751="赤日轮2",C751="赤日轮3")))</f>
        <v>0</v>
      </c>
      <c r="CS751" s="115" t="b">
        <f ca="1">AND(模拟模式!$S$7="日月齐光",OR(C751="赤日轮1",C751="赤日轮2",C751="赤日轮3",CS750),NOT(OR(C751="幽月轮1",C751="幽月轮2",C751="幽月轮3")))</f>
        <v>0</v>
      </c>
      <c r="CT751" s="115">
        <f t="shared" ca="1" si="702"/>
        <v>0</v>
      </c>
      <c r="CU751" s="115" t="b">
        <f ca="1">AND(模拟模式!$K$10="阴阳往极",CT750=0,RAND()&lt;IF(C751="净世破魔击·月",0.0275*7/3,IF(C751="净世破魔击·日",0.0275*3/3,0.0275*2/3)))</f>
        <v>0</v>
      </c>
      <c r="CV751" s="115">
        <f t="shared" ca="1" si="703"/>
        <v>0</v>
      </c>
      <c r="CW751" s="115">
        <f t="shared" ca="1" si="704"/>
        <v>3.2324999999999995</v>
      </c>
      <c r="CX751" s="115">
        <f t="shared" ca="1" si="705"/>
        <v>1.3874999999999997</v>
      </c>
      <c r="CY751" s="115">
        <f ca="1">MAX(IF($C751="驱夜断愁",IF(模拟模式!$R$7="万念俱寂",6,45),CY750-$F$4),0)</f>
        <v>2.3099999999999996</v>
      </c>
      <c r="CZ751" s="115">
        <f t="shared" ca="1" si="679"/>
        <v>0</v>
      </c>
      <c r="DA751" s="115">
        <f ca="1">IF(模拟模式!$N$7="日月同辉",IF(DB750=2,0,MIN(6,IF(AND(OR(C751="赤日轮1",C751="赤日轮2",C751="赤日轮3",C751="幽月轮1",C751="幽月轮2",C751="幽月轮3"),AB751=1),DA750+1,DA750))),0)</f>
        <v>0</v>
      </c>
      <c r="DB751" s="115">
        <f t="shared" ca="1" si="680"/>
        <v>0</v>
      </c>
      <c r="DC751" s="115"/>
      <c r="DD751" s="115"/>
      <c r="DE751" s="115"/>
      <c r="DF751" s="115"/>
      <c r="DG751" s="115"/>
      <c r="DH751" s="115"/>
      <c r="DI751" s="115"/>
      <c r="DJ751" s="115"/>
      <c r="DK751" s="115"/>
      <c r="DL751" s="115"/>
      <c r="DM751" s="115"/>
    </row>
    <row r="752" spans="2:117" x14ac:dyDescent="0.2">
      <c r="B752" s="117">
        <f t="shared" si="681"/>
        <v>668.81250000000784</v>
      </c>
      <c r="C752" s="167" t="str">
        <f t="shared" ca="1" si="650"/>
        <v>净世破魔击·月</v>
      </c>
      <c r="D752" s="115">
        <f ca="1">IF(C752="赤日轮1",1,IF(C752="赤日轮2",2,IF(C752="赤日轮3",3,IF(C752="幽月轮1",4,IF(C752="幽月轮2",5,IF(C752="幽月轮3",6,IF(C752="烈日斩",7,IF(C752="银月斩",8,IF(C752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752="净世破魔击·月",17,IF(C752="驱夜断愁",18,0)))))))))))</f>
        <v>17</v>
      </c>
      <c r="E752" s="115">
        <f ca="1">IF(AND(CU752,OR(C752="幽月轮1",C752="幽月轮2",C752="幽月轮3",C752="银月斩",C752="驱夜断愁",C752="净世破魔击·月")),100,MIN(IF(OR(CN752,BE752),0,IF(OR($C752="赤日轮1",$C752="赤日轮2",$C752="赤日轮3"),E751+20+IF(模拟模式!$I$7="日月凌天",4,0)+IF(CR751,20,0),IF($C752="烈日斩",E751+40,IF($C752="驱夜断愁",IF(模拟模式!$R$7="万念俱寂",E751+20,E751+60),IF($C752="净世破魔击·月",IF(OR(DB751&gt;0,CV751&gt;0),100,IF(模拟模式!$M$7="辉耀红尘",E751+20,E751)),IF($C752="净世破魔击·日",E751-100,E751)))))),100))</f>
        <v>20</v>
      </c>
      <c r="F752" s="115">
        <f ca="1">IF(AND(CU752,OR(C752="赤日轮1",C752="赤日轮2",C752="赤日轮3",C752="烈日斩",C752="净世破魔击·日")),100,MIN(IF(CO752,0,IF(OR($C752="幽月轮1",$C752="幽月轮2",$C752="幽月轮3"),F751+20+IF(模拟模式!$I$7="日月凌天",4,0)+IF(CS751,20,0),IF($C752="银月斩",F751+40+IF(模拟模式!$X$12=1,5,0),IF($C752="驱夜断愁",IF(模拟模式!$R$7="万念俱寂",F751+20,F751+60),IF($C752="净世破魔击·月",IF(模拟模式!$M$7="辉耀红尘",F751-80,F751-100),IF(AND(C752="净世破魔击·日",OR(DB751&gt;0,CV751&gt;0)),100,F751)))))),100))</f>
        <v>20</v>
      </c>
      <c r="G752" s="117">
        <f ca="1">('模拟-全程加成'!$E$3+'模拟-全程加成'!$E$4+'模拟-全程加成'!$E$5+('模拟-全程加成'!$C$6-'模拟-全程加成'!$C$3)*系数!$B$9+BS752*23)*(1+'模拟-全程加成'!$F$4+'模拟-全程加成'!$F$5+BJ752*10%+BM752*20%+BP752*4%+CG752*30%)+$F$7*系数!$B$12</f>
        <v>20583.127400000001</v>
      </c>
      <c r="H752" s="45">
        <f ca="1">'模拟-全程加成'!$H$3+'模拟-全程加成'!$H$4+'模拟-全程加成'!$H$5+('模拟-全程加成'!$G$4+'模拟-全程加成'!$G$5+('模拟-全程加成'!$C$6-'模拟-全程加成'!$C$3)*系数!$B$13)/系数!$B$3+LOOKUP(D752,'模拟-单技能数据'!$A$2:$A$19,'模拟-单技能数据'!$K$2:$K$19)+BG752*10%+IF(BV752&gt;0,378,0)</f>
        <v>0.54185145527300216</v>
      </c>
      <c r="I752" s="45">
        <f ca="1">'模拟-全程加成'!$J$3+'模拟-全程加成'!$J$4+'模拟-全程加成'!$J$5+('模拟-全程加成'!$I$4+'模拟-全程加成'!$I$5)/系数!$B$4+LOOKUP(D752,'模拟-单技能数据'!$A$2:$A$19,'模拟-单技能数据'!$L$2:$L$19)+BG752*10%</f>
        <v>2.162482885499879</v>
      </c>
      <c r="J752" s="45">
        <f ca="1">(('模拟-全程加成'!$K$3+'模拟-全程加成'!$K$4+'模拟-全程加成'!$K$5+('模拟-全程加成'!$C$6-'模拟-全程加成'!$C$3)*系数!$B$10+IF(BV752&gt;0,882,0)+IF(BY752&gt;0,1831,0))*(1+'模拟-全程加成'!$L$4+'模拟-全程加成'!$L$5+CC752*20%))/系数!$B$5</f>
        <v>0.69723220422048726</v>
      </c>
      <c r="K752" s="119">
        <f ca="1">LOOKUP(D752,'模拟-单技能数据'!$A$2:$A$19,'模拟-单技能数据'!$J$2:$J$19)+IF(CM752,60%,0)+IF(DB751-DB752&gt;0,30%,0)+IF(OR(AND(OR(C752="赤日轮1",C752="赤日轮2",C752="赤日轮3"),CR752),AND(OR(C752="幽月轮1",C752="幽月轮2",C752="幽月轮3"),CS752)),35%,0)+CJ752</f>
        <v>0.2</v>
      </c>
      <c r="L752" s="119">
        <f ca="1">IF(AND(C752="烈日斩",模拟模式!$X$11=1),10%,0)+IF(AND(C752="驱夜断愁",AB752=1),30%,0)</f>
        <v>0</v>
      </c>
      <c r="M752" s="45">
        <f t="shared" ca="1" si="651"/>
        <v>0.54185145527300216</v>
      </c>
      <c r="N752" s="45">
        <f t="shared" ca="1" si="652"/>
        <v>0.40424854472699789</v>
      </c>
      <c r="O752" s="46">
        <f t="shared" ca="1" si="682"/>
        <v>0.2826951663300189</v>
      </c>
      <c r="P752" s="46" t="str">
        <f t="shared" ca="1" si="653"/>
        <v>会</v>
      </c>
      <c r="Q752" s="45">
        <f t="shared" ca="1" si="654"/>
        <v>2.162482885499879</v>
      </c>
      <c r="R752" s="117">
        <f ca="1">模拟模式!$E$20*(1-IF(模拟模式!$J$19="有",0.15,0))*(1-IF(模拟模式!$K$19="有",0.3,0)-IF(CQ752,0.5,0))</f>
        <v>843.02999999999975</v>
      </c>
      <c r="S752" s="45">
        <f ca="1">R752/(R752+(185*模拟模式!$E$22-16800)*4.08224)</f>
        <v>8.389626085980037E-2</v>
      </c>
      <c r="T752" s="45" t="str">
        <f ca="1">LOOKUP(D752,'模拟-单技能数据'!$A$2:$A$19,'模拟-单技能数据'!$H$2:$H$19)</f>
        <v>阴</v>
      </c>
      <c r="U752" s="119">
        <f t="shared" ca="1" si="655"/>
        <v>0.08</v>
      </c>
      <c r="V752" s="47">
        <f ca="1">(1+L752)*(LOOKUP(D752,'模拟-单技能数据'!$A$2:$A$19,'模拟-单技能数据'!$D$2:$D$19)+G752*LOOKUP(D752,'模拟-单技能数据'!$A$2:$A$19,'模拟-单技能数据'!$F$2:$F$19))*(1+J752)*(1+K752)*(1-S752)*(1+U752)*Q752*LOOKUP(D752,'模拟-单技能数据'!$A$2:$A$19,'模拟-单技能数据'!$I$2:$I$20)</f>
        <v>116578.90677476654</v>
      </c>
      <c r="W752" s="47">
        <f ca="1">LOOKUP(D752,'模拟-单技能数据'!$A$2:$A$19,'模拟-单技能数据'!$G$2:$G$19)*$I$10</f>
        <v>361.51064354704795</v>
      </c>
      <c r="X752" s="47">
        <f t="shared" ca="1" si="683"/>
        <v>20770.672004245895</v>
      </c>
      <c r="Y752" s="47">
        <f t="shared" ca="1" si="656"/>
        <v>137711.08942255948</v>
      </c>
      <c r="Z752" s="49">
        <f t="shared" ca="1" si="657"/>
        <v>75897662.418429404</v>
      </c>
      <c r="AA752" s="97">
        <f t="shared" ca="1" si="658"/>
        <v>113481.22593167519</v>
      </c>
      <c r="AB752" s="115">
        <f ca="1">IF(OR(C752="赤日轮1",C752="赤日轮2",C752="赤日轮3"),IF(RAND()&lt;模拟模式!$Y$17,1,0),IF(OR(C752="幽月轮1",C752="幽月轮2",C752="幽月轮3"),IF(RAND()&lt;模拟模式!$Y$18,1,0),IF(C752="烈日斩",IF(RAND()&lt;模拟模式!$Y$19,1,0),IF(C752="银月斩",IF(RAND()&lt;模拟模式!$Y$20,1,0),IF(C752="驱夜断愁",IF(RAND()&lt;模拟模式!$Y$21,1,0),IF(C752="净世破魔击·日",IF(RAND()&lt;模拟模式!$Y$22,1,0),IF(C752="净世破魔击·月",IF(RAND()&lt;模拟模式!$Y$23,1,0),0)))))))</f>
        <v>1</v>
      </c>
      <c r="AC752" s="115" t="b">
        <f t="shared" ca="1" si="659"/>
        <v>0</v>
      </c>
      <c r="AD752" s="115" t="b">
        <f t="shared" ca="1" si="660"/>
        <v>1</v>
      </c>
      <c r="AE752" s="115">
        <f t="shared" ca="1" si="661"/>
        <v>2</v>
      </c>
      <c r="AF752" s="47">
        <f ca="1">IF(AC752,('模拟-单技能数据'!$D$20+G752*'模拟-单技能数据'!$F$20)*(1+J752)*(1+'模拟-单技能数据'!$J$20)*(1+U752),0)</f>
        <v>0</v>
      </c>
      <c r="AG752" s="61">
        <f t="shared" ca="1" si="662"/>
        <v>0.64185145527300214</v>
      </c>
      <c r="AH752" s="61">
        <f t="shared" ca="1" si="663"/>
        <v>2.2624828854998791</v>
      </c>
      <c r="AI752" s="62">
        <f t="shared" ca="1" si="684"/>
        <v>0.95460559016151758</v>
      </c>
      <c r="AJ752" s="47">
        <f ca="1">IF(AD752,IF(AI752&lt;$F$10,0,IF(AI752&lt;$F$10+$F$11,0.25,IF(AI752&lt;$F$10+$F$11+AG752,AH752,1)))*IF(AF752&gt;0,AF752,IF(AF751&gt;0,AF751,IF(AF750&gt;0,AF750,IF(AF749&gt;0,AF749,IF(AF748&gt;0,AF748,IF(AF747&gt;0,AF747,IF(AF746&gt;0,AF746,IF(AF745&gt;0,AF745,IF(AF744&gt;0,AF744,IF(AF742&gt;0,AF742,IF(AF741&gt;0,AF741,IF(AF740&gt;0,AF740,0)))))))))))),0)*(1-$S752)*'模拟-单技能数据'!$I$20</f>
        <v>4250.4883357170938</v>
      </c>
      <c r="AK752" s="115" t="b">
        <f t="shared" ca="1" si="664"/>
        <v>0</v>
      </c>
      <c r="AL752" s="115" t="b">
        <f t="shared" ca="1" si="665"/>
        <v>0</v>
      </c>
      <c r="AM752" s="115">
        <f t="shared" ca="1" si="666"/>
        <v>5</v>
      </c>
      <c r="AN752" s="47">
        <f ca="1">IF(AK752,('模拟-单技能数据'!$D$21+G752*'模拟-单技能数据'!$F$21)*(1+J752)*(1+'模拟-单技能数据'!$J$21)*(1+U752),0)</f>
        <v>0</v>
      </c>
      <c r="AO752" s="61">
        <f ca="1">IF(AN752&gt;0,M752-'模拟-单技能数据'!$K$10,AO751)</f>
        <v>0.42185145527300216</v>
      </c>
      <c r="AP752" s="61">
        <f ca="1">IF(AN752&gt;0,I752-'模拟-单技能数据'!$L$10,AP751)</f>
        <v>2.162482885499879</v>
      </c>
      <c r="AQ752" s="63">
        <f t="shared" ca="1" si="685"/>
        <v>0.75217779215844993</v>
      </c>
      <c r="AR752" s="64">
        <f ca="1">IF(AL752,IF(AQ752&lt;$F$10,0,IF(AQ752&lt;$F$10+$F$11,0.25,IF(AQ752&lt;$F$10+$F$11+AO752,AP752,1)))*IF(AN752&gt;0,AN752,IF(AN751&gt;0,AN751,IF(AN750&gt;0,AN750,IF(AN749&gt;0,AN749,IF(AN748&gt;0,AN748,IF(AN747&gt;0,AN747,IF(AN746&gt;0,AN746,IF(AN745&gt;0,AN745,IF(AN744&gt;0,AN744,IF(AN742&gt;0,AN742,IF(AN741&gt;0,AN741,IF(AN740&gt;0,AN740,0)))))))))))),0)*(1-$S752)*'模拟-单技能数据'!$I$21</f>
        <v>0</v>
      </c>
      <c r="AS752" s="61">
        <f ca="1">IF(OR(C752="净世破魔击·日",C752="净世破魔击·月"),M752-'模拟-单技能数据'!$K$10,0)</f>
        <v>0.42185145527300216</v>
      </c>
      <c r="AT752" s="61">
        <f ca="1">IF(OR(C752="净世破魔击·日",C752="净世破魔击·月"),I752-'模拟-单技能数据'!$L$10,0)</f>
        <v>2.162482885499879</v>
      </c>
      <c r="AU752" s="62">
        <f t="shared" ca="1" si="686"/>
        <v>0.46008638563199267</v>
      </c>
      <c r="AV752" s="64">
        <f ca="1">IF(AS752&gt;0,('模拟-单技能数据'!$D$22+G752*'模拟-单技能数据'!$F$22)*(1+J752)*(1-S752)*IF(AU752&lt;$F$10,0,IF(AU752&lt;$F$10+$F$11,0.25,IF(AU752&lt;$F$10+$F$11+AS752,AT752,1)))*(1+U752),0)*'模拟-单技能数据'!$I$22</f>
        <v>16520.1836685288</v>
      </c>
      <c r="AW752" s="108">
        <f t="shared" ca="1" si="687"/>
        <v>12.620000000000005</v>
      </c>
      <c r="AX752" s="108" t="b">
        <f ca="1">AND(模拟模式!$P$10="有",AW751=0,RAND()&lt;IF(C752="净世破魔击·月",0.1*8/3,IF(C752="净世破魔击·日",0.1*4/3,0.1*2/3)))</f>
        <v>0</v>
      </c>
      <c r="AY752" s="47">
        <f ca="1">IF(AX752,(18+G752*0.722)*(1+J752)*(1-S752)*(1+$I$4)*IF(P752="会",'模拟-全程加成'!$J$3+'模拟-全程加成'!$J$4+'模拟-全程加成'!$J$5+('模拟-全程加成'!$I$4+'模拟-全程加成'!$I$5)/系数!$B$4+BG752*10%,IF(P752="命",1,IF(P752="识",0.25,0))),0)</f>
        <v>0</v>
      </c>
      <c r="AZ752" s="108">
        <f t="shared" si="688"/>
        <v>0.6275000000000065</v>
      </c>
      <c r="BA752" s="108" t="b">
        <f>AND(模拟模式!$Q$10="有",AZ751=0)</f>
        <v>0</v>
      </c>
      <c r="BB752" s="140">
        <f>IF(BA752,(0+G752*0.287)*(1+J752)*(1-S752)*(1+$I$4)*IF(P752="会",'模拟-全程加成'!$J$3+'模拟-全程加成'!$J$4+'模拟-全程加成'!$J$5+('模拟-全程加成'!$I$4+'模拟-全程加成'!$I$5)/系数!$B$4+BG752*10%,IF(P752="命",1,IF(P752="识",0.25,0))),0)</f>
        <v>0</v>
      </c>
      <c r="BC752" s="115" t="b">
        <f ca="1">AND(模拟模式!$R$7="伏明众生",E752=60,F752=20,DA752&lt;5,CZ751&lt;$F$4)</f>
        <v>0</v>
      </c>
      <c r="BD752" s="115">
        <f t="shared" ca="1" si="667"/>
        <v>0</v>
      </c>
      <c r="BE752" s="115" t="b">
        <f t="shared" ca="1" si="668"/>
        <v>0</v>
      </c>
      <c r="BF752" s="47">
        <f ca="1">IF(BC752,4*('模拟-单技能数据'!$D$24+G752*'模拟-单技能数据'!$F$24)*(1+J752)*(1+'模拟-单技能数据'!$J$24)*(1-S752)*(1+$I$3)*(('模拟-全程加成'!$J$3+'模拟-全程加成'!$J$4+'模拟-全程加成'!$J$5+('模拟-全程加成'!$I$4+'模拟-全程加成'!$I$5)/系数!$B$4+BG752*10%)*('模拟-全程加成'!$J$3+'模拟-全程加成'!$J$4+'模拟-全程加成'!$J$5+('模拟-全程加成'!$I$4+'模拟-全程加成'!$I$5)/系数!$B$4+BG752*10%)+(1-('模拟-全程加成'!$J$3+'模拟-全程加成'!$J$4+'模拟-全程加成'!$J$5+('模拟-全程加成'!$I$4+'模拟-全程加成'!$I$5)/系数!$B$4+BG752*10%)-$F$10-$F$11)+F738*0.25),0)*'模拟-单技能数据'!$I$24</f>
        <v>0</v>
      </c>
      <c r="BG752" s="115" t="b">
        <f ca="1">OR(AND(OR(C752="烈日斩",C752="银月斩"),模拟模式!$I$7="净身明礼"),AND(C752="净世破魔击·日",模拟模式!$J$7="洞若观火"),AND(C753="净世破魔击·月",模拟模式!$J$7="洞若观火"),AB752=1)</f>
        <v>1</v>
      </c>
      <c r="BH752" s="115" t="b">
        <f t="shared" ca="1" si="689"/>
        <v>0</v>
      </c>
      <c r="BI752" s="115">
        <f t="shared" ca="1" si="669"/>
        <v>0</v>
      </c>
      <c r="BJ752" s="115" t="b">
        <f t="shared" ca="1" si="670"/>
        <v>0</v>
      </c>
      <c r="BK752" s="115" t="b">
        <f ca="1">AND(C752="驱夜断愁",模拟模式!$P$7="天地诛戮")</f>
        <v>0</v>
      </c>
      <c r="BL752" s="57">
        <f t="shared" ca="1" si="671"/>
        <v>15.387500000000003</v>
      </c>
      <c r="BM752" s="115" t="b">
        <f t="shared" ca="1" si="672"/>
        <v>1</v>
      </c>
      <c r="BN752" s="115" t="b">
        <f ca="1">AND(OR(C752="赤日轮1",C752="赤日轮2",C752="赤日轮3",C752="幽月轮1",C752="幽月轮2",C752="幽月轮3"),AB752=1,模拟模式!$L$7="明光恒照")</f>
        <v>0</v>
      </c>
      <c r="BO752" s="117">
        <f t="shared" ca="1" si="673"/>
        <v>27.232500000000002</v>
      </c>
      <c r="BP752" s="115">
        <f t="shared" ca="1" si="690"/>
        <v>6</v>
      </c>
      <c r="BQ752" s="115" t="b">
        <f>模拟模式!$K$10="2600·水"</f>
        <v>0</v>
      </c>
      <c r="BR752" s="117">
        <f t="shared" si="691"/>
        <v>0</v>
      </c>
      <c r="BS752" s="115">
        <f t="shared" si="692"/>
        <v>0</v>
      </c>
      <c r="BT752" s="115">
        <f t="shared" ca="1" si="693"/>
        <v>0</v>
      </c>
      <c r="BU752" s="115" t="b">
        <f ca="1">AND(模拟模式!$K$10="2300·雷",BT751=0,RAND()&lt;IF(C752="净世破魔击·月",5*0.05*2/3,IF(C752="净世破魔击·日",3*0.05*2/3,0.05*2*2/3)))</f>
        <v>0</v>
      </c>
      <c r="BV752" s="115">
        <f t="shared" ca="1" si="694"/>
        <v>0</v>
      </c>
      <c r="BW752" s="115">
        <f t="shared" ca="1" si="695"/>
        <v>69.299999999999272</v>
      </c>
      <c r="BX752" s="164" t="b">
        <f t="shared" ca="1" si="696"/>
        <v>0</v>
      </c>
      <c r="BY752" s="115">
        <f t="shared" ca="1" si="697"/>
        <v>0</v>
      </c>
      <c r="BZ752" s="115">
        <f>IF(OR(模拟模式!$P$16="10人团",模拟模式!$P$16="25人团"),IF(B752/30&gt;CA751,1,0),0)</f>
        <v>0</v>
      </c>
      <c r="CA752" s="115">
        <f t="shared" si="674"/>
        <v>0</v>
      </c>
      <c r="CB752" s="115">
        <f ca="1">IF(BZ752=1,IF(模拟模式!$P$16="10人团",15,0)+IF(模拟模式!$P$16="25人团",IF(RAND()&lt;0.6,15,0)),MAX(0,CB751-$F$4))</f>
        <v>0</v>
      </c>
      <c r="CC752" s="115" t="b">
        <f t="shared" ca="1" si="675"/>
        <v>0</v>
      </c>
      <c r="CD752" s="115">
        <f>IF(模拟模式!$Q$16="1个",IF(B752/40&gt;CE751,1,0),0)</f>
        <v>0</v>
      </c>
      <c r="CE752" s="115">
        <f t="shared" si="676"/>
        <v>0</v>
      </c>
      <c r="CF752" s="115">
        <f>IF(OR(CD752=1,模拟模式!$Q$16="2个"),20,MAX(0,CF751-$F$4))</f>
        <v>0</v>
      </c>
      <c r="CG752" s="115" t="b">
        <f t="shared" si="677"/>
        <v>0</v>
      </c>
      <c r="CH752" s="115">
        <f t="shared" ca="1" si="698"/>
        <v>13.39500000000001</v>
      </c>
      <c r="CI752" s="115" t="b">
        <f t="shared" ca="1" si="699"/>
        <v>0</v>
      </c>
      <c r="CJ752" s="119">
        <f t="shared" ca="1" si="700"/>
        <v>0</v>
      </c>
      <c r="CK752" s="115">
        <f t="shared" ca="1" si="701"/>
        <v>0</v>
      </c>
      <c r="CL752" s="115" t="b">
        <f ca="1">AND(模拟模式!$S$7="驱夷逐法",OR(AND(C752="净世破魔击·月",E751&gt;59),AND(C752="净世破魔击·日",F751&gt;59)))</f>
        <v>0</v>
      </c>
      <c r="CM752" s="115" t="b">
        <f ca="1">OR(CL752,AND(C752="净世破魔击·日",CL751,RAND()&lt;模拟模式!$U$23))</f>
        <v>0</v>
      </c>
      <c r="CN752" s="115" t="b">
        <f ca="1">IF(模拟模式!$M$7="辉耀红尘",AND(C752="净世破魔击·月",CL752,CV752=0,E751&lt;80),AND(C752="净世破魔击·月",CL752,E751&lt;100))</f>
        <v>0</v>
      </c>
      <c r="CO752" s="115" t="b">
        <f t="shared" ca="1" si="678"/>
        <v>0</v>
      </c>
      <c r="CP752" s="115" t="b">
        <f ca="1">AND(模拟模式!$O$7="用晦而明",OR(C752="净世破魔击·日",C752="净世破魔击·月",C752="驱夜断愁"),AB752)</f>
        <v>1</v>
      </c>
      <c r="CQ752" s="115" t="b">
        <f ca="1">OR(CP752,AND(CP751,RAND()&lt;模拟模式!$U$23))</f>
        <v>1</v>
      </c>
      <c r="CR752" s="115" t="b">
        <f ca="1">AND(模拟模式!$S$7="日月齐光",OR(C752="幽月轮1",C752="幽月轮2",C752="幽月轮3",CR751),NOT(OR(C752="赤日轮1",C752="赤日轮2",C752="赤日轮3")))</f>
        <v>0</v>
      </c>
      <c r="CS752" s="115" t="b">
        <f ca="1">AND(模拟模式!$S$7="日月齐光",OR(C752="赤日轮1",C752="赤日轮2",C752="赤日轮3",CS751),NOT(OR(C752="幽月轮1",C752="幽月轮2",C752="幽月轮3")))</f>
        <v>0</v>
      </c>
      <c r="CT752" s="115">
        <f t="shared" ca="1" si="702"/>
        <v>0</v>
      </c>
      <c r="CU752" s="115" t="b">
        <f ca="1">AND(模拟模式!$K$10="阴阳往极",CT751=0,RAND()&lt;IF(C752="净世破魔击·月",0.0275*7/3,IF(C752="净世破魔击·日",0.0275*3/3,0.0275*2/3)))</f>
        <v>0</v>
      </c>
      <c r="CV752" s="115">
        <f t="shared" ca="1" si="703"/>
        <v>0</v>
      </c>
      <c r="CW752" s="115">
        <f t="shared" ca="1" si="704"/>
        <v>2.3099999999999996</v>
      </c>
      <c r="CX752" s="115">
        <f t="shared" ca="1" si="705"/>
        <v>0.46499999999999975</v>
      </c>
      <c r="CY752" s="115">
        <f ca="1">MAX(IF($C752="驱夜断愁",IF(模拟模式!$R$7="万念俱寂",6,45),CY751-$F$4),0)</f>
        <v>1.3874999999999997</v>
      </c>
      <c r="CZ752" s="115">
        <f t="shared" ca="1" si="679"/>
        <v>0</v>
      </c>
      <c r="DA752" s="115">
        <f ca="1">IF(模拟模式!$N$7="日月同辉",IF(DB751=2,0,MIN(6,IF(AND(OR(C752="赤日轮1",C752="赤日轮2",C752="赤日轮3",C752="幽月轮1",C752="幽月轮2",C752="幽月轮3"),AB752=1),DA751+1,DA751))),0)</f>
        <v>0</v>
      </c>
      <c r="DB752" s="115">
        <f t="shared" ca="1" si="680"/>
        <v>0</v>
      </c>
      <c r="DC752" s="115"/>
      <c r="DD752" s="115"/>
      <c r="DE752" s="115"/>
      <c r="DF752" s="115"/>
      <c r="DG752" s="115"/>
      <c r="DH752" s="115"/>
      <c r="DI752" s="115"/>
      <c r="DJ752" s="115"/>
      <c r="DK752" s="115"/>
      <c r="DL752" s="115"/>
      <c r="DM752" s="115"/>
    </row>
    <row r="753" spans="2:117" x14ac:dyDescent="0.2">
      <c r="B753" s="117">
        <f t="shared" si="681"/>
        <v>669.73500000000786</v>
      </c>
      <c r="C753" s="167" t="str">
        <f t="shared" ca="1" si="650"/>
        <v>银月斩</v>
      </c>
      <c r="D753" s="115">
        <f ca="1">IF(C753="赤日轮1",1,IF(C753="赤日轮2",2,IF(C753="赤日轮3",3,IF(C753="幽月轮1",4,IF(C753="幽月轮2",5,IF(C753="幽月轮3",6,IF(C753="烈日斩",7,IF(C753="银月斩",8,IF(C753="净世破魔击·日",IF(OR(模拟模式!$V$17=1,模拟模式!$O$7="幽隐尘迹"),9,IF(模拟模式!$V$17=2,10,IF(模拟模式!$V$17=3,11,IF(模拟模式!$V$17=4,12,IF(模拟模式!$V$17=5,13,IF(模拟模式!$V$17=6,14,IF(模拟模式!$V$17=7,15,IF(模拟模式!$V$17=8,16,0)))))))),IF(C753="净世破魔击·月",17,IF(C753="驱夜断愁",18,0)))))))))))</f>
        <v>8</v>
      </c>
      <c r="E753" s="115">
        <f ca="1">IF(AND(CU753,OR(C753="幽月轮1",C753="幽月轮2",C753="幽月轮3",C753="银月斩",C753="驱夜断愁",C753="净世破魔击·月")),100,MIN(IF(OR(CN753,BE753),0,IF(OR($C753="赤日轮1",$C753="赤日轮2",$C753="赤日轮3"),E752+20+IF(模拟模式!$I$7="日月凌天",4,0)+IF(CR752,20,0),IF($C753="烈日斩",E752+40,IF($C753="驱夜断愁",IF(模拟模式!$R$7="万念俱寂",E752+20,E752+60),IF($C753="净世破魔击·月",IF(OR(DB752&gt;0,CV752&gt;0),100,IF(模拟模式!$M$7="辉耀红尘",E752+20,E752)),IF($C753="净世破魔击·日",E752-100,E752)))))),100))</f>
        <v>20</v>
      </c>
      <c r="F753" s="115">
        <f ca="1">IF(AND(CU753,OR(C753="赤日轮1",C753="赤日轮2",C753="赤日轮3",C753="烈日斩",C753="净世破魔击·日")),100,MIN(IF(CO753,0,IF(OR($C753="幽月轮1",$C753="幽月轮2",$C753="幽月轮3"),F752+20+IF(模拟模式!$I$7="日月凌天",4,0)+IF(CS752,20,0),IF($C753="银月斩",F752+40+IF(模拟模式!$X$12=1,5,0),IF($C753="驱夜断愁",IF(模拟模式!$R$7="万念俱寂",F752+20,F752+60),IF($C753="净世破魔击·月",IF(模拟模式!$M$7="辉耀红尘",F752-80,F752-100),IF(AND(C753="净世破魔击·日",OR(DB752&gt;0,CV752&gt;0)),100,F752)))))),100))</f>
        <v>65</v>
      </c>
      <c r="G753" s="117">
        <f ca="1">('模拟-全程加成'!$E$3+'模拟-全程加成'!$E$4+'模拟-全程加成'!$E$5+('模拟-全程加成'!$C$6-'模拟-全程加成'!$C$3)*系数!$B$9+BS753*23)*(1+'模拟-全程加成'!$F$4+'模拟-全程加成'!$F$5+BJ753*10%+BM753*20%+BP753*4%+CG753*30%)+$F$7*系数!$B$12</f>
        <v>20583.127400000001</v>
      </c>
      <c r="H753" s="45">
        <f ca="1">'模拟-全程加成'!$H$3+'模拟-全程加成'!$H$4+'模拟-全程加成'!$H$5+('模拟-全程加成'!$G$4+'模拟-全程加成'!$G$5+('模拟-全程加成'!$C$6-'模拟-全程加成'!$C$3)*系数!$B$13)/系数!$B$3+LOOKUP(D753,'模拟-单技能数据'!$A$2:$A$19,'模拟-单技能数据'!$K$2:$K$19)+BG753*10%+IF(BV753&gt;0,378,0)</f>
        <v>0.64185145527300214</v>
      </c>
      <c r="I753" s="45">
        <f ca="1">'模拟-全程加成'!$J$3+'模拟-全程加成'!$J$4+'模拟-全程加成'!$J$5+('模拟-全程加成'!$I$4+'模拟-全程加成'!$I$5)/系数!$B$4+LOOKUP(D753,'模拟-单技能数据'!$A$2:$A$19,'模拟-单技能数据'!$L$2:$L$19)+BG753*10%</f>
        <v>2.2624828854998791</v>
      </c>
      <c r="J753" s="45">
        <f ca="1">(('模拟-全程加成'!$K$3+'模拟-全程加成'!$K$4+'模拟-全程加成'!$K$5+('模拟-全程加成'!$C$6-'模拟-全程加成'!$C$3)*系数!$B$10+IF(BV753&gt;0,882,0)+IF(BY753&gt;0,1831,0))*(1+'模拟-全程加成'!$L$4+'模拟-全程加成'!$L$5+CC753*20%))/系数!$B$5</f>
        <v>0.69723220422048726</v>
      </c>
      <c r="K753" s="119">
        <f ca="1">LOOKUP(D753,'模拟-单技能数据'!$A$2:$A$19,'模拟-单技能数据'!$J$2:$J$19)+IF(CM753,60%,0)+IF(DB752-DB753&gt;0,30%,0)+IF(OR(AND(OR(C753="赤日轮1",C753="赤日轮2",C753="赤日轮3"),CR753),AND(OR(C753="幽月轮1",C753="幽月轮2",C753="幽月轮3"),CS753)),35%,0)+CJ753</f>
        <v>0.15</v>
      </c>
      <c r="L753" s="119">
        <f ca="1">IF(AND(C753="烈日斩",模拟模式!$X$11=1),10%,0)+IF(AND(C753="驱夜断愁",AB753=1),30%,0)</f>
        <v>0</v>
      </c>
      <c r="M753" s="45">
        <f t="shared" ca="1" si="651"/>
        <v>0.64185145527300214</v>
      </c>
      <c r="N753" s="45">
        <f t="shared" ca="1" si="652"/>
        <v>0.30424854472699792</v>
      </c>
      <c r="O753" s="46">
        <f t="shared" ca="1" si="682"/>
        <v>0.19845662814406406</v>
      </c>
      <c r="P753" s="46" t="str">
        <f t="shared" ca="1" si="653"/>
        <v>会</v>
      </c>
      <c r="Q753" s="45">
        <f t="shared" ca="1" si="654"/>
        <v>2.2624828854998791</v>
      </c>
      <c r="R753" s="117">
        <f ca="1">模拟模式!$E$20*(1-IF(模拟模式!$J$19="有",0.15,0))*(1-IF(模拟模式!$K$19="有",0.3,0)-IF(CQ753,0.5,0))</f>
        <v>843.02999999999975</v>
      </c>
      <c r="S753" s="45">
        <f ca="1">R753/(R753+(185*模拟模式!$E$22-16800)*4.08224)</f>
        <v>8.389626085980037E-2</v>
      </c>
      <c r="T753" s="45" t="str">
        <f ca="1">LOOKUP(D753,'模拟-单技能数据'!$A$2:$A$19,'模拟-单技能数据'!$H$2:$H$19)</f>
        <v>阴</v>
      </c>
      <c r="U753" s="119">
        <f t="shared" ca="1" si="655"/>
        <v>0.08</v>
      </c>
      <c r="V753" s="47">
        <f ca="1">(1+L753)*(LOOKUP(D753,'模拟-单技能数据'!$A$2:$A$19,'模拟-单技能数据'!$D$2:$D$19)+G753*LOOKUP(D753,'模拟-单技能数据'!$A$2:$A$19,'模拟-单技能数据'!$F$2:$F$19))*(1+J753)*(1+K753)*(1-S753)*(1+U753)*Q753*LOOKUP(D753,'模拟-单技能数据'!$A$2:$A$19,'模拟-单技能数据'!$I$2:$I$20)</f>
        <v>47762.146138749486</v>
      </c>
      <c r="W753" s="47">
        <f ca="1">LOOKUP(D753,'模拟-单技能数据'!$A$2:$A$19,'模拟-单技能数据'!$G$2:$G$19)*$I$10</f>
        <v>361.51064354704795</v>
      </c>
      <c r="X753" s="47">
        <f t="shared" ca="1" si="683"/>
        <v>24043.249177625272</v>
      </c>
      <c r="Y753" s="47">
        <f t="shared" ca="1" si="656"/>
        <v>72166.905959921802</v>
      </c>
      <c r="Z753" s="49">
        <f t="shared" ca="1" si="657"/>
        <v>75969829.324389324</v>
      </c>
      <c r="AA753" s="97">
        <f t="shared" ca="1" si="658"/>
        <v>113432.67012234456</v>
      </c>
      <c r="AB753" s="115">
        <f ca="1">IF(OR(C753="赤日轮1",C753="赤日轮2",C753="赤日轮3"),IF(RAND()&lt;模拟模式!$Y$17,1,0),IF(OR(C753="幽月轮1",C753="幽月轮2",C753="幽月轮3"),IF(RAND()&lt;模拟模式!$Y$18,1,0),IF(C753="烈日斩",IF(RAND()&lt;模拟模式!$Y$19,1,0),IF(C753="银月斩",IF(RAND()&lt;模拟模式!$Y$20,1,0),IF(C753="驱夜断愁",IF(RAND()&lt;模拟模式!$Y$21,1,0),IF(C753="净世破魔击·日",IF(RAND()&lt;模拟模式!$Y$22,1,0),IF(C753="净世破魔击·月",IF(RAND()&lt;模拟模式!$Y$23,1,0),0)))))))</f>
        <v>1</v>
      </c>
      <c r="AC753" s="115" t="b">
        <f t="shared" ca="1" si="659"/>
        <v>1</v>
      </c>
      <c r="AD753" s="115" t="b">
        <f t="shared" ca="1" si="660"/>
        <v>0</v>
      </c>
      <c r="AE753" s="115">
        <f t="shared" ca="1" si="661"/>
        <v>6</v>
      </c>
      <c r="AF753" s="47">
        <f ca="1">IF(AC753,('模拟-单技能数据'!$D$20+G753*'模拟-单技能数据'!$F$20)*(1+J753)*(1+'模拟-单技能数据'!$J$20)*(1+U753),0)</f>
        <v>4447.8565560098323</v>
      </c>
      <c r="AG753" s="61">
        <f t="shared" ca="1" si="662"/>
        <v>0.64185145527300214</v>
      </c>
      <c r="AH753" s="61">
        <f t="shared" ca="1" si="663"/>
        <v>2.2624828854998791</v>
      </c>
      <c r="AI753" s="62">
        <f t="shared" ca="1" si="684"/>
        <v>0.96614121866791491</v>
      </c>
      <c r="AJ753" s="47">
        <f ca="1">IF(AD753,IF(AI753&lt;$F$10,0,IF(AI753&lt;$F$10+$F$11,0.25,IF(AI753&lt;$F$10+$F$11+AG753,AH753,1)))*IF(AF753&gt;0,AF753,IF(AF752&gt;0,AF752,IF(AF751&gt;0,AF751,IF(AF750&gt;0,AF750,IF(AF749&gt;0,AF749,IF(AF748&gt;0,AF748,IF(AF747&gt;0,AF747,IF(AF746&gt;0,AF746,IF(AF745&gt;0,AF745,IF(AF743&gt;0,AF743,IF(AF742&gt;0,AF742,IF(AF741&gt;0,AF741,0)))))))))))),0)*(1-$S753)*'模拟-单技能数据'!$I$20</f>
        <v>0</v>
      </c>
      <c r="AK753" s="115" t="b">
        <f t="shared" ca="1" si="664"/>
        <v>0</v>
      </c>
      <c r="AL753" s="115" t="b">
        <f t="shared" ca="1" si="665"/>
        <v>1</v>
      </c>
      <c r="AM753" s="115">
        <f t="shared" ca="1" si="666"/>
        <v>4</v>
      </c>
      <c r="AN753" s="47">
        <f ca="1">IF(AK753,('模拟-单技能数据'!$D$21+G753*'模拟-单技能数据'!$F$21)*(1+J753)*(1+'模拟-单技能数据'!$J$21)*(1+U753),0)</f>
        <v>0</v>
      </c>
      <c r="AO753" s="61">
        <f ca="1">IF(AN753&gt;0,M753-'模拟-单技能数据'!$K$10,AO752)</f>
        <v>0.42185145527300216</v>
      </c>
      <c r="AP753" s="61">
        <f ca="1">IF(AN753&gt;0,I753-'模拟-单技能数据'!$L$10,AP752)</f>
        <v>2.162482885499879</v>
      </c>
      <c r="AQ753" s="63">
        <f t="shared" ca="1" si="685"/>
        <v>0.32129946585159641</v>
      </c>
      <c r="AR753" s="64">
        <f ca="1">IF(AL753,IF(AQ753&lt;$F$10,0,IF(AQ753&lt;$F$10+$F$11,0.25,IF(AQ753&lt;$F$10+$F$11+AO753,AP753,1)))*IF(AN753&gt;0,AN753,IF(AN752&gt;0,AN752,IF(AN751&gt;0,AN751,IF(AN750&gt;0,AN750,IF(AN749&gt;0,AN749,IF(AN748&gt;0,AN748,IF(AN747&gt;0,AN747,IF(AN746&gt;0,AN746,IF(AN745&gt;0,AN745,IF(AN743&gt;0,AN743,IF(AN742&gt;0,AN742,IF(AN741&gt;0,AN741,0)))))))))))),0)*(1-$S753)*'模拟-单技能数据'!$I$21</f>
        <v>24043.249177625272</v>
      </c>
      <c r="AS753" s="61">
        <f ca="1">IF(OR(C753="净世破魔击·日",C753="净世破魔击·月"),M753-'模拟-单技能数据'!$K$10,0)</f>
        <v>0</v>
      </c>
      <c r="AT753" s="61">
        <f ca="1">IF(OR(C753="净世破魔击·日",C753="净世破魔击·月"),I753-'模拟-单技能数据'!$L$10,0)</f>
        <v>0</v>
      </c>
      <c r="AU753" s="62">
        <f t="shared" ca="1" si="686"/>
        <v>0.7269696956309244</v>
      </c>
      <c r="AV753" s="64">
        <f ca="1">IF(AS753&gt;0,('模拟-单技能数据'!$D$22+G753*'模拟-单技能数据'!$F$22)*(1+J753)*(1-S753)*IF(AU753&lt;$F$10,0,IF(AU753&lt;$F$10+$F$11,0.25,IF(AU753&lt;$F$10+$F$11+AS753,AT753,1)))*(1+U753),0)*'模拟-单技能数据'!$I$22</f>
        <v>0</v>
      </c>
      <c r="AW753" s="108">
        <f t="shared" ca="1" si="687"/>
        <v>11.697500000000005</v>
      </c>
      <c r="AX753" s="108" t="b">
        <f ca="1">AND(模拟模式!$P$10="有",AW752=0,RAND()&lt;IF(C753="净世破魔击·月",0.1*8/3,IF(C753="净世破魔击·日",0.1*4/3,0.1*2/3)))</f>
        <v>0</v>
      </c>
      <c r="AY753" s="47">
        <f ca="1">IF(AX753,(18+G753*0.722)*(1+J753)*(1-S753)*(1+$I$4)*IF(P753="会",'模拟-全程加成'!$J$3+'模拟-全程加成'!$J$4+'模拟-全程加成'!$J$5+('模拟-全程加成'!$I$4+'模拟-全程加成'!$I$5)/系数!$B$4+BG753*10%,IF(P753="命",1,IF(P753="识",0.25,0))),0)</f>
        <v>0</v>
      </c>
      <c r="AZ753" s="108">
        <f t="shared" si="688"/>
        <v>0</v>
      </c>
      <c r="BA753" s="108" t="b">
        <f>AND(模拟模式!$Q$10="有",AZ752=0)</f>
        <v>0</v>
      </c>
      <c r="BB753" s="140">
        <f>IF(BA753,(0+G753*0.287)*(1+J753)*(1-S753)*(1+$I$4)*IF(P753="会",'模拟-全程加成'!$J$3+'模拟-全程加成'!$J$4+'模拟-全程加成'!$J$5+('模拟-全程加成'!$I$4+'模拟-全程加成'!$I$5)/系数!$B$4+BG753*10%,IF(P753="命",1,IF(P753="识",0.25,0))),0)</f>
        <v>0</v>
      </c>
      <c r="BC753" s="115" t="b">
        <f ca="1">AND(模拟模式!$R$7="伏明众生",E753=60,F753=20,DA753&lt;5,CZ752&lt;$F$4)</f>
        <v>0</v>
      </c>
      <c r="BD753" s="115">
        <f t="shared" ca="1" si="667"/>
        <v>0</v>
      </c>
      <c r="BE753" s="115" t="b">
        <f t="shared" ca="1" si="668"/>
        <v>0</v>
      </c>
      <c r="BF753" s="47">
        <f ca="1">IF(BC753,4*('模拟-单技能数据'!$D$24+G753*'模拟-单技能数据'!$F$24)*(1+J753)*(1+'模拟-单技能数据'!$J$24)*(1-S753)*(1+$I$3)*(('模拟-全程加成'!$J$3+'模拟-全程加成'!$J$4+'模拟-全程加成'!$J$5+('模拟-全程加成'!$I$4+'模拟-全程加成'!$I$5)/系数!$B$4+BG753*10%)*('模拟-全程加成'!$J$3+'模拟-全程加成'!$J$4+'模拟-全程加成'!$J$5+('模拟-全程加成'!$I$4+'模拟-全程加成'!$I$5)/系数!$B$4+BG753*10%)+(1-('模拟-全程加成'!$J$3+'模拟-全程加成'!$J$4+'模拟-全程加成'!$J$5+('模拟-全程加成'!$I$4+'模拟-全程加成'!$I$5)/系数!$B$4+BG753*10%)-$F$10-$F$11)+F739*0.25),0)*'模拟-单技能数据'!$I$24</f>
        <v>0</v>
      </c>
      <c r="BG753" s="115" t="b">
        <f ca="1">OR(AND(OR(C753="烈日斩",C753="银月斩"),模拟模式!$I$7="净身明礼"),AND(C753="净世破魔击·日",模拟模式!$J$7="洞若观火"),AND(C754="净世破魔击·月",模拟模式!$J$7="洞若观火"),AB753=1)</f>
        <v>1</v>
      </c>
      <c r="BH753" s="115" t="b">
        <f t="shared" ca="1" si="689"/>
        <v>0</v>
      </c>
      <c r="BI753" s="115">
        <f t="shared" ca="1" si="669"/>
        <v>0</v>
      </c>
      <c r="BJ753" s="115" t="b">
        <f t="shared" ca="1" si="670"/>
        <v>0</v>
      </c>
      <c r="BK753" s="115" t="b">
        <f ca="1">AND(C753="驱夜断愁",模拟模式!$P$7="天地诛戮")</f>
        <v>0</v>
      </c>
      <c r="BL753" s="57">
        <f t="shared" ca="1" si="671"/>
        <v>14.465000000000003</v>
      </c>
      <c r="BM753" s="115" t="b">
        <f t="shared" ca="1" si="672"/>
        <v>1</v>
      </c>
      <c r="BN753" s="115" t="b">
        <f ca="1">AND(OR(C753="赤日轮1",C753="赤日轮2",C753="赤日轮3",C753="幽月轮1",C753="幽月轮2",C753="幽月轮3"),AB753=1,模拟模式!$L$7="明光恒照")</f>
        <v>0</v>
      </c>
      <c r="BO753" s="117">
        <f t="shared" ca="1" si="673"/>
        <v>26.310000000000002</v>
      </c>
      <c r="BP753" s="115">
        <f t="shared" ca="1" si="690"/>
        <v>6</v>
      </c>
      <c r="BQ753" s="115" t="b">
        <f>模拟模式!$K$10="2600·水"</f>
        <v>0</v>
      </c>
      <c r="BR753" s="117">
        <f t="shared" si="691"/>
        <v>0</v>
      </c>
      <c r="BS753" s="115">
        <f t="shared" si="692"/>
        <v>0</v>
      </c>
      <c r="BT753" s="115">
        <f t="shared" ca="1" si="693"/>
        <v>0</v>
      </c>
      <c r="BU753" s="115" t="b">
        <f ca="1">AND(模拟模式!$K$10="2300·雷",BT752=0,RAND()&lt;IF(C753="净世破魔击·月",5*0.05*2/3,IF(C753="净世破魔击·日",3*0.05*2/3,0.05*2*2/3)))</f>
        <v>0</v>
      </c>
      <c r="BV753" s="115">
        <f t="shared" ca="1" si="694"/>
        <v>0</v>
      </c>
      <c r="BW753" s="115">
        <f t="shared" ca="1" si="695"/>
        <v>68.377499999999273</v>
      </c>
      <c r="BX753" s="164" t="b">
        <f t="shared" ca="1" si="696"/>
        <v>0</v>
      </c>
      <c r="BY753" s="115">
        <f t="shared" ca="1" si="697"/>
        <v>0</v>
      </c>
      <c r="BZ753" s="115">
        <f>IF(OR(模拟模式!$P$16="10人团",模拟模式!$P$16="25人团"),IF(B753/30&gt;CA752,1,0),0)</f>
        <v>0</v>
      </c>
      <c r="CA753" s="115">
        <f t="shared" si="674"/>
        <v>0</v>
      </c>
      <c r="CB753" s="115">
        <f ca="1">IF(BZ753=1,IF(模拟模式!$P$16="10人团",15,0)+IF(模拟模式!$P$16="25人团",IF(RAND()&lt;0.6,15,0)),MAX(0,CB752-$F$4))</f>
        <v>0</v>
      </c>
      <c r="CC753" s="115" t="b">
        <f t="shared" ca="1" si="675"/>
        <v>0</v>
      </c>
      <c r="CD753" s="115">
        <f>IF(模拟模式!$Q$16="1个",IF(B753/40&gt;CE752,1,0),0)</f>
        <v>0</v>
      </c>
      <c r="CE753" s="115">
        <f t="shared" si="676"/>
        <v>0</v>
      </c>
      <c r="CF753" s="115">
        <f>IF(OR(CD753=1,模拟模式!$Q$16="2个"),20,MAX(0,CF752-$F$4))</f>
        <v>0</v>
      </c>
      <c r="CG753" s="115" t="b">
        <f t="shared" si="677"/>
        <v>0</v>
      </c>
      <c r="CH753" s="115">
        <f t="shared" ca="1" si="698"/>
        <v>12.472500000000011</v>
      </c>
      <c r="CI753" s="115" t="b">
        <f t="shared" ca="1" si="699"/>
        <v>0</v>
      </c>
      <c r="CJ753" s="119">
        <f t="shared" ca="1" si="700"/>
        <v>0</v>
      </c>
      <c r="CK753" s="115">
        <f t="shared" ca="1" si="701"/>
        <v>0</v>
      </c>
      <c r="CL753" s="115" t="b">
        <f ca="1">AND(模拟模式!$S$7="驱夷逐法",OR(AND(C753="净世破魔击·月",E752&gt;59),AND(C753="净世破魔击·日",F752&gt;59)))</f>
        <v>0</v>
      </c>
      <c r="CM753" s="115" t="b">
        <f ca="1">OR(CL753,AND(C753="净世破魔击·日",CL752,RAND()&lt;模拟模式!$U$23))</f>
        <v>0</v>
      </c>
      <c r="CN753" s="115" t="b">
        <f ca="1">IF(模拟模式!$M$7="辉耀红尘",AND(C753="净世破魔击·月",CL753,CV753=0,E752&lt;80),AND(C753="净世破魔击·月",CL753,E752&lt;100))</f>
        <v>0</v>
      </c>
      <c r="CO753" s="115" t="b">
        <f t="shared" ca="1" si="678"/>
        <v>0</v>
      </c>
      <c r="CP753" s="115" t="b">
        <f ca="1">AND(模拟模式!$O$7="用晦而明",OR(C753="净世破魔击·日",C753="净世破魔击·月",C753="驱夜断愁"),AB753)</f>
        <v>0</v>
      </c>
      <c r="CQ753" s="115" t="b">
        <f ca="1">OR(CP753,AND(CP752,RAND()&lt;模拟模式!$U$23))</f>
        <v>1</v>
      </c>
      <c r="CR753" s="115" t="b">
        <f ca="1">AND(模拟模式!$S$7="日月齐光",OR(C753="幽月轮1",C753="幽月轮2",C753="幽月轮3",CR752),NOT(OR(C753="赤日轮1",C753="赤日轮2",C753="赤日轮3")))</f>
        <v>0</v>
      </c>
      <c r="CS753" s="115" t="b">
        <f ca="1">AND(模拟模式!$S$7="日月齐光",OR(C753="赤日轮1",C753="赤日轮2",C753="赤日轮3",CS752),NOT(OR(C753="幽月轮1",C753="幽月轮2",C753="幽月轮3")))</f>
        <v>0</v>
      </c>
      <c r="CT753" s="115">
        <f t="shared" ca="1" si="702"/>
        <v>0</v>
      </c>
      <c r="CU753" s="115" t="b">
        <f ca="1">AND(模拟模式!$K$10="阴阳往极",CT752=0,RAND()&lt;IF(C753="净世破魔击·月",0.0275*7/3,IF(C753="净世破魔击·日",0.0275*3/3,0.0275*2/3)))</f>
        <v>0</v>
      </c>
      <c r="CV753" s="115">
        <f t="shared" ca="1" si="703"/>
        <v>0</v>
      </c>
      <c r="CW753" s="115">
        <f t="shared" ca="1" si="704"/>
        <v>1.3874999999999997</v>
      </c>
      <c r="CX753" s="115">
        <f t="shared" ca="1" si="705"/>
        <v>6</v>
      </c>
      <c r="CY753" s="115">
        <f ca="1">MAX(IF($C753="驱夜断愁",IF(模拟模式!$R$7="万念俱寂",6,45),CY752-$F$4),0)</f>
        <v>0.46499999999999975</v>
      </c>
      <c r="CZ753" s="115">
        <f t="shared" ca="1" si="679"/>
        <v>0</v>
      </c>
      <c r="DA753" s="115">
        <f ca="1">IF(模拟模式!$N$7="日月同辉",IF(DB752=2,0,MIN(6,IF(AND(OR(C753="赤日轮1",C753="赤日轮2",C753="赤日轮3",C753="幽月轮1",C753="幽月轮2",C753="幽月轮3"),AB753=1),DA752+1,DA752))),0)</f>
        <v>0</v>
      </c>
      <c r="DB753" s="115">
        <f t="shared" ca="1" si="680"/>
        <v>0</v>
      </c>
      <c r="DC753" s="115"/>
      <c r="DD753" s="115"/>
      <c r="DE753" s="115"/>
      <c r="DF753" s="115"/>
      <c r="DG753" s="115"/>
      <c r="DH753" s="115"/>
      <c r="DI753" s="115"/>
      <c r="DJ753" s="115"/>
      <c r="DK753" s="115"/>
      <c r="DL753" s="115"/>
      <c r="DM753" s="115"/>
    </row>
    <row r="754" spans="2:117" x14ac:dyDescent="0.2">
      <c r="M754" s="45"/>
      <c r="N754" s="45"/>
      <c r="X754" s="47"/>
      <c r="Y754" s="47"/>
      <c r="AA754" s="97"/>
      <c r="AC754" s="115"/>
      <c r="AD754" s="115"/>
      <c r="AE754" s="115"/>
      <c r="AF754" s="47"/>
      <c r="AG754" s="61"/>
      <c r="AH754" s="61"/>
      <c r="AI754" s="62"/>
      <c r="AJ754" s="47"/>
      <c r="AK754" s="115"/>
      <c r="AL754" s="115"/>
      <c r="AM754" s="115"/>
      <c r="AN754" s="47"/>
      <c r="AO754" s="61"/>
      <c r="AP754" s="61"/>
      <c r="AQ754" s="63"/>
      <c r="AR754" s="64"/>
      <c r="AS754" s="61"/>
      <c r="AT754" s="61"/>
      <c r="AU754" s="62"/>
      <c r="AV754" s="64"/>
      <c r="AW754" s="108"/>
      <c r="AX754" s="108"/>
      <c r="AY754" s="47"/>
      <c r="AZ754" s="108"/>
      <c r="BA754" s="108"/>
      <c r="BC754" s="115"/>
      <c r="BD754" s="115"/>
      <c r="BE754" s="115"/>
      <c r="BF754" s="47"/>
      <c r="BG754" s="115"/>
      <c r="BH754" s="115"/>
      <c r="BI754" s="115"/>
      <c r="BJ754" s="115"/>
      <c r="BN754" s="115"/>
      <c r="BO754" s="117"/>
      <c r="DC754" s="115"/>
      <c r="DD754" s="115"/>
      <c r="DE754" s="115"/>
      <c r="DF754" s="115"/>
      <c r="DG754" s="115"/>
      <c r="DH754" s="115"/>
      <c r="DI754" s="115"/>
      <c r="DJ754" s="115"/>
      <c r="DK754" s="115"/>
      <c r="DL754" s="115"/>
      <c r="DM754" s="115"/>
    </row>
    <row r="755" spans="2:117" x14ac:dyDescent="0.2">
      <c r="M755" s="45"/>
      <c r="N755" s="45"/>
      <c r="X755" s="47"/>
      <c r="Y755" s="47"/>
      <c r="AA755" s="97"/>
      <c r="AC755" s="115"/>
      <c r="AD755" s="115"/>
      <c r="AE755" s="115"/>
      <c r="AF755" s="47"/>
      <c r="AG755" s="61"/>
      <c r="AH755" s="61"/>
      <c r="AI755" s="62"/>
      <c r="AJ755" s="47"/>
      <c r="AK755" s="115"/>
      <c r="AL755" s="115"/>
      <c r="AM755" s="115"/>
      <c r="AN755" s="47"/>
      <c r="AO755" s="61"/>
      <c r="AP755" s="61"/>
      <c r="AQ755" s="63"/>
      <c r="AR755" s="64"/>
      <c r="AS755" s="61"/>
      <c r="AT755" s="61"/>
      <c r="AU755" s="62"/>
      <c r="AV755" s="64"/>
      <c r="AW755" s="108"/>
      <c r="AX755" s="108"/>
      <c r="AY755" s="47"/>
      <c r="AZ755" s="108"/>
      <c r="BA755" s="108"/>
      <c r="BC755" s="115"/>
      <c r="BD755" s="115"/>
      <c r="BE755" s="115"/>
      <c r="BF755" s="47"/>
      <c r="BG755" s="115"/>
      <c r="BH755" s="115"/>
      <c r="BI755" s="115"/>
      <c r="BJ755" s="115"/>
      <c r="BN755" s="115"/>
      <c r="BO755" s="117"/>
      <c r="DC755" s="115"/>
      <c r="DD755" s="115"/>
      <c r="DE755" s="115"/>
      <c r="DF755" s="115"/>
      <c r="DG755" s="115"/>
      <c r="DH755" s="115"/>
      <c r="DI755" s="115"/>
      <c r="DJ755" s="115"/>
      <c r="DK755" s="115"/>
      <c r="DL755" s="115"/>
      <c r="DM755" s="115"/>
    </row>
    <row r="756" spans="2:117" x14ac:dyDescent="0.2">
      <c r="M756" s="45"/>
      <c r="N756" s="45"/>
      <c r="X756" s="47"/>
      <c r="Y756" s="47"/>
      <c r="AA756" s="97"/>
      <c r="AC756" s="115"/>
      <c r="AD756" s="115"/>
      <c r="AE756" s="115"/>
      <c r="AF756" s="47"/>
      <c r="AG756" s="61"/>
      <c r="AH756" s="61"/>
      <c r="AI756" s="62"/>
      <c r="AJ756" s="47"/>
      <c r="AK756" s="115"/>
      <c r="AL756" s="115"/>
      <c r="AM756" s="115"/>
      <c r="AN756" s="47"/>
      <c r="AO756" s="61"/>
      <c r="AP756" s="61"/>
      <c r="AQ756" s="63"/>
      <c r="AR756" s="64"/>
      <c r="AS756" s="61"/>
      <c r="AT756" s="61"/>
      <c r="AU756" s="62"/>
      <c r="AV756" s="64"/>
      <c r="AW756" s="108"/>
      <c r="AX756" s="108"/>
      <c r="AY756" s="47"/>
      <c r="AZ756" s="108"/>
      <c r="BA756" s="108"/>
      <c r="BC756" s="115"/>
      <c r="BD756" s="115"/>
      <c r="BE756" s="115"/>
      <c r="BF756" s="47"/>
      <c r="BG756" s="115"/>
      <c r="BH756" s="115"/>
      <c r="BI756" s="115"/>
      <c r="BJ756" s="115"/>
      <c r="BN756" s="115"/>
      <c r="BO756" s="117"/>
      <c r="DC756" s="115"/>
      <c r="DD756" s="115"/>
      <c r="DE756" s="115"/>
      <c r="DF756" s="115"/>
      <c r="DG756" s="115"/>
      <c r="DH756" s="115"/>
      <c r="DI756" s="115"/>
      <c r="DJ756" s="115"/>
      <c r="DK756" s="115"/>
      <c r="DL756" s="115"/>
      <c r="DM756" s="115"/>
    </row>
    <row r="757" spans="2:117" x14ac:dyDescent="0.2">
      <c r="M757" s="45"/>
      <c r="N757" s="45"/>
      <c r="X757" s="47"/>
      <c r="Y757" s="47"/>
      <c r="AA757" s="97"/>
      <c r="AC757" s="115"/>
      <c r="AD757" s="115"/>
      <c r="AE757" s="115"/>
      <c r="AF757" s="47"/>
      <c r="AG757" s="61"/>
      <c r="AH757" s="61"/>
      <c r="AI757" s="62"/>
      <c r="AJ757" s="47"/>
      <c r="AK757" s="115"/>
      <c r="AL757" s="115"/>
      <c r="AM757" s="115"/>
      <c r="AN757" s="47"/>
      <c r="AO757" s="61"/>
      <c r="AP757" s="61"/>
      <c r="AQ757" s="63"/>
      <c r="AR757" s="64"/>
      <c r="AS757" s="61"/>
      <c r="AT757" s="61"/>
      <c r="AU757" s="62"/>
      <c r="AV757" s="64"/>
      <c r="AW757" s="108"/>
      <c r="AX757" s="108"/>
      <c r="AY757" s="47"/>
      <c r="AZ757" s="108"/>
      <c r="BA757" s="108"/>
      <c r="BC757" s="115"/>
      <c r="BD757" s="115"/>
      <c r="BE757" s="115"/>
      <c r="BF757" s="47"/>
      <c r="BG757" s="115"/>
      <c r="BH757" s="115"/>
      <c r="BI757" s="115"/>
      <c r="BJ757" s="115"/>
      <c r="BN757" s="115"/>
      <c r="BO757" s="117"/>
      <c r="DC757" s="115"/>
      <c r="DD757" s="115"/>
      <c r="DE757" s="115"/>
      <c r="DF757" s="115"/>
      <c r="DG757" s="115"/>
      <c r="DH757" s="115"/>
      <c r="DI757" s="115"/>
      <c r="DJ757" s="115"/>
      <c r="DK757" s="115"/>
      <c r="DL757" s="115"/>
      <c r="DM757" s="115"/>
    </row>
    <row r="758" spans="2:117" x14ac:dyDescent="0.2">
      <c r="M758" s="45"/>
      <c r="N758" s="45"/>
      <c r="X758" s="47"/>
      <c r="Y758" s="47"/>
      <c r="AA758" s="97"/>
      <c r="AC758" s="115"/>
      <c r="AD758" s="115"/>
      <c r="AE758" s="115"/>
      <c r="AF758" s="47"/>
      <c r="AG758" s="61"/>
      <c r="AH758" s="61"/>
      <c r="AI758" s="62"/>
      <c r="AJ758" s="47"/>
      <c r="AK758" s="115"/>
      <c r="AL758" s="115"/>
      <c r="AM758" s="115"/>
      <c r="AN758" s="47"/>
      <c r="AO758" s="61"/>
      <c r="AP758" s="61"/>
      <c r="AQ758" s="63"/>
      <c r="AR758" s="64"/>
      <c r="AS758" s="61"/>
      <c r="AT758" s="61"/>
      <c r="AU758" s="62"/>
      <c r="AV758" s="64"/>
      <c r="AW758" s="108"/>
      <c r="AX758" s="108"/>
      <c r="AY758" s="47"/>
      <c r="AZ758" s="108"/>
      <c r="BA758" s="108"/>
      <c r="BC758" s="115"/>
      <c r="BD758" s="115"/>
      <c r="BE758" s="115"/>
      <c r="BF758" s="47"/>
      <c r="BG758" s="115"/>
      <c r="BH758" s="115"/>
      <c r="BI758" s="115"/>
      <c r="BJ758" s="115"/>
      <c r="BN758" s="115"/>
      <c r="BO758" s="117"/>
      <c r="DC758" s="115"/>
      <c r="DD758" s="115"/>
      <c r="DE758" s="115"/>
      <c r="DF758" s="115"/>
      <c r="DG758" s="115"/>
      <c r="DH758" s="115"/>
      <c r="DI758" s="115"/>
      <c r="DJ758" s="115"/>
      <c r="DK758" s="115"/>
      <c r="DL758" s="115"/>
      <c r="DM758" s="115"/>
    </row>
    <row r="759" spans="2:117" x14ac:dyDescent="0.2">
      <c r="M759" s="45"/>
      <c r="N759" s="45"/>
      <c r="X759" s="47"/>
      <c r="Y759" s="47"/>
      <c r="AA759" s="97"/>
      <c r="AC759" s="115"/>
      <c r="AD759" s="115"/>
      <c r="AE759" s="115"/>
      <c r="AF759" s="47"/>
      <c r="AG759" s="61"/>
      <c r="AH759" s="61"/>
      <c r="AI759" s="62"/>
      <c r="AJ759" s="47"/>
      <c r="AK759" s="115"/>
      <c r="AL759" s="115"/>
      <c r="AM759" s="115"/>
      <c r="AN759" s="47"/>
      <c r="AO759" s="61"/>
      <c r="AP759" s="61"/>
      <c r="AQ759" s="63"/>
      <c r="AR759" s="64"/>
      <c r="AS759" s="61"/>
      <c r="AT759" s="61"/>
      <c r="AU759" s="62"/>
      <c r="AV759" s="64"/>
      <c r="AW759" s="108"/>
      <c r="AX759" s="108"/>
      <c r="AY759" s="47"/>
      <c r="AZ759" s="108"/>
      <c r="BA759" s="108"/>
      <c r="BC759" s="115"/>
      <c r="BD759" s="115"/>
      <c r="BE759" s="115"/>
      <c r="BF759" s="47"/>
      <c r="BG759" s="115"/>
      <c r="BH759" s="115"/>
      <c r="BI759" s="115"/>
      <c r="BJ759" s="115"/>
      <c r="BN759" s="115"/>
      <c r="BO759" s="117"/>
      <c r="DC759" s="115"/>
      <c r="DD759" s="115"/>
      <c r="DE759" s="115"/>
      <c r="DF759" s="115"/>
      <c r="DG759" s="115"/>
      <c r="DH759" s="115"/>
      <c r="DI759" s="115"/>
      <c r="DJ759" s="115"/>
      <c r="DK759" s="115"/>
      <c r="DL759" s="115"/>
      <c r="DM759" s="115"/>
    </row>
    <row r="760" spans="2:117" x14ac:dyDescent="0.2">
      <c r="M760" s="45"/>
      <c r="N760" s="45"/>
      <c r="X760" s="47"/>
      <c r="Y760" s="47"/>
      <c r="AA760" s="97"/>
      <c r="AC760" s="115"/>
      <c r="AD760" s="115"/>
      <c r="AE760" s="115"/>
      <c r="AF760" s="47"/>
      <c r="AG760" s="61"/>
      <c r="AH760" s="61"/>
      <c r="AI760" s="62"/>
      <c r="AJ760" s="47"/>
      <c r="AK760" s="115"/>
      <c r="AL760" s="115"/>
      <c r="AM760" s="115"/>
      <c r="AN760" s="47"/>
      <c r="AO760" s="61"/>
      <c r="AP760" s="61"/>
      <c r="AQ760" s="63"/>
      <c r="AR760" s="64"/>
      <c r="AS760" s="61"/>
      <c r="AT760" s="61"/>
      <c r="AU760" s="62"/>
      <c r="AV760" s="64"/>
      <c r="AW760" s="108"/>
      <c r="AX760" s="108"/>
      <c r="AY760" s="47"/>
      <c r="AZ760" s="108"/>
      <c r="BA760" s="108"/>
      <c r="BC760" s="115"/>
      <c r="BD760" s="115"/>
      <c r="BE760" s="115"/>
      <c r="BF760" s="47"/>
      <c r="BG760" s="115"/>
      <c r="BH760" s="115"/>
      <c r="BI760" s="115"/>
      <c r="BJ760" s="115"/>
      <c r="BN760" s="115"/>
      <c r="BO760" s="117"/>
      <c r="DC760" s="115"/>
      <c r="DD760" s="115"/>
      <c r="DE760" s="115"/>
      <c r="DF760" s="115"/>
      <c r="DG760" s="115"/>
      <c r="DH760" s="115"/>
      <c r="DI760" s="115"/>
      <c r="DJ760" s="115"/>
      <c r="DK760" s="115"/>
      <c r="DL760" s="115"/>
      <c r="DM760" s="115"/>
    </row>
    <row r="761" spans="2:117" x14ac:dyDescent="0.2">
      <c r="M761" s="45"/>
      <c r="N761" s="45"/>
      <c r="X761" s="47"/>
      <c r="Y761" s="47"/>
      <c r="AA761" s="97"/>
      <c r="AC761" s="115"/>
      <c r="AD761" s="115"/>
      <c r="AE761" s="115"/>
      <c r="AF761" s="47"/>
      <c r="AG761" s="61"/>
      <c r="AH761" s="61"/>
      <c r="AI761" s="62"/>
      <c r="AJ761" s="47"/>
      <c r="AK761" s="115"/>
      <c r="AL761" s="115"/>
      <c r="AM761" s="115"/>
      <c r="AN761" s="47"/>
      <c r="AO761" s="61"/>
      <c r="AP761" s="61"/>
      <c r="AQ761" s="63"/>
      <c r="AR761" s="64"/>
      <c r="AS761" s="61"/>
      <c r="AT761" s="61"/>
      <c r="AU761" s="62"/>
      <c r="AV761" s="64"/>
      <c r="AW761" s="108"/>
      <c r="AX761" s="108"/>
      <c r="AY761" s="47"/>
      <c r="AZ761" s="108"/>
      <c r="BA761" s="108"/>
      <c r="BC761" s="115"/>
      <c r="BD761" s="115"/>
      <c r="BE761" s="115"/>
      <c r="BF761" s="47"/>
      <c r="BG761" s="115"/>
      <c r="BH761" s="115"/>
      <c r="BI761" s="115"/>
      <c r="BJ761" s="115"/>
      <c r="BN761" s="115"/>
      <c r="BO761" s="117"/>
      <c r="DC761" s="115"/>
      <c r="DD761" s="115"/>
      <c r="DE761" s="115"/>
      <c r="DF761" s="115"/>
      <c r="DG761" s="115"/>
      <c r="DH761" s="115"/>
      <c r="DI761" s="115"/>
      <c r="DJ761" s="115"/>
      <c r="DK761" s="115"/>
      <c r="DL761" s="115"/>
      <c r="DM761" s="115"/>
    </row>
    <row r="762" spans="2:117" x14ac:dyDescent="0.2">
      <c r="M762" s="45"/>
      <c r="N762" s="45"/>
      <c r="X762" s="47"/>
      <c r="Y762" s="47"/>
      <c r="AA762" s="97"/>
      <c r="AC762" s="115"/>
      <c r="AD762" s="115"/>
      <c r="AE762" s="115"/>
      <c r="AF762" s="47"/>
      <c r="AG762" s="61"/>
      <c r="AH762" s="61"/>
      <c r="AI762" s="62"/>
      <c r="AJ762" s="47"/>
      <c r="AK762" s="115"/>
      <c r="AL762" s="115"/>
      <c r="AM762" s="115"/>
      <c r="AN762" s="47"/>
      <c r="AO762" s="61"/>
      <c r="AP762" s="61"/>
      <c r="AQ762" s="63"/>
      <c r="AR762" s="64"/>
      <c r="AS762" s="61"/>
      <c r="AT762" s="61"/>
      <c r="AU762" s="62"/>
      <c r="AV762" s="64"/>
      <c r="AW762" s="108"/>
      <c r="AX762" s="108"/>
      <c r="AY762" s="47"/>
      <c r="AZ762" s="108"/>
      <c r="BA762" s="108"/>
      <c r="BC762" s="115"/>
      <c r="BD762" s="115"/>
      <c r="BE762" s="115"/>
      <c r="BF762" s="47"/>
      <c r="BG762" s="115"/>
      <c r="BH762" s="115"/>
      <c r="BI762" s="115"/>
      <c r="BJ762" s="115"/>
      <c r="BN762" s="115"/>
      <c r="BO762" s="117"/>
      <c r="DC762" s="115"/>
      <c r="DD762" s="115"/>
      <c r="DE762" s="115"/>
      <c r="DF762" s="115"/>
      <c r="DG762" s="115"/>
      <c r="DH762" s="115"/>
      <c r="DI762" s="115"/>
      <c r="DJ762" s="115"/>
      <c r="DK762" s="115"/>
      <c r="DL762" s="115"/>
      <c r="DM762" s="115"/>
    </row>
    <row r="763" spans="2:117" x14ac:dyDescent="0.2">
      <c r="M763" s="45"/>
      <c r="N763" s="45"/>
      <c r="X763" s="47"/>
      <c r="Y763" s="47"/>
      <c r="AA763" s="97"/>
      <c r="AC763" s="115"/>
      <c r="AD763" s="115"/>
      <c r="AE763" s="115"/>
      <c r="AF763" s="47"/>
      <c r="AG763" s="61"/>
      <c r="AH763" s="61"/>
      <c r="AI763" s="62"/>
      <c r="AJ763" s="47"/>
      <c r="AK763" s="115"/>
      <c r="AL763" s="115"/>
      <c r="AM763" s="115"/>
      <c r="AN763" s="47"/>
      <c r="AO763" s="61"/>
      <c r="AP763" s="61"/>
      <c r="AQ763" s="63"/>
      <c r="AR763" s="64"/>
      <c r="AS763" s="61"/>
      <c r="AT763" s="61"/>
      <c r="AU763" s="62"/>
      <c r="AV763" s="64"/>
      <c r="AW763" s="108"/>
      <c r="AX763" s="108"/>
      <c r="AY763" s="47"/>
      <c r="AZ763" s="108"/>
      <c r="BA763" s="108"/>
      <c r="BC763" s="115"/>
      <c r="BD763" s="115"/>
      <c r="BE763" s="115"/>
      <c r="BF763" s="47"/>
      <c r="BG763" s="115"/>
      <c r="BH763" s="115"/>
      <c r="BI763" s="115"/>
      <c r="BJ763" s="115"/>
      <c r="BN763" s="115"/>
      <c r="BO763" s="117"/>
      <c r="DC763" s="115"/>
      <c r="DD763" s="115"/>
      <c r="DE763" s="115"/>
      <c r="DF763" s="115"/>
      <c r="DG763" s="115"/>
      <c r="DH763" s="115"/>
      <c r="DI763" s="115"/>
      <c r="DJ763" s="115"/>
      <c r="DK763" s="115"/>
      <c r="DL763" s="115"/>
      <c r="DM763" s="115"/>
    </row>
    <row r="764" spans="2:117" x14ac:dyDescent="0.2">
      <c r="M764" s="45"/>
      <c r="N764" s="45"/>
      <c r="X764" s="47"/>
      <c r="Y764" s="47"/>
      <c r="AA764" s="97"/>
      <c r="AC764" s="115"/>
      <c r="AD764" s="115"/>
      <c r="AE764" s="115"/>
      <c r="AF764" s="47"/>
      <c r="AG764" s="61"/>
      <c r="AH764" s="61"/>
      <c r="AI764" s="62"/>
      <c r="AJ764" s="47"/>
      <c r="AK764" s="115"/>
      <c r="AL764" s="115"/>
      <c r="AM764" s="115"/>
      <c r="AN764" s="47"/>
      <c r="AO764" s="61"/>
      <c r="AP764" s="61"/>
      <c r="AQ764" s="63"/>
      <c r="AR764" s="64"/>
      <c r="AS764" s="61"/>
      <c r="AT764" s="61"/>
      <c r="AU764" s="62"/>
      <c r="AV764" s="64"/>
      <c r="AW764" s="108"/>
      <c r="AX764" s="108"/>
      <c r="AY764" s="47"/>
      <c r="AZ764" s="108"/>
      <c r="BA764" s="108"/>
      <c r="BC764" s="115"/>
      <c r="BD764" s="115"/>
      <c r="BE764" s="115"/>
      <c r="BF764" s="47"/>
      <c r="BG764" s="115"/>
      <c r="BH764" s="115"/>
      <c r="BI764" s="115"/>
      <c r="BJ764" s="115"/>
      <c r="BN764" s="115"/>
      <c r="BO764" s="117"/>
      <c r="DC764" s="115"/>
      <c r="DD764" s="115"/>
      <c r="DE764" s="115"/>
      <c r="DF764" s="115"/>
      <c r="DG764" s="115"/>
      <c r="DH764" s="115"/>
      <c r="DI764" s="115"/>
      <c r="DJ764" s="115"/>
      <c r="DK764" s="115"/>
      <c r="DL764" s="115"/>
      <c r="DM764" s="115"/>
    </row>
    <row r="765" spans="2:117" x14ac:dyDescent="0.2">
      <c r="M765" s="45"/>
      <c r="N765" s="45"/>
      <c r="X765" s="47"/>
      <c r="Y765" s="47"/>
      <c r="AA765" s="97"/>
      <c r="AC765" s="115"/>
      <c r="AD765" s="115"/>
      <c r="AE765" s="115"/>
      <c r="AF765" s="47"/>
      <c r="AG765" s="61"/>
      <c r="AH765" s="61"/>
      <c r="AI765" s="62"/>
      <c r="AJ765" s="47"/>
      <c r="AK765" s="115"/>
      <c r="AL765" s="115"/>
      <c r="AM765" s="115"/>
      <c r="AN765" s="47"/>
      <c r="AO765" s="61"/>
      <c r="AP765" s="61"/>
      <c r="AQ765" s="63"/>
      <c r="AR765" s="64"/>
      <c r="AS765" s="61"/>
      <c r="AT765" s="61"/>
      <c r="AU765" s="62"/>
      <c r="AV765" s="64"/>
      <c r="AW765" s="108"/>
      <c r="AX765" s="108"/>
      <c r="AY765" s="47"/>
      <c r="AZ765" s="108"/>
      <c r="BA765" s="108"/>
      <c r="BC765" s="115"/>
      <c r="BD765" s="115"/>
      <c r="BE765" s="115"/>
      <c r="BF765" s="47"/>
      <c r="BG765" s="115"/>
      <c r="BH765" s="115"/>
      <c r="BI765" s="115"/>
      <c r="BJ765" s="115"/>
      <c r="BN765" s="115"/>
      <c r="BO765" s="117"/>
      <c r="DC765" s="115"/>
      <c r="DD765" s="115"/>
      <c r="DE765" s="115"/>
      <c r="DF765" s="115"/>
      <c r="DG765" s="115"/>
      <c r="DH765" s="115"/>
      <c r="DI765" s="115"/>
      <c r="DJ765" s="115"/>
      <c r="DK765" s="115"/>
      <c r="DL765" s="115"/>
      <c r="DM765" s="115"/>
    </row>
    <row r="766" spans="2:117" x14ac:dyDescent="0.2">
      <c r="M766" s="45"/>
      <c r="N766" s="45"/>
      <c r="X766" s="47"/>
      <c r="Y766" s="47"/>
      <c r="AA766" s="97"/>
      <c r="AC766" s="115"/>
      <c r="AD766" s="115"/>
      <c r="AE766" s="115"/>
      <c r="AF766" s="47"/>
      <c r="AG766" s="61"/>
      <c r="AH766" s="61"/>
      <c r="AI766" s="62"/>
      <c r="AJ766" s="47"/>
      <c r="AK766" s="115"/>
      <c r="AL766" s="115"/>
      <c r="AM766" s="115"/>
      <c r="AN766" s="47"/>
      <c r="AO766" s="61"/>
      <c r="AP766" s="61"/>
      <c r="AQ766" s="63"/>
      <c r="AR766" s="64"/>
      <c r="AS766" s="61"/>
      <c r="AT766" s="61"/>
      <c r="AU766" s="62"/>
      <c r="AV766" s="64"/>
      <c r="AW766" s="108"/>
      <c r="AX766" s="108"/>
      <c r="AY766" s="47"/>
      <c r="AZ766" s="108"/>
      <c r="BA766" s="108"/>
      <c r="BC766" s="115"/>
      <c r="BD766" s="115"/>
      <c r="BE766" s="115"/>
      <c r="BF766" s="47"/>
      <c r="BG766" s="115"/>
      <c r="BH766" s="115"/>
      <c r="BI766" s="115"/>
      <c r="BJ766" s="115"/>
      <c r="BN766" s="115"/>
      <c r="BO766" s="117"/>
      <c r="DC766" s="115"/>
      <c r="DD766" s="115"/>
      <c r="DE766" s="115"/>
      <c r="DF766" s="115"/>
      <c r="DG766" s="115"/>
      <c r="DH766" s="115"/>
      <c r="DI766" s="115"/>
      <c r="DJ766" s="115"/>
      <c r="DK766" s="115"/>
      <c r="DL766" s="115"/>
      <c r="DM766" s="115"/>
    </row>
    <row r="767" spans="2:117" x14ac:dyDescent="0.2">
      <c r="M767" s="45"/>
      <c r="N767" s="45"/>
      <c r="X767" s="47"/>
      <c r="Y767" s="47"/>
      <c r="AA767" s="97"/>
      <c r="AC767" s="115"/>
      <c r="AD767" s="115"/>
      <c r="AE767" s="115"/>
      <c r="AF767" s="47"/>
      <c r="AG767" s="61"/>
      <c r="AH767" s="61"/>
      <c r="AI767" s="62"/>
      <c r="AJ767" s="47"/>
      <c r="AK767" s="115"/>
      <c r="AL767" s="115"/>
      <c r="AM767" s="115"/>
      <c r="AN767" s="47"/>
      <c r="AO767" s="61"/>
      <c r="AP767" s="61"/>
      <c r="AQ767" s="63"/>
      <c r="AR767" s="64"/>
      <c r="AS767" s="61"/>
      <c r="AT767" s="61"/>
      <c r="AU767" s="62"/>
      <c r="AV767" s="64"/>
      <c r="AW767" s="108"/>
      <c r="AX767" s="108"/>
      <c r="AY767" s="47"/>
      <c r="AZ767" s="108"/>
      <c r="BA767" s="108"/>
      <c r="BC767" s="115"/>
      <c r="BD767" s="115"/>
      <c r="BE767" s="115"/>
      <c r="BF767" s="47"/>
      <c r="BG767" s="115"/>
      <c r="BH767" s="115"/>
      <c r="BI767" s="115"/>
      <c r="BJ767" s="115"/>
      <c r="BN767" s="115"/>
      <c r="BO767" s="117"/>
      <c r="DC767" s="115"/>
      <c r="DD767" s="115"/>
      <c r="DE767" s="115"/>
      <c r="DF767" s="115"/>
      <c r="DG767" s="115"/>
      <c r="DH767" s="115"/>
      <c r="DI767" s="115"/>
      <c r="DJ767" s="115"/>
      <c r="DK767" s="115"/>
      <c r="DL767" s="115"/>
      <c r="DM767" s="115"/>
    </row>
    <row r="768" spans="2:117" x14ac:dyDescent="0.2">
      <c r="M768" s="45"/>
      <c r="N768" s="45"/>
      <c r="X768" s="47"/>
      <c r="Y768" s="47"/>
      <c r="AA768" s="97"/>
      <c r="AC768" s="115"/>
      <c r="AD768" s="115"/>
      <c r="AE768" s="115"/>
      <c r="AF768" s="47"/>
      <c r="AG768" s="61"/>
      <c r="AH768" s="61"/>
      <c r="AI768" s="62"/>
      <c r="AJ768" s="47"/>
      <c r="AK768" s="115"/>
      <c r="AL768" s="115"/>
      <c r="AM768" s="115"/>
      <c r="AN768" s="47"/>
      <c r="AO768" s="61"/>
      <c r="AP768" s="61"/>
      <c r="AQ768" s="63"/>
      <c r="AR768" s="64"/>
      <c r="AS768" s="61"/>
      <c r="AT768" s="61"/>
      <c r="AU768" s="62"/>
      <c r="AV768" s="64"/>
      <c r="AW768" s="108"/>
      <c r="AX768" s="108"/>
      <c r="AY768" s="47"/>
      <c r="AZ768" s="108"/>
      <c r="BA768" s="108"/>
      <c r="BC768" s="115"/>
      <c r="BD768" s="115"/>
      <c r="BE768" s="115"/>
      <c r="BF768" s="47"/>
      <c r="BG768" s="115"/>
      <c r="BH768" s="115"/>
      <c r="BI768" s="115"/>
      <c r="BJ768" s="115"/>
      <c r="BN768" s="115"/>
      <c r="BO768" s="117"/>
      <c r="DC768" s="115"/>
      <c r="DD768" s="115"/>
      <c r="DE768" s="115"/>
      <c r="DF768" s="115"/>
      <c r="DG768" s="115"/>
      <c r="DH768" s="115"/>
      <c r="DI768" s="115"/>
      <c r="DJ768" s="115"/>
      <c r="DK768" s="115"/>
      <c r="DL768" s="115"/>
      <c r="DM768" s="115"/>
    </row>
    <row r="769" spans="3:76" s="115" customFormat="1" x14ac:dyDescent="0.2">
      <c r="C769" s="164"/>
      <c r="M769" s="45"/>
      <c r="N769" s="45"/>
      <c r="O769" s="46"/>
      <c r="P769" s="46"/>
      <c r="Q769" s="45"/>
      <c r="R769" s="117"/>
      <c r="S769" s="45"/>
      <c r="T769" s="45"/>
      <c r="U769" s="119"/>
      <c r="V769" s="47"/>
      <c r="W769" s="47"/>
      <c r="X769" s="47"/>
      <c r="Y769" s="47"/>
      <c r="Z769" s="49"/>
      <c r="AA769" s="97"/>
      <c r="AF769" s="47"/>
      <c r="AG769" s="61"/>
      <c r="AH769" s="61"/>
      <c r="AI769" s="62"/>
      <c r="AJ769" s="47"/>
      <c r="AN769" s="47"/>
      <c r="AO769" s="61"/>
      <c r="AP769" s="61"/>
      <c r="AQ769" s="63"/>
      <c r="AR769" s="64"/>
      <c r="AS769" s="61"/>
      <c r="AT769" s="61"/>
      <c r="AU769" s="62"/>
      <c r="AV769" s="64"/>
      <c r="AW769" s="108"/>
      <c r="AX769" s="108"/>
      <c r="AY769" s="47"/>
      <c r="AZ769" s="108"/>
      <c r="BA769" s="108"/>
      <c r="BB769" s="140"/>
      <c r="BF769" s="47"/>
      <c r="BL769" s="57"/>
      <c r="BO769" s="117"/>
      <c r="BX769" s="164"/>
    </row>
    <row r="770" spans="3:76" s="115" customFormat="1" x14ac:dyDescent="0.2">
      <c r="C770" s="164"/>
      <c r="M770" s="45"/>
      <c r="N770" s="45"/>
      <c r="O770" s="46"/>
      <c r="P770" s="46"/>
      <c r="Q770" s="45"/>
      <c r="R770" s="117"/>
      <c r="S770" s="45"/>
      <c r="T770" s="45"/>
      <c r="U770" s="119"/>
      <c r="V770" s="47"/>
      <c r="W770" s="47"/>
      <c r="X770" s="47"/>
      <c r="Y770" s="47"/>
      <c r="Z770" s="49"/>
      <c r="AA770" s="97"/>
      <c r="AF770" s="47"/>
      <c r="AG770" s="61"/>
      <c r="AH770" s="61"/>
      <c r="AI770" s="62"/>
      <c r="AJ770" s="47"/>
      <c r="AN770" s="47"/>
      <c r="AO770" s="61"/>
      <c r="AP770" s="61"/>
      <c r="AQ770" s="63"/>
      <c r="AR770" s="64"/>
      <c r="AS770" s="61"/>
      <c r="AT770" s="61"/>
      <c r="AU770" s="62"/>
      <c r="AV770" s="64"/>
      <c r="AW770" s="108"/>
      <c r="AX770" s="108"/>
      <c r="AY770" s="47"/>
      <c r="AZ770" s="108"/>
      <c r="BA770" s="108"/>
      <c r="BB770" s="140"/>
      <c r="BF770" s="47"/>
      <c r="BL770" s="57"/>
      <c r="BO770" s="117"/>
      <c r="BX770" s="164"/>
    </row>
    <row r="771" spans="3:76" s="115" customFormat="1" x14ac:dyDescent="0.2">
      <c r="C771" s="164"/>
      <c r="M771" s="45"/>
      <c r="N771" s="45"/>
      <c r="O771" s="46"/>
      <c r="P771" s="46"/>
      <c r="Q771" s="45"/>
      <c r="R771" s="117"/>
      <c r="S771" s="45"/>
      <c r="T771" s="45"/>
      <c r="U771" s="119"/>
      <c r="V771" s="47"/>
      <c r="W771" s="47"/>
      <c r="X771" s="47"/>
      <c r="Y771" s="47"/>
      <c r="Z771" s="49"/>
      <c r="AA771" s="97"/>
      <c r="AF771" s="47"/>
      <c r="AG771" s="61"/>
      <c r="AH771" s="61"/>
      <c r="AI771" s="62"/>
      <c r="AJ771" s="47"/>
      <c r="AN771" s="47"/>
      <c r="AO771" s="61"/>
      <c r="AP771" s="61"/>
      <c r="AQ771" s="63"/>
      <c r="AR771" s="64"/>
      <c r="AS771" s="61"/>
      <c r="AT771" s="61"/>
      <c r="AU771" s="62"/>
      <c r="AV771" s="64"/>
      <c r="AW771" s="108"/>
      <c r="AX771" s="108"/>
      <c r="AY771" s="47"/>
      <c r="AZ771" s="108"/>
      <c r="BA771" s="108"/>
      <c r="BB771" s="140"/>
      <c r="BF771" s="47"/>
      <c r="BL771" s="57"/>
      <c r="BO771" s="117"/>
      <c r="BX771" s="164"/>
    </row>
    <row r="772" spans="3:76" s="115" customFormat="1" x14ac:dyDescent="0.2">
      <c r="C772" s="164"/>
      <c r="M772" s="45"/>
      <c r="N772" s="45"/>
      <c r="O772" s="46"/>
      <c r="P772" s="46"/>
      <c r="Q772" s="45"/>
      <c r="R772" s="117"/>
      <c r="S772" s="45"/>
      <c r="T772" s="45"/>
      <c r="U772" s="119"/>
      <c r="V772" s="47"/>
      <c r="W772" s="47"/>
      <c r="X772" s="47"/>
      <c r="Y772" s="47"/>
      <c r="Z772" s="49"/>
      <c r="AA772" s="97"/>
      <c r="AF772" s="47"/>
      <c r="AG772" s="61"/>
      <c r="AH772" s="61"/>
      <c r="AI772" s="62"/>
      <c r="AJ772" s="47"/>
      <c r="AN772" s="47"/>
      <c r="AO772" s="61"/>
      <c r="AP772" s="61"/>
      <c r="AQ772" s="63"/>
      <c r="AR772" s="64"/>
      <c r="AS772" s="61"/>
      <c r="AT772" s="61"/>
      <c r="AU772" s="62"/>
      <c r="AV772" s="64"/>
      <c r="AW772" s="108"/>
      <c r="AX772" s="108"/>
      <c r="AY772" s="47"/>
      <c r="AZ772" s="108"/>
      <c r="BA772" s="108"/>
      <c r="BB772" s="140"/>
      <c r="BF772" s="47"/>
      <c r="BL772" s="57"/>
      <c r="BO772" s="117"/>
      <c r="BX772" s="164"/>
    </row>
    <row r="773" spans="3:76" s="115" customFormat="1" x14ac:dyDescent="0.2">
      <c r="C773" s="164"/>
      <c r="M773" s="45"/>
      <c r="N773" s="45"/>
      <c r="O773" s="46"/>
      <c r="P773" s="46"/>
      <c r="Q773" s="45"/>
      <c r="R773" s="117"/>
      <c r="S773" s="45"/>
      <c r="T773" s="45"/>
      <c r="U773" s="119"/>
      <c r="V773" s="47"/>
      <c r="W773" s="47"/>
      <c r="X773" s="47"/>
      <c r="Y773" s="47"/>
      <c r="Z773" s="49"/>
      <c r="AA773" s="97"/>
      <c r="AF773" s="47"/>
      <c r="AG773" s="61"/>
      <c r="AH773" s="61"/>
      <c r="AI773" s="62"/>
      <c r="AJ773" s="47"/>
      <c r="AN773" s="47"/>
      <c r="AO773" s="61"/>
      <c r="AP773" s="61"/>
      <c r="AQ773" s="63"/>
      <c r="AR773" s="64"/>
      <c r="AS773" s="61"/>
      <c r="AT773" s="61"/>
      <c r="AU773" s="62"/>
      <c r="AV773" s="64"/>
      <c r="AW773" s="108"/>
      <c r="AX773" s="108"/>
      <c r="AY773" s="47"/>
      <c r="AZ773" s="108"/>
      <c r="BA773" s="108"/>
      <c r="BB773" s="140"/>
      <c r="BF773" s="47"/>
      <c r="BL773" s="57"/>
      <c r="BO773" s="117"/>
      <c r="BX773" s="164"/>
    </row>
    <row r="774" spans="3:76" s="115" customFormat="1" x14ac:dyDescent="0.2">
      <c r="C774" s="164"/>
      <c r="M774" s="45"/>
      <c r="N774" s="45"/>
      <c r="O774" s="46"/>
      <c r="P774" s="46"/>
      <c r="Q774" s="45"/>
      <c r="R774" s="117"/>
      <c r="S774" s="45"/>
      <c r="T774" s="45"/>
      <c r="U774" s="119"/>
      <c r="V774" s="47"/>
      <c r="W774" s="47"/>
      <c r="X774" s="47"/>
      <c r="Y774" s="47"/>
      <c r="Z774" s="49"/>
      <c r="AA774" s="97"/>
      <c r="AF774" s="47"/>
      <c r="AG774" s="61"/>
      <c r="AH774" s="61"/>
      <c r="AI774" s="62"/>
      <c r="AJ774" s="47"/>
      <c r="AN774" s="47"/>
      <c r="AO774" s="61"/>
      <c r="AP774" s="61"/>
      <c r="AQ774" s="63"/>
      <c r="AR774" s="64"/>
      <c r="AS774" s="61"/>
      <c r="AT774" s="61"/>
      <c r="AU774" s="62"/>
      <c r="AV774" s="64"/>
      <c r="AW774" s="108"/>
      <c r="AX774" s="108"/>
      <c r="AY774" s="47"/>
      <c r="AZ774" s="108"/>
      <c r="BA774" s="108"/>
      <c r="BB774" s="140"/>
      <c r="BF774" s="47"/>
      <c r="BL774" s="57"/>
      <c r="BO774" s="117"/>
      <c r="BX774" s="164"/>
    </row>
    <row r="775" spans="3:76" s="115" customFormat="1" x14ac:dyDescent="0.2">
      <c r="C775" s="164"/>
      <c r="M775" s="45"/>
      <c r="N775" s="45"/>
      <c r="O775" s="46"/>
      <c r="P775" s="46"/>
      <c r="Q775" s="45"/>
      <c r="R775" s="117"/>
      <c r="S775" s="45"/>
      <c r="T775" s="45"/>
      <c r="U775" s="119"/>
      <c r="V775" s="47"/>
      <c r="W775" s="47"/>
      <c r="X775" s="47"/>
      <c r="Y775" s="47"/>
      <c r="Z775" s="49"/>
      <c r="AA775" s="97"/>
      <c r="AF775" s="47"/>
      <c r="AG775" s="61"/>
      <c r="AH775" s="61"/>
      <c r="AI775" s="62"/>
      <c r="AJ775" s="47"/>
      <c r="AN775" s="47"/>
      <c r="AO775" s="61"/>
      <c r="AP775" s="61"/>
      <c r="AQ775" s="63"/>
      <c r="AR775" s="64"/>
      <c r="AS775" s="61"/>
      <c r="AT775" s="61"/>
      <c r="AU775" s="62"/>
      <c r="AV775" s="64"/>
      <c r="AW775" s="108"/>
      <c r="AX775" s="108"/>
      <c r="AY775" s="47"/>
      <c r="AZ775" s="108"/>
      <c r="BA775" s="108"/>
      <c r="BB775" s="140"/>
      <c r="BF775" s="47"/>
      <c r="BL775" s="57"/>
      <c r="BO775" s="117"/>
      <c r="BX775" s="164"/>
    </row>
    <row r="776" spans="3:76" s="115" customFormat="1" x14ac:dyDescent="0.2">
      <c r="C776" s="164"/>
      <c r="M776" s="45"/>
      <c r="N776" s="45"/>
      <c r="O776" s="46"/>
      <c r="P776" s="46"/>
      <c r="Q776" s="45"/>
      <c r="R776" s="117"/>
      <c r="S776" s="45"/>
      <c r="T776" s="45"/>
      <c r="U776" s="119"/>
      <c r="V776" s="47"/>
      <c r="W776" s="47"/>
      <c r="X776" s="47"/>
      <c r="Y776" s="47"/>
      <c r="Z776" s="49"/>
      <c r="AA776" s="97"/>
      <c r="AF776" s="47"/>
      <c r="AG776" s="61"/>
      <c r="AH776" s="61"/>
      <c r="AI776" s="62"/>
      <c r="AJ776" s="47"/>
      <c r="AN776" s="47"/>
      <c r="AO776" s="61"/>
      <c r="AP776" s="61"/>
      <c r="AQ776" s="63"/>
      <c r="AR776" s="64"/>
      <c r="AS776" s="61"/>
      <c r="AT776" s="61"/>
      <c r="AU776" s="62"/>
      <c r="AV776" s="64"/>
      <c r="AW776" s="108"/>
      <c r="AX776" s="108"/>
      <c r="AY776" s="47"/>
      <c r="AZ776" s="108"/>
      <c r="BA776" s="108"/>
      <c r="BB776" s="140"/>
      <c r="BF776" s="47"/>
      <c r="BL776" s="57"/>
      <c r="BO776" s="117"/>
      <c r="BX776" s="164"/>
    </row>
    <row r="777" spans="3:76" s="115" customFormat="1" x14ac:dyDescent="0.2">
      <c r="C777" s="164"/>
      <c r="M777" s="45"/>
      <c r="N777" s="45"/>
      <c r="O777" s="46"/>
      <c r="P777" s="46"/>
      <c r="Q777" s="45"/>
      <c r="R777" s="117"/>
      <c r="S777" s="45"/>
      <c r="T777" s="45"/>
      <c r="U777" s="119"/>
      <c r="V777" s="47"/>
      <c r="W777" s="47"/>
      <c r="X777" s="47"/>
      <c r="Y777" s="47"/>
      <c r="Z777" s="49"/>
      <c r="AA777" s="97"/>
      <c r="AF777" s="47"/>
      <c r="AG777" s="61"/>
      <c r="AH777" s="61"/>
      <c r="AI777" s="62"/>
      <c r="AJ777" s="47"/>
      <c r="AN777" s="47"/>
      <c r="AO777" s="61"/>
      <c r="AP777" s="61"/>
      <c r="AQ777" s="63"/>
      <c r="AR777" s="64"/>
      <c r="AS777" s="61"/>
      <c r="AT777" s="61"/>
      <c r="AU777" s="62"/>
      <c r="AV777" s="64"/>
      <c r="AW777" s="108"/>
      <c r="AX777" s="108"/>
      <c r="AY777" s="47"/>
      <c r="AZ777" s="108"/>
      <c r="BA777" s="108"/>
      <c r="BB777" s="140"/>
      <c r="BF777" s="47"/>
      <c r="BL777" s="57"/>
      <c r="BO777" s="117"/>
      <c r="BX777" s="164"/>
    </row>
    <row r="778" spans="3:76" s="115" customFormat="1" x14ac:dyDescent="0.2">
      <c r="C778" s="164"/>
      <c r="M778" s="45"/>
      <c r="N778" s="45"/>
      <c r="O778" s="46"/>
      <c r="P778" s="46"/>
      <c r="Q778" s="45"/>
      <c r="R778" s="117"/>
      <c r="S778" s="45"/>
      <c r="T778" s="45"/>
      <c r="U778" s="119"/>
      <c r="V778" s="47"/>
      <c r="W778" s="47"/>
      <c r="X778" s="47"/>
      <c r="Y778" s="47"/>
      <c r="Z778" s="49"/>
      <c r="AA778" s="97"/>
      <c r="AF778" s="47"/>
      <c r="AG778" s="61"/>
      <c r="AH778" s="61"/>
      <c r="AI778" s="62"/>
      <c r="AJ778" s="47"/>
      <c r="AN778" s="47"/>
      <c r="AO778" s="61"/>
      <c r="AP778" s="61"/>
      <c r="AQ778" s="63"/>
      <c r="AR778" s="64"/>
      <c r="AS778" s="61"/>
      <c r="AT778" s="61"/>
      <c r="AU778" s="62"/>
      <c r="AV778" s="64"/>
      <c r="AW778" s="108"/>
      <c r="AX778" s="108"/>
      <c r="AY778" s="47"/>
      <c r="AZ778" s="108"/>
      <c r="BA778" s="108"/>
      <c r="BB778" s="140"/>
      <c r="BF778" s="47"/>
      <c r="BL778" s="57"/>
      <c r="BO778" s="117"/>
      <c r="BX778" s="164"/>
    </row>
    <row r="779" spans="3:76" s="115" customFormat="1" x14ac:dyDescent="0.2">
      <c r="C779" s="164"/>
      <c r="M779" s="45"/>
      <c r="N779" s="45"/>
      <c r="O779" s="46"/>
      <c r="P779" s="46"/>
      <c r="Q779" s="45"/>
      <c r="R779" s="117"/>
      <c r="S779" s="45"/>
      <c r="T779" s="45"/>
      <c r="U779" s="119"/>
      <c r="V779" s="47"/>
      <c r="W779" s="47"/>
      <c r="X779" s="47"/>
      <c r="Y779" s="47"/>
      <c r="Z779" s="49"/>
      <c r="AA779" s="97"/>
      <c r="AF779" s="47"/>
      <c r="AG779" s="61"/>
      <c r="AH779" s="61"/>
      <c r="AI779" s="62"/>
      <c r="AJ779" s="47"/>
      <c r="AN779" s="47"/>
      <c r="AO779" s="61"/>
      <c r="AP779" s="61"/>
      <c r="AQ779" s="63"/>
      <c r="AR779" s="64"/>
      <c r="AS779" s="61"/>
      <c r="AT779" s="61"/>
      <c r="AU779" s="62"/>
      <c r="AV779" s="64"/>
      <c r="AW779" s="108"/>
      <c r="AX779" s="108"/>
      <c r="AY779" s="47"/>
      <c r="AZ779" s="108"/>
      <c r="BA779" s="108"/>
      <c r="BB779" s="140"/>
      <c r="BF779" s="47"/>
      <c r="BL779" s="57"/>
      <c r="BO779" s="117"/>
      <c r="BX779" s="164"/>
    </row>
    <row r="780" spans="3:76" s="115" customFormat="1" x14ac:dyDescent="0.2">
      <c r="C780" s="164"/>
      <c r="M780" s="45"/>
      <c r="N780" s="45"/>
      <c r="O780" s="46"/>
      <c r="P780" s="46"/>
      <c r="Q780" s="45"/>
      <c r="R780" s="117"/>
      <c r="S780" s="45"/>
      <c r="T780" s="45"/>
      <c r="U780" s="119"/>
      <c r="V780" s="47"/>
      <c r="W780" s="47"/>
      <c r="X780" s="47"/>
      <c r="Y780" s="47"/>
      <c r="Z780" s="49"/>
      <c r="AA780" s="97"/>
      <c r="AF780" s="47"/>
      <c r="AG780" s="61"/>
      <c r="AH780" s="61"/>
      <c r="AI780" s="62"/>
      <c r="AJ780" s="47"/>
      <c r="AN780" s="47"/>
      <c r="AO780" s="61"/>
      <c r="AP780" s="61"/>
      <c r="AQ780" s="63"/>
      <c r="AR780" s="64"/>
      <c r="AS780" s="61"/>
      <c r="AT780" s="61"/>
      <c r="AU780" s="62"/>
      <c r="AV780" s="64"/>
      <c r="AW780" s="108"/>
      <c r="AX780" s="108"/>
      <c r="AY780" s="47"/>
      <c r="AZ780" s="108"/>
      <c r="BA780" s="108"/>
      <c r="BB780" s="140"/>
      <c r="BF780" s="47"/>
      <c r="BL780" s="57"/>
      <c r="BO780" s="117"/>
      <c r="BX780" s="164"/>
    </row>
    <row r="781" spans="3:76" s="115" customFormat="1" x14ac:dyDescent="0.2">
      <c r="C781" s="164"/>
      <c r="M781" s="45"/>
      <c r="N781" s="45"/>
      <c r="O781" s="46"/>
      <c r="P781" s="46"/>
      <c r="Q781" s="45"/>
      <c r="R781" s="117"/>
      <c r="S781" s="45"/>
      <c r="T781" s="45"/>
      <c r="U781" s="119"/>
      <c r="V781" s="47"/>
      <c r="W781" s="47"/>
      <c r="X781" s="47"/>
      <c r="Y781" s="47"/>
      <c r="Z781" s="49"/>
      <c r="AA781" s="97"/>
      <c r="AF781" s="47"/>
      <c r="AG781" s="61"/>
      <c r="AH781" s="61"/>
      <c r="AI781" s="62"/>
      <c r="AJ781" s="47"/>
      <c r="AN781" s="47"/>
      <c r="AO781" s="61"/>
      <c r="AP781" s="61"/>
      <c r="AQ781" s="63"/>
      <c r="AR781" s="64"/>
      <c r="AS781" s="61"/>
      <c r="AT781" s="61"/>
      <c r="AU781" s="62"/>
      <c r="AV781" s="64"/>
      <c r="AW781" s="108"/>
      <c r="AX781" s="108"/>
      <c r="AY781" s="47"/>
      <c r="AZ781" s="108"/>
      <c r="BA781" s="108"/>
      <c r="BB781" s="140"/>
      <c r="BF781" s="47"/>
      <c r="BL781" s="57"/>
      <c r="BO781" s="117"/>
      <c r="BX781" s="164"/>
    </row>
    <row r="782" spans="3:76" s="115" customFormat="1" x14ac:dyDescent="0.2">
      <c r="C782" s="164"/>
      <c r="M782" s="45"/>
      <c r="N782" s="45"/>
      <c r="O782" s="46"/>
      <c r="P782" s="46"/>
      <c r="Q782" s="45"/>
      <c r="R782" s="117"/>
      <c r="S782" s="45"/>
      <c r="T782" s="45"/>
      <c r="U782" s="119"/>
      <c r="V782" s="47"/>
      <c r="W782" s="47"/>
      <c r="X782" s="47"/>
      <c r="Y782" s="47"/>
      <c r="Z782" s="49"/>
      <c r="AA782" s="97"/>
      <c r="AF782" s="47"/>
      <c r="AG782" s="61"/>
      <c r="AH782" s="61"/>
      <c r="AI782" s="62"/>
      <c r="AJ782" s="47"/>
      <c r="AN782" s="47"/>
      <c r="AO782" s="61"/>
      <c r="AP782" s="61"/>
      <c r="AQ782" s="63"/>
      <c r="AR782" s="64"/>
      <c r="AS782" s="61"/>
      <c r="AT782" s="61"/>
      <c r="AU782" s="62"/>
      <c r="AV782" s="64"/>
      <c r="AW782" s="108"/>
      <c r="AX782" s="108"/>
      <c r="AY782" s="47"/>
      <c r="AZ782" s="108"/>
      <c r="BA782" s="108"/>
      <c r="BB782" s="140"/>
      <c r="BF782" s="47"/>
      <c r="BL782" s="57"/>
      <c r="BO782" s="117"/>
      <c r="BX782" s="164"/>
    </row>
    <row r="783" spans="3:76" s="115" customFormat="1" x14ac:dyDescent="0.2">
      <c r="C783" s="164"/>
      <c r="M783" s="45"/>
      <c r="N783" s="45"/>
      <c r="O783" s="46"/>
      <c r="P783" s="46"/>
      <c r="Q783" s="45"/>
      <c r="R783" s="117"/>
      <c r="S783" s="45"/>
      <c r="T783" s="45"/>
      <c r="U783" s="119"/>
      <c r="V783" s="47"/>
      <c r="W783" s="47"/>
      <c r="X783" s="47"/>
      <c r="Y783" s="47"/>
      <c r="Z783" s="49"/>
      <c r="AA783" s="97"/>
      <c r="AF783" s="47"/>
      <c r="AG783" s="61"/>
      <c r="AH783" s="61"/>
      <c r="AI783" s="62"/>
      <c r="AJ783" s="47"/>
      <c r="AN783" s="47"/>
      <c r="AO783" s="61"/>
      <c r="AP783" s="61"/>
      <c r="AQ783" s="63"/>
      <c r="AR783" s="64"/>
      <c r="AS783" s="61"/>
      <c r="AT783" s="61"/>
      <c r="AU783" s="62"/>
      <c r="AV783" s="64"/>
      <c r="AW783" s="108"/>
      <c r="AX783" s="108"/>
      <c r="AY783" s="47"/>
      <c r="AZ783" s="108"/>
      <c r="BA783" s="108"/>
      <c r="BB783" s="140"/>
      <c r="BF783" s="47"/>
      <c r="BL783" s="57"/>
      <c r="BO783" s="117"/>
      <c r="BX783" s="164"/>
    </row>
    <row r="784" spans="3:76" s="115" customFormat="1" x14ac:dyDescent="0.2">
      <c r="C784" s="164"/>
      <c r="M784" s="45"/>
      <c r="N784" s="45"/>
      <c r="O784" s="46"/>
      <c r="P784" s="46"/>
      <c r="Q784" s="45"/>
      <c r="R784" s="117"/>
      <c r="S784" s="45"/>
      <c r="T784" s="45"/>
      <c r="U784" s="119"/>
      <c r="V784" s="47"/>
      <c r="W784" s="47"/>
      <c r="X784" s="47"/>
      <c r="Y784" s="47"/>
      <c r="Z784" s="49"/>
      <c r="AA784" s="97"/>
      <c r="AF784" s="47"/>
      <c r="AG784" s="61"/>
      <c r="AH784" s="61"/>
      <c r="AI784" s="62"/>
      <c r="AJ784" s="47"/>
      <c r="AN784" s="47"/>
      <c r="AO784" s="61"/>
      <c r="AP784" s="61"/>
      <c r="AQ784" s="63"/>
      <c r="AR784" s="64"/>
      <c r="AS784" s="61"/>
      <c r="AT784" s="61"/>
      <c r="AU784" s="62"/>
      <c r="AV784" s="64"/>
      <c r="AW784" s="108"/>
      <c r="AX784" s="108"/>
      <c r="AY784" s="47"/>
      <c r="AZ784" s="108"/>
      <c r="BA784" s="108"/>
      <c r="BB784" s="140"/>
      <c r="BF784" s="47"/>
      <c r="BL784" s="57"/>
      <c r="BO784" s="117"/>
      <c r="BX784" s="164"/>
    </row>
    <row r="785" spans="3:76" s="115" customFormat="1" x14ac:dyDescent="0.2">
      <c r="C785" s="164"/>
      <c r="M785" s="45"/>
      <c r="N785" s="45"/>
      <c r="O785" s="46"/>
      <c r="P785" s="46"/>
      <c r="Q785" s="45"/>
      <c r="R785" s="117"/>
      <c r="S785" s="45"/>
      <c r="T785" s="45"/>
      <c r="U785" s="119"/>
      <c r="V785" s="47"/>
      <c r="W785" s="47"/>
      <c r="X785" s="47"/>
      <c r="Y785" s="47"/>
      <c r="Z785" s="49"/>
      <c r="AA785" s="97"/>
      <c r="AF785" s="47"/>
      <c r="AG785" s="61"/>
      <c r="AH785" s="61"/>
      <c r="AI785" s="62"/>
      <c r="AJ785" s="47"/>
      <c r="AN785" s="47"/>
      <c r="AO785" s="61"/>
      <c r="AP785" s="61"/>
      <c r="AQ785" s="63"/>
      <c r="AR785" s="64"/>
      <c r="AS785" s="61"/>
      <c r="AT785" s="61"/>
      <c r="AU785" s="62"/>
      <c r="AV785" s="64"/>
      <c r="AW785" s="108"/>
      <c r="AX785" s="108"/>
      <c r="AY785" s="47"/>
      <c r="AZ785" s="108"/>
      <c r="BA785" s="108"/>
      <c r="BB785" s="140"/>
      <c r="BF785" s="47"/>
      <c r="BL785" s="57"/>
      <c r="BO785" s="117"/>
      <c r="BX785" s="164"/>
    </row>
    <row r="786" spans="3:76" s="115" customFormat="1" x14ac:dyDescent="0.2">
      <c r="C786" s="164"/>
      <c r="M786" s="45"/>
      <c r="N786" s="45"/>
      <c r="O786" s="46"/>
      <c r="P786" s="46"/>
      <c r="Q786" s="45"/>
      <c r="R786" s="117"/>
      <c r="S786" s="45"/>
      <c r="T786" s="45"/>
      <c r="U786" s="119"/>
      <c r="V786" s="47"/>
      <c r="W786" s="47"/>
      <c r="X786" s="47"/>
      <c r="Y786" s="47"/>
      <c r="Z786" s="49"/>
      <c r="AA786" s="97"/>
      <c r="AF786" s="47"/>
      <c r="AG786" s="61"/>
      <c r="AH786" s="61"/>
      <c r="AI786" s="62"/>
      <c r="AJ786" s="47"/>
      <c r="AN786" s="47"/>
      <c r="AO786" s="61"/>
      <c r="AP786" s="61"/>
      <c r="AQ786" s="63"/>
      <c r="AR786" s="64"/>
      <c r="AS786" s="61"/>
      <c r="AT786" s="61"/>
      <c r="AU786" s="62"/>
      <c r="AV786" s="64"/>
      <c r="AW786" s="108"/>
      <c r="AX786" s="108"/>
      <c r="AY786" s="47"/>
      <c r="AZ786" s="108"/>
      <c r="BA786" s="108"/>
      <c r="BB786" s="140"/>
      <c r="BF786" s="47"/>
      <c r="BL786" s="57"/>
      <c r="BO786" s="117"/>
      <c r="BX786" s="164"/>
    </row>
    <row r="787" spans="3:76" s="115" customFormat="1" x14ac:dyDescent="0.2">
      <c r="C787" s="164"/>
      <c r="M787" s="45"/>
      <c r="N787" s="45"/>
      <c r="O787" s="46"/>
      <c r="P787" s="46"/>
      <c r="Q787" s="45"/>
      <c r="R787" s="117"/>
      <c r="S787" s="45"/>
      <c r="T787" s="45"/>
      <c r="U787" s="119"/>
      <c r="V787" s="47"/>
      <c r="W787" s="47"/>
      <c r="X787" s="47"/>
      <c r="Y787" s="47"/>
      <c r="Z787" s="49"/>
      <c r="AA787" s="97"/>
      <c r="AF787" s="47"/>
      <c r="AG787" s="61"/>
      <c r="AH787" s="61"/>
      <c r="AI787" s="62"/>
      <c r="AJ787" s="47"/>
      <c r="AN787" s="47"/>
      <c r="AO787" s="61"/>
      <c r="AP787" s="61"/>
      <c r="AQ787" s="63"/>
      <c r="AR787" s="64"/>
      <c r="AS787" s="61"/>
      <c r="AT787" s="61"/>
      <c r="AU787" s="62"/>
      <c r="AV787" s="64"/>
      <c r="AW787" s="108"/>
      <c r="AX787" s="108"/>
      <c r="AY787" s="47"/>
      <c r="AZ787" s="108"/>
      <c r="BA787" s="108"/>
      <c r="BB787" s="140"/>
      <c r="BF787" s="47"/>
      <c r="BL787" s="57"/>
      <c r="BO787" s="117"/>
      <c r="BX787" s="164"/>
    </row>
    <row r="788" spans="3:76" s="115" customFormat="1" x14ac:dyDescent="0.2">
      <c r="C788" s="164"/>
      <c r="M788" s="45"/>
      <c r="N788" s="45"/>
      <c r="O788" s="46"/>
      <c r="P788" s="46"/>
      <c r="Q788" s="45"/>
      <c r="R788" s="117"/>
      <c r="S788" s="45"/>
      <c r="T788" s="45"/>
      <c r="U788" s="119"/>
      <c r="V788" s="47"/>
      <c r="W788" s="47"/>
      <c r="X788" s="47"/>
      <c r="Y788" s="47"/>
      <c r="Z788" s="49"/>
      <c r="AA788" s="97"/>
      <c r="AF788" s="47"/>
      <c r="AG788" s="61"/>
      <c r="AH788" s="61"/>
      <c r="AI788" s="62"/>
      <c r="AJ788" s="47"/>
      <c r="AN788" s="47"/>
      <c r="AO788" s="61"/>
      <c r="AP788" s="61"/>
      <c r="AQ788" s="63"/>
      <c r="AR788" s="64"/>
      <c r="AS788" s="61"/>
      <c r="AT788" s="61"/>
      <c r="AU788" s="62"/>
      <c r="AV788" s="64"/>
      <c r="AW788" s="108"/>
      <c r="AX788" s="108"/>
      <c r="AY788" s="47"/>
      <c r="AZ788" s="108"/>
      <c r="BA788" s="108"/>
      <c r="BB788" s="140"/>
      <c r="BF788" s="47"/>
      <c r="BL788" s="57"/>
      <c r="BO788" s="117"/>
      <c r="BX788" s="164"/>
    </row>
    <row r="789" spans="3:76" s="115" customFormat="1" x14ac:dyDescent="0.2">
      <c r="C789" s="164"/>
      <c r="M789" s="45"/>
      <c r="N789" s="45"/>
      <c r="O789" s="46"/>
      <c r="P789" s="46"/>
      <c r="Q789" s="45"/>
      <c r="R789" s="117"/>
      <c r="S789" s="45"/>
      <c r="T789" s="45"/>
      <c r="U789" s="119"/>
      <c r="V789" s="47"/>
      <c r="W789" s="47"/>
      <c r="X789" s="47"/>
      <c r="Y789" s="47"/>
      <c r="Z789" s="49"/>
      <c r="AA789" s="97"/>
      <c r="AF789" s="47"/>
      <c r="AG789" s="61"/>
      <c r="AH789" s="61"/>
      <c r="AI789" s="62"/>
      <c r="AJ789" s="47"/>
      <c r="AN789" s="47"/>
      <c r="AO789" s="61"/>
      <c r="AP789" s="61"/>
      <c r="AQ789" s="63"/>
      <c r="AR789" s="64"/>
      <c r="AS789" s="61"/>
      <c r="AT789" s="61"/>
      <c r="AU789" s="62"/>
      <c r="AV789" s="64"/>
      <c r="AW789" s="108"/>
      <c r="AX789" s="108"/>
      <c r="AY789" s="47"/>
      <c r="AZ789" s="108"/>
      <c r="BA789" s="108"/>
      <c r="BB789" s="140"/>
      <c r="BF789" s="47"/>
      <c r="BL789" s="57"/>
      <c r="BO789" s="117"/>
      <c r="BX789" s="164"/>
    </row>
    <row r="790" spans="3:76" s="115" customFormat="1" x14ac:dyDescent="0.2">
      <c r="C790" s="164"/>
      <c r="M790" s="45"/>
      <c r="N790" s="45"/>
      <c r="O790" s="46"/>
      <c r="P790" s="46"/>
      <c r="Q790" s="45"/>
      <c r="R790" s="117"/>
      <c r="S790" s="45"/>
      <c r="T790" s="45"/>
      <c r="U790" s="119"/>
      <c r="V790" s="47"/>
      <c r="W790" s="47"/>
      <c r="X790" s="47"/>
      <c r="Y790" s="47"/>
      <c r="Z790" s="49"/>
      <c r="AA790" s="97"/>
      <c r="AF790" s="47"/>
      <c r="AG790" s="61"/>
      <c r="AH790" s="61"/>
      <c r="AI790" s="62"/>
      <c r="AJ790" s="47"/>
      <c r="AN790" s="47"/>
      <c r="AO790" s="61"/>
      <c r="AP790" s="61"/>
      <c r="AQ790" s="63"/>
      <c r="AR790" s="64"/>
      <c r="AS790" s="61"/>
      <c r="AT790" s="61"/>
      <c r="AU790" s="62"/>
      <c r="AV790" s="64"/>
      <c r="AW790" s="108"/>
      <c r="AX790" s="108"/>
      <c r="AY790" s="47"/>
      <c r="AZ790" s="108"/>
      <c r="BA790" s="108"/>
      <c r="BB790" s="140"/>
      <c r="BF790" s="47"/>
      <c r="BL790" s="57"/>
      <c r="BO790" s="117"/>
      <c r="BX790" s="164"/>
    </row>
    <row r="791" spans="3:76" s="115" customFormat="1" x14ac:dyDescent="0.2">
      <c r="C791" s="164"/>
      <c r="M791" s="45"/>
      <c r="N791" s="45"/>
      <c r="O791" s="46"/>
      <c r="P791" s="46"/>
      <c r="Q791" s="45"/>
      <c r="R791" s="117"/>
      <c r="S791" s="45"/>
      <c r="T791" s="45"/>
      <c r="U791" s="119"/>
      <c r="V791" s="47"/>
      <c r="W791" s="47"/>
      <c r="X791" s="47"/>
      <c r="Y791" s="47"/>
      <c r="Z791" s="49"/>
      <c r="AA791" s="97"/>
      <c r="AF791" s="47"/>
      <c r="AG791" s="61"/>
      <c r="AH791" s="61"/>
      <c r="AI791" s="62"/>
      <c r="AJ791" s="47"/>
      <c r="AN791" s="47"/>
      <c r="AO791" s="61"/>
      <c r="AP791" s="61"/>
      <c r="AQ791" s="63"/>
      <c r="AR791" s="64"/>
      <c r="AS791" s="61"/>
      <c r="AT791" s="61"/>
      <c r="AU791" s="62"/>
      <c r="AV791" s="64"/>
      <c r="AW791" s="108"/>
      <c r="AX791" s="108"/>
      <c r="AY791" s="47"/>
      <c r="AZ791" s="108"/>
      <c r="BA791" s="108"/>
      <c r="BB791" s="140"/>
      <c r="BF791" s="47"/>
      <c r="BL791" s="57"/>
      <c r="BO791" s="117"/>
      <c r="BX791" s="164"/>
    </row>
    <row r="792" spans="3:76" s="115" customFormat="1" x14ac:dyDescent="0.2">
      <c r="C792" s="164"/>
      <c r="M792" s="45"/>
      <c r="N792" s="45"/>
      <c r="O792" s="46"/>
      <c r="P792" s="46"/>
      <c r="Q792" s="45"/>
      <c r="R792" s="117"/>
      <c r="S792" s="45"/>
      <c r="T792" s="45"/>
      <c r="U792" s="119"/>
      <c r="V792" s="47"/>
      <c r="W792" s="47"/>
      <c r="X792" s="47"/>
      <c r="Y792" s="47"/>
      <c r="Z792" s="49"/>
      <c r="AA792" s="97"/>
      <c r="AF792" s="47"/>
      <c r="AG792" s="61"/>
      <c r="AH792" s="61"/>
      <c r="AI792" s="62"/>
      <c r="AJ792" s="47"/>
      <c r="AN792" s="47"/>
      <c r="AO792" s="61"/>
      <c r="AP792" s="61"/>
      <c r="AQ792" s="63"/>
      <c r="AR792" s="64"/>
      <c r="AS792" s="61"/>
      <c r="AT792" s="61"/>
      <c r="AU792" s="62"/>
      <c r="AV792" s="64"/>
      <c r="AW792" s="108"/>
      <c r="AX792" s="108"/>
      <c r="AY792" s="47"/>
      <c r="AZ792" s="108"/>
      <c r="BA792" s="108"/>
      <c r="BB792" s="140"/>
      <c r="BF792" s="47"/>
      <c r="BL792" s="57"/>
      <c r="BO792" s="117"/>
      <c r="BX792" s="164"/>
    </row>
    <row r="793" spans="3:76" s="115" customFormat="1" x14ac:dyDescent="0.2">
      <c r="C793" s="164"/>
      <c r="M793" s="45"/>
      <c r="N793" s="45"/>
      <c r="O793" s="46"/>
      <c r="P793" s="46"/>
      <c r="Q793" s="45"/>
      <c r="R793" s="117"/>
      <c r="S793" s="45"/>
      <c r="T793" s="45"/>
      <c r="U793" s="119"/>
      <c r="V793" s="47"/>
      <c r="W793" s="47"/>
      <c r="X793" s="47"/>
      <c r="Y793" s="47"/>
      <c r="Z793" s="49"/>
      <c r="AA793" s="97"/>
      <c r="AF793" s="47"/>
      <c r="AG793" s="61"/>
      <c r="AH793" s="61"/>
      <c r="AI793" s="62"/>
      <c r="AJ793" s="47"/>
      <c r="AN793" s="47"/>
      <c r="AO793" s="61"/>
      <c r="AP793" s="61"/>
      <c r="AQ793" s="63"/>
      <c r="AR793" s="64"/>
      <c r="AS793" s="61"/>
      <c r="AT793" s="61"/>
      <c r="AU793" s="62"/>
      <c r="AV793" s="64"/>
      <c r="AW793" s="108"/>
      <c r="AX793" s="108"/>
      <c r="AY793" s="47"/>
      <c r="AZ793" s="108"/>
      <c r="BA793" s="108"/>
      <c r="BB793" s="140"/>
      <c r="BF793" s="47"/>
      <c r="BL793" s="57"/>
      <c r="BO793" s="117"/>
      <c r="BX793" s="164"/>
    </row>
    <row r="794" spans="3:76" s="115" customFormat="1" x14ac:dyDescent="0.2">
      <c r="C794" s="164"/>
      <c r="M794" s="45"/>
      <c r="N794" s="45"/>
      <c r="O794" s="46"/>
      <c r="P794" s="46"/>
      <c r="Q794" s="45"/>
      <c r="R794" s="117"/>
      <c r="S794" s="45"/>
      <c r="T794" s="45"/>
      <c r="U794" s="119"/>
      <c r="V794" s="47"/>
      <c r="W794" s="47"/>
      <c r="X794" s="47"/>
      <c r="Y794" s="47"/>
      <c r="Z794" s="49"/>
      <c r="AA794" s="97"/>
      <c r="AF794" s="47"/>
      <c r="AG794" s="61"/>
      <c r="AH794" s="61"/>
      <c r="AI794" s="62"/>
      <c r="AJ794" s="47"/>
      <c r="AN794" s="47"/>
      <c r="AO794" s="61"/>
      <c r="AP794" s="61"/>
      <c r="AQ794" s="63"/>
      <c r="AR794" s="64"/>
      <c r="AS794" s="61"/>
      <c r="AT794" s="61"/>
      <c r="AU794" s="62"/>
      <c r="AV794" s="64"/>
      <c r="AW794" s="108"/>
      <c r="AX794" s="108"/>
      <c r="AY794" s="47"/>
      <c r="AZ794" s="108"/>
      <c r="BA794" s="108"/>
      <c r="BB794" s="140"/>
      <c r="BF794" s="47"/>
      <c r="BL794" s="57"/>
      <c r="BO794" s="117"/>
      <c r="BX794" s="164"/>
    </row>
    <row r="795" spans="3:76" s="115" customFormat="1" x14ac:dyDescent="0.2">
      <c r="C795" s="164"/>
      <c r="M795" s="45"/>
      <c r="N795" s="45"/>
      <c r="O795" s="46"/>
      <c r="P795" s="46"/>
      <c r="Q795" s="45"/>
      <c r="R795" s="117"/>
      <c r="S795" s="45"/>
      <c r="T795" s="45"/>
      <c r="U795" s="119"/>
      <c r="V795" s="47"/>
      <c r="W795" s="47"/>
      <c r="X795" s="47"/>
      <c r="Y795" s="47"/>
      <c r="Z795" s="49"/>
      <c r="AA795" s="97"/>
      <c r="AF795" s="47"/>
      <c r="AG795" s="61"/>
      <c r="AH795" s="61"/>
      <c r="AI795" s="62"/>
      <c r="AJ795" s="47"/>
      <c r="AN795" s="47"/>
      <c r="AO795" s="61"/>
      <c r="AP795" s="61"/>
      <c r="AQ795" s="63"/>
      <c r="AR795" s="64"/>
      <c r="AS795" s="61"/>
      <c r="AT795" s="61"/>
      <c r="AU795" s="62"/>
      <c r="AV795" s="64"/>
      <c r="AW795" s="108"/>
      <c r="AX795" s="108"/>
      <c r="AY795" s="47"/>
      <c r="AZ795" s="108"/>
      <c r="BA795" s="108"/>
      <c r="BB795" s="140"/>
      <c r="BF795" s="47"/>
      <c r="BL795" s="57"/>
      <c r="BO795" s="117"/>
      <c r="BX795" s="164"/>
    </row>
    <row r="796" spans="3:76" s="115" customFormat="1" x14ac:dyDescent="0.2">
      <c r="C796" s="164"/>
      <c r="M796" s="45"/>
      <c r="N796" s="45"/>
      <c r="O796" s="46"/>
      <c r="P796" s="46"/>
      <c r="Q796" s="45"/>
      <c r="R796" s="117"/>
      <c r="S796" s="45"/>
      <c r="T796" s="45"/>
      <c r="U796" s="119"/>
      <c r="V796" s="47"/>
      <c r="W796" s="47"/>
      <c r="X796" s="47"/>
      <c r="Y796" s="47"/>
      <c r="Z796" s="49"/>
      <c r="AA796" s="97"/>
      <c r="AF796" s="47"/>
      <c r="AG796" s="61"/>
      <c r="AH796" s="61"/>
      <c r="AI796" s="62"/>
      <c r="AJ796" s="47"/>
      <c r="AN796" s="47"/>
      <c r="AO796" s="61"/>
      <c r="AP796" s="61"/>
      <c r="AQ796" s="63"/>
      <c r="AR796" s="64"/>
      <c r="AS796" s="61"/>
      <c r="AT796" s="61"/>
      <c r="AU796" s="62"/>
      <c r="AV796" s="64"/>
      <c r="AW796" s="108"/>
      <c r="AX796" s="108"/>
      <c r="AY796" s="47"/>
      <c r="AZ796" s="108"/>
      <c r="BA796" s="108"/>
      <c r="BB796" s="140"/>
      <c r="BF796" s="47"/>
      <c r="BL796" s="57"/>
      <c r="BO796" s="117"/>
      <c r="BX796" s="164"/>
    </row>
    <row r="797" spans="3:76" s="115" customFormat="1" x14ac:dyDescent="0.2">
      <c r="C797" s="164"/>
      <c r="M797" s="45"/>
      <c r="N797" s="45"/>
      <c r="O797" s="46"/>
      <c r="P797" s="46"/>
      <c r="Q797" s="45"/>
      <c r="R797" s="117"/>
      <c r="S797" s="45"/>
      <c r="T797" s="45"/>
      <c r="U797" s="119"/>
      <c r="V797" s="47"/>
      <c r="W797" s="47"/>
      <c r="X797" s="47"/>
      <c r="Y797" s="47"/>
      <c r="Z797" s="49"/>
      <c r="AA797" s="97"/>
      <c r="AF797" s="47"/>
      <c r="AG797" s="61"/>
      <c r="AH797" s="61"/>
      <c r="AI797" s="62"/>
      <c r="AJ797" s="47"/>
      <c r="AN797" s="47"/>
      <c r="AO797" s="61"/>
      <c r="AP797" s="61"/>
      <c r="AQ797" s="63"/>
      <c r="AR797" s="64"/>
      <c r="AS797" s="61"/>
      <c r="AT797" s="61"/>
      <c r="AU797" s="62"/>
      <c r="AV797" s="64"/>
      <c r="AW797" s="108"/>
      <c r="AX797" s="108"/>
      <c r="AY797" s="47"/>
      <c r="AZ797" s="108"/>
      <c r="BA797" s="108"/>
      <c r="BB797" s="140"/>
      <c r="BF797" s="47"/>
      <c r="BL797" s="57"/>
      <c r="BO797" s="117"/>
      <c r="BX797" s="164"/>
    </row>
    <row r="798" spans="3:76" s="115" customFormat="1" x14ac:dyDescent="0.2">
      <c r="C798" s="164"/>
      <c r="M798" s="45"/>
      <c r="N798" s="45"/>
      <c r="O798" s="46"/>
      <c r="P798" s="46"/>
      <c r="Q798" s="45"/>
      <c r="R798" s="117"/>
      <c r="S798" s="45"/>
      <c r="T798" s="45"/>
      <c r="U798" s="119"/>
      <c r="V798" s="47"/>
      <c r="W798" s="47"/>
      <c r="X798" s="47"/>
      <c r="Y798" s="47"/>
      <c r="Z798" s="49"/>
      <c r="AA798" s="97"/>
      <c r="AF798" s="47"/>
      <c r="AG798" s="61"/>
      <c r="AH798" s="61"/>
      <c r="AI798" s="62"/>
      <c r="AJ798" s="47"/>
      <c r="AN798" s="47"/>
      <c r="AO798" s="61"/>
      <c r="AP798" s="61"/>
      <c r="AQ798" s="63"/>
      <c r="AR798" s="64"/>
      <c r="AS798" s="61"/>
      <c r="AT798" s="61"/>
      <c r="AU798" s="62"/>
      <c r="AV798" s="64"/>
      <c r="AW798" s="108"/>
      <c r="AX798" s="108"/>
      <c r="AY798" s="47"/>
      <c r="AZ798" s="108"/>
      <c r="BA798" s="108"/>
      <c r="BB798" s="140"/>
      <c r="BF798" s="47"/>
      <c r="BL798" s="57"/>
      <c r="BO798" s="117"/>
      <c r="BX798" s="164"/>
    </row>
    <row r="799" spans="3:76" s="115" customFormat="1" x14ac:dyDescent="0.2">
      <c r="C799" s="164"/>
      <c r="M799" s="45"/>
      <c r="N799" s="45"/>
      <c r="O799" s="46"/>
      <c r="P799" s="46"/>
      <c r="Q799" s="45"/>
      <c r="R799" s="117"/>
      <c r="S799" s="45"/>
      <c r="T799" s="45"/>
      <c r="U799" s="119"/>
      <c r="V799" s="47"/>
      <c r="W799" s="47"/>
      <c r="X799" s="47"/>
      <c r="Y799" s="47"/>
      <c r="Z799" s="49"/>
      <c r="AA799" s="97"/>
      <c r="AF799" s="47"/>
      <c r="AG799" s="61"/>
      <c r="AH799" s="61"/>
      <c r="AI799" s="62"/>
      <c r="AJ799" s="47"/>
      <c r="AN799" s="47"/>
      <c r="AO799" s="61"/>
      <c r="AP799" s="61"/>
      <c r="AQ799" s="63"/>
      <c r="AR799" s="64"/>
      <c r="AS799" s="61"/>
      <c r="AT799" s="61"/>
      <c r="AU799" s="62"/>
      <c r="AV799" s="64"/>
      <c r="AW799" s="108"/>
      <c r="AX799" s="108"/>
      <c r="AY799" s="47"/>
      <c r="AZ799" s="108"/>
      <c r="BA799" s="108"/>
      <c r="BB799" s="140"/>
      <c r="BF799" s="47"/>
      <c r="BL799" s="57"/>
      <c r="BO799" s="117"/>
      <c r="BX799" s="164"/>
    </row>
    <row r="800" spans="3:76" s="115" customFormat="1" x14ac:dyDescent="0.2">
      <c r="C800" s="164"/>
      <c r="M800" s="45"/>
      <c r="N800" s="45"/>
      <c r="O800" s="46"/>
      <c r="P800" s="46"/>
      <c r="Q800" s="45"/>
      <c r="R800" s="117"/>
      <c r="S800" s="45"/>
      <c r="T800" s="45"/>
      <c r="U800" s="119"/>
      <c r="V800" s="47"/>
      <c r="W800" s="47"/>
      <c r="X800" s="47"/>
      <c r="Y800" s="47"/>
      <c r="Z800" s="49"/>
      <c r="AA800" s="97"/>
      <c r="AF800" s="47"/>
      <c r="AG800" s="61"/>
      <c r="AH800" s="61"/>
      <c r="AI800" s="62"/>
      <c r="AJ800" s="47"/>
      <c r="AN800" s="47"/>
      <c r="AO800" s="61"/>
      <c r="AP800" s="61"/>
      <c r="AQ800" s="63"/>
      <c r="AR800" s="64"/>
      <c r="AS800" s="61"/>
      <c r="AT800" s="61"/>
      <c r="AU800" s="62"/>
      <c r="AV800" s="64"/>
      <c r="AW800" s="108"/>
      <c r="AX800" s="108"/>
      <c r="AY800" s="47"/>
      <c r="AZ800" s="108"/>
      <c r="BA800" s="108"/>
      <c r="BB800" s="140"/>
      <c r="BF800" s="47"/>
      <c r="BL800" s="57"/>
      <c r="BO800" s="117"/>
      <c r="BX800" s="164"/>
    </row>
    <row r="801" spans="3:76" s="115" customFormat="1" x14ac:dyDescent="0.2">
      <c r="C801" s="164"/>
      <c r="M801" s="45"/>
      <c r="N801" s="45"/>
      <c r="O801" s="46"/>
      <c r="P801" s="46"/>
      <c r="Q801" s="45"/>
      <c r="R801" s="117"/>
      <c r="S801" s="45"/>
      <c r="T801" s="45"/>
      <c r="U801" s="119"/>
      <c r="V801" s="47"/>
      <c r="W801" s="47"/>
      <c r="X801" s="47"/>
      <c r="Y801" s="47"/>
      <c r="Z801" s="49"/>
      <c r="AA801" s="97"/>
      <c r="AF801" s="47"/>
      <c r="AG801" s="61"/>
      <c r="AH801" s="61"/>
      <c r="AI801" s="62"/>
      <c r="AJ801" s="47"/>
      <c r="AN801" s="47"/>
      <c r="AO801" s="61"/>
      <c r="AP801" s="61"/>
      <c r="AQ801" s="63"/>
      <c r="AR801" s="64"/>
      <c r="AS801" s="61"/>
      <c r="AT801" s="61"/>
      <c r="AU801" s="62"/>
      <c r="AV801" s="64"/>
      <c r="AW801" s="108"/>
      <c r="AX801" s="108"/>
      <c r="AY801" s="47"/>
      <c r="AZ801" s="108"/>
      <c r="BA801" s="108"/>
      <c r="BB801" s="140"/>
      <c r="BF801" s="47"/>
      <c r="BL801" s="57"/>
      <c r="BO801" s="117"/>
      <c r="BX801" s="164"/>
    </row>
    <row r="802" spans="3:76" s="115" customFormat="1" x14ac:dyDescent="0.2">
      <c r="C802" s="164"/>
      <c r="M802" s="45"/>
      <c r="N802" s="45"/>
      <c r="O802" s="46"/>
      <c r="P802" s="46"/>
      <c r="Q802" s="45"/>
      <c r="R802" s="117"/>
      <c r="S802" s="45"/>
      <c r="T802" s="45"/>
      <c r="U802" s="119"/>
      <c r="V802" s="47"/>
      <c r="W802" s="47"/>
      <c r="X802" s="47"/>
      <c r="Y802" s="47"/>
      <c r="Z802" s="49"/>
      <c r="AA802" s="97"/>
      <c r="AF802" s="47"/>
      <c r="AG802" s="61"/>
      <c r="AH802" s="61"/>
      <c r="AI802" s="62"/>
      <c r="AJ802" s="47"/>
      <c r="AN802" s="47"/>
      <c r="AO802" s="61"/>
      <c r="AP802" s="61"/>
      <c r="AQ802" s="63"/>
      <c r="AR802" s="64"/>
      <c r="AS802" s="61"/>
      <c r="AT802" s="61"/>
      <c r="AU802" s="62"/>
      <c r="AV802" s="64"/>
      <c r="AW802" s="108"/>
      <c r="AX802" s="108"/>
      <c r="AY802" s="47"/>
      <c r="AZ802" s="108"/>
      <c r="BA802" s="108"/>
      <c r="BB802" s="140"/>
      <c r="BF802" s="47"/>
      <c r="BL802" s="57"/>
      <c r="BO802" s="117"/>
      <c r="BX802" s="164"/>
    </row>
    <row r="803" spans="3:76" s="115" customFormat="1" x14ac:dyDescent="0.2">
      <c r="C803" s="164"/>
      <c r="M803" s="45"/>
      <c r="N803" s="45"/>
      <c r="O803" s="46"/>
      <c r="P803" s="46"/>
      <c r="Q803" s="45"/>
      <c r="R803" s="117"/>
      <c r="S803" s="45"/>
      <c r="T803" s="45"/>
      <c r="U803" s="119"/>
      <c r="V803" s="47"/>
      <c r="W803" s="47"/>
      <c r="X803" s="47"/>
      <c r="Y803" s="47"/>
      <c r="Z803" s="49"/>
      <c r="AA803" s="97"/>
      <c r="AF803" s="47"/>
      <c r="AG803" s="61"/>
      <c r="AH803" s="61"/>
      <c r="AI803" s="62"/>
      <c r="AJ803" s="47"/>
      <c r="AN803" s="47"/>
      <c r="AO803" s="61"/>
      <c r="AP803" s="61"/>
      <c r="AQ803" s="63"/>
      <c r="AR803" s="64"/>
      <c r="AS803" s="61"/>
      <c r="AT803" s="61"/>
      <c r="AU803" s="62"/>
      <c r="AV803" s="64"/>
      <c r="AW803" s="108"/>
      <c r="AX803" s="108"/>
      <c r="AY803" s="47"/>
      <c r="AZ803" s="108"/>
      <c r="BA803" s="108"/>
      <c r="BB803" s="140"/>
      <c r="BF803" s="47"/>
      <c r="BL803" s="57"/>
      <c r="BO803" s="117"/>
      <c r="BX803" s="164"/>
    </row>
    <row r="804" spans="3:76" s="115" customFormat="1" x14ac:dyDescent="0.2">
      <c r="C804" s="164"/>
      <c r="M804" s="45"/>
      <c r="N804" s="45"/>
      <c r="O804" s="46"/>
      <c r="P804" s="46"/>
      <c r="Q804" s="45"/>
      <c r="R804" s="117"/>
      <c r="S804" s="45"/>
      <c r="T804" s="45"/>
      <c r="U804" s="119"/>
      <c r="V804" s="47"/>
      <c r="W804" s="47"/>
      <c r="X804" s="47"/>
      <c r="Y804" s="47"/>
      <c r="Z804" s="49"/>
      <c r="AA804" s="97"/>
      <c r="AF804" s="47"/>
      <c r="AG804" s="61"/>
      <c r="AH804" s="61"/>
      <c r="AI804" s="62"/>
      <c r="AJ804" s="47"/>
      <c r="AN804" s="47"/>
      <c r="AO804" s="61"/>
      <c r="AP804" s="61"/>
      <c r="AQ804" s="63"/>
      <c r="AR804" s="64"/>
      <c r="AS804" s="61"/>
      <c r="AT804" s="61"/>
      <c r="AU804" s="62"/>
      <c r="AV804" s="64"/>
      <c r="AW804" s="108"/>
      <c r="AX804" s="108"/>
      <c r="AY804" s="47"/>
      <c r="AZ804" s="108"/>
      <c r="BA804" s="108"/>
      <c r="BB804" s="140"/>
      <c r="BF804" s="47"/>
      <c r="BL804" s="57"/>
      <c r="BO804" s="117"/>
      <c r="BX804" s="164"/>
    </row>
    <row r="805" spans="3:76" s="115" customFormat="1" x14ac:dyDescent="0.2">
      <c r="C805" s="164"/>
      <c r="M805" s="45"/>
      <c r="N805" s="45"/>
      <c r="O805" s="46"/>
      <c r="P805" s="46"/>
      <c r="Q805" s="45"/>
      <c r="R805" s="117"/>
      <c r="S805" s="45"/>
      <c r="T805" s="45"/>
      <c r="U805" s="119"/>
      <c r="V805" s="47"/>
      <c r="W805" s="47"/>
      <c r="X805" s="47"/>
      <c r="Y805" s="47"/>
      <c r="Z805" s="49"/>
      <c r="AA805" s="97"/>
      <c r="AF805" s="47"/>
      <c r="AG805" s="61"/>
      <c r="AH805" s="61"/>
      <c r="AI805" s="62"/>
      <c r="AJ805" s="47"/>
      <c r="AN805" s="47"/>
      <c r="AO805" s="61"/>
      <c r="AP805" s="61"/>
      <c r="AQ805" s="63"/>
      <c r="AR805" s="64"/>
      <c r="AS805" s="61"/>
      <c r="AT805" s="61"/>
      <c r="AU805" s="62"/>
      <c r="AV805" s="64"/>
      <c r="AW805" s="108"/>
      <c r="AX805" s="108"/>
      <c r="AY805" s="47"/>
      <c r="AZ805" s="108"/>
      <c r="BA805" s="108"/>
      <c r="BB805" s="140"/>
      <c r="BF805" s="47"/>
      <c r="BL805" s="57"/>
      <c r="BO805" s="117"/>
      <c r="BX805" s="164"/>
    </row>
    <row r="806" spans="3:76" s="115" customFormat="1" x14ac:dyDescent="0.2">
      <c r="C806" s="164"/>
      <c r="M806" s="45"/>
      <c r="N806" s="45"/>
      <c r="O806" s="46"/>
      <c r="P806" s="46"/>
      <c r="Q806" s="45"/>
      <c r="R806" s="117"/>
      <c r="S806" s="45"/>
      <c r="T806" s="45"/>
      <c r="U806" s="119"/>
      <c r="V806" s="47"/>
      <c r="W806" s="47"/>
      <c r="X806" s="47"/>
      <c r="Y806" s="47"/>
      <c r="Z806" s="49"/>
      <c r="AA806" s="97"/>
      <c r="AF806" s="47"/>
      <c r="AG806" s="61"/>
      <c r="AH806" s="61"/>
      <c r="AI806" s="62"/>
      <c r="AJ806" s="47"/>
      <c r="AN806" s="47"/>
      <c r="AO806" s="61"/>
      <c r="AP806" s="61"/>
      <c r="AQ806" s="63"/>
      <c r="AR806" s="64"/>
      <c r="AS806" s="61"/>
      <c r="AT806" s="61"/>
      <c r="AU806" s="62"/>
      <c r="AV806" s="64"/>
      <c r="AW806" s="108"/>
      <c r="AX806" s="108"/>
      <c r="AY806" s="47"/>
      <c r="AZ806" s="108"/>
      <c r="BA806" s="108"/>
      <c r="BB806" s="140"/>
      <c r="BF806" s="47"/>
      <c r="BL806" s="57"/>
      <c r="BO806" s="117"/>
      <c r="BX806" s="164"/>
    </row>
    <row r="807" spans="3:76" s="115" customFormat="1" x14ac:dyDescent="0.2">
      <c r="C807" s="164"/>
      <c r="M807" s="45"/>
      <c r="N807" s="45"/>
      <c r="O807" s="46"/>
      <c r="P807" s="46"/>
      <c r="Q807" s="45"/>
      <c r="R807" s="117"/>
      <c r="S807" s="45"/>
      <c r="T807" s="45"/>
      <c r="U807" s="119"/>
      <c r="V807" s="47"/>
      <c r="W807" s="47"/>
      <c r="X807" s="47"/>
      <c r="Y807" s="47"/>
      <c r="Z807" s="49"/>
      <c r="AA807" s="97"/>
      <c r="AF807" s="47"/>
      <c r="AG807" s="61"/>
      <c r="AH807" s="61"/>
      <c r="AI807" s="62"/>
      <c r="AJ807" s="47"/>
      <c r="AN807" s="47"/>
      <c r="AO807" s="61"/>
      <c r="AP807" s="61"/>
      <c r="AQ807" s="63"/>
      <c r="AR807" s="64"/>
      <c r="AS807" s="61"/>
      <c r="AT807" s="61"/>
      <c r="AU807" s="62"/>
      <c r="AV807" s="64"/>
      <c r="AW807" s="108"/>
      <c r="AX807" s="108"/>
      <c r="AY807" s="47"/>
      <c r="AZ807" s="108"/>
      <c r="BA807" s="108"/>
      <c r="BB807" s="140"/>
      <c r="BF807" s="47"/>
      <c r="BL807" s="57"/>
      <c r="BO807" s="117"/>
      <c r="BX807" s="164"/>
    </row>
    <row r="808" spans="3:76" s="115" customFormat="1" x14ac:dyDescent="0.2">
      <c r="C808" s="164"/>
      <c r="M808" s="45"/>
      <c r="N808" s="45"/>
      <c r="O808" s="46"/>
      <c r="P808" s="46"/>
      <c r="Q808" s="45"/>
      <c r="R808" s="117"/>
      <c r="S808" s="45"/>
      <c r="T808" s="45"/>
      <c r="U808" s="119"/>
      <c r="V808" s="47"/>
      <c r="W808" s="47"/>
      <c r="X808" s="47"/>
      <c r="Y808" s="47"/>
      <c r="Z808" s="49"/>
      <c r="AA808" s="97"/>
      <c r="AF808" s="47"/>
      <c r="AG808" s="61"/>
      <c r="AH808" s="61"/>
      <c r="AI808" s="62"/>
      <c r="AJ808" s="47"/>
      <c r="AN808" s="47"/>
      <c r="AO808" s="61"/>
      <c r="AP808" s="61"/>
      <c r="AQ808" s="63"/>
      <c r="AR808" s="64"/>
      <c r="AS808" s="61"/>
      <c r="AT808" s="61"/>
      <c r="AU808" s="62"/>
      <c r="AV808" s="64"/>
      <c r="AW808" s="108"/>
      <c r="AX808" s="108"/>
      <c r="AY808" s="47"/>
      <c r="AZ808" s="108"/>
      <c r="BA808" s="108"/>
      <c r="BB808" s="140"/>
      <c r="BF808" s="47"/>
      <c r="BL808" s="57"/>
      <c r="BO808" s="117"/>
      <c r="BX808" s="164"/>
    </row>
    <row r="809" spans="3:76" s="115" customFormat="1" x14ac:dyDescent="0.2">
      <c r="C809" s="164"/>
      <c r="M809" s="45"/>
      <c r="N809" s="45"/>
      <c r="O809" s="46"/>
      <c r="P809" s="46"/>
      <c r="Q809" s="45"/>
      <c r="R809" s="117"/>
      <c r="S809" s="45"/>
      <c r="T809" s="45"/>
      <c r="U809" s="119"/>
      <c r="V809" s="47"/>
      <c r="W809" s="47"/>
      <c r="X809" s="47"/>
      <c r="Y809" s="47"/>
      <c r="Z809" s="49"/>
      <c r="AA809" s="97"/>
      <c r="AF809" s="47"/>
      <c r="AG809" s="61"/>
      <c r="AH809" s="61"/>
      <c r="AI809" s="62"/>
      <c r="AJ809" s="47"/>
      <c r="AN809" s="47"/>
      <c r="AO809" s="61"/>
      <c r="AP809" s="61"/>
      <c r="AQ809" s="63"/>
      <c r="AR809" s="64"/>
      <c r="AS809" s="61"/>
      <c r="AT809" s="61"/>
      <c r="AU809" s="62"/>
      <c r="AV809" s="64"/>
      <c r="AW809" s="108"/>
      <c r="AX809" s="108"/>
      <c r="AY809" s="47"/>
      <c r="AZ809" s="108"/>
      <c r="BA809" s="108"/>
      <c r="BB809" s="140"/>
      <c r="BF809" s="47"/>
      <c r="BL809" s="57"/>
      <c r="BO809" s="117"/>
      <c r="BX809" s="164"/>
    </row>
    <row r="810" spans="3:76" s="115" customFormat="1" x14ac:dyDescent="0.2">
      <c r="C810" s="164"/>
      <c r="M810" s="45"/>
      <c r="N810" s="45"/>
      <c r="O810" s="46"/>
      <c r="P810" s="46"/>
      <c r="Q810" s="45"/>
      <c r="R810" s="117"/>
      <c r="S810" s="45"/>
      <c r="T810" s="45"/>
      <c r="U810" s="119"/>
      <c r="V810" s="47"/>
      <c r="W810" s="47"/>
      <c r="X810" s="47"/>
      <c r="Y810" s="47"/>
      <c r="Z810" s="49"/>
      <c r="AA810" s="97"/>
      <c r="AF810" s="47"/>
      <c r="AG810" s="61"/>
      <c r="AH810" s="61"/>
      <c r="AI810" s="62"/>
      <c r="AJ810" s="47"/>
      <c r="AN810" s="47"/>
      <c r="AO810" s="61"/>
      <c r="AP810" s="61"/>
      <c r="AQ810" s="63"/>
      <c r="AR810" s="64"/>
      <c r="AS810" s="61"/>
      <c r="AT810" s="61"/>
      <c r="AU810" s="62"/>
      <c r="AV810" s="64"/>
      <c r="AW810" s="108"/>
      <c r="AX810" s="108"/>
      <c r="AY810" s="47"/>
      <c r="AZ810" s="108"/>
      <c r="BA810" s="108"/>
      <c r="BB810" s="140"/>
      <c r="BF810" s="47"/>
      <c r="BL810" s="57"/>
      <c r="BO810" s="117"/>
      <c r="BX810" s="164"/>
    </row>
    <row r="811" spans="3:76" s="115" customFormat="1" x14ac:dyDescent="0.2">
      <c r="C811" s="164"/>
      <c r="M811" s="45"/>
      <c r="N811" s="45"/>
      <c r="O811" s="46"/>
      <c r="P811" s="46"/>
      <c r="Q811" s="45"/>
      <c r="R811" s="117"/>
      <c r="S811" s="45"/>
      <c r="T811" s="45"/>
      <c r="U811" s="119"/>
      <c r="V811" s="47"/>
      <c r="W811" s="47"/>
      <c r="X811" s="47"/>
      <c r="Y811" s="47"/>
      <c r="Z811" s="49"/>
      <c r="AA811" s="97"/>
      <c r="AF811" s="47"/>
      <c r="AG811" s="61"/>
      <c r="AH811" s="61"/>
      <c r="AI811" s="62"/>
      <c r="AJ811" s="47"/>
      <c r="AN811" s="47"/>
      <c r="AO811" s="61"/>
      <c r="AP811" s="61"/>
      <c r="AQ811" s="63"/>
      <c r="AR811" s="64"/>
      <c r="AS811" s="61"/>
      <c r="AT811" s="61"/>
      <c r="AU811" s="62"/>
      <c r="AV811" s="64"/>
      <c r="AW811" s="108"/>
      <c r="AX811" s="108"/>
      <c r="AY811" s="47"/>
      <c r="AZ811" s="108"/>
      <c r="BA811" s="108"/>
      <c r="BB811" s="140"/>
      <c r="BF811" s="47"/>
      <c r="BL811" s="57"/>
      <c r="BO811" s="117"/>
      <c r="BX811" s="164"/>
    </row>
    <row r="812" spans="3:76" s="115" customFormat="1" x14ac:dyDescent="0.2">
      <c r="C812" s="164"/>
      <c r="M812" s="45"/>
      <c r="N812" s="45"/>
      <c r="O812" s="46"/>
      <c r="P812" s="46"/>
      <c r="Q812" s="45"/>
      <c r="R812" s="117"/>
      <c r="S812" s="45"/>
      <c r="T812" s="45"/>
      <c r="U812" s="119"/>
      <c r="V812" s="47"/>
      <c r="W812" s="47"/>
      <c r="X812" s="47"/>
      <c r="Y812" s="47"/>
      <c r="Z812" s="49"/>
      <c r="AA812" s="97"/>
      <c r="AF812" s="47"/>
      <c r="AG812" s="61"/>
      <c r="AH812" s="61"/>
      <c r="AI812" s="62"/>
      <c r="AJ812" s="47"/>
      <c r="AN812" s="47"/>
      <c r="AO812" s="61"/>
      <c r="AP812" s="61"/>
      <c r="AQ812" s="63"/>
      <c r="AR812" s="64"/>
      <c r="AS812" s="61"/>
      <c r="AT812" s="61"/>
      <c r="AU812" s="62"/>
      <c r="AV812" s="64"/>
      <c r="AW812" s="108"/>
      <c r="AX812" s="108"/>
      <c r="AY812" s="47"/>
      <c r="AZ812" s="108"/>
      <c r="BA812" s="108"/>
      <c r="BB812" s="140"/>
      <c r="BF812" s="47"/>
      <c r="BL812" s="57"/>
      <c r="BO812" s="117"/>
      <c r="BX812" s="164"/>
    </row>
    <row r="813" spans="3:76" s="115" customFormat="1" x14ac:dyDescent="0.2">
      <c r="C813" s="164"/>
      <c r="M813" s="45"/>
      <c r="N813" s="45"/>
      <c r="O813" s="46"/>
      <c r="P813" s="46"/>
      <c r="Q813" s="45"/>
      <c r="R813" s="117"/>
      <c r="S813" s="45"/>
      <c r="T813" s="45"/>
      <c r="U813" s="119"/>
      <c r="V813" s="47"/>
      <c r="W813" s="47"/>
      <c r="X813" s="47"/>
      <c r="Y813" s="47"/>
      <c r="Z813" s="49"/>
      <c r="AA813" s="97"/>
      <c r="AF813" s="47"/>
      <c r="AG813" s="61"/>
      <c r="AH813" s="61"/>
      <c r="AI813" s="62"/>
      <c r="AJ813" s="47"/>
      <c r="AN813" s="47"/>
      <c r="AO813" s="61"/>
      <c r="AP813" s="61"/>
      <c r="AQ813" s="63"/>
      <c r="AR813" s="64"/>
      <c r="AS813" s="61"/>
      <c r="AT813" s="61"/>
      <c r="AU813" s="62"/>
      <c r="AV813" s="64"/>
      <c r="AW813" s="108"/>
      <c r="AX813" s="108"/>
      <c r="AY813" s="47"/>
      <c r="AZ813" s="108"/>
      <c r="BA813" s="108"/>
      <c r="BB813" s="140"/>
      <c r="BF813" s="47"/>
      <c r="BL813" s="57"/>
      <c r="BO813" s="117"/>
      <c r="BX813" s="164"/>
    </row>
    <row r="814" spans="3:76" s="115" customFormat="1" x14ac:dyDescent="0.2">
      <c r="C814" s="164"/>
      <c r="M814" s="45"/>
      <c r="N814" s="45"/>
      <c r="O814" s="46"/>
      <c r="P814" s="46"/>
      <c r="Q814" s="45"/>
      <c r="R814" s="117"/>
      <c r="S814" s="45"/>
      <c r="T814" s="45"/>
      <c r="U814" s="119"/>
      <c r="V814" s="47"/>
      <c r="W814" s="47"/>
      <c r="X814" s="47"/>
      <c r="Y814" s="47"/>
      <c r="Z814" s="49"/>
      <c r="AA814" s="97"/>
      <c r="AF814" s="47"/>
      <c r="AG814" s="61"/>
      <c r="AH814" s="61"/>
      <c r="AI814" s="62"/>
      <c r="AJ814" s="47"/>
      <c r="AN814" s="47"/>
      <c r="AO814" s="61"/>
      <c r="AP814" s="61"/>
      <c r="AQ814" s="63"/>
      <c r="AR814" s="64"/>
      <c r="AS814" s="61"/>
      <c r="AT814" s="61"/>
      <c r="AU814" s="62"/>
      <c r="AV814" s="64"/>
      <c r="AW814" s="108"/>
      <c r="AX814" s="108"/>
      <c r="AY814" s="47"/>
      <c r="AZ814" s="108"/>
      <c r="BA814" s="108"/>
      <c r="BB814" s="140"/>
      <c r="BF814" s="47"/>
      <c r="BL814" s="57"/>
      <c r="BO814" s="117"/>
      <c r="BX814" s="164"/>
    </row>
    <row r="815" spans="3:76" s="115" customFormat="1" x14ac:dyDescent="0.2">
      <c r="C815" s="164"/>
      <c r="M815" s="45"/>
      <c r="N815" s="45"/>
      <c r="O815" s="46"/>
      <c r="P815" s="46"/>
      <c r="Q815" s="45"/>
      <c r="R815" s="117"/>
      <c r="S815" s="45"/>
      <c r="T815" s="45"/>
      <c r="U815" s="119"/>
      <c r="V815" s="47"/>
      <c r="W815" s="47"/>
      <c r="X815" s="47"/>
      <c r="Y815" s="47"/>
      <c r="Z815" s="49"/>
      <c r="AA815" s="97"/>
      <c r="AF815" s="47"/>
      <c r="AG815" s="61"/>
      <c r="AH815" s="61"/>
      <c r="AI815" s="62"/>
      <c r="AJ815" s="47"/>
      <c r="AN815" s="47"/>
      <c r="AO815" s="61"/>
      <c r="AP815" s="61"/>
      <c r="AQ815" s="63"/>
      <c r="AR815" s="64"/>
      <c r="AS815" s="61"/>
      <c r="AT815" s="61"/>
      <c r="AU815" s="62"/>
      <c r="AV815" s="64"/>
      <c r="AW815" s="108"/>
      <c r="AX815" s="108"/>
      <c r="AY815" s="47"/>
      <c r="AZ815" s="108"/>
      <c r="BA815" s="108"/>
      <c r="BB815" s="140"/>
      <c r="BF815" s="47"/>
      <c r="BL815" s="57"/>
      <c r="BO815" s="117"/>
      <c r="BX815" s="164"/>
    </row>
    <row r="816" spans="3:76" s="115" customFormat="1" x14ac:dyDescent="0.2">
      <c r="C816" s="164"/>
      <c r="M816" s="45"/>
      <c r="N816" s="45"/>
      <c r="O816" s="46"/>
      <c r="P816" s="46"/>
      <c r="Q816" s="45"/>
      <c r="R816" s="117"/>
      <c r="S816" s="45"/>
      <c r="T816" s="45"/>
      <c r="U816" s="119"/>
      <c r="V816" s="47"/>
      <c r="W816" s="47"/>
      <c r="X816" s="47"/>
      <c r="Y816" s="47"/>
      <c r="Z816" s="49"/>
      <c r="AA816" s="97"/>
      <c r="AF816" s="47"/>
      <c r="AG816" s="61"/>
      <c r="AH816" s="61"/>
      <c r="AI816" s="62"/>
      <c r="AJ816" s="47"/>
      <c r="AN816" s="47"/>
      <c r="AO816" s="61"/>
      <c r="AP816" s="61"/>
      <c r="AQ816" s="63"/>
      <c r="AR816" s="64"/>
      <c r="AS816" s="61"/>
      <c r="AT816" s="61"/>
      <c r="AU816" s="62"/>
      <c r="AV816" s="64"/>
      <c r="AW816" s="108"/>
      <c r="AX816" s="108"/>
      <c r="AY816" s="47"/>
      <c r="AZ816" s="108"/>
      <c r="BA816" s="108"/>
      <c r="BB816" s="140"/>
      <c r="BF816" s="47"/>
      <c r="BL816" s="57"/>
      <c r="BO816" s="117"/>
      <c r="BX816" s="164"/>
    </row>
    <row r="817" spans="3:76" s="115" customFormat="1" x14ac:dyDescent="0.2">
      <c r="C817" s="164"/>
      <c r="M817" s="45"/>
      <c r="N817" s="45"/>
      <c r="O817" s="46"/>
      <c r="P817" s="46"/>
      <c r="Q817" s="45"/>
      <c r="R817" s="117"/>
      <c r="S817" s="45"/>
      <c r="T817" s="45"/>
      <c r="U817" s="119"/>
      <c r="V817" s="47"/>
      <c r="W817" s="47"/>
      <c r="X817" s="47"/>
      <c r="Y817" s="47"/>
      <c r="Z817" s="49"/>
      <c r="AA817" s="97"/>
      <c r="AF817" s="47"/>
      <c r="AG817" s="61"/>
      <c r="AH817" s="61"/>
      <c r="AI817" s="62"/>
      <c r="AJ817" s="47"/>
      <c r="AN817" s="47"/>
      <c r="AO817" s="61"/>
      <c r="AP817" s="61"/>
      <c r="AQ817" s="63"/>
      <c r="AR817" s="64"/>
      <c r="AS817" s="61"/>
      <c r="AT817" s="61"/>
      <c r="AU817" s="62"/>
      <c r="AV817" s="64"/>
      <c r="AW817" s="108"/>
      <c r="AX817" s="108"/>
      <c r="AY817" s="47"/>
      <c r="AZ817" s="108"/>
      <c r="BA817" s="108"/>
      <c r="BB817" s="140"/>
      <c r="BF817" s="47"/>
      <c r="BL817" s="57"/>
      <c r="BO817" s="117"/>
      <c r="BX817" s="164"/>
    </row>
    <row r="818" spans="3:76" s="115" customFormat="1" x14ac:dyDescent="0.2">
      <c r="C818" s="164"/>
      <c r="M818" s="45"/>
      <c r="N818" s="45"/>
      <c r="O818" s="46"/>
      <c r="P818" s="46"/>
      <c r="Q818" s="45"/>
      <c r="R818" s="117"/>
      <c r="S818" s="45"/>
      <c r="T818" s="45"/>
      <c r="U818" s="119"/>
      <c r="V818" s="47"/>
      <c r="W818" s="47"/>
      <c r="X818" s="47"/>
      <c r="Y818" s="47"/>
      <c r="Z818" s="49"/>
      <c r="AA818" s="97"/>
      <c r="AF818" s="47"/>
      <c r="AG818" s="61"/>
      <c r="AH818" s="61"/>
      <c r="AI818" s="62"/>
      <c r="AJ818" s="47"/>
      <c r="AN818" s="47"/>
      <c r="AO818" s="61"/>
      <c r="AP818" s="61"/>
      <c r="AQ818" s="63"/>
      <c r="AR818" s="64"/>
      <c r="AS818" s="61"/>
      <c r="AT818" s="61"/>
      <c r="AU818" s="62"/>
      <c r="AV818" s="64"/>
      <c r="AW818" s="108"/>
      <c r="AX818" s="108"/>
      <c r="AY818" s="47"/>
      <c r="AZ818" s="108"/>
      <c r="BA818" s="108"/>
      <c r="BB818" s="140"/>
      <c r="BF818" s="47"/>
      <c r="BL818" s="57"/>
      <c r="BO818" s="117"/>
      <c r="BX818" s="164"/>
    </row>
    <row r="819" spans="3:76" s="115" customFormat="1" x14ac:dyDescent="0.2">
      <c r="C819" s="164"/>
      <c r="M819" s="45"/>
      <c r="N819" s="45"/>
      <c r="O819" s="46"/>
      <c r="P819" s="46"/>
      <c r="Q819" s="45"/>
      <c r="R819" s="117"/>
      <c r="S819" s="45"/>
      <c r="T819" s="45"/>
      <c r="U819" s="119"/>
      <c r="V819" s="47"/>
      <c r="W819" s="47"/>
      <c r="X819" s="47"/>
      <c r="Y819" s="47"/>
      <c r="Z819" s="49"/>
      <c r="AA819" s="97"/>
      <c r="AF819" s="47"/>
      <c r="AG819" s="61"/>
      <c r="AH819" s="61"/>
      <c r="AI819" s="62"/>
      <c r="AJ819" s="47"/>
      <c r="AN819" s="47"/>
      <c r="AO819" s="61"/>
      <c r="AP819" s="61"/>
      <c r="AQ819" s="63"/>
      <c r="AR819" s="64"/>
      <c r="AS819" s="61"/>
      <c r="AT819" s="61"/>
      <c r="AU819" s="62"/>
      <c r="AV819" s="64"/>
      <c r="AW819" s="108"/>
      <c r="AX819" s="108"/>
      <c r="AY819" s="47"/>
      <c r="AZ819" s="108"/>
      <c r="BA819" s="108"/>
      <c r="BB819" s="140"/>
      <c r="BF819" s="47"/>
      <c r="BL819" s="57"/>
      <c r="BO819" s="117"/>
      <c r="BX819" s="164"/>
    </row>
    <row r="820" spans="3:76" s="115" customFormat="1" x14ac:dyDescent="0.2">
      <c r="C820" s="164"/>
      <c r="M820" s="45"/>
      <c r="N820" s="45"/>
      <c r="O820" s="46"/>
      <c r="P820" s="46"/>
      <c r="Q820" s="45"/>
      <c r="R820" s="117"/>
      <c r="S820" s="45"/>
      <c r="T820" s="45"/>
      <c r="U820" s="119"/>
      <c r="V820" s="47"/>
      <c r="W820" s="47"/>
      <c r="X820" s="47"/>
      <c r="Y820" s="47"/>
      <c r="Z820" s="49"/>
      <c r="AA820" s="97"/>
      <c r="AF820" s="47"/>
      <c r="AG820" s="61"/>
      <c r="AH820" s="61"/>
      <c r="AI820" s="62"/>
      <c r="AJ820" s="47"/>
      <c r="AN820" s="47"/>
      <c r="AO820" s="61"/>
      <c r="AP820" s="61"/>
      <c r="AQ820" s="63"/>
      <c r="AR820" s="64"/>
      <c r="AS820" s="61"/>
      <c r="AT820" s="61"/>
      <c r="AU820" s="62"/>
      <c r="AV820" s="64"/>
      <c r="AW820" s="108"/>
      <c r="AX820" s="108"/>
      <c r="AY820" s="47"/>
      <c r="AZ820" s="108"/>
      <c r="BA820" s="108"/>
      <c r="BB820" s="140"/>
      <c r="BF820" s="47"/>
      <c r="BL820" s="57"/>
      <c r="BO820" s="117"/>
      <c r="BX820" s="164"/>
    </row>
    <row r="821" spans="3:76" s="115" customFormat="1" x14ac:dyDescent="0.2">
      <c r="C821" s="164"/>
      <c r="M821" s="45"/>
      <c r="N821" s="45"/>
      <c r="O821" s="46"/>
      <c r="P821" s="46"/>
      <c r="Q821" s="45"/>
      <c r="R821" s="117"/>
      <c r="S821" s="45"/>
      <c r="T821" s="45"/>
      <c r="U821" s="119"/>
      <c r="V821" s="47"/>
      <c r="W821" s="47"/>
      <c r="X821" s="47"/>
      <c r="Y821" s="47"/>
      <c r="Z821" s="49"/>
      <c r="AA821" s="97"/>
      <c r="AF821" s="47"/>
      <c r="AG821" s="61"/>
      <c r="AH821" s="61"/>
      <c r="AI821" s="62"/>
      <c r="AJ821" s="47"/>
      <c r="AN821" s="47"/>
      <c r="AO821" s="61"/>
      <c r="AP821" s="61"/>
      <c r="AQ821" s="63"/>
      <c r="AR821" s="64"/>
      <c r="AS821" s="61"/>
      <c r="AT821" s="61"/>
      <c r="AU821" s="62"/>
      <c r="AV821" s="64"/>
      <c r="AW821" s="108"/>
      <c r="AX821" s="108"/>
      <c r="AY821" s="47"/>
      <c r="AZ821" s="108"/>
      <c r="BA821" s="108"/>
      <c r="BB821" s="140"/>
      <c r="BF821" s="47"/>
      <c r="BL821" s="57"/>
      <c r="BO821" s="117"/>
      <c r="BX821" s="164"/>
    </row>
    <row r="822" spans="3:76" s="115" customFormat="1" x14ac:dyDescent="0.2">
      <c r="C822" s="164"/>
      <c r="M822" s="45"/>
      <c r="N822" s="45"/>
      <c r="O822" s="46"/>
      <c r="P822" s="46"/>
      <c r="Q822" s="45"/>
      <c r="R822" s="117"/>
      <c r="S822" s="45"/>
      <c r="T822" s="45"/>
      <c r="U822" s="119"/>
      <c r="V822" s="47"/>
      <c r="W822" s="47"/>
      <c r="X822" s="47"/>
      <c r="Y822" s="47"/>
      <c r="Z822" s="49"/>
      <c r="AA822" s="97"/>
      <c r="AF822" s="47"/>
      <c r="AG822" s="61"/>
      <c r="AH822" s="61"/>
      <c r="AI822" s="62"/>
      <c r="AJ822" s="47"/>
      <c r="AN822" s="47"/>
      <c r="AO822" s="61"/>
      <c r="AP822" s="61"/>
      <c r="AQ822" s="63"/>
      <c r="AR822" s="64"/>
      <c r="AS822" s="61"/>
      <c r="AT822" s="61"/>
      <c r="AU822" s="62"/>
      <c r="AV822" s="64"/>
      <c r="AW822" s="108"/>
      <c r="AX822" s="108"/>
      <c r="AY822" s="47"/>
      <c r="AZ822" s="108"/>
      <c r="BA822" s="108"/>
      <c r="BB822" s="140"/>
      <c r="BF822" s="47"/>
      <c r="BL822" s="57"/>
      <c r="BO822" s="117"/>
      <c r="BX822" s="164"/>
    </row>
    <row r="823" spans="3:76" s="115" customFormat="1" x14ac:dyDescent="0.2">
      <c r="C823" s="164"/>
      <c r="M823" s="45"/>
      <c r="N823" s="45"/>
      <c r="O823" s="46"/>
      <c r="P823" s="46"/>
      <c r="Q823" s="45"/>
      <c r="R823" s="117"/>
      <c r="S823" s="45"/>
      <c r="T823" s="45"/>
      <c r="U823" s="119"/>
      <c r="V823" s="47"/>
      <c r="W823" s="47"/>
      <c r="X823" s="47"/>
      <c r="Y823" s="47"/>
      <c r="Z823" s="49"/>
      <c r="AA823" s="97"/>
      <c r="AF823" s="47"/>
      <c r="AG823" s="61"/>
      <c r="AH823" s="61"/>
      <c r="AI823" s="62"/>
      <c r="AJ823" s="47"/>
      <c r="AN823" s="47"/>
      <c r="AO823" s="61"/>
      <c r="AP823" s="61"/>
      <c r="AQ823" s="63"/>
      <c r="AR823" s="64"/>
      <c r="AS823" s="61"/>
      <c r="AT823" s="61"/>
      <c r="AU823" s="62"/>
      <c r="AV823" s="64"/>
      <c r="AW823" s="108"/>
      <c r="AX823" s="108"/>
      <c r="AY823" s="47"/>
      <c r="AZ823" s="108"/>
      <c r="BA823" s="108"/>
      <c r="BB823" s="140"/>
      <c r="BF823" s="47"/>
      <c r="BL823" s="57"/>
      <c r="BO823" s="117"/>
      <c r="BX823" s="164"/>
    </row>
    <row r="824" spans="3:76" s="115" customFormat="1" x14ac:dyDescent="0.2">
      <c r="C824" s="164"/>
      <c r="M824" s="45"/>
      <c r="N824" s="45"/>
      <c r="O824" s="46"/>
      <c r="P824" s="46"/>
      <c r="Q824" s="45"/>
      <c r="R824" s="117"/>
      <c r="S824" s="45"/>
      <c r="T824" s="45"/>
      <c r="U824" s="119"/>
      <c r="V824" s="47"/>
      <c r="W824" s="47"/>
      <c r="X824" s="47"/>
      <c r="Y824" s="47"/>
      <c r="Z824" s="49"/>
      <c r="AA824" s="97"/>
      <c r="AF824" s="47"/>
      <c r="AG824" s="61"/>
      <c r="AH824" s="61"/>
      <c r="AI824" s="62"/>
      <c r="AJ824" s="47"/>
      <c r="AN824" s="47"/>
      <c r="AO824" s="61"/>
      <c r="AP824" s="61"/>
      <c r="AQ824" s="63"/>
      <c r="AR824" s="64"/>
      <c r="AS824" s="61"/>
      <c r="AT824" s="61"/>
      <c r="AU824" s="62"/>
      <c r="AV824" s="64"/>
      <c r="AW824" s="108"/>
      <c r="AX824" s="108"/>
      <c r="AY824" s="47"/>
      <c r="AZ824" s="108"/>
      <c r="BA824" s="108"/>
      <c r="BB824" s="140"/>
      <c r="BF824" s="47"/>
      <c r="BL824" s="57"/>
      <c r="BO824" s="117"/>
      <c r="BX824" s="164"/>
    </row>
    <row r="825" spans="3:76" s="115" customFormat="1" x14ac:dyDescent="0.2">
      <c r="C825" s="164"/>
      <c r="M825" s="45"/>
      <c r="N825" s="45"/>
      <c r="O825" s="46"/>
      <c r="P825" s="46"/>
      <c r="Q825" s="45"/>
      <c r="R825" s="117"/>
      <c r="S825" s="45"/>
      <c r="T825" s="45"/>
      <c r="U825" s="119"/>
      <c r="V825" s="47"/>
      <c r="W825" s="47"/>
      <c r="X825" s="47"/>
      <c r="Y825" s="47"/>
      <c r="Z825" s="49"/>
      <c r="AA825" s="97"/>
      <c r="AF825" s="47"/>
      <c r="AG825" s="61"/>
      <c r="AH825" s="61"/>
      <c r="AI825" s="62"/>
      <c r="AJ825" s="47"/>
      <c r="AN825" s="47"/>
      <c r="AO825" s="61"/>
      <c r="AP825" s="61"/>
      <c r="AQ825" s="63"/>
      <c r="AR825" s="64"/>
      <c r="AS825" s="61"/>
      <c r="AT825" s="61"/>
      <c r="AU825" s="62"/>
      <c r="AV825" s="64"/>
      <c r="AW825" s="108"/>
      <c r="AX825" s="108"/>
      <c r="AY825" s="47"/>
      <c r="AZ825" s="108"/>
      <c r="BA825" s="108"/>
      <c r="BB825" s="140"/>
      <c r="BF825" s="47"/>
      <c r="BL825" s="57"/>
      <c r="BO825" s="117"/>
      <c r="BX825" s="164"/>
    </row>
    <row r="826" spans="3:76" s="115" customFormat="1" x14ac:dyDescent="0.2">
      <c r="C826" s="164"/>
      <c r="M826" s="45"/>
      <c r="N826" s="45"/>
      <c r="O826" s="46"/>
      <c r="P826" s="46"/>
      <c r="Q826" s="45"/>
      <c r="R826" s="117"/>
      <c r="S826" s="45"/>
      <c r="T826" s="45"/>
      <c r="U826" s="119"/>
      <c r="V826" s="47"/>
      <c r="W826" s="47"/>
      <c r="X826" s="47"/>
      <c r="Y826" s="47"/>
      <c r="Z826" s="49"/>
      <c r="AA826" s="97"/>
      <c r="AF826" s="47"/>
      <c r="AG826" s="61"/>
      <c r="AH826" s="61"/>
      <c r="AI826" s="62"/>
      <c r="AJ826" s="47"/>
      <c r="AN826" s="47"/>
      <c r="AO826" s="61"/>
      <c r="AP826" s="61"/>
      <c r="AQ826" s="63"/>
      <c r="AR826" s="64"/>
      <c r="AS826" s="61"/>
      <c r="AT826" s="61"/>
      <c r="AU826" s="62"/>
      <c r="AV826" s="64"/>
      <c r="AW826" s="108"/>
      <c r="AX826" s="108"/>
      <c r="AY826" s="47"/>
      <c r="AZ826" s="108"/>
      <c r="BA826" s="108"/>
      <c r="BB826" s="140"/>
      <c r="BF826" s="47"/>
      <c r="BL826" s="57"/>
      <c r="BO826" s="117"/>
      <c r="BX826" s="164"/>
    </row>
    <row r="827" spans="3:76" s="115" customFormat="1" x14ac:dyDescent="0.2">
      <c r="C827" s="164"/>
      <c r="M827" s="45"/>
      <c r="N827" s="45"/>
      <c r="O827" s="46"/>
      <c r="P827" s="46"/>
      <c r="Q827" s="45"/>
      <c r="R827" s="117"/>
      <c r="S827" s="45"/>
      <c r="T827" s="45"/>
      <c r="U827" s="119"/>
      <c r="V827" s="47"/>
      <c r="W827" s="47"/>
      <c r="X827" s="47"/>
      <c r="Y827" s="47"/>
      <c r="Z827" s="49"/>
      <c r="AA827" s="97"/>
      <c r="AF827" s="47"/>
      <c r="AG827" s="61"/>
      <c r="AH827" s="61"/>
      <c r="AI827" s="62"/>
      <c r="AJ827" s="47"/>
      <c r="AN827" s="47"/>
      <c r="AO827" s="61"/>
      <c r="AP827" s="61"/>
      <c r="AQ827" s="63"/>
      <c r="AR827" s="64"/>
      <c r="AS827" s="61"/>
      <c r="AT827" s="61"/>
      <c r="AU827" s="62"/>
      <c r="AV827" s="64"/>
      <c r="AW827" s="108"/>
      <c r="AX827" s="108"/>
      <c r="AY827" s="47"/>
      <c r="AZ827" s="108"/>
      <c r="BA827" s="108"/>
      <c r="BB827" s="140"/>
      <c r="BF827" s="47"/>
      <c r="BL827" s="57"/>
      <c r="BO827" s="117"/>
      <c r="BX827" s="164"/>
    </row>
    <row r="828" spans="3:76" s="115" customFormat="1" x14ac:dyDescent="0.2">
      <c r="C828" s="164"/>
      <c r="M828" s="45"/>
      <c r="N828" s="45"/>
      <c r="O828" s="46"/>
      <c r="P828" s="46"/>
      <c r="Q828" s="45"/>
      <c r="R828" s="117"/>
      <c r="S828" s="45"/>
      <c r="T828" s="45"/>
      <c r="U828" s="119"/>
      <c r="V828" s="47"/>
      <c r="W828" s="47"/>
      <c r="X828" s="47"/>
      <c r="Y828" s="47"/>
      <c r="Z828" s="49"/>
      <c r="AA828" s="97"/>
      <c r="AF828" s="47"/>
      <c r="AG828" s="61"/>
      <c r="AH828" s="61"/>
      <c r="AI828" s="62"/>
      <c r="AJ828" s="47"/>
      <c r="AN828" s="47"/>
      <c r="AO828" s="61"/>
      <c r="AP828" s="61"/>
      <c r="AQ828" s="63"/>
      <c r="AR828" s="64"/>
      <c r="AS828" s="61"/>
      <c r="AT828" s="61"/>
      <c r="AU828" s="62"/>
      <c r="AV828" s="64"/>
      <c r="AW828" s="108"/>
      <c r="AX828" s="108"/>
      <c r="AY828" s="47"/>
      <c r="AZ828" s="108"/>
      <c r="BA828" s="108"/>
      <c r="BB828" s="140"/>
      <c r="BF828" s="47"/>
      <c r="BL828" s="57"/>
      <c r="BO828" s="117"/>
      <c r="BX828" s="164"/>
    </row>
    <row r="829" spans="3:76" s="115" customFormat="1" x14ac:dyDescent="0.2">
      <c r="C829" s="164"/>
      <c r="M829" s="45"/>
      <c r="N829" s="45"/>
      <c r="O829" s="46"/>
      <c r="P829" s="46"/>
      <c r="Q829" s="45"/>
      <c r="R829" s="117"/>
      <c r="S829" s="45"/>
      <c r="T829" s="45"/>
      <c r="U829" s="119"/>
      <c r="V829" s="47"/>
      <c r="W829" s="47"/>
      <c r="X829" s="47"/>
      <c r="Y829" s="47"/>
      <c r="Z829" s="49"/>
      <c r="AA829" s="97"/>
      <c r="AF829" s="47"/>
      <c r="AG829" s="61"/>
      <c r="AH829" s="61"/>
      <c r="AI829" s="62"/>
      <c r="AJ829" s="47"/>
      <c r="AN829" s="47"/>
      <c r="AO829" s="61"/>
      <c r="AP829" s="61"/>
      <c r="AQ829" s="63"/>
      <c r="AR829" s="64"/>
      <c r="AS829" s="61"/>
      <c r="AT829" s="61"/>
      <c r="AU829" s="62"/>
      <c r="AV829" s="64"/>
      <c r="AW829" s="108"/>
      <c r="AX829" s="108"/>
      <c r="AY829" s="47"/>
      <c r="AZ829" s="108"/>
      <c r="BA829" s="108"/>
      <c r="BB829" s="140"/>
      <c r="BF829" s="47"/>
      <c r="BL829" s="57"/>
      <c r="BO829" s="117"/>
      <c r="BX829" s="164"/>
    </row>
    <row r="830" spans="3:76" s="115" customFormat="1" x14ac:dyDescent="0.2">
      <c r="C830" s="164"/>
      <c r="M830" s="45"/>
      <c r="N830" s="45"/>
      <c r="O830" s="46"/>
      <c r="P830" s="46"/>
      <c r="Q830" s="45"/>
      <c r="R830" s="117"/>
      <c r="S830" s="45"/>
      <c r="T830" s="45"/>
      <c r="U830" s="119"/>
      <c r="V830" s="47"/>
      <c r="W830" s="47"/>
      <c r="X830" s="47"/>
      <c r="Y830" s="47"/>
      <c r="Z830" s="49"/>
      <c r="AA830" s="97"/>
      <c r="AF830" s="47"/>
      <c r="AG830" s="61"/>
      <c r="AH830" s="61"/>
      <c r="AI830" s="62"/>
      <c r="AJ830" s="47"/>
      <c r="AN830" s="47"/>
      <c r="AO830" s="61"/>
      <c r="AP830" s="61"/>
      <c r="AQ830" s="63"/>
      <c r="AR830" s="64"/>
      <c r="AS830" s="61"/>
      <c r="AT830" s="61"/>
      <c r="AU830" s="62"/>
      <c r="AV830" s="64"/>
      <c r="AW830" s="108"/>
      <c r="AX830" s="108"/>
      <c r="AY830" s="47"/>
      <c r="AZ830" s="108"/>
      <c r="BA830" s="108"/>
      <c r="BB830" s="140"/>
      <c r="BF830" s="47"/>
      <c r="BL830" s="57"/>
      <c r="BO830" s="117"/>
      <c r="BX830" s="164"/>
    </row>
    <row r="831" spans="3:76" s="115" customFormat="1" x14ac:dyDescent="0.2">
      <c r="C831" s="164"/>
      <c r="M831" s="45"/>
      <c r="N831" s="45"/>
      <c r="O831" s="46"/>
      <c r="P831" s="46"/>
      <c r="Q831" s="45"/>
      <c r="R831" s="117"/>
      <c r="S831" s="45"/>
      <c r="T831" s="45"/>
      <c r="U831" s="119"/>
      <c r="V831" s="47"/>
      <c r="W831" s="47"/>
      <c r="X831" s="47"/>
      <c r="Y831" s="47"/>
      <c r="Z831" s="49"/>
      <c r="AA831" s="97"/>
      <c r="AF831" s="47"/>
      <c r="AG831" s="61"/>
      <c r="AH831" s="61"/>
      <c r="AI831" s="62"/>
      <c r="AJ831" s="47"/>
      <c r="AN831" s="47"/>
      <c r="AO831" s="61"/>
      <c r="AP831" s="61"/>
      <c r="AQ831" s="63"/>
      <c r="AR831" s="64"/>
      <c r="AS831" s="61"/>
      <c r="AT831" s="61"/>
      <c r="AU831" s="62"/>
      <c r="AV831" s="64"/>
      <c r="AW831" s="108"/>
      <c r="AX831" s="108"/>
      <c r="AY831" s="47"/>
      <c r="AZ831" s="108"/>
      <c r="BA831" s="108"/>
      <c r="BB831" s="140"/>
      <c r="BF831" s="47"/>
      <c r="BL831" s="57"/>
      <c r="BO831" s="117"/>
      <c r="BX831" s="164"/>
    </row>
    <row r="832" spans="3:76" s="115" customFormat="1" x14ac:dyDescent="0.2">
      <c r="C832" s="164"/>
      <c r="M832" s="45"/>
      <c r="N832" s="45"/>
      <c r="O832" s="46"/>
      <c r="P832" s="46"/>
      <c r="Q832" s="45"/>
      <c r="R832" s="117"/>
      <c r="S832" s="45"/>
      <c r="T832" s="45"/>
      <c r="U832" s="119"/>
      <c r="V832" s="47"/>
      <c r="W832" s="47"/>
      <c r="X832" s="47"/>
      <c r="Y832" s="47"/>
      <c r="Z832" s="49"/>
      <c r="AA832" s="97"/>
      <c r="AF832" s="47"/>
      <c r="AG832" s="61"/>
      <c r="AH832" s="61"/>
      <c r="AI832" s="62"/>
      <c r="AJ832" s="47"/>
      <c r="AN832" s="47"/>
      <c r="AO832" s="61"/>
      <c r="AP832" s="61"/>
      <c r="AQ832" s="63"/>
      <c r="AR832" s="64"/>
      <c r="AS832" s="61"/>
      <c r="AT832" s="61"/>
      <c r="AU832" s="62"/>
      <c r="AV832" s="64"/>
      <c r="AW832" s="108"/>
      <c r="AX832" s="108"/>
      <c r="AY832" s="47"/>
      <c r="AZ832" s="108"/>
      <c r="BA832" s="108"/>
      <c r="BB832" s="140"/>
      <c r="BF832" s="47"/>
      <c r="BL832" s="57"/>
      <c r="BO832" s="117"/>
      <c r="BX832" s="164"/>
    </row>
    <row r="833" spans="3:76" s="115" customFormat="1" x14ac:dyDescent="0.2">
      <c r="C833" s="164"/>
      <c r="M833" s="45"/>
      <c r="N833" s="45"/>
      <c r="O833" s="46"/>
      <c r="P833" s="46"/>
      <c r="Q833" s="45"/>
      <c r="R833" s="117"/>
      <c r="S833" s="45"/>
      <c r="T833" s="45"/>
      <c r="U833" s="119"/>
      <c r="V833" s="47"/>
      <c r="W833" s="47"/>
      <c r="X833" s="47"/>
      <c r="Y833" s="47"/>
      <c r="Z833" s="49"/>
      <c r="AA833" s="97"/>
      <c r="AF833" s="47"/>
      <c r="AG833" s="61"/>
      <c r="AH833" s="61"/>
      <c r="AI833" s="62"/>
      <c r="AJ833" s="47"/>
      <c r="AN833" s="47"/>
      <c r="AO833" s="61"/>
      <c r="AP833" s="61"/>
      <c r="AQ833" s="63"/>
      <c r="AR833" s="64"/>
      <c r="AS833" s="61"/>
      <c r="AT833" s="61"/>
      <c r="AU833" s="62"/>
      <c r="AV833" s="64"/>
      <c r="AW833" s="108"/>
      <c r="AX833" s="108"/>
      <c r="AY833" s="47"/>
      <c r="AZ833" s="108"/>
      <c r="BA833" s="108"/>
      <c r="BB833" s="140"/>
      <c r="BF833" s="47"/>
      <c r="BL833" s="57"/>
      <c r="BO833" s="117"/>
      <c r="BX833" s="164"/>
    </row>
    <row r="834" spans="3:76" s="115" customFormat="1" x14ac:dyDescent="0.2">
      <c r="C834" s="164"/>
      <c r="M834" s="45"/>
      <c r="N834" s="45"/>
      <c r="O834" s="46"/>
      <c r="P834" s="46"/>
      <c r="Q834" s="45"/>
      <c r="R834" s="117"/>
      <c r="S834" s="45"/>
      <c r="T834" s="45"/>
      <c r="U834" s="119"/>
      <c r="V834" s="47"/>
      <c r="W834" s="47"/>
      <c r="X834" s="47"/>
      <c r="Y834" s="47"/>
      <c r="Z834" s="49"/>
      <c r="AA834" s="97"/>
      <c r="AF834" s="47"/>
      <c r="AG834" s="61"/>
      <c r="AH834" s="61"/>
      <c r="AI834" s="62"/>
      <c r="AJ834" s="47"/>
      <c r="AN834" s="47"/>
      <c r="AO834" s="61"/>
      <c r="AP834" s="61"/>
      <c r="AQ834" s="63"/>
      <c r="AR834" s="64"/>
      <c r="AS834" s="61"/>
      <c r="AT834" s="61"/>
      <c r="AU834" s="62"/>
      <c r="AV834" s="64"/>
      <c r="AW834" s="108"/>
      <c r="AX834" s="108"/>
      <c r="AY834" s="47"/>
      <c r="AZ834" s="108"/>
      <c r="BA834" s="108"/>
      <c r="BB834" s="140"/>
      <c r="BF834" s="47"/>
      <c r="BL834" s="57"/>
      <c r="BO834" s="117"/>
      <c r="BX834" s="164"/>
    </row>
    <row r="835" spans="3:76" s="115" customFormat="1" x14ac:dyDescent="0.2">
      <c r="C835" s="164"/>
      <c r="M835" s="45"/>
      <c r="N835" s="45"/>
      <c r="O835" s="46"/>
      <c r="P835" s="46"/>
      <c r="Q835" s="45"/>
      <c r="R835" s="117"/>
      <c r="S835" s="45"/>
      <c r="T835" s="45"/>
      <c r="U835" s="119"/>
      <c r="V835" s="47"/>
      <c r="W835" s="47"/>
      <c r="X835" s="47"/>
      <c r="Y835" s="47"/>
      <c r="Z835" s="49"/>
      <c r="AA835" s="97"/>
      <c r="AF835" s="47"/>
      <c r="AG835" s="61"/>
      <c r="AH835" s="61"/>
      <c r="AI835" s="62"/>
      <c r="AJ835" s="47"/>
      <c r="AN835" s="47"/>
      <c r="AO835" s="61"/>
      <c r="AP835" s="61"/>
      <c r="AQ835" s="63"/>
      <c r="AR835" s="64"/>
      <c r="AS835" s="61"/>
      <c r="AT835" s="61"/>
      <c r="AU835" s="62"/>
      <c r="AV835" s="64"/>
      <c r="AW835" s="108"/>
      <c r="AX835" s="108"/>
      <c r="AY835" s="47"/>
      <c r="AZ835" s="108"/>
      <c r="BA835" s="108"/>
      <c r="BB835" s="140"/>
      <c r="BF835" s="47"/>
      <c r="BL835" s="57"/>
      <c r="BO835" s="117"/>
      <c r="BX835" s="164"/>
    </row>
    <row r="836" spans="3:76" s="115" customFormat="1" x14ac:dyDescent="0.2">
      <c r="C836" s="164"/>
      <c r="M836" s="45"/>
      <c r="N836" s="45"/>
      <c r="O836" s="46"/>
      <c r="P836" s="46"/>
      <c r="Q836" s="45"/>
      <c r="R836" s="117"/>
      <c r="S836" s="45"/>
      <c r="T836" s="45"/>
      <c r="U836" s="119"/>
      <c r="V836" s="47"/>
      <c r="W836" s="47"/>
      <c r="X836" s="47"/>
      <c r="Y836" s="47"/>
      <c r="Z836" s="49"/>
      <c r="AA836" s="97"/>
      <c r="AF836" s="47"/>
      <c r="AG836" s="61"/>
      <c r="AH836" s="61"/>
      <c r="AI836" s="62"/>
      <c r="AJ836" s="47"/>
      <c r="AN836" s="47"/>
      <c r="AO836" s="61"/>
      <c r="AP836" s="61"/>
      <c r="AQ836" s="63"/>
      <c r="AR836" s="64"/>
      <c r="AS836" s="61"/>
      <c r="AT836" s="61"/>
      <c r="AU836" s="62"/>
      <c r="AV836" s="64"/>
      <c r="AW836" s="108"/>
      <c r="AX836" s="108"/>
      <c r="AY836" s="47"/>
      <c r="AZ836" s="108"/>
      <c r="BA836" s="108"/>
      <c r="BB836" s="140"/>
      <c r="BF836" s="47"/>
      <c r="BL836" s="57"/>
      <c r="BO836" s="117"/>
      <c r="BX836" s="164"/>
    </row>
    <row r="837" spans="3:76" s="115" customFormat="1" x14ac:dyDescent="0.2">
      <c r="C837" s="164"/>
      <c r="M837" s="45"/>
      <c r="N837" s="45"/>
      <c r="O837" s="46"/>
      <c r="P837" s="46"/>
      <c r="Q837" s="45"/>
      <c r="R837" s="117"/>
      <c r="S837" s="45"/>
      <c r="T837" s="45"/>
      <c r="U837" s="119"/>
      <c r="V837" s="47"/>
      <c r="W837" s="47"/>
      <c r="X837" s="47"/>
      <c r="Y837" s="47"/>
      <c r="Z837" s="49"/>
      <c r="AA837" s="97"/>
      <c r="AF837" s="47"/>
      <c r="AG837" s="61"/>
      <c r="AH837" s="61"/>
      <c r="AI837" s="62"/>
      <c r="AJ837" s="47"/>
      <c r="AN837" s="47"/>
      <c r="AO837" s="61"/>
      <c r="AP837" s="61"/>
      <c r="AQ837" s="63"/>
      <c r="AR837" s="64"/>
      <c r="AS837" s="61"/>
      <c r="AT837" s="61"/>
      <c r="AU837" s="62"/>
      <c r="AV837" s="64"/>
      <c r="AW837" s="108"/>
      <c r="AX837" s="108"/>
      <c r="AY837" s="47"/>
      <c r="AZ837" s="108"/>
      <c r="BA837" s="108"/>
      <c r="BB837" s="140"/>
      <c r="BF837" s="47"/>
      <c r="BL837" s="57"/>
      <c r="BO837" s="117"/>
      <c r="BX837" s="164"/>
    </row>
    <row r="838" spans="3:76" s="115" customFormat="1" x14ac:dyDescent="0.2">
      <c r="C838" s="164"/>
      <c r="M838" s="45"/>
      <c r="N838" s="45"/>
      <c r="O838" s="46"/>
      <c r="P838" s="46"/>
      <c r="Q838" s="45"/>
      <c r="R838" s="117"/>
      <c r="S838" s="45"/>
      <c r="T838" s="45"/>
      <c r="U838" s="119"/>
      <c r="V838" s="47"/>
      <c r="W838" s="47"/>
      <c r="X838" s="47"/>
      <c r="Y838" s="47"/>
      <c r="Z838" s="49"/>
      <c r="AA838" s="97"/>
      <c r="AF838" s="47"/>
      <c r="AG838" s="61"/>
      <c r="AH838" s="61"/>
      <c r="AI838" s="62"/>
      <c r="AJ838" s="47"/>
      <c r="AN838" s="47"/>
      <c r="AO838" s="61"/>
      <c r="AP838" s="61"/>
      <c r="AQ838" s="63"/>
      <c r="AR838" s="64"/>
      <c r="AS838" s="61"/>
      <c r="AT838" s="61"/>
      <c r="AU838" s="62"/>
      <c r="AV838" s="64"/>
      <c r="AW838" s="108"/>
      <c r="AX838" s="108"/>
      <c r="AY838" s="47"/>
      <c r="AZ838" s="108"/>
      <c r="BA838" s="108"/>
      <c r="BB838" s="140"/>
      <c r="BF838" s="47"/>
      <c r="BL838" s="57"/>
      <c r="BO838" s="117"/>
      <c r="BX838" s="164"/>
    </row>
    <row r="839" spans="3:76" s="115" customFormat="1" x14ac:dyDescent="0.2">
      <c r="C839" s="164"/>
      <c r="M839" s="45"/>
      <c r="N839" s="45"/>
      <c r="O839" s="46"/>
      <c r="P839" s="46"/>
      <c r="Q839" s="45"/>
      <c r="R839" s="117"/>
      <c r="S839" s="45"/>
      <c r="T839" s="45"/>
      <c r="U839" s="119"/>
      <c r="V839" s="47"/>
      <c r="W839" s="47"/>
      <c r="X839" s="47"/>
      <c r="Y839" s="47"/>
      <c r="Z839" s="49"/>
      <c r="AA839" s="97"/>
      <c r="AF839" s="47"/>
      <c r="AG839" s="61"/>
      <c r="AH839" s="61"/>
      <c r="AI839" s="62"/>
      <c r="AJ839" s="47"/>
      <c r="AN839" s="47"/>
      <c r="AO839" s="61"/>
      <c r="AP839" s="61"/>
      <c r="AQ839" s="63"/>
      <c r="AR839" s="64"/>
      <c r="AS839" s="61"/>
      <c r="AT839" s="61"/>
      <c r="AU839" s="62"/>
      <c r="AV839" s="64"/>
      <c r="AW839" s="108"/>
      <c r="AX839" s="108"/>
      <c r="AY839" s="47"/>
      <c r="AZ839" s="108"/>
      <c r="BA839" s="108"/>
      <c r="BB839" s="140"/>
      <c r="BF839" s="47"/>
      <c r="BL839" s="57"/>
      <c r="BO839" s="117"/>
      <c r="BX839" s="164"/>
    </row>
    <row r="840" spans="3:76" s="115" customFormat="1" x14ac:dyDescent="0.2">
      <c r="C840" s="164"/>
      <c r="M840" s="45"/>
      <c r="N840" s="45"/>
      <c r="O840" s="46"/>
      <c r="P840" s="46"/>
      <c r="Q840" s="45"/>
      <c r="R840" s="117"/>
      <c r="S840" s="45"/>
      <c r="T840" s="45"/>
      <c r="U840" s="119"/>
      <c r="V840" s="47"/>
      <c r="W840" s="47"/>
      <c r="X840" s="47"/>
      <c r="Y840" s="47"/>
      <c r="Z840" s="49"/>
      <c r="AA840" s="97"/>
      <c r="AF840" s="47"/>
      <c r="AG840" s="61"/>
      <c r="AH840" s="61"/>
      <c r="AI840" s="62"/>
      <c r="AJ840" s="47"/>
      <c r="AN840" s="47"/>
      <c r="AO840" s="61"/>
      <c r="AP840" s="61"/>
      <c r="AQ840" s="63"/>
      <c r="AR840" s="64"/>
      <c r="AS840" s="61"/>
      <c r="AT840" s="61"/>
      <c r="AU840" s="62"/>
      <c r="AV840" s="64"/>
      <c r="AW840" s="108"/>
      <c r="AX840" s="108"/>
      <c r="AY840" s="47"/>
      <c r="AZ840" s="108"/>
      <c r="BA840" s="108"/>
      <c r="BB840" s="140"/>
      <c r="BF840" s="47"/>
      <c r="BL840" s="57"/>
      <c r="BO840" s="117"/>
      <c r="BX840" s="164"/>
    </row>
    <row r="841" spans="3:76" s="115" customFormat="1" x14ac:dyDescent="0.2">
      <c r="C841" s="164"/>
      <c r="M841" s="45"/>
      <c r="N841" s="45"/>
      <c r="O841" s="46"/>
      <c r="P841" s="46"/>
      <c r="Q841" s="45"/>
      <c r="R841" s="117"/>
      <c r="S841" s="45"/>
      <c r="T841" s="45"/>
      <c r="U841" s="119"/>
      <c r="V841" s="47"/>
      <c r="W841" s="47"/>
      <c r="X841" s="47"/>
      <c r="Y841" s="47"/>
      <c r="Z841" s="49"/>
      <c r="AA841" s="97"/>
      <c r="AF841" s="47"/>
      <c r="AG841" s="61"/>
      <c r="AH841" s="61"/>
      <c r="AI841" s="62"/>
      <c r="AJ841" s="47"/>
      <c r="AN841" s="47"/>
      <c r="AO841" s="61"/>
      <c r="AP841" s="61"/>
      <c r="AQ841" s="63"/>
      <c r="AR841" s="64"/>
      <c r="AS841" s="61"/>
      <c r="AT841" s="61"/>
      <c r="AU841" s="62"/>
      <c r="AV841" s="64"/>
      <c r="AW841" s="108"/>
      <c r="AX841" s="108"/>
      <c r="AY841" s="47"/>
      <c r="AZ841" s="108"/>
      <c r="BA841" s="108"/>
      <c r="BB841" s="140"/>
      <c r="BF841" s="47"/>
      <c r="BL841" s="57"/>
      <c r="BO841" s="117"/>
      <c r="BX841" s="164"/>
    </row>
    <row r="842" spans="3:76" s="115" customFormat="1" x14ac:dyDescent="0.2">
      <c r="C842" s="164"/>
      <c r="M842" s="45"/>
      <c r="N842" s="45"/>
      <c r="O842" s="46"/>
      <c r="P842" s="46"/>
      <c r="Q842" s="45"/>
      <c r="R842" s="117"/>
      <c r="S842" s="45"/>
      <c r="T842" s="45"/>
      <c r="U842" s="119"/>
      <c r="V842" s="47"/>
      <c r="W842" s="47"/>
      <c r="X842" s="47"/>
      <c r="Y842" s="47"/>
      <c r="Z842" s="49"/>
      <c r="AA842" s="97"/>
      <c r="AF842" s="47"/>
      <c r="AG842" s="61"/>
      <c r="AH842" s="61"/>
      <c r="AI842" s="62"/>
      <c r="AJ842" s="47"/>
      <c r="AN842" s="47"/>
      <c r="AO842" s="61"/>
      <c r="AP842" s="61"/>
      <c r="AQ842" s="63"/>
      <c r="AR842" s="64"/>
      <c r="AS842" s="61"/>
      <c r="AT842" s="61"/>
      <c r="AU842" s="62"/>
      <c r="AV842" s="64"/>
      <c r="AW842" s="108"/>
      <c r="AX842" s="108"/>
      <c r="AY842" s="47"/>
      <c r="AZ842" s="108"/>
      <c r="BA842" s="108"/>
      <c r="BB842" s="140"/>
      <c r="BF842" s="47"/>
      <c r="BL842" s="57"/>
      <c r="BO842" s="117"/>
      <c r="BX842" s="164"/>
    </row>
    <row r="843" spans="3:76" s="115" customFormat="1" x14ac:dyDescent="0.2">
      <c r="C843" s="164"/>
      <c r="M843" s="45"/>
      <c r="N843" s="45"/>
      <c r="O843" s="46"/>
      <c r="P843" s="46"/>
      <c r="Q843" s="45"/>
      <c r="R843" s="117"/>
      <c r="S843" s="45"/>
      <c r="T843" s="45"/>
      <c r="U843" s="119"/>
      <c r="V843" s="47"/>
      <c r="W843" s="47"/>
      <c r="X843" s="47"/>
      <c r="Y843" s="47"/>
      <c r="Z843" s="49"/>
      <c r="AA843" s="97"/>
      <c r="AF843" s="47"/>
      <c r="AG843" s="61"/>
      <c r="AH843" s="61"/>
      <c r="AI843" s="62"/>
      <c r="AJ843" s="47"/>
      <c r="AN843" s="47"/>
      <c r="AO843" s="61"/>
      <c r="AP843" s="61"/>
      <c r="AQ843" s="63"/>
      <c r="AR843" s="64"/>
      <c r="AS843" s="61"/>
      <c r="AT843" s="61"/>
      <c r="AU843" s="62"/>
      <c r="AV843" s="64"/>
      <c r="AW843" s="108"/>
      <c r="AX843" s="108"/>
      <c r="AY843" s="47"/>
      <c r="AZ843" s="108"/>
      <c r="BA843" s="108"/>
      <c r="BB843" s="140"/>
      <c r="BF843" s="47"/>
      <c r="BL843" s="57"/>
      <c r="BO843" s="117"/>
      <c r="BX843" s="164"/>
    </row>
    <row r="844" spans="3:76" s="115" customFormat="1" x14ac:dyDescent="0.2">
      <c r="C844" s="164"/>
      <c r="M844" s="45"/>
      <c r="N844" s="45"/>
      <c r="O844" s="46"/>
      <c r="P844" s="46"/>
      <c r="Q844" s="45"/>
      <c r="R844" s="117"/>
      <c r="S844" s="45"/>
      <c r="T844" s="45"/>
      <c r="U844" s="119"/>
      <c r="V844" s="47"/>
      <c r="W844" s="47"/>
      <c r="X844" s="47"/>
      <c r="Y844" s="47"/>
      <c r="Z844" s="49"/>
      <c r="AA844" s="97"/>
      <c r="AF844" s="47"/>
      <c r="AG844" s="61"/>
      <c r="AH844" s="61"/>
      <c r="AI844" s="62"/>
      <c r="AJ844" s="47"/>
      <c r="AN844" s="47"/>
      <c r="AO844" s="61"/>
      <c r="AP844" s="61"/>
      <c r="AQ844" s="63"/>
      <c r="AR844" s="64"/>
      <c r="AS844" s="61"/>
      <c r="AT844" s="61"/>
      <c r="AU844" s="62"/>
      <c r="AV844" s="64"/>
      <c r="AW844" s="108"/>
      <c r="AX844" s="108"/>
      <c r="AY844" s="47"/>
      <c r="AZ844" s="108"/>
      <c r="BA844" s="108"/>
      <c r="BB844" s="140"/>
      <c r="BF844" s="47"/>
      <c r="BL844" s="57"/>
      <c r="BO844" s="117"/>
      <c r="BX844" s="164"/>
    </row>
    <row r="845" spans="3:76" s="115" customFormat="1" x14ac:dyDescent="0.2">
      <c r="C845" s="164"/>
      <c r="M845" s="45"/>
      <c r="N845" s="45"/>
      <c r="O845" s="46"/>
      <c r="P845" s="46"/>
      <c r="Q845" s="45"/>
      <c r="R845" s="117"/>
      <c r="S845" s="45"/>
      <c r="T845" s="45"/>
      <c r="U845" s="119"/>
      <c r="V845" s="47"/>
      <c r="W845" s="47"/>
      <c r="X845" s="47"/>
      <c r="Y845" s="47"/>
      <c r="Z845" s="49"/>
      <c r="AA845" s="97"/>
      <c r="AF845" s="47"/>
      <c r="AG845" s="61"/>
      <c r="AH845" s="61"/>
      <c r="AI845" s="62"/>
      <c r="AJ845" s="47"/>
      <c r="AN845" s="47"/>
      <c r="AO845" s="61"/>
      <c r="AP845" s="61"/>
      <c r="AQ845" s="63"/>
      <c r="AR845" s="64"/>
      <c r="AS845" s="61"/>
      <c r="AT845" s="61"/>
      <c r="AU845" s="62"/>
      <c r="AV845" s="64"/>
      <c r="AW845" s="108"/>
      <c r="AX845" s="108"/>
      <c r="AY845" s="47"/>
      <c r="AZ845" s="108"/>
      <c r="BA845" s="108"/>
      <c r="BB845" s="140"/>
      <c r="BF845" s="47"/>
      <c r="BL845" s="57"/>
      <c r="BO845" s="117"/>
      <c r="BX845" s="164"/>
    </row>
    <row r="846" spans="3:76" s="115" customFormat="1" x14ac:dyDescent="0.2">
      <c r="C846" s="164"/>
      <c r="M846" s="45"/>
      <c r="N846" s="45"/>
      <c r="O846" s="46"/>
      <c r="P846" s="46"/>
      <c r="Q846" s="45"/>
      <c r="R846" s="117"/>
      <c r="S846" s="45"/>
      <c r="T846" s="45"/>
      <c r="U846" s="119"/>
      <c r="V846" s="47"/>
      <c r="W846" s="47"/>
      <c r="X846" s="47"/>
      <c r="Y846" s="47"/>
      <c r="Z846" s="49"/>
      <c r="AA846" s="97"/>
      <c r="AF846" s="47"/>
      <c r="AG846" s="61"/>
      <c r="AH846" s="61"/>
      <c r="AI846" s="62"/>
      <c r="AJ846" s="47"/>
      <c r="AN846" s="47"/>
      <c r="AO846" s="61"/>
      <c r="AP846" s="61"/>
      <c r="AQ846" s="63"/>
      <c r="AR846" s="64"/>
      <c r="AS846" s="61"/>
      <c r="AT846" s="61"/>
      <c r="AU846" s="62"/>
      <c r="AV846" s="64"/>
      <c r="AW846" s="108"/>
      <c r="AX846" s="108"/>
      <c r="AY846" s="47"/>
      <c r="AZ846" s="108"/>
      <c r="BA846" s="108"/>
      <c r="BB846" s="140"/>
      <c r="BF846" s="47"/>
      <c r="BL846" s="57"/>
      <c r="BO846" s="117"/>
      <c r="BX846" s="164"/>
    </row>
    <row r="847" spans="3:76" s="115" customFormat="1" x14ac:dyDescent="0.2">
      <c r="C847" s="164"/>
      <c r="M847" s="45"/>
      <c r="N847" s="45"/>
      <c r="O847" s="46"/>
      <c r="P847" s="46"/>
      <c r="Q847" s="45"/>
      <c r="R847" s="117"/>
      <c r="S847" s="45"/>
      <c r="T847" s="45"/>
      <c r="U847" s="119"/>
      <c r="V847" s="47"/>
      <c r="W847" s="47"/>
      <c r="X847" s="47"/>
      <c r="Y847" s="47"/>
      <c r="Z847" s="49"/>
      <c r="AA847" s="97"/>
      <c r="AF847" s="47"/>
      <c r="AG847" s="61"/>
      <c r="AH847" s="61"/>
      <c r="AI847" s="62"/>
      <c r="AJ847" s="47"/>
      <c r="AN847" s="47"/>
      <c r="AO847" s="61"/>
      <c r="AP847" s="61"/>
      <c r="AQ847" s="63"/>
      <c r="AR847" s="64"/>
      <c r="AS847" s="61"/>
      <c r="AT847" s="61"/>
      <c r="AU847" s="62"/>
      <c r="AV847" s="64"/>
      <c r="AW847" s="108"/>
      <c r="AX847" s="108"/>
      <c r="AY847" s="47"/>
      <c r="AZ847" s="108"/>
      <c r="BA847" s="108"/>
      <c r="BB847" s="140"/>
      <c r="BF847" s="47"/>
      <c r="BL847" s="57"/>
      <c r="BO847" s="117"/>
      <c r="BX847" s="164"/>
    </row>
    <row r="848" spans="3:76" s="115" customFormat="1" x14ac:dyDescent="0.2">
      <c r="C848" s="164"/>
      <c r="M848" s="45"/>
      <c r="N848" s="45"/>
      <c r="O848" s="46"/>
      <c r="P848" s="46"/>
      <c r="Q848" s="45"/>
      <c r="R848" s="117"/>
      <c r="S848" s="45"/>
      <c r="T848" s="45"/>
      <c r="U848" s="119"/>
      <c r="V848" s="47"/>
      <c r="W848" s="47"/>
      <c r="X848" s="47"/>
      <c r="Y848" s="47"/>
      <c r="Z848" s="49"/>
      <c r="AA848" s="97"/>
      <c r="AF848" s="47"/>
      <c r="AG848" s="61"/>
      <c r="AH848" s="61"/>
      <c r="AI848" s="62"/>
      <c r="AJ848" s="47"/>
      <c r="AN848" s="47"/>
      <c r="AO848" s="61"/>
      <c r="AP848" s="61"/>
      <c r="AQ848" s="63"/>
      <c r="AR848" s="64"/>
      <c r="AS848" s="61"/>
      <c r="AT848" s="61"/>
      <c r="AU848" s="62"/>
      <c r="AV848" s="64"/>
      <c r="AW848" s="108"/>
      <c r="AX848" s="108"/>
      <c r="AY848" s="47"/>
      <c r="AZ848" s="108"/>
      <c r="BA848" s="108"/>
      <c r="BB848" s="140"/>
      <c r="BF848" s="47"/>
      <c r="BL848" s="57"/>
      <c r="BO848" s="117"/>
      <c r="BX848" s="164"/>
    </row>
    <row r="849" spans="3:76" s="115" customFormat="1" x14ac:dyDescent="0.2">
      <c r="C849" s="164"/>
      <c r="M849" s="45"/>
      <c r="N849" s="45"/>
      <c r="O849" s="46"/>
      <c r="P849" s="46"/>
      <c r="Q849" s="45"/>
      <c r="R849" s="117"/>
      <c r="S849" s="45"/>
      <c r="T849" s="45"/>
      <c r="U849" s="119"/>
      <c r="V849" s="47"/>
      <c r="W849" s="47"/>
      <c r="X849" s="47"/>
      <c r="Y849" s="47"/>
      <c r="Z849" s="49"/>
      <c r="AA849" s="97"/>
      <c r="AF849" s="47"/>
      <c r="AG849" s="61"/>
      <c r="AH849" s="61"/>
      <c r="AI849" s="62"/>
      <c r="AJ849" s="47"/>
      <c r="AN849" s="47"/>
      <c r="AO849" s="61"/>
      <c r="AP849" s="61"/>
      <c r="AQ849" s="63"/>
      <c r="AR849" s="64"/>
      <c r="AS849" s="61"/>
      <c r="AT849" s="61"/>
      <c r="AU849" s="62"/>
      <c r="AV849" s="64"/>
      <c r="AW849" s="108"/>
      <c r="AX849" s="108"/>
      <c r="AY849" s="47"/>
      <c r="AZ849" s="108"/>
      <c r="BA849" s="108"/>
      <c r="BB849" s="140"/>
      <c r="BF849" s="47"/>
      <c r="BL849" s="57"/>
      <c r="BO849" s="117"/>
      <c r="BX849" s="164"/>
    </row>
    <row r="850" spans="3:76" s="115" customFormat="1" x14ac:dyDescent="0.2">
      <c r="C850" s="164"/>
      <c r="M850" s="45"/>
      <c r="N850" s="45"/>
      <c r="O850" s="46"/>
      <c r="P850" s="46"/>
      <c r="Q850" s="45"/>
      <c r="R850" s="117"/>
      <c r="S850" s="45"/>
      <c r="T850" s="45"/>
      <c r="U850" s="119"/>
      <c r="V850" s="47"/>
      <c r="W850" s="47"/>
      <c r="X850" s="47"/>
      <c r="Y850" s="47"/>
      <c r="Z850" s="49"/>
      <c r="AA850" s="97"/>
      <c r="AF850" s="47"/>
      <c r="AG850" s="61"/>
      <c r="AH850" s="61"/>
      <c r="AI850" s="62"/>
      <c r="AJ850" s="47"/>
      <c r="AN850" s="47"/>
      <c r="AO850" s="61"/>
      <c r="AP850" s="61"/>
      <c r="AQ850" s="63"/>
      <c r="AR850" s="64"/>
      <c r="AS850" s="61"/>
      <c r="AT850" s="61"/>
      <c r="AU850" s="62"/>
      <c r="AV850" s="64"/>
      <c r="AW850" s="108"/>
      <c r="AX850" s="108"/>
      <c r="AY850" s="47"/>
      <c r="AZ850" s="108"/>
      <c r="BA850" s="108"/>
      <c r="BB850" s="140"/>
      <c r="BF850" s="47"/>
      <c r="BL850" s="57"/>
      <c r="BO850" s="117"/>
      <c r="BX850" s="164"/>
    </row>
    <row r="851" spans="3:76" s="115" customFormat="1" x14ac:dyDescent="0.2">
      <c r="C851" s="164"/>
      <c r="M851" s="45"/>
      <c r="N851" s="45"/>
      <c r="O851" s="46"/>
      <c r="P851" s="46"/>
      <c r="Q851" s="45"/>
      <c r="R851" s="117"/>
      <c r="S851" s="45"/>
      <c r="T851" s="45"/>
      <c r="U851" s="119"/>
      <c r="V851" s="47"/>
      <c r="W851" s="47"/>
      <c r="X851" s="47"/>
      <c r="Y851" s="47"/>
      <c r="Z851" s="49"/>
      <c r="AA851" s="97"/>
      <c r="AF851" s="47"/>
      <c r="AG851" s="61"/>
      <c r="AH851" s="61"/>
      <c r="AI851" s="62"/>
      <c r="AJ851" s="47"/>
      <c r="AN851" s="47"/>
      <c r="AO851" s="61"/>
      <c r="AP851" s="61"/>
      <c r="AQ851" s="63"/>
      <c r="AR851" s="64"/>
      <c r="AS851" s="61"/>
      <c r="AT851" s="61"/>
      <c r="AU851" s="62"/>
      <c r="AV851" s="64"/>
      <c r="AW851" s="108"/>
      <c r="AX851" s="108"/>
      <c r="AY851" s="47"/>
      <c r="AZ851" s="108"/>
      <c r="BA851" s="108"/>
      <c r="BB851" s="140"/>
      <c r="BF851" s="47"/>
      <c r="BL851" s="57"/>
      <c r="BO851" s="117"/>
      <c r="BX851" s="164"/>
    </row>
    <row r="852" spans="3:76" s="115" customFormat="1" x14ac:dyDescent="0.2">
      <c r="C852" s="164"/>
      <c r="M852" s="45"/>
      <c r="N852" s="45"/>
      <c r="O852" s="46"/>
      <c r="P852" s="46"/>
      <c r="Q852" s="45"/>
      <c r="R852" s="117"/>
      <c r="S852" s="45"/>
      <c r="T852" s="45"/>
      <c r="U852" s="119"/>
      <c r="V852" s="47"/>
      <c r="W852" s="47"/>
      <c r="X852" s="47"/>
      <c r="Y852" s="47"/>
      <c r="Z852" s="49"/>
      <c r="AA852" s="97"/>
      <c r="AF852" s="47"/>
      <c r="AG852" s="61"/>
      <c r="AH852" s="61"/>
      <c r="AI852" s="62"/>
      <c r="AJ852" s="47"/>
      <c r="AN852" s="47"/>
      <c r="AO852" s="61"/>
      <c r="AP852" s="61"/>
      <c r="AQ852" s="63"/>
      <c r="AR852" s="64"/>
      <c r="AS852" s="61"/>
      <c r="AT852" s="61"/>
      <c r="AU852" s="62"/>
      <c r="AV852" s="64"/>
      <c r="AW852" s="108"/>
      <c r="AX852" s="108"/>
      <c r="AY852" s="47"/>
      <c r="AZ852" s="108"/>
      <c r="BA852" s="108"/>
      <c r="BB852" s="140"/>
      <c r="BF852" s="47"/>
      <c r="BL852" s="57"/>
      <c r="BO852" s="117"/>
      <c r="BX852" s="164"/>
    </row>
    <row r="853" spans="3:76" s="115" customFormat="1" x14ac:dyDescent="0.2">
      <c r="C853" s="164"/>
      <c r="M853" s="45"/>
      <c r="N853" s="45"/>
      <c r="O853" s="46"/>
      <c r="P853" s="46"/>
      <c r="Q853" s="45"/>
      <c r="R853" s="117"/>
      <c r="S853" s="45"/>
      <c r="T853" s="45"/>
      <c r="U853" s="119"/>
      <c r="V853" s="47"/>
      <c r="W853" s="47"/>
      <c r="X853" s="47"/>
      <c r="Y853" s="47"/>
      <c r="Z853" s="49"/>
      <c r="AA853" s="97"/>
      <c r="AF853" s="47"/>
      <c r="AG853" s="61"/>
      <c r="AH853" s="61"/>
      <c r="AI853" s="62"/>
      <c r="AJ853" s="47"/>
      <c r="AN853" s="47"/>
      <c r="AO853" s="61"/>
      <c r="AP853" s="61"/>
      <c r="AQ853" s="63"/>
      <c r="AR853" s="64"/>
      <c r="AS853" s="61"/>
      <c r="AT853" s="61"/>
      <c r="AU853" s="62"/>
      <c r="AV853" s="64"/>
      <c r="AW853" s="108"/>
      <c r="AX853" s="108"/>
      <c r="AY853" s="47"/>
      <c r="AZ853" s="108"/>
      <c r="BA853" s="108"/>
      <c r="BB853" s="140"/>
      <c r="BF853" s="47"/>
      <c r="BL853" s="57"/>
      <c r="BO853" s="117"/>
      <c r="BX853" s="164"/>
    </row>
    <row r="854" spans="3:76" s="115" customFormat="1" x14ac:dyDescent="0.2">
      <c r="C854" s="164"/>
      <c r="M854" s="45"/>
      <c r="N854" s="45"/>
      <c r="O854" s="46"/>
      <c r="P854" s="46"/>
      <c r="Q854" s="45"/>
      <c r="R854" s="117"/>
      <c r="S854" s="45"/>
      <c r="T854" s="45"/>
      <c r="U854" s="119"/>
      <c r="V854" s="47"/>
      <c r="W854" s="47"/>
      <c r="X854" s="47"/>
      <c r="Y854" s="47"/>
      <c r="Z854" s="49"/>
      <c r="AA854" s="97"/>
      <c r="AF854" s="47"/>
      <c r="AG854" s="61"/>
      <c r="AH854" s="61"/>
      <c r="AI854" s="62"/>
      <c r="AJ854" s="47"/>
      <c r="AN854" s="47"/>
      <c r="AO854" s="61"/>
      <c r="AP854" s="61"/>
      <c r="AQ854" s="63"/>
      <c r="AR854" s="64"/>
      <c r="AS854" s="61"/>
      <c r="AT854" s="61"/>
      <c r="AU854" s="62"/>
      <c r="AV854" s="64"/>
      <c r="AW854" s="108"/>
      <c r="AX854" s="108"/>
      <c r="AY854" s="47"/>
      <c r="AZ854" s="108"/>
      <c r="BA854" s="108"/>
      <c r="BB854" s="140"/>
      <c r="BF854" s="47"/>
      <c r="BL854" s="57"/>
      <c r="BO854" s="117"/>
      <c r="BX854" s="164"/>
    </row>
    <row r="855" spans="3:76" s="115" customFormat="1" x14ac:dyDescent="0.2">
      <c r="C855" s="164"/>
      <c r="M855" s="45"/>
      <c r="N855" s="45"/>
      <c r="O855" s="46"/>
      <c r="P855" s="46"/>
      <c r="Q855" s="45"/>
      <c r="R855" s="117"/>
      <c r="S855" s="45"/>
      <c r="T855" s="45"/>
      <c r="U855" s="119"/>
      <c r="V855" s="47"/>
      <c r="W855" s="47"/>
      <c r="X855" s="47"/>
      <c r="Y855" s="47"/>
      <c r="Z855" s="49"/>
      <c r="AA855" s="97"/>
      <c r="AF855" s="47"/>
      <c r="AG855" s="61"/>
      <c r="AH855" s="61"/>
      <c r="AI855" s="62"/>
      <c r="AJ855" s="47"/>
      <c r="AN855" s="47"/>
      <c r="AO855" s="61"/>
      <c r="AP855" s="61"/>
      <c r="AQ855" s="63"/>
      <c r="AR855" s="64"/>
      <c r="AS855" s="61"/>
      <c r="AT855" s="61"/>
      <c r="AU855" s="62"/>
      <c r="AV855" s="64"/>
      <c r="AW855" s="108"/>
      <c r="AX855" s="108"/>
      <c r="AY855" s="47"/>
      <c r="AZ855" s="108"/>
      <c r="BA855" s="108"/>
      <c r="BB855" s="140"/>
      <c r="BF855" s="47"/>
      <c r="BL855" s="57"/>
      <c r="BO855" s="117"/>
      <c r="BX855" s="164"/>
    </row>
    <row r="856" spans="3:76" s="115" customFormat="1" x14ac:dyDescent="0.2">
      <c r="C856" s="164"/>
      <c r="M856" s="45"/>
      <c r="N856" s="45"/>
      <c r="O856" s="46"/>
      <c r="P856" s="46"/>
      <c r="Q856" s="45"/>
      <c r="R856" s="117"/>
      <c r="S856" s="45"/>
      <c r="T856" s="45"/>
      <c r="U856" s="119"/>
      <c r="V856" s="47"/>
      <c r="W856" s="47"/>
      <c r="X856" s="47"/>
      <c r="Y856" s="47"/>
      <c r="Z856" s="49"/>
      <c r="AA856" s="97"/>
      <c r="AF856" s="47"/>
      <c r="AG856" s="61"/>
      <c r="AH856" s="61"/>
      <c r="AI856" s="62"/>
      <c r="AJ856" s="47"/>
      <c r="AN856" s="47"/>
      <c r="AO856" s="61"/>
      <c r="AP856" s="61"/>
      <c r="AQ856" s="63"/>
      <c r="AR856" s="64"/>
      <c r="AS856" s="61"/>
      <c r="AT856" s="61"/>
      <c r="AU856" s="62"/>
      <c r="AV856" s="64"/>
      <c r="AW856" s="108"/>
      <c r="AX856" s="108"/>
      <c r="AY856" s="47"/>
      <c r="AZ856" s="108"/>
      <c r="BA856" s="108"/>
      <c r="BB856" s="140"/>
      <c r="BF856" s="47"/>
      <c r="BL856" s="57"/>
      <c r="BO856" s="117"/>
      <c r="BX856" s="164"/>
    </row>
    <row r="857" spans="3:76" s="115" customFormat="1" x14ac:dyDescent="0.2">
      <c r="C857" s="164"/>
      <c r="M857" s="45"/>
      <c r="N857" s="45"/>
      <c r="O857" s="46"/>
      <c r="P857" s="46"/>
      <c r="Q857" s="45"/>
      <c r="R857" s="117"/>
      <c r="S857" s="45"/>
      <c r="T857" s="45"/>
      <c r="U857" s="119"/>
      <c r="V857" s="47"/>
      <c r="W857" s="47"/>
      <c r="X857" s="47"/>
      <c r="Y857" s="47"/>
      <c r="Z857" s="49"/>
      <c r="AA857" s="97"/>
      <c r="AF857" s="47"/>
      <c r="AG857" s="61"/>
      <c r="AH857" s="61"/>
      <c r="AI857" s="62"/>
      <c r="AJ857" s="47"/>
      <c r="AN857" s="47"/>
      <c r="AO857" s="61"/>
      <c r="AP857" s="61"/>
      <c r="AQ857" s="63"/>
      <c r="AR857" s="64"/>
      <c r="AS857" s="61"/>
      <c r="AT857" s="61"/>
      <c r="AU857" s="62"/>
      <c r="AV857" s="64"/>
      <c r="AW857" s="108"/>
      <c r="AX857" s="108"/>
      <c r="AY857" s="47"/>
      <c r="AZ857" s="108"/>
      <c r="BA857" s="108"/>
      <c r="BB857" s="140"/>
      <c r="BF857" s="47"/>
      <c r="BL857" s="57"/>
      <c r="BO857" s="117"/>
      <c r="BX857" s="164"/>
    </row>
    <row r="858" spans="3:76" s="115" customFormat="1" x14ac:dyDescent="0.2">
      <c r="C858" s="164"/>
      <c r="M858" s="45"/>
      <c r="N858" s="45"/>
      <c r="O858" s="46"/>
      <c r="P858" s="46"/>
      <c r="Q858" s="45"/>
      <c r="R858" s="117"/>
      <c r="S858" s="45"/>
      <c r="T858" s="45"/>
      <c r="U858" s="119"/>
      <c r="V858" s="47"/>
      <c r="W858" s="47"/>
      <c r="X858" s="47"/>
      <c r="Y858" s="47"/>
      <c r="Z858" s="49"/>
      <c r="AA858" s="97"/>
      <c r="AF858" s="47"/>
      <c r="AG858" s="61"/>
      <c r="AH858" s="61"/>
      <c r="AI858" s="62"/>
      <c r="AJ858" s="47"/>
      <c r="AN858" s="47"/>
      <c r="AO858" s="61"/>
      <c r="AP858" s="61"/>
      <c r="AQ858" s="63"/>
      <c r="AR858" s="64"/>
      <c r="AS858" s="61"/>
      <c r="AT858" s="61"/>
      <c r="AU858" s="62"/>
      <c r="AV858" s="64"/>
      <c r="AW858" s="108"/>
      <c r="AX858" s="108"/>
      <c r="AY858" s="47"/>
      <c r="AZ858" s="108"/>
      <c r="BA858" s="108"/>
      <c r="BB858" s="140"/>
      <c r="BF858" s="47"/>
      <c r="BL858" s="57"/>
      <c r="BO858" s="117"/>
      <c r="BX858" s="164"/>
    </row>
    <row r="859" spans="3:76" s="115" customFormat="1" x14ac:dyDescent="0.2">
      <c r="C859" s="164"/>
      <c r="M859" s="45"/>
      <c r="N859" s="45"/>
      <c r="O859" s="46"/>
      <c r="P859" s="46"/>
      <c r="Q859" s="45"/>
      <c r="R859" s="117"/>
      <c r="S859" s="45"/>
      <c r="T859" s="45"/>
      <c r="U859" s="119"/>
      <c r="V859" s="47"/>
      <c r="W859" s="47"/>
      <c r="X859" s="47"/>
      <c r="Y859" s="47"/>
      <c r="Z859" s="49"/>
      <c r="AA859" s="97"/>
      <c r="AF859" s="47"/>
      <c r="AG859" s="61"/>
      <c r="AH859" s="61"/>
      <c r="AI859" s="62"/>
      <c r="AJ859" s="47"/>
      <c r="AN859" s="47"/>
      <c r="AO859" s="61"/>
      <c r="AP859" s="61"/>
      <c r="AQ859" s="63"/>
      <c r="AR859" s="64"/>
      <c r="AS859" s="61"/>
      <c r="AT859" s="61"/>
      <c r="AU859" s="62"/>
      <c r="AV859" s="64"/>
      <c r="AW859" s="108"/>
      <c r="AX859" s="108"/>
      <c r="AY859" s="47"/>
      <c r="AZ859" s="108"/>
      <c r="BA859" s="108"/>
      <c r="BB859" s="140"/>
      <c r="BF859" s="47"/>
      <c r="BL859" s="57"/>
      <c r="BO859" s="117"/>
      <c r="BX859" s="164"/>
    </row>
    <row r="860" spans="3:76" s="115" customFormat="1" x14ac:dyDescent="0.2">
      <c r="C860" s="164"/>
      <c r="M860" s="45"/>
      <c r="N860" s="45"/>
      <c r="O860" s="46"/>
      <c r="P860" s="46"/>
      <c r="Q860" s="45"/>
      <c r="R860" s="117"/>
      <c r="S860" s="45"/>
      <c r="T860" s="45"/>
      <c r="U860" s="119"/>
      <c r="V860" s="47"/>
      <c r="W860" s="47"/>
      <c r="X860" s="47"/>
      <c r="Y860" s="47"/>
      <c r="Z860" s="49"/>
      <c r="AA860" s="97"/>
      <c r="AF860" s="47"/>
      <c r="AG860" s="61"/>
      <c r="AH860" s="61"/>
      <c r="AI860" s="62"/>
      <c r="AJ860" s="47"/>
      <c r="AN860" s="47"/>
      <c r="AO860" s="61"/>
      <c r="AP860" s="61"/>
      <c r="AQ860" s="63"/>
      <c r="AR860" s="64"/>
      <c r="AS860" s="61"/>
      <c r="AT860" s="61"/>
      <c r="AU860" s="62"/>
      <c r="AV860" s="64"/>
      <c r="AW860" s="108"/>
      <c r="AX860" s="108"/>
      <c r="AY860" s="47"/>
      <c r="AZ860" s="108"/>
      <c r="BA860" s="108"/>
      <c r="BB860" s="140"/>
      <c r="BF860" s="47"/>
      <c r="BL860" s="57"/>
      <c r="BO860" s="117"/>
      <c r="BX860" s="164"/>
    </row>
    <row r="861" spans="3:76" s="115" customFormat="1" x14ac:dyDescent="0.2">
      <c r="C861" s="164"/>
      <c r="M861" s="45"/>
      <c r="N861" s="45"/>
      <c r="O861" s="46"/>
      <c r="P861" s="46"/>
      <c r="Q861" s="45"/>
      <c r="R861" s="117"/>
      <c r="S861" s="45"/>
      <c r="T861" s="45"/>
      <c r="U861" s="119"/>
      <c r="V861" s="47"/>
      <c r="W861" s="47"/>
      <c r="X861" s="47"/>
      <c r="Y861" s="47"/>
      <c r="Z861" s="49"/>
      <c r="AA861" s="97"/>
      <c r="AF861" s="47"/>
      <c r="AG861" s="61"/>
      <c r="AH861" s="61"/>
      <c r="AI861" s="62"/>
      <c r="AJ861" s="47"/>
      <c r="AN861" s="47"/>
      <c r="AO861" s="61"/>
      <c r="AP861" s="61"/>
      <c r="AQ861" s="63"/>
      <c r="AR861" s="64"/>
      <c r="AS861" s="61"/>
      <c r="AT861" s="61"/>
      <c r="AU861" s="62"/>
      <c r="AV861" s="64"/>
      <c r="AW861" s="108"/>
      <c r="AX861" s="108"/>
      <c r="AY861" s="47"/>
      <c r="AZ861" s="108"/>
      <c r="BA861" s="108"/>
      <c r="BB861" s="140"/>
      <c r="BF861" s="47"/>
      <c r="BL861" s="57"/>
      <c r="BO861" s="117"/>
      <c r="BX861" s="164"/>
    </row>
    <row r="862" spans="3:76" s="115" customFormat="1" x14ac:dyDescent="0.2">
      <c r="C862" s="164"/>
      <c r="M862" s="45"/>
      <c r="N862" s="45"/>
      <c r="O862" s="46"/>
      <c r="P862" s="46"/>
      <c r="Q862" s="45"/>
      <c r="R862" s="117"/>
      <c r="S862" s="45"/>
      <c r="T862" s="45"/>
      <c r="U862" s="119"/>
      <c r="V862" s="47"/>
      <c r="W862" s="47"/>
      <c r="X862" s="47"/>
      <c r="Y862" s="47"/>
      <c r="Z862" s="49"/>
      <c r="AA862" s="97"/>
      <c r="AF862" s="47"/>
      <c r="AG862" s="61"/>
      <c r="AH862" s="61"/>
      <c r="AI862" s="62"/>
      <c r="AJ862" s="47"/>
      <c r="AN862" s="47"/>
      <c r="AO862" s="61"/>
      <c r="AP862" s="61"/>
      <c r="AQ862" s="63"/>
      <c r="AR862" s="64"/>
      <c r="AS862" s="61"/>
      <c r="AT862" s="61"/>
      <c r="AU862" s="62"/>
      <c r="AV862" s="64"/>
      <c r="AW862" s="108"/>
      <c r="AX862" s="108"/>
      <c r="AY862" s="47"/>
      <c r="AZ862" s="108"/>
      <c r="BA862" s="108"/>
      <c r="BB862" s="140"/>
      <c r="BF862" s="47"/>
      <c r="BL862" s="57"/>
      <c r="BO862" s="117"/>
      <c r="BX862" s="164"/>
    </row>
    <row r="863" spans="3:76" s="115" customFormat="1" x14ac:dyDescent="0.2">
      <c r="C863" s="164"/>
      <c r="M863" s="45"/>
      <c r="N863" s="45"/>
      <c r="O863" s="46"/>
      <c r="P863" s="46"/>
      <c r="Q863" s="45"/>
      <c r="R863" s="117"/>
      <c r="S863" s="45"/>
      <c r="T863" s="45"/>
      <c r="U863" s="119"/>
      <c r="V863" s="47"/>
      <c r="W863" s="47"/>
      <c r="X863" s="47"/>
      <c r="Y863" s="47"/>
      <c r="Z863" s="49"/>
      <c r="AA863" s="97"/>
      <c r="AF863" s="47"/>
      <c r="AG863" s="61"/>
      <c r="AH863" s="61"/>
      <c r="AI863" s="62"/>
      <c r="AJ863" s="47"/>
      <c r="AN863" s="47"/>
      <c r="AO863" s="61"/>
      <c r="AP863" s="61"/>
      <c r="AQ863" s="63"/>
      <c r="AR863" s="64"/>
      <c r="AS863" s="61"/>
      <c r="AT863" s="61"/>
      <c r="AU863" s="62"/>
      <c r="AV863" s="64"/>
      <c r="AW863" s="108"/>
      <c r="AX863" s="108"/>
      <c r="AY863" s="47"/>
      <c r="AZ863" s="108"/>
      <c r="BA863" s="108"/>
      <c r="BB863" s="140"/>
      <c r="BF863" s="47"/>
      <c r="BL863" s="57"/>
      <c r="BO863" s="117"/>
      <c r="BX863" s="164"/>
    </row>
    <row r="864" spans="3:76" s="115" customFormat="1" x14ac:dyDescent="0.2">
      <c r="C864" s="164"/>
      <c r="M864" s="45"/>
      <c r="N864" s="45"/>
      <c r="O864" s="46"/>
      <c r="P864" s="46"/>
      <c r="Q864" s="45"/>
      <c r="R864" s="117"/>
      <c r="S864" s="45"/>
      <c r="T864" s="45"/>
      <c r="U864" s="119"/>
      <c r="V864" s="47"/>
      <c r="W864" s="47"/>
      <c r="X864" s="47"/>
      <c r="Y864" s="47"/>
      <c r="Z864" s="49"/>
      <c r="AA864" s="97"/>
      <c r="AF864" s="47"/>
      <c r="AG864" s="61"/>
      <c r="AH864" s="61"/>
      <c r="AI864" s="62"/>
      <c r="AJ864" s="47"/>
      <c r="AN864" s="47"/>
      <c r="AO864" s="61"/>
      <c r="AP864" s="61"/>
      <c r="AQ864" s="63"/>
      <c r="AR864" s="64"/>
      <c r="AS864" s="61"/>
      <c r="AT864" s="61"/>
      <c r="AU864" s="62"/>
      <c r="AV864" s="64"/>
      <c r="AW864" s="108"/>
      <c r="AX864" s="108"/>
      <c r="AY864" s="47"/>
      <c r="AZ864" s="108"/>
      <c r="BA864" s="108"/>
      <c r="BB864" s="140"/>
      <c r="BF864" s="47"/>
      <c r="BL864" s="57"/>
      <c r="BO864" s="117"/>
      <c r="BX864" s="164"/>
    </row>
    <row r="865" spans="3:76" s="115" customFormat="1" x14ac:dyDescent="0.2">
      <c r="C865" s="164"/>
      <c r="M865" s="45"/>
      <c r="N865" s="45"/>
      <c r="O865" s="46"/>
      <c r="P865" s="46"/>
      <c r="Q865" s="45"/>
      <c r="R865" s="117"/>
      <c r="S865" s="45"/>
      <c r="T865" s="45"/>
      <c r="U865" s="119"/>
      <c r="V865" s="47"/>
      <c r="W865" s="47"/>
      <c r="X865" s="47"/>
      <c r="Y865" s="47"/>
      <c r="Z865" s="49"/>
      <c r="AA865" s="97"/>
      <c r="AF865" s="47"/>
      <c r="AG865" s="61"/>
      <c r="AH865" s="61"/>
      <c r="AI865" s="62"/>
      <c r="AJ865" s="47"/>
      <c r="AN865" s="47"/>
      <c r="AO865" s="61"/>
      <c r="AP865" s="61"/>
      <c r="AQ865" s="63"/>
      <c r="AR865" s="64"/>
      <c r="AS865" s="61"/>
      <c r="AT865" s="61"/>
      <c r="AU865" s="62"/>
      <c r="AV865" s="64"/>
      <c r="AW865" s="108"/>
      <c r="AX865" s="108"/>
      <c r="AY865" s="47"/>
      <c r="AZ865" s="108"/>
      <c r="BA865" s="108"/>
      <c r="BB865" s="140"/>
      <c r="BF865" s="47"/>
      <c r="BL865" s="57"/>
      <c r="BO865" s="117"/>
      <c r="BX865" s="164"/>
    </row>
    <row r="866" spans="3:76" s="115" customFormat="1" x14ac:dyDescent="0.2">
      <c r="C866" s="164"/>
      <c r="M866" s="45"/>
      <c r="N866" s="45"/>
      <c r="O866" s="46"/>
      <c r="P866" s="46"/>
      <c r="Q866" s="45"/>
      <c r="R866" s="117"/>
      <c r="S866" s="45"/>
      <c r="T866" s="45"/>
      <c r="U866" s="119"/>
      <c r="V866" s="47"/>
      <c r="W866" s="47"/>
      <c r="X866" s="47"/>
      <c r="Y866" s="47"/>
      <c r="Z866" s="49"/>
      <c r="AA866" s="97"/>
      <c r="AF866" s="47"/>
      <c r="AG866" s="61"/>
      <c r="AH866" s="61"/>
      <c r="AI866" s="62"/>
      <c r="AJ866" s="47"/>
      <c r="AN866" s="47"/>
      <c r="AO866" s="61"/>
      <c r="AP866" s="61"/>
      <c r="AQ866" s="63"/>
      <c r="AR866" s="64"/>
      <c r="AS866" s="61"/>
      <c r="AT866" s="61"/>
      <c r="AU866" s="62"/>
      <c r="AV866" s="64"/>
      <c r="AW866" s="108"/>
      <c r="AX866" s="108"/>
      <c r="AY866" s="47"/>
      <c r="AZ866" s="108"/>
      <c r="BA866" s="108"/>
      <c r="BB866" s="140"/>
      <c r="BF866" s="47"/>
      <c r="BL866" s="57"/>
      <c r="BO866" s="117"/>
      <c r="BX866" s="164"/>
    </row>
    <row r="867" spans="3:76" s="115" customFormat="1" x14ac:dyDescent="0.2">
      <c r="C867" s="164"/>
      <c r="M867" s="45"/>
      <c r="N867" s="45"/>
      <c r="O867" s="46"/>
      <c r="P867" s="46"/>
      <c r="Q867" s="45"/>
      <c r="R867" s="117"/>
      <c r="S867" s="45"/>
      <c r="T867" s="45"/>
      <c r="U867" s="119"/>
      <c r="V867" s="47"/>
      <c r="W867" s="47"/>
      <c r="X867" s="47"/>
      <c r="Y867" s="47"/>
      <c r="Z867" s="49"/>
      <c r="AA867" s="97"/>
      <c r="AF867" s="47"/>
      <c r="AG867" s="61"/>
      <c r="AH867" s="61"/>
      <c r="AI867" s="62"/>
      <c r="AJ867" s="47"/>
      <c r="AN867" s="47"/>
      <c r="AO867" s="61"/>
      <c r="AP867" s="61"/>
      <c r="AQ867" s="63"/>
      <c r="AR867" s="64"/>
      <c r="AS867" s="61"/>
      <c r="AT867" s="61"/>
      <c r="AU867" s="62"/>
      <c r="AV867" s="64"/>
      <c r="AW867" s="108"/>
      <c r="AX867" s="108"/>
      <c r="AY867" s="47"/>
      <c r="AZ867" s="108"/>
      <c r="BA867" s="108"/>
      <c r="BB867" s="140"/>
      <c r="BF867" s="47"/>
      <c r="BL867" s="57"/>
      <c r="BO867" s="117"/>
      <c r="BX867" s="164"/>
    </row>
    <row r="868" spans="3:76" s="115" customFormat="1" x14ac:dyDescent="0.2">
      <c r="C868" s="164"/>
      <c r="M868" s="45"/>
      <c r="N868" s="45"/>
      <c r="O868" s="46"/>
      <c r="P868" s="46"/>
      <c r="Q868" s="45"/>
      <c r="R868" s="117"/>
      <c r="S868" s="45"/>
      <c r="T868" s="45"/>
      <c r="U868" s="119"/>
      <c r="V868" s="47"/>
      <c r="W868" s="47"/>
      <c r="X868" s="47"/>
      <c r="Y868" s="47"/>
      <c r="Z868" s="49"/>
      <c r="AA868" s="97"/>
      <c r="AF868" s="47"/>
      <c r="AG868" s="61"/>
      <c r="AH868" s="61"/>
      <c r="AI868" s="62"/>
      <c r="AJ868" s="47"/>
      <c r="AN868" s="47"/>
      <c r="AO868" s="61"/>
      <c r="AP868" s="61"/>
      <c r="AQ868" s="63"/>
      <c r="AR868" s="64"/>
      <c r="AS868" s="61"/>
      <c r="AT868" s="61"/>
      <c r="AU868" s="62"/>
      <c r="AV868" s="64"/>
      <c r="AW868" s="108"/>
      <c r="AX868" s="108"/>
      <c r="AY868" s="47"/>
      <c r="AZ868" s="108"/>
      <c r="BA868" s="108"/>
      <c r="BB868" s="140"/>
      <c r="BF868" s="47"/>
      <c r="BL868" s="57"/>
      <c r="BO868" s="117"/>
      <c r="BX868" s="164"/>
    </row>
    <row r="869" spans="3:76" s="115" customFormat="1" x14ac:dyDescent="0.2">
      <c r="C869" s="164"/>
      <c r="M869" s="45"/>
      <c r="N869" s="45"/>
      <c r="O869" s="46"/>
      <c r="P869" s="46"/>
      <c r="Q869" s="45"/>
      <c r="R869" s="117"/>
      <c r="S869" s="45"/>
      <c r="T869" s="45"/>
      <c r="U869" s="119"/>
      <c r="V869" s="47"/>
      <c r="W869" s="47"/>
      <c r="X869" s="47"/>
      <c r="Y869" s="47"/>
      <c r="Z869" s="49"/>
      <c r="AA869" s="97"/>
      <c r="AF869" s="47"/>
      <c r="AG869" s="61"/>
      <c r="AH869" s="61"/>
      <c r="AI869" s="62"/>
      <c r="AJ869" s="47"/>
      <c r="AN869" s="47"/>
      <c r="AO869" s="61"/>
      <c r="AP869" s="61"/>
      <c r="AQ869" s="63"/>
      <c r="AR869" s="64"/>
      <c r="AS869" s="61"/>
      <c r="AT869" s="61"/>
      <c r="AU869" s="62"/>
      <c r="AV869" s="64"/>
      <c r="AW869" s="108"/>
      <c r="AX869" s="108"/>
      <c r="AY869" s="47"/>
      <c r="AZ869" s="108"/>
      <c r="BA869" s="108"/>
      <c r="BB869" s="140"/>
      <c r="BF869" s="47"/>
      <c r="BL869" s="57"/>
      <c r="BO869" s="117"/>
      <c r="BX869" s="164"/>
    </row>
    <row r="870" spans="3:76" s="115" customFormat="1" x14ac:dyDescent="0.2">
      <c r="C870" s="164"/>
      <c r="M870" s="45"/>
      <c r="N870" s="45"/>
      <c r="O870" s="46"/>
      <c r="P870" s="46"/>
      <c r="Q870" s="45"/>
      <c r="R870" s="117"/>
      <c r="S870" s="45"/>
      <c r="T870" s="45"/>
      <c r="U870" s="119"/>
      <c r="V870" s="47"/>
      <c r="W870" s="47"/>
      <c r="X870" s="47"/>
      <c r="Y870" s="47"/>
      <c r="Z870" s="49"/>
      <c r="AA870" s="97"/>
      <c r="AF870" s="47"/>
      <c r="AG870" s="61"/>
      <c r="AH870" s="61"/>
      <c r="AI870" s="62"/>
      <c r="AJ870" s="47"/>
      <c r="AN870" s="47"/>
      <c r="AO870" s="61"/>
      <c r="AP870" s="61"/>
      <c r="AQ870" s="63"/>
      <c r="AR870" s="64"/>
      <c r="AS870" s="61"/>
      <c r="AT870" s="61"/>
      <c r="AU870" s="62"/>
      <c r="AV870" s="64"/>
      <c r="AW870" s="108"/>
      <c r="AX870" s="108"/>
      <c r="AY870" s="47"/>
      <c r="AZ870" s="108"/>
      <c r="BA870" s="108"/>
      <c r="BB870" s="140"/>
      <c r="BF870" s="47"/>
      <c r="BL870" s="57"/>
      <c r="BO870" s="117"/>
      <c r="BX870" s="164"/>
    </row>
    <row r="871" spans="3:76" s="115" customFormat="1" x14ac:dyDescent="0.2">
      <c r="C871" s="164"/>
      <c r="M871" s="45"/>
      <c r="N871" s="45"/>
      <c r="O871" s="46"/>
      <c r="P871" s="46"/>
      <c r="Q871" s="45"/>
      <c r="R871" s="117"/>
      <c r="S871" s="45"/>
      <c r="T871" s="45"/>
      <c r="U871" s="119"/>
      <c r="V871" s="47"/>
      <c r="W871" s="47"/>
      <c r="X871" s="47"/>
      <c r="Y871" s="47"/>
      <c r="Z871" s="49"/>
      <c r="AA871" s="97"/>
      <c r="AF871" s="47"/>
      <c r="AG871" s="61"/>
      <c r="AH871" s="61"/>
      <c r="AI871" s="62"/>
      <c r="AJ871" s="47"/>
      <c r="AN871" s="47"/>
      <c r="AO871" s="61"/>
      <c r="AP871" s="61"/>
      <c r="AQ871" s="63"/>
      <c r="AR871" s="64"/>
      <c r="AS871" s="61"/>
      <c r="AT871" s="61"/>
      <c r="AU871" s="62"/>
      <c r="AV871" s="64"/>
      <c r="AW871" s="108"/>
      <c r="AX871" s="108"/>
      <c r="AY871" s="47"/>
      <c r="AZ871" s="108"/>
      <c r="BA871" s="108"/>
      <c r="BB871" s="140"/>
      <c r="BF871" s="47"/>
      <c r="BL871" s="57"/>
      <c r="BO871" s="117"/>
      <c r="BX871" s="164"/>
    </row>
    <row r="872" spans="3:76" s="115" customFormat="1" x14ac:dyDescent="0.2">
      <c r="C872" s="164"/>
      <c r="M872" s="45"/>
      <c r="N872" s="45"/>
      <c r="O872" s="46"/>
      <c r="P872" s="46"/>
      <c r="Q872" s="45"/>
      <c r="R872" s="117"/>
      <c r="S872" s="45"/>
      <c r="T872" s="45"/>
      <c r="U872" s="119"/>
      <c r="V872" s="47"/>
      <c r="W872" s="47"/>
      <c r="X872" s="47"/>
      <c r="Y872" s="47"/>
      <c r="Z872" s="49"/>
      <c r="AA872" s="97"/>
      <c r="AF872" s="47"/>
      <c r="AG872" s="61"/>
      <c r="AH872" s="61"/>
      <c r="AI872" s="62"/>
      <c r="AJ872" s="47"/>
      <c r="AN872" s="47"/>
      <c r="AO872" s="61"/>
      <c r="AP872" s="61"/>
      <c r="AQ872" s="63"/>
      <c r="AR872" s="64"/>
      <c r="AS872" s="61"/>
      <c r="AT872" s="61"/>
      <c r="AU872" s="62"/>
      <c r="AV872" s="64"/>
      <c r="AW872" s="108"/>
      <c r="AX872" s="108"/>
      <c r="AY872" s="47"/>
      <c r="AZ872" s="108"/>
      <c r="BA872" s="108"/>
      <c r="BB872" s="140"/>
      <c r="BF872" s="47"/>
      <c r="BL872" s="57"/>
      <c r="BO872" s="117"/>
      <c r="BX872" s="164"/>
    </row>
    <row r="873" spans="3:76" s="115" customFormat="1" x14ac:dyDescent="0.2">
      <c r="C873" s="164"/>
      <c r="M873" s="45"/>
      <c r="N873" s="45"/>
      <c r="O873" s="46"/>
      <c r="P873" s="46"/>
      <c r="Q873" s="45"/>
      <c r="R873" s="117"/>
      <c r="S873" s="45"/>
      <c r="T873" s="45"/>
      <c r="U873" s="119"/>
      <c r="V873" s="47"/>
      <c r="W873" s="47"/>
      <c r="X873" s="47"/>
      <c r="Y873" s="47"/>
      <c r="Z873" s="49"/>
      <c r="AA873" s="97"/>
      <c r="AF873" s="47"/>
      <c r="AG873" s="61"/>
      <c r="AH873" s="61"/>
      <c r="AI873" s="62"/>
      <c r="AJ873" s="47"/>
      <c r="AN873" s="47"/>
      <c r="AO873" s="61"/>
      <c r="AP873" s="61"/>
      <c r="AQ873" s="63"/>
      <c r="AR873" s="64"/>
      <c r="AS873" s="61"/>
      <c r="AT873" s="61"/>
      <c r="AU873" s="62"/>
      <c r="AV873" s="64"/>
      <c r="AW873" s="108"/>
      <c r="AX873" s="108"/>
      <c r="AY873" s="47"/>
      <c r="AZ873" s="108"/>
      <c r="BA873" s="108"/>
      <c r="BB873" s="140"/>
      <c r="BF873" s="47"/>
      <c r="BL873" s="57"/>
      <c r="BO873" s="117"/>
      <c r="BX873" s="164"/>
    </row>
    <row r="874" spans="3:76" s="115" customFormat="1" x14ac:dyDescent="0.2">
      <c r="C874" s="164"/>
      <c r="M874" s="45"/>
      <c r="N874" s="45"/>
      <c r="O874" s="46"/>
      <c r="P874" s="46"/>
      <c r="Q874" s="45"/>
      <c r="R874" s="117"/>
      <c r="S874" s="45"/>
      <c r="T874" s="45"/>
      <c r="U874" s="119"/>
      <c r="V874" s="47"/>
      <c r="W874" s="47"/>
      <c r="X874" s="47"/>
      <c r="Y874" s="47"/>
      <c r="Z874" s="49"/>
      <c r="AA874" s="97"/>
      <c r="AF874" s="47"/>
      <c r="AG874" s="61"/>
      <c r="AH874" s="61"/>
      <c r="AI874" s="62"/>
      <c r="AJ874" s="47"/>
      <c r="AN874" s="47"/>
      <c r="AO874" s="61"/>
      <c r="AP874" s="61"/>
      <c r="AQ874" s="63"/>
      <c r="AR874" s="64"/>
      <c r="AS874" s="61"/>
      <c r="AT874" s="61"/>
      <c r="AU874" s="62"/>
      <c r="AV874" s="64"/>
      <c r="AW874" s="108"/>
      <c r="AX874" s="108"/>
      <c r="AY874" s="47"/>
      <c r="AZ874" s="108"/>
      <c r="BA874" s="108"/>
      <c r="BB874" s="140"/>
      <c r="BF874" s="47"/>
      <c r="BL874" s="57"/>
      <c r="BO874" s="117"/>
      <c r="BX874" s="164"/>
    </row>
    <row r="875" spans="3:76" s="115" customFormat="1" x14ac:dyDescent="0.2">
      <c r="C875" s="164"/>
      <c r="M875" s="45"/>
      <c r="N875" s="45"/>
      <c r="O875" s="46"/>
      <c r="P875" s="46"/>
      <c r="Q875" s="45"/>
      <c r="R875" s="117"/>
      <c r="S875" s="45"/>
      <c r="T875" s="45"/>
      <c r="U875" s="119"/>
      <c r="V875" s="47"/>
      <c r="W875" s="47"/>
      <c r="X875" s="47"/>
      <c r="Y875" s="47"/>
      <c r="Z875" s="49"/>
      <c r="AA875" s="97"/>
      <c r="AF875" s="47"/>
      <c r="AG875" s="61"/>
      <c r="AH875" s="61"/>
      <c r="AI875" s="62"/>
      <c r="AJ875" s="47"/>
      <c r="AN875" s="47"/>
      <c r="AO875" s="61"/>
      <c r="AP875" s="61"/>
      <c r="AQ875" s="63"/>
      <c r="AR875" s="64"/>
      <c r="AS875" s="61"/>
      <c r="AT875" s="61"/>
      <c r="AU875" s="62"/>
      <c r="AV875" s="64"/>
      <c r="AW875" s="108"/>
      <c r="AX875" s="108"/>
      <c r="AY875" s="47"/>
      <c r="AZ875" s="108"/>
      <c r="BA875" s="108"/>
      <c r="BB875" s="140"/>
      <c r="BF875" s="47"/>
      <c r="BL875" s="57"/>
      <c r="BO875" s="117"/>
      <c r="BX875" s="164"/>
    </row>
    <row r="876" spans="3:76" s="115" customFormat="1" x14ac:dyDescent="0.2">
      <c r="C876" s="164"/>
      <c r="M876" s="45"/>
      <c r="N876" s="45"/>
      <c r="O876" s="46"/>
      <c r="P876" s="46"/>
      <c r="Q876" s="45"/>
      <c r="R876" s="117"/>
      <c r="S876" s="45"/>
      <c r="T876" s="45"/>
      <c r="U876" s="119"/>
      <c r="V876" s="47"/>
      <c r="W876" s="47"/>
      <c r="X876" s="47"/>
      <c r="Y876" s="47"/>
      <c r="Z876" s="49"/>
      <c r="AA876" s="97"/>
      <c r="AF876" s="47"/>
      <c r="AG876" s="61"/>
      <c r="AH876" s="61"/>
      <c r="AI876" s="62"/>
      <c r="AJ876" s="47"/>
      <c r="AN876" s="47"/>
      <c r="AO876" s="61"/>
      <c r="AP876" s="61"/>
      <c r="AQ876" s="63"/>
      <c r="AR876" s="64"/>
      <c r="AS876" s="61"/>
      <c r="AT876" s="61"/>
      <c r="AU876" s="62"/>
      <c r="AV876" s="64"/>
      <c r="AW876" s="108"/>
      <c r="AX876" s="108"/>
      <c r="AY876" s="47"/>
      <c r="AZ876" s="108"/>
      <c r="BA876" s="108"/>
      <c r="BB876" s="140"/>
      <c r="BF876" s="47"/>
      <c r="BL876" s="57"/>
      <c r="BO876" s="117"/>
      <c r="BX876" s="164"/>
    </row>
    <row r="877" spans="3:76" s="115" customFormat="1" x14ac:dyDescent="0.2">
      <c r="C877" s="164"/>
      <c r="M877" s="45"/>
      <c r="N877" s="45"/>
      <c r="O877" s="46"/>
      <c r="P877" s="46"/>
      <c r="Q877" s="45"/>
      <c r="R877" s="117"/>
      <c r="S877" s="45"/>
      <c r="T877" s="45"/>
      <c r="U877" s="119"/>
      <c r="V877" s="47"/>
      <c r="W877" s="47"/>
      <c r="X877" s="47"/>
      <c r="Y877" s="47"/>
      <c r="Z877" s="49"/>
      <c r="AA877" s="97"/>
      <c r="AF877" s="47"/>
      <c r="AG877" s="61"/>
      <c r="AH877" s="61"/>
      <c r="AI877" s="62"/>
      <c r="AJ877" s="47"/>
      <c r="AN877" s="47"/>
      <c r="AO877" s="61"/>
      <c r="AP877" s="61"/>
      <c r="AQ877" s="63"/>
      <c r="AR877" s="64"/>
      <c r="AS877" s="61"/>
      <c r="AT877" s="61"/>
      <c r="AU877" s="62"/>
      <c r="AV877" s="64"/>
      <c r="AW877" s="108"/>
      <c r="AX877" s="108"/>
      <c r="AY877" s="47"/>
      <c r="AZ877" s="108"/>
      <c r="BA877" s="108"/>
      <c r="BB877" s="140"/>
      <c r="BF877" s="47"/>
      <c r="BL877" s="57"/>
      <c r="BO877" s="117"/>
      <c r="BX877" s="164"/>
    </row>
    <row r="878" spans="3:76" s="115" customFormat="1" x14ac:dyDescent="0.2">
      <c r="C878" s="164"/>
      <c r="M878" s="45"/>
      <c r="N878" s="45"/>
      <c r="O878" s="46"/>
      <c r="P878" s="46"/>
      <c r="Q878" s="45"/>
      <c r="R878" s="117"/>
      <c r="S878" s="45"/>
      <c r="T878" s="45"/>
      <c r="U878" s="119"/>
      <c r="V878" s="47"/>
      <c r="W878" s="47"/>
      <c r="X878" s="47"/>
      <c r="Y878" s="47"/>
      <c r="Z878" s="49"/>
      <c r="AA878" s="97"/>
      <c r="AF878" s="47"/>
      <c r="AG878" s="61"/>
      <c r="AH878" s="61"/>
      <c r="AI878" s="62"/>
      <c r="AJ878" s="47"/>
      <c r="AN878" s="47"/>
      <c r="AO878" s="61"/>
      <c r="AP878" s="61"/>
      <c r="AQ878" s="63"/>
      <c r="AR878" s="64"/>
      <c r="AS878" s="61"/>
      <c r="AT878" s="61"/>
      <c r="AU878" s="62"/>
      <c r="AV878" s="64"/>
      <c r="AW878" s="108"/>
      <c r="AX878" s="108"/>
      <c r="AY878" s="47"/>
      <c r="AZ878" s="108"/>
      <c r="BA878" s="108"/>
      <c r="BB878" s="140"/>
      <c r="BF878" s="47"/>
      <c r="BL878" s="57"/>
      <c r="BO878" s="117"/>
      <c r="BX878" s="164"/>
    </row>
    <row r="879" spans="3:76" s="115" customFormat="1" x14ac:dyDescent="0.2">
      <c r="C879" s="164"/>
      <c r="M879" s="45"/>
      <c r="N879" s="45"/>
      <c r="O879" s="46"/>
      <c r="P879" s="46"/>
      <c r="Q879" s="45"/>
      <c r="R879" s="117"/>
      <c r="S879" s="45"/>
      <c r="T879" s="45"/>
      <c r="U879" s="119"/>
      <c r="V879" s="47"/>
      <c r="W879" s="47"/>
      <c r="X879" s="47"/>
      <c r="Y879" s="47"/>
      <c r="Z879" s="49"/>
      <c r="AA879" s="97"/>
      <c r="AF879" s="47"/>
      <c r="AG879" s="61"/>
      <c r="AH879" s="61"/>
      <c r="AI879" s="62"/>
      <c r="AJ879" s="47"/>
      <c r="AN879" s="47"/>
      <c r="AO879" s="61"/>
      <c r="AP879" s="61"/>
      <c r="AQ879" s="63"/>
      <c r="AR879" s="64"/>
      <c r="AS879" s="61"/>
      <c r="AT879" s="61"/>
      <c r="AU879" s="62"/>
      <c r="AV879" s="64"/>
      <c r="AW879" s="108"/>
      <c r="AX879" s="108"/>
      <c r="AY879" s="47"/>
      <c r="AZ879" s="108"/>
      <c r="BA879" s="108"/>
      <c r="BB879" s="140"/>
      <c r="BF879" s="47"/>
      <c r="BL879" s="57"/>
      <c r="BO879" s="117"/>
      <c r="BX879" s="164"/>
    </row>
    <row r="880" spans="3:76" s="115" customFormat="1" x14ac:dyDescent="0.2">
      <c r="C880" s="164"/>
      <c r="M880" s="45"/>
      <c r="N880" s="45"/>
      <c r="O880" s="46"/>
      <c r="P880" s="46"/>
      <c r="Q880" s="45"/>
      <c r="R880" s="117"/>
      <c r="S880" s="45"/>
      <c r="T880" s="45"/>
      <c r="U880" s="119"/>
      <c r="V880" s="47"/>
      <c r="W880" s="47"/>
      <c r="X880" s="47"/>
      <c r="Y880" s="47"/>
      <c r="Z880" s="49"/>
      <c r="AA880" s="97"/>
      <c r="AF880" s="47"/>
      <c r="AG880" s="61"/>
      <c r="AH880" s="61"/>
      <c r="AI880" s="62"/>
      <c r="AJ880" s="47"/>
      <c r="AN880" s="47"/>
      <c r="AO880" s="61"/>
      <c r="AP880" s="61"/>
      <c r="AQ880" s="63"/>
      <c r="AR880" s="64"/>
      <c r="AS880" s="61"/>
      <c r="AT880" s="61"/>
      <c r="AU880" s="62"/>
      <c r="AV880" s="64"/>
      <c r="AW880" s="108"/>
      <c r="AX880" s="108"/>
      <c r="AY880" s="47"/>
      <c r="AZ880" s="108"/>
      <c r="BA880" s="108"/>
      <c r="BB880" s="140"/>
      <c r="BF880" s="47"/>
      <c r="BL880" s="57"/>
      <c r="BO880" s="117"/>
      <c r="BX880" s="164"/>
    </row>
    <row r="881" spans="3:76" s="115" customFormat="1" x14ac:dyDescent="0.2">
      <c r="C881" s="164"/>
      <c r="M881" s="45"/>
      <c r="N881" s="45"/>
      <c r="O881" s="46"/>
      <c r="P881" s="46"/>
      <c r="Q881" s="45"/>
      <c r="R881" s="117"/>
      <c r="S881" s="45"/>
      <c r="T881" s="45"/>
      <c r="U881" s="119"/>
      <c r="V881" s="47"/>
      <c r="W881" s="47"/>
      <c r="X881" s="47"/>
      <c r="Y881" s="47"/>
      <c r="Z881" s="49"/>
      <c r="AA881" s="97"/>
      <c r="AF881" s="47"/>
      <c r="AG881" s="61"/>
      <c r="AH881" s="61"/>
      <c r="AI881" s="62"/>
      <c r="AJ881" s="47"/>
      <c r="AN881" s="47"/>
      <c r="AO881" s="61"/>
      <c r="AP881" s="61"/>
      <c r="AQ881" s="63"/>
      <c r="AR881" s="64"/>
      <c r="AS881" s="61"/>
      <c r="AT881" s="61"/>
      <c r="AU881" s="62"/>
      <c r="AV881" s="64"/>
      <c r="AW881" s="108"/>
      <c r="AX881" s="108"/>
      <c r="AY881" s="47"/>
      <c r="AZ881" s="108"/>
      <c r="BA881" s="108"/>
      <c r="BB881" s="140"/>
      <c r="BF881" s="47"/>
      <c r="BL881" s="57"/>
      <c r="BO881" s="117"/>
      <c r="BX881" s="164"/>
    </row>
    <row r="882" spans="3:76" s="115" customFormat="1" x14ac:dyDescent="0.2">
      <c r="C882" s="164"/>
      <c r="M882" s="45"/>
      <c r="N882" s="45"/>
      <c r="O882" s="46"/>
      <c r="P882" s="46"/>
      <c r="Q882" s="45"/>
      <c r="R882" s="117"/>
      <c r="S882" s="45"/>
      <c r="T882" s="45"/>
      <c r="U882" s="119"/>
      <c r="V882" s="47"/>
      <c r="W882" s="47"/>
      <c r="X882" s="47"/>
      <c r="Y882" s="47"/>
      <c r="Z882" s="49"/>
      <c r="AA882" s="97"/>
      <c r="AF882" s="47"/>
      <c r="AG882" s="61"/>
      <c r="AH882" s="61"/>
      <c r="AI882" s="62"/>
      <c r="AJ882" s="47"/>
      <c r="AN882" s="47"/>
      <c r="AO882" s="61"/>
      <c r="AP882" s="61"/>
      <c r="AQ882" s="63"/>
      <c r="AR882" s="64"/>
      <c r="AS882" s="61"/>
      <c r="AT882" s="61"/>
      <c r="AU882" s="62"/>
      <c r="AV882" s="64"/>
      <c r="AW882" s="108"/>
      <c r="AX882" s="108"/>
      <c r="AY882" s="47"/>
      <c r="AZ882" s="108"/>
      <c r="BA882" s="108"/>
      <c r="BB882" s="140"/>
      <c r="BF882" s="47"/>
      <c r="BL882" s="57"/>
      <c r="BO882" s="117"/>
      <c r="BX882" s="164"/>
    </row>
    <row r="883" spans="3:76" s="115" customFormat="1" x14ac:dyDescent="0.2">
      <c r="C883" s="164"/>
      <c r="M883" s="45"/>
      <c r="N883" s="45"/>
      <c r="O883" s="46"/>
      <c r="P883" s="46"/>
      <c r="Q883" s="45"/>
      <c r="R883" s="117"/>
      <c r="S883" s="45"/>
      <c r="T883" s="45"/>
      <c r="U883" s="119"/>
      <c r="V883" s="47"/>
      <c r="W883" s="47"/>
      <c r="X883" s="47"/>
      <c r="Y883" s="47"/>
      <c r="Z883" s="49"/>
      <c r="AA883" s="97"/>
      <c r="AF883" s="47"/>
      <c r="AG883" s="61"/>
      <c r="AH883" s="61"/>
      <c r="AI883" s="62"/>
      <c r="AJ883" s="47"/>
      <c r="AN883" s="47"/>
      <c r="AO883" s="61"/>
      <c r="AP883" s="61"/>
      <c r="AQ883" s="63"/>
      <c r="AR883" s="64"/>
      <c r="AS883" s="61"/>
      <c r="AT883" s="61"/>
      <c r="AU883" s="62"/>
      <c r="AV883" s="64"/>
      <c r="AW883" s="108"/>
      <c r="AX883" s="108"/>
      <c r="AY883" s="47"/>
      <c r="AZ883" s="108"/>
      <c r="BA883" s="108"/>
      <c r="BB883" s="140"/>
      <c r="BF883" s="47"/>
      <c r="BL883" s="57"/>
      <c r="BO883" s="117"/>
      <c r="BX883" s="164"/>
    </row>
    <row r="884" spans="3:76" s="115" customFormat="1" x14ac:dyDescent="0.2">
      <c r="C884" s="164"/>
      <c r="M884" s="45"/>
      <c r="N884" s="45"/>
      <c r="O884" s="46"/>
      <c r="P884" s="46"/>
      <c r="Q884" s="45"/>
      <c r="R884" s="117"/>
      <c r="S884" s="45"/>
      <c r="T884" s="45"/>
      <c r="U884" s="119"/>
      <c r="V884" s="47"/>
      <c r="W884" s="47"/>
      <c r="X884" s="47"/>
      <c r="Y884" s="47"/>
      <c r="Z884" s="49"/>
      <c r="AA884" s="97"/>
      <c r="AF884" s="47"/>
      <c r="AG884" s="61"/>
      <c r="AH884" s="61"/>
      <c r="AI884" s="62"/>
      <c r="AJ884" s="47"/>
      <c r="AN884" s="47"/>
      <c r="AO884" s="61"/>
      <c r="AP884" s="61"/>
      <c r="AQ884" s="63"/>
      <c r="AR884" s="64"/>
      <c r="AS884" s="61"/>
      <c r="AT884" s="61"/>
      <c r="AU884" s="62"/>
      <c r="AV884" s="64"/>
      <c r="AW884" s="108"/>
      <c r="AX884" s="108"/>
      <c r="AY884" s="47"/>
      <c r="AZ884" s="108"/>
      <c r="BA884" s="108"/>
      <c r="BB884" s="140"/>
      <c r="BF884" s="47"/>
      <c r="BL884" s="57"/>
      <c r="BO884" s="117"/>
      <c r="BX884" s="164"/>
    </row>
    <row r="885" spans="3:76" s="115" customFormat="1" x14ac:dyDescent="0.2">
      <c r="C885" s="164"/>
      <c r="M885" s="45"/>
      <c r="N885" s="45"/>
      <c r="O885" s="46"/>
      <c r="P885" s="46"/>
      <c r="Q885" s="45"/>
      <c r="R885" s="117"/>
      <c r="S885" s="45"/>
      <c r="T885" s="45"/>
      <c r="U885" s="119"/>
      <c r="V885" s="47"/>
      <c r="W885" s="47"/>
      <c r="X885" s="47"/>
      <c r="Y885" s="47"/>
      <c r="Z885" s="49"/>
      <c r="AA885" s="97"/>
      <c r="AF885" s="47"/>
      <c r="AG885" s="61"/>
      <c r="AH885" s="61"/>
      <c r="AI885" s="62"/>
      <c r="AJ885" s="47"/>
      <c r="AN885" s="47"/>
      <c r="AO885" s="61"/>
      <c r="AP885" s="61"/>
      <c r="AQ885" s="63"/>
      <c r="AR885" s="64"/>
      <c r="AS885" s="61"/>
      <c r="AT885" s="61"/>
      <c r="AU885" s="62"/>
      <c r="AV885" s="64"/>
      <c r="AW885" s="108"/>
      <c r="AX885" s="108"/>
      <c r="AY885" s="47"/>
      <c r="AZ885" s="108"/>
      <c r="BA885" s="108"/>
      <c r="BB885" s="140"/>
      <c r="BF885" s="47"/>
      <c r="BL885" s="57"/>
      <c r="BO885" s="117"/>
      <c r="BX885" s="164"/>
    </row>
    <row r="886" spans="3:76" s="115" customFormat="1" x14ac:dyDescent="0.2">
      <c r="C886" s="164"/>
      <c r="M886" s="45"/>
      <c r="N886" s="45"/>
      <c r="O886" s="46"/>
      <c r="P886" s="46"/>
      <c r="Q886" s="45"/>
      <c r="R886" s="117"/>
      <c r="S886" s="45"/>
      <c r="T886" s="45"/>
      <c r="U886" s="119"/>
      <c r="V886" s="47"/>
      <c r="W886" s="47"/>
      <c r="X886" s="47"/>
      <c r="Y886" s="47"/>
      <c r="Z886" s="49"/>
      <c r="AA886" s="97"/>
      <c r="AF886" s="47"/>
      <c r="AG886" s="61"/>
      <c r="AH886" s="61"/>
      <c r="AI886" s="62"/>
      <c r="AJ886" s="47"/>
      <c r="AN886" s="47"/>
      <c r="AO886" s="61"/>
      <c r="AP886" s="61"/>
      <c r="AQ886" s="63"/>
      <c r="AR886" s="64"/>
      <c r="AS886" s="61"/>
      <c r="AT886" s="61"/>
      <c r="AU886" s="62"/>
      <c r="AV886" s="64"/>
      <c r="AW886" s="108"/>
      <c r="AX886" s="108"/>
      <c r="AY886" s="47"/>
      <c r="AZ886" s="108"/>
      <c r="BA886" s="108"/>
      <c r="BB886" s="140"/>
      <c r="BF886" s="47"/>
      <c r="BL886" s="57"/>
      <c r="BO886" s="117"/>
      <c r="BX886" s="164"/>
    </row>
    <row r="887" spans="3:76" s="115" customFormat="1" x14ac:dyDescent="0.2">
      <c r="C887" s="164"/>
      <c r="M887" s="45"/>
      <c r="N887" s="45"/>
      <c r="O887" s="46"/>
      <c r="P887" s="46"/>
      <c r="Q887" s="45"/>
      <c r="R887" s="117"/>
      <c r="S887" s="45"/>
      <c r="T887" s="45"/>
      <c r="U887" s="119"/>
      <c r="V887" s="47"/>
      <c r="W887" s="47"/>
      <c r="X887" s="47"/>
      <c r="Y887" s="47"/>
      <c r="Z887" s="49"/>
      <c r="AA887" s="97"/>
      <c r="AF887" s="47"/>
      <c r="AG887" s="61"/>
      <c r="AH887" s="61"/>
      <c r="AI887" s="62"/>
      <c r="AJ887" s="47"/>
      <c r="AN887" s="47"/>
      <c r="AO887" s="61"/>
      <c r="AP887" s="61"/>
      <c r="AQ887" s="63"/>
      <c r="AR887" s="64"/>
      <c r="AS887" s="61"/>
      <c r="AT887" s="61"/>
      <c r="AU887" s="62"/>
      <c r="AV887" s="64"/>
      <c r="AW887" s="108"/>
      <c r="AX887" s="108"/>
      <c r="AY887" s="47"/>
      <c r="AZ887" s="108"/>
      <c r="BA887" s="108"/>
      <c r="BB887" s="140"/>
      <c r="BF887" s="47"/>
      <c r="BL887" s="57"/>
      <c r="BO887" s="117"/>
      <c r="BX887" s="164"/>
    </row>
    <row r="888" spans="3:76" s="115" customFormat="1" x14ac:dyDescent="0.2">
      <c r="C888" s="164"/>
      <c r="M888" s="45"/>
      <c r="N888" s="45"/>
      <c r="O888" s="46"/>
      <c r="P888" s="46"/>
      <c r="Q888" s="45"/>
      <c r="R888" s="117"/>
      <c r="S888" s="45"/>
      <c r="T888" s="45"/>
      <c r="U888" s="119"/>
      <c r="V888" s="47"/>
      <c r="W888" s="47"/>
      <c r="X888" s="47"/>
      <c r="Y888" s="47"/>
      <c r="Z888" s="49"/>
      <c r="AA888" s="97"/>
      <c r="AF888" s="47"/>
      <c r="AG888" s="61"/>
      <c r="AH888" s="61"/>
      <c r="AI888" s="62"/>
      <c r="AJ888" s="47"/>
      <c r="AN888" s="47"/>
      <c r="AO888" s="61"/>
      <c r="AP888" s="61"/>
      <c r="AQ888" s="63"/>
      <c r="AR888" s="64"/>
      <c r="AS888" s="61"/>
      <c r="AT888" s="61"/>
      <c r="AU888" s="62"/>
      <c r="AV888" s="64"/>
      <c r="AW888" s="108"/>
      <c r="AX888" s="108"/>
      <c r="AY888" s="47"/>
      <c r="AZ888" s="108"/>
      <c r="BA888" s="108"/>
      <c r="BB888" s="140"/>
      <c r="BF888" s="47"/>
      <c r="BL888" s="57"/>
      <c r="BO888" s="117"/>
      <c r="BX888" s="164"/>
    </row>
    <row r="889" spans="3:76" s="115" customFormat="1" x14ac:dyDescent="0.2">
      <c r="C889" s="164"/>
      <c r="M889" s="45"/>
      <c r="N889" s="45"/>
      <c r="O889" s="46"/>
      <c r="P889" s="46"/>
      <c r="Q889" s="45"/>
      <c r="R889" s="117"/>
      <c r="S889" s="45"/>
      <c r="T889" s="45"/>
      <c r="U889" s="119"/>
      <c r="V889" s="47"/>
      <c r="W889" s="47"/>
      <c r="X889" s="47"/>
      <c r="Y889" s="47"/>
      <c r="Z889" s="49"/>
      <c r="AA889" s="97"/>
      <c r="AF889" s="47"/>
      <c r="AG889" s="61"/>
      <c r="AH889" s="61"/>
      <c r="AI889" s="62"/>
      <c r="AJ889" s="47"/>
      <c r="AN889" s="47"/>
      <c r="AO889" s="61"/>
      <c r="AP889" s="61"/>
      <c r="AQ889" s="63"/>
      <c r="AR889" s="64"/>
      <c r="AS889" s="61"/>
      <c r="AT889" s="61"/>
      <c r="AU889" s="62"/>
      <c r="AV889" s="64"/>
      <c r="AW889" s="108"/>
      <c r="AX889" s="108"/>
      <c r="AY889" s="47"/>
      <c r="AZ889" s="108"/>
      <c r="BA889" s="108"/>
      <c r="BB889" s="140"/>
      <c r="BF889" s="47"/>
      <c r="BL889" s="57"/>
      <c r="BO889" s="117"/>
      <c r="BX889" s="164"/>
    </row>
    <row r="890" spans="3:76" s="115" customFormat="1" x14ac:dyDescent="0.2">
      <c r="C890" s="164"/>
      <c r="M890" s="45"/>
      <c r="N890" s="45"/>
      <c r="O890" s="46"/>
      <c r="P890" s="46"/>
      <c r="Q890" s="45"/>
      <c r="R890" s="117"/>
      <c r="S890" s="45"/>
      <c r="T890" s="45"/>
      <c r="U890" s="119"/>
      <c r="V890" s="47"/>
      <c r="W890" s="47"/>
      <c r="X890" s="47"/>
      <c r="Y890" s="47"/>
      <c r="Z890" s="49"/>
      <c r="AA890" s="97"/>
      <c r="AF890" s="47"/>
      <c r="AG890" s="61"/>
      <c r="AH890" s="61"/>
      <c r="AI890" s="62"/>
      <c r="AJ890" s="47"/>
      <c r="AN890" s="47"/>
      <c r="AO890" s="61"/>
      <c r="AP890" s="61"/>
      <c r="AQ890" s="63"/>
      <c r="AR890" s="64"/>
      <c r="AS890" s="61"/>
      <c r="AT890" s="61"/>
      <c r="AU890" s="62"/>
      <c r="AV890" s="64"/>
      <c r="AW890" s="108"/>
      <c r="AX890" s="108"/>
      <c r="AY890" s="47"/>
      <c r="AZ890" s="108"/>
      <c r="BA890" s="108"/>
      <c r="BB890" s="140"/>
      <c r="BF890" s="47"/>
      <c r="BL890" s="57"/>
      <c r="BO890" s="117"/>
      <c r="BX890" s="164"/>
    </row>
    <row r="891" spans="3:76" s="115" customFormat="1" x14ac:dyDescent="0.2">
      <c r="C891" s="164"/>
      <c r="M891" s="45"/>
      <c r="N891" s="45"/>
      <c r="O891" s="46"/>
      <c r="P891" s="46"/>
      <c r="Q891" s="45"/>
      <c r="R891" s="117"/>
      <c r="S891" s="45"/>
      <c r="T891" s="45"/>
      <c r="U891" s="119"/>
      <c r="V891" s="47"/>
      <c r="W891" s="47"/>
      <c r="X891" s="47"/>
      <c r="Y891" s="47"/>
      <c r="Z891" s="49"/>
      <c r="AA891" s="97"/>
      <c r="AF891" s="47"/>
      <c r="AG891" s="61"/>
      <c r="AH891" s="61"/>
      <c r="AI891" s="62"/>
      <c r="AJ891" s="47"/>
      <c r="AN891" s="47"/>
      <c r="AO891" s="61"/>
      <c r="AP891" s="61"/>
      <c r="AQ891" s="63"/>
      <c r="AR891" s="64"/>
      <c r="AS891" s="61"/>
      <c r="AT891" s="61"/>
      <c r="AU891" s="62"/>
      <c r="AV891" s="64"/>
      <c r="AW891" s="108"/>
      <c r="AX891" s="108"/>
      <c r="AY891" s="47"/>
      <c r="AZ891" s="108"/>
      <c r="BA891" s="108"/>
      <c r="BB891" s="140"/>
      <c r="BF891" s="47"/>
      <c r="BL891" s="57"/>
      <c r="BO891" s="117"/>
      <c r="BX891" s="164"/>
    </row>
    <row r="892" spans="3:76" s="115" customFormat="1" x14ac:dyDescent="0.2">
      <c r="C892" s="164"/>
      <c r="M892" s="45"/>
      <c r="N892" s="45"/>
      <c r="O892" s="46"/>
      <c r="P892" s="46"/>
      <c r="Q892" s="45"/>
      <c r="R892" s="117"/>
      <c r="S892" s="45"/>
      <c r="T892" s="45"/>
      <c r="U892" s="119"/>
      <c r="V892" s="47"/>
      <c r="W892" s="47"/>
      <c r="X892" s="47"/>
      <c r="Y892" s="47"/>
      <c r="Z892" s="49"/>
      <c r="AA892" s="97"/>
      <c r="AF892" s="47"/>
      <c r="AG892" s="61"/>
      <c r="AH892" s="61"/>
      <c r="AI892" s="62"/>
      <c r="AJ892" s="47"/>
      <c r="AN892" s="47"/>
      <c r="AO892" s="61"/>
      <c r="AP892" s="61"/>
      <c r="AQ892" s="63"/>
      <c r="AR892" s="64"/>
      <c r="AS892" s="61"/>
      <c r="AT892" s="61"/>
      <c r="AU892" s="62"/>
      <c r="AV892" s="64"/>
      <c r="AW892" s="108"/>
      <c r="AX892" s="108"/>
      <c r="AY892" s="47"/>
      <c r="AZ892" s="108"/>
      <c r="BA892" s="108"/>
      <c r="BB892" s="140"/>
      <c r="BF892" s="47"/>
      <c r="BL892" s="57"/>
      <c r="BO892" s="117"/>
      <c r="BX892" s="164"/>
    </row>
    <row r="893" spans="3:76" s="115" customFormat="1" x14ac:dyDescent="0.2">
      <c r="C893" s="164"/>
      <c r="M893" s="45"/>
      <c r="N893" s="45"/>
      <c r="O893" s="46"/>
      <c r="P893" s="46"/>
      <c r="Q893" s="45"/>
      <c r="R893" s="117"/>
      <c r="S893" s="45"/>
      <c r="T893" s="45"/>
      <c r="U893" s="119"/>
      <c r="V893" s="47"/>
      <c r="W893" s="47"/>
      <c r="X893" s="47"/>
      <c r="Y893" s="47"/>
      <c r="Z893" s="49"/>
      <c r="AA893" s="97"/>
      <c r="AF893" s="47"/>
      <c r="AG893" s="61"/>
      <c r="AH893" s="61"/>
      <c r="AI893" s="62"/>
      <c r="AJ893" s="47"/>
      <c r="AN893" s="47"/>
      <c r="AO893" s="61"/>
      <c r="AP893" s="61"/>
      <c r="AQ893" s="63"/>
      <c r="AR893" s="64"/>
      <c r="AS893" s="61"/>
      <c r="AT893" s="61"/>
      <c r="AU893" s="62"/>
      <c r="AV893" s="64"/>
      <c r="AW893" s="108"/>
      <c r="AX893" s="108"/>
      <c r="AY893" s="47"/>
      <c r="AZ893" s="108"/>
      <c r="BA893" s="108"/>
      <c r="BB893" s="140"/>
      <c r="BF893" s="47"/>
      <c r="BL893" s="57"/>
      <c r="BO893" s="117"/>
      <c r="BX893" s="164"/>
    </row>
    <row r="894" spans="3:76" s="115" customFormat="1" x14ac:dyDescent="0.2">
      <c r="C894" s="164"/>
      <c r="M894" s="45"/>
      <c r="N894" s="45"/>
      <c r="O894" s="46"/>
      <c r="P894" s="46"/>
      <c r="Q894" s="45"/>
      <c r="R894" s="117"/>
      <c r="S894" s="45"/>
      <c r="T894" s="45"/>
      <c r="U894" s="119"/>
      <c r="V894" s="47"/>
      <c r="W894" s="47"/>
      <c r="X894" s="47"/>
      <c r="Y894" s="47"/>
      <c r="Z894" s="49"/>
      <c r="AA894" s="97"/>
      <c r="AF894" s="47"/>
      <c r="AG894" s="61"/>
      <c r="AH894" s="61"/>
      <c r="AI894" s="62"/>
      <c r="AJ894" s="47"/>
      <c r="AN894" s="47"/>
      <c r="AO894" s="61"/>
      <c r="AP894" s="61"/>
      <c r="AQ894" s="63"/>
      <c r="AR894" s="64"/>
      <c r="AS894" s="61"/>
      <c r="AT894" s="61"/>
      <c r="AU894" s="62"/>
      <c r="AV894" s="64"/>
      <c r="AW894" s="108"/>
      <c r="AX894" s="108"/>
      <c r="AY894" s="47"/>
      <c r="AZ894" s="108"/>
      <c r="BA894" s="108"/>
      <c r="BB894" s="140"/>
      <c r="BF894" s="47"/>
      <c r="BL894" s="57"/>
      <c r="BO894" s="117"/>
      <c r="BX894" s="164"/>
    </row>
    <row r="895" spans="3:76" s="115" customFormat="1" x14ac:dyDescent="0.2">
      <c r="C895" s="164"/>
      <c r="M895" s="45"/>
      <c r="N895" s="45"/>
      <c r="O895" s="46"/>
      <c r="P895" s="46"/>
      <c r="Q895" s="45"/>
      <c r="R895" s="117"/>
      <c r="S895" s="45"/>
      <c r="T895" s="45"/>
      <c r="U895" s="119"/>
      <c r="V895" s="47"/>
      <c r="W895" s="47"/>
      <c r="X895" s="47"/>
      <c r="Y895" s="47"/>
      <c r="Z895" s="49"/>
      <c r="AA895" s="97"/>
      <c r="AF895" s="47"/>
      <c r="AG895" s="61"/>
      <c r="AH895" s="61"/>
      <c r="AI895" s="62"/>
      <c r="AJ895" s="47"/>
      <c r="AN895" s="47"/>
      <c r="AO895" s="61"/>
      <c r="AP895" s="61"/>
      <c r="AQ895" s="63"/>
      <c r="AR895" s="64"/>
      <c r="AS895" s="61"/>
      <c r="AT895" s="61"/>
      <c r="AU895" s="62"/>
      <c r="AV895" s="64"/>
      <c r="AW895" s="108"/>
      <c r="AX895" s="108"/>
      <c r="AY895" s="47"/>
      <c r="AZ895" s="108"/>
      <c r="BA895" s="108"/>
      <c r="BB895" s="140"/>
      <c r="BF895" s="47"/>
      <c r="BL895" s="57"/>
      <c r="BO895" s="117"/>
      <c r="BX895" s="164"/>
    </row>
    <row r="896" spans="3:76" s="115" customFormat="1" x14ac:dyDescent="0.2">
      <c r="C896" s="164"/>
      <c r="M896" s="45"/>
      <c r="N896" s="45"/>
      <c r="O896" s="46"/>
      <c r="P896" s="46"/>
      <c r="Q896" s="45"/>
      <c r="R896" s="117"/>
      <c r="S896" s="45"/>
      <c r="T896" s="45"/>
      <c r="U896" s="119"/>
      <c r="V896" s="47"/>
      <c r="W896" s="47"/>
      <c r="X896" s="47"/>
      <c r="Y896" s="47"/>
      <c r="Z896" s="49"/>
      <c r="AA896" s="97"/>
      <c r="AF896" s="47"/>
      <c r="AG896" s="61"/>
      <c r="AH896" s="61"/>
      <c r="AI896" s="62"/>
      <c r="AJ896" s="47"/>
      <c r="AN896" s="47"/>
      <c r="AO896" s="61"/>
      <c r="AP896" s="61"/>
      <c r="AQ896" s="63"/>
      <c r="AR896" s="64"/>
      <c r="AS896" s="61"/>
      <c r="AT896" s="61"/>
      <c r="AU896" s="62"/>
      <c r="AV896" s="64"/>
      <c r="AW896" s="108"/>
      <c r="AX896" s="108"/>
      <c r="AY896" s="47"/>
      <c r="AZ896" s="108"/>
      <c r="BA896" s="108"/>
      <c r="BB896" s="140"/>
      <c r="BF896" s="47"/>
      <c r="BL896" s="57"/>
      <c r="BO896" s="117"/>
      <c r="BX896" s="164"/>
    </row>
    <row r="897" spans="3:76" s="115" customFormat="1" x14ac:dyDescent="0.2">
      <c r="C897" s="164"/>
      <c r="M897" s="45"/>
      <c r="N897" s="45"/>
      <c r="O897" s="46"/>
      <c r="P897" s="46"/>
      <c r="Q897" s="45"/>
      <c r="R897" s="117"/>
      <c r="S897" s="45"/>
      <c r="T897" s="45"/>
      <c r="U897" s="119"/>
      <c r="V897" s="47"/>
      <c r="W897" s="47"/>
      <c r="X897" s="47"/>
      <c r="Y897" s="47"/>
      <c r="Z897" s="49"/>
      <c r="AA897" s="97"/>
      <c r="AF897" s="47"/>
      <c r="AG897" s="61"/>
      <c r="AH897" s="61"/>
      <c r="AI897" s="62"/>
      <c r="AJ897" s="47"/>
      <c r="AN897" s="47"/>
      <c r="AO897" s="61"/>
      <c r="AP897" s="61"/>
      <c r="AQ897" s="63"/>
      <c r="AR897" s="64"/>
      <c r="AS897" s="61"/>
      <c r="AT897" s="61"/>
      <c r="AU897" s="62"/>
      <c r="AV897" s="64"/>
      <c r="AW897" s="108"/>
      <c r="AX897" s="108"/>
      <c r="AY897" s="47"/>
      <c r="AZ897" s="108"/>
      <c r="BA897" s="108"/>
      <c r="BB897" s="140"/>
      <c r="BF897" s="47"/>
      <c r="BL897" s="57"/>
      <c r="BO897" s="117"/>
      <c r="BX897" s="164"/>
    </row>
    <row r="898" spans="3:76" s="115" customFormat="1" x14ac:dyDescent="0.2">
      <c r="C898" s="164"/>
      <c r="M898" s="45"/>
      <c r="N898" s="45"/>
      <c r="O898" s="46"/>
      <c r="P898" s="46"/>
      <c r="Q898" s="45"/>
      <c r="R898" s="117"/>
      <c r="S898" s="45"/>
      <c r="T898" s="45"/>
      <c r="U898" s="119"/>
      <c r="V898" s="47"/>
      <c r="W898" s="47"/>
      <c r="X898" s="47"/>
      <c r="Y898" s="47"/>
      <c r="Z898" s="49"/>
      <c r="AA898" s="97"/>
      <c r="AF898" s="47"/>
      <c r="AG898" s="61"/>
      <c r="AH898" s="61"/>
      <c r="AI898" s="62"/>
      <c r="AJ898" s="47"/>
      <c r="AN898" s="47"/>
      <c r="AO898" s="61"/>
      <c r="AP898" s="61"/>
      <c r="AQ898" s="63"/>
      <c r="AR898" s="64"/>
      <c r="AS898" s="61"/>
      <c r="AT898" s="61"/>
      <c r="AU898" s="62"/>
      <c r="AV898" s="64"/>
      <c r="AW898" s="108"/>
      <c r="AX898" s="108"/>
      <c r="AY898" s="47"/>
      <c r="AZ898" s="108"/>
      <c r="BA898" s="108"/>
      <c r="BB898" s="140"/>
      <c r="BF898" s="47"/>
      <c r="BL898" s="57"/>
      <c r="BO898" s="117"/>
      <c r="BX898" s="164"/>
    </row>
    <row r="899" spans="3:76" s="115" customFormat="1" x14ac:dyDescent="0.2">
      <c r="C899" s="164"/>
      <c r="M899" s="45"/>
      <c r="N899" s="45"/>
      <c r="O899" s="46"/>
      <c r="P899" s="46"/>
      <c r="Q899" s="45"/>
      <c r="R899" s="117"/>
      <c r="S899" s="45"/>
      <c r="T899" s="45"/>
      <c r="U899" s="119"/>
      <c r="V899" s="47"/>
      <c r="W899" s="47"/>
      <c r="X899" s="47"/>
      <c r="Y899" s="47"/>
      <c r="Z899" s="49"/>
      <c r="AA899" s="97"/>
      <c r="AF899" s="47"/>
      <c r="AG899" s="61"/>
      <c r="AH899" s="61"/>
      <c r="AI899" s="62"/>
      <c r="AJ899" s="47"/>
      <c r="AN899" s="47"/>
      <c r="AO899" s="61"/>
      <c r="AP899" s="61"/>
      <c r="AQ899" s="63"/>
      <c r="AR899" s="64"/>
      <c r="AS899" s="61"/>
      <c r="AT899" s="61"/>
      <c r="AU899" s="62"/>
      <c r="AV899" s="64"/>
      <c r="AW899" s="108"/>
      <c r="AX899" s="108"/>
      <c r="AY899" s="47"/>
      <c r="AZ899" s="108"/>
      <c r="BA899" s="108"/>
      <c r="BB899" s="140"/>
      <c r="BF899" s="47"/>
      <c r="BL899" s="57"/>
      <c r="BO899" s="117"/>
      <c r="BX899" s="164"/>
    </row>
    <row r="900" spans="3:76" s="115" customFormat="1" x14ac:dyDescent="0.2">
      <c r="C900" s="164"/>
      <c r="M900" s="45"/>
      <c r="N900" s="45"/>
      <c r="O900" s="46"/>
      <c r="P900" s="46"/>
      <c r="Q900" s="45"/>
      <c r="R900" s="117"/>
      <c r="S900" s="45"/>
      <c r="T900" s="45"/>
      <c r="U900" s="119"/>
      <c r="V900" s="47"/>
      <c r="W900" s="47"/>
      <c r="X900" s="47"/>
      <c r="Y900" s="47"/>
      <c r="Z900" s="49"/>
      <c r="AA900" s="97"/>
      <c r="AF900" s="47"/>
      <c r="AG900" s="61"/>
      <c r="AH900" s="61"/>
      <c r="AI900" s="62"/>
      <c r="AJ900" s="47"/>
      <c r="AN900" s="47"/>
      <c r="AO900" s="61"/>
      <c r="AP900" s="61"/>
      <c r="AQ900" s="63"/>
      <c r="AR900" s="64"/>
      <c r="AS900" s="61"/>
      <c r="AT900" s="61"/>
      <c r="AU900" s="62"/>
      <c r="AV900" s="64"/>
      <c r="AW900" s="108"/>
      <c r="AX900" s="108"/>
      <c r="AY900" s="47"/>
      <c r="AZ900" s="108"/>
      <c r="BA900" s="108"/>
      <c r="BB900" s="140"/>
      <c r="BF900" s="47"/>
      <c r="BL900" s="57"/>
      <c r="BO900" s="117"/>
      <c r="BX900" s="164"/>
    </row>
    <row r="901" spans="3:76" s="115" customFormat="1" x14ac:dyDescent="0.2">
      <c r="C901" s="164"/>
      <c r="M901" s="45"/>
      <c r="N901" s="45"/>
      <c r="O901" s="46"/>
      <c r="P901" s="46"/>
      <c r="Q901" s="45"/>
      <c r="R901" s="117"/>
      <c r="S901" s="45"/>
      <c r="T901" s="45"/>
      <c r="U901" s="119"/>
      <c r="V901" s="47"/>
      <c r="W901" s="47"/>
      <c r="X901" s="47"/>
      <c r="Y901" s="47"/>
      <c r="Z901" s="49"/>
      <c r="AA901" s="97"/>
      <c r="AF901" s="47"/>
      <c r="AG901" s="61"/>
      <c r="AH901" s="61"/>
      <c r="AI901" s="62"/>
      <c r="AJ901" s="47"/>
      <c r="AN901" s="47"/>
      <c r="AO901" s="61"/>
      <c r="AP901" s="61"/>
      <c r="AQ901" s="63"/>
      <c r="AR901" s="64"/>
      <c r="AS901" s="61"/>
      <c r="AT901" s="61"/>
      <c r="AU901" s="62"/>
      <c r="AV901" s="64"/>
      <c r="AW901" s="108"/>
      <c r="AX901" s="108"/>
      <c r="AY901" s="47"/>
      <c r="AZ901" s="108"/>
      <c r="BA901" s="108"/>
      <c r="BB901" s="140"/>
      <c r="BF901" s="47"/>
      <c r="BL901" s="57"/>
      <c r="BO901" s="117"/>
      <c r="BX901" s="164"/>
    </row>
    <row r="902" spans="3:76" s="115" customFormat="1" x14ac:dyDescent="0.2">
      <c r="C902" s="164"/>
      <c r="M902" s="45"/>
      <c r="N902" s="45"/>
      <c r="O902" s="46"/>
      <c r="P902" s="46"/>
      <c r="Q902" s="45"/>
      <c r="R902" s="117"/>
      <c r="S902" s="45"/>
      <c r="T902" s="45"/>
      <c r="U902" s="119"/>
      <c r="V902" s="47"/>
      <c r="W902" s="47"/>
      <c r="X902" s="47"/>
      <c r="Y902" s="47"/>
      <c r="Z902" s="49"/>
      <c r="AA902" s="97"/>
      <c r="AF902" s="47"/>
      <c r="AG902" s="61"/>
      <c r="AH902" s="61"/>
      <c r="AI902" s="62"/>
      <c r="AJ902" s="47"/>
      <c r="AN902" s="47"/>
      <c r="AO902" s="61"/>
      <c r="AP902" s="61"/>
      <c r="AQ902" s="63"/>
      <c r="AR902" s="64"/>
      <c r="AS902" s="61"/>
      <c r="AT902" s="61"/>
      <c r="AU902" s="62"/>
      <c r="AV902" s="64"/>
      <c r="AW902" s="108"/>
      <c r="AX902" s="108"/>
      <c r="AY902" s="47"/>
      <c r="AZ902" s="108"/>
      <c r="BA902" s="108"/>
      <c r="BB902" s="140"/>
      <c r="BF902" s="47"/>
      <c r="BL902" s="57"/>
      <c r="BO902" s="117"/>
      <c r="BX902" s="164"/>
    </row>
    <row r="903" spans="3:76" s="115" customFormat="1" x14ac:dyDescent="0.2">
      <c r="C903" s="164"/>
      <c r="M903" s="45"/>
      <c r="N903" s="45"/>
      <c r="O903" s="46"/>
      <c r="P903" s="46"/>
      <c r="Q903" s="45"/>
      <c r="R903" s="117"/>
      <c r="S903" s="45"/>
      <c r="T903" s="45"/>
      <c r="U903" s="119"/>
      <c r="V903" s="47"/>
      <c r="W903" s="47"/>
      <c r="X903" s="47"/>
      <c r="Y903" s="47"/>
      <c r="Z903" s="49"/>
      <c r="AA903" s="97"/>
      <c r="AF903" s="47"/>
      <c r="AG903" s="61"/>
      <c r="AH903" s="61"/>
      <c r="AI903" s="62"/>
      <c r="AJ903" s="47"/>
      <c r="AN903" s="47"/>
      <c r="AO903" s="61"/>
      <c r="AP903" s="61"/>
      <c r="AQ903" s="63"/>
      <c r="AR903" s="64"/>
      <c r="AS903" s="61"/>
      <c r="AT903" s="61"/>
      <c r="AU903" s="62"/>
      <c r="AV903" s="64"/>
      <c r="AW903" s="108"/>
      <c r="AX903" s="108"/>
      <c r="AY903" s="47"/>
      <c r="AZ903" s="108"/>
      <c r="BA903" s="108"/>
      <c r="BB903" s="140"/>
      <c r="BF903" s="47"/>
      <c r="BL903" s="57"/>
      <c r="BO903" s="117"/>
      <c r="BX903" s="164"/>
    </row>
    <row r="904" spans="3:76" s="115" customFormat="1" x14ac:dyDescent="0.2">
      <c r="C904" s="164"/>
      <c r="M904" s="45"/>
      <c r="N904" s="45"/>
      <c r="O904" s="46"/>
      <c r="P904" s="46"/>
      <c r="Q904" s="45"/>
      <c r="R904" s="117"/>
      <c r="S904" s="45"/>
      <c r="T904" s="45"/>
      <c r="U904" s="119"/>
      <c r="V904" s="47"/>
      <c r="W904" s="47"/>
      <c r="X904" s="47"/>
      <c r="Y904" s="47"/>
      <c r="Z904" s="49"/>
      <c r="AA904" s="97"/>
      <c r="AF904" s="47"/>
      <c r="AG904" s="61"/>
      <c r="AH904" s="61"/>
      <c r="AI904" s="62"/>
      <c r="AJ904" s="47"/>
      <c r="AN904" s="47"/>
      <c r="AO904" s="61"/>
      <c r="AP904" s="61"/>
      <c r="AQ904" s="63"/>
      <c r="AR904" s="64"/>
      <c r="AS904" s="61"/>
      <c r="AT904" s="61"/>
      <c r="AU904" s="62"/>
      <c r="AV904" s="64"/>
      <c r="AW904" s="108"/>
      <c r="AX904" s="108"/>
      <c r="AY904" s="47"/>
      <c r="AZ904" s="108"/>
      <c r="BA904" s="108"/>
      <c r="BB904" s="140"/>
      <c r="BF904" s="47"/>
      <c r="BL904" s="57"/>
      <c r="BO904" s="117"/>
      <c r="BX904" s="164"/>
    </row>
    <row r="905" spans="3:76" s="115" customFormat="1" x14ac:dyDescent="0.2">
      <c r="C905" s="164"/>
      <c r="M905" s="45"/>
      <c r="N905" s="45"/>
      <c r="O905" s="46"/>
      <c r="P905" s="46"/>
      <c r="Q905" s="45"/>
      <c r="R905" s="117"/>
      <c r="S905" s="45"/>
      <c r="T905" s="45"/>
      <c r="U905" s="119"/>
      <c r="V905" s="47"/>
      <c r="W905" s="47"/>
      <c r="X905" s="47"/>
      <c r="Y905" s="47"/>
      <c r="Z905" s="49"/>
      <c r="AA905" s="97"/>
      <c r="AF905" s="47"/>
      <c r="AG905" s="61"/>
      <c r="AH905" s="61"/>
      <c r="AI905" s="62"/>
      <c r="AJ905" s="47"/>
      <c r="AN905" s="47"/>
      <c r="AO905" s="61"/>
      <c r="AP905" s="61"/>
      <c r="AQ905" s="63"/>
      <c r="AR905" s="64"/>
      <c r="AS905" s="61"/>
      <c r="AT905" s="61"/>
      <c r="AU905" s="62"/>
      <c r="AV905" s="64"/>
      <c r="AW905" s="108"/>
      <c r="AX905" s="108"/>
      <c r="AY905" s="47"/>
      <c r="AZ905" s="108"/>
      <c r="BA905" s="108"/>
      <c r="BB905" s="140"/>
      <c r="BF905" s="47"/>
      <c r="BL905" s="57"/>
      <c r="BO905" s="117"/>
      <c r="BX905" s="164"/>
    </row>
    <row r="906" spans="3:76" s="115" customFormat="1" x14ac:dyDescent="0.2">
      <c r="C906" s="164"/>
      <c r="M906" s="45"/>
      <c r="N906" s="45"/>
      <c r="O906" s="46"/>
      <c r="P906" s="46"/>
      <c r="Q906" s="45"/>
      <c r="R906" s="117"/>
      <c r="S906" s="45"/>
      <c r="T906" s="45"/>
      <c r="U906" s="119"/>
      <c r="V906" s="47"/>
      <c r="W906" s="47"/>
      <c r="X906" s="47"/>
      <c r="Y906" s="47"/>
      <c r="Z906" s="49"/>
      <c r="AA906" s="97"/>
      <c r="AF906" s="47"/>
      <c r="AG906" s="61"/>
      <c r="AH906" s="61"/>
      <c r="AI906" s="62"/>
      <c r="AJ906" s="47"/>
      <c r="AN906" s="47"/>
      <c r="AO906" s="61"/>
      <c r="AP906" s="61"/>
      <c r="AQ906" s="63"/>
      <c r="AR906" s="64"/>
      <c r="AS906" s="61"/>
      <c r="AT906" s="61"/>
      <c r="AU906" s="62"/>
      <c r="AV906" s="64"/>
      <c r="AW906" s="108"/>
      <c r="AX906" s="108"/>
      <c r="AY906" s="47"/>
      <c r="AZ906" s="108"/>
      <c r="BA906" s="108"/>
      <c r="BB906" s="140"/>
      <c r="BF906" s="47"/>
      <c r="BL906" s="57"/>
      <c r="BO906" s="117"/>
      <c r="BX906" s="164"/>
    </row>
    <row r="907" spans="3:76" s="115" customFormat="1" x14ac:dyDescent="0.2">
      <c r="C907" s="164"/>
      <c r="M907" s="45"/>
      <c r="N907" s="45"/>
      <c r="O907" s="46"/>
      <c r="P907" s="46"/>
      <c r="Q907" s="45"/>
      <c r="R907" s="117"/>
      <c r="S907" s="45"/>
      <c r="T907" s="45"/>
      <c r="U907" s="119"/>
      <c r="V907" s="47"/>
      <c r="W907" s="47"/>
      <c r="X907" s="47"/>
      <c r="Y907" s="47"/>
      <c r="Z907" s="49"/>
      <c r="AA907" s="97"/>
      <c r="AF907" s="47"/>
      <c r="AG907" s="61"/>
      <c r="AH907" s="61"/>
      <c r="AI907" s="62"/>
      <c r="AJ907" s="47"/>
      <c r="AN907" s="47"/>
      <c r="AO907" s="61"/>
      <c r="AP907" s="61"/>
      <c r="AQ907" s="63"/>
      <c r="AR907" s="64"/>
      <c r="AS907" s="61"/>
      <c r="AT907" s="61"/>
      <c r="AU907" s="62"/>
      <c r="AV907" s="64"/>
      <c r="AW907" s="108"/>
      <c r="AX907" s="108"/>
      <c r="AY907" s="47"/>
      <c r="AZ907" s="108"/>
      <c r="BA907" s="108"/>
      <c r="BB907" s="140"/>
      <c r="BF907" s="47"/>
      <c r="BL907" s="57"/>
      <c r="BO907" s="117"/>
      <c r="BX907" s="164"/>
    </row>
    <row r="908" spans="3:76" s="115" customFormat="1" x14ac:dyDescent="0.2">
      <c r="C908" s="164"/>
      <c r="M908" s="45"/>
      <c r="N908" s="45"/>
      <c r="O908" s="46"/>
      <c r="P908" s="46"/>
      <c r="Q908" s="45"/>
      <c r="R908" s="117"/>
      <c r="S908" s="45"/>
      <c r="T908" s="45"/>
      <c r="U908" s="119"/>
      <c r="V908" s="47"/>
      <c r="W908" s="47"/>
      <c r="X908" s="47"/>
      <c r="Y908" s="47"/>
      <c r="Z908" s="49"/>
      <c r="AA908" s="97"/>
      <c r="AF908" s="47"/>
      <c r="AG908" s="61"/>
      <c r="AH908" s="61"/>
      <c r="AI908" s="62"/>
      <c r="AJ908" s="47"/>
      <c r="AN908" s="47"/>
      <c r="AO908" s="61"/>
      <c r="AP908" s="61"/>
      <c r="AQ908" s="63"/>
      <c r="AR908" s="64"/>
      <c r="AS908" s="61"/>
      <c r="AT908" s="61"/>
      <c r="AU908" s="62"/>
      <c r="AV908" s="64"/>
      <c r="AW908" s="108"/>
      <c r="AX908" s="108"/>
      <c r="AY908" s="47"/>
      <c r="AZ908" s="108"/>
      <c r="BA908" s="108"/>
      <c r="BB908" s="140"/>
      <c r="BF908" s="47"/>
      <c r="BL908" s="57"/>
      <c r="BO908" s="117"/>
      <c r="BX908" s="164"/>
    </row>
    <row r="909" spans="3:76" s="115" customFormat="1" x14ac:dyDescent="0.2">
      <c r="C909" s="164"/>
      <c r="M909" s="45"/>
      <c r="N909" s="45"/>
      <c r="O909" s="46"/>
      <c r="P909" s="46"/>
      <c r="Q909" s="45"/>
      <c r="R909" s="117"/>
      <c r="S909" s="45"/>
      <c r="T909" s="45"/>
      <c r="U909" s="119"/>
      <c r="V909" s="47"/>
      <c r="W909" s="47"/>
      <c r="X909" s="47"/>
      <c r="Y909" s="47"/>
      <c r="Z909" s="49"/>
      <c r="AA909" s="97"/>
      <c r="AF909" s="47"/>
      <c r="AG909" s="61"/>
      <c r="AH909" s="61"/>
      <c r="AI909" s="62"/>
      <c r="AJ909" s="47"/>
      <c r="AN909" s="47"/>
      <c r="AO909" s="61"/>
      <c r="AP909" s="61"/>
      <c r="AQ909" s="63"/>
      <c r="AR909" s="64"/>
      <c r="AS909" s="61"/>
      <c r="AT909" s="61"/>
      <c r="AU909" s="62"/>
      <c r="AV909" s="64"/>
      <c r="AW909" s="108"/>
      <c r="AX909" s="108"/>
      <c r="AY909" s="47"/>
      <c r="AZ909" s="108"/>
      <c r="BA909" s="108"/>
      <c r="BB909" s="140"/>
      <c r="BF909" s="47"/>
      <c r="BL909" s="57"/>
      <c r="BO909" s="117"/>
      <c r="BX909" s="164"/>
    </row>
    <row r="910" spans="3:76" s="115" customFormat="1" x14ac:dyDescent="0.2">
      <c r="C910" s="164"/>
      <c r="M910" s="45"/>
      <c r="N910" s="45"/>
      <c r="O910" s="46"/>
      <c r="P910" s="46"/>
      <c r="Q910" s="45"/>
      <c r="R910" s="117"/>
      <c r="S910" s="45"/>
      <c r="T910" s="45"/>
      <c r="U910" s="119"/>
      <c r="V910" s="47"/>
      <c r="W910" s="47"/>
      <c r="X910" s="47"/>
      <c r="Y910" s="47"/>
      <c r="Z910" s="49"/>
      <c r="AA910" s="97"/>
      <c r="AF910" s="47"/>
      <c r="AG910" s="61"/>
      <c r="AH910" s="61"/>
      <c r="AI910" s="62"/>
      <c r="AJ910" s="47"/>
      <c r="AN910" s="47"/>
      <c r="AO910" s="61"/>
      <c r="AP910" s="61"/>
      <c r="AQ910" s="63"/>
      <c r="AR910" s="64"/>
      <c r="AS910" s="61"/>
      <c r="AT910" s="61"/>
      <c r="AU910" s="62"/>
      <c r="AV910" s="64"/>
      <c r="AW910" s="108"/>
      <c r="AX910" s="108"/>
      <c r="AY910" s="47"/>
      <c r="AZ910" s="108"/>
      <c r="BA910" s="108"/>
      <c r="BB910" s="140"/>
      <c r="BF910" s="47"/>
      <c r="BL910" s="57"/>
      <c r="BO910" s="117"/>
      <c r="BX910" s="164"/>
    </row>
    <row r="911" spans="3:76" s="115" customFormat="1" x14ac:dyDescent="0.2">
      <c r="C911" s="164"/>
      <c r="M911" s="45"/>
      <c r="N911" s="45"/>
      <c r="O911" s="46"/>
      <c r="P911" s="46"/>
      <c r="Q911" s="45"/>
      <c r="R911" s="117"/>
      <c r="S911" s="45"/>
      <c r="T911" s="45"/>
      <c r="U911" s="119"/>
      <c r="V911" s="47"/>
      <c r="W911" s="47"/>
      <c r="X911" s="47"/>
      <c r="Y911" s="47"/>
      <c r="Z911" s="49"/>
      <c r="AA911" s="97"/>
      <c r="AF911" s="47"/>
      <c r="AG911" s="61"/>
      <c r="AH911" s="61"/>
      <c r="AI911" s="62"/>
      <c r="AJ911" s="47"/>
      <c r="AN911" s="47"/>
      <c r="AO911" s="61"/>
      <c r="AP911" s="61"/>
      <c r="AQ911" s="63"/>
      <c r="AR911" s="64"/>
      <c r="AS911" s="61"/>
      <c r="AT911" s="61"/>
      <c r="AU911" s="62"/>
      <c r="AV911" s="64"/>
      <c r="AW911" s="108"/>
      <c r="AX911" s="108"/>
      <c r="AY911" s="47"/>
      <c r="AZ911" s="108"/>
      <c r="BA911" s="108"/>
      <c r="BB911" s="140"/>
      <c r="BF911" s="47"/>
      <c r="BL911" s="57"/>
      <c r="BO911" s="117"/>
      <c r="BX911" s="164"/>
    </row>
    <row r="912" spans="3:76" s="115" customFormat="1" x14ac:dyDescent="0.2">
      <c r="C912" s="164"/>
      <c r="M912" s="45"/>
      <c r="N912" s="45"/>
      <c r="O912" s="46"/>
      <c r="P912" s="46"/>
      <c r="Q912" s="45"/>
      <c r="R912" s="117"/>
      <c r="S912" s="45"/>
      <c r="T912" s="45"/>
      <c r="U912" s="119"/>
      <c r="V912" s="47"/>
      <c r="W912" s="47"/>
      <c r="X912" s="47"/>
      <c r="Y912" s="47"/>
      <c r="Z912" s="49"/>
      <c r="AA912" s="97"/>
      <c r="AF912" s="47"/>
      <c r="AG912" s="61"/>
      <c r="AH912" s="61"/>
      <c r="AI912" s="62"/>
      <c r="AJ912" s="47"/>
      <c r="AN912" s="47"/>
      <c r="AO912" s="61"/>
      <c r="AP912" s="61"/>
      <c r="AQ912" s="63"/>
      <c r="AR912" s="64"/>
      <c r="AS912" s="61"/>
      <c r="AT912" s="61"/>
      <c r="AU912" s="62"/>
      <c r="AV912" s="64"/>
      <c r="AW912" s="108"/>
      <c r="AX912" s="108"/>
      <c r="AY912" s="47"/>
      <c r="AZ912" s="108"/>
      <c r="BA912" s="108"/>
      <c r="BB912" s="140"/>
      <c r="BF912" s="47"/>
      <c r="BL912" s="57"/>
      <c r="BO912" s="117"/>
      <c r="BX912" s="164"/>
    </row>
    <row r="913" spans="3:76" s="115" customFormat="1" x14ac:dyDescent="0.2">
      <c r="C913" s="164"/>
      <c r="M913" s="45"/>
      <c r="N913" s="45"/>
      <c r="O913" s="46"/>
      <c r="P913" s="46"/>
      <c r="Q913" s="45"/>
      <c r="R913" s="117"/>
      <c r="S913" s="45"/>
      <c r="T913" s="45"/>
      <c r="U913" s="119"/>
      <c r="V913" s="47"/>
      <c r="W913" s="47"/>
      <c r="X913" s="47"/>
      <c r="Y913" s="47"/>
      <c r="Z913" s="49"/>
      <c r="AA913" s="97"/>
      <c r="AF913" s="47"/>
      <c r="AG913" s="61"/>
      <c r="AH913" s="61"/>
      <c r="AI913" s="62"/>
      <c r="AJ913" s="47"/>
      <c r="AN913" s="47"/>
      <c r="AO913" s="61"/>
      <c r="AP913" s="61"/>
      <c r="AQ913" s="63"/>
      <c r="AR913" s="64"/>
      <c r="AS913" s="61"/>
      <c r="AT913" s="61"/>
      <c r="AU913" s="62"/>
      <c r="AV913" s="64"/>
      <c r="AW913" s="108"/>
      <c r="AX913" s="108"/>
      <c r="AY913" s="47"/>
      <c r="AZ913" s="108"/>
      <c r="BA913" s="108"/>
      <c r="BB913" s="140"/>
      <c r="BF913" s="47"/>
      <c r="BL913" s="57"/>
      <c r="BO913" s="117"/>
      <c r="BX913" s="164"/>
    </row>
    <row r="914" spans="3:76" s="115" customFormat="1" x14ac:dyDescent="0.2">
      <c r="C914" s="164"/>
      <c r="M914" s="45"/>
      <c r="N914" s="45"/>
      <c r="O914" s="46"/>
      <c r="P914" s="46"/>
      <c r="Q914" s="45"/>
      <c r="R914" s="117"/>
      <c r="S914" s="45"/>
      <c r="T914" s="45"/>
      <c r="U914" s="119"/>
      <c r="V914" s="47"/>
      <c r="W914" s="47"/>
      <c r="X914" s="47"/>
      <c r="Y914" s="47"/>
      <c r="Z914" s="49"/>
      <c r="AA914" s="97"/>
      <c r="AF914" s="47"/>
      <c r="AG914" s="61"/>
      <c r="AH914" s="61"/>
      <c r="AI914" s="62"/>
      <c r="AJ914" s="47"/>
      <c r="AN914" s="47"/>
      <c r="AO914" s="61"/>
      <c r="AP914" s="61"/>
      <c r="AQ914" s="63"/>
      <c r="AR914" s="64"/>
      <c r="AS914" s="61"/>
      <c r="AT914" s="61"/>
      <c r="AU914" s="62"/>
      <c r="AV914" s="64"/>
      <c r="AW914" s="108"/>
      <c r="AX914" s="108"/>
      <c r="AY914" s="47"/>
      <c r="AZ914" s="108"/>
      <c r="BA914" s="108"/>
      <c r="BB914" s="140"/>
      <c r="BF914" s="47"/>
      <c r="BL914" s="57"/>
      <c r="BO914" s="117"/>
      <c r="BX914" s="164"/>
    </row>
    <row r="915" spans="3:76" s="115" customFormat="1" x14ac:dyDescent="0.2">
      <c r="C915" s="164"/>
      <c r="M915" s="45"/>
      <c r="N915" s="45"/>
      <c r="O915" s="46"/>
      <c r="P915" s="46"/>
      <c r="Q915" s="45"/>
      <c r="R915" s="117"/>
      <c r="S915" s="45"/>
      <c r="T915" s="45"/>
      <c r="U915" s="119"/>
      <c r="V915" s="47"/>
      <c r="W915" s="47"/>
      <c r="X915" s="47"/>
      <c r="Y915" s="47"/>
      <c r="Z915" s="49"/>
      <c r="AA915" s="97"/>
      <c r="AF915" s="47"/>
      <c r="AG915" s="61"/>
      <c r="AH915" s="61"/>
      <c r="AI915" s="62"/>
      <c r="AJ915" s="47"/>
      <c r="AN915" s="47"/>
      <c r="AO915" s="61"/>
      <c r="AP915" s="61"/>
      <c r="AQ915" s="63"/>
      <c r="AR915" s="64"/>
      <c r="AS915" s="61"/>
      <c r="AT915" s="61"/>
      <c r="AU915" s="62"/>
      <c r="AV915" s="64"/>
      <c r="AW915" s="108"/>
      <c r="AX915" s="108"/>
      <c r="AY915" s="47"/>
      <c r="AZ915" s="108"/>
      <c r="BA915" s="108"/>
      <c r="BB915" s="140"/>
      <c r="BF915" s="47"/>
      <c r="BL915" s="57"/>
      <c r="BO915" s="117"/>
      <c r="BX915" s="164"/>
    </row>
    <row r="916" spans="3:76" s="115" customFormat="1" x14ac:dyDescent="0.2">
      <c r="C916" s="164"/>
      <c r="M916" s="45"/>
      <c r="N916" s="45"/>
      <c r="O916" s="46"/>
      <c r="P916" s="46"/>
      <c r="Q916" s="45"/>
      <c r="R916" s="117"/>
      <c r="S916" s="45"/>
      <c r="T916" s="45"/>
      <c r="U916" s="119"/>
      <c r="V916" s="47"/>
      <c r="W916" s="47"/>
      <c r="X916" s="47"/>
      <c r="Y916" s="47"/>
      <c r="Z916" s="49"/>
      <c r="AA916" s="97"/>
      <c r="AF916" s="47"/>
      <c r="AG916" s="61"/>
      <c r="AH916" s="61"/>
      <c r="AI916" s="62"/>
      <c r="AJ916" s="47"/>
      <c r="AN916" s="47"/>
      <c r="AO916" s="61"/>
      <c r="AP916" s="61"/>
      <c r="AQ916" s="63"/>
      <c r="AR916" s="64"/>
      <c r="AS916" s="61"/>
      <c r="AT916" s="61"/>
      <c r="AU916" s="62"/>
      <c r="AV916" s="64"/>
      <c r="AW916" s="108"/>
      <c r="AX916" s="108"/>
      <c r="AY916" s="47"/>
      <c r="AZ916" s="108"/>
      <c r="BA916" s="108"/>
      <c r="BB916" s="140"/>
      <c r="BF916" s="47"/>
      <c r="BL916" s="57"/>
      <c r="BO916" s="117"/>
      <c r="BX916" s="164"/>
    </row>
    <row r="917" spans="3:76" s="115" customFormat="1" x14ac:dyDescent="0.2">
      <c r="C917" s="164"/>
      <c r="M917" s="45"/>
      <c r="N917" s="45"/>
      <c r="O917" s="46"/>
      <c r="P917" s="46"/>
      <c r="Q917" s="45"/>
      <c r="R917" s="117"/>
      <c r="S917" s="45"/>
      <c r="T917" s="45"/>
      <c r="U917" s="119"/>
      <c r="V917" s="47"/>
      <c r="W917" s="47"/>
      <c r="X917" s="47"/>
      <c r="Y917" s="47"/>
      <c r="Z917" s="49"/>
      <c r="AA917" s="97"/>
      <c r="AF917" s="47"/>
      <c r="AG917" s="61"/>
      <c r="AH917" s="61"/>
      <c r="AI917" s="62"/>
      <c r="AJ917" s="47"/>
      <c r="AN917" s="47"/>
      <c r="AO917" s="61"/>
      <c r="AP917" s="61"/>
      <c r="AQ917" s="63"/>
      <c r="AR917" s="64"/>
      <c r="AS917" s="61"/>
      <c r="AT917" s="61"/>
      <c r="AU917" s="62"/>
      <c r="AV917" s="64"/>
      <c r="AW917" s="108"/>
      <c r="AX917" s="108"/>
      <c r="AY917" s="47"/>
      <c r="AZ917" s="108"/>
      <c r="BA917" s="108"/>
      <c r="BB917" s="140"/>
      <c r="BF917" s="47"/>
      <c r="BL917" s="57"/>
      <c r="BO917" s="117"/>
      <c r="BX917" s="164"/>
    </row>
    <row r="918" spans="3:76" s="115" customFormat="1" x14ac:dyDescent="0.2">
      <c r="C918" s="164"/>
      <c r="M918" s="45"/>
      <c r="N918" s="45"/>
      <c r="O918" s="46"/>
      <c r="P918" s="46"/>
      <c r="Q918" s="45"/>
      <c r="R918" s="117"/>
      <c r="S918" s="45"/>
      <c r="T918" s="45"/>
      <c r="U918" s="119"/>
      <c r="V918" s="47"/>
      <c r="W918" s="47"/>
      <c r="X918" s="47"/>
      <c r="Y918" s="47"/>
      <c r="Z918" s="49"/>
      <c r="AA918" s="97"/>
      <c r="AF918" s="47"/>
      <c r="AG918" s="61"/>
      <c r="AH918" s="61"/>
      <c r="AI918" s="62"/>
      <c r="AJ918" s="47"/>
      <c r="AN918" s="47"/>
      <c r="AO918" s="61"/>
      <c r="AP918" s="61"/>
      <c r="AQ918" s="63"/>
      <c r="AR918" s="64"/>
      <c r="AS918" s="61"/>
      <c r="AT918" s="61"/>
      <c r="AU918" s="62"/>
      <c r="AV918" s="64"/>
      <c r="AW918" s="108"/>
      <c r="AX918" s="108"/>
      <c r="AY918" s="47"/>
      <c r="AZ918" s="108"/>
      <c r="BA918" s="108"/>
      <c r="BB918" s="140"/>
      <c r="BF918" s="47"/>
      <c r="BL918" s="57"/>
      <c r="BO918" s="117"/>
      <c r="BX918" s="164"/>
    </row>
    <row r="919" spans="3:76" s="115" customFormat="1" x14ac:dyDescent="0.2">
      <c r="C919" s="164"/>
      <c r="M919" s="45"/>
      <c r="N919" s="45"/>
      <c r="O919" s="46"/>
      <c r="P919" s="46"/>
      <c r="Q919" s="45"/>
      <c r="R919" s="117"/>
      <c r="S919" s="45"/>
      <c r="T919" s="45"/>
      <c r="U919" s="119"/>
      <c r="V919" s="47"/>
      <c r="W919" s="47"/>
      <c r="X919" s="47"/>
      <c r="Y919" s="47"/>
      <c r="Z919" s="49"/>
      <c r="AA919" s="97"/>
      <c r="AF919" s="47"/>
      <c r="AG919" s="61"/>
      <c r="AH919" s="61"/>
      <c r="AI919" s="62"/>
      <c r="AJ919" s="47"/>
      <c r="AN919" s="47"/>
      <c r="AO919" s="61"/>
      <c r="AP919" s="61"/>
      <c r="AQ919" s="63"/>
      <c r="AR919" s="64"/>
      <c r="AS919" s="61"/>
      <c r="AT919" s="61"/>
      <c r="AU919" s="62"/>
      <c r="AV919" s="64"/>
      <c r="AW919" s="108"/>
      <c r="AX919" s="108"/>
      <c r="AY919" s="47"/>
      <c r="AZ919" s="108"/>
      <c r="BA919" s="108"/>
      <c r="BB919" s="140"/>
      <c r="BF919" s="47"/>
      <c r="BL919" s="57"/>
      <c r="BO919" s="117"/>
      <c r="BX919" s="164"/>
    </row>
    <row r="920" spans="3:76" s="115" customFormat="1" x14ac:dyDescent="0.2">
      <c r="C920" s="164"/>
      <c r="M920" s="45"/>
      <c r="N920" s="45"/>
      <c r="O920" s="46"/>
      <c r="P920" s="46"/>
      <c r="Q920" s="45"/>
      <c r="R920" s="117"/>
      <c r="S920" s="45"/>
      <c r="T920" s="45"/>
      <c r="U920" s="119"/>
      <c r="V920" s="47"/>
      <c r="W920" s="47"/>
      <c r="X920" s="47"/>
      <c r="Y920" s="47"/>
      <c r="Z920" s="49"/>
      <c r="AA920" s="97"/>
      <c r="AF920" s="47"/>
      <c r="AG920" s="61"/>
      <c r="AH920" s="61"/>
      <c r="AI920" s="62"/>
      <c r="AJ920" s="47"/>
      <c r="AN920" s="47"/>
      <c r="AO920" s="61"/>
      <c r="AP920" s="61"/>
      <c r="AQ920" s="63"/>
      <c r="AR920" s="64"/>
      <c r="AS920" s="61"/>
      <c r="AT920" s="61"/>
      <c r="AU920" s="62"/>
      <c r="AV920" s="64"/>
      <c r="AW920" s="108"/>
      <c r="AX920" s="108"/>
      <c r="AY920" s="47"/>
      <c r="AZ920" s="108"/>
      <c r="BA920" s="108"/>
      <c r="BB920" s="140"/>
      <c r="BF920" s="47"/>
      <c r="BL920" s="57"/>
      <c r="BO920" s="117"/>
      <c r="BX920" s="164"/>
    </row>
    <row r="921" spans="3:76" s="115" customFormat="1" x14ac:dyDescent="0.2">
      <c r="C921" s="164"/>
      <c r="M921" s="45"/>
      <c r="N921" s="45"/>
      <c r="O921" s="46"/>
      <c r="P921" s="46"/>
      <c r="Q921" s="45"/>
      <c r="R921" s="117"/>
      <c r="S921" s="45"/>
      <c r="T921" s="45"/>
      <c r="U921" s="119"/>
      <c r="V921" s="47"/>
      <c r="W921" s="47"/>
      <c r="X921" s="47"/>
      <c r="Y921" s="47"/>
      <c r="Z921" s="49"/>
      <c r="AA921" s="97"/>
      <c r="AF921" s="47"/>
      <c r="AG921" s="61"/>
      <c r="AH921" s="61"/>
      <c r="AI921" s="62"/>
      <c r="AJ921" s="47"/>
      <c r="AN921" s="47"/>
      <c r="AO921" s="61"/>
      <c r="AP921" s="61"/>
      <c r="AQ921" s="63"/>
      <c r="AR921" s="64"/>
      <c r="AS921" s="61"/>
      <c r="AT921" s="61"/>
      <c r="AU921" s="62"/>
      <c r="AV921" s="64"/>
      <c r="AW921" s="108"/>
      <c r="AX921" s="108"/>
      <c r="AY921" s="47"/>
      <c r="AZ921" s="108"/>
      <c r="BA921" s="108"/>
      <c r="BB921" s="140"/>
      <c r="BF921" s="47"/>
      <c r="BL921" s="57"/>
      <c r="BO921" s="117"/>
      <c r="BX921" s="164"/>
    </row>
    <row r="922" spans="3:76" s="115" customFormat="1" x14ac:dyDescent="0.2">
      <c r="C922" s="164"/>
      <c r="M922" s="45"/>
      <c r="N922" s="45"/>
      <c r="O922" s="46"/>
      <c r="P922" s="46"/>
      <c r="Q922" s="45"/>
      <c r="R922" s="117"/>
      <c r="S922" s="45"/>
      <c r="T922" s="45"/>
      <c r="U922" s="119"/>
      <c r="V922" s="47"/>
      <c r="W922" s="47"/>
      <c r="X922" s="47"/>
      <c r="Y922" s="47"/>
      <c r="Z922" s="49"/>
      <c r="AA922" s="97"/>
      <c r="AF922" s="47"/>
      <c r="AG922" s="61"/>
      <c r="AH922" s="61"/>
      <c r="AI922" s="62"/>
      <c r="AJ922" s="47"/>
      <c r="AN922" s="47"/>
      <c r="AO922" s="61"/>
      <c r="AP922" s="61"/>
      <c r="AQ922" s="63"/>
      <c r="AR922" s="64"/>
      <c r="AS922" s="61"/>
      <c r="AT922" s="61"/>
      <c r="AU922" s="62"/>
      <c r="AV922" s="64"/>
      <c r="AW922" s="108"/>
      <c r="AX922" s="108"/>
      <c r="AY922" s="47"/>
      <c r="AZ922" s="108"/>
      <c r="BA922" s="108"/>
      <c r="BB922" s="140"/>
      <c r="BF922" s="47"/>
      <c r="BL922" s="57"/>
      <c r="BO922" s="117"/>
      <c r="BX922" s="164"/>
    </row>
    <row r="923" spans="3:76" s="115" customFormat="1" x14ac:dyDescent="0.2">
      <c r="C923" s="164"/>
      <c r="M923" s="45"/>
      <c r="N923" s="45"/>
      <c r="O923" s="46"/>
      <c r="P923" s="46"/>
      <c r="Q923" s="45"/>
      <c r="R923" s="117"/>
      <c r="S923" s="45"/>
      <c r="T923" s="45"/>
      <c r="U923" s="119"/>
      <c r="V923" s="47"/>
      <c r="W923" s="47"/>
      <c r="X923" s="47"/>
      <c r="Y923" s="47"/>
      <c r="Z923" s="49"/>
      <c r="AA923" s="97"/>
      <c r="AF923" s="47"/>
      <c r="AG923" s="61"/>
      <c r="AH923" s="61"/>
      <c r="AI923" s="62"/>
      <c r="AJ923" s="47"/>
      <c r="AN923" s="47"/>
      <c r="AO923" s="61"/>
      <c r="AP923" s="61"/>
      <c r="AQ923" s="63"/>
      <c r="AR923" s="64"/>
      <c r="AS923" s="61"/>
      <c r="AT923" s="61"/>
      <c r="AU923" s="62"/>
      <c r="AV923" s="64"/>
      <c r="AW923" s="108"/>
      <c r="AX923" s="108"/>
      <c r="AY923" s="47"/>
      <c r="AZ923" s="108"/>
      <c r="BA923" s="108"/>
      <c r="BB923" s="140"/>
      <c r="BF923" s="47"/>
      <c r="BL923" s="57"/>
      <c r="BO923" s="117"/>
      <c r="BX923" s="164"/>
    </row>
    <row r="924" spans="3:76" s="115" customFormat="1" x14ac:dyDescent="0.2">
      <c r="C924" s="164"/>
      <c r="M924" s="45"/>
      <c r="N924" s="45"/>
      <c r="O924" s="46"/>
      <c r="P924" s="46"/>
      <c r="Q924" s="45"/>
      <c r="R924" s="117"/>
      <c r="S924" s="45"/>
      <c r="T924" s="45"/>
      <c r="U924" s="119"/>
      <c r="V924" s="47"/>
      <c r="W924" s="47"/>
      <c r="X924" s="47"/>
      <c r="Y924" s="47"/>
      <c r="Z924" s="49"/>
      <c r="AA924" s="97"/>
      <c r="AF924" s="47"/>
      <c r="AG924" s="61"/>
      <c r="AH924" s="61"/>
      <c r="AI924" s="62"/>
      <c r="AJ924" s="47"/>
      <c r="AN924" s="47"/>
      <c r="AO924" s="61"/>
      <c r="AP924" s="61"/>
      <c r="AQ924" s="63"/>
      <c r="AR924" s="64"/>
      <c r="AS924" s="61"/>
      <c r="AT924" s="61"/>
      <c r="AU924" s="62"/>
      <c r="AV924" s="64"/>
      <c r="AW924" s="108"/>
      <c r="AX924" s="108"/>
      <c r="AY924" s="47"/>
      <c r="AZ924" s="108"/>
      <c r="BA924" s="108"/>
      <c r="BB924" s="140"/>
      <c r="BF924" s="47"/>
      <c r="BL924" s="57"/>
      <c r="BO924" s="117"/>
      <c r="BX924" s="164"/>
    </row>
    <row r="925" spans="3:76" s="115" customFormat="1" x14ac:dyDescent="0.2">
      <c r="C925" s="164"/>
      <c r="M925" s="45"/>
      <c r="N925" s="45"/>
      <c r="O925" s="46"/>
      <c r="P925" s="46"/>
      <c r="Q925" s="45"/>
      <c r="R925" s="117"/>
      <c r="S925" s="45"/>
      <c r="T925" s="45"/>
      <c r="U925" s="119"/>
      <c r="V925" s="47"/>
      <c r="W925" s="47"/>
      <c r="X925" s="47"/>
      <c r="Y925" s="47"/>
      <c r="Z925" s="49"/>
      <c r="AA925" s="97"/>
      <c r="AF925" s="47"/>
      <c r="AG925" s="61"/>
      <c r="AH925" s="61"/>
      <c r="AI925" s="62"/>
      <c r="AJ925" s="47"/>
      <c r="AN925" s="47"/>
      <c r="AO925" s="61"/>
      <c r="AP925" s="61"/>
      <c r="AQ925" s="63"/>
      <c r="AR925" s="64"/>
      <c r="AS925" s="61"/>
      <c r="AT925" s="61"/>
      <c r="AU925" s="62"/>
      <c r="AV925" s="64"/>
      <c r="AW925" s="108"/>
      <c r="AX925" s="108"/>
      <c r="AY925" s="47"/>
      <c r="AZ925" s="108"/>
      <c r="BA925" s="108"/>
      <c r="BB925" s="140"/>
      <c r="BF925" s="47"/>
      <c r="BL925" s="57"/>
      <c r="BO925" s="117"/>
      <c r="BX925" s="164"/>
    </row>
    <row r="926" spans="3:76" s="115" customFormat="1" x14ac:dyDescent="0.2">
      <c r="C926" s="164"/>
      <c r="M926" s="45"/>
      <c r="N926" s="45"/>
      <c r="O926" s="46"/>
      <c r="P926" s="46"/>
      <c r="Q926" s="45"/>
      <c r="R926" s="117"/>
      <c r="S926" s="45"/>
      <c r="T926" s="45"/>
      <c r="U926" s="119"/>
      <c r="V926" s="47"/>
      <c r="W926" s="47"/>
      <c r="X926" s="47"/>
      <c r="Y926" s="47"/>
      <c r="Z926" s="49"/>
      <c r="AA926" s="97"/>
      <c r="AF926" s="47"/>
      <c r="AG926" s="61"/>
      <c r="AH926" s="61"/>
      <c r="AI926" s="62"/>
      <c r="AJ926" s="47"/>
      <c r="AN926" s="47"/>
      <c r="AO926" s="61"/>
      <c r="AP926" s="61"/>
      <c r="AQ926" s="63"/>
      <c r="AR926" s="64"/>
      <c r="AS926" s="61"/>
      <c r="AT926" s="61"/>
      <c r="AU926" s="62"/>
      <c r="AV926" s="64"/>
      <c r="AW926" s="108"/>
      <c r="AX926" s="108"/>
      <c r="AY926" s="47"/>
      <c r="AZ926" s="108"/>
      <c r="BA926" s="108"/>
      <c r="BB926" s="140"/>
      <c r="BF926" s="47"/>
      <c r="BL926" s="57"/>
      <c r="BO926" s="117"/>
      <c r="BX926" s="164"/>
    </row>
    <row r="927" spans="3:76" s="115" customFormat="1" x14ac:dyDescent="0.2">
      <c r="C927" s="164"/>
      <c r="M927" s="45"/>
      <c r="N927" s="45"/>
      <c r="O927" s="46"/>
      <c r="P927" s="46"/>
      <c r="Q927" s="45"/>
      <c r="R927" s="117"/>
      <c r="S927" s="45"/>
      <c r="T927" s="45"/>
      <c r="U927" s="119"/>
      <c r="V927" s="47"/>
      <c r="W927" s="47"/>
      <c r="X927" s="47"/>
      <c r="Y927" s="47"/>
      <c r="Z927" s="49"/>
      <c r="AA927" s="97"/>
      <c r="AF927" s="47"/>
      <c r="AG927" s="61"/>
      <c r="AH927" s="61"/>
      <c r="AI927" s="62"/>
      <c r="AJ927" s="47"/>
      <c r="AN927" s="47"/>
      <c r="AO927" s="61"/>
      <c r="AP927" s="61"/>
      <c r="AQ927" s="63"/>
      <c r="AR927" s="64"/>
      <c r="AS927" s="61"/>
      <c r="AT927" s="61"/>
      <c r="AU927" s="62"/>
      <c r="AV927" s="64"/>
      <c r="AW927" s="108"/>
      <c r="AX927" s="108"/>
      <c r="AY927" s="47"/>
      <c r="AZ927" s="108"/>
      <c r="BA927" s="108"/>
      <c r="BB927" s="140"/>
      <c r="BF927" s="47"/>
      <c r="BL927" s="57"/>
      <c r="BO927" s="117"/>
      <c r="BX927" s="164"/>
    </row>
    <row r="928" spans="3:76" s="115" customFormat="1" x14ac:dyDescent="0.2">
      <c r="C928" s="164"/>
      <c r="M928" s="45"/>
      <c r="N928" s="45"/>
      <c r="O928" s="46"/>
      <c r="P928" s="46"/>
      <c r="Q928" s="45"/>
      <c r="R928" s="117"/>
      <c r="S928" s="45"/>
      <c r="T928" s="45"/>
      <c r="U928" s="119"/>
      <c r="V928" s="47"/>
      <c r="W928" s="47"/>
      <c r="X928" s="47"/>
      <c r="Y928" s="47"/>
      <c r="Z928" s="49"/>
      <c r="AA928" s="97"/>
      <c r="AF928" s="47"/>
      <c r="AG928" s="61"/>
      <c r="AH928" s="61"/>
      <c r="AI928" s="62"/>
      <c r="AJ928" s="47"/>
      <c r="AN928" s="47"/>
      <c r="AO928" s="61"/>
      <c r="AP928" s="61"/>
      <c r="AQ928" s="63"/>
      <c r="AR928" s="64"/>
      <c r="AS928" s="61"/>
      <c r="AT928" s="61"/>
      <c r="AU928" s="62"/>
      <c r="AV928" s="64"/>
      <c r="AW928" s="108"/>
      <c r="AX928" s="108"/>
      <c r="AY928" s="47"/>
      <c r="AZ928" s="108"/>
      <c r="BA928" s="108"/>
      <c r="BB928" s="140"/>
      <c r="BF928" s="47"/>
      <c r="BL928" s="57"/>
      <c r="BO928" s="117"/>
      <c r="BX928" s="164"/>
    </row>
    <row r="929" spans="3:76" s="115" customFormat="1" x14ac:dyDescent="0.2">
      <c r="C929" s="164"/>
      <c r="M929" s="45"/>
      <c r="N929" s="45"/>
      <c r="O929" s="46"/>
      <c r="P929" s="46"/>
      <c r="Q929" s="45"/>
      <c r="R929" s="117"/>
      <c r="S929" s="45"/>
      <c r="T929" s="45"/>
      <c r="U929" s="119"/>
      <c r="V929" s="47"/>
      <c r="W929" s="47"/>
      <c r="X929" s="47"/>
      <c r="Y929" s="47"/>
      <c r="Z929" s="49"/>
      <c r="AA929" s="97"/>
      <c r="AF929" s="47"/>
      <c r="AG929" s="61"/>
      <c r="AH929" s="61"/>
      <c r="AI929" s="62"/>
      <c r="AJ929" s="47"/>
      <c r="AN929" s="47"/>
      <c r="AO929" s="61"/>
      <c r="AP929" s="61"/>
      <c r="AQ929" s="63"/>
      <c r="AR929" s="64"/>
      <c r="AS929" s="61"/>
      <c r="AT929" s="61"/>
      <c r="AU929" s="62"/>
      <c r="AV929" s="64"/>
      <c r="AW929" s="108"/>
      <c r="AX929" s="108"/>
      <c r="AY929" s="47"/>
      <c r="AZ929" s="108"/>
      <c r="BA929" s="108"/>
      <c r="BB929" s="140"/>
      <c r="BF929" s="47"/>
      <c r="BL929" s="57"/>
      <c r="BO929" s="117"/>
      <c r="BX929" s="164"/>
    </row>
    <row r="930" spans="3:76" s="115" customFormat="1" x14ac:dyDescent="0.2">
      <c r="C930" s="164"/>
      <c r="M930" s="45"/>
      <c r="N930" s="45"/>
      <c r="O930" s="46"/>
      <c r="P930" s="46"/>
      <c r="Q930" s="45"/>
      <c r="R930" s="117"/>
      <c r="S930" s="45"/>
      <c r="T930" s="45"/>
      <c r="U930" s="119"/>
      <c r="V930" s="47"/>
      <c r="W930" s="47"/>
      <c r="X930" s="47"/>
      <c r="Y930" s="47"/>
      <c r="Z930" s="49"/>
      <c r="AA930" s="97"/>
      <c r="AF930" s="47"/>
      <c r="AG930" s="61"/>
      <c r="AH930" s="61"/>
      <c r="AI930" s="62"/>
      <c r="AJ930" s="47"/>
      <c r="AN930" s="47"/>
      <c r="AO930" s="61"/>
      <c r="AP930" s="61"/>
      <c r="AQ930" s="63"/>
      <c r="AR930" s="64"/>
      <c r="AS930" s="61"/>
      <c r="AT930" s="61"/>
      <c r="AU930" s="62"/>
      <c r="AV930" s="64"/>
      <c r="AW930" s="108"/>
      <c r="AX930" s="108"/>
      <c r="AY930" s="47"/>
      <c r="AZ930" s="108"/>
      <c r="BA930" s="108"/>
      <c r="BB930" s="140"/>
      <c r="BF930" s="47"/>
      <c r="BL930" s="57"/>
      <c r="BO930" s="117"/>
      <c r="BX930" s="164"/>
    </row>
    <row r="931" spans="3:76" s="115" customFormat="1" x14ac:dyDescent="0.2">
      <c r="C931" s="164"/>
      <c r="M931" s="45"/>
      <c r="N931" s="45"/>
      <c r="O931" s="46"/>
      <c r="P931" s="46"/>
      <c r="Q931" s="45"/>
      <c r="R931" s="117"/>
      <c r="S931" s="45"/>
      <c r="T931" s="45"/>
      <c r="U931" s="119"/>
      <c r="V931" s="47"/>
      <c r="W931" s="47"/>
      <c r="X931" s="47"/>
      <c r="Y931" s="47"/>
      <c r="Z931" s="49"/>
      <c r="AA931" s="97"/>
      <c r="AF931" s="47"/>
      <c r="AG931" s="61"/>
      <c r="AH931" s="61"/>
      <c r="AI931" s="62"/>
      <c r="AJ931" s="47"/>
      <c r="AN931" s="47"/>
      <c r="AO931" s="61"/>
      <c r="AP931" s="61"/>
      <c r="AQ931" s="63"/>
      <c r="AR931" s="64"/>
      <c r="AS931" s="61"/>
      <c r="AT931" s="61"/>
      <c r="AU931" s="62"/>
      <c r="AV931" s="64"/>
      <c r="AW931" s="108"/>
      <c r="AX931" s="108"/>
      <c r="AY931" s="47"/>
      <c r="AZ931" s="108"/>
      <c r="BA931" s="108"/>
      <c r="BB931" s="140"/>
      <c r="BF931" s="47"/>
      <c r="BL931" s="57"/>
      <c r="BO931" s="117"/>
      <c r="BX931" s="164"/>
    </row>
    <row r="932" spans="3:76" s="115" customFormat="1" x14ac:dyDescent="0.2">
      <c r="C932" s="164"/>
      <c r="M932" s="45"/>
      <c r="N932" s="45"/>
      <c r="O932" s="46"/>
      <c r="P932" s="46"/>
      <c r="Q932" s="45"/>
      <c r="R932" s="117"/>
      <c r="S932" s="45"/>
      <c r="T932" s="45"/>
      <c r="U932" s="119"/>
      <c r="V932" s="47"/>
      <c r="W932" s="47"/>
      <c r="X932" s="47"/>
      <c r="Y932" s="47"/>
      <c r="Z932" s="49"/>
      <c r="AA932" s="97"/>
      <c r="AF932" s="47"/>
      <c r="AG932" s="61"/>
      <c r="AH932" s="61"/>
      <c r="AI932" s="62"/>
      <c r="AJ932" s="47"/>
      <c r="AN932" s="47"/>
      <c r="AO932" s="61"/>
      <c r="AP932" s="61"/>
      <c r="AQ932" s="63"/>
      <c r="AR932" s="64"/>
      <c r="AS932" s="61"/>
      <c r="AT932" s="61"/>
      <c r="AU932" s="62"/>
      <c r="AV932" s="64"/>
      <c r="AW932" s="108"/>
      <c r="AX932" s="108"/>
      <c r="AY932" s="47"/>
      <c r="AZ932" s="108"/>
      <c r="BA932" s="108"/>
      <c r="BB932" s="140"/>
      <c r="BF932" s="47"/>
      <c r="BL932" s="57"/>
      <c r="BO932" s="117"/>
      <c r="BX932" s="164"/>
    </row>
    <row r="933" spans="3:76" s="115" customFormat="1" x14ac:dyDescent="0.2">
      <c r="C933" s="164"/>
      <c r="M933" s="45"/>
      <c r="N933" s="45"/>
      <c r="O933" s="46"/>
      <c r="P933" s="46"/>
      <c r="Q933" s="45"/>
      <c r="R933" s="117"/>
      <c r="S933" s="45"/>
      <c r="T933" s="45"/>
      <c r="U933" s="119"/>
      <c r="V933" s="47"/>
      <c r="W933" s="47"/>
      <c r="X933" s="47"/>
      <c r="Y933" s="47"/>
      <c r="Z933" s="49"/>
      <c r="AA933" s="97"/>
      <c r="AF933" s="47"/>
      <c r="AG933" s="61"/>
      <c r="AH933" s="61"/>
      <c r="AI933" s="62"/>
      <c r="AJ933" s="47"/>
      <c r="AN933" s="47"/>
      <c r="AO933" s="61"/>
      <c r="AP933" s="61"/>
      <c r="AQ933" s="63"/>
      <c r="AR933" s="64"/>
      <c r="AS933" s="61"/>
      <c r="AT933" s="61"/>
      <c r="AU933" s="62"/>
      <c r="AV933" s="64"/>
      <c r="AW933" s="108"/>
      <c r="AX933" s="108"/>
      <c r="AY933" s="47"/>
      <c r="AZ933" s="108"/>
      <c r="BA933" s="108"/>
      <c r="BB933" s="140"/>
      <c r="BF933" s="47"/>
      <c r="BL933" s="57"/>
      <c r="BO933" s="117"/>
      <c r="BX933" s="164"/>
    </row>
    <row r="934" spans="3:76" s="115" customFormat="1" x14ac:dyDescent="0.2">
      <c r="C934" s="164"/>
      <c r="M934" s="45"/>
      <c r="N934" s="45"/>
      <c r="O934" s="46"/>
      <c r="P934" s="46"/>
      <c r="Q934" s="45"/>
      <c r="R934" s="117"/>
      <c r="S934" s="45"/>
      <c r="T934" s="45"/>
      <c r="U934" s="119"/>
      <c r="V934" s="47"/>
      <c r="W934" s="47"/>
      <c r="X934" s="47"/>
      <c r="Y934" s="47"/>
      <c r="Z934" s="49"/>
      <c r="AA934" s="97"/>
      <c r="AF934" s="47"/>
      <c r="AG934" s="61"/>
      <c r="AH934" s="61"/>
      <c r="AI934" s="62"/>
      <c r="AJ934" s="47"/>
      <c r="AN934" s="47"/>
      <c r="AO934" s="61"/>
      <c r="AP934" s="61"/>
      <c r="AQ934" s="63"/>
      <c r="AR934" s="64"/>
      <c r="AS934" s="61"/>
      <c r="AT934" s="61"/>
      <c r="AU934" s="62"/>
      <c r="AV934" s="64"/>
      <c r="AW934" s="108"/>
      <c r="AX934" s="108"/>
      <c r="AY934" s="47"/>
      <c r="AZ934" s="108"/>
      <c r="BA934" s="108"/>
      <c r="BB934" s="140"/>
      <c r="BF934" s="47"/>
      <c r="BL934" s="57"/>
      <c r="BO934" s="117"/>
      <c r="BX934" s="164"/>
    </row>
    <row r="935" spans="3:76" s="115" customFormat="1" x14ac:dyDescent="0.2">
      <c r="C935" s="164"/>
      <c r="M935" s="45"/>
      <c r="N935" s="45"/>
      <c r="O935" s="46"/>
      <c r="P935" s="46"/>
      <c r="Q935" s="45"/>
      <c r="R935" s="117"/>
      <c r="S935" s="45"/>
      <c r="T935" s="45"/>
      <c r="U935" s="119"/>
      <c r="V935" s="47"/>
      <c r="W935" s="47"/>
      <c r="X935" s="47"/>
      <c r="Y935" s="47"/>
      <c r="Z935" s="49"/>
      <c r="AA935" s="97"/>
      <c r="AF935" s="47"/>
      <c r="AG935" s="61"/>
      <c r="AH935" s="61"/>
      <c r="AI935" s="62"/>
      <c r="AJ935" s="47"/>
      <c r="AN935" s="47"/>
      <c r="AO935" s="61"/>
      <c r="AP935" s="61"/>
      <c r="AQ935" s="63"/>
      <c r="AR935" s="64"/>
      <c r="AS935" s="61"/>
      <c r="AT935" s="61"/>
      <c r="AU935" s="62"/>
      <c r="AV935" s="64"/>
      <c r="AW935" s="108"/>
      <c r="AX935" s="108"/>
      <c r="AY935" s="47"/>
      <c r="AZ935" s="108"/>
      <c r="BA935" s="108"/>
      <c r="BB935" s="140"/>
      <c r="BF935" s="47"/>
      <c r="BL935" s="57"/>
      <c r="BO935" s="117"/>
      <c r="BX935" s="164"/>
    </row>
    <row r="936" spans="3:76" s="115" customFormat="1" x14ac:dyDescent="0.2">
      <c r="C936" s="164"/>
      <c r="M936" s="45"/>
      <c r="N936" s="45"/>
      <c r="O936" s="46"/>
      <c r="P936" s="46"/>
      <c r="Q936" s="45"/>
      <c r="R936" s="117"/>
      <c r="S936" s="45"/>
      <c r="T936" s="45"/>
      <c r="U936" s="119"/>
      <c r="V936" s="47"/>
      <c r="W936" s="47"/>
      <c r="X936" s="47"/>
      <c r="Y936" s="47"/>
      <c r="Z936" s="49"/>
      <c r="AA936" s="97"/>
      <c r="AF936" s="47"/>
      <c r="AG936" s="61"/>
      <c r="AH936" s="61"/>
      <c r="AI936" s="62"/>
      <c r="AJ936" s="47"/>
      <c r="AN936" s="47"/>
      <c r="AO936" s="61"/>
      <c r="AP936" s="61"/>
      <c r="AQ936" s="63"/>
      <c r="AR936" s="64"/>
      <c r="AS936" s="61"/>
      <c r="AT936" s="61"/>
      <c r="AU936" s="62"/>
      <c r="AV936" s="64"/>
      <c r="AW936" s="108"/>
      <c r="AX936" s="108"/>
      <c r="AY936" s="47"/>
      <c r="AZ936" s="108"/>
      <c r="BA936" s="108"/>
      <c r="BB936" s="140"/>
      <c r="BF936" s="47"/>
      <c r="BL936" s="57"/>
      <c r="BO936" s="117"/>
      <c r="BX936" s="164"/>
    </row>
    <row r="937" spans="3:76" s="115" customFormat="1" x14ac:dyDescent="0.2">
      <c r="C937" s="164"/>
      <c r="M937" s="45"/>
      <c r="N937" s="45"/>
      <c r="O937" s="46"/>
      <c r="P937" s="46"/>
      <c r="Q937" s="45"/>
      <c r="R937" s="117"/>
      <c r="S937" s="45"/>
      <c r="T937" s="45"/>
      <c r="U937" s="119"/>
      <c r="V937" s="47"/>
      <c r="W937" s="47"/>
      <c r="X937" s="47"/>
      <c r="Y937" s="47"/>
      <c r="Z937" s="49"/>
      <c r="AA937" s="97"/>
      <c r="AF937" s="47"/>
      <c r="AG937" s="61"/>
      <c r="AH937" s="61"/>
      <c r="AI937" s="62"/>
      <c r="AJ937" s="47"/>
      <c r="AN937" s="47"/>
      <c r="AO937" s="61"/>
      <c r="AP937" s="61"/>
      <c r="AQ937" s="63"/>
      <c r="AR937" s="64"/>
      <c r="AS937" s="61"/>
      <c r="AT937" s="61"/>
      <c r="AU937" s="62"/>
      <c r="AV937" s="64"/>
      <c r="AW937" s="108"/>
      <c r="AX937" s="108"/>
      <c r="AY937" s="47"/>
      <c r="AZ937" s="108"/>
      <c r="BA937" s="108"/>
      <c r="BB937" s="140"/>
      <c r="BF937" s="47"/>
      <c r="BL937" s="57"/>
      <c r="BO937" s="117"/>
      <c r="BX937" s="164"/>
    </row>
    <row r="938" spans="3:76" s="115" customFormat="1" x14ac:dyDescent="0.2">
      <c r="C938" s="164"/>
      <c r="M938" s="45"/>
      <c r="N938" s="45"/>
      <c r="O938" s="46"/>
      <c r="P938" s="46"/>
      <c r="Q938" s="45"/>
      <c r="R938" s="117"/>
      <c r="S938" s="45"/>
      <c r="T938" s="45"/>
      <c r="U938" s="119"/>
      <c r="V938" s="47"/>
      <c r="W938" s="47"/>
      <c r="X938" s="47"/>
      <c r="Y938" s="47"/>
      <c r="Z938" s="49"/>
      <c r="AA938" s="97"/>
      <c r="AF938" s="47"/>
      <c r="AG938" s="61"/>
      <c r="AH938" s="61"/>
      <c r="AI938" s="62"/>
      <c r="AJ938" s="47"/>
      <c r="AN938" s="47"/>
      <c r="AO938" s="61"/>
      <c r="AP938" s="61"/>
      <c r="AQ938" s="63"/>
      <c r="AR938" s="64"/>
      <c r="AS938" s="61"/>
      <c r="AT938" s="61"/>
      <c r="AU938" s="62"/>
      <c r="AV938" s="64"/>
      <c r="AW938" s="108"/>
      <c r="AX938" s="108"/>
      <c r="AY938" s="47"/>
      <c r="AZ938" s="108"/>
      <c r="BA938" s="108"/>
      <c r="BB938" s="140"/>
      <c r="BF938" s="47"/>
      <c r="BL938" s="57"/>
      <c r="BO938" s="117"/>
      <c r="BX938" s="164"/>
    </row>
    <row r="939" spans="3:76" s="115" customFormat="1" x14ac:dyDescent="0.2">
      <c r="C939" s="164"/>
      <c r="M939" s="45"/>
      <c r="N939" s="45"/>
      <c r="O939" s="46"/>
      <c r="P939" s="46"/>
      <c r="Q939" s="45"/>
      <c r="R939" s="117"/>
      <c r="S939" s="45"/>
      <c r="T939" s="45"/>
      <c r="U939" s="119"/>
      <c r="V939" s="47"/>
      <c r="W939" s="47"/>
      <c r="X939" s="47"/>
      <c r="Y939" s="47"/>
      <c r="Z939" s="49"/>
      <c r="AA939" s="97"/>
      <c r="AF939" s="47"/>
      <c r="AG939" s="61"/>
      <c r="AH939" s="61"/>
      <c r="AI939" s="62"/>
      <c r="AJ939" s="47"/>
      <c r="AN939" s="47"/>
      <c r="AO939" s="61"/>
      <c r="AP939" s="61"/>
      <c r="AQ939" s="63"/>
      <c r="AR939" s="64"/>
      <c r="AS939" s="61"/>
      <c r="AT939" s="61"/>
      <c r="AU939" s="62"/>
      <c r="AV939" s="64"/>
      <c r="AW939" s="108"/>
      <c r="AX939" s="108"/>
      <c r="AY939" s="47"/>
      <c r="AZ939" s="108"/>
      <c r="BA939" s="108"/>
      <c r="BB939" s="140"/>
      <c r="BF939" s="47"/>
      <c r="BL939" s="57"/>
      <c r="BO939" s="117"/>
      <c r="BX939" s="164"/>
    </row>
    <row r="940" spans="3:76" s="115" customFormat="1" x14ac:dyDescent="0.2">
      <c r="C940" s="164"/>
      <c r="M940" s="45"/>
      <c r="N940" s="45"/>
      <c r="O940" s="46"/>
      <c r="P940" s="46"/>
      <c r="Q940" s="45"/>
      <c r="R940" s="117"/>
      <c r="S940" s="45"/>
      <c r="T940" s="45"/>
      <c r="U940" s="119"/>
      <c r="V940" s="47"/>
      <c r="W940" s="47"/>
      <c r="X940" s="47"/>
      <c r="Y940" s="47"/>
      <c r="Z940" s="49"/>
      <c r="AA940" s="97"/>
      <c r="AF940" s="47"/>
      <c r="AG940" s="61"/>
      <c r="AH940" s="61"/>
      <c r="AI940" s="62"/>
      <c r="AJ940" s="47"/>
      <c r="AN940" s="47"/>
      <c r="AO940" s="61"/>
      <c r="AP940" s="61"/>
      <c r="AQ940" s="63"/>
      <c r="AR940" s="64"/>
      <c r="AS940" s="61"/>
      <c r="AT940" s="61"/>
      <c r="AU940" s="62"/>
      <c r="AV940" s="64"/>
      <c r="AW940" s="108"/>
      <c r="AX940" s="108"/>
      <c r="AY940" s="47"/>
      <c r="AZ940" s="108"/>
      <c r="BA940" s="108"/>
      <c r="BB940" s="140"/>
      <c r="BF940" s="47"/>
      <c r="BL940" s="57"/>
      <c r="BO940" s="117"/>
      <c r="BX940" s="164"/>
    </row>
    <row r="941" spans="3:76" s="115" customFormat="1" x14ac:dyDescent="0.2">
      <c r="C941" s="164"/>
      <c r="M941" s="45"/>
      <c r="N941" s="45"/>
      <c r="O941" s="46"/>
      <c r="P941" s="46"/>
      <c r="Q941" s="45"/>
      <c r="R941" s="117"/>
      <c r="S941" s="45"/>
      <c r="T941" s="45"/>
      <c r="U941" s="119"/>
      <c r="V941" s="47"/>
      <c r="W941" s="47"/>
      <c r="X941" s="47"/>
      <c r="Y941" s="47"/>
      <c r="Z941" s="49"/>
      <c r="AA941" s="97"/>
      <c r="AF941" s="47"/>
      <c r="AG941" s="61"/>
      <c r="AH941" s="61"/>
      <c r="AI941" s="62"/>
      <c r="AJ941" s="47"/>
      <c r="AN941" s="47"/>
      <c r="AO941" s="61"/>
      <c r="AP941" s="61"/>
      <c r="AQ941" s="63"/>
      <c r="AR941" s="64"/>
      <c r="AS941" s="61"/>
      <c r="AT941" s="61"/>
      <c r="AU941" s="62"/>
      <c r="AV941" s="64"/>
      <c r="AW941" s="108"/>
      <c r="AX941" s="108"/>
      <c r="AY941" s="47"/>
      <c r="AZ941" s="108"/>
      <c r="BA941" s="108"/>
      <c r="BB941" s="140"/>
      <c r="BF941" s="47"/>
      <c r="BL941" s="57"/>
      <c r="BO941" s="117"/>
      <c r="BX941" s="164"/>
    </row>
    <row r="942" spans="3:76" s="115" customFormat="1" x14ac:dyDescent="0.2">
      <c r="C942" s="164"/>
      <c r="M942" s="45"/>
      <c r="N942" s="45"/>
      <c r="O942" s="46"/>
      <c r="P942" s="46"/>
      <c r="Q942" s="45"/>
      <c r="R942" s="117"/>
      <c r="S942" s="45"/>
      <c r="T942" s="45"/>
      <c r="U942" s="119"/>
      <c r="V942" s="47"/>
      <c r="W942" s="47"/>
      <c r="X942" s="47"/>
      <c r="Y942" s="47"/>
      <c r="Z942" s="49"/>
      <c r="AA942" s="97"/>
      <c r="AF942" s="47"/>
      <c r="AG942" s="61"/>
      <c r="AH942" s="61"/>
      <c r="AI942" s="62"/>
      <c r="AJ942" s="47"/>
      <c r="AN942" s="47"/>
      <c r="AO942" s="61"/>
      <c r="AP942" s="61"/>
      <c r="AQ942" s="63"/>
      <c r="AR942" s="64"/>
      <c r="AS942" s="61"/>
      <c r="AT942" s="61"/>
      <c r="AU942" s="62"/>
      <c r="AV942" s="64"/>
      <c r="AW942" s="108"/>
      <c r="AX942" s="108"/>
      <c r="AY942" s="47"/>
      <c r="AZ942" s="108"/>
      <c r="BA942" s="108"/>
      <c r="BB942" s="140"/>
      <c r="BF942" s="47"/>
      <c r="BL942" s="57"/>
      <c r="BO942" s="117"/>
      <c r="BX942" s="164"/>
    </row>
    <row r="943" spans="3:76" s="115" customFormat="1" x14ac:dyDescent="0.2">
      <c r="C943" s="164"/>
      <c r="M943" s="45"/>
      <c r="N943" s="45"/>
      <c r="O943" s="46"/>
      <c r="P943" s="46"/>
      <c r="Q943" s="45"/>
      <c r="R943" s="117"/>
      <c r="S943" s="45"/>
      <c r="T943" s="45"/>
      <c r="U943" s="119"/>
      <c r="V943" s="47"/>
      <c r="W943" s="47"/>
      <c r="X943" s="47"/>
      <c r="Y943" s="47"/>
      <c r="Z943" s="49"/>
      <c r="AA943" s="97"/>
      <c r="AF943" s="47"/>
      <c r="AG943" s="61"/>
      <c r="AH943" s="61"/>
      <c r="AI943" s="62"/>
      <c r="AJ943" s="47"/>
      <c r="AN943" s="47"/>
      <c r="AO943" s="61"/>
      <c r="AP943" s="61"/>
      <c r="AQ943" s="63"/>
      <c r="AR943" s="64"/>
      <c r="AS943" s="61"/>
      <c r="AT943" s="61"/>
      <c r="AU943" s="62"/>
      <c r="AV943" s="64"/>
      <c r="AW943" s="108"/>
      <c r="AX943" s="108"/>
      <c r="AY943" s="47"/>
      <c r="AZ943" s="108"/>
      <c r="BA943" s="108"/>
      <c r="BB943" s="140"/>
      <c r="BF943" s="47"/>
      <c r="BL943" s="57"/>
      <c r="BO943" s="117"/>
      <c r="BX943" s="164"/>
    </row>
    <row r="944" spans="3:76" s="115" customFormat="1" x14ac:dyDescent="0.2">
      <c r="C944" s="164"/>
      <c r="M944" s="45"/>
      <c r="N944" s="45"/>
      <c r="O944" s="46"/>
      <c r="P944" s="46"/>
      <c r="Q944" s="45"/>
      <c r="R944" s="117"/>
      <c r="S944" s="45"/>
      <c r="T944" s="45"/>
      <c r="U944" s="119"/>
      <c r="V944" s="47"/>
      <c r="W944" s="47"/>
      <c r="X944" s="47"/>
      <c r="Y944" s="47"/>
      <c r="Z944" s="49"/>
      <c r="AA944" s="97"/>
      <c r="AF944" s="47"/>
      <c r="AG944" s="61"/>
      <c r="AH944" s="61"/>
      <c r="AI944" s="62"/>
      <c r="AJ944" s="47"/>
      <c r="AN944" s="47"/>
      <c r="AO944" s="61"/>
      <c r="AP944" s="61"/>
      <c r="AQ944" s="63"/>
      <c r="AR944" s="64"/>
      <c r="AS944" s="61"/>
      <c r="AT944" s="61"/>
      <c r="AU944" s="62"/>
      <c r="AV944" s="64"/>
      <c r="AW944" s="108"/>
      <c r="AX944" s="108"/>
      <c r="AY944" s="47"/>
      <c r="AZ944" s="108"/>
      <c r="BA944" s="108"/>
      <c r="BB944" s="140"/>
      <c r="BF944" s="47"/>
      <c r="BL944" s="57"/>
      <c r="BO944" s="117"/>
      <c r="BX944" s="164"/>
    </row>
    <row r="945" spans="3:76" s="115" customFormat="1" x14ac:dyDescent="0.2">
      <c r="C945" s="164"/>
      <c r="M945" s="45"/>
      <c r="N945" s="45"/>
      <c r="O945" s="46"/>
      <c r="P945" s="46"/>
      <c r="Q945" s="45"/>
      <c r="R945" s="117"/>
      <c r="S945" s="45"/>
      <c r="T945" s="45"/>
      <c r="U945" s="119"/>
      <c r="V945" s="47"/>
      <c r="W945" s="47"/>
      <c r="X945" s="47"/>
      <c r="Y945" s="47"/>
      <c r="Z945" s="49"/>
      <c r="AA945" s="97"/>
      <c r="AF945" s="47"/>
      <c r="AG945" s="61"/>
      <c r="AH945" s="61"/>
      <c r="AI945" s="62"/>
      <c r="AJ945" s="47"/>
      <c r="AN945" s="47"/>
      <c r="AO945" s="61"/>
      <c r="AP945" s="61"/>
      <c r="AQ945" s="63"/>
      <c r="AR945" s="64"/>
      <c r="AS945" s="61"/>
      <c r="AT945" s="61"/>
      <c r="AU945" s="62"/>
      <c r="AV945" s="64"/>
      <c r="AW945" s="108"/>
      <c r="AX945" s="108"/>
      <c r="AY945" s="47"/>
      <c r="AZ945" s="108"/>
      <c r="BA945" s="108"/>
      <c r="BB945" s="140"/>
      <c r="BF945" s="47"/>
      <c r="BL945" s="57"/>
      <c r="BO945" s="117"/>
      <c r="BX945" s="164"/>
    </row>
    <row r="946" spans="3:76" s="115" customFormat="1" x14ac:dyDescent="0.2">
      <c r="C946" s="164"/>
      <c r="M946" s="45"/>
      <c r="N946" s="45"/>
      <c r="O946" s="46"/>
      <c r="P946" s="46"/>
      <c r="Q946" s="45"/>
      <c r="R946" s="117"/>
      <c r="S946" s="45"/>
      <c r="T946" s="45"/>
      <c r="U946" s="119"/>
      <c r="V946" s="47"/>
      <c r="W946" s="47"/>
      <c r="X946" s="47"/>
      <c r="Y946" s="47"/>
      <c r="Z946" s="49"/>
      <c r="AA946" s="97"/>
      <c r="AF946" s="47"/>
      <c r="AG946" s="61"/>
      <c r="AH946" s="61"/>
      <c r="AI946" s="62"/>
      <c r="AJ946" s="47"/>
      <c r="AN946" s="47"/>
      <c r="AO946" s="61"/>
      <c r="AP946" s="61"/>
      <c r="AQ946" s="63"/>
      <c r="AR946" s="64"/>
      <c r="AS946" s="61"/>
      <c r="AT946" s="61"/>
      <c r="AU946" s="62"/>
      <c r="AV946" s="64"/>
      <c r="AW946" s="108"/>
      <c r="AX946" s="108"/>
      <c r="AY946" s="47"/>
      <c r="AZ946" s="108"/>
      <c r="BA946" s="108"/>
      <c r="BB946" s="140"/>
      <c r="BF946" s="47"/>
      <c r="BL946" s="57"/>
      <c r="BO946" s="117"/>
      <c r="BX946" s="164"/>
    </row>
    <row r="947" spans="3:76" s="115" customFormat="1" x14ac:dyDescent="0.2">
      <c r="C947" s="164"/>
      <c r="M947" s="45"/>
      <c r="N947" s="45"/>
      <c r="O947" s="46"/>
      <c r="P947" s="46"/>
      <c r="Q947" s="45"/>
      <c r="R947" s="117"/>
      <c r="S947" s="45"/>
      <c r="T947" s="45"/>
      <c r="U947" s="119"/>
      <c r="V947" s="47"/>
      <c r="W947" s="47"/>
      <c r="X947" s="47"/>
      <c r="Y947" s="47"/>
      <c r="Z947" s="49"/>
      <c r="AA947" s="97"/>
      <c r="AF947" s="47"/>
      <c r="AG947" s="61"/>
      <c r="AH947" s="61"/>
      <c r="AI947" s="62"/>
      <c r="AJ947" s="47"/>
      <c r="AN947" s="47"/>
      <c r="AO947" s="61"/>
      <c r="AP947" s="61"/>
      <c r="AQ947" s="63"/>
      <c r="AR947" s="64"/>
      <c r="AS947" s="61"/>
      <c r="AT947" s="61"/>
      <c r="AU947" s="62"/>
      <c r="AV947" s="64"/>
      <c r="AW947" s="108"/>
      <c r="AX947" s="108"/>
      <c r="AY947" s="47"/>
      <c r="AZ947" s="108"/>
      <c r="BA947" s="108"/>
      <c r="BB947" s="140"/>
      <c r="BF947" s="47"/>
      <c r="BL947" s="57"/>
      <c r="BO947" s="117"/>
      <c r="BX947" s="164"/>
    </row>
    <row r="948" spans="3:76" s="115" customFormat="1" x14ac:dyDescent="0.2">
      <c r="C948" s="164"/>
      <c r="M948" s="45"/>
      <c r="N948" s="45"/>
      <c r="O948" s="46"/>
      <c r="P948" s="46"/>
      <c r="Q948" s="45"/>
      <c r="R948" s="117"/>
      <c r="S948" s="45"/>
      <c r="T948" s="45"/>
      <c r="U948" s="119"/>
      <c r="V948" s="47"/>
      <c r="W948" s="47"/>
      <c r="X948" s="47"/>
      <c r="Y948" s="47"/>
      <c r="Z948" s="49"/>
      <c r="AA948" s="97"/>
      <c r="AF948" s="47"/>
      <c r="AG948" s="61"/>
      <c r="AH948" s="61"/>
      <c r="AI948" s="62"/>
      <c r="AJ948" s="47"/>
      <c r="AN948" s="47"/>
      <c r="AO948" s="61"/>
      <c r="AP948" s="61"/>
      <c r="AQ948" s="63"/>
      <c r="AR948" s="64"/>
      <c r="AS948" s="61"/>
      <c r="AT948" s="61"/>
      <c r="AU948" s="62"/>
      <c r="AV948" s="64"/>
      <c r="AW948" s="108"/>
      <c r="AX948" s="108"/>
      <c r="AY948" s="47"/>
      <c r="AZ948" s="108"/>
      <c r="BA948" s="108"/>
      <c r="BB948" s="140"/>
      <c r="BF948" s="47"/>
      <c r="BL948" s="57"/>
      <c r="BO948" s="117"/>
      <c r="BX948" s="164"/>
    </row>
    <row r="949" spans="3:76" s="115" customFormat="1" x14ac:dyDescent="0.2">
      <c r="C949" s="164"/>
      <c r="M949" s="45"/>
      <c r="N949" s="45"/>
      <c r="O949" s="46"/>
      <c r="P949" s="46"/>
      <c r="Q949" s="45"/>
      <c r="R949" s="117"/>
      <c r="S949" s="45"/>
      <c r="T949" s="45"/>
      <c r="U949" s="119"/>
      <c r="V949" s="47"/>
      <c r="W949" s="47"/>
      <c r="X949" s="47"/>
      <c r="Y949" s="47"/>
      <c r="Z949" s="49"/>
      <c r="AA949" s="97"/>
      <c r="AF949" s="47"/>
      <c r="AG949" s="61"/>
      <c r="AH949" s="61"/>
      <c r="AI949" s="62"/>
      <c r="AJ949" s="47"/>
      <c r="AN949" s="47"/>
      <c r="AO949" s="61"/>
      <c r="AP949" s="61"/>
      <c r="AQ949" s="63"/>
      <c r="AR949" s="64"/>
      <c r="AS949" s="61"/>
      <c r="AT949" s="61"/>
      <c r="AU949" s="62"/>
      <c r="AV949" s="64"/>
      <c r="AW949" s="108"/>
      <c r="AX949" s="108"/>
      <c r="AY949" s="47"/>
      <c r="AZ949" s="108"/>
      <c r="BA949" s="108"/>
      <c r="BB949" s="140"/>
      <c r="BF949" s="47"/>
      <c r="BL949" s="57"/>
      <c r="BO949" s="117"/>
      <c r="BX949" s="164"/>
    </row>
    <row r="950" spans="3:76" s="115" customFormat="1" x14ac:dyDescent="0.2">
      <c r="C950" s="164"/>
      <c r="M950" s="45"/>
      <c r="N950" s="45"/>
      <c r="O950" s="46"/>
      <c r="P950" s="46"/>
      <c r="Q950" s="45"/>
      <c r="R950" s="117"/>
      <c r="S950" s="45"/>
      <c r="T950" s="45"/>
      <c r="U950" s="119"/>
      <c r="V950" s="47"/>
      <c r="W950" s="47"/>
      <c r="X950" s="47"/>
      <c r="Y950" s="47"/>
      <c r="Z950" s="49"/>
      <c r="AA950" s="97"/>
      <c r="AF950" s="47"/>
      <c r="AG950" s="61"/>
      <c r="AH950" s="61"/>
      <c r="AI950" s="62"/>
      <c r="AJ950" s="47"/>
      <c r="AN950" s="47"/>
      <c r="AO950" s="61"/>
      <c r="AP950" s="61"/>
      <c r="AQ950" s="63"/>
      <c r="AR950" s="64"/>
      <c r="AS950" s="61"/>
      <c r="AT950" s="61"/>
      <c r="AU950" s="62"/>
      <c r="AV950" s="64"/>
      <c r="AW950" s="108"/>
      <c r="AX950" s="108"/>
      <c r="AY950" s="47"/>
      <c r="AZ950" s="108"/>
      <c r="BA950" s="108"/>
      <c r="BB950" s="140"/>
      <c r="BF950" s="47"/>
      <c r="BL950" s="57"/>
      <c r="BO950" s="117"/>
      <c r="BX950" s="164"/>
    </row>
    <row r="951" spans="3:76" s="115" customFormat="1" x14ac:dyDescent="0.2">
      <c r="C951" s="164"/>
      <c r="M951" s="45"/>
      <c r="N951" s="45"/>
      <c r="O951" s="46"/>
      <c r="P951" s="46"/>
      <c r="Q951" s="45"/>
      <c r="R951" s="117"/>
      <c r="S951" s="45"/>
      <c r="T951" s="45"/>
      <c r="U951" s="119"/>
      <c r="V951" s="47"/>
      <c r="W951" s="47"/>
      <c r="X951" s="47"/>
      <c r="Y951" s="47"/>
      <c r="Z951" s="49"/>
      <c r="AA951" s="97"/>
      <c r="AF951" s="47"/>
      <c r="AG951" s="61"/>
      <c r="AH951" s="61"/>
      <c r="AI951" s="62"/>
      <c r="AJ951" s="47"/>
      <c r="AN951" s="47"/>
      <c r="AO951" s="61"/>
      <c r="AP951" s="61"/>
      <c r="AQ951" s="63"/>
      <c r="AR951" s="64"/>
      <c r="AS951" s="61"/>
      <c r="AT951" s="61"/>
      <c r="AU951" s="62"/>
      <c r="AV951" s="64"/>
      <c r="AW951" s="108"/>
      <c r="AX951" s="108"/>
      <c r="AY951" s="47"/>
      <c r="AZ951" s="108"/>
      <c r="BA951" s="108"/>
      <c r="BB951" s="140"/>
      <c r="BF951" s="47"/>
      <c r="BL951" s="57"/>
      <c r="BO951" s="117"/>
      <c r="BX951" s="164"/>
    </row>
    <row r="952" spans="3:76" s="115" customFormat="1" x14ac:dyDescent="0.2">
      <c r="C952" s="164"/>
      <c r="M952" s="45"/>
      <c r="N952" s="45"/>
      <c r="O952" s="46"/>
      <c r="P952" s="46"/>
      <c r="Q952" s="45"/>
      <c r="R952" s="117"/>
      <c r="S952" s="45"/>
      <c r="T952" s="45"/>
      <c r="U952" s="119"/>
      <c r="V952" s="47"/>
      <c r="W952" s="47"/>
      <c r="X952" s="47"/>
      <c r="Y952" s="47"/>
      <c r="Z952" s="49"/>
      <c r="AA952" s="97"/>
      <c r="AF952" s="47"/>
      <c r="AG952" s="61"/>
      <c r="AH952" s="61"/>
      <c r="AI952" s="62"/>
      <c r="AJ952" s="47"/>
      <c r="AN952" s="47"/>
      <c r="AO952" s="61"/>
      <c r="AP952" s="61"/>
      <c r="AQ952" s="63"/>
      <c r="AR952" s="64"/>
      <c r="AS952" s="61"/>
      <c r="AT952" s="61"/>
      <c r="AU952" s="62"/>
      <c r="AV952" s="64"/>
      <c r="AW952" s="108"/>
      <c r="AX952" s="108"/>
      <c r="AY952" s="47"/>
      <c r="AZ952" s="108"/>
      <c r="BA952" s="108"/>
      <c r="BB952" s="140"/>
      <c r="BF952" s="47"/>
      <c r="BL952" s="57"/>
      <c r="BO952" s="117"/>
      <c r="BX952" s="164"/>
    </row>
    <row r="953" spans="3:76" s="115" customFormat="1" x14ac:dyDescent="0.2">
      <c r="C953" s="164"/>
      <c r="M953" s="45"/>
      <c r="N953" s="45"/>
      <c r="O953" s="46"/>
      <c r="P953" s="46"/>
      <c r="Q953" s="45"/>
      <c r="R953" s="117"/>
      <c r="S953" s="45"/>
      <c r="T953" s="45"/>
      <c r="U953" s="119"/>
      <c r="V953" s="47"/>
      <c r="W953" s="47"/>
      <c r="X953" s="47"/>
      <c r="Y953" s="47"/>
      <c r="Z953" s="49"/>
      <c r="AA953" s="97"/>
      <c r="AF953" s="47"/>
      <c r="AG953" s="61"/>
      <c r="AH953" s="61"/>
      <c r="AI953" s="62"/>
      <c r="AJ953" s="47"/>
      <c r="AN953" s="47"/>
      <c r="AO953" s="61"/>
      <c r="AP953" s="61"/>
      <c r="AQ953" s="63"/>
      <c r="AR953" s="64"/>
      <c r="AS953" s="61"/>
      <c r="AT953" s="61"/>
      <c r="AU953" s="62"/>
      <c r="AV953" s="64"/>
      <c r="AW953" s="108"/>
      <c r="AX953" s="108"/>
      <c r="AY953" s="47"/>
      <c r="AZ953" s="108"/>
      <c r="BA953" s="108"/>
      <c r="BB953" s="140"/>
      <c r="BF953" s="47"/>
      <c r="BL953" s="57"/>
      <c r="BO953" s="117"/>
      <c r="BX953" s="164"/>
    </row>
    <row r="954" spans="3:76" s="115" customFormat="1" x14ac:dyDescent="0.2">
      <c r="C954" s="164"/>
      <c r="M954" s="45"/>
      <c r="N954" s="45"/>
      <c r="O954" s="46"/>
      <c r="P954" s="46"/>
      <c r="Q954" s="45"/>
      <c r="R954" s="117"/>
      <c r="S954" s="45"/>
      <c r="T954" s="45"/>
      <c r="U954" s="119"/>
      <c r="V954" s="47"/>
      <c r="W954" s="47"/>
      <c r="X954" s="47"/>
      <c r="Y954" s="47"/>
      <c r="Z954" s="49"/>
      <c r="AA954" s="97"/>
      <c r="AF954" s="47"/>
      <c r="AG954" s="61"/>
      <c r="AH954" s="61"/>
      <c r="AI954" s="62"/>
      <c r="AJ954" s="47"/>
      <c r="AN954" s="47"/>
      <c r="AO954" s="61"/>
      <c r="AP954" s="61"/>
      <c r="AQ954" s="63"/>
      <c r="AR954" s="64"/>
      <c r="AS954" s="61"/>
      <c r="AT954" s="61"/>
      <c r="AU954" s="62"/>
      <c r="AV954" s="64"/>
      <c r="AW954" s="108"/>
      <c r="AX954" s="108"/>
      <c r="AY954" s="47"/>
      <c r="AZ954" s="108"/>
      <c r="BA954" s="108"/>
      <c r="BB954" s="140"/>
      <c r="BF954" s="47"/>
      <c r="BL954" s="57"/>
      <c r="BO954" s="117"/>
      <c r="BX954" s="164"/>
    </row>
    <row r="955" spans="3:76" s="115" customFormat="1" x14ac:dyDescent="0.2">
      <c r="C955" s="164"/>
      <c r="M955" s="45"/>
      <c r="N955" s="45"/>
      <c r="O955" s="46"/>
      <c r="P955" s="46"/>
      <c r="Q955" s="45"/>
      <c r="R955" s="117"/>
      <c r="S955" s="45"/>
      <c r="T955" s="45"/>
      <c r="U955" s="119"/>
      <c r="V955" s="47"/>
      <c r="W955" s="47"/>
      <c r="X955" s="47"/>
      <c r="Y955" s="47"/>
      <c r="Z955" s="49"/>
      <c r="AA955" s="97"/>
      <c r="AF955" s="47"/>
      <c r="AG955" s="61"/>
      <c r="AH955" s="61"/>
      <c r="AI955" s="62"/>
      <c r="AJ955" s="47"/>
      <c r="AN955" s="47"/>
      <c r="AO955" s="61"/>
      <c r="AP955" s="61"/>
      <c r="AQ955" s="63"/>
      <c r="AR955" s="64"/>
      <c r="AS955" s="61"/>
      <c r="AT955" s="61"/>
      <c r="AU955" s="62"/>
      <c r="AV955" s="64"/>
      <c r="AW955" s="108"/>
      <c r="AX955" s="108"/>
      <c r="AY955" s="47"/>
      <c r="AZ955" s="108"/>
      <c r="BA955" s="108"/>
      <c r="BB955" s="140"/>
      <c r="BF955" s="47"/>
      <c r="BL955" s="57"/>
      <c r="BO955" s="117"/>
      <c r="BX955" s="164"/>
    </row>
    <row r="956" spans="3:76" s="115" customFormat="1" x14ac:dyDescent="0.2">
      <c r="C956" s="164"/>
      <c r="M956" s="45"/>
      <c r="N956" s="45"/>
      <c r="O956" s="46"/>
      <c r="P956" s="46"/>
      <c r="Q956" s="45"/>
      <c r="R956" s="117"/>
      <c r="S956" s="45"/>
      <c r="T956" s="45"/>
      <c r="U956" s="119"/>
      <c r="V956" s="47"/>
      <c r="W956" s="47"/>
      <c r="X956" s="47"/>
      <c r="Y956" s="47"/>
      <c r="Z956" s="49"/>
      <c r="AA956" s="97"/>
      <c r="AF956" s="47"/>
      <c r="AG956" s="61"/>
      <c r="AH956" s="61"/>
      <c r="AI956" s="62"/>
      <c r="AJ956" s="47"/>
      <c r="AN956" s="47"/>
      <c r="AO956" s="61"/>
      <c r="AP956" s="61"/>
      <c r="AQ956" s="63"/>
      <c r="AR956" s="64"/>
      <c r="AS956" s="61"/>
      <c r="AT956" s="61"/>
      <c r="AU956" s="62"/>
      <c r="AV956" s="64"/>
      <c r="AW956" s="108"/>
      <c r="AX956" s="108"/>
      <c r="AY956" s="47"/>
      <c r="AZ956" s="108"/>
      <c r="BA956" s="108"/>
      <c r="BB956" s="140"/>
      <c r="BF956" s="47"/>
      <c r="BL956" s="57"/>
      <c r="BO956" s="117"/>
      <c r="BX956" s="164"/>
    </row>
    <row r="957" spans="3:76" s="115" customFormat="1" x14ac:dyDescent="0.2">
      <c r="C957" s="164"/>
      <c r="M957" s="45"/>
      <c r="N957" s="45"/>
      <c r="O957" s="46"/>
      <c r="P957" s="46"/>
      <c r="Q957" s="45"/>
      <c r="R957" s="117"/>
      <c r="S957" s="45"/>
      <c r="T957" s="45"/>
      <c r="U957" s="119"/>
      <c r="V957" s="47"/>
      <c r="W957" s="47"/>
      <c r="X957" s="47"/>
      <c r="Y957" s="47"/>
      <c r="Z957" s="49"/>
      <c r="AA957" s="97"/>
      <c r="AF957" s="47"/>
      <c r="AG957" s="61"/>
      <c r="AH957" s="61"/>
      <c r="AI957" s="62"/>
      <c r="AJ957" s="47"/>
      <c r="AN957" s="47"/>
      <c r="AO957" s="61"/>
      <c r="AP957" s="61"/>
      <c r="AQ957" s="63"/>
      <c r="AR957" s="64"/>
      <c r="AS957" s="61"/>
      <c r="AT957" s="61"/>
      <c r="AU957" s="62"/>
      <c r="AV957" s="64"/>
      <c r="AW957" s="108"/>
      <c r="AX957" s="108"/>
      <c r="AY957" s="47"/>
      <c r="AZ957" s="108"/>
      <c r="BA957" s="108"/>
      <c r="BB957" s="140"/>
      <c r="BF957" s="47"/>
      <c r="BL957" s="57"/>
      <c r="BO957" s="117"/>
      <c r="BX957" s="164"/>
    </row>
    <row r="958" spans="3:76" s="115" customFormat="1" x14ac:dyDescent="0.2">
      <c r="C958" s="164"/>
      <c r="M958" s="45"/>
      <c r="N958" s="45"/>
      <c r="O958" s="46"/>
      <c r="P958" s="46"/>
      <c r="Q958" s="45"/>
      <c r="R958" s="117"/>
      <c r="S958" s="45"/>
      <c r="T958" s="45"/>
      <c r="U958" s="119"/>
      <c r="V958" s="47"/>
      <c r="W958" s="47"/>
      <c r="X958" s="47"/>
      <c r="Y958" s="47"/>
      <c r="Z958" s="49"/>
      <c r="AA958" s="97"/>
      <c r="AF958" s="47"/>
      <c r="AG958" s="61"/>
      <c r="AH958" s="61"/>
      <c r="AI958" s="62"/>
      <c r="AJ958" s="47"/>
      <c r="AN958" s="47"/>
      <c r="AO958" s="61"/>
      <c r="AP958" s="61"/>
      <c r="AQ958" s="63"/>
      <c r="AR958" s="64"/>
      <c r="AS958" s="61"/>
      <c r="AT958" s="61"/>
      <c r="AU958" s="62"/>
      <c r="AV958" s="64"/>
      <c r="AW958" s="108"/>
      <c r="AX958" s="108"/>
      <c r="AY958" s="47"/>
      <c r="AZ958" s="108"/>
      <c r="BA958" s="108"/>
      <c r="BB958" s="140"/>
      <c r="BF958" s="47"/>
      <c r="BL958" s="57"/>
      <c r="BO958" s="117"/>
      <c r="BX958" s="164"/>
    </row>
    <row r="959" spans="3:76" s="115" customFormat="1" x14ac:dyDescent="0.2">
      <c r="C959" s="164"/>
      <c r="M959" s="45"/>
      <c r="N959" s="45"/>
      <c r="O959" s="46"/>
      <c r="P959" s="46"/>
      <c r="Q959" s="45"/>
      <c r="R959" s="117"/>
      <c r="S959" s="45"/>
      <c r="T959" s="45"/>
      <c r="U959" s="119"/>
      <c r="V959" s="47"/>
      <c r="W959" s="47"/>
      <c r="X959" s="47"/>
      <c r="Y959" s="47"/>
      <c r="Z959" s="49"/>
      <c r="AA959" s="97"/>
      <c r="AF959" s="47"/>
      <c r="AG959" s="61"/>
      <c r="AH959" s="61"/>
      <c r="AI959" s="62"/>
      <c r="AJ959" s="47"/>
      <c r="AN959" s="47"/>
      <c r="AO959" s="61"/>
      <c r="AP959" s="61"/>
      <c r="AQ959" s="63"/>
      <c r="AR959" s="64"/>
      <c r="AS959" s="61"/>
      <c r="AT959" s="61"/>
      <c r="AU959" s="62"/>
      <c r="AV959" s="64"/>
      <c r="AW959" s="108"/>
      <c r="AX959" s="108"/>
      <c r="AY959" s="47"/>
      <c r="AZ959" s="108"/>
      <c r="BA959" s="108"/>
      <c r="BB959" s="140"/>
      <c r="BF959" s="47"/>
      <c r="BL959" s="57"/>
      <c r="BO959" s="117"/>
      <c r="BX959" s="164"/>
    </row>
    <row r="960" spans="3:76" s="115" customFormat="1" x14ac:dyDescent="0.2">
      <c r="C960" s="164"/>
      <c r="M960" s="45"/>
      <c r="N960" s="45"/>
      <c r="O960" s="46"/>
      <c r="P960" s="46"/>
      <c r="Q960" s="45"/>
      <c r="R960" s="117"/>
      <c r="S960" s="45"/>
      <c r="T960" s="45"/>
      <c r="U960" s="119"/>
      <c r="V960" s="47"/>
      <c r="W960" s="47"/>
      <c r="X960" s="47"/>
      <c r="Y960" s="47"/>
      <c r="Z960" s="49"/>
      <c r="AA960" s="97"/>
      <c r="AF960" s="47"/>
      <c r="AG960" s="61"/>
      <c r="AH960" s="61"/>
      <c r="AI960" s="62"/>
      <c r="AJ960" s="47"/>
      <c r="AN960" s="47"/>
      <c r="AO960" s="61"/>
      <c r="AP960" s="61"/>
      <c r="AQ960" s="63"/>
      <c r="AR960" s="64"/>
      <c r="AS960" s="61"/>
      <c r="AT960" s="61"/>
      <c r="AU960" s="62"/>
      <c r="AV960" s="64"/>
      <c r="AW960" s="108"/>
      <c r="AX960" s="108"/>
      <c r="AY960" s="47"/>
      <c r="AZ960" s="108"/>
      <c r="BA960" s="108"/>
      <c r="BB960" s="140"/>
      <c r="BF960" s="47"/>
      <c r="BL960" s="57"/>
      <c r="BO960" s="117"/>
      <c r="BX960" s="164"/>
    </row>
    <row r="961" spans="3:76" s="115" customFormat="1" x14ac:dyDescent="0.2">
      <c r="C961" s="164"/>
      <c r="M961" s="45"/>
      <c r="N961" s="45"/>
      <c r="O961" s="46"/>
      <c r="P961" s="46"/>
      <c r="Q961" s="45"/>
      <c r="R961" s="117"/>
      <c r="S961" s="45"/>
      <c r="T961" s="45"/>
      <c r="U961" s="119"/>
      <c r="V961" s="47"/>
      <c r="W961" s="47"/>
      <c r="X961" s="47"/>
      <c r="Y961" s="47"/>
      <c r="Z961" s="49"/>
      <c r="AA961" s="97"/>
      <c r="AF961" s="47"/>
      <c r="AG961" s="61"/>
      <c r="AH961" s="61"/>
      <c r="AI961" s="62"/>
      <c r="AJ961" s="47"/>
      <c r="AN961" s="47"/>
      <c r="AO961" s="61"/>
      <c r="AP961" s="61"/>
      <c r="AQ961" s="63"/>
      <c r="AR961" s="64"/>
      <c r="AS961" s="61"/>
      <c r="AT961" s="61"/>
      <c r="AU961" s="62"/>
      <c r="AV961" s="64"/>
      <c r="AW961" s="108"/>
      <c r="AX961" s="108"/>
      <c r="AY961" s="47"/>
      <c r="AZ961" s="108"/>
      <c r="BA961" s="108"/>
      <c r="BB961" s="140"/>
      <c r="BF961" s="47"/>
      <c r="BL961" s="57"/>
      <c r="BO961" s="117"/>
      <c r="BX961" s="164"/>
    </row>
    <row r="962" spans="3:76" s="115" customFormat="1" x14ac:dyDescent="0.2">
      <c r="C962" s="164"/>
      <c r="M962" s="45"/>
      <c r="N962" s="45"/>
      <c r="O962" s="46"/>
      <c r="P962" s="46"/>
      <c r="Q962" s="45"/>
      <c r="R962" s="117"/>
      <c r="S962" s="45"/>
      <c r="T962" s="45"/>
      <c r="U962" s="119"/>
      <c r="V962" s="47"/>
      <c r="W962" s="47"/>
      <c r="X962" s="47"/>
      <c r="Y962" s="47"/>
      <c r="Z962" s="49"/>
      <c r="AA962" s="97"/>
      <c r="AF962" s="47"/>
      <c r="AG962" s="61"/>
      <c r="AH962" s="61"/>
      <c r="AI962" s="62"/>
      <c r="AJ962" s="47"/>
      <c r="AN962" s="47"/>
      <c r="AO962" s="61"/>
      <c r="AP962" s="61"/>
      <c r="AQ962" s="63"/>
      <c r="AR962" s="64"/>
      <c r="AS962" s="61"/>
      <c r="AT962" s="61"/>
      <c r="AU962" s="62"/>
      <c r="AV962" s="64"/>
      <c r="AW962" s="108"/>
      <c r="AX962" s="108"/>
      <c r="AY962" s="47"/>
      <c r="AZ962" s="108"/>
      <c r="BA962" s="108"/>
      <c r="BB962" s="140"/>
      <c r="BF962" s="47"/>
      <c r="BL962" s="57"/>
      <c r="BO962" s="117"/>
      <c r="BX962" s="164"/>
    </row>
    <row r="963" spans="3:76" s="115" customFormat="1" x14ac:dyDescent="0.2">
      <c r="C963" s="164"/>
      <c r="M963" s="45"/>
      <c r="N963" s="45"/>
      <c r="O963" s="46"/>
      <c r="P963" s="46"/>
      <c r="Q963" s="45"/>
      <c r="R963" s="117"/>
      <c r="S963" s="45"/>
      <c r="T963" s="45"/>
      <c r="U963" s="119"/>
      <c r="V963" s="47"/>
      <c r="W963" s="47"/>
      <c r="X963" s="47"/>
      <c r="Y963" s="47"/>
      <c r="Z963" s="49"/>
      <c r="AA963" s="97"/>
      <c r="AF963" s="47"/>
      <c r="AG963" s="61"/>
      <c r="AH963" s="61"/>
      <c r="AI963" s="62"/>
      <c r="AJ963" s="47"/>
      <c r="AN963" s="47"/>
      <c r="AO963" s="61"/>
      <c r="AP963" s="61"/>
      <c r="AQ963" s="63"/>
      <c r="AR963" s="64"/>
      <c r="AS963" s="61"/>
      <c r="AT963" s="61"/>
      <c r="AU963" s="62"/>
      <c r="AV963" s="64"/>
      <c r="AW963" s="108"/>
      <c r="AX963" s="108"/>
      <c r="AY963" s="47"/>
      <c r="AZ963" s="108"/>
      <c r="BA963" s="108"/>
      <c r="BB963" s="140"/>
      <c r="BF963" s="47"/>
      <c r="BL963" s="57"/>
      <c r="BO963" s="117"/>
      <c r="BX963" s="164"/>
    </row>
    <row r="964" spans="3:76" s="115" customFormat="1" x14ac:dyDescent="0.2">
      <c r="C964" s="164"/>
      <c r="M964" s="45"/>
      <c r="N964" s="45"/>
      <c r="O964" s="46"/>
      <c r="P964" s="46"/>
      <c r="Q964" s="45"/>
      <c r="R964" s="117"/>
      <c r="S964" s="45"/>
      <c r="T964" s="45"/>
      <c r="U964" s="119"/>
      <c r="V964" s="47"/>
      <c r="W964" s="47"/>
      <c r="X964" s="47"/>
      <c r="Y964" s="47"/>
      <c r="Z964" s="49"/>
      <c r="AA964" s="97"/>
      <c r="AF964" s="47"/>
      <c r="AG964" s="61"/>
      <c r="AH964" s="61"/>
      <c r="AI964" s="62"/>
      <c r="AJ964" s="47"/>
      <c r="AN964" s="47"/>
      <c r="AO964" s="61"/>
      <c r="AP964" s="61"/>
      <c r="AQ964" s="63"/>
      <c r="AR964" s="64"/>
      <c r="AS964" s="61"/>
      <c r="AT964" s="61"/>
      <c r="AU964" s="62"/>
      <c r="AV964" s="64"/>
      <c r="AW964" s="108"/>
      <c r="AX964" s="108"/>
      <c r="AY964" s="47"/>
      <c r="AZ964" s="108"/>
      <c r="BA964" s="108"/>
      <c r="BB964" s="140"/>
      <c r="BF964" s="47"/>
      <c r="BL964" s="57"/>
      <c r="BO964" s="117"/>
      <c r="BX964" s="164"/>
    </row>
    <row r="965" spans="3:76" s="115" customFormat="1" x14ac:dyDescent="0.2">
      <c r="C965" s="164"/>
      <c r="M965" s="45"/>
      <c r="N965" s="45"/>
      <c r="O965" s="46"/>
      <c r="P965" s="46"/>
      <c r="Q965" s="45"/>
      <c r="R965" s="117"/>
      <c r="S965" s="45"/>
      <c r="T965" s="45"/>
      <c r="U965" s="119"/>
      <c r="V965" s="47"/>
      <c r="W965" s="47"/>
      <c r="X965" s="47"/>
      <c r="Y965" s="47"/>
      <c r="Z965" s="49"/>
      <c r="AA965" s="97"/>
      <c r="AF965" s="47"/>
      <c r="AG965" s="61"/>
      <c r="AH965" s="61"/>
      <c r="AI965" s="62"/>
      <c r="AJ965" s="47"/>
      <c r="AN965" s="47"/>
      <c r="AO965" s="61"/>
      <c r="AP965" s="61"/>
      <c r="AQ965" s="63"/>
      <c r="AR965" s="64"/>
      <c r="AS965" s="61"/>
      <c r="AT965" s="61"/>
      <c r="AU965" s="62"/>
      <c r="AV965" s="64"/>
      <c r="AW965" s="108"/>
      <c r="AX965" s="108"/>
      <c r="AY965" s="47"/>
      <c r="AZ965" s="108"/>
      <c r="BA965" s="108"/>
      <c r="BB965" s="140"/>
      <c r="BF965" s="47"/>
      <c r="BL965" s="57"/>
      <c r="BO965" s="117"/>
      <c r="BX965" s="164"/>
    </row>
    <row r="966" spans="3:76" s="115" customFormat="1" x14ac:dyDescent="0.2">
      <c r="C966" s="164"/>
      <c r="M966" s="45"/>
      <c r="N966" s="45"/>
      <c r="O966" s="46"/>
      <c r="P966" s="46"/>
      <c r="Q966" s="45"/>
      <c r="R966" s="117"/>
      <c r="S966" s="45"/>
      <c r="T966" s="45"/>
      <c r="U966" s="119"/>
      <c r="V966" s="47"/>
      <c r="W966" s="47"/>
      <c r="X966" s="47"/>
      <c r="Y966" s="47"/>
      <c r="Z966" s="49"/>
      <c r="AA966" s="97"/>
      <c r="AF966" s="47"/>
      <c r="AG966" s="61"/>
      <c r="AH966" s="61"/>
      <c r="AI966" s="62"/>
      <c r="AJ966" s="47"/>
      <c r="AN966" s="47"/>
      <c r="AO966" s="61"/>
      <c r="AP966" s="61"/>
      <c r="AQ966" s="63"/>
      <c r="AR966" s="64"/>
      <c r="AS966" s="61"/>
      <c r="AT966" s="61"/>
      <c r="AU966" s="62"/>
      <c r="AV966" s="64"/>
      <c r="AW966" s="108"/>
      <c r="AX966" s="108"/>
      <c r="AY966" s="47"/>
      <c r="AZ966" s="108"/>
      <c r="BA966" s="108"/>
      <c r="BB966" s="140"/>
      <c r="BF966" s="47"/>
      <c r="BL966" s="57"/>
      <c r="BO966" s="117"/>
      <c r="BX966" s="164"/>
    </row>
    <row r="967" spans="3:76" s="115" customFormat="1" x14ac:dyDescent="0.2">
      <c r="C967" s="164"/>
      <c r="M967" s="45"/>
      <c r="N967" s="45"/>
      <c r="O967" s="46"/>
      <c r="P967" s="46"/>
      <c r="Q967" s="45"/>
      <c r="R967" s="117"/>
      <c r="S967" s="45"/>
      <c r="T967" s="45"/>
      <c r="U967" s="119"/>
      <c r="V967" s="47"/>
      <c r="W967" s="47"/>
      <c r="X967" s="47"/>
      <c r="Y967" s="47"/>
      <c r="Z967" s="49"/>
      <c r="AA967" s="97"/>
      <c r="AF967" s="47"/>
      <c r="AG967" s="61"/>
      <c r="AH967" s="61"/>
      <c r="AI967" s="62"/>
      <c r="AJ967" s="47"/>
      <c r="AN967" s="47"/>
      <c r="AO967" s="61"/>
      <c r="AP967" s="61"/>
      <c r="AQ967" s="63"/>
      <c r="AR967" s="64"/>
      <c r="AS967" s="61"/>
      <c r="AT967" s="61"/>
      <c r="AU967" s="62"/>
      <c r="AV967" s="64"/>
      <c r="AW967" s="108"/>
      <c r="AX967" s="108"/>
      <c r="AY967" s="47"/>
      <c r="AZ967" s="108"/>
      <c r="BA967" s="108"/>
      <c r="BB967" s="140"/>
      <c r="BF967" s="47"/>
      <c r="BL967" s="57"/>
      <c r="BO967" s="117"/>
      <c r="BX967" s="164"/>
    </row>
    <row r="968" spans="3:76" s="115" customFormat="1" x14ac:dyDescent="0.2">
      <c r="C968" s="164"/>
      <c r="M968" s="45"/>
      <c r="N968" s="45"/>
      <c r="O968" s="46"/>
      <c r="P968" s="46"/>
      <c r="Q968" s="45"/>
      <c r="R968" s="117"/>
      <c r="S968" s="45"/>
      <c r="T968" s="45"/>
      <c r="U968" s="119"/>
      <c r="V968" s="47"/>
      <c r="W968" s="47"/>
      <c r="X968" s="47"/>
      <c r="Y968" s="47"/>
      <c r="Z968" s="49"/>
      <c r="AA968" s="97"/>
      <c r="AF968" s="47"/>
      <c r="AG968" s="61"/>
      <c r="AH968" s="61"/>
      <c r="AI968" s="62"/>
      <c r="AJ968" s="47"/>
      <c r="AN968" s="47"/>
      <c r="AO968" s="61"/>
      <c r="AP968" s="61"/>
      <c r="AQ968" s="63"/>
      <c r="AR968" s="64"/>
      <c r="AS968" s="61"/>
      <c r="AT968" s="61"/>
      <c r="AU968" s="62"/>
      <c r="AV968" s="64"/>
      <c r="AW968" s="108"/>
      <c r="AX968" s="108"/>
      <c r="AY968" s="47"/>
      <c r="AZ968" s="108"/>
      <c r="BA968" s="108"/>
      <c r="BB968" s="140"/>
      <c r="BF968" s="47"/>
      <c r="BL968" s="57"/>
      <c r="BO968" s="117"/>
      <c r="BX968" s="164"/>
    </row>
    <row r="969" spans="3:76" s="115" customFormat="1" x14ac:dyDescent="0.2">
      <c r="C969" s="164"/>
      <c r="M969" s="45"/>
      <c r="N969" s="45"/>
      <c r="O969" s="46"/>
      <c r="P969" s="46"/>
      <c r="Q969" s="45"/>
      <c r="R969" s="117"/>
      <c r="S969" s="45"/>
      <c r="T969" s="45"/>
      <c r="U969" s="119"/>
      <c r="V969" s="47"/>
      <c r="W969" s="47"/>
      <c r="X969" s="47"/>
      <c r="Y969" s="47"/>
      <c r="Z969" s="49"/>
      <c r="AA969" s="97"/>
      <c r="AF969" s="47"/>
      <c r="AG969" s="61"/>
      <c r="AH969" s="61"/>
      <c r="AI969" s="62"/>
      <c r="AJ969" s="47"/>
      <c r="AN969" s="47"/>
      <c r="AO969" s="61"/>
      <c r="AP969" s="61"/>
      <c r="AQ969" s="63"/>
      <c r="AR969" s="64"/>
      <c r="AS969" s="61"/>
      <c r="AT969" s="61"/>
      <c r="AU969" s="62"/>
      <c r="AV969" s="64"/>
      <c r="AW969" s="108"/>
      <c r="AX969" s="108"/>
      <c r="AY969" s="47"/>
      <c r="AZ969" s="108"/>
      <c r="BA969" s="108"/>
      <c r="BB969" s="140"/>
      <c r="BF969" s="47"/>
      <c r="BL969" s="57"/>
      <c r="BO969" s="117"/>
      <c r="BX969" s="164"/>
    </row>
    <row r="970" spans="3:76" s="115" customFormat="1" x14ac:dyDescent="0.2">
      <c r="C970" s="164"/>
      <c r="M970" s="45"/>
      <c r="N970" s="45"/>
      <c r="O970" s="46"/>
      <c r="P970" s="46"/>
      <c r="Q970" s="45"/>
      <c r="R970" s="117"/>
      <c r="S970" s="45"/>
      <c r="T970" s="45"/>
      <c r="U970" s="119"/>
      <c r="V970" s="47"/>
      <c r="W970" s="47"/>
      <c r="X970" s="47"/>
      <c r="Y970" s="47"/>
      <c r="Z970" s="49"/>
      <c r="AA970" s="97"/>
      <c r="AF970" s="47"/>
      <c r="AG970" s="61"/>
      <c r="AH970" s="61"/>
      <c r="AI970" s="62"/>
      <c r="AJ970" s="47"/>
      <c r="AN970" s="47"/>
      <c r="AO970" s="61"/>
      <c r="AP970" s="61"/>
      <c r="AQ970" s="63"/>
      <c r="AR970" s="64"/>
      <c r="AS970" s="61"/>
      <c r="AT970" s="61"/>
      <c r="AU970" s="62"/>
      <c r="AV970" s="64"/>
      <c r="AW970" s="108"/>
      <c r="AX970" s="108"/>
      <c r="AY970" s="47"/>
      <c r="AZ970" s="108"/>
      <c r="BA970" s="108"/>
      <c r="BB970" s="140"/>
      <c r="BF970" s="47"/>
      <c r="BL970" s="57"/>
      <c r="BO970" s="117"/>
      <c r="BX970" s="164"/>
    </row>
    <row r="971" spans="3:76" s="115" customFormat="1" x14ac:dyDescent="0.2">
      <c r="C971" s="164"/>
      <c r="M971" s="45"/>
      <c r="N971" s="45"/>
      <c r="O971" s="46"/>
      <c r="P971" s="46"/>
      <c r="Q971" s="45"/>
      <c r="R971" s="117"/>
      <c r="S971" s="45"/>
      <c r="T971" s="45"/>
      <c r="U971" s="119"/>
      <c r="V971" s="47"/>
      <c r="W971" s="47"/>
      <c r="X971" s="47"/>
      <c r="Y971" s="47"/>
      <c r="Z971" s="49"/>
      <c r="AA971" s="97"/>
      <c r="AF971" s="47"/>
      <c r="AG971" s="61"/>
      <c r="AH971" s="61"/>
      <c r="AI971" s="62"/>
      <c r="AJ971" s="47"/>
      <c r="AN971" s="47"/>
      <c r="AO971" s="61"/>
      <c r="AP971" s="61"/>
      <c r="AQ971" s="63"/>
      <c r="AR971" s="64"/>
      <c r="AS971" s="61"/>
      <c r="AT971" s="61"/>
      <c r="AU971" s="62"/>
      <c r="AV971" s="64"/>
      <c r="AW971" s="108"/>
      <c r="AX971" s="108"/>
      <c r="AY971" s="47"/>
      <c r="AZ971" s="108"/>
      <c r="BA971" s="108"/>
      <c r="BB971" s="140"/>
      <c r="BF971" s="47"/>
      <c r="BL971" s="57"/>
      <c r="BO971" s="117"/>
      <c r="BX971" s="164"/>
    </row>
    <row r="972" spans="3:76" s="115" customFormat="1" x14ac:dyDescent="0.2">
      <c r="C972" s="164"/>
      <c r="M972" s="45"/>
      <c r="N972" s="45"/>
      <c r="O972" s="46"/>
      <c r="P972" s="46"/>
      <c r="Q972" s="45"/>
      <c r="R972" s="117"/>
      <c r="S972" s="45"/>
      <c r="T972" s="45"/>
      <c r="U972" s="119"/>
      <c r="V972" s="47"/>
      <c r="W972" s="47"/>
      <c r="X972" s="47"/>
      <c r="Y972" s="47"/>
      <c r="Z972" s="49"/>
      <c r="AA972" s="97"/>
      <c r="AF972" s="47"/>
      <c r="AG972" s="61"/>
      <c r="AH972" s="61"/>
      <c r="AI972" s="62"/>
      <c r="AJ972" s="47"/>
      <c r="AN972" s="47"/>
      <c r="AO972" s="61"/>
      <c r="AP972" s="61"/>
      <c r="AQ972" s="63"/>
      <c r="AR972" s="64"/>
      <c r="AS972" s="61"/>
      <c r="AT972" s="61"/>
      <c r="AU972" s="62"/>
      <c r="AV972" s="64"/>
      <c r="AW972" s="108"/>
      <c r="AX972" s="108"/>
      <c r="AY972" s="47"/>
      <c r="AZ972" s="108"/>
      <c r="BA972" s="108"/>
      <c r="BB972" s="140"/>
      <c r="BF972" s="47"/>
      <c r="BL972" s="57"/>
      <c r="BO972" s="117"/>
      <c r="BX972" s="164"/>
    </row>
    <row r="973" spans="3:76" s="115" customFormat="1" x14ac:dyDescent="0.2">
      <c r="C973" s="164"/>
      <c r="M973" s="45"/>
      <c r="N973" s="45"/>
      <c r="O973" s="46"/>
      <c r="P973" s="46"/>
      <c r="Q973" s="45"/>
      <c r="R973" s="117"/>
      <c r="S973" s="45"/>
      <c r="T973" s="45"/>
      <c r="U973" s="119"/>
      <c r="V973" s="47"/>
      <c r="W973" s="47"/>
      <c r="X973" s="47"/>
      <c r="Y973" s="47"/>
      <c r="Z973" s="49"/>
      <c r="AA973" s="97"/>
      <c r="AF973" s="47"/>
      <c r="AG973" s="61"/>
      <c r="AH973" s="61"/>
      <c r="AI973" s="62"/>
      <c r="AJ973" s="47"/>
      <c r="AN973" s="47"/>
      <c r="AO973" s="61"/>
      <c r="AP973" s="61"/>
      <c r="AQ973" s="63"/>
      <c r="AR973" s="64"/>
      <c r="AS973" s="61"/>
      <c r="AT973" s="61"/>
      <c r="AU973" s="62"/>
      <c r="AV973" s="64"/>
      <c r="AW973" s="108"/>
      <c r="AX973" s="108"/>
      <c r="AY973" s="47"/>
      <c r="AZ973" s="108"/>
      <c r="BA973" s="108"/>
      <c r="BB973" s="140"/>
      <c r="BF973" s="47"/>
      <c r="BL973" s="57"/>
      <c r="BO973" s="117"/>
      <c r="BX973" s="164"/>
    </row>
    <row r="974" spans="3:76" s="115" customFormat="1" x14ac:dyDescent="0.2">
      <c r="C974" s="164"/>
      <c r="M974" s="45"/>
      <c r="N974" s="45"/>
      <c r="O974" s="46"/>
      <c r="P974" s="46"/>
      <c r="Q974" s="45"/>
      <c r="R974" s="117"/>
      <c r="S974" s="45"/>
      <c r="T974" s="45"/>
      <c r="U974" s="119"/>
      <c r="V974" s="47"/>
      <c r="W974" s="47"/>
      <c r="X974" s="47"/>
      <c r="Y974" s="47"/>
      <c r="Z974" s="49"/>
      <c r="AA974" s="97"/>
      <c r="AF974" s="47"/>
      <c r="AG974" s="61"/>
      <c r="AH974" s="61"/>
      <c r="AI974" s="62"/>
      <c r="AJ974" s="47"/>
      <c r="AN974" s="47"/>
      <c r="AO974" s="61"/>
      <c r="AP974" s="61"/>
      <c r="AQ974" s="63"/>
      <c r="AR974" s="64"/>
      <c r="AS974" s="61"/>
      <c r="AT974" s="61"/>
      <c r="AU974" s="62"/>
      <c r="AV974" s="64"/>
      <c r="AW974" s="108"/>
      <c r="AX974" s="108"/>
      <c r="AY974" s="47"/>
      <c r="AZ974" s="108"/>
      <c r="BA974" s="108"/>
      <c r="BB974" s="140"/>
      <c r="BF974" s="47"/>
      <c r="BL974" s="57"/>
      <c r="BO974" s="117"/>
      <c r="BX974" s="164"/>
    </row>
    <row r="975" spans="3:76" s="115" customFormat="1" x14ac:dyDescent="0.2">
      <c r="C975" s="164"/>
      <c r="M975" s="45"/>
      <c r="N975" s="45"/>
      <c r="O975" s="46"/>
      <c r="P975" s="46"/>
      <c r="Q975" s="45"/>
      <c r="R975" s="117"/>
      <c r="S975" s="45"/>
      <c r="T975" s="45"/>
      <c r="U975" s="119"/>
      <c r="V975" s="47"/>
      <c r="W975" s="47"/>
      <c r="X975" s="47"/>
      <c r="Y975" s="47"/>
      <c r="Z975" s="49"/>
      <c r="AA975" s="97"/>
      <c r="AF975" s="47"/>
      <c r="AG975" s="61"/>
      <c r="AH975" s="61"/>
      <c r="AI975" s="62"/>
      <c r="AJ975" s="47"/>
      <c r="AN975" s="47"/>
      <c r="AO975" s="61"/>
      <c r="AP975" s="61"/>
      <c r="AQ975" s="63"/>
      <c r="AR975" s="64"/>
      <c r="AS975" s="61"/>
      <c r="AT975" s="61"/>
      <c r="AU975" s="62"/>
      <c r="AV975" s="64"/>
      <c r="AW975" s="108"/>
      <c r="AX975" s="108"/>
      <c r="AY975" s="47"/>
      <c r="AZ975" s="108"/>
      <c r="BA975" s="108"/>
      <c r="BB975" s="140"/>
      <c r="BF975" s="47"/>
      <c r="BL975" s="57"/>
      <c r="BO975" s="117"/>
      <c r="BX975" s="164"/>
    </row>
    <row r="976" spans="3:76" s="115" customFormat="1" x14ac:dyDescent="0.2">
      <c r="C976" s="164"/>
      <c r="M976" s="45"/>
      <c r="N976" s="45"/>
      <c r="O976" s="46"/>
      <c r="P976" s="46"/>
      <c r="Q976" s="45"/>
      <c r="R976" s="117"/>
      <c r="S976" s="45"/>
      <c r="T976" s="45"/>
      <c r="U976" s="119"/>
      <c r="V976" s="47"/>
      <c r="W976" s="47"/>
      <c r="X976" s="47"/>
      <c r="Y976" s="47"/>
      <c r="Z976" s="49"/>
      <c r="AA976" s="97"/>
      <c r="AF976" s="47"/>
      <c r="AG976" s="61"/>
      <c r="AH976" s="61"/>
      <c r="AI976" s="62"/>
      <c r="AJ976" s="47"/>
      <c r="AN976" s="47"/>
      <c r="AO976" s="61"/>
      <c r="AP976" s="61"/>
      <c r="AQ976" s="63"/>
      <c r="AR976" s="64"/>
      <c r="AS976" s="61"/>
      <c r="AT976" s="61"/>
      <c r="AU976" s="62"/>
      <c r="AV976" s="64"/>
      <c r="AW976" s="108"/>
      <c r="AX976" s="108"/>
      <c r="AY976" s="47"/>
      <c r="AZ976" s="108"/>
      <c r="BA976" s="108"/>
      <c r="BB976" s="140"/>
      <c r="BF976" s="47"/>
      <c r="BL976" s="57"/>
      <c r="BO976" s="117"/>
      <c r="BX976" s="164"/>
    </row>
    <row r="977" spans="3:76" s="115" customFormat="1" x14ac:dyDescent="0.2">
      <c r="C977" s="164"/>
      <c r="M977" s="45"/>
      <c r="N977" s="45"/>
      <c r="O977" s="46"/>
      <c r="P977" s="46"/>
      <c r="Q977" s="45"/>
      <c r="R977" s="117"/>
      <c r="S977" s="45"/>
      <c r="T977" s="45"/>
      <c r="U977" s="119"/>
      <c r="V977" s="47"/>
      <c r="W977" s="47"/>
      <c r="X977" s="47"/>
      <c r="Y977" s="47"/>
      <c r="Z977" s="49"/>
      <c r="AA977" s="97"/>
      <c r="AF977" s="47"/>
      <c r="AG977" s="61"/>
      <c r="AH977" s="61"/>
      <c r="AI977" s="62"/>
      <c r="AJ977" s="47"/>
      <c r="AN977" s="47"/>
      <c r="AO977" s="61"/>
      <c r="AP977" s="61"/>
      <c r="AQ977" s="63"/>
      <c r="AR977" s="64"/>
      <c r="AS977" s="61"/>
      <c r="AT977" s="61"/>
      <c r="AU977" s="62"/>
      <c r="AV977" s="64"/>
      <c r="AW977" s="108"/>
      <c r="AX977" s="108"/>
      <c r="AY977" s="47"/>
      <c r="AZ977" s="108"/>
      <c r="BA977" s="108"/>
      <c r="BB977" s="140"/>
      <c r="BF977" s="47"/>
      <c r="BL977" s="57"/>
      <c r="BO977" s="117"/>
      <c r="BX977" s="164"/>
    </row>
    <row r="978" spans="3:76" s="115" customFormat="1" x14ac:dyDescent="0.2">
      <c r="C978" s="164"/>
      <c r="M978" s="45"/>
      <c r="N978" s="45"/>
      <c r="O978" s="46"/>
      <c r="P978" s="46"/>
      <c r="Q978" s="45"/>
      <c r="R978" s="117"/>
      <c r="S978" s="45"/>
      <c r="T978" s="45"/>
      <c r="U978" s="119"/>
      <c r="V978" s="47"/>
      <c r="W978" s="47"/>
      <c r="X978" s="47"/>
      <c r="Y978" s="47"/>
      <c r="Z978" s="49"/>
      <c r="AA978" s="97"/>
      <c r="AF978" s="47"/>
      <c r="AG978" s="61"/>
      <c r="AH978" s="61"/>
      <c r="AI978" s="62"/>
      <c r="AJ978" s="47"/>
      <c r="AN978" s="47"/>
      <c r="AO978" s="61"/>
      <c r="AP978" s="61"/>
      <c r="AQ978" s="63"/>
      <c r="AR978" s="64"/>
      <c r="AS978" s="61"/>
      <c r="AT978" s="61"/>
      <c r="AU978" s="62"/>
      <c r="AV978" s="64"/>
      <c r="AW978" s="108"/>
      <c r="AX978" s="108"/>
      <c r="AY978" s="47"/>
      <c r="AZ978" s="108"/>
      <c r="BA978" s="108"/>
      <c r="BB978" s="140"/>
      <c r="BF978" s="47"/>
      <c r="BL978" s="57"/>
      <c r="BO978" s="117"/>
      <c r="BX978" s="164"/>
    </row>
    <row r="979" spans="3:76" s="115" customFormat="1" x14ac:dyDescent="0.2">
      <c r="C979" s="164"/>
      <c r="M979" s="45"/>
      <c r="N979" s="45"/>
      <c r="O979" s="46"/>
      <c r="P979" s="46"/>
      <c r="Q979" s="45"/>
      <c r="R979" s="117"/>
      <c r="S979" s="45"/>
      <c r="T979" s="45"/>
      <c r="U979" s="119"/>
      <c r="V979" s="47"/>
      <c r="W979" s="47"/>
      <c r="X979" s="47"/>
      <c r="Y979" s="47"/>
      <c r="Z979" s="49"/>
      <c r="AA979" s="97"/>
      <c r="AF979" s="47"/>
      <c r="AG979" s="61"/>
      <c r="AH979" s="61"/>
      <c r="AI979" s="62"/>
      <c r="AJ979" s="47"/>
      <c r="AN979" s="47"/>
      <c r="AO979" s="61"/>
      <c r="AP979" s="61"/>
      <c r="AQ979" s="63"/>
      <c r="AR979" s="64"/>
      <c r="AS979" s="61"/>
      <c r="AT979" s="61"/>
      <c r="AU979" s="62"/>
      <c r="AV979" s="64"/>
      <c r="AW979" s="108"/>
      <c r="AX979" s="108"/>
      <c r="AY979" s="47"/>
      <c r="AZ979" s="108"/>
      <c r="BA979" s="108"/>
      <c r="BB979" s="140"/>
      <c r="BF979" s="47"/>
      <c r="BL979" s="57"/>
      <c r="BO979" s="117"/>
      <c r="BX979" s="164"/>
    </row>
    <row r="980" spans="3:76" s="115" customFormat="1" x14ac:dyDescent="0.2">
      <c r="C980" s="164"/>
      <c r="M980" s="45"/>
      <c r="N980" s="45"/>
      <c r="O980" s="46"/>
      <c r="P980" s="46"/>
      <c r="Q980" s="45"/>
      <c r="R980" s="117"/>
      <c r="S980" s="45"/>
      <c r="T980" s="45"/>
      <c r="U980" s="119"/>
      <c r="V980" s="47"/>
      <c r="W980" s="47"/>
      <c r="X980" s="47"/>
      <c r="Y980" s="47"/>
      <c r="Z980" s="49"/>
      <c r="AA980" s="97"/>
      <c r="AF980" s="47"/>
      <c r="AG980" s="61"/>
      <c r="AH980" s="61"/>
      <c r="AI980" s="62"/>
      <c r="AJ980" s="47"/>
      <c r="AN980" s="47"/>
      <c r="AO980" s="61"/>
      <c r="AP980" s="61"/>
      <c r="AQ980" s="63"/>
      <c r="AR980" s="64"/>
      <c r="AS980" s="61"/>
      <c r="AT980" s="61"/>
      <c r="AU980" s="62"/>
      <c r="AV980" s="64"/>
      <c r="AW980" s="108"/>
      <c r="AX980" s="108"/>
      <c r="AY980" s="47"/>
      <c r="AZ980" s="108"/>
      <c r="BA980" s="108"/>
      <c r="BB980" s="140"/>
      <c r="BF980" s="47"/>
      <c r="BL980" s="57"/>
      <c r="BO980" s="117"/>
      <c r="BX980" s="164"/>
    </row>
    <row r="981" spans="3:76" s="115" customFormat="1" x14ac:dyDescent="0.2">
      <c r="C981" s="164"/>
      <c r="M981" s="45"/>
      <c r="N981" s="45"/>
      <c r="O981" s="46"/>
      <c r="P981" s="46"/>
      <c r="Q981" s="45"/>
      <c r="R981" s="117"/>
      <c r="S981" s="45"/>
      <c r="T981" s="45"/>
      <c r="U981" s="119"/>
      <c r="V981" s="47"/>
      <c r="W981" s="47"/>
      <c r="X981" s="47"/>
      <c r="Y981" s="47"/>
      <c r="Z981" s="49"/>
      <c r="AA981" s="97"/>
      <c r="AF981" s="47"/>
      <c r="AG981" s="61"/>
      <c r="AH981" s="61"/>
      <c r="AI981" s="62"/>
      <c r="AJ981" s="47"/>
      <c r="AN981" s="47"/>
      <c r="AO981" s="61"/>
      <c r="AP981" s="61"/>
      <c r="AQ981" s="63"/>
      <c r="AR981" s="64"/>
      <c r="AS981" s="61"/>
      <c r="AT981" s="61"/>
      <c r="AU981" s="62"/>
      <c r="AV981" s="64"/>
      <c r="AW981" s="108"/>
      <c r="AX981" s="108"/>
      <c r="AY981" s="47"/>
      <c r="AZ981" s="108"/>
      <c r="BA981" s="108"/>
      <c r="BB981" s="140"/>
      <c r="BF981" s="47"/>
      <c r="BL981" s="57"/>
      <c r="BO981" s="117"/>
      <c r="BX981" s="164"/>
    </row>
    <row r="982" spans="3:76" s="115" customFormat="1" x14ac:dyDescent="0.2">
      <c r="C982" s="164"/>
      <c r="M982" s="45"/>
      <c r="N982" s="45"/>
      <c r="O982" s="46"/>
      <c r="P982" s="46"/>
      <c r="Q982" s="45"/>
      <c r="R982" s="117"/>
      <c r="S982" s="45"/>
      <c r="T982" s="45"/>
      <c r="U982" s="119"/>
      <c r="V982" s="47"/>
      <c r="W982" s="47"/>
      <c r="X982" s="47"/>
      <c r="Y982" s="47"/>
      <c r="Z982" s="49"/>
      <c r="AA982" s="97"/>
      <c r="AF982" s="47"/>
      <c r="AG982" s="61"/>
      <c r="AH982" s="61"/>
      <c r="AI982" s="62"/>
      <c r="AJ982" s="47"/>
      <c r="AN982" s="47"/>
      <c r="AO982" s="61"/>
      <c r="AP982" s="61"/>
      <c r="AQ982" s="63"/>
      <c r="AR982" s="64"/>
      <c r="AS982" s="61"/>
      <c r="AT982" s="61"/>
      <c r="AU982" s="62"/>
      <c r="AV982" s="64"/>
      <c r="AW982" s="108"/>
      <c r="AX982" s="108"/>
      <c r="AY982" s="47"/>
      <c r="AZ982" s="108"/>
      <c r="BA982" s="108"/>
      <c r="BB982" s="140"/>
      <c r="BF982" s="47"/>
      <c r="BL982" s="57"/>
      <c r="BO982" s="117"/>
      <c r="BX982" s="164"/>
    </row>
    <row r="983" spans="3:76" s="115" customFormat="1" x14ac:dyDescent="0.2">
      <c r="C983" s="164"/>
      <c r="M983" s="45"/>
      <c r="N983" s="45"/>
      <c r="O983" s="46"/>
      <c r="P983" s="46"/>
      <c r="Q983" s="45"/>
      <c r="R983" s="117"/>
      <c r="S983" s="45"/>
      <c r="T983" s="45"/>
      <c r="U983" s="119"/>
      <c r="V983" s="47"/>
      <c r="W983" s="47"/>
      <c r="X983" s="47"/>
      <c r="Y983" s="47"/>
      <c r="Z983" s="49"/>
      <c r="AA983" s="97"/>
      <c r="AF983" s="47"/>
      <c r="AG983" s="61"/>
      <c r="AH983" s="61"/>
      <c r="AI983" s="62"/>
      <c r="AJ983" s="47"/>
      <c r="AN983" s="47"/>
      <c r="AO983" s="61"/>
      <c r="AP983" s="61"/>
      <c r="AQ983" s="63"/>
      <c r="AR983" s="64"/>
      <c r="AS983" s="61"/>
      <c r="AT983" s="61"/>
      <c r="AU983" s="62"/>
      <c r="AV983" s="64"/>
      <c r="AW983" s="108"/>
      <c r="AX983" s="108"/>
      <c r="AY983" s="47"/>
      <c r="AZ983" s="108"/>
      <c r="BA983" s="108"/>
      <c r="BB983" s="140"/>
      <c r="BF983" s="47"/>
      <c r="BL983" s="57"/>
      <c r="BO983" s="117"/>
      <c r="BX983" s="164"/>
    </row>
    <row r="984" spans="3:76" s="115" customFormat="1" x14ac:dyDescent="0.2">
      <c r="C984" s="164"/>
      <c r="M984" s="45"/>
      <c r="N984" s="45"/>
      <c r="O984" s="46"/>
      <c r="P984" s="46"/>
      <c r="Q984" s="45"/>
      <c r="R984" s="117"/>
      <c r="S984" s="45"/>
      <c r="T984" s="45"/>
      <c r="U984" s="119"/>
      <c r="V984" s="47"/>
      <c r="W984" s="47"/>
      <c r="X984" s="47"/>
      <c r="Y984" s="47"/>
      <c r="Z984" s="49"/>
      <c r="AA984" s="97"/>
      <c r="AF984" s="47"/>
      <c r="AG984" s="61"/>
      <c r="AH984" s="61"/>
      <c r="AI984" s="62"/>
      <c r="AJ984" s="47"/>
      <c r="AN984" s="47"/>
      <c r="AO984" s="61"/>
      <c r="AP984" s="61"/>
      <c r="AQ984" s="63"/>
      <c r="AR984" s="64"/>
      <c r="AS984" s="61"/>
      <c r="AT984" s="61"/>
      <c r="AU984" s="62"/>
      <c r="AV984" s="64"/>
      <c r="AW984" s="108"/>
      <c r="AX984" s="108"/>
      <c r="AY984" s="47"/>
      <c r="AZ984" s="108"/>
      <c r="BA984" s="108"/>
      <c r="BB984" s="140"/>
      <c r="BF984" s="47"/>
      <c r="BL984" s="57"/>
      <c r="BO984" s="117"/>
      <c r="BX984" s="164"/>
    </row>
    <row r="985" spans="3:76" s="115" customFormat="1" x14ac:dyDescent="0.2">
      <c r="C985" s="164"/>
      <c r="M985" s="45"/>
      <c r="N985" s="45"/>
      <c r="O985" s="46"/>
      <c r="P985" s="46"/>
      <c r="Q985" s="45"/>
      <c r="R985" s="117"/>
      <c r="S985" s="45"/>
      <c r="T985" s="45"/>
      <c r="U985" s="119"/>
      <c r="V985" s="47"/>
      <c r="W985" s="47"/>
      <c r="X985" s="47"/>
      <c r="Y985" s="47"/>
      <c r="Z985" s="49"/>
      <c r="AA985" s="97"/>
      <c r="AF985" s="47"/>
      <c r="AG985" s="61"/>
      <c r="AH985" s="61"/>
      <c r="AI985" s="62"/>
      <c r="AJ985" s="47"/>
      <c r="AN985" s="47"/>
      <c r="AO985" s="61"/>
      <c r="AP985" s="61"/>
      <c r="AQ985" s="63"/>
      <c r="AR985" s="64"/>
      <c r="AS985" s="61"/>
      <c r="AT985" s="61"/>
      <c r="AU985" s="62"/>
      <c r="AV985" s="64"/>
      <c r="AW985" s="108"/>
      <c r="AX985" s="108"/>
      <c r="AY985" s="47"/>
      <c r="AZ985" s="108"/>
      <c r="BA985" s="108"/>
      <c r="BB985" s="140"/>
      <c r="BF985" s="47"/>
      <c r="BL985" s="57"/>
      <c r="BO985" s="117"/>
      <c r="BX985" s="164"/>
    </row>
    <row r="986" spans="3:76" s="115" customFormat="1" x14ac:dyDescent="0.2">
      <c r="C986" s="164"/>
      <c r="M986" s="45"/>
      <c r="N986" s="45"/>
      <c r="O986" s="46"/>
      <c r="P986" s="46"/>
      <c r="Q986" s="45"/>
      <c r="R986" s="117"/>
      <c r="S986" s="45"/>
      <c r="T986" s="45"/>
      <c r="U986" s="119"/>
      <c r="V986" s="47"/>
      <c r="W986" s="47"/>
      <c r="X986" s="47"/>
      <c r="Y986" s="47"/>
      <c r="Z986" s="49"/>
      <c r="AA986" s="97"/>
      <c r="AF986" s="47"/>
      <c r="AG986" s="61"/>
      <c r="AH986" s="61"/>
      <c r="AI986" s="62"/>
      <c r="AJ986" s="47"/>
      <c r="AN986" s="47"/>
      <c r="AO986" s="61"/>
      <c r="AP986" s="61"/>
      <c r="AQ986" s="63"/>
      <c r="AR986" s="64"/>
      <c r="AS986" s="61"/>
      <c r="AT986" s="61"/>
      <c r="AU986" s="62"/>
      <c r="AV986" s="64"/>
      <c r="AW986" s="108"/>
      <c r="AX986" s="108"/>
      <c r="AY986" s="47"/>
      <c r="AZ986" s="108"/>
      <c r="BA986" s="108"/>
      <c r="BB986" s="140"/>
      <c r="BF986" s="47"/>
      <c r="BL986" s="57"/>
      <c r="BO986" s="117"/>
      <c r="BX986" s="164"/>
    </row>
    <row r="987" spans="3:76" s="115" customFormat="1" x14ac:dyDescent="0.2">
      <c r="C987" s="164"/>
      <c r="M987" s="45"/>
      <c r="N987" s="45"/>
      <c r="O987" s="46"/>
      <c r="P987" s="46"/>
      <c r="Q987" s="45"/>
      <c r="R987" s="117"/>
      <c r="S987" s="45"/>
      <c r="T987" s="45"/>
      <c r="U987" s="119"/>
      <c r="V987" s="47"/>
      <c r="W987" s="47"/>
      <c r="X987" s="47"/>
      <c r="Y987" s="47"/>
      <c r="Z987" s="49"/>
      <c r="AA987" s="97"/>
      <c r="AF987" s="47"/>
      <c r="AG987" s="61"/>
      <c r="AH987" s="61"/>
      <c r="AI987" s="62"/>
      <c r="AJ987" s="47"/>
      <c r="AN987" s="47"/>
      <c r="AO987" s="61"/>
      <c r="AP987" s="61"/>
      <c r="AQ987" s="63"/>
      <c r="AR987" s="64"/>
      <c r="AS987" s="61"/>
      <c r="AT987" s="61"/>
      <c r="AU987" s="62"/>
      <c r="AV987" s="64"/>
      <c r="AW987" s="108"/>
      <c r="AX987" s="108"/>
      <c r="AY987" s="47"/>
      <c r="AZ987" s="108"/>
      <c r="BA987" s="108"/>
      <c r="BB987" s="140"/>
      <c r="BF987" s="47"/>
      <c r="BL987" s="57"/>
      <c r="BO987" s="117"/>
      <c r="BX987" s="164"/>
    </row>
    <row r="988" spans="3:76" s="115" customFormat="1" x14ac:dyDescent="0.2">
      <c r="C988" s="164"/>
      <c r="M988" s="45"/>
      <c r="N988" s="45"/>
      <c r="O988" s="46"/>
      <c r="P988" s="46"/>
      <c r="Q988" s="45"/>
      <c r="R988" s="117"/>
      <c r="S988" s="45"/>
      <c r="T988" s="45"/>
      <c r="U988" s="119"/>
      <c r="V988" s="47"/>
      <c r="W988" s="47"/>
      <c r="X988" s="47"/>
      <c r="Y988" s="47"/>
      <c r="Z988" s="49"/>
      <c r="AA988" s="97"/>
      <c r="AF988" s="47"/>
      <c r="AG988" s="61"/>
      <c r="AH988" s="61"/>
      <c r="AI988" s="62"/>
      <c r="AJ988" s="47"/>
      <c r="AN988" s="47"/>
      <c r="AO988" s="61"/>
      <c r="AP988" s="61"/>
      <c r="AQ988" s="63"/>
      <c r="AR988" s="64"/>
      <c r="AS988" s="61"/>
      <c r="AT988" s="61"/>
      <c r="AU988" s="62"/>
      <c r="AV988" s="64"/>
      <c r="AW988" s="108"/>
      <c r="AX988" s="108"/>
      <c r="AY988" s="47"/>
      <c r="AZ988" s="108"/>
      <c r="BA988" s="108"/>
      <c r="BB988" s="140"/>
      <c r="BF988" s="47"/>
      <c r="BL988" s="57"/>
      <c r="BO988" s="117"/>
      <c r="BX988" s="164"/>
    </row>
    <row r="989" spans="3:76" s="115" customFormat="1" x14ac:dyDescent="0.2">
      <c r="C989" s="164"/>
      <c r="M989" s="45"/>
      <c r="N989" s="45"/>
      <c r="O989" s="46"/>
      <c r="P989" s="46"/>
      <c r="Q989" s="45"/>
      <c r="R989" s="117"/>
      <c r="S989" s="45"/>
      <c r="T989" s="45"/>
      <c r="U989" s="119"/>
      <c r="V989" s="47"/>
      <c r="W989" s="47"/>
      <c r="X989" s="47"/>
      <c r="Y989" s="47"/>
      <c r="Z989" s="49"/>
      <c r="AA989" s="97"/>
      <c r="AF989" s="47"/>
      <c r="AG989" s="61"/>
      <c r="AH989" s="61"/>
      <c r="AI989" s="62"/>
      <c r="AJ989" s="47"/>
      <c r="AN989" s="47"/>
      <c r="AO989" s="61"/>
      <c r="AP989" s="61"/>
      <c r="AQ989" s="63"/>
      <c r="AR989" s="64"/>
      <c r="AS989" s="61"/>
      <c r="AT989" s="61"/>
      <c r="AU989" s="62"/>
      <c r="AV989" s="64"/>
      <c r="AW989" s="108"/>
      <c r="AX989" s="108"/>
      <c r="AY989" s="47"/>
      <c r="AZ989" s="108"/>
      <c r="BA989" s="108"/>
      <c r="BB989" s="140"/>
      <c r="BF989" s="47"/>
      <c r="BL989" s="57"/>
      <c r="BO989" s="117"/>
      <c r="BX989" s="164"/>
    </row>
    <row r="990" spans="3:76" s="115" customFormat="1" x14ac:dyDescent="0.2">
      <c r="C990" s="164"/>
      <c r="M990" s="45"/>
      <c r="N990" s="45"/>
      <c r="O990" s="46"/>
      <c r="P990" s="46"/>
      <c r="Q990" s="45"/>
      <c r="R990" s="117"/>
      <c r="S990" s="45"/>
      <c r="T990" s="45"/>
      <c r="U990" s="119"/>
      <c r="V990" s="47"/>
      <c r="W990" s="47"/>
      <c r="X990" s="47"/>
      <c r="Y990" s="47"/>
      <c r="Z990" s="49"/>
      <c r="AA990" s="97"/>
      <c r="AF990" s="47"/>
      <c r="AG990" s="61"/>
      <c r="AH990" s="61"/>
      <c r="AI990" s="62"/>
      <c r="AJ990" s="47"/>
      <c r="AN990" s="47"/>
      <c r="AO990" s="61"/>
      <c r="AP990" s="61"/>
      <c r="AQ990" s="63"/>
      <c r="AR990" s="64"/>
      <c r="AS990" s="61"/>
      <c r="AT990" s="61"/>
      <c r="AU990" s="62"/>
      <c r="AV990" s="64"/>
      <c r="AW990" s="108"/>
      <c r="AX990" s="108"/>
      <c r="AY990" s="47"/>
      <c r="AZ990" s="108"/>
      <c r="BA990" s="108"/>
      <c r="BB990" s="140"/>
      <c r="BF990" s="47"/>
      <c r="BL990" s="57"/>
      <c r="BO990" s="117"/>
      <c r="BX990" s="164"/>
    </row>
    <row r="991" spans="3:76" s="115" customFormat="1" x14ac:dyDescent="0.2">
      <c r="C991" s="164"/>
      <c r="M991" s="45"/>
      <c r="N991" s="45"/>
      <c r="O991" s="46"/>
      <c r="P991" s="46"/>
      <c r="Q991" s="45"/>
      <c r="R991" s="117"/>
      <c r="S991" s="45"/>
      <c r="T991" s="45"/>
      <c r="U991" s="119"/>
      <c r="V991" s="47"/>
      <c r="W991" s="47"/>
      <c r="X991" s="47"/>
      <c r="Y991" s="47"/>
      <c r="Z991" s="49"/>
      <c r="AA991" s="97"/>
      <c r="AF991" s="47"/>
      <c r="AG991" s="61"/>
      <c r="AH991" s="61"/>
      <c r="AI991" s="62"/>
      <c r="AJ991" s="47"/>
      <c r="AN991" s="47"/>
      <c r="AO991" s="61"/>
      <c r="AP991" s="61"/>
      <c r="AQ991" s="63"/>
      <c r="AR991" s="64"/>
      <c r="AS991" s="61"/>
      <c r="AT991" s="61"/>
      <c r="AU991" s="62"/>
      <c r="AV991" s="64"/>
      <c r="AW991" s="108"/>
      <c r="AX991" s="108"/>
      <c r="AY991" s="47"/>
      <c r="AZ991" s="108"/>
      <c r="BA991" s="108"/>
      <c r="BB991" s="140"/>
      <c r="BF991" s="47"/>
      <c r="BL991" s="57"/>
      <c r="BO991" s="117"/>
      <c r="BX991" s="164"/>
    </row>
    <row r="992" spans="3:76" s="115" customFormat="1" x14ac:dyDescent="0.2">
      <c r="C992" s="164"/>
      <c r="M992" s="45"/>
      <c r="N992" s="45"/>
      <c r="O992" s="46"/>
      <c r="P992" s="46"/>
      <c r="Q992" s="45"/>
      <c r="R992" s="117"/>
      <c r="S992" s="45"/>
      <c r="T992" s="45"/>
      <c r="U992" s="119"/>
      <c r="V992" s="47"/>
      <c r="W992" s="47"/>
      <c r="X992" s="47"/>
      <c r="Y992" s="47"/>
      <c r="Z992" s="49"/>
      <c r="AA992" s="97"/>
      <c r="AF992" s="47"/>
      <c r="AG992" s="61"/>
      <c r="AH992" s="61"/>
      <c r="AI992" s="62"/>
      <c r="AJ992" s="47"/>
      <c r="AN992" s="47"/>
      <c r="AO992" s="61"/>
      <c r="AP992" s="61"/>
      <c r="AQ992" s="63"/>
      <c r="AR992" s="64"/>
      <c r="AS992" s="61"/>
      <c r="AT992" s="61"/>
      <c r="AU992" s="62"/>
      <c r="AV992" s="64"/>
      <c r="AW992" s="108"/>
      <c r="AX992" s="108"/>
      <c r="AY992" s="47"/>
      <c r="AZ992" s="108"/>
      <c r="BA992" s="108"/>
      <c r="BB992" s="140"/>
      <c r="BF992" s="47"/>
      <c r="BL992" s="57"/>
      <c r="BO992" s="117"/>
      <c r="BX992" s="164"/>
    </row>
    <row r="993" spans="3:76" s="115" customFormat="1" x14ac:dyDescent="0.2">
      <c r="C993" s="164"/>
      <c r="M993" s="45"/>
      <c r="N993" s="45"/>
      <c r="O993" s="46"/>
      <c r="P993" s="46"/>
      <c r="Q993" s="45"/>
      <c r="R993" s="117"/>
      <c r="S993" s="45"/>
      <c r="T993" s="45"/>
      <c r="U993" s="119"/>
      <c r="V993" s="47"/>
      <c r="W993" s="47"/>
      <c r="X993" s="47"/>
      <c r="Y993" s="47"/>
      <c r="Z993" s="49"/>
      <c r="AA993" s="97"/>
      <c r="AF993" s="47"/>
      <c r="AG993" s="61"/>
      <c r="AH993" s="61"/>
      <c r="AI993" s="62"/>
      <c r="AJ993" s="47"/>
      <c r="AN993" s="47"/>
      <c r="AO993" s="61"/>
      <c r="AP993" s="61"/>
      <c r="AQ993" s="63"/>
      <c r="AR993" s="64"/>
      <c r="AS993" s="61"/>
      <c r="AT993" s="61"/>
      <c r="AU993" s="62"/>
      <c r="AV993" s="64"/>
      <c r="AW993" s="108"/>
      <c r="AX993" s="108"/>
      <c r="AY993" s="47"/>
      <c r="AZ993" s="108"/>
      <c r="BA993" s="108"/>
      <c r="BB993" s="140"/>
      <c r="BF993" s="47"/>
      <c r="BL993" s="57"/>
      <c r="BO993" s="117"/>
      <c r="BX993" s="164"/>
    </row>
    <row r="994" spans="3:76" s="115" customFormat="1" x14ac:dyDescent="0.2">
      <c r="C994" s="164"/>
      <c r="M994" s="45"/>
      <c r="N994" s="45"/>
      <c r="O994" s="46"/>
      <c r="P994" s="46"/>
      <c r="Q994" s="45"/>
      <c r="R994" s="117"/>
      <c r="S994" s="45"/>
      <c r="T994" s="45"/>
      <c r="U994" s="119"/>
      <c r="V994" s="47"/>
      <c r="W994" s="47"/>
      <c r="X994" s="47"/>
      <c r="Y994" s="47"/>
      <c r="Z994" s="49"/>
      <c r="AA994" s="97"/>
      <c r="AF994" s="47"/>
      <c r="AG994" s="61"/>
      <c r="AH994" s="61"/>
      <c r="AI994" s="62"/>
      <c r="AJ994" s="47"/>
      <c r="AN994" s="47"/>
      <c r="AO994" s="61"/>
      <c r="AP994" s="61"/>
      <c r="AQ994" s="63"/>
      <c r="AR994" s="64"/>
      <c r="AS994" s="61"/>
      <c r="AT994" s="61"/>
      <c r="AU994" s="62"/>
      <c r="AV994" s="64"/>
      <c r="AW994" s="108"/>
      <c r="AX994" s="108"/>
      <c r="AY994" s="47"/>
      <c r="AZ994" s="108"/>
      <c r="BA994" s="108"/>
      <c r="BB994" s="140"/>
      <c r="BF994" s="47"/>
      <c r="BL994" s="57"/>
      <c r="BO994" s="117"/>
      <c r="BX994" s="164"/>
    </row>
    <row r="995" spans="3:76" s="115" customFormat="1" x14ac:dyDescent="0.2">
      <c r="C995" s="164"/>
      <c r="M995" s="45"/>
      <c r="N995" s="45"/>
      <c r="O995" s="46"/>
      <c r="P995" s="46"/>
      <c r="Q995" s="45"/>
      <c r="R995" s="117"/>
      <c r="S995" s="45"/>
      <c r="T995" s="45"/>
      <c r="U995" s="119"/>
      <c r="V995" s="47"/>
      <c r="W995" s="47"/>
      <c r="X995" s="47"/>
      <c r="Y995" s="47"/>
      <c r="Z995" s="49"/>
      <c r="AA995" s="97"/>
      <c r="AF995" s="47"/>
      <c r="AG995" s="61"/>
      <c r="AH995" s="61"/>
      <c r="AI995" s="62"/>
      <c r="AJ995" s="47"/>
      <c r="AN995" s="47"/>
      <c r="AO995" s="61"/>
      <c r="AP995" s="61"/>
      <c r="AQ995" s="63"/>
      <c r="AR995" s="64"/>
      <c r="AS995" s="61"/>
      <c r="AT995" s="61"/>
      <c r="AU995" s="62"/>
      <c r="AV995" s="64"/>
      <c r="AW995" s="108"/>
      <c r="AX995" s="108"/>
      <c r="AY995" s="47"/>
      <c r="AZ995" s="108"/>
      <c r="BA995" s="108"/>
      <c r="BB995" s="140"/>
      <c r="BF995" s="47"/>
      <c r="BL995" s="57"/>
      <c r="BO995" s="117"/>
      <c r="BX995" s="164"/>
    </row>
    <row r="996" spans="3:76" s="115" customFormat="1" x14ac:dyDescent="0.2">
      <c r="C996" s="164"/>
      <c r="M996" s="45"/>
      <c r="N996" s="45"/>
      <c r="O996" s="46"/>
      <c r="P996" s="46"/>
      <c r="Q996" s="45"/>
      <c r="R996" s="117"/>
      <c r="S996" s="45"/>
      <c r="T996" s="45"/>
      <c r="U996" s="119"/>
      <c r="V996" s="47"/>
      <c r="W996" s="47"/>
      <c r="X996" s="47"/>
      <c r="Y996" s="47"/>
      <c r="Z996" s="49"/>
      <c r="AA996" s="97"/>
      <c r="AF996" s="47"/>
      <c r="AG996" s="61"/>
      <c r="AH996" s="61"/>
      <c r="AI996" s="62"/>
      <c r="AJ996" s="47"/>
      <c r="AN996" s="47"/>
      <c r="AO996" s="61"/>
      <c r="AP996" s="61"/>
      <c r="AQ996" s="63"/>
      <c r="AR996" s="64"/>
      <c r="AS996" s="61"/>
      <c r="AT996" s="61"/>
      <c r="AU996" s="62"/>
      <c r="AV996" s="64"/>
      <c r="AW996" s="108"/>
      <c r="AX996" s="108"/>
      <c r="AY996" s="47"/>
      <c r="AZ996" s="108"/>
      <c r="BA996" s="108"/>
      <c r="BB996" s="140"/>
      <c r="BF996" s="47"/>
      <c r="BL996" s="57"/>
      <c r="BO996" s="117"/>
      <c r="BX996" s="164"/>
    </row>
    <row r="997" spans="3:76" s="115" customFormat="1" x14ac:dyDescent="0.2">
      <c r="C997" s="164"/>
      <c r="M997" s="45"/>
      <c r="N997" s="45"/>
      <c r="O997" s="46"/>
      <c r="P997" s="46"/>
      <c r="Q997" s="45"/>
      <c r="R997" s="117"/>
      <c r="S997" s="45"/>
      <c r="T997" s="45"/>
      <c r="U997" s="119"/>
      <c r="V997" s="47"/>
      <c r="W997" s="47"/>
      <c r="X997" s="47"/>
      <c r="Y997" s="47"/>
      <c r="Z997" s="49"/>
      <c r="AA997" s="97"/>
      <c r="AF997" s="47"/>
      <c r="AG997" s="61"/>
      <c r="AH997" s="61"/>
      <c r="AI997" s="62"/>
      <c r="AJ997" s="47"/>
      <c r="AN997" s="47"/>
      <c r="AO997" s="61"/>
      <c r="AP997" s="61"/>
      <c r="AQ997" s="63"/>
      <c r="AR997" s="64"/>
      <c r="AS997" s="61"/>
      <c r="AT997" s="61"/>
      <c r="AU997" s="62"/>
      <c r="AV997" s="64"/>
      <c r="AW997" s="108"/>
      <c r="AX997" s="108"/>
      <c r="AY997" s="47"/>
      <c r="AZ997" s="108"/>
      <c r="BA997" s="108"/>
      <c r="BB997" s="140"/>
      <c r="BF997" s="47"/>
      <c r="BL997" s="57"/>
      <c r="BO997" s="117"/>
      <c r="BX997" s="164"/>
    </row>
    <row r="998" spans="3:76" s="115" customFormat="1" x14ac:dyDescent="0.2">
      <c r="C998" s="164"/>
      <c r="M998" s="45"/>
      <c r="N998" s="45"/>
      <c r="O998" s="46"/>
      <c r="P998" s="46"/>
      <c r="Q998" s="45"/>
      <c r="R998" s="117"/>
      <c r="S998" s="45"/>
      <c r="T998" s="45"/>
      <c r="U998" s="119"/>
      <c r="V998" s="47"/>
      <c r="W998" s="47"/>
      <c r="X998" s="47"/>
      <c r="Y998" s="47"/>
      <c r="Z998" s="49"/>
      <c r="AA998" s="97"/>
      <c r="AF998" s="47"/>
      <c r="AG998" s="61"/>
      <c r="AH998" s="61"/>
      <c r="AI998" s="62"/>
      <c r="AJ998" s="47"/>
      <c r="AN998" s="47"/>
      <c r="AO998" s="61"/>
      <c r="AP998" s="61"/>
      <c r="AQ998" s="63"/>
      <c r="AR998" s="64"/>
      <c r="AS998" s="61"/>
      <c r="AT998" s="61"/>
      <c r="AU998" s="62"/>
      <c r="AV998" s="64"/>
      <c r="AW998" s="108"/>
      <c r="AX998" s="108"/>
      <c r="AY998" s="47"/>
      <c r="AZ998" s="108"/>
      <c r="BA998" s="108"/>
      <c r="BB998" s="140"/>
      <c r="BF998" s="47"/>
      <c r="BL998" s="57"/>
      <c r="BO998" s="117"/>
      <c r="BX998" s="164"/>
    </row>
    <row r="999" spans="3:76" s="115" customFormat="1" x14ac:dyDescent="0.2">
      <c r="C999" s="164"/>
      <c r="M999" s="45"/>
      <c r="N999" s="45"/>
      <c r="O999" s="46"/>
      <c r="P999" s="46"/>
      <c r="Q999" s="45"/>
      <c r="R999" s="117"/>
      <c r="S999" s="45"/>
      <c r="T999" s="45"/>
      <c r="U999" s="119"/>
      <c r="V999" s="47"/>
      <c r="W999" s="47"/>
      <c r="X999" s="47"/>
      <c r="Y999" s="47"/>
      <c r="Z999" s="49"/>
      <c r="AA999" s="97"/>
      <c r="AF999" s="47"/>
      <c r="AG999" s="61"/>
      <c r="AH999" s="61"/>
      <c r="AI999" s="62"/>
      <c r="AJ999" s="47"/>
      <c r="AN999" s="47"/>
      <c r="AO999" s="61"/>
      <c r="AP999" s="61"/>
      <c r="AQ999" s="63"/>
      <c r="AR999" s="64"/>
      <c r="AS999" s="61"/>
      <c r="AT999" s="61"/>
      <c r="AU999" s="62"/>
      <c r="AV999" s="64"/>
      <c r="AW999" s="108"/>
      <c r="AX999" s="108"/>
      <c r="AY999" s="47"/>
      <c r="AZ999" s="108"/>
      <c r="BA999" s="108"/>
      <c r="BB999" s="140"/>
      <c r="BF999" s="47"/>
      <c r="BL999" s="57"/>
      <c r="BO999" s="117"/>
      <c r="BX999" s="164"/>
    </row>
    <row r="1000" spans="3:76" s="115" customFormat="1" x14ac:dyDescent="0.2">
      <c r="C1000" s="164"/>
      <c r="M1000" s="45"/>
      <c r="N1000" s="45"/>
      <c r="O1000" s="46"/>
      <c r="P1000" s="46"/>
      <c r="Q1000" s="45"/>
      <c r="R1000" s="117"/>
      <c r="S1000" s="45"/>
      <c r="T1000" s="45"/>
      <c r="U1000" s="119"/>
      <c r="V1000" s="47"/>
      <c r="W1000" s="47"/>
      <c r="X1000" s="47"/>
      <c r="Y1000" s="47"/>
      <c r="Z1000" s="49"/>
      <c r="AA1000" s="97"/>
      <c r="AF1000" s="47"/>
      <c r="AG1000" s="61"/>
      <c r="AH1000" s="61"/>
      <c r="AI1000" s="62"/>
      <c r="AJ1000" s="47"/>
      <c r="AN1000" s="47"/>
      <c r="AO1000" s="61"/>
      <c r="AP1000" s="61"/>
      <c r="AQ1000" s="63"/>
      <c r="AR1000" s="64"/>
      <c r="AS1000" s="61"/>
      <c r="AT1000" s="61"/>
      <c r="AU1000" s="62"/>
      <c r="AV1000" s="64"/>
      <c r="AW1000" s="108"/>
      <c r="AX1000" s="108"/>
      <c r="AY1000" s="47"/>
      <c r="AZ1000" s="108"/>
      <c r="BA1000" s="108"/>
      <c r="BB1000" s="140"/>
      <c r="BF1000" s="47"/>
      <c r="BL1000" s="57"/>
      <c r="BO1000" s="117"/>
      <c r="BX1000" s="164"/>
    </row>
    <row r="1001" spans="3:76" s="115" customFormat="1" x14ac:dyDescent="0.2">
      <c r="C1001" s="164"/>
      <c r="M1001" s="45"/>
      <c r="N1001" s="45"/>
      <c r="O1001" s="46"/>
      <c r="P1001" s="46"/>
      <c r="Q1001" s="45"/>
      <c r="R1001" s="117"/>
      <c r="S1001" s="45"/>
      <c r="T1001" s="45"/>
      <c r="U1001" s="119"/>
      <c r="V1001" s="47"/>
      <c r="W1001" s="47"/>
      <c r="X1001" s="47"/>
      <c r="Y1001" s="47"/>
      <c r="Z1001" s="49"/>
      <c r="AA1001" s="97"/>
      <c r="AF1001" s="47"/>
      <c r="AG1001" s="61"/>
      <c r="AH1001" s="61"/>
      <c r="AI1001" s="62"/>
      <c r="AJ1001" s="47"/>
      <c r="AN1001" s="47"/>
      <c r="AO1001" s="61"/>
      <c r="AP1001" s="61"/>
      <c r="AQ1001" s="63"/>
      <c r="AR1001" s="64"/>
      <c r="AS1001" s="61"/>
      <c r="AT1001" s="61"/>
      <c r="AU1001" s="62"/>
      <c r="AV1001" s="64"/>
      <c r="AW1001" s="108"/>
      <c r="AX1001" s="108"/>
      <c r="AY1001" s="47"/>
      <c r="AZ1001" s="108"/>
      <c r="BA1001" s="108"/>
      <c r="BB1001" s="140"/>
      <c r="BF1001" s="47"/>
      <c r="BL1001" s="57"/>
      <c r="BO1001" s="117"/>
      <c r="BX1001" s="164"/>
    </row>
    <row r="1002" spans="3:76" s="115" customFormat="1" x14ac:dyDescent="0.2">
      <c r="C1002" s="164"/>
      <c r="M1002" s="45"/>
      <c r="N1002" s="45"/>
      <c r="O1002" s="46"/>
      <c r="P1002" s="46"/>
      <c r="Q1002" s="45"/>
      <c r="R1002" s="117"/>
      <c r="S1002" s="45"/>
      <c r="T1002" s="45"/>
      <c r="U1002" s="119"/>
      <c r="V1002" s="47"/>
      <c r="W1002" s="47"/>
      <c r="X1002" s="47"/>
      <c r="Y1002" s="47"/>
      <c r="Z1002" s="49"/>
      <c r="AA1002" s="97"/>
      <c r="AF1002" s="47"/>
      <c r="AG1002" s="61"/>
      <c r="AH1002" s="61"/>
      <c r="AI1002" s="62"/>
      <c r="AJ1002" s="47"/>
      <c r="AN1002" s="47"/>
      <c r="AO1002" s="61"/>
      <c r="AP1002" s="61"/>
      <c r="AQ1002" s="63"/>
      <c r="AR1002" s="64"/>
      <c r="AS1002" s="61"/>
      <c r="AT1002" s="61"/>
      <c r="AU1002" s="62"/>
      <c r="AV1002" s="64"/>
      <c r="AW1002" s="108"/>
      <c r="AX1002" s="108"/>
      <c r="AY1002" s="47"/>
      <c r="AZ1002" s="108"/>
      <c r="BA1002" s="108"/>
      <c r="BB1002" s="140"/>
      <c r="BF1002" s="47"/>
      <c r="BL1002" s="57"/>
      <c r="BO1002" s="117"/>
      <c r="BX1002" s="164"/>
    </row>
    <row r="1003" spans="3:76" s="115" customFormat="1" x14ac:dyDescent="0.2">
      <c r="C1003" s="164"/>
      <c r="M1003" s="45"/>
      <c r="N1003" s="45"/>
      <c r="O1003" s="46"/>
      <c r="P1003" s="46"/>
      <c r="Q1003" s="45"/>
      <c r="R1003" s="117"/>
      <c r="S1003" s="45"/>
      <c r="T1003" s="45"/>
      <c r="U1003" s="119"/>
      <c r="V1003" s="47"/>
      <c r="W1003" s="47"/>
      <c r="X1003" s="47"/>
      <c r="Y1003" s="47"/>
      <c r="Z1003" s="49"/>
      <c r="AA1003" s="97"/>
      <c r="AF1003" s="47"/>
      <c r="AG1003" s="61"/>
      <c r="AH1003" s="61"/>
      <c r="AI1003" s="62"/>
      <c r="AJ1003" s="47"/>
      <c r="AN1003" s="47"/>
      <c r="AO1003" s="61"/>
      <c r="AP1003" s="61"/>
      <c r="AQ1003" s="63"/>
      <c r="AR1003" s="64"/>
      <c r="AS1003" s="61"/>
      <c r="AT1003" s="61"/>
      <c r="AU1003" s="62"/>
      <c r="AV1003" s="64"/>
      <c r="AW1003" s="108"/>
      <c r="AX1003" s="108"/>
      <c r="AY1003" s="47"/>
      <c r="AZ1003" s="108"/>
      <c r="BA1003" s="108"/>
      <c r="BB1003" s="140"/>
      <c r="BF1003" s="47"/>
      <c r="BL1003" s="57"/>
      <c r="BO1003" s="117"/>
      <c r="BX1003" s="164"/>
    </row>
  </sheetData>
  <sheetProtection algorithmName="SHA-512" hashValue="ZCRdfBOXPHpXgrJPRnpkpbK2BPNl4rzzo4WqcOiC95mhbWV5sEHkcWtwZkdVAdKQd2HMnEilslvIMBnfb4+ccQ==" saltValue="9gHwMxIwEW4IdxsGYXzK9Q==" spinCount="100000" sheet="1" objects="1" selectLockedCells="1"/>
  <mergeCells count="37">
    <mergeCell ref="CT25:CV25"/>
    <mergeCell ref="AS25:AV25"/>
    <mergeCell ref="AW25:AY25"/>
    <mergeCell ref="AZ25:BB25"/>
    <mergeCell ref="CH25:CK25"/>
    <mergeCell ref="BQ25:BS25"/>
    <mergeCell ref="BT25:BV25"/>
    <mergeCell ref="BW25:BY25"/>
    <mergeCell ref="E6:F6"/>
    <mergeCell ref="G25:L25"/>
    <mergeCell ref="O25:Q25"/>
    <mergeCell ref="Y25:Y27"/>
    <mergeCell ref="AA25:AA27"/>
    <mergeCell ref="Z25:Z26"/>
    <mergeCell ref="W25:W27"/>
    <mergeCell ref="R25:S25"/>
    <mergeCell ref="CW25:DB25"/>
    <mergeCell ref="BG25:BG26"/>
    <mergeCell ref="BN25:BP25"/>
    <mergeCell ref="CL25:CO25"/>
    <mergeCell ref="E25:F25"/>
    <mergeCell ref="M25:N25"/>
    <mergeCell ref="V25:V27"/>
    <mergeCell ref="AB25:AB27"/>
    <mergeCell ref="AC25:AJ25"/>
    <mergeCell ref="AK25:AR25"/>
    <mergeCell ref="X25:X27"/>
    <mergeCell ref="CR25:CS25"/>
    <mergeCell ref="U25:U27"/>
    <mergeCell ref="BZ25:CC25"/>
    <mergeCell ref="CD25:CG25"/>
    <mergeCell ref="CP25:CQ25"/>
    <mergeCell ref="H2:I2"/>
    <mergeCell ref="T25:T27"/>
    <mergeCell ref="BK25:BM25"/>
    <mergeCell ref="BH25:BJ25"/>
    <mergeCell ref="BC25:BF25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93470-46AC-4CA5-9733-FE944DD088CD}">
  <sheetPr codeName="Sheet9"/>
  <dimension ref="A2:I700"/>
  <sheetViews>
    <sheetView workbookViewId="0"/>
  </sheetViews>
  <sheetFormatPr defaultRowHeight="14.25" x14ac:dyDescent="0.2"/>
  <cols>
    <col min="1" max="1" width="1.625" style="20" customWidth="1"/>
    <col min="2" max="2" width="9" style="52"/>
    <col min="3" max="3" width="13.5" style="51" bestFit="1" customWidth="1"/>
    <col min="4" max="5" width="5.25" style="104" bestFit="1" customWidth="1"/>
    <col min="6" max="6" width="9" style="51"/>
    <col min="7" max="7" width="9" style="52"/>
    <col min="8" max="8" width="10.875" style="52" bestFit="1" customWidth="1"/>
    <col min="9" max="9" width="8" style="105" bestFit="1" customWidth="1"/>
    <col min="10" max="16384" width="9" style="19"/>
  </cols>
  <sheetData>
    <row r="2" spans="1:9" s="103" customFormat="1" x14ac:dyDescent="0.2">
      <c r="A2" s="99"/>
      <c r="B2" s="100" t="s">
        <v>425</v>
      </c>
      <c r="C2" s="101" t="s">
        <v>426</v>
      </c>
      <c r="D2" s="101" t="s">
        <v>431</v>
      </c>
      <c r="E2" s="101" t="s">
        <v>432</v>
      </c>
      <c r="F2" s="101" t="s">
        <v>427</v>
      </c>
      <c r="G2" s="100" t="s">
        <v>429</v>
      </c>
      <c r="H2" s="100" t="s">
        <v>430</v>
      </c>
      <c r="I2" s="102" t="s">
        <v>428</v>
      </c>
    </row>
    <row r="3" spans="1:9" x14ac:dyDescent="0.2">
      <c r="A3" s="20">
        <f>INT('模拟-模拟计算'!B28+0.5)</f>
        <v>1</v>
      </c>
      <c r="B3" s="52">
        <f>IF(AND(INT('模拟-模拟计算'!B28)&lt;='模拟-模拟计算'!$C$2,'模拟-模拟计算'!B28&gt;0),'模拟-模拟计算'!B28," ")</f>
        <v>0.92249999999999999</v>
      </c>
      <c r="C3" s="51" t="str">
        <f>IF(AND(INT('模拟-模拟计算'!B28)&lt;='模拟-模拟计算'!$C$2,'模拟-模拟计算'!B28&gt;0),'模拟-模拟计算'!C28," ")</f>
        <v>赤日轮1</v>
      </c>
      <c r="D3" s="104">
        <f ca="1">IF(AND(INT('模拟-模拟计算'!B28)&lt;='模拟-模拟计算'!$C$2,'模拟-模拟计算'!B28&gt;0),'模拟-模拟计算'!E28," ")</f>
        <v>20</v>
      </c>
      <c r="E3" s="104">
        <f ca="1">IF(AND(INT('模拟-模拟计算'!B28)&lt;='模拟-模拟计算'!$C$2,'模拟-模拟计算'!B28&gt;0),'模拟-模拟计算'!F28," ")</f>
        <v>0</v>
      </c>
      <c r="F3" s="51" t="str">
        <f ca="1">IF(AND(INT('模拟-模拟计算'!B28)&lt;='模拟-模拟计算'!$C$2,'模拟-模拟计算'!B28&gt;0),'模拟-模拟计算'!P28," ")</f>
        <v>命</v>
      </c>
      <c r="G3" s="52">
        <f ca="1">IF(AND(INT('模拟-模拟计算'!B28)&lt;='模拟-模拟计算'!$C$2,'模拟-模拟计算'!B28&gt;0),'模拟-模拟计算'!V28," ")</f>
        <v>17184.801884551889</v>
      </c>
      <c r="H3" s="52">
        <f ca="1">IF(AND(INT('模拟-模拟计算'!B28)&lt;='模拟-模拟计算'!$C$2,'模拟-模拟计算'!B28&gt;0),'模拟-模拟计算'!Y28," ")</f>
        <v>24295.024467389918</v>
      </c>
      <c r="I3" s="105">
        <f ca="1">IF(AND(INT('模拟-模拟计算'!B28)&lt;='模拟-模拟计算'!$C$2,'模拟-模拟计算'!B28&gt;0),'模拟-模拟计算'!AA28," ")</f>
        <v>26336.069883349504</v>
      </c>
    </row>
    <row r="4" spans="1:9" x14ac:dyDescent="0.2">
      <c r="A4" s="20">
        <f>INT('模拟-模拟计算'!B29+0.5)</f>
        <v>2</v>
      </c>
      <c r="B4" s="52">
        <f>IF(AND(INT('模拟-模拟计算'!B29)&lt;='模拟-模拟计算'!$C$2,'模拟-模拟计算'!B29&gt;0),'模拟-模拟计算'!B29," ")</f>
        <v>1.845</v>
      </c>
      <c r="C4" s="51" t="str">
        <f ca="1">IF(AND(INT('模拟-模拟计算'!B29)&lt;='模拟-模拟计算'!$C$2,'模拟-模拟计算'!B29&gt;0),'模拟-模拟计算'!C29," ")</f>
        <v>银月斩</v>
      </c>
      <c r="D4" s="104">
        <f ca="1">IF(AND(INT('模拟-模拟计算'!B29)&lt;='模拟-模拟计算'!$C$2,'模拟-模拟计算'!B29&gt;0),'模拟-模拟计算'!E29," ")</f>
        <v>20</v>
      </c>
      <c r="E4" s="104">
        <f ca="1">IF(AND(INT('模拟-模拟计算'!B29)&lt;='模拟-模拟计算'!$C$2,'模拟-模拟计算'!B29&gt;0),'模拟-模拟计算'!F29," ")</f>
        <v>45</v>
      </c>
      <c r="F4" s="51" t="str">
        <f ca="1">IF(AND(INT('模拟-模拟计算'!B29)&lt;='模拟-模拟计算'!$C$2,'模拟-模拟计算'!B29&gt;0),'模拟-模拟计算'!P29," ")</f>
        <v>命</v>
      </c>
      <c r="G4" s="52">
        <f ca="1">IF(AND(INT('模拟-模拟计算'!B29)&lt;='模拟-模拟计算'!$C$2,'模拟-模拟计算'!B29&gt;0),'模拟-模拟计算'!V29," ")</f>
        <v>15016.852927298993</v>
      </c>
      <c r="H4" s="52">
        <f ca="1">IF(AND(INT('模拟-模拟计算'!B29)&lt;='模拟-模拟计算'!$C$2,'模拟-模拟计算'!B29&gt;0),'模拟-模拟计算'!Y29," ")</f>
        <v>21683.883866680575</v>
      </c>
      <c r="I4" s="105">
        <f ca="1">IF(AND(INT('模拟-模拟计算'!B29)&lt;='模拟-模拟计算'!$C$2,'模拟-模拟计算'!B29&gt;0),'模拟-模拟计算'!AA29," ")</f>
        <v>24920.817525241462</v>
      </c>
    </row>
    <row r="5" spans="1:9" x14ac:dyDescent="0.2">
      <c r="A5" s="20">
        <f>INT('模拟-模拟计算'!B30+0.5)</f>
        <v>3</v>
      </c>
      <c r="B5" s="52">
        <f>IF(AND(INT('模拟-模拟计算'!B30)&lt;='模拟-模拟计算'!$C$2,'模拟-模拟计算'!B30&gt;0),'模拟-模拟计算'!B30," ")</f>
        <v>2.7675000000000001</v>
      </c>
      <c r="C5" s="51" t="str">
        <f ca="1">IF(AND(INT('模拟-模拟计算'!B30)&lt;='模拟-模拟计算'!$C$2,'模拟-模拟计算'!B30&gt;0),'模拟-模拟计算'!C30," ")</f>
        <v>驱夜断愁</v>
      </c>
      <c r="D5" s="104">
        <f ca="1">IF(AND(INT('模拟-模拟计算'!B30)&lt;='模拟-模拟计算'!$C$2,'模拟-模拟计算'!B30&gt;0),'模拟-模拟计算'!E30," ")</f>
        <v>40</v>
      </c>
      <c r="E5" s="104">
        <f ca="1">IF(AND(INT('模拟-模拟计算'!B30)&lt;='模拟-模拟计算'!$C$2,'模拟-模拟计算'!B30&gt;0),'模拟-模拟计算'!F30," ")</f>
        <v>65</v>
      </c>
      <c r="F5" s="51" t="str">
        <f ca="1">IF(AND(INT('模拟-模拟计算'!B30)&lt;='模拟-模拟计算'!$C$2,'模拟-模拟计算'!B30&gt;0),'模拟-模拟计算'!P30," ")</f>
        <v>会</v>
      </c>
      <c r="G5" s="52">
        <f ca="1">IF(AND(INT('模拟-模拟计算'!B30)&lt;='模拟-模拟计算'!$C$2,'模拟-模拟计算'!B30&gt;0),'模拟-模拟计算'!V30," ")</f>
        <v>121329.42067299986</v>
      </c>
      <c r="H5" s="52">
        <f ca="1">IF(AND(INT('模拟-模拟计算'!B30)&lt;='模拟-模拟计算'!$C$2,'模拟-模拟计算'!B30&gt;0),'模拟-模拟计算'!Y30," ")</f>
        <v>122052.44196009394</v>
      </c>
      <c r="I5" s="105">
        <f ca="1">IF(AND(INT('模拟-模拟计算'!B30)&lt;='模拟-模拟计算'!$C$2,'模拟-模拟计算'!B30&gt;0),'模拟-模拟计算'!AA30," ")</f>
        <v>60715.935065642072</v>
      </c>
    </row>
    <row r="6" spans="1:9" x14ac:dyDescent="0.2">
      <c r="A6" s="20">
        <f>INT('模拟-模拟计算'!B31+0.5)</f>
        <v>4</v>
      </c>
      <c r="B6" s="52">
        <f>IF(AND(INT('模拟-模拟计算'!B31)&lt;='模拟-模拟计算'!$C$2,'模拟-模拟计算'!B31&gt;0),'模拟-模拟计算'!B31," ")</f>
        <v>3.69</v>
      </c>
      <c r="C6" s="51" t="str">
        <f ca="1">IF(AND(INT('模拟-模拟计算'!B31)&lt;='模拟-模拟计算'!$C$2,'模拟-模拟计算'!B31&gt;0),'模拟-模拟计算'!C31," ")</f>
        <v>烈日斩</v>
      </c>
      <c r="D6" s="104">
        <f ca="1">IF(AND(INT('模拟-模拟计算'!B31)&lt;='模拟-模拟计算'!$C$2,'模拟-模拟计算'!B31&gt;0),'模拟-模拟计算'!E31," ")</f>
        <v>80</v>
      </c>
      <c r="E6" s="104">
        <f ca="1">IF(AND(INT('模拟-模拟计算'!B31)&lt;='模拟-模拟计算'!$C$2,'模拟-模拟计算'!B31&gt;0),'模拟-模拟计算'!F31," ")</f>
        <v>65</v>
      </c>
      <c r="F6" s="51" t="str">
        <f ca="1">IF(AND(INT('模拟-模拟计算'!B31)&lt;='模拟-模拟计算'!$C$2,'模拟-模拟计算'!B31&gt;0),'模拟-模拟计算'!P31," ")</f>
        <v>会</v>
      </c>
      <c r="G6" s="52">
        <f ca="1">IF(AND(INT('模拟-模拟计算'!B31)&lt;='模拟-模拟计算'!$C$2,'模拟-模拟计算'!B31&gt;0),'模拟-模拟计算'!V31," ")</f>
        <v>100470.65508430792</v>
      </c>
      <c r="H6" s="52">
        <f ca="1">IF(AND(INT('模拟-模拟计算'!B31)&lt;='模拟-模拟计算'!$C$2,'模拟-模拟计算'!B31&gt;0),'模拟-模拟计算'!Y31," ")</f>
        <v>108460.20996267974</v>
      </c>
      <c r="I6" s="105">
        <f ca="1">IF(AND(INT('模拟-模拟计算'!B31)&lt;='模拟-模拟计算'!$C$2,'模拟-模拟计算'!B31&gt;0),'模拟-模拟计算'!AA31," ")</f>
        <v>74929.962129226056</v>
      </c>
    </row>
    <row r="7" spans="1:9" x14ac:dyDescent="0.2">
      <c r="A7" s="20">
        <f>INT('模拟-模拟计算'!B32+0.5)</f>
        <v>5</v>
      </c>
      <c r="B7" s="52">
        <f>IF(AND(INT('模拟-模拟计算'!B32)&lt;='模拟-模拟计算'!$C$2,'模拟-模拟计算'!B32&gt;0),'模拟-模拟计算'!B32," ")</f>
        <v>4.6124999999999998</v>
      </c>
      <c r="C7" s="51" t="str">
        <f ca="1">IF(AND(INT('模拟-模拟计算'!B32)&lt;='模拟-模拟计算'!$C$2,'模拟-模拟计算'!B32&gt;0),'模拟-模拟计算'!C32," ")</f>
        <v>幽月轮1</v>
      </c>
      <c r="D7" s="104">
        <f ca="1">IF(AND(INT('模拟-模拟计算'!B32)&lt;='模拟-模拟计算'!$C$2,'模拟-模拟计算'!B32&gt;0),'模拟-模拟计算'!E32," ")</f>
        <v>80</v>
      </c>
      <c r="E7" s="104">
        <f ca="1">IF(AND(INT('模拟-模拟计算'!B32)&lt;='模拟-模拟计算'!$C$2,'模拟-模拟计算'!B32&gt;0),'模拟-模拟计算'!F32," ")</f>
        <v>85</v>
      </c>
      <c r="F7" s="51" t="str">
        <f ca="1">IF(AND(INT('模拟-模拟计算'!B32)&lt;='模拟-模拟计算'!$C$2,'模拟-模拟计算'!B32&gt;0),'模拟-模拟计算'!P32," ")</f>
        <v>会</v>
      </c>
      <c r="G7" s="52">
        <f ca="1">IF(AND(INT('模拟-模拟计算'!B32)&lt;='模拟-模拟计算'!$C$2,'模拟-模拟计算'!B32&gt;0),'模拟-模拟计算'!V32," ")</f>
        <v>34146.462736942725</v>
      </c>
      <c r="H7" s="52">
        <f ca="1">IF(AND(INT('模拟-模拟计算'!B32)&lt;='模拟-模拟计算'!$C$2,'模拟-模拟计算'!B32&gt;0),'模拟-模拟计算'!Y32," ")</f>
        <v>34507.97338048977</v>
      </c>
      <c r="I7" s="105">
        <f ca="1">IF(AND(INT('模拟-模拟计算'!B32)&lt;='模拟-模拟计算'!$C$2,'模拟-模拟计算'!B32&gt;0),'模拟-模拟计算'!AA32," ")</f>
        <v>67425.373146305457</v>
      </c>
    </row>
    <row r="8" spans="1:9" x14ac:dyDescent="0.2">
      <c r="A8" s="20">
        <f>INT('模拟-模拟计算'!B33+0.5)</f>
        <v>6</v>
      </c>
      <c r="B8" s="52">
        <f>IF(AND(INT('模拟-模拟计算'!B33)&lt;='模拟-模拟计算'!$C$2,'模拟-模拟计算'!B33&gt;0),'模拟-模拟计算'!B33," ")</f>
        <v>5.5350000000000001</v>
      </c>
      <c r="C8" s="51" t="str">
        <f ca="1">IF(AND(INT('模拟-模拟计算'!B33)&lt;='模拟-模拟计算'!$C$2,'模拟-模拟计算'!B33&gt;0),'模拟-模拟计算'!C33," ")</f>
        <v>幽月轮2</v>
      </c>
      <c r="D8" s="104">
        <f ca="1">IF(AND(INT('模拟-模拟计算'!B33)&lt;='模拟-模拟计算'!$C$2,'模拟-模拟计算'!B33&gt;0),'模拟-模拟计算'!E33," ")</f>
        <v>80</v>
      </c>
      <c r="E8" s="104">
        <f ca="1">IF(AND(INT('模拟-模拟计算'!B33)&lt;='模拟-模拟计算'!$C$2,'模拟-模拟计算'!B33&gt;0),'模拟-模拟计算'!F33," ")</f>
        <v>100</v>
      </c>
      <c r="F8" s="51" t="str">
        <f ca="1">IF(AND(INT('模拟-模拟计算'!B33)&lt;='模拟-模拟计算'!$C$2,'模拟-模拟计算'!B33&gt;0),'模拟-模拟计算'!P33," ")</f>
        <v>命</v>
      </c>
      <c r="G8" s="52">
        <f ca="1">IF(AND(INT('模拟-模拟计算'!B33)&lt;='模拟-模拟计算'!$C$2,'模拟-模拟计算'!B33&gt;0),'模拟-模拟计算'!V33," ")</f>
        <v>16088.910765987295</v>
      </c>
      <c r="H8" s="52">
        <f ca="1">IF(AND(INT('模拟-模拟计算'!B33)&lt;='模拟-模拟计算'!$C$2,'模拟-模拟计算'!B33&gt;0),'模拟-模拟计算'!Y33," ")</f>
        <v>19237.412788008958</v>
      </c>
      <c r="I8" s="105">
        <f ca="1">IF(AND(INT('模拟-模拟计算'!B33)&lt;='模拟-模拟计算'!$C$2,'模拟-模拟计算'!B33&gt;0),'模拟-模拟计算'!AA33," ")</f>
        <v>59663.404954894824</v>
      </c>
    </row>
    <row r="9" spans="1:9" x14ac:dyDescent="0.2">
      <c r="A9" s="20">
        <f>INT('模拟-模拟计算'!B34+0.5)</f>
        <v>6</v>
      </c>
      <c r="B9" s="52">
        <f>IF(AND(INT('模拟-模拟计算'!B34)&lt;='模拟-模拟计算'!$C$2,'模拟-模拟计算'!B34&gt;0),'模拟-模拟计算'!B34," ")</f>
        <v>6.4575000000000005</v>
      </c>
      <c r="C9" s="51" t="str">
        <f ca="1">IF(AND(INT('模拟-模拟计算'!B34)&lt;='模拟-模拟计算'!$C$2,'模拟-模拟计算'!B34&gt;0),'模拟-模拟计算'!C34," ")</f>
        <v>净世破魔击·月</v>
      </c>
      <c r="D9" s="104">
        <f ca="1">IF(AND(INT('模拟-模拟计算'!B34)&lt;='模拟-模拟计算'!$C$2,'模拟-模拟计算'!B34&gt;0),'模拟-模拟计算'!E34," ")</f>
        <v>100</v>
      </c>
      <c r="E9" s="104">
        <f ca="1">IF(AND(INT('模拟-模拟计算'!B34)&lt;='模拟-模拟计算'!$C$2,'模拟-模拟计算'!B34&gt;0),'模拟-模拟计算'!F34," ")</f>
        <v>20</v>
      </c>
      <c r="F9" s="51" t="str">
        <f ca="1">IF(AND(INT('模拟-模拟计算'!B34)&lt;='模拟-模拟计算'!$C$2,'模拟-模拟计算'!B34&gt;0),'模拟-模拟计算'!P34," ")</f>
        <v>命</v>
      </c>
      <c r="G9" s="52">
        <f ca="1">IF(AND(INT('模拟-模拟计算'!B34)&lt;='模拟-模拟计算'!$C$2,'模拟-模拟计算'!B34&gt;0),'模拟-模拟计算'!V34," ")</f>
        <v>86207.924322148247</v>
      </c>
      <c r="H9" s="52">
        <f ca="1">IF(AND(INT('模拟-模拟计算'!B34)&lt;='模拟-模拟计算'!$C$2,'模拟-模拟计算'!B34&gt;0),'模拟-模拟计算'!Y34," ")</f>
        <v>94517.799028138295</v>
      </c>
      <c r="I9" s="105">
        <f ca="1">IF(AND(INT('模拟-模拟计算'!B34)&lt;='模拟-模拟计算'!$C$2,'模拟-模拟计算'!B34&gt;0),'模拟-模拟计算'!AA34," ")</f>
        <v>65776.964065579727</v>
      </c>
    </row>
    <row r="10" spans="1:9" x14ac:dyDescent="0.2">
      <c r="A10" s="20">
        <f>INT('模拟-模拟计算'!B35+0.5)</f>
        <v>7</v>
      </c>
      <c r="B10" s="52">
        <f>IF(AND(INT('模拟-模拟计算'!B35)&lt;='模拟-模拟计算'!$C$2,'模拟-模拟计算'!B35&gt;0),'模拟-模拟计算'!B35," ")</f>
        <v>7.3800000000000008</v>
      </c>
      <c r="C10" s="51" t="str">
        <f ca="1">IF(AND(INT('模拟-模拟计算'!B35)&lt;='模拟-模拟计算'!$C$2,'模拟-模拟计算'!B35&gt;0),'模拟-模拟计算'!C35," ")</f>
        <v>净世破魔击·日</v>
      </c>
      <c r="D10" s="104">
        <f ca="1">IF(AND(INT('模拟-模拟计算'!B35)&lt;='模拟-模拟计算'!$C$2,'模拟-模拟计算'!B35&gt;0),'模拟-模拟计算'!E35," ")</f>
        <v>0</v>
      </c>
      <c r="E10" s="104">
        <f ca="1">IF(AND(INT('模拟-模拟计算'!B35)&lt;='模拟-模拟计算'!$C$2,'模拟-模拟计算'!B35&gt;0),'模拟-模拟计算'!F35," ")</f>
        <v>20</v>
      </c>
      <c r="F10" s="51" t="str">
        <f ca="1">IF(AND(INT('模拟-模拟计算'!B35)&lt;='模拟-模拟计算'!$C$2,'模拟-模拟计算'!B35&gt;0),'模拟-模拟计算'!P35," ")</f>
        <v>命</v>
      </c>
      <c r="G10" s="52">
        <f ca="1">IF(AND(INT('模拟-模拟计算'!B35)&lt;='模拟-模拟计算'!$C$2,'模拟-模拟计算'!B35&gt;0),'模拟-模拟计算'!V35," ")</f>
        <v>96580.676634014308</v>
      </c>
      <c r="H10" s="52">
        <f ca="1">IF(AND(INT('模拟-模拟计算'!B35)&lt;='模拟-模拟计算'!$C$2,'模拟-模拟计算'!B35&gt;0),'模拟-模拟计算'!Y35," ")</f>
        <v>148964.14995925003</v>
      </c>
      <c r="I10" s="105">
        <f ca="1">IF(AND(INT('模拟-模拟计算'!B35)&lt;='模拟-模拟计算'!$C$2,'模拟-模拟计算'!B35&gt;0),'模拟-模拟计算'!AA35," ")</f>
        <v>77739.687725302327</v>
      </c>
    </row>
    <row r="11" spans="1:9" x14ac:dyDescent="0.2">
      <c r="A11" s="20">
        <f>INT('模拟-模拟计算'!B36+0.5)</f>
        <v>8</v>
      </c>
      <c r="B11" s="52">
        <f>IF(AND(INT('模拟-模拟计算'!B36)&lt;='模拟-模拟计算'!$C$2,'模拟-模拟计算'!B36&gt;0),'模拟-模拟计算'!B36," ")</f>
        <v>8.3025000000000002</v>
      </c>
      <c r="C11" s="51" t="str">
        <f ca="1">IF(AND(INT('模拟-模拟计算'!B36)&lt;='模拟-模拟计算'!$C$2,'模拟-模拟计算'!B36&gt;0),'模拟-模拟计算'!C36," ")</f>
        <v>赤日轮1</v>
      </c>
      <c r="D11" s="104">
        <f ca="1">IF(AND(INT('模拟-模拟计算'!B36)&lt;='模拟-模拟计算'!$C$2,'模拟-模拟计算'!B36&gt;0),'模拟-模拟计算'!E36," ")</f>
        <v>20</v>
      </c>
      <c r="E11" s="104">
        <f ca="1">IF(AND(INT('模拟-模拟计算'!B36)&lt;='模拟-模拟计算'!$C$2,'模拟-模拟计算'!B36&gt;0),'模拟-模拟计算'!F36," ")</f>
        <v>20</v>
      </c>
      <c r="F11" s="51" t="str">
        <f ca="1">IF(AND(INT('模拟-模拟计算'!B36)&lt;='模拟-模拟计算'!$C$2,'模拟-模拟计算'!B36&gt;0),'模拟-模拟计算'!P36," ")</f>
        <v>会</v>
      </c>
      <c r="G11" s="52">
        <f ca="1">IF(AND(INT('模拟-模拟计算'!B36)&lt;='模拟-模拟计算'!$C$2,'模拟-模拟计算'!B36&gt;0),'模拟-模拟计算'!V36," ")</f>
        <v>60137.666879739852</v>
      </c>
      <c r="H11" s="52">
        <f ca="1">IF(AND(INT('模拟-模拟计算'!B36)&lt;='模拟-模拟计算'!$C$2,'模拟-模拟计算'!B36&gt;0),'模拟-模拟计算'!Y36," ")</f>
        <v>60499.177523286897</v>
      </c>
      <c r="I11" s="105">
        <f ca="1">IF(AND(INT('模拟-模拟计算'!B36)&lt;='模拟-模拟计算'!$C$2,'模拟-模拟计算'!B36&gt;0),'模拟-模拟计算'!AA36," ")</f>
        <v>76388.80733947824</v>
      </c>
    </row>
    <row r="12" spans="1:9" x14ac:dyDescent="0.2">
      <c r="A12" s="20">
        <f>INT('模拟-模拟计算'!B37+0.5)</f>
        <v>9</v>
      </c>
      <c r="B12" s="52">
        <f>IF(AND(INT('模拟-模拟计算'!B37)&lt;='模拟-模拟计算'!$C$2,'模拟-模拟计算'!B37&gt;0),'模拟-模拟计算'!B37," ")</f>
        <v>9.2249999999999996</v>
      </c>
      <c r="C12" s="51" t="str">
        <f ca="1">IF(AND(INT('模拟-模拟计算'!B37)&lt;='模拟-模拟计算'!$C$2,'模拟-模拟计算'!B37&gt;0),'模拟-模拟计算'!C37," ")</f>
        <v>银月斩</v>
      </c>
      <c r="D12" s="104">
        <f ca="1">IF(AND(INT('模拟-模拟计算'!B37)&lt;='模拟-模拟计算'!$C$2,'模拟-模拟计算'!B37&gt;0),'模拟-模拟计算'!E37," ")</f>
        <v>20</v>
      </c>
      <c r="E12" s="104">
        <f ca="1">IF(AND(INT('模拟-模拟计算'!B37)&lt;='模拟-模拟计算'!$C$2,'模拟-模拟计算'!B37&gt;0),'模拟-模拟计算'!F37," ")</f>
        <v>65</v>
      </c>
      <c r="F12" s="51" t="str">
        <f ca="1">IF(AND(INT('模拟-模拟计算'!B37)&lt;='模拟-模拟计算'!$C$2,'模拟-模拟计算'!B37&gt;0),'模拟-模拟计算'!P37," ")</f>
        <v>会</v>
      </c>
      <c r="G12" s="52">
        <f ca="1">IF(AND(INT('模拟-模拟计算'!B37)&lt;='模拟-模拟计算'!$C$2,'模拟-模拟计算'!B37&gt;0),'模拟-模拟计算'!V37," ")</f>
        <v>43607.621117637093</v>
      </c>
      <c r="H12" s="52">
        <f ca="1">IF(AND(INT('模拟-模拟计算'!B37)&lt;='模拟-模拟计算'!$C$2,'模拟-模拟计算'!B37&gt;0),'模拟-模拟计算'!Y37," ")</f>
        <v>61916.367232326767</v>
      </c>
      <c r="I12" s="105">
        <f ca="1">IF(AND(INT('模拟-模拟计算'!B37)&lt;='模拟-模拟计算'!$C$2,'模拟-模拟计算'!B37&gt;0),'模拟-模拟计算'!AA37," ")</f>
        <v>75461.727931527901</v>
      </c>
    </row>
    <row r="13" spans="1:9" x14ac:dyDescent="0.2">
      <c r="A13" s="20">
        <f>INT('模拟-模拟计算'!B38+0.5)</f>
        <v>10</v>
      </c>
      <c r="B13" s="52">
        <f>IF(AND(INT('模拟-模拟计算'!B38)&lt;='模拟-模拟计算'!$C$2,'模拟-模拟计算'!B38&gt;0),'模拟-模拟计算'!B38," ")</f>
        <v>10.147499999999999</v>
      </c>
      <c r="C13" s="51" t="str">
        <f ca="1">IF(AND(INT('模拟-模拟计算'!B38)&lt;='模拟-模拟计算'!$C$2,'模拟-模拟计算'!B38&gt;0),'模拟-模拟计算'!C38," ")</f>
        <v>驱夜断愁</v>
      </c>
      <c r="D13" s="104">
        <f ca="1">IF(AND(INT('模拟-模拟计算'!B38)&lt;='模拟-模拟计算'!$C$2,'模拟-模拟计算'!B38&gt;0),'模拟-模拟计算'!E38," ")</f>
        <v>40</v>
      </c>
      <c r="E13" s="104">
        <f ca="1">IF(AND(INT('模拟-模拟计算'!B38)&lt;='模拟-模拟计算'!$C$2,'模拟-模拟计算'!B38&gt;0),'模拟-模拟计算'!F38," ")</f>
        <v>85</v>
      </c>
      <c r="F13" s="51" t="str">
        <f ca="1">IF(AND(INT('模拟-模拟计算'!B38)&lt;='模拟-模拟计算'!$C$2,'模拟-模拟计算'!B38&gt;0),'模拟-模拟计算'!P38," ")</f>
        <v>识</v>
      </c>
      <c r="G13" s="52">
        <f ca="1">IF(AND(INT('模拟-模拟计算'!B38)&lt;='模拟-模拟计算'!$C$2,'模拟-模拟计算'!B38&gt;0),'模拟-模拟计算'!V38," ")</f>
        <v>16276.597398043896</v>
      </c>
      <c r="H13" s="52">
        <f ca="1">IF(AND(INT('模拟-模拟计算'!B38)&lt;='模拟-模拟计算'!$C$2,'模拟-模拟计算'!B38&gt;0),'模拟-模拟计算'!Y38," ")</f>
        <v>16999.61868513799</v>
      </c>
      <c r="I13" s="105">
        <f ca="1">IF(AND(INT('模拟-模拟计算'!B38)&lt;='模拟-模拟计算'!$C$2,'模拟-模拟计算'!B38&gt;0),'模拟-模拟计算'!AA38," ")</f>
        <v>70276.822749788902</v>
      </c>
    </row>
    <row r="14" spans="1:9" x14ac:dyDescent="0.2">
      <c r="A14" s="20">
        <f>INT('模拟-模拟计算'!B39+0.5)</f>
        <v>11</v>
      </c>
      <c r="B14" s="52">
        <f>IF(AND(INT('模拟-模拟计算'!B39)&lt;='模拟-模拟计算'!$C$2,'模拟-模拟计算'!B39&gt;0),'模拟-模拟计算'!B39," ")</f>
        <v>11.069999999999999</v>
      </c>
      <c r="C14" s="51" t="str">
        <f ca="1">IF(AND(INT('模拟-模拟计算'!B39)&lt;='模拟-模拟计算'!$C$2,'模拟-模拟计算'!B39&gt;0),'模拟-模拟计算'!C39," ")</f>
        <v>烈日斩</v>
      </c>
      <c r="D14" s="104">
        <f ca="1">IF(AND(INT('模拟-模拟计算'!B39)&lt;='模拟-模拟计算'!$C$2,'模拟-模拟计算'!B39&gt;0),'模拟-模拟计算'!E39," ")</f>
        <v>80</v>
      </c>
      <c r="E14" s="104">
        <f ca="1">IF(AND(INT('模拟-模拟计算'!B39)&lt;='模拟-模拟计算'!$C$2,'模拟-模拟计算'!B39&gt;0),'模拟-模拟计算'!F39," ")</f>
        <v>85</v>
      </c>
      <c r="F14" s="51" t="str">
        <f ca="1">IF(AND(INT('模拟-模拟计算'!B39)&lt;='模拟-模拟计算'!$C$2,'模拟-模拟计算'!B39&gt;0),'模拟-模拟计算'!P39," ")</f>
        <v>会</v>
      </c>
      <c r="G14" s="52">
        <f ca="1">IF(AND(INT('模拟-模拟计算'!B39)&lt;='模拟-模拟计算'!$C$2,'模拟-模拟计算'!B39&gt;0),'模拟-模拟计算'!V39," ")</f>
        <v>116925.48020211683</v>
      </c>
      <c r="H14" s="52">
        <f ca="1">IF(AND(INT('模拟-模拟计算'!B39)&lt;='模拟-模拟计算'!$C$2,'模拟-模拟计算'!B39&gt;0),'模拟-模拟计算'!Y39," ")</f>
        <v>206402.70660051692</v>
      </c>
      <c r="I14" s="105">
        <f ca="1">IF(AND(INT('模拟-模拟计算'!B39)&lt;='模拟-模拟计算'!$C$2,'模拟-模拟计算'!B39&gt;0),'模拟-模拟计算'!AA39," ")</f>
        <v>83065.651802529348</v>
      </c>
    </row>
    <row r="15" spans="1:9" x14ac:dyDescent="0.2">
      <c r="A15" s="20">
        <f>INT('模拟-模拟计算'!B40+0.5)</f>
        <v>12</v>
      </c>
      <c r="B15" s="52">
        <f>IF(AND(INT('模拟-模拟计算'!B40)&lt;='模拟-模拟计算'!$C$2,'模拟-模拟计算'!B40&gt;0),'模拟-模拟计算'!B40," ")</f>
        <v>11.992499999999998</v>
      </c>
      <c r="C15" s="51" t="str">
        <f ca="1">IF(AND(INT('模拟-模拟计算'!B40)&lt;='模拟-模拟计算'!$C$2,'模拟-模拟计算'!B40&gt;0),'模拟-模拟计算'!C40," ")</f>
        <v>幽月轮1</v>
      </c>
      <c r="D15" s="104">
        <f ca="1">IF(AND(INT('模拟-模拟计算'!B40)&lt;='模拟-模拟计算'!$C$2,'模拟-模拟计算'!B40&gt;0),'模拟-模拟计算'!E40," ")</f>
        <v>80</v>
      </c>
      <c r="E15" s="104">
        <f ca="1">IF(AND(INT('模拟-模拟计算'!B40)&lt;='模拟-模拟计算'!$C$2,'模拟-模拟计算'!B40&gt;0),'模拟-模拟计算'!F40," ")</f>
        <v>100</v>
      </c>
      <c r="F15" s="51" t="str">
        <f ca="1">IF(AND(INT('模拟-模拟计算'!B40)&lt;='模拟-模拟计算'!$C$2,'模拟-模拟计算'!B40&gt;0),'模拟-模拟计算'!P40," ")</f>
        <v>会</v>
      </c>
      <c r="G15" s="52">
        <f ca="1">IF(AND(INT('模拟-模拟计算'!B40)&lt;='模拟-模拟计算'!$C$2,'模拟-模拟计算'!B40&gt;0),'模拟-模拟计算'!V40," ")</f>
        <v>39432.270490335977</v>
      </c>
      <c r="H15" s="52">
        <f ca="1">IF(AND(INT('模拟-模拟计算'!B40)&lt;='模拟-模拟计算'!$C$2,'模拟-模拟计算'!B40&gt;0),'模拟-模拟计算'!Y40," ")</f>
        <v>39793.781133883022</v>
      </c>
      <c r="I15" s="105">
        <f ca="1">IF(AND(INT('模拟-模拟计算'!B40)&lt;='模拟-模拟计算'!$C$2,'模拟-模拟计算'!B40&gt;0),'模拟-模拟计算'!AA40," ")</f>
        <v>79994.208596029435</v>
      </c>
    </row>
    <row r="16" spans="1:9" x14ac:dyDescent="0.2">
      <c r="A16" s="20">
        <f>INT('模拟-模拟计算'!B41+0.5)</f>
        <v>13</v>
      </c>
      <c r="B16" s="52">
        <f>IF(AND(INT('模拟-模拟计算'!B41)&lt;='模拟-模拟计算'!$C$2,'模拟-模拟计算'!B41&gt;0),'模拟-模拟计算'!B41," ")</f>
        <v>12.914999999999997</v>
      </c>
      <c r="C16" s="51" t="str">
        <f ca="1">IF(AND(INT('模拟-模拟计算'!B41)&lt;='模拟-模拟计算'!$C$2,'模拟-模拟计算'!B41&gt;0),'模拟-模拟计算'!C41," ")</f>
        <v>净世破魔击·月</v>
      </c>
      <c r="D16" s="104">
        <f ca="1">IF(AND(INT('模拟-模拟计算'!B41)&lt;='模拟-模拟计算'!$C$2,'模拟-模拟计算'!B41&gt;0),'模拟-模拟计算'!E41," ")</f>
        <v>100</v>
      </c>
      <c r="E16" s="104">
        <f ca="1">IF(AND(INT('模拟-模拟计算'!B41)&lt;='模拟-模拟计算'!$C$2,'模拟-模拟计算'!B41&gt;0),'模拟-模拟计算'!F41," ")</f>
        <v>20</v>
      </c>
      <c r="F16" s="51" t="str">
        <f ca="1">IF(AND(INT('模拟-模拟计算'!B41)&lt;='模拟-模拟计算'!$C$2,'模拟-模拟计算'!B41&gt;0),'模拟-模拟计算'!P41," ")</f>
        <v>命</v>
      </c>
      <c r="G16" s="52">
        <f ca="1">IF(AND(INT('模拟-模拟计算'!B41)&lt;='模拟-模拟计算'!$C$2,'模拟-模拟计算'!B41&gt;0),'模拟-模拟计算'!V41," ")</f>
        <v>90870.886756751715</v>
      </c>
      <c r="H16" s="52">
        <f ca="1">IF(AND(INT('模拟-模拟计算'!B41)&lt;='模拟-模拟计算'!$C$2,'模拟-模拟计算'!B41&gt;0),'模拟-模拟计算'!Y41," ")</f>
        <v>121516.54555875962</v>
      </c>
      <c r="I16" s="105">
        <f ca="1">IF(AND(INT('模拟-模拟计算'!B41)&lt;='模拟-模拟计算'!$C$2,'模拟-模拟计算'!B41&gt;0),'模拟-模拟计算'!AA41," ")</f>
        <v>83689.283170471754</v>
      </c>
    </row>
    <row r="17" spans="1:9" x14ac:dyDescent="0.2">
      <c r="A17" s="20">
        <f>INT('模拟-模拟计算'!B42+0.5)</f>
        <v>14</v>
      </c>
      <c r="B17" s="52">
        <f>IF(AND(INT('模拟-模拟计算'!B42)&lt;='模拟-模拟计算'!$C$2,'模拟-模拟计算'!B42&gt;0),'模拟-模拟计算'!B42," ")</f>
        <v>13.837499999999997</v>
      </c>
      <c r="C17" s="51" t="str">
        <f ca="1">IF(AND(INT('模拟-模拟计算'!B42)&lt;='模拟-模拟计算'!$C$2,'模拟-模拟计算'!B42&gt;0),'模拟-模拟计算'!C42," ")</f>
        <v>净世破魔击·日</v>
      </c>
      <c r="D17" s="104">
        <f ca="1">IF(AND(INT('模拟-模拟计算'!B42)&lt;='模拟-模拟计算'!$C$2,'模拟-模拟计算'!B42&gt;0),'模拟-模拟计算'!E42," ")</f>
        <v>0</v>
      </c>
      <c r="E17" s="104">
        <f ca="1">IF(AND(INT('模拟-模拟计算'!B42)&lt;='模拟-模拟计算'!$C$2,'模拟-模拟计算'!B42&gt;0),'模拟-模拟计算'!F42," ")</f>
        <v>20</v>
      </c>
      <c r="F17" s="51" t="str">
        <f ca="1">IF(AND(INT('模拟-模拟计算'!B42)&lt;='模拟-模拟计算'!$C$2,'模拟-模拟计算'!B42&gt;0),'模拟-模拟计算'!P42," ")</f>
        <v>会</v>
      </c>
      <c r="G17" s="52">
        <f ca="1">IF(AND(INT('模拟-模拟计算'!B42)&lt;='模拟-模拟计算'!$C$2,'模拟-模拟计算'!B42&gt;0),'模拟-模拟计算'!V42," ")</f>
        <v>220162.18087301127</v>
      </c>
      <c r="H17" s="52">
        <f ca="1">IF(AND(INT('模拟-模拟计算'!B42)&lt;='模拟-模拟计算'!$C$2,'模拟-模拟计算'!B42&gt;0),'模拟-模拟计算'!Y42," ")</f>
        <v>241483.20680904726</v>
      </c>
      <c r="I17" s="105">
        <f ca="1">IF(AND(INT('模拟-模拟计算'!B42)&lt;='模拟-模拟计算'!$C$2,'模拟-模拟计算'!B42&gt;0),'模拟-模拟计算'!AA42," ")</f>
        <v>95561.358551450045</v>
      </c>
    </row>
    <row r="18" spans="1:9" x14ac:dyDescent="0.2">
      <c r="A18" s="20">
        <f>INT('模拟-模拟计算'!B43+0.5)</f>
        <v>15</v>
      </c>
      <c r="B18" s="52">
        <f>IF(AND(INT('模拟-模拟计算'!B43)&lt;='模拟-模拟计算'!$C$2,'模拟-模拟计算'!B43&gt;0),'模拟-模拟计算'!B43," ")</f>
        <v>14.759999999999996</v>
      </c>
      <c r="C18" s="51" t="str">
        <f ca="1">IF(AND(INT('模拟-模拟计算'!B43)&lt;='模拟-模拟计算'!$C$2,'模拟-模拟计算'!B43&gt;0),'模拟-模拟计算'!C43," ")</f>
        <v>赤日轮1</v>
      </c>
      <c r="D18" s="104">
        <f ca="1">IF(AND(INT('模拟-模拟计算'!B43)&lt;='模拟-模拟计算'!$C$2,'模拟-模拟计算'!B43&gt;0),'模拟-模拟计算'!E43," ")</f>
        <v>20</v>
      </c>
      <c r="E18" s="104">
        <f ca="1">IF(AND(INT('模拟-模拟计算'!B43)&lt;='模拟-模拟计算'!$C$2,'模拟-模拟计算'!B43&gt;0),'模拟-模拟计算'!F43," ")</f>
        <v>20</v>
      </c>
      <c r="F18" s="51" t="str">
        <f ca="1">IF(AND(INT('模拟-模拟计算'!B43)&lt;='模拟-模拟计算'!$C$2,'模拟-模拟计算'!B43&gt;0),'模拟-模拟计算'!P43," ")</f>
        <v>会</v>
      </c>
      <c r="G18" s="52">
        <f ca="1">IF(AND(INT('模拟-模拟计算'!B43)&lt;='模拟-模拟计算'!$C$2,'模拟-模拟计算'!B43&gt;0),'模拟-模拟计算'!V43," ")</f>
        <v>62261.439195113235</v>
      </c>
      <c r="H18" s="52">
        <f ca="1">IF(AND(INT('模拟-模拟计算'!B43)&lt;='模拟-模拟计算'!$C$2,'模拟-模拟计算'!B43&gt;0),'模拟-模拟计算'!Y43," ")</f>
        <v>85299.255694194726</v>
      </c>
      <c r="I18" s="105">
        <f ca="1">IF(AND(INT('模拟-模拟计算'!B43)&lt;='模拟-模拟计算'!$C$2,'模拟-模拟计算'!B43&gt;0),'模拟-模拟计算'!AA43," ")</f>
        <v>95367.856006089743</v>
      </c>
    </row>
    <row r="19" spans="1:9" x14ac:dyDescent="0.2">
      <c r="A19" s="20">
        <f>INT('模拟-模拟计算'!B44+0.5)</f>
        <v>16</v>
      </c>
      <c r="B19" s="52">
        <f>IF(AND(INT('模拟-模拟计算'!B44)&lt;='模拟-模拟计算'!$C$2,'模拟-模拟计算'!B44&gt;0),'模拟-模拟计算'!B44," ")</f>
        <v>15.682499999999996</v>
      </c>
      <c r="C19" s="51" t="str">
        <f ca="1">IF(AND(INT('模拟-模拟计算'!B44)&lt;='模拟-模拟计算'!$C$2,'模拟-模拟计算'!B44&gt;0),'模拟-模拟计算'!C44," ")</f>
        <v>银月斩</v>
      </c>
      <c r="D19" s="104">
        <f ca="1">IF(AND(INT('模拟-模拟计算'!B44)&lt;='模拟-模拟计算'!$C$2,'模拟-模拟计算'!B44&gt;0),'模拟-模拟计算'!E44," ")</f>
        <v>20</v>
      </c>
      <c r="E19" s="104">
        <f ca="1">IF(AND(INT('模拟-模拟计算'!B44)&lt;='模拟-模拟计算'!$C$2,'模拟-模拟计算'!B44&gt;0),'模拟-模拟计算'!F44," ")</f>
        <v>65</v>
      </c>
      <c r="F19" s="51" t="str">
        <f ca="1">IF(AND(INT('模拟-模拟计算'!B44)&lt;='模拟-模拟计算'!$C$2,'模拟-模拟计算'!B44&gt;0),'模拟-模拟计算'!P44," ")</f>
        <v>会</v>
      </c>
      <c r="G19" s="52">
        <f ca="1">IF(AND(INT('模拟-模拟计算'!B44)&lt;='模拟-模拟计算'!$C$2,'模拟-模拟计算'!B44&gt;0),'模拟-模拟计算'!V44," ")</f>
        <v>45123.329593076625</v>
      </c>
      <c r="H19" s="52">
        <f ca="1">IF(AND(INT('模拟-模拟计算'!B44)&lt;='模拟-模拟计算'!$C$2,'模拟-模拟计算'!B44&gt;0),'模拟-模拟计算'!Y44," ")</f>
        <v>45484.84023662367</v>
      </c>
      <c r="I19" s="105">
        <f ca="1">IF(AND(INT('模拟-模拟计算'!B44)&lt;='模拟-模拟计算'!$C$2,'模拟-模拟计算'!B44&gt;0),'模拟-模拟计算'!AA44," ")</f>
        <v>92658.338586737358</v>
      </c>
    </row>
    <row r="20" spans="1:9" x14ac:dyDescent="0.2">
      <c r="A20" s="20">
        <f>INT('模拟-模拟计算'!B45+0.5)</f>
        <v>17</v>
      </c>
      <c r="B20" s="52">
        <f>IF(AND(INT('模拟-模拟计算'!B45)&lt;='模拟-模拟计算'!$C$2,'模拟-模拟计算'!B45&gt;0),'模拟-模拟计算'!B45," ")</f>
        <v>16.604999999999997</v>
      </c>
      <c r="C20" s="51" t="str">
        <f ca="1">IF(AND(INT('模拟-模拟计算'!B45)&lt;='模拟-模拟计算'!$C$2,'模拟-模拟计算'!B45&gt;0),'模拟-模拟计算'!C45," ")</f>
        <v>驱夜断愁</v>
      </c>
      <c r="D20" s="104">
        <f ca="1">IF(AND(INT('模拟-模拟计算'!B45)&lt;='模拟-模拟计算'!$C$2,'模拟-模拟计算'!B45&gt;0),'模拟-模拟计算'!E45," ")</f>
        <v>40</v>
      </c>
      <c r="E20" s="104">
        <f ca="1">IF(AND(INT('模拟-模拟计算'!B45)&lt;='模拟-模拟计算'!$C$2,'模拟-模拟计算'!B45&gt;0),'模拟-模拟计算'!F45," ")</f>
        <v>85</v>
      </c>
      <c r="F20" s="51" t="str">
        <f ca="1">IF(AND(INT('模拟-模拟计算'!B45)&lt;='模拟-模拟计算'!$C$2,'模拟-模拟计算'!B45&gt;0),'模拟-模拟计算'!P45," ")</f>
        <v>会</v>
      </c>
      <c r="G20" s="52">
        <f ca="1">IF(AND(INT('模拟-模拟计算'!B45)&lt;='模拟-模拟计算'!$C$2,'模拟-模拟计算'!B45&gt;0),'模拟-模拟计算'!V45," ")</f>
        <v>145710.63353383858</v>
      </c>
      <c r="H20" s="52">
        <f ca="1">IF(AND(INT('模拟-模拟计算'!B45)&lt;='模拟-模拟计算'!$C$2,'模拟-模拟计算'!B45&gt;0),'模拟-模拟计算'!Y45," ")</f>
        <v>169458.33872930863</v>
      </c>
      <c r="I20" s="105">
        <f ca="1">IF(AND(INT('模拟-模拟计算'!B45)&lt;='模拟-模拟计算'!$C$2,'模拟-模拟计算'!B45&gt;0),'模拟-模拟计算'!AA45," ")</f>
        <v>97715.912894659268</v>
      </c>
    </row>
    <row r="21" spans="1:9" x14ac:dyDescent="0.2">
      <c r="A21" s="20">
        <f>INT('模拟-模拟计算'!B46+0.5)</f>
        <v>18</v>
      </c>
      <c r="B21" s="52">
        <f>IF(AND(INT('模拟-模拟计算'!B46)&lt;='模拟-模拟计算'!$C$2,'模拟-模拟计算'!B46&gt;0),'模拟-模拟计算'!B46," ")</f>
        <v>17.527499999999996</v>
      </c>
      <c r="C21" s="51" t="str">
        <f ca="1">IF(AND(INT('模拟-模拟计算'!B46)&lt;='模拟-模拟计算'!$C$2,'模拟-模拟计算'!B46&gt;0),'模拟-模拟计算'!C46," ")</f>
        <v>烈日斩</v>
      </c>
      <c r="D21" s="104">
        <f ca="1">IF(AND(INT('模拟-模拟计算'!B46)&lt;='模拟-模拟计算'!$C$2,'模拟-模拟计算'!B46&gt;0),'模拟-模拟计算'!E46," ")</f>
        <v>80</v>
      </c>
      <c r="E21" s="104">
        <f ca="1">IF(AND(INT('模拟-模拟计算'!B46)&lt;='模拟-模拟计算'!$C$2,'模拟-模拟计算'!B46&gt;0),'模拟-模拟计算'!F46," ")</f>
        <v>85</v>
      </c>
      <c r="F21" s="51" t="str">
        <f ca="1">IF(AND(INT('模拟-模拟计算'!B46)&lt;='模拟-模拟计算'!$C$2,'模拟-模拟计算'!B46&gt;0),'模拟-模拟计算'!P46," ")</f>
        <v>会</v>
      </c>
      <c r="G21" s="52">
        <f ca="1">IF(AND(INT('模拟-模拟计算'!B46)&lt;='模拟-模拟计算'!$C$2,'模拟-模拟计算'!B46&gt;0),'模拟-模拟计算'!V46," ")</f>
        <v>120991.8244001383</v>
      </c>
      <c r="H21" s="52">
        <f ca="1">IF(AND(INT('模拟-模拟计算'!B46)&lt;='模拟-模拟计算'!$C$2,'模拟-模拟计算'!B46&gt;0),'模拟-模拟计算'!Y46," ")</f>
        <v>121353.33504368535</v>
      </c>
      <c r="I21" s="105">
        <f ca="1">IF(AND(INT('模拟-模拟计算'!B46)&lt;='模拟-模拟计算'!$C$2,'模拟-模拟计算'!B46&gt;0),'模拟-模拟计算'!AA46," ")</f>
        <v>99496.566461817289</v>
      </c>
    </row>
    <row r="22" spans="1:9" x14ac:dyDescent="0.2">
      <c r="A22" s="20">
        <f>INT('模拟-模拟计算'!B47+0.5)</f>
        <v>18</v>
      </c>
      <c r="B22" s="52">
        <f>IF(AND(INT('模拟-模拟计算'!B47)&lt;='模拟-模拟计算'!$C$2,'模拟-模拟计算'!B47&gt;0),'模拟-模拟计算'!B47," ")</f>
        <v>18.449999999999996</v>
      </c>
      <c r="C22" s="51" t="str">
        <f ca="1">IF(AND(INT('模拟-模拟计算'!B47)&lt;='模拟-模拟计算'!$C$2,'模拟-模拟计算'!B47&gt;0),'模拟-模拟计算'!C47," ")</f>
        <v>幽月轮1</v>
      </c>
      <c r="D22" s="104">
        <f ca="1">IF(AND(INT('模拟-模拟计算'!B47)&lt;='模拟-模拟计算'!$C$2,'模拟-模拟计算'!B47&gt;0),'模拟-模拟计算'!E47," ")</f>
        <v>80</v>
      </c>
      <c r="E22" s="104">
        <f ca="1">IF(AND(INT('模拟-模拟计算'!B47)&lt;='模拟-模拟计算'!$C$2,'模拟-模拟计算'!B47&gt;0),'模拟-模拟计算'!F47," ")</f>
        <v>100</v>
      </c>
      <c r="F22" s="51" t="str">
        <f ca="1">IF(AND(INT('模拟-模拟计算'!B47)&lt;='模拟-模拟计算'!$C$2,'模拟-模拟计算'!B47&gt;0),'模拟-模拟计算'!P47," ")</f>
        <v>命</v>
      </c>
      <c r="G22" s="52">
        <f ca="1">IF(AND(INT('模拟-模拟计算'!B47)&lt;='模拟-模拟计算'!$C$2,'模拟-模拟计算'!B47&gt;0),'模拟-模拟计算'!V47," ")</f>
        <v>18546.976435708992</v>
      </c>
      <c r="H22" s="52">
        <f ca="1">IF(AND(INT('模拟-模拟计算'!B47)&lt;='模拟-模拟计算'!$C$2,'模拟-模拟计算'!B47&gt;0),'模拟-模拟计算'!Y47," ")</f>
        <v>33084.404158018406</v>
      </c>
      <c r="I22" s="105">
        <f ca="1">IF(AND(INT('模拟-模拟计算'!B47)&lt;='模拟-模拟计算'!$C$2,'模拟-模拟计算'!B47&gt;0),'模拟-模拟计算'!AA47," ")</f>
        <v>96314.930776017383</v>
      </c>
    </row>
    <row r="23" spans="1:9" x14ac:dyDescent="0.2">
      <c r="A23" s="20">
        <f>INT('模拟-模拟计算'!B48+0.5)</f>
        <v>19</v>
      </c>
      <c r="B23" s="52">
        <f>IF(AND(INT('模拟-模拟计算'!B48)&lt;='模拟-模拟计算'!$C$2,'模拟-模拟计算'!B48&gt;0),'模拟-模拟计算'!B48," ")</f>
        <v>19.372499999999995</v>
      </c>
      <c r="C23" s="51" t="str">
        <f ca="1">IF(AND(INT('模拟-模拟计算'!B48)&lt;='模拟-模拟计算'!$C$2,'模拟-模拟计算'!B48&gt;0),'模拟-模拟计算'!C48," ")</f>
        <v>净世破魔击·月</v>
      </c>
      <c r="D23" s="104">
        <f ca="1">IF(AND(INT('模拟-模拟计算'!B48)&lt;='模拟-模拟计算'!$C$2,'模拟-模拟计算'!B48&gt;0),'模拟-模拟计算'!E48," ")</f>
        <v>100</v>
      </c>
      <c r="E23" s="104">
        <f ca="1">IF(AND(INT('模拟-模拟计算'!B48)&lt;='模拟-模拟计算'!$C$2,'模拟-模拟计算'!B48&gt;0),'模拟-模拟计算'!F48," ")</f>
        <v>20</v>
      </c>
      <c r="F23" s="51" t="str">
        <f ca="1">IF(AND(INT('模拟-模拟计算'!B48)&lt;='模拟-模拟计算'!$C$2,'模拟-模拟计算'!B48&gt;0),'模拟-模拟计算'!P48," ")</f>
        <v>会</v>
      </c>
      <c r="G23" s="52">
        <f ca="1">IF(AND(INT('模拟-模拟计算'!B48)&lt;='模拟-模拟计算'!$C$2,'模拟-模拟计算'!B48&gt;0),'模拟-模拟计算'!V48," ")</f>
        <v>233178.38926078344</v>
      </c>
      <c r="H23" s="52">
        <f ca="1">IF(AND(INT('模拟-模拟计算'!B48)&lt;='模拟-模拟计算'!$C$2,'模拟-模拟计算'!B48&gt;0),'模拟-模拟计算'!Y48," ")</f>
        <v>252378.10473977649</v>
      </c>
      <c r="I23" s="105">
        <f ca="1">IF(AND(INT('模拟-模拟计算'!B48)&lt;='模拟-模拟计算'!$C$2,'模拟-模拟计算'!B48&gt;0),'模拟-模拟计算'!AA48," ")</f>
        <v>104756.1531840133</v>
      </c>
    </row>
    <row r="24" spans="1:9" x14ac:dyDescent="0.2">
      <c r="A24" s="20">
        <f>INT('模拟-模拟计算'!B49+0.5)</f>
        <v>20</v>
      </c>
      <c r="B24" s="52">
        <f>IF(AND(INT('模拟-模拟计算'!B49)&lt;='模拟-模拟计算'!$C$2,'模拟-模拟计算'!B49&gt;0),'模拟-模拟计算'!B49," ")</f>
        <v>20.294999999999995</v>
      </c>
      <c r="C24" s="51" t="str">
        <f ca="1">IF(AND(INT('模拟-模拟计算'!B49)&lt;='模拟-模拟计算'!$C$2,'模拟-模拟计算'!B49&gt;0),'模拟-模拟计算'!C49," ")</f>
        <v>净世破魔击·日</v>
      </c>
      <c r="D24" s="104">
        <f ca="1">IF(AND(INT('模拟-模拟计算'!B49)&lt;='模拟-模拟计算'!$C$2,'模拟-模拟计算'!B49&gt;0),'模拟-模拟计算'!E49," ")</f>
        <v>0</v>
      </c>
      <c r="E24" s="104">
        <f ca="1">IF(AND(INT('模拟-模拟计算'!B49)&lt;='模拟-模拟计算'!$C$2,'模拟-模拟计算'!B49&gt;0),'模拟-模拟计算'!F49," ")</f>
        <v>100</v>
      </c>
      <c r="F24" s="51" t="str">
        <f ca="1">IF(AND(INT('模拟-模拟计算'!B49)&lt;='模拟-模拟计算'!$C$2,'模拟-模拟计算'!B49&gt;0),'模拟-模拟计算'!P49," ")</f>
        <v>会</v>
      </c>
      <c r="G24" s="52">
        <f ca="1">IF(AND(INT('模拟-模拟计算'!B49)&lt;='模拟-模拟计算'!$C$2,'模拟-模拟计算'!B49&gt;0),'模拟-模拟计算'!V49," ")</f>
        <v>261251.05451477368</v>
      </c>
      <c r="H24" s="52">
        <f ca="1">IF(AND(INT('模拟-模拟计算'!B49)&lt;='模拟-模拟计算'!$C$2,'模拟-模拟计算'!B49&gt;0),'模拟-模拟计算'!Y49," ")</f>
        <v>285360.2248073261</v>
      </c>
      <c r="I24" s="105">
        <f ca="1">IF(AND(INT('模拟-模拟计算'!B49)&lt;='模拟-模拟计算'!$C$2,'模拟-模拟计算'!B49&gt;0),'模拟-模拟计算'!AA49," ")</f>
        <v>114055.12699505415</v>
      </c>
    </row>
    <row r="25" spans="1:9" x14ac:dyDescent="0.2">
      <c r="A25" s="20">
        <f>INT('模拟-模拟计算'!B50+0.5)</f>
        <v>21</v>
      </c>
      <c r="B25" s="52">
        <f>IF(AND(INT('模拟-模拟计算'!B50)&lt;='模拟-模拟计算'!$C$2,'模拟-模拟计算'!B50&gt;0),'模拟-模拟计算'!B50," ")</f>
        <v>21.217499999999994</v>
      </c>
      <c r="C25" s="51" t="str">
        <f ca="1">IF(AND(INT('模拟-模拟计算'!B50)&lt;='模拟-模拟计算'!$C$2,'模拟-模拟计算'!B50&gt;0),'模拟-模拟计算'!C50," ")</f>
        <v>净世破魔击·月</v>
      </c>
      <c r="D25" s="104">
        <f ca="1">IF(AND(INT('模拟-模拟计算'!B50)&lt;='模拟-模拟计算'!$C$2,'模拟-模拟计算'!B50&gt;0),'模拟-模拟计算'!E50," ")</f>
        <v>20</v>
      </c>
      <c r="E25" s="104">
        <f ca="1">IF(AND(INT('模拟-模拟计算'!B50)&lt;='模拟-模拟计算'!$C$2,'模拟-模拟计算'!B50&gt;0),'模拟-模拟计算'!F50," ")</f>
        <v>20</v>
      </c>
      <c r="F25" s="51" t="str">
        <f ca="1">IF(AND(INT('模拟-模拟计算'!B50)&lt;='模拟-模拟计算'!$C$2,'模拟-模拟计算'!B50&gt;0),'模拟-模拟计算'!P50," ")</f>
        <v>会</v>
      </c>
      <c r="G25" s="52">
        <f ca="1">IF(AND(INT('模拟-模拟计算'!B50)&lt;='模拟-模拟计算'!$C$2,'模拟-模拟计算'!B50&gt;0),'模拟-模拟计算'!V50," ")</f>
        <v>116578.90677476654</v>
      </c>
      <c r="H25" s="52">
        <f ca="1">IF(AND(INT('模拟-模拟计算'!B50)&lt;='模拟-模拟计算'!$C$2,'模拟-模拟计算'!B50&gt;0),'模拟-模拟计算'!Y50," ")</f>
        <v>154911.99968826471</v>
      </c>
      <c r="I25" s="105">
        <f ca="1">IF(AND(INT('模拟-模拟计算'!B50)&lt;='模拟-模拟计算'!$C$2,'模拟-模拟计算'!B50&gt;0),'模拟-模拟计算'!AA50," ")</f>
        <v>116397.35133983215</v>
      </c>
    </row>
    <row r="26" spans="1:9" x14ac:dyDescent="0.2">
      <c r="A26" s="20">
        <f>INT('模拟-模拟计算'!B51+0.5)</f>
        <v>22</v>
      </c>
      <c r="B26" s="52">
        <f>IF(AND(INT('模拟-模拟计算'!B51)&lt;='模拟-模拟计算'!$C$2,'模拟-模拟计算'!B51&gt;0),'模拟-模拟计算'!B51," ")</f>
        <v>22.139999999999993</v>
      </c>
      <c r="C26" s="51" t="str">
        <f ca="1">IF(AND(INT('模拟-模拟计算'!B51)&lt;='模拟-模拟计算'!$C$2,'模拟-模拟计算'!B51&gt;0),'模拟-模拟计算'!C51," ")</f>
        <v>银月斩</v>
      </c>
      <c r="D26" s="104">
        <f ca="1">IF(AND(INT('模拟-模拟计算'!B51)&lt;='模拟-模拟计算'!$C$2,'模拟-模拟计算'!B51&gt;0),'模拟-模拟计算'!E51," ")</f>
        <v>20</v>
      </c>
      <c r="E26" s="104">
        <f ca="1">IF(AND(INT('模拟-模拟计算'!B51)&lt;='模拟-模拟计算'!$C$2,'模拟-模拟计算'!B51&gt;0),'模拟-模拟计算'!F51," ")</f>
        <v>65</v>
      </c>
      <c r="F26" s="51" t="str">
        <f ca="1">IF(AND(INT('模拟-模拟计算'!B51)&lt;='模拟-模拟计算'!$C$2,'模拟-模拟计算'!B51&gt;0),'模拟-模拟计算'!P51," ")</f>
        <v>命</v>
      </c>
      <c r="G26" s="52">
        <f ca="1">IF(AND(INT('模拟-模拟计算'!B51)&lt;='模拟-模拟计算'!$C$2,'模拟-模拟计算'!B51&gt;0),'模拟-模拟计算'!V51," ")</f>
        <v>21110.500523497569</v>
      </c>
      <c r="H26" s="52">
        <f ca="1">IF(AND(INT('模拟-模拟计算'!B51)&lt;='模拟-模拟计算'!$C$2,'模拟-模拟计算'!B51&gt;0),'模拟-模拟计算'!Y51," ")</f>
        <v>58175.366505066544</v>
      </c>
      <c r="I26" s="105">
        <f ca="1">IF(AND(INT('模拟-模拟计算'!B51)&lt;='模拟-模拟计算'!$C$2,'模拟-模拟计算'!B51&gt;0),'模拟-模拟计算'!AA51," ")</f>
        <v>114175.07536395462</v>
      </c>
    </row>
    <row r="27" spans="1:9" x14ac:dyDescent="0.2">
      <c r="A27" s="20">
        <f>INT('模拟-模拟计算'!B52+0.5)</f>
        <v>23</v>
      </c>
      <c r="B27" s="52">
        <f>IF(AND(INT('模拟-模拟计算'!B52)&lt;='模拟-模拟计算'!$C$2,'模拟-模拟计算'!B52&gt;0),'模拟-模拟计算'!B52," ")</f>
        <v>23.062499999999993</v>
      </c>
      <c r="C27" s="51" t="str">
        <f ca="1">IF(AND(INT('模拟-模拟计算'!B52)&lt;='模拟-模拟计算'!$C$2,'模拟-模拟计算'!B52&gt;0),'模拟-模拟计算'!C52," ")</f>
        <v>驱夜断愁</v>
      </c>
      <c r="D27" s="104">
        <f ca="1">IF(AND(INT('模拟-模拟计算'!B52)&lt;='模拟-模拟计算'!$C$2,'模拟-模拟计算'!B52&gt;0),'模拟-模拟计算'!E52," ")</f>
        <v>40</v>
      </c>
      <c r="E27" s="104">
        <f ca="1">IF(AND(INT('模拟-模拟计算'!B52)&lt;='模拟-模拟计算'!$C$2,'模拟-模拟计算'!B52&gt;0),'模拟-模拟计算'!F52," ")</f>
        <v>85</v>
      </c>
      <c r="F27" s="51" t="str">
        <f ca="1">IF(AND(INT('模拟-模拟计算'!B52)&lt;='模拟-模拟计算'!$C$2,'模拟-模拟计算'!B52&gt;0),'模拟-模拟计算'!P52," ")</f>
        <v>命</v>
      </c>
      <c r="G27" s="52">
        <f ca="1">IF(AND(INT('模拟-模拟计算'!B52)&lt;='模拟-模拟计算'!$C$2,'模拟-模拟计算'!B52&gt;0),'模拟-模拟计算'!V52," ")</f>
        <v>58943.088028757353</v>
      </c>
      <c r="H27" s="52">
        <f ca="1">IF(AND(INT('模拟-模拟计算'!B52)&lt;='模拟-模拟计算'!$C$2,'模拟-模拟计算'!B52&gt;0),'模拟-模拟计算'!Y52," ")</f>
        <v>59666.109315851449</v>
      </c>
      <c r="I27" s="105">
        <f ca="1">IF(AND(INT('模拟-模拟计算'!B52)&lt;='模拟-模拟计算'!$C$2,'模拟-模拟计算'!B52&gt;0),'模拟-模拟计算'!AA52," ")</f>
        <v>112195.22072081546</v>
      </c>
    </row>
    <row r="28" spans="1:9" x14ac:dyDescent="0.2">
      <c r="A28" s="20">
        <f>INT('模拟-模拟计算'!B53+0.5)</f>
        <v>24</v>
      </c>
      <c r="B28" s="52">
        <f>IF(AND(INT('模拟-模拟计算'!B53)&lt;='模拟-模拟计算'!$C$2,'模拟-模拟计算'!B53&gt;0),'模拟-模拟计算'!B53," ")</f>
        <v>23.984999999999992</v>
      </c>
      <c r="C28" s="51" t="str">
        <f ca="1">IF(AND(INT('模拟-模拟计算'!B53)&lt;='模拟-模拟计算'!$C$2,'模拟-模拟计算'!B53&gt;0),'模拟-模拟计算'!C53," ")</f>
        <v>烈日斩</v>
      </c>
      <c r="D28" s="104">
        <f ca="1">IF(AND(INT('模拟-模拟计算'!B53)&lt;='模拟-模拟计算'!$C$2,'模拟-模拟计算'!B53&gt;0),'模拟-模拟计算'!E53," ")</f>
        <v>80</v>
      </c>
      <c r="E28" s="104">
        <f ca="1">IF(AND(INT('模拟-模拟计算'!B53)&lt;='模拟-模拟计算'!$C$2,'模拟-模拟计算'!B53&gt;0),'模拟-模拟计算'!F53," ")</f>
        <v>85</v>
      </c>
      <c r="F28" s="51" t="str">
        <f ca="1">IF(AND(INT('模拟-模拟计算'!B53)&lt;='模拟-模拟计算'!$C$2,'模拟-模拟计算'!B53&gt;0),'模拟-模拟计算'!P53," ")</f>
        <v>会</v>
      </c>
      <c r="G28" s="52">
        <f ca="1">IF(AND(INT('模拟-模拟计算'!B53)&lt;='模拟-模拟计算'!$C$2,'模拟-模拟计算'!B53&gt;0),'模拟-模拟计算'!V53," ")</f>
        <v>105861.05199666526</v>
      </c>
      <c r="H28" s="52">
        <f ca="1">IF(AND(INT('模拟-模拟计算'!B53)&lt;='模拟-模拟计算'!$C$2,'模拟-模拟计算'!B53&gt;0),'模拟-模拟计算'!Y53," ")</f>
        <v>134725.65794513782</v>
      </c>
      <c r="I28" s="105">
        <f ca="1">IF(AND(INT('模拟-模拟计算'!B53)&lt;='模拟-模拟计算'!$C$2,'模拟-模拟计算'!B53&gt;0),'模拟-模拟计算'!AA53," ")</f>
        <v>113497.09967975588</v>
      </c>
    </row>
    <row r="29" spans="1:9" x14ac:dyDescent="0.2">
      <c r="A29" s="20">
        <f>INT('模拟-模拟计算'!B54+0.5)</f>
        <v>25</v>
      </c>
      <c r="B29" s="52">
        <f>IF(AND(INT('模拟-模拟计算'!B54)&lt;='模拟-模拟计算'!$C$2,'模拟-模拟计算'!B54&gt;0),'模拟-模拟计算'!B54," ")</f>
        <v>24.907499999999992</v>
      </c>
      <c r="C29" s="51" t="str">
        <f ca="1">IF(AND(INT('模拟-模拟计算'!B54)&lt;='模拟-模拟计算'!$C$2,'模拟-模拟计算'!B54&gt;0),'模拟-模拟计算'!C54," ")</f>
        <v>幽月轮1</v>
      </c>
      <c r="D29" s="104">
        <f ca="1">IF(AND(INT('模拟-模拟计算'!B54)&lt;='模拟-模拟计算'!$C$2,'模拟-模拟计算'!B54&gt;0),'模拟-模拟计算'!E54," ")</f>
        <v>80</v>
      </c>
      <c r="E29" s="104">
        <f ca="1">IF(AND(INT('模拟-模拟计算'!B54)&lt;='模拟-模拟计算'!$C$2,'模拟-模拟计算'!B54&gt;0),'模拟-模拟计算'!F54," ")</f>
        <v>100</v>
      </c>
      <c r="F29" s="51" t="str">
        <f ca="1">IF(AND(INT('模拟-模拟计算'!B54)&lt;='模拟-模拟计算'!$C$2,'模拟-模拟计算'!B54&gt;0),'模拟-模拟计算'!P54," ")</f>
        <v>识</v>
      </c>
      <c r="G29" s="52">
        <f ca="1">IF(AND(INT('模拟-模拟计算'!B54)&lt;='模拟-模拟计算'!$C$2,'模拟-模拟计算'!B54&gt;0),'模拟-模拟计算'!V54," ")</f>
        <v>4056.5545750795727</v>
      </c>
      <c r="H29" s="52">
        <f ca="1">IF(AND(INT('模拟-模拟计算'!B54)&lt;='模拟-模拟计算'!$C$2,'模拟-模拟计算'!B54&gt;0),'模拟-模拟计算'!Y54," ")</f>
        <v>4418.0652186266207</v>
      </c>
      <c r="I29" s="105">
        <f ca="1">IF(AND(INT('模拟-模拟计算'!B54)&lt;='模拟-模拟计算'!$C$2,'模拟-模拟计算'!B54&gt;0),'模拟-模拟计算'!AA54," ")</f>
        <v>109470.88230603517</v>
      </c>
    </row>
    <row r="30" spans="1:9" x14ac:dyDescent="0.2">
      <c r="A30" s="20">
        <f>INT('模拟-模拟计算'!B55+0.5)</f>
        <v>26</v>
      </c>
      <c r="B30" s="52">
        <f>IF(AND(INT('模拟-模拟计算'!B55)&lt;='模拟-模拟计算'!$C$2,'模拟-模拟计算'!B55&gt;0),'模拟-模拟计算'!B55," ")</f>
        <v>25.829999999999991</v>
      </c>
      <c r="C30" s="51" t="str">
        <f ca="1">IF(AND(INT('模拟-模拟计算'!B55)&lt;='模拟-模拟计算'!$C$2,'模拟-模拟计算'!B55&gt;0),'模拟-模拟计算'!C55," ")</f>
        <v>净世破魔击·月</v>
      </c>
      <c r="D30" s="104">
        <f ca="1">IF(AND(INT('模拟-模拟计算'!B55)&lt;='模拟-模拟计算'!$C$2,'模拟-模拟计算'!B55&gt;0),'模拟-模拟计算'!E55," ")</f>
        <v>100</v>
      </c>
      <c r="E30" s="104">
        <f ca="1">IF(AND(INT('模拟-模拟计算'!B55)&lt;='模拟-模拟计算'!$C$2,'模拟-模拟计算'!B55&gt;0),'模拟-模拟计算'!F55," ")</f>
        <v>20</v>
      </c>
      <c r="F30" s="51" t="str">
        <f ca="1">IF(AND(INT('模拟-模拟计算'!B55)&lt;='模拟-模拟计算'!$C$2,'模拟-模拟计算'!B55&gt;0),'模拟-模拟计算'!P55," ")</f>
        <v>命</v>
      </c>
      <c r="G30" s="52">
        <f ca="1">IF(AND(INT('模拟-模拟计算'!B55)&lt;='模拟-模拟计算'!$C$2,'模拟-模拟计算'!B55&gt;0),'模拟-模拟计算'!V55," ")</f>
        <v>80864.621558254468</v>
      </c>
      <c r="H30" s="52">
        <f ca="1">IF(AND(INT('模拟-模拟计算'!B55)&lt;='模拟-模拟计算'!$C$2,'模拟-模拟计算'!B55&gt;0),'模拟-模拟计算'!Y55," ")</f>
        <v>114695.11396134313</v>
      </c>
      <c r="I30" s="105">
        <f ca="1">IF(AND(INT('模拟-模拟计算'!B55)&lt;='模拟-模拟计算'!$C$2,'模拟-模拟计算'!B55&gt;0),'模拟-模拟计算'!AA55," ")</f>
        <v>110001.59175373265</v>
      </c>
    </row>
    <row r="31" spans="1:9" x14ac:dyDescent="0.2">
      <c r="A31" s="20">
        <f>INT('模拟-模拟计算'!B56+0.5)</f>
        <v>27</v>
      </c>
      <c r="B31" s="52">
        <f>IF(AND(INT('模拟-模拟计算'!B56)&lt;='模拟-模拟计算'!$C$2,'模拟-模拟计算'!B56&gt;0),'模拟-模拟计算'!B56," ")</f>
        <v>26.752499999999991</v>
      </c>
      <c r="C31" s="51" t="str">
        <f ca="1">IF(AND(INT('模拟-模拟计算'!B56)&lt;='模拟-模拟计算'!$C$2,'模拟-模拟计算'!B56&gt;0),'模拟-模拟计算'!C56," ")</f>
        <v>净世破魔击·日</v>
      </c>
      <c r="D31" s="104">
        <f ca="1">IF(AND(INT('模拟-模拟计算'!B56)&lt;='模拟-模拟计算'!$C$2,'模拟-模拟计算'!B56&gt;0),'模拟-模拟计算'!E56," ")</f>
        <v>0</v>
      </c>
      <c r="E31" s="104">
        <f ca="1">IF(AND(INT('模拟-模拟计算'!B56)&lt;='模拟-模拟计算'!$C$2,'模拟-模拟计算'!B56&gt;0),'模拟-模拟计算'!F56," ")</f>
        <v>20</v>
      </c>
      <c r="F31" s="51" t="str">
        <f ca="1">IF(AND(INT('模拟-模拟计算'!B56)&lt;='模拟-模拟计算'!$C$2,'模拟-模拟计算'!B56&gt;0),'模拟-模拟计算'!P56," ")</f>
        <v>会</v>
      </c>
      <c r="G31" s="52">
        <f ca="1">IF(AND(INT('模拟-模拟计算'!B56)&lt;='模拟-模拟计算'!$C$2,'模拟-模拟计算'!B56&gt;0),'模拟-模拟计算'!V56," ")</f>
        <v>195915.814886668</v>
      </c>
      <c r="H31" s="52">
        <f ca="1">IF(AND(INT('模拟-模拟计算'!B56)&lt;='模拟-模拟计算'!$C$2,'模拟-模拟计算'!B56&gt;0),'模拟-模拟计算'!Y56," ")</f>
        <v>205127.11589832304</v>
      </c>
      <c r="I31" s="105">
        <f ca="1">IF(AND(INT('模拟-模拟计算'!B56)&lt;='模拟-模拟计算'!$C$2,'模拟-模拟计算'!B56&gt;0),'模拟-模拟计算'!AA56," ")</f>
        <v>113876.02021856789</v>
      </c>
    </row>
    <row r="32" spans="1:9" x14ac:dyDescent="0.2">
      <c r="A32" s="20">
        <f>INT('模拟-模拟计算'!B57+0.5)</f>
        <v>28</v>
      </c>
      <c r="B32" s="52">
        <f>IF(AND(INT('模拟-模拟计算'!B57)&lt;='模拟-模拟计算'!$C$2,'模拟-模拟计算'!B57&gt;0),'模拟-模拟计算'!B57," ")</f>
        <v>27.67499999999999</v>
      </c>
      <c r="C32" s="51" t="str">
        <f ca="1">IF(AND(INT('模拟-模拟计算'!B57)&lt;='模拟-模拟计算'!$C$2,'模拟-模拟计算'!B57&gt;0),'模拟-模拟计算'!C57," ")</f>
        <v>赤日轮1</v>
      </c>
      <c r="D32" s="104">
        <f ca="1">IF(AND(INT('模拟-模拟计算'!B57)&lt;='模拟-模拟计算'!$C$2,'模拟-模拟计算'!B57&gt;0),'模拟-模拟计算'!E57," ")</f>
        <v>20</v>
      </c>
      <c r="E32" s="104">
        <f ca="1">IF(AND(INT('模拟-模拟计算'!B57)&lt;='模拟-模拟计算'!$C$2,'模拟-模拟计算'!B57&gt;0),'模拟-模拟计算'!F57," ")</f>
        <v>20</v>
      </c>
      <c r="F32" s="51" t="str">
        <f ca="1">IF(AND(INT('模拟-模拟计算'!B57)&lt;='模拟-模拟计算'!$C$2,'模拟-模拟计算'!B57&gt;0),'模拟-模拟计算'!P57," ")</f>
        <v>会</v>
      </c>
      <c r="G32" s="52">
        <f ca="1">IF(AND(INT('模拟-模拟计算'!B57)&lt;='模拟-模拟计算'!$C$2,'模拟-模拟计算'!B57&gt;0),'模拟-模拟计算'!V57," ")</f>
        <v>54482.562593809358</v>
      </c>
      <c r="H32" s="52">
        <f ca="1">IF(AND(INT('模拟-模拟计算'!B57)&lt;='模拟-模拟计算'!$C$2,'模拟-模拟计算'!B57&gt;0),'模拟-模拟计算'!Y57," ")</f>
        <v>75181.361284740124</v>
      </c>
      <c r="I32" s="105">
        <f ca="1">IF(AND(INT('模拟-模拟计算'!B57)&lt;='模拟-模拟计算'!$C$2,'模拟-模拟计算'!B57&gt;0),'模拟-模拟计算'!AA57," ")</f>
        <v>112796.73323150778</v>
      </c>
    </row>
    <row r="33" spans="1:9" x14ac:dyDescent="0.2">
      <c r="A33" s="20">
        <f>INT('模拟-模拟计算'!B58+0.5)</f>
        <v>29</v>
      </c>
      <c r="B33" s="52">
        <f>IF(AND(INT('模拟-模拟计算'!B58)&lt;='模拟-模拟计算'!$C$2,'模拟-模拟计算'!B58&gt;0),'模拟-模拟计算'!B58," ")</f>
        <v>28.597499999999989</v>
      </c>
      <c r="C33" s="51" t="str">
        <f ca="1">IF(AND(INT('模拟-模拟计算'!B58)&lt;='模拟-模拟计算'!$C$2,'模拟-模拟计算'!B58&gt;0),'模拟-模拟计算'!C58," ")</f>
        <v>银月斩</v>
      </c>
      <c r="D33" s="104">
        <f ca="1">IF(AND(INT('模拟-模拟计算'!B58)&lt;='模拟-模拟计算'!$C$2,'模拟-模拟计算'!B58&gt;0),'模拟-模拟计算'!E58," ")</f>
        <v>20</v>
      </c>
      <c r="E33" s="104">
        <f ca="1">IF(AND(INT('模拟-模拟计算'!B58)&lt;='模拟-模拟计算'!$C$2,'模拟-模拟计算'!B58&gt;0),'模拟-模拟计算'!F58," ")</f>
        <v>65</v>
      </c>
      <c r="F33" s="51" t="str">
        <f ca="1">IF(AND(INT('模拟-模拟计算'!B58)&lt;='模拟-模拟计算'!$C$2,'模拟-模拟计算'!B58&gt;0),'模拟-模拟计算'!P58," ")</f>
        <v>会</v>
      </c>
      <c r="G33" s="52">
        <f ca="1">IF(AND(INT('模拟-模拟计算'!B58)&lt;='模拟-模拟计算'!$C$2,'模拟-模拟计算'!B58&gt;0),'模拟-模拟计算'!V58," ")</f>
        <v>39481.310356797861</v>
      </c>
      <c r="H33" s="52">
        <f ca="1">IF(AND(INT('模拟-模拟计算'!B58)&lt;='模拟-模拟计算'!$C$2,'模拟-模拟计算'!B58&gt;0),'模拟-模拟计算'!Y58," ")</f>
        <v>39842.821000344906</v>
      </c>
      <c r="I33" s="105">
        <f ca="1">IF(AND(INT('模拟-模拟计算'!B58)&lt;='模拟-模拟计算'!$C$2,'模拟-模拟计算'!B58&gt;0),'模拟-模拟计算'!AA58," ")</f>
        <v>110551.3563487131</v>
      </c>
    </row>
    <row r="34" spans="1:9" x14ac:dyDescent="0.2">
      <c r="A34" s="20">
        <f>INT('模拟-模拟计算'!B59+0.5)</f>
        <v>30</v>
      </c>
      <c r="B34" s="52">
        <f>IF(AND(INT('模拟-模拟计算'!B59)&lt;='模拟-模拟计算'!$C$2,'模拟-模拟计算'!B59&gt;0),'模拟-模拟计算'!B59," ")</f>
        <v>29.519999999999989</v>
      </c>
      <c r="C34" s="51" t="str">
        <f ca="1">IF(AND(INT('模拟-模拟计算'!B59)&lt;='模拟-模拟计算'!$C$2,'模拟-模拟计算'!B59&gt;0),'模拟-模拟计算'!C59," ")</f>
        <v>驱夜断愁</v>
      </c>
      <c r="D34" s="104">
        <f ca="1">IF(AND(INT('模拟-模拟计算'!B59)&lt;='模拟-模拟计算'!$C$2,'模拟-模拟计算'!B59&gt;0),'模拟-模拟计算'!E59," ")</f>
        <v>40</v>
      </c>
      <c r="E34" s="104">
        <f ca="1">IF(AND(INT('模拟-模拟计算'!B59)&lt;='模拟-模拟计算'!$C$2,'模拟-模拟计算'!B59&gt;0),'模拟-模拟计算'!F59," ")</f>
        <v>85</v>
      </c>
      <c r="F34" s="51" t="str">
        <f ca="1">IF(AND(INT('模拟-模拟计算'!B59)&lt;='模拟-模拟计算'!$C$2,'模拟-模拟计算'!B59&gt;0),'模拟-模拟计算'!P59," ")</f>
        <v>命</v>
      </c>
      <c r="G34" s="52">
        <f ca="1">IF(AND(INT('模拟-模拟计算'!B59)&lt;='模拟-模拟计算'!$C$2,'模拟-模拟计算'!B59&gt;0),'模拟-模拟计算'!V59," ")</f>
        <v>58943.088028757353</v>
      </c>
      <c r="H34" s="52">
        <f ca="1">IF(AND(INT('模拟-模拟计算'!B59)&lt;='模拟-模拟计算'!$C$2,'模拟-模拟计算'!B59&gt;0),'模拟-模拟计算'!Y59," ")</f>
        <v>74859.160846728642</v>
      </c>
      <c r="I34" s="105">
        <f ca="1">IF(AND(INT('模拟-模拟计算'!B59)&lt;='模拟-模拟计算'!$C$2,'模拟-模拟计算'!B59&gt;0),'模拟-模拟计算'!AA59," ")</f>
        <v>109632.50589529308</v>
      </c>
    </row>
    <row r="35" spans="1:9" x14ac:dyDescent="0.2">
      <c r="A35" s="20">
        <f>INT('模拟-模拟计算'!B60+0.5)</f>
        <v>30</v>
      </c>
      <c r="B35" s="52">
        <f>IF(AND(INT('模拟-模拟计算'!B60)&lt;='模拟-模拟计算'!$C$2,'模拟-模拟计算'!B60&gt;0),'模拟-模拟计算'!B60," ")</f>
        <v>30.442499999999988</v>
      </c>
      <c r="C35" s="51" t="str">
        <f ca="1">IF(AND(INT('模拟-模拟计算'!B60)&lt;='模拟-模拟计算'!$C$2,'模拟-模拟计算'!B60&gt;0),'模拟-模拟计算'!C60," ")</f>
        <v>烈日斩</v>
      </c>
      <c r="D35" s="104">
        <f ca="1">IF(AND(INT('模拟-模拟计算'!B60)&lt;='模拟-模拟计算'!$C$2,'模拟-模拟计算'!B60&gt;0),'模拟-模拟计算'!E60," ")</f>
        <v>80</v>
      </c>
      <c r="E35" s="104">
        <f ca="1">IF(AND(INT('模拟-模拟计算'!B60)&lt;='模拟-模拟计算'!$C$2,'模拟-模拟计算'!B60&gt;0),'模拟-模拟计算'!F60," ")</f>
        <v>85</v>
      </c>
      <c r="F35" s="51" t="str">
        <f ca="1">IF(AND(INT('模拟-模拟计算'!B60)&lt;='模拟-模拟计算'!$C$2,'模拟-模拟计算'!B60&gt;0),'模拟-模拟计算'!P60," ")</f>
        <v>识</v>
      </c>
      <c r="G35" s="52">
        <f ca="1">IF(AND(INT('模拟-模拟计算'!B60)&lt;='模拟-模拟计算'!$C$2,'模拟-模拟计算'!B60&gt;0),'模拟-模拟计算'!V60," ")</f>
        <v>11697.442296152003</v>
      </c>
      <c r="H35" s="52">
        <f ca="1">IF(AND(INT('模拟-模拟计算'!B60)&lt;='模拟-模拟计算'!$C$2,'模拟-模拟计算'!B60&gt;0),'模拟-模拟计算'!Y60," ")</f>
        <v>12058.952939699051</v>
      </c>
      <c r="I35" s="105">
        <f ca="1">IF(AND(INT('模拟-模拟计算'!B60)&lt;='模拟-模拟计算'!$C$2,'模拟-模拟计算'!B60&gt;0),'模拟-模拟计算'!AA60," ")</f>
        <v>106706.43104110211</v>
      </c>
    </row>
    <row r="36" spans="1:9" x14ac:dyDescent="0.2">
      <c r="A36" s="20">
        <f>INT('模拟-模拟计算'!B61+0.5)</f>
        <v>31</v>
      </c>
      <c r="B36" s="52">
        <f>IF(AND(INT('模拟-模拟计算'!B61)&lt;='模拟-模拟计算'!$C$2,'模拟-模拟计算'!B61&gt;0),'模拟-模拟计算'!B61," ")</f>
        <v>31.364999999999988</v>
      </c>
      <c r="C36" s="51" t="str">
        <f ca="1">IF(AND(INT('模拟-模拟计算'!B61)&lt;='模拟-模拟计算'!$C$2,'模拟-模拟计算'!B61&gt;0),'模拟-模拟计算'!C61," ")</f>
        <v>幽月轮1</v>
      </c>
      <c r="D36" s="104">
        <f ca="1">IF(AND(INT('模拟-模拟计算'!B61)&lt;='模拟-模拟计算'!$C$2,'模拟-模拟计算'!B61&gt;0),'模拟-模拟计算'!E61," ")</f>
        <v>80</v>
      </c>
      <c r="E36" s="104">
        <f ca="1">IF(AND(INT('模拟-模拟计算'!B61)&lt;='模拟-模拟计算'!$C$2,'模拟-模拟计算'!B61&gt;0),'模拟-模拟计算'!F61," ")</f>
        <v>100</v>
      </c>
      <c r="F36" s="51" t="str">
        <f ca="1">IF(AND(INT('模拟-模拟计算'!B61)&lt;='模拟-模拟计算'!$C$2,'模拟-模拟计算'!B61&gt;0),'模拟-模拟计算'!P61," ")</f>
        <v>命</v>
      </c>
      <c r="G36" s="52">
        <f ca="1">IF(AND(INT('模拟-模拟计算'!B61)&lt;='模拟-模拟计算'!$C$2,'模拟-模拟计算'!B61&gt;0),'模拟-模拟计算'!V61," ")</f>
        <v>16226.218300318291</v>
      </c>
      <c r="H36" s="52">
        <f ca="1">IF(AND(INT('模拟-模拟计算'!B61)&lt;='模拟-模拟计算'!$C$2,'模拟-模拟计算'!B61&gt;0),'模拟-模拟计算'!Y61," ")</f>
        <v>39830.683662948621</v>
      </c>
      <c r="I36" s="105">
        <f ca="1">IF(AND(INT('模拟-模拟计算'!B61)&lt;='模拟-模拟计算'!$C$2,'模拟-模拟计算'!B61&gt;0),'模拟-模拟计算'!AA61," ")</f>
        <v>104837.91521223338</v>
      </c>
    </row>
    <row r="37" spans="1:9" x14ac:dyDescent="0.2">
      <c r="A37" s="20">
        <f>INT('模拟-模拟计算'!B62+0.5)</f>
        <v>32</v>
      </c>
      <c r="B37" s="52">
        <f>IF(AND(INT('模拟-模拟计算'!B62)&lt;='模拟-模拟计算'!$C$2,'模拟-模拟计算'!B62&gt;0),'模拟-模拟计算'!B62," ")</f>
        <v>32.287499999999987</v>
      </c>
      <c r="C37" s="51" t="str">
        <f ca="1">IF(AND(INT('模拟-模拟计算'!B62)&lt;='模拟-模拟计算'!$C$2,'模拟-模拟计算'!B62&gt;0),'模拟-模拟计算'!C62," ")</f>
        <v>净世破魔击·月</v>
      </c>
      <c r="D37" s="104">
        <f ca="1">IF(AND(INT('模拟-模拟计算'!B62)&lt;='模拟-模拟计算'!$C$2,'模拟-模拟计算'!B62&gt;0),'模拟-模拟计算'!E62," ")</f>
        <v>100</v>
      </c>
      <c r="E37" s="104">
        <f ca="1">IF(AND(INT('模拟-模拟计算'!B62)&lt;='模拟-模拟计算'!$C$2,'模拟-模拟计算'!B62&gt;0),'模拟-模拟计算'!F62," ")</f>
        <v>20</v>
      </c>
      <c r="F37" s="51" t="str">
        <f ca="1">IF(AND(INT('模拟-模拟计算'!B62)&lt;='模拟-模拟计算'!$C$2,'模拟-模拟计算'!B62&gt;0),'模拟-模拟计算'!P62," ")</f>
        <v>会</v>
      </c>
      <c r="G37" s="52">
        <f ca="1">IF(AND(INT('模拟-模拟计算'!B62)&lt;='模拟-模拟计算'!$C$2,'模拟-模拟计算'!B62&gt;0),'模拟-模拟计算'!V62," ")</f>
        <v>182541.2211190153</v>
      </c>
      <c r="H37" s="52">
        <f ca="1">IF(AND(INT('模拟-模拟计算'!B62)&lt;='模拟-模拟计算'!$C$2,'模拟-模拟计算'!B62&gt;0),'模拟-模拟计算'!Y62," ")</f>
        <v>200107.90135880813</v>
      </c>
      <c r="I37" s="105">
        <f ca="1">IF(AND(INT('模拟-模拟计算'!B62)&lt;='模拟-模拟计算'!$C$2,'模拟-模拟计算'!B62&gt;0),'模拟-模拟计算'!AA62," ")</f>
        <v>108040.23575657787</v>
      </c>
    </row>
    <row r="38" spans="1:9" x14ac:dyDescent="0.2">
      <c r="A38" s="20">
        <f>INT('模拟-模拟计算'!B63+0.5)</f>
        <v>33</v>
      </c>
      <c r="B38" s="52">
        <f>IF(AND(INT('模拟-模拟计算'!B63)&lt;='模拟-模拟计算'!$C$2,'模拟-模拟计算'!B63&gt;0),'模拟-模拟计算'!B63," ")</f>
        <v>33.209999999999987</v>
      </c>
      <c r="C38" s="51" t="str">
        <f ca="1">IF(AND(INT('模拟-模拟计算'!B63)&lt;='模拟-模拟计算'!$C$2,'模拟-模拟计算'!B63&gt;0),'模拟-模拟计算'!C63," ")</f>
        <v>净世破魔击·日</v>
      </c>
      <c r="D38" s="104">
        <f ca="1">IF(AND(INT('模拟-模拟计算'!B63)&lt;='模拟-模拟计算'!$C$2,'模拟-模拟计算'!B63&gt;0),'模拟-模拟计算'!E63," ")</f>
        <v>0</v>
      </c>
      <c r="E38" s="104">
        <f ca="1">IF(AND(INT('模拟-模拟计算'!B63)&lt;='模拟-模拟计算'!$C$2,'模拟-模拟计算'!B63&gt;0),'模拟-模拟计算'!F63," ")</f>
        <v>20</v>
      </c>
      <c r="F38" s="51" t="str">
        <f ca="1">IF(AND(INT('模拟-模拟计算'!B63)&lt;='模拟-模拟计算'!$C$2,'模拟-模拟计算'!B63&gt;0),'模拟-模拟计算'!P63," ")</f>
        <v>命</v>
      </c>
      <c r="G38" s="52">
        <f ca="1">IF(AND(INT('模拟-模拟计算'!B63)&lt;='模拟-模拟计算'!$C$2,'模拟-模拟计算'!B63&gt;0),'模拟-模拟计算'!V63," ")</f>
        <v>94575.365106402023</v>
      </c>
      <c r="H38" s="52">
        <f ca="1">IF(AND(INT('模拟-模拟计算'!B63)&lt;='模拟-模拟计算'!$C$2,'模拟-模拟计算'!B63&gt;0),'模拟-模拟计算'!Y63," ")</f>
        <v>138459.42257464965</v>
      </c>
      <c r="I38" s="105">
        <f ca="1">IF(AND(INT('模拟-模拟计算'!B63)&lt;='模拟-模拟计算'!$C$2,'模拟-模拟计算'!B63&gt;0),'模拟-模拟计算'!AA63," ")</f>
        <v>109208.32684628597</v>
      </c>
    </row>
    <row r="39" spans="1:9" x14ac:dyDescent="0.2">
      <c r="A39" s="20">
        <f>INT('模拟-模拟计算'!B64+0.5)</f>
        <v>34</v>
      </c>
      <c r="B39" s="52">
        <f>IF(AND(INT('模拟-模拟计算'!B64)&lt;='模拟-模拟计算'!$C$2,'模拟-模拟计算'!B64&gt;0),'模拟-模拟计算'!B64," ")</f>
        <v>34.132499999999986</v>
      </c>
      <c r="C39" s="51" t="str">
        <f ca="1">IF(AND(INT('模拟-模拟计算'!B64)&lt;='模拟-模拟计算'!$C$2,'模拟-模拟计算'!B64&gt;0),'模拟-模拟计算'!C64," ")</f>
        <v>赤日轮1</v>
      </c>
      <c r="D39" s="104">
        <f ca="1">IF(AND(INT('模拟-模拟计算'!B64)&lt;='模拟-模拟计算'!$C$2,'模拟-模拟计算'!B64&gt;0),'模拟-模拟计算'!E64," ")</f>
        <v>20</v>
      </c>
      <c r="E39" s="104">
        <f ca="1">IF(AND(INT('模拟-模拟计算'!B64)&lt;='模拟-模拟计算'!$C$2,'模拟-模拟计算'!B64&gt;0),'模拟-模拟计算'!F64," ")</f>
        <v>20</v>
      </c>
      <c r="F39" s="51" t="str">
        <f ca="1">IF(AND(INT('模拟-模拟计算'!B64)&lt;='模拟-模拟计算'!$C$2,'模拟-模拟计算'!B64&gt;0),'模拟-模拟计算'!P64," ")</f>
        <v>命</v>
      </c>
      <c r="G39" s="52">
        <f ca="1">IF(AND(INT('模拟-模拟计算'!B64)&lt;='模拟-模拟计算'!$C$2,'模拟-模拟计算'!B64&gt;0),'模拟-模拟计算'!V64," ")</f>
        <v>26295.771631143321</v>
      </c>
      <c r="H39" s="52">
        <f ca="1">IF(AND(INT('模拟-模拟计算'!B64)&lt;='模拟-模拟计算'!$C$2,'模拟-模拟计算'!B64&gt;0),'模拟-模拟计算'!Y64," ")</f>
        <v>26657.282274690369</v>
      </c>
      <c r="I39" s="105">
        <f ca="1">IF(AND(INT('模拟-模拟计算'!B64)&lt;='模拟-模拟计算'!$C$2,'模拟-模拟计算'!B64&gt;0),'模拟-模拟计算'!AA64," ")</f>
        <v>107037.74457891592</v>
      </c>
    </row>
    <row r="40" spans="1:9" x14ac:dyDescent="0.2">
      <c r="A40" s="20">
        <f>INT('模拟-模拟计算'!B65+0.5)</f>
        <v>35</v>
      </c>
      <c r="B40" s="52">
        <f>IF(AND(INT('模拟-模拟计算'!B65)&lt;='模拟-模拟计算'!$C$2,'模拟-模拟计算'!B65&gt;0),'模拟-模拟计算'!B65," ")</f>
        <v>35.054999999999986</v>
      </c>
      <c r="C40" s="51" t="str">
        <f ca="1">IF(AND(INT('模拟-模拟计算'!B65)&lt;='模拟-模拟计算'!$C$2,'模拟-模拟计算'!B65&gt;0),'模拟-模拟计算'!C65," ")</f>
        <v>银月斩</v>
      </c>
      <c r="D40" s="104">
        <f ca="1">IF(AND(INT('模拟-模拟计算'!B65)&lt;='模拟-模拟计算'!$C$2,'模拟-模拟计算'!B65&gt;0),'模拟-模拟计算'!E65," ")</f>
        <v>20</v>
      </c>
      <c r="E40" s="104">
        <f ca="1">IF(AND(INT('模拟-模拟计算'!B65)&lt;='模拟-模拟计算'!$C$2,'模拟-模拟计算'!B65&gt;0),'模拟-模拟计算'!F65," ")</f>
        <v>65</v>
      </c>
      <c r="F40" s="51" t="str">
        <f ca="1">IF(AND(INT('模拟-模拟计算'!B65)&lt;='模拟-模拟计算'!$C$2,'模拟-模拟计算'!B65&gt;0),'模拟-模拟计算'!P65," ")</f>
        <v>会</v>
      </c>
      <c r="G40" s="52">
        <f ca="1">IF(AND(INT('模拟-模拟计算'!B65)&lt;='模拟-模拟计算'!$C$2,'模拟-模拟计算'!B65&gt;0),'模拟-模拟计算'!V65," ")</f>
        <v>41211.704893206668</v>
      </c>
      <c r="H40" s="52">
        <f ca="1">IF(AND(INT('模拟-模拟计算'!B65)&lt;='模拟-模拟计算'!$C$2,'模拟-模拟计算'!B65&gt;0),'模拟-模拟计算'!Y65," ")</f>
        <v>54682.124590934603</v>
      </c>
      <c r="I40" s="105">
        <f ca="1">IF(AND(INT('模拟-模拟计算'!B65)&lt;='模拟-模拟计算'!$C$2,'模拟-模拟计算'!B65&gt;0),'模拟-模拟计算'!AA65," ")</f>
        <v>105780.85697991107</v>
      </c>
    </row>
    <row r="41" spans="1:9" x14ac:dyDescent="0.2">
      <c r="A41" s="20">
        <f>INT('模拟-模拟计算'!B66+0.5)</f>
        <v>36</v>
      </c>
      <c r="B41" s="52">
        <f>IF(AND(INT('模拟-模拟计算'!B66)&lt;='模拟-模拟计算'!$C$2,'模拟-模拟计算'!B66&gt;0),'模拟-模拟计算'!B66," ")</f>
        <v>35.977499999999985</v>
      </c>
      <c r="C41" s="51" t="str">
        <f ca="1">IF(AND(INT('模拟-模拟计算'!B66)&lt;='模拟-模拟计算'!$C$2,'模拟-模拟计算'!B66&gt;0),'模拟-模拟计算'!C66," ")</f>
        <v>驱夜断愁</v>
      </c>
      <c r="D41" s="104">
        <f ca="1">IF(AND(INT('模拟-模拟计算'!B66)&lt;='模拟-模拟计算'!$C$2,'模拟-模拟计算'!B66&gt;0),'模拟-模拟计算'!E66," ")</f>
        <v>40</v>
      </c>
      <c r="E41" s="104">
        <f ca="1">IF(AND(INT('模拟-模拟计算'!B66)&lt;='模拟-模拟计算'!$C$2,'模拟-模拟计算'!B66&gt;0),'模拟-模拟计算'!F66," ")</f>
        <v>85</v>
      </c>
      <c r="F41" s="51" t="str">
        <f ca="1">IF(AND(INT('模拟-模拟计算'!B66)&lt;='模拟-模拟计算'!$C$2,'模拟-模拟计算'!B66&gt;0),'模拟-模拟计算'!P66," ")</f>
        <v>会</v>
      </c>
      <c r="G41" s="52">
        <f ca="1">IF(AND(INT('模拟-模拟计算'!B66)&lt;='模拟-模拟计算'!$C$2,'模拟-模拟计算'!B66&gt;0),'模拟-模拟计算'!V66," ")</f>
        <v>134246.71846289007</v>
      </c>
      <c r="H41" s="52">
        <f ca="1">IF(AND(INT('模拟-模拟计算'!B66)&lt;='模拟-模拟计算'!$C$2,'模拟-模拟计算'!B66&gt;0),'模拟-模拟计算'!Y66," ")</f>
        <v>191387.62412029554</v>
      </c>
      <c r="I41" s="105">
        <f ca="1">IF(AND(INT('模拟-模拟计算'!B66)&lt;='模拟-模拟计算'!$C$2,'模拟-模拟计算'!B66&gt;0),'模拟-模拟计算'!AA66," ")</f>
        <v>108388.17498578495</v>
      </c>
    </row>
    <row r="42" spans="1:9" x14ac:dyDescent="0.2">
      <c r="A42" s="20">
        <f>INT('模拟-模拟计算'!B67+0.5)</f>
        <v>37</v>
      </c>
      <c r="B42" s="52">
        <f>IF(AND(INT('模拟-模拟计算'!B67)&lt;='模拟-模拟计算'!$C$2,'模拟-模拟计算'!B67&gt;0),'模拟-模拟计算'!B67," ")</f>
        <v>36.899999999999984</v>
      </c>
      <c r="C42" s="51" t="str">
        <f ca="1">IF(AND(INT('模拟-模拟计算'!B67)&lt;='模拟-模拟计算'!$C$2,'模拟-模拟计算'!B67&gt;0),'模拟-模拟计算'!C67," ")</f>
        <v>烈日斩</v>
      </c>
      <c r="D42" s="104">
        <f ca="1">IF(AND(INT('模拟-模拟计算'!B67)&lt;='模拟-模拟计算'!$C$2,'模拟-模拟计算'!B67&gt;0),'模拟-模拟计算'!E67," ")</f>
        <v>80</v>
      </c>
      <c r="E42" s="104">
        <f ca="1">IF(AND(INT('模拟-模拟计算'!B67)&lt;='模拟-模拟计算'!$C$2,'模拟-模拟计算'!B67&gt;0),'模拟-模拟计算'!F67," ")</f>
        <v>85</v>
      </c>
      <c r="F42" s="51" t="str">
        <f ca="1">IF(AND(INT('模拟-模拟计算'!B67)&lt;='模拟-模拟计算'!$C$2,'模拟-模拟计算'!B67&gt;0),'模拟-模拟计算'!P67," ")</f>
        <v>会</v>
      </c>
      <c r="G42" s="52">
        <f ca="1">IF(AND(INT('模拟-模拟计算'!B67)&lt;='模拟-模拟计算'!$C$2,'模拟-模拟计算'!B67&gt;0),'模拟-模拟计算'!V67," ")</f>
        <v>111394.5122696896</v>
      </c>
      <c r="H42" s="52">
        <f ca="1">IF(AND(INT('模拟-模拟计算'!B67)&lt;='模拟-模拟计算'!$C$2,'模拟-模拟计算'!B67&gt;0),'模拟-模拟计算'!Y67," ")</f>
        <v>124426.53684962211</v>
      </c>
      <c r="I42" s="105">
        <f ca="1">IF(AND(INT('模拟-模拟计算'!B67)&lt;='模拟-模拟计算'!$C$2,'模拟-模拟计算'!B67&gt;0),'模拟-模拟计算'!AA67," ")</f>
        <v>109050.46347969378</v>
      </c>
    </row>
    <row r="43" spans="1:9" x14ac:dyDescent="0.2">
      <c r="A43" s="20">
        <f>INT('模拟-模拟计算'!B68+0.5)</f>
        <v>38</v>
      </c>
      <c r="B43" s="52">
        <f>IF(AND(INT('模拟-模拟计算'!B68)&lt;='模拟-模拟计算'!$C$2,'模拟-模拟计算'!B68&gt;0),'模拟-模拟计算'!B68," ")</f>
        <v>37.822499999999984</v>
      </c>
      <c r="C43" s="51" t="str">
        <f ca="1">IF(AND(INT('模拟-模拟计算'!B68)&lt;='模拟-模拟计算'!$C$2,'模拟-模拟计算'!B68&gt;0),'模拟-模拟计算'!C68," ")</f>
        <v>幽月轮1</v>
      </c>
      <c r="D43" s="104">
        <f ca="1">IF(AND(INT('模拟-模拟计算'!B68)&lt;='模拟-模拟计算'!$C$2,'模拟-模拟计算'!B68&gt;0),'模拟-模拟计算'!E68," ")</f>
        <v>80</v>
      </c>
      <c r="E43" s="104">
        <f ca="1">IF(AND(INT('模拟-模拟计算'!B68)&lt;='模拟-模拟计算'!$C$2,'模拟-模拟计算'!B68&gt;0),'模拟-模拟计算'!F68," ")</f>
        <v>100</v>
      </c>
      <c r="F43" s="51" t="str">
        <f ca="1">IF(AND(INT('模拟-模拟计算'!B68)&lt;='模拟-模拟计算'!$C$2,'模拟-模拟计算'!B68&gt;0),'模拟-模拟计算'!P68," ")</f>
        <v>命</v>
      </c>
      <c r="G43" s="52">
        <f ca="1">IF(AND(INT('模拟-模拟计算'!B68)&lt;='模拟-模拟计算'!$C$2,'模拟-模拟计算'!B68&gt;0),'模拟-模拟计算'!V68," ")</f>
        <v>17097.497192206338</v>
      </c>
      <c r="H43" s="52">
        <f ca="1">IF(AND(INT('模拟-模拟计算'!B68)&lt;='模拟-模拟计算'!$C$2,'模拟-模拟计算'!B68&gt;0),'模拟-模拟计算'!Y68," ")</f>
        <v>17459.007835753386</v>
      </c>
      <c r="I43" s="105">
        <f ca="1">IF(AND(INT('模拟-模拟计算'!B68)&lt;='模拟-模拟计算'!$C$2,'模拟-模拟计算'!B68&gt;0),'模拟-模拟计算'!AA68," ")</f>
        <v>106852.29982778647</v>
      </c>
    </row>
    <row r="44" spans="1:9" x14ac:dyDescent="0.2">
      <c r="A44" s="20">
        <f>INT('模拟-模拟计算'!B69+0.5)</f>
        <v>39</v>
      </c>
      <c r="B44" s="52">
        <f>IF(AND(INT('模拟-模拟计算'!B69)&lt;='模拟-模拟计算'!$C$2,'模拟-模拟计算'!B69&gt;0),'模拟-模拟计算'!B69," ")</f>
        <v>38.744999999999983</v>
      </c>
      <c r="C44" s="51" t="str">
        <f ca="1">IF(AND(INT('模拟-模拟计算'!B69)&lt;='模拟-模拟计算'!$C$2,'模拟-模拟计算'!B69&gt;0),'模拟-模拟计算'!C69," ")</f>
        <v>净世破魔击·月</v>
      </c>
      <c r="D44" s="104">
        <f ca="1">IF(AND(INT('模拟-模拟计算'!B69)&lt;='模拟-模拟计算'!$C$2,'模拟-模拟计算'!B69&gt;0),'模拟-模拟计算'!E69," ")</f>
        <v>100</v>
      </c>
      <c r="E44" s="104">
        <f ca="1">IF(AND(INT('模拟-模拟计算'!B69)&lt;='模拟-模拟计算'!$C$2,'模拟-模拟计算'!B69&gt;0),'模拟-模拟计算'!F69," ")</f>
        <v>20</v>
      </c>
      <c r="F44" s="51" t="str">
        <f ca="1">IF(AND(INT('模拟-模拟计算'!B69)&lt;='模拟-模拟计算'!$C$2,'模拟-模拟计算'!B69&gt;0),'模拟-模拟计算'!P69," ")</f>
        <v>会</v>
      </c>
      <c r="G44" s="52">
        <f ca="1">IF(AND(INT('模拟-模拟计算'!B69)&lt;='模拟-模拟计算'!$C$2,'模拟-模拟计算'!B69&gt;0),'模拟-模拟计算'!V69," ")</f>
        <v>183555.33901412092</v>
      </c>
      <c r="H44" s="52">
        <f ca="1">IF(AND(INT('模拟-模拟计算'!B69)&lt;='模拟-模拟计算'!$C$2,'模拟-模拟计算'!B69&gt;0),'模拟-模拟计算'!Y69," ")</f>
        <v>207731.44060321269</v>
      </c>
      <c r="I44" s="105">
        <f ca="1">IF(AND(INT('模拟-模拟计算'!B69)&lt;='模拟-模拟计算'!$C$2,'模拟-模拟计算'!B69&gt;0),'模拟-模拟计算'!AA69," ")</f>
        <v>109669.70062820148</v>
      </c>
    </row>
    <row r="45" spans="1:9" x14ac:dyDescent="0.2">
      <c r="A45" s="20">
        <f>INT('模拟-模拟计算'!B70+0.5)</f>
        <v>40</v>
      </c>
      <c r="B45" s="52">
        <f>IF(AND(INT('模拟-模拟计算'!B70)&lt;='模拟-模拟计算'!$C$2,'模拟-模拟计算'!B70&gt;0),'模拟-模拟计算'!B70," ")</f>
        <v>39.667499999999983</v>
      </c>
      <c r="C45" s="51" t="str">
        <f ca="1">IF(AND(INT('模拟-模拟计算'!B70)&lt;='模拟-模拟计算'!$C$2,'模拟-模拟计算'!B70&gt;0),'模拟-模拟计算'!C70," ")</f>
        <v>净世破魔击·日</v>
      </c>
      <c r="D45" s="104">
        <f ca="1">IF(AND(INT('模拟-模拟计算'!B70)&lt;='模拟-模拟计算'!$C$2,'模拟-模拟计算'!B70&gt;0),'模拟-模拟计算'!E70," ")</f>
        <v>0</v>
      </c>
      <c r="E45" s="104">
        <f ca="1">IF(AND(INT('模拟-模拟计算'!B70)&lt;='模拟-模拟计算'!$C$2,'模拟-模拟计算'!B70&gt;0),'模拟-模拟计算'!F70," ")</f>
        <v>20</v>
      </c>
      <c r="F45" s="51" t="str">
        <f ca="1">IF(AND(INT('模拟-模拟计算'!B70)&lt;='模拟-模拟计算'!$C$2,'模拟-模拟计算'!B70&gt;0),'模拟-模拟计算'!P70," ")</f>
        <v>会</v>
      </c>
      <c r="G45" s="52">
        <f ca="1">IF(AND(INT('模拟-模拟计算'!B70)&lt;='模拟-模拟计算'!$C$2,'模拟-模拟计算'!B70&gt;0),'模拟-模拟计算'!V70," ")</f>
        <v>205653.81736823294</v>
      </c>
      <c r="H45" s="52">
        <f ca="1">IF(AND(INT('模拟-模拟计算'!B70)&lt;='模拟-模拟计算'!$C$2,'模拟-模拟计算'!B70&gt;0),'模拟-模拟计算'!Y70," ")</f>
        <v>215217.07283018419</v>
      </c>
      <c r="I45" s="105">
        <f ca="1">IF(AND(INT('模拟-模拟计算'!B70)&lt;='模拟-模拟计算'!$C$2,'模拟-模拟计算'!B70&gt;0),'模拟-模拟计算'!AA70," ")</f>
        <v>112544.76898392514</v>
      </c>
    </row>
    <row r="46" spans="1:9" x14ac:dyDescent="0.2">
      <c r="A46" s="20">
        <f>INT('模拟-模拟计算'!B71+0.5)</f>
        <v>41</v>
      </c>
      <c r="B46" s="52">
        <f>IF(AND(INT('模拟-模拟计算'!B71)&lt;='模拟-模拟计算'!$C$2,'模拟-模拟计算'!B71&gt;0),'模拟-模拟计算'!B71," ")</f>
        <v>40.589999999999982</v>
      </c>
      <c r="C46" s="51" t="str">
        <f ca="1">IF(AND(INT('模拟-模拟计算'!B71)&lt;='模拟-模拟计算'!$C$2,'模拟-模拟计算'!B71&gt;0),'模拟-模拟计算'!C71," ")</f>
        <v>赤日轮1</v>
      </c>
      <c r="D46" s="104">
        <f ca="1">IF(AND(INT('模拟-模拟计算'!B71)&lt;='模拟-模拟计算'!$C$2,'模拟-模拟计算'!B71&gt;0),'模拟-模拟计算'!E71," ")</f>
        <v>20</v>
      </c>
      <c r="E46" s="104">
        <f ca="1">IF(AND(INT('模拟-模拟计算'!B71)&lt;='模拟-模拟计算'!$C$2,'模拟-模拟计算'!B71&gt;0),'模拟-模拟计算'!F71," ")</f>
        <v>20</v>
      </c>
      <c r="F46" s="51" t="str">
        <f ca="1">IF(AND(INT('模拟-模拟计算'!B71)&lt;='模拟-模拟计算'!$C$2,'模拟-模拟计算'!B71&gt;0),'模拟-模拟计算'!P71," ")</f>
        <v>会</v>
      </c>
      <c r="G46" s="52">
        <f ca="1">IF(AND(INT('模拟-模拟计算'!B71)&lt;='模拟-模拟计算'!$C$2,'模拟-模拟计算'!B71&gt;0),'模拟-模拟计算'!V71," ")</f>
        <v>57371.871792944243</v>
      </c>
      <c r="H46" s="52">
        <f ca="1">IF(AND(INT('模拟-模拟计算'!B71)&lt;='模拟-模拟计算'!$C$2,'模拟-模拟计算'!B71&gt;0),'模拟-模拟计算'!Y71," ")</f>
        <v>78957.931403524257</v>
      </c>
      <c r="I46" s="105">
        <f ca="1">IF(AND(INT('模拟-模拟计算'!B71)&lt;='模拟-模拟计算'!$C$2,'模拟-模拟计算'!B71&gt;0),'模拟-模拟计算'!AA71," ")</f>
        <v>111932.18908778948</v>
      </c>
    </row>
    <row r="47" spans="1:9" x14ac:dyDescent="0.2">
      <c r="A47" s="20">
        <f>INT('模拟-模拟计算'!B72+0.5)</f>
        <v>42</v>
      </c>
      <c r="B47" s="52">
        <f>IF(AND(INT('模拟-模拟计算'!B72)&lt;='模拟-模拟计算'!$C$2,'模拟-模拟计算'!B72&gt;0),'模拟-模拟计算'!B72," ")</f>
        <v>41.512499999999982</v>
      </c>
      <c r="C47" s="51" t="str">
        <f ca="1">IF(AND(INT('模拟-模拟计算'!B72)&lt;='模拟-模拟计算'!$C$2,'模拟-模拟计算'!B72&gt;0),'模拟-模拟计算'!C72," ")</f>
        <v>银月斩</v>
      </c>
      <c r="D47" s="104">
        <f ca="1">IF(AND(INT('模拟-模拟计算'!B72)&lt;='模拟-模拟计算'!$C$2,'模拟-模拟计算'!B72&gt;0),'模拟-模拟计算'!E72," ")</f>
        <v>20</v>
      </c>
      <c r="E47" s="104">
        <f ca="1">IF(AND(INT('模拟-模拟计算'!B72)&lt;='模拟-模拟计算'!$C$2,'模拟-模拟计算'!B72&gt;0),'模拟-模拟计算'!F72," ")</f>
        <v>65</v>
      </c>
      <c r="F47" s="51" t="str">
        <f ca="1">IF(AND(INT('模拟-模拟计算'!B72)&lt;='模拟-模拟计算'!$C$2,'模拟-模拟计算'!B72&gt;0),'模拟-模拟计算'!P72," ")</f>
        <v>会</v>
      </c>
      <c r="G47" s="52">
        <f ca="1">IF(AND(INT('模拟-模拟计算'!B72)&lt;='模拟-模拟计算'!$C$2,'模拟-模拟计算'!B72&gt;0),'模拟-模拟计算'!V72," ")</f>
        <v>41570.067544451951</v>
      </c>
      <c r="H47" s="52">
        <f ca="1">IF(AND(INT('模拟-模拟计算'!B72)&lt;='模拟-模拟计算'!$C$2,'模拟-模拟计算'!B72&gt;0),'模拟-模拟计算'!Y72," ")</f>
        <v>60448.371258804604</v>
      </c>
      <c r="I47" s="105">
        <f ca="1">IF(AND(INT('模拟-模拟计算'!B72)&lt;='模拟-模拟计算'!$C$2,'模拟-模拟计算'!B72&gt;0),'模拟-模拟计算'!AA72," ")</f>
        <v>110900.95576831508</v>
      </c>
    </row>
    <row r="48" spans="1:9" x14ac:dyDescent="0.2">
      <c r="A48" s="20">
        <f>INT('模拟-模拟计算'!B73+0.5)</f>
        <v>42</v>
      </c>
      <c r="B48" s="52">
        <f>IF(AND(INT('模拟-模拟计算'!B73)&lt;='模拟-模拟计算'!$C$2,'模拟-模拟计算'!B73&gt;0),'模拟-模拟计算'!B73," ")</f>
        <v>42.434999999999981</v>
      </c>
      <c r="C48" s="51" t="str">
        <f ca="1">IF(AND(INT('模拟-模拟计算'!B73)&lt;='模拟-模拟计算'!$C$2,'模拟-模拟计算'!B73&gt;0),'模拟-模拟计算'!C73," ")</f>
        <v>驱夜断愁</v>
      </c>
      <c r="D48" s="104">
        <f ca="1">IF(AND(INT('模拟-模拟计算'!B73)&lt;='模拟-模拟计算'!$C$2,'模拟-模拟计算'!B73&gt;0),'模拟-模拟计算'!E73," ")</f>
        <v>40</v>
      </c>
      <c r="E48" s="104">
        <f ca="1">IF(AND(INT('模拟-模拟计算'!B73)&lt;='模拟-模拟计算'!$C$2,'模拟-模拟计算'!B73&gt;0),'模拟-模拟计算'!F73," ")</f>
        <v>85</v>
      </c>
      <c r="F48" s="51" t="str">
        <f ca="1">IF(AND(INT('模拟-模拟计算'!B73)&lt;='模拟-模拟计算'!$C$2,'模拟-模拟计算'!B73&gt;0),'模拟-模拟计算'!P73," ")</f>
        <v>命</v>
      </c>
      <c r="G48" s="52">
        <f ca="1">IF(AND(INT('模拟-模拟计算'!B73)&lt;='模拟-模拟计算'!$C$2,'模拟-模拟计算'!B73&gt;0),'模拟-模拟计算'!V73," ")</f>
        <v>59460.132660588548</v>
      </c>
      <c r="H48" s="52">
        <f ca="1">IF(AND(INT('模拟-模拟计算'!B73)&lt;='模拟-模拟计算'!$C$2,'模拟-模拟计算'!B73&gt;0),'模拟-模拟计算'!Y73," ")</f>
        <v>94901.678529929399</v>
      </c>
      <c r="I48" s="105">
        <f ca="1">IF(AND(INT('模拟-模拟计算'!B73)&lt;='模拟-模拟计算'!$C$2,'模拟-模拟计算'!B73&gt;0),'模拟-模拟计算'!AA73," ")</f>
        <v>110726.46647489358</v>
      </c>
    </row>
    <row r="49" spans="1:9" x14ac:dyDescent="0.2">
      <c r="A49" s="20">
        <f>INT('模拟-模拟计算'!B74+0.5)</f>
        <v>43</v>
      </c>
      <c r="B49" s="52">
        <f>IF(AND(INT('模拟-模拟计算'!B74)&lt;='模拟-模拟计算'!$C$2,'模拟-模拟计算'!B74&gt;0),'模拟-模拟计算'!B74," ")</f>
        <v>43.35749999999998</v>
      </c>
      <c r="C49" s="51" t="str">
        <f ca="1">IF(AND(INT('模拟-模拟计算'!B74)&lt;='模拟-模拟计算'!$C$2,'模拟-模拟计算'!B74&gt;0),'模拟-模拟计算'!C74," ")</f>
        <v>烈日斩</v>
      </c>
      <c r="D49" s="104">
        <f ca="1">IF(AND(INT('模拟-模拟计算'!B74)&lt;='模拟-模拟计算'!$C$2,'模拟-模拟计算'!B74&gt;0),'模拟-模拟计算'!E74," ")</f>
        <v>80</v>
      </c>
      <c r="E49" s="104">
        <f ca="1">IF(AND(INT('模拟-模拟计算'!B74)&lt;='模拟-模拟计算'!$C$2,'模拟-模拟计算'!B74&gt;0),'模拟-模拟计算'!F74," ")</f>
        <v>85</v>
      </c>
      <c r="F49" s="51" t="str">
        <f ca="1">IF(AND(INT('模拟-模拟计算'!B74)&lt;='模拟-模拟计算'!$C$2,'模拟-模拟计算'!B74&gt;0),'模拟-模拟计算'!P74," ")</f>
        <v>命</v>
      </c>
      <c r="G49" s="52">
        <f ca="1">IF(AND(INT('模拟-模拟计算'!B74)&lt;='模拟-模拟计算'!$C$2,'模拟-模拟计算'!B74&gt;0),'模拟-模拟计算'!V74," ")</f>
        <v>46789.769184608012</v>
      </c>
      <c r="H49" s="52">
        <f ca="1">IF(AND(INT('模拟-模拟计算'!B74)&lt;='模拟-模拟计算'!$C$2,'模拟-模拟计算'!B74&gt;0),'模拟-模拟计算'!Y74," ")</f>
        <v>47151.279828155064</v>
      </c>
      <c r="I49" s="105">
        <f ca="1">IF(AND(INT('模拟-模拟计算'!B74)&lt;='模拟-模拟计算'!$C$2,'模拟-模拟计算'!B74&gt;0),'模拟-模拟计算'!AA74," ")</f>
        <v>109458.0841766768</v>
      </c>
    </row>
    <row r="50" spans="1:9" x14ac:dyDescent="0.2">
      <c r="A50" s="20">
        <f>INT('模拟-模拟计算'!B75+0.5)</f>
        <v>44</v>
      </c>
      <c r="B50" s="52">
        <f>IF(AND(INT('模拟-模拟计算'!B75)&lt;='模拟-模拟计算'!$C$2,'模拟-模拟计算'!B75&gt;0),'模拟-模拟计算'!B75," ")</f>
        <v>44.27999999999998</v>
      </c>
      <c r="C50" s="51" t="str">
        <f ca="1">IF(AND(INT('模拟-模拟计算'!B75)&lt;='模拟-模拟计算'!$C$2,'模拟-模拟计算'!B75&gt;0),'模拟-模拟计算'!C75," ")</f>
        <v>幽月轮1</v>
      </c>
      <c r="D50" s="104">
        <f ca="1">IF(AND(INT('模拟-模拟计算'!B75)&lt;='模拟-模拟计算'!$C$2,'模拟-模拟计算'!B75&gt;0),'模拟-模拟计算'!E75," ")</f>
        <v>80</v>
      </c>
      <c r="E50" s="104">
        <f ca="1">IF(AND(INT('模拟-模拟计算'!B75)&lt;='模拟-模拟计算'!$C$2,'模拟-模拟计算'!B75&gt;0),'模拟-模拟计算'!F75," ")</f>
        <v>100</v>
      </c>
      <c r="F50" s="51" t="str">
        <f ca="1">IF(AND(INT('模拟-模拟计算'!B75)&lt;='模拟-模拟计算'!$C$2,'模拟-模拟计算'!B75&gt;0),'模拟-模拟计算'!P75," ")</f>
        <v>会</v>
      </c>
      <c r="G50" s="52">
        <f ca="1">IF(AND(INT('模拟-模拟计算'!B75)&lt;='模拟-模拟计算'!$C$2,'模拟-模拟计算'!B75&gt;0),'模拟-模拟计算'!V75," ")</f>
        <v>35088.919370823241</v>
      </c>
      <c r="H50" s="52">
        <f ca="1">IF(AND(INT('模拟-模拟计算'!B75)&lt;='模拟-模拟计算'!$C$2,'模拟-模拟计算'!B75&gt;0),'模拟-模拟计算'!Y75," ")</f>
        <v>52995.140055584983</v>
      </c>
      <c r="I50" s="105">
        <f ca="1">IF(AND(INT('模拟-模拟计算'!B75)&lt;='模拟-模拟计算'!$C$2,'模拟-模拟计算'!B75&gt;0),'模拟-模拟计算'!AA75," ")</f>
        <v>108374.52630410681</v>
      </c>
    </row>
    <row r="51" spans="1:9" x14ac:dyDescent="0.2">
      <c r="A51" s="20">
        <f>INT('模拟-模拟计算'!B76+0.5)</f>
        <v>45</v>
      </c>
      <c r="B51" s="52">
        <f>IF(AND(INT('模拟-模拟计算'!B76)&lt;='模拟-模拟计算'!$C$2,'模拟-模拟计算'!B76&gt;0),'模拟-模拟计算'!B76," ")</f>
        <v>45.202499999999979</v>
      </c>
      <c r="C51" s="51" t="str">
        <f ca="1">IF(AND(INT('模拟-模拟计算'!B76)&lt;='模拟-模拟计算'!$C$2,'模拟-模拟计算'!B76&gt;0),'模拟-模拟计算'!C76," ")</f>
        <v>净世破魔击·月</v>
      </c>
      <c r="D51" s="104">
        <f ca="1">IF(AND(INT('模拟-模拟计算'!B76)&lt;='模拟-模拟计算'!$C$2,'模拟-模拟计算'!B76&gt;0),'模拟-模拟计算'!E76," ")</f>
        <v>100</v>
      </c>
      <c r="E51" s="104">
        <f ca="1">IF(AND(INT('模拟-模拟计算'!B76)&lt;='模拟-模拟计算'!$C$2,'模拟-模拟计算'!B76&gt;0),'模拟-模拟计算'!F76," ")</f>
        <v>20</v>
      </c>
      <c r="F51" s="51" t="str">
        <f ca="1">IF(AND(INT('模拟-模拟计算'!B76)&lt;='模拟-模拟计算'!$C$2,'模拟-模拟计算'!B76&gt;0),'模拟-模拟计算'!P76," ")</f>
        <v>会</v>
      </c>
      <c r="G51" s="52">
        <f ca="1">IF(AND(INT('模拟-模拟计算'!B76)&lt;='模拟-模拟计算'!$C$2,'模拟-模拟计算'!B76&gt;0),'模拟-模拟计算'!V76," ")</f>
        <v>204013.08685584151</v>
      </c>
      <c r="H51" s="52">
        <f ca="1">IF(AND(INT('模拟-模拟计算'!B76)&lt;='模拟-模拟计算'!$C$2,'模拟-模拟计算'!B76&gt;0),'模拟-模拟计算'!Y76," ")</f>
        <v>220894.78116791736</v>
      </c>
      <c r="I51" s="105">
        <f ca="1">IF(AND(INT('模拟-模拟计算'!B76)&lt;='模拟-模拟计算'!$C$2,'模拟-模拟计算'!B76&gt;0),'模拟-模拟计算'!AA76," ")</f>
        <v>111049.58367156168</v>
      </c>
    </row>
    <row r="52" spans="1:9" x14ac:dyDescent="0.2">
      <c r="A52" s="20">
        <f>INT('模拟-模拟计算'!B77+0.5)</f>
        <v>46</v>
      </c>
      <c r="B52" s="52">
        <f>IF(AND(INT('模拟-模拟计算'!B77)&lt;='模拟-模拟计算'!$C$2,'模拟-模拟计算'!B77&gt;0),'模拟-模拟计算'!B77," ")</f>
        <v>46.124999999999979</v>
      </c>
      <c r="C52" s="51" t="str">
        <f ca="1">IF(AND(INT('模拟-模拟计算'!B77)&lt;='模拟-模拟计算'!$C$2,'模拟-模拟计算'!B77&gt;0),'模拟-模拟计算'!C77," ")</f>
        <v>净世破魔击·日</v>
      </c>
      <c r="D52" s="104">
        <f ca="1">IF(AND(INT('模拟-模拟计算'!B77)&lt;='模拟-模拟计算'!$C$2,'模拟-模拟计算'!B77&gt;0),'模拟-模拟计算'!E77," ")</f>
        <v>0</v>
      </c>
      <c r="E52" s="104">
        <f ca="1">IF(AND(INT('模拟-模拟计算'!B77)&lt;='模拟-模拟计算'!$C$2,'模拟-模拟计算'!B77&gt;0),'模拟-模拟计算'!F77," ")</f>
        <v>100</v>
      </c>
      <c r="F52" s="51" t="str">
        <f ca="1">IF(AND(INT('模拟-模拟计算'!B77)&lt;='模拟-模拟计算'!$C$2,'模拟-模拟计算'!B77&gt;0),'模拟-模拟计算'!P77," ")</f>
        <v>命</v>
      </c>
      <c r="G52" s="52">
        <f ca="1">IF(AND(INT('模拟-模拟计算'!B77)&lt;='模拟-模拟计算'!$C$2,'模拟-模拟计算'!B77&gt;0),'模拟-模拟计算'!V77," ")</f>
        <v>105697.2298988978</v>
      </c>
      <c r="H52" s="52">
        <f ca="1">IF(AND(INT('模拟-模拟计算'!B77)&lt;='模拟-模拟计算'!$C$2,'模拟-模拟计算'!B77&gt;0),'模拟-模拟计算'!Y77," ")</f>
        <v>136836.05863047449</v>
      </c>
      <c r="I52" s="105">
        <f ca="1">IF(AND(INT('模拟-模拟计算'!B77)&lt;='模拟-模拟计算'!$C$2,'模拟-模拟计算'!B77&gt;0),'模拟-模拟计算'!AA77," ")</f>
        <v>111795.22741559331</v>
      </c>
    </row>
    <row r="53" spans="1:9" x14ac:dyDescent="0.2">
      <c r="A53" s="20">
        <f>INT('模拟-模拟计算'!B78+0.5)</f>
        <v>47</v>
      </c>
      <c r="B53" s="52">
        <f>IF(AND(INT('模拟-模拟计算'!B78)&lt;='模拟-模拟计算'!$C$2,'模拟-模拟计算'!B78&gt;0),'模拟-模拟计算'!B78," ")</f>
        <v>47.047499999999978</v>
      </c>
      <c r="C53" s="51" t="str">
        <f ca="1">IF(AND(INT('模拟-模拟计算'!B78)&lt;='模拟-模拟计算'!$C$2,'模拟-模拟计算'!B78&gt;0),'模拟-模拟计算'!C78," ")</f>
        <v>净世破魔击·月</v>
      </c>
      <c r="D53" s="104">
        <f ca="1">IF(AND(INT('模拟-模拟计算'!B78)&lt;='模拟-模拟计算'!$C$2,'模拟-模拟计算'!B78&gt;0),'模拟-模拟计算'!E78," ")</f>
        <v>20</v>
      </c>
      <c r="E53" s="104">
        <f ca="1">IF(AND(INT('模拟-模拟计算'!B78)&lt;='模拟-模拟计算'!$C$2,'模拟-模拟计算'!B78&gt;0),'模拟-模拟计算'!F78," ")</f>
        <v>20</v>
      </c>
      <c r="F53" s="51" t="str">
        <f ca="1">IF(AND(INT('模拟-模拟计算'!B78)&lt;='模拟-模拟计算'!$C$2,'模拟-模拟计算'!B78&gt;0),'模拟-模拟计算'!P78," ")</f>
        <v>命</v>
      </c>
      <c r="G53" s="52">
        <f ca="1">IF(AND(INT('模拟-模拟计算'!B78)&lt;='模拟-模拟计算'!$C$2,'模拟-模拟计算'!B78&gt;0),'模拟-模拟计算'!V78," ")</f>
        <v>53909.747705502974</v>
      </c>
      <c r="H53" s="52">
        <f ca="1">IF(AND(INT('模拟-模拟计算'!B78)&lt;='模拟-模拟计算'!$C$2,'模拟-模拟计算'!B78&gt;0),'模拟-模拟计算'!Y78," ")</f>
        <v>61910.710101154873</v>
      </c>
      <c r="I53" s="105">
        <f ca="1">IF(AND(INT('模拟-模拟计算'!B78)&lt;='模拟-模拟计算'!$C$2,'模拟-模拟计算'!B78&gt;0),'模拟-模拟计算'!AA78," ")</f>
        <v>110919.08336564952</v>
      </c>
    </row>
    <row r="54" spans="1:9" x14ac:dyDescent="0.2">
      <c r="A54" s="20">
        <f>INT('模拟-模拟计算'!B79+0.5)</f>
        <v>48</v>
      </c>
      <c r="B54" s="52">
        <f>IF(AND(INT('模拟-模拟计算'!B79)&lt;='模拟-模拟计算'!$C$2,'模拟-模拟计算'!B79&gt;0),'模拟-模拟计算'!B79," ")</f>
        <v>47.969999999999978</v>
      </c>
      <c r="C54" s="51" t="str">
        <f ca="1">IF(AND(INT('模拟-模拟计算'!B79)&lt;='模拟-模拟计算'!$C$2,'模拟-模拟计算'!B79&gt;0),'模拟-模拟计算'!C79," ")</f>
        <v>银月斩</v>
      </c>
      <c r="D54" s="104">
        <f ca="1">IF(AND(INT('模拟-模拟计算'!B79)&lt;='模拟-模拟计算'!$C$2,'模拟-模拟计算'!B79&gt;0),'模拟-模拟计算'!E79," ")</f>
        <v>20</v>
      </c>
      <c r="E54" s="104">
        <f ca="1">IF(AND(INT('模拟-模拟计算'!B79)&lt;='模拟-模拟计算'!$C$2,'模拟-模拟计算'!B79&gt;0),'模拟-模拟计算'!F79," ")</f>
        <v>65</v>
      </c>
      <c r="F54" s="51" t="str">
        <f ca="1">IF(AND(INT('模拟-模拟计算'!B79)&lt;='模拟-模拟计算'!$C$2,'模拟-模拟计算'!B79&gt;0),'模拟-模拟计算'!P79," ")</f>
        <v>命</v>
      </c>
      <c r="G54" s="52">
        <f ca="1">IF(AND(INT('模拟-模拟计算'!B79)&lt;='模拟-模拟计算'!$C$2,'模拟-模拟计算'!B79&gt;0),'模拟-模拟计算'!V79," ")</f>
        <v>22035.73563947</v>
      </c>
      <c r="H54" s="52">
        <f ca="1">IF(AND(INT('模拟-模拟计算'!B79)&lt;='模拟-模拟计算'!$C$2,'模拟-模拟计算'!B79&gt;0),'模拟-模拟计算'!Y79," ")</f>
        <v>37766.088127491479</v>
      </c>
      <c r="I54" s="105">
        <f ca="1">IF(AND(INT('模拟-模拟计算'!B79)&lt;='模拟-模拟计算'!$C$2,'模拟-模拟计算'!B79&gt;0),'模拟-模拟计算'!AA79," ")</f>
        <v>109573.30962628491</v>
      </c>
    </row>
    <row r="55" spans="1:9" x14ac:dyDescent="0.2">
      <c r="A55" s="20">
        <f>INT('模拟-模拟计算'!B80+0.5)</f>
        <v>49</v>
      </c>
      <c r="B55" s="52">
        <f>IF(AND(INT('模拟-模拟计算'!B80)&lt;='模拟-模拟计算'!$C$2,'模拟-模拟计算'!B80&gt;0),'模拟-模拟计算'!B80," ")</f>
        <v>48.892499999999977</v>
      </c>
      <c r="C55" s="51" t="str">
        <f ca="1">IF(AND(INT('模拟-模拟计算'!B80)&lt;='模拟-模拟计算'!$C$2,'模拟-模拟计算'!B80&gt;0),'模拟-模拟计算'!C80," ")</f>
        <v>驱夜断愁</v>
      </c>
      <c r="D55" s="104">
        <f ca="1">IF(AND(INT('模拟-模拟计算'!B80)&lt;='模拟-模拟计算'!$C$2,'模拟-模拟计算'!B80&gt;0),'模拟-模拟计算'!E80," ")</f>
        <v>40</v>
      </c>
      <c r="E55" s="104">
        <f ca="1">IF(AND(INT('模拟-模拟计算'!B80)&lt;='模拟-模拟计算'!$C$2,'模拟-模拟计算'!B80&gt;0),'模拟-模拟计算'!F80," ")</f>
        <v>85</v>
      </c>
      <c r="F55" s="51" t="str">
        <f ca="1">IF(AND(INT('模拟-模拟计算'!B80)&lt;='模拟-模拟计算'!$C$2,'模拟-模拟计算'!B80&gt;0),'模拟-模拟计算'!P80," ")</f>
        <v>识</v>
      </c>
      <c r="G55" s="52">
        <f ca="1">IF(AND(INT('模拟-模拟计算'!B80)&lt;='模拟-模拟计算'!$C$2,'模拟-模拟计算'!B80&gt;0),'模拟-模拟计算'!V80," ")</f>
        <v>15385.018372398006</v>
      </c>
      <c r="H55" s="52">
        <f ca="1">IF(AND(INT('模拟-模拟计算'!B80)&lt;='模拟-模拟计算'!$C$2,'模拟-模拟计算'!B80&gt;0),'模拟-模拟计算'!Y80," ")</f>
        <v>16108.039659492102</v>
      </c>
      <c r="I55" s="105">
        <f ca="1">IF(AND(INT('模拟-模拟计算'!B80)&lt;='模拟-模拟计算'!$C$2,'模拟-模拟计算'!B80&gt;0),'模拟-模拟计算'!AA80," ")</f>
        <v>107835.34698435095</v>
      </c>
    </row>
    <row r="56" spans="1:9" x14ac:dyDescent="0.2">
      <c r="A56" s="20">
        <f>INT('模拟-模拟计算'!B81+0.5)</f>
        <v>50</v>
      </c>
      <c r="B56" s="52">
        <f>IF(AND(INT('模拟-模拟计算'!B81)&lt;='模拟-模拟计算'!$C$2,'模拟-模拟计算'!B81&gt;0),'模拟-模拟计算'!B81," ")</f>
        <v>49.814999999999976</v>
      </c>
      <c r="C56" s="51" t="str">
        <f ca="1">IF(AND(INT('模拟-模拟计算'!B81)&lt;='模拟-模拟计算'!$C$2,'模拟-模拟计算'!B81&gt;0),'模拟-模拟计算'!C81," ")</f>
        <v>烈日斩</v>
      </c>
      <c r="D56" s="104">
        <f ca="1">IF(AND(INT('模拟-模拟计算'!B81)&lt;='模拟-模拟计算'!$C$2,'模拟-模拟计算'!B81&gt;0),'模拟-模拟计算'!E81," ")</f>
        <v>80</v>
      </c>
      <c r="E56" s="104">
        <f ca="1">IF(AND(INT('模拟-模拟计算'!B81)&lt;='模拟-模拟计算'!$C$2,'模拟-模拟计算'!B81&gt;0),'模拟-模拟计算'!F81," ")</f>
        <v>85</v>
      </c>
      <c r="F56" s="51" t="str">
        <f ca="1">IF(AND(INT('模拟-模拟计算'!B81)&lt;='模拟-模拟计算'!$C$2,'模拟-模拟计算'!B81&gt;0),'模拟-模拟计算'!P81," ")</f>
        <v>会</v>
      </c>
      <c r="G56" s="52">
        <f ca="1">IF(AND(INT('模拟-模拟计算'!B81)&lt;='模拟-模拟计算'!$C$2,'模拟-模拟计算'!B81&gt;0),'模拟-模拟计算'!V81," ")</f>
        <v>110503.35617153208</v>
      </c>
      <c r="H56" s="52">
        <f ca="1">IF(AND(INT('模拟-模拟计算'!B81)&lt;='模拟-模拟计算'!$C$2,'模拟-模拟计算'!B81&gt;0),'模拟-模拟计算'!Y81," ")</f>
        <v>126233.70865955357</v>
      </c>
      <c r="I56" s="105">
        <f ca="1">IF(AND(INT('模拟-模拟计算'!B81)&lt;='模拟-模拟计算'!$C$2,'模拟-模拟计算'!B81&gt;0),'模拟-模拟计算'!AA81," ")</f>
        <v>108372.44627304893</v>
      </c>
    </row>
    <row r="57" spans="1:9" x14ac:dyDescent="0.2">
      <c r="A57" s="20">
        <f>INT('模拟-模拟计算'!B82+0.5)</f>
        <v>51</v>
      </c>
      <c r="B57" s="52">
        <f>IF(AND(INT('模拟-模拟计算'!B82)&lt;='模拟-模拟计算'!$C$2,'模拟-模拟计算'!B82&gt;0),'模拟-模拟计算'!B82," ")</f>
        <v>50.737499999999976</v>
      </c>
      <c r="C57" s="51" t="str">
        <f ca="1">IF(AND(INT('模拟-模拟计算'!B82)&lt;='模拟-模拟计算'!$C$2,'模拟-模拟计算'!B82&gt;0),'模拟-模拟计算'!C82," ")</f>
        <v>幽月轮1</v>
      </c>
      <c r="D57" s="104">
        <f ca="1">IF(AND(INT('模拟-模拟计算'!B82)&lt;='模拟-模拟计算'!$C$2,'模拟-模拟计算'!B82&gt;0),'模拟-模拟计算'!E82," ")</f>
        <v>80</v>
      </c>
      <c r="E57" s="104">
        <f ca="1">IF(AND(INT('模拟-模拟计算'!B82)&lt;='模拟-模拟计算'!$C$2,'模拟-模拟计算'!B82&gt;0),'模拟-模拟计算'!F82," ")</f>
        <v>100</v>
      </c>
      <c r="F57" s="51" t="str">
        <f ca="1">IF(AND(INT('模拟-模拟计算'!B82)&lt;='模拟-模拟计算'!$C$2,'模拟-模拟计算'!B82&gt;0),'模拟-模拟计算'!P82," ")</f>
        <v>命</v>
      </c>
      <c r="G57" s="52">
        <f ca="1">IF(AND(INT('模拟-模拟计算'!B82)&lt;='模拟-模拟计算'!$C$2,'模拟-模拟计算'!B82&gt;0),'模拟-模拟计算'!V82," ")</f>
        <v>16939.18703301924</v>
      </c>
      <c r="H57" s="52">
        <f ca="1">IF(AND(INT('模拟-模拟计算'!B82)&lt;='模拟-模拟计算'!$C$2,'模拟-模拟计算'!B82&gt;0),'模拟-模拟计算'!Y82," ")</f>
        <v>17300.697676566288</v>
      </c>
      <c r="I57" s="105">
        <f ca="1">IF(AND(INT('模拟-模拟计算'!B82)&lt;='模拟-模拟计算'!$C$2,'模拟-模拟计算'!B82&gt;0),'模拟-模拟计算'!AA82," ")</f>
        <v>106743.02259213598</v>
      </c>
    </row>
    <row r="58" spans="1:9" x14ac:dyDescent="0.2">
      <c r="A58" s="20">
        <f>INT('模拟-模拟计算'!B83+0.5)</f>
        <v>52</v>
      </c>
      <c r="B58" s="52">
        <f>IF(AND(INT('模拟-模拟计算'!B83)&lt;='模拟-模拟计算'!$C$2,'模拟-模拟计算'!B83&gt;0),'模拟-模拟计算'!B83," ")</f>
        <v>51.659999999999975</v>
      </c>
      <c r="C58" s="51" t="str">
        <f ca="1">IF(AND(INT('模拟-模拟计算'!B83)&lt;='模拟-模拟计算'!$C$2,'模拟-模拟计算'!B83&gt;0),'模拟-模拟计算'!C83," ")</f>
        <v>净世破魔击·月</v>
      </c>
      <c r="D58" s="104">
        <f ca="1">IF(AND(INT('模拟-模拟计算'!B83)&lt;='模拟-模拟计算'!$C$2,'模拟-模拟计算'!B83&gt;0),'模拟-模拟计算'!E83," ")</f>
        <v>100</v>
      </c>
      <c r="E58" s="104">
        <f ca="1">IF(AND(INT('模拟-模拟计算'!B83)&lt;='模拟-模拟计算'!$C$2,'模拟-模拟计算'!B83&gt;0),'模拟-模拟计算'!F83," ")</f>
        <v>20</v>
      </c>
      <c r="F58" s="51" t="str">
        <f ca="1">IF(AND(INT('模拟-模拟计算'!B83)&lt;='模拟-模拟计算'!$C$2,'模拟-模拟计算'!B83&gt;0),'模拟-模拟计算'!P83," ")</f>
        <v>会</v>
      </c>
      <c r="G58" s="52">
        <f ca="1">IF(AND(INT('模拟-模拟计算'!B83)&lt;='模拟-模拟计算'!$C$2,'模拟-模拟计算'!B83&gt;0),'模拟-模拟计算'!V83," ")</f>
        <v>182541.2211190153</v>
      </c>
      <c r="H58" s="52">
        <f ca="1">IF(AND(INT('模拟-模拟计算'!B83)&lt;='模拟-模拟计算'!$C$2,'模拟-模拟计算'!B83&gt;0),'模拟-模拟计算'!Y83," ")</f>
        <v>233767.8076510102</v>
      </c>
      <c r="I58" s="105">
        <f ca="1">IF(AND(INT('模拟-模拟计算'!B83)&lt;='模拟-模拟计算'!$C$2,'模拟-模拟计算'!B83&gt;0),'模拟-模拟计算'!AA83," ")</f>
        <v>109362.01928802767</v>
      </c>
    </row>
    <row r="59" spans="1:9" x14ac:dyDescent="0.2">
      <c r="A59" s="20">
        <f>INT('模拟-模拟计算'!B84+0.5)</f>
        <v>53</v>
      </c>
      <c r="B59" s="52">
        <f>IF(AND(INT('模拟-模拟计算'!B84)&lt;='模拟-模拟计算'!$C$2,'模拟-模拟计算'!B84&gt;0),'模拟-模拟计算'!B84," ")</f>
        <v>52.582499999999975</v>
      </c>
      <c r="C59" s="51" t="str">
        <f ca="1">IF(AND(INT('模拟-模拟计算'!B84)&lt;='模拟-模拟计算'!$C$2,'模拟-模拟计算'!B84&gt;0),'模拟-模拟计算'!C84," ")</f>
        <v>净世破魔击·日</v>
      </c>
      <c r="D59" s="104">
        <f ca="1">IF(AND(INT('模拟-模拟计算'!B84)&lt;='模拟-模拟计算'!$C$2,'模拟-模拟计算'!B84&gt;0),'模拟-模拟计算'!E84," ")</f>
        <v>0</v>
      </c>
      <c r="E59" s="104">
        <f ca="1">IF(AND(INT('模拟-模拟计算'!B84)&lt;='模拟-模拟计算'!$C$2,'模拟-模拟计算'!B84&gt;0),'模拟-模拟计算'!F84," ")</f>
        <v>20</v>
      </c>
      <c r="F59" s="51" t="str">
        <f ca="1">IF(AND(INT('模拟-模拟计算'!B84)&lt;='模拟-模拟计算'!$C$2,'模拟-模拟计算'!B84&gt;0),'模拟-模拟计算'!P84," ")</f>
        <v>会</v>
      </c>
      <c r="G59" s="52">
        <f ca="1">IF(AND(INT('模拟-模拟计算'!B84)&lt;='模拟-模拟计算'!$C$2,'模拟-模拟计算'!B84&gt;0),'模拟-模拟计算'!V84," ")</f>
        <v>204517.60843249681</v>
      </c>
      <c r="H59" s="52">
        <f ca="1">IF(AND(INT('模拟-模拟计算'!B84)&lt;='模拟-模拟计算'!$C$2,'模拟-模拟计算'!B84&gt;0),'模拟-模拟计算'!Y84," ")</f>
        <v>214080.86389444806</v>
      </c>
      <c r="I59" s="105">
        <f ca="1">IF(AND(INT('模拟-模拟计算'!B84)&lt;='模拟-模拟计算'!$C$2,'模拟-模拟计算'!B84&gt;0),'模拟-模拟计算'!AA84," ")</f>
        <v>111514.72030264742</v>
      </c>
    </row>
    <row r="60" spans="1:9" x14ac:dyDescent="0.2">
      <c r="A60" s="20">
        <f>INT('模拟-模拟计算'!B85+0.5)</f>
        <v>54</v>
      </c>
      <c r="B60" s="52">
        <f>IF(AND(INT('模拟-模拟计算'!B85)&lt;='模拟-模拟计算'!$C$2,'模拟-模拟计算'!B85&gt;0),'模拟-模拟计算'!B85," ")</f>
        <v>53.504999999999974</v>
      </c>
      <c r="C60" s="51" t="str">
        <f ca="1">IF(AND(INT('模拟-模拟计算'!B85)&lt;='模拟-模拟计算'!$C$2,'模拟-模拟计算'!B85&gt;0),'模拟-模拟计算'!C85," ")</f>
        <v>赤日轮1</v>
      </c>
      <c r="D60" s="104">
        <f ca="1">IF(AND(INT('模拟-模拟计算'!B85)&lt;='模拟-模拟计算'!$C$2,'模拟-模拟计算'!B85&gt;0),'模拟-模拟计算'!E85," ")</f>
        <v>20</v>
      </c>
      <c r="E60" s="104">
        <f ca="1">IF(AND(INT('模拟-模拟计算'!B85)&lt;='模拟-模拟计算'!$C$2,'模拟-模拟计算'!B85&gt;0),'模拟-模拟计算'!F85," ")</f>
        <v>20</v>
      </c>
      <c r="F60" s="51" t="str">
        <f ca="1">IF(AND(INT('模拟-模拟计算'!B85)&lt;='模拟-模拟计算'!$C$2,'模拟-模拟计算'!B85&gt;0),'模拟-模拟计算'!P85," ")</f>
        <v>会</v>
      </c>
      <c r="G60" s="52">
        <f ca="1">IF(AND(INT('模拟-模拟计算'!B85)&lt;='模拟-模拟计算'!$C$2,'模拟-模拟计算'!B85&gt;0),'模拟-模拟计算'!V85," ")</f>
        <v>56864.156113360666</v>
      </c>
      <c r="H60" s="52">
        <f ca="1">IF(AND(INT('模拟-模拟计算'!B85)&lt;='模拟-模拟计算'!$C$2,'模拟-模拟计算'!B85&gt;0),'模拟-模拟计算'!Y85," ")</f>
        <v>78450.215723940681</v>
      </c>
      <c r="I60" s="105">
        <f ca="1">IF(AND(INT('模拟-模拟计算'!B85)&lt;='模拟-模拟计算'!$C$2,'模拟-模拟计算'!B85&gt;0),'模拟-模拟计算'!AA85," ")</f>
        <v>111058.27485352581</v>
      </c>
    </row>
    <row r="61" spans="1:9" x14ac:dyDescent="0.2">
      <c r="A61" s="20">
        <f>INT('模拟-模拟计算'!B86+0.5)</f>
        <v>54</v>
      </c>
      <c r="B61" s="52">
        <f>IF(AND(INT('模拟-模拟计算'!B86)&lt;='模拟-模拟计算'!$C$2,'模拟-模拟计算'!B86&gt;0),'模拟-模拟计算'!B86," ")</f>
        <v>54.427499999999974</v>
      </c>
      <c r="C61" s="51" t="str">
        <f ca="1">IF(AND(INT('模拟-模拟计算'!B86)&lt;='模拟-模拟计算'!$C$2,'模拟-模拟计算'!B86&gt;0),'模拟-模拟计算'!C86," ")</f>
        <v>银月斩</v>
      </c>
      <c r="D61" s="104">
        <f ca="1">IF(AND(INT('模拟-模拟计算'!B86)&lt;='模拟-模拟计算'!$C$2,'模拟-模拟计算'!B86&gt;0),'模拟-模拟计算'!E86," ")</f>
        <v>20</v>
      </c>
      <c r="E61" s="104">
        <f ca="1">IF(AND(INT('模拟-模拟计算'!B86)&lt;='模拟-模拟计算'!$C$2,'模拟-模拟计算'!B86&gt;0),'模拟-模拟计算'!F86," ")</f>
        <v>65</v>
      </c>
      <c r="F61" s="51" t="str">
        <f ca="1">IF(AND(INT('模拟-模拟计算'!B86)&lt;='模拟-模拟计算'!$C$2,'模拟-模拟计算'!B86&gt;0),'模拟-模拟计算'!P86," ")</f>
        <v>命</v>
      </c>
      <c r="G61" s="52">
        <f ca="1">IF(AND(INT('模拟-模拟计算'!B86)&lt;='模拟-模拟计算'!$C$2,'模拟-模拟计算'!B86&gt;0),'模拟-模拟计算'!V86," ")</f>
        <v>18215.255972688272</v>
      </c>
      <c r="H61" s="52">
        <f ca="1">IF(AND(INT('模拟-模拟计算'!B86)&lt;='模拟-模拟计算'!$C$2,'模拟-模拟计算'!B86&gt;0),'模拟-模拟计算'!Y86," ")</f>
        <v>18576.76661623532</v>
      </c>
      <c r="I61" s="105">
        <f ca="1">IF(AND(INT('模拟-模拟计算'!B86)&lt;='模拟-模拟计算'!$C$2,'模拟-模拟计算'!B86&gt;0),'模拟-模拟计算'!AA86," ")</f>
        <v>109517.24335407899</v>
      </c>
    </row>
    <row r="62" spans="1:9" x14ac:dyDescent="0.2">
      <c r="A62" s="20">
        <f>INT('模拟-模拟计算'!B87+0.5)</f>
        <v>55</v>
      </c>
      <c r="B62" s="52">
        <f>IF(AND(INT('模拟-模拟计算'!B87)&lt;='模拟-模拟计算'!$C$2,'模拟-模拟计算'!B87&gt;0),'模拟-模拟计算'!B87," ")</f>
        <v>55.349999999999973</v>
      </c>
      <c r="C62" s="51" t="str">
        <f ca="1">IF(AND(INT('模拟-模拟计算'!B87)&lt;='模拟-模拟计算'!$C$2,'模拟-模拟计算'!B87&gt;0),'模拟-模拟计算'!C87," ")</f>
        <v>驱夜断愁</v>
      </c>
      <c r="D62" s="104">
        <f ca="1">IF(AND(INT('模拟-模拟计算'!B87)&lt;='模拟-模拟计算'!$C$2,'模拟-模拟计算'!B87&gt;0),'模拟-模拟计算'!E87," ")</f>
        <v>40</v>
      </c>
      <c r="E62" s="104">
        <f ca="1">IF(AND(INT('模拟-模拟计算'!B87)&lt;='模拟-模拟计算'!$C$2,'模拟-模拟计算'!B87&gt;0),'模拟-模拟计算'!F87," ")</f>
        <v>85</v>
      </c>
      <c r="F62" s="51" t="str">
        <f ca="1">IF(AND(INT('模拟-模拟计算'!B87)&lt;='模拟-模拟计算'!$C$2,'模拟-模拟计算'!B87&gt;0),'模拟-模拟计算'!P87," ")</f>
        <v>会</v>
      </c>
      <c r="G62" s="52">
        <f ca="1">IF(AND(INT('模拟-模拟计算'!B87)&lt;='模拟-模拟计算'!$C$2,'模拟-模拟计算'!B87&gt;0),'模拟-模拟计算'!V87," ")</f>
        <v>133079.35569364758</v>
      </c>
      <c r="H62" s="52">
        <f ca="1">IF(AND(INT('模拟-模拟计算'!B87)&lt;='模拟-模拟计算'!$C$2,'模拟-模拟计算'!B87&gt;0),'模拟-模拟计算'!Y87," ")</f>
        <v>155026.92594777467</v>
      </c>
      <c r="I62" s="105">
        <f ca="1">IF(AND(INT('模拟-模拟计算'!B87)&lt;='模拟-模拟计算'!$C$2,'模拟-模拟计算'!B87&gt;0),'模拟-模拟计算'!AA87," ")</f>
        <v>110492.80376877883</v>
      </c>
    </row>
    <row r="63" spans="1:9" x14ac:dyDescent="0.2">
      <c r="A63" s="20">
        <f>INT('模拟-模拟计算'!B88+0.5)</f>
        <v>56</v>
      </c>
      <c r="B63" s="52">
        <f>IF(AND(INT('模拟-模拟计算'!B88)&lt;='模拟-模拟计算'!$C$2,'模拟-模拟计算'!B88&gt;0),'模拟-模拟计算'!B88," ")</f>
        <v>56.272499999999972</v>
      </c>
      <c r="C63" s="51" t="str">
        <f ca="1">IF(AND(INT('模拟-模拟计算'!B88)&lt;='模拟-模拟计算'!$C$2,'模拟-模拟计算'!B88&gt;0),'模拟-模拟计算'!C88," ")</f>
        <v>烈日斩</v>
      </c>
      <c r="D63" s="104">
        <f ca="1">IF(AND(INT('模拟-模拟计算'!B88)&lt;='模拟-模拟计算'!$C$2,'模拟-模拟计算'!B88&gt;0),'模拟-模拟计算'!E88," ")</f>
        <v>80</v>
      </c>
      <c r="E63" s="104">
        <f ca="1">IF(AND(INT('模拟-模拟计算'!B88)&lt;='模拟-模拟计算'!$C$2,'模拟-模拟计算'!B88&gt;0),'模拟-模拟计算'!F88," ")</f>
        <v>85</v>
      </c>
      <c r="F63" s="51" t="str">
        <f ca="1">IF(AND(INT('模拟-模拟计算'!B88)&lt;='模拟-模拟计算'!$C$2,'模拟-模拟计算'!B88&gt;0),'模拟-模拟计算'!P88," ")</f>
        <v>会</v>
      </c>
      <c r="G63" s="52">
        <f ca="1">IF(AND(INT('模拟-模拟计算'!B88)&lt;='模拟-模拟计算'!$C$2,'模拟-模拟计算'!B88&gt;0),'模拟-模拟计算'!V88," ")</f>
        <v>110503.35617153208</v>
      </c>
      <c r="H63" s="52">
        <f ca="1">IF(AND(INT('模拟-模拟计算'!B88)&lt;='模拟-模拟计算'!$C$2,'模拟-模拟计算'!B88&gt;0),'模拟-模拟计算'!Y88," ")</f>
        <v>110864.86681507913</v>
      </c>
      <c r="I63" s="105">
        <f ca="1">IF(AND(INT('模拟-模拟计算'!B88)&lt;='模拟-模拟计算'!$C$2,'模拟-模拟计算'!B88&gt;0),'模拟-模拟计算'!AA88," ")</f>
        <v>110651.58923838442</v>
      </c>
    </row>
    <row r="64" spans="1:9" x14ac:dyDescent="0.2">
      <c r="A64" s="20">
        <f>INT('模拟-模拟计算'!B89+0.5)</f>
        <v>57</v>
      </c>
      <c r="B64" s="52">
        <f>IF(AND(INT('模拟-模拟计算'!B89)&lt;='模拟-模拟计算'!$C$2,'模拟-模拟计算'!B89&gt;0),'模拟-模拟计算'!B89," ")</f>
        <v>57.194999999999972</v>
      </c>
      <c r="C64" s="51" t="str">
        <f ca="1">IF(AND(INT('模拟-模拟计算'!B89)&lt;='模拟-模拟计算'!$C$2,'模拟-模拟计算'!B89&gt;0),'模拟-模拟计算'!C89," ")</f>
        <v>幽月轮1</v>
      </c>
      <c r="D64" s="104">
        <f ca="1">IF(AND(INT('模拟-模拟计算'!B89)&lt;='模拟-模拟计算'!$C$2,'模拟-模拟计算'!B89&gt;0),'模拟-模拟计算'!E89," ")</f>
        <v>80</v>
      </c>
      <c r="E64" s="104">
        <f ca="1">IF(AND(INT('模拟-模拟计算'!B89)&lt;='模拟-模拟计算'!$C$2,'模拟-模拟计算'!B89&gt;0),'模拟-模拟计算'!F89," ")</f>
        <v>100</v>
      </c>
      <c r="F64" s="51" t="str">
        <f ca="1">IF(AND(INT('模拟-模拟计算'!B89)&lt;='模拟-模拟计算'!$C$2,'模拟-模拟计算'!B89&gt;0),'模拟-模拟计算'!P89," ")</f>
        <v>会</v>
      </c>
      <c r="G64" s="52">
        <f ca="1">IF(AND(INT('模拟-模拟计算'!B89)&lt;='模拟-模拟计算'!$C$2,'模拟-模拟计算'!B89&gt;0),'模拟-模拟计算'!V89," ")</f>
        <v>36630.702053185581</v>
      </c>
      <c r="H64" s="52">
        <f ca="1">IF(AND(INT('模拟-模拟计算'!B89)&lt;='模拟-模拟计算'!$C$2,'模拟-模拟计算'!B89&gt;0),'模拟-模拟计算'!Y89," ")</f>
        <v>61255.558523156651</v>
      </c>
      <c r="I64" s="105">
        <f ca="1">IF(AND(INT('模拟-模拟计算'!B89)&lt;='模拟-模拟计算'!$C$2,'模拟-模拟计算'!B89&gt;0),'模拟-模拟计算'!AA89," ")</f>
        <v>109937.88117737816</v>
      </c>
    </row>
    <row r="65" spans="1:9" x14ac:dyDescent="0.2">
      <c r="A65" s="20">
        <f>INT('模拟-模拟计算'!B90+0.5)</f>
        <v>58</v>
      </c>
      <c r="B65" s="52">
        <f>IF(AND(INT('模拟-模拟计算'!B90)&lt;='模拟-模拟计算'!$C$2,'模拟-模拟计算'!B90&gt;0),'模拟-模拟计算'!B90," ")</f>
        <v>58.117499999999971</v>
      </c>
      <c r="C65" s="51" t="str">
        <f ca="1">IF(AND(INT('模拟-模拟计算'!B90)&lt;='模拟-模拟计算'!$C$2,'模拟-模拟计算'!B90&gt;0),'模拟-模拟计算'!C90," ")</f>
        <v>净世破魔击·月</v>
      </c>
      <c r="D65" s="104">
        <f ca="1">IF(AND(INT('模拟-模拟计算'!B90)&lt;='模拟-模拟计算'!$C$2,'模拟-模拟计算'!B90&gt;0),'模拟-模拟计算'!E90," ")</f>
        <v>100</v>
      </c>
      <c r="E65" s="104">
        <f ca="1">IF(AND(INT('模拟-模拟计算'!B90)&lt;='模拟-模拟计算'!$C$2,'模拟-模拟计算'!B90&gt;0),'模拟-模拟计算'!F90," ")</f>
        <v>20</v>
      </c>
      <c r="F65" s="51" t="str">
        <f ca="1">IF(AND(INT('模拟-模拟计算'!B90)&lt;='模拟-模拟计算'!$C$2,'模拟-模拟计算'!B90&gt;0),'模拟-模拟计算'!P90," ")</f>
        <v>命</v>
      </c>
      <c r="G65" s="52">
        <f ca="1">IF(AND(INT('模拟-模拟计算'!B90)&lt;='模拟-模拟计算'!$C$2,'模拟-模拟计算'!B90&gt;0),'模拟-模拟计算'!V90," ")</f>
        <v>84412.793434348554</v>
      </c>
      <c r="H65" s="52">
        <f ca="1">IF(AND(INT('模拟-模拟计算'!B90)&lt;='模拟-模拟计算'!$C$2,'模拟-模拟计算'!B90&gt;0),'模拟-模拟计算'!Y90," ")</f>
        <v>118819.91639706015</v>
      </c>
      <c r="I65" s="105">
        <f ca="1">IF(AND(INT('模拟-模拟计算'!B90)&lt;='模拟-模拟计算'!$C$2,'模拟-模拟计算'!B90&gt;0),'模拟-模拟计算'!AA90," ")</f>
        <v>110237.31286337513</v>
      </c>
    </row>
    <row r="66" spans="1:9" x14ac:dyDescent="0.2">
      <c r="A66" s="20">
        <f>INT('模拟-模拟计算'!B91+0.5)</f>
        <v>59</v>
      </c>
      <c r="B66" s="52">
        <f>IF(AND(INT('模拟-模拟计算'!B91)&lt;='模拟-模拟计算'!$C$2,'模拟-模拟计算'!B91&gt;0),'模拟-模拟计算'!B91," ")</f>
        <v>59.039999999999971</v>
      </c>
      <c r="C66" s="51" t="str">
        <f ca="1">IF(AND(INT('模拟-模拟计算'!B91)&lt;='模拟-模拟计算'!$C$2,'模拟-模拟计算'!B91&gt;0),'模拟-模拟计算'!C91," ")</f>
        <v>净世破魔击·日</v>
      </c>
      <c r="D66" s="104">
        <f ca="1">IF(AND(INT('模拟-模拟计算'!B91)&lt;='模拟-模拟计算'!$C$2,'模拟-模拟计算'!B91&gt;0),'模拟-模拟计算'!E91," ")</f>
        <v>0</v>
      </c>
      <c r="E66" s="104">
        <f ca="1">IF(AND(INT('模拟-模拟计算'!B91)&lt;='模拟-模拟计算'!$C$2,'模拟-模拟计算'!B91&gt;0),'模拟-模拟计算'!F91," ")</f>
        <v>20</v>
      </c>
      <c r="F66" s="51" t="str">
        <f ca="1">IF(AND(INT('模拟-模拟计算'!B91)&lt;='模拟-模拟计算'!$C$2,'模拟-模拟计算'!B91&gt;0),'模拟-模拟计算'!P91," ")</f>
        <v>会</v>
      </c>
      <c r="G66" s="52">
        <f ca="1">IF(AND(INT('模拟-模拟计算'!B91)&lt;='模拟-模拟计算'!$C$2,'模拟-模拟计算'!B91&gt;0),'模拟-模拟计算'!V91," ")</f>
        <v>204517.60843249681</v>
      </c>
      <c r="H66" s="52">
        <f ca="1">IF(AND(INT('模拟-模拟计算'!B91)&lt;='模拟-模拟计算'!$C$2,'模拟-模拟计算'!B91&gt;0),'模拟-模拟计算'!Y91," ")</f>
        <v>240215.86501470394</v>
      </c>
      <c r="I66" s="105">
        <f ca="1">IF(AND(INT('模拟-模拟计算'!B91)&lt;='模拟-模拟计算'!$C$2,'模拟-模拟计算'!B91&gt;0),'模拟-模拟计算'!AA91," ")</f>
        <v>112583.55175054046</v>
      </c>
    </row>
    <row r="67" spans="1:9" x14ac:dyDescent="0.2">
      <c r="A67" s="20">
        <f>INT('模拟-模拟计算'!B92+0.5)</f>
        <v>60</v>
      </c>
      <c r="B67" s="52">
        <f>IF(AND(INT('模拟-模拟计算'!B92)&lt;='模拟-模拟计算'!$C$2,'模拟-模拟计算'!B92&gt;0),'模拟-模拟计算'!B92," ")</f>
        <v>59.96249999999997</v>
      </c>
      <c r="C67" s="51" t="str">
        <f ca="1">IF(AND(INT('模拟-模拟计算'!B92)&lt;='模拟-模拟计算'!$C$2,'模拟-模拟计算'!B92&gt;0),'模拟-模拟计算'!C92," ")</f>
        <v>赤日轮1</v>
      </c>
      <c r="D67" s="104">
        <f ca="1">IF(AND(INT('模拟-模拟计算'!B92)&lt;='模拟-模拟计算'!$C$2,'模拟-模拟计算'!B92&gt;0),'模拟-模拟计算'!E92," ")</f>
        <v>20</v>
      </c>
      <c r="E67" s="104">
        <f ca="1">IF(AND(INT('模拟-模拟计算'!B92)&lt;='模拟-模拟计算'!$C$2,'模拟-模拟计算'!B92&gt;0),'模拟-模拟计算'!F92," ")</f>
        <v>100</v>
      </c>
      <c r="F67" s="51" t="str">
        <f ca="1">IF(AND(INT('模拟-模拟计算'!B92)&lt;='模拟-模拟计算'!$C$2,'模拟-模拟计算'!B92&gt;0),'模拟-模拟计算'!P92," ")</f>
        <v>会</v>
      </c>
      <c r="G67" s="52">
        <f ca="1">IF(AND(INT('模拟-模拟计算'!B92)&lt;='模拟-模拟计算'!$C$2,'模拟-模拟计算'!B92&gt;0),'模拟-模拟计算'!V92," ")</f>
        <v>56864.156113360666</v>
      </c>
      <c r="H67" s="52">
        <f ca="1">IF(AND(INT('模拟-模拟计算'!B92)&lt;='模拟-模拟计算'!$C$2,'模拟-模拟计算'!B92&gt;0),'模拟-模拟计算'!Y92," ")</f>
        <v>57225.666756907711</v>
      </c>
      <c r="I67" s="105">
        <f ca="1">IF(AND(INT('模拟-模拟计算'!B92)&lt;='模拟-模拟计算'!$C$2,'模拟-模拟计算'!B92&gt;0),'模拟-模拟计算'!AA92," ")</f>
        <v>111805.85469433089</v>
      </c>
    </row>
    <row r="68" spans="1:9" x14ac:dyDescent="0.2">
      <c r="A68" s="20">
        <f>INT('模拟-模拟计算'!B93+0.5)</f>
        <v>61</v>
      </c>
      <c r="B68" s="52">
        <f>IF(AND(INT('模拟-模拟计算'!B93)&lt;='模拟-模拟计算'!$C$2,'模拟-模拟计算'!B93&gt;0),'模拟-模拟计算'!B93," ")</f>
        <v>60.88499999999997</v>
      </c>
      <c r="C68" s="51" t="str">
        <f ca="1">IF(AND(INT('模拟-模拟计算'!B93)&lt;='模拟-模拟计算'!$C$2,'模拟-模拟计算'!B93&gt;0),'模拟-模拟计算'!C93," ")</f>
        <v>净世破魔击·月</v>
      </c>
      <c r="D68" s="104">
        <f ca="1">IF(AND(INT('模拟-模拟计算'!B93)&lt;='模拟-模拟计算'!$C$2,'模拟-模拟计算'!B93&gt;0),'模拟-模拟计算'!E93," ")</f>
        <v>100</v>
      </c>
      <c r="E68" s="104">
        <f ca="1">IF(AND(INT('模拟-模拟计算'!B93)&lt;='模拟-模拟计算'!$C$2,'模拟-模拟计算'!B93&gt;0),'模拟-模拟计算'!F93," ")</f>
        <v>20</v>
      </c>
      <c r="F68" s="51" t="str">
        <f ca="1">IF(AND(INT('模拟-模拟计算'!B93)&lt;='模拟-模拟计算'!$C$2,'模拟-模拟计算'!B93&gt;0),'模拟-模拟计算'!P93," ")</f>
        <v>会</v>
      </c>
      <c r="G68" s="52">
        <f ca="1">IF(AND(INT('模拟-模拟计算'!B93)&lt;='模拟-模拟计算'!$C$2,'模拟-模拟计算'!B93&gt;0),'模拟-模拟计算'!V93," ")</f>
        <v>121694.14741267689</v>
      </c>
      <c r="H68" s="52">
        <f ca="1">IF(AND(INT('模拟-模拟计算'!B93)&lt;='模拟-模拟计算'!$C$2,'模拟-模拟计算'!B93&gt;0),'模拟-模拟计算'!Y93," ")</f>
        <v>151236.41778062837</v>
      </c>
      <c r="I68" s="105">
        <f ca="1">IF(AND(INT('模拟-模拟计算'!B93)&lt;='模拟-模拟计算'!$C$2,'模拟-模拟计算'!B93&gt;0),'模拟-模拟计算'!AA93," ")</f>
        <v>112595.79502158897</v>
      </c>
    </row>
    <row r="69" spans="1:9" x14ac:dyDescent="0.2">
      <c r="A69" s="20">
        <f>INT('模拟-模拟计算'!B94+0.5)</f>
        <v>62</v>
      </c>
      <c r="B69" s="52">
        <f>IF(AND(INT('模拟-模拟计算'!B94)&lt;='模拟-模拟计算'!$C$2,'模拟-模拟计算'!B94&gt;0),'模拟-模拟计算'!B94," ")</f>
        <v>61.807499999999969</v>
      </c>
      <c r="C69" s="51" t="str">
        <f ca="1">IF(AND(INT('模拟-模拟计算'!B94)&lt;='模拟-模拟计算'!$C$2,'模拟-模拟计算'!B94&gt;0),'模拟-模拟计算'!C94," ")</f>
        <v>净世破魔击·日</v>
      </c>
      <c r="D69" s="104">
        <f ca="1">IF(AND(INT('模拟-模拟计算'!B94)&lt;='模拟-模拟计算'!$C$2,'模拟-模拟计算'!B94&gt;0),'模拟-模拟计算'!E94," ")</f>
        <v>0</v>
      </c>
      <c r="E69" s="104">
        <f ca="1">IF(AND(INT('模拟-模拟计算'!B94)&lt;='模拟-模拟计算'!$C$2,'模拟-模拟计算'!B94&gt;0),'模拟-模拟计算'!F94," ")</f>
        <v>100</v>
      </c>
      <c r="F69" s="51" t="str">
        <f ca="1">IF(AND(INT('模拟-模拟计算'!B94)&lt;='模拟-模拟计算'!$C$2,'模拟-模拟计算'!B94&gt;0),'模拟-模拟计算'!P94," ")</f>
        <v>命</v>
      </c>
      <c r="G69" s="52">
        <f ca="1">IF(AND(INT('模拟-模拟计算'!B94)&lt;='模拟-模拟计算'!$C$2,'模拟-模拟计算'!B94&gt;0),'模拟-模拟计算'!V94," ")</f>
        <v>63050.243404268018</v>
      </c>
      <c r="H69" s="52">
        <f ca="1">IF(AND(INT('模拟-模拟计算'!B94)&lt;='模拟-模拟计算'!$C$2,'模拟-模拟计算'!B94&gt;0),'模拟-模拟计算'!Y94," ")</f>
        <v>82972.201575681713</v>
      </c>
      <c r="I69" s="105">
        <f ca="1">IF(AND(INT('模拟-模拟计算'!B94)&lt;='模拟-模拟计算'!$C$2,'模拟-模拟计算'!B94&gt;0),'模拟-模拟计算'!AA94," ")</f>
        <v>112257.69010985926</v>
      </c>
    </row>
    <row r="70" spans="1:9" x14ac:dyDescent="0.2">
      <c r="A70" s="20">
        <f>INT('模拟-模拟计算'!B95+0.5)</f>
        <v>63</v>
      </c>
      <c r="B70" s="52">
        <f>IF(AND(INT('模拟-模拟计算'!B95)&lt;='模拟-模拟计算'!$C$2,'模拟-模拟计算'!B95&gt;0),'模拟-模拟计算'!B95," ")</f>
        <v>62.729999999999968</v>
      </c>
      <c r="C70" s="51" t="str">
        <f ca="1">IF(AND(INT('模拟-模拟计算'!B95)&lt;='模拟-模拟计算'!$C$2,'模拟-模拟计算'!B95&gt;0),'模拟-模拟计算'!C95," ")</f>
        <v>净世破魔击·月</v>
      </c>
      <c r="D70" s="104">
        <f ca="1">IF(AND(INT('模拟-模拟计算'!B95)&lt;='模拟-模拟计算'!$C$2,'模拟-模拟计算'!B95&gt;0),'模拟-模拟计算'!E95," ")</f>
        <v>100</v>
      </c>
      <c r="E70" s="104">
        <f ca="1">IF(AND(INT('模拟-模拟计算'!B95)&lt;='模拟-模拟计算'!$C$2,'模拟-模拟计算'!B95&gt;0),'模拟-模拟计算'!F95," ")</f>
        <v>20</v>
      </c>
      <c r="F70" s="51" t="str">
        <f ca="1">IF(AND(INT('模拟-模拟计算'!B95)&lt;='模拟-模拟计算'!$C$2,'模拟-模拟计算'!B95&gt;0),'模拟-模拟计算'!P95," ")</f>
        <v>命</v>
      </c>
      <c r="G70" s="52">
        <f ca="1">IF(AND(INT('模拟-模拟计算'!B95)&lt;='模拟-模拟计算'!$C$2,'模拟-模拟计算'!B95&gt;0),'模拟-模拟计算'!V95," ")</f>
        <v>56275.195622899046</v>
      </c>
      <c r="H70" s="52">
        <f ca="1">IF(AND(INT('模拟-模拟计算'!B95)&lt;='模拟-模拟计算'!$C$2,'模拟-模拟计算'!B95&gt;0),'模拟-模拟计算'!Y95," ")</f>
        <v>85449.76771514806</v>
      </c>
      <c r="I70" s="105">
        <f ca="1">IF(AND(INT('模拟-模拟计算'!B95)&lt;='模拟-模拟计算'!$C$2,'模拟-模拟计算'!B95&gt;0),'模拟-模拟计算'!AA95," ")</f>
        <v>111969.02517424317</v>
      </c>
    </row>
    <row r="71" spans="1:9" x14ac:dyDescent="0.2">
      <c r="A71" s="20">
        <f>INT('模拟-模拟计算'!B96+0.5)</f>
        <v>64</v>
      </c>
      <c r="B71" s="52">
        <f>IF(AND(INT('模拟-模拟计算'!B96)&lt;='模拟-模拟计算'!$C$2,'模拟-模拟计算'!B96&gt;0),'模拟-模拟计算'!B96," ")</f>
        <v>63.652499999999968</v>
      </c>
      <c r="C71" s="51" t="str">
        <f ca="1">IF(AND(INT('模拟-模拟计算'!B96)&lt;='模拟-模拟计算'!$C$2,'模拟-模拟计算'!B96&gt;0),'模拟-模拟计算'!C96," ")</f>
        <v>净世破魔击·日</v>
      </c>
      <c r="D71" s="104">
        <f ca="1">IF(AND(INT('模拟-模拟计算'!B96)&lt;='模拟-模拟计算'!$C$2,'模拟-模拟计算'!B96&gt;0),'模拟-模拟计算'!E96," ")</f>
        <v>0</v>
      </c>
      <c r="E71" s="104">
        <f ca="1">IF(AND(INT('模拟-模拟计算'!B96)&lt;='模拟-模拟计算'!$C$2,'模拟-模拟计算'!B96&gt;0),'模拟-模拟计算'!F96," ")</f>
        <v>100</v>
      </c>
      <c r="F71" s="51" t="str">
        <f ca="1">IF(AND(INT('模拟-模拟计算'!B96)&lt;='模拟-模拟计算'!$C$2,'模拟-模拟计算'!B96&gt;0),'模拟-模拟计算'!P96," ")</f>
        <v>会</v>
      </c>
      <c r="G71" s="52">
        <f ca="1">IF(AND(INT('模拟-模拟计算'!B96)&lt;='模拟-模拟计算'!$C$2,'模拟-模拟计算'!B96&gt;0),'模拟-模拟计算'!V96," ")</f>
        <v>136345.07228833123</v>
      </c>
      <c r="H71" s="52">
        <f ca="1">IF(AND(INT('模拟-模拟计算'!B96)&lt;='模拟-模拟计算'!$C$2,'模拟-模拟计算'!B96&gt;0),'模拟-模拟计算'!Y96," ")</f>
        <v>145908.32775028248</v>
      </c>
      <c r="I71" s="105">
        <f ca="1">IF(AND(INT('模拟-模拟计算'!B96)&lt;='模拟-模拟计算'!$C$2,'模拟-模拟计算'!B96&gt;0),'模拟-模拟计算'!AA96," ")</f>
        <v>112638.54957669466</v>
      </c>
    </row>
    <row r="72" spans="1:9" x14ac:dyDescent="0.2">
      <c r="A72" s="20">
        <f>INT('模拟-模拟计算'!B97+0.5)</f>
        <v>65</v>
      </c>
      <c r="B72" s="52">
        <f>IF(AND(INT('模拟-模拟计算'!B97)&lt;='模拟-模拟计算'!$C$2,'模拟-模拟计算'!B97&gt;0),'模拟-模拟计算'!B97," ")</f>
        <v>64.574999999999974</v>
      </c>
      <c r="C72" s="51" t="str">
        <f ca="1">IF(AND(INT('模拟-模拟计算'!B97)&lt;='模拟-模拟计算'!$C$2,'模拟-模拟计算'!B97&gt;0),'模拟-模拟计算'!C97," ")</f>
        <v>净世破魔击·月</v>
      </c>
      <c r="D72" s="104">
        <f ca="1">IF(AND(INT('模拟-模拟计算'!B97)&lt;='模拟-模拟计算'!$C$2,'模拟-模拟计算'!B97&gt;0),'模拟-模拟计算'!E97," ")</f>
        <v>100</v>
      </c>
      <c r="E72" s="104">
        <f ca="1">IF(AND(INT('模拟-模拟计算'!B97)&lt;='模拟-模拟计算'!$C$2,'模拟-模拟计算'!B97&gt;0),'模拟-模拟计算'!F97," ")</f>
        <v>20</v>
      </c>
      <c r="F72" s="51" t="str">
        <f ca="1">IF(AND(INT('模拟-模拟计算'!B97)&lt;='模拟-模拟计算'!$C$2,'模拟-模拟计算'!B97&gt;0),'模拟-模拟计算'!P97," ")</f>
        <v>命</v>
      </c>
      <c r="G72" s="52">
        <f ca="1">IF(AND(INT('模拟-模拟计算'!B97)&lt;='模拟-模拟计算'!$C$2,'模拟-模拟计算'!B97&gt;0),'模拟-模拟计算'!V97," ")</f>
        <v>56275.195622899046</v>
      </c>
      <c r="H72" s="52">
        <f ca="1">IF(AND(INT('模拟-模拟计算'!B97)&lt;='模拟-模拟计算'!$C$2,'模拟-模拟计算'!B97&gt;0),'模拟-模拟计算'!Y97," ")</f>
        <v>77263.430960202997</v>
      </c>
      <c r="I72" s="105">
        <f ca="1">IF(AND(INT('模拟-模拟计算'!B97)&lt;='模拟-模拟计算'!$C$2,'模拟-模拟计算'!B97&gt;0),'模拟-模拟计算'!AA97," ")</f>
        <v>112225.91882138225</v>
      </c>
    </row>
    <row r="73" spans="1:9" x14ac:dyDescent="0.2">
      <c r="A73" s="20">
        <f>INT('模拟-模拟计算'!B98+0.5)</f>
        <v>65</v>
      </c>
      <c r="B73" s="52">
        <f>IF(AND(INT('模拟-模拟计算'!B98)&lt;='模拟-模拟计算'!$C$2,'模拟-模拟计算'!B98&gt;0),'模拟-模拟计算'!B98," ")</f>
        <v>65.497499999999974</v>
      </c>
      <c r="C73" s="51" t="str">
        <f ca="1">IF(AND(INT('模拟-模拟计算'!B98)&lt;='模拟-模拟计算'!$C$2,'模拟-模拟计算'!B98&gt;0),'模拟-模拟计算'!C98," ")</f>
        <v>净世破魔击·日</v>
      </c>
      <c r="D73" s="104">
        <f ca="1">IF(AND(INT('模拟-模拟计算'!B98)&lt;='模拟-模拟计算'!$C$2,'模拟-模拟计算'!B98&gt;0),'模拟-模拟计算'!E98," ")</f>
        <v>0</v>
      </c>
      <c r="E73" s="104">
        <f ca="1">IF(AND(INT('模拟-模拟计算'!B98)&lt;='模拟-模拟计算'!$C$2,'模拟-模拟计算'!B98&gt;0),'模拟-模拟计算'!F98," ")</f>
        <v>20</v>
      </c>
      <c r="F73" s="51" t="str">
        <f ca="1">IF(AND(INT('模拟-模拟计算'!B98)&lt;='模拟-模拟计算'!$C$2,'模拟-模拟计算'!B98&gt;0),'模拟-模拟计算'!P98," ")</f>
        <v>识</v>
      </c>
      <c r="G73" s="52">
        <f ca="1">IF(AND(INT('模拟-模拟计算'!B98)&lt;='模拟-模拟计算'!$C$2,'模拟-模拟计算'!B98&gt;0),'模拟-模拟计算'!V98," ")</f>
        <v>15762.560851067004</v>
      </c>
      <c r="H73" s="52">
        <f ca="1">IF(AND(INT('模拟-模拟计算'!B98)&lt;='模拟-模拟计算'!$C$2,'模拟-模拟计算'!B98&gt;0),'模拟-模拟计算'!Y98," ")</f>
        <v>25325.816313018266</v>
      </c>
      <c r="I73" s="105">
        <f ca="1">IF(AND(INT('模拟-模拟计算'!B98)&lt;='模拟-模拟计算'!$C$2,'模拟-模拟计算'!B98&gt;0),'模拟-模拟计算'!AA98," ")</f>
        <v>111031.94051992483</v>
      </c>
    </row>
    <row r="74" spans="1:9" x14ac:dyDescent="0.2">
      <c r="A74" s="20">
        <f>INT('模拟-模拟计算'!B99+0.5)</f>
        <v>66</v>
      </c>
      <c r="B74" s="52">
        <f>IF(AND(INT('模拟-模拟计算'!B99)&lt;='模拟-模拟计算'!$C$2,'模拟-模拟计算'!B99&gt;0),'模拟-模拟计算'!B99," ")</f>
        <v>66.419999999999973</v>
      </c>
      <c r="C74" s="51" t="str">
        <f ca="1">IF(AND(INT('模拟-模拟计算'!B99)&lt;='模拟-模拟计算'!$C$2,'模拟-模拟计算'!B99&gt;0),'模拟-模拟计算'!C99," ")</f>
        <v>赤日轮1</v>
      </c>
      <c r="D74" s="104">
        <f ca="1">IF(AND(INT('模拟-模拟计算'!B99)&lt;='模拟-模拟计算'!$C$2,'模拟-模拟计算'!B99&gt;0),'模拟-模拟计算'!E99," ")</f>
        <v>20</v>
      </c>
      <c r="E74" s="104">
        <f ca="1">IF(AND(INT('模拟-模拟计算'!B99)&lt;='模拟-模拟计算'!$C$2,'模拟-模拟计算'!B99&gt;0),'模拟-模拟计算'!F99," ")</f>
        <v>20</v>
      </c>
      <c r="F74" s="51" t="str">
        <f ca="1">IF(AND(INT('模拟-模拟计算'!B99)&lt;='模拟-模拟计算'!$C$2,'模拟-模拟计算'!B99&gt;0),'模拟-模拟计算'!P99," ")</f>
        <v>命</v>
      </c>
      <c r="G74" s="52">
        <f ca="1">IF(AND(INT('模拟-模拟计算'!B99)&lt;='模拟-模拟计算'!$C$2,'模拟-模拟计算'!B99&gt;0),'模拟-模拟计算'!V99," ")</f>
        <v>26295.771631143321</v>
      </c>
      <c r="H74" s="52">
        <f ca="1">IF(AND(INT('模拟-模拟计算'!B99)&lt;='模拟-模拟计算'!$C$2,'模拟-模拟计算'!B99&gt;0),'模拟-模拟计算'!Y99," ")</f>
        <v>38265.174127146551</v>
      </c>
      <c r="I74" s="105">
        <f ca="1">IF(AND(INT('模拟-模拟计算'!B99)&lt;='模拟-模拟计算'!$C$2,'模拟-模拟计算'!B99&gt;0),'模拟-模拟计算'!AA99," ")</f>
        <v>110065.9394509323</v>
      </c>
    </row>
    <row r="75" spans="1:9" x14ac:dyDescent="0.2">
      <c r="A75" s="20">
        <f>INT('模拟-模拟计算'!B100+0.5)</f>
        <v>67</v>
      </c>
      <c r="B75" s="52">
        <f>IF(AND(INT('模拟-模拟计算'!B100)&lt;='模拟-模拟计算'!$C$2,'模拟-模拟计算'!B100&gt;0),'模拟-模拟计算'!B100," ")</f>
        <v>67.342499999999973</v>
      </c>
      <c r="C75" s="51" t="str">
        <f ca="1">IF(AND(INT('模拟-模拟计算'!B100)&lt;='模拟-模拟计算'!$C$2,'模拟-模拟计算'!B100&gt;0),'模拟-模拟计算'!C100," ")</f>
        <v>银月斩</v>
      </c>
      <c r="D75" s="104">
        <f ca="1">IF(AND(INT('模拟-模拟计算'!B100)&lt;='模拟-模拟计算'!$C$2,'模拟-模拟计算'!B100&gt;0),'模拟-模拟计算'!E100," ")</f>
        <v>20</v>
      </c>
      <c r="E75" s="104">
        <f ca="1">IF(AND(INT('模拟-模拟计算'!B100)&lt;='模拟-模拟计算'!$C$2,'模拟-模拟计算'!B100&gt;0),'模拟-模拟计算'!F100," ")</f>
        <v>65</v>
      </c>
      <c r="F75" s="51" t="str">
        <f ca="1">IF(AND(INT('模拟-模拟计算'!B100)&lt;='模拟-模拟计算'!$C$2,'模拟-模拟计算'!B100&gt;0),'模拟-模拟计算'!P100," ")</f>
        <v>会</v>
      </c>
      <c r="G75" s="52">
        <f ca="1">IF(AND(INT('模拟-模拟计算'!B100)&lt;='模拟-模拟计算'!$C$2,'模拟-模拟计算'!B100&gt;0),'模拟-模拟计算'!V100," ")</f>
        <v>41211.704893206668</v>
      </c>
      <c r="H75" s="52">
        <f ca="1">IF(AND(INT('模拟-模拟计算'!B100)&lt;='模拟-模拟计算'!$C$2,'模拟-模拟计算'!B100&gt;0),'模拟-模拟计算'!Y100," ")</f>
        <v>49522.569885960424</v>
      </c>
      <c r="I75" s="105">
        <f ca="1">IF(AND(INT('模拟-模拟计算'!B100)&lt;='模拟-模拟计算'!$C$2,'模拟-模拟计算'!B100&gt;0),'模拟-模拟计算'!AA100," ")</f>
        <v>109293.57045278812</v>
      </c>
    </row>
    <row r="76" spans="1:9" x14ac:dyDescent="0.2">
      <c r="A76" s="20">
        <f>INT('模拟-模拟计算'!B101+0.5)</f>
        <v>68</v>
      </c>
      <c r="B76" s="52">
        <f>IF(AND(INT('模拟-模拟计算'!B101)&lt;='模拟-模拟计算'!$C$2,'模拟-模拟计算'!B101&gt;0),'模拟-模拟计算'!B101," ")</f>
        <v>68.264999999999972</v>
      </c>
      <c r="C76" s="51" t="str">
        <f ca="1">IF(AND(INT('模拟-模拟计算'!B101)&lt;='模拟-模拟计算'!$C$2,'模拟-模拟计算'!B101&gt;0),'模拟-模拟计算'!C101," ")</f>
        <v>驱夜断愁</v>
      </c>
      <c r="D76" s="104">
        <f ca="1">IF(AND(INT('模拟-模拟计算'!B101)&lt;='模拟-模拟计算'!$C$2,'模拟-模拟计算'!B101&gt;0),'模拟-模拟计算'!E101," ")</f>
        <v>40</v>
      </c>
      <c r="E76" s="104">
        <f ca="1">IF(AND(INT('模拟-模拟计算'!B101)&lt;='模拟-模拟计算'!$C$2,'模拟-模拟计算'!B101&gt;0),'模拟-模拟计算'!F101," ")</f>
        <v>85</v>
      </c>
      <c r="F76" s="51" t="str">
        <f ca="1">IF(AND(INT('模拟-模拟计算'!B101)&lt;='模拟-模拟计算'!$C$2,'模拟-模拟计算'!B101&gt;0),'模拟-模拟计算'!P101," ")</f>
        <v>识</v>
      </c>
      <c r="G76" s="52">
        <f ca="1">IF(AND(INT('模拟-模拟计算'!B101)&lt;='模拟-模拟计算'!$C$2,'模拟-模拟计算'!B101&gt;0),'模拟-模拟计算'!V101," ")</f>
        <v>15385.018372398006</v>
      </c>
      <c r="H76" s="52">
        <f ca="1">IF(AND(INT('模拟-模拟计算'!B101)&lt;='模拟-模拟计算'!$C$2,'模拟-模拟计算'!B101&gt;0),'模拟-模拟计算'!Y101," ")</f>
        <v>27715.931511948282</v>
      </c>
      <c r="I76" s="105">
        <f ca="1">IF(AND(INT('模拟-模拟计算'!B101)&lt;='模拟-模拟计算'!$C$2,'模拟-模拟计算'!B101&gt;0),'模拟-模拟计算'!AA101," ")</f>
        <v>108222.63531427279</v>
      </c>
    </row>
    <row r="77" spans="1:9" x14ac:dyDescent="0.2">
      <c r="A77" s="20">
        <f>INT('模拟-模拟计算'!B102+0.5)</f>
        <v>69</v>
      </c>
      <c r="B77" s="52">
        <f>IF(AND(INT('模拟-模拟计算'!B102)&lt;='模拟-模拟计算'!$C$2,'模拟-模拟计算'!B102&gt;0),'模拟-模拟计算'!B102," ")</f>
        <v>69.187499999999972</v>
      </c>
      <c r="C77" s="51" t="str">
        <f ca="1">IF(AND(INT('模拟-模拟计算'!B102)&lt;='模拟-模拟计算'!$C$2,'模拟-模拟计算'!B102&gt;0),'模拟-模拟计算'!C102," ")</f>
        <v>烈日斩</v>
      </c>
      <c r="D77" s="104">
        <f ca="1">IF(AND(INT('模拟-模拟计算'!B102)&lt;='模拟-模拟计算'!$C$2,'模拟-模拟计算'!B102&gt;0),'模拟-模拟计算'!E102," ")</f>
        <v>80</v>
      </c>
      <c r="E77" s="104">
        <f ca="1">IF(AND(INT('模拟-模拟计算'!B102)&lt;='模拟-模拟计算'!$C$2,'模拟-模拟计算'!B102&gt;0),'模拟-模拟计算'!F102," ")</f>
        <v>85</v>
      </c>
      <c r="F77" s="51" t="str">
        <f ca="1">IF(AND(INT('模拟-模拟计算'!B102)&lt;='模拟-模拟计算'!$C$2,'模拟-模拟计算'!B102&gt;0),'模拟-模拟计算'!P102," ")</f>
        <v>会</v>
      </c>
      <c r="G77" s="52">
        <f ca="1">IF(AND(INT('模拟-模拟计算'!B102)&lt;='模拟-模拟计算'!$C$2,'模拟-模拟计算'!B102&gt;0),'模拟-模拟计算'!V102," ")</f>
        <v>110503.35617153208</v>
      </c>
      <c r="H77" s="52">
        <f ca="1">IF(AND(INT('模拟-模拟计算'!B102)&lt;='模拟-模拟计算'!$C$2,'模拟-模拟计算'!B102&gt;0),'模拟-模拟计算'!Y102," ")</f>
        <v>115115.35515079623</v>
      </c>
      <c r="I77" s="105">
        <f ca="1">IF(AND(INT('模拟-模拟计算'!B102)&lt;='模拟-模拟计算'!$C$2,'模拟-模拟计算'!B102&gt;0),'模拟-模拟计算'!AA102," ")</f>
        <v>108443.48408136771</v>
      </c>
    </row>
    <row r="78" spans="1:9" x14ac:dyDescent="0.2">
      <c r="A78" s="20">
        <f>INT('模拟-模拟计算'!B103+0.5)</f>
        <v>70</v>
      </c>
      <c r="B78" s="52">
        <f>IF(AND(INT('模拟-模拟计算'!B103)&lt;='模拟-模拟计算'!$C$2,'模拟-模拟计算'!B103&gt;0),'模拟-模拟计算'!B103," ")</f>
        <v>70.109999999999971</v>
      </c>
      <c r="C78" s="51" t="str">
        <f ca="1">IF(AND(INT('模拟-模拟计算'!B103)&lt;='模拟-模拟计算'!$C$2,'模拟-模拟计算'!B103&gt;0),'模拟-模拟计算'!C103," ")</f>
        <v>幽月轮1</v>
      </c>
      <c r="D78" s="104">
        <f ca="1">IF(AND(INT('模拟-模拟计算'!B103)&lt;='模拟-模拟计算'!$C$2,'模拟-模拟计算'!B103&gt;0),'模拟-模拟计算'!E103," ")</f>
        <v>80</v>
      </c>
      <c r="E78" s="104">
        <f ca="1">IF(AND(INT('模拟-模拟计算'!B103)&lt;='模拟-模拟计算'!$C$2,'模拟-模拟计算'!B103&gt;0),'模拟-模拟计算'!F103," ")</f>
        <v>100</v>
      </c>
      <c r="F78" s="51" t="str">
        <f ca="1">IF(AND(INT('模拟-模拟计算'!B103)&lt;='模拟-模拟计算'!$C$2,'模拟-模拟计算'!B103&gt;0),'模拟-模拟计算'!P103," ")</f>
        <v>会</v>
      </c>
      <c r="G78" s="52">
        <f ca="1">IF(AND(INT('模拟-模拟计算'!B103)&lt;='模拟-模拟计算'!$C$2,'模拟-模拟计算'!B103&gt;0),'模拟-模拟计算'!V103," ")</f>
        <v>38342.417102399864</v>
      </c>
      <c r="H78" s="52">
        <f ca="1">IF(AND(INT('模拟-模拟计算'!B103)&lt;='模拟-模拟计算'!$C$2,'模拟-模拟计算'!B103&gt;0),'模拟-模拟计算'!Y103," ")</f>
        <v>59453.720210198051</v>
      </c>
      <c r="I78" s="105">
        <f ca="1">IF(AND(INT('模拟-模拟计算'!B103)&lt;='模拟-模拟计算'!$C$2,'模拟-模拟计算'!B103&gt;0),'模拟-模拟计算'!AA103," ")</f>
        <v>107864.60241177902</v>
      </c>
    </row>
    <row r="79" spans="1:9" x14ac:dyDescent="0.2">
      <c r="A79" s="20">
        <f>INT('模拟-模拟计算'!B104+0.5)</f>
        <v>71</v>
      </c>
      <c r="B79" s="52">
        <f>IF(AND(INT('模拟-模拟计算'!B104)&lt;='模拟-模拟计算'!$C$2,'模拟-模拟计算'!B104&gt;0),'模拟-模拟计算'!B104," ")</f>
        <v>71.03249999999997</v>
      </c>
      <c r="C79" s="51" t="str">
        <f ca="1">IF(AND(INT('模拟-模拟计算'!B104)&lt;='模拟-模拟计算'!$C$2,'模拟-模拟计算'!B104&gt;0),'模拟-模拟计算'!C104," ")</f>
        <v>净世破魔击·月</v>
      </c>
      <c r="D79" s="104">
        <f ca="1">IF(AND(INT('模拟-模拟计算'!B104)&lt;='模拟-模拟计算'!$C$2,'模拟-模拟计算'!B104&gt;0),'模拟-模拟计算'!E104," ")</f>
        <v>100</v>
      </c>
      <c r="E79" s="104">
        <f ca="1">IF(AND(INT('模拟-模拟计算'!B104)&lt;='模拟-模拟计算'!$C$2,'模拟-模拟计算'!B104&gt;0),'模拟-模拟计算'!F104," ")</f>
        <v>20</v>
      </c>
      <c r="F79" s="51" t="str">
        <f ca="1">IF(AND(INT('模拟-模拟计算'!B104)&lt;='模拟-模拟计算'!$C$2,'模拟-模拟计算'!B104&gt;0),'模拟-模拟计算'!P104," ")</f>
        <v>会</v>
      </c>
      <c r="G79" s="52">
        <f ca="1">IF(AND(INT('模拟-模拟计算'!B104)&lt;='模拟-模拟计算'!$C$2,'模拟-模拟计算'!B104&gt;0),'模拟-模拟计算'!V104," ")</f>
        <v>218035.34744771273</v>
      </c>
      <c r="H79" s="52">
        <f ca="1">IF(AND(INT('模拟-模拟计算'!B104)&lt;='模拟-模拟计算'!$C$2,'模拟-模拟计算'!B104&gt;0),'模拟-模拟计算'!Y104," ")</f>
        <v>235969.72596320801</v>
      </c>
      <c r="I79" s="105">
        <f ca="1">IF(AND(INT('模拟-模拟计算'!B104)&lt;='模拟-模拟计算'!$C$2,'模拟-模拟计算'!B104&gt;0),'模拟-模拟计算'!AA104," ")</f>
        <v>109785.76005424326</v>
      </c>
    </row>
    <row r="80" spans="1:9" x14ac:dyDescent="0.2">
      <c r="A80" s="20">
        <f>INT('模拟-模拟计算'!B105+0.5)</f>
        <v>72</v>
      </c>
      <c r="B80" s="52">
        <f>IF(AND(INT('模拟-模拟计算'!B105)&lt;='模拟-模拟计算'!$C$2,'模拟-模拟计算'!B105&gt;0),'模拟-模拟计算'!B105," ")</f>
        <v>71.95499999999997</v>
      </c>
      <c r="C80" s="51" t="str">
        <f ca="1">IF(AND(INT('模拟-模拟计算'!B105)&lt;='模拟-模拟计算'!$C$2,'模拟-模拟计算'!B105&gt;0),'模拟-模拟计算'!C105," ")</f>
        <v>净世破魔击·日</v>
      </c>
      <c r="D80" s="104">
        <f ca="1">IF(AND(INT('模拟-模拟计算'!B105)&lt;='模拟-模拟计算'!$C$2,'模拟-模拟计算'!B105&gt;0),'模拟-模拟计算'!E105," ")</f>
        <v>0</v>
      </c>
      <c r="E80" s="104">
        <f ca="1">IF(AND(INT('模拟-模拟计算'!B105)&lt;='模拟-模拟计算'!$C$2,'模拟-模拟计算'!B105&gt;0),'模拟-模拟计算'!F105," ")</f>
        <v>100</v>
      </c>
      <c r="F80" s="51" t="str">
        <f ca="1">IF(AND(INT('模拟-模拟计算'!B105)&lt;='模拟-模拟计算'!$C$2,'模拟-模拟计算'!B105&gt;0),'模拟-模拟计算'!P105," ")</f>
        <v>命</v>
      </c>
      <c r="G80" s="52">
        <f ca="1">IF(AND(INT('模拟-模拟计算'!B105)&lt;='模拟-模拟计算'!$C$2,'模拟-模拟计算'!B105&gt;0),'模拟-模拟计算'!V105," ")</f>
        <v>112965.01943264688</v>
      </c>
      <c r="H80" s="52">
        <f ca="1">IF(AND(INT('模拟-模拟计算'!B105)&lt;='模拟-模拟计算'!$C$2,'模拟-模拟计算'!B105&gt;0),'模拟-模拟计算'!Y105," ")</f>
        <v>157906.76329435071</v>
      </c>
      <c r="I80" s="105">
        <f ca="1">IF(AND(INT('模拟-模拟计算'!B105)&lt;='模拟-模拟计算'!$C$2,'模拟-模拟计算'!B105&gt;0),'模拟-模拟计算'!AA105," ")</f>
        <v>110572.77137582358</v>
      </c>
    </row>
    <row r="81" spans="1:9" x14ac:dyDescent="0.2">
      <c r="A81" s="20">
        <f>INT('模拟-模拟计算'!B106+0.5)</f>
        <v>73</v>
      </c>
      <c r="B81" s="52">
        <f>IF(AND(INT('模拟-模拟计算'!B106)&lt;='模拟-模拟计算'!$C$2,'模拟-模拟计算'!B106&gt;0),'模拟-模拟计算'!B106," ")</f>
        <v>72.877499999999969</v>
      </c>
      <c r="C81" s="51" t="str">
        <f ca="1">IF(AND(INT('模拟-模拟计算'!B106)&lt;='模拟-模拟计算'!$C$2,'模拟-模拟计算'!B106&gt;0),'模拟-模拟计算'!C106," ")</f>
        <v>净世破魔击·月</v>
      </c>
      <c r="D81" s="104">
        <f ca="1">IF(AND(INT('模拟-模拟计算'!B106)&lt;='模拟-模拟计算'!$C$2,'模拟-模拟计算'!B106&gt;0),'模拟-模拟计算'!E106," ")</f>
        <v>20</v>
      </c>
      <c r="E81" s="104">
        <f ca="1">IF(AND(INT('模拟-模拟计算'!B106)&lt;='模拟-模拟计算'!$C$2,'模拟-模拟计算'!B106&gt;0),'模拟-模拟计算'!F106," ")</f>
        <v>20</v>
      </c>
      <c r="F81" s="51" t="str">
        <f ca="1">IF(AND(INT('模拟-模拟计算'!B106)&lt;='模拟-模拟计算'!$C$2,'模拟-模拟计算'!B106&gt;0),'模拟-模拟计算'!P106," ")</f>
        <v>命</v>
      </c>
      <c r="G81" s="52">
        <f ca="1">IF(AND(INT('模拟-模拟计算'!B106)&lt;='模拟-模拟计算'!$C$2,'模拟-模拟计算'!B106&gt;0),'模拟-模拟计算'!V106," ")</f>
        <v>58619.995440519822</v>
      </c>
      <c r="H81" s="52">
        <f ca="1">IF(AND(INT('模拟-模拟计算'!B106)&lt;='模拟-模拟计算'!$C$2,'模拟-模拟计算'!B106&gt;0),'模拟-模拟计算'!Y106," ")</f>
        <v>85803.332794889444</v>
      </c>
      <c r="I81" s="105">
        <f ca="1">IF(AND(INT('模拟-模拟计算'!B106)&lt;='模拟-模拟计算'!$C$2,'模拟-模拟计算'!B106&gt;0),'模拟-模拟计算'!AA106," ")</f>
        <v>110350.47987571302</v>
      </c>
    </row>
    <row r="82" spans="1:9" x14ac:dyDescent="0.2">
      <c r="A82" s="20">
        <f>INT('模拟-模拟计算'!B107+0.5)</f>
        <v>74</v>
      </c>
      <c r="B82" s="52">
        <f>IF(AND(INT('模拟-模拟计算'!B107)&lt;='模拟-模拟计算'!$C$2,'模拟-模拟计算'!B107&gt;0),'模拟-模拟计算'!B107," ")</f>
        <v>73.799999999999969</v>
      </c>
      <c r="C82" s="51" t="str">
        <f ca="1">IF(AND(INT('模拟-模拟计算'!B107)&lt;='模拟-模拟计算'!$C$2,'模拟-模拟计算'!B107&gt;0),'模拟-模拟计算'!C107," ")</f>
        <v>银月斩</v>
      </c>
      <c r="D82" s="104">
        <f ca="1">IF(AND(INT('模拟-模拟计算'!B107)&lt;='模拟-模拟计算'!$C$2,'模拟-模拟计算'!B107&gt;0),'模拟-模拟计算'!E107," ")</f>
        <v>20</v>
      </c>
      <c r="E82" s="104">
        <f ca="1">IF(AND(INT('模拟-模拟计算'!B107)&lt;='模拟-模拟计算'!$C$2,'模拟-模拟计算'!B107&gt;0),'模拟-模拟计算'!F107," ")</f>
        <v>65</v>
      </c>
      <c r="F82" s="51" t="str">
        <f ca="1">IF(AND(INT('模拟-模拟计算'!B107)&lt;='模拟-模拟计算'!$C$2,'模拟-模拟计算'!B107&gt;0),'模拟-模拟计算'!P107," ")</f>
        <v>命</v>
      </c>
      <c r="G82" s="52">
        <f ca="1">IF(AND(INT('模拟-模拟计算'!B107)&lt;='模拟-模拟计算'!$C$2,'模拟-模拟计算'!B107&gt;0),'模拟-模拟计算'!V107," ")</f>
        <v>22028.348372345288</v>
      </c>
      <c r="H82" s="52">
        <f ca="1">IF(AND(INT('模拟-模拟计算'!B107)&lt;='模拟-模拟计算'!$C$2,'模拟-模拟计算'!B107&gt;0),'模拟-模拟计算'!Y107," ")</f>
        <v>47491.726483562306</v>
      </c>
      <c r="I82" s="105">
        <f ca="1">IF(AND(INT('模拟-模拟计算'!B107)&lt;='模拟-模拟计算'!$C$2,'模拟-模拟计算'!B107&gt;0),'模拟-模拟计算'!AA107," ")</f>
        <v>109614.61820631215</v>
      </c>
    </row>
    <row r="83" spans="1:9" x14ac:dyDescent="0.2">
      <c r="A83" s="20">
        <f>INT('模拟-模拟计算'!B108+0.5)</f>
        <v>75</v>
      </c>
      <c r="B83" s="52">
        <f>IF(AND(INT('模拟-模拟计算'!B108)&lt;='模拟-模拟计算'!$C$2,'模拟-模拟计算'!B108&gt;0),'模拟-模拟计算'!B108," ")</f>
        <v>74.722499999999968</v>
      </c>
      <c r="C83" s="51" t="str">
        <f ca="1">IF(AND(INT('模拟-模拟计算'!B108)&lt;='模拟-模拟计算'!$C$2,'模拟-模拟计算'!B108&gt;0),'模拟-模拟计算'!C108," ")</f>
        <v>驱夜断愁</v>
      </c>
      <c r="D83" s="104">
        <f ca="1">IF(AND(INT('模拟-模拟计算'!B108)&lt;='模拟-模拟计算'!$C$2,'模拟-模拟计算'!B108&gt;0),'模拟-模拟计算'!E108," ")</f>
        <v>40</v>
      </c>
      <c r="E83" s="104">
        <f ca="1">IF(AND(INT('模拟-模拟计算'!B108)&lt;='模拟-模拟计算'!$C$2,'模拟-模拟计算'!B108&gt;0),'模拟-模拟计算'!F108," ")</f>
        <v>85</v>
      </c>
      <c r="F83" s="51" t="str">
        <f ca="1">IF(AND(INT('模拟-模拟计算'!B108)&lt;='模拟-模拟计算'!$C$2,'模拟-模拟计算'!B108&gt;0),'模拟-模拟计算'!P108," ")</f>
        <v>会</v>
      </c>
      <c r="G83" s="52">
        <f ca="1">IF(AND(INT('模拟-模拟计算'!B108)&lt;='模拟-模拟计算'!$C$2,'模拟-模拟计算'!B108&gt;0),'模拟-模拟计算'!V108," ")</f>
        <v>133053.91991757337</v>
      </c>
      <c r="H83" s="52">
        <f ca="1">IF(AND(INT('模拟-模拟计算'!B108)&lt;='模拟-模拟计算'!$C$2,'模拟-模拟计算'!B108&gt;0),'模拟-模拟计算'!Y108," ")</f>
        <v>142995.87574329384</v>
      </c>
      <c r="I83" s="105">
        <f ca="1">IF(AND(INT('模拟-模拟计算'!B108)&lt;='模拟-模拟计算'!$C$2,'模拟-模拟计算'!B108&gt;0),'模拟-模拟计算'!AA108," ")</f>
        <v>110175.04365310491</v>
      </c>
    </row>
    <row r="84" spans="1:9" x14ac:dyDescent="0.2">
      <c r="A84" s="20">
        <f>INT('模拟-模拟计算'!B109+0.5)</f>
        <v>76</v>
      </c>
      <c r="B84" s="52">
        <f>IF(AND(INT('模拟-模拟计算'!B109)&lt;='模拟-模拟计算'!$C$2,'模拟-模拟计算'!B109&gt;0),'模拟-模拟计算'!B109," ")</f>
        <v>75.644999999999968</v>
      </c>
      <c r="C84" s="51" t="str">
        <f ca="1">IF(AND(INT('模拟-模拟计算'!B109)&lt;='模拟-模拟计算'!$C$2,'模拟-模拟计算'!B109&gt;0),'模拟-模拟计算'!C109," ")</f>
        <v>烈日斩</v>
      </c>
      <c r="D84" s="104">
        <f ca="1">IF(AND(INT('模拟-模拟计算'!B109)&lt;='模拟-模拟计算'!$C$2,'模拟-模拟计算'!B109&gt;0),'模拟-模拟计算'!E109," ")</f>
        <v>80</v>
      </c>
      <c r="E84" s="104">
        <f ca="1">IF(AND(INT('模拟-模拟计算'!B109)&lt;='模拟-模拟计算'!$C$2,'模拟-模拟计算'!B109&gt;0),'模拟-模拟计算'!F109," ")</f>
        <v>85</v>
      </c>
      <c r="F84" s="51" t="str">
        <f ca="1">IF(AND(INT('模拟-模拟计算'!B109)&lt;='模拟-模拟计算'!$C$2,'模拟-模拟计算'!B109&gt;0),'模拟-模拟计算'!P109," ")</f>
        <v>会</v>
      </c>
      <c r="G84" s="52">
        <f ca="1">IF(AND(INT('模拟-模拟计算'!B109)&lt;='模拟-模拟计算'!$C$2,'模拟-模拟计算'!B109&gt;0),'模拟-模拟计算'!V109," ")</f>
        <v>110129.64280298242</v>
      </c>
      <c r="H84" s="52">
        <f ca="1">IF(AND(INT('模拟-模拟计算'!B109)&lt;='模拟-模拟计算'!$C$2,'模拟-模拟计算'!B109&gt;0),'模拟-模拟计算'!Y109," ")</f>
        <v>135593.02091419944</v>
      </c>
      <c r="I84" s="105">
        <f ca="1">IF(AND(INT('模拟-模拟计算'!B109)&lt;='模拟-模拟计算'!$C$2,'模拟-模拟计算'!B109&gt;0),'模拟-模拟计算'!AA109," ")</f>
        <v>110623.93707823823</v>
      </c>
    </row>
    <row r="85" spans="1:9" x14ac:dyDescent="0.2">
      <c r="A85" s="20">
        <f>INT('模拟-模拟计算'!B110+0.5)</f>
        <v>77</v>
      </c>
      <c r="B85" s="52">
        <f>IF(AND(INT('模拟-模拟计算'!B110)&lt;='模拟-模拟计算'!$C$2,'模拟-模拟计算'!B110&gt;0),'模拟-模拟计算'!B110," ")</f>
        <v>76.567499999999967</v>
      </c>
      <c r="C85" s="51" t="str">
        <f ca="1">IF(AND(INT('模拟-模拟计算'!B110)&lt;='模拟-模拟计算'!$C$2,'模拟-模拟计算'!B110&gt;0),'模拟-模拟计算'!C110," ")</f>
        <v>幽月轮1</v>
      </c>
      <c r="D85" s="104">
        <f ca="1">IF(AND(INT('模拟-模拟计算'!B110)&lt;='模拟-模拟计算'!$C$2,'模拟-模拟计算'!B110&gt;0),'模拟-模拟计算'!E110," ")</f>
        <v>80</v>
      </c>
      <c r="E85" s="104">
        <f ca="1">IF(AND(INT('模拟-模拟计算'!B110)&lt;='模拟-模拟计算'!$C$2,'模拟-模拟计算'!B110&gt;0),'模拟-模拟计算'!F110," ")</f>
        <v>100</v>
      </c>
      <c r="F85" s="51" t="str">
        <f ca="1">IF(AND(INT('模拟-模拟计算'!B110)&lt;='模拟-模拟计算'!$C$2,'模拟-模拟计算'!B110&gt;0),'模拟-模拟计算'!P110," ")</f>
        <v>命</v>
      </c>
      <c r="G85" s="52">
        <f ca="1">IF(AND(INT('模拟-模拟计算'!B110)&lt;='模拟-模拟计算'!$C$2,'模拟-模拟计算'!B110&gt;0),'模拟-模拟计算'!V110," ")</f>
        <v>16984.452800333162</v>
      </c>
      <c r="H85" s="52">
        <f ca="1">IF(AND(INT('模拟-模拟计算'!B110)&lt;='模拟-模拟计算'!$C$2,'模拟-模拟计算'!B110&gt;0),'模拟-模拟计算'!Y110," ")</f>
        <v>24966.550982412478</v>
      </c>
      <c r="I85" s="105">
        <f ca="1">IF(AND(INT('模拟-模拟计算'!B110)&lt;='模拟-模拟计算'!$C$2,'模拟-模拟计算'!B110&gt;0),'模拟-模拟计算'!AA110," ")</f>
        <v>109617.19099181432</v>
      </c>
    </row>
    <row r="86" spans="1:9" x14ac:dyDescent="0.2">
      <c r="A86" s="20">
        <f>INT('模拟-模拟计算'!B111+0.5)</f>
        <v>77</v>
      </c>
      <c r="B86" s="52">
        <f>IF(AND(INT('模拟-模拟计算'!B111)&lt;='模拟-模拟计算'!$C$2,'模拟-模拟计算'!B111&gt;0),'模拟-模拟计算'!B111," ")</f>
        <v>77.489999999999966</v>
      </c>
      <c r="C86" s="51" t="str">
        <f ca="1">IF(AND(INT('模拟-模拟计算'!B111)&lt;='模拟-模拟计算'!$C$2,'模拟-模拟计算'!B111&gt;0),'模拟-模拟计算'!C111," ")</f>
        <v>净世破魔击·月</v>
      </c>
      <c r="D86" s="104">
        <f ca="1">IF(AND(INT('模拟-模拟计算'!B111)&lt;='模拟-模拟计算'!$C$2,'模拟-模拟计算'!B111&gt;0),'模拟-模拟计算'!E111," ")</f>
        <v>100</v>
      </c>
      <c r="E86" s="104">
        <f ca="1">IF(AND(INT('模拟-模拟计算'!B111)&lt;='模拟-模拟计算'!$C$2,'模拟-模拟计算'!B111&gt;0),'模拟-模拟计算'!F111," ")</f>
        <v>20</v>
      </c>
      <c r="F86" s="51" t="str">
        <f ca="1">IF(AND(INT('模拟-模拟计算'!B111)&lt;='模拟-模拟计算'!$C$2,'模拟-模拟计算'!B111&gt;0),'模拟-模拟计算'!P111," ")</f>
        <v>会</v>
      </c>
      <c r="G86" s="52">
        <f ca="1">IF(AND(INT('模拟-模拟计算'!B111)&lt;='模拟-模拟计算'!$C$2,'模拟-模拟计算'!B111&gt;0),'模拟-模拟计算'!V111," ")</f>
        <v>174868.36016214982</v>
      </c>
      <c r="H86" s="52">
        <f ca="1">IF(AND(INT('模拟-模拟计算'!B111)&lt;='模拟-模拟计算'!$C$2,'模拟-模拟计算'!B111&gt;0),'模拟-模拟计算'!Y111," ")</f>
        <v>207971.1900254717</v>
      </c>
      <c r="I86" s="105">
        <f ca="1">IF(AND(INT('模拟-模拟计算'!B111)&lt;='模拟-模拟计算'!$C$2,'模拟-模拟计算'!B111&gt;0),'模拟-模拟计算'!AA111," ")</f>
        <v>110996.06996117195</v>
      </c>
    </row>
    <row r="87" spans="1:9" x14ac:dyDescent="0.2">
      <c r="A87" s="20">
        <f>INT('模拟-模拟计算'!B112+0.5)</f>
        <v>78</v>
      </c>
      <c r="B87" s="52">
        <f>IF(AND(INT('模拟-模拟计算'!B112)&lt;='模拟-模拟计算'!$C$2,'模拟-模拟计算'!B112&gt;0),'模拟-模拟计算'!B112," ")</f>
        <v>78.412499999999966</v>
      </c>
      <c r="C87" s="51" t="str">
        <f ca="1">IF(AND(INT('模拟-模拟计算'!B112)&lt;='模拟-模拟计算'!$C$2,'模拟-模拟计算'!B112&gt;0),'模拟-模拟计算'!C112," ")</f>
        <v>净世破魔击·日</v>
      </c>
      <c r="D87" s="104">
        <f ca="1">IF(AND(INT('模拟-模拟计算'!B112)&lt;='模拟-模拟计算'!$C$2,'模拟-模拟计算'!B112&gt;0),'模拟-模拟计算'!E112," ")</f>
        <v>0</v>
      </c>
      <c r="E87" s="104">
        <f ca="1">IF(AND(INT('模拟-模拟计算'!B112)&lt;='模拟-模拟计算'!$C$2,'模拟-模拟计算'!B112&gt;0),'模拟-模拟计算'!F112," ")</f>
        <v>20</v>
      </c>
      <c r="F87" s="51" t="str">
        <f ca="1">IF(AND(INT('模拟-模拟计算'!B112)&lt;='模拟-模拟计算'!$C$2,'模拟-模拟计算'!B112&gt;0),'模拟-模拟计算'!P112," ")</f>
        <v>命</v>
      </c>
      <c r="G87" s="52">
        <f ca="1">IF(AND(INT('模拟-模拟计算'!B112)&lt;='模拟-模拟计算'!$C$2,'模拟-模拟计算'!B112&gt;0),'模拟-模拟计算'!V112," ")</f>
        <v>94575.365106402023</v>
      </c>
      <c r="H87" s="52">
        <f ca="1">IF(AND(INT('模拟-模拟计算'!B112)&lt;='模拟-模拟计算'!$C$2,'模拟-模拟计算'!B112&gt;0),'模拟-模拟计算'!Y112," ")</f>
        <v>113357.55510697968</v>
      </c>
      <c r="I87" s="105">
        <f ca="1">IF(AND(INT('模拟-模拟计算'!B112)&lt;='模拟-模拟计算'!$C$2,'模拟-模拟计算'!B112&gt;0),'模拟-模拟计算'!AA112," ")</f>
        <v>111135.8905327364</v>
      </c>
    </row>
    <row r="88" spans="1:9" x14ac:dyDescent="0.2">
      <c r="A88" s="20">
        <f>INT('模拟-模拟计算'!B113+0.5)</f>
        <v>79</v>
      </c>
      <c r="B88" s="52">
        <f>IF(AND(INT('模拟-模拟计算'!B113)&lt;='模拟-模拟计算'!$C$2,'模拟-模拟计算'!B113&gt;0),'模拟-模拟计算'!B113," ")</f>
        <v>79.334999999999965</v>
      </c>
      <c r="C88" s="51" t="str">
        <f ca="1">IF(AND(INT('模拟-模拟计算'!B113)&lt;='模拟-模拟计算'!$C$2,'模拟-模拟计算'!B113&gt;0),'模拟-模拟计算'!C113," ")</f>
        <v>赤日轮1</v>
      </c>
      <c r="D88" s="104">
        <f ca="1">IF(AND(INT('模拟-模拟计算'!B113)&lt;='模拟-模拟计算'!$C$2,'模拟-模拟计算'!B113&gt;0),'模拟-模拟计算'!E113," ")</f>
        <v>20</v>
      </c>
      <c r="E88" s="104">
        <f ca="1">IF(AND(INT('模拟-模拟计算'!B113)&lt;='模拟-模拟计算'!$C$2,'模拟-模拟计算'!B113&gt;0),'模拟-模拟计算'!F113," ")</f>
        <v>20</v>
      </c>
      <c r="F88" s="51" t="str">
        <f ca="1">IF(AND(INT('模拟-模拟计算'!B113)&lt;='模拟-模拟计算'!$C$2,'模拟-模拟计算'!B113&gt;0),'模拟-模拟计算'!P113," ")</f>
        <v>命</v>
      </c>
      <c r="G88" s="52">
        <f ca="1">IF(AND(INT('模拟-模拟计算'!B113)&lt;='模拟-模拟计算'!$C$2,'模拟-模拟计算'!B113&gt;0),'模拟-模拟计算'!V113," ")</f>
        <v>26295.771631143321</v>
      </c>
      <c r="H88" s="52">
        <f ca="1">IF(AND(INT('模拟-模拟计算'!B113)&lt;='模拟-模拟计算'!$C$2,'模拟-模拟计算'!B113&gt;0),'模拟-模拟计算'!Y113," ")</f>
        <v>38265.174127146551</v>
      </c>
      <c r="I88" s="105">
        <f ca="1">IF(AND(INT('模拟-模拟计算'!B113)&lt;='模拟-模拟计算'!$C$2,'模拟-模拟计算'!B113&gt;0),'模拟-模拟计算'!AA113," ")</f>
        <v>110325.9367306402</v>
      </c>
    </row>
    <row r="89" spans="1:9" x14ac:dyDescent="0.2">
      <c r="A89" s="20">
        <f>INT('模拟-模拟计算'!B114+0.5)</f>
        <v>80</v>
      </c>
      <c r="B89" s="52">
        <f>IF(AND(INT('模拟-模拟计算'!B114)&lt;='模拟-模拟计算'!$C$2,'模拟-模拟计算'!B114&gt;0),'模拟-模拟计算'!B114," ")</f>
        <v>80.257499999999965</v>
      </c>
      <c r="C89" s="51" t="str">
        <f ca="1">IF(AND(INT('模拟-模拟计算'!B114)&lt;='模拟-模拟计算'!$C$2,'模拟-模拟计算'!B114&gt;0),'模拟-模拟计算'!C114," ")</f>
        <v>银月斩</v>
      </c>
      <c r="D89" s="104">
        <f ca="1">IF(AND(INT('模拟-模拟计算'!B114)&lt;='模拟-模拟计算'!$C$2,'模拟-模拟计算'!B114&gt;0),'模拟-模拟计算'!E114," ")</f>
        <v>20</v>
      </c>
      <c r="E89" s="104">
        <f ca="1">IF(AND(INT('模拟-模拟计算'!B114)&lt;='模拟-模拟计算'!$C$2,'模拟-模拟计算'!B114&gt;0),'模拟-模拟计算'!F114," ")</f>
        <v>65</v>
      </c>
      <c r="F89" s="51" t="str">
        <f ca="1">IF(AND(INT('模拟-模拟计算'!B114)&lt;='模拟-模拟计算'!$C$2,'模拟-模拟计算'!B114&gt;0),'模拟-模拟计算'!P114," ")</f>
        <v>会</v>
      </c>
      <c r="G89" s="52">
        <f ca="1">IF(AND(INT('模拟-模拟计算'!B114)&lt;='模拟-模拟计算'!$C$2,'模拟-模拟计算'!B114&gt;0),'模拟-模拟计算'!V114," ")</f>
        <v>41211.704893206668</v>
      </c>
      <c r="H89" s="52">
        <f ca="1">IF(AND(INT('模拟-模拟计算'!B114)&lt;='模拟-模拟计算'!$C$2,'模拟-模拟计算'!B114&gt;0),'模拟-模拟计算'!Y114," ")</f>
        <v>49522.569885960424</v>
      </c>
      <c r="I89" s="105">
        <f ca="1">IF(AND(INT('模拟-模拟计算'!B114)&lt;='模拟-模拟计算'!$C$2,'模拟-模拟计算'!B114&gt;0),'模拟-模拟计算'!AA114," ")</f>
        <v>109674.86852208579</v>
      </c>
    </row>
    <row r="90" spans="1:9" x14ac:dyDescent="0.2">
      <c r="A90" s="20">
        <f>INT('模拟-模拟计算'!B115+0.5)</f>
        <v>81</v>
      </c>
      <c r="B90" s="52">
        <f>IF(AND(INT('模拟-模拟计算'!B115)&lt;='模拟-模拟计算'!$C$2,'模拟-模拟计算'!B115&gt;0),'模拟-模拟计算'!B115," ")</f>
        <v>81.179999999999964</v>
      </c>
      <c r="C90" s="51" t="str">
        <f ca="1">IF(AND(INT('模拟-模拟计算'!B115)&lt;='模拟-模拟计算'!$C$2,'模拟-模拟计算'!B115&gt;0),'模拟-模拟计算'!C115," ")</f>
        <v>驱夜断愁</v>
      </c>
      <c r="D90" s="104">
        <f ca="1">IF(AND(INT('模拟-模拟计算'!B115)&lt;='模拟-模拟计算'!$C$2,'模拟-模拟计算'!B115&gt;0),'模拟-模拟计算'!E115," ")</f>
        <v>40</v>
      </c>
      <c r="E90" s="104">
        <f ca="1">IF(AND(INT('模拟-模拟计算'!B115)&lt;='模拟-模拟计算'!$C$2,'模拟-模拟计算'!B115&gt;0),'模拟-模拟计算'!F115," ")</f>
        <v>85</v>
      </c>
      <c r="F90" s="51" t="str">
        <f ca="1">IF(AND(INT('模拟-模拟计算'!B115)&lt;='模拟-模拟计算'!$C$2,'模拟-模拟计算'!B115&gt;0),'模拟-模拟计算'!P115," ")</f>
        <v>命</v>
      </c>
      <c r="G90" s="52">
        <f ca="1">IF(AND(INT('模拟-模拟计算'!B115)&lt;='模拟-模拟计算'!$C$2,'模拟-模拟计算'!B115&gt;0),'模拟-模拟计算'!V115," ")</f>
        <v>61540.073489592025</v>
      </c>
      <c r="H90" s="52">
        <f ca="1">IF(AND(INT('模拟-模拟计算'!B115)&lt;='模拟-模拟计算'!$C$2,'模拟-模拟计算'!B115&gt;0),'模拟-模拟计算'!Y115," ")</f>
        <v>73870.986629142295</v>
      </c>
      <c r="I90" s="105">
        <f ca="1">IF(AND(INT('模拟-模拟计算'!B115)&lt;='模拟-模拟计算'!$C$2,'模拟-模拟计算'!B115&gt;0),'模拟-模拟计算'!AA115," ")</f>
        <v>109338.52854201086</v>
      </c>
    </row>
    <row r="91" spans="1:9" x14ac:dyDescent="0.2">
      <c r="A91" s="20">
        <f>INT('模拟-模拟计算'!B116+0.5)</f>
        <v>82</v>
      </c>
      <c r="B91" s="52">
        <f>IF(AND(INT('模拟-模拟计算'!B116)&lt;='模拟-模拟计算'!$C$2,'模拟-模拟计算'!B116&gt;0),'模拟-模拟计算'!B116," ")</f>
        <v>82.102499999999964</v>
      </c>
      <c r="C91" s="51" t="str">
        <f ca="1">IF(AND(INT('模拟-模拟计算'!B116)&lt;='模拟-模拟计算'!$C$2,'模拟-模拟计算'!B116&gt;0),'模拟-模拟计算'!C116," ")</f>
        <v>烈日斩</v>
      </c>
      <c r="D91" s="104">
        <f ca="1">IF(AND(INT('模拟-模拟计算'!B116)&lt;='模拟-模拟计算'!$C$2,'模拟-模拟计算'!B116&gt;0),'模拟-模拟计算'!E116," ")</f>
        <v>80</v>
      </c>
      <c r="E91" s="104">
        <f ca="1">IF(AND(INT('模拟-模拟计算'!B116)&lt;='模拟-模拟计算'!$C$2,'模拟-模拟计算'!B116&gt;0),'模拟-模拟计算'!F116," ")</f>
        <v>85</v>
      </c>
      <c r="F91" s="51" t="str">
        <f ca="1">IF(AND(INT('模拟-模拟计算'!B116)&lt;='模拟-模拟计算'!$C$2,'模拟-模拟计算'!B116&gt;0),'模拟-模拟计算'!P116," ")</f>
        <v>会</v>
      </c>
      <c r="G91" s="52">
        <f ca="1">IF(AND(INT('模拟-模拟计算'!B116)&lt;='模拟-模拟计算'!$C$2,'模拟-模拟计算'!B116&gt;0),'模拟-模拟计算'!V116," ")</f>
        <v>110503.35617153208</v>
      </c>
      <c r="H91" s="52">
        <f ca="1">IF(AND(INT('模拟-模拟计算'!B116)&lt;='模拟-模拟计算'!$C$2,'模拟-模拟计算'!B116&gt;0),'模拟-模拟计算'!Y116," ")</f>
        <v>137515.87247598998</v>
      </c>
      <c r="I91" s="105">
        <f ca="1">IF(AND(INT('模拟-模拟计算'!B116)&lt;='模拟-模拟计算'!$C$2,'模拟-模拟计算'!B116&gt;0),'模拟-模拟计算'!AA116," ")</f>
        <v>109784.93492301002</v>
      </c>
    </row>
    <row r="92" spans="1:9" x14ac:dyDescent="0.2">
      <c r="A92" s="20">
        <f>INT('模拟-模拟计算'!B117+0.5)</f>
        <v>83</v>
      </c>
      <c r="B92" s="52">
        <f>IF(AND(INT('模拟-模拟计算'!B117)&lt;='模拟-模拟计算'!$C$2,'模拟-模拟计算'!B117&gt;0),'模拟-模拟计算'!B117," ")</f>
        <v>83.024999999999963</v>
      </c>
      <c r="C92" s="51" t="str">
        <f ca="1">IF(AND(INT('模拟-模拟计算'!B117)&lt;='模拟-模拟计算'!$C$2,'模拟-模拟计算'!B117&gt;0),'模拟-模拟计算'!C117," ")</f>
        <v>幽月轮1</v>
      </c>
      <c r="D92" s="104">
        <f ca="1">IF(AND(INT('模拟-模拟计算'!B117)&lt;='模拟-模拟计算'!$C$2,'模拟-模拟计算'!B117&gt;0),'模拟-模拟计算'!E117," ")</f>
        <v>80</v>
      </c>
      <c r="E92" s="104">
        <f ca="1">IF(AND(INT('模拟-模拟计算'!B117)&lt;='模拟-模拟计算'!$C$2,'模拟-模拟计算'!B117&gt;0),'模拟-模拟计算'!F117," ")</f>
        <v>100</v>
      </c>
      <c r="F92" s="51" t="str">
        <f ca="1">IF(AND(INT('模拟-模拟计算'!B117)&lt;='模拟-模拟计算'!$C$2,'模拟-模拟计算'!B117&gt;0),'模拟-模拟计算'!P117," ")</f>
        <v>会</v>
      </c>
      <c r="G92" s="52">
        <f ca="1">IF(AND(INT('模拟-模拟计算'!B117)&lt;='模拟-模拟计算'!$C$2,'模拟-模拟计算'!B117&gt;0),'模拟-模拟计算'!V117," ")</f>
        <v>36630.702053185581</v>
      </c>
      <c r="H92" s="52">
        <f ca="1">IF(AND(INT('模拟-模拟计算'!B117)&lt;='模拟-模拟计算'!$C$2,'模拟-模拟计算'!B117&gt;0),'模拟-模拟计算'!Y117," ")</f>
        <v>46587.568388740634</v>
      </c>
      <c r="I92" s="105">
        <f ca="1">IF(AND(INT('模拟-模拟计算'!B117)&lt;='模拟-模拟计算'!$C$2,'模拟-模拟计算'!B117&gt;0),'模拟-模拟计算'!AA117," ")</f>
        <v>109126.22930328421</v>
      </c>
    </row>
    <row r="93" spans="1:9" x14ac:dyDescent="0.2">
      <c r="A93" s="20">
        <f>INT('模拟-模拟计算'!B118+0.5)</f>
        <v>84</v>
      </c>
      <c r="B93" s="52">
        <f>IF(AND(INT('模拟-模拟计算'!B118)&lt;='模拟-模拟计算'!$C$2,'模拟-模拟计算'!B118&gt;0),'模拟-模拟计算'!B118," ")</f>
        <v>83.947499999999962</v>
      </c>
      <c r="C93" s="51" t="str">
        <f ca="1">IF(AND(INT('模拟-模拟计算'!B118)&lt;='模拟-模拟计算'!$C$2,'模拟-模拟计算'!B118&gt;0),'模拟-模拟计算'!C118," ")</f>
        <v>净世破魔击·月</v>
      </c>
      <c r="D93" s="104">
        <f ca="1">IF(AND(INT('模拟-模拟计算'!B118)&lt;='模拟-模拟计算'!$C$2,'模拟-模拟计算'!B118&gt;0),'模拟-模拟计算'!E118," ")</f>
        <v>100</v>
      </c>
      <c r="E93" s="104">
        <f ca="1">IF(AND(INT('模拟-模拟计算'!B118)&lt;='模拟-模拟计算'!$C$2,'模拟-模拟计算'!B118&gt;0),'模拟-模拟计算'!F118," ")</f>
        <v>20</v>
      </c>
      <c r="F93" s="51" t="str">
        <f ca="1">IF(AND(INT('模拟-模拟计算'!B118)&lt;='模拟-模拟计算'!$C$2,'模拟-模拟计算'!B118&gt;0),'模拟-模拟计算'!P118," ")</f>
        <v>会</v>
      </c>
      <c r="G93" s="52">
        <f ca="1">IF(AND(INT('模拟-模拟计算'!B118)&lt;='模拟-模拟计算'!$C$2,'模拟-模拟计算'!B118&gt;0),'模拟-模拟计算'!V118," ")</f>
        <v>182541.2211190153</v>
      </c>
      <c r="H93" s="52">
        <f ca="1">IF(AND(INT('模拟-模拟计算'!B118)&lt;='模拟-模拟计算'!$C$2,'模拟-模拟计算'!B118&gt;0),'模拟-模拟计算'!Y118," ")</f>
        <v>266142.44284369634</v>
      </c>
      <c r="I93" s="105">
        <f ca="1">IF(AND(INT('模拟-模拟计算'!B118)&lt;='模拟-模拟计算'!$C$2,'模拟-模拟计算'!B118&gt;0),'模拟-模拟计算'!AA118," ")</f>
        <v>111097.38385001183</v>
      </c>
    </row>
    <row r="94" spans="1:9" x14ac:dyDescent="0.2">
      <c r="A94" s="20">
        <f>INT('模拟-模拟计算'!B119+0.5)</f>
        <v>85</v>
      </c>
      <c r="B94" s="52">
        <f>IF(AND(INT('模拟-模拟计算'!B119)&lt;='模拟-模拟计算'!$C$2,'模拟-模拟计算'!B119&gt;0),'模拟-模拟计算'!B119," ")</f>
        <v>84.869999999999962</v>
      </c>
      <c r="C94" s="51" t="str">
        <f ca="1">IF(AND(INT('模拟-模拟计算'!B119)&lt;='模拟-模拟计算'!$C$2,'模拟-模拟计算'!B119&gt;0),'模拟-模拟计算'!C119," ")</f>
        <v>净世破魔击·日</v>
      </c>
      <c r="D94" s="104">
        <f ca="1">IF(AND(INT('模拟-模拟计算'!B119)&lt;='模拟-模拟计算'!$C$2,'模拟-模拟计算'!B119&gt;0),'模拟-模拟计算'!E119," ")</f>
        <v>0</v>
      </c>
      <c r="E94" s="104">
        <f ca="1">IF(AND(INT('模拟-模拟计算'!B119)&lt;='模拟-模拟计算'!$C$2,'模拟-模拟计算'!B119&gt;0),'模拟-模拟计算'!F119," ")</f>
        <v>20</v>
      </c>
      <c r="F94" s="51" t="str">
        <f ca="1">IF(AND(INT('模拟-模拟计算'!B119)&lt;='模拟-模拟计算'!$C$2,'模拟-模拟计算'!B119&gt;0),'模拟-模拟计算'!P119," ")</f>
        <v>会</v>
      </c>
      <c r="G94" s="52">
        <f ca="1">IF(AND(INT('模拟-模拟计算'!B119)&lt;='模拟-模拟计算'!$C$2,'模拟-模拟计算'!B119&gt;0),'模拟-模拟计算'!V119," ")</f>
        <v>204517.60843249681</v>
      </c>
      <c r="H94" s="52">
        <f ca="1">IF(AND(INT('模拟-模拟计算'!B119)&lt;='模拟-模拟计算'!$C$2,'模拟-模拟计算'!B119&gt;0),'模拟-模拟计算'!Y119," ")</f>
        <v>235965.37667898685</v>
      </c>
      <c r="I94" s="105">
        <f ca="1">IF(AND(INT('模拟-模拟计算'!B119)&lt;='模拟-模拟计算'!$C$2,'模拟-模拟计算'!B119&gt;0),'模拟-模拟计算'!AA119," ")</f>
        <v>112670.11909305827</v>
      </c>
    </row>
    <row r="95" spans="1:9" x14ac:dyDescent="0.2">
      <c r="A95" s="20">
        <f>INT('模拟-模拟计算'!B120+0.5)</f>
        <v>86</v>
      </c>
      <c r="B95" s="52">
        <f>IF(AND(INT('模拟-模拟计算'!B120)&lt;='模拟-模拟计算'!$C$2,'模拟-模拟计算'!B120&gt;0),'模拟-模拟计算'!B120," ")</f>
        <v>85.792499999999961</v>
      </c>
      <c r="C95" s="51" t="str">
        <f ca="1">IF(AND(INT('模拟-模拟计算'!B120)&lt;='模拟-模拟计算'!$C$2,'模拟-模拟计算'!B120&gt;0),'模拟-模拟计算'!C120," ")</f>
        <v>赤日轮1</v>
      </c>
      <c r="D95" s="104">
        <f ca="1">IF(AND(INT('模拟-模拟计算'!B120)&lt;='模拟-模拟计算'!$C$2,'模拟-模拟计算'!B120&gt;0),'模拟-模拟计算'!E120," ")</f>
        <v>20</v>
      </c>
      <c r="E95" s="104">
        <f ca="1">IF(AND(INT('模拟-模拟计算'!B120)&lt;='模拟-模拟计算'!$C$2,'模拟-模拟计算'!B120&gt;0),'模拟-模拟计算'!F120," ")</f>
        <v>20</v>
      </c>
      <c r="F95" s="51" t="str">
        <f ca="1">IF(AND(INT('模拟-模拟计算'!B120)&lt;='模拟-模拟计算'!$C$2,'模拟-模拟计算'!B120&gt;0),'模拟-模拟计算'!P120," ")</f>
        <v>命</v>
      </c>
      <c r="G95" s="52">
        <f ca="1">IF(AND(INT('模拟-模拟计算'!B120)&lt;='模拟-模拟计算'!$C$2,'模拟-模拟计算'!B120&gt;0),'模拟-模拟计算'!V120," ")</f>
        <v>26295.771631143321</v>
      </c>
      <c r="H95" s="52">
        <f ca="1">IF(AND(INT('模拟-模拟计算'!B120)&lt;='模拟-模拟计算'!$C$2,'模拟-模拟计算'!B120&gt;0),'模拟-模拟计算'!Y120," ")</f>
        <v>36273.939389267158</v>
      </c>
      <c r="I95" s="105">
        <f ca="1">IF(AND(INT('模拟-模拟计算'!B120)&lt;='模拟-模拟计算'!$C$2,'模拟-模拟计算'!B120&gt;0),'模拟-模拟计算'!AA120," ")</f>
        <v>111881.42258142756</v>
      </c>
    </row>
    <row r="96" spans="1:9" x14ac:dyDescent="0.2">
      <c r="A96" s="20">
        <f>INT('模拟-模拟计算'!B121+0.5)</f>
        <v>87</v>
      </c>
      <c r="B96" s="52">
        <f>IF(AND(INT('模拟-模拟计算'!B121)&lt;='模拟-模拟计算'!$C$2,'模拟-模拟计算'!B121&gt;0),'模拟-模拟计算'!B121," ")</f>
        <v>86.714999999999961</v>
      </c>
      <c r="C96" s="51" t="str">
        <f ca="1">IF(AND(INT('模拟-模拟计算'!B121)&lt;='模拟-模拟计算'!$C$2,'模拟-模拟计算'!B121&gt;0),'模拟-模拟计算'!C121," ")</f>
        <v>银月斩</v>
      </c>
      <c r="D96" s="104">
        <f ca="1">IF(AND(INT('模拟-模拟计算'!B121)&lt;='模拟-模拟计算'!$C$2,'模拟-模拟计算'!B121&gt;0),'模拟-模拟计算'!E121," ")</f>
        <v>20</v>
      </c>
      <c r="E96" s="104">
        <f ca="1">IF(AND(INT('模拟-模拟计算'!B121)&lt;='模拟-模拟计算'!$C$2,'模拟-模拟计算'!B121&gt;0),'模拟-模拟计算'!F121," ")</f>
        <v>65</v>
      </c>
      <c r="F96" s="51" t="str">
        <f ca="1">IF(AND(INT('模拟-模拟计算'!B121)&lt;='模拟-模拟计算'!$C$2,'模拟-模拟计算'!B121&gt;0),'模拟-模拟计算'!P121," ")</f>
        <v>会</v>
      </c>
      <c r="G96" s="52">
        <f ca="1">IF(AND(INT('模拟-模拟计算'!B121)&lt;='模拟-模拟计算'!$C$2,'模拟-模拟计算'!B121&gt;0),'模拟-模拟计算'!V121," ")</f>
        <v>41211.704893206668</v>
      </c>
      <c r="H96" s="52">
        <f ca="1">IF(AND(INT('模拟-模拟计算'!B121)&lt;='模拟-模拟计算'!$C$2,'模拟-模拟计算'!B121&gt;0),'模拟-模拟计算'!Y121," ")</f>
        <v>51168.571228761721</v>
      </c>
      <c r="I96" s="105">
        <f ca="1">IF(AND(INT('模拟-模拟计算'!B121)&lt;='模拟-模拟计算'!$C$2,'模拟-模拟计算'!B121&gt;0),'模拟-模拟计算'!AA121," ")</f>
        <v>111281.27219103828</v>
      </c>
    </row>
    <row r="97" spans="1:9" x14ac:dyDescent="0.2">
      <c r="A97" s="20">
        <f>INT('模拟-模拟计算'!B122+0.5)</f>
        <v>88</v>
      </c>
      <c r="B97" s="52">
        <f>IF(AND(INT('模拟-模拟计算'!B122)&lt;='模拟-模拟计算'!$C$2,'模拟-模拟计算'!B122&gt;0),'模拟-模拟计算'!B122," ")</f>
        <v>87.63749999999996</v>
      </c>
      <c r="C97" s="51" t="str">
        <f ca="1">IF(AND(INT('模拟-模拟计算'!B122)&lt;='模拟-模拟计算'!$C$2,'模拟-模拟计算'!B122&gt;0),'模拟-模拟计算'!C122," ")</f>
        <v>驱夜断愁</v>
      </c>
      <c r="D97" s="104">
        <f ca="1">IF(AND(INT('模拟-模拟计算'!B122)&lt;='模拟-模拟计算'!$C$2,'模拟-模拟计算'!B122&gt;0),'模拟-模拟计算'!E122," ")</f>
        <v>40</v>
      </c>
      <c r="E97" s="104">
        <f ca="1">IF(AND(INT('模拟-模拟计算'!B122)&lt;='模拟-模拟计算'!$C$2,'模拟-模拟计算'!B122&gt;0),'模拟-模拟计算'!F122," ")</f>
        <v>85</v>
      </c>
      <c r="F97" s="51" t="str">
        <f ca="1">IF(AND(INT('模拟-模拟计算'!B122)&lt;='模拟-模拟计算'!$C$2,'模拟-模拟计算'!B122&gt;0),'模拟-模拟计算'!P122," ")</f>
        <v>会</v>
      </c>
      <c r="G97" s="52">
        <f ca="1">IF(AND(INT('模拟-模拟计算'!B122)&lt;='模拟-模拟计算'!$C$2,'模拟-模拟计算'!B122&gt;0),'模拟-模拟计算'!V122," ")</f>
        <v>133079.35569364758</v>
      </c>
      <c r="H97" s="52">
        <f ca="1">IF(AND(INT('模拟-模拟计算'!B122)&lt;='模拟-模拟计算'!$C$2,'模拟-模拟计算'!B122&gt;0),'模拟-模拟计算'!Y122," ")</f>
        <v>143419.03409531846</v>
      </c>
      <c r="I97" s="105">
        <f ca="1">IF(AND(INT('模拟-模拟计算'!B122)&lt;='模拟-模拟计算'!$C$2,'模拟-模拟计算'!B122&gt;0),'模拟-模拟计算'!AA122," ")</f>
        <v>111746.39340626105</v>
      </c>
    </row>
    <row r="98" spans="1:9" x14ac:dyDescent="0.2">
      <c r="A98" s="20">
        <f>INT('模拟-模拟计算'!B123+0.5)</f>
        <v>89</v>
      </c>
      <c r="B98" s="52">
        <f>IF(AND(INT('模拟-模拟计算'!B123)&lt;='模拟-模拟计算'!$C$2,'模拟-模拟计算'!B123&gt;0),'模拟-模拟计算'!B123," ")</f>
        <v>88.55999999999996</v>
      </c>
      <c r="C98" s="51" t="str">
        <f ca="1">IF(AND(INT('模拟-模拟计算'!B123)&lt;='模拟-模拟计算'!$C$2,'模拟-模拟计算'!B123&gt;0),'模拟-模拟计算'!C123," ")</f>
        <v>烈日斩</v>
      </c>
      <c r="D98" s="104">
        <f ca="1">IF(AND(INT('模拟-模拟计算'!B123)&lt;='模拟-模拟计算'!$C$2,'模拟-模拟计算'!B123&gt;0),'模拟-模拟计算'!E123," ")</f>
        <v>80</v>
      </c>
      <c r="E98" s="104">
        <f ca="1">IF(AND(INT('模拟-模拟计算'!B123)&lt;='模拟-模拟计算'!$C$2,'模拟-模拟计算'!B123&gt;0),'模拟-模拟计算'!F123," ")</f>
        <v>85</v>
      </c>
      <c r="F98" s="51" t="str">
        <f ca="1">IF(AND(INT('模拟-模拟计算'!B123)&lt;='模拟-模拟计算'!$C$2,'模拟-模拟计算'!B123&gt;0),'模拟-模拟计算'!P123," ")</f>
        <v>会</v>
      </c>
      <c r="G98" s="52">
        <f ca="1">IF(AND(INT('模拟-模拟计算'!B123)&lt;='模拟-模拟计算'!$C$2,'模拟-模拟计算'!B123&gt;0),'模拟-模拟计算'!V123," ")</f>
        <v>110503.35617153208</v>
      </c>
      <c r="H98" s="52">
        <f ca="1">IF(AND(INT('模拟-模拟计算'!B123)&lt;='模拟-模拟计算'!$C$2,'模拟-模拟计算'!B123&gt;0),'模拟-模拟计算'!Y123," ")</f>
        <v>122472.75866753531</v>
      </c>
      <c r="I98" s="105">
        <f ca="1">IF(AND(INT('模拟-模拟计算'!B123)&lt;='模拟-模拟计算'!$C$2,'模拟-模拟计算'!B123&gt;0),'模拟-模拟计算'!AA123," ")</f>
        <v>111965.30387092073</v>
      </c>
    </row>
    <row r="99" spans="1:9" x14ac:dyDescent="0.2">
      <c r="A99" s="20">
        <f>INT('模拟-模拟计算'!B124+0.5)</f>
        <v>89</v>
      </c>
      <c r="B99" s="52">
        <f>IF(AND(INT('模拟-模拟计算'!B124)&lt;='模拟-模拟计算'!$C$2,'模拟-模拟计算'!B124&gt;0),'模拟-模拟计算'!B124," ")</f>
        <v>89.482499999999959</v>
      </c>
      <c r="C99" s="51" t="str">
        <f ca="1">IF(AND(INT('模拟-模拟计算'!B124)&lt;='模拟-模拟计算'!$C$2,'模拟-模拟计算'!B124&gt;0),'模拟-模拟计算'!C124," ")</f>
        <v>幽月轮1</v>
      </c>
      <c r="D99" s="104">
        <f ca="1">IF(AND(INT('模拟-模拟计算'!B124)&lt;='模拟-模拟计算'!$C$2,'模拟-模拟计算'!B124&gt;0),'模拟-模拟计算'!E124," ")</f>
        <v>80</v>
      </c>
      <c r="E99" s="104">
        <f ca="1">IF(AND(INT('模拟-模拟计算'!B124)&lt;='模拟-模拟计算'!$C$2,'模拟-模拟计算'!B124&gt;0),'模拟-模拟计算'!F124," ")</f>
        <v>100</v>
      </c>
      <c r="F99" s="51" t="str">
        <f ca="1">IF(AND(INT('模拟-模拟计算'!B124)&lt;='模拟-模拟计算'!$C$2,'模拟-模拟计算'!B124&gt;0),'模拟-模拟计算'!P124," ")</f>
        <v>会</v>
      </c>
      <c r="G99" s="52">
        <f ca="1">IF(AND(INT('模拟-模拟计算'!B124)&lt;='模拟-模拟计算'!$C$2,'模拟-模拟计算'!B124&gt;0),'模拟-模拟计算'!V124," ")</f>
        <v>36630.702053185581</v>
      </c>
      <c r="H99" s="52">
        <f ca="1">IF(AND(INT('模拟-模拟计算'!B124)&lt;='模拟-模拟计算'!$C$2,'模拟-模拟计算'!B124&gt;0),'模拟-模拟计算'!Y124," ")</f>
        <v>44941.567045939337</v>
      </c>
      <c r="I99" s="105">
        <f ca="1">IF(AND(INT('模拟-模拟计算'!B124)&lt;='模拟-模拟计算'!$C$2,'模拟-模拟计算'!B124&gt;0),'模拟-模拟计算'!AA124," ")</f>
        <v>111313.26100471801</v>
      </c>
    </row>
    <row r="100" spans="1:9" x14ac:dyDescent="0.2">
      <c r="A100" s="20">
        <f>INT('模拟-模拟计算'!B125+0.5)</f>
        <v>90</v>
      </c>
      <c r="B100" s="52">
        <f>IF(AND(INT('模拟-模拟计算'!B125)&lt;='模拟-模拟计算'!$C$2,'模拟-模拟计算'!B125&gt;0),'模拟-模拟计算'!B125," ")</f>
        <v>90.404999999999959</v>
      </c>
      <c r="C100" s="51" t="str">
        <f ca="1">IF(AND(INT('模拟-模拟计算'!B125)&lt;='模拟-模拟计算'!$C$2,'模拟-模拟计算'!B125&gt;0),'模拟-模拟计算'!C125," ")</f>
        <v>净世破魔击·月</v>
      </c>
      <c r="D100" s="104">
        <f ca="1">IF(AND(INT('模拟-模拟计算'!B125)&lt;='模拟-模拟计算'!$C$2,'模拟-模拟计算'!B125&gt;0),'模拟-模拟计算'!E125," ")</f>
        <v>100</v>
      </c>
      <c r="E100" s="104">
        <f ca="1">IF(AND(INT('模拟-模拟计算'!B125)&lt;='模拟-模拟计算'!$C$2,'模拟-模拟计算'!B125&gt;0),'模拟-模拟计算'!F125," ")</f>
        <v>20</v>
      </c>
      <c r="F100" s="51" t="str">
        <f ca="1">IF(AND(INT('模拟-模拟计算'!B125)&lt;='模拟-模拟计算'!$C$2,'模拟-模拟计算'!B125&gt;0),'模拟-模拟计算'!P125," ")</f>
        <v>会</v>
      </c>
      <c r="G100" s="52">
        <f ca="1">IF(AND(INT('模拟-模拟计算'!B125)&lt;='模拟-模拟计算'!$C$2,'模拟-模拟计算'!B125&gt;0),'模拟-模拟计算'!V125," ")</f>
        <v>174868.36016214982</v>
      </c>
      <c r="H100" s="52">
        <f ca="1">IF(AND(INT('模拟-模拟计算'!B125)&lt;='模拟-模拟计算'!$C$2,'模拟-模拟计算'!B125&gt;0),'模拟-模拟计算'!Y125," ")</f>
        <v>207971.1900254717</v>
      </c>
      <c r="I100" s="105">
        <f ca="1">IF(AND(INT('模拟-模拟计算'!B125)&lt;='模拟-模拟计算'!$C$2,'模拟-模拟计算'!B125&gt;0),'模拟-模拟计算'!AA125," ")</f>
        <v>112477.85042730105</v>
      </c>
    </row>
    <row r="101" spans="1:9" x14ac:dyDescent="0.2">
      <c r="A101" s="20">
        <f>INT('模拟-模拟计算'!B126+0.5)</f>
        <v>91</v>
      </c>
      <c r="B101" s="52">
        <f>IF(AND(INT('模拟-模拟计算'!B126)&lt;='模拟-模拟计算'!$C$2,'模拟-模拟计算'!B126&gt;0),'模拟-模拟计算'!B126," ")</f>
        <v>91.327499999999958</v>
      </c>
      <c r="C101" s="51" t="str">
        <f ca="1">IF(AND(INT('模拟-模拟计算'!B126)&lt;='模拟-模拟计算'!$C$2,'模拟-模拟计算'!B126&gt;0),'模拟-模拟计算'!C126," ")</f>
        <v>净世破魔击·日</v>
      </c>
      <c r="D101" s="104">
        <f ca="1">IF(AND(INT('模拟-模拟计算'!B126)&lt;='模拟-模拟计算'!$C$2,'模拟-模拟计算'!B126&gt;0),'模拟-模拟计算'!E126," ")</f>
        <v>0</v>
      </c>
      <c r="E101" s="104">
        <f ca="1">IF(AND(INT('模拟-模拟计算'!B126)&lt;='模拟-模拟计算'!$C$2,'模拟-模拟计算'!B126&gt;0),'模拟-模拟计算'!F126," ")</f>
        <v>20</v>
      </c>
      <c r="F101" s="51" t="str">
        <f ca="1">IF(AND(INT('模拟-模拟计算'!B126)&lt;='模拟-模拟计算'!$C$2,'模拟-模拟计算'!B126&gt;0),'模拟-模拟计算'!P126," ")</f>
        <v>会</v>
      </c>
      <c r="G101" s="52">
        <f ca="1">IF(AND(INT('模拟-模拟计算'!B126)&lt;='模拟-模拟计算'!$C$2,'模拟-模拟计算'!B126&gt;0),'模拟-模拟计算'!V126," ")</f>
        <v>195915.814886668</v>
      </c>
      <c r="H101" s="52">
        <f ca="1">IF(AND(INT('模拟-模拟计算'!B126)&lt;='模拟-模拟计算'!$C$2,'模拟-模拟计算'!B126&gt;0),'模拟-模拟计算'!Y126," ")</f>
        <v>214743.77301289982</v>
      </c>
      <c r="I101" s="105">
        <f ca="1">IF(AND(INT('模拟-模拟计算'!B126)&lt;='模拟-模拟计算'!$C$2,'模拟-模拟计算'!B126&gt;0),'模拟-模拟计算'!AA126," ")</f>
        <v>113693.06989562894</v>
      </c>
    </row>
    <row r="102" spans="1:9" x14ac:dyDescent="0.2">
      <c r="A102" s="20">
        <f>INT('模拟-模拟计算'!B127+0.5)</f>
        <v>92</v>
      </c>
      <c r="B102" s="52">
        <f>IF(AND(INT('模拟-模拟计算'!B127)&lt;='模拟-模拟计算'!$C$2,'模拟-模拟计算'!B127&gt;0),'模拟-模拟计算'!B127," ")</f>
        <v>92.249999999999957</v>
      </c>
      <c r="C102" s="51" t="str">
        <f ca="1">IF(AND(INT('模拟-模拟计算'!B127)&lt;='模拟-模拟计算'!$C$2,'模拟-模拟计算'!B127&gt;0),'模拟-模拟计算'!C127," ")</f>
        <v>赤日轮1</v>
      </c>
      <c r="D102" s="104">
        <f ca="1">IF(AND(INT('模拟-模拟计算'!B127)&lt;='模拟-模拟计算'!$C$2,'模拟-模拟计算'!B127&gt;0),'模拟-模拟计算'!E127," ")</f>
        <v>20</v>
      </c>
      <c r="E102" s="104">
        <f ca="1">IF(AND(INT('模拟-模拟计算'!B127)&lt;='模拟-模拟计算'!$C$2,'模拟-模拟计算'!B127&gt;0),'模拟-模拟计算'!F127," ")</f>
        <v>20</v>
      </c>
      <c r="F102" s="51" t="str">
        <f ca="1">IF(AND(INT('模拟-模拟计算'!B127)&lt;='模拟-模拟计算'!$C$2,'模拟-模拟计算'!B127&gt;0),'模拟-模拟计算'!P127," ")</f>
        <v>会</v>
      </c>
      <c r="G102" s="52">
        <f ca="1">IF(AND(INT('模拟-模拟计算'!B127)&lt;='模拟-模拟计算'!$C$2,'模拟-模拟计算'!B127&gt;0),'模拟-模拟计算'!V127," ")</f>
        <v>54482.562593809358</v>
      </c>
      <c r="H102" s="52">
        <f ca="1">IF(AND(INT('模拟-模拟计算'!B127)&lt;='模拟-模拟计算'!$C$2,'模拟-模拟计算'!B127&gt;0),'模拟-模拟计算'!Y127," ")</f>
        <v>65962.42674611375</v>
      </c>
      <c r="I102" s="105">
        <f ca="1">IF(AND(INT('模拟-模拟计算'!B127)&lt;='模拟-模拟计算'!$C$2,'模拟-模拟计算'!B127&gt;0),'模拟-模拟计算'!AA127," ")</f>
        <v>113271.17905299908</v>
      </c>
    </row>
    <row r="103" spans="1:9" x14ac:dyDescent="0.2">
      <c r="A103" s="20">
        <f>INT('模拟-模拟计算'!B128+0.5)</f>
        <v>93</v>
      </c>
      <c r="B103" s="52">
        <f>IF(AND(INT('模拟-模拟计算'!B128)&lt;='模拟-模拟计算'!$C$2,'模拟-模拟计算'!B128&gt;0),'模拟-模拟计算'!B128," ")</f>
        <v>93.172499999999957</v>
      </c>
      <c r="C103" s="51" t="str">
        <f ca="1">IF(AND(INT('模拟-模拟计算'!B128)&lt;='模拟-模拟计算'!$C$2,'模拟-模拟计算'!B128&gt;0),'模拟-模拟计算'!C128," ")</f>
        <v>银月斩</v>
      </c>
      <c r="D103" s="104">
        <f ca="1">IF(AND(INT('模拟-模拟计算'!B128)&lt;='模拟-模拟计算'!$C$2,'模拟-模拟计算'!B128&gt;0),'模拟-模拟计算'!E128," ")</f>
        <v>20</v>
      </c>
      <c r="E103" s="104">
        <f ca="1">IF(AND(INT('模拟-模拟计算'!B128)&lt;='模拟-模拟计算'!$C$2,'模拟-模拟计算'!B128&gt;0),'模拟-模拟计算'!F128," ")</f>
        <v>65</v>
      </c>
      <c r="F103" s="51" t="str">
        <f ca="1">IF(AND(INT('模拟-模拟计算'!B128)&lt;='模拟-模拟计算'!$C$2,'模拟-模拟计算'!B128&gt;0),'模拟-模拟计算'!P128," ")</f>
        <v>会</v>
      </c>
      <c r="G103" s="52">
        <f ca="1">IF(AND(INT('模拟-模拟计算'!B128)&lt;='模拟-模拟计算'!$C$2,'模拟-模拟计算'!B128&gt;0),'模拟-模拟计算'!V128," ")</f>
        <v>39481.310356797861</v>
      </c>
      <c r="H103" s="52">
        <f ca="1">IF(AND(INT('模拟-模拟计算'!B128)&lt;='模拟-模拟计算'!$C$2,'模拟-模拟计算'!B128&gt;0),'模拟-模拟计算'!Y128," ")</f>
        <v>47463.408538877171</v>
      </c>
      <c r="I103" s="105">
        <f ca="1">IF(AND(INT('模拟-模拟计算'!B128)&lt;='模拟-模拟计算'!$C$2,'模拟-模拟计算'!B128&gt;0),'模拟-模拟计算'!AA128," ")</f>
        <v>112659.09658083708</v>
      </c>
    </row>
    <row r="104" spans="1:9" x14ac:dyDescent="0.2">
      <c r="A104" s="20">
        <f>INT('模拟-模拟计算'!B129+0.5)</f>
        <v>94</v>
      </c>
      <c r="B104" s="52">
        <f>IF(AND(INT('模拟-模拟计算'!B129)&lt;='模拟-模拟计算'!$C$2,'模拟-模拟计算'!B129&gt;0),'模拟-模拟计算'!B129," ")</f>
        <v>94.094999999999956</v>
      </c>
      <c r="C104" s="51" t="str">
        <f ca="1">IF(AND(INT('模拟-模拟计算'!B129)&lt;='模拟-模拟计算'!$C$2,'模拟-模拟计算'!B129&gt;0),'模拟-模拟计算'!C129," ")</f>
        <v>驱夜断愁</v>
      </c>
      <c r="D104" s="104">
        <f ca="1">IF(AND(INT('模拟-模拟计算'!B129)&lt;='模拟-模拟计算'!$C$2,'模拟-模拟计算'!B129&gt;0),'模拟-模拟计算'!E129," ")</f>
        <v>40</v>
      </c>
      <c r="E104" s="104">
        <f ca="1">IF(AND(INT('模拟-模拟计算'!B129)&lt;='模拟-模拟计算'!$C$2,'模拟-模拟计算'!B129&gt;0),'模拟-模拟计算'!F129," ")</f>
        <v>85</v>
      </c>
      <c r="F104" s="51" t="str">
        <f ca="1">IF(AND(INT('模拟-模拟计算'!B129)&lt;='模拟-模拟计算'!$C$2,'模拟-模拟计算'!B129&gt;0),'模拟-模拟计算'!P129," ")</f>
        <v>会</v>
      </c>
      <c r="G104" s="52">
        <f ca="1">IF(AND(INT('模拟-模拟计算'!B129)&lt;='模拟-模拟计算'!$C$2,'模拟-模拟计算'!B129&gt;0),'模拟-模拟计算'!V129," ")</f>
        <v>127463.41908070058</v>
      </c>
      <c r="H104" s="52">
        <f ca="1">IF(AND(INT('模拟-模拟计算'!B129)&lt;='模拟-模拟计算'!$C$2,'模拟-模拟计算'!B129&gt;0),'模拟-模拟计算'!Y129," ")</f>
        <v>152229.68954541994</v>
      </c>
      <c r="I104" s="105">
        <f ca="1">IF(AND(INT('模拟-模拟计算'!B129)&lt;='模拟-模拟计算'!$C$2,'模拟-模拟计算'!B129&gt;0),'模拟-模拟计算'!AA129," ")</f>
        <v>113172.42537566781</v>
      </c>
    </row>
    <row r="105" spans="1:9" x14ac:dyDescent="0.2">
      <c r="A105" s="20">
        <f>INT('模拟-模拟计算'!B130+0.5)</f>
        <v>95</v>
      </c>
      <c r="B105" s="52">
        <f>IF(AND(INT('模拟-模拟计算'!B130)&lt;='模拟-模拟计算'!$C$2,'模拟-模拟计算'!B130&gt;0),'模拟-模拟计算'!B130," ")</f>
        <v>95.017499999999956</v>
      </c>
      <c r="C105" s="51" t="str">
        <f ca="1">IF(AND(INT('模拟-模拟计算'!B130)&lt;='模拟-模拟计算'!$C$2,'模拟-模拟计算'!B130&gt;0),'模拟-模拟计算'!C130," ")</f>
        <v>烈日斩</v>
      </c>
      <c r="D105" s="104">
        <f ca="1">IF(AND(INT('模拟-模拟计算'!B130)&lt;='模拟-模拟计算'!$C$2,'模拟-模拟计算'!B130&gt;0),'模拟-模拟计算'!E130," ")</f>
        <v>80</v>
      </c>
      <c r="E105" s="104">
        <f ca="1">IF(AND(INT('模拟-模拟计算'!B130)&lt;='模拟-模拟计算'!$C$2,'模拟-模拟计算'!B130&gt;0),'模拟-模拟计算'!F130," ")</f>
        <v>85</v>
      </c>
      <c r="F105" s="51" t="str">
        <f ca="1">IF(AND(INT('模拟-模拟计算'!B130)&lt;='模拟-模拟计算'!$C$2,'模拟-模拟计算'!B130&gt;0),'模拟-模拟计算'!P130," ")</f>
        <v>会</v>
      </c>
      <c r="G105" s="52">
        <f ca="1">IF(AND(INT('模拟-模拟计算'!B130)&lt;='模拟-模拟计算'!$C$2,'模拟-模拟计算'!B130&gt;0),'模拟-模拟计算'!V130," ")</f>
        <v>110503.35617153208</v>
      </c>
      <c r="H105" s="52">
        <f ca="1">IF(AND(INT('模拟-模拟计算'!B130)&lt;='模拟-模拟计算'!$C$2,'模拟-模拟计算'!B130&gt;0),'模拟-模拟计算'!Y130," ")</f>
        <v>120083.80135370552</v>
      </c>
      <c r="I105" s="105">
        <f ca="1">IF(AND(INT('模拟-模拟计算'!B130)&lt;='模拟-模拟计算'!$C$2,'模拟-模拟计算'!B130&gt;0),'模拟-模拟计算'!AA130," ")</f>
        <v>113337.47117191221</v>
      </c>
    </row>
    <row r="106" spans="1:9" x14ac:dyDescent="0.2">
      <c r="A106" s="20">
        <f>INT('模拟-模拟计算'!B131+0.5)</f>
        <v>96</v>
      </c>
      <c r="B106" s="52">
        <f>IF(AND(INT('模拟-模拟计算'!B131)&lt;='模拟-模拟计算'!$C$2,'模拟-模拟计算'!B131&gt;0),'模拟-模拟计算'!B131," ")</f>
        <v>95.939999999999955</v>
      </c>
      <c r="C106" s="51" t="str">
        <f ca="1">IF(AND(INT('模拟-模拟计算'!B131)&lt;='模拟-模拟计算'!$C$2,'模拟-模拟计算'!B131&gt;0),'模拟-模拟计算'!C131," ")</f>
        <v>幽月轮1</v>
      </c>
      <c r="D106" s="104">
        <f ca="1">IF(AND(INT('模拟-模拟计算'!B131)&lt;='模拟-模拟计算'!$C$2,'模拟-模拟计算'!B131&gt;0),'模拟-模拟计算'!E131," ")</f>
        <v>80</v>
      </c>
      <c r="E106" s="104">
        <f ca="1">IF(AND(INT('模拟-模拟计算'!B131)&lt;='模拟-模拟计算'!$C$2,'模拟-模拟计算'!B131&gt;0),'模拟-模拟计算'!F131," ")</f>
        <v>100</v>
      </c>
      <c r="F106" s="51" t="str">
        <f ca="1">IF(AND(INT('模拟-模拟计算'!B131)&lt;='模拟-模拟计算'!$C$2,'模拟-模拟计算'!B131&gt;0),'模拟-模拟计算'!P131," ")</f>
        <v>会</v>
      </c>
      <c r="G106" s="52">
        <f ca="1">IF(AND(INT('模拟-模拟计算'!B131)&lt;='模拟-模拟计算'!$C$2,'模拟-模拟计算'!B131&gt;0),'模拟-模拟计算'!V131," ")</f>
        <v>36630.702053185581</v>
      </c>
      <c r="H106" s="52">
        <f ca="1">IF(AND(INT('模拟-模拟计算'!B131)&lt;='模拟-模拟计算'!$C$2,'模拟-模拟计算'!B131&gt;0),'模拟-模拟计算'!Y131," ")</f>
        <v>46182.904510719323</v>
      </c>
      <c r="I106" s="105">
        <f ca="1">IF(AND(INT('模拟-模拟计算'!B131)&lt;='模拟-模拟计算'!$C$2,'模拟-模拟计算'!B131&gt;0),'模拟-模拟计算'!AA131," ")</f>
        <v>112729.06057523335</v>
      </c>
    </row>
    <row r="107" spans="1:9" x14ac:dyDescent="0.2">
      <c r="A107" s="20">
        <f>INT('模拟-模拟计算'!B132+0.5)</f>
        <v>97</v>
      </c>
      <c r="B107" s="52">
        <f>IF(AND(INT('模拟-模拟计算'!B132)&lt;='模拟-模拟计算'!$C$2,'模拟-模拟计算'!B132&gt;0),'模拟-模拟计算'!B132," ")</f>
        <v>96.862499999999955</v>
      </c>
      <c r="C107" s="51" t="str">
        <f ca="1">IF(AND(INT('模拟-模拟计算'!B132)&lt;='模拟-模拟计算'!$C$2,'模拟-模拟计算'!B132&gt;0),'模拟-模拟计算'!C132," ")</f>
        <v>净世破魔击·月</v>
      </c>
      <c r="D107" s="104">
        <f ca="1">IF(AND(INT('模拟-模拟计算'!B132)&lt;='模拟-模拟计算'!$C$2,'模拟-模拟计算'!B132&gt;0),'模拟-模拟计算'!E132," ")</f>
        <v>100</v>
      </c>
      <c r="E107" s="104">
        <f ca="1">IF(AND(INT('模拟-模拟计算'!B132)&lt;='模拟-模拟计算'!$C$2,'模拟-模拟计算'!B132&gt;0),'模拟-模拟计算'!F132," ")</f>
        <v>20</v>
      </c>
      <c r="F107" s="51" t="str">
        <f ca="1">IF(AND(INT('模拟-模拟计算'!B132)&lt;='模拟-模拟计算'!$C$2,'模拟-模拟计算'!B132&gt;0),'模拟-模拟计算'!P132," ")</f>
        <v>会</v>
      </c>
      <c r="G107" s="52">
        <f ca="1">IF(AND(INT('模拟-模拟计算'!B132)&lt;='模拟-模拟计算'!$C$2,'模拟-模拟计算'!B132&gt;0),'模拟-模拟计算'!V132," ")</f>
        <v>212964.75797218451</v>
      </c>
      <c r="H107" s="52">
        <f ca="1">IF(AND(INT('模拟-模拟计算'!B132)&lt;='模拟-模拟计算'!$C$2,'模拟-模拟计算'!B132&gt;0),'模拟-模拟计算'!Y132," ")</f>
        <v>239750.37275060374</v>
      </c>
      <c r="I107" s="105">
        <f ca="1">IF(AND(INT('模拟-模拟计算'!B132)&lt;='模拟-模拟计算'!$C$2,'模拟-模拟计算'!B132&gt;0),'模拟-模拟计算'!AA132," ")</f>
        <v>114130.61240767576</v>
      </c>
    </row>
    <row r="108" spans="1:9" x14ac:dyDescent="0.2">
      <c r="A108" s="20">
        <f>INT('模拟-模拟计算'!B133+0.5)</f>
        <v>98</v>
      </c>
      <c r="B108" s="52">
        <f>IF(AND(INT('模拟-模拟计算'!B133)&lt;='模拟-模拟计算'!$C$2,'模拟-模拟计算'!B133&gt;0),'模拟-模拟计算'!B133," ")</f>
        <v>97.784999999999954</v>
      </c>
      <c r="C108" s="51" t="str">
        <f ca="1">IF(AND(INT('模拟-模拟计算'!B133)&lt;='模拟-模拟计算'!$C$2,'模拟-模拟计算'!B133&gt;0),'模拟-模拟计算'!C133," ")</f>
        <v>净世破魔击·日</v>
      </c>
      <c r="D108" s="104">
        <f ca="1">IF(AND(INT('模拟-模拟计算'!B133)&lt;='模拟-模拟计算'!$C$2,'模拟-模拟计算'!B133&gt;0),'模拟-模拟计算'!E133," ")</f>
        <v>0</v>
      </c>
      <c r="E108" s="104">
        <f ca="1">IF(AND(INT('模拟-模拟计算'!B133)&lt;='模拟-模拟计算'!$C$2,'模拟-模拟计算'!B133&gt;0),'模拟-模拟计算'!F133," ")</f>
        <v>100</v>
      </c>
      <c r="F108" s="51" t="str">
        <f ca="1">IF(AND(INT('模拟-模拟计算'!B133)&lt;='模拟-模拟计算'!$C$2,'模拟-模拟计算'!B133&gt;0),'模拟-模拟计算'!P133," ")</f>
        <v>命</v>
      </c>
      <c r="G108" s="52">
        <f ca="1">IF(AND(INT('模拟-模拟计算'!B133)&lt;='模拟-模拟计算'!$C$2,'模拟-模拟计算'!B133&gt;0),'模拟-模拟计算'!V133," ")</f>
        <v>110337.92595746904</v>
      </c>
      <c r="H108" s="52">
        <f ca="1">IF(AND(INT('模拟-模拟计算'!B133)&lt;='模拟-模拟计算'!$C$2,'模拟-模拟计算'!B133&gt;0),'模拟-模拟计算'!Y133," ")</f>
        <v>141785.69420395908</v>
      </c>
      <c r="I108" s="105">
        <f ca="1">IF(AND(INT('模拟-模拟计算'!B133)&lt;='模拟-模拟计算'!$C$2,'模拟-模拟计算'!B133&gt;0),'模拟-模拟计算'!AA133," ")</f>
        <v>114503.88238014473</v>
      </c>
    </row>
    <row r="109" spans="1:9" x14ac:dyDescent="0.2">
      <c r="A109" s="20">
        <f>INT('模拟-模拟计算'!B134+0.5)</f>
        <v>99</v>
      </c>
      <c r="B109" s="52">
        <f>IF(AND(INT('模拟-模拟计算'!B134)&lt;='模拟-模拟计算'!$C$2,'模拟-模拟计算'!B134&gt;0),'模拟-模拟计算'!B134," ")</f>
        <v>98.707499999999953</v>
      </c>
      <c r="C109" s="51" t="str">
        <f ca="1">IF(AND(INT('模拟-模拟计算'!B134)&lt;='模拟-模拟计算'!$C$2,'模拟-模拟计算'!B134&gt;0),'模拟-模拟计算'!C134," ")</f>
        <v>净世破魔击·月</v>
      </c>
      <c r="D109" s="104">
        <f ca="1">IF(AND(INT('模拟-模拟计算'!B134)&lt;='模拟-模拟计算'!$C$2,'模拟-模拟计算'!B134&gt;0),'模拟-模拟计算'!E134," ")</f>
        <v>100</v>
      </c>
      <c r="E109" s="104">
        <f ca="1">IF(AND(INT('模拟-模拟计算'!B134)&lt;='模拟-模拟计算'!$C$2,'模拟-模拟计算'!B134&gt;0),'模拟-模拟计算'!F134," ")</f>
        <v>20</v>
      </c>
      <c r="F109" s="51" t="str">
        <f ca="1">IF(AND(INT('模拟-模拟计算'!B134)&lt;='模拟-模拟计算'!$C$2,'模拟-模拟计算'!B134&gt;0),'模拟-模拟计算'!P134," ")</f>
        <v>会</v>
      </c>
      <c r="G109" s="52">
        <f ca="1">IF(AND(INT('模拟-模拟计算'!B134)&lt;='模拟-模拟计算'!$C$2,'模拟-模拟计算'!B134&gt;0),'模拟-模拟计算'!V134," ")</f>
        <v>121694.14741267689</v>
      </c>
      <c r="H109" s="52">
        <f ca="1">IF(AND(INT('模拟-模拟计算'!B134)&lt;='模拟-模拟计算'!$C$2,'模拟-模拟计算'!B134&gt;0),'模拟-模拟计算'!Y134," ")</f>
        <v>131030.54331912535</v>
      </c>
      <c r="I109" s="105">
        <f ca="1">IF(AND(INT('模拟-模拟计算'!B134)&lt;='模拟-模拟计算'!$C$2,'模拟-模拟计算'!B134&gt;0),'模拟-模拟计算'!AA134," ")</f>
        <v>114761.21552933239</v>
      </c>
    </row>
    <row r="110" spans="1:9" x14ac:dyDescent="0.2">
      <c r="A110" s="20">
        <f>INT('模拟-模拟计算'!B135+0.5)</f>
        <v>100</v>
      </c>
      <c r="B110" s="52">
        <f>IF(AND(INT('模拟-模拟计算'!B135)&lt;='模拟-模拟计算'!$C$2,'模拟-模拟计算'!B135&gt;0),'模拟-模拟计算'!B135," ")</f>
        <v>99.629999999999953</v>
      </c>
      <c r="C110" s="51" t="str">
        <f ca="1">IF(AND(INT('模拟-模拟计算'!B135)&lt;='模拟-模拟计算'!$C$2,'模拟-模拟计算'!B135&gt;0),'模拟-模拟计算'!C135," ")</f>
        <v>净世破魔击·日</v>
      </c>
      <c r="D110" s="104">
        <f ca="1">IF(AND(INT('模拟-模拟计算'!B135)&lt;='模拟-模拟计算'!$C$2,'模拟-模拟计算'!B135&gt;0),'模拟-模拟计算'!E135," ")</f>
        <v>0</v>
      </c>
      <c r="E110" s="104">
        <f ca="1">IF(AND(INT('模拟-模拟计算'!B135)&lt;='模拟-模拟计算'!$C$2,'模拟-模拟计算'!B135&gt;0),'模拟-模拟计算'!F135," ")</f>
        <v>100</v>
      </c>
      <c r="F110" s="51" t="str">
        <f ca="1">IF(AND(INT('模拟-模拟计算'!B135)&lt;='模拟-模拟计算'!$C$2,'模拟-模拟计算'!B135&gt;0),'模拟-模拟计算'!P135," ")</f>
        <v>会</v>
      </c>
      <c r="G110" s="52">
        <f ca="1">IF(AND(INT('模拟-模拟计算'!B135)&lt;='模拟-模拟计算'!$C$2,'模拟-模拟计算'!B135&gt;0),'模拟-模拟计算'!V135," ")</f>
        <v>136345.07228833123</v>
      </c>
      <c r="H110" s="52">
        <f ca="1">IF(AND(INT('模拟-模拟计算'!B135)&lt;='模拟-模拟计算'!$C$2,'模拟-模拟计算'!B135&gt;0),'模拟-模拟计算'!Y135," ")</f>
        <v>157516.21960273868</v>
      </c>
      <c r="I110" s="105">
        <f ca="1">IF(AND(INT('模拟-模拟计算'!B135)&lt;='模拟-模拟计算'!$C$2,'模拟-模拟计算'!B135&gt;0),'模拟-模拟计算'!AA135," ")</f>
        <v>115279.62362204473</v>
      </c>
    </row>
    <row r="111" spans="1:9" x14ac:dyDescent="0.2">
      <c r="A111" s="20">
        <f>INT('模拟-模拟计算'!B136+0.5)</f>
        <v>101</v>
      </c>
      <c r="B111" s="52">
        <f>IF(AND(INT('模拟-模拟计算'!B136)&lt;='模拟-模拟计算'!$C$2,'模拟-模拟计算'!B136&gt;0),'模拟-模拟计算'!B136," ")</f>
        <v>100.55249999999995</v>
      </c>
      <c r="C111" s="51" t="str">
        <f ca="1">IF(AND(INT('模拟-模拟计算'!B136)&lt;='模拟-模拟计算'!$C$2,'模拟-模拟计算'!B136&gt;0),'模拟-模拟计算'!C136," ")</f>
        <v>净世破魔击·月</v>
      </c>
      <c r="D111" s="104">
        <f ca="1">IF(AND(INT('模拟-模拟计算'!B136)&lt;='模拟-模拟计算'!$C$2,'模拟-模拟计算'!B136&gt;0),'模拟-模拟计算'!E136," ")</f>
        <v>100</v>
      </c>
      <c r="E111" s="104">
        <f ca="1">IF(AND(INT('模拟-模拟计算'!B136)&lt;='模拟-模拟计算'!$C$2,'模拟-模拟计算'!B136&gt;0),'模拟-模拟计算'!F136," ")</f>
        <v>20</v>
      </c>
      <c r="F111" s="51" t="str">
        <f ca="1">IF(AND(INT('模拟-模拟计算'!B136)&lt;='模拟-模拟计算'!$C$2,'模拟-模拟计算'!B136&gt;0),'模拟-模拟计算'!P136," ")</f>
        <v>命</v>
      </c>
      <c r="G111" s="52">
        <f ca="1">IF(AND(INT('模拟-模拟计算'!B136)&lt;='模拟-模拟计算'!$C$2,'模拟-模拟计算'!B136&gt;0),'模拟-模拟计算'!V136," ")</f>
        <v>56275.195622899046</v>
      </c>
      <c r="H111" s="52">
        <f ca="1">IF(AND(INT('模拟-模拟计算'!B136)&lt;='模拟-模拟计算'!$C$2,'模拟-模拟计算'!B136&gt;0),'模拟-模拟计算'!Y136," ")</f>
        <v>65611.591529347512</v>
      </c>
      <c r="I111" s="105">
        <f ca="1">IF(AND(INT('模拟-模拟计算'!B136)&lt;='模拟-模拟计算'!$C$2,'模拟-模拟计算'!B136&gt;0),'模拟-模拟计算'!AA136," ")</f>
        <v>114874.52318931567</v>
      </c>
    </row>
    <row r="112" spans="1:9" x14ac:dyDescent="0.2">
      <c r="A112" s="20">
        <f>INT('模拟-模拟计算'!B137+0.5)</f>
        <v>101</v>
      </c>
      <c r="B112" s="52">
        <f>IF(AND(INT('模拟-模拟计算'!B137)&lt;='模拟-模拟计算'!$C$2,'模拟-模拟计算'!B137&gt;0),'模拟-模拟计算'!B137," ")</f>
        <v>101.47499999999995</v>
      </c>
      <c r="C112" s="51" t="str">
        <f ca="1">IF(AND(INT('模拟-模拟计算'!B137)&lt;='模拟-模拟计算'!$C$2,'模拟-模拟计算'!B137&gt;0),'模拟-模拟计算'!C137," ")</f>
        <v>净世破魔击·日</v>
      </c>
      <c r="D112" s="104">
        <f ca="1">IF(AND(INT('模拟-模拟计算'!B137)&lt;='模拟-模拟计算'!$C$2,'模拟-模拟计算'!B137&gt;0),'模拟-模拟计算'!E137," ")</f>
        <v>0</v>
      </c>
      <c r="E112" s="104">
        <f ca="1">IF(AND(INT('模拟-模拟计算'!B137)&lt;='模拟-模拟计算'!$C$2,'模拟-模拟计算'!B137&gt;0),'模拟-模拟计算'!F137," ")</f>
        <v>100</v>
      </c>
      <c r="F112" s="51" t="str">
        <f ca="1">IF(AND(INT('模拟-模拟计算'!B137)&lt;='模拟-模拟计算'!$C$2,'模拟-模拟计算'!B137&gt;0),'模拟-模拟计算'!P137," ")</f>
        <v>命</v>
      </c>
      <c r="G112" s="52">
        <f ca="1">IF(AND(INT('模拟-模拟计算'!B137)&lt;='模拟-模拟计算'!$C$2,'模拟-模拟计算'!B137&gt;0),'模拟-模拟计算'!V137," ")</f>
        <v>65677.336879445851</v>
      </c>
      <c r="H112" s="52">
        <f ca="1">IF(AND(INT('模拟-模拟计算'!B137)&lt;='模拟-模拟计算'!$C$2,'模拟-模拟计算'!B137&gt;0),'模拟-模拟计算'!Y137," ")</f>
        <v>100342.45980906709</v>
      </c>
      <c r="I112" s="105">
        <f ca="1">IF(AND(INT('模拟-模拟计算'!B137)&lt;='模拟-模拟计算'!$C$2,'模拟-模拟计算'!B137&gt;0),'模拟-模拟计算'!AA137," ")</f>
        <v>114819.04856174161</v>
      </c>
    </row>
    <row r="113" spans="1:9" x14ac:dyDescent="0.2">
      <c r="A113" s="20">
        <f>INT('模拟-模拟计算'!B138+0.5)</f>
        <v>102</v>
      </c>
      <c r="B113" s="52">
        <f>IF(AND(INT('模拟-模拟计算'!B138)&lt;='模拟-模拟计算'!$C$2,'模拟-模拟计算'!B138&gt;0),'模拟-模拟计算'!B138," ")</f>
        <v>102.39749999999995</v>
      </c>
      <c r="C113" s="51" t="str">
        <f ca="1">IF(AND(INT('模拟-模拟计算'!B138)&lt;='模拟-模拟计算'!$C$2,'模拟-模拟计算'!B138&gt;0),'模拟-模拟计算'!C138," ")</f>
        <v>净世破魔击·月</v>
      </c>
      <c r="D113" s="104">
        <f ca="1">IF(AND(INT('模拟-模拟计算'!B138)&lt;='模拟-模拟计算'!$C$2,'模拟-模拟计算'!B138&gt;0),'模拟-模拟计算'!E138," ")</f>
        <v>100</v>
      </c>
      <c r="E113" s="104">
        <f ca="1">IF(AND(INT('模拟-模拟计算'!B138)&lt;='模拟-模拟计算'!$C$2,'模拟-模拟计算'!B138&gt;0),'模拟-模拟计算'!F138," ")</f>
        <v>20</v>
      </c>
      <c r="F113" s="51" t="str">
        <f ca="1">IF(AND(INT('模拟-模拟计算'!B138)&lt;='模拟-模拟计算'!$C$2,'模拟-模拟计算'!B138&gt;0),'模拟-模拟计算'!P138," ")</f>
        <v>命</v>
      </c>
      <c r="G113" s="52">
        <f ca="1">IF(AND(INT('模拟-模拟计算'!B138)&lt;='模拟-模拟计算'!$C$2,'模拟-模拟计算'!B138&gt;0),'模拟-模拟计算'!V138," ")</f>
        <v>58619.995440519822</v>
      </c>
      <c r="H113" s="52">
        <f ca="1">IF(AND(INT('模拟-模拟计算'!B138)&lt;='模拟-模拟计算'!$C$2,'模拟-模拟计算'!B138&gt;0),'模拟-模拟计算'!Y138," ")</f>
        <v>81371.117573020601</v>
      </c>
      <c r="I113" s="105">
        <f ca="1">IF(AND(INT('模拟-模拟计算'!B138)&lt;='模拟-模拟计算'!$C$2,'模拟-模拟计算'!B138&gt;0),'模拟-模拟计算'!AA138," ")</f>
        <v>114579.30193975197</v>
      </c>
    </row>
    <row r="114" spans="1:9" x14ac:dyDescent="0.2">
      <c r="A114" s="20">
        <f>INT('模拟-模拟计算'!B139+0.5)</f>
        <v>103</v>
      </c>
      <c r="B114" s="52">
        <f>IF(AND(INT('模拟-模拟计算'!B139)&lt;='模拟-模拟计算'!$C$2,'模拟-模拟计算'!B139&gt;0),'模拟-模拟计算'!B139," ")</f>
        <v>103.31999999999995</v>
      </c>
      <c r="C114" s="51" t="str">
        <f ca="1">IF(AND(INT('模拟-模拟计算'!B139)&lt;='模拟-模拟计算'!$C$2,'模拟-模拟计算'!B139&gt;0),'模拟-模拟计算'!C139," ")</f>
        <v>净世破魔击·日</v>
      </c>
      <c r="D114" s="104">
        <f ca="1">IF(AND(INT('模拟-模拟计算'!B139)&lt;='模拟-模拟计算'!$C$2,'模拟-模拟计算'!B139&gt;0),'模拟-模拟计算'!E139," ")</f>
        <v>0</v>
      </c>
      <c r="E114" s="104">
        <f ca="1">IF(AND(INT('模拟-模拟计算'!B139)&lt;='模拟-模拟计算'!$C$2,'模拟-模拟计算'!B139&gt;0),'模拟-模拟计算'!F139," ")</f>
        <v>100</v>
      </c>
      <c r="F114" s="51" t="str">
        <f ca="1">IF(AND(INT('模拟-模拟计算'!B139)&lt;='模拟-模拟计算'!$C$2,'模拟-模拟计算'!B139&gt;0),'模拟-模拟计算'!P139," ")</f>
        <v>命</v>
      </c>
      <c r="G114" s="52">
        <f ca="1">IF(AND(INT('模拟-模拟计算'!B139)&lt;='模拟-模拟计算'!$C$2,'模拟-模拟计算'!B139&gt;0),'模拟-模拟计算'!V139," ")</f>
        <v>65677.336879445851</v>
      </c>
      <c r="H114" s="52">
        <f ca="1">IF(AND(INT('模拟-模拟计算'!B139)&lt;='模拟-模拟计算'!$C$2,'模拟-模拟计算'!B139&gt;0),'模拟-模拟计算'!Y139," ")</f>
        <v>100342.45980906709</v>
      </c>
      <c r="I114" s="105">
        <f ca="1">IF(AND(INT('模拟-模拟计算'!B139)&lt;='模拟-模拟计算'!$C$2,'模拟-模拟计算'!B139&gt;0),'模拟-模拟计算'!AA139," ")</f>
        <v>114527.4538345414</v>
      </c>
    </row>
    <row r="115" spans="1:9" x14ac:dyDescent="0.2">
      <c r="A115" s="20">
        <f>INT('模拟-模拟计算'!B140+0.5)</f>
        <v>104</v>
      </c>
      <c r="B115" s="52">
        <f>IF(AND(INT('模拟-模拟计算'!B140)&lt;='模拟-模拟计算'!$C$2,'模拟-模拟计算'!B140&gt;0),'模拟-模拟计算'!B140," ")</f>
        <v>104.24249999999995</v>
      </c>
      <c r="C115" s="51" t="str">
        <f ca="1">IF(AND(INT('模拟-模拟计算'!B140)&lt;='模拟-模拟计算'!$C$2,'模拟-模拟计算'!B140&gt;0),'模拟-模拟计算'!C140," ")</f>
        <v>净世破魔击·月</v>
      </c>
      <c r="D115" s="104">
        <f ca="1">IF(AND(INT('模拟-模拟计算'!B140)&lt;='模拟-模拟计算'!$C$2,'模拟-模拟计算'!B140&gt;0),'模拟-模拟计算'!E140," ")</f>
        <v>20</v>
      </c>
      <c r="E115" s="104">
        <f ca="1">IF(AND(INT('模拟-模拟计算'!B140)&lt;='模拟-模拟计算'!$C$2,'模拟-模拟计算'!B140&gt;0),'模拟-模拟计算'!F140," ")</f>
        <v>20</v>
      </c>
      <c r="F115" s="51" t="str">
        <f ca="1">IF(AND(INT('模拟-模拟计算'!B140)&lt;='模拟-模拟计算'!$C$2,'模拟-模拟计算'!B140&gt;0),'模拟-模拟计算'!P140," ")</f>
        <v>会</v>
      </c>
      <c r="G115" s="52">
        <f ca="1">IF(AND(INT('模拟-模拟计算'!B140)&lt;='模拟-模拟计算'!$C$2,'模拟-模拟计算'!B140&gt;0),'模拟-模拟计算'!V140," ")</f>
        <v>126764.73688820505</v>
      </c>
      <c r="H115" s="52">
        <f ca="1">IF(AND(INT('模拟-模拟计算'!B140)&lt;='模拟-模拟计算'!$C$2,'模拟-模拟计算'!B140&gt;0),'模拟-模拟计算'!Y140," ")</f>
        <v>144331.41712799788</v>
      </c>
      <c r="I115" s="105">
        <f ca="1">IF(AND(INT('模拟-模拟计算'!B140)&lt;='模拟-模拟计算'!$C$2,'模拟-模拟计算'!B140&gt;0),'模拟-模拟计算'!AA140," ")</f>
        <v>114898.51017879289</v>
      </c>
    </row>
    <row r="116" spans="1:9" x14ac:dyDescent="0.2">
      <c r="A116" s="20">
        <f>INT('模拟-模拟计算'!B141+0.5)</f>
        <v>105</v>
      </c>
      <c r="B116" s="52">
        <f>IF(AND(INT('模拟-模拟计算'!B141)&lt;='模拟-模拟计算'!$C$2,'模拟-模拟计算'!B141&gt;0),'模拟-模拟计算'!B141," ")</f>
        <v>105.16499999999995</v>
      </c>
      <c r="C116" s="51" t="str">
        <f ca="1">IF(AND(INT('模拟-模拟计算'!B141)&lt;='模拟-模拟计算'!$C$2,'模拟-模拟计算'!B141&gt;0),'模拟-模拟计算'!C141," ")</f>
        <v>银月斩</v>
      </c>
      <c r="D116" s="104">
        <f ca="1">IF(AND(INT('模拟-模拟计算'!B141)&lt;='模拟-模拟计算'!$C$2,'模拟-模拟计算'!B141&gt;0),'模拟-模拟计算'!E141," ")</f>
        <v>20</v>
      </c>
      <c r="E116" s="104">
        <f ca="1">IF(AND(INT('模拟-模拟计算'!B141)&lt;='模拟-模拟计算'!$C$2,'模拟-模拟计算'!B141&gt;0),'模拟-模拟计算'!F141," ")</f>
        <v>65</v>
      </c>
      <c r="F116" s="51" t="str">
        <f ca="1">IF(AND(INT('模拟-模拟计算'!B141)&lt;='模拟-模拟计算'!$C$2,'模拟-模拟计算'!B141&gt;0),'模拟-模拟计算'!P141," ")</f>
        <v>命</v>
      </c>
      <c r="G116" s="52">
        <f ca="1">IF(AND(INT('模拟-模拟计算'!B141)&lt;='模拟-模拟计算'!$C$2,'模拟-模拟计算'!B141&gt;0),'模拟-模拟计算'!V141," ")</f>
        <v>22993.811102055657</v>
      </c>
      <c r="H116" s="52">
        <f ca="1">IF(AND(INT('模拟-模拟计算'!B141)&lt;='模拟-模拟计算'!$C$2,'模拟-模拟计算'!B141&gt;0),'模拟-模拟计算'!Y141," ")</f>
        <v>52707.67754898977</v>
      </c>
      <c r="I116" s="105">
        <f ca="1">IF(AND(INT('模拟-模拟计算'!B141)&lt;='模拟-模拟计算'!$C$2,'模拟-模拟计算'!B141&gt;0),'模拟-模拟计算'!AA141," ")</f>
        <v>114391.8188072249</v>
      </c>
    </row>
    <row r="117" spans="1:9" x14ac:dyDescent="0.2">
      <c r="A117" s="20">
        <f>INT('模拟-模拟计算'!B142+0.5)</f>
        <v>106</v>
      </c>
      <c r="B117" s="52">
        <f>IF(AND(INT('模拟-模拟计算'!B142)&lt;='模拟-模拟计算'!$C$2,'模拟-模拟计算'!B142&gt;0),'模拟-模拟计算'!B142," ")</f>
        <v>106.08749999999995</v>
      </c>
      <c r="C117" s="51" t="str">
        <f ca="1">IF(AND(INT('模拟-模拟计算'!B142)&lt;='模拟-模拟计算'!$C$2,'模拟-模拟计算'!B142&gt;0),'模拟-模拟计算'!C142," ")</f>
        <v>驱夜断愁</v>
      </c>
      <c r="D117" s="104">
        <f ca="1">IF(AND(INT('模拟-模拟计算'!B142)&lt;='模拟-模拟计算'!$C$2,'模拟-模拟计算'!B142&gt;0),'模拟-模拟计算'!E142," ")</f>
        <v>40</v>
      </c>
      <c r="E117" s="104">
        <f ca="1">IF(AND(INT('模拟-模拟计算'!B142)&lt;='模拟-模拟计算'!$C$2,'模拟-模拟计算'!B142&gt;0),'模拟-模拟计算'!F142," ")</f>
        <v>85</v>
      </c>
      <c r="F117" s="51" t="str">
        <f ca="1">IF(AND(INT('模拟-模拟计算'!B142)&lt;='模拟-模拟计算'!$C$2,'模拟-模拟计算'!B142&gt;0),'模拟-模拟计算'!P142," ")</f>
        <v>会</v>
      </c>
      <c r="G117" s="52">
        <f ca="1">IF(AND(INT('模拟-模拟计算'!B142)&lt;='模拟-模拟计算'!$C$2,'模拟-模拟计算'!B142&gt;0),'模拟-模拟计算'!V142," ")</f>
        <v>138916.16953986019</v>
      </c>
      <c r="H117" s="52">
        <f ca="1">IF(AND(INT('模拟-模拟计算'!B142)&lt;='模拟-模拟计算'!$C$2,'模拟-模拟计算'!B142&gt;0),'模拟-模拟计算'!Y142," ")</f>
        <v>139639.19082695429</v>
      </c>
      <c r="I117" s="105">
        <f ca="1">IF(AND(INT('模拟-模拟计算'!B142)&lt;='模拟-模拟计算'!$C$2,'模拟-模拟计算'!B142&gt;0),'模拟-模拟计算'!AA142," ")</f>
        <v>114713.37165725237</v>
      </c>
    </row>
    <row r="118" spans="1:9" x14ac:dyDescent="0.2">
      <c r="A118" s="20">
        <f>INT('模拟-模拟计算'!B143+0.5)</f>
        <v>107</v>
      </c>
      <c r="B118" s="52">
        <f>IF(AND(INT('模拟-模拟计算'!B143)&lt;='模拟-模拟计算'!$C$2,'模拟-模拟计算'!B143&gt;0),'模拟-模拟计算'!B143," ")</f>
        <v>107.00999999999995</v>
      </c>
      <c r="C118" s="51" t="str">
        <f ca="1">IF(AND(INT('模拟-模拟计算'!B143)&lt;='模拟-模拟计算'!$C$2,'模拟-模拟计算'!B143&gt;0),'模拟-模拟计算'!C143," ")</f>
        <v>烈日斩</v>
      </c>
      <c r="D118" s="104">
        <f ca="1">IF(AND(INT('模拟-模拟计算'!B143)&lt;='模拟-模拟计算'!$C$2,'模拟-模拟计算'!B143&gt;0),'模拟-模拟计算'!E143," ")</f>
        <v>80</v>
      </c>
      <c r="E118" s="104">
        <f ca="1">IF(AND(INT('模拟-模拟计算'!B143)&lt;='模拟-模拟计算'!$C$2,'模拟-模拟计算'!B143&gt;0),'模拟-模拟计算'!F143," ")</f>
        <v>85</v>
      </c>
      <c r="F118" s="51" t="str">
        <f ca="1">IF(AND(INT('模拟-模拟计算'!B143)&lt;='模拟-模拟计算'!$C$2,'模拟-模拟计算'!B143&gt;0),'模拟-模拟计算'!P143," ")</f>
        <v>命</v>
      </c>
      <c r="G118" s="52">
        <f ca="1">IF(AND(INT('模拟-模拟计算'!B143)&lt;='模拟-模拟计算'!$C$2,'模拟-模拟计算'!B143&gt;0),'模拟-模拟计算'!V143," ")</f>
        <v>50811.052494180651</v>
      </c>
      <c r="H118" s="52">
        <f ca="1">IF(AND(INT('模拟-模拟计算'!B143)&lt;='模拟-模拟计算'!$C$2,'模拟-模拟计算'!B143&gt;0),'模拟-模拟计算'!Y143," ")</f>
        <v>67030.943325900967</v>
      </c>
      <c r="I118" s="105">
        <f ca="1">IF(AND(INT('模拟-模拟计算'!B143)&lt;='模拟-模拟计算'!$C$2,'模拟-模拟计算'!B143&gt;0),'模拟-模拟计算'!AA143," ")</f>
        <v>114350.86215320682</v>
      </c>
    </row>
    <row r="119" spans="1:9" x14ac:dyDescent="0.2">
      <c r="A119" s="20">
        <f>INT('模拟-模拟计算'!B144+0.5)</f>
        <v>108</v>
      </c>
      <c r="B119" s="52">
        <f>IF(AND(INT('模拟-模拟计算'!B144)&lt;='模拟-模拟计算'!$C$2,'模拟-模拟计算'!B144&gt;0),'模拟-模拟计算'!B144," ")</f>
        <v>107.93249999999995</v>
      </c>
      <c r="C119" s="51" t="str">
        <f ca="1">IF(AND(INT('模拟-模拟计算'!B144)&lt;='模拟-模拟计算'!$C$2,'模拟-模拟计算'!B144&gt;0),'模拟-模拟计算'!C144," ")</f>
        <v>幽月轮1</v>
      </c>
      <c r="D119" s="104">
        <f ca="1">IF(AND(INT('模拟-模拟计算'!B144)&lt;='模拟-模拟计算'!$C$2,'模拟-模拟计算'!B144&gt;0),'模拟-模拟计算'!E144," ")</f>
        <v>80</v>
      </c>
      <c r="E119" s="104">
        <f ca="1">IF(AND(INT('模拟-模拟计算'!B144)&lt;='模拟-模拟计算'!$C$2,'模拟-模拟计算'!B144&gt;0),'模拟-模拟计算'!F144," ")</f>
        <v>100</v>
      </c>
      <c r="F119" s="51" t="str">
        <f ca="1">IF(AND(INT('模拟-模拟计算'!B144)&lt;='模拟-模拟计算'!$C$2,'模拟-模拟计算'!B144&gt;0),'模拟-模拟计算'!P144," ")</f>
        <v>命</v>
      </c>
      <c r="G119" s="52">
        <f ca="1">IF(AND(INT('模拟-模拟计算'!B144)&lt;='模拟-模拟计算'!$C$2,'模拟-模拟计算'!B144&gt;0),'模拟-模拟计算'!V144," ")</f>
        <v>17730.73782895472</v>
      </c>
      <c r="H119" s="52">
        <f ca="1">IF(AND(INT('模拟-模拟计算'!B144)&lt;='模拟-模拟计算'!$C$2,'模拟-模拟计算'!B144&gt;0),'模拟-模拟计算'!Y144," ")</f>
        <v>18092.248472501768</v>
      </c>
      <c r="I119" s="105">
        <f ca="1">IF(AND(INT('模拟-模拟计算'!B144)&lt;='模拟-模拟计算'!$C$2,'模拟-模拟计算'!B144&gt;0),'模拟-模拟计算'!AA144," ")</f>
        <v>113541.12994220614</v>
      </c>
    </row>
    <row r="120" spans="1:9" x14ac:dyDescent="0.2">
      <c r="A120" s="20">
        <f>INT('模拟-模拟计算'!B145+0.5)</f>
        <v>109</v>
      </c>
      <c r="B120" s="52">
        <f>IF(AND(INT('模拟-模拟计算'!B145)&lt;='模拟-模拟计算'!$C$2,'模拟-模拟计算'!B145&gt;0),'模拟-模拟计算'!B145," ")</f>
        <v>108.85499999999995</v>
      </c>
      <c r="C120" s="51" t="str">
        <f ca="1">IF(AND(INT('模拟-模拟计算'!B145)&lt;='模拟-模拟计算'!$C$2,'模拟-模拟计算'!B145&gt;0),'模拟-模拟计算'!C145," ")</f>
        <v>净世破魔击·月</v>
      </c>
      <c r="D120" s="104">
        <f ca="1">IF(AND(INT('模拟-模拟计算'!B145)&lt;='模拟-模拟计算'!$C$2,'模拟-模拟计算'!B145&gt;0),'模拟-模拟计算'!E145," ")</f>
        <v>100</v>
      </c>
      <c r="E120" s="104">
        <f ca="1">IF(AND(INT('模拟-模拟计算'!B145)&lt;='模拟-模拟计算'!$C$2,'模拟-模拟计算'!B145&gt;0),'模拟-模拟计算'!F145," ")</f>
        <v>20</v>
      </c>
      <c r="F120" s="51" t="str">
        <f ca="1">IF(AND(INT('模拟-模拟计算'!B145)&lt;='模拟-模拟计算'!$C$2,'模拟-模拟计算'!B145&gt;0),'模拟-模拟计算'!P145," ")</f>
        <v>命</v>
      </c>
      <c r="G120" s="52">
        <f ca="1">IF(AND(INT('模拟-模拟计算'!B145)&lt;='模拟-模拟计算'!$C$2,'模拟-模拟计算'!B145&gt;0),'模拟-模拟计算'!V145," ")</f>
        <v>80864.621558254468</v>
      </c>
      <c r="H120" s="52">
        <f ca="1">IF(AND(INT('模拟-模拟计算'!B145)&lt;='模拟-模拟计算'!$C$2,'模拟-模拟计算'!B145&gt;0),'模拟-模拟计算'!Y145," ")</f>
        <v>138589.96011340496</v>
      </c>
      <c r="I120" s="105">
        <f ca="1">IF(AND(INT('模拟-模拟计算'!B145)&lt;='模拟-模拟计算'!$C$2,'模拟-模拟计算'!B145&gt;0),'模拟-模拟计算'!AA145," ")</f>
        <v>113852.0781553495</v>
      </c>
    </row>
    <row r="121" spans="1:9" x14ac:dyDescent="0.2">
      <c r="A121" s="20">
        <f>INT('模拟-模拟计算'!B146+0.5)</f>
        <v>110</v>
      </c>
      <c r="B121" s="52">
        <f>IF(AND(INT('模拟-模拟计算'!B146)&lt;='模拟-模拟计算'!$C$2,'模拟-模拟计算'!B146&gt;0),'模拟-模拟计算'!B146," ")</f>
        <v>109.77749999999995</v>
      </c>
      <c r="C121" s="51" t="str">
        <f ca="1">IF(AND(INT('模拟-模拟计算'!B146)&lt;='模拟-模拟计算'!$C$2,'模拟-模拟计算'!B146&gt;0),'模拟-模拟计算'!C146," ")</f>
        <v>净世破魔击·日</v>
      </c>
      <c r="D121" s="104">
        <f ca="1">IF(AND(INT('模拟-模拟计算'!B146)&lt;='模拟-模拟计算'!$C$2,'模拟-模拟计算'!B146&gt;0),'模拟-模拟计算'!E146," ")</f>
        <v>0</v>
      </c>
      <c r="E121" s="104">
        <f ca="1">IF(AND(INT('模拟-模拟计算'!B146)&lt;='模拟-模拟计算'!$C$2,'模拟-模拟计算'!B146&gt;0),'模拟-模拟计算'!F146," ")</f>
        <v>20</v>
      </c>
      <c r="F121" s="51" t="str">
        <f ca="1">IF(AND(INT('模拟-模拟计算'!B146)&lt;='模拟-模拟计算'!$C$2,'模拟-模拟计算'!B146&gt;0),'模拟-模拟计算'!P146," ")</f>
        <v>会</v>
      </c>
      <c r="G121" s="52">
        <f ca="1">IF(AND(INT('模拟-模拟计算'!B146)&lt;='模拟-模拟计算'!$C$2,'模拟-模拟计算'!B146&gt;0),'模拟-模拟计算'!V146," ")</f>
        <v>195915.814886668</v>
      </c>
      <c r="H121" s="52">
        <f ca="1">IF(AND(INT('模拟-模拟计算'!B146)&lt;='模拟-模拟计算'!$C$2,'模拟-模拟计算'!B146&gt;0),'模拟-模拟计算'!Y146," ")</f>
        <v>205127.11589832304</v>
      </c>
      <c r="I121" s="105">
        <f ca="1">IF(AND(INT('模拟-模拟计算'!B146)&lt;='模拟-模拟计算'!$C$2,'模拟-模拟计算'!B146&gt;0),'模拟-模拟计算'!AA146," ")</f>
        <v>114763.90957617811</v>
      </c>
    </row>
    <row r="122" spans="1:9" x14ac:dyDescent="0.2">
      <c r="A122" s="20">
        <f>INT('模拟-模拟计算'!B147+0.5)</f>
        <v>111</v>
      </c>
      <c r="B122" s="52">
        <f>IF(AND(INT('模拟-模拟计算'!B147)&lt;='模拟-模拟计算'!$C$2,'模拟-模拟计算'!B147&gt;0),'模拟-模拟计算'!B147," ")</f>
        <v>110.69999999999995</v>
      </c>
      <c r="C122" s="51" t="str">
        <f ca="1">IF(AND(INT('模拟-模拟计算'!B147)&lt;='模拟-模拟计算'!$C$2,'模拟-模拟计算'!B147&gt;0),'模拟-模拟计算'!C147," ")</f>
        <v>赤日轮1</v>
      </c>
      <c r="D122" s="104">
        <f ca="1">IF(AND(INT('模拟-模拟计算'!B147)&lt;='模拟-模拟计算'!$C$2,'模拟-模拟计算'!B147&gt;0),'模拟-模拟计算'!E147," ")</f>
        <v>20</v>
      </c>
      <c r="E122" s="104">
        <f ca="1">IF(AND(INT('模拟-模拟计算'!B147)&lt;='模拟-模拟计算'!$C$2,'模拟-模拟计算'!B147&gt;0),'模拟-模拟计算'!F147," ")</f>
        <v>20</v>
      </c>
      <c r="F122" s="51" t="str">
        <f ca="1">IF(AND(INT('模拟-模拟计算'!B147)&lt;='模拟-模拟计算'!$C$2,'模拟-模拟计算'!B147&gt;0),'模拟-模拟计算'!P147," ")</f>
        <v>命</v>
      </c>
      <c r="G122" s="52">
        <f ca="1">IF(AND(INT('模拟-模拟计算'!B147)&lt;='模拟-模拟计算'!$C$2,'模拟-模拟计算'!B147&gt;0),'模拟-模拟计算'!V147," ")</f>
        <v>25194.44799269021</v>
      </c>
      <c r="H122" s="52">
        <f ca="1">IF(AND(INT('模拟-模拟计算'!B147)&lt;='模拟-模拟计算'!$C$2,'模拟-模拟计算'!B147&gt;0),'模拟-模拟计算'!Y147," ")</f>
        <v>50661.829897791802</v>
      </c>
      <c r="I122" s="105">
        <f ca="1">IF(AND(INT('模拟-模拟计算'!B147)&lt;='模拟-模拟计算'!$C$2,'模拟-模拟计算'!B147&gt;0),'模拟-模拟计算'!AA147," ")</f>
        <v>114265.1934362844</v>
      </c>
    </row>
    <row r="123" spans="1:9" x14ac:dyDescent="0.2">
      <c r="A123" s="20">
        <f>INT('模拟-模拟计算'!B148+0.5)</f>
        <v>112</v>
      </c>
      <c r="B123" s="52">
        <f>IF(AND(INT('模拟-模拟计算'!B148)&lt;='模拟-模拟计算'!$C$2,'模拟-模拟计算'!B148&gt;0),'模拟-模拟计算'!B148," ")</f>
        <v>111.62249999999995</v>
      </c>
      <c r="C123" s="51" t="str">
        <f ca="1">IF(AND(INT('模拟-模拟计算'!B148)&lt;='模拟-模拟计算'!$C$2,'模拟-模拟计算'!B148&gt;0),'模拟-模拟计算'!C148," ")</f>
        <v>银月斩</v>
      </c>
      <c r="D123" s="104">
        <f ca="1">IF(AND(INT('模拟-模拟计算'!B148)&lt;='模拟-模拟计算'!$C$2,'模拟-模拟计算'!B148&gt;0),'模拟-模拟计算'!E148," ")</f>
        <v>20</v>
      </c>
      <c r="E123" s="104">
        <f ca="1">IF(AND(INT('模拟-模拟计算'!B148)&lt;='模拟-模拟计算'!$C$2,'模拟-模拟计算'!B148&gt;0),'模拟-模拟计算'!F148," ")</f>
        <v>65</v>
      </c>
      <c r="F123" s="51" t="str">
        <f ca="1">IF(AND(INT('模拟-模拟计算'!B148)&lt;='模拟-模拟计算'!$C$2,'模拟-模拟计算'!B148&gt;0),'模拟-模拟计算'!P148," ")</f>
        <v>会</v>
      </c>
      <c r="G123" s="52">
        <f ca="1">IF(AND(INT('模拟-模拟计算'!B148)&lt;='模拟-模拟计算'!$C$2,'模拟-模拟计算'!B148&gt;0),'模拟-模拟计算'!V148," ")</f>
        <v>39481.310356797861</v>
      </c>
      <c r="H123" s="52">
        <f ca="1">IF(AND(INT('模拟-模拟计算'!B148)&lt;='模拟-模拟计算'!$C$2,'模拟-模拟计算'!B148&gt;0),'模拟-模拟计算'!Y148," ")</f>
        <v>39842.821000344906</v>
      </c>
      <c r="I123" s="105">
        <f ca="1">IF(AND(INT('模拟-模拟计算'!B148)&lt;='模拟-模拟计算'!$C$2,'模拟-模拟计算'!B148&gt;0),'模拟-模拟计算'!AA148," ")</f>
        <v>113677.79555552894</v>
      </c>
    </row>
    <row r="124" spans="1:9" x14ac:dyDescent="0.2">
      <c r="A124" s="20">
        <f>INT('模拟-模拟计算'!B149+0.5)</f>
        <v>113</v>
      </c>
      <c r="B124" s="52">
        <f>IF(AND(INT('模拟-模拟计算'!B149)&lt;='模拟-模拟计算'!$C$2,'模拟-模拟计算'!B149&gt;0),'模拟-模拟计算'!B149," ")</f>
        <v>112.54499999999994</v>
      </c>
      <c r="C124" s="51" t="str">
        <f ca="1">IF(AND(INT('模拟-模拟计算'!B149)&lt;='模拟-模拟计算'!$C$2,'模拟-模拟计算'!B149&gt;0),'模拟-模拟计算'!C149," ")</f>
        <v>驱夜断愁</v>
      </c>
      <c r="D124" s="104">
        <f ca="1">IF(AND(INT('模拟-模拟计算'!B149)&lt;='模拟-模拟计算'!$C$2,'模拟-模拟计算'!B149&gt;0),'模拟-模拟计算'!E149," ")</f>
        <v>40</v>
      </c>
      <c r="E124" s="104">
        <f ca="1">IF(AND(INT('模拟-模拟计算'!B149)&lt;='模拟-模拟计算'!$C$2,'模拟-模拟计算'!B149&gt;0),'模拟-模拟计算'!F149," ")</f>
        <v>85</v>
      </c>
      <c r="F124" s="51" t="str">
        <f ca="1">IF(AND(INT('模拟-模拟计算'!B149)&lt;='模拟-模拟计算'!$C$2,'模拟-模拟计算'!B149&gt;0),'模拟-模拟计算'!P149," ")</f>
        <v>会</v>
      </c>
      <c r="G124" s="52">
        <f ca="1">IF(AND(INT('模拟-模拟计算'!B149)&lt;='模拟-模拟计算'!$C$2,'模拟-模拟计算'!B149&gt;0),'模拟-模拟计算'!V149," ")</f>
        <v>127463.41908070058</v>
      </c>
      <c r="H124" s="52">
        <f ca="1">IF(AND(INT('模拟-模拟计算'!B149)&lt;='模拟-模拟计算'!$C$2,'模拟-模拟计算'!B149&gt;0),'模拟-模拟计算'!Y149," ")</f>
        <v>148523.7284151784</v>
      </c>
      <c r="I124" s="105">
        <f ca="1">IF(AND(INT('模拟-模拟计算'!B149)&lt;='模拟-模拟计算'!$C$2,'模拟-模拟计算'!B149&gt;0),'模拟-模拟计算'!AA149," ")</f>
        <v>114065.693392085</v>
      </c>
    </row>
    <row r="125" spans="1:9" x14ac:dyDescent="0.2">
      <c r="A125" s="20">
        <f>INT('模拟-模拟计算'!B150+0.5)</f>
        <v>113</v>
      </c>
      <c r="B125" s="52">
        <f>IF(AND(INT('模拟-模拟计算'!B150)&lt;='模拟-模拟计算'!$C$2,'模拟-模拟计算'!B150&gt;0),'模拟-模拟计算'!B150," ")</f>
        <v>113.46749999999994</v>
      </c>
      <c r="C125" s="51" t="str">
        <f ca="1">IF(AND(INT('模拟-模拟计算'!B150)&lt;='模拟-模拟计算'!$C$2,'模拟-模拟计算'!B150&gt;0),'模拟-模拟计算'!C150," ")</f>
        <v>烈日斩</v>
      </c>
      <c r="D125" s="104">
        <f ca="1">IF(AND(INT('模拟-模拟计算'!B150)&lt;='模拟-模拟计算'!$C$2,'模拟-模拟计算'!B150&gt;0),'模拟-模拟计算'!E150," ")</f>
        <v>80</v>
      </c>
      <c r="E125" s="104">
        <f ca="1">IF(AND(INT('模拟-模拟计算'!B150)&lt;='模拟-模拟计算'!$C$2,'模拟-模拟计算'!B150&gt;0),'模拟-模拟计算'!F150," ")</f>
        <v>85</v>
      </c>
      <c r="F125" s="51" t="str">
        <f ca="1">IF(AND(INT('模拟-模拟计算'!B150)&lt;='模拟-模拟计算'!$C$2,'模拟-模拟计算'!B150&gt;0),'模拟-模拟计算'!P150," ")</f>
        <v>会</v>
      </c>
      <c r="G125" s="52">
        <f ca="1">IF(AND(INT('模拟-模拟计算'!B150)&lt;='模拟-模拟计算'!$C$2,'模拟-模拟计算'!B150&gt;0),'模拟-模拟计算'!V150," ")</f>
        <v>110503.35617153208</v>
      </c>
      <c r="H125" s="52">
        <f ca="1">IF(AND(INT('模拟-模拟计算'!B150)&lt;='模拟-模拟计算'!$C$2,'模拟-模拟计算'!B150&gt;0),'模拟-模拟计算'!Y150," ")</f>
        <v>110864.86681507913</v>
      </c>
      <c r="I125" s="105">
        <f ca="1">IF(AND(INT('模拟-模拟计算'!B150)&lt;='模拟-模拟计算'!$C$2,'模拟-模拟计算'!B150&gt;0),'模拟-模拟计算'!AA150," ")</f>
        <v>114115.39277438284</v>
      </c>
    </row>
    <row r="126" spans="1:9" x14ac:dyDescent="0.2">
      <c r="A126" s="20">
        <f>INT('模拟-模拟计算'!B151+0.5)</f>
        <v>114</v>
      </c>
      <c r="B126" s="52">
        <f>IF(AND(INT('模拟-模拟计算'!B151)&lt;='模拟-模拟计算'!$C$2,'模拟-模拟计算'!B151&gt;0),'模拟-模拟计算'!B151," ")</f>
        <v>114.38999999999994</v>
      </c>
      <c r="C126" s="51" t="str">
        <f ca="1">IF(AND(INT('模拟-模拟计算'!B151)&lt;='模拟-模拟计算'!$C$2,'模拟-模拟计算'!B151&gt;0),'模拟-模拟计算'!C151," ")</f>
        <v>幽月轮1</v>
      </c>
      <c r="D126" s="104">
        <f ca="1">IF(AND(INT('模拟-模拟计算'!B151)&lt;='模拟-模拟计算'!$C$2,'模拟-模拟计算'!B151&gt;0),'模拟-模拟计算'!E151," ")</f>
        <v>80</v>
      </c>
      <c r="E126" s="104">
        <f ca="1">IF(AND(INT('模拟-模拟计算'!B151)&lt;='模拟-模拟计算'!$C$2,'模拟-模拟计算'!B151&gt;0),'模拟-模拟计算'!F151," ")</f>
        <v>100</v>
      </c>
      <c r="F126" s="51" t="str">
        <f ca="1">IF(AND(INT('模拟-模拟计算'!B151)&lt;='模拟-模拟计算'!$C$2,'模拟-模拟计算'!B151&gt;0),'模拟-模拟计算'!P151," ")</f>
        <v>命</v>
      </c>
      <c r="G126" s="52">
        <f ca="1">IF(AND(INT('模拟-模拟计算'!B151)&lt;='模拟-模拟计算'!$C$2,'模拟-模拟计算'!B151&gt;0),'模拟-模拟计算'!V151," ")</f>
        <v>16939.18703301924</v>
      </c>
      <c r="H126" s="52">
        <f ca="1">IF(AND(INT('模拟-模拟计算'!B151)&lt;='模拟-模拟计算'!$C$2,'模拟-模拟计算'!B151&gt;0),'模拟-模拟计算'!Y151," ")</f>
        <v>44795.998968748609</v>
      </c>
      <c r="I126" s="105">
        <f ca="1">IF(AND(INT('模拟-模拟计算'!B151)&lt;='模拟-模拟计算'!$C$2,'模拟-模拟计算'!B151&gt;0),'模拟-模拟计算'!AA151," ")</f>
        <v>113586.71499777983</v>
      </c>
    </row>
    <row r="127" spans="1:9" x14ac:dyDescent="0.2">
      <c r="A127" s="20">
        <f>INT('模拟-模拟计算'!B152+0.5)</f>
        <v>115</v>
      </c>
      <c r="B127" s="52">
        <f>IF(AND(INT('模拟-模拟计算'!B152)&lt;='模拟-模拟计算'!$C$2,'模拟-模拟计算'!B152&gt;0),'模拟-模拟计算'!B152," ")</f>
        <v>115.31249999999994</v>
      </c>
      <c r="C127" s="51" t="str">
        <f ca="1">IF(AND(INT('模拟-模拟计算'!B152)&lt;='模拟-模拟计算'!$C$2,'模拟-模拟计算'!B152&gt;0),'模拟-模拟计算'!C152," ")</f>
        <v>净世破魔击·月</v>
      </c>
      <c r="D127" s="104">
        <f ca="1">IF(AND(INT('模拟-模拟计算'!B152)&lt;='模拟-模拟计算'!$C$2,'模拟-模拟计算'!B152&gt;0),'模拟-模拟计算'!E152," ")</f>
        <v>100</v>
      </c>
      <c r="E127" s="104">
        <f ca="1">IF(AND(INT('模拟-模拟计算'!B152)&lt;='模拟-模拟计算'!$C$2,'模拟-模拟计算'!B152&gt;0),'模拟-模拟计算'!F152," ")</f>
        <v>20</v>
      </c>
      <c r="F127" s="51" t="str">
        <f ca="1">IF(AND(INT('模拟-模拟计算'!B152)&lt;='模拟-模拟计算'!$C$2,'模拟-模拟计算'!B152&gt;0),'模拟-模拟计算'!P152," ")</f>
        <v>会</v>
      </c>
      <c r="G127" s="52">
        <f ca="1">IF(AND(INT('模拟-模拟计算'!B152)&lt;='模拟-模拟计算'!$C$2,'模拟-模拟计算'!B152&gt;0),'模拟-模拟计算'!V152," ")</f>
        <v>182541.2211190153</v>
      </c>
      <c r="H127" s="52">
        <f ca="1">IF(AND(INT('模拟-模拟计算'!B152)&lt;='模拟-模拟计算'!$C$2,'模拟-模拟计算'!B152&gt;0),'模拟-模拟计算'!Y152," ")</f>
        <v>190858.9425199338</v>
      </c>
      <c r="I127" s="105">
        <f ca="1">IF(AND(INT('模拟-模拟计算'!B152)&lt;='模拟-模拟计算'!$C$2,'模拟-模拟计算'!B152&gt;0),'模拟-模拟计算'!AA152," ")</f>
        <v>114333.16657878345</v>
      </c>
    </row>
    <row r="128" spans="1:9" x14ac:dyDescent="0.2">
      <c r="A128" s="20">
        <f>INT('模拟-模拟计算'!B153+0.5)</f>
        <v>116</v>
      </c>
      <c r="B128" s="52">
        <f>IF(AND(INT('模拟-模拟计算'!B153)&lt;='模拟-模拟计算'!$C$2,'模拟-模拟计算'!B153&gt;0),'模拟-模拟计算'!B153," ")</f>
        <v>116.23499999999994</v>
      </c>
      <c r="C128" s="51" t="str">
        <f ca="1">IF(AND(INT('模拟-模拟计算'!B153)&lt;='模拟-模拟计算'!$C$2,'模拟-模拟计算'!B153&gt;0),'模拟-模拟计算'!C153," ")</f>
        <v>净世破魔击·日</v>
      </c>
      <c r="D128" s="104">
        <f ca="1">IF(AND(INT('模拟-模拟计算'!B153)&lt;='模拟-模拟计算'!$C$2,'模拟-模拟计算'!B153&gt;0),'模拟-模拟计算'!E153," ")</f>
        <v>0</v>
      </c>
      <c r="E128" s="104">
        <f ca="1">IF(AND(INT('模拟-模拟计算'!B153)&lt;='模拟-模拟计算'!$C$2,'模拟-模拟计算'!B153&gt;0),'模拟-模拟计算'!F153," ")</f>
        <v>20</v>
      </c>
      <c r="F128" s="51" t="str">
        <f ca="1">IF(AND(INT('模拟-模拟计算'!B153)&lt;='模拟-模拟计算'!$C$2,'模拟-模拟计算'!B153&gt;0),'模拟-模拟计算'!P153," ")</f>
        <v>会</v>
      </c>
      <c r="G128" s="52">
        <f ca="1">IF(AND(INT('模拟-模拟计算'!B153)&lt;='模拟-模拟计算'!$C$2,'模拟-模拟计算'!B153&gt;0),'模拟-模拟计算'!V153," ")</f>
        <v>204517.60843249681</v>
      </c>
      <c r="H128" s="52">
        <f ca="1">IF(AND(INT('模拟-模拟计算'!B153)&lt;='模拟-模拟计算'!$C$2,'模拟-模拟计算'!B153&gt;0),'模拟-模拟计算'!Y153," ")</f>
        <v>248401.66590074444</v>
      </c>
      <c r="I128" s="105">
        <f ca="1">IF(AND(INT('模拟-模拟计算'!B153)&lt;='模拟-模拟计算'!$C$2,'模拟-模拟计算'!B153&gt;0),'模拟-模拟计算'!AA153," ")</f>
        <v>115562.82476893114</v>
      </c>
    </row>
    <row r="129" spans="1:9" x14ac:dyDescent="0.2">
      <c r="A129" s="20">
        <f>INT('模拟-模拟计算'!B154+0.5)</f>
        <v>117</v>
      </c>
      <c r="B129" s="52">
        <f>IF(AND(INT('模拟-模拟计算'!B154)&lt;='模拟-模拟计算'!$C$2,'模拟-模拟计算'!B154&gt;0),'模拟-模拟计算'!B154," ")</f>
        <v>117.15749999999994</v>
      </c>
      <c r="C129" s="51" t="str">
        <f ca="1">IF(AND(INT('模拟-模拟计算'!B154)&lt;='模拟-模拟计算'!$C$2,'模拟-模拟计算'!B154&gt;0),'模拟-模拟计算'!C154," ")</f>
        <v>赤日轮1</v>
      </c>
      <c r="D129" s="104">
        <f ca="1">IF(AND(INT('模拟-模拟计算'!B154)&lt;='模拟-模拟计算'!$C$2,'模拟-模拟计算'!B154&gt;0),'模拟-模拟计算'!E154," ")</f>
        <v>20</v>
      </c>
      <c r="E129" s="104">
        <f ca="1">IF(AND(INT('模拟-模拟计算'!B154)&lt;='模拟-模拟计算'!$C$2,'模拟-模拟计算'!B154&gt;0),'模拟-模拟计算'!F154," ")</f>
        <v>20</v>
      </c>
      <c r="F129" s="51" t="str">
        <f ca="1">IF(AND(INT('模拟-模拟计算'!B154)&lt;='模拟-模拟计算'!$C$2,'模拟-模拟计算'!B154&gt;0),'模拟-模拟计算'!P154," ")</f>
        <v>命</v>
      </c>
      <c r="G129" s="52">
        <f ca="1">IF(AND(INT('模拟-模拟计算'!B154)&lt;='模拟-模拟计算'!$C$2,'模拟-模拟计算'!B154&gt;0),'模拟-模拟计算'!V154," ")</f>
        <v>26295.771631143321</v>
      </c>
      <c r="H129" s="52">
        <f ca="1">IF(AND(INT('模拟-模拟计算'!B154)&lt;='模拟-模拟计算'!$C$2,'模拟-模拟计算'!B154&gt;0),'模拟-模拟计算'!Y154," ")</f>
        <v>26657.282274690369</v>
      </c>
      <c r="I129" s="105">
        <f ca="1">IF(AND(INT('模拟-模拟计算'!B154)&lt;='模拟-模拟计算'!$C$2,'模拟-模拟计算'!B154&gt;0),'模拟-模拟计算'!AA154," ")</f>
        <v>114880.41499085762</v>
      </c>
    </row>
    <row r="130" spans="1:9" x14ac:dyDescent="0.2">
      <c r="A130" s="20">
        <f>INT('模拟-模拟计算'!B155+0.5)</f>
        <v>118</v>
      </c>
      <c r="B130" s="52">
        <f>IF(AND(INT('模拟-模拟计算'!B155)&lt;='模拟-模拟计算'!$C$2,'模拟-模拟计算'!B155&gt;0),'模拟-模拟计算'!B155," ")</f>
        <v>118.07999999999994</v>
      </c>
      <c r="C130" s="51" t="str">
        <f ca="1">IF(AND(INT('模拟-模拟计算'!B155)&lt;='模拟-模拟计算'!$C$2,'模拟-模拟计算'!B155&gt;0),'模拟-模拟计算'!C155," ")</f>
        <v>银月斩</v>
      </c>
      <c r="D130" s="104">
        <f ca="1">IF(AND(INT('模拟-模拟计算'!B155)&lt;='模拟-模拟计算'!$C$2,'模拟-模拟计算'!B155&gt;0),'模拟-模拟计算'!E155," ")</f>
        <v>20</v>
      </c>
      <c r="E130" s="104">
        <f ca="1">IF(AND(INT('模拟-模拟计算'!B155)&lt;='模拟-模拟计算'!$C$2,'模拟-模拟计算'!B155&gt;0),'模拟-模拟计算'!F155," ")</f>
        <v>65</v>
      </c>
      <c r="F130" s="51" t="str">
        <f ca="1">IF(AND(INT('模拟-模拟计算'!B155)&lt;='模拟-模拟计算'!$C$2,'模拟-模拟计算'!B155&gt;0),'模拟-模拟计算'!P155," ")</f>
        <v>命</v>
      </c>
      <c r="G130" s="52">
        <f ca="1">IF(AND(INT('模拟-模拟计算'!B155)&lt;='模拟-模拟计算'!$C$2,'模拟-模拟计算'!B155&gt;0),'模拟-模拟计算'!V155," ")</f>
        <v>18215.255972688272</v>
      </c>
      <c r="H130" s="52">
        <f ca="1">IF(AND(INT('模拟-模拟计算'!B155)&lt;='模拟-模拟计算'!$C$2,'模拟-模拟计算'!B155&gt;0),'模拟-模拟计算'!Y155," ")</f>
        <v>31685.6756704162</v>
      </c>
      <c r="I130" s="105">
        <f ca="1">IF(AND(INT('模拟-模拟计算'!B155)&lt;='模拟-模拟计算'!$C$2,'模拟-模拟计算'!B155&gt;0),'模拟-模拟计算'!AA155," ")</f>
        <v>114251.25249798287</v>
      </c>
    </row>
    <row r="131" spans="1:9" x14ac:dyDescent="0.2">
      <c r="A131" s="20">
        <f>INT('模拟-模拟计算'!B156+0.5)</f>
        <v>119</v>
      </c>
      <c r="B131" s="52">
        <f>IF(AND(INT('模拟-模拟计算'!B156)&lt;='模拟-模拟计算'!$C$2,'模拟-模拟计算'!B156&gt;0),'模拟-模拟计算'!B156," ")</f>
        <v>119.00249999999994</v>
      </c>
      <c r="C131" s="51" t="str">
        <f ca="1">IF(AND(INT('模拟-模拟计算'!B156)&lt;='模拟-模拟计算'!$C$2,'模拟-模拟计算'!B156&gt;0),'模拟-模拟计算'!C156," ")</f>
        <v>驱夜断愁</v>
      </c>
      <c r="D131" s="104">
        <f ca="1">IF(AND(INT('模拟-模拟计算'!B156)&lt;='模拟-模拟计算'!$C$2,'模拟-模拟计算'!B156&gt;0),'模拟-模拟计算'!E156," ")</f>
        <v>40</v>
      </c>
      <c r="E131" s="104">
        <f ca="1">IF(AND(INT('模拟-模拟计算'!B156)&lt;='模拟-模拟计算'!$C$2,'模拟-模拟计算'!B156&gt;0),'模拟-模拟计算'!F156," ")</f>
        <v>85</v>
      </c>
      <c r="F131" s="51" t="str">
        <f ca="1">IF(AND(INT('模拟-模拟计算'!B156)&lt;='模拟-模拟计算'!$C$2,'模拟-模拟计算'!B156&gt;0),'模拟-模拟计算'!P156," ")</f>
        <v>命</v>
      </c>
      <c r="G131" s="52">
        <f ca="1">IF(AND(INT('模拟-模拟计算'!B156)&lt;='模拟-模拟计算'!$C$2,'模拟-模拟计算'!B156&gt;0),'模拟-模拟计算'!V156," ")</f>
        <v>61540.073489592025</v>
      </c>
      <c r="H131" s="52">
        <f ca="1">IF(AND(INT('模拟-模拟计算'!B156)&lt;='模拟-模拟计算'!$C$2,'模拟-模拟计算'!B156&gt;0),'模拟-模拟计算'!Y156," ")</f>
        <v>62263.094776686121</v>
      </c>
      <c r="I131" s="105">
        <f ca="1">IF(AND(INT('模拟-模拟计算'!B156)&lt;='模拟-模拟计算'!$C$2,'模拟-模拟计算'!B156&gt;0),'模拟-模拟计算'!AA156," ")</f>
        <v>113888.79216603437</v>
      </c>
    </row>
    <row r="132" spans="1:9" x14ac:dyDescent="0.2">
      <c r="A132" s="20">
        <f>INT('模拟-模拟计算'!B157+0.5)</f>
        <v>120</v>
      </c>
      <c r="B132" s="52">
        <f>IF(AND(INT('模拟-模拟计算'!B157)&lt;='模拟-模拟计算'!$C$2,'模拟-模拟计算'!B157&gt;0),'模拟-模拟计算'!B157," ")</f>
        <v>119.92499999999994</v>
      </c>
      <c r="C132" s="51" t="str">
        <f ca="1">IF(AND(INT('模拟-模拟计算'!B157)&lt;='模拟-模拟计算'!$C$2,'模拟-模拟计算'!B157&gt;0),'模拟-模拟计算'!C157," ")</f>
        <v>烈日斩</v>
      </c>
      <c r="D132" s="104">
        <f ca="1">IF(AND(INT('模拟-模拟计算'!B157)&lt;='模拟-模拟计算'!$C$2,'模拟-模拟计算'!B157&gt;0),'模拟-模拟计算'!E157," ")</f>
        <v>80</v>
      </c>
      <c r="E132" s="104">
        <f ca="1">IF(AND(INT('模拟-模拟计算'!B157)&lt;='模拟-模拟计算'!$C$2,'模拟-模拟计算'!B157&gt;0),'模拟-模拟计算'!F157," ")</f>
        <v>85</v>
      </c>
      <c r="F132" s="51" t="str">
        <f ca="1">IF(AND(INT('模拟-模拟计算'!B157)&lt;='模拟-模拟计算'!$C$2,'模拟-模拟计算'!B157&gt;0),'模拟-模拟计算'!P157," ")</f>
        <v>会</v>
      </c>
      <c r="G132" s="52">
        <f ca="1">IF(AND(INT('模拟-模拟计算'!B157)&lt;='模拟-模拟计算'!$C$2,'模拟-模拟计算'!B157&gt;0),'模拟-模拟计算'!V157," ")</f>
        <v>110503.35617153208</v>
      </c>
      <c r="H132" s="52">
        <f ca="1">IF(AND(INT('模拟-模拟计算'!B157)&lt;='模拟-模拟计算'!$C$2,'模拟-模拟计算'!B157&gt;0),'模拟-模拟计算'!Y157," ")</f>
        <v>140217.22261846621</v>
      </c>
      <c r="I132" s="105">
        <f ca="1">IF(AND(INT('模拟-模拟计算'!B157)&lt;='模拟-模拟计算'!$C$2,'模拟-模拟计算'!B157&gt;0),'模拟-模拟计算'!AA157," ")</f>
        <v>114181.93214389803</v>
      </c>
    </row>
    <row r="133" spans="1:9" x14ac:dyDescent="0.2">
      <c r="A133" s="20">
        <f>INT('模拟-模拟计算'!B158+0.5)</f>
        <v>121</v>
      </c>
      <c r="B133" s="52">
        <f>IF(AND(INT('模拟-模拟计算'!B158)&lt;='模拟-模拟计算'!$C$2,'模拟-模拟计算'!B158&gt;0),'模拟-模拟计算'!B158," ")</f>
        <v>120.84749999999994</v>
      </c>
      <c r="C133" s="51" t="str">
        <f ca="1">IF(AND(INT('模拟-模拟计算'!B158)&lt;='模拟-模拟计算'!$C$2,'模拟-模拟计算'!B158&gt;0),'模拟-模拟计算'!C158," ")</f>
        <v>幽月轮1</v>
      </c>
      <c r="D133" s="104">
        <f ca="1">IF(AND(INT('模拟-模拟计算'!B158)&lt;='模拟-模拟计算'!$C$2,'模拟-模拟计算'!B158&gt;0),'模拟-模拟计算'!E158," ")</f>
        <v>80</v>
      </c>
      <c r="E133" s="104">
        <f ca="1">IF(AND(INT('模拟-模拟计算'!B158)&lt;='模拟-模拟计算'!$C$2,'模拟-模拟计算'!B158&gt;0),'模拟-模拟计算'!F158," ")</f>
        <v>100</v>
      </c>
      <c r="F133" s="51" t="str">
        <f ca="1">IF(AND(INT('模拟-模拟计算'!B158)&lt;='模拟-模拟计算'!$C$2,'模拟-模拟计算'!B158&gt;0),'模拟-模拟计算'!P158," ")</f>
        <v>命</v>
      </c>
      <c r="G133" s="52">
        <f ca="1">IF(AND(INT('模拟-模拟计算'!B158)&lt;='模拟-模拟计算'!$C$2,'模拟-模拟计算'!B158&gt;0),'模拟-模拟计算'!V158," ")</f>
        <v>16939.18703301924</v>
      </c>
      <c r="H133" s="52">
        <f ca="1">IF(AND(INT('模拟-模拟计算'!B158)&lt;='模拟-模拟计算'!$C$2,'模拟-模拟计算'!B158&gt;0),'模拟-模拟计算'!Y158," ")</f>
        <v>17300.697676566288</v>
      </c>
      <c r="I133" s="105">
        <f ca="1">IF(AND(INT('模拟-模拟计算'!B158)&lt;='模拟-模拟计算'!$C$2,'模拟-模拟计算'!B158&gt;0),'模拟-模拟计算'!AA158," ")</f>
        <v>113453.4757445006</v>
      </c>
    </row>
    <row r="134" spans="1:9" x14ac:dyDescent="0.2">
      <c r="A134" s="20">
        <f>INT('模拟-模拟计算'!B159+0.5)</f>
        <v>122</v>
      </c>
      <c r="B134" s="52">
        <f>IF(AND(INT('模拟-模拟计算'!B159)&lt;='模拟-模拟计算'!$C$2,'模拟-模拟计算'!B159&gt;0),'模拟-模拟计算'!B159," ")</f>
        <v>121.76999999999994</v>
      </c>
      <c r="C134" s="51" t="str">
        <f ca="1">IF(AND(INT('模拟-模拟计算'!B159)&lt;='模拟-模拟计算'!$C$2,'模拟-模拟计算'!B159&gt;0),'模拟-模拟计算'!C159," ")</f>
        <v>净世破魔击·月</v>
      </c>
      <c r="D134" s="104">
        <f ca="1">IF(AND(INT('模拟-模拟计算'!B159)&lt;='模拟-模拟计算'!$C$2,'模拟-模拟计算'!B159&gt;0),'模拟-模拟计算'!E159," ")</f>
        <v>100</v>
      </c>
      <c r="E134" s="104">
        <f ca="1">IF(AND(INT('模拟-模拟计算'!B159)&lt;='模拟-模拟计算'!$C$2,'模拟-模拟计算'!B159&gt;0),'模拟-模拟计算'!F159," ")</f>
        <v>20</v>
      </c>
      <c r="F134" s="51" t="str">
        <f ca="1">IF(AND(INT('模拟-模拟计算'!B159)&lt;='模拟-模拟计算'!$C$2,'模拟-模拟计算'!B159&gt;0),'模拟-模拟计算'!P159," ")</f>
        <v>命</v>
      </c>
      <c r="G134" s="52">
        <f ca="1">IF(AND(INT('模拟-模拟计算'!B159)&lt;='模拟-模拟计算'!$C$2,'模拟-模拟计算'!B159&gt;0),'模拟-模拟计算'!V159," ")</f>
        <v>84412.793434348554</v>
      </c>
      <c r="H134" s="52">
        <f ca="1">IF(AND(INT('模拟-模拟计算'!B159)&lt;='模拟-模拟计算'!$C$2,'模拟-模拟计算'!B159&gt;0),'模拟-模拟计算'!Y159," ")</f>
        <v>136697.99825638815</v>
      </c>
      <c r="I134" s="105">
        <f ca="1">IF(AND(INT('模拟-模拟计算'!B159)&lt;='模拟-模拟计算'!$C$2,'模拟-模拟计算'!B159&gt;0),'模拟-模拟计算'!AA159," ")</f>
        <v>113716.57147318654</v>
      </c>
    </row>
    <row r="135" spans="1:9" x14ac:dyDescent="0.2">
      <c r="A135" s="20">
        <f>INT('模拟-模拟计算'!B160+0.5)</f>
        <v>123</v>
      </c>
      <c r="B135" s="52">
        <f>IF(AND(INT('模拟-模拟计算'!B160)&lt;='模拟-模拟计算'!$C$2,'模拟-模拟计算'!B160&gt;0),'模拟-模拟计算'!B160," ")</f>
        <v>122.69249999999994</v>
      </c>
      <c r="C135" s="51" t="str">
        <f ca="1">IF(AND(INT('模拟-模拟计算'!B160)&lt;='模拟-模拟计算'!$C$2,'模拟-模拟计算'!B160&gt;0),'模拟-模拟计算'!C160," ")</f>
        <v>净世破魔击·日</v>
      </c>
      <c r="D135" s="104">
        <f ca="1">IF(AND(INT('模拟-模拟计算'!B160)&lt;='模拟-模拟计算'!$C$2,'模拟-模拟计算'!B160&gt;0),'模拟-模拟计算'!E160," ")</f>
        <v>0</v>
      </c>
      <c r="E135" s="104">
        <f ca="1">IF(AND(INT('模拟-模拟计算'!B160)&lt;='模拟-模拟计算'!$C$2,'模拟-模拟计算'!B160&gt;0),'模拟-模拟计算'!F160," ")</f>
        <v>20</v>
      </c>
      <c r="F135" s="51" t="str">
        <f ca="1">IF(AND(INT('模拟-模拟计算'!B160)&lt;='模拟-模拟计算'!$C$2,'模拟-模拟计算'!B160&gt;0),'模拟-模拟计算'!P160," ")</f>
        <v>命</v>
      </c>
      <c r="G135" s="52">
        <f ca="1">IF(AND(INT('模拟-模拟计算'!B160)&lt;='模拟-模拟计算'!$C$2,'模拟-模拟计算'!B160&gt;0),'模拟-模拟计算'!V160," ")</f>
        <v>94575.365106402023</v>
      </c>
      <c r="H135" s="52">
        <f ca="1">IF(AND(INT('模拟-模拟计算'!B160)&lt;='模拟-模拟计算'!$C$2,'模拟-模拟计算'!B160&gt;0),'模拟-模拟计算'!Y160," ")</f>
        <v>114497.32327781571</v>
      </c>
      <c r="I135" s="105">
        <f ca="1">IF(AND(INT('模拟-模拟计算'!B160)&lt;='模拟-模拟计算'!$C$2,'模拟-模拟计算'!B160&gt;0),'模拟-模拟计算'!AA160," ")</f>
        <v>113794.76521847499</v>
      </c>
    </row>
    <row r="136" spans="1:9" x14ac:dyDescent="0.2">
      <c r="A136" s="20">
        <f>INT('模拟-模拟计算'!B161+0.5)</f>
        <v>124</v>
      </c>
      <c r="B136" s="52">
        <f>IF(AND(INT('模拟-模拟计算'!B161)&lt;='模拟-模拟计算'!$C$2,'模拟-模拟计算'!B161&gt;0),'模拟-模拟计算'!B161," ")</f>
        <v>123.61499999999994</v>
      </c>
      <c r="C136" s="51" t="str">
        <f ca="1">IF(AND(INT('模拟-模拟计算'!B161)&lt;='模拟-模拟计算'!$C$2,'模拟-模拟计算'!B161&gt;0),'模拟-模拟计算'!C161," ")</f>
        <v>赤日轮1</v>
      </c>
      <c r="D136" s="104">
        <f ca="1">IF(AND(INT('模拟-模拟计算'!B161)&lt;='模拟-模拟计算'!$C$2,'模拟-模拟计算'!B161&gt;0),'模拟-模拟计算'!E161," ")</f>
        <v>20</v>
      </c>
      <c r="E136" s="104">
        <f ca="1">IF(AND(INT('模拟-模拟计算'!B161)&lt;='模拟-模拟计算'!$C$2,'模拟-模拟计算'!B161&gt;0),'模拟-模拟计算'!F161," ")</f>
        <v>20</v>
      </c>
      <c r="F136" s="51" t="str">
        <f ca="1">IF(AND(INT('模拟-模拟计算'!B161)&lt;='模拟-模拟计算'!$C$2,'模拟-模拟计算'!B161&gt;0),'模拟-模拟计算'!P161," ")</f>
        <v>会</v>
      </c>
      <c r="G136" s="52">
        <f ca="1">IF(AND(INT('模拟-模拟计算'!B161)&lt;='模拟-模拟计算'!$C$2,'模拟-模拟计算'!B161&gt;0),'模拟-模拟计算'!V161," ")</f>
        <v>56864.156113360666</v>
      </c>
      <c r="H136" s="52">
        <f ca="1">IF(AND(INT('模拟-模拟计算'!B161)&lt;='模拟-模拟计算'!$C$2,'模拟-模拟计算'!B161&gt;0),'模拟-模拟计算'!Y161," ")</f>
        <v>91944.191339154466</v>
      </c>
      <c r="I136" s="105">
        <f ca="1">IF(AND(INT('模拟-模拟计算'!B161)&lt;='模拟-模拟计算'!$C$2,'模拟-模拟计算'!B161&gt;0),'模拟-模拟计算'!AA161," ")</f>
        <v>113689.34532950609</v>
      </c>
    </row>
    <row r="137" spans="1:9" x14ac:dyDescent="0.2">
      <c r="A137" s="20">
        <f>INT('模拟-模拟计算'!B162+0.5)</f>
        <v>125</v>
      </c>
      <c r="B137" s="52">
        <f>IF(AND(INT('模拟-模拟计算'!B162)&lt;='模拟-模拟计算'!$C$2,'模拟-模拟计算'!B162&gt;0),'模拟-模拟计算'!B162," ")</f>
        <v>124.53749999999994</v>
      </c>
      <c r="C137" s="51" t="str">
        <f ca="1">IF(AND(INT('模拟-模拟计算'!B162)&lt;='模拟-模拟计算'!$C$2,'模拟-模拟计算'!B162&gt;0),'模拟-模拟计算'!C162," ")</f>
        <v>银月斩</v>
      </c>
      <c r="D137" s="104">
        <f ca="1">IF(AND(INT('模拟-模拟计算'!B162)&lt;='模拟-模拟计算'!$C$2,'模拟-模拟计算'!B162&gt;0),'模拟-模拟计算'!E162," ")</f>
        <v>20</v>
      </c>
      <c r="E137" s="104">
        <f ca="1">IF(AND(INT('模拟-模拟计算'!B162)&lt;='模拟-模拟计算'!$C$2,'模拟-模拟计算'!B162&gt;0),'模拟-模拟计算'!F162," ")</f>
        <v>65</v>
      </c>
      <c r="F137" s="51" t="str">
        <f ca="1">IF(AND(INT('模拟-模拟计算'!B162)&lt;='模拟-模拟计算'!$C$2,'模拟-模拟计算'!B162&gt;0),'模拟-模拟计算'!P162," ")</f>
        <v>会</v>
      </c>
      <c r="G137" s="52">
        <f ca="1">IF(AND(INT('模拟-模拟计算'!B162)&lt;='模拟-模拟计算'!$C$2,'模拟-模拟计算'!B162&gt;0),'模拟-模拟计算'!V162," ")</f>
        <v>41211.704893206668</v>
      </c>
      <c r="H137" s="52">
        <f ca="1">IF(AND(INT('模拟-模拟计算'!B162)&lt;='模拟-模拟计算'!$C$2,'模拟-模拟计算'!B162&gt;0),'模拟-模拟计算'!Y162," ")</f>
        <v>41573.21553675372</v>
      </c>
      <c r="I137" s="105">
        <f ca="1">IF(AND(INT('模拟-模拟计算'!B162)&lt;='模拟-模拟计算'!$C$2,'模拟-模拟计算'!B162&gt;0),'模拟-模拟计算'!AA162," ")</f>
        <v>113181.02289225053</v>
      </c>
    </row>
    <row r="138" spans="1:9" x14ac:dyDescent="0.2">
      <c r="A138" s="20">
        <f>INT('模拟-模拟计算'!B163+0.5)</f>
        <v>125</v>
      </c>
      <c r="B138" s="52">
        <f>IF(AND(INT('模拟-模拟计算'!B163)&lt;='模拟-模拟计算'!$C$2,'模拟-模拟计算'!B163&gt;0),'模拟-模拟计算'!B163," ")</f>
        <v>125.45999999999994</v>
      </c>
      <c r="C138" s="51" t="str">
        <f ca="1">IF(AND(INT('模拟-模拟计算'!B163)&lt;='模拟-模拟计算'!$C$2,'模拟-模拟计算'!B163&gt;0),'模拟-模拟计算'!C163," ")</f>
        <v>驱夜断愁</v>
      </c>
      <c r="D138" s="104">
        <f ca="1">IF(AND(INT('模拟-模拟计算'!B163)&lt;='模拟-模拟计算'!$C$2,'模拟-模拟计算'!B163&gt;0),'模拟-模拟计算'!E163," ")</f>
        <v>40</v>
      </c>
      <c r="E138" s="104">
        <f ca="1">IF(AND(INT('模拟-模拟计算'!B163)&lt;='模拟-模拟计算'!$C$2,'模拟-模拟计算'!B163&gt;0),'模拟-模拟计算'!F163," ")</f>
        <v>85</v>
      </c>
      <c r="F138" s="51" t="str">
        <f ca="1">IF(AND(INT('模拟-模拟计算'!B163)&lt;='模拟-模拟计算'!$C$2,'模拟-模拟计算'!B163&gt;0),'模拟-模拟计算'!P163," ")</f>
        <v>命</v>
      </c>
      <c r="G138" s="52">
        <f ca="1">IF(AND(INT('模拟-模拟计算'!B163)&lt;='模拟-模拟计算'!$C$2,'模拟-模拟计算'!B163&gt;0),'模拟-模拟计算'!V163," ")</f>
        <v>61540.073489592025</v>
      </c>
      <c r="H138" s="52">
        <f ca="1">IF(AND(INT('模拟-模拟计算'!B163)&lt;='模拟-模拟计算'!$C$2,'模拟-模拟计算'!B163&gt;0),'模拟-模拟计算'!Y163," ")</f>
        <v>78121.474964859401</v>
      </c>
      <c r="I138" s="105">
        <f ca="1">IF(AND(INT('模拟-模拟计算'!B163)&lt;='模拟-模拟计算'!$C$2,'模拟-模拟计算'!B163&gt;0),'模拟-模拟计算'!AA163," ")</f>
        <v>112971.48982471314</v>
      </c>
    </row>
    <row r="139" spans="1:9" x14ac:dyDescent="0.2">
      <c r="A139" s="20">
        <f>INT('模拟-模拟计算'!B164+0.5)</f>
        <v>126</v>
      </c>
      <c r="B139" s="52">
        <f>IF(AND(INT('模拟-模拟计算'!B164)&lt;='模拟-模拟计算'!$C$2,'模拟-模拟计算'!B164&gt;0),'模拟-模拟计算'!B164," ")</f>
        <v>126.38249999999994</v>
      </c>
      <c r="C139" s="51" t="str">
        <f ca="1">IF(AND(INT('模拟-模拟计算'!B164)&lt;='模拟-模拟计算'!$C$2,'模拟-模拟计算'!B164&gt;0),'模拟-模拟计算'!C164," ")</f>
        <v>烈日斩</v>
      </c>
      <c r="D139" s="104">
        <f ca="1">IF(AND(INT('模拟-模拟计算'!B164)&lt;='模拟-模拟计算'!$C$2,'模拟-模拟计算'!B164&gt;0),'模拟-模拟计算'!E164," ")</f>
        <v>80</v>
      </c>
      <c r="E139" s="104">
        <f ca="1">IF(AND(INT('模拟-模拟计算'!B164)&lt;='模拟-模拟计算'!$C$2,'模拟-模拟计算'!B164&gt;0),'模拟-模拟计算'!F164," ")</f>
        <v>85</v>
      </c>
      <c r="F139" s="51" t="str">
        <f ca="1">IF(AND(INT('模拟-模拟计算'!B164)&lt;='模拟-模拟计算'!$C$2,'模拟-模拟计算'!B164&gt;0),'模拟-模拟计算'!P164," ")</f>
        <v>命</v>
      </c>
      <c r="G139" s="52">
        <f ca="1">IF(AND(INT('模拟-模拟计算'!B164)&lt;='模拟-模拟计算'!$C$2,'模拟-模拟计算'!B164&gt;0),'模拟-模拟计算'!V164," ")</f>
        <v>48841.631854871324</v>
      </c>
      <c r="H139" s="52">
        <f ca="1">IF(AND(INT('模拟-模拟计算'!B164)&lt;='模拟-模拟计算'!$C$2,'模拟-模拟计算'!B164&gt;0),'模拟-模拟计算'!Y164," ")</f>
        <v>49203.142498418369</v>
      </c>
      <c r="I139" s="105">
        <f ca="1">IF(AND(INT('模拟-模拟计算'!B164)&lt;='模拟-模拟计算'!$C$2,'模拟-模拟计算'!B164&gt;0),'模拟-模拟计算'!AA164," ")</f>
        <v>112536.19967880781</v>
      </c>
    </row>
    <row r="140" spans="1:9" x14ac:dyDescent="0.2">
      <c r="A140" s="20">
        <f>INT('模拟-模拟计算'!B165+0.5)</f>
        <v>127</v>
      </c>
      <c r="B140" s="52">
        <f>IF(AND(INT('模拟-模拟计算'!B165)&lt;='模拟-模拟计算'!$C$2,'模拟-模拟计算'!B165&gt;0),'模拟-模拟计算'!B165," ")</f>
        <v>127.30499999999994</v>
      </c>
      <c r="C140" s="51" t="str">
        <f ca="1">IF(AND(INT('模拟-模拟计算'!B165)&lt;='模拟-模拟计算'!$C$2,'模拟-模拟计算'!B165&gt;0),'模拟-模拟计算'!C165," ")</f>
        <v>幽月轮1</v>
      </c>
      <c r="D140" s="104">
        <f ca="1">IF(AND(INT('模拟-模拟计算'!B165)&lt;='模拟-模拟计算'!$C$2,'模拟-模拟计算'!B165&gt;0),'模拟-模拟计算'!E165," ")</f>
        <v>80</v>
      </c>
      <c r="E140" s="104">
        <f ca="1">IF(AND(INT('模拟-模拟计算'!B165)&lt;='模拟-模拟计算'!$C$2,'模拟-模拟计算'!B165&gt;0),'模拟-模拟计算'!F165," ")</f>
        <v>100</v>
      </c>
      <c r="F140" s="51" t="str">
        <f ca="1">IF(AND(INT('模拟-模拟计算'!B165)&lt;='模拟-模拟计算'!$C$2,'模拟-模拟计算'!B165&gt;0),'模拟-模拟计算'!P165," ")</f>
        <v>命</v>
      </c>
      <c r="G140" s="52">
        <f ca="1">IF(AND(INT('模拟-模拟计算'!B165)&lt;='模拟-模拟计算'!$C$2,'模拟-模拟计算'!B165&gt;0),'模拟-模拟计算'!V165," ")</f>
        <v>16939.18703301924</v>
      </c>
      <c r="H140" s="52">
        <f ca="1">IF(AND(INT('模拟-模拟计算'!B165)&lt;='模拟-模拟计算'!$C$2,'模拟-模拟计算'!B165&gt;0),'模拟-模拟计算'!Y165," ")</f>
        <v>41564.043502990309</v>
      </c>
      <c r="I140" s="105">
        <f ca="1">IF(AND(INT('模拟-模拟计算'!B165)&lt;='模拟-模拟计算'!$C$2,'模拟-模拟计算'!B165&gt;0),'模拟-模拟计算'!AA165," ")</f>
        <v>112047.21180951195</v>
      </c>
    </row>
    <row r="141" spans="1:9" x14ac:dyDescent="0.2">
      <c r="A141" s="20">
        <f>INT('模拟-模拟计算'!B166+0.5)</f>
        <v>128</v>
      </c>
      <c r="B141" s="52">
        <f>IF(AND(INT('模拟-模拟计算'!B166)&lt;='模拟-模拟计算'!$C$2,'模拟-模拟计算'!B166&gt;0),'模拟-模拟计算'!B166," ")</f>
        <v>128.22749999999994</v>
      </c>
      <c r="C141" s="51" t="str">
        <f ca="1">IF(AND(INT('模拟-模拟计算'!B166)&lt;='模拟-模拟计算'!$C$2,'模拟-模拟计算'!B166&gt;0),'模拟-模拟计算'!C166," ")</f>
        <v>净世破魔击·月</v>
      </c>
      <c r="D141" s="104">
        <f ca="1">IF(AND(INT('模拟-模拟计算'!B166)&lt;='模拟-模拟计算'!$C$2,'模拟-模拟计算'!B166&gt;0),'模拟-模拟计算'!E166," ")</f>
        <v>100</v>
      </c>
      <c r="E141" s="104">
        <f ca="1">IF(AND(INT('模拟-模拟计算'!B166)&lt;='模拟-模拟计算'!$C$2,'模拟-模拟计算'!B166&gt;0),'模拟-模拟计算'!F166," ")</f>
        <v>20</v>
      </c>
      <c r="F141" s="51" t="str">
        <f ca="1">IF(AND(INT('模拟-模拟计算'!B166)&lt;='模拟-模拟计算'!$C$2,'模拟-模拟计算'!B166&gt;0),'模拟-模拟计算'!P166," ")</f>
        <v>命</v>
      </c>
      <c r="G141" s="52">
        <f ca="1">IF(AND(INT('模拟-模拟计算'!B166)&lt;='模拟-模拟计算'!$C$2,'模拟-模拟计算'!B166&gt;0),'模拟-模拟计算'!V166," ")</f>
        <v>98481.592340073315</v>
      </c>
      <c r="H141" s="52">
        <f ca="1">IF(AND(INT('模拟-模拟计算'!B166)&lt;='模拟-模拟计算'!$C$2,'模拟-模拟计算'!B166&gt;0),'模拟-模拟计算'!Y166," ")</f>
        <v>106799.31374099181</v>
      </c>
      <c r="I141" s="105">
        <f ca="1">IF(AND(INT('模拟-模拟计算'!B166)&lt;='模拟-模拟计算'!$C$2,'模拟-模拟计算'!B166&gt;0),'模拟-模拟计算'!AA166," ")</f>
        <v>112074.00606851814</v>
      </c>
    </row>
    <row r="142" spans="1:9" x14ac:dyDescent="0.2">
      <c r="A142" s="20">
        <f>INT('模拟-模拟计算'!B167+0.5)</f>
        <v>129</v>
      </c>
      <c r="B142" s="52">
        <f>IF(AND(INT('模拟-模拟计算'!B167)&lt;='模拟-模拟计算'!$C$2,'模拟-模拟计算'!B167&gt;0),'模拟-模拟计算'!B167," ")</f>
        <v>129.14999999999995</v>
      </c>
      <c r="C142" s="51" t="str">
        <f ca="1">IF(AND(INT('模拟-模拟计算'!B167)&lt;='模拟-模拟计算'!$C$2,'模拟-模拟计算'!B167&gt;0),'模拟-模拟计算'!C167," ")</f>
        <v>净世破魔击·日</v>
      </c>
      <c r="D142" s="104">
        <f ca="1">IF(AND(INT('模拟-模拟计算'!B167)&lt;='模拟-模拟计算'!$C$2,'模拟-模拟计算'!B167&gt;0),'模拟-模拟计算'!E167," ")</f>
        <v>0</v>
      </c>
      <c r="E142" s="104">
        <f ca="1">IF(AND(INT('模拟-模拟计算'!B167)&lt;='模拟-模拟计算'!$C$2,'模拟-模拟计算'!B167&gt;0),'模拟-模拟计算'!F167," ")</f>
        <v>100</v>
      </c>
      <c r="F142" s="51" t="str">
        <f ca="1">IF(AND(INT('模拟-模拟计算'!B167)&lt;='模拟-模拟计算'!$C$2,'模拟-模拟计算'!B167&gt;0),'模拟-模拟计算'!P167," ")</f>
        <v>识</v>
      </c>
      <c r="G142" s="52">
        <f ca="1">IF(AND(INT('模拟-模拟计算'!B167)&lt;='模拟-模拟计算'!$C$2,'模拟-模拟计算'!B167&gt;0),'模拟-模拟计算'!V167," ")</f>
        <v>27584.481489367259</v>
      </c>
      <c r="H142" s="52">
        <f ca="1">IF(AND(INT('模拟-模拟计算'!B167)&lt;='模拟-模拟计算'!$C$2,'模拟-模拟计算'!B167&gt;0),'模拟-模拟计算'!Y167," ")</f>
        <v>82142.882465647883</v>
      </c>
      <c r="I142" s="105">
        <f ca="1">IF(AND(INT('模拟-模拟计算'!B167)&lt;='模拟-模拟计算'!$C$2,'模拟-模拟计算'!B167&gt;0),'模拟-模拟计算'!AA167," ")</f>
        <v>111909.50441824665</v>
      </c>
    </row>
    <row r="143" spans="1:9" x14ac:dyDescent="0.2">
      <c r="A143" s="20">
        <f>INT('模拟-模拟计算'!B168+0.5)</f>
        <v>130</v>
      </c>
      <c r="B143" s="52">
        <f>IF(AND(INT('模拟-模拟计算'!B168)&lt;='模拟-模拟计算'!$C$2,'模拟-模拟计算'!B168&gt;0),'模拟-模拟计算'!B168," ")</f>
        <v>130.07249999999996</v>
      </c>
      <c r="C143" s="51" t="str">
        <f ca="1">IF(AND(INT('模拟-模拟计算'!B168)&lt;='模拟-模拟计算'!$C$2,'模拟-模拟计算'!B168&gt;0),'模拟-模拟计算'!C168," ")</f>
        <v>净世破魔击·月</v>
      </c>
      <c r="D143" s="104">
        <f ca="1">IF(AND(INT('模拟-模拟计算'!B168)&lt;='模拟-模拟计算'!$C$2,'模拟-模拟计算'!B168&gt;0),'模拟-模拟计算'!E168," ")</f>
        <v>20</v>
      </c>
      <c r="E143" s="104">
        <f ca="1">IF(AND(INT('模拟-模拟计算'!B168)&lt;='模拟-模拟计算'!$C$2,'模拟-模拟计算'!B168&gt;0),'模拟-模拟计算'!F168," ")</f>
        <v>20</v>
      </c>
      <c r="F143" s="51" t="str">
        <f ca="1">IF(AND(INT('模拟-模拟计算'!B168)&lt;='模拟-模拟计算'!$C$2,'模拟-模拟计算'!B168&gt;0),'模拟-模拟计算'!P168," ")</f>
        <v>会</v>
      </c>
      <c r="G143" s="52">
        <f ca="1">IF(AND(INT('模拟-模拟计算'!B168)&lt;='模拟-模拟计算'!$C$2,'模拟-模拟计算'!B168&gt;0),'模拟-模拟计算'!V168," ")</f>
        <v>121694.14741267689</v>
      </c>
      <c r="H143" s="52">
        <f ca="1">IF(AND(INT('模拟-模拟计算'!B168)&lt;='模拟-模拟计算'!$C$2,'模拟-模拟计算'!B168&gt;0),'模拟-模拟计算'!Y168," ")</f>
        <v>130011.86881359539</v>
      </c>
      <c r="I143" s="105">
        <f ca="1">IF(AND(INT('模拟-模拟计算'!B168)&lt;='模拟-模拟计算'!$C$2,'模拟-模拟计算'!B168&gt;0),'模拟-模拟计算'!AA168," ")</f>
        <v>112115.35385596608</v>
      </c>
    </row>
    <row r="144" spans="1:9" x14ac:dyDescent="0.2">
      <c r="A144" s="20">
        <f>INT('模拟-模拟计算'!B169+0.5)</f>
        <v>131</v>
      </c>
      <c r="B144" s="52">
        <f>IF(AND(INT('模拟-模拟计算'!B169)&lt;='模拟-模拟计算'!$C$2,'模拟-模拟计算'!B169&gt;0),'模拟-模拟计算'!B169," ")</f>
        <v>130.99499999999998</v>
      </c>
      <c r="C144" s="51" t="str">
        <f ca="1">IF(AND(INT('模拟-模拟计算'!B169)&lt;='模拟-模拟计算'!$C$2,'模拟-模拟计算'!B169&gt;0),'模拟-模拟计算'!C169," ")</f>
        <v>银月斩</v>
      </c>
      <c r="D144" s="104">
        <f ca="1">IF(AND(INT('模拟-模拟计算'!B169)&lt;='模拟-模拟计算'!$C$2,'模拟-模拟计算'!B169&gt;0),'模拟-模拟计算'!E169," ")</f>
        <v>20</v>
      </c>
      <c r="E144" s="104">
        <f ca="1">IF(AND(INT('模拟-模拟计算'!B169)&lt;='模拟-模拟计算'!$C$2,'模拟-模拟计算'!B169&gt;0),'模拟-模拟计算'!F169," ")</f>
        <v>65</v>
      </c>
      <c r="F144" s="51" t="str">
        <f ca="1">IF(AND(INT('模拟-模拟计算'!B169)&lt;='模拟-模拟计算'!$C$2,'模拟-模拟计算'!B169&gt;0),'模拟-模拟计算'!P169," ")</f>
        <v>会</v>
      </c>
      <c r="G144" s="52">
        <f ca="1">IF(AND(INT('模拟-模拟计算'!B169)&lt;='模拟-模拟计算'!$C$2,'模拟-模拟计算'!B169&gt;0),'模拟-模拟计算'!V169," ")</f>
        <v>49855.474753700611</v>
      </c>
      <c r="H144" s="52">
        <f ca="1">IF(AND(INT('模拟-模拟计算'!B169)&lt;='模拟-模拟计算'!$C$2,'模拟-模拟计算'!B169&gt;0),'模拟-模拟计算'!Y169," ")</f>
        <v>66075.365585420921</v>
      </c>
      <c r="I144" s="105">
        <f ca="1">IF(AND(INT('模拟-模拟计算'!B169)&lt;='模拟-模拟计算'!$C$2,'模拟-模拟计算'!B169&gt;0),'模拟-模拟计算'!AA169," ")</f>
        <v>111830.22046654885</v>
      </c>
    </row>
    <row r="145" spans="1:9" x14ac:dyDescent="0.2">
      <c r="A145" s="20">
        <f>INT('模拟-模拟计算'!B170+0.5)</f>
        <v>132</v>
      </c>
      <c r="B145" s="52">
        <f>IF(AND(INT('模拟-模拟计算'!B170)&lt;='模拟-模拟计算'!$C$2,'模拟-模拟计算'!B170&gt;0),'模拟-模拟计算'!B170," ")</f>
        <v>131.91749999999999</v>
      </c>
      <c r="C145" s="51" t="str">
        <f ca="1">IF(AND(INT('模拟-模拟计算'!B170)&lt;='模拟-模拟计算'!$C$2,'模拟-模拟计算'!B170&gt;0),'模拟-模拟计算'!C170," ")</f>
        <v>驱夜断愁</v>
      </c>
      <c r="D145" s="104">
        <f ca="1">IF(AND(INT('模拟-模拟计算'!B170)&lt;='模拟-模拟计算'!$C$2,'模拟-模拟计算'!B170&gt;0),'模拟-模拟计算'!E170," ")</f>
        <v>40</v>
      </c>
      <c r="E145" s="104">
        <f ca="1">IF(AND(INT('模拟-模拟计算'!B170)&lt;='模拟-模拟计算'!$C$2,'模拟-模拟计算'!B170&gt;0),'模拟-模拟计算'!F170," ")</f>
        <v>85</v>
      </c>
      <c r="F145" s="51" t="str">
        <f ca="1">IF(AND(INT('模拟-模拟计算'!B170)&lt;='模拟-模拟计算'!$C$2,'模拟-模拟计算'!B170&gt;0),'模拟-模拟计算'!P170," ")</f>
        <v>会</v>
      </c>
      <c r="G145" s="52">
        <f ca="1">IF(AND(INT('模拟-模拟计算'!B170)&lt;='模拟-模拟计算'!$C$2,'模拟-模拟计算'!B170&gt;0),'模拟-模拟计算'!V170," ")</f>
        <v>133079.35569364758</v>
      </c>
      <c r="H145" s="52">
        <f ca="1">IF(AND(INT('模拟-模拟计算'!B170)&lt;='模拟-模拟计算'!$C$2,'模拟-模拟计算'!B170&gt;0),'模拟-模拟计算'!Y170," ")</f>
        <v>133802.37698074168</v>
      </c>
      <c r="I145" s="105">
        <f ca="1">IF(AND(INT('模拟-模拟计算'!B170)&lt;='模拟-模拟计算'!$C$2,'模拟-模拟计算'!B170&gt;0),'模拟-模拟计算'!AA170," ")</f>
        <v>112062.47925405127</v>
      </c>
    </row>
    <row r="146" spans="1:9" x14ac:dyDescent="0.2">
      <c r="A146" s="20">
        <f>INT('模拟-模拟计算'!B171+0.5)</f>
        <v>133</v>
      </c>
      <c r="B146" s="52">
        <f>IF(AND(INT('模拟-模拟计算'!B171)&lt;='模拟-模拟计算'!$C$2,'模拟-模拟计算'!B171&gt;0),'模拟-模拟计算'!B171," ")</f>
        <v>132.84</v>
      </c>
      <c r="C146" s="51" t="str">
        <f ca="1">IF(AND(INT('模拟-模拟计算'!B171)&lt;='模拟-模拟计算'!$C$2,'模拟-模拟计算'!B171&gt;0),'模拟-模拟计算'!C171," ")</f>
        <v>烈日斩</v>
      </c>
      <c r="D146" s="104">
        <f ca="1">IF(AND(INT('模拟-模拟计算'!B171)&lt;='模拟-模拟计算'!$C$2,'模拟-模拟计算'!B171&gt;0),'模拟-模拟计算'!E171," ")</f>
        <v>80</v>
      </c>
      <c r="E146" s="104">
        <f ca="1">IF(AND(INT('模拟-模拟计算'!B171)&lt;='模拟-模拟计算'!$C$2,'模拟-模拟计算'!B171&gt;0),'模拟-模拟计算'!F171," ")</f>
        <v>85</v>
      </c>
      <c r="F146" s="51" t="str">
        <f ca="1">IF(AND(INT('模拟-模拟计算'!B171)&lt;='模拟-模拟计算'!$C$2,'模拟-模拟计算'!B171&gt;0),'模拟-模拟计算'!P171," ")</f>
        <v>会</v>
      </c>
      <c r="G146" s="52">
        <f ca="1">IF(AND(INT('模拟-模拟计算'!B171)&lt;='模拟-模拟计算'!$C$2,'模拟-模拟计算'!B171&gt;0),'模拟-模拟计算'!V171," ")</f>
        <v>110503.35617153208</v>
      </c>
      <c r="H146" s="52">
        <f ca="1">IF(AND(INT('模拟-模拟计算'!B171)&lt;='模拟-模拟计算'!$C$2,'模拟-模拟计算'!B171&gt;0),'模拟-模拟计算'!Y171," ")</f>
        <v>140217.22261846621</v>
      </c>
      <c r="I146" s="105">
        <f ca="1">IF(AND(INT('模拟-模拟计算'!B171)&lt;='模拟-模拟计算'!$C$2,'模拟-模拟计算'!B171&gt;0),'模拟-模拟计算'!AA171," ")</f>
        <v>112339.80224040028</v>
      </c>
    </row>
    <row r="147" spans="1:9" x14ac:dyDescent="0.2">
      <c r="A147" s="20">
        <f>INT('模拟-模拟计算'!B172+0.5)</f>
        <v>134</v>
      </c>
      <c r="B147" s="52">
        <f>IF(AND(INT('模拟-模拟计算'!B172)&lt;='模拟-模拟计算'!$C$2,'模拟-模拟计算'!B172&gt;0),'模拟-模拟计算'!B172," ")</f>
        <v>133.76250000000002</v>
      </c>
      <c r="C147" s="51" t="str">
        <f ca="1">IF(AND(INT('模拟-模拟计算'!B172)&lt;='模拟-模拟计算'!$C$2,'模拟-模拟计算'!B172&gt;0),'模拟-模拟计算'!C172," ")</f>
        <v>幽月轮1</v>
      </c>
      <c r="D147" s="104">
        <f ca="1">IF(AND(INT('模拟-模拟计算'!B172)&lt;='模拟-模拟计算'!$C$2,'模拟-模拟计算'!B172&gt;0),'模拟-模拟计算'!E172," ")</f>
        <v>80</v>
      </c>
      <c r="E147" s="104">
        <f ca="1">IF(AND(INT('模拟-模拟计算'!B172)&lt;='模拟-模拟计算'!$C$2,'模拟-模拟计算'!B172&gt;0),'模拟-模拟计算'!F172," ")</f>
        <v>100</v>
      </c>
      <c r="F147" s="51" t="str">
        <f ca="1">IF(AND(INT('模拟-模拟计算'!B172)&lt;='模拟-模拟计算'!$C$2,'模拟-模拟计算'!B172&gt;0),'模拟-模拟计算'!P172," ")</f>
        <v>命</v>
      </c>
      <c r="G147" s="52">
        <f ca="1">IF(AND(INT('模拟-模拟计算'!B172)&lt;='模拟-模拟计算'!$C$2,'模拟-模拟计算'!B172&gt;0),'模拟-模拟计算'!V172," ")</f>
        <v>16939.18703301924</v>
      </c>
      <c r="H147" s="52">
        <f ca="1">IF(AND(INT('模拟-模拟计算'!B172)&lt;='模拟-模拟计算'!$C$2,'模拟-模拟计算'!B172&gt;0),'模拟-模拟计算'!Y172," ")</f>
        <v>17300.697676566288</v>
      </c>
      <c r="I147" s="105">
        <f ca="1">IF(AND(INT('模拟-模拟计算'!B172)&lt;='模拟-模拟计算'!$C$2,'模拟-模拟计算'!B172&gt;0),'模拟-模拟计算'!AA172," ")</f>
        <v>111694.38390648602</v>
      </c>
    </row>
    <row r="148" spans="1:9" x14ac:dyDescent="0.2">
      <c r="A148" s="20">
        <f>INT('模拟-模拟计算'!B173+0.5)</f>
        <v>135</v>
      </c>
      <c r="B148" s="52">
        <f>IF(AND(INT('模拟-模拟计算'!B173)&lt;='模拟-模拟计算'!$C$2,'模拟-模拟计算'!B173&gt;0),'模拟-模拟计算'!B173," ")</f>
        <v>134.68500000000003</v>
      </c>
      <c r="C148" s="51" t="str">
        <f ca="1">IF(AND(INT('模拟-模拟计算'!B173)&lt;='模拟-模拟计算'!$C$2,'模拟-模拟计算'!B173&gt;0),'模拟-模拟计算'!C173," ")</f>
        <v>净世破魔击·月</v>
      </c>
      <c r="D148" s="104">
        <f ca="1">IF(AND(INT('模拟-模拟计算'!B173)&lt;='模拟-模拟计算'!$C$2,'模拟-模拟计算'!B173&gt;0),'模拟-模拟计算'!E173," ")</f>
        <v>100</v>
      </c>
      <c r="E148" s="104">
        <f ca="1">IF(AND(INT('模拟-模拟计算'!B173)&lt;='模拟-模拟计算'!$C$2,'模拟-模拟计算'!B173&gt;0),'模拟-模拟计算'!F173," ")</f>
        <v>20</v>
      </c>
      <c r="F148" s="51" t="str">
        <f ca="1">IF(AND(INT('模拟-模拟计算'!B173)&lt;='模拟-模拟计算'!$C$2,'模拟-模拟计算'!B173&gt;0),'模拟-模拟计算'!P173," ")</f>
        <v>会</v>
      </c>
      <c r="G148" s="52">
        <f ca="1">IF(AND(INT('模拟-模拟计算'!B173)&lt;='模拟-模拟计算'!$C$2,'模拟-模拟计算'!B173&gt;0),'模拟-模拟计算'!V173," ")</f>
        <v>182541.2211190153</v>
      </c>
      <c r="H148" s="52">
        <f ca="1">IF(AND(INT('模拟-模拟计算'!B173)&lt;='模拟-模拟计算'!$C$2,'模拟-模拟计算'!B173&gt;0),'模拟-模拟计算'!Y173," ")</f>
        <v>212083.49148696678</v>
      </c>
      <c r="I148" s="105">
        <f ca="1">IF(AND(INT('模拟-模拟计算'!B173)&lt;='模拟-模拟计算'!$C$2,'模拟-模拟计算'!B173&gt;0),'模拟-模拟计算'!AA173," ")</f>
        <v>112504.01691931768</v>
      </c>
    </row>
    <row r="149" spans="1:9" x14ac:dyDescent="0.2">
      <c r="A149" s="20">
        <f>INT('模拟-模拟计算'!B174+0.5)</f>
        <v>136</v>
      </c>
      <c r="B149" s="52">
        <f>IF(AND(INT('模拟-模拟计算'!B174)&lt;='模拟-模拟计算'!$C$2,'模拟-模拟计算'!B174&gt;0),'模拟-模拟计算'!B174," ")</f>
        <v>135.60750000000004</v>
      </c>
      <c r="C149" s="51" t="str">
        <f ca="1">IF(AND(INT('模拟-模拟计算'!B174)&lt;='模拟-模拟计算'!$C$2,'模拟-模拟计算'!B174&gt;0),'模拟-模拟计算'!C174," ")</f>
        <v>净世破魔击·日</v>
      </c>
      <c r="D149" s="104">
        <f ca="1">IF(AND(INT('模拟-模拟计算'!B174)&lt;='模拟-模拟计算'!$C$2,'模拟-模拟计算'!B174&gt;0),'模拟-模拟计算'!E174," ")</f>
        <v>0</v>
      </c>
      <c r="E149" s="104">
        <f ca="1">IF(AND(INT('模拟-模拟计算'!B174)&lt;='模拟-模拟计算'!$C$2,'模拟-模拟计算'!B174&gt;0),'模拟-模拟计算'!F174," ")</f>
        <v>20</v>
      </c>
      <c r="F149" s="51" t="str">
        <f ca="1">IF(AND(INT('模拟-模拟计算'!B174)&lt;='模拟-模拟计算'!$C$2,'模拟-模拟计算'!B174&gt;0),'模拟-模拟计算'!P174," ")</f>
        <v>会</v>
      </c>
      <c r="G149" s="52">
        <f ca="1">IF(AND(INT('模拟-模拟计算'!B174)&lt;='模拟-模拟计算'!$C$2,'模拟-模拟计算'!B174&gt;0),'模拟-模拟计算'!V174," ")</f>
        <v>210198.65311117729</v>
      </c>
      <c r="H149" s="52">
        <f ca="1">IF(AND(INT('模拟-模拟计算'!B174)&lt;='模拟-模拟计算'!$C$2,'模拟-模拟计算'!B174&gt;0),'模拟-模拟计算'!Y174," ")</f>
        <v>219761.90857312854</v>
      </c>
      <c r="I149" s="105">
        <f ca="1">IF(AND(INT('模拟-模拟计算'!B174)&lt;='模拟-模拟计算'!$C$2,'模拟-模拟计算'!B174&gt;0),'模拟-模拟计算'!AA174," ")</f>
        <v>113359.25687997662</v>
      </c>
    </row>
    <row r="150" spans="1:9" x14ac:dyDescent="0.2">
      <c r="A150" s="20">
        <f>INT('模拟-模拟计算'!B175+0.5)</f>
        <v>137</v>
      </c>
      <c r="B150" s="52">
        <f>IF(AND(INT('模拟-模拟计算'!B175)&lt;='模拟-模拟计算'!$C$2,'模拟-模拟计算'!B175&gt;0),'模拟-模拟计算'!B175," ")</f>
        <v>136.53000000000006</v>
      </c>
      <c r="C150" s="51" t="str">
        <f ca="1">IF(AND(INT('模拟-模拟计算'!B175)&lt;='模拟-模拟计算'!$C$2,'模拟-模拟计算'!B175&gt;0),'模拟-模拟计算'!C175," ")</f>
        <v>赤日轮1</v>
      </c>
      <c r="D150" s="104">
        <f ca="1">IF(AND(INT('模拟-模拟计算'!B175)&lt;='模拟-模拟计算'!$C$2,'模拟-模拟计算'!B175&gt;0),'模拟-模拟计算'!E175," ")</f>
        <v>20</v>
      </c>
      <c r="E150" s="104">
        <f ca="1">IF(AND(INT('模拟-模拟计算'!B175)&lt;='模拟-模拟计算'!$C$2,'模拟-模拟计算'!B175&gt;0),'模拟-模拟计算'!F175," ")</f>
        <v>20</v>
      </c>
      <c r="F150" s="51" t="str">
        <f ca="1">IF(AND(INT('模拟-模拟计算'!B175)&lt;='模拟-模拟计算'!$C$2,'模拟-模拟计算'!B175&gt;0),'模拟-模拟计算'!P175," ")</f>
        <v>命</v>
      </c>
      <c r="G150" s="52">
        <f ca="1">IF(AND(INT('模拟-模拟计算'!B175)&lt;='模拟-模拟计算'!$C$2,'模拟-模拟计算'!B175&gt;0),'模拟-模拟计算'!V175," ")</f>
        <v>27469.690007533645</v>
      </c>
      <c r="H150" s="52">
        <f ca="1">IF(AND(INT('模拟-模拟计算'!B175)&lt;='模拟-模拟计算'!$C$2,'模拟-模拟计算'!B175&gt;0),'模拟-模拟计算'!Y175," ")</f>
        <v>34983.661949911831</v>
      </c>
      <c r="I150" s="105">
        <f ca="1">IF(AND(INT('模拟-模拟计算'!B175)&lt;='模拟-模拟计算'!$C$2,'模拟-模拟计算'!B175&gt;0),'模拟-模拟计算'!AA175," ")</f>
        <v>112849.55020362807</v>
      </c>
    </row>
    <row r="151" spans="1:9" x14ac:dyDescent="0.2">
      <c r="A151" s="20">
        <f>INT('模拟-模拟计算'!B176+0.5)</f>
        <v>137</v>
      </c>
      <c r="B151" s="52">
        <f>IF(AND(INT('模拟-模拟计算'!B176)&lt;='模拟-模拟计算'!$C$2,'模拟-模拟计算'!B176&gt;0),'模拟-模拟计算'!B176," ")</f>
        <v>137.45250000000007</v>
      </c>
      <c r="C151" s="51" t="str">
        <f ca="1">IF(AND(INT('模拟-模拟计算'!B176)&lt;='模拟-模拟计算'!$C$2,'模拟-模拟计算'!B176&gt;0),'模拟-模拟计算'!C176," ")</f>
        <v>银月斩</v>
      </c>
      <c r="D151" s="104">
        <f ca="1">IF(AND(INT('模拟-模拟计算'!B176)&lt;='模拟-模拟计算'!$C$2,'模拟-模拟计算'!B176&gt;0),'模拟-模拟计算'!E176," ")</f>
        <v>100</v>
      </c>
      <c r="E151" s="104">
        <f ca="1">IF(AND(INT('模拟-模拟计算'!B176)&lt;='模拟-模拟计算'!$C$2,'模拟-模拟计算'!B176&gt;0),'模拟-模拟计算'!F176," ")</f>
        <v>65</v>
      </c>
      <c r="F151" s="51" t="str">
        <f ca="1">IF(AND(INT('模拟-模拟计算'!B176)&lt;='模拟-模拟计算'!$C$2,'模拟-模拟计算'!B176&gt;0),'模拟-模拟计算'!P176," ")</f>
        <v>会</v>
      </c>
      <c r="G151" s="52">
        <f ca="1">IF(AND(INT('模拟-模拟计算'!B176)&lt;='模拟-模拟计算'!$C$2,'模拟-模拟计算'!B176&gt;0),'模拟-模拟计算'!V176," ")</f>
        <v>43003.518149433054</v>
      </c>
      <c r="H151" s="52">
        <f ca="1">IF(AND(INT('模拟-模拟计算'!B176)&lt;='模拟-模拟计算'!$C$2,'模拟-模拟计算'!B176&gt;0),'模拟-模拟计算'!Y176," ")</f>
        <v>43365.028792980098</v>
      </c>
      <c r="I151" s="105">
        <f ca="1">IF(AND(INT('模拟-模拟计算'!B176)&lt;='模拟-模拟计算'!$C$2,'模拟-模拟计算'!B176&gt;0),'模拟-模拟计算'!AA176," ")</f>
        <v>112407.6616874507</v>
      </c>
    </row>
    <row r="152" spans="1:9" x14ac:dyDescent="0.2">
      <c r="A152" s="20">
        <f>INT('模拟-模拟计算'!B177+0.5)</f>
        <v>138</v>
      </c>
      <c r="B152" s="52">
        <f>IF(AND(INT('模拟-模拟计算'!B177)&lt;='模拟-模拟计算'!$C$2,'模拟-模拟计算'!B177&gt;0),'模拟-模拟计算'!B177," ")</f>
        <v>138.37500000000009</v>
      </c>
      <c r="C152" s="51" t="str">
        <f ca="1">IF(AND(INT('模拟-模拟计算'!B177)&lt;='模拟-模拟计算'!$C$2,'模拟-模拟计算'!B177&gt;0),'模拟-模拟计算'!C177," ")</f>
        <v>净世破魔击·日</v>
      </c>
      <c r="D152" s="104">
        <f ca="1">IF(AND(INT('模拟-模拟计算'!B177)&lt;='模拟-模拟计算'!$C$2,'模拟-模拟计算'!B177&gt;0),'模拟-模拟计算'!E177," ")</f>
        <v>0</v>
      </c>
      <c r="E152" s="104">
        <f ca="1">IF(AND(INT('模拟-模拟计算'!B177)&lt;='模拟-模拟计算'!$C$2,'模拟-模拟计算'!B177&gt;0),'模拟-模拟计算'!F177," ")</f>
        <v>100</v>
      </c>
      <c r="F152" s="51" t="str">
        <f ca="1">IF(AND(INT('模拟-模拟计算'!B177)&lt;='模拟-模拟计算'!$C$2,'模拟-模拟计算'!B177&gt;0),'模拟-模拟计算'!P177," ")</f>
        <v>会</v>
      </c>
      <c r="G152" s="52">
        <f ca="1">IF(AND(INT('模拟-模拟计算'!B177)&lt;='模拟-模拟计算'!$C$2,'模拟-模拟计算'!B177&gt;0),'模拟-模拟计算'!V177," ")</f>
        <v>210198.65311117729</v>
      </c>
      <c r="H152" s="52">
        <f ca="1">IF(AND(INT('模拟-模拟计算'!B177)&lt;='模拟-模拟计算'!$C$2,'模拟-模拟计算'!B177&gt;0),'模拟-模拟计算'!Y177," ")</f>
        <v>240986.45754016153</v>
      </c>
      <c r="I152" s="105">
        <f ca="1">IF(AND(INT('模拟-模拟计算'!B177)&lt;='模拟-模拟计算'!$C$2,'模拟-模拟计算'!B177&gt;0),'模拟-模拟计算'!AA177," ")</f>
        <v>113399.82349148674</v>
      </c>
    </row>
    <row r="153" spans="1:9" x14ac:dyDescent="0.2">
      <c r="A153" s="20">
        <f>INT('模拟-模拟计算'!B178+0.5)</f>
        <v>139</v>
      </c>
      <c r="B153" s="52">
        <f>IF(AND(INT('模拟-模拟计算'!B178)&lt;='模拟-模拟计算'!$C$2,'模拟-模拟计算'!B178&gt;0),'模拟-模拟计算'!B178," ")</f>
        <v>139.2975000000001</v>
      </c>
      <c r="C153" s="51" t="str">
        <f ca="1">IF(AND(INT('模拟-模拟计算'!B178)&lt;='模拟-模拟计算'!$C$2,'模拟-模拟计算'!B178&gt;0),'模拟-模拟计算'!C178," ")</f>
        <v>净世破魔击·月</v>
      </c>
      <c r="D153" s="104">
        <f ca="1">IF(AND(INT('模拟-模拟计算'!B178)&lt;='模拟-模拟计算'!$C$2,'模拟-模拟计算'!B178&gt;0),'模拟-模拟计算'!E178," ")</f>
        <v>100</v>
      </c>
      <c r="E153" s="104">
        <f ca="1">IF(AND(INT('模拟-模拟计算'!B178)&lt;='模拟-模拟计算'!$C$2,'模拟-模拟计算'!B178&gt;0),'模拟-模拟计算'!F178," ")</f>
        <v>20</v>
      </c>
      <c r="F153" s="51" t="str">
        <f ca="1">IF(AND(INT('模拟-模拟计算'!B178)&lt;='模拟-模拟计算'!$C$2,'模拟-模拟计算'!B178&gt;0),'模拟-模拟计算'!P178," ")</f>
        <v>会</v>
      </c>
      <c r="G153" s="52">
        <f ca="1">IF(AND(INT('模拟-模拟计算'!B178)&lt;='模拟-模拟计算'!$C$2,'模拟-模拟计算'!B178&gt;0),'模拟-模拟计算'!V178," ")</f>
        <v>126764.73688820505</v>
      </c>
      <c r="H153" s="52">
        <f ca="1">IF(AND(INT('模拟-模拟计算'!B178)&lt;='模拟-模拟计算'!$C$2,'模拟-模拟计算'!B178&gt;0),'模拟-模拟计算'!Y178," ")</f>
        <v>135082.45828912355</v>
      </c>
      <c r="I153" s="105">
        <f ca="1">IF(AND(INT('模拟-模拟计算'!B178)&lt;='模拟-模拟计算'!$C$2,'模拟-模拟计算'!B178&gt;0),'模拟-模拟计算'!AA178," ")</f>
        <v>113618.57200541001</v>
      </c>
    </row>
    <row r="154" spans="1:9" x14ac:dyDescent="0.2">
      <c r="A154" s="20">
        <f>INT('模拟-模拟计算'!B179+0.5)</f>
        <v>140</v>
      </c>
      <c r="B154" s="52">
        <f>IF(AND(INT('模拟-模拟计算'!B179)&lt;='模拟-模拟计算'!$C$2,'模拟-模拟计算'!B179&gt;0),'模拟-模拟计算'!B179," ")</f>
        <v>140.22000000000011</v>
      </c>
      <c r="C154" s="51" t="str">
        <f ca="1">IF(AND(INT('模拟-模拟计算'!B179)&lt;='模拟-模拟计算'!$C$2,'模拟-模拟计算'!B179&gt;0),'模拟-模拟计算'!C179," ")</f>
        <v>净世破魔击·日</v>
      </c>
      <c r="D154" s="104">
        <f ca="1">IF(AND(INT('模拟-模拟计算'!B179)&lt;='模拟-模拟计算'!$C$2,'模拟-模拟计算'!B179&gt;0),'模拟-模拟计算'!E179," ")</f>
        <v>0</v>
      </c>
      <c r="E154" s="104">
        <f ca="1">IF(AND(INT('模拟-模拟计算'!B179)&lt;='模拟-模拟计算'!$C$2,'模拟-模拟计算'!B179&gt;0),'模拟-模拟计算'!F179," ")</f>
        <v>100</v>
      </c>
      <c r="F154" s="51" t="str">
        <f ca="1">IF(AND(INT('模拟-模拟计算'!B179)&lt;='模拟-模拟计算'!$C$2,'模拟-模拟计算'!B179&gt;0),'模拟-模拟计算'!P179," ")</f>
        <v>命</v>
      </c>
      <c r="G154" s="52">
        <f ca="1">IF(AND(INT('模拟-模拟计算'!B179)&lt;='模拟-模拟计算'!$C$2,'模拟-模拟计算'!B179&gt;0),'模拟-模拟计算'!V179," ")</f>
        <v>65677.336879445851</v>
      </c>
      <c r="H154" s="52">
        <f ca="1">IF(AND(INT('模拟-模拟计算'!B179)&lt;='模拟-模拟计算'!$C$2,'模拟-模拟计算'!B179&gt;0),'模拟-模拟计算'!Y179," ")</f>
        <v>109959.11692364389</v>
      </c>
      <c r="I154" s="105">
        <f ca="1">IF(AND(INT('模拟-模拟计算'!B179)&lt;='模拟-模拟计算'!$C$2,'模拟-模拟计算'!B179&gt;0),'模拟-模拟计算'!AA179," ")</f>
        <v>113655.27136533477</v>
      </c>
    </row>
    <row r="155" spans="1:9" x14ac:dyDescent="0.2">
      <c r="A155" s="20">
        <f>INT('模拟-模拟计算'!B180+0.5)</f>
        <v>141</v>
      </c>
      <c r="B155" s="52">
        <f>IF(AND(INT('模拟-模拟计算'!B180)&lt;='模拟-模拟计算'!$C$2,'模拟-模拟计算'!B180&gt;0),'模拟-模拟计算'!B180," ")</f>
        <v>141.14250000000013</v>
      </c>
      <c r="C155" s="51" t="str">
        <f ca="1">IF(AND(INT('模拟-模拟计算'!B180)&lt;='模拟-模拟计算'!$C$2,'模拟-模拟计算'!B180&gt;0),'模拟-模拟计算'!C180," ")</f>
        <v>净世破魔击·月</v>
      </c>
      <c r="D155" s="104">
        <f ca="1">IF(AND(INT('模拟-模拟计算'!B180)&lt;='模拟-模拟计算'!$C$2,'模拟-模拟计算'!B180&gt;0),'模拟-模拟计算'!E180," ")</f>
        <v>100</v>
      </c>
      <c r="E155" s="104">
        <f ca="1">IF(AND(INT('模拟-模拟计算'!B180)&lt;='模拟-模拟计算'!$C$2,'模拟-模拟计算'!B180&gt;0),'模拟-模拟计算'!F180," ")</f>
        <v>20</v>
      </c>
      <c r="F155" s="51" t="str">
        <f ca="1">IF(AND(INT('模拟-模拟计算'!B180)&lt;='模拟-模拟计算'!$C$2,'模拟-模拟计算'!B180&gt;0),'模拟-模拟计算'!P180," ")</f>
        <v>命</v>
      </c>
      <c r="G155" s="52">
        <f ca="1">IF(AND(INT('模拟-模拟计算'!B180)&lt;='模拟-模拟计算'!$C$2,'模拟-模拟计算'!B180&gt;0),'模拟-模拟计算'!V180," ")</f>
        <v>58619.995440519822</v>
      </c>
      <c r="H155" s="52">
        <f ca="1">IF(AND(INT('模拟-模拟计算'!B180)&lt;='模拟-模拟计算'!$C$2,'模拟-模拟计算'!B180&gt;0),'模拟-模拟计算'!Y180," ")</f>
        <v>66937.71684143832</v>
      </c>
      <c r="I155" s="105">
        <f ca="1">IF(AND(INT('模拟-模拟计算'!B180)&lt;='模拟-模拟计算'!$C$2,'模拟-模拟计算'!B180&gt;0),'模拟-模拟计算'!AA180," ")</f>
        <v>113386.68273332751</v>
      </c>
    </row>
    <row r="156" spans="1:9" x14ac:dyDescent="0.2">
      <c r="A156" s="20">
        <f>INT('模拟-模拟计算'!B181+0.5)</f>
        <v>142</v>
      </c>
      <c r="B156" s="52">
        <f>IF(AND(INT('模拟-模拟计算'!B181)&lt;='模拟-模拟计算'!$C$2,'模拟-模拟计算'!B181&gt;0),'模拟-模拟计算'!B181," ")</f>
        <v>142.06500000000014</v>
      </c>
      <c r="C156" s="51" t="str">
        <f ca="1">IF(AND(INT('模拟-模拟计算'!B181)&lt;='模拟-模拟计算'!$C$2,'模拟-模拟计算'!B181&gt;0),'模拟-模拟计算'!C181," ")</f>
        <v>净世破魔击·日</v>
      </c>
      <c r="D156" s="104">
        <f ca="1">IF(AND(INT('模拟-模拟计算'!B181)&lt;='模拟-模拟计算'!$C$2,'模拟-模拟计算'!B181&gt;0),'模拟-模拟计算'!E181," ")</f>
        <v>0</v>
      </c>
      <c r="E156" s="104">
        <f ca="1">IF(AND(INT('模拟-模拟计算'!B181)&lt;='模拟-模拟计算'!$C$2,'模拟-模拟计算'!B181&gt;0),'模拟-模拟计算'!F181," ")</f>
        <v>100</v>
      </c>
      <c r="F156" s="51" t="str">
        <f ca="1">IF(AND(INT('模拟-模拟计算'!B181)&lt;='模拟-模拟计算'!$C$2,'模拟-模拟计算'!B181&gt;0),'模拟-模拟计算'!P181," ")</f>
        <v>会</v>
      </c>
      <c r="G156" s="52">
        <f ca="1">IF(AND(INT('模拟-模拟计算'!B181)&lt;='模拟-模拟计算'!$C$2,'模拟-模拟计算'!B181&gt;0),'模拟-模拟计算'!V181," ")</f>
        <v>142026.11696701168</v>
      </c>
      <c r="H156" s="52">
        <f ca="1">IF(AND(INT('模拟-模拟计算'!B181)&lt;='模拟-模拟计算'!$C$2,'模拟-模拟计算'!B181&gt;0),'模拟-模拟计算'!Y181," ")</f>
        <v>188030.4829126448</v>
      </c>
      <c r="I156" s="105">
        <f ca="1">IF(AND(INT('模拟-模拟计算'!B181)&lt;='模拟-模拟计算'!$C$2,'模拟-模拟计算'!B181&gt;0),'模拟-模拟计算'!AA181," ")</f>
        <v>113973.95805160541</v>
      </c>
    </row>
    <row r="157" spans="1:9" x14ac:dyDescent="0.2">
      <c r="A157" s="20">
        <f>INT('模拟-模拟计算'!B182+0.5)</f>
        <v>143</v>
      </c>
      <c r="B157" s="52">
        <f>IF(AND(INT('模拟-模拟计算'!B182)&lt;='模拟-模拟计算'!$C$2,'模拟-模拟计算'!B182&gt;0),'模拟-模拟计算'!B182," ")</f>
        <v>142.98750000000015</v>
      </c>
      <c r="C157" s="51" t="str">
        <f ca="1">IF(AND(INT('模拟-模拟计算'!B182)&lt;='模拟-模拟计算'!$C$2,'模拟-模拟计算'!B182&gt;0),'模拟-模拟计算'!C182," ")</f>
        <v>净世破魔击·月</v>
      </c>
      <c r="D157" s="104">
        <f ca="1">IF(AND(INT('模拟-模拟计算'!B182)&lt;='模拟-模拟计算'!$C$2,'模拟-模拟计算'!B182&gt;0),'模拟-模拟计算'!E182," ")</f>
        <v>20</v>
      </c>
      <c r="E157" s="104">
        <f ca="1">IF(AND(INT('模拟-模拟计算'!B182)&lt;='模拟-模拟计算'!$C$2,'模拟-模拟计算'!B182&gt;0),'模拟-模拟计算'!F182," ")</f>
        <v>20</v>
      </c>
      <c r="F157" s="51" t="str">
        <f ca="1">IF(AND(INT('模拟-模拟计算'!B182)&lt;='模拟-模拟计算'!$C$2,'模拟-模拟计算'!B182&gt;0),'模拟-模拟计算'!P182," ")</f>
        <v>会</v>
      </c>
      <c r="G157" s="52">
        <f ca="1">IF(AND(INT('模拟-模拟计算'!B182)&lt;='模拟-模拟计算'!$C$2,'模拟-模拟计算'!B182&gt;0),'模拟-模拟计算'!V182," ")</f>
        <v>121694.14741267689</v>
      </c>
      <c r="H157" s="52">
        <f ca="1">IF(AND(INT('模拟-模拟计算'!B182)&lt;='模拟-模拟计算'!$C$2,'模拟-模拟计算'!B182&gt;0),'模拟-模拟计算'!Y182," ")</f>
        <v>152412.38613878912</v>
      </c>
      <c r="I157" s="105">
        <f ca="1">IF(AND(INT('模拟-模拟计算'!B182)&lt;='模拟-模拟计算'!$C$2,'模拟-模拟计算'!B182&gt;0),'模拟-模拟计算'!AA182," ")</f>
        <v>114304.556249603</v>
      </c>
    </row>
    <row r="158" spans="1:9" x14ac:dyDescent="0.2">
      <c r="A158" s="20">
        <f>INT('模拟-模拟计算'!B183+0.5)</f>
        <v>144</v>
      </c>
      <c r="B158" s="52">
        <f>IF(AND(INT('模拟-模拟计算'!B183)&lt;='模拟-模拟计算'!$C$2,'模拟-模拟计算'!B183&gt;0),'模拟-模拟计算'!B183," ")</f>
        <v>143.91000000000017</v>
      </c>
      <c r="C158" s="51" t="str">
        <f ca="1">IF(AND(INT('模拟-模拟计算'!B183)&lt;='模拟-模拟计算'!$C$2,'模拟-模拟计算'!B183&gt;0),'模拟-模拟计算'!C183," ")</f>
        <v>银月斩</v>
      </c>
      <c r="D158" s="104">
        <f ca="1">IF(AND(INT('模拟-模拟计算'!B183)&lt;='模拟-模拟计算'!$C$2,'模拟-模拟计算'!B183&gt;0),'模拟-模拟计算'!E183," ")</f>
        <v>20</v>
      </c>
      <c r="E158" s="104">
        <f ca="1">IF(AND(INT('模拟-模拟计算'!B183)&lt;='模拟-模拟计算'!$C$2,'模拟-模拟计算'!B183&gt;0),'模拟-模拟计算'!F183," ")</f>
        <v>65</v>
      </c>
      <c r="F158" s="51" t="str">
        <f ca="1">IF(AND(INT('模拟-模拟计算'!B183)&lt;='模拟-模拟计算'!$C$2,'模拟-模拟计算'!B183&gt;0),'模拟-模拟计算'!P183," ")</f>
        <v>会</v>
      </c>
      <c r="G158" s="52">
        <f ca="1">IF(AND(INT('模拟-模拟计算'!B183)&lt;='模拟-模拟计算'!$C$2,'模拟-模拟计算'!B183&gt;0),'模拟-模拟计算'!V183," ")</f>
        <v>49855.474753700611</v>
      </c>
      <c r="H158" s="52">
        <f ca="1">IF(AND(INT('模拟-模拟计算'!B183)&lt;='模拟-模拟计算'!$C$2,'模拟-模拟计算'!B183&gt;0),'模拟-模拟计算'!Y183," ")</f>
        <v>66075.365585420921</v>
      </c>
      <c r="I158" s="105">
        <f ca="1">IF(AND(INT('模拟-模拟计算'!B183)&lt;='模拟-模拟计算'!$C$2,'模拟-模拟计算'!B183&gt;0),'模拟-模拟计算'!AA183," ")</f>
        <v>114030.97840543068</v>
      </c>
    </row>
    <row r="159" spans="1:9" x14ac:dyDescent="0.2">
      <c r="A159" s="20">
        <f>INT('模拟-模拟计算'!B184+0.5)</f>
        <v>145</v>
      </c>
      <c r="B159" s="52">
        <f>IF(AND(INT('模拟-模拟计算'!B184)&lt;='模拟-模拟计算'!$C$2,'模拟-模拟计算'!B184&gt;0),'模拟-模拟计算'!B184," ")</f>
        <v>144.83250000000018</v>
      </c>
      <c r="C159" s="51" t="str">
        <f ca="1">IF(AND(INT('模拟-模拟计算'!B184)&lt;='模拟-模拟计算'!$C$2,'模拟-模拟计算'!B184&gt;0),'模拟-模拟计算'!C184," ")</f>
        <v>驱夜断愁</v>
      </c>
      <c r="D159" s="104">
        <f ca="1">IF(AND(INT('模拟-模拟计算'!B184)&lt;='模拟-模拟计算'!$C$2,'模拟-模拟计算'!B184&gt;0),'模拟-模拟计算'!E184," ")</f>
        <v>40</v>
      </c>
      <c r="E159" s="104">
        <f ca="1">IF(AND(INT('模拟-模拟计算'!B184)&lt;='模拟-模拟计算'!$C$2,'模拟-模拟计算'!B184&gt;0),'模拟-模拟计算'!F184," ")</f>
        <v>85</v>
      </c>
      <c r="F159" s="51" t="str">
        <f ca="1">IF(AND(INT('模拟-模拟计算'!B184)&lt;='模拟-模拟计算'!$C$2,'模拟-模拟计算'!B184&gt;0),'模拟-模拟计算'!P184," ")</f>
        <v>命</v>
      </c>
      <c r="G159" s="52">
        <f ca="1">IF(AND(INT('模拟-模拟计算'!B184)&lt;='模拟-模拟计算'!$C$2,'模拟-模拟计算'!B184&gt;0),'模拟-模拟计算'!V184," ")</f>
        <v>61540.073489592025</v>
      </c>
      <c r="H159" s="52">
        <f ca="1">IF(AND(INT('模拟-模拟计算'!B184)&lt;='模拟-模拟计算'!$C$2,'模拟-模拟计算'!B184&gt;0),'模拟-模拟计算'!Y184," ")</f>
        <v>62263.094776686121</v>
      </c>
      <c r="I159" s="105">
        <f ca="1">IF(AND(INT('模拟-模拟计算'!B184)&lt;='模拟-模拟计算'!$C$2,'模拟-模拟计算'!B184&gt;0),'模拟-模拟计算'!AA184," ")</f>
        <v>113734.56370015164</v>
      </c>
    </row>
    <row r="160" spans="1:9" x14ac:dyDescent="0.2">
      <c r="A160" s="20">
        <f>INT('模拟-模拟计算'!B185+0.5)</f>
        <v>146</v>
      </c>
      <c r="B160" s="52">
        <f>IF(AND(INT('模拟-模拟计算'!B185)&lt;='模拟-模拟计算'!$C$2,'模拟-模拟计算'!B185&gt;0),'模拟-模拟计算'!B185," ")</f>
        <v>145.75500000000019</v>
      </c>
      <c r="C160" s="51" t="str">
        <f ca="1">IF(AND(INT('模拟-模拟计算'!B185)&lt;='模拟-模拟计算'!$C$2,'模拟-模拟计算'!B185&gt;0),'模拟-模拟计算'!C185," ")</f>
        <v>烈日斩</v>
      </c>
      <c r="D160" s="104">
        <f ca="1">IF(AND(INT('模拟-模拟计算'!B185)&lt;='模拟-模拟计算'!$C$2,'模拟-模拟计算'!B185&gt;0),'模拟-模拟计算'!E185," ")</f>
        <v>80</v>
      </c>
      <c r="E160" s="104">
        <f ca="1">IF(AND(INT('模拟-模拟计算'!B185)&lt;='模拟-模拟计算'!$C$2,'模拟-模拟计算'!B185&gt;0),'模拟-模拟计算'!F185," ")</f>
        <v>85</v>
      </c>
      <c r="F160" s="51" t="str">
        <f ca="1">IF(AND(INT('模拟-模拟计算'!B185)&lt;='模拟-模拟计算'!$C$2,'模拟-模拟计算'!B185&gt;0),'模拟-模拟计算'!P185," ")</f>
        <v>会</v>
      </c>
      <c r="G160" s="52">
        <f ca="1">IF(AND(INT('模拟-模拟计算'!B185)&lt;='模拟-模拟计算'!$C$2,'模拟-模拟计算'!B185&gt;0),'模拟-模拟计算'!V185," ")</f>
        <v>110503.35617153208</v>
      </c>
      <c r="H160" s="52">
        <f ca="1">IF(AND(INT('模拟-模拟计算'!B185)&lt;='模拟-模拟计算'!$C$2,'模拟-模拟计算'!B185&gt;0),'模拟-模拟计算'!Y185," ")</f>
        <v>126723.24700325241</v>
      </c>
      <c r="I160" s="105">
        <f ca="1">IF(AND(INT('模拟-模拟计算'!B185)&lt;='模拟-模拟计算'!$C$2,'模拟-模拟计算'!B185&gt;0),'模拟-模拟计算'!AA185," ")</f>
        <v>113884.15110360169</v>
      </c>
    </row>
    <row r="161" spans="1:9" x14ac:dyDescent="0.2">
      <c r="A161" s="20">
        <f>INT('模拟-模拟计算'!B186+0.5)</f>
        <v>147</v>
      </c>
      <c r="B161" s="52">
        <f>IF(AND(INT('模拟-模拟计算'!B186)&lt;='模拟-模拟计算'!$C$2,'模拟-模拟计算'!B186&gt;0),'模拟-模拟计算'!B186," ")</f>
        <v>146.67750000000021</v>
      </c>
      <c r="C161" s="51" t="str">
        <f ca="1">IF(AND(INT('模拟-模拟计算'!B186)&lt;='模拟-模拟计算'!$C$2,'模拟-模拟计算'!B186&gt;0),'模拟-模拟计算'!C186," ")</f>
        <v>幽月轮1</v>
      </c>
      <c r="D161" s="104">
        <f ca="1">IF(AND(INT('模拟-模拟计算'!B186)&lt;='模拟-模拟计算'!$C$2,'模拟-模拟计算'!B186&gt;0),'模拟-模拟计算'!E186," ")</f>
        <v>80</v>
      </c>
      <c r="E161" s="104">
        <f ca="1">IF(AND(INT('模拟-模拟计算'!B186)&lt;='模拟-模拟计算'!$C$2,'模拟-模拟计算'!B186&gt;0),'模拟-模拟计算'!F186," ")</f>
        <v>100</v>
      </c>
      <c r="F161" s="51" t="str">
        <f ca="1">IF(AND(INT('模拟-模拟计算'!B186)&lt;='模拟-模拟计算'!$C$2,'模拟-模拟计算'!B186&gt;0),'模拟-模拟计算'!P186," ")</f>
        <v>命</v>
      </c>
      <c r="G161" s="52">
        <f ca="1">IF(AND(INT('模拟-模拟计算'!B186)&lt;='模拟-模拟计算'!$C$2,'模拟-模拟计算'!B186&gt;0),'模拟-模拟计算'!V186," ")</f>
        <v>16939.18703301924</v>
      </c>
      <c r="H161" s="52">
        <f ca="1">IF(AND(INT('模拟-模拟计算'!B186)&lt;='模拟-模拟计算'!$C$2,'模拟-模拟计算'!B186&gt;0),'模拟-模拟计算'!Y186," ")</f>
        <v>17300.697676566288</v>
      </c>
      <c r="I161" s="105">
        <f ca="1">IF(AND(INT('模拟-模拟计算'!B186)&lt;='模拟-模拟计算'!$C$2,'模拟-模拟计算'!B186&gt;0),'模拟-模拟计算'!AA186," ")</f>
        <v>113285.84917101824</v>
      </c>
    </row>
    <row r="162" spans="1:9" x14ac:dyDescent="0.2">
      <c r="A162" s="20">
        <f>INT('模拟-模拟计算'!B187+0.5)</f>
        <v>148</v>
      </c>
      <c r="B162" s="52">
        <f>IF(AND(INT('模拟-模拟计算'!B187)&lt;='模拟-模拟计算'!$C$2,'模拟-模拟计算'!B187&gt;0),'模拟-模拟计算'!B187," ")</f>
        <v>147.60000000000022</v>
      </c>
      <c r="C162" s="51" t="str">
        <f ca="1">IF(AND(INT('模拟-模拟计算'!B187)&lt;='模拟-模拟计算'!$C$2,'模拟-模拟计算'!B187&gt;0),'模拟-模拟计算'!C187," ")</f>
        <v>净世破魔击·月</v>
      </c>
      <c r="D162" s="104">
        <f ca="1">IF(AND(INT('模拟-模拟计算'!B187)&lt;='模拟-模拟计算'!$C$2,'模拟-模拟计算'!B187&gt;0),'模拟-模拟计算'!E187," ")</f>
        <v>100</v>
      </c>
      <c r="E162" s="104">
        <f ca="1">IF(AND(INT('模拟-模拟计算'!B187)&lt;='模拟-模拟计算'!$C$2,'模拟-模拟计算'!B187&gt;0),'模拟-模拟计算'!F187," ")</f>
        <v>20</v>
      </c>
      <c r="F162" s="51" t="str">
        <f ca="1">IF(AND(INT('模拟-模拟计算'!B187)&lt;='模拟-模拟计算'!$C$2,'模拟-模拟计算'!B187&gt;0),'模拟-模拟计算'!P187," ")</f>
        <v>会</v>
      </c>
      <c r="G162" s="52">
        <f ca="1">IF(AND(INT('模拟-模拟计算'!B187)&lt;='模拟-模拟计算'!$C$2,'模拟-模拟计算'!B187&gt;0),'模拟-模拟计算'!V187," ")</f>
        <v>182541.2211190153</v>
      </c>
      <c r="H162" s="52">
        <f ca="1">IF(AND(INT('模拟-模拟计算'!B187)&lt;='模拟-模拟计算'!$C$2,'模拟-模拟计算'!B187&gt;0),'模拟-模拟计算'!Y187," ")</f>
        <v>225577.46710218056</v>
      </c>
      <c r="I162" s="105">
        <f ca="1">IF(AND(INT('模拟-模拟计算'!B187)&lt;='模拟-模拟计算'!$C$2,'模拟-模拟计算'!B187&gt;0),'模拟-模拟计算'!AA187," ")</f>
        <v>114106.11523634286</v>
      </c>
    </row>
    <row r="163" spans="1:9" x14ac:dyDescent="0.2">
      <c r="A163" s="20">
        <f>INT('模拟-模拟计算'!B188+0.5)</f>
        <v>149</v>
      </c>
      <c r="B163" s="52">
        <f>IF(AND(INT('模拟-模拟计算'!B188)&lt;='模拟-模拟计算'!$C$2,'模拟-模拟计算'!B188&gt;0),'模拟-模拟计算'!B188," ")</f>
        <v>148.52250000000024</v>
      </c>
      <c r="C163" s="51" t="str">
        <f ca="1">IF(AND(INT('模拟-模拟计算'!B188)&lt;='模拟-模拟计算'!$C$2,'模拟-模拟计算'!B188&gt;0),'模拟-模拟计算'!C188," ")</f>
        <v>净世破魔击·日</v>
      </c>
      <c r="D163" s="104">
        <f ca="1">IF(AND(INT('模拟-模拟计算'!B188)&lt;='模拟-模拟计算'!$C$2,'模拟-模拟计算'!B188&gt;0),'模拟-模拟计算'!E188," ")</f>
        <v>0</v>
      </c>
      <c r="E163" s="104">
        <f ca="1">IF(AND(INT('模拟-模拟计算'!B188)&lt;='模拟-模拟计算'!$C$2,'模拟-模拟计算'!B188&gt;0),'模拟-模拟计算'!F188," ")</f>
        <v>20</v>
      </c>
      <c r="F163" s="51" t="str">
        <f ca="1">IF(AND(INT('模拟-模拟计算'!B188)&lt;='模拟-模拟计算'!$C$2,'模拟-模拟计算'!B188&gt;0),'模拟-模拟计算'!P188," ")</f>
        <v>命</v>
      </c>
      <c r="G163" s="52">
        <f ca="1">IF(AND(INT('模拟-模拟计算'!B188)&lt;='模拟-模拟计算'!$C$2,'模拟-模拟计算'!B188&gt;0),'模拟-模拟计算'!V188," ")</f>
        <v>94575.365106402023</v>
      </c>
      <c r="H163" s="52">
        <f ca="1">IF(AND(INT('模拟-模拟计算'!B188)&lt;='模拟-模拟计算'!$C$2,'模拟-模拟计算'!B188&gt;0),'模拟-模拟计算'!Y188," ")</f>
        <v>104138.62056835329</v>
      </c>
      <c r="I163" s="105">
        <f ca="1">IF(AND(INT('模拟-模拟计算'!B188)&lt;='模拟-模拟计算'!$C$2,'模拟-模拟计算'!B188&gt;0),'模拟-模拟计算'!AA188," ")</f>
        <v>114098.54553655209</v>
      </c>
    </row>
    <row r="164" spans="1:9" x14ac:dyDescent="0.2">
      <c r="A164" s="20">
        <f>INT('模拟-模拟计算'!B189+0.5)</f>
        <v>149</v>
      </c>
      <c r="B164" s="52">
        <f>IF(AND(INT('模拟-模拟计算'!B189)&lt;='模拟-模拟计算'!$C$2,'模拟-模拟计算'!B189&gt;0),'模拟-模拟计算'!B189," ")</f>
        <v>149.44500000000025</v>
      </c>
      <c r="C164" s="51" t="str">
        <f ca="1">IF(AND(INT('模拟-模拟计算'!B189)&lt;='模拟-模拟计算'!$C$2,'模拟-模拟计算'!B189&gt;0),'模拟-模拟计算'!C189," ")</f>
        <v>赤日轮1</v>
      </c>
      <c r="D164" s="104">
        <f ca="1">IF(AND(INT('模拟-模拟计算'!B189)&lt;='模拟-模拟计算'!$C$2,'模拟-模拟计算'!B189&gt;0),'模拟-模拟计算'!E189," ")</f>
        <v>20</v>
      </c>
      <c r="E164" s="104">
        <f ca="1">IF(AND(INT('模拟-模拟计算'!B189)&lt;='模拟-模拟计算'!$C$2,'模拟-模拟计算'!B189&gt;0),'模拟-模拟计算'!F189," ")</f>
        <v>20</v>
      </c>
      <c r="F164" s="51" t="str">
        <f ca="1">IF(AND(INT('模拟-模拟计算'!B189)&lt;='模拟-模拟计算'!$C$2,'模拟-模拟计算'!B189&gt;0),'模拟-模拟计算'!P189," ")</f>
        <v>命</v>
      </c>
      <c r="G164" s="52">
        <f ca="1">IF(AND(INT('模拟-模拟计算'!B189)&lt;='模拟-模拟计算'!$C$2,'模拟-模拟计算'!B189&gt;0),'模拟-模拟计算'!V189," ")</f>
        <v>26295.771631143321</v>
      </c>
      <c r="H164" s="52">
        <f ca="1">IF(AND(INT('模拟-模拟计算'!B189)&lt;='模拟-模拟计算'!$C$2,'模拟-模拟计算'!B189&gt;0),'模拟-模拟计算'!Y189," ")</f>
        <v>47881.831241723339</v>
      </c>
      <c r="I164" s="105">
        <f ca="1">IF(AND(INT('模拟-模拟计算'!B189)&lt;='模拟-模拟计算'!$C$2,'模拟-模拟计算'!B189&gt;0),'模拟-模拟计算'!AA189," ")</f>
        <v>113714.6312067602</v>
      </c>
    </row>
    <row r="165" spans="1:9" x14ac:dyDescent="0.2">
      <c r="A165" s="20">
        <f>INT('模拟-模拟计算'!B190+0.5)</f>
        <v>150</v>
      </c>
      <c r="B165" s="52">
        <f>IF(AND(INT('模拟-模拟计算'!B190)&lt;='模拟-模拟计算'!$C$2,'模拟-模拟计算'!B190&gt;0),'模拟-模拟计算'!B190," ")</f>
        <v>150.36750000000026</v>
      </c>
      <c r="C165" s="51" t="str">
        <f ca="1">IF(AND(INT('模拟-模拟计算'!B190)&lt;='模拟-模拟计算'!$C$2,'模拟-模拟计算'!B190&gt;0),'模拟-模拟计算'!C190," ")</f>
        <v>银月斩</v>
      </c>
      <c r="D165" s="104">
        <f ca="1">IF(AND(INT('模拟-模拟计算'!B190)&lt;='模拟-模拟计算'!$C$2,'模拟-模拟计算'!B190&gt;0),'模拟-模拟计算'!E190," ")</f>
        <v>20</v>
      </c>
      <c r="E165" s="104">
        <f ca="1">IF(AND(INT('模拟-模拟计算'!B190)&lt;='模拟-模拟计算'!$C$2,'模拟-模拟计算'!B190&gt;0),'模拟-模拟计算'!F190," ")</f>
        <v>65</v>
      </c>
      <c r="F165" s="51" t="str">
        <f ca="1">IF(AND(INT('模拟-模拟计算'!B190)&lt;='模拟-模拟计算'!$C$2,'模拟-模拟计算'!B190&gt;0),'模拟-模拟计算'!P190," ")</f>
        <v>会</v>
      </c>
      <c r="G165" s="52">
        <f ca="1">IF(AND(INT('模拟-模拟计算'!B190)&lt;='模拟-模拟计算'!$C$2,'模拟-模拟计算'!B190&gt;0),'模拟-模拟计算'!V190," ")</f>
        <v>41211.704893206668</v>
      </c>
      <c r="H165" s="52">
        <f ca="1">IF(AND(INT('模拟-模拟计算'!B190)&lt;='模拟-模拟计算'!$C$2,'模拟-模拟计算'!B190&gt;0),'模拟-模拟计算'!Y190," ")</f>
        <v>41573.21553675372</v>
      </c>
      <c r="I165" s="105">
        <f ca="1">IF(AND(INT('模拟-模拟计算'!B190)&lt;='模拟-模拟计算'!$C$2,'模拟-模拟计算'!B190&gt;0),'模拟-模拟计算'!AA190," ")</f>
        <v>113293.47283309912</v>
      </c>
    </row>
    <row r="166" spans="1:9" x14ac:dyDescent="0.2">
      <c r="A166" s="20">
        <f>INT('模拟-模拟计算'!B191+0.5)</f>
        <v>151</v>
      </c>
      <c r="B166" s="52">
        <f>IF(AND(INT('模拟-模拟计算'!B191)&lt;='模拟-模拟计算'!$C$2,'模拟-模拟计算'!B191&gt;0),'模拟-模拟计算'!B191," ")</f>
        <v>151.29000000000028</v>
      </c>
      <c r="C166" s="51" t="str">
        <f ca="1">IF(AND(INT('模拟-模拟计算'!B191)&lt;='模拟-模拟计算'!$C$2,'模拟-模拟计算'!B191&gt;0),'模拟-模拟计算'!C191," ")</f>
        <v>驱夜断愁</v>
      </c>
      <c r="D166" s="104">
        <f ca="1">IF(AND(INT('模拟-模拟计算'!B191)&lt;='模拟-模拟计算'!$C$2,'模拟-模拟计算'!B191&gt;0),'模拟-模拟计算'!E191," ")</f>
        <v>40</v>
      </c>
      <c r="E166" s="104">
        <f ca="1">IF(AND(INT('模拟-模拟计算'!B191)&lt;='模拟-模拟计算'!$C$2,'模拟-模拟计算'!B191&gt;0),'模拟-模拟计算'!F191," ")</f>
        <v>85</v>
      </c>
      <c r="F166" s="51" t="str">
        <f ca="1">IF(AND(INT('模拟-模拟计算'!B191)&lt;='模拟-模拟计算'!$C$2,'模拟-模拟计算'!B191&gt;0),'模拟-模拟计算'!P191," ")</f>
        <v>会</v>
      </c>
      <c r="G166" s="52">
        <f ca="1">IF(AND(INT('模拟-模拟计算'!B191)&lt;='模拟-模拟计算'!$C$2,'模拟-模拟计算'!B191&gt;0),'模拟-模拟计算'!V191," ")</f>
        <v>133079.35569364758</v>
      </c>
      <c r="H166" s="52">
        <f ca="1">IF(AND(INT('模拟-模拟计算'!B191)&lt;='模拟-模拟计算'!$C$2,'模拟-模拟计算'!B191&gt;0),'模拟-模拟计算'!Y191," ")</f>
        <v>168520.90156298844</v>
      </c>
      <c r="I166" s="105">
        <f ca="1">IF(AND(INT('模拟-模拟计算'!B191)&lt;='模拟-模拟计算'!$C$2,'模拟-模拟计算'!B191&gt;0),'模拟-模拟计算'!AA191," ")</f>
        <v>113716.5521699651</v>
      </c>
    </row>
    <row r="167" spans="1:9" x14ac:dyDescent="0.2">
      <c r="A167" s="20">
        <f>INT('模拟-模拟计算'!B192+0.5)</f>
        <v>152</v>
      </c>
      <c r="B167" s="52">
        <f>IF(AND(INT('模拟-模拟计算'!B192)&lt;='模拟-模拟计算'!$C$2,'模拟-模拟计算'!B192&gt;0),'模拟-模拟计算'!B192," ")</f>
        <v>152.21250000000029</v>
      </c>
      <c r="C167" s="51" t="str">
        <f ca="1">IF(AND(INT('模拟-模拟计算'!B192)&lt;='模拟-模拟计算'!$C$2,'模拟-模拟计算'!B192&gt;0),'模拟-模拟计算'!C192," ")</f>
        <v>烈日斩</v>
      </c>
      <c r="D167" s="104">
        <f ca="1">IF(AND(INT('模拟-模拟计算'!B192)&lt;='模拟-模拟计算'!$C$2,'模拟-模拟计算'!B192&gt;0),'模拟-模拟计算'!E192," ")</f>
        <v>80</v>
      </c>
      <c r="E167" s="104">
        <f ca="1">IF(AND(INT('模拟-模拟计算'!B192)&lt;='模拟-模拟计算'!$C$2,'模拟-模拟计算'!B192&gt;0),'模拟-模拟计算'!F192," ")</f>
        <v>85</v>
      </c>
      <c r="F167" s="51" t="str">
        <f ca="1">IF(AND(INT('模拟-模拟计算'!B192)&lt;='模拟-模拟计算'!$C$2,'模拟-模拟计算'!B192&gt;0),'模拟-模拟计算'!P192," ")</f>
        <v>会</v>
      </c>
      <c r="G167" s="52">
        <f ca="1">IF(AND(INT('模拟-模拟计算'!B192)&lt;='模拟-模拟计算'!$C$2,'模拟-模拟计算'!B192&gt;0),'模拟-模拟计算'!V192," ")</f>
        <v>110503.35617153208</v>
      </c>
      <c r="H167" s="52">
        <f ca="1">IF(AND(INT('模拟-模拟计算'!B192)&lt;='模拟-模拟计算'!$C$2,'模拟-模拟计算'!B192&gt;0),'模拟-模拟计算'!Y192," ")</f>
        <v>110864.86681507913</v>
      </c>
      <c r="I167" s="105">
        <f ca="1">IF(AND(INT('模拟-模拟计算'!B192)&lt;='模拟-模拟计算'!$C$2,'模拟-模拟计算'!B192&gt;0),'模拟-模拟计算'!AA192," ")</f>
        <v>113755.71680781209</v>
      </c>
    </row>
    <row r="168" spans="1:9" x14ac:dyDescent="0.2">
      <c r="A168" s="20">
        <f>INT('模拟-模拟计算'!B193+0.5)</f>
        <v>153</v>
      </c>
      <c r="B168" s="52">
        <f>IF(AND(INT('模拟-模拟计算'!B193)&lt;='模拟-模拟计算'!$C$2,'模拟-模拟计算'!B193&gt;0),'模拟-模拟计算'!B193," ")</f>
        <v>153.1350000000003</v>
      </c>
      <c r="C168" s="51" t="str">
        <f ca="1">IF(AND(INT('模拟-模拟计算'!B193)&lt;='模拟-模拟计算'!$C$2,'模拟-模拟计算'!B193&gt;0),'模拟-模拟计算'!C193," ")</f>
        <v>幽月轮1</v>
      </c>
      <c r="D168" s="104">
        <f ca="1">IF(AND(INT('模拟-模拟计算'!B193)&lt;='模拟-模拟计算'!$C$2,'模拟-模拟计算'!B193&gt;0),'模拟-模拟计算'!E193," ")</f>
        <v>80</v>
      </c>
      <c r="E168" s="104">
        <f ca="1">IF(AND(INT('模拟-模拟计算'!B193)&lt;='模拟-模拟计算'!$C$2,'模拟-模拟计算'!B193&gt;0),'模拟-模拟计算'!F193," ")</f>
        <v>100</v>
      </c>
      <c r="F168" s="51" t="str">
        <f ca="1">IF(AND(INT('模拟-模拟计算'!B193)&lt;='模拟-模拟计算'!$C$2,'模拟-模拟计算'!B193&gt;0),'模拟-模拟计算'!P193," ")</f>
        <v>会</v>
      </c>
      <c r="G168" s="52">
        <f ca="1">IF(AND(INT('模拟-模拟计算'!B193)&lt;='模拟-模拟计算'!$C$2,'模拟-模拟计算'!B193&gt;0),'模拟-模拟计算'!V193," ")</f>
        <v>36630.702053185581</v>
      </c>
      <c r="H168" s="52">
        <f ca="1">IF(AND(INT('模拟-模拟计算'!B193)&lt;='模拟-模拟计算'!$C$2,'模拟-模拟计算'!B193&gt;0),'模拟-模拟计算'!Y193," ")</f>
        <v>94102.303346276924</v>
      </c>
      <c r="I168" s="105">
        <f ca="1">IF(AND(INT('模拟-模拟计算'!B193)&lt;='模拟-模拟计算'!$C$2,'模拟-模拟计算'!B193&gt;0),'模拟-模拟计算'!AA193," ")</f>
        <v>113684.9469288887</v>
      </c>
    </row>
    <row r="169" spans="1:9" x14ac:dyDescent="0.2">
      <c r="A169" s="20">
        <f>INT('模拟-模拟计算'!B194+0.5)</f>
        <v>154</v>
      </c>
      <c r="B169" s="52">
        <f>IF(AND(INT('模拟-模拟计算'!B194)&lt;='模拟-模拟计算'!$C$2,'模拟-模拟计算'!B194&gt;0),'模拟-模拟计算'!B194," ")</f>
        <v>154.05750000000032</v>
      </c>
      <c r="C169" s="51" t="str">
        <f ca="1">IF(AND(INT('模拟-模拟计算'!B194)&lt;='模拟-模拟计算'!$C$2,'模拟-模拟计算'!B194&gt;0),'模拟-模拟计算'!C194," ")</f>
        <v>净世破魔击·月</v>
      </c>
      <c r="D169" s="104">
        <f ca="1">IF(AND(INT('模拟-模拟计算'!B194)&lt;='模拟-模拟计算'!$C$2,'模拟-模拟计算'!B194&gt;0),'模拟-模拟计算'!E194," ")</f>
        <v>100</v>
      </c>
      <c r="E169" s="104">
        <f ca="1">IF(AND(INT('模拟-模拟计算'!B194)&lt;='模拟-模拟计算'!$C$2,'模拟-模拟计算'!B194&gt;0),'模拟-模拟计算'!F194," ")</f>
        <v>20</v>
      </c>
      <c r="F169" s="51" t="str">
        <f ca="1">IF(AND(INT('模拟-模拟计算'!B194)&lt;='模拟-模拟计算'!$C$2,'模拟-模拟计算'!B194&gt;0),'模拟-模拟计算'!P194," ")</f>
        <v>命</v>
      </c>
      <c r="G169" s="52">
        <f ca="1">IF(AND(INT('模拟-模拟计算'!B194)&lt;='模拟-模拟计算'!$C$2,'模拟-模拟计算'!B194&gt;0),'模拟-模拟计算'!V194," ")</f>
        <v>84412.793434348554</v>
      </c>
      <c r="H169" s="52">
        <f ca="1">IF(AND(INT('模拟-模拟计算'!B194)&lt;='模拟-模拟计算'!$C$2,'模拟-模拟计算'!B194&gt;0),'模拟-模拟计算'!Y194," ")</f>
        <v>101979.47367414139</v>
      </c>
      <c r="I169" s="105">
        <f ca="1">IF(AND(INT('模拟-模拟计算'!B194)&lt;='模拟-模拟计算'!$C$2,'模拟-模拟计算'!B194&gt;0),'模拟-模拟计算'!AA194," ")</f>
        <v>113666.15595884336</v>
      </c>
    </row>
    <row r="170" spans="1:9" x14ac:dyDescent="0.2">
      <c r="A170" s="20">
        <f>INT('模拟-模拟计算'!B195+0.5)</f>
        <v>155</v>
      </c>
      <c r="B170" s="52">
        <f>IF(AND(INT('模拟-模拟计算'!B195)&lt;='模拟-模拟计算'!$C$2,'模拟-模拟计算'!B195&gt;0),'模拟-模拟计算'!B195," ")</f>
        <v>154.98000000000033</v>
      </c>
      <c r="C170" s="51" t="str">
        <f ca="1">IF(AND(INT('模拟-模拟计算'!B195)&lt;='模拟-模拟计算'!$C$2,'模拟-模拟计算'!B195&gt;0),'模拟-模拟计算'!C195," ")</f>
        <v>净世破魔击·日</v>
      </c>
      <c r="D170" s="104">
        <f ca="1">IF(AND(INT('模拟-模拟计算'!B195)&lt;='模拟-模拟计算'!$C$2,'模拟-模拟计算'!B195&gt;0),'模拟-模拟计算'!E195," ")</f>
        <v>0</v>
      </c>
      <c r="E170" s="104">
        <f ca="1">IF(AND(INT('模拟-模拟计算'!B195)&lt;='模拟-模拟计算'!$C$2,'模拟-模拟计算'!B195&gt;0),'模拟-模拟计算'!F195," ")</f>
        <v>20</v>
      </c>
      <c r="F170" s="51" t="str">
        <f ca="1">IF(AND(INT('模拟-模拟计算'!B195)&lt;='模拟-模拟计算'!$C$2,'模拟-模拟计算'!B195&gt;0),'模拟-模拟计算'!P195," ")</f>
        <v>命</v>
      </c>
      <c r="G170" s="52">
        <f ca="1">IF(AND(INT('模拟-模拟计算'!B195)&lt;='模拟-模拟计算'!$C$2,'模拟-模拟计算'!B195&gt;0),'模拟-模拟计算'!V195," ")</f>
        <v>94575.365106402023</v>
      </c>
      <c r="H170" s="52">
        <f ca="1">IF(AND(INT('模拟-模拟计算'!B195)&lt;='模拟-模拟计算'!$C$2,'模拟-模拟计算'!B195&gt;0),'模拟-模拟计算'!Y195," ")</f>
        <v>149133.76608268265</v>
      </c>
      <c r="I170" s="105">
        <f ca="1">IF(AND(INT('模拟-模拟计算'!B195)&lt;='模拟-模拟计算'!$C$2,'模拟-模拟计算'!B195&gt;0),'模拟-模拟计算'!AA195," ")</f>
        <v>113951.84919158724</v>
      </c>
    </row>
    <row r="171" spans="1:9" x14ac:dyDescent="0.2">
      <c r="A171" s="20">
        <f>INT('模拟-模拟计算'!B196+0.5)</f>
        <v>156</v>
      </c>
      <c r="B171" s="52">
        <f>IF(AND(INT('模拟-模拟计算'!B196)&lt;='模拟-模拟计算'!$C$2,'模拟-模拟计算'!B196&gt;0),'模拟-模拟计算'!B196," ")</f>
        <v>155.90250000000034</v>
      </c>
      <c r="C171" s="51" t="str">
        <f ca="1">IF(AND(INT('模拟-模拟计算'!B196)&lt;='模拟-模拟计算'!$C$2,'模拟-模拟计算'!B196&gt;0),'模拟-模拟计算'!C196," ")</f>
        <v>赤日轮1</v>
      </c>
      <c r="D171" s="104">
        <f ca="1">IF(AND(INT('模拟-模拟计算'!B196)&lt;='模拟-模拟计算'!$C$2,'模拟-模拟计算'!B196&gt;0),'模拟-模拟计算'!E196," ")</f>
        <v>20</v>
      </c>
      <c r="E171" s="104">
        <f ca="1">IF(AND(INT('模拟-模拟计算'!B196)&lt;='模拟-模拟计算'!$C$2,'模拟-模拟计算'!B196&gt;0),'模拟-模拟计算'!F196," ")</f>
        <v>20</v>
      </c>
      <c r="F171" s="51" t="str">
        <f ca="1">IF(AND(INT('模拟-模拟计算'!B196)&lt;='模拟-模拟计算'!$C$2,'模拟-模拟计算'!B196&gt;0),'模拟-模拟计算'!P196," ")</f>
        <v>命</v>
      </c>
      <c r="G171" s="52">
        <f ca="1">IF(AND(INT('模拟-模拟计算'!B196)&lt;='模拟-模拟计算'!$C$2,'模拟-模拟计算'!B196&gt;0),'模拟-模拟计算'!V196," ")</f>
        <v>25194.44799269021</v>
      </c>
      <c r="H171" s="52">
        <f ca="1">IF(AND(INT('模拟-模拟计算'!B196)&lt;='模拟-模拟计算'!$C$2,'模拟-模拟计算'!B196&gt;0),'模拟-模拟计算'!Y196," ")</f>
        <v>25555.958636237257</v>
      </c>
      <c r="I171" s="105">
        <f ca="1">IF(AND(INT('模拟-模拟计算'!B196)&lt;='模拟-模拟计算'!$C$2,'模拟-模拟计算'!B196&gt;0),'模拟-模拟计算'!AA196," ")</f>
        <v>113441.50059395087</v>
      </c>
    </row>
    <row r="172" spans="1:9" x14ac:dyDescent="0.2">
      <c r="A172" s="20">
        <f>INT('模拟-模拟计算'!B197+0.5)</f>
        <v>157</v>
      </c>
      <c r="B172" s="52">
        <f>IF(AND(INT('模拟-模拟计算'!B197)&lt;='模拟-模拟计算'!$C$2,'模拟-模拟计算'!B197&gt;0),'模拟-模拟计算'!B197," ")</f>
        <v>156.82500000000036</v>
      </c>
      <c r="C172" s="51" t="str">
        <f ca="1">IF(AND(INT('模拟-模拟计算'!B197)&lt;='模拟-模拟计算'!$C$2,'模拟-模拟计算'!B197&gt;0),'模拟-模拟计算'!C197," ")</f>
        <v>银月斩</v>
      </c>
      <c r="D172" s="104">
        <f ca="1">IF(AND(INT('模拟-模拟计算'!B197)&lt;='模拟-模拟计算'!$C$2,'模拟-模拟计算'!B197&gt;0),'模拟-模拟计算'!E197," ")</f>
        <v>20</v>
      </c>
      <c r="E172" s="104">
        <f ca="1">IF(AND(INT('模拟-模拟计算'!B197)&lt;='模拟-模拟计算'!$C$2,'模拟-模拟计算'!B197&gt;0),'模拟-模拟计算'!F197," ")</f>
        <v>65</v>
      </c>
      <c r="F172" s="51" t="str">
        <f ca="1">IF(AND(INT('模拟-模拟计算'!B197)&lt;='模拟-模拟计算'!$C$2,'模拟-模拟计算'!B197&gt;0),'模拟-模拟计算'!P197," ")</f>
        <v>命</v>
      </c>
      <c r="G172" s="52">
        <f ca="1">IF(AND(INT('模拟-模拟计算'!B197)&lt;='模拟-模拟计算'!$C$2,'模拟-模拟计算'!B197&gt;0),'模拟-模拟计算'!V197," ")</f>
        <v>17450.434922549593</v>
      </c>
      <c r="H172" s="52">
        <f ca="1">IF(AND(INT('模拟-模拟计算'!B197)&lt;='模拟-模拟计算'!$C$2,'模拟-模拟计算'!B197&gt;0),'模拟-模拟计算'!Y197," ")</f>
        <v>35027.888796636908</v>
      </c>
      <c r="I172" s="105">
        <f ca="1">IF(AND(INT('模拟-模拟计算'!B197)&lt;='模拟-模拟计算'!$C$2,'模拟-模拟计算'!B197&gt;0),'模拟-模拟计算'!AA197," ")</f>
        <v>112997.55418552566</v>
      </c>
    </row>
    <row r="173" spans="1:9" x14ac:dyDescent="0.2">
      <c r="A173" s="20">
        <f>INT('模拟-模拟计算'!B198+0.5)</f>
        <v>158</v>
      </c>
      <c r="B173" s="52">
        <f>IF(AND(INT('模拟-模拟计算'!B198)&lt;='模拟-模拟计算'!$C$2,'模拟-模拟计算'!B198&gt;0),'模拟-模拟计算'!B198," ")</f>
        <v>157.74750000000037</v>
      </c>
      <c r="C173" s="51" t="str">
        <f ca="1">IF(AND(INT('模拟-模拟计算'!B198)&lt;='模拟-模拟计算'!$C$2,'模拟-模拟计算'!B198&gt;0),'模拟-模拟计算'!C198," ")</f>
        <v>驱夜断愁</v>
      </c>
      <c r="D173" s="104">
        <f ca="1">IF(AND(INT('模拟-模拟计算'!B198)&lt;='模拟-模拟计算'!$C$2,'模拟-模拟计算'!B198&gt;0),'模拟-模拟计算'!E198," ")</f>
        <v>40</v>
      </c>
      <c r="E173" s="104">
        <f ca="1">IF(AND(INT('模拟-模拟计算'!B198)&lt;='模拟-模拟计算'!$C$2,'模拟-模拟计算'!B198&gt;0),'模拟-模拟计算'!F198," ")</f>
        <v>85</v>
      </c>
      <c r="F173" s="51" t="str">
        <f ca="1">IF(AND(INT('模拟-模拟计算'!B198)&lt;='模拟-模拟计算'!$C$2,'模拟-模拟计算'!B198&gt;0),'模拟-模拟计算'!P198," ")</f>
        <v>会</v>
      </c>
      <c r="G173" s="52">
        <f ca="1">IF(AND(INT('模拟-模拟计算'!B198)&lt;='模拟-模拟计算'!$C$2,'模拟-模拟计算'!B198&gt;0),'模拟-模拟计算'!V198," ")</f>
        <v>127463.41908070058</v>
      </c>
      <c r="H173" s="52">
        <f ca="1">IF(AND(INT('模拟-模拟计算'!B198)&lt;='模拟-模拟计算'!$C$2,'模拟-模拟计算'!B198&gt;0),'模拟-模拟计算'!Y198," ")</f>
        <v>128186.44036779468</v>
      </c>
      <c r="I173" s="105">
        <f ca="1">IF(AND(INT('模拟-模拟计算'!B198)&lt;='模拟-模拟计算'!$C$2,'模拟-模拟计算'!B198&gt;0),'模拟-模拟计算'!AA198," ")</f>
        <v>113149.35498510503</v>
      </c>
    </row>
    <row r="174" spans="1:9" x14ac:dyDescent="0.2">
      <c r="A174" s="20">
        <f>INT('模拟-模拟计算'!B199+0.5)</f>
        <v>159</v>
      </c>
      <c r="B174" s="52">
        <f>IF(AND(INT('模拟-模拟计算'!B199)&lt;='模拟-模拟计算'!$C$2,'模拟-模拟计算'!B199&gt;0),'模拟-模拟计算'!B199," ")</f>
        <v>158.67000000000039</v>
      </c>
      <c r="C174" s="51" t="str">
        <f ca="1">IF(AND(INT('模拟-模拟计算'!B199)&lt;='模拟-模拟计算'!$C$2,'模拟-模拟计算'!B199&gt;0),'模拟-模拟计算'!C199," ")</f>
        <v>烈日斩</v>
      </c>
      <c r="D174" s="104">
        <f ca="1">IF(AND(INT('模拟-模拟计算'!B199)&lt;='模拟-模拟计算'!$C$2,'模拟-模拟计算'!B199&gt;0),'模拟-模拟计算'!E199," ")</f>
        <v>80</v>
      </c>
      <c r="E174" s="104">
        <f ca="1">IF(AND(INT('模拟-模拟计算'!B199)&lt;='模拟-模拟计算'!$C$2,'模拟-模拟计算'!B199&gt;0),'模拟-模拟计算'!F199," ")</f>
        <v>85</v>
      </c>
      <c r="F174" s="51" t="str">
        <f ca="1">IF(AND(INT('模拟-模拟计算'!B199)&lt;='模拟-模拟计算'!$C$2,'模拟-模拟计算'!B199&gt;0),'模拟-模拟计算'!P199," ")</f>
        <v>会</v>
      </c>
      <c r="G174" s="52">
        <f ca="1">IF(AND(INT('模拟-模拟计算'!B199)&lt;='模拟-模拟计算'!$C$2,'模拟-模拟计算'!B199&gt;0),'模拟-模拟计算'!V199," ")</f>
        <v>105861.05199666526</v>
      </c>
      <c r="H174" s="52">
        <f ca="1">IF(AND(INT('模拟-模拟计算'!B199)&lt;='模拟-模拟计算'!$C$2,'模拟-模拟计算'!B199&gt;0),'模拟-模拟计算'!Y199," ")</f>
        <v>121905.15251478835</v>
      </c>
      <c r="I174" s="105">
        <f ca="1">IF(AND(INT('模拟-模拟计算'!B199)&lt;='模拟-模拟计算'!$C$2,'模拟-模拟计算'!B199&gt;0),'模拟-模拟计算'!AA199," ")</f>
        <v>113259.80354211661</v>
      </c>
    </row>
    <row r="175" spans="1:9" x14ac:dyDescent="0.2">
      <c r="A175" s="20">
        <f>INT('模拟-模拟计算'!B200+0.5)</f>
        <v>160</v>
      </c>
      <c r="B175" s="52">
        <f>IF(AND(INT('模拟-模拟计算'!B200)&lt;='模拟-模拟计算'!$C$2,'模拟-模拟计算'!B200&gt;0),'模拟-模拟计算'!B200," ")</f>
        <v>159.5925000000004</v>
      </c>
      <c r="C175" s="51" t="str">
        <f ca="1">IF(AND(INT('模拟-模拟计算'!B200)&lt;='模拟-模拟计算'!$C$2,'模拟-模拟计算'!B200&gt;0),'模拟-模拟计算'!C200," ")</f>
        <v>幽月轮1</v>
      </c>
      <c r="D175" s="104">
        <f ca="1">IF(AND(INT('模拟-模拟计算'!B200)&lt;='模拟-模拟计算'!$C$2,'模拟-模拟计算'!B200&gt;0),'模拟-模拟计算'!E200," ")</f>
        <v>80</v>
      </c>
      <c r="E175" s="104">
        <f ca="1">IF(AND(INT('模拟-模拟计算'!B200)&lt;='模拟-模拟计算'!$C$2,'模拟-模拟计算'!B200&gt;0),'模拟-模拟计算'!F200," ")</f>
        <v>100</v>
      </c>
      <c r="F175" s="51" t="str">
        <f ca="1">IF(AND(INT('模拟-模拟计算'!B200)&lt;='模拟-模拟计算'!$C$2,'模拟-模拟计算'!B200&gt;0),'模拟-模拟计算'!P200," ")</f>
        <v>会</v>
      </c>
      <c r="G175" s="52">
        <f ca="1">IF(AND(INT('模拟-模拟计算'!B200)&lt;='模拟-模拟计算'!$C$2,'模拟-模拟计算'!B200&gt;0),'模拟-模拟计算'!V200," ")</f>
        <v>35088.919370823241</v>
      </c>
      <c r="H175" s="52">
        <f ca="1">IF(AND(INT('模拟-模拟计算'!B200)&lt;='模拟-模拟计算'!$C$2,'模拟-模拟计算'!B200&gt;0),'模拟-模拟计算'!Y200," ")</f>
        <v>35450.430014370286</v>
      </c>
      <c r="I175" s="105">
        <f ca="1">IF(AND(INT('模拟-模拟计算'!B200)&lt;='模拟-模拟计算'!$C$2,'模拟-模拟计算'!B200&gt;0),'模拟-模拟计算'!AA200," ")</f>
        <v>112827.25352408174</v>
      </c>
    </row>
    <row r="176" spans="1:9" x14ac:dyDescent="0.2">
      <c r="A176" s="20">
        <f>INT('模拟-模拟计算'!B201+0.5)</f>
        <v>161</v>
      </c>
      <c r="B176" s="52">
        <f>IF(AND(INT('模拟-模拟计算'!B201)&lt;='模拟-模拟计算'!$C$2,'模拟-模拟计算'!B201&gt;0),'模拟-模拟计算'!B201," ")</f>
        <v>160.51500000000041</v>
      </c>
      <c r="C176" s="51" t="str">
        <f ca="1">IF(AND(INT('模拟-模拟计算'!B201)&lt;='模拟-模拟计算'!$C$2,'模拟-模拟计算'!B201&gt;0),'模拟-模拟计算'!C201," ")</f>
        <v>净世破魔击·月</v>
      </c>
      <c r="D176" s="104">
        <f ca="1">IF(AND(INT('模拟-模拟计算'!B201)&lt;='模拟-模拟计算'!$C$2,'模拟-模拟计算'!B201&gt;0),'模拟-模拟计算'!E201," ")</f>
        <v>100</v>
      </c>
      <c r="E176" s="104">
        <f ca="1">IF(AND(INT('模拟-模拟计算'!B201)&lt;='模拟-模拟计算'!$C$2,'模拟-模拟计算'!B201&gt;0),'模拟-模拟计算'!F201," ")</f>
        <v>20</v>
      </c>
      <c r="F176" s="51" t="str">
        <f ca="1">IF(AND(INT('模拟-模拟计算'!B201)&lt;='模拟-模拟计算'!$C$2,'模拟-模拟计算'!B201&gt;0),'模拟-模拟计算'!P201," ")</f>
        <v>会</v>
      </c>
      <c r="G176" s="52">
        <f ca="1">IF(AND(INT('模拟-模拟计算'!B201)&lt;='模拟-模拟计算'!$C$2,'模拟-模拟计算'!B201&gt;0),'模拟-模拟计算'!V201," ")</f>
        <v>204013.08685584151</v>
      </c>
      <c r="H176" s="52">
        <f ca="1">IF(AND(INT('模拟-模拟计算'!B201)&lt;='模拟-模拟计算'!$C$2,'模拟-模拟计算'!B201&gt;0),'模拟-模拟计算'!Y201," ")</f>
        <v>218990.72023672733</v>
      </c>
      <c r="I176" s="105">
        <f ca="1">IF(AND(INT('模拟-模拟计算'!B201)&lt;='模拟-模拟计算'!$C$2,'模拟-模拟计算'!B201&gt;0),'模拟-模拟计算'!AA201," ")</f>
        <v>113543.12169129825</v>
      </c>
    </row>
    <row r="177" spans="1:9" x14ac:dyDescent="0.2">
      <c r="A177" s="20">
        <f>INT('模拟-模拟计算'!B202+0.5)</f>
        <v>161</v>
      </c>
      <c r="B177" s="52">
        <f>IF(AND(INT('模拟-模拟计算'!B202)&lt;='模拟-模拟计算'!$C$2,'模拟-模拟计算'!B202&gt;0),'模拟-模拟计算'!B202," ")</f>
        <v>161.43750000000043</v>
      </c>
      <c r="C177" s="51" t="str">
        <f ca="1">IF(AND(INT('模拟-模拟计算'!B202)&lt;='模拟-模拟计算'!$C$2,'模拟-模拟计算'!B202&gt;0),'模拟-模拟计算'!C202," ")</f>
        <v>净世破魔击·日</v>
      </c>
      <c r="D177" s="104">
        <f ca="1">IF(AND(INT('模拟-模拟计算'!B202)&lt;='模拟-模拟计算'!$C$2,'模拟-模拟计算'!B202&gt;0),'模拟-模拟计算'!E202," ")</f>
        <v>0</v>
      </c>
      <c r="E177" s="104">
        <f ca="1">IF(AND(INT('模拟-模拟计算'!B202)&lt;='模拟-模拟计算'!$C$2,'模拟-模拟计算'!B202&gt;0),'模拟-模拟计算'!F202," ")</f>
        <v>100</v>
      </c>
      <c r="F177" s="51" t="str">
        <f ca="1">IF(AND(INT('模拟-模拟计算'!B202)&lt;='模拟-模拟计算'!$C$2,'模拟-模拟计算'!B202&gt;0),'模拟-模拟计算'!P202," ")</f>
        <v>识</v>
      </c>
      <c r="G177" s="52">
        <f ca="1">IF(AND(INT('模拟-模拟计算'!B202)&lt;='模拟-模拟计算'!$C$2,'模拟-模拟计算'!B202&gt;0),'模拟-模拟计算'!V202," ")</f>
        <v>26424.30747472445</v>
      </c>
      <c r="H177" s="52">
        <f ca="1">IF(AND(INT('模拟-模拟计算'!B202)&lt;='模拟-模拟计算'!$C$2,'模拟-模拟计算'!B202&gt;0),'模拟-模拟计算'!Y202," ")</f>
        <v>35635.608486379489</v>
      </c>
      <c r="I177" s="105">
        <f ca="1">IF(AND(INT('模拟-模拟计算'!B202)&lt;='模拟-模拟计算'!$C$2,'模拟-模拟计算'!B202&gt;0),'模拟-模拟计算'!AA202," ")</f>
        <v>113115.0432010228</v>
      </c>
    </row>
    <row r="178" spans="1:9" x14ac:dyDescent="0.2">
      <c r="A178" s="20">
        <f>INT('模拟-模拟计算'!B203+0.5)</f>
        <v>162</v>
      </c>
      <c r="B178" s="52">
        <f>IF(AND(INT('模拟-模拟计算'!B203)&lt;='模拟-模拟计算'!$C$2,'模拟-模拟计算'!B203&gt;0),'模拟-模拟计算'!B203," ")</f>
        <v>162.36000000000044</v>
      </c>
      <c r="C178" s="51" t="str">
        <f ca="1">IF(AND(INT('模拟-模拟计算'!B203)&lt;='模拟-模拟计算'!$C$2,'模拟-模拟计算'!B203&gt;0),'模拟-模拟计算'!C203," ")</f>
        <v>净世破魔击·月</v>
      </c>
      <c r="D178" s="104">
        <f ca="1">IF(AND(INT('模拟-模拟计算'!B203)&lt;='模拟-模拟计算'!$C$2,'模拟-模拟计算'!B203&gt;0),'模拟-模拟计算'!E203," ")</f>
        <v>20</v>
      </c>
      <c r="E178" s="104">
        <f ca="1">IF(AND(INT('模拟-模拟计算'!B203)&lt;='模拟-模拟计算'!$C$2,'模拟-模拟计算'!B203&gt;0),'模拟-模拟计算'!F203," ")</f>
        <v>20</v>
      </c>
      <c r="F178" s="51" t="str">
        <f ca="1">IF(AND(INT('模拟-模拟计算'!B203)&lt;='模拟-模拟计算'!$C$2,'模拟-模拟计算'!B203&gt;0),'模拟-模拟计算'!P203," ")</f>
        <v>会</v>
      </c>
      <c r="G178" s="52">
        <f ca="1">IF(AND(INT('模拟-模拟计算'!B203)&lt;='模拟-模拟计算'!$C$2,'模拟-模拟计算'!B203&gt;0),'模拟-模拟计算'!V203," ")</f>
        <v>116578.90677476654</v>
      </c>
      <c r="H178" s="52">
        <f ca="1">IF(AND(INT('模拟-模拟计算'!B203)&lt;='模拟-模拟计算'!$C$2,'模拟-模拟计算'!B203&gt;0),'模拟-模拟计算'!Y203," ")</f>
        <v>144917.15721780216</v>
      </c>
      <c r="I178" s="105">
        <f ca="1">IF(AND(INT('模拟-模拟计算'!B203)&lt;='模拟-模拟计算'!$C$2,'模拟-模拟计算'!B203&gt;0),'模拟-模拟计算'!AA203," ")</f>
        <v>113364.91096318624</v>
      </c>
    </row>
    <row r="179" spans="1:9" x14ac:dyDescent="0.2">
      <c r="A179" s="20">
        <f>INT('模拟-模拟计算'!B204+0.5)</f>
        <v>163</v>
      </c>
      <c r="B179" s="52">
        <f>IF(AND(INT('模拟-模拟计算'!B204)&lt;='模拟-模拟计算'!$C$2,'模拟-模拟计算'!B204&gt;0),'模拟-模拟计算'!B204," ")</f>
        <v>163.28250000000045</v>
      </c>
      <c r="C179" s="51" t="str">
        <f ca="1">IF(AND(INT('模拟-模拟计算'!B204)&lt;='模拟-模拟计算'!$C$2,'模拟-模拟计算'!B204&gt;0),'模拟-模拟计算'!C204," ")</f>
        <v>银月斩</v>
      </c>
      <c r="D179" s="104">
        <f ca="1">IF(AND(INT('模拟-模拟计算'!B204)&lt;='模拟-模拟计算'!$C$2,'模拟-模拟计算'!B204&gt;0),'模拟-模拟计算'!E204," ")</f>
        <v>20</v>
      </c>
      <c r="E179" s="104">
        <f ca="1">IF(AND(INT('模拟-模拟计算'!B204)&lt;='模拟-模拟计算'!$C$2,'模拟-模拟计算'!B204&gt;0),'模拟-模拟计算'!F204," ")</f>
        <v>65</v>
      </c>
      <c r="F179" s="51" t="str">
        <f ca="1">IF(AND(INT('模拟-模拟计算'!B204)&lt;='模拟-模拟计算'!$C$2,'模拟-模拟计算'!B204&gt;0),'模拟-模拟计算'!P204," ")</f>
        <v>会</v>
      </c>
      <c r="G179" s="52">
        <f ca="1">IF(AND(INT('模拟-模拟计算'!B204)&lt;='模拟-模拟计算'!$C$2,'模拟-模拟计算'!B204&gt;0),'模拟-模拟计算'!V204," ")</f>
        <v>47762.146138749486</v>
      </c>
      <c r="H179" s="52">
        <f ca="1">IF(AND(INT('模拟-模拟计算'!B204)&lt;='模拟-模拟计算'!$C$2,'模拟-模拟计算'!B204&gt;0),'模拟-模拟计算'!Y204," ")</f>
        <v>69575.055383718849</v>
      </c>
      <c r="I179" s="105">
        <f ca="1">IF(AND(INT('模拟-模拟计算'!B204)&lt;='模拟-模拟计算'!$C$2,'模拟-模拟计算'!B204&gt;0),'模拟-模拟计算'!AA204," ")</f>
        <v>113150.53358055293</v>
      </c>
    </row>
    <row r="180" spans="1:9" x14ac:dyDescent="0.2">
      <c r="A180" s="20">
        <f>INT('模拟-模拟计算'!B205+0.5)</f>
        <v>164</v>
      </c>
      <c r="B180" s="52">
        <f>IF(AND(INT('模拟-模拟计算'!B205)&lt;='模拟-模拟计算'!$C$2,'模拟-模拟计算'!B205&gt;0),'模拟-模拟计算'!B205," ")</f>
        <v>164.20500000000047</v>
      </c>
      <c r="C180" s="51" t="str">
        <f ca="1">IF(AND(INT('模拟-模拟计算'!B205)&lt;='模拟-模拟计算'!$C$2,'模拟-模拟计算'!B205&gt;0),'模拟-模拟计算'!C205," ")</f>
        <v>驱夜断愁</v>
      </c>
      <c r="D180" s="104">
        <f ca="1">IF(AND(INT('模拟-模拟计算'!B205)&lt;='模拟-模拟计算'!$C$2,'模拟-模拟计算'!B205&gt;0),'模拟-模拟计算'!E205," ")</f>
        <v>40</v>
      </c>
      <c r="E180" s="104">
        <f ca="1">IF(AND(INT('模拟-模拟计算'!B205)&lt;='模拟-模拟计算'!$C$2,'模拟-模拟计算'!B205&gt;0),'模拟-模拟计算'!F205," ")</f>
        <v>85</v>
      </c>
      <c r="F180" s="51" t="str">
        <f ca="1">IF(AND(INT('模拟-模拟计算'!B205)&lt;='模拟-模拟计算'!$C$2,'模拟-模拟计算'!B205&gt;0),'模拟-模拟计算'!P205," ")</f>
        <v>会</v>
      </c>
      <c r="G180" s="52">
        <f ca="1">IF(AND(INT('模拟-模拟计算'!B205)&lt;='模拟-模拟计算'!$C$2,'模拟-模拟计算'!B205&gt;0),'模拟-模拟计算'!V205," ")</f>
        <v>127463.41908070058</v>
      </c>
      <c r="H180" s="52">
        <f ca="1">IF(AND(INT('模拟-模拟计算'!B205)&lt;='模拟-模拟计算'!$C$2,'模拟-模拟计算'!B205&gt;0),'模拟-模拟计算'!Y205," ")</f>
        <v>148523.7284151784</v>
      </c>
      <c r="I180" s="105">
        <f ca="1">IF(AND(INT('模拟-模拟计算'!B205)&lt;='模拟-模拟计算'!$C$2,'模拟-模拟计算'!B205&gt;0),'模拟-模拟计算'!AA205," ")</f>
        <v>113419.3582886137</v>
      </c>
    </row>
    <row r="181" spans="1:9" x14ac:dyDescent="0.2">
      <c r="A181" s="20">
        <f>INT('模拟-模拟计算'!B206+0.5)</f>
        <v>165</v>
      </c>
      <c r="B181" s="52">
        <f>IF(AND(INT('模拟-模拟计算'!B206)&lt;='模拟-模拟计算'!$C$2,'模拟-模拟计算'!B206&gt;0),'模拟-模拟计算'!B206," ")</f>
        <v>165.12750000000048</v>
      </c>
      <c r="C181" s="51" t="str">
        <f ca="1">IF(AND(INT('模拟-模拟计算'!B206)&lt;='模拟-模拟计算'!$C$2,'模拟-模拟计算'!B206&gt;0),'模拟-模拟计算'!C206," ")</f>
        <v>烈日斩</v>
      </c>
      <c r="D181" s="104">
        <f ca="1">IF(AND(INT('模拟-模拟计算'!B206)&lt;='模拟-模拟计算'!$C$2,'模拟-模拟计算'!B206&gt;0),'模拟-模拟计算'!E206," ")</f>
        <v>80</v>
      </c>
      <c r="E181" s="104">
        <f ca="1">IF(AND(INT('模拟-模拟计算'!B206)&lt;='模拟-模拟计算'!$C$2,'模拟-模拟计算'!B206&gt;0),'模拟-模拟计算'!F206," ")</f>
        <v>85</v>
      </c>
      <c r="F181" s="51" t="str">
        <f ca="1">IF(AND(INT('模拟-模拟计算'!B206)&lt;='模拟-模拟计算'!$C$2,'模拟-模拟计算'!B206&gt;0),'模拟-模拟计算'!P206," ")</f>
        <v>会</v>
      </c>
      <c r="G181" s="52">
        <f ca="1">IF(AND(INT('模拟-模拟计算'!B206)&lt;='模拟-模拟计算'!$C$2,'模拟-模拟计算'!B206&gt;0),'模拟-模拟计算'!V206," ")</f>
        <v>105861.05199666526</v>
      </c>
      <c r="H181" s="52">
        <f ca="1">IF(AND(INT('模拟-模拟计算'!B206)&lt;='模拟-模拟计算'!$C$2,'模拟-模拟计算'!B206&gt;0),'模拟-模拟计算'!Y206," ")</f>
        <v>106222.56264021232</v>
      </c>
      <c r="I181" s="105">
        <f ca="1">IF(AND(INT('模拟-模拟计算'!B206)&lt;='模拟-模拟计算'!$C$2,'模拟-模拟计算'!B206&gt;0),'模拟-模拟计算'!AA206," ")</f>
        <v>113429.00661865542</v>
      </c>
    </row>
    <row r="182" spans="1:9" x14ac:dyDescent="0.2">
      <c r="A182" s="20">
        <f>INT('模拟-模拟计算'!B207+0.5)</f>
        <v>166</v>
      </c>
      <c r="B182" s="52">
        <f>IF(AND(INT('模拟-模拟计算'!B207)&lt;='模拟-模拟计算'!$C$2,'模拟-模拟计算'!B207&gt;0),'模拟-模拟计算'!B207," ")</f>
        <v>166.05000000000049</v>
      </c>
      <c r="C182" s="51" t="str">
        <f ca="1">IF(AND(INT('模拟-模拟计算'!B207)&lt;='模拟-模拟计算'!$C$2,'模拟-模拟计算'!B207&gt;0),'模拟-模拟计算'!C207," ")</f>
        <v>幽月轮1</v>
      </c>
      <c r="D182" s="104">
        <f ca="1">IF(AND(INT('模拟-模拟计算'!B207)&lt;='模拟-模拟计算'!$C$2,'模拟-模拟计算'!B207&gt;0),'模拟-模拟计算'!E207," ")</f>
        <v>80</v>
      </c>
      <c r="E182" s="104">
        <f ca="1">IF(AND(INT('模拟-模拟计算'!B207)&lt;='模拟-模拟计算'!$C$2,'模拟-模拟计算'!B207&gt;0),'模拟-模拟计算'!F207," ")</f>
        <v>100</v>
      </c>
      <c r="F182" s="51" t="str">
        <f ca="1">IF(AND(INT('模拟-模拟计算'!B207)&lt;='模拟-模拟计算'!$C$2,'模拟-模拟计算'!B207&gt;0),'模拟-模拟计算'!P207," ")</f>
        <v>命</v>
      </c>
      <c r="G182" s="52">
        <f ca="1">IF(AND(INT('模拟-模拟计算'!B207)&lt;='模拟-模拟计算'!$C$2,'模拟-模拟计算'!B207&gt;0),'模拟-模拟计算'!V207," ")</f>
        <v>16226.218300318291</v>
      </c>
      <c r="H182" s="52">
        <f ca="1">IF(AND(INT('模拟-模拟计算'!B207)&lt;='模拟-模拟计算'!$C$2,'模拟-模拟计算'!B207&gt;0),'模拟-模拟计算'!Y207," ")</f>
        <v>39830.683662948621</v>
      </c>
      <c r="I182" s="105">
        <f ca="1">IF(AND(INT('模拟-模拟计算'!B207)&lt;='模拟-模拟计算'!$C$2,'模拟-模拟计算'!B207&gt;0),'模拟-模拟计算'!AA207," ")</f>
        <v>113038.71709777157</v>
      </c>
    </row>
    <row r="183" spans="1:9" x14ac:dyDescent="0.2">
      <c r="A183" s="20">
        <f>INT('模拟-模拟计算'!B208+0.5)</f>
        <v>167</v>
      </c>
      <c r="B183" s="52">
        <f>IF(AND(INT('模拟-模拟计算'!B208)&lt;='模拟-模拟计算'!$C$2,'模拟-模拟计算'!B208&gt;0),'模拟-模拟计算'!B208," ")</f>
        <v>166.97250000000051</v>
      </c>
      <c r="C183" s="51" t="str">
        <f ca="1">IF(AND(INT('模拟-模拟计算'!B208)&lt;='模拟-模拟计算'!$C$2,'模拟-模拟计算'!B208&gt;0),'模拟-模拟计算'!C208," ")</f>
        <v>净世破魔击·月</v>
      </c>
      <c r="D183" s="104">
        <f ca="1">IF(AND(INT('模拟-模拟计算'!B208)&lt;='模拟-模拟计算'!$C$2,'模拟-模拟计算'!B208&gt;0),'模拟-模拟计算'!E208," ")</f>
        <v>100</v>
      </c>
      <c r="E183" s="104">
        <f ca="1">IF(AND(INT('模拟-模拟计算'!B208)&lt;='模拟-模拟计算'!$C$2,'模拟-模拟计算'!B208&gt;0),'模拟-模拟计算'!F208," ")</f>
        <v>20</v>
      </c>
      <c r="F183" s="51" t="str">
        <f ca="1">IF(AND(INT('模拟-模拟计算'!B208)&lt;='模拟-模拟计算'!$C$2,'模拟-模拟计算'!B208&gt;0),'模拟-模拟计算'!P208," ")</f>
        <v>命</v>
      </c>
      <c r="G183" s="52">
        <f ca="1">IF(AND(INT('模拟-模拟计算'!B208)&lt;='模拟-模拟计算'!$C$2,'模拟-模拟计算'!B208&gt;0),'模拟-模拟计算'!V208," ")</f>
        <v>81313.869455800319</v>
      </c>
      <c r="H183" s="52">
        <f ca="1">IF(AND(INT('模拟-模拟计算'!B208)&lt;='模拟-模拟计算'!$C$2,'模拟-模拟计算'!B208&gt;0),'模拟-模拟计算'!Y208," ")</f>
        <v>89314.831851452225</v>
      </c>
      <c r="I183" s="105">
        <f ca="1">IF(AND(INT('模拟-模拟计算'!B208)&lt;='模拟-模拟计算'!$C$2,'模拟-模拟计算'!B208&gt;0),'模拟-模拟计算'!AA208," ")</f>
        <v>112949.10123485257</v>
      </c>
    </row>
    <row r="184" spans="1:9" x14ac:dyDescent="0.2">
      <c r="A184" s="20">
        <f>INT('模拟-模拟计算'!B209+0.5)</f>
        <v>168</v>
      </c>
      <c r="B184" s="52">
        <f>IF(AND(INT('模拟-模拟计算'!B209)&lt;='模拟-模拟计算'!$C$2,'模拟-模拟计算'!B209&gt;0),'模拟-模拟计算'!B209," ")</f>
        <v>167.89500000000052</v>
      </c>
      <c r="C184" s="51" t="str">
        <f ca="1">IF(AND(INT('模拟-模拟计算'!B209)&lt;='模拟-模拟计算'!$C$2,'模拟-模拟计算'!B209&gt;0),'模拟-模拟计算'!C209," ")</f>
        <v>净世破魔击·日</v>
      </c>
      <c r="D184" s="104">
        <f ca="1">IF(AND(INT('模拟-模拟计算'!B209)&lt;='模拟-模拟计算'!$C$2,'模拟-模拟计算'!B209&gt;0),'模拟-模拟计算'!E209," ")</f>
        <v>0</v>
      </c>
      <c r="E184" s="104">
        <f ca="1">IF(AND(INT('模拟-模拟计算'!B209)&lt;='模拟-模拟计算'!$C$2,'模拟-模拟计算'!B209&gt;0),'模拟-模拟计算'!F209," ")</f>
        <v>20</v>
      </c>
      <c r="F184" s="51" t="str">
        <f ca="1">IF(AND(INT('模拟-模拟计算'!B209)&lt;='模拟-模拟计算'!$C$2,'模拟-模拟计算'!B209&gt;0),'模拟-模拟计算'!P209," ")</f>
        <v>会</v>
      </c>
      <c r="G184" s="52">
        <f ca="1">IF(AND(INT('模拟-模拟计算'!B209)&lt;='模拟-模拟计算'!$C$2,'模拟-模拟计算'!B209&gt;0),'模拟-模拟计算'!V209," ")</f>
        <v>197004.23608048278</v>
      </c>
      <c r="H184" s="52">
        <f ca="1">IF(AND(INT('模拟-模拟计算'!B209)&lt;='模拟-模拟计算'!$C$2,'模拟-模拟计算'!B209&gt;0),'模拟-模拟计算'!Y209," ")</f>
        <v>234333.48429188295</v>
      </c>
      <c r="I184" s="105">
        <f ca="1">IF(AND(INT('模拟-模拟计算'!B209)&lt;='模拟-模拟计算'!$C$2,'模拟-模拟计算'!B209&gt;0),'模拟-模拟计算'!AA209," ")</f>
        <v>113724.21626747848</v>
      </c>
    </row>
    <row r="185" spans="1:9" x14ac:dyDescent="0.2">
      <c r="A185" s="20">
        <f>INT('模拟-模拟计算'!B210+0.5)</f>
        <v>169</v>
      </c>
      <c r="B185" s="52">
        <f>IF(AND(INT('模拟-模拟计算'!B210)&lt;='模拟-模拟计算'!$C$2,'模拟-模拟计算'!B210&gt;0),'模拟-模拟计算'!B210," ")</f>
        <v>168.81750000000054</v>
      </c>
      <c r="C185" s="51" t="str">
        <f ca="1">IF(AND(INT('模拟-模拟计算'!B210)&lt;='模拟-模拟计算'!$C$2,'模拟-模拟计算'!B210&gt;0),'模拟-模拟计算'!C210," ")</f>
        <v>赤日轮1</v>
      </c>
      <c r="D185" s="104">
        <f ca="1">IF(AND(INT('模拟-模拟计算'!B210)&lt;='模拟-模拟计算'!$C$2,'模拟-模拟计算'!B210&gt;0),'模拟-模拟计算'!E210," ")</f>
        <v>20</v>
      </c>
      <c r="E185" s="104">
        <f ca="1">IF(AND(INT('模拟-模拟计算'!B210)&lt;='模拟-模拟计算'!$C$2,'模拟-模拟计算'!B210&gt;0),'模拟-模拟计算'!F210," ")</f>
        <v>20</v>
      </c>
      <c r="F185" s="51" t="str">
        <f ca="1">IF(AND(INT('模拟-模拟计算'!B210)&lt;='模拟-模拟计算'!$C$2,'模拟-模拟计算'!B210&gt;0),'模拟-模拟计算'!P210," ")</f>
        <v>会</v>
      </c>
      <c r="G185" s="52">
        <f ca="1">IF(AND(INT('模拟-模拟计算'!B210)&lt;='模拟-模拟计算'!$C$2,'模拟-模拟计算'!B210&gt;0),'模拟-模拟计算'!V210," ")</f>
        <v>54969.0140455398</v>
      </c>
      <c r="H185" s="52">
        <f ca="1">IF(AND(INT('模拟-模拟计算'!B210)&lt;='模拟-模拟计算'!$C$2,'模拟-模拟计算'!B210&gt;0),'模拟-模拟计算'!Y210," ")</f>
        <v>55330.524689086844</v>
      </c>
      <c r="I185" s="105">
        <f ca="1">IF(AND(INT('模拟-模拟计算'!B210)&lt;='模拟-模拟计算'!$C$2,'模拟-模拟计算'!B210&gt;0),'模拟-模拟计算'!AA210," ")</f>
        <v>113430.52595209255</v>
      </c>
    </row>
    <row r="186" spans="1:9" x14ac:dyDescent="0.2">
      <c r="A186" s="20">
        <f>INT('模拟-模拟计算'!B211+0.5)</f>
        <v>170</v>
      </c>
      <c r="B186" s="52">
        <f>IF(AND(INT('模拟-模拟计算'!B211)&lt;='模拟-模拟计算'!$C$2,'模拟-模拟计算'!B211&gt;0),'模拟-模拟计算'!B211," ")</f>
        <v>169.74000000000055</v>
      </c>
      <c r="C186" s="51" t="str">
        <f ca="1">IF(AND(INT('模拟-模拟计算'!B211)&lt;='模拟-模拟计算'!$C$2,'模拟-模拟计算'!B211&gt;0),'模拟-模拟计算'!C211," ")</f>
        <v>银月斩</v>
      </c>
      <c r="D186" s="104">
        <f ca="1">IF(AND(INT('模拟-模拟计算'!B211)&lt;='模拟-模拟计算'!$C$2,'模拟-模拟计算'!B211&gt;0),'模拟-模拟计算'!E211," ")</f>
        <v>100</v>
      </c>
      <c r="E186" s="104">
        <f ca="1">IF(AND(INT('模拟-模拟计算'!B211)&lt;='模拟-模拟计算'!$C$2,'模拟-模拟计算'!B211&gt;0),'模拟-模拟计算'!F211," ")</f>
        <v>65</v>
      </c>
      <c r="F186" s="51" t="str">
        <f ca="1">IF(AND(INT('模拟-模拟计算'!B211)&lt;='模拟-模拟计算'!$C$2,'模拟-模拟计算'!B211&gt;0),'模拟-模拟计算'!P211," ")</f>
        <v>会</v>
      </c>
      <c r="G186" s="52">
        <f ca="1">IF(AND(INT('模拟-模拟计算'!B211)&lt;='模拟-模拟计算'!$C$2,'模拟-模拟计算'!B211&gt;0),'模拟-模拟计算'!V211," ")</f>
        <v>39824.626099030873</v>
      </c>
      <c r="H186" s="52">
        <f ca="1">IF(AND(INT('模拟-模拟计算'!B211)&lt;='模拟-模拟计算'!$C$2,'模拟-模拟计算'!B211&gt;0),'模拟-模拟计算'!Y211," ")</f>
        <v>56997.41609509688</v>
      </c>
      <c r="I186" s="105">
        <f ca="1">IF(AND(INT('模拟-模拟计算'!B211)&lt;='模拟-模拟计算'!$C$2,'模拟-模拟计算'!B211&gt;0),'模拟-模拟计算'!AA211," ")</f>
        <v>113149.84818553364</v>
      </c>
    </row>
    <row r="187" spans="1:9" x14ac:dyDescent="0.2">
      <c r="A187" s="20">
        <f>INT('模拟-模拟计算'!B212+0.5)</f>
        <v>171</v>
      </c>
      <c r="B187" s="52">
        <f>IF(AND(INT('模拟-模拟计算'!B212)&lt;='模拟-模拟计算'!$C$2,'模拟-模拟计算'!B212&gt;0),'模拟-模拟计算'!B212," ")</f>
        <v>170.66250000000056</v>
      </c>
      <c r="C187" s="51" t="str">
        <f ca="1">IF(AND(INT('模拟-模拟计算'!B212)&lt;='模拟-模拟计算'!$C$2,'模拟-模拟计算'!B212&gt;0),'模拟-模拟计算'!C212," ")</f>
        <v>净世破魔击·日</v>
      </c>
      <c r="D187" s="104">
        <f ca="1">IF(AND(INT('模拟-模拟计算'!B212)&lt;='模拟-模拟计算'!$C$2,'模拟-模拟计算'!B212&gt;0),'模拟-模拟计算'!E212," ")</f>
        <v>0</v>
      </c>
      <c r="E187" s="104">
        <f ca="1">IF(AND(INT('模拟-模拟计算'!B212)&lt;='模拟-模拟计算'!$C$2,'模拟-模拟计算'!B212&gt;0),'模拟-模拟计算'!F212," ")</f>
        <v>100</v>
      </c>
      <c r="F187" s="51" t="str">
        <f ca="1">IF(AND(INT('模拟-模拟计算'!B212)&lt;='模拟-模拟计算'!$C$2,'模拟-模拟计算'!B212&gt;0),'模拟-模拟计算'!P212," ")</f>
        <v>识</v>
      </c>
      <c r="G187" s="52">
        <f ca="1">IF(AND(INT('模拟-模拟计算'!B212)&lt;='模拟-模拟计算'!$C$2,'模拟-模拟计算'!B212&gt;0),'模拟-模拟计算'!V212," ")</f>
        <v>22775.236442500598</v>
      </c>
      <c r="H187" s="52">
        <f ca="1">IF(AND(INT('模拟-模拟计算'!B212)&lt;='模拟-模拟计算'!$C$2,'模拟-模拟计算'!B212&gt;0),'模拟-模拟计算'!Y212," ")</f>
        <v>31986.537454155638</v>
      </c>
      <c r="I187" s="105">
        <f ca="1">IF(AND(INT('模拟-模拟计算'!B212)&lt;='模拟-模拟计算'!$C$2,'模拟-模拟计算'!B212&gt;0),'模拟-模拟计算'!AA212," ")</f>
        <v>112725.65307824878</v>
      </c>
    </row>
    <row r="188" spans="1:9" x14ac:dyDescent="0.2">
      <c r="A188" s="20">
        <f>INT('模拟-模拟计算'!B213+0.5)</f>
        <v>172</v>
      </c>
      <c r="B188" s="52">
        <f>IF(AND(INT('模拟-模拟计算'!B213)&lt;='模拟-模拟计算'!$C$2,'模拟-模拟计算'!B213&gt;0),'模拟-模拟计算'!B213," ")</f>
        <v>171.58500000000058</v>
      </c>
      <c r="C188" s="51" t="str">
        <f ca="1">IF(AND(INT('模拟-模拟计算'!B213)&lt;='模拟-模拟计算'!$C$2,'模拟-模拟计算'!B213&gt;0),'模拟-模拟计算'!C213," ")</f>
        <v>净世破魔击·月</v>
      </c>
      <c r="D188" s="104">
        <f ca="1">IF(AND(INT('模拟-模拟计算'!B213)&lt;='模拟-模拟计算'!$C$2,'模拟-模拟计算'!B213&gt;0),'模拟-模拟计算'!E213," ")</f>
        <v>100</v>
      </c>
      <c r="E188" s="104">
        <f ca="1">IF(AND(INT('模拟-模拟计算'!B213)&lt;='模拟-模拟计算'!$C$2,'模拟-模拟计算'!B213&gt;0),'模拟-模拟计算'!F213," ")</f>
        <v>20</v>
      </c>
      <c r="F188" s="51" t="str">
        <f ca="1">IF(AND(INT('模拟-模拟计算'!B213)&lt;='模拟-模拟计算'!$C$2,'模拟-模拟计算'!B213&gt;0),'模拟-模拟计算'!P213," ")</f>
        <v>会</v>
      </c>
      <c r="G188" s="52">
        <f ca="1">IF(AND(INT('模拟-模拟计算'!B213)&lt;='模拟-模拟计算'!$C$2,'模拟-模拟计算'!B213&gt;0),'模拟-模拟计算'!V213," ")</f>
        <v>117550.39766455625</v>
      </c>
      <c r="H188" s="52">
        <f ca="1">IF(AND(INT('模拟-模拟计算'!B213)&lt;='模拟-模拟计算'!$C$2,'模拟-模拟计算'!B213&gt;0),'模拟-模拟计算'!Y213," ")</f>
        <v>145888.64810759187</v>
      </c>
      <c r="I188" s="105">
        <f ca="1">IF(AND(INT('模拟-模拟计算'!B213)&lt;='模拟-模拟计算'!$C$2,'模拟-模拟计算'!B213&gt;0),'模拟-模拟计算'!AA213," ")</f>
        <v>112969.84244878178</v>
      </c>
    </row>
    <row r="189" spans="1:9" x14ac:dyDescent="0.2">
      <c r="A189" s="20">
        <f>INT('模拟-模拟计算'!B214+0.5)</f>
        <v>173</v>
      </c>
      <c r="B189" s="52">
        <f>IF(AND(INT('模拟-模拟计算'!B214)&lt;='模拟-模拟计算'!$C$2,'模拟-模拟计算'!B214&gt;0),'模拟-模拟计算'!B214," ")</f>
        <v>172.50750000000059</v>
      </c>
      <c r="C189" s="51" t="str">
        <f ca="1">IF(AND(INT('模拟-模拟计算'!B214)&lt;='模拟-模拟计算'!$C$2,'模拟-模拟计算'!B214&gt;0),'模拟-模拟计算'!C214," ")</f>
        <v>净世破魔击·日</v>
      </c>
      <c r="D189" s="104">
        <f ca="1">IF(AND(INT('模拟-模拟计算'!B214)&lt;='模拟-模拟计算'!$C$2,'模拟-模拟计算'!B214&gt;0),'模拟-模拟计算'!E214," ")</f>
        <v>0</v>
      </c>
      <c r="E189" s="104">
        <f ca="1">IF(AND(INT('模拟-模拟计算'!B214)&lt;='模拟-模拟计算'!$C$2,'模拟-模拟计算'!B214&gt;0),'模拟-模拟计算'!F214," ")</f>
        <v>100</v>
      </c>
      <c r="F189" s="51" t="str">
        <f ca="1">IF(AND(INT('模拟-模拟计算'!B214)&lt;='模拟-模拟计算'!$C$2,'模拟-模拟计算'!B214&gt;0),'模拟-模拟计算'!P214," ")</f>
        <v>会</v>
      </c>
      <c r="G189" s="52">
        <f ca="1">IF(AND(INT('模拟-模拟计算'!B214)&lt;='模拟-模拟计算'!$C$2,'模拟-模拟计算'!B214&gt;0),'模拟-模拟计算'!V214," ")</f>
        <v>131698.96445159343</v>
      </c>
      <c r="H189" s="52">
        <f ca="1">IF(AND(INT('模拟-模拟计算'!B214)&lt;='模拟-模拟计算'!$C$2,'模拟-模拟计算'!B214&gt;0),'模拟-模拟计算'!Y214," ")</f>
        <v>140910.26546324848</v>
      </c>
      <c r="I189" s="105">
        <f ca="1">IF(AND(INT('模拟-模拟计算'!B214)&lt;='模拟-模拟计算'!$C$2,'模拟-模拟计算'!B214&gt;0),'模拟-模拟计算'!AA214," ")</f>
        <v>113182.56123378676</v>
      </c>
    </row>
    <row r="190" spans="1:9" x14ac:dyDescent="0.2">
      <c r="A190" s="20">
        <f>INT('模拟-模拟计算'!B215+0.5)</f>
        <v>173</v>
      </c>
      <c r="B190" s="52">
        <f>IF(AND(INT('模拟-模拟计算'!B215)&lt;='模拟-模拟计算'!$C$2,'模拟-模拟计算'!B215&gt;0),'模拟-模拟计算'!B215," ")</f>
        <v>173.4300000000006</v>
      </c>
      <c r="C190" s="51" t="str">
        <f ca="1">IF(AND(INT('模拟-模拟计算'!B215)&lt;='模拟-模拟计算'!$C$2,'模拟-模拟计算'!B215&gt;0),'模拟-模拟计算'!C215," ")</f>
        <v>净世破魔击·月</v>
      </c>
      <c r="D190" s="104">
        <f ca="1">IF(AND(INT('模拟-模拟计算'!B215)&lt;='模拟-模拟计算'!$C$2,'模拟-模拟计算'!B215&gt;0),'模拟-模拟计算'!E215," ")</f>
        <v>100</v>
      </c>
      <c r="E190" s="104">
        <f ca="1">IF(AND(INT('模拟-模拟计算'!B215)&lt;='模拟-模拟计算'!$C$2,'模拟-模拟计算'!B215&gt;0),'模拟-模拟计算'!F215," ")</f>
        <v>20</v>
      </c>
      <c r="F190" s="51" t="str">
        <f ca="1">IF(AND(INT('模拟-模拟计算'!B215)&lt;='模拟-模拟计算'!$C$2,'模拟-模拟计算'!B215&gt;0),'模拟-模拟计算'!P215," ")</f>
        <v>会</v>
      </c>
      <c r="G190" s="52">
        <f ca="1">IF(AND(INT('模拟-模拟计算'!B215)&lt;='模拟-模拟计算'!$C$2,'模拟-模拟计算'!B215&gt;0),'模拟-模拟计算'!V215," ")</f>
        <v>117550.39766455625</v>
      </c>
      <c r="H190" s="52">
        <f ca="1">IF(AND(INT('模拟-模拟计算'!B215)&lt;='模拟-模拟计算'!$C$2,'模拟-模拟计算'!B215&gt;0),'模拟-模拟计算'!Y215," ")</f>
        <v>208799.58593243532</v>
      </c>
      <c r="I190" s="105">
        <f ca="1">IF(AND(INT('模拟-模拟计算'!B215)&lt;='模拟-模拟计算'!$C$2,'模拟-模拟计算'!B215&gt;0),'模拟-模拟计算'!AA215," ")</f>
        <v>113784.46790042035</v>
      </c>
    </row>
    <row r="191" spans="1:9" x14ac:dyDescent="0.2">
      <c r="A191" s="20">
        <f>INT('模拟-模拟计算'!B216+0.5)</f>
        <v>174</v>
      </c>
      <c r="B191" s="52">
        <f>IF(AND(INT('模拟-模拟计算'!B216)&lt;='模拟-模拟计算'!$C$2,'模拟-模拟计算'!B216&gt;0),'模拟-模拟计算'!B216," ")</f>
        <v>174.35250000000062</v>
      </c>
      <c r="C191" s="51" t="str">
        <f ca="1">IF(AND(INT('模拟-模拟计算'!B216)&lt;='模拟-模拟计算'!$C$2,'模拟-模拟计算'!B216&gt;0),'模拟-模拟计算'!C216," ")</f>
        <v>净世破魔击·日</v>
      </c>
      <c r="D191" s="104">
        <f ca="1">IF(AND(INT('模拟-模拟计算'!B216)&lt;='模拟-模拟计算'!$C$2,'模拟-模拟计算'!B216&gt;0),'模拟-模拟计算'!E216," ")</f>
        <v>0</v>
      </c>
      <c r="E191" s="104">
        <f ca="1">IF(AND(INT('模拟-模拟计算'!B216)&lt;='模拟-模拟计算'!$C$2,'模拟-模拟计算'!B216&gt;0),'模拟-模拟计算'!F216," ")</f>
        <v>100</v>
      </c>
      <c r="F191" s="51" t="str">
        <f ca="1">IF(AND(INT('模拟-模拟计算'!B216)&lt;='模拟-模拟计算'!$C$2,'模拟-模拟计算'!B216&gt;0),'模拟-模拟计算'!P216," ")</f>
        <v>命</v>
      </c>
      <c r="G191" s="52">
        <f ca="1">IF(AND(INT('模拟-模拟计算'!B216)&lt;='模拟-模拟计算'!$C$2,'模拟-模拟计算'!B216&gt;0),'模拟-模拟计算'!V216," ")</f>
        <v>60398.417085084453</v>
      </c>
      <c r="H191" s="52">
        <f ca="1">IF(AND(INT('模拟-模拟计算'!B216)&lt;='模拟-模拟计算'!$C$2,'模拟-模拟计算'!B216&gt;0),'模拟-模拟计算'!Y216," ")</f>
        <v>69609.718096739496</v>
      </c>
      <c r="I191" s="105">
        <f ca="1">IF(AND(INT('模拟-模拟计算'!B216)&lt;='模拟-模拟计算'!$C$2,'模拟-模拟计算'!B216&gt;0),'模拟-模拟计算'!AA216," ")</f>
        <v>113581.680710438</v>
      </c>
    </row>
    <row r="192" spans="1:9" x14ac:dyDescent="0.2">
      <c r="A192" s="20">
        <f>INT('模拟-模拟计算'!B217+0.5)</f>
        <v>175</v>
      </c>
      <c r="B192" s="52">
        <f>IF(AND(INT('模拟-模拟计算'!B217)&lt;='模拟-模拟计算'!$C$2,'模拟-模拟计算'!B217&gt;0),'模拟-模拟计算'!B217," ")</f>
        <v>175.27500000000063</v>
      </c>
      <c r="C192" s="51" t="str">
        <f ca="1">IF(AND(INT('模拟-模拟计算'!B217)&lt;='模拟-模拟计算'!$C$2,'模拟-模拟计算'!B217&gt;0),'模拟-模拟计算'!C217," ")</f>
        <v>净世破魔击·月</v>
      </c>
      <c r="D192" s="104">
        <f ca="1">IF(AND(INT('模拟-模拟计算'!B217)&lt;='模拟-模拟计算'!$C$2,'模拟-模拟计算'!B217&gt;0),'模拟-模拟计算'!E217," ")</f>
        <v>20</v>
      </c>
      <c r="E192" s="104">
        <f ca="1">IF(AND(INT('模拟-模拟计算'!B217)&lt;='模拟-模拟计算'!$C$2,'模拟-模拟计算'!B217&gt;0),'模拟-模拟计算'!F217," ")</f>
        <v>20</v>
      </c>
      <c r="F192" s="51" t="str">
        <f ca="1">IF(AND(INT('模拟-模拟计算'!B217)&lt;='模拟-模拟计算'!$C$2,'模拟-模拟计算'!B217&gt;0),'模拟-模拟计算'!P217," ")</f>
        <v>会</v>
      </c>
      <c r="G192" s="52">
        <f ca="1">IF(AND(INT('模拟-模拟计算'!B217)&lt;='模拟-模拟计算'!$C$2,'模拟-模拟计算'!B217&gt;0),'模拟-模拟计算'!V217," ")</f>
        <v>116578.90677476654</v>
      </c>
      <c r="H192" s="52">
        <f ca="1">IF(AND(INT('模拟-模拟计算'!B217)&lt;='模拟-模拟计算'!$C$2,'模拟-模拟计算'!B217&gt;0),'模拟-模拟计算'!Y217," ")</f>
        <v>152112.46407259145</v>
      </c>
      <c r="I192" s="105">
        <f ca="1">IF(AND(INT('模拟-模拟计算'!B217)&lt;='模拟-模拟计算'!$C$2,'模拟-模拟计算'!B217&gt;0),'模拟-模拟计算'!AA217," ")</f>
        <v>113851.73270654246</v>
      </c>
    </row>
    <row r="193" spans="1:9" x14ac:dyDescent="0.2">
      <c r="A193" s="20">
        <f>INT('模拟-模拟计算'!B218+0.5)</f>
        <v>176</v>
      </c>
      <c r="B193" s="52">
        <f>IF(AND(INT('模拟-模拟计算'!B218)&lt;='模拟-模拟计算'!$C$2,'模拟-模拟计算'!B218&gt;0),'模拟-模拟计算'!B218," ")</f>
        <v>176.19750000000064</v>
      </c>
      <c r="C193" s="51" t="str">
        <f ca="1">IF(AND(INT('模拟-模拟计算'!B218)&lt;='模拟-模拟计算'!$C$2,'模拟-模拟计算'!B218&gt;0),'模拟-模拟计算'!C218," ")</f>
        <v>银月斩</v>
      </c>
      <c r="D193" s="104">
        <f ca="1">IF(AND(INT('模拟-模拟计算'!B218)&lt;='模拟-模拟计算'!$C$2,'模拟-模拟计算'!B218&gt;0),'模拟-模拟计算'!E218," ")</f>
        <v>20</v>
      </c>
      <c r="E193" s="104">
        <f ca="1">IF(AND(INT('模拟-模拟计算'!B218)&lt;='模拟-模拟计算'!$C$2,'模拟-模拟计算'!B218&gt;0),'模拟-模拟计算'!F218," ")</f>
        <v>65</v>
      </c>
      <c r="F193" s="51" t="str">
        <f ca="1">IF(AND(INT('模拟-模拟计算'!B218)&lt;='模拟-模拟计算'!$C$2,'模拟-模拟计算'!B218&gt;0),'模拟-模拟计算'!P218," ")</f>
        <v>会</v>
      </c>
      <c r="G193" s="52">
        <f ca="1">IF(AND(INT('模拟-模拟计算'!B218)&lt;='模拟-模拟计算'!$C$2,'模拟-模拟计算'!B218&gt;0),'模拟-模拟计算'!V218," ")</f>
        <v>47762.146138749486</v>
      </c>
      <c r="H193" s="52">
        <f ca="1">IF(AND(INT('模拟-模拟计算'!B218)&lt;='模拟-模拟计算'!$C$2,'模拟-模拟计算'!B218&gt;0),'模拟-模拟计算'!Y218," ")</f>
        <v>48123.65678229653</v>
      </c>
      <c r="I193" s="105">
        <f ca="1">IF(AND(INT('模拟-模拟计算'!B218)&lt;='模拟-模拟计算'!$C$2,'模拟-模拟计算'!B218&gt;0),'模拟-模拟计算'!AA218," ")</f>
        <v>113528.77371654834</v>
      </c>
    </row>
    <row r="194" spans="1:9" x14ac:dyDescent="0.2">
      <c r="A194" s="20">
        <f>INT('模拟-模拟计算'!B219+0.5)</f>
        <v>177</v>
      </c>
      <c r="B194" s="52">
        <f>IF(AND(INT('模拟-模拟计算'!B219)&lt;='模拟-模拟计算'!$C$2,'模拟-模拟计算'!B219&gt;0),'模拟-模拟计算'!B219," ")</f>
        <v>177.12000000000066</v>
      </c>
      <c r="C194" s="51" t="str">
        <f ca="1">IF(AND(INT('模拟-模拟计算'!B219)&lt;='模拟-模拟计算'!$C$2,'模拟-模拟计算'!B219&gt;0),'模拟-模拟计算'!C219," ")</f>
        <v>驱夜断愁</v>
      </c>
      <c r="D194" s="104">
        <f ca="1">IF(AND(INT('模拟-模拟计算'!B219)&lt;='模拟-模拟计算'!$C$2,'模拟-模拟计算'!B219&gt;0),'模拟-模拟计算'!E219," ")</f>
        <v>40</v>
      </c>
      <c r="E194" s="104">
        <f ca="1">IF(AND(INT('模拟-模拟计算'!B219)&lt;='模拟-模拟计算'!$C$2,'模拟-模拟计算'!B219&gt;0),'模拟-模拟计算'!F219," ")</f>
        <v>85</v>
      </c>
      <c r="F194" s="51" t="str">
        <f ca="1">IF(AND(INT('模拟-模拟计算'!B219)&lt;='模拟-模拟计算'!$C$2,'模拟-模拟计算'!B219&gt;0),'模拟-模拟计算'!P219," ")</f>
        <v>会</v>
      </c>
      <c r="G194" s="52">
        <f ca="1">IF(AND(INT('模拟-模拟计算'!B219)&lt;='模拟-模拟计算'!$C$2,'模拟-模拟计算'!B219&gt;0),'模拟-模拟计算'!V219," ")</f>
        <v>133079.35569364758</v>
      </c>
      <c r="H194" s="52">
        <f ca="1">IF(AND(INT('模拟-模拟计算'!B219)&lt;='模拟-模拟计算'!$C$2,'模拟-模拟计算'!B219&gt;0),'模拟-模拟计算'!Y219," ")</f>
        <v>154139.6650281254</v>
      </c>
      <c r="I194" s="105">
        <f ca="1">IF(AND(INT('模拟-模拟计算'!B219)&lt;='模拟-模拟计算'!$C$2,'模拟-模拟计算'!B219&gt;0),'模拟-模拟计算'!AA219," ")</f>
        <v>113807.7335814682</v>
      </c>
    </row>
    <row r="195" spans="1:9" x14ac:dyDescent="0.2">
      <c r="A195" s="20">
        <f>INT('模拟-模拟计算'!B220+0.5)</f>
        <v>178</v>
      </c>
      <c r="B195" s="52">
        <f>IF(AND(INT('模拟-模拟计算'!B220)&lt;='模拟-模拟计算'!$C$2,'模拟-模拟计算'!B220&gt;0),'模拟-模拟计算'!B220," ")</f>
        <v>178.04250000000067</v>
      </c>
      <c r="C195" s="51" t="str">
        <f ca="1">IF(AND(INT('模拟-模拟计算'!B220)&lt;='模拟-模拟计算'!$C$2,'模拟-模拟计算'!B220&gt;0),'模拟-模拟计算'!C220," ")</f>
        <v>烈日斩</v>
      </c>
      <c r="D195" s="104">
        <f ca="1">IF(AND(INT('模拟-模拟计算'!B220)&lt;='模拟-模拟计算'!$C$2,'模拟-模拟计算'!B220&gt;0),'模拟-模拟计算'!E220," ")</f>
        <v>80</v>
      </c>
      <c r="E195" s="104">
        <f ca="1">IF(AND(INT('模拟-模拟计算'!B220)&lt;='模拟-模拟计算'!$C$2,'模拟-模拟计算'!B220&gt;0),'模拟-模拟计算'!F220," ")</f>
        <v>85</v>
      </c>
      <c r="F195" s="51" t="str">
        <f ca="1">IF(AND(INT('模拟-模拟计算'!B220)&lt;='模拟-模拟计算'!$C$2,'模拟-模拟计算'!B220&gt;0),'模拟-模拟计算'!P220," ")</f>
        <v>识</v>
      </c>
      <c r="G195" s="52">
        <f ca="1">IF(AND(INT('模拟-模拟计算'!B220)&lt;='模拟-模拟计算'!$C$2,'模拟-模拟计算'!B220&gt;0),'模拟-模拟计算'!V220," ")</f>
        <v>12210.407963717831</v>
      </c>
      <c r="H195" s="52">
        <f ca="1">IF(AND(INT('模拟-模拟计算'!B220)&lt;='模拟-模拟计算'!$C$2,'模拟-模拟计算'!B220&gt;0),'模拟-模拟计算'!Y220," ")</f>
        <v>12571.918607264879</v>
      </c>
      <c r="I195" s="105">
        <f ca="1">IF(AND(INT('模拟-模拟计算'!B220)&lt;='模拟-模拟计算'!$C$2,'模拟-模拟计算'!B220&gt;0),'模拟-模拟计算'!AA220," ")</f>
        <v>113288.66810203694</v>
      </c>
    </row>
    <row r="196" spans="1:9" x14ac:dyDescent="0.2">
      <c r="A196" s="20">
        <f>INT('模拟-模拟计算'!B221+0.5)</f>
        <v>179</v>
      </c>
      <c r="B196" s="52">
        <f>IF(AND(INT('模拟-模拟计算'!B221)&lt;='模拟-模拟计算'!$C$2,'模拟-模拟计算'!B221&gt;0),'模拟-模拟计算'!B221," ")</f>
        <v>178.96500000000069</v>
      </c>
      <c r="C196" s="51" t="str">
        <f ca="1">IF(AND(INT('模拟-模拟计算'!B221)&lt;='模拟-模拟计算'!$C$2,'模拟-模拟计算'!B221&gt;0),'模拟-模拟计算'!C221," ")</f>
        <v>幽月轮1</v>
      </c>
      <c r="D196" s="104">
        <f ca="1">IF(AND(INT('模拟-模拟计算'!B221)&lt;='模拟-模拟计算'!$C$2,'模拟-模拟计算'!B221&gt;0),'模拟-模拟计算'!E221," ")</f>
        <v>80</v>
      </c>
      <c r="E196" s="104">
        <f ca="1">IF(AND(INT('模拟-模拟计算'!B221)&lt;='模拟-模拟计算'!$C$2,'模拟-模拟计算'!B221&gt;0),'模拟-模拟计算'!F221," ")</f>
        <v>100</v>
      </c>
      <c r="F196" s="51" t="str">
        <f ca="1">IF(AND(INT('模拟-模拟计算'!B221)&lt;='模拟-模拟计算'!$C$2,'模拟-模拟计算'!B221&gt;0),'模拟-模拟计算'!P221," ")</f>
        <v>会</v>
      </c>
      <c r="G196" s="52">
        <f ca="1">IF(AND(INT('模拟-模拟计算'!B221)&lt;='模拟-模拟计算'!$C$2,'模拟-模拟计算'!B221&gt;0),'模拟-模拟计算'!V221," ")</f>
        <v>36630.702053185581</v>
      </c>
      <c r="H196" s="52">
        <f ca="1">IF(AND(INT('模拟-模拟计算'!B221)&lt;='模拟-模拟计算'!$C$2,'模拟-模拟计算'!B221&gt;0),'模拟-模拟计算'!Y221," ")</f>
        <v>60235.167415815915</v>
      </c>
      <c r="I196" s="105">
        <f ca="1">IF(AND(INT('模拟-模拟计算'!B221)&lt;='模拟-模拟计算'!$C$2,'模拟-模拟计算'!B221&gt;0),'模拟-模拟计算'!AA221," ")</f>
        <v>113041.28102127637</v>
      </c>
    </row>
    <row r="197" spans="1:9" x14ac:dyDescent="0.2">
      <c r="A197" s="20">
        <f>INT('模拟-模拟计算'!B222+0.5)</f>
        <v>180</v>
      </c>
      <c r="B197" s="52">
        <f>IF(AND(INT('模拟-模拟计算'!B222)&lt;='模拟-模拟计算'!$C$2,'模拟-模拟计算'!B222&gt;0),'模拟-模拟计算'!B222," ")</f>
        <v>179.8875000000007</v>
      </c>
      <c r="C197" s="51" t="str">
        <f ca="1">IF(AND(INT('模拟-模拟计算'!B222)&lt;='模拟-模拟计算'!$C$2,'模拟-模拟计算'!B222&gt;0),'模拟-模拟计算'!C222," ")</f>
        <v>净世破魔击·月</v>
      </c>
      <c r="D197" s="104">
        <f ca="1">IF(AND(INT('模拟-模拟计算'!B222)&lt;='模拟-模拟计算'!$C$2,'模拟-模拟计算'!B222&gt;0),'模拟-模拟计算'!E222," ")</f>
        <v>100</v>
      </c>
      <c r="E197" s="104">
        <f ca="1">IF(AND(INT('模拟-模拟计算'!B222)&lt;='模拟-模拟计算'!$C$2,'模拟-模拟计算'!B222&gt;0),'模拟-模拟计算'!F222," ")</f>
        <v>20</v>
      </c>
      <c r="F197" s="51" t="str">
        <f ca="1">IF(AND(INT('模拟-模拟计算'!B222)&lt;='模拟-模拟计算'!$C$2,'模拟-模拟计算'!B222&gt;0),'模拟-模拟计算'!P222," ")</f>
        <v>会</v>
      </c>
      <c r="G197" s="52">
        <f ca="1">IF(AND(INT('模拟-模拟计算'!B222)&lt;='模拟-模拟计算'!$C$2,'模拟-模拟计算'!B222&gt;0),'模拟-模拟计算'!V222," ")</f>
        <v>182541.2211190153</v>
      </c>
      <c r="H197" s="52">
        <f ca="1">IF(AND(INT('模拟-模拟计算'!B222)&lt;='模拟-模拟计算'!$C$2,'模拟-模拟计算'!B222&gt;0),'模拟-模拟计算'!Y222," ")</f>
        <v>190858.9425199338</v>
      </c>
      <c r="I197" s="105">
        <f ca="1">IF(AND(INT('模拟-模拟计算'!B222)&lt;='模拟-模拟计算'!$C$2,'模拟-模拟计算'!B222&gt;0),'模拟-模拟计算'!AA222," ")</f>
        <v>113522.57272179922</v>
      </c>
    </row>
    <row r="198" spans="1:9" x14ac:dyDescent="0.2">
      <c r="A198" s="20">
        <f>INT('模拟-模拟计算'!B223+0.5)</f>
        <v>181</v>
      </c>
      <c r="B198" s="52">
        <f>IF(AND(INT('模拟-模拟计算'!B223)&lt;='模拟-模拟计算'!$C$2,'模拟-模拟计算'!B223&gt;0),'模拟-模拟计算'!B223," ")</f>
        <v>180.81000000000071</v>
      </c>
      <c r="C198" s="51" t="str">
        <f ca="1">IF(AND(INT('模拟-模拟计算'!B223)&lt;='模拟-模拟计算'!$C$2,'模拟-模拟计算'!B223&gt;0),'模拟-模拟计算'!C223," ")</f>
        <v>净世破魔击·日</v>
      </c>
      <c r="D198" s="104">
        <f ca="1">IF(AND(INT('模拟-模拟计算'!B223)&lt;='模拟-模拟计算'!$C$2,'模拟-模拟计算'!B223&gt;0),'模拟-模拟计算'!E223," ")</f>
        <v>0</v>
      </c>
      <c r="E198" s="104">
        <f ca="1">IF(AND(INT('模拟-模拟计算'!B223)&lt;='模拟-模拟计算'!$C$2,'模拟-模拟计算'!B223&gt;0),'模拟-模拟计算'!F223," ")</f>
        <v>20</v>
      </c>
      <c r="F198" s="51" t="str">
        <f ca="1">IF(AND(INT('模拟-模拟计算'!B223)&lt;='模拟-模拟计算'!$C$2,'模拟-模拟计算'!B223&gt;0),'模拟-模拟计算'!P223," ")</f>
        <v>会</v>
      </c>
      <c r="G198" s="52">
        <f ca="1">IF(AND(INT('模拟-模拟计算'!B223)&lt;='模拟-模拟计算'!$C$2,'模拟-模拟计算'!B223&gt;0),'模拟-模拟计算'!V223," ")</f>
        <v>204517.60843249681</v>
      </c>
      <c r="H198" s="52">
        <f ca="1">IF(AND(INT('模拟-模拟计算'!B223)&lt;='模拟-模拟计算'!$C$2,'模拟-模拟计算'!B223&gt;0),'模拟-模拟计算'!Y223," ")</f>
        <v>253534.0503163205</v>
      </c>
      <c r="I198" s="105">
        <f ca="1">IF(AND(INT('模拟-模拟计算'!B223)&lt;='模拟-模拟计算'!$C$2,'模拟-模拟计算'!B223&gt;0),'模拟-模拟计算'!AA223," ")</f>
        <v>114345.58846750166</v>
      </c>
    </row>
    <row r="199" spans="1:9" x14ac:dyDescent="0.2">
      <c r="A199" s="20">
        <f>INT('模拟-模拟计算'!B224+0.5)</f>
        <v>182</v>
      </c>
      <c r="B199" s="52">
        <f>IF(AND(INT('模拟-模拟计算'!B224)&lt;='模拟-模拟计算'!$C$2,'模拟-模拟计算'!B224&gt;0),'模拟-模拟计算'!B224," ")</f>
        <v>181.73250000000073</v>
      </c>
      <c r="C199" s="51" t="str">
        <f ca="1">IF(AND(INT('模拟-模拟计算'!B224)&lt;='模拟-模拟计算'!$C$2,'模拟-模拟计算'!B224&gt;0),'模拟-模拟计算'!C224," ")</f>
        <v>赤日轮1</v>
      </c>
      <c r="D199" s="104">
        <f ca="1">IF(AND(INT('模拟-模拟计算'!B224)&lt;='模拟-模拟计算'!$C$2,'模拟-模拟计算'!B224&gt;0),'模拟-模拟计算'!E224," ")</f>
        <v>20</v>
      </c>
      <c r="E199" s="104">
        <f ca="1">IF(AND(INT('模拟-模拟计算'!B224)&lt;='模拟-模拟计算'!$C$2,'模拟-模拟计算'!B224&gt;0),'模拟-模拟计算'!F224," ")</f>
        <v>20</v>
      </c>
      <c r="F199" s="51" t="str">
        <f ca="1">IF(AND(INT('模拟-模拟计算'!B224)&lt;='模拟-模拟计算'!$C$2,'模拟-模拟计算'!B224&gt;0),'模拟-模拟计算'!P224," ")</f>
        <v>会</v>
      </c>
      <c r="G199" s="52">
        <f ca="1">IF(AND(INT('模拟-模拟计算'!B224)&lt;='模拟-模拟计算'!$C$2,'模拟-模拟计算'!B224&gt;0),'模拟-模拟计算'!V224," ")</f>
        <v>56864.156113360666</v>
      </c>
      <c r="H199" s="52">
        <f ca="1">IF(AND(INT('模拟-模拟计算'!B224)&lt;='模拟-模拟计算'!$C$2,'模拟-模拟计算'!B224&gt;0),'模拟-模拟计算'!Y224," ")</f>
        <v>57225.666756907711</v>
      </c>
      <c r="I199" s="105">
        <f ca="1">IF(AND(INT('模拟-模拟计算'!B224)&lt;='模拟-模拟计算'!$C$2,'模拟-模拟计算'!B224&gt;0),'模拟-模拟计算'!AA224," ")</f>
        <v>114080.04356714337</v>
      </c>
    </row>
    <row r="200" spans="1:9" x14ac:dyDescent="0.2">
      <c r="A200" s="20">
        <f>INT('模拟-模拟计算'!B225+0.5)</f>
        <v>183</v>
      </c>
      <c r="B200" s="52">
        <f>IF(AND(INT('模拟-模拟计算'!B225)&lt;='模拟-模拟计算'!$C$2,'模拟-模拟计算'!B225&gt;0),'模拟-模拟计算'!B225," ")</f>
        <v>182.65500000000074</v>
      </c>
      <c r="C200" s="51" t="str">
        <f ca="1">IF(AND(INT('模拟-模拟计算'!B225)&lt;='模拟-模拟计算'!$C$2,'模拟-模拟计算'!B225&gt;0),'模拟-模拟计算'!C225," ")</f>
        <v>银月斩</v>
      </c>
      <c r="D200" s="104">
        <f ca="1">IF(AND(INT('模拟-模拟计算'!B225)&lt;='模拟-模拟计算'!$C$2,'模拟-模拟计算'!B225&gt;0),'模拟-模拟计算'!E225," ")</f>
        <v>20</v>
      </c>
      <c r="E200" s="104">
        <f ca="1">IF(AND(INT('模拟-模拟计算'!B225)&lt;='模拟-模拟计算'!$C$2,'模拟-模拟计算'!B225&gt;0),'模拟-模拟计算'!F225," ")</f>
        <v>65</v>
      </c>
      <c r="F200" s="51" t="str">
        <f ca="1">IF(AND(INT('模拟-模拟计算'!B225)&lt;='模拟-模拟计算'!$C$2,'模拟-模拟计算'!B225&gt;0),'模拟-模拟计算'!P225," ")</f>
        <v>会</v>
      </c>
      <c r="G200" s="52">
        <f ca="1">IF(AND(INT('模拟-模拟计算'!B225)&lt;='模拟-模拟计算'!$C$2,'模拟-模拟计算'!B225&gt;0),'模拟-模拟计算'!V225," ")</f>
        <v>41211.704893206668</v>
      </c>
      <c r="H200" s="52">
        <f ca="1">IF(AND(INT('模拟-模拟计算'!B225)&lt;='模拟-模拟计算'!$C$2,'模拟-模拟计算'!B225&gt;0),'模拟-模拟计算'!Y225," ")</f>
        <v>54682.124590934603</v>
      </c>
      <c r="I200" s="105">
        <f ca="1">IF(AND(INT('模拟-模拟计算'!B225)&lt;='模拟-模拟计算'!$C$2,'模拟-模拟计算'!B225&gt;0),'模拟-模拟计算'!AA225," ")</f>
        <v>113803.25554820188</v>
      </c>
    </row>
    <row r="201" spans="1:9" x14ac:dyDescent="0.2">
      <c r="A201" s="20">
        <f>INT('模拟-模拟计算'!B226+0.5)</f>
        <v>184</v>
      </c>
      <c r="B201" s="52">
        <f>IF(AND(INT('模拟-模拟计算'!B226)&lt;='模拟-模拟计算'!$C$2,'模拟-模拟计算'!B226&gt;0),'模拟-模拟计算'!B226," ")</f>
        <v>183.57750000000075</v>
      </c>
      <c r="C201" s="51" t="str">
        <f ca="1">IF(AND(INT('模拟-模拟计算'!B226)&lt;='模拟-模拟计算'!$C$2,'模拟-模拟计算'!B226&gt;0),'模拟-模拟计算'!C226," ")</f>
        <v>驱夜断愁</v>
      </c>
      <c r="D201" s="104">
        <f ca="1">IF(AND(INT('模拟-模拟计算'!B226)&lt;='模拟-模拟计算'!$C$2,'模拟-模拟计算'!B226&gt;0),'模拟-模拟计算'!E226," ")</f>
        <v>40</v>
      </c>
      <c r="E201" s="104">
        <f ca="1">IF(AND(INT('模拟-模拟计算'!B226)&lt;='模拟-模拟计算'!$C$2,'模拟-模拟计算'!B226&gt;0),'模拟-模拟计算'!F226," ")</f>
        <v>85</v>
      </c>
      <c r="F201" s="51" t="str">
        <f ca="1">IF(AND(INT('模拟-模拟计算'!B226)&lt;='模拟-模拟计算'!$C$2,'模拟-模拟计算'!B226&gt;0),'模拟-模拟计算'!P226," ")</f>
        <v>会</v>
      </c>
      <c r="G201" s="52">
        <f ca="1">IF(AND(INT('模拟-模拟计算'!B226)&lt;='模拟-模拟计算'!$C$2,'模拟-模拟计算'!B226&gt;0),'模拟-模拟计算'!V226," ")</f>
        <v>127463.41908070058</v>
      </c>
      <c r="H201" s="52">
        <f ca="1">IF(AND(INT('模拟-模拟计算'!B226)&lt;='模拟-模拟计算'!$C$2,'模拟-模拟计算'!B226&gt;0),'模拟-模拟计算'!Y226," ")</f>
        <v>149637.838969217</v>
      </c>
      <c r="I201" s="105">
        <f ca="1">IF(AND(INT('模拟-模拟计算'!B226)&lt;='模拟-模拟计算'!$C$2,'模拟-模拟计算'!B226&gt;0),'模拟-模拟计算'!AA226," ")</f>
        <v>114046.50069385425</v>
      </c>
    </row>
    <row r="202" spans="1:9" x14ac:dyDescent="0.2">
      <c r="A202" s="20">
        <f>INT('模拟-模拟计算'!B227+0.5)</f>
        <v>185</v>
      </c>
      <c r="B202" s="52">
        <f>IF(AND(INT('模拟-模拟计算'!B227)&lt;='模拟-模拟计算'!$C$2,'模拟-模拟计算'!B227&gt;0),'模拟-模拟计算'!B227," ")</f>
        <v>184.50000000000077</v>
      </c>
      <c r="C202" s="51" t="str">
        <f ca="1">IF(AND(INT('模拟-模拟计算'!B227)&lt;='模拟-模拟计算'!$C$2,'模拟-模拟计算'!B227&gt;0),'模拟-模拟计算'!C227," ")</f>
        <v>烈日斩</v>
      </c>
      <c r="D202" s="104">
        <f ca="1">IF(AND(INT('模拟-模拟计算'!B227)&lt;='模拟-模拟计算'!$C$2,'模拟-模拟计算'!B227&gt;0),'模拟-模拟计算'!E227," ")</f>
        <v>80</v>
      </c>
      <c r="E202" s="104">
        <f ca="1">IF(AND(INT('模拟-模拟计算'!B227)&lt;='模拟-模拟计算'!$C$2,'模拟-模拟计算'!B227&gt;0),'模拟-模拟计算'!F227," ")</f>
        <v>85</v>
      </c>
      <c r="F202" s="51" t="str">
        <f ca="1">IF(AND(INT('模拟-模拟计算'!B227)&lt;='模拟-模拟计算'!$C$2,'模拟-模拟计算'!B227&gt;0),'模拟-模拟计算'!P227," ")</f>
        <v>会</v>
      </c>
      <c r="G202" s="52">
        <f ca="1">IF(AND(INT('模拟-模拟计算'!B227)&lt;='模拟-模拟计算'!$C$2,'模拟-模拟计算'!B227&gt;0),'模拟-模拟计算'!V227," ")</f>
        <v>105861.05199666526</v>
      </c>
      <c r="H202" s="52">
        <f ca="1">IF(AND(INT('模拟-模拟计算'!B227)&lt;='模拟-模拟计算'!$C$2,'模拟-模拟计算'!B227&gt;0),'模拟-模拟计算'!Y227," ")</f>
        <v>127447.11160724529</v>
      </c>
      <c r="I202" s="105">
        <f ca="1">IF(AND(INT('模拟-模拟计算'!B227)&lt;='模拟-模拟计算'!$C$2,'模拟-模拟计算'!B227&gt;0),'模拟-模拟计算'!AA227," ")</f>
        <v>114167.03844299878</v>
      </c>
    </row>
    <row r="203" spans="1:9" x14ac:dyDescent="0.2">
      <c r="A203" s="20">
        <f>INT('模拟-模拟计算'!B228+0.5)</f>
        <v>185</v>
      </c>
      <c r="B203" s="52">
        <f>IF(AND(INT('模拟-模拟计算'!B228)&lt;='模拟-模拟计算'!$C$2,'模拟-模拟计算'!B228&gt;0),'模拟-模拟计算'!B228," ")</f>
        <v>185.42250000000078</v>
      </c>
      <c r="C203" s="51" t="str">
        <f ca="1">IF(AND(INT('模拟-模拟计算'!B228)&lt;='模拟-模拟计算'!$C$2,'模拟-模拟计算'!B228&gt;0),'模拟-模拟计算'!C228," ")</f>
        <v>幽月轮1</v>
      </c>
      <c r="D203" s="104">
        <f ca="1">IF(AND(INT('模拟-模拟计算'!B228)&lt;='模拟-模拟计算'!$C$2,'模拟-模拟计算'!B228&gt;0),'模拟-模拟计算'!E228," ")</f>
        <v>80</v>
      </c>
      <c r="E203" s="104">
        <f ca="1">IF(AND(INT('模拟-模拟计算'!B228)&lt;='模拟-模拟计算'!$C$2,'模拟-模拟计算'!B228&gt;0),'模拟-模拟计算'!F228," ")</f>
        <v>100</v>
      </c>
      <c r="F203" s="51" t="str">
        <f ca="1">IF(AND(INT('模拟-模拟计算'!B228)&lt;='模拟-模拟计算'!$C$2,'模拟-模拟计算'!B228&gt;0),'模拟-模拟计算'!P228," ")</f>
        <v>命</v>
      </c>
      <c r="G203" s="52">
        <f ca="1">IF(AND(INT('模拟-模拟计算'!B228)&lt;='模拟-模拟计算'!$C$2,'模拟-模拟计算'!B228&gt;0),'模拟-模拟计算'!V228," ")</f>
        <v>16226.218300318291</v>
      </c>
      <c r="H203" s="52">
        <f ca="1">IF(AND(INT('模拟-模拟计算'!B228)&lt;='模拟-模拟计算'!$C$2,'模拟-模拟计算'!B228&gt;0),'模拟-模拟计算'!Y228," ")</f>
        <v>16587.728943865339</v>
      </c>
      <c r="I203" s="105">
        <f ca="1">IF(AND(INT('模拟-模拟计算'!B228)&lt;='模拟-模拟计算'!$C$2,'模拟-模拟计算'!B228&gt;0),'模拟-模拟计算'!AA228," ")</f>
        <v>113688.50232133176</v>
      </c>
    </row>
    <row r="204" spans="1:9" x14ac:dyDescent="0.2">
      <c r="A204" s="20">
        <f>INT('模拟-模拟计算'!B229+0.5)</f>
        <v>186</v>
      </c>
      <c r="B204" s="52">
        <f>IF(AND(INT('模拟-模拟计算'!B229)&lt;='模拟-模拟计算'!$C$2,'模拟-模拟计算'!B229&gt;0),'模拟-模拟计算'!B229," ")</f>
        <v>186.34500000000079</v>
      </c>
      <c r="C204" s="51" t="str">
        <f ca="1">IF(AND(INT('模拟-模拟计算'!B229)&lt;='模拟-模拟计算'!$C$2,'模拟-模拟计算'!B229&gt;0),'模拟-模拟计算'!C229," ")</f>
        <v>净世破魔击·月</v>
      </c>
      <c r="D204" s="104">
        <f ca="1">IF(AND(INT('模拟-模拟计算'!B229)&lt;='模拟-模拟计算'!$C$2,'模拟-模拟计算'!B229&gt;0),'模拟-模拟计算'!E229," ")</f>
        <v>100</v>
      </c>
      <c r="E204" s="104">
        <f ca="1">IF(AND(INT('模拟-模拟计算'!B229)&lt;='模拟-模拟计算'!$C$2,'模拟-模拟计算'!B229&gt;0),'模拟-模拟计算'!F229," ")</f>
        <v>20</v>
      </c>
      <c r="F204" s="51" t="str">
        <f ca="1">IF(AND(INT('模拟-模拟计算'!B229)&lt;='模拟-模拟计算'!$C$2,'模拟-模拟计算'!B229&gt;0),'模拟-模拟计算'!P229," ")</f>
        <v>会</v>
      </c>
      <c r="G204" s="52">
        <f ca="1">IF(AND(INT('模拟-模拟计算'!B229)&lt;='模拟-模拟计算'!$C$2,'模拟-模拟计算'!B229&gt;0),'模拟-模拟计算'!V229," ")</f>
        <v>182541.2211190153</v>
      </c>
      <c r="H204" s="52">
        <f ca="1">IF(AND(INT('模拟-模拟计算'!B229)&lt;='模拟-模拟计算'!$C$2,'模拟-模拟计算'!B229&gt;0),'模拟-模拟计算'!Y229," ")</f>
        <v>212083.49148696678</v>
      </c>
      <c r="I204" s="105">
        <f ca="1">IF(AND(INT('模拟-模拟计算'!B229)&lt;='模拟-模拟计算'!$C$2,'模拟-模拟计算'!B229&gt;0),'模拟-模拟计算'!AA229," ")</f>
        <v>114263.81074439401</v>
      </c>
    </row>
    <row r="205" spans="1:9" x14ac:dyDescent="0.2">
      <c r="A205" s="20">
        <f>INT('模拟-模拟计算'!B230+0.5)</f>
        <v>187</v>
      </c>
      <c r="B205" s="52">
        <f>IF(AND(INT('模拟-模拟计算'!B230)&lt;='模拟-模拟计算'!$C$2,'模拟-模拟计算'!B230&gt;0),'模拟-模拟计算'!B230," ")</f>
        <v>187.26750000000081</v>
      </c>
      <c r="C205" s="51" t="str">
        <f ca="1">IF(AND(INT('模拟-模拟计算'!B230)&lt;='模拟-模拟计算'!$C$2,'模拟-模拟计算'!B230&gt;0),'模拟-模拟计算'!C230," ")</f>
        <v>净世破魔击·日</v>
      </c>
      <c r="D205" s="104">
        <f ca="1">IF(AND(INT('模拟-模拟计算'!B230)&lt;='模拟-模拟计算'!$C$2,'模拟-模拟计算'!B230&gt;0),'模拟-模拟计算'!E230," ")</f>
        <v>0</v>
      </c>
      <c r="E205" s="104">
        <f ca="1">IF(AND(INT('模拟-模拟计算'!B230)&lt;='模拟-模拟计算'!$C$2,'模拟-模拟计算'!B230&gt;0),'模拟-模拟计算'!F230," ")</f>
        <v>20</v>
      </c>
      <c r="F205" s="51" t="str">
        <f ca="1">IF(AND(INT('模拟-模拟计算'!B230)&lt;='模拟-模拟计算'!$C$2,'模拟-模拟计算'!B230&gt;0),'模拟-模拟计算'!P230," ")</f>
        <v>会</v>
      </c>
      <c r="G205" s="52">
        <f ca="1">IF(AND(INT('模拟-模拟计算'!B230)&lt;='模拟-模拟计算'!$C$2,'模拟-模拟计算'!B230&gt;0),'模拟-模拟计算'!V230," ")</f>
        <v>204517.60843249681</v>
      </c>
      <c r="H205" s="52">
        <f ca="1">IF(AND(INT('模拟-模拟计算'!B230)&lt;='模拟-模拟计算'!$C$2,'模拟-模拟计算'!B230&gt;0),'模拟-模拟计算'!Y230," ")</f>
        <v>214080.86389444806</v>
      </c>
      <c r="I205" s="105">
        <f ca="1">IF(AND(INT('模拟-模拟计算'!B230)&lt;='模拟-模拟计算'!$C$2,'模拟-模拟计算'!B230&gt;0),'模拟-模拟计算'!AA230," ")</f>
        <v>114844.11698270414</v>
      </c>
    </row>
    <row r="206" spans="1:9" x14ac:dyDescent="0.2">
      <c r="A206" s="20">
        <f>INT('模拟-模拟计算'!B231+0.5)</f>
        <v>188</v>
      </c>
      <c r="B206" s="52">
        <f>IF(AND(INT('模拟-模拟计算'!B231)&lt;='模拟-模拟计算'!$C$2,'模拟-模拟计算'!B231&gt;0),'模拟-模拟计算'!B231," ")</f>
        <v>188.19000000000082</v>
      </c>
      <c r="C206" s="51" t="str">
        <f ca="1">IF(AND(INT('模拟-模拟计算'!B231)&lt;='模拟-模拟计算'!$C$2,'模拟-模拟计算'!B231&gt;0),'模拟-模拟计算'!C231," ")</f>
        <v>赤日轮1</v>
      </c>
      <c r="D206" s="104">
        <f ca="1">IF(AND(INT('模拟-模拟计算'!B231)&lt;='模拟-模拟计算'!$C$2,'模拟-模拟计算'!B231&gt;0),'模拟-模拟计算'!E231," ")</f>
        <v>20</v>
      </c>
      <c r="E206" s="104">
        <f ca="1">IF(AND(INT('模拟-模拟计算'!B231)&lt;='模拟-模拟计算'!$C$2,'模拟-模拟计算'!B231&gt;0),'模拟-模拟计算'!F231," ")</f>
        <v>20</v>
      </c>
      <c r="F206" s="51" t="str">
        <f ca="1">IF(AND(INT('模拟-模拟计算'!B231)&lt;='模拟-模拟计算'!$C$2,'模拟-模拟计算'!B231&gt;0),'模拟-模拟计算'!P231," ")</f>
        <v>命</v>
      </c>
      <c r="G206" s="52">
        <f ca="1">IF(AND(INT('模拟-模拟计算'!B231)&lt;='模拟-模拟计算'!$C$2,'模拟-模拟计算'!B231&gt;0),'模拟-模拟计算'!V231," ")</f>
        <v>26295.771631143321</v>
      </c>
      <c r="H206" s="52">
        <f ca="1">IF(AND(INT('模拟-模拟计算'!B231)&lt;='模拟-模拟计算'!$C$2,'模拟-模拟计算'!B231&gt;0),'模拟-模拟计算'!Y231," ")</f>
        <v>47881.831241723339</v>
      </c>
      <c r="I206" s="105">
        <f ca="1">IF(AND(INT('模拟-模拟计算'!B231)&lt;='模拟-模拟计算'!$C$2,'模拟-模拟计算'!B231&gt;0),'模拟-模拟计算'!AA231," ")</f>
        <v>114535.58907646671</v>
      </c>
    </row>
    <row r="207" spans="1:9" x14ac:dyDescent="0.2">
      <c r="A207" s="20">
        <f>INT('模拟-模拟计算'!B232+0.5)</f>
        <v>189</v>
      </c>
      <c r="B207" s="52">
        <f>IF(AND(INT('模拟-模拟计算'!B232)&lt;='模拟-模拟计算'!$C$2,'模拟-模拟计算'!B232&gt;0),'模拟-模拟计算'!B232," ")</f>
        <v>189.11250000000084</v>
      </c>
      <c r="C207" s="51" t="str">
        <f ca="1">IF(AND(INT('模拟-模拟计算'!B232)&lt;='模拟-模拟计算'!$C$2,'模拟-模拟计算'!B232&gt;0),'模拟-模拟计算'!C232," ")</f>
        <v>银月斩</v>
      </c>
      <c r="D207" s="104">
        <f ca="1">IF(AND(INT('模拟-模拟计算'!B232)&lt;='模拟-模拟计算'!$C$2,'模拟-模拟计算'!B232&gt;0),'模拟-模拟计算'!E232," ")</f>
        <v>20</v>
      </c>
      <c r="E207" s="104">
        <f ca="1">IF(AND(INT('模拟-模拟计算'!B232)&lt;='模拟-模拟计算'!$C$2,'模拟-模拟计算'!B232&gt;0),'模拟-模拟计算'!F232," ")</f>
        <v>65</v>
      </c>
      <c r="F207" s="51" t="str">
        <f ca="1">IF(AND(INT('模拟-模拟计算'!B232)&lt;='模拟-模拟计算'!$C$2,'模拟-模拟计算'!B232&gt;0),'模拟-模拟计算'!P232," ")</f>
        <v>会</v>
      </c>
      <c r="G207" s="52">
        <f ca="1">IF(AND(INT('模拟-模拟计算'!B232)&lt;='模拟-模拟计算'!$C$2,'模拟-模拟计算'!B232&gt;0),'模拟-模拟计算'!V232," ")</f>
        <v>41211.704893206668</v>
      </c>
      <c r="H207" s="52">
        <f ca="1">IF(AND(INT('模拟-模拟计算'!B232)&lt;='模拟-模拟计算'!$C$2,'模拟-模拟计算'!B232&gt;0),'模拟-模拟计算'!Y232," ")</f>
        <v>41573.21553675372</v>
      </c>
      <c r="I207" s="105">
        <f ca="1">IF(AND(INT('模拟-模拟计算'!B232)&lt;='模拟-模拟计算'!$C$2,'模拟-模拟计算'!B232&gt;0),'模拟-模拟计算'!AA232," ")</f>
        <v>114196.71213609372</v>
      </c>
    </row>
    <row r="208" spans="1:9" x14ac:dyDescent="0.2">
      <c r="A208" s="20">
        <f>INT('模拟-模拟计算'!B233+0.5)</f>
        <v>190</v>
      </c>
      <c r="B208" s="52">
        <f>IF(AND(INT('模拟-模拟计算'!B233)&lt;='模拟-模拟计算'!$C$2,'模拟-模拟计算'!B233&gt;0),'模拟-模拟计算'!B233," ")</f>
        <v>190.03500000000085</v>
      </c>
      <c r="C208" s="51" t="str">
        <f ca="1">IF(AND(INT('模拟-模拟计算'!B233)&lt;='模拟-模拟计算'!$C$2,'模拟-模拟计算'!B233&gt;0),'模拟-模拟计算'!C233," ")</f>
        <v>驱夜断愁</v>
      </c>
      <c r="D208" s="104">
        <f ca="1">IF(AND(INT('模拟-模拟计算'!B233)&lt;='模拟-模拟计算'!$C$2,'模拟-模拟计算'!B233&gt;0),'模拟-模拟计算'!E233," ")</f>
        <v>40</v>
      </c>
      <c r="E208" s="104">
        <f ca="1">IF(AND(INT('模拟-模拟计算'!B233)&lt;='模拟-模拟计算'!$C$2,'模拟-模拟计算'!B233&gt;0),'模拟-模拟计算'!F233," ")</f>
        <v>85</v>
      </c>
      <c r="F208" s="51" t="str">
        <f ca="1">IF(AND(INT('模拟-模拟计算'!B233)&lt;='模拟-模拟计算'!$C$2,'模拟-模拟计算'!B233&gt;0),'模拟-模拟计算'!P233," ")</f>
        <v>会</v>
      </c>
      <c r="G208" s="52">
        <f ca="1">IF(AND(INT('模拟-模拟计算'!B233)&lt;='模拟-模拟计算'!$C$2,'模拟-模拟计算'!B233&gt;0),'模拟-模拟计算'!V233," ")</f>
        <v>133079.35569364758</v>
      </c>
      <c r="H208" s="52">
        <f ca="1">IF(AND(INT('模拟-模拟计算'!B233)&lt;='模拟-模拟计算'!$C$2,'模拟-模拟计算'!B233&gt;0),'模拟-模拟计算'!Y233," ")</f>
        <v>163154.73278412875</v>
      </c>
      <c r="I208" s="105">
        <f ca="1">IF(AND(INT('模拟-模拟计算'!B233)&lt;='模拟-模拟计算'!$C$2,'模拟-模拟计算'!B233&gt;0),'模拟-模拟计算'!AA233," ")</f>
        <v>114500.91013035047</v>
      </c>
    </row>
    <row r="209" spans="1:9" x14ac:dyDescent="0.2">
      <c r="A209" s="20">
        <f>INT('模拟-模拟计算'!B234+0.5)</f>
        <v>191</v>
      </c>
      <c r="B209" s="52">
        <f>IF(AND(INT('模拟-模拟计算'!B234)&lt;='模拟-模拟计算'!$C$2,'模拟-模拟计算'!B234&gt;0),'模拟-模拟计算'!B234," ")</f>
        <v>190.95750000000086</v>
      </c>
      <c r="C209" s="51" t="str">
        <f ca="1">IF(AND(INT('模拟-模拟计算'!B234)&lt;='模拟-模拟计算'!$C$2,'模拟-模拟计算'!B234&gt;0),'模拟-模拟计算'!C234," ")</f>
        <v>烈日斩</v>
      </c>
      <c r="D209" s="104">
        <f ca="1">IF(AND(INT('模拟-模拟计算'!B234)&lt;='模拟-模拟计算'!$C$2,'模拟-模拟计算'!B234&gt;0),'模拟-模拟计算'!E234," ")</f>
        <v>80</v>
      </c>
      <c r="E209" s="104">
        <f ca="1">IF(AND(INT('模拟-模拟计算'!B234)&lt;='模拟-模拟计算'!$C$2,'模拟-模拟计算'!B234&gt;0),'模拟-模拟计算'!F234," ")</f>
        <v>85</v>
      </c>
      <c r="F209" s="51" t="str">
        <f ca="1">IF(AND(INT('模拟-模拟计算'!B234)&lt;='模拟-模拟计算'!$C$2,'模拟-模拟计算'!B234&gt;0),'模拟-模拟计算'!P234," ")</f>
        <v>命</v>
      </c>
      <c r="G209" s="52">
        <f ca="1">IF(AND(INT('模拟-模拟计算'!B234)&lt;='模拟-模拟计算'!$C$2,'模拟-模拟计算'!B234&gt;0),'模拟-模拟计算'!V234," ")</f>
        <v>48841.631854871324</v>
      </c>
      <c r="H209" s="52">
        <f ca="1">IF(AND(INT('模拟-模拟计算'!B234)&lt;='模拟-模拟计算'!$C$2,'模拟-模拟计算'!B234&gt;0),'模拟-模拟计算'!Y234," ")</f>
        <v>49203.142498418369</v>
      </c>
      <c r="I209" s="105">
        <f ca="1">IF(AND(INT('模拟-模拟计算'!B234)&lt;='模拟-模拟计算'!$C$2,'模拟-模拟计算'!B234&gt;0),'模拟-模拟计算'!AA234," ")</f>
        <v>114205.43104680134</v>
      </c>
    </row>
    <row r="210" spans="1:9" x14ac:dyDescent="0.2">
      <c r="A210" s="20">
        <f>INT('模拟-模拟计算'!B235+0.5)</f>
        <v>192</v>
      </c>
      <c r="B210" s="52">
        <f>IF(AND(INT('模拟-模拟计算'!B235)&lt;='模拟-模拟计算'!$C$2,'模拟-模拟计算'!B235&gt;0),'模拟-模拟计算'!B235," ")</f>
        <v>191.88000000000088</v>
      </c>
      <c r="C210" s="51" t="str">
        <f ca="1">IF(AND(INT('模拟-模拟计算'!B235)&lt;='模拟-模拟计算'!$C$2,'模拟-模拟计算'!B235&gt;0),'模拟-模拟计算'!C235," ")</f>
        <v>幽月轮1</v>
      </c>
      <c r="D210" s="104">
        <f ca="1">IF(AND(INT('模拟-模拟计算'!B235)&lt;='模拟-模拟计算'!$C$2,'模拟-模拟计算'!B235&gt;0),'模拟-模拟计算'!E235," ")</f>
        <v>80</v>
      </c>
      <c r="E210" s="104">
        <f ca="1">IF(AND(INT('模拟-模拟计算'!B235)&lt;='模拟-模拟计算'!$C$2,'模拟-模拟计算'!B235&gt;0),'模拟-模拟计算'!F235," ")</f>
        <v>100</v>
      </c>
      <c r="F210" s="51" t="str">
        <f ca="1">IF(AND(INT('模拟-模拟计算'!B235)&lt;='模拟-模拟计算'!$C$2,'模拟-模拟计算'!B235&gt;0),'模拟-模拟计算'!P235," ")</f>
        <v>识</v>
      </c>
      <c r="G210" s="52">
        <f ca="1">IF(AND(INT('模拟-模拟计算'!B235)&lt;='模拟-模拟计算'!$C$2,'模拟-模拟计算'!B235&gt;0),'模拟-模拟计算'!V235," ")</f>
        <v>4234.7967582548099</v>
      </c>
      <c r="H210" s="52">
        <f ca="1">IF(AND(INT('模拟-模拟计算'!B235)&lt;='模拟-模拟计算'!$C$2,'模拟-模拟计算'!B235&gt;0),'模拟-模拟计算'!Y235," ")</f>
        <v>33295.454215259699</v>
      </c>
      <c r="I210" s="105">
        <f ca="1">IF(AND(INT('模拟-模拟计算'!B235)&lt;='模拟-模拟计算'!$C$2,'模拟-模拟计算'!B235&gt;0),'模拟-模拟计算'!AA235," ")</f>
        <v>113829.88874992092</v>
      </c>
    </row>
    <row r="211" spans="1:9" x14ac:dyDescent="0.2">
      <c r="A211" s="20">
        <f>INT('模拟-模拟计算'!B236+0.5)</f>
        <v>193</v>
      </c>
      <c r="B211" s="52">
        <f>IF(AND(INT('模拟-模拟计算'!B236)&lt;='模拟-模拟计算'!$C$2,'模拟-模拟计算'!B236&gt;0),'模拟-模拟计算'!B236," ")</f>
        <v>192.80250000000089</v>
      </c>
      <c r="C211" s="51" t="str">
        <f ca="1">IF(AND(INT('模拟-模拟计算'!B236)&lt;='模拟-模拟计算'!$C$2,'模拟-模拟计算'!B236&gt;0),'模拟-模拟计算'!C236," ")</f>
        <v>净世破魔击·月</v>
      </c>
      <c r="D211" s="104">
        <f ca="1">IF(AND(INT('模拟-模拟计算'!B236)&lt;='模拟-模拟计算'!$C$2,'模拟-模拟计算'!B236&gt;0),'模拟-模拟计算'!E236," ")</f>
        <v>100</v>
      </c>
      <c r="E211" s="104">
        <f ca="1">IF(AND(INT('模拟-模拟计算'!B236)&lt;='模拟-模拟计算'!$C$2,'模拟-模拟计算'!B236&gt;0),'模拟-模拟计算'!F236," ")</f>
        <v>20</v>
      </c>
      <c r="F211" s="51" t="str">
        <f ca="1">IF(AND(INT('模拟-模拟计算'!B236)&lt;='模拟-模拟计算'!$C$2,'模拟-模拟计算'!B236&gt;0),'模拟-模拟计算'!P236," ")</f>
        <v>命</v>
      </c>
      <c r="G211" s="52">
        <f ca="1">IF(AND(INT('模拟-模拟计算'!B236)&lt;='模拟-模拟计算'!$C$2,'模拟-模拟计算'!B236&gt;0),'模拟-模拟计算'!V236," ")</f>
        <v>107829.01026607753</v>
      </c>
      <c r="H211" s="52">
        <f ca="1">IF(AND(INT('模拟-模拟计算'!B236)&lt;='模拟-模拟计算'!$C$2,'模拟-模拟计算'!B236&gt;0),'模拟-模拟计算'!Y236," ")</f>
        <v>127028.72574507058</v>
      </c>
      <c r="I211" s="105">
        <f ca="1">IF(AND(INT('模拟-模拟计算'!B236)&lt;='模拟-模拟计算'!$C$2,'模拟-模拟计算'!B236&gt;0),'模拟-模拟计算'!AA236," ")</f>
        <v>113944.10227605916</v>
      </c>
    </row>
    <row r="212" spans="1:9" x14ac:dyDescent="0.2">
      <c r="A212" s="20">
        <f>INT('模拟-模拟计算'!B237+0.5)</f>
        <v>194</v>
      </c>
      <c r="B212" s="52">
        <f>IF(AND(INT('模拟-模拟计算'!B237)&lt;='模拟-模拟计算'!$C$2,'模拟-模拟计算'!B237&gt;0),'模拟-模拟计算'!B237," ")</f>
        <v>193.7250000000009</v>
      </c>
      <c r="C212" s="51" t="str">
        <f ca="1">IF(AND(INT('模拟-模拟计算'!B237)&lt;='模拟-模拟计算'!$C$2,'模拟-模拟计算'!B237&gt;0),'模拟-模拟计算'!C237," ")</f>
        <v>净世破魔击·日</v>
      </c>
      <c r="D212" s="104">
        <f ca="1">IF(AND(INT('模拟-模拟计算'!B237)&lt;='模拟-模拟计算'!$C$2,'模拟-模拟计算'!B237&gt;0),'模拟-模拟计算'!E237," ")</f>
        <v>0</v>
      </c>
      <c r="E212" s="104">
        <f ca="1">IF(AND(INT('模拟-模拟计算'!B237)&lt;='模拟-模拟计算'!$C$2,'模拟-模拟计算'!B237&gt;0),'模拟-模拟计算'!F237," ")</f>
        <v>100</v>
      </c>
      <c r="F212" s="51" t="str">
        <f ca="1">IF(AND(INT('模拟-模拟计算'!B237)&lt;='模拟-模拟计算'!$C$2,'模拟-模拟计算'!B237&gt;0),'模拟-模拟计算'!P237," ")</f>
        <v>会</v>
      </c>
      <c r="G212" s="52">
        <f ca="1">IF(AND(INT('模拟-模拟计算'!B237)&lt;='模拟-模拟计算'!$C$2,'模拟-模拟计算'!B237&gt;0),'模拟-模拟计算'!V237," ")</f>
        <v>261251.05451477368</v>
      </c>
      <c r="H212" s="52">
        <f ca="1">IF(AND(INT('模拟-模拟计算'!B237)&lt;='模拟-模拟计算'!$C$2,'模拟-模拟计算'!B237&gt;0),'模拟-模拟计算'!Y237," ")</f>
        <v>305231.73096069769</v>
      </c>
      <c r="I212" s="105">
        <f ca="1">IF(AND(INT('模拟-模拟计算'!B237)&lt;='模拟-模拟计算'!$C$2,'模拟-模拟计算'!B237&gt;0),'模拟-模拟计算'!AA237," ")</f>
        <v>114977.10419429909</v>
      </c>
    </row>
    <row r="213" spans="1:9" x14ac:dyDescent="0.2">
      <c r="A213" s="20">
        <f>INT('模拟-模拟计算'!B238+0.5)</f>
        <v>195</v>
      </c>
      <c r="B213" s="52">
        <f>IF(AND(INT('模拟-模拟计算'!B238)&lt;='模拟-模拟计算'!$C$2,'模拟-模拟计算'!B238&gt;0),'模拟-模拟计算'!B238," ")</f>
        <v>194.64750000000092</v>
      </c>
      <c r="C213" s="51" t="str">
        <f ca="1">IF(AND(INT('模拟-模拟计算'!B238)&lt;='模拟-模拟计算'!$C$2,'模拟-模拟计算'!B238&gt;0),'模拟-模拟计算'!C238," ")</f>
        <v>净世破魔击·月</v>
      </c>
      <c r="D213" s="104">
        <f ca="1">IF(AND(INT('模拟-模拟计算'!B238)&lt;='模拟-模拟计算'!$C$2,'模拟-模拟计算'!B238&gt;0),'模拟-模拟计算'!E238," ")</f>
        <v>20</v>
      </c>
      <c r="E213" s="104">
        <f ca="1">IF(AND(INT('模拟-模拟计算'!B238)&lt;='模拟-模拟计算'!$C$2,'模拟-模拟计算'!B238&gt;0),'模拟-模拟计算'!F238," ")</f>
        <v>20</v>
      </c>
      <c r="F213" s="51" t="str">
        <f ca="1">IF(AND(INT('模拟-模拟计算'!B238)&lt;='模拟-模拟计算'!$C$2,'模拟-模拟计算'!B238&gt;0),'模拟-模拟计算'!P238," ")</f>
        <v>会</v>
      </c>
      <c r="G213" s="52">
        <f ca="1">IF(AND(INT('模拟-模拟计算'!B238)&lt;='模拟-模拟计算'!$C$2,'模拟-模拟计算'!B238&gt;0),'模拟-模拟计算'!V238," ")</f>
        <v>133244.79386330483</v>
      </c>
      <c r="H213" s="52">
        <f ca="1">IF(AND(INT('模拟-模拟计算'!B238)&lt;='模拟-模拟计算'!$C$2,'模拟-模拟计算'!B238&gt;0),'模拟-模拟计算'!Y238," ")</f>
        <v>152444.50934229788</v>
      </c>
      <c r="I213" s="105">
        <f ca="1">IF(AND(INT('模拟-模拟计算'!B238)&lt;='模拟-模拟计算'!$C$2,'模拟-模拟计算'!B238&gt;0),'模拟-模拟计算'!AA238," ")</f>
        <v>115215.371476042</v>
      </c>
    </row>
    <row r="214" spans="1:9" x14ac:dyDescent="0.2">
      <c r="A214" s="20">
        <f>INT('模拟-模拟计算'!B239+0.5)</f>
        <v>196</v>
      </c>
      <c r="B214" s="52">
        <f>IF(AND(INT('模拟-模拟计算'!B239)&lt;='模拟-模拟计算'!$C$2,'模拟-模拟计算'!B239&gt;0),'模拟-模拟计算'!B239," ")</f>
        <v>195.57000000000093</v>
      </c>
      <c r="C214" s="51" t="str">
        <f ca="1">IF(AND(INT('模拟-模拟计算'!B239)&lt;='模拟-模拟计算'!$C$2,'模拟-模拟计算'!B239&gt;0),'模拟-模拟计算'!C239," ")</f>
        <v>银月斩</v>
      </c>
      <c r="D214" s="104">
        <f ca="1">IF(AND(INT('模拟-模拟计算'!B239)&lt;='模拟-模拟计算'!$C$2,'模拟-模拟计算'!B239&gt;0),'模拟-模拟计算'!E239," ")</f>
        <v>20</v>
      </c>
      <c r="E214" s="104">
        <f ca="1">IF(AND(INT('模拟-模拟计算'!B239)&lt;='模拟-模拟计算'!$C$2,'模拟-模拟计算'!B239&gt;0),'模拟-模拟计算'!F239," ")</f>
        <v>65</v>
      </c>
      <c r="F214" s="51" t="str">
        <f ca="1">IF(AND(INT('模拟-模拟计算'!B239)&lt;='模拟-模拟计算'!$C$2,'模拟-模拟计算'!B239&gt;0),'模拟-模拟计算'!P239," ")</f>
        <v>会</v>
      </c>
      <c r="G214" s="52">
        <f ca="1">IF(AND(INT('模拟-模拟计算'!B239)&lt;='模拟-模拟计算'!$C$2,'模拟-模拟计算'!B239&gt;0),'模拟-模拟计算'!V239," ")</f>
        <v>52295.508469651933</v>
      </c>
      <c r="H214" s="52">
        <f ca="1">IF(AND(INT('模拟-模拟计算'!B239)&lt;='模拟-模拟计算'!$C$2,'模拟-模拟计算'!B239&gt;0),'模拟-模拟计算'!Y239," ")</f>
        <v>69828.127991545582</v>
      </c>
      <c r="I214" s="105">
        <f ca="1">IF(AND(INT('模拟-模拟计算'!B239)&lt;='模拟-模拟计算'!$C$2,'模拟-模拟计算'!B239&gt;0),'模拟-模拟计算'!AA239," ")</f>
        <v>115028.95202420837</v>
      </c>
    </row>
    <row r="215" spans="1:9" x14ac:dyDescent="0.2">
      <c r="A215" s="20">
        <f>INT('模拟-模拟计算'!B240+0.5)</f>
        <v>196</v>
      </c>
      <c r="B215" s="52">
        <f>IF(AND(INT('模拟-模拟计算'!B240)&lt;='模拟-模拟计算'!$C$2,'模拟-模拟计算'!B240&gt;0),'模拟-模拟计算'!B240," ")</f>
        <v>196.49250000000094</v>
      </c>
      <c r="C215" s="51" t="str">
        <f ca="1">IF(AND(INT('模拟-模拟计算'!B240)&lt;='模拟-模拟计算'!$C$2,'模拟-模拟计算'!B240&gt;0),'模拟-模拟计算'!C240," ")</f>
        <v>驱夜断愁</v>
      </c>
      <c r="D215" s="104">
        <f ca="1">IF(AND(INT('模拟-模拟计算'!B240)&lt;='模拟-模拟计算'!$C$2,'模拟-模拟计算'!B240&gt;0),'模拟-模拟计算'!E240," ")</f>
        <v>40</v>
      </c>
      <c r="E215" s="104">
        <f ca="1">IF(AND(INT('模拟-模拟计算'!B240)&lt;='模拟-模拟计算'!$C$2,'模拟-模拟计算'!B240&gt;0),'模拟-模拟计算'!F240," ")</f>
        <v>85</v>
      </c>
      <c r="F215" s="51" t="str">
        <f ca="1">IF(AND(INT('模拟-模拟计算'!B240)&lt;='模拟-模拟计算'!$C$2,'模拟-模拟计算'!B240&gt;0),'模拟-模拟计算'!P240," ")</f>
        <v>会</v>
      </c>
      <c r="G215" s="52">
        <f ca="1">IF(AND(INT('模拟-模拟计算'!B240)&lt;='模拟-模拟计算'!$C$2,'模拟-模拟计算'!B240&gt;0),'模拟-模拟计算'!V240," ")</f>
        <v>139561.65815374927</v>
      </c>
      <c r="H215" s="52">
        <f ca="1">IF(AND(INT('模拟-模拟计算'!B240)&lt;='模拟-模拟计算'!$C$2,'模拟-模拟计算'!B240&gt;0),'模拟-模拟计算'!Y240," ")</f>
        <v>199443.1829656343</v>
      </c>
      <c r="I215" s="105">
        <f ca="1">IF(AND(INT('模拟-模拟计算'!B240)&lt;='模拟-模拟计算'!$C$2,'模拟-模拟计算'!B240&gt;0),'模拟-模拟计算'!AA240," ")</f>
        <v>115503.92676738328</v>
      </c>
    </row>
    <row r="216" spans="1:9" x14ac:dyDescent="0.2">
      <c r="A216" s="20">
        <f>INT('模拟-模拟计算'!B241+0.5)</f>
        <v>197</v>
      </c>
      <c r="B216" s="52">
        <f>IF(AND(INT('模拟-模拟计算'!B241)&lt;='模拟-模拟计算'!$C$2,'模拟-模拟计算'!B241&gt;0),'模拟-模拟计算'!B241," ")</f>
        <v>197.41500000000096</v>
      </c>
      <c r="C216" s="51" t="str">
        <f ca="1">IF(AND(INT('模拟-模拟计算'!B241)&lt;='模拟-模拟计算'!$C$2,'模拟-模拟计算'!B241&gt;0),'模拟-模拟计算'!C241," ")</f>
        <v>烈日斩</v>
      </c>
      <c r="D216" s="104">
        <f ca="1">IF(AND(INT('模拟-模拟计算'!B241)&lt;='模拟-模拟计算'!$C$2,'模拟-模拟计算'!B241&gt;0),'模拟-模拟计算'!E241," ")</f>
        <v>80</v>
      </c>
      <c r="E216" s="104">
        <f ca="1">IF(AND(INT('模拟-模拟计算'!B241)&lt;='模拟-模拟计算'!$C$2,'模拟-模拟计算'!B241&gt;0),'模拟-模拟计算'!F241," ")</f>
        <v>85</v>
      </c>
      <c r="F216" s="51" t="str">
        <f ca="1">IF(AND(INT('模拟-模拟计算'!B241)&lt;='模拟-模拟计算'!$C$2,'模拟-模拟计算'!B241&gt;0),'模拟-模拟计算'!P241," ")</f>
        <v>命</v>
      </c>
      <c r="G216" s="52">
        <f ca="1">IF(AND(INT('模拟-模拟计算'!B241)&lt;='模拟-模拟计算'!$C$2,'模拟-模拟计算'!B241&gt;0),'模拟-模拟计算'!V241," ")</f>
        <v>51230.837985765458</v>
      </c>
      <c r="H216" s="52">
        <f ca="1">IF(AND(INT('模拟-模拟计算'!B241)&lt;='模拟-模拟计算'!$C$2,'模拟-模拟计算'!B241&gt;0),'模拟-模拟计算'!Y241," ")</f>
        <v>74395.96119661296</v>
      </c>
      <c r="I216" s="105">
        <f ca="1">IF(AND(INT('模拟-模拟计算'!B241)&lt;='模拟-模拟计算'!$C$2,'模拟-模拟计算'!B241&gt;0),'模拟-模拟计算'!AA241," ")</f>
        <v>115341.03939182266</v>
      </c>
    </row>
    <row r="217" spans="1:9" x14ac:dyDescent="0.2">
      <c r="A217" s="20">
        <f>INT('模拟-模拟计算'!B242+0.5)</f>
        <v>198</v>
      </c>
      <c r="B217" s="52">
        <f>IF(AND(INT('模拟-模拟计算'!B242)&lt;='模拟-模拟计算'!$C$2,'模拟-模拟计算'!B242&gt;0),'模拟-模拟计算'!B242," ")</f>
        <v>198.33750000000097</v>
      </c>
      <c r="C217" s="51" t="str">
        <f ca="1">IF(AND(INT('模拟-模拟计算'!B242)&lt;='模拟-模拟计算'!$C$2,'模拟-模拟计算'!B242&gt;0),'模拟-模拟计算'!C242," ")</f>
        <v>幽月轮1</v>
      </c>
      <c r="D217" s="104">
        <f ca="1">IF(AND(INT('模拟-模拟计算'!B242)&lt;='模拟-模拟计算'!$C$2,'模拟-模拟计算'!B242&gt;0),'模拟-模拟计算'!E242," ")</f>
        <v>80</v>
      </c>
      <c r="E217" s="104">
        <f ca="1">IF(AND(INT('模拟-模拟计算'!B242)&lt;='模拟-模拟计算'!$C$2,'模拟-模拟计算'!B242&gt;0),'模拟-模拟计算'!F242," ")</f>
        <v>100</v>
      </c>
      <c r="F217" s="51" t="str">
        <f ca="1">IF(AND(INT('模拟-模拟计算'!B242)&lt;='模拟-模拟计算'!$C$2,'模拟-模拟计算'!B242&gt;0),'模拟-模拟计算'!P242," ")</f>
        <v>命</v>
      </c>
      <c r="G217" s="52">
        <f ca="1">IF(AND(INT('模拟-模拟计算'!B242)&lt;='模拟-模拟计算'!$C$2,'模拟-模拟计算'!B242&gt;0),'模拟-模拟计算'!V242," ")</f>
        <v>17766.336003613542</v>
      </c>
      <c r="H217" s="52">
        <f ca="1">IF(AND(INT('模拟-模拟计算'!B242)&lt;='模拟-模拟计算'!$C$2,'模拟-模拟计算'!B242&gt;0),'模拟-模拟计算'!Y242," ")</f>
        <v>18127.84664716059</v>
      </c>
      <c r="I217" s="105">
        <f ca="1">IF(AND(INT('模拟-模拟计算'!B242)&lt;='模拟-模拟计算'!$C$2,'模拟-模拟计算'!B242&gt;0),'模拟-模拟计算'!AA242," ")</f>
        <v>114895.9684284809</v>
      </c>
    </row>
    <row r="218" spans="1:9" x14ac:dyDescent="0.2">
      <c r="A218" s="20">
        <f>INT('模拟-模拟计算'!B243+0.5)</f>
        <v>199</v>
      </c>
      <c r="B218" s="52">
        <f>IF(AND(INT('模拟-模拟计算'!B243)&lt;='模拟-模拟计算'!$C$2,'模拟-模拟计算'!B243&gt;0),'模拟-模拟计算'!B243," ")</f>
        <v>199.26000000000099</v>
      </c>
      <c r="C218" s="51" t="str">
        <f ca="1">IF(AND(INT('模拟-模拟计算'!B243)&lt;='模拟-模拟计算'!$C$2,'模拟-模拟计算'!B243&gt;0),'模拟-模拟计算'!C243," ")</f>
        <v>净世破魔击·月</v>
      </c>
      <c r="D218" s="104">
        <f ca="1">IF(AND(INT('模拟-模拟计算'!B243)&lt;='模拟-模拟计算'!$C$2,'模拟-模拟计算'!B243&gt;0),'模拟-模拟计算'!E243," ")</f>
        <v>100</v>
      </c>
      <c r="E218" s="104">
        <f ca="1">IF(AND(INT('模拟-模拟计算'!B243)&lt;='模拟-模拟计算'!$C$2,'模拟-模拟计算'!B243&gt;0),'模拟-模拟计算'!F243," ")</f>
        <v>20</v>
      </c>
      <c r="F218" s="51" t="str">
        <f ca="1">IF(AND(INT('模拟-模拟计算'!B243)&lt;='模拟-模拟计算'!$C$2,'模拟-模拟计算'!B243&gt;0),'模拟-模拟计算'!P243," ")</f>
        <v>会</v>
      </c>
      <c r="G218" s="52">
        <f ca="1">IF(AND(INT('模拟-模拟计算'!B243)&lt;='模拟-模拟计算'!$C$2,'模拟-模拟计算'!B243&gt;0),'模拟-模拟计算'!V243," ")</f>
        <v>191466.05731174714</v>
      </c>
      <c r="H218" s="52">
        <f ca="1">IF(AND(INT('模拟-模拟计算'!B243)&lt;='模拟-模拟计算'!$C$2,'模拟-模拟计算'!B243&gt;0),'模拟-模拟计算'!Y243," ")</f>
        <v>237770.49521481595</v>
      </c>
      <c r="I218" s="105">
        <f ca="1">IF(AND(INT('模拟-模拟计算'!B243)&lt;='模拟-模拟计算'!$C$2,'模拟-模拟计算'!B243&gt;0),'模拟-模拟计算'!AA243," ")</f>
        <v>115557.31021478794</v>
      </c>
    </row>
    <row r="219" spans="1:9" x14ac:dyDescent="0.2">
      <c r="A219" s="20">
        <f>INT('模拟-模拟计算'!B244+0.5)</f>
        <v>200</v>
      </c>
      <c r="B219" s="52">
        <f>IF(AND(INT('模拟-模拟计算'!B244)&lt;='模拟-模拟计算'!$C$2,'模拟-模拟计算'!B244&gt;0),'模拟-模拟计算'!B244," ")</f>
        <v>200.182500000001</v>
      </c>
      <c r="C219" s="51" t="str">
        <f ca="1">IF(AND(INT('模拟-模拟计算'!B244)&lt;='模拟-模拟计算'!$C$2,'模拟-模拟计算'!B244&gt;0),'模拟-模拟计算'!C244," ")</f>
        <v>净世破魔击·日</v>
      </c>
      <c r="D219" s="104">
        <f ca="1">IF(AND(INT('模拟-模拟计算'!B244)&lt;='模拟-模拟计算'!$C$2,'模拟-模拟计算'!B244&gt;0),'模拟-模拟计算'!E244," ")</f>
        <v>0</v>
      </c>
      <c r="E219" s="104">
        <f ca="1">IF(AND(INT('模拟-模拟计算'!B244)&lt;='模拟-模拟计算'!$C$2,'模拟-模拟计算'!B244&gt;0),'模拟-模拟计算'!F244," ")</f>
        <v>20</v>
      </c>
      <c r="F219" s="51" t="str">
        <f ca="1">IF(AND(INT('模拟-模拟计算'!B244)&lt;='模拟-模拟计算'!$C$2,'模拟-模拟计算'!B244&gt;0),'模拟-模拟计算'!P244," ")</f>
        <v>会</v>
      </c>
      <c r="G219" s="52">
        <f ca="1">IF(AND(INT('模拟-模拟计算'!B244)&lt;='模拟-模拟计算'!$C$2,'模拟-模拟计算'!B244&gt;0),'模拟-模拟计算'!V244," ")</f>
        <v>214511.23923496195</v>
      </c>
      <c r="H219" s="52">
        <f ca="1">IF(AND(INT('模拟-模拟计算'!B244)&lt;='模拟-模拟计算'!$C$2,'模拟-模拟计算'!B244&gt;0),'模拟-模拟计算'!Y244," ")</f>
        <v>224528.20855653132</v>
      </c>
      <c r="I219" s="105">
        <f ca="1">IF(AND(INT('模拟-模拟计算'!B244)&lt;='模拟-模拟计算'!$C$2,'模拟-模拟计算'!B244&gt;0),'模拟-模拟计算'!AA244," ")</f>
        <v>116146.40561465251</v>
      </c>
    </row>
    <row r="220" spans="1:9" x14ac:dyDescent="0.2">
      <c r="A220" s="20">
        <f>INT('模拟-模拟计算'!B245+0.5)</f>
        <v>201</v>
      </c>
      <c r="B220" s="52">
        <f>IF(AND(INT('模拟-模拟计算'!B245)&lt;='模拟-模拟计算'!$C$2,'模拟-模拟计算'!B245&gt;0),'模拟-模拟计算'!B245," ")</f>
        <v>201.10500000000101</v>
      </c>
      <c r="C220" s="51" t="str">
        <f ca="1">IF(AND(INT('模拟-模拟计算'!B245)&lt;='模拟-模拟计算'!$C$2,'模拟-模拟计算'!B245&gt;0),'模拟-模拟计算'!C245," ")</f>
        <v>赤日轮1</v>
      </c>
      <c r="D220" s="104">
        <f ca="1">IF(AND(INT('模拟-模拟计算'!B245)&lt;='模拟-模拟计算'!$C$2,'模拟-模拟计算'!B245&gt;0),'模拟-模拟计算'!E245," ")</f>
        <v>20</v>
      </c>
      <c r="E220" s="104">
        <f ca="1">IF(AND(INT('模拟-模拟计算'!B245)&lt;='模拟-模拟计算'!$C$2,'模拟-模拟计算'!B245&gt;0),'模拟-模拟计算'!F245," ")</f>
        <v>20</v>
      </c>
      <c r="F220" s="51" t="str">
        <f ca="1">IF(AND(INT('模拟-模拟计算'!B245)&lt;='模拟-模拟计算'!$C$2,'模拟-模拟计算'!B245&gt;0),'模拟-模拟计算'!P245," ")</f>
        <v>会</v>
      </c>
      <c r="G220" s="52">
        <f ca="1">IF(AND(INT('模拟-模拟计算'!B245)&lt;='模拟-模拟计算'!$C$2,'模拟-模拟计算'!B245&gt;0),'模拟-模拟计算'!V245," ")</f>
        <v>59653.795817632774</v>
      </c>
      <c r="H220" s="52">
        <f ca="1">IF(AND(INT('模拟-模拟计算'!B245)&lt;='模拟-模拟计算'!$C$2,'模拟-模拟计算'!B245&gt;0),'模拟-模拟计算'!Y245," ")</f>
        <v>90802.079351615874</v>
      </c>
      <c r="I220" s="105">
        <f ca="1">IF(AND(INT('模拟-模拟计算'!B245)&lt;='模拟-模拟计算'!$C$2,'模拟-模拟计算'!B245&gt;0),'模拟-模拟计算'!AA245," ")</f>
        <v>116065.1397096382</v>
      </c>
    </row>
    <row r="221" spans="1:9" x14ac:dyDescent="0.2">
      <c r="A221" s="20">
        <f>INT('模拟-模拟计算'!B246+0.5)</f>
        <v>202</v>
      </c>
      <c r="B221" s="52">
        <f>IF(AND(INT('模拟-模拟计算'!B246)&lt;='模拟-模拟计算'!$C$2,'模拟-模拟计算'!B246&gt;0),'模拟-模拟计算'!B246," ")</f>
        <v>202.02750000000103</v>
      </c>
      <c r="C221" s="51" t="str">
        <f ca="1">IF(AND(INT('模拟-模拟计算'!B246)&lt;='模拟-模拟计算'!$C$2,'模拟-模拟计算'!B246&gt;0),'模拟-模拟计算'!C246," ")</f>
        <v>银月斩</v>
      </c>
      <c r="D221" s="104">
        <f ca="1">IF(AND(INT('模拟-模拟计算'!B246)&lt;='模拟-模拟计算'!$C$2,'模拟-模拟计算'!B246&gt;0),'模拟-模拟计算'!E246," ")</f>
        <v>20</v>
      </c>
      <c r="E221" s="104">
        <f ca="1">IF(AND(INT('模拟-模拟计算'!B246)&lt;='模拟-模拟计算'!$C$2,'模拟-模拟计算'!B246&gt;0),'模拟-模拟计算'!F246," ")</f>
        <v>65</v>
      </c>
      <c r="F221" s="51" t="str">
        <f ca="1">IF(AND(INT('模拟-模拟计算'!B246)&lt;='模拟-模拟计算'!$C$2,'模拟-模拟计算'!B246&gt;0),'模拟-模拟计算'!P246," ")</f>
        <v>会</v>
      </c>
      <c r="G221" s="52">
        <f ca="1">IF(AND(INT('模拟-模拟计算'!B246)&lt;='模拟-模拟计算'!$C$2,'模拟-模拟计算'!B246&gt;0),'模拟-模拟计算'!V246," ")</f>
        <v>45108.202433506638</v>
      </c>
      <c r="H221" s="52">
        <f ca="1">IF(AND(INT('模拟-模拟计算'!B246)&lt;='模拟-模拟计算'!$C$2,'模拟-模拟计算'!B246&gt;0),'模拟-模拟计算'!Y246," ")</f>
        <v>45469.71307705369</v>
      </c>
      <c r="I221" s="105">
        <f ca="1">IF(AND(INT('模拟-模拟计算'!B246)&lt;='模拟-模拟计算'!$C$2,'模拟-模拟计算'!B246&gt;0),'模拟-模拟计算'!AA246," ")</f>
        <v>115760.22885193274</v>
      </c>
    </row>
    <row r="222" spans="1:9" x14ac:dyDescent="0.2">
      <c r="A222" s="20">
        <f>INT('模拟-模拟计算'!B247+0.5)</f>
        <v>203</v>
      </c>
      <c r="B222" s="52">
        <f>IF(AND(INT('模拟-模拟计算'!B247)&lt;='模拟-模拟计算'!$C$2,'模拟-模拟计算'!B247&gt;0),'模拟-模拟计算'!B247," ")</f>
        <v>202.95000000000104</v>
      </c>
      <c r="C222" s="51" t="str">
        <f ca="1">IF(AND(INT('模拟-模拟计算'!B247)&lt;='模拟-模拟计算'!$C$2,'模拟-模拟计算'!B247&gt;0),'模拟-模拟计算'!C247," ")</f>
        <v>驱夜断愁</v>
      </c>
      <c r="D222" s="104">
        <f ca="1">IF(AND(INT('模拟-模拟计算'!B247)&lt;='模拟-模拟计算'!$C$2,'模拟-模拟计算'!B247&gt;0),'模拟-模拟计算'!E247," ")</f>
        <v>40</v>
      </c>
      <c r="E222" s="104">
        <f ca="1">IF(AND(INT('模拟-模拟计算'!B247)&lt;='模拟-模拟计算'!$C$2,'模拟-模拟计算'!B247&gt;0),'模拟-模拟计算'!F247," ")</f>
        <v>85</v>
      </c>
      <c r="F222" s="51" t="str">
        <f ca="1">IF(AND(INT('模拟-模拟计算'!B247)&lt;='模拟-模拟计算'!$C$2,'模拟-模拟计算'!B247&gt;0),'模拟-模拟计算'!P247," ")</f>
        <v>命</v>
      </c>
      <c r="G222" s="52">
        <f ca="1">IF(AND(INT('模拟-模拟计算'!B247)&lt;='模拟-模拟计算'!$C$2,'模拟-模拟计算'!B247&gt;0),'模拟-模拟计算'!V247," ")</f>
        <v>67368.294328809847</v>
      </c>
      <c r="H222" s="52">
        <f ca="1">IF(AND(INT('模拟-模拟计算'!B247)&lt;='模拟-模拟计算'!$C$2,'模拟-模拟计算'!B247&gt;0),'模拟-模拟计算'!Y247," ")</f>
        <v>72250.092069880338</v>
      </c>
      <c r="I222" s="105">
        <f ca="1">IF(AND(INT('模拟-模拟计算'!B247)&lt;='模拟-模拟计算'!$C$2,'模拟-模拟计算'!B247&gt;0),'模拟-模拟计算'!AA247," ")</f>
        <v>115590.0454617084</v>
      </c>
    </row>
    <row r="223" spans="1:9" x14ac:dyDescent="0.2">
      <c r="A223" s="20">
        <f>INT('模拟-模拟计算'!B248+0.5)</f>
        <v>204</v>
      </c>
      <c r="B223" s="52">
        <f>IF(AND(INT('模拟-模拟计算'!B248)&lt;='模拟-模拟计算'!$C$2,'模拟-模拟计算'!B248&gt;0),'模拟-模拟计算'!B248," ")</f>
        <v>203.87250000000105</v>
      </c>
      <c r="C223" s="51" t="str">
        <f ca="1">IF(AND(INT('模拟-模拟计算'!B248)&lt;='模拟-模拟计算'!$C$2,'模拟-模拟计算'!B248&gt;0),'模拟-模拟计算'!C248," ")</f>
        <v>烈日斩</v>
      </c>
      <c r="D223" s="104">
        <f ca="1">IF(AND(INT('模拟-模拟计算'!B248)&lt;='模拟-模拟计算'!$C$2,'模拟-模拟计算'!B248&gt;0),'模拟-模拟计算'!E248," ")</f>
        <v>80</v>
      </c>
      <c r="E223" s="104">
        <f ca="1">IF(AND(INT('模拟-模拟计算'!B248)&lt;='模拟-模拟计算'!$C$2,'模拟-模拟计算'!B248&gt;0),'模拟-模拟计算'!F248," ")</f>
        <v>85</v>
      </c>
      <c r="F223" s="51" t="str">
        <f ca="1">IF(AND(INT('模拟-模拟计算'!B248)&lt;='模拟-模拟计算'!$C$2,'模拟-模拟计算'!B248&gt;0),'模拟-模拟计算'!P248," ")</f>
        <v>会</v>
      </c>
      <c r="G223" s="52">
        <f ca="1">IF(AND(INT('模拟-模拟计算'!B248)&lt;='模拟-模拟计算'!$C$2,'模拟-模拟计算'!B248&gt;0),'模拟-模拟计算'!V248," ")</f>
        <v>120582.63988457157</v>
      </c>
      <c r="H223" s="52">
        <f ca="1">IF(AND(INT('模拟-模拟计算'!B248)&lt;='模拟-模拟计算'!$C$2,'模拟-模拟计算'!B248&gt;0),'模拟-模拟计算'!Y248," ")</f>
        <v>144431.6168154937</v>
      </c>
      <c r="I223" s="105">
        <f ca="1">IF(AND(INT('模拟-模拟计算'!B248)&lt;='模拟-模拟计算'!$C$2,'模拟-模拟计算'!B248&gt;0),'模拟-模拟计算'!AA248," ")</f>
        <v>115775.45447899649</v>
      </c>
    </row>
    <row r="224" spans="1:9" x14ac:dyDescent="0.2">
      <c r="A224" s="20">
        <f>INT('模拟-模拟计算'!B249+0.5)</f>
        <v>205</v>
      </c>
      <c r="B224" s="52">
        <f>IF(AND(INT('模拟-模拟计算'!B249)&lt;='模拟-模拟计算'!$C$2,'模拟-模拟计算'!B249&gt;0),'模拟-模拟计算'!B249," ")</f>
        <v>204.79500000000107</v>
      </c>
      <c r="C224" s="51" t="str">
        <f ca="1">IF(AND(INT('模拟-模拟计算'!B249)&lt;='模拟-模拟计算'!$C$2,'模拟-模拟计算'!B249&gt;0),'模拟-模拟计算'!C249," ")</f>
        <v>幽月轮1</v>
      </c>
      <c r="D224" s="104">
        <f ca="1">IF(AND(INT('模拟-模拟计算'!B249)&lt;='模拟-模拟计算'!$C$2,'模拟-模拟计算'!B249&gt;0),'模拟-模拟计算'!E249," ")</f>
        <v>80</v>
      </c>
      <c r="E224" s="104">
        <f ca="1">IF(AND(INT('模拟-模拟计算'!B249)&lt;='模拟-模拟计算'!$C$2,'模拟-模拟计算'!B249&gt;0),'模拟-模拟计算'!F249," ")</f>
        <v>100</v>
      </c>
      <c r="F224" s="51" t="str">
        <f ca="1">IF(AND(INT('模拟-模拟计算'!B249)&lt;='模拟-模拟计算'!$C$2,'模拟-模拟计算'!B249&gt;0),'模拟-模拟计算'!P249," ")</f>
        <v>会</v>
      </c>
      <c r="G224" s="52">
        <f ca="1">IF(AND(INT('模拟-模拟计算'!B249)&lt;='模拟-模拟计算'!$C$2,'模拟-模拟计算'!B249&gt;0),'模拟-模拟计算'!V249," ")</f>
        <v>40214.696496595476</v>
      </c>
      <c r="H224" s="52">
        <f ca="1">IF(AND(INT('模拟-模拟计算'!B249)&lt;='模拟-模拟计算'!$C$2,'模拟-模拟计算'!B249&gt;0),'模拟-模拟计算'!Y249," ")</f>
        <v>54327.175817890035</v>
      </c>
      <c r="I224" s="105">
        <f ca="1">IF(AND(INT('模拟-模拟计算'!B249)&lt;='模拟-模拟计算'!$C$2,'模拟-模拟计算'!B249&gt;0),'模拟-模拟计算'!AA249," ")</f>
        <v>115519.21931242022</v>
      </c>
    </row>
    <row r="225" spans="1:9" x14ac:dyDescent="0.2">
      <c r="A225" s="20">
        <f>INT('模拟-模拟计算'!B250+0.5)</f>
        <v>206</v>
      </c>
      <c r="B225" s="52">
        <f>IF(AND(INT('模拟-模拟计算'!B250)&lt;='模拟-模拟计算'!$C$2,'模拟-模拟计算'!B250&gt;0),'模拟-模拟计算'!B250," ")</f>
        <v>205.71750000000108</v>
      </c>
      <c r="C225" s="51" t="str">
        <f ca="1">IF(AND(INT('模拟-模拟计算'!B250)&lt;='模拟-模拟计算'!$C$2,'模拟-模拟计算'!B250&gt;0),'模拟-模拟计算'!C250," ")</f>
        <v>净世破魔击·月</v>
      </c>
      <c r="D225" s="104">
        <f ca="1">IF(AND(INT('模拟-模拟计算'!B250)&lt;='模拟-模拟计算'!$C$2,'模拟-模拟计算'!B250&gt;0),'模拟-模拟计算'!E250," ")</f>
        <v>100</v>
      </c>
      <c r="E225" s="104">
        <f ca="1">IF(AND(INT('模拟-模拟计算'!B250)&lt;='模拟-模拟计算'!$C$2,'模拟-模拟计算'!B250&gt;0),'模拟-模拟计算'!F250," ")</f>
        <v>20</v>
      </c>
      <c r="F225" s="51" t="str">
        <f ca="1">IF(AND(INT('模拟-模拟计算'!B250)&lt;='模拟-模拟计算'!$C$2,'模拟-模拟计算'!B250&gt;0),'模拟-模拟计算'!P250," ")</f>
        <v>命</v>
      </c>
      <c r="G225" s="52">
        <f ca="1">IF(AND(INT('模拟-模拟计算'!B250)&lt;='模拟-模拟计算'!$C$2,'模拟-模拟计算'!B250&gt;0),'模拟-模拟计算'!V250," ")</f>
        <v>94992.223329639732</v>
      </c>
      <c r="H225" s="52">
        <f ca="1">IF(AND(INT('模拟-模拟计算'!B250)&lt;='模拟-模拟计算'!$C$2,'模拟-模拟计算'!B250&gt;0),'模拟-模拟计算'!Y250," ")</f>
        <v>104065.11151136849</v>
      </c>
      <c r="I225" s="105">
        <f ca="1">IF(AND(INT('模拟-模拟计算'!B250)&lt;='模拟-模拟计算'!$C$2,'模拟-模拟计算'!B250&gt;0),'模拟-模拟计算'!AA250," ")</f>
        <v>115507.06007315112</v>
      </c>
    </row>
    <row r="226" spans="1:9" x14ac:dyDescent="0.2">
      <c r="A226" s="20">
        <f>INT('模拟-模拟计算'!B251+0.5)</f>
        <v>207</v>
      </c>
      <c r="B226" s="52">
        <f>IF(AND(INT('模拟-模拟计算'!B251)&lt;='模拟-模拟计算'!$C$2,'模拟-模拟计算'!B251&gt;0),'模拟-模拟计算'!B251," ")</f>
        <v>206.64000000000109</v>
      </c>
      <c r="C226" s="51" t="str">
        <f ca="1">IF(AND(INT('模拟-模拟计算'!B251)&lt;='模拟-模拟计算'!$C$2,'模拟-模拟计算'!B251&gt;0),'模拟-模拟计算'!C251," ")</f>
        <v>净世破魔击·日</v>
      </c>
      <c r="D226" s="104">
        <f ca="1">IF(AND(INT('模拟-模拟计算'!B251)&lt;='模拟-模拟计算'!$C$2,'模拟-模拟计算'!B251&gt;0),'模拟-模拟计算'!E251," ")</f>
        <v>0</v>
      </c>
      <c r="E226" s="104">
        <f ca="1">IF(AND(INT('模拟-模拟计算'!B251)&lt;='模拟-模拟计算'!$C$2,'模拟-模拟计算'!B251&gt;0),'模拟-模拟计算'!F251," ")</f>
        <v>20</v>
      </c>
      <c r="F226" s="51" t="str">
        <f ca="1">IF(AND(INT('模拟-模拟计算'!B251)&lt;='模拟-模拟计算'!$C$2,'模拟-模拟计算'!B251&gt;0),'模拟-模拟计算'!P251," ")</f>
        <v>命</v>
      </c>
      <c r="G226" s="52">
        <f ca="1">IF(AND(INT('模拟-模拟计算'!B251)&lt;='模拟-模拟计算'!$C$2,'模拟-模拟计算'!B251&gt;0),'模拟-模拟计算'!V251," ")</f>
        <v>106428.46703866922</v>
      </c>
      <c r="H226" s="52">
        <f ca="1">IF(AND(INT('模拟-模拟计算'!B251)&lt;='模拟-模拟计算'!$C$2,'模拟-模拟计算'!B251&gt;0),'模拟-模拟计算'!Y251," ")</f>
        <v>165661.20106030843</v>
      </c>
      <c r="I226" s="105">
        <f ca="1">IF(AND(INT('模拟-模拟计算'!B251)&lt;='模拟-模拟计算'!$C$2,'模拟-模拟计算'!B251&gt;0),'模拟-模拟计算'!AA251," ")</f>
        <v>115793.09345556897</v>
      </c>
    </row>
    <row r="227" spans="1:9" x14ac:dyDescent="0.2">
      <c r="A227" s="20">
        <f>INT('模拟-模拟计算'!B252+0.5)</f>
        <v>208</v>
      </c>
      <c r="B227" s="52">
        <f>IF(AND(INT('模拟-模拟计算'!B252)&lt;='模拟-模拟计算'!$C$2,'模拟-模拟计算'!B252&gt;0),'模拟-模拟计算'!B252," ")</f>
        <v>207.56250000000111</v>
      </c>
      <c r="C227" s="51" t="str">
        <f ca="1">IF(AND(INT('模拟-模拟计算'!B252)&lt;='模拟-模拟计算'!$C$2,'模拟-模拟计算'!B252&gt;0),'模拟-模拟计算'!C252," ")</f>
        <v>赤日轮1</v>
      </c>
      <c r="D227" s="104">
        <f ca="1">IF(AND(INT('模拟-模拟计算'!B252)&lt;='模拟-模拟计算'!$C$2,'模拟-模拟计算'!B252&gt;0),'模拟-模拟计算'!E252," ")</f>
        <v>20</v>
      </c>
      <c r="E227" s="104">
        <f ca="1">IF(AND(INT('模拟-模拟计算'!B252)&lt;='模拟-模拟计算'!$C$2,'模拟-模拟计算'!B252&gt;0),'模拟-模拟计算'!F252," ")</f>
        <v>100</v>
      </c>
      <c r="F227" s="51" t="str">
        <f ca="1">IF(AND(INT('模拟-模拟计算'!B252)&lt;='模拟-模拟计算'!$C$2,'模拟-模拟计算'!B252&gt;0),'模拟-模拟计算'!P252," ")</f>
        <v>命</v>
      </c>
      <c r="G227" s="52">
        <f ca="1">IF(AND(INT('模拟-模拟计算'!B252)&lt;='模拟-模拟计算'!$C$2,'模拟-模拟计算'!B252&gt;0),'模拟-模拟计算'!V252," ")</f>
        <v>27469.690007533645</v>
      </c>
      <c r="H227" s="52">
        <f ca="1">IF(AND(INT('模拟-模拟计算'!B252)&lt;='模拟-模拟计算'!$C$2,'模拟-模拟计算'!B252&gt;0),'模拟-模拟计算'!Y252," ")</f>
        <v>27831.200651080693</v>
      </c>
      <c r="I227" s="105">
        <f ca="1">IF(AND(INT('模拟-模拟计算'!B252)&lt;='模拟-模拟计算'!$C$2,'模拟-模拟计算'!B252&gt;0),'模拟-模拟计算'!AA252," ")</f>
        <v>115412.54336553978</v>
      </c>
    </row>
    <row r="228" spans="1:9" x14ac:dyDescent="0.2">
      <c r="A228" s="20">
        <f>INT('模拟-模拟计算'!B253+0.5)</f>
        <v>208</v>
      </c>
      <c r="B228" s="52">
        <f>IF(AND(INT('模拟-模拟计算'!B253)&lt;='模拟-模拟计算'!$C$2,'模拟-模拟计算'!B253&gt;0),'模拟-模拟计算'!B253," ")</f>
        <v>208.48500000000112</v>
      </c>
      <c r="C228" s="51" t="str">
        <f ca="1">IF(AND(INT('模拟-模拟计算'!B253)&lt;='模拟-模拟计算'!$C$2,'模拟-模拟计算'!B253&gt;0),'模拟-模拟计算'!C253," ")</f>
        <v>净世破魔击·月</v>
      </c>
      <c r="D228" s="104">
        <f ca="1">IF(AND(INT('模拟-模拟计算'!B253)&lt;='模拟-模拟计算'!$C$2,'模拟-模拟计算'!B253&gt;0),'模拟-模拟计算'!E253," ")</f>
        <v>100</v>
      </c>
      <c r="E228" s="104">
        <f ca="1">IF(AND(INT('模拟-模拟计算'!B253)&lt;='模拟-模拟计算'!$C$2,'模拟-模拟计算'!B253&gt;0),'模拟-模拟计算'!F253," ")</f>
        <v>20</v>
      </c>
      <c r="F228" s="51" t="str">
        <f ca="1">IF(AND(INT('模拟-模拟计算'!B253)&lt;='模拟-模拟计算'!$C$2,'模拟-模拟计算'!B253&gt;0),'模拟-模拟计算'!P253," ")</f>
        <v>命</v>
      </c>
      <c r="G228" s="52">
        <f ca="1">IF(AND(INT('模拟-模拟计算'!B253)&lt;='模拟-模拟计算'!$C$2,'模拟-模拟计算'!B253&gt;0),'模拟-模拟计算'!V253," ")</f>
        <v>58619.995440519822</v>
      </c>
      <c r="H228" s="52">
        <f ca="1">IF(AND(INT('模拟-模拟计算'!B253)&lt;='模拟-模拟计算'!$C$2,'模拟-模拟计算'!B253&gt;0),'模拟-模拟计算'!Y253," ")</f>
        <v>98548.932801903735</v>
      </c>
      <c r="I228" s="105">
        <f ca="1">IF(AND(INT('模拟-模拟计算'!B253)&lt;='模拟-模拟计算'!$C$2,'模拟-模拟计算'!B253&gt;0),'模拟-模拟计算'!AA253," ")</f>
        <v>115374.55915347268</v>
      </c>
    </row>
    <row r="229" spans="1:9" x14ac:dyDescent="0.2">
      <c r="A229" s="20">
        <f>INT('模拟-模拟计算'!B254+0.5)</f>
        <v>209</v>
      </c>
      <c r="B229" s="52">
        <f>IF(AND(INT('模拟-模拟计算'!B254)&lt;='模拟-模拟计算'!$C$2,'模拟-模拟计算'!B254&gt;0),'模拟-模拟计算'!B254," ")</f>
        <v>209.40750000000114</v>
      </c>
      <c r="C229" s="51" t="str">
        <f ca="1">IF(AND(INT('模拟-模拟计算'!B254)&lt;='模拟-模拟计算'!$C$2,'模拟-模拟计算'!B254&gt;0),'模拟-模拟计算'!C254," ")</f>
        <v>净世破魔击·日</v>
      </c>
      <c r="D229" s="104">
        <f ca="1">IF(AND(INT('模拟-模拟计算'!B254)&lt;='模拟-模拟计算'!$C$2,'模拟-模拟计算'!B254&gt;0),'模拟-模拟计算'!E254," ")</f>
        <v>0</v>
      </c>
      <c r="E229" s="104">
        <f ca="1">IF(AND(INT('模拟-模拟计算'!B254)&lt;='模拟-模拟计算'!$C$2,'模拟-模拟计算'!B254&gt;0),'模拟-模拟计算'!F254," ")</f>
        <v>100</v>
      </c>
      <c r="F229" s="51" t="str">
        <f ca="1">IF(AND(INT('模拟-模拟计算'!B254)&lt;='模拟-模拟计算'!$C$2,'模拟-模拟计算'!B254&gt;0),'模拟-模拟计算'!P254," ")</f>
        <v>命</v>
      </c>
      <c r="G229" s="52">
        <f ca="1">IF(AND(INT('模拟-模拟计算'!B254)&lt;='模拟-模拟计算'!$C$2,'模拟-模拟计算'!B254&gt;0),'模拟-模拟计算'!V254," ")</f>
        <v>63050.243404268018</v>
      </c>
      <c r="H229" s="52">
        <f ca="1">IF(AND(INT('模拟-模拟计算'!B254)&lt;='模拟-模拟计算'!$C$2,'模拟-模拟计算'!B254&gt;0),'模拟-模拟计算'!Y254," ")</f>
        <v>82890.119798301865</v>
      </c>
      <c r="I229" s="105">
        <f ca="1">IF(AND(INT('模拟-模拟计算'!B254)&lt;='模拟-模拟计算'!$C$2,'模拟-模拟计算'!B254&gt;0),'模拟-模拟计算'!AA254," ")</f>
        <v>115262.13285059061</v>
      </c>
    </row>
    <row r="230" spans="1:9" x14ac:dyDescent="0.2">
      <c r="A230" s="20">
        <f>INT('模拟-模拟计算'!B255+0.5)</f>
        <v>210</v>
      </c>
      <c r="B230" s="52">
        <f>IF(AND(INT('模拟-模拟计算'!B255)&lt;='模拟-模拟计算'!$C$2,'模拟-模拟计算'!B255&gt;0),'模拟-模拟计算'!B255," ")</f>
        <v>210.33000000000115</v>
      </c>
      <c r="C230" s="51" t="str">
        <f ca="1">IF(AND(INT('模拟-模拟计算'!B255)&lt;='模拟-模拟计算'!$C$2,'模拟-模拟计算'!B255&gt;0),'模拟-模拟计算'!C255," ")</f>
        <v>净世破魔击·月</v>
      </c>
      <c r="D230" s="104">
        <f ca="1">IF(AND(INT('模拟-模拟计算'!B255)&lt;='模拟-模拟计算'!$C$2,'模拟-模拟计算'!B255&gt;0),'模拟-模拟计算'!E255," ")</f>
        <v>100</v>
      </c>
      <c r="E230" s="104">
        <f ca="1">IF(AND(INT('模拟-模拟计算'!B255)&lt;='模拟-模拟计算'!$C$2,'模拟-模拟计算'!B255&gt;0),'模拟-模拟计算'!F255," ")</f>
        <v>20</v>
      </c>
      <c r="F230" s="51" t="str">
        <f ca="1">IF(AND(INT('模拟-模拟计算'!B255)&lt;='模拟-模拟计算'!$C$2,'模拟-模拟计算'!B255&gt;0),'模拟-模拟计算'!P255," ")</f>
        <v>会</v>
      </c>
      <c r="G230" s="52">
        <f ca="1">IF(AND(INT('模拟-模拟计算'!B255)&lt;='模拟-模拟计算'!$C$2,'模拟-模拟计算'!B255&gt;0),'模拟-模拟计算'!V255," ")</f>
        <v>121694.14741267689</v>
      </c>
      <c r="H230" s="52">
        <f ca="1">IF(AND(INT('模拟-模拟计算'!B255)&lt;='模拟-模拟计算'!$C$2,'模拟-模拟计算'!B255&gt;0),'模拟-模拟计算'!Y255," ")</f>
        <v>155113.73628126536</v>
      </c>
      <c r="I230" s="105">
        <f ca="1">IF(AND(INT('模拟-模拟计算'!B255)&lt;='模拟-模拟计算'!$C$2,'模拟-模拟计算'!B255&gt;0),'模拟-模拟计算'!AA255," ")</f>
        <v>115494.07512571348</v>
      </c>
    </row>
    <row r="231" spans="1:9" x14ac:dyDescent="0.2">
      <c r="A231" s="20">
        <f>INT('模拟-模拟计算'!B256+0.5)</f>
        <v>211</v>
      </c>
      <c r="B231" s="52">
        <f>IF(AND(INT('模拟-模拟计算'!B256)&lt;='模拟-模拟计算'!$C$2,'模拟-模拟计算'!B256&gt;0),'模拟-模拟计算'!B256," ")</f>
        <v>211.25250000000116</v>
      </c>
      <c r="C231" s="51" t="str">
        <f ca="1">IF(AND(INT('模拟-模拟计算'!B256)&lt;='模拟-模拟计算'!$C$2,'模拟-模拟计算'!B256&gt;0),'模拟-模拟计算'!C256," ")</f>
        <v>净世破魔击·日</v>
      </c>
      <c r="D231" s="104">
        <f ca="1">IF(AND(INT('模拟-模拟计算'!B256)&lt;='模拟-模拟计算'!$C$2,'模拟-模拟计算'!B256&gt;0),'模拟-模拟计算'!E256," ")</f>
        <v>0</v>
      </c>
      <c r="E231" s="104">
        <f ca="1">IF(AND(INT('模拟-模拟计算'!B256)&lt;='模拟-模拟计算'!$C$2,'模拟-模拟计算'!B256&gt;0),'模拟-模拟计算'!F256," ")</f>
        <v>100</v>
      </c>
      <c r="F231" s="51" t="str">
        <f ca="1">IF(AND(INT('模拟-模拟计算'!B256)&lt;='模拟-模拟计算'!$C$2,'模拟-模拟计算'!B256&gt;0),'模拟-模拟计算'!P256," ")</f>
        <v>会</v>
      </c>
      <c r="G231" s="52">
        <f ca="1">IF(AND(INT('模拟-模拟计算'!B256)&lt;='模拟-模拟计算'!$C$2,'模拟-模拟计算'!B256&gt;0),'模拟-模拟计算'!V256," ")</f>
        <v>136345.07228833123</v>
      </c>
      <c r="H231" s="52">
        <f ca="1">IF(AND(INT('模拟-模拟计算'!B256)&lt;='模拟-模拟计算'!$C$2,'模拟-模拟计算'!B256&gt;0),'模拟-模拟计算'!Y256," ")</f>
        <v>145908.32775028248</v>
      </c>
      <c r="I231" s="105">
        <f ca="1">IF(AND(INT('模拟-模拟计算'!B256)&lt;='模拟-模拟计算'!$C$2,'模拟-模拟计算'!B256&gt;0),'模拟-模拟计算'!AA256," ")</f>
        <v>115680.41632142388</v>
      </c>
    </row>
    <row r="232" spans="1:9" x14ac:dyDescent="0.2">
      <c r="A232" s="20">
        <f>INT('模拟-模拟计算'!B257+0.5)</f>
        <v>212</v>
      </c>
      <c r="B232" s="52">
        <f>IF(AND(INT('模拟-模拟计算'!B257)&lt;='模拟-模拟计算'!$C$2,'模拟-模拟计算'!B257&gt;0),'模拟-模拟计算'!B257," ")</f>
        <v>212.17500000000118</v>
      </c>
      <c r="C232" s="51" t="str">
        <f ca="1">IF(AND(INT('模拟-模拟计算'!B257)&lt;='模拟-模拟计算'!$C$2,'模拟-模拟计算'!B257&gt;0),'模拟-模拟计算'!C257," ")</f>
        <v>净世破魔击·月</v>
      </c>
      <c r="D232" s="104">
        <f ca="1">IF(AND(INT('模拟-模拟计算'!B257)&lt;='模拟-模拟计算'!$C$2,'模拟-模拟计算'!B257&gt;0),'模拟-模拟计算'!E257," ")</f>
        <v>100</v>
      </c>
      <c r="E232" s="104">
        <f ca="1">IF(AND(INT('模拟-模拟计算'!B257)&lt;='模拟-模拟计算'!$C$2,'模拟-模拟计算'!B257&gt;0),'模拟-模拟计算'!F257," ")</f>
        <v>20</v>
      </c>
      <c r="F232" s="51" t="str">
        <f ca="1">IF(AND(INT('模拟-模拟计算'!B257)&lt;='模拟-模拟计算'!$C$2,'模拟-模拟计算'!B257&gt;0),'模拟-模拟计算'!P257," ")</f>
        <v>会</v>
      </c>
      <c r="G232" s="52">
        <f ca="1">IF(AND(INT('模拟-模拟计算'!B257)&lt;='模拟-模拟计算'!$C$2,'模拟-模拟计算'!B257&gt;0),'模拟-模拟计算'!V257," ")</f>
        <v>121694.14741267689</v>
      </c>
      <c r="H232" s="52">
        <f ca="1">IF(AND(INT('模拟-模拟计算'!B257)&lt;='模拟-模拟计算'!$C$2,'模拟-模拟计算'!B257&gt;0),'模拟-模拟计算'!Y257," ")</f>
        <v>151713.71389515002</v>
      </c>
      <c r="I232" s="105">
        <f ca="1">IF(AND(INT('模拟-模拟计算'!B257)&lt;='模拟-模拟计算'!$C$2,'模拟-模拟计算'!B257&gt;0),'模拟-模拟计算'!AA257," ")</f>
        <v>115892.49846983267</v>
      </c>
    </row>
    <row r="233" spans="1:9" x14ac:dyDescent="0.2">
      <c r="A233" s="20">
        <f>INT('模拟-模拟计算'!B258+0.5)</f>
        <v>213</v>
      </c>
      <c r="B233" s="52">
        <f>IF(AND(INT('模拟-模拟计算'!B258)&lt;='模拟-模拟计算'!$C$2,'模拟-模拟计算'!B258&gt;0),'模拟-模拟计算'!B258," ")</f>
        <v>213.09750000000119</v>
      </c>
      <c r="C233" s="51" t="str">
        <f ca="1">IF(AND(INT('模拟-模拟计算'!B258)&lt;='模拟-模拟计算'!$C$2,'模拟-模拟计算'!B258&gt;0),'模拟-模拟计算'!C258," ")</f>
        <v>净世破魔击·日</v>
      </c>
      <c r="D233" s="104">
        <f ca="1">IF(AND(INT('模拟-模拟计算'!B258)&lt;='模拟-模拟计算'!$C$2,'模拟-模拟计算'!B258&gt;0),'模拟-模拟计算'!E258," ")</f>
        <v>0</v>
      </c>
      <c r="E233" s="104">
        <f ca="1">IF(AND(INT('模拟-模拟计算'!B258)&lt;='模拟-模拟计算'!$C$2,'模拟-模拟计算'!B258&gt;0),'模拟-模拟计算'!F258," ")</f>
        <v>20</v>
      </c>
      <c r="F233" s="51" t="str">
        <f ca="1">IF(AND(INT('模拟-模拟计算'!B258)&lt;='模拟-模拟计算'!$C$2,'模拟-模拟计算'!B258&gt;0),'模拟-模拟计算'!P258," ")</f>
        <v>命</v>
      </c>
      <c r="G233" s="52">
        <f ca="1">IF(AND(INT('模拟-模拟计算'!B258)&lt;='模拟-模拟计算'!$C$2,'模拟-模拟计算'!B258&gt;0),'模拟-模拟计算'!V258," ")</f>
        <v>63050.243404268018</v>
      </c>
      <c r="H233" s="52">
        <f ca="1">IF(AND(INT('模拟-模拟计算'!B258)&lt;='模拟-模拟计算'!$C$2,'模拟-模拟计算'!B258&gt;0),'模拟-模拟计算'!Y258," ")</f>
        <v>65983.323235076401</v>
      </c>
      <c r="I233" s="105">
        <f ca="1">IF(AND(INT('模拟-模拟计算'!B258)&lt;='模拟-模拟计算'!$C$2,'模拟-模拟计算'!B258&gt;0),'模拟-模拟计算'!AA258," ")</f>
        <v>115700.43846629745</v>
      </c>
    </row>
    <row r="234" spans="1:9" x14ac:dyDescent="0.2">
      <c r="A234" s="20">
        <f>INT('模拟-模拟计算'!B259+0.5)</f>
        <v>214</v>
      </c>
      <c r="B234" s="52">
        <f>IF(AND(INT('模拟-模拟计算'!B259)&lt;='模拟-模拟计算'!$C$2,'模拟-模拟计算'!B259&gt;0),'模拟-模拟计算'!B259," ")</f>
        <v>214.0200000000012</v>
      </c>
      <c r="C234" s="51" t="str">
        <f ca="1">IF(AND(INT('模拟-模拟计算'!B259)&lt;='模拟-模拟计算'!$C$2,'模拟-模拟计算'!B259&gt;0),'模拟-模拟计算'!C259," ")</f>
        <v>赤日轮1</v>
      </c>
      <c r="D234" s="104">
        <f ca="1">IF(AND(INT('模拟-模拟计算'!B259)&lt;='模拟-模拟计算'!$C$2,'模拟-模拟计算'!B259&gt;0),'模拟-模拟计算'!E259," ")</f>
        <v>20</v>
      </c>
      <c r="E234" s="104">
        <f ca="1">IF(AND(INT('模拟-模拟计算'!B259)&lt;='模拟-模拟计算'!$C$2,'模拟-模拟计算'!B259&gt;0),'模拟-模拟计算'!F259," ")</f>
        <v>20</v>
      </c>
      <c r="F234" s="51" t="str">
        <f ca="1">IF(AND(INT('模拟-模拟计算'!B259)&lt;='模拟-模拟计算'!$C$2,'模拟-模拟计算'!B259&gt;0),'模拟-模拟计算'!P259," ")</f>
        <v>会</v>
      </c>
      <c r="G234" s="52">
        <f ca="1">IF(AND(INT('模拟-模拟计算'!B259)&lt;='模拟-模拟计算'!$C$2,'模拟-模拟计算'!B259&gt;0),'模拟-模拟计算'!V259," ")</f>
        <v>56864.156113360666</v>
      </c>
      <c r="H234" s="52">
        <f ca="1">IF(AND(INT('模拟-模拟计算'!B259)&lt;='模拟-模拟计算'!$C$2,'模拟-模拟计算'!B259&gt;0),'模拟-模拟计算'!Y259," ")</f>
        <v>82327.534224577685</v>
      </c>
      <c r="I234" s="105">
        <f ca="1">IF(AND(INT('模拟-模拟计算'!B259)&lt;='模拟-模拟计算'!$C$2,'模拟-模拟计算'!B259&gt;0),'模拟-模拟计算'!AA259," ")</f>
        <v>115586.40183298942</v>
      </c>
    </row>
    <row r="235" spans="1:9" x14ac:dyDescent="0.2">
      <c r="A235" s="20">
        <f>INT('模拟-模拟计算'!B260+0.5)</f>
        <v>215</v>
      </c>
      <c r="B235" s="52">
        <f>IF(AND(INT('模拟-模拟计算'!B260)&lt;='模拟-模拟计算'!$C$2,'模拟-模拟计算'!B260&gt;0),'模拟-模拟计算'!B260," ")</f>
        <v>214.94250000000122</v>
      </c>
      <c r="C235" s="51" t="str">
        <f ca="1">IF(AND(INT('模拟-模拟计算'!B260)&lt;='模拟-模拟计算'!$C$2,'模拟-模拟计算'!B260&gt;0),'模拟-模拟计算'!C260," ")</f>
        <v>银月斩</v>
      </c>
      <c r="D235" s="104">
        <f ca="1">IF(AND(INT('模拟-模拟计算'!B260)&lt;='模拟-模拟计算'!$C$2,'模拟-模拟计算'!B260&gt;0),'模拟-模拟计算'!E260," ")</f>
        <v>20</v>
      </c>
      <c r="E235" s="104">
        <f ca="1">IF(AND(INT('模拟-模拟计算'!B260)&lt;='模拟-模拟计算'!$C$2,'模拟-模拟计算'!B260&gt;0),'模拟-模拟计算'!F260," ")</f>
        <v>65</v>
      </c>
      <c r="F235" s="51" t="str">
        <f ca="1">IF(AND(INT('模拟-模拟计算'!B260)&lt;='模拟-模拟计算'!$C$2,'模拟-模拟计算'!B260&gt;0),'模拟-模拟计算'!P260," ")</f>
        <v>命</v>
      </c>
      <c r="G235" s="52">
        <f ca="1">IF(AND(INT('模拟-模拟计算'!B260)&lt;='模拟-模拟计算'!$C$2,'模拟-模拟计算'!B260&gt;0),'模拟-模拟计算'!V260," ")</f>
        <v>18215.255972688272</v>
      </c>
      <c r="H235" s="52">
        <f ca="1">IF(AND(INT('模拟-模拟计算'!B260)&lt;='模拟-模拟计算'!$C$2,'模拟-模拟计算'!B260&gt;0),'模拟-模拟计算'!Y260," ")</f>
        <v>22090.319978408203</v>
      </c>
      <c r="I235" s="105">
        <f ca="1">IF(AND(INT('模拟-模拟计算'!B260)&lt;='模拟-模拟计算'!$C$2,'模拟-模拟计算'!B260&gt;0),'模拟-模拟计算'!AA260," ")</f>
        <v>115193.09601532877</v>
      </c>
    </row>
    <row r="236" spans="1:9" x14ac:dyDescent="0.2">
      <c r="A236" s="20">
        <f>INT('模拟-模拟计算'!B261+0.5)</f>
        <v>216</v>
      </c>
      <c r="B236" s="52">
        <f>IF(AND(INT('模拟-模拟计算'!B261)&lt;='模拟-模拟计算'!$C$2,'模拟-模拟计算'!B261&gt;0),'模拟-模拟计算'!B261," ")</f>
        <v>215.86500000000123</v>
      </c>
      <c r="C236" s="51" t="str">
        <f ca="1">IF(AND(INT('模拟-模拟计算'!B261)&lt;='模拟-模拟计算'!$C$2,'模拟-模拟计算'!B261&gt;0),'模拟-模拟计算'!C261," ")</f>
        <v>驱夜断愁</v>
      </c>
      <c r="D236" s="104">
        <f ca="1">IF(AND(INT('模拟-模拟计算'!B261)&lt;='模拟-模拟计算'!$C$2,'模拟-模拟计算'!B261&gt;0),'模拟-模拟计算'!E261," ")</f>
        <v>40</v>
      </c>
      <c r="E236" s="104">
        <f ca="1">IF(AND(INT('模拟-模拟计算'!B261)&lt;='模拟-模拟计算'!$C$2,'模拟-模拟计算'!B261&gt;0),'模拟-模拟计算'!F261," ")</f>
        <v>85</v>
      </c>
      <c r="F236" s="51" t="str">
        <f ca="1">IF(AND(INT('模拟-模拟计算'!B261)&lt;='模拟-模拟计算'!$C$2,'模拟-模拟计算'!B261&gt;0),'模拟-模拟计算'!P261," ")</f>
        <v>识</v>
      </c>
      <c r="G236" s="52">
        <f ca="1">IF(AND(INT('模拟-模拟计算'!B261)&lt;='模拟-模拟计算'!$C$2,'模拟-模拟计算'!B261&gt;0),'模拟-模拟计算'!V261," ")</f>
        <v>15385.018372398006</v>
      </c>
      <c r="H236" s="52">
        <f ca="1">IF(AND(INT('模拟-模拟计算'!B261)&lt;='模拟-模拟计算'!$C$2,'模拟-模拟计算'!B261&gt;0),'模拟-模拟计算'!Y261," ")</f>
        <v>41209.907127162078</v>
      </c>
      <c r="I236" s="105">
        <f ca="1">IF(AND(INT('模拟-模拟计算'!B261)&lt;='模拟-模拟计算'!$C$2,'模拟-模拟计算'!B261&gt;0),'模拟-模拟计算'!AA261," ")</f>
        <v>114891.7237505013</v>
      </c>
    </row>
    <row r="237" spans="1:9" x14ac:dyDescent="0.2">
      <c r="A237" s="20">
        <f>INT('模拟-模拟计算'!B262+0.5)</f>
        <v>217</v>
      </c>
      <c r="B237" s="52">
        <f>IF(AND(INT('模拟-模拟计算'!B262)&lt;='模拟-模拟计算'!$C$2,'模拟-模拟计算'!B262&gt;0),'模拟-模拟计算'!B262," ")</f>
        <v>216.78750000000124</v>
      </c>
      <c r="C237" s="51" t="str">
        <f ca="1">IF(AND(INT('模拟-模拟计算'!B262)&lt;='模拟-模拟计算'!$C$2,'模拟-模拟计算'!B262&gt;0),'模拟-模拟计算'!C262," ")</f>
        <v>烈日斩</v>
      </c>
      <c r="D237" s="104">
        <f ca="1">IF(AND(INT('模拟-模拟计算'!B262)&lt;='模拟-模拟计算'!$C$2,'模拟-模拟计算'!B262&gt;0),'模拟-模拟计算'!E262," ")</f>
        <v>80</v>
      </c>
      <c r="E237" s="104">
        <f ca="1">IF(AND(INT('模拟-模拟计算'!B262)&lt;='模拟-模拟计算'!$C$2,'模拟-模拟计算'!B262&gt;0),'模拟-模拟计算'!F262," ")</f>
        <v>85</v>
      </c>
      <c r="F237" s="51" t="str">
        <f ca="1">IF(AND(INT('模拟-模拟计算'!B262)&lt;='模拟-模拟计算'!$C$2,'模拟-模拟计算'!B262&gt;0),'模拟-模拟计算'!P262," ")</f>
        <v>会</v>
      </c>
      <c r="G237" s="52">
        <f ca="1">IF(AND(INT('模拟-模拟计算'!B262)&lt;='模拟-模拟计算'!$C$2,'模拟-模拟计算'!B262&gt;0),'模拟-模拟计算'!V262," ")</f>
        <v>110503.35617153208</v>
      </c>
      <c r="H237" s="52">
        <f ca="1">IF(AND(INT('模拟-模拟计算'!B262)&lt;='模拟-模拟计算'!$C$2,'模拟-模拟计算'!B262&gt;0),'模拟-模拟计算'!Y262," ")</f>
        <v>176899.4082999673</v>
      </c>
      <c r="I237" s="105">
        <f ca="1">IF(AND(INT('模拟-模拟计算'!B262)&lt;='模拟-模拟计算'!$C$2,'模拟-模拟计算'!B262&gt;0),'模拟-模拟计算'!AA262," ")</f>
        <v>115218.82652690736</v>
      </c>
    </row>
    <row r="238" spans="1:9" x14ac:dyDescent="0.2">
      <c r="A238" s="20">
        <f>INT('模拟-模拟计算'!B263+0.5)</f>
        <v>218</v>
      </c>
      <c r="B238" s="52">
        <f>IF(AND(INT('模拟-模拟计算'!B263)&lt;='模拟-模拟计算'!$C$2,'模拟-模拟计算'!B263&gt;0),'模拟-模拟计算'!B263," ")</f>
        <v>217.71000000000126</v>
      </c>
      <c r="C238" s="51" t="str">
        <f ca="1">IF(AND(INT('模拟-模拟计算'!B263)&lt;='模拟-模拟计算'!$C$2,'模拟-模拟计算'!B263&gt;0),'模拟-模拟计算'!C263," ")</f>
        <v>幽月轮1</v>
      </c>
      <c r="D238" s="104">
        <f ca="1">IF(AND(INT('模拟-模拟计算'!B263)&lt;='模拟-模拟计算'!$C$2,'模拟-模拟计算'!B263&gt;0),'模拟-模拟计算'!E263," ")</f>
        <v>80</v>
      </c>
      <c r="E238" s="104">
        <f ca="1">IF(AND(INT('模拟-模拟计算'!B263)&lt;='模拟-模拟计算'!$C$2,'模拟-模拟计算'!B263&gt;0),'模拟-模拟计算'!F263," ")</f>
        <v>100</v>
      </c>
      <c r="F238" s="51" t="str">
        <f ca="1">IF(AND(INT('模拟-模拟计算'!B263)&lt;='模拟-模拟计算'!$C$2,'模拟-模拟计算'!B263&gt;0),'模拟-模拟计算'!P263," ")</f>
        <v>会</v>
      </c>
      <c r="G238" s="52">
        <f ca="1">IF(AND(INT('模拟-模拟计算'!B263)&lt;='模拟-模拟计算'!$C$2,'模拟-模拟计算'!B263&gt;0),'模拟-模拟计算'!V263," ")</f>
        <v>35088.919370823241</v>
      </c>
      <c r="H238" s="52">
        <f ca="1">IF(AND(INT('模拟-模拟计算'!B263)&lt;='模拟-模拟计算'!$C$2,'模拟-模拟计算'!B263&gt;0),'模拟-模拟计算'!Y263," ")</f>
        <v>45045.785706378287</v>
      </c>
      <c r="I238" s="105">
        <f ca="1">IF(AND(INT('模拟-模拟计算'!B263)&lt;='模拟-模拟计算'!$C$2,'模拟-模拟计算'!B263&gt;0),'模拟-模拟计算'!AA263," ")</f>
        <v>114937.51844843281</v>
      </c>
    </row>
    <row r="239" spans="1:9" x14ac:dyDescent="0.2">
      <c r="A239" s="20">
        <f>INT('模拟-模拟计算'!B264+0.5)</f>
        <v>219</v>
      </c>
      <c r="B239" s="52">
        <f>IF(AND(INT('模拟-模拟计算'!B264)&lt;='模拟-模拟计算'!$C$2,'模拟-模拟计算'!B264&gt;0),'模拟-模拟计算'!B264," ")</f>
        <v>218.63250000000127</v>
      </c>
      <c r="C239" s="51" t="str">
        <f ca="1">IF(AND(INT('模拟-模拟计算'!B264)&lt;='模拟-模拟计算'!$C$2,'模拟-模拟计算'!B264&gt;0),'模拟-模拟计算'!C264," ")</f>
        <v>净世破魔击·月</v>
      </c>
      <c r="D239" s="104">
        <f ca="1">IF(AND(INT('模拟-模拟计算'!B264)&lt;='模拟-模拟计算'!$C$2,'模拟-模拟计算'!B264&gt;0),'模拟-模拟计算'!E264," ")</f>
        <v>100</v>
      </c>
      <c r="E239" s="104">
        <f ca="1">IF(AND(INT('模拟-模拟计算'!B264)&lt;='模拟-模拟计算'!$C$2,'模拟-模拟计算'!B264&gt;0),'模拟-模拟计算'!F264," ")</f>
        <v>20</v>
      </c>
      <c r="F239" s="51" t="str">
        <f ca="1">IF(AND(INT('模拟-模拟计算'!B264)&lt;='模拟-模拟计算'!$C$2,'模拟-模拟计算'!B264&gt;0),'模拟-模拟计算'!P264," ")</f>
        <v>会</v>
      </c>
      <c r="G239" s="52">
        <f ca="1">IF(AND(INT('模拟-模拟计算'!B264)&lt;='模拟-模拟计算'!$C$2,'模拟-模拟计算'!B264&gt;0),'模拟-模拟计算'!V264," ")</f>
        <v>204013.08685584151</v>
      </c>
      <c r="H239" s="52">
        <f ca="1">IF(AND(INT('模拟-模拟计算'!B264)&lt;='模拟-模拟计算'!$C$2,'模拟-模拟计算'!B264&gt;0),'模拟-模拟计算'!Y264," ")</f>
        <v>230511.43828249414</v>
      </c>
      <c r="I239" s="105">
        <f ca="1">IF(AND(INT('模拟-模拟计算'!B264)&lt;='模拟-模拟计算'!$C$2,'模拟-模拟计算'!B264&gt;0),'模拟-模拟计算'!AA264," ")</f>
        <v>115506.88291855418</v>
      </c>
    </row>
    <row r="240" spans="1:9" x14ac:dyDescent="0.2">
      <c r="A240" s="20">
        <f>INT('模拟-模拟计算'!B265+0.5)</f>
        <v>220</v>
      </c>
      <c r="B240" s="52">
        <f>IF(AND(INT('模拟-模拟计算'!B265)&lt;='模拟-模拟计算'!$C$2,'模拟-模拟计算'!B265&gt;0),'模拟-模拟计算'!B265," ")</f>
        <v>219.55500000000129</v>
      </c>
      <c r="C240" s="51" t="str">
        <f ca="1">IF(AND(INT('模拟-模拟计算'!B265)&lt;='模拟-模拟计算'!$C$2,'模拟-模拟计算'!B265&gt;0),'模拟-模拟计算'!C265," ")</f>
        <v>净世破魔击·日</v>
      </c>
      <c r="D240" s="104">
        <f ca="1">IF(AND(INT('模拟-模拟计算'!B265)&lt;='模拟-模拟计算'!$C$2,'模拟-模拟计算'!B265&gt;0),'模拟-模拟计算'!E265," ")</f>
        <v>0</v>
      </c>
      <c r="E240" s="104">
        <f ca="1">IF(AND(INT('模拟-模拟计算'!B265)&lt;='模拟-模拟计算'!$C$2,'模拟-模拟计算'!B265&gt;0),'模拟-模拟计算'!F265," ")</f>
        <v>100</v>
      </c>
      <c r="F240" s="51" t="str">
        <f ca="1">IF(AND(INT('模拟-模拟计算'!B265)&lt;='模拟-模拟计算'!$C$2,'模拟-模拟计算'!B265&gt;0),'模拟-模拟计算'!P265," ")</f>
        <v>会</v>
      </c>
      <c r="G240" s="52">
        <f ca="1">IF(AND(INT('模拟-模拟计算'!B265)&lt;='模拟-模拟计算'!$C$2,'模拟-模拟计算'!B265&gt;0),'模拟-模拟计算'!V265," ")</f>
        <v>228568.4507011126</v>
      </c>
      <c r="H240" s="52">
        <f ca="1">IF(AND(INT('模拟-模拟计算'!B265)&lt;='模拟-模拟计算'!$C$2,'模拟-模拟计算'!B265&gt;0),'模拟-模拟计算'!Y265," ")</f>
        <v>258765.5851286627</v>
      </c>
      <c r="I240" s="105">
        <f ca="1">IF(AND(INT('模拟-模拟计算'!B265)&lt;='模拟-模拟计算'!$C$2,'模拟-模拟计算'!B265&gt;0),'模拟-模拟计算'!AA265," ")</f>
        <v>116200.15105472185</v>
      </c>
    </row>
    <row r="241" spans="1:9" x14ac:dyDescent="0.2">
      <c r="A241" s="20">
        <f>INT('模拟-模拟计算'!B266+0.5)</f>
        <v>220</v>
      </c>
      <c r="B241" s="52">
        <f>IF(AND(INT('模拟-模拟计算'!B266)&lt;='模拟-模拟计算'!$C$2,'模拟-模拟计算'!B266&gt;0),'模拟-模拟计算'!B266," ")</f>
        <v>220.4775000000013</v>
      </c>
      <c r="C241" s="51" t="str">
        <f ca="1">IF(AND(INT('模拟-模拟计算'!B266)&lt;='模拟-模拟计算'!$C$2,'模拟-模拟计算'!B266&gt;0),'模拟-模拟计算'!C266," ")</f>
        <v>净世破魔击·月</v>
      </c>
      <c r="D241" s="104">
        <f ca="1">IF(AND(INT('模拟-模拟计算'!B266)&lt;='模拟-模拟计算'!$C$2,'模拟-模拟计算'!B266&gt;0),'模拟-模拟计算'!E266," ")</f>
        <v>20</v>
      </c>
      <c r="E241" s="104">
        <f ca="1">IF(AND(INT('模拟-模拟计算'!B266)&lt;='模拟-模拟计算'!$C$2,'模拟-模拟计算'!B266&gt;0),'模拟-模拟计算'!F266," ")</f>
        <v>20</v>
      </c>
      <c r="F241" s="51" t="str">
        <f ca="1">IF(AND(INT('模拟-模拟计算'!B266)&lt;='模拟-模拟计算'!$C$2,'模拟-模拟计算'!B266&gt;0),'模拟-模拟计算'!P266," ")</f>
        <v>命</v>
      </c>
      <c r="G241" s="52">
        <f ca="1">IF(AND(INT('模拟-模拟计算'!B266)&lt;='模拟-模拟计算'!$C$2,'模拟-模拟计算'!B266&gt;0),'模拟-模拟计算'!V266," ")</f>
        <v>53909.747705502974</v>
      </c>
      <c r="H241" s="52">
        <f ca="1">IF(AND(INT('模拟-模拟计算'!B266)&lt;='模拟-模拟计算'!$C$2,'模拟-模拟计算'!B266&gt;0),'模拟-模拟计算'!Y266," ")</f>
        <v>71527.367215731661</v>
      </c>
      <c r="I241" s="105">
        <f ca="1">IF(AND(INT('模拟-模拟计算'!B266)&lt;='模拟-模拟计算'!$C$2,'模拟-模拟计算'!B266&gt;0),'模拟-模拟计算'!AA266," ")</f>
        <v>116038.37821108814</v>
      </c>
    </row>
    <row r="242" spans="1:9" x14ac:dyDescent="0.2">
      <c r="A242" s="20">
        <f>INT('模拟-模拟计算'!B267+0.5)</f>
        <v>221</v>
      </c>
      <c r="B242" s="52">
        <f>IF(AND(INT('模拟-模拟计算'!B267)&lt;='模拟-模拟计算'!$C$2,'模拟-模拟计算'!B267&gt;0),'模拟-模拟计算'!B267," ")</f>
        <v>221.40000000000131</v>
      </c>
      <c r="C242" s="51" t="str">
        <f ca="1">IF(AND(INT('模拟-模拟计算'!B267)&lt;='模拟-模拟计算'!$C$2,'模拟-模拟计算'!B267&gt;0),'模拟-模拟计算'!C267," ")</f>
        <v>银月斩</v>
      </c>
      <c r="D242" s="104">
        <f ca="1">IF(AND(INT('模拟-模拟计算'!B267)&lt;='模拟-模拟计算'!$C$2,'模拟-模拟计算'!B267&gt;0),'模拟-模拟计算'!E267," ")</f>
        <v>20</v>
      </c>
      <c r="E242" s="104">
        <f ca="1">IF(AND(INT('模拟-模拟计算'!B267)&lt;='模拟-模拟计算'!$C$2,'模拟-模拟计算'!B267&gt;0),'模拟-模拟计算'!F267," ")</f>
        <v>65</v>
      </c>
      <c r="F242" s="51" t="str">
        <f ca="1">IF(AND(INT('模拟-模拟计算'!B267)&lt;='模拟-模拟计算'!$C$2,'模拟-模拟计算'!B267&gt;0),'模拟-模拟计算'!P267," ")</f>
        <v>命</v>
      </c>
      <c r="G242" s="52">
        <f ca="1">IF(AND(INT('模拟-模拟计算'!B267)&lt;='模拟-模拟计算'!$C$2,'模拟-模拟计算'!B267&gt;0),'模拟-模拟计算'!V267," ")</f>
        <v>21110.500523497569</v>
      </c>
      <c r="H242" s="52">
        <f ca="1">IF(AND(INT('模拟-模拟计算'!B267)&lt;='模拟-模拟计算'!$C$2,'模拟-模拟计算'!B267&gt;0),'模拟-模拟计算'!Y267," ")</f>
        <v>45515.260344669892</v>
      </c>
      <c r="I242" s="105">
        <f ca="1">IF(AND(INT('模拟-模拟计算'!B267)&lt;='模拟-模拟计算'!$C$2,'模拟-模拟计算'!B267&gt;0),'模拟-模拟计算'!AA267," ")</f>
        <v>115760.46428355851</v>
      </c>
    </row>
    <row r="243" spans="1:9" x14ac:dyDescent="0.2">
      <c r="A243" s="20">
        <f>INT('模拟-模拟计算'!B268+0.5)</f>
        <v>222</v>
      </c>
      <c r="B243" s="52">
        <f>IF(AND(INT('模拟-模拟计算'!B268)&lt;='模拟-模拟计算'!$C$2,'模拟-模拟计算'!B268&gt;0),'模拟-模拟计算'!B268," ")</f>
        <v>222.32250000000133</v>
      </c>
      <c r="C243" s="51" t="str">
        <f ca="1">IF(AND(INT('模拟-模拟计算'!B268)&lt;='模拟-模拟计算'!$C$2,'模拟-模拟计算'!B268&gt;0),'模拟-模拟计算'!C268," ")</f>
        <v>驱夜断愁</v>
      </c>
      <c r="D243" s="104">
        <f ca="1">IF(AND(INT('模拟-模拟计算'!B268)&lt;='模拟-模拟计算'!$C$2,'模拟-模拟计算'!B268&gt;0),'模拟-模拟计算'!E268," ")</f>
        <v>40</v>
      </c>
      <c r="E243" s="104">
        <f ca="1">IF(AND(INT('模拟-模拟计算'!B268)&lt;='模拟-模拟计算'!$C$2,'模拟-模拟计算'!B268&gt;0),'模拟-模拟计算'!F268," ")</f>
        <v>85</v>
      </c>
      <c r="F243" s="51" t="str">
        <f ca="1">IF(AND(INT('模拟-模拟计算'!B268)&lt;='模拟-模拟计算'!$C$2,'模拟-模拟计算'!B268&gt;0),'模拟-模拟计算'!P268," ")</f>
        <v>命</v>
      </c>
      <c r="G243" s="52">
        <f ca="1">IF(AND(INT('模拟-模拟计算'!B268)&lt;='模拟-模拟计算'!$C$2,'模拟-模拟计算'!B268&gt;0),'模拟-模拟计算'!V268," ")</f>
        <v>58943.088028757353</v>
      </c>
      <c r="H243" s="52">
        <f ca="1">IF(AND(INT('模拟-模拟计算'!B268)&lt;='模拟-模拟计算'!$C$2,'模拟-模拟计算'!B268&gt;0),'模拟-模拟计算'!Y268," ")</f>
        <v>63740.80733797131</v>
      </c>
      <c r="I243" s="105">
        <f ca="1">IF(AND(INT('模拟-模拟计算'!B268)&lt;='模拟-模拟计算'!$C$2,'模拟-模拟计算'!B268&gt;0),'模拟-模拟计算'!AA268," ")</f>
        <v>115566.8346645878</v>
      </c>
    </row>
    <row r="244" spans="1:9" x14ac:dyDescent="0.2">
      <c r="A244" s="20">
        <f>INT('模拟-模拟计算'!B269+0.5)</f>
        <v>223</v>
      </c>
      <c r="B244" s="52">
        <f>IF(AND(INT('模拟-模拟计算'!B269)&lt;='模拟-模拟计算'!$C$2,'模拟-模拟计算'!B269&gt;0),'模拟-模拟计算'!B269," ")</f>
        <v>223.24500000000134</v>
      </c>
      <c r="C244" s="51" t="str">
        <f ca="1">IF(AND(INT('模拟-模拟计算'!B269)&lt;='模拟-模拟计算'!$C$2,'模拟-模拟计算'!B269&gt;0),'模拟-模拟计算'!C269," ")</f>
        <v>烈日斩</v>
      </c>
      <c r="D244" s="104">
        <f ca="1">IF(AND(INT('模拟-模拟计算'!B269)&lt;='模拟-模拟计算'!$C$2,'模拟-模拟计算'!B269&gt;0),'模拟-模拟计算'!E269," ")</f>
        <v>80</v>
      </c>
      <c r="E244" s="104">
        <f ca="1">IF(AND(INT('模拟-模拟计算'!B269)&lt;='模拟-模拟计算'!$C$2,'模拟-模拟计算'!B269&gt;0),'模拟-模拟计算'!F269," ")</f>
        <v>85</v>
      </c>
      <c r="F244" s="51" t="str">
        <f ca="1">IF(AND(INT('模拟-模拟计算'!B269)&lt;='模拟-模拟计算'!$C$2,'模拟-模拟计算'!B269&gt;0),'模拟-模拟计算'!P269," ")</f>
        <v>会</v>
      </c>
      <c r="G244" s="52">
        <f ca="1">IF(AND(INT('模拟-模拟计算'!B269)&lt;='模拟-模拟计算'!$C$2,'模拟-模拟计算'!B269&gt;0),'模拟-模拟计算'!V269," ")</f>
        <v>110503.35617153208</v>
      </c>
      <c r="H244" s="52">
        <f ca="1">IF(AND(INT('模拟-模拟计算'!B269)&lt;='模拟-模拟计算'!$C$2,'模拟-模拟计算'!B269&gt;0),'模拟-模拟计算'!Y269," ")</f>
        <v>121983.22032383647</v>
      </c>
      <c r="I244" s="105">
        <f ca="1">IF(AND(INT('模拟-模拟计算'!B269)&lt;='模拟-模拟计算'!$C$2,'模拟-模拟计算'!B269&gt;0),'模拟-模拟计算'!AA269," ")</f>
        <v>115635.6954020993</v>
      </c>
    </row>
    <row r="245" spans="1:9" x14ac:dyDescent="0.2">
      <c r="A245" s="20">
        <f>INT('模拟-模拟计算'!B270+0.5)</f>
        <v>224</v>
      </c>
      <c r="B245" s="52">
        <f>IF(AND(INT('模拟-模拟计算'!B270)&lt;='模拟-模拟计算'!$C$2,'模拟-模拟计算'!B270&gt;0),'模拟-模拟计算'!B270," ")</f>
        <v>224.16750000000135</v>
      </c>
      <c r="C245" s="51" t="str">
        <f ca="1">IF(AND(INT('模拟-模拟计算'!B270)&lt;='模拟-模拟计算'!$C$2,'模拟-模拟计算'!B270&gt;0),'模拟-模拟计算'!C270," ")</f>
        <v>幽月轮1</v>
      </c>
      <c r="D245" s="104">
        <f ca="1">IF(AND(INT('模拟-模拟计算'!B270)&lt;='模拟-模拟计算'!$C$2,'模拟-模拟计算'!B270&gt;0),'模拟-模拟计算'!E270," ")</f>
        <v>80</v>
      </c>
      <c r="E245" s="104">
        <f ca="1">IF(AND(INT('模拟-模拟计算'!B270)&lt;='模拟-模拟计算'!$C$2,'模拟-模拟计算'!B270&gt;0),'模拟-模拟计算'!F270," ")</f>
        <v>100</v>
      </c>
      <c r="F245" s="51" t="str">
        <f ca="1">IF(AND(INT('模拟-模拟计算'!B270)&lt;='模拟-模拟计算'!$C$2,'模拟-模拟计算'!B270&gt;0),'模拟-模拟计算'!P270," ")</f>
        <v>识</v>
      </c>
      <c r="G245" s="52">
        <f ca="1">IF(AND(INT('模拟-模拟计算'!B270)&lt;='模拟-模拟计算'!$C$2,'模拟-模拟计算'!B270&gt;0),'模拟-模拟计算'!V270," ")</f>
        <v>4234.7967582548099</v>
      </c>
      <c r="H245" s="52">
        <f ca="1">IF(AND(INT('模拟-模拟计算'!B270)&lt;='模拟-模拟计算'!$C$2,'模拟-模拟计算'!B270&gt;0),'模拟-模拟计算'!Y270," ")</f>
        <v>14357.581601366968</v>
      </c>
      <c r="I245" s="105">
        <f ca="1">IF(AND(INT('模拟-模拟计算'!B270)&lt;='模拟-模拟计算'!$C$2,'模拟-模拟计算'!B270&gt;0),'模拟-模拟计算'!AA270," ")</f>
        <v>115223.87679589157</v>
      </c>
    </row>
    <row r="246" spans="1:9" x14ac:dyDescent="0.2">
      <c r="A246" s="20">
        <f>INT('模拟-模拟计算'!B271+0.5)</f>
        <v>225</v>
      </c>
      <c r="B246" s="52">
        <f>IF(AND(INT('模拟-模拟计算'!B271)&lt;='模拟-模拟计算'!$C$2,'模拟-模拟计算'!B271&gt;0),'模拟-模拟计算'!B271," ")</f>
        <v>225.09000000000137</v>
      </c>
      <c r="C246" s="51" t="str">
        <f ca="1">IF(AND(INT('模拟-模拟计算'!B271)&lt;='模拟-模拟计算'!$C$2,'模拟-模拟计算'!B271&gt;0),'模拟-模拟计算'!C271," ")</f>
        <v>净世破魔击·月</v>
      </c>
      <c r="D246" s="104">
        <f ca="1">IF(AND(INT('模拟-模拟计算'!B271)&lt;='模拟-模拟计算'!$C$2,'模拟-模拟计算'!B271&gt;0),'模拟-模拟计算'!E271," ")</f>
        <v>100</v>
      </c>
      <c r="E246" s="104">
        <f ca="1">IF(AND(INT('模拟-模拟计算'!B271)&lt;='模拟-模拟计算'!$C$2,'模拟-模拟计算'!B271&gt;0),'模拟-模拟计算'!F271," ")</f>
        <v>20</v>
      </c>
      <c r="F246" s="51" t="str">
        <f ca="1">IF(AND(INT('模拟-模拟计算'!B271)&lt;='模拟-模拟计算'!$C$2,'模拟-模拟计算'!B271&gt;0),'模拟-模拟计算'!P271," ")</f>
        <v>命</v>
      </c>
      <c r="G246" s="52">
        <f ca="1">IF(AND(INT('模拟-模拟计算'!B271)&lt;='模拟-模拟计算'!$C$2,'模拟-模拟计算'!B271&gt;0),'模拟-模拟计算'!V271," ")</f>
        <v>84412.793434348554</v>
      </c>
      <c r="H246" s="52">
        <f ca="1">IF(AND(INT('模拟-模拟计算'!B271)&lt;='模拟-模拟计算'!$C$2,'模拟-模拟计算'!B271&gt;0),'模拟-模拟计算'!Y271," ")</f>
        <v>103848.86834402439</v>
      </c>
      <c r="I246" s="105">
        <f ca="1">IF(AND(INT('模拟-模拟计算'!B271)&lt;='模拟-模拟计算'!$C$2,'模拟-模拟计算'!B271&gt;0),'模拟-模拟计算'!AA271," ")</f>
        <v>115213.01377221131</v>
      </c>
    </row>
    <row r="247" spans="1:9" x14ac:dyDescent="0.2">
      <c r="A247" s="20">
        <f>INT('模拟-模拟计算'!B272+0.5)</f>
        <v>226</v>
      </c>
      <c r="B247" s="52">
        <f>IF(AND(INT('模拟-模拟计算'!B272)&lt;='模拟-模拟计算'!$C$2,'模拟-模拟计算'!B272&gt;0),'模拟-模拟计算'!B272," ")</f>
        <v>226.01250000000138</v>
      </c>
      <c r="C247" s="51" t="str">
        <f ca="1">IF(AND(INT('模拟-模拟计算'!B272)&lt;='模拟-模拟计算'!$C$2,'模拟-模拟计算'!B272&gt;0),'模拟-模拟计算'!C272," ")</f>
        <v>净世破魔击·日</v>
      </c>
      <c r="D247" s="104">
        <f ca="1">IF(AND(INT('模拟-模拟计算'!B272)&lt;='模拟-模拟计算'!$C$2,'模拟-模拟计算'!B272&gt;0),'模拟-模拟计算'!E272," ")</f>
        <v>0</v>
      </c>
      <c r="E247" s="104">
        <f ca="1">IF(AND(INT('模拟-模拟计算'!B272)&lt;='模拟-模拟计算'!$C$2,'模拟-模拟计算'!B272&gt;0),'模拟-模拟计算'!F272," ")</f>
        <v>20</v>
      </c>
      <c r="F247" s="51" t="str">
        <f ca="1">IF(AND(INT('模拟-模拟计算'!B272)&lt;='模拟-模拟计算'!$C$2,'模拟-模拟计算'!B272&gt;0),'模拟-模拟计算'!P272," ")</f>
        <v>会</v>
      </c>
      <c r="G247" s="52">
        <f ca="1">IF(AND(INT('模拟-模拟计算'!B272)&lt;='模拟-模拟计算'!$C$2,'模拟-模拟计算'!B272&gt;0),'模拟-模拟计算'!V272," ")</f>
        <v>204517.60843249681</v>
      </c>
      <c r="H247" s="52">
        <f ca="1">IF(AND(INT('模拟-模拟计算'!B272)&lt;='模拟-模拟计算'!$C$2,'模拟-模拟计算'!B272&gt;0),'模拟-模拟计算'!Y272," ")</f>
        <v>216669.62280193157</v>
      </c>
      <c r="I247" s="105">
        <f ca="1">IF(AND(INT('模拟-模拟计算'!B272)&lt;='模拟-模拟计算'!$C$2,'模拟-模拟计算'!B272&gt;0),'模拟-模拟计算'!AA272," ")</f>
        <v>115701.4186949349</v>
      </c>
    </row>
    <row r="248" spans="1:9" x14ac:dyDescent="0.2">
      <c r="A248" s="20">
        <f>INT('模拟-模拟计算'!B273+0.5)</f>
        <v>227</v>
      </c>
      <c r="B248" s="52">
        <f>IF(AND(INT('模拟-模拟计算'!B273)&lt;='模拟-模拟计算'!$C$2,'模拟-模拟计算'!B273&gt;0),'模拟-模拟计算'!B273," ")</f>
        <v>226.93500000000139</v>
      </c>
      <c r="C248" s="51" t="str">
        <f ca="1">IF(AND(INT('模拟-模拟计算'!B273)&lt;='模拟-模拟计算'!$C$2,'模拟-模拟计算'!B273&gt;0),'模拟-模拟计算'!C273," ")</f>
        <v>赤日轮1</v>
      </c>
      <c r="D248" s="104">
        <f ca="1">IF(AND(INT('模拟-模拟计算'!B273)&lt;='模拟-模拟计算'!$C$2,'模拟-模拟计算'!B273&gt;0),'模拟-模拟计算'!E273," ")</f>
        <v>20</v>
      </c>
      <c r="E248" s="104">
        <f ca="1">IF(AND(INT('模拟-模拟计算'!B273)&lt;='模拟-模拟计算'!$C$2,'模拟-模拟计算'!B273&gt;0),'模拟-模拟计算'!F273," ")</f>
        <v>20</v>
      </c>
      <c r="F248" s="51" t="str">
        <f ca="1">IF(AND(INT('模拟-模拟计算'!B273)&lt;='模拟-模拟计算'!$C$2,'模拟-模拟计算'!B273&gt;0),'模拟-模拟计算'!P273," ")</f>
        <v>命</v>
      </c>
      <c r="G248" s="52">
        <f ca="1">IF(AND(INT('模拟-模拟计算'!B273)&lt;='模拟-模拟计算'!$C$2,'模拟-模拟计算'!B273&gt;0),'模拟-模拟计算'!V273," ")</f>
        <v>26295.771631143321</v>
      </c>
      <c r="H248" s="52">
        <f ca="1">IF(AND(INT('模拟-模拟计算'!B273)&lt;='模拟-模拟计算'!$C$2,'模拟-模拟计算'!B273&gt;0),'模拟-模拟计算'!Y273," ")</f>
        <v>51759.149742360343</v>
      </c>
      <c r="I248" s="105">
        <f ca="1">IF(AND(INT('模拟-模拟计算'!B273)&lt;='模拟-模拟计算'!$C$2,'模拟-模拟计算'!B273&gt;0),'模拟-模拟计算'!AA273," ")</f>
        <v>115459.16690916488</v>
      </c>
    </row>
    <row r="249" spans="1:9" x14ac:dyDescent="0.2">
      <c r="A249" s="20">
        <f>INT('模拟-模拟计算'!B274+0.5)</f>
        <v>228</v>
      </c>
      <c r="B249" s="52">
        <f>IF(AND(INT('模拟-模拟计算'!B274)&lt;='模拟-模拟计算'!$C$2,'模拟-模拟计算'!B274&gt;0),'模拟-模拟计算'!B274," ")</f>
        <v>227.85750000000141</v>
      </c>
      <c r="C249" s="51" t="str">
        <f ca="1">IF(AND(INT('模拟-模拟计算'!B274)&lt;='模拟-模拟计算'!$C$2,'模拟-模拟计算'!B274&gt;0),'模拟-模拟计算'!C274," ")</f>
        <v>银月斩</v>
      </c>
      <c r="D249" s="104">
        <f ca="1">IF(AND(INT('模拟-模拟计算'!B274)&lt;='模拟-模拟计算'!$C$2,'模拟-模拟计算'!B274&gt;0),'模拟-模拟计算'!E274," ")</f>
        <v>20</v>
      </c>
      <c r="E249" s="104">
        <f ca="1">IF(AND(INT('模拟-模拟计算'!B274)&lt;='模拟-模拟计算'!$C$2,'模拟-模拟计算'!B274&gt;0),'模拟-模拟计算'!F274," ")</f>
        <v>65</v>
      </c>
      <c r="F249" s="51" t="str">
        <f ca="1">IF(AND(INT('模拟-模拟计算'!B274)&lt;='模拟-模拟计算'!$C$2,'模拟-模拟计算'!B274&gt;0),'模拟-模拟计算'!P274," ")</f>
        <v>命</v>
      </c>
      <c r="G249" s="52">
        <f ca="1">IF(AND(INT('模拟-模拟计算'!B274)&lt;='模拟-模拟计算'!$C$2,'模拟-模拟计算'!B274&gt;0),'模拟-模拟计算'!V274," ")</f>
        <v>18215.255972688272</v>
      </c>
      <c r="H249" s="52">
        <f ca="1">IF(AND(INT('模拟-模拟计算'!B274)&lt;='模拟-模拟计算'!$C$2,'模拟-模拟计算'!B274&gt;0),'模拟-模拟计算'!Y274," ")</f>
        <v>22090.319978408203</v>
      </c>
      <c r="I249" s="105">
        <f ca="1">IF(AND(INT('模拟-模拟计算'!B274)&lt;='模拟-模拟计算'!$C$2,'模拟-模拟计算'!B274&gt;0),'模拟-模拟计算'!AA274," ")</f>
        <v>115088.66885009158</v>
      </c>
    </row>
    <row r="250" spans="1:9" x14ac:dyDescent="0.2">
      <c r="A250" s="20">
        <f>INT('模拟-模拟计算'!B275+0.5)</f>
        <v>229</v>
      </c>
      <c r="B250" s="52">
        <f>IF(AND(INT('模拟-模拟计算'!B275)&lt;='模拟-模拟计算'!$C$2,'模拟-模拟计算'!B275&gt;0),'模拟-模拟计算'!B275," ")</f>
        <v>228.78000000000142</v>
      </c>
      <c r="C250" s="51" t="str">
        <f ca="1">IF(AND(INT('模拟-模拟计算'!B275)&lt;='模拟-模拟计算'!$C$2,'模拟-模拟计算'!B275&gt;0),'模拟-模拟计算'!C275," ")</f>
        <v>驱夜断愁</v>
      </c>
      <c r="D250" s="104">
        <f ca="1">IF(AND(INT('模拟-模拟计算'!B275)&lt;='模拟-模拟计算'!$C$2,'模拟-模拟计算'!B275&gt;0),'模拟-模拟计算'!E275," ")</f>
        <v>40</v>
      </c>
      <c r="E250" s="104">
        <f ca="1">IF(AND(INT('模拟-模拟计算'!B275)&lt;='模拟-模拟计算'!$C$2,'模拟-模拟计算'!B275&gt;0),'模拟-模拟计算'!F275," ")</f>
        <v>85</v>
      </c>
      <c r="F250" s="51" t="str">
        <f ca="1">IF(AND(INT('模拟-模拟计算'!B275)&lt;='模拟-模拟计算'!$C$2,'模拟-模拟计算'!B275&gt;0),'模拟-模拟计算'!P275," ")</f>
        <v>会</v>
      </c>
      <c r="G250" s="52">
        <f ca="1">IF(AND(INT('模拟-模拟计算'!B275)&lt;='模拟-模拟计算'!$C$2,'模拟-模拟计算'!B275&gt;0),'模拟-模拟计算'!V275," ")</f>
        <v>133079.35569364758</v>
      </c>
      <c r="H250" s="52">
        <f ca="1">IF(AND(INT('模拟-模拟计算'!B275)&lt;='模拟-模拟计算'!$C$2,'模拟-模拟计算'!B275&gt;0),'模拟-模拟计算'!Y275," ")</f>
        <v>158904.24444841166</v>
      </c>
      <c r="I250" s="105">
        <f ca="1">IF(AND(INT('模拟-模拟计算'!B275)&lt;='模拟-模拟计算'!$C$2,'模拟-模拟计算'!B275&gt;0),'模拟-模拟计算'!AA275," ")</f>
        <v>115319.17390924972</v>
      </c>
    </row>
    <row r="251" spans="1:9" x14ac:dyDescent="0.2">
      <c r="A251" s="20">
        <f>INT('模拟-模拟计算'!B276+0.5)</f>
        <v>230</v>
      </c>
      <c r="B251" s="52">
        <f>IF(AND(INT('模拟-模拟计算'!B276)&lt;='模拟-模拟计算'!$C$2,'模拟-模拟计算'!B276&gt;0),'模拟-模拟计算'!B276," ")</f>
        <v>229.70250000000144</v>
      </c>
      <c r="C251" s="51" t="str">
        <f ca="1">IF(AND(INT('模拟-模拟计算'!B276)&lt;='模拟-模拟计算'!$C$2,'模拟-模拟计算'!B276&gt;0),'模拟-模拟计算'!C276," ")</f>
        <v>烈日斩</v>
      </c>
      <c r="D251" s="104">
        <f ca="1">IF(AND(INT('模拟-模拟计算'!B276)&lt;='模拟-模拟计算'!$C$2,'模拟-模拟计算'!B276&gt;0),'模拟-模拟计算'!E276," ")</f>
        <v>80</v>
      </c>
      <c r="E251" s="104">
        <f ca="1">IF(AND(INT('模拟-模拟计算'!B276)&lt;='模拟-模拟计算'!$C$2,'模拟-模拟计算'!B276&gt;0),'模拟-模拟计算'!F276," ")</f>
        <v>85</v>
      </c>
      <c r="F251" s="51" t="str">
        <f ca="1">IF(AND(INT('模拟-模拟计算'!B276)&lt;='模拟-模拟计算'!$C$2,'模拟-模拟计算'!B276&gt;0),'模拟-模拟计算'!P276," ")</f>
        <v>会</v>
      </c>
      <c r="G251" s="52">
        <f ca="1">IF(AND(INT('模拟-模拟计算'!B276)&lt;='模拟-模拟计算'!$C$2,'模拟-模拟计算'!B276&gt;0),'模拟-模拟计算'!V276," ")</f>
        <v>110503.35617153208</v>
      </c>
      <c r="H251" s="52">
        <f ca="1">IF(AND(INT('模拟-模拟计算'!B276)&lt;='模拟-模拟计算'!$C$2,'模拟-模拟计算'!B276&gt;0),'模拟-模拟计算'!Y276," ")</f>
        <v>111927.48889900841</v>
      </c>
      <c r="I251" s="105">
        <f ca="1">IF(AND(INT('模拟-模拟计算'!B276)&lt;='模拟-模拟计算'!$C$2,'模拟-模拟计算'!B276&gt;0),'模拟-模拟计算'!AA276," ")</f>
        <v>115343.31622797817</v>
      </c>
    </row>
    <row r="252" spans="1:9" x14ac:dyDescent="0.2">
      <c r="A252" s="20">
        <f>INT('模拟-模拟计算'!B277+0.5)</f>
        <v>231</v>
      </c>
      <c r="B252" s="52">
        <f>IF(AND(INT('模拟-模拟计算'!B277)&lt;='模拟-模拟计算'!$C$2,'模拟-模拟计算'!B277&gt;0),'模拟-模拟计算'!B277," ")</f>
        <v>230.62500000000145</v>
      </c>
      <c r="C252" s="51" t="str">
        <f ca="1">IF(AND(INT('模拟-模拟计算'!B277)&lt;='模拟-模拟计算'!$C$2,'模拟-模拟计算'!B277&gt;0),'模拟-模拟计算'!C277," ")</f>
        <v>幽月轮1</v>
      </c>
      <c r="D252" s="104">
        <f ca="1">IF(AND(INT('模拟-模拟计算'!B277)&lt;='模拟-模拟计算'!$C$2,'模拟-模拟计算'!B277&gt;0),'模拟-模拟计算'!E277," ")</f>
        <v>80</v>
      </c>
      <c r="E252" s="104">
        <f ca="1">IF(AND(INT('模拟-模拟计算'!B277)&lt;='模拟-模拟计算'!$C$2,'模拟-模拟计算'!B277&gt;0),'模拟-模拟计算'!F277," ")</f>
        <v>100</v>
      </c>
      <c r="F252" s="51" t="str">
        <f ca="1">IF(AND(INT('模拟-模拟计算'!B277)&lt;='模拟-模拟计算'!$C$2,'模拟-模拟计算'!B277&gt;0),'模拟-模拟计算'!P277," ")</f>
        <v>命</v>
      </c>
      <c r="G252" s="52">
        <f ca="1">IF(AND(INT('模拟-模拟计算'!B277)&lt;='模拟-模拟计算'!$C$2,'模拟-模拟计算'!B277&gt;0),'模拟-模拟计算'!V277," ")</f>
        <v>16939.18703301924</v>
      </c>
      <c r="H252" s="52">
        <f ca="1">IF(AND(INT('模拟-模拟计算'!B277)&lt;='模拟-模拟计算'!$C$2,'模拟-模拟计算'!B277&gt;0),'模拟-模拟计算'!Y277," ")</f>
        <v>26896.053368574285</v>
      </c>
      <c r="I252" s="105">
        <f ca="1">IF(AND(INT('模拟-模拟计算'!B277)&lt;='模拟-模拟计算'!$C$2,'模拟-模拟计算'!B277&gt;0),'模拟-模拟计算'!AA277," ")</f>
        <v>114998.56541669693</v>
      </c>
    </row>
    <row r="253" spans="1:9" x14ac:dyDescent="0.2">
      <c r="A253" s="20">
        <f>INT('模拟-模拟计算'!B278+0.5)</f>
        <v>232</v>
      </c>
      <c r="B253" s="52">
        <f>IF(AND(INT('模拟-模拟计算'!B278)&lt;='模拟-模拟计算'!$C$2,'模拟-模拟计算'!B278&gt;0),'模拟-模拟计算'!B278," ")</f>
        <v>231.54750000000146</v>
      </c>
      <c r="C253" s="51" t="str">
        <f ca="1">IF(AND(INT('模拟-模拟计算'!B278)&lt;='模拟-模拟计算'!$C$2,'模拟-模拟计算'!B278&gt;0),'模拟-模拟计算'!C278," ")</f>
        <v>净世破魔击·月</v>
      </c>
      <c r="D253" s="104">
        <f ca="1">IF(AND(INT('模拟-模拟计算'!B278)&lt;='模拟-模拟计算'!$C$2,'模拟-模拟计算'!B278&gt;0),'模拟-模拟计算'!E278," ")</f>
        <v>100</v>
      </c>
      <c r="E253" s="104">
        <f ca="1">IF(AND(INT('模拟-模拟计算'!B278)&lt;='模拟-模拟计算'!$C$2,'模拟-模拟计算'!B278&gt;0),'模拟-模拟计算'!F278," ")</f>
        <v>20</v>
      </c>
      <c r="F253" s="51" t="str">
        <f ca="1">IF(AND(INT('模拟-模拟计算'!B278)&lt;='模拟-模拟计算'!$C$2,'模拟-模拟计算'!B278&gt;0),'模拟-模拟计算'!P278," ")</f>
        <v>命</v>
      </c>
      <c r="G253" s="52">
        <f ca="1">IF(AND(INT('模拟-模拟计算'!B278)&lt;='模拟-模拟计算'!$C$2,'模拟-模拟计算'!B278&gt;0),'模拟-模拟计算'!V278," ")</f>
        <v>80864.621558254468</v>
      </c>
      <c r="H253" s="52">
        <f ca="1">IF(AND(INT('模拟-模拟计算'!B278)&lt;='模拟-模拟计算'!$C$2,'模拟-模拟计算'!B278&gt;0),'模拟-模拟计算'!Y278," ")</f>
        <v>93116.072289623466</v>
      </c>
      <c r="I253" s="105">
        <f ca="1">IF(AND(INT('模拟-模拟计算'!B278)&lt;='模拟-模拟计算'!$C$2,'模拟-模拟计算'!B278&gt;0),'模拟-模拟计算'!AA278," ")</f>
        <v>114942.55054153188</v>
      </c>
    </row>
    <row r="254" spans="1:9" x14ac:dyDescent="0.2">
      <c r="A254" s="20">
        <f>INT('模拟-模拟计算'!B279+0.5)</f>
        <v>232</v>
      </c>
      <c r="B254" s="52">
        <f>IF(AND(INT('模拟-模拟计算'!B279)&lt;='模拟-模拟计算'!$C$2,'模拟-模拟计算'!B279&gt;0),'模拟-模拟计算'!B279," ")</f>
        <v>232.47000000000148</v>
      </c>
      <c r="C254" s="51" t="str">
        <f ca="1">IF(AND(INT('模拟-模拟计算'!B279)&lt;='模拟-模拟计算'!$C$2,'模拟-模拟计算'!B279&gt;0),'模拟-模拟计算'!C279," ")</f>
        <v>净世破魔击·日</v>
      </c>
      <c r="D254" s="104">
        <f ca="1">IF(AND(INT('模拟-模拟计算'!B279)&lt;='模拟-模拟计算'!$C$2,'模拟-模拟计算'!B279&gt;0),'模拟-模拟计算'!E279," ")</f>
        <v>0</v>
      </c>
      <c r="E254" s="104">
        <f ca="1">IF(AND(INT('模拟-模拟计算'!B279)&lt;='模拟-模拟计算'!$C$2,'模拟-模拟计算'!B279&gt;0),'模拟-模拟计算'!F279," ")</f>
        <v>20</v>
      </c>
      <c r="F254" s="51" t="str">
        <f ca="1">IF(AND(INT('模拟-模拟计算'!B279)&lt;='模拟-模拟计算'!$C$2,'模拟-模拟计算'!B279&gt;0),'模拟-模拟计算'!P279," ")</f>
        <v>会</v>
      </c>
      <c r="G254" s="52">
        <f ca="1">IF(AND(INT('模拟-模拟计算'!B279)&lt;='模拟-模拟计算'!$C$2,'模拟-模拟计算'!B279&gt;0),'模拟-模拟计算'!V279," ")</f>
        <v>195915.814886668</v>
      </c>
      <c r="H254" s="52">
        <f ca="1">IF(AND(INT('模拟-模拟计算'!B279)&lt;='模拟-模拟计算'!$C$2,'模拟-模拟计算'!B279&gt;0),'模拟-模拟计算'!Y279," ")</f>
        <v>216245.46940708038</v>
      </c>
      <c r="I254" s="105">
        <f ca="1">IF(AND(INT('模拟-模拟计算'!B279)&lt;='模拟-模拟计算'!$C$2,'模拟-模拟计算'!B279&gt;0),'模拟-模拟计算'!AA279," ")</f>
        <v>115416.63737653216</v>
      </c>
    </row>
    <row r="255" spans="1:9" x14ac:dyDescent="0.2">
      <c r="A255" s="20">
        <f>INT('模拟-模拟计算'!B280+0.5)</f>
        <v>233</v>
      </c>
      <c r="B255" s="52">
        <f>IF(AND(INT('模拟-模拟计算'!B280)&lt;='模拟-模拟计算'!$C$2,'模拟-模拟计算'!B280&gt;0),'模拟-模拟计算'!B280," ")</f>
        <v>233.39250000000149</v>
      </c>
      <c r="C255" s="51" t="str">
        <f ca="1">IF(AND(INT('模拟-模拟计算'!B280)&lt;='模拟-模拟计算'!$C$2,'模拟-模拟计算'!B280&gt;0),'模拟-模拟计算'!C280," ")</f>
        <v>赤日轮1</v>
      </c>
      <c r="D255" s="104">
        <f ca="1">IF(AND(INT('模拟-模拟计算'!B280)&lt;='模拟-模拟计算'!$C$2,'模拟-模拟计算'!B280&gt;0),'模拟-模拟计算'!E280," ")</f>
        <v>20</v>
      </c>
      <c r="E255" s="104">
        <f ca="1">IF(AND(INT('模拟-模拟计算'!B280)&lt;='模拟-模拟计算'!$C$2,'模拟-模拟计算'!B280&gt;0),'模拟-模拟计算'!F280," ")</f>
        <v>20</v>
      </c>
      <c r="F255" s="51" t="str">
        <f ca="1">IF(AND(INT('模拟-模拟计算'!B280)&lt;='模拟-模拟计算'!$C$2,'模拟-模拟计算'!B280&gt;0),'模拟-模拟计算'!P280," ")</f>
        <v>会</v>
      </c>
      <c r="G255" s="52">
        <f ca="1">IF(AND(INT('模拟-模拟计算'!B280)&lt;='模拟-模拟计算'!$C$2,'模拟-模拟计算'!B280&gt;0),'模拟-模拟计算'!V280," ")</f>
        <v>54482.562593809358</v>
      </c>
      <c r="H255" s="52">
        <f ca="1">IF(AND(INT('模拟-模拟计算'!B280)&lt;='模拟-模拟计算'!$C$2,'模拟-模拟计算'!B280&gt;0),'模拟-模拟计算'!Y280," ")</f>
        <v>59094.561573073501</v>
      </c>
      <c r="I255" s="105">
        <f ca="1">IF(AND(INT('模拟-模拟计算'!B280)&lt;='模拟-模拟计算'!$C$2,'模拟-模拟计算'!B280&gt;0),'模拟-模拟计算'!AA280," ")</f>
        <v>115213.64333684889</v>
      </c>
    </row>
    <row r="256" spans="1:9" x14ac:dyDescent="0.2">
      <c r="A256" s="20">
        <f>INT('模拟-模拟计算'!B281+0.5)</f>
        <v>234</v>
      </c>
      <c r="B256" s="52">
        <f>IF(AND(INT('模拟-模拟计算'!B281)&lt;='模拟-模拟计算'!$C$2,'模拟-模拟计算'!B281&gt;0),'模拟-模拟计算'!B281," ")</f>
        <v>234.3150000000015</v>
      </c>
      <c r="C256" s="51" t="str">
        <f ca="1">IF(AND(INT('模拟-模拟计算'!B281)&lt;='模拟-模拟计算'!$C$2,'模拟-模拟计算'!B281&gt;0),'模拟-模拟计算'!C281," ")</f>
        <v>银月斩</v>
      </c>
      <c r="D256" s="104">
        <f ca="1">IF(AND(INT('模拟-模拟计算'!B281)&lt;='模拟-模拟计算'!$C$2,'模拟-模拟计算'!B281&gt;0),'模拟-模拟计算'!E281," ")</f>
        <v>20</v>
      </c>
      <c r="E256" s="104">
        <f ca="1">IF(AND(INT('模拟-模拟计算'!B281)&lt;='模拟-模拟计算'!$C$2,'模拟-模拟计算'!B281&gt;0),'模拟-模拟计算'!F281," ")</f>
        <v>65</v>
      </c>
      <c r="F256" s="51" t="str">
        <f ca="1">IF(AND(INT('模拟-模拟计算'!B281)&lt;='模拟-模拟计算'!$C$2,'模拟-模拟计算'!B281&gt;0),'模拟-模拟计算'!P281," ")</f>
        <v>命</v>
      </c>
      <c r="G256" s="52">
        <f ca="1">IF(AND(INT('模拟-模拟计算'!B281)&lt;='模拟-模拟计算'!$C$2,'模拟-模拟计算'!B281&gt;0),'模拟-模拟计算'!V281," ")</f>
        <v>17450.434922549593</v>
      </c>
      <c r="H256" s="52">
        <f ca="1">IF(AND(INT('模拟-模拟计算'!B281)&lt;='模拟-模拟计算'!$C$2,'模拟-模拟计算'!B281&gt;0),'模拟-模拟计算'!Y281," ")</f>
        <v>27002.637380083332</v>
      </c>
      <c r="I256" s="105">
        <f ca="1">IF(AND(INT('模拟-模拟计算'!B281)&lt;='模拟-模拟计算'!$C$2,'模拟-模拟计算'!B281&gt;0),'模拟-模拟计算'!AA281," ")</f>
        <v>114875.2870702925</v>
      </c>
    </row>
    <row r="257" spans="1:9" x14ac:dyDescent="0.2">
      <c r="A257" s="20">
        <f>INT('模拟-模拟计算'!B282+0.5)</f>
        <v>235</v>
      </c>
      <c r="B257" s="52">
        <f>IF(AND(INT('模拟-模拟计算'!B282)&lt;='模拟-模拟计算'!$C$2,'模拟-模拟计算'!B282&gt;0),'模拟-模拟计算'!B282," ")</f>
        <v>235.23750000000152</v>
      </c>
      <c r="C257" s="51" t="str">
        <f ca="1">IF(AND(INT('模拟-模拟计算'!B282)&lt;='模拟-模拟计算'!$C$2,'模拟-模拟计算'!B282&gt;0),'模拟-模拟计算'!C282," ")</f>
        <v>驱夜断愁</v>
      </c>
      <c r="D257" s="104">
        <f ca="1">IF(AND(INT('模拟-模拟计算'!B282)&lt;='模拟-模拟计算'!$C$2,'模拟-模拟计算'!B282&gt;0),'模拟-模拟计算'!E282," ")</f>
        <v>40</v>
      </c>
      <c r="E257" s="104">
        <f ca="1">IF(AND(INT('模拟-模拟计算'!B282)&lt;='模拟-模拟计算'!$C$2,'模拟-模拟计算'!B282&gt;0),'模拟-模拟计算'!F282," ")</f>
        <v>85</v>
      </c>
      <c r="F257" s="51" t="str">
        <f ca="1">IF(AND(INT('模拟-模拟计算'!B282)&lt;='模拟-模拟计算'!$C$2,'模拟-模拟计算'!B282&gt;0),'模拟-模拟计算'!P282," ")</f>
        <v>会</v>
      </c>
      <c r="G257" s="52">
        <f ca="1">IF(AND(INT('模拟-模拟计算'!B282)&lt;='模拟-模拟计算'!$C$2,'模拟-模拟计算'!B282&gt;0),'模拟-模拟计算'!V282," ")</f>
        <v>127463.41908070058</v>
      </c>
      <c r="H257" s="52">
        <f ca="1">IF(AND(INT('模拟-模拟计算'!B282)&lt;='模拟-模拟计算'!$C$2,'模拟-模拟计算'!B282&gt;0),'模拟-模拟计算'!Y282," ")</f>
        <v>129205.11487332465</v>
      </c>
      <c r="I257" s="105">
        <f ca="1">IF(AND(INT('模拟-模拟计算'!B282)&lt;='模拟-模拟计算'!$C$2,'模拟-模拟计算'!B282&gt;0),'模拟-模拟计算'!AA282," ")</f>
        <v>114974.0496508801</v>
      </c>
    </row>
    <row r="258" spans="1:9" x14ac:dyDescent="0.2">
      <c r="A258" s="20">
        <f>INT('模拟-模拟计算'!B283+0.5)</f>
        <v>236</v>
      </c>
      <c r="B258" s="52">
        <f>IF(AND(INT('模拟-模拟计算'!B283)&lt;='模拟-模拟计算'!$C$2,'模拟-模拟计算'!B283&gt;0),'模拟-模拟计算'!B283," ")</f>
        <v>236.16000000000153</v>
      </c>
      <c r="C258" s="51" t="str">
        <f ca="1">IF(AND(INT('模拟-模拟计算'!B283)&lt;='模拟-模拟计算'!$C$2,'模拟-模拟计算'!B283&gt;0),'模拟-模拟计算'!C283," ")</f>
        <v>烈日斩</v>
      </c>
      <c r="D258" s="104">
        <f ca="1">IF(AND(INT('模拟-模拟计算'!B283)&lt;='模拟-模拟计算'!$C$2,'模拟-模拟计算'!B283&gt;0),'模拟-模拟计算'!E283," ")</f>
        <v>80</v>
      </c>
      <c r="E258" s="104">
        <f ca="1">IF(AND(INT('模拟-模拟计算'!B283)&lt;='模拟-模拟计算'!$C$2,'模拟-模拟计算'!B283&gt;0),'模拟-模拟计算'!F283," ")</f>
        <v>85</v>
      </c>
      <c r="F258" s="51" t="str">
        <f ca="1">IF(AND(INT('模拟-模拟计算'!B283)&lt;='模拟-模拟计算'!$C$2,'模拟-模拟计算'!B283&gt;0),'模拟-模拟计算'!P283," ")</f>
        <v>识</v>
      </c>
      <c r="G258" s="52">
        <f ca="1">IF(AND(INT('模拟-模拟计算'!B283)&lt;='模拟-模拟计算'!$C$2,'模拟-模拟计算'!B283&gt;0),'模拟-模拟计算'!V283," ")</f>
        <v>11697.442296152003</v>
      </c>
      <c r="H258" s="52">
        <f ca="1">IF(AND(INT('模拟-模拟计算'!B283)&lt;='模拟-模拟计算'!$C$2,'模拟-模拟计算'!B283&gt;0),'模拟-模拟计算'!Y283," ")</f>
        <v>36102.202117324327</v>
      </c>
      <c r="I258" s="105">
        <f ca="1">IF(AND(INT('模拟-模拟计算'!B283)&lt;='模拟-模拟计算'!$C$2,'模拟-模拟计算'!B283&gt;0),'模拟-模拟计算'!AA283," ")</f>
        <v>114677.8040602398</v>
      </c>
    </row>
    <row r="259" spans="1:9" x14ac:dyDescent="0.2">
      <c r="A259" s="20">
        <f>INT('模拟-模拟计算'!B284+0.5)</f>
        <v>237</v>
      </c>
      <c r="B259" s="52">
        <f>IF(AND(INT('模拟-模拟计算'!B284)&lt;='模拟-模拟计算'!$C$2,'模拟-模拟计算'!B284&gt;0),'模拟-模拟计算'!B284," ")</f>
        <v>237.08250000000155</v>
      </c>
      <c r="C259" s="51" t="str">
        <f ca="1">IF(AND(INT('模拟-模拟计算'!B284)&lt;='模拟-模拟计算'!$C$2,'模拟-模拟计算'!B284&gt;0),'模拟-模拟计算'!C284," ")</f>
        <v>幽月轮1</v>
      </c>
      <c r="D259" s="104">
        <f ca="1">IF(AND(INT('模拟-模拟计算'!B284)&lt;='模拟-模拟计算'!$C$2,'模拟-模拟计算'!B284&gt;0),'模拟-模拟计算'!E284," ")</f>
        <v>80</v>
      </c>
      <c r="E259" s="104">
        <f ca="1">IF(AND(INT('模拟-模拟计算'!B284)&lt;='模拟-模拟计算'!$C$2,'模拟-模拟计算'!B284&gt;0),'模拟-模拟计算'!F284," ")</f>
        <v>100</v>
      </c>
      <c r="F259" s="51" t="str">
        <f ca="1">IF(AND(INT('模拟-模拟计算'!B284)&lt;='模拟-模拟计算'!$C$2,'模拟-模拟计算'!B284&gt;0),'模拟-模拟计算'!P284," ")</f>
        <v>识</v>
      </c>
      <c r="G259" s="52">
        <f ca="1">IF(AND(INT('模拟-模拟计算'!B284)&lt;='模拟-模拟计算'!$C$2,'模拟-模拟计算'!B284&gt;0),'模拟-模拟计算'!V284," ")</f>
        <v>4056.5545750795727</v>
      </c>
      <c r="H259" s="52">
        <f ca="1">IF(AND(INT('模拟-模拟计算'!B284)&lt;='模拟-模拟计算'!$C$2,'模拟-模拟计算'!B284&gt;0),'模拟-模拟计算'!Y284," ")</f>
        <v>12038.652757158889</v>
      </c>
      <c r="I259" s="105">
        <f ca="1">IF(AND(INT('模拟-模拟计算'!B284)&lt;='模拟-模拟计算'!$C$2,'模拟-模拟计算'!B284&gt;0),'模拟-模拟计算'!AA284," ")</f>
        <v>114282.36525101343</v>
      </c>
    </row>
    <row r="260" spans="1:9" x14ac:dyDescent="0.2">
      <c r="A260" s="20">
        <f>INT('模拟-模拟计算'!B285+0.5)</f>
        <v>238</v>
      </c>
      <c r="B260" s="52">
        <f>IF(AND(INT('模拟-模拟计算'!B285)&lt;='模拟-模拟计算'!$C$2,'模拟-模拟计算'!B285&gt;0),'模拟-模拟计算'!B285," ")</f>
        <v>238.00500000000156</v>
      </c>
      <c r="C260" s="51" t="str">
        <f ca="1">IF(AND(INT('模拟-模拟计算'!B285)&lt;='模拟-模拟计算'!$C$2,'模拟-模拟计算'!B285&gt;0),'模拟-模拟计算'!C285," ")</f>
        <v>净世破魔击·月</v>
      </c>
      <c r="D260" s="104">
        <f ca="1">IF(AND(INT('模拟-模拟计算'!B285)&lt;='模拟-模拟计算'!$C$2,'模拟-模拟计算'!B285&gt;0),'模拟-模拟计算'!E285," ")</f>
        <v>100</v>
      </c>
      <c r="E260" s="104">
        <f ca="1">IF(AND(INT('模拟-模拟计算'!B285)&lt;='模拟-模拟计算'!$C$2,'模拟-模拟计算'!B285&gt;0),'模拟-模拟计算'!F285," ")</f>
        <v>20</v>
      </c>
      <c r="F260" s="51" t="str">
        <f ca="1">IF(AND(INT('模拟-模拟计算'!B285)&lt;='模拟-模拟计算'!$C$2,'模拟-模拟计算'!B285&gt;0),'模拟-模拟计算'!P285," ")</f>
        <v>识</v>
      </c>
      <c r="G260" s="52">
        <f ca="1">IF(AND(INT('模拟-模拟计算'!B285)&lt;='模拟-模拟计算'!$C$2,'模拟-模拟计算'!B285&gt;0),'模拟-模拟计算'!V285," ")</f>
        <v>20328.46736395008</v>
      </c>
      <c r="H260" s="52">
        <f ca="1">IF(AND(INT('模拟-模拟计算'!B285)&lt;='模拟-模拟计算'!$C$2,'模拟-模拟计算'!B285&gt;0),'模拟-模拟计算'!Y285," ")</f>
        <v>39964.510468006018</v>
      </c>
      <c r="I260" s="105">
        <f ca="1">IF(AND(INT('模拟-模拟计算'!B285)&lt;='模拟-模拟计算'!$C$2,'模拟-模拟计算'!B285&gt;0),'模拟-模拟计算'!AA285," ")</f>
        <v>114007.32493053253</v>
      </c>
    </row>
    <row r="261" spans="1:9" x14ac:dyDescent="0.2">
      <c r="A261" s="20">
        <f>INT('模拟-模拟计算'!B286+0.5)</f>
        <v>239</v>
      </c>
      <c r="B261" s="52">
        <f>IF(AND(INT('模拟-模拟计算'!B286)&lt;='模拟-模拟计算'!$C$2,'模拟-模拟计算'!B286&gt;0),'模拟-模拟计算'!B286," ")</f>
        <v>238.92750000000157</v>
      </c>
      <c r="C261" s="51" t="str">
        <f ca="1">IF(AND(INT('模拟-模拟计算'!B286)&lt;='模拟-模拟计算'!$C$2,'模拟-模拟计算'!B286&gt;0),'模拟-模拟计算'!C286," ")</f>
        <v>净世破魔击·日</v>
      </c>
      <c r="D261" s="104">
        <f ca="1">IF(AND(INT('模拟-模拟计算'!B286)&lt;='模拟-模拟计算'!$C$2,'模拟-模拟计算'!B286&gt;0),'模拟-模拟计算'!E286," ")</f>
        <v>0</v>
      </c>
      <c r="E261" s="104">
        <f ca="1">IF(AND(INT('模拟-模拟计算'!B286)&lt;='模拟-模拟计算'!$C$2,'模拟-模拟计算'!B286&gt;0),'模拟-模拟计算'!F286," ")</f>
        <v>20</v>
      </c>
      <c r="F261" s="51" t="str">
        <f ca="1">IF(AND(INT('模拟-模拟计算'!B286)&lt;='模拟-模拟计算'!$C$2,'模拟-模拟计算'!B286&gt;0),'模拟-模拟计算'!P286," ")</f>
        <v>会</v>
      </c>
      <c r="G261" s="52">
        <f ca="1">IF(AND(INT('模拟-模拟计算'!B286)&lt;='模拟-模拟计算'!$C$2,'模拟-模拟计算'!B286&gt;0),'模拟-模拟计算'!V286," ")</f>
        <v>197004.23608048278</v>
      </c>
      <c r="H261" s="52">
        <f ca="1">IF(AND(INT('模拟-模拟计算'!B286)&lt;='模拟-模拟计算'!$C$2,'模拟-模拟计算'!B286&gt;0),'模拟-模拟计算'!Y286," ")</f>
        <v>225301.95153790194</v>
      </c>
      <c r="I261" s="105">
        <f ca="1">IF(AND(INT('模拟-模拟计算'!B286)&lt;='模拟-模拟计算'!$C$2,'模拟-模拟计算'!B286&gt;0),'模拟-模拟计算'!AA286," ")</f>
        <v>114510.11424649443</v>
      </c>
    </row>
    <row r="262" spans="1:9" x14ac:dyDescent="0.2">
      <c r="A262" s="20">
        <f>INT('模拟-模拟计算'!B287+0.5)</f>
        <v>240</v>
      </c>
      <c r="B262" s="52">
        <f>IF(AND(INT('模拟-模拟计算'!B287)&lt;='模拟-模拟计算'!$C$2,'模拟-模拟计算'!B287&gt;0),'模拟-模拟计算'!B287," ")</f>
        <v>239.85000000000159</v>
      </c>
      <c r="C262" s="51" t="str">
        <f ca="1">IF(AND(INT('模拟-模拟计算'!B287)&lt;='模拟-模拟计算'!$C$2,'模拟-模拟计算'!B287&gt;0),'模拟-模拟计算'!C287," ")</f>
        <v>赤日轮1</v>
      </c>
      <c r="D262" s="104">
        <f ca="1">IF(AND(INT('模拟-模拟计算'!B287)&lt;='模拟-模拟计算'!$C$2,'模拟-模拟计算'!B287&gt;0),'模拟-模拟计算'!E287," ")</f>
        <v>20</v>
      </c>
      <c r="E262" s="104">
        <f ca="1">IF(AND(INT('模拟-模拟计算'!B287)&lt;='模拟-模拟计算'!$C$2,'模拟-模拟计算'!B287&gt;0),'模拟-模拟计算'!F287," ")</f>
        <v>20</v>
      </c>
      <c r="F262" s="51" t="str">
        <f ca="1">IF(AND(INT('模拟-模拟计算'!B287)&lt;='模拟-模拟计算'!$C$2,'模拟-模拟计算'!B287&gt;0),'模拟-模拟计算'!P287," ")</f>
        <v>命</v>
      </c>
      <c r="G262" s="52">
        <f ca="1">IF(AND(INT('模拟-模拟计算'!B287)&lt;='模拟-模拟计算'!$C$2,'模拟-模拟计算'!B287&gt;0),'模拟-模拟计算'!V287," ")</f>
        <v>25419.398421196373</v>
      </c>
      <c r="H262" s="52">
        <f ca="1">IF(AND(INT('模拟-模拟计算'!B287)&lt;='模拟-模拟计算'!$C$2,'模拟-模拟计算'!B287&gt;0),'模拟-模拟计算'!Y287," ")</f>
        <v>36899.26257350076</v>
      </c>
      <c r="I262" s="105">
        <f ca="1">IF(AND(INT('模拟-模拟计算'!B287)&lt;='模拟-模拟计算'!$C$2,'模拟-模拟计算'!B287&gt;0),'模拟-模拟计算'!AA287," ")</f>
        <v>114223.53380947589</v>
      </c>
    </row>
    <row r="263" spans="1:9" x14ac:dyDescent="0.2">
      <c r="A263" s="20">
        <f>INT('模拟-模拟计算'!B288+0.5)</f>
        <v>241</v>
      </c>
      <c r="B263" s="52">
        <f>IF(AND(INT('模拟-模拟计算'!B288)&lt;='模拟-模拟计算'!$C$2,'模拟-模拟计算'!B288&gt;0),'模拟-模拟计算'!B288," ")</f>
        <v>240.7725000000016</v>
      </c>
      <c r="C263" s="51" t="str">
        <f ca="1">IF(AND(INT('模拟-模拟计算'!B288)&lt;='模拟-模拟计算'!$C$2,'模拟-模拟计算'!B288&gt;0),'模拟-模拟计算'!C288," ")</f>
        <v>银月斩</v>
      </c>
      <c r="D263" s="104">
        <f ca="1">IF(AND(INT('模拟-模拟计算'!B288)&lt;='模拟-模拟计算'!$C$2,'模拟-模拟计算'!B288&gt;0),'模拟-模拟计算'!E288," ")</f>
        <v>20</v>
      </c>
      <c r="E263" s="104">
        <f ca="1">IF(AND(INT('模拟-模拟计算'!B288)&lt;='模拟-模拟计算'!$C$2,'模拟-模拟计算'!B288&gt;0),'模拟-模拟计算'!F288," ")</f>
        <v>65</v>
      </c>
      <c r="F263" s="51" t="str">
        <f ca="1">IF(AND(INT('模拟-模拟计算'!B288)&lt;='模拟-模拟计算'!$C$2,'模拟-模拟计算'!B288&gt;0),'模拟-模拟计算'!P288," ")</f>
        <v>会</v>
      </c>
      <c r="G263" s="52">
        <f ca="1">IF(AND(INT('模拟-模拟计算'!B288)&lt;='模拟-模拟计算'!$C$2,'模拟-模拟计算'!B288&gt;0),'模拟-模拟计算'!V288," ")</f>
        <v>39824.626099030873</v>
      </c>
      <c r="H263" s="52">
        <f ca="1">IF(AND(INT('模拟-模拟计算'!B288)&lt;='模拟-模拟计算'!$C$2,'模拟-模拟计算'!B288&gt;0),'模拟-模拟计算'!Y288," ")</f>
        <v>47806.724281110182</v>
      </c>
      <c r="I263" s="105">
        <f ca="1">IF(AND(INT('模拟-模拟计算'!B288)&lt;='模拟-模拟计算'!$C$2,'模拟-模拟计算'!B288&gt;0),'模拟-模拟计算'!AA288," ")</f>
        <v>113984.45133262272</v>
      </c>
    </row>
    <row r="264" spans="1:9" x14ac:dyDescent="0.2">
      <c r="A264" s="20">
        <f>INT('模拟-模拟计算'!B289+0.5)</f>
        <v>242</v>
      </c>
      <c r="B264" s="52">
        <f>IF(AND(INT('模拟-模拟计算'!B289)&lt;='模拟-模拟计算'!$C$2,'模拟-模拟计算'!B289&gt;0),'模拟-模拟计算'!B289," ")</f>
        <v>241.69500000000161</v>
      </c>
      <c r="C264" s="51" t="str">
        <f ca="1">IF(AND(INT('模拟-模拟计算'!B289)&lt;='模拟-模拟计算'!$C$2,'模拟-模拟计算'!B289&gt;0),'模拟-模拟计算'!C289," ")</f>
        <v>驱夜断愁</v>
      </c>
      <c r="D264" s="104">
        <f ca="1">IF(AND(INT('模拟-模拟计算'!B289)&lt;='模拟-模拟计算'!$C$2,'模拟-模拟计算'!B289&gt;0),'模拟-模拟计算'!E289," ")</f>
        <v>40</v>
      </c>
      <c r="E264" s="104">
        <f ca="1">IF(AND(INT('模拟-模拟计算'!B289)&lt;='模拟-模拟计算'!$C$2,'模拟-模拟计算'!B289&gt;0),'模拟-模拟计算'!F289," ")</f>
        <v>85</v>
      </c>
      <c r="F264" s="51" t="str">
        <f ca="1">IF(AND(INT('模拟-模拟计算'!B289)&lt;='模拟-模拟计算'!$C$2,'模拟-模拟计算'!B289&gt;0),'模拟-模拟计算'!P289," ")</f>
        <v>会</v>
      </c>
      <c r="G264" s="52">
        <f ca="1">IF(AND(INT('模拟-模拟计算'!B289)&lt;='模拟-模拟计算'!$C$2,'模拟-模拟计算'!B289&gt;0),'模拟-模拟计算'!V289," ")</f>
        <v>128581.51924807511</v>
      </c>
      <c r="H264" s="52">
        <f ca="1">IF(AND(INT('模拟-模拟计算'!B289)&lt;='模拟-模拟计算'!$C$2,'模拟-模拟计算'!B289&gt;0),'模拟-模拟计算'!Y289," ")</f>
        <v>140422.89404392656</v>
      </c>
      <c r="I264" s="105">
        <f ca="1">IF(AND(INT('模拟-模拟计算'!B289)&lt;='模拟-模拟计算'!$C$2,'模拟-模拟计算'!B289&gt;0),'模拟-模拟计算'!AA289," ")</f>
        <v>114130.38830976159</v>
      </c>
    </row>
    <row r="265" spans="1:9" x14ac:dyDescent="0.2">
      <c r="A265" s="20">
        <f>INT('模拟-模拟计算'!B290+0.5)</f>
        <v>243</v>
      </c>
      <c r="B265" s="52">
        <f>IF(AND(INT('模拟-模拟计算'!B290)&lt;='模拟-模拟计算'!$C$2,'模拟-模拟计算'!B290&gt;0),'模拟-模拟计算'!B290," ")</f>
        <v>242.61750000000163</v>
      </c>
      <c r="C265" s="51" t="str">
        <f ca="1">IF(AND(INT('模拟-模拟计算'!B290)&lt;='模拟-模拟计算'!$C$2,'模拟-模拟计算'!B290&gt;0),'模拟-模拟计算'!C290," ")</f>
        <v>烈日斩</v>
      </c>
      <c r="D265" s="104">
        <f ca="1">IF(AND(INT('模拟-模拟计算'!B290)&lt;='模拟-模拟计算'!$C$2,'模拟-模拟计算'!B290&gt;0),'模拟-模拟计算'!E290," ")</f>
        <v>80</v>
      </c>
      <c r="E265" s="104">
        <f ca="1">IF(AND(INT('模拟-模拟计算'!B290)&lt;='模拟-模拟计算'!$C$2,'模拟-模拟计算'!B290&gt;0),'模拟-模拟计算'!F290," ")</f>
        <v>85</v>
      </c>
      <c r="F265" s="51" t="str">
        <f ca="1">IF(AND(INT('模拟-模拟计算'!B290)&lt;='模拟-模拟计算'!$C$2,'模拟-模拟计算'!B290&gt;0),'模拟-模拟计算'!P290," ")</f>
        <v>命</v>
      </c>
      <c r="G265" s="52">
        <f ca="1">IF(AND(INT('模拟-模拟计算'!B290)&lt;='模拟-模拟计算'!$C$2,'模拟-模拟计算'!B290&gt;0),'模拟-模拟计算'!V290," ")</f>
        <v>47167.106032870979</v>
      </c>
      <c r="H265" s="52">
        <f ca="1">IF(AND(INT('模拟-模拟计算'!B290)&lt;='模拟-模拟计算'!$C$2,'模拟-模拟计算'!B290&gt;0),'模拟-模拟计算'!Y290," ")</f>
        <v>56747.551215044412</v>
      </c>
      <c r="I265" s="105">
        <f ca="1">IF(AND(INT('模拟-模拟计算'!B290)&lt;='模拟-模拟计算'!$C$2,'模拟-模拟计算'!B290&gt;0),'模拟-模拟计算'!AA290," ")</f>
        <v>113930.32964952187</v>
      </c>
    </row>
    <row r="266" spans="1:9" x14ac:dyDescent="0.2">
      <c r="A266" s="20">
        <f>INT('模拟-模拟计算'!B291+0.5)</f>
        <v>244</v>
      </c>
      <c r="B266" s="52">
        <f>IF(AND(INT('模拟-模拟计算'!B291)&lt;='模拟-模拟计算'!$C$2,'模拟-模拟计算'!B291&gt;0),'模拟-模拟计算'!B291," ")</f>
        <v>243.54000000000164</v>
      </c>
      <c r="C266" s="51" t="str">
        <f ca="1">IF(AND(INT('模拟-模拟计算'!B291)&lt;='模拟-模拟计算'!$C$2,'模拟-模拟计算'!B291&gt;0),'模拟-模拟计算'!C291," ")</f>
        <v>幽月轮1</v>
      </c>
      <c r="D266" s="104">
        <f ca="1">IF(AND(INT('模拟-模拟计算'!B291)&lt;='模拟-模拟计算'!$C$2,'模拟-模拟计算'!B291&gt;0),'模拟-模拟计算'!E291," ")</f>
        <v>80</v>
      </c>
      <c r="E266" s="104">
        <f ca="1">IF(AND(INT('模拟-模拟计算'!B291)&lt;='模拟-模拟计算'!$C$2,'模拟-模拟计算'!B291&gt;0),'模拟-模拟计算'!F291," ")</f>
        <v>100</v>
      </c>
      <c r="F266" s="51" t="str">
        <f ca="1">IF(AND(INT('模拟-模拟计算'!B291)&lt;='模拟-模拟计算'!$C$2,'模拟-模拟计算'!B291&gt;0),'模拟-模拟计算'!P291," ")</f>
        <v>命</v>
      </c>
      <c r="G266" s="52">
        <f ca="1">IF(AND(INT('模拟-模拟计算'!B291)&lt;='模拟-模拟计算'!$C$2,'模拟-模拟计算'!B291&gt;0),'模拟-模拟计算'!V291," ")</f>
        <v>16377.865200321266</v>
      </c>
      <c r="H266" s="52">
        <f ca="1">IF(AND(INT('模拟-模拟计算'!B291)&lt;='模拟-模拟计算'!$C$2,'模拟-模拟计算'!B291&gt;0),'模拟-模拟计算'!Y291," ")</f>
        <v>25930.067657855005</v>
      </c>
      <c r="I266" s="105">
        <f ca="1">IF(AND(INT('模拟-模拟计算'!B291)&lt;='模拟-模拟计算'!$C$2,'模拟-模拟计算'!B291&gt;0),'模拟-模拟计算'!AA291," ")</f>
        <v>113605.24686458374</v>
      </c>
    </row>
    <row r="267" spans="1:9" x14ac:dyDescent="0.2">
      <c r="A267" s="20">
        <f>INT('模拟-模拟计算'!B292+0.5)</f>
        <v>244</v>
      </c>
      <c r="B267" s="52">
        <f>IF(AND(INT('模拟-模拟计算'!B292)&lt;='模拟-模拟计算'!$C$2,'模拟-模拟计算'!B292&gt;0),'模拟-模拟计算'!B292," ")</f>
        <v>244.46250000000165</v>
      </c>
      <c r="C267" s="51" t="str">
        <f ca="1">IF(AND(INT('模拟-模拟计算'!B292)&lt;='模拟-模拟计算'!$C$2,'模拟-模拟计算'!B292&gt;0),'模拟-模拟计算'!C292," ")</f>
        <v>净世破魔击·月</v>
      </c>
      <c r="D267" s="104">
        <f ca="1">IF(AND(INT('模拟-模拟计算'!B292)&lt;='模拟-模拟计算'!$C$2,'模拟-模拟计算'!B292&gt;0),'模拟-模拟计算'!E292," ")</f>
        <v>100</v>
      </c>
      <c r="E267" s="104">
        <f ca="1">IF(AND(INT('模拟-模拟计算'!B292)&lt;='模拟-模拟计算'!$C$2,'模拟-模拟计算'!B292&gt;0),'模拟-模拟计算'!F292," ")</f>
        <v>20</v>
      </c>
      <c r="F267" s="51" t="str">
        <f ca="1">IF(AND(INT('模拟-模拟计算'!B292)&lt;='模拟-模拟计算'!$C$2,'模拟-模拟计算'!B292&gt;0),'模拟-模拟计算'!P292," ")</f>
        <v>会</v>
      </c>
      <c r="G267" s="52">
        <f ca="1">IF(AND(INT('模拟-模拟计算'!B292)&lt;='模拟-模拟计算'!$C$2,'模拟-模拟计算'!B292&gt;0),'模拟-模拟计算'!V292," ")</f>
        <v>204984.57774563122</v>
      </c>
      <c r="H267" s="52">
        <f ca="1">IF(AND(INT('模拟-模拟计算'!B292)&lt;='模拟-模拟计算'!$C$2,'模拟-模拟计算'!B292&gt;0),'模拟-模拟计算'!Y292," ")</f>
        <v>237926.28446725319</v>
      </c>
      <c r="I267" s="105">
        <f ca="1">IF(AND(INT('模拟-模拟计算'!B292)&lt;='模拟-模拟计算'!$C$2,'模拟-模拟计算'!B292&gt;0),'模拟-模拟计算'!AA292," ")</f>
        <v>114149.81073116725</v>
      </c>
    </row>
    <row r="268" spans="1:9" x14ac:dyDescent="0.2">
      <c r="A268" s="20">
        <f>INT('模拟-模拟计算'!B293+0.5)</f>
        <v>245</v>
      </c>
      <c r="B268" s="52">
        <f>IF(AND(INT('模拟-模拟计算'!B293)&lt;='模拟-模拟计算'!$C$2,'模拟-模拟计算'!B293&gt;0),'模拟-模拟计算'!B293," ")</f>
        <v>245.38500000000167</v>
      </c>
      <c r="C268" s="51" t="str">
        <f ca="1">IF(AND(INT('模拟-模拟计算'!B293)&lt;='模拟-模拟计算'!$C$2,'模拟-模拟计算'!B293&gt;0),'模拟-模拟计算'!C293," ")</f>
        <v>净世破魔击·日</v>
      </c>
      <c r="D268" s="104">
        <f ca="1">IF(AND(INT('模拟-模拟计算'!B293)&lt;='模拟-模拟计算'!$C$2,'模拟-模拟计算'!B293&gt;0),'模拟-模拟计算'!E293," ")</f>
        <v>0</v>
      </c>
      <c r="E268" s="104">
        <f ca="1">IF(AND(INT('模拟-模拟计算'!B293)&lt;='模拟-模拟计算'!$C$2,'模拟-模拟计算'!B293&gt;0),'模拟-模拟计算'!F293," ")</f>
        <v>100</v>
      </c>
      <c r="F268" s="51" t="str">
        <f ca="1">IF(AND(INT('模拟-模拟计算'!B293)&lt;='模拟-模拟计算'!$C$2,'模拟-模拟计算'!B293&gt;0),'模拟-模拟计算'!P293," ")</f>
        <v>命</v>
      </c>
      <c r="G268" s="52">
        <f ca="1">IF(AND(INT('模拟-模拟计算'!B293)&lt;='模拟-模拟计算'!$C$2,'模拟-模拟计算'!B293&gt;0),'模拟-模拟计算'!V293," ")</f>
        <v>105697.2298988978</v>
      </c>
      <c r="H268" s="52">
        <f ca="1">IF(AND(INT('模拟-模拟计算'!B293)&lt;='模拟-模拟计算'!$C$2,'模拟-模拟计算'!B293&gt;0),'模拟-模拟计算'!Y293," ")</f>
        <v>126026.88441931017</v>
      </c>
      <c r="I268" s="105">
        <f ca="1">IF(AND(INT('模拟-模拟计算'!B293)&lt;='模拟-模拟计算'!$C$2,'模拟-模拟计算'!B293&gt;0),'模拟-模拟计算'!AA293," ")</f>
        <v>114234.26448351482</v>
      </c>
    </row>
    <row r="269" spans="1:9" x14ac:dyDescent="0.2">
      <c r="A269" s="20">
        <f>INT('模拟-模拟计算'!B294+0.5)</f>
        <v>246</v>
      </c>
      <c r="B269" s="52">
        <f>IF(AND(INT('模拟-模拟计算'!B294)&lt;='模拟-模拟计算'!$C$2,'模拟-模拟计算'!B294&gt;0),'模拟-模拟计算'!B294," ")</f>
        <v>246.30750000000168</v>
      </c>
      <c r="C269" s="51" t="str">
        <f ca="1">IF(AND(INT('模拟-模拟计算'!B294)&lt;='模拟-模拟计算'!$C$2,'模拟-模拟计算'!B294&gt;0),'模拟-模拟计算'!C294," ")</f>
        <v>净世破魔击·月</v>
      </c>
      <c r="D269" s="104">
        <f ca="1">IF(AND(INT('模拟-模拟计算'!B294)&lt;='模拟-模拟计算'!$C$2,'模拟-模拟计算'!B294&gt;0),'模拟-模拟计算'!E294," ")</f>
        <v>100</v>
      </c>
      <c r="E269" s="104">
        <f ca="1">IF(AND(INT('模拟-模拟计算'!B294)&lt;='模拟-模拟计算'!$C$2,'模拟-模拟计算'!B294&gt;0),'模拟-模拟计算'!F294," ")</f>
        <v>20</v>
      </c>
      <c r="F269" s="51" t="str">
        <f ca="1">IF(AND(INT('模拟-模拟计算'!B294)&lt;='模拟-模拟计算'!$C$2,'模拟-模拟计算'!B294&gt;0),'模拟-模拟计算'!P294," ")</f>
        <v>会</v>
      </c>
      <c r="G269" s="52">
        <f ca="1">IF(AND(INT('模拟-模拟计算'!B294)&lt;='模拟-模拟计算'!$C$2,'模拟-模拟计算'!B294&gt;0),'模拟-模拟计算'!V294," ")</f>
        <v>116578.90677476654</v>
      </c>
      <c r="H269" s="52">
        <f ca="1">IF(AND(INT('模拟-模拟计算'!B294)&lt;='模拟-模拟计算'!$C$2,'模拟-模拟计算'!B294&gt;0),'模拟-模拟计算'!Y294," ")</f>
        <v>137535.29910896224</v>
      </c>
      <c r="I269" s="105">
        <f ca="1">IF(AND(INT('模拟-模拟计算'!B294)&lt;='模拟-模拟计算'!$C$2,'模拟-模拟计算'!B294&gt;0),'模拟-模拟计算'!AA294," ")</f>
        <v>114364.8093923094</v>
      </c>
    </row>
    <row r="270" spans="1:9" x14ac:dyDescent="0.2">
      <c r="A270" s="20">
        <f>INT('模拟-模拟计算'!B295+0.5)</f>
        <v>247</v>
      </c>
      <c r="B270" s="52">
        <f>IF(AND(INT('模拟-模拟计算'!B295)&lt;='模拟-模拟计算'!$C$2,'模拟-模拟计算'!B295&gt;0),'模拟-模拟计算'!B295," ")</f>
        <v>247.2300000000017</v>
      </c>
      <c r="C270" s="51" t="str">
        <f ca="1">IF(AND(INT('模拟-模拟计算'!B295)&lt;='模拟-模拟计算'!$C$2,'模拟-模拟计算'!B295&gt;0),'模拟-模拟计算'!C295," ")</f>
        <v>净世破魔击·日</v>
      </c>
      <c r="D270" s="104">
        <f ca="1">IF(AND(INT('模拟-模拟计算'!B295)&lt;='模拟-模拟计算'!$C$2,'模拟-模拟计算'!B295&gt;0),'模拟-模拟计算'!E295," ")</f>
        <v>0</v>
      </c>
      <c r="E270" s="104">
        <f ca="1">IF(AND(INT('模拟-模拟计算'!B295)&lt;='模拟-模拟计算'!$C$2,'模拟-模拟计算'!B295&gt;0),'模拟-模拟计算'!F295," ")</f>
        <v>100</v>
      </c>
      <c r="F270" s="51" t="str">
        <f ca="1">IF(AND(INT('模拟-模拟计算'!B295)&lt;='模拟-模拟计算'!$C$2,'模拟-模拟计算'!B295&gt;0),'模拟-模拟计算'!P295," ")</f>
        <v>命</v>
      </c>
      <c r="G270" s="52">
        <f ca="1">IF(AND(INT('模拟-模拟计算'!B295)&lt;='模拟-模拟计算'!$C$2,'模拟-模拟计算'!B295&gt;0),'模拟-模拟计算'!V295," ")</f>
        <v>60398.417085084453</v>
      </c>
      <c r="H270" s="52">
        <f ca="1">IF(AND(INT('模拟-模拟计算'!B295)&lt;='模拟-模拟计算'!$C$2,'模拟-模拟计算'!B295&gt;0),'模拟-模拟计算'!Y295," ")</f>
        <v>93652.967274364753</v>
      </c>
      <c r="I270" s="105">
        <f ca="1">IF(AND(INT('模拟-模拟计算'!B295)&lt;='模拟-模拟计算'!$C$2,'模拟-模拟计算'!B295&gt;0),'模拟-模拟计算'!AA295," ")</f>
        <v>114316.88410253856</v>
      </c>
    </row>
    <row r="271" spans="1:9" x14ac:dyDescent="0.2">
      <c r="A271" s="20">
        <f>INT('模拟-模拟计算'!B296+0.5)</f>
        <v>248</v>
      </c>
      <c r="B271" s="52">
        <f>IF(AND(INT('模拟-模拟计算'!B296)&lt;='模拟-模拟计算'!$C$2,'模拟-模拟计算'!B296&gt;0),'模拟-模拟计算'!B296," ")</f>
        <v>248.15250000000171</v>
      </c>
      <c r="C271" s="51" t="str">
        <f ca="1">IF(AND(INT('模拟-模拟计算'!B296)&lt;='模拟-模拟计算'!$C$2,'模拟-模拟计算'!B296&gt;0),'模拟-模拟计算'!C296," ")</f>
        <v>净世破魔击·月</v>
      </c>
      <c r="D271" s="104">
        <f ca="1">IF(AND(INT('模拟-模拟计算'!B296)&lt;='模拟-模拟计算'!$C$2,'模拟-模拟计算'!B296&gt;0),'模拟-模拟计算'!E296," ")</f>
        <v>100</v>
      </c>
      <c r="E271" s="104">
        <f ca="1">IF(AND(INT('模拟-模拟计算'!B296)&lt;='模拟-模拟计算'!$C$2,'模拟-模拟计算'!B296&gt;0),'模拟-模拟计算'!F296," ")</f>
        <v>20</v>
      </c>
      <c r="F271" s="51" t="str">
        <f ca="1">IF(AND(INT('模拟-模拟计算'!B296)&lt;='模拟-模拟计算'!$C$2,'模拟-模拟计算'!B296&gt;0),'模拟-模拟计算'!P296," ")</f>
        <v>会</v>
      </c>
      <c r="G271" s="52">
        <f ca="1">IF(AND(INT('模拟-模拟计算'!B296)&lt;='模拟-模拟计算'!$C$2,'模拟-模拟计算'!B296&gt;0),'模拟-模拟计算'!V296," ")</f>
        <v>116578.90677476654</v>
      </c>
      <c r="H271" s="52">
        <f ca="1">IF(AND(INT('模拟-模拟计算'!B296)&lt;='模拟-模拟计算'!$C$2,'模拟-模拟计算'!B296&gt;0),'模拟-模拟计算'!Y296," ")</f>
        <v>133798.80370904482</v>
      </c>
      <c r="I271" s="105">
        <f ca="1">IF(AND(INT('模拟-模拟计算'!B296)&lt;='模拟-模拟计算'!$C$2,'模拟-模拟计算'!B296&gt;0),'模拟-模拟计算'!AA296," ")</f>
        <v>114431.09402637351</v>
      </c>
    </row>
    <row r="272" spans="1:9" x14ac:dyDescent="0.2">
      <c r="A272" s="20">
        <f>INT('模拟-模拟计算'!B297+0.5)</f>
        <v>249</v>
      </c>
      <c r="B272" s="52">
        <f>IF(AND(INT('模拟-模拟计算'!B297)&lt;='模拟-模拟计算'!$C$2,'模拟-模拟计算'!B297&gt;0),'模拟-模拟计算'!B297," ")</f>
        <v>249.07500000000172</v>
      </c>
      <c r="C272" s="51" t="str">
        <f ca="1">IF(AND(INT('模拟-模拟计算'!B297)&lt;='模拟-模拟计算'!$C$2,'模拟-模拟计算'!B297&gt;0),'模拟-模拟计算'!C297," ")</f>
        <v>净世破魔击·日</v>
      </c>
      <c r="D272" s="104">
        <f ca="1">IF(AND(INT('模拟-模拟计算'!B297)&lt;='模拟-模拟计算'!$C$2,'模拟-模拟计算'!B297&gt;0),'模拟-模拟计算'!E297," ")</f>
        <v>0</v>
      </c>
      <c r="E272" s="104">
        <f ca="1">IF(AND(INT('模拟-模拟计算'!B297)&lt;='模拟-模拟计算'!$C$2,'模拟-模拟计算'!B297&gt;0),'模拟-模拟计算'!F297," ")</f>
        <v>100</v>
      </c>
      <c r="F272" s="51" t="str">
        <f ca="1">IF(AND(INT('模拟-模拟计算'!B297)&lt;='模拟-模拟计算'!$C$2,'模拟-模拟计算'!B297&gt;0),'模拟-模拟计算'!P297," ")</f>
        <v>命</v>
      </c>
      <c r="G272" s="52">
        <f ca="1">IF(AND(INT('模拟-模拟计算'!B297)&lt;='模拟-模拟计算'!$C$2,'模拟-模拟计算'!B297&gt;0),'模拟-模拟计算'!V297," ")</f>
        <v>60398.417085084453</v>
      </c>
      <c r="H272" s="52">
        <f ca="1">IF(AND(INT('模拟-模拟计算'!B297)&lt;='模拟-模拟计算'!$C$2,'模拟-模拟计算'!B297&gt;0),'模拟-模拟计算'!Y297," ")</f>
        <v>93652.967274364753</v>
      </c>
      <c r="I272" s="105">
        <f ca="1">IF(AND(INT('模拟-模拟计算'!B297)&lt;='模拟-模拟计算'!$C$2,'模拟-模拟计算'!B297&gt;0),'模拟-模拟计算'!AA297," ")</f>
        <v>114383.27824010445</v>
      </c>
    </row>
    <row r="273" spans="1:9" x14ac:dyDescent="0.2">
      <c r="A273" s="20">
        <f>INT('模拟-模拟计算'!B298+0.5)</f>
        <v>250</v>
      </c>
      <c r="B273" s="52">
        <f>IF(AND(INT('模拟-模拟计算'!B298)&lt;='模拟-模拟计算'!$C$2,'模拟-模拟计算'!B298&gt;0),'模拟-模拟计算'!B298," ")</f>
        <v>249.99750000000174</v>
      </c>
      <c r="C273" s="51" t="str">
        <f ca="1">IF(AND(INT('模拟-模拟计算'!B298)&lt;='模拟-模拟计算'!$C$2,'模拟-模拟计算'!B298&gt;0),'模拟-模拟计算'!C298," ")</f>
        <v>净世破魔击·月</v>
      </c>
      <c r="D273" s="104">
        <f ca="1">IF(AND(INT('模拟-模拟计算'!B298)&lt;='模拟-模拟计算'!$C$2,'模拟-模拟计算'!B298&gt;0),'模拟-模拟计算'!E298," ")</f>
        <v>100</v>
      </c>
      <c r="E273" s="104">
        <f ca="1">IF(AND(INT('模拟-模拟计算'!B298)&lt;='模拟-模拟计算'!$C$2,'模拟-模拟计算'!B298&gt;0),'模拟-模拟计算'!F298," ")</f>
        <v>20</v>
      </c>
      <c r="F273" s="51" t="str">
        <f ca="1">IF(AND(INT('模拟-模拟计算'!B298)&lt;='模拟-模拟计算'!$C$2,'模拟-模拟计算'!B298&gt;0),'模拟-模拟计算'!P298," ")</f>
        <v>会</v>
      </c>
      <c r="G273" s="52">
        <f ca="1">IF(AND(INT('模拟-模拟计算'!B298)&lt;='模拟-模拟计算'!$C$2,'模拟-模拟计算'!B298&gt;0),'模拟-模拟计算'!V298," ")</f>
        <v>116578.90677476654</v>
      </c>
      <c r="H273" s="52">
        <f ca="1">IF(AND(INT('模拟-模拟计算'!B298)&lt;='模拟-模拟计算'!$C$2,'模拟-模拟计算'!B298&gt;0),'模拟-模拟计算'!Y298," ")</f>
        <v>128654.56719253829</v>
      </c>
      <c r="I273" s="105">
        <f ca="1">IF(AND(INT('模拟-模拟计算'!B298)&lt;='模拟-模拟计算'!$C$2,'模拟-模拟计算'!B298&gt;0),'模拟-模拟计算'!AA298," ")</f>
        <v>114475.82313761758</v>
      </c>
    </row>
    <row r="274" spans="1:9" x14ac:dyDescent="0.2">
      <c r="A274" s="20">
        <f>INT('模拟-模拟计算'!B299+0.5)</f>
        <v>251</v>
      </c>
      <c r="B274" s="52">
        <f>IF(AND(INT('模拟-模拟计算'!B299)&lt;='模拟-模拟计算'!$C$2,'模拟-模拟计算'!B299&gt;0),'模拟-模拟计算'!B299," ")</f>
        <v>250.92000000000175</v>
      </c>
      <c r="C274" s="51" t="str">
        <f ca="1">IF(AND(INT('模拟-模拟计算'!B299)&lt;='模拟-模拟计算'!$C$2,'模拟-模拟计算'!B299&gt;0),'模拟-模拟计算'!C299," ")</f>
        <v>净世破魔击·日</v>
      </c>
      <c r="D274" s="104">
        <f ca="1">IF(AND(INT('模拟-模拟计算'!B299)&lt;='模拟-模拟计算'!$C$2,'模拟-模拟计算'!B299&gt;0),'模拟-模拟计算'!E299," ")</f>
        <v>0</v>
      </c>
      <c r="E274" s="104">
        <f ca="1">IF(AND(INT('模拟-模拟计算'!B299)&lt;='模拟-模拟计算'!$C$2,'模拟-模拟计算'!B299&gt;0),'模拟-模拟计算'!F299," ")</f>
        <v>100</v>
      </c>
      <c r="F274" s="51" t="str">
        <f ca="1">IF(AND(INT('模拟-模拟计算'!B299)&lt;='模拟-模拟计算'!$C$2,'模拟-模拟计算'!B299&gt;0),'模拟-模拟计算'!P299," ")</f>
        <v>会</v>
      </c>
      <c r="G274" s="52">
        <f ca="1">IF(AND(INT('模拟-模拟计算'!B299)&lt;='模拟-模拟计算'!$C$2,'模拟-模拟计算'!B299&gt;0),'模拟-模拟计算'!V299," ")</f>
        <v>130610.54325777861</v>
      </c>
      <c r="H274" s="52">
        <f ca="1">IF(AND(INT('模拟-模拟计算'!B299)&lt;='模拟-模拟计算'!$C$2,'模拟-模拟计算'!B299&gt;0),'模拟-模拟计算'!Y299," ")</f>
        <v>160807.6776853287</v>
      </c>
      <c r="I274" s="105">
        <f ca="1">IF(AND(INT('模拟-模拟计算'!B299)&lt;='模拟-模拟计算'!$C$2,'模拟-模拟计算'!B299&gt;0),'模拟-模拟计算'!AA299," ")</f>
        <v>114695.82844146293</v>
      </c>
    </row>
    <row r="275" spans="1:9" x14ac:dyDescent="0.2">
      <c r="A275" s="20">
        <f>INT('模拟-模拟计算'!B300+0.5)</f>
        <v>252</v>
      </c>
      <c r="B275" s="52">
        <f>IF(AND(INT('模拟-模拟计算'!B300)&lt;='模拟-模拟计算'!$C$2,'模拟-模拟计算'!B300&gt;0),'模拟-模拟计算'!B300," ")</f>
        <v>251.84250000000176</v>
      </c>
      <c r="C275" s="51" t="str">
        <f ca="1">IF(AND(INT('模拟-模拟计算'!B300)&lt;='模拟-模拟计算'!$C$2,'模拟-模拟计算'!B300&gt;0),'模拟-模拟计算'!C300," ")</f>
        <v>净世破魔击·月</v>
      </c>
      <c r="D275" s="104">
        <f ca="1">IF(AND(INT('模拟-模拟计算'!B300)&lt;='模拟-模拟计算'!$C$2,'模拟-模拟计算'!B300&gt;0),'模拟-模拟计算'!E300," ")</f>
        <v>20</v>
      </c>
      <c r="E275" s="104">
        <f ca="1">IF(AND(INT('模拟-模拟计算'!B300)&lt;='模拟-模拟计算'!$C$2,'模拟-模拟计算'!B300&gt;0),'模拟-模拟计算'!F300," ")</f>
        <v>20</v>
      </c>
      <c r="F275" s="51" t="str">
        <f ca="1">IF(AND(INT('模拟-模拟计算'!B300)&lt;='模拟-模拟计算'!$C$2,'模拟-模拟计算'!B300&gt;0),'模拟-模拟计算'!P300," ")</f>
        <v>会</v>
      </c>
      <c r="G275" s="52">
        <f ca="1">IF(AND(INT('模拟-模拟计算'!B300)&lt;='模拟-模拟计算'!$C$2,'模拟-模拟计算'!B300&gt;0),'模拟-模拟计算'!V300," ")</f>
        <v>116578.90677476654</v>
      </c>
      <c r="H275" s="52">
        <f ca="1">IF(AND(INT('模拟-模拟计算'!B300)&lt;='模拟-模拟计算'!$C$2,'模拟-模拟计算'!B300&gt;0),'模拟-模拟计算'!Y300," ")</f>
        <v>133460.60108684239</v>
      </c>
      <c r="I275" s="105">
        <f ca="1">IF(AND(INT('模拟-模拟计算'!B300)&lt;='模拟-模拟计算'!$C$2,'模拟-模拟计算'!B300&gt;0),'模拟-模拟计算'!AA300," ")</f>
        <v>114805.63397210051</v>
      </c>
    </row>
    <row r="276" spans="1:9" x14ac:dyDescent="0.2">
      <c r="A276" s="20">
        <f>INT('模拟-模拟计算'!B301+0.5)</f>
        <v>253</v>
      </c>
      <c r="B276" s="52">
        <f>IF(AND(INT('模拟-模拟计算'!B301)&lt;='模拟-模拟计算'!$C$2,'模拟-模拟计算'!B301&gt;0),'模拟-模拟计算'!B301," ")</f>
        <v>252.76500000000178</v>
      </c>
      <c r="C276" s="51" t="str">
        <f ca="1">IF(AND(INT('模拟-模拟计算'!B301)&lt;='模拟-模拟计算'!$C$2,'模拟-模拟计算'!B301&gt;0),'模拟-模拟计算'!C301," ")</f>
        <v>银月斩</v>
      </c>
      <c r="D276" s="104">
        <f ca="1">IF(AND(INT('模拟-模拟计算'!B301)&lt;='模拟-模拟计算'!$C$2,'模拟-模拟计算'!B301&gt;0),'模拟-模拟计算'!E301," ")</f>
        <v>20</v>
      </c>
      <c r="E276" s="104">
        <f ca="1">IF(AND(INT('模拟-模拟计算'!B301)&lt;='模拟-模拟计算'!$C$2,'模拟-模拟计算'!B301&gt;0),'模拟-模拟计算'!F301," ")</f>
        <v>65</v>
      </c>
      <c r="F276" s="51" t="str">
        <f ca="1">IF(AND(INT('模拟-模拟计算'!B301)&lt;='模拟-模拟计算'!$C$2,'模拟-模拟计算'!B301&gt;0),'模拟-模拟计算'!P301," ")</f>
        <v>会</v>
      </c>
      <c r="G276" s="52">
        <f ca="1">IF(AND(INT('模拟-模拟计算'!B301)&lt;='模拟-模拟计算'!$C$2,'模拟-模拟计算'!B301&gt;0),'模拟-模拟计算'!V301," ")</f>
        <v>47762.146138749486</v>
      </c>
      <c r="H276" s="52">
        <f ca="1">IF(AND(INT('模拟-模拟计算'!B301)&lt;='模拟-模拟计算'!$C$2,'模拟-模拟计算'!B301&gt;0),'模拟-模拟计算'!Y301," ")</f>
        <v>76241.603982041663</v>
      </c>
      <c r="I276" s="105">
        <f ca="1">IF(AND(INT('模拟-模拟计算'!B301)&lt;='模拟-模拟计算'!$C$2,'模拟-模拟计算'!B301&gt;0),'模拟-模拟计算'!AA301," ")</f>
        <v>114688.26569185118</v>
      </c>
    </row>
    <row r="277" spans="1:9" x14ac:dyDescent="0.2">
      <c r="A277" s="20">
        <f>INT('模拟-模拟计算'!B302+0.5)</f>
        <v>254</v>
      </c>
      <c r="B277" s="52">
        <f>IF(AND(INT('模拟-模拟计算'!B302)&lt;='模拟-模拟计算'!$C$2,'模拟-模拟计算'!B302&gt;0),'模拟-模拟计算'!B302," ")</f>
        <v>253.68750000000179</v>
      </c>
      <c r="C277" s="51" t="str">
        <f ca="1">IF(AND(INT('模拟-模拟计算'!B302)&lt;='模拟-模拟计算'!$C$2,'模拟-模拟计算'!B302&gt;0),'模拟-模拟计算'!C302," ")</f>
        <v>驱夜断愁</v>
      </c>
      <c r="D277" s="104">
        <f ca="1">IF(AND(INT('模拟-模拟计算'!B302)&lt;='模拟-模拟计算'!$C$2,'模拟-模拟计算'!B302&gt;0),'模拟-模拟计算'!E302," ")</f>
        <v>40</v>
      </c>
      <c r="E277" s="104">
        <f ca="1">IF(AND(INT('模拟-模拟计算'!B302)&lt;='模拟-模拟计算'!$C$2,'模拟-模拟计算'!B302&gt;0),'模拟-模拟计算'!F302," ")</f>
        <v>85</v>
      </c>
      <c r="F277" s="51" t="str">
        <f ca="1">IF(AND(INT('模拟-模拟计算'!B302)&lt;='模拟-模拟计算'!$C$2,'模拟-模拟计算'!B302&gt;0),'模拟-模拟计算'!P302," ")</f>
        <v>会</v>
      </c>
      <c r="G277" s="52">
        <f ca="1">IF(AND(INT('模拟-模拟计算'!B302)&lt;='模拟-模拟计算'!$C$2,'模拟-模拟计算'!B302&gt;0),'模拟-模拟计算'!V302," ")</f>
        <v>127463.41908070058</v>
      </c>
      <c r="H277" s="52">
        <f ca="1">IF(AND(INT('模拟-模拟计算'!B302)&lt;='模拟-模拟计算'!$C$2,'模拟-模拟计算'!B302&gt;0),'模拟-模拟计算'!Y302," ")</f>
        <v>128186.44036779468</v>
      </c>
      <c r="I277" s="105">
        <f ca="1">IF(AND(INT('模拟-模拟计算'!B302)&lt;='模拟-模拟计算'!$C$2,'模拟-模拟计算'!B302&gt;0),'模拟-模拟计算'!AA302," ")</f>
        <v>114776.51014720298</v>
      </c>
    </row>
    <row r="278" spans="1:9" x14ac:dyDescent="0.2">
      <c r="A278" s="20">
        <f>INT('模拟-模拟计算'!B303+0.5)</f>
        <v>255</v>
      </c>
      <c r="B278" s="52">
        <f>IF(AND(INT('模拟-模拟计算'!B303)&lt;='模拟-模拟计算'!$C$2,'模拟-模拟计算'!B303&gt;0),'模拟-模拟计算'!B303," ")</f>
        <v>254.6100000000018</v>
      </c>
      <c r="C278" s="51" t="str">
        <f ca="1">IF(AND(INT('模拟-模拟计算'!B303)&lt;='模拟-模拟计算'!$C$2,'模拟-模拟计算'!B303&gt;0),'模拟-模拟计算'!C303," ")</f>
        <v>烈日斩</v>
      </c>
      <c r="D278" s="104">
        <f ca="1">IF(AND(INT('模拟-模拟计算'!B303)&lt;='模拟-模拟计算'!$C$2,'模拟-模拟计算'!B303&gt;0),'模拟-模拟计算'!E303," ")</f>
        <v>80</v>
      </c>
      <c r="E278" s="104">
        <f ca="1">IF(AND(INT('模拟-模拟计算'!B303)&lt;='模拟-模拟计算'!$C$2,'模拟-模拟计算'!B303&gt;0),'模拟-模拟计算'!F303," ")</f>
        <v>85</v>
      </c>
      <c r="F278" s="51" t="str">
        <f ca="1">IF(AND(INT('模拟-模拟计算'!B303)&lt;='模拟-模拟计算'!$C$2,'模拟-模拟计算'!B303&gt;0),'模拟-模拟计算'!P303," ")</f>
        <v>会</v>
      </c>
      <c r="G278" s="52">
        <f ca="1">IF(AND(INT('模拟-模拟计算'!B303)&lt;='模拟-模拟计算'!$C$2,'模拟-模拟计算'!B303&gt;0),'模拟-模拟计算'!V303," ")</f>
        <v>105861.05199666526</v>
      </c>
      <c r="H278" s="52">
        <f ca="1">IF(AND(INT('模拟-模拟计算'!B303)&lt;='模拟-模拟计算'!$C$2,'模拟-模拟计算'!B303&gt;0),'模拟-模拟计算'!Y303," ")</f>
        <v>126559.85068759604</v>
      </c>
      <c r="I278" s="105">
        <f ca="1">IF(AND(INT('模拟-模拟计算'!B303)&lt;='模拟-模拟计算'!$C$2,'模拟-模拟计算'!B303&gt;0),'模拟-模拟计算'!AA303," ")</f>
        <v>114857.72659619084</v>
      </c>
    </row>
    <row r="279" spans="1:9" x14ac:dyDescent="0.2">
      <c r="A279" s="20">
        <f>INT('模拟-模拟计算'!B304+0.5)</f>
        <v>256</v>
      </c>
      <c r="B279" s="52">
        <f>IF(AND(INT('模拟-模拟计算'!B304)&lt;='模拟-模拟计算'!$C$2,'模拟-模拟计算'!B304&gt;0),'模拟-模拟计算'!B304," ")</f>
        <v>255.53250000000182</v>
      </c>
      <c r="C279" s="51" t="str">
        <f ca="1">IF(AND(INT('模拟-模拟计算'!B304)&lt;='模拟-模拟计算'!$C$2,'模拟-模拟计算'!B304&gt;0),'模拟-模拟计算'!C304," ")</f>
        <v>幽月轮1</v>
      </c>
      <c r="D279" s="104">
        <f ca="1">IF(AND(INT('模拟-模拟计算'!B304)&lt;='模拟-模拟计算'!$C$2,'模拟-模拟计算'!B304&gt;0),'模拟-模拟计算'!E304," ")</f>
        <v>80</v>
      </c>
      <c r="E279" s="104">
        <f ca="1">IF(AND(INT('模拟-模拟计算'!B304)&lt;='模拟-模拟计算'!$C$2,'模拟-模拟计算'!B304&gt;0),'模拟-模拟计算'!F304," ")</f>
        <v>100</v>
      </c>
      <c r="F279" s="51" t="str">
        <f ca="1">IF(AND(INT('模拟-模拟计算'!B304)&lt;='模拟-模拟计算'!$C$2,'模拟-模拟计算'!B304&gt;0),'模拟-模拟计算'!P304," ")</f>
        <v>会</v>
      </c>
      <c r="G279" s="52">
        <f ca="1">IF(AND(INT('模拟-模拟计算'!B304)&lt;='模拟-模拟计算'!$C$2,'模拟-模拟计算'!B304&gt;0),'模拟-模拟计算'!V304," ")</f>
        <v>35088.919370823241</v>
      </c>
      <c r="H279" s="52">
        <f ca="1">IF(AND(INT('模拟-模拟计算'!B304)&lt;='模拟-模拟计算'!$C$2,'模拟-模拟计算'!B304&gt;0),'模拟-模拟计算'!Y304," ")</f>
        <v>35450.430014370286</v>
      </c>
      <c r="I279" s="105">
        <f ca="1">IF(AND(INT('模拟-模拟计算'!B304)&lt;='模拟-模拟计算'!$C$2,'模拟-模拟计算'!B304&gt;0),'模拟-模拟计算'!AA304," ")</f>
        <v>114581.80935368504</v>
      </c>
    </row>
    <row r="280" spans="1:9" x14ac:dyDescent="0.2">
      <c r="A280" s="20">
        <f>INT('模拟-模拟计算'!B305+0.5)</f>
        <v>256</v>
      </c>
      <c r="B280" s="52">
        <f>IF(AND(INT('模拟-模拟计算'!B305)&lt;='模拟-模拟计算'!$C$2,'模拟-模拟计算'!B305&gt;0),'模拟-模拟计算'!B305," ")</f>
        <v>256.4550000000018</v>
      </c>
      <c r="C280" s="51" t="str">
        <f ca="1">IF(AND(INT('模拟-模拟计算'!B305)&lt;='模拟-模拟计算'!$C$2,'模拟-模拟计算'!B305&gt;0),'模拟-模拟计算'!C305," ")</f>
        <v>净世破魔击·月</v>
      </c>
      <c r="D280" s="104">
        <f ca="1">IF(AND(INT('模拟-模拟计算'!B305)&lt;='模拟-模拟计算'!$C$2,'模拟-模拟计算'!B305&gt;0),'模拟-模拟计算'!E305," ")</f>
        <v>100</v>
      </c>
      <c r="E280" s="104">
        <f ca="1">IF(AND(INT('模拟-模拟计算'!B305)&lt;='模拟-模拟计算'!$C$2,'模拟-模拟计算'!B305&gt;0),'模拟-模拟计算'!F305," ")</f>
        <v>20</v>
      </c>
      <c r="F280" s="51" t="str">
        <f ca="1">IF(AND(INT('模拟-模拟计算'!B305)&lt;='模拟-模拟计算'!$C$2,'模拟-模拟计算'!B305&gt;0),'模拟-模拟计算'!P305," ")</f>
        <v>会</v>
      </c>
      <c r="G280" s="52">
        <f ca="1">IF(AND(INT('模拟-模拟计算'!B305)&lt;='模拟-模拟计算'!$C$2,'模拟-模拟计算'!B305&gt;0),'模拟-模拟计算'!V305," ")</f>
        <v>174868.36016214982</v>
      </c>
      <c r="H280" s="52">
        <f ca="1">IF(AND(INT('模拟-模拟计算'!B305)&lt;='模拟-模拟计算'!$C$2,'模拟-模拟计算'!B305&gt;0),'模拟-模拟计算'!Y305," ")</f>
        <v>210401.91745997476</v>
      </c>
      <c r="I280" s="105">
        <f ca="1">IF(AND(INT('模拟-模拟计算'!B305)&lt;='模拟-模拟计算'!$C$2,'模拟-模拟计算'!B305&gt;0),'模拟-模拟计算'!AA305," ")</f>
        <v>114990.06888588835</v>
      </c>
    </row>
    <row r="281" spans="1:9" x14ac:dyDescent="0.2">
      <c r="A281" s="20">
        <f>INT('模拟-模拟计算'!B306+0.5)</f>
        <v>257</v>
      </c>
      <c r="B281" s="52">
        <f>IF(AND(INT('模拟-模拟计算'!B306)&lt;='模拟-模拟计算'!$C$2,'模拟-模拟计算'!B306&gt;0),'模拟-模拟计算'!B306," ")</f>
        <v>257.37750000000182</v>
      </c>
      <c r="C281" s="51" t="str">
        <f ca="1">IF(AND(INT('模拟-模拟计算'!B306)&lt;='模拟-模拟计算'!$C$2,'模拟-模拟计算'!B306&gt;0),'模拟-模拟计算'!C306," ")</f>
        <v>净世破魔击·日</v>
      </c>
      <c r="D281" s="104">
        <f ca="1">IF(AND(INT('模拟-模拟计算'!B306)&lt;='模拟-模拟计算'!$C$2,'模拟-模拟计算'!B306&gt;0),'模拟-模拟计算'!E306," ")</f>
        <v>0</v>
      </c>
      <c r="E281" s="104">
        <f ca="1">IF(AND(INT('模拟-模拟计算'!B306)&lt;='模拟-模拟计算'!$C$2,'模拟-模拟计算'!B306&gt;0),'模拟-模拟计算'!F306," ")</f>
        <v>20</v>
      </c>
      <c r="F281" s="51" t="str">
        <f ca="1">IF(AND(INT('模拟-模拟计算'!B306)&lt;='模拟-模拟计算'!$C$2,'模拟-模拟计算'!B306&gt;0),'模拟-模拟计算'!P306," ")</f>
        <v>会</v>
      </c>
      <c r="G281" s="52">
        <f ca="1">IF(AND(INT('模拟-模拟计算'!B306)&lt;='模拟-模拟计算'!$C$2,'模拟-模拟计算'!B306&gt;0),'模拟-模拟计算'!V306," ")</f>
        <v>195915.814886668</v>
      </c>
      <c r="H281" s="52">
        <f ca="1">IF(AND(INT('模拟-模拟计算'!B306)&lt;='模拟-模拟计算'!$C$2,'模拟-模拟计算'!B306&gt;0),'模拟-模拟计算'!Y306," ")</f>
        <v>205127.11589832304</v>
      </c>
      <c r="I281" s="105">
        <f ca="1">IF(AND(INT('模拟-模拟计算'!B306)&lt;='模拟-模拟计算'!$C$2,'模拟-模拟计算'!B306&gt;0),'模拟-模拟计算'!AA306," ")</f>
        <v>115374.90741043338</v>
      </c>
    </row>
    <row r="282" spans="1:9" x14ac:dyDescent="0.2">
      <c r="A282" s="20">
        <f>INT('模拟-模拟计算'!B307+0.5)</f>
        <v>258</v>
      </c>
      <c r="B282" s="52">
        <f>IF(AND(INT('模拟-模拟计算'!B307)&lt;='模拟-模拟计算'!$C$2,'模拟-模拟计算'!B307&gt;0),'模拟-模拟计算'!B307," ")</f>
        <v>258.30000000000183</v>
      </c>
      <c r="C282" s="51" t="str">
        <f ca="1">IF(AND(INT('模拟-模拟计算'!B307)&lt;='模拟-模拟计算'!$C$2,'模拟-模拟计算'!B307&gt;0),'模拟-模拟计算'!C307," ")</f>
        <v>赤日轮1</v>
      </c>
      <c r="D282" s="104">
        <f ca="1">IF(AND(INT('模拟-模拟计算'!B307)&lt;='模拟-模拟计算'!$C$2,'模拟-模拟计算'!B307&gt;0),'模拟-模拟计算'!E307," ")</f>
        <v>20</v>
      </c>
      <c r="E282" s="104">
        <f ca="1">IF(AND(INT('模拟-模拟计算'!B307)&lt;='模拟-模拟计算'!$C$2,'模拟-模拟计算'!B307&gt;0),'模拟-模拟计算'!F307," ")</f>
        <v>20</v>
      </c>
      <c r="F282" s="51" t="str">
        <f ca="1">IF(AND(INT('模拟-模拟计算'!B307)&lt;='模拟-模拟计算'!$C$2,'模拟-模拟计算'!B307&gt;0),'模拟-模拟计算'!P307," ")</f>
        <v>命</v>
      </c>
      <c r="G282" s="52">
        <f ca="1">IF(AND(INT('模拟-模拟计算'!B307)&lt;='模拟-模拟计算'!$C$2,'模拟-模拟计算'!B307&gt;0),'模拟-模拟计算'!V307," ")</f>
        <v>25194.44799269021</v>
      </c>
      <c r="H282" s="52">
        <f ca="1">IF(AND(INT('模拟-模拟计算'!B307)&lt;='模拟-模拟计算'!$C$2,'模拟-模拟计算'!B307&gt;0),'模拟-模拟计算'!Y307," ")</f>
        <v>45893.246683620979</v>
      </c>
      <c r="I282" s="105">
        <f ca="1">IF(AND(INT('模拟-模拟计算'!B307)&lt;='模拟-模拟计算'!$C$2,'模拟-模拟计算'!B307&gt;0),'模拟-模拟计算'!AA307," ")</f>
        <v>115140.52837287045</v>
      </c>
    </row>
    <row r="283" spans="1:9" x14ac:dyDescent="0.2">
      <c r="A283" s="20">
        <f>INT('模拟-模拟计算'!B308+0.5)</f>
        <v>259</v>
      </c>
      <c r="B283" s="52">
        <f>IF(AND(INT('模拟-模拟计算'!B308)&lt;='模拟-模拟计算'!$C$2,'模拟-模拟计算'!B308&gt;0),'模拟-模拟计算'!B308," ")</f>
        <v>259.22250000000184</v>
      </c>
      <c r="C283" s="51" t="str">
        <f ca="1">IF(AND(INT('模拟-模拟计算'!B308)&lt;='模拟-模拟计算'!$C$2,'模拟-模拟计算'!B308&gt;0),'模拟-模拟计算'!C308," ")</f>
        <v>银月斩</v>
      </c>
      <c r="D283" s="104">
        <f ca="1">IF(AND(INT('模拟-模拟计算'!B308)&lt;='模拟-模拟计算'!$C$2,'模拟-模拟计算'!B308&gt;0),'模拟-模拟计算'!E308," ")</f>
        <v>20</v>
      </c>
      <c r="E283" s="104">
        <f ca="1">IF(AND(INT('模拟-模拟计算'!B308)&lt;='模拟-模拟计算'!$C$2,'模拟-模拟计算'!B308&gt;0),'模拟-模拟计算'!F308," ")</f>
        <v>65</v>
      </c>
      <c r="F283" s="51" t="str">
        <f ca="1">IF(AND(INT('模拟-模拟计算'!B308)&lt;='模拟-模拟计算'!$C$2,'模拟-模拟计算'!B308&gt;0),'模拟-模拟计算'!P308," ")</f>
        <v>会</v>
      </c>
      <c r="G283" s="52">
        <f ca="1">IF(AND(INT('模拟-模拟计算'!B308)&lt;='模拟-模拟计算'!$C$2,'模拟-模拟计算'!B308&gt;0),'模拟-模拟计算'!V308," ")</f>
        <v>39481.310356797861</v>
      </c>
      <c r="H283" s="52">
        <f ca="1">IF(AND(INT('模拟-模拟计算'!B308)&lt;='模拟-模拟计算'!$C$2,'模拟-模拟计算'!B308&gt;0),'模拟-模拟计算'!Y308," ")</f>
        <v>39842.821000344906</v>
      </c>
      <c r="I283" s="105">
        <f ca="1">IF(AND(INT('模拟-模拟计算'!B308)&lt;='模拟-模拟计算'!$C$2,'模拟-模拟计算'!B308&gt;0),'模拟-模拟计算'!AA308," ")</f>
        <v>114884.47684793096</v>
      </c>
    </row>
    <row r="284" spans="1:9" x14ac:dyDescent="0.2">
      <c r="A284" s="20">
        <f>INT('模拟-模拟计算'!B309+0.5)</f>
        <v>260</v>
      </c>
      <c r="B284" s="52">
        <f>IF(AND(INT('模拟-模拟计算'!B309)&lt;='模拟-模拟计算'!$C$2,'模拟-模拟计算'!B309&gt;0),'模拟-模拟计算'!B309," ")</f>
        <v>260.14500000000186</v>
      </c>
      <c r="C284" s="51" t="str">
        <f ca="1">IF(AND(INT('模拟-模拟计算'!B309)&lt;='模拟-模拟计算'!$C$2,'模拟-模拟计算'!B309&gt;0),'模拟-模拟计算'!C309," ")</f>
        <v>驱夜断愁</v>
      </c>
      <c r="D284" s="104">
        <f ca="1">IF(AND(INT('模拟-模拟计算'!B309)&lt;='模拟-模拟计算'!$C$2,'模拟-模拟计算'!B309&gt;0),'模拟-模拟计算'!E309," ")</f>
        <v>40</v>
      </c>
      <c r="E284" s="104">
        <f ca="1">IF(AND(INT('模拟-模拟计算'!B309)&lt;='模拟-模拟计算'!$C$2,'模拟-模拟计算'!B309&gt;0),'模拟-模拟计算'!F309," ")</f>
        <v>85</v>
      </c>
      <c r="F284" s="51" t="str">
        <f ca="1">IF(AND(INT('模拟-模拟计算'!B309)&lt;='模拟-模拟计算'!$C$2,'模拟-模拟计算'!B309&gt;0),'模拟-模拟计算'!P309," ")</f>
        <v>会</v>
      </c>
      <c r="G284" s="52">
        <f ca="1">IF(AND(INT('模拟-模拟计算'!B309)&lt;='模拟-模拟计算'!$C$2,'模拟-模拟计算'!B309&gt;0),'模拟-模拟计算'!V309," ")</f>
        <v>127463.41908070058</v>
      </c>
      <c r="H284" s="52">
        <f ca="1">IF(AND(INT('模拟-模拟计算'!B309)&lt;='模拟-模拟计算'!$C$2,'模拟-模拟计算'!B309&gt;0),'模拟-模拟计算'!Y309," ")</f>
        <v>153248.36405094992</v>
      </c>
      <c r="I284" s="105">
        <f ca="1">IF(AND(INT('模拟-模拟计算'!B309)&lt;='模拟-模拟计算'!$C$2,'模拟-模拟计算'!B309&gt;0),'模拟-模拟计算'!AA309," ")</f>
        <v>115066.17334088193</v>
      </c>
    </row>
    <row r="285" spans="1:9" x14ac:dyDescent="0.2">
      <c r="A285" s="20">
        <f>INT('模拟-模拟计算'!B310+0.5)</f>
        <v>261</v>
      </c>
      <c r="B285" s="52">
        <f>IF(AND(INT('模拟-模拟计算'!B310)&lt;='模拟-模拟计算'!$C$2,'模拟-模拟计算'!B310&gt;0),'模拟-模拟计算'!B310," ")</f>
        <v>261.06750000000187</v>
      </c>
      <c r="C285" s="51" t="str">
        <f ca="1">IF(AND(INT('模拟-模拟计算'!B310)&lt;='模拟-模拟计算'!$C$2,'模拟-模拟计算'!B310&gt;0),'模拟-模拟计算'!C310," ")</f>
        <v>烈日斩</v>
      </c>
      <c r="D285" s="104">
        <f ca="1">IF(AND(INT('模拟-模拟计算'!B310)&lt;='模拟-模拟计算'!$C$2,'模拟-模拟计算'!B310&gt;0),'模拟-模拟计算'!E310," ")</f>
        <v>80</v>
      </c>
      <c r="E285" s="104">
        <f ca="1">IF(AND(INT('模拟-模拟计算'!B310)&lt;='模拟-模拟计算'!$C$2,'模拟-模拟计算'!B310&gt;0),'模拟-模拟计算'!F310," ")</f>
        <v>85</v>
      </c>
      <c r="F285" s="51" t="str">
        <f ca="1">IF(AND(INT('模拟-模拟计算'!B310)&lt;='模拟-模拟计算'!$C$2,'模拟-模拟计算'!B310&gt;0),'模拟-模拟计算'!P310," ")</f>
        <v>命</v>
      </c>
      <c r="G285" s="52">
        <f ca="1">IF(AND(INT('模拟-模拟计算'!B310)&lt;='模拟-模拟计算'!$C$2,'模拟-模拟计算'!B310&gt;0),'模拟-模拟计算'!V310," ")</f>
        <v>46789.769184608012</v>
      </c>
      <c r="H285" s="52">
        <f ca="1">IF(AND(INT('模拟-模拟计算'!B310)&lt;='模拟-模拟计算'!$C$2,'模拟-模拟计算'!B310&gt;0),'模拟-模拟计算'!Y310," ")</f>
        <v>47151.279828155064</v>
      </c>
      <c r="I285" s="105">
        <f ca="1">IF(AND(INT('模拟-模拟计算'!B310)&lt;='模拟-模拟计算'!$C$2,'模拟-模拟计算'!B310&gt;0),'模拟-模拟计算'!AA310," ")</f>
        <v>114840.18862398376</v>
      </c>
    </row>
    <row r="286" spans="1:9" x14ac:dyDescent="0.2">
      <c r="A286" s="20">
        <f>INT('模拟-模拟计算'!B311+0.5)</f>
        <v>262</v>
      </c>
      <c r="B286" s="52">
        <f>IF(AND(INT('模拟-模拟计算'!B311)&lt;='模拟-模拟计算'!$C$2,'模拟-模拟计算'!B311&gt;0),'模拟-模拟计算'!B311," ")</f>
        <v>261.99000000000188</v>
      </c>
      <c r="C286" s="51" t="str">
        <f ca="1">IF(AND(INT('模拟-模拟计算'!B311)&lt;='模拟-模拟计算'!$C$2,'模拟-模拟计算'!B311&gt;0),'模拟-模拟计算'!C311," ")</f>
        <v>幽月轮1</v>
      </c>
      <c r="D286" s="104">
        <f ca="1">IF(AND(INT('模拟-模拟计算'!B311)&lt;='模拟-模拟计算'!$C$2,'模拟-模拟计算'!B311&gt;0),'模拟-模拟计算'!E311," ")</f>
        <v>80</v>
      </c>
      <c r="E286" s="104">
        <f ca="1">IF(AND(INT('模拟-模拟计算'!B311)&lt;='模拟-模拟计算'!$C$2,'模拟-模拟计算'!B311&gt;0),'模拟-模拟计算'!F311," ")</f>
        <v>100</v>
      </c>
      <c r="F286" s="51" t="str">
        <f ca="1">IF(AND(INT('模拟-模拟计算'!B311)&lt;='模拟-模拟计算'!$C$2,'模拟-模拟计算'!B311&gt;0),'模拟-模拟计算'!P311," ")</f>
        <v>会</v>
      </c>
      <c r="G286" s="52">
        <f ca="1">IF(AND(INT('模拟-模拟计算'!B311)&lt;='模拟-模拟计算'!$C$2,'模拟-模拟计算'!B311&gt;0),'模拟-模拟计算'!V311," ")</f>
        <v>35088.919370823241</v>
      </c>
      <c r="H286" s="52">
        <f ca="1">IF(AND(INT('模拟-模拟计算'!B311)&lt;='模拟-模拟计算'!$C$2,'模拟-模拟计算'!B311&gt;0),'模拟-模拟计算'!Y311," ")</f>
        <v>62945.73130655261</v>
      </c>
      <c r="I286" s="105">
        <f ca="1">IF(AND(INT('模拟-模拟计算'!B311)&lt;='模拟-模拟计算'!$C$2,'模拟-模拟计算'!B311&gt;0),'模拟-模拟计算'!AA311," ")</f>
        <v>114676.08181571218</v>
      </c>
    </row>
    <row r="287" spans="1:9" x14ac:dyDescent="0.2">
      <c r="A287" s="20">
        <f>INT('模拟-模拟计算'!B312+0.5)</f>
        <v>263</v>
      </c>
      <c r="B287" s="52">
        <f>IF(AND(INT('模拟-模拟计算'!B312)&lt;='模拟-模拟计算'!$C$2,'模拟-模拟计算'!B312&gt;0),'模拟-模拟计算'!B312," ")</f>
        <v>262.9125000000019</v>
      </c>
      <c r="C287" s="51" t="str">
        <f ca="1">IF(AND(INT('模拟-模拟计算'!B312)&lt;='模拟-模拟计算'!$C$2,'模拟-模拟计算'!B312&gt;0),'模拟-模拟计算'!C312," ")</f>
        <v>净世破魔击·月</v>
      </c>
      <c r="D287" s="104">
        <f ca="1">IF(AND(INT('模拟-模拟计算'!B312)&lt;='模拟-模拟计算'!$C$2,'模拟-模拟计算'!B312&gt;0),'模拟-模拟计算'!E312," ")</f>
        <v>100</v>
      </c>
      <c r="E287" s="104">
        <f ca="1">IF(AND(INT('模拟-模拟计算'!B312)&lt;='模拟-模拟计算'!$C$2,'模拟-模拟计算'!B312&gt;0),'模拟-模拟计算'!F312," ")</f>
        <v>20</v>
      </c>
      <c r="F287" s="51" t="str">
        <f ca="1">IF(AND(INT('模拟-模拟计算'!B312)&lt;='模拟-模拟计算'!$C$2,'模拟-模拟计算'!B312&gt;0),'模拟-模拟计算'!P312," ")</f>
        <v>命</v>
      </c>
      <c r="G287" s="52">
        <f ca="1">IF(AND(INT('模拟-模拟计算'!B312)&lt;='模拟-模拟计算'!$C$2,'模拟-模拟计算'!B312&gt;0),'模拟-模拟计算'!V312," ")</f>
        <v>80864.621558254468</v>
      </c>
      <c r="H287" s="52">
        <f ca="1">IF(AND(INT('模拟-模拟计算'!B312)&lt;='模拟-模拟计算'!$C$2,'模拟-模拟计算'!B312&gt;0),'模拟-模拟计算'!Y312," ")</f>
        <v>88865.583953906375</v>
      </c>
      <c r="I287" s="105">
        <f ca="1">IF(AND(INT('模拟-模拟计算'!B312)&lt;='模拟-模拟计算'!$C$2,'模拟-模拟计算'!B312&gt;0),'模拟-模拟计算'!AA312," ")</f>
        <v>114611.71400695037</v>
      </c>
    </row>
    <row r="288" spans="1:9" x14ac:dyDescent="0.2">
      <c r="A288" s="20">
        <f>INT('模拟-模拟计算'!B313+0.5)</f>
        <v>264</v>
      </c>
      <c r="B288" s="52">
        <f>IF(AND(INT('模拟-模拟计算'!B313)&lt;='模拟-模拟计算'!$C$2,'模拟-模拟计算'!B313&gt;0),'模拟-模拟计算'!B313," ")</f>
        <v>263.83500000000191</v>
      </c>
      <c r="C288" s="51" t="str">
        <f ca="1">IF(AND(INT('模拟-模拟计算'!B313)&lt;='模拟-模拟计算'!$C$2,'模拟-模拟计算'!B313&gt;0),'模拟-模拟计算'!C313," ")</f>
        <v>净世破魔击·日</v>
      </c>
      <c r="D288" s="104">
        <f ca="1">IF(AND(INT('模拟-模拟计算'!B313)&lt;='模拟-模拟计算'!$C$2,'模拟-模拟计算'!B313&gt;0),'模拟-模拟计算'!E313," ")</f>
        <v>0</v>
      </c>
      <c r="E288" s="104">
        <f ca="1">IF(AND(INT('模拟-模拟计算'!B313)&lt;='模拟-模拟计算'!$C$2,'模拟-模拟计算'!B313&gt;0),'模拟-模拟计算'!F313," ")</f>
        <v>20</v>
      </c>
      <c r="F288" s="51" t="str">
        <f ca="1">IF(AND(INT('模拟-模拟计算'!B313)&lt;='模拟-模拟计算'!$C$2,'模拟-模拟计算'!B313&gt;0),'模拟-模拟计算'!P313," ")</f>
        <v>命</v>
      </c>
      <c r="G288" s="52">
        <f ca="1">IF(AND(INT('模拟-模拟计算'!B313)&lt;='模拟-模拟计算'!$C$2,'模拟-模拟计算'!B313&gt;0),'模拟-模拟计算'!V313," ")</f>
        <v>90597.625627626709</v>
      </c>
      <c r="H288" s="52">
        <f ca="1">IF(AND(INT('模拟-模拟计算'!B313)&lt;='模拟-模拟计算'!$C$2,'模拟-模拟计算'!B313&gt;0),'模拟-模拟计算'!Y313," ")</f>
        <v>133071.1103555334</v>
      </c>
      <c r="I288" s="105">
        <f ca="1">IF(AND(INT('模拟-模拟计算'!B313)&lt;='模拟-模拟计算'!$C$2,'模拟-模拟计算'!B313&gt;0),'模拟-模拟计算'!AA313," ")</f>
        <v>114715.34621717312</v>
      </c>
    </row>
    <row r="289" spans="1:9" x14ac:dyDescent="0.2">
      <c r="A289" s="20">
        <f>INT('模拟-模拟计算'!B314+0.5)</f>
        <v>265</v>
      </c>
      <c r="B289" s="52">
        <f>IF(AND(INT('模拟-模拟计算'!B314)&lt;='模拟-模拟计算'!$C$2,'模拟-模拟计算'!B314&gt;0),'模拟-模拟计算'!B314," ")</f>
        <v>264.75750000000193</v>
      </c>
      <c r="C289" s="51" t="str">
        <f ca="1">IF(AND(INT('模拟-模拟计算'!B314)&lt;='模拟-模拟计算'!$C$2,'模拟-模拟计算'!B314&gt;0),'模拟-模拟计算'!C314," ")</f>
        <v>赤日轮1</v>
      </c>
      <c r="D289" s="104">
        <f ca="1">IF(AND(INT('模拟-模拟计算'!B314)&lt;='模拟-模拟计算'!$C$2,'模拟-模拟计算'!B314&gt;0),'模拟-模拟计算'!E314," ")</f>
        <v>20</v>
      </c>
      <c r="E289" s="104">
        <f ca="1">IF(AND(INT('模拟-模拟计算'!B314)&lt;='模拟-模拟计算'!$C$2,'模拟-模拟计算'!B314&gt;0),'模拟-模拟计算'!F314," ")</f>
        <v>20</v>
      </c>
      <c r="F289" s="51" t="str">
        <f ca="1">IF(AND(INT('模拟-模拟计算'!B314)&lt;='模拟-模拟计算'!$C$2,'模拟-模拟计算'!B314&gt;0),'模拟-模拟计算'!P314," ")</f>
        <v>命</v>
      </c>
      <c r="G289" s="52">
        <f ca="1">IF(AND(INT('模拟-模拟计算'!B314)&lt;='模拟-模拟计算'!$C$2,'模拟-模拟计算'!B314&gt;0),'模拟-模拟计算'!V314," ")</f>
        <v>25194.44799269021</v>
      </c>
      <c r="H289" s="52">
        <f ca="1">IF(AND(INT('模拟-模拟计算'!B314)&lt;='模拟-模拟计算'!$C$2,'模拟-模拟计算'!B314&gt;0),'模拟-模拟计算'!Y314," ")</f>
        <v>35475.759040328601</v>
      </c>
      <c r="I289" s="105">
        <f ca="1">IF(AND(INT('模拟-模拟计算'!B314)&lt;='模拟-模拟计算'!$C$2,'模拟-模拟计算'!B314&gt;0),'模拟-模拟计算'!AA314," ")</f>
        <v>114449.63458352719</v>
      </c>
    </row>
    <row r="290" spans="1:9" x14ac:dyDescent="0.2">
      <c r="A290" s="20">
        <f>INT('模拟-模拟计算'!B315+0.5)</f>
        <v>266</v>
      </c>
      <c r="B290" s="52">
        <f>IF(AND(INT('模拟-模拟计算'!B315)&lt;='模拟-模拟计算'!$C$2,'模拟-模拟计算'!B315&gt;0),'模拟-模拟计算'!B315," ")</f>
        <v>265.68000000000194</v>
      </c>
      <c r="C290" s="51" t="str">
        <f ca="1">IF(AND(INT('模拟-模拟计算'!B315)&lt;='模拟-模拟计算'!$C$2,'模拟-模拟计算'!B315&gt;0),'模拟-模拟计算'!C315," ")</f>
        <v>银月斩</v>
      </c>
      <c r="D290" s="104">
        <f ca="1">IF(AND(INT('模拟-模拟计算'!B315)&lt;='模拟-模拟计算'!$C$2,'模拟-模拟计算'!B315&gt;0),'模拟-模拟计算'!E315," ")</f>
        <v>20</v>
      </c>
      <c r="E290" s="104">
        <f ca="1">IF(AND(INT('模拟-模拟计算'!B315)&lt;='模拟-模拟计算'!$C$2,'模拟-模拟计算'!B315&gt;0),'模拟-模拟计算'!F315," ")</f>
        <v>65</v>
      </c>
      <c r="F290" s="51" t="str">
        <f ca="1">IF(AND(INT('模拟-模拟计算'!B315)&lt;='模拟-模拟计算'!$C$2,'模拟-模拟计算'!B315&gt;0),'模拟-模拟计算'!P315," ")</f>
        <v>会</v>
      </c>
      <c r="G290" s="52">
        <f ca="1">IF(AND(INT('模拟-模拟计算'!B315)&lt;='模拟-模拟计算'!$C$2,'模拟-模拟计算'!B315&gt;0),'模拟-模拟计算'!V315," ")</f>
        <v>39481.310356797861</v>
      </c>
      <c r="H290" s="52">
        <f ca="1">IF(AND(INT('模拟-模拟计算'!B315)&lt;='模拟-模拟计算'!$C$2,'模拟-模拟计算'!B315&gt;0),'模拟-模拟计算'!Y315," ")</f>
        <v>56654.100352863868</v>
      </c>
      <c r="I290" s="105">
        <f ca="1">IF(AND(INT('模拟-模拟计算'!B315)&lt;='模拟-模拟计算'!$C$2,'模拟-模拟计算'!B315&gt;0),'模拟-模拟计算'!AA315," ")</f>
        <v>114265.4818902479</v>
      </c>
    </row>
    <row r="291" spans="1:9" x14ac:dyDescent="0.2">
      <c r="A291" s="20">
        <f>INT('模拟-模拟计算'!B316+0.5)</f>
        <v>267</v>
      </c>
      <c r="B291" s="52">
        <f>IF(AND(INT('模拟-模拟计算'!B316)&lt;='模拟-模拟计算'!$C$2,'模拟-模拟计算'!B316&gt;0),'模拟-模拟计算'!B316," ")</f>
        <v>266.60250000000195</v>
      </c>
      <c r="C291" s="51" t="str">
        <f ca="1">IF(AND(INT('模拟-模拟计算'!B316)&lt;='模拟-模拟计算'!$C$2,'模拟-模拟计算'!B316&gt;0),'模拟-模拟计算'!C316," ")</f>
        <v>驱夜断愁</v>
      </c>
      <c r="D291" s="104">
        <f ca="1">IF(AND(INT('模拟-模拟计算'!B316)&lt;='模拟-模拟计算'!$C$2,'模拟-模拟计算'!B316&gt;0),'模拟-模拟计算'!E316," ")</f>
        <v>40</v>
      </c>
      <c r="E291" s="104">
        <f ca="1">IF(AND(INT('模拟-模拟计算'!B316)&lt;='模拟-模拟计算'!$C$2,'模拟-模拟计算'!B316&gt;0),'模拟-模拟计算'!F316," ")</f>
        <v>85</v>
      </c>
      <c r="F291" s="51" t="str">
        <f ca="1">IF(AND(INT('模拟-模拟计算'!B316)&lt;='模拟-模拟计算'!$C$2,'模拟-模拟计算'!B316&gt;0),'模拟-模拟计算'!P316," ")</f>
        <v>命</v>
      </c>
      <c r="G291" s="52">
        <f ca="1">IF(AND(INT('模拟-模拟计算'!B316)&lt;='模拟-模拟计算'!$C$2,'模拟-模拟计算'!B316&gt;0),'模拟-模拟计算'!V316," ")</f>
        <v>58943.088028757353</v>
      </c>
      <c r="H291" s="52">
        <f ca="1">IF(AND(INT('模拟-模拟计算'!B316)&lt;='模拟-模拟计算'!$C$2,'模拟-模拟计算'!B316&gt;0),'模拟-模拟计算'!Y316," ")</f>
        <v>59666.109315851449</v>
      </c>
      <c r="I291" s="105">
        <f ca="1">IF(AND(INT('模拟-模拟计算'!B316)&lt;='模拟-模拟计算'!$C$2,'模拟-模拟计算'!B316&gt;0),'模拟-模拟计算'!AA316," ")</f>
        <v>114093.9013622037</v>
      </c>
    </row>
    <row r="292" spans="1:9" x14ac:dyDescent="0.2">
      <c r="A292" s="20">
        <f>INT('模拟-模拟计算'!B317+0.5)</f>
        <v>268</v>
      </c>
      <c r="B292" s="52">
        <f>IF(AND(INT('模拟-模拟计算'!B317)&lt;='模拟-模拟计算'!$C$2,'模拟-模拟计算'!B317&gt;0),'模拟-模拟计算'!B317," ")</f>
        <v>267.52500000000197</v>
      </c>
      <c r="C292" s="51" t="str">
        <f ca="1">IF(AND(INT('模拟-模拟计算'!B317)&lt;='模拟-模拟计算'!$C$2,'模拟-模拟计算'!B317&gt;0),'模拟-模拟计算'!C317," ")</f>
        <v>烈日斩</v>
      </c>
      <c r="D292" s="104">
        <f ca="1">IF(AND(INT('模拟-模拟计算'!B317)&lt;='模拟-模拟计算'!$C$2,'模拟-模拟计算'!B317&gt;0),'模拟-模拟计算'!E317," ")</f>
        <v>80</v>
      </c>
      <c r="E292" s="104">
        <f ca="1">IF(AND(INT('模拟-模拟计算'!B317)&lt;='模拟-模拟计算'!$C$2,'模拟-模拟计算'!B317&gt;0),'模拟-模拟计算'!F317," ")</f>
        <v>85</v>
      </c>
      <c r="F292" s="51" t="str">
        <f ca="1">IF(AND(INT('模拟-模拟计算'!B317)&lt;='模拟-模拟计算'!$C$2,'模拟-模拟计算'!B317&gt;0),'模拟-模拟计算'!P317," ")</f>
        <v>命</v>
      </c>
      <c r="G292" s="52">
        <f ca="1">IF(AND(INT('模拟-模拟计算'!B317)&lt;='模拟-模拟计算'!$C$2,'模拟-模拟计算'!B317&gt;0),'模拟-模拟计算'!V317," ")</f>
        <v>46789.769184608012</v>
      </c>
      <c r="H292" s="52">
        <f ca="1">IF(AND(INT('模拟-模拟计算'!B317)&lt;='模拟-模拟计算'!$C$2,'模拟-模拟计算'!B317&gt;0),'模拟-模拟计算'!Y317," ")</f>
        <v>80413.463544406724</v>
      </c>
      <c r="I292" s="105">
        <f ca="1">IF(AND(INT('模拟-模拟计算'!B317)&lt;='模拟-模拟计算'!$C$2,'模拟-模拟计算'!B317&gt;0),'模拟-模拟计算'!AA317," ")</f>
        <v>114001.05710292987</v>
      </c>
    </row>
    <row r="293" spans="1:9" x14ac:dyDescent="0.2">
      <c r="A293" s="20">
        <f>INT('模拟-模拟计算'!B318+0.5)</f>
        <v>268</v>
      </c>
      <c r="B293" s="52">
        <f>IF(AND(INT('模拟-模拟计算'!B318)&lt;='模拟-模拟计算'!$C$2,'模拟-模拟计算'!B318&gt;0),'模拟-模拟计算'!B318," ")</f>
        <v>268.44750000000198</v>
      </c>
      <c r="C293" s="51" t="str">
        <f ca="1">IF(AND(INT('模拟-模拟计算'!B318)&lt;='模拟-模拟计算'!$C$2,'模拟-模拟计算'!B318&gt;0),'模拟-模拟计算'!C318," ")</f>
        <v>幽月轮1</v>
      </c>
      <c r="D293" s="104">
        <f ca="1">IF(AND(INT('模拟-模拟计算'!B318)&lt;='模拟-模拟计算'!$C$2,'模拟-模拟计算'!B318&gt;0),'模拟-模拟计算'!E318," ")</f>
        <v>80</v>
      </c>
      <c r="E293" s="104">
        <f ca="1">IF(AND(INT('模拟-模拟计算'!B318)&lt;='模拟-模拟计算'!$C$2,'模拟-模拟计算'!B318&gt;0),'模拟-模拟计算'!F318," ")</f>
        <v>100</v>
      </c>
      <c r="F293" s="51" t="str">
        <f ca="1">IF(AND(INT('模拟-模拟计算'!B318)&lt;='模拟-模拟计算'!$C$2,'模拟-模拟计算'!B318&gt;0),'模拟-模拟计算'!P318," ")</f>
        <v>命</v>
      </c>
      <c r="G293" s="52">
        <f ca="1">IF(AND(INT('模拟-模拟计算'!B318)&lt;='模拟-模拟计算'!$C$2,'模拟-模拟计算'!B318&gt;0),'模拟-模拟计算'!V318," ")</f>
        <v>16226.218300318291</v>
      </c>
      <c r="H293" s="52">
        <f ca="1">IF(AND(INT('模拟-模拟计算'!B318)&lt;='模拟-模拟计算'!$C$2,'模拟-模拟计算'!B318&gt;0),'模拟-模拟计算'!Y318," ")</f>
        <v>16587.728943865339</v>
      </c>
      <c r="I293" s="105">
        <f ca="1">IF(AND(INT('模拟-模拟计算'!B318)&lt;='模拟-模拟计算'!$C$2,'模拟-模拟计算'!B318&gt;0),'模拟-模拟计算'!AA318," ")</f>
        <v>113671.09222624602</v>
      </c>
    </row>
    <row r="294" spans="1:9" x14ac:dyDescent="0.2">
      <c r="A294" s="20">
        <f>INT('模拟-模拟计算'!B319+0.5)</f>
        <v>269</v>
      </c>
      <c r="B294" s="52">
        <f>IF(AND(INT('模拟-模拟计算'!B319)&lt;='模拟-模拟计算'!$C$2,'模拟-模拟计算'!B319&gt;0),'模拟-模拟计算'!B319," ")</f>
        <v>269.37000000000199</v>
      </c>
      <c r="C294" s="51" t="str">
        <f ca="1">IF(AND(INT('模拟-模拟计算'!B319)&lt;='模拟-模拟计算'!$C$2,'模拟-模拟计算'!B319&gt;0),'模拟-模拟计算'!C319," ")</f>
        <v>净世破魔击·月</v>
      </c>
      <c r="D294" s="104">
        <f ca="1">IF(AND(INT('模拟-模拟计算'!B319)&lt;='模拟-模拟计算'!$C$2,'模拟-模拟计算'!B319&gt;0),'模拟-模拟计算'!E319," ")</f>
        <v>100</v>
      </c>
      <c r="E294" s="104">
        <f ca="1">IF(AND(INT('模拟-模拟计算'!B319)&lt;='模拟-模拟计算'!$C$2,'模拟-模拟计算'!B319&gt;0),'模拟-模拟计算'!F319," ")</f>
        <v>20</v>
      </c>
      <c r="F294" s="51" t="str">
        <f ca="1">IF(AND(INT('模拟-模拟计算'!B319)&lt;='模拟-模拟计算'!$C$2,'模拟-模拟计算'!B319&gt;0),'模拟-模拟计算'!P319," ")</f>
        <v>命</v>
      </c>
      <c r="G294" s="52">
        <f ca="1">IF(AND(INT('模拟-模拟计算'!B319)&lt;='模拟-模拟计算'!$C$2,'模拟-模拟计算'!B319&gt;0),'模拟-模拟计算'!V319," ")</f>
        <v>84412.793434348554</v>
      </c>
      <c r="H294" s="52">
        <f ca="1">IF(AND(INT('模拟-模拟计算'!B319)&lt;='模拟-模拟计算'!$C$2,'模拟-模拟计算'!B319&gt;0),'模拟-模拟计算'!Y319," ")</f>
        <v>113067.80288265078</v>
      </c>
      <c r="I294" s="105">
        <f ca="1">IF(AND(INT('模拟-模拟计算'!B319)&lt;='模拟-模拟计算'!$C$2,'模拟-模拟计算'!B319&gt;0),'模拟-模拟计算'!AA319," ")</f>
        <v>113701.5567185946</v>
      </c>
    </row>
    <row r="295" spans="1:9" x14ac:dyDescent="0.2">
      <c r="A295" s="20">
        <f>INT('模拟-模拟计算'!B320+0.5)</f>
        <v>270</v>
      </c>
      <c r="B295" s="52">
        <f>IF(AND(INT('模拟-模拟计算'!B320)&lt;='模拟-模拟计算'!$C$2,'模拟-模拟计算'!B320&gt;0),'模拟-模拟计算'!B320," ")</f>
        <v>270.29250000000201</v>
      </c>
      <c r="C295" s="51" t="str">
        <f ca="1">IF(AND(INT('模拟-模拟计算'!B320)&lt;='模拟-模拟计算'!$C$2,'模拟-模拟计算'!B320&gt;0),'模拟-模拟计算'!C320," ")</f>
        <v>净世破魔击·日</v>
      </c>
      <c r="D295" s="104">
        <f ca="1">IF(AND(INT('模拟-模拟计算'!B320)&lt;='模拟-模拟计算'!$C$2,'模拟-模拟计算'!B320&gt;0),'模拟-模拟计算'!E320," ")</f>
        <v>0</v>
      </c>
      <c r="E295" s="104">
        <f ca="1">IF(AND(INT('模拟-模拟计算'!B320)&lt;='模拟-模拟计算'!$C$2,'模拟-模拟计算'!B320&gt;0),'模拟-模拟计算'!F320," ")</f>
        <v>20</v>
      </c>
      <c r="F295" s="51" t="str">
        <f ca="1">IF(AND(INT('模拟-模拟计算'!B320)&lt;='模拟-模拟计算'!$C$2,'模拟-模拟计算'!B320&gt;0),'模拟-模拟计算'!P320," ")</f>
        <v>命</v>
      </c>
      <c r="G295" s="52">
        <f ca="1">IF(AND(INT('模拟-模拟计算'!B320)&lt;='模拟-模拟计算'!$C$2,'模拟-模拟计算'!B320&gt;0),'模拟-模拟计算'!V320," ")</f>
        <v>94575.365106402023</v>
      </c>
      <c r="H295" s="52">
        <f ca="1">IF(AND(INT('模拟-模拟计算'!B320)&lt;='模拟-模拟计算'!$C$2,'模拟-模拟计算'!B320&gt;0),'模拟-模拟计算'!Y320," ")</f>
        <v>114415.24150043589</v>
      </c>
      <c r="I295" s="105">
        <f ca="1">IF(AND(INT('模拟-模拟计算'!B320)&lt;='模拟-模拟计算'!$C$2,'模拟-模拟计算'!B320&gt;0),'模拟-模拟计算'!AA320," ")</f>
        <v>113736.79837505023</v>
      </c>
    </row>
    <row r="296" spans="1:9" x14ac:dyDescent="0.2">
      <c r="A296" s="20">
        <f>INT('模拟-模拟计算'!B321+0.5)</f>
        <v>271</v>
      </c>
      <c r="B296" s="52">
        <f>IF(AND(INT('模拟-模拟计算'!B321)&lt;='模拟-模拟计算'!$C$2,'模拟-模拟计算'!B321&gt;0),'模拟-模拟计算'!B321," ")</f>
        <v>271.21500000000202</v>
      </c>
      <c r="C296" s="51" t="str">
        <f ca="1">IF(AND(INT('模拟-模拟计算'!B321)&lt;='模拟-模拟计算'!$C$2,'模拟-模拟计算'!B321&gt;0),'模拟-模拟计算'!C321," ")</f>
        <v>赤日轮1</v>
      </c>
      <c r="D296" s="104">
        <f ca="1">IF(AND(INT('模拟-模拟计算'!B321)&lt;='模拟-模拟计算'!$C$2,'模拟-模拟计算'!B321&gt;0),'模拟-模拟计算'!E321," ")</f>
        <v>20</v>
      </c>
      <c r="E296" s="104">
        <f ca="1">IF(AND(INT('模拟-模拟计算'!B321)&lt;='模拟-模拟计算'!$C$2,'模拟-模拟计算'!B321&gt;0),'模拟-模拟计算'!F321," ")</f>
        <v>20</v>
      </c>
      <c r="F296" s="51" t="str">
        <f ca="1">IF(AND(INT('模拟-模拟计算'!B321)&lt;='模拟-模拟计算'!$C$2,'模拟-模拟计算'!B321&gt;0),'模拟-模拟计算'!P321," ")</f>
        <v>会</v>
      </c>
      <c r="G296" s="52">
        <f ca="1">IF(AND(INT('模拟-模拟计算'!B321)&lt;='模拟-模拟计算'!$C$2,'模拟-模拟计算'!B321&gt;0),'模拟-模拟计算'!V321," ")</f>
        <v>56864.156113360666</v>
      </c>
      <c r="H296" s="52">
        <f ca="1">IF(AND(INT('模拟-模拟计算'!B321)&lt;='模拟-模拟计算'!$C$2,'模拟-模拟计算'!B321&gt;0),'模拟-模拟计算'!Y321," ")</f>
        <v>86402.232246697546</v>
      </c>
      <c r="I296" s="105">
        <f ca="1">IF(AND(INT('模拟-模拟计算'!B321)&lt;='模拟-模拟计算'!$C$2,'模拟-模拟计算'!B321&gt;0),'模拟-模拟计算'!AA321," ")</f>
        <v>113668.51319814523</v>
      </c>
    </row>
    <row r="297" spans="1:9" x14ac:dyDescent="0.2">
      <c r="A297" s="20">
        <f>INT('模拟-模拟计算'!B322+0.5)</f>
        <v>272</v>
      </c>
      <c r="B297" s="52">
        <f>IF(AND(INT('模拟-模拟计算'!B322)&lt;='模拟-模拟计算'!$C$2,'模拟-模拟计算'!B322&gt;0),'模拟-模拟计算'!B322," ")</f>
        <v>272.13750000000203</v>
      </c>
      <c r="C297" s="51" t="str">
        <f ca="1">IF(AND(INT('模拟-模拟计算'!B322)&lt;='模拟-模拟计算'!$C$2,'模拟-模拟计算'!B322&gt;0),'模拟-模拟计算'!C322," ")</f>
        <v>银月斩</v>
      </c>
      <c r="D297" s="104">
        <f ca="1">IF(AND(INT('模拟-模拟计算'!B322)&lt;='模拟-模拟计算'!$C$2,'模拟-模拟计算'!B322&gt;0),'模拟-模拟计算'!E322," ")</f>
        <v>20</v>
      </c>
      <c r="E297" s="104">
        <f ca="1">IF(AND(INT('模拟-模拟计算'!B322)&lt;='模拟-模拟计算'!$C$2,'模拟-模拟计算'!B322&gt;0),'模拟-模拟计算'!F322," ")</f>
        <v>65</v>
      </c>
      <c r="F297" s="51" t="str">
        <f ca="1">IF(AND(INT('模拟-模拟计算'!B322)&lt;='模拟-模拟计算'!$C$2,'模拟-模拟计算'!B322&gt;0),'模拟-模拟计算'!P322," ")</f>
        <v>会</v>
      </c>
      <c r="G297" s="52">
        <f ca="1">IF(AND(INT('模拟-模拟计算'!B322)&lt;='模拟-模拟计算'!$C$2,'模拟-模拟计算'!B322&gt;0),'模拟-模拟计算'!V322," ")</f>
        <v>41211.704893206668</v>
      </c>
      <c r="H297" s="52">
        <f ca="1">IF(AND(INT('模拟-模拟计算'!B322)&lt;='模拟-模拟计算'!$C$2,'模拟-模拟计算'!B322&gt;0),'模拟-模拟计算'!Y322," ")</f>
        <v>41573.21553675372</v>
      </c>
      <c r="I297" s="105">
        <f ca="1">IF(AND(INT('模拟-模拟计算'!B322)&lt;='模拟-模拟计算'!$C$2,'模拟-模拟计算'!B322&gt;0),'模拟-模拟计算'!AA322," ")</f>
        <v>113435.96168323628</v>
      </c>
    </row>
    <row r="298" spans="1:9" x14ac:dyDescent="0.2">
      <c r="A298" s="20">
        <f>INT('模拟-模拟计算'!B323+0.5)</f>
        <v>273</v>
      </c>
      <c r="B298" s="52">
        <f>IF(AND(INT('模拟-模拟计算'!B323)&lt;='模拟-模拟计算'!$C$2,'模拟-模拟计算'!B323&gt;0),'模拟-模拟计算'!B323," ")</f>
        <v>273.06000000000205</v>
      </c>
      <c r="C298" s="51" t="str">
        <f ca="1">IF(AND(INT('模拟-模拟计算'!B323)&lt;='模拟-模拟计算'!$C$2,'模拟-模拟计算'!B323&gt;0),'模拟-模拟计算'!C323," ")</f>
        <v>驱夜断愁</v>
      </c>
      <c r="D298" s="104">
        <f ca="1">IF(AND(INT('模拟-模拟计算'!B323)&lt;='模拟-模拟计算'!$C$2,'模拟-模拟计算'!B323&gt;0),'模拟-模拟计算'!E323," ")</f>
        <v>40</v>
      </c>
      <c r="E298" s="104">
        <f ca="1">IF(AND(INT('模拟-模拟计算'!B323)&lt;='模拟-模拟计算'!$C$2,'模拟-模拟计算'!B323&gt;0),'模拟-模拟计算'!F323," ")</f>
        <v>85</v>
      </c>
      <c r="F298" s="51" t="str">
        <f ca="1">IF(AND(INT('模拟-模拟计算'!B323)&lt;='模拟-模拟计算'!$C$2,'模拟-模拟计算'!B323&gt;0),'模拟-模拟计算'!P323," ")</f>
        <v>会</v>
      </c>
      <c r="G298" s="52">
        <f ca="1">IF(AND(INT('模拟-模拟计算'!B323)&lt;='模拟-模拟计算'!$C$2,'模拟-模拟计算'!B323&gt;0),'模拟-模拟计算'!V323," ")</f>
        <v>133079.35569364758</v>
      </c>
      <c r="H298" s="52">
        <f ca="1">IF(AND(INT('模拟-模拟计算'!B323)&lt;='模拟-模拟计算'!$C$2,'模拟-模拟计算'!B323&gt;0),'模拟-模拟计算'!Y323," ")</f>
        <v>155026.92594777467</v>
      </c>
      <c r="I298" s="105">
        <f ca="1">IF(AND(INT('模拟-模拟计算'!B323)&lt;='模拟-模拟计算'!$C$2,'模拟-模拟计算'!B323&gt;0),'模拟-模拟计算'!AA323," ")</f>
        <v>113620.47150267151</v>
      </c>
    </row>
    <row r="299" spans="1:9" x14ac:dyDescent="0.2">
      <c r="A299" s="20">
        <f>INT('模拟-模拟计算'!B324+0.5)</f>
        <v>274</v>
      </c>
      <c r="B299" s="52">
        <f>IF(AND(INT('模拟-模拟计算'!B324)&lt;='模拟-模拟计算'!$C$2,'模拟-模拟计算'!B324&gt;0),'模拟-模拟计算'!B324," ")</f>
        <v>273.98250000000206</v>
      </c>
      <c r="C299" s="51" t="str">
        <f ca="1">IF(AND(INT('模拟-模拟计算'!B324)&lt;='模拟-模拟计算'!$C$2,'模拟-模拟计算'!B324&gt;0),'模拟-模拟计算'!C324," ")</f>
        <v>烈日斩</v>
      </c>
      <c r="D299" s="104">
        <f ca="1">IF(AND(INT('模拟-模拟计算'!B324)&lt;='模拟-模拟计算'!$C$2,'模拟-模拟计算'!B324&gt;0),'模拟-模拟计算'!E324," ")</f>
        <v>80</v>
      </c>
      <c r="E299" s="104">
        <f ca="1">IF(AND(INT('模拟-模拟计算'!B324)&lt;='模拟-模拟计算'!$C$2,'模拟-模拟计算'!B324&gt;0),'模拟-模拟计算'!F324," ")</f>
        <v>85</v>
      </c>
      <c r="F299" s="51" t="str">
        <f ca="1">IF(AND(INT('模拟-模拟计算'!B324)&lt;='模拟-模拟计算'!$C$2,'模拟-模拟计算'!B324&gt;0),'模拟-模拟计算'!P324," ")</f>
        <v>命</v>
      </c>
      <c r="G299" s="52">
        <f ca="1">IF(AND(INT('模拟-模拟计算'!B324)&lt;='模拟-模拟计算'!$C$2,'模拟-模拟计算'!B324&gt;0),'模拟-模拟计算'!V324," ")</f>
        <v>48841.631854871324</v>
      </c>
      <c r="H299" s="52">
        <f ca="1">IF(AND(INT('模拟-模拟计算'!B324)&lt;='模拟-模拟计算'!$C$2,'模拟-模拟计算'!B324&gt;0),'模拟-模拟计算'!Y324," ")</f>
        <v>49203.142498418369</v>
      </c>
      <c r="I299" s="105">
        <f ca="1">IF(AND(INT('模拟-模拟计算'!B324)&lt;='模拟-模拟计算'!$C$2,'模拟-模拟计算'!B324&gt;0),'模拟-模拟计算'!AA324," ")</f>
        <v>113417.49597517324</v>
      </c>
    </row>
    <row r="300" spans="1:9" x14ac:dyDescent="0.2">
      <c r="A300" s="20">
        <f>INT('模拟-模拟计算'!B325+0.5)</f>
        <v>275</v>
      </c>
      <c r="B300" s="52">
        <f>IF(AND(INT('模拟-模拟计算'!B325)&lt;='模拟-模拟计算'!$C$2,'模拟-模拟计算'!B325&gt;0),'模拟-模拟计算'!B325," ")</f>
        <v>274.90500000000208</v>
      </c>
      <c r="C300" s="51" t="str">
        <f ca="1">IF(AND(INT('模拟-模拟计算'!B325)&lt;='模拟-模拟计算'!$C$2,'模拟-模拟计算'!B325&gt;0),'模拟-模拟计算'!C325," ")</f>
        <v>幽月轮1</v>
      </c>
      <c r="D300" s="104">
        <f ca="1">IF(AND(INT('模拟-模拟计算'!B325)&lt;='模拟-模拟计算'!$C$2,'模拟-模拟计算'!B325&gt;0),'模拟-模拟计算'!E325," ")</f>
        <v>80</v>
      </c>
      <c r="E300" s="104">
        <f ca="1">IF(AND(INT('模拟-模拟计算'!B325)&lt;='模拟-模拟计算'!$C$2,'模拟-模拟计算'!B325&gt;0),'模拟-模拟计算'!F325," ")</f>
        <v>100</v>
      </c>
      <c r="F300" s="51" t="str">
        <f ca="1">IF(AND(INT('模拟-模拟计算'!B325)&lt;='模拟-模拟计算'!$C$2,'模拟-模拟计算'!B325&gt;0),'模拟-模拟计算'!P325," ")</f>
        <v>命</v>
      </c>
      <c r="G300" s="52">
        <f ca="1">IF(AND(INT('模拟-模拟计算'!B325)&lt;='模拟-模拟计算'!$C$2,'模拟-模拟计算'!B325&gt;0),'模拟-模拟计算'!V325," ")</f>
        <v>17730.73782895472</v>
      </c>
      <c r="H300" s="52">
        <f ca="1">IF(AND(INT('模拟-模拟计算'!B325)&lt;='模拟-模拟计算'!$C$2,'模拟-模拟计算'!B325&gt;0),'模拟-模拟计算'!Y325," ")</f>
        <v>31201.157526682648</v>
      </c>
      <c r="I300" s="105">
        <f ca="1">IF(AND(INT('模拟-模拟计算'!B325)&lt;='模拟-模拟计算'!$C$2,'模拟-模拟计算'!B325&gt;0),'模拟-模拟计算'!AA325," ")</f>
        <v>113150.39831412518</v>
      </c>
    </row>
    <row r="301" spans="1:9" x14ac:dyDescent="0.2">
      <c r="A301" s="20">
        <f>INT('模拟-模拟计算'!B326+0.5)</f>
        <v>276</v>
      </c>
      <c r="B301" s="52">
        <f>IF(AND(INT('模拟-模拟计算'!B326)&lt;='模拟-模拟计算'!$C$2,'模拟-模拟计算'!B326&gt;0),'模拟-模拟计算'!B326," ")</f>
        <v>275.82750000000209</v>
      </c>
      <c r="C301" s="51" t="str">
        <f ca="1">IF(AND(INT('模拟-模拟计算'!B326)&lt;='模拟-模拟计算'!$C$2,'模拟-模拟计算'!B326&gt;0),'模拟-模拟计算'!C326," ")</f>
        <v>净世破魔击·月</v>
      </c>
      <c r="D301" s="104">
        <f ca="1">IF(AND(INT('模拟-模拟计算'!B326)&lt;='模拟-模拟计算'!$C$2,'模拟-模拟计算'!B326&gt;0),'模拟-模拟计算'!E326," ")</f>
        <v>100</v>
      </c>
      <c r="E301" s="104">
        <f ca="1">IF(AND(INT('模拟-模拟计算'!B326)&lt;='模拟-模拟计算'!$C$2,'模拟-模拟计算'!B326&gt;0),'模拟-模拟计算'!F326," ")</f>
        <v>20</v>
      </c>
      <c r="F301" s="51" t="str">
        <f ca="1">IF(AND(INT('模拟-模拟计算'!B326)&lt;='模拟-模拟计算'!$C$2,'模拟-模拟计算'!B326&gt;0),'模拟-模拟计算'!P326," ")</f>
        <v>会</v>
      </c>
      <c r="G301" s="52">
        <f ca="1">IF(AND(INT('模拟-模拟计算'!B326)&lt;='模拟-模拟计算'!$C$2,'模拟-模拟计算'!B326&gt;0),'模拟-模拟计算'!V326," ")</f>
        <v>218035.34744771273</v>
      </c>
      <c r="H301" s="52">
        <f ca="1">IF(AND(INT('模拟-模拟计算'!B326)&lt;='模拟-模拟计算'!$C$2,'模拟-模拟计算'!B326&gt;0),'模拟-模拟计算'!Y326," ")</f>
        <v>235602.02768750556</v>
      </c>
      <c r="I301" s="105">
        <f ca="1">IF(AND(INT('模拟-模拟计算'!B326)&lt;='模拟-模拟计算'!$C$2,'模拟-模拟计算'!B326&gt;0),'模拟-模拟计算'!AA326," ")</f>
        <v>113626.13327616749</v>
      </c>
    </row>
    <row r="302" spans="1:9" x14ac:dyDescent="0.2">
      <c r="A302" s="20">
        <f>INT('模拟-模拟计算'!B327+0.5)</f>
        <v>277</v>
      </c>
      <c r="B302" s="52">
        <f>IF(AND(INT('模拟-模拟计算'!B327)&lt;='模拟-模拟计算'!$C$2,'模拟-模拟计算'!B327&gt;0),'模拟-模拟计算'!B327," ")</f>
        <v>276.7500000000021</v>
      </c>
      <c r="C302" s="51" t="str">
        <f ca="1">IF(AND(INT('模拟-模拟计算'!B327)&lt;='模拟-模拟计算'!$C$2,'模拟-模拟计算'!B327&gt;0),'模拟-模拟计算'!C327," ")</f>
        <v>净世破魔击·日</v>
      </c>
      <c r="D302" s="104">
        <f ca="1">IF(AND(INT('模拟-模拟计算'!B327)&lt;='模拟-模拟计算'!$C$2,'模拟-模拟计算'!B327&gt;0),'模拟-模拟计算'!E327," ")</f>
        <v>0</v>
      </c>
      <c r="E302" s="104">
        <f ca="1">IF(AND(INT('模拟-模拟计算'!B327)&lt;='模拟-模拟计算'!$C$2,'模拟-模拟计算'!B327&gt;0),'模拟-模拟计算'!F327," ")</f>
        <v>100</v>
      </c>
      <c r="F302" s="51" t="str">
        <f ca="1">IF(AND(INT('模拟-模拟计算'!B327)&lt;='模拟-模拟计算'!$C$2,'模拟-模拟计算'!B327&gt;0),'模拟-模拟计算'!P327," ")</f>
        <v>会</v>
      </c>
      <c r="G302" s="52">
        <f ca="1">IF(AND(INT('模拟-模拟计算'!B327)&lt;='模拟-模拟计算'!$C$2,'模拟-模拟计算'!B327&gt;0),'模拟-模拟计算'!V327," ")</f>
        <v>244284.92118326013</v>
      </c>
      <c r="H302" s="52">
        <f ca="1">IF(AND(INT('模拟-模拟计算'!B327)&lt;='模拟-模拟计算'!$C$2,'模拟-模拟计算'!B327&gt;0),'模拟-模拟计算'!Y327," ")</f>
        <v>266366.80672290223</v>
      </c>
      <c r="I302" s="105">
        <f ca="1">IF(AND(INT('模拟-模拟计算'!B327)&lt;='模拟-模拟计算'!$C$2,'模拟-模拟计算'!B327&gt;0),'模拟-模拟计算'!AA327," ")</f>
        <v>114209.86118502253</v>
      </c>
    </row>
    <row r="303" spans="1:9" x14ac:dyDescent="0.2">
      <c r="A303" s="20">
        <f>INT('模拟-模拟计算'!B328+0.5)</f>
        <v>278</v>
      </c>
      <c r="B303" s="52">
        <f>IF(AND(INT('模拟-模拟计算'!B328)&lt;='模拟-模拟计算'!$C$2,'模拟-模拟计算'!B328&gt;0),'模拟-模拟计算'!B328," ")</f>
        <v>277.67250000000212</v>
      </c>
      <c r="C303" s="51" t="str">
        <f ca="1">IF(AND(INT('模拟-模拟计算'!B328)&lt;='模拟-模拟计算'!$C$2,'模拟-模拟计算'!B328&gt;0),'模拟-模拟计算'!C328," ")</f>
        <v>净世破魔击·月</v>
      </c>
      <c r="D303" s="104">
        <f ca="1">IF(AND(INT('模拟-模拟计算'!B328)&lt;='模拟-模拟计算'!$C$2,'模拟-模拟计算'!B328&gt;0),'模拟-模拟计算'!E328," ")</f>
        <v>20</v>
      </c>
      <c r="E303" s="104">
        <f ca="1">IF(AND(INT('模拟-模拟计算'!B328)&lt;='模拟-模拟计算'!$C$2,'模拟-模拟计算'!B328&gt;0),'模拟-模拟计算'!F328," ")</f>
        <v>20</v>
      </c>
      <c r="F303" s="51" t="str">
        <f ca="1">IF(AND(INT('模拟-模拟计算'!B328)&lt;='模拟-模拟计算'!$C$2,'模拟-模拟计算'!B328&gt;0),'模拟-模拟计算'!P328," ")</f>
        <v>识</v>
      </c>
      <c r="G303" s="52">
        <f ca="1">IF(AND(INT('模拟-模拟计算'!B328)&lt;='模拟-模拟计算'!$C$2,'模拟-模拟计算'!B328&gt;0),'模拟-模拟计算'!V328," ")</f>
        <v>14654.998860129956</v>
      </c>
      <c r="H303" s="52">
        <f ca="1">IF(AND(INT('模拟-模拟计算'!B328)&lt;='模拟-模拟计算'!$C$2,'模拟-模拟计算'!B328&gt;0),'模拟-模拟计算'!Y328," ")</f>
        <v>22972.720261048449</v>
      </c>
      <c r="I303" s="105">
        <f ca="1">IF(AND(INT('模拟-模拟计算'!B328)&lt;='模拟-模拟计算'!$C$2,'模拟-模拟计算'!B328&gt;0),'模拟-模拟计算'!AA328," ")</f>
        <v>113913.15957905818</v>
      </c>
    </row>
    <row r="304" spans="1:9" x14ac:dyDescent="0.2">
      <c r="A304" s="20">
        <f>INT('模拟-模拟计算'!B329+0.5)</f>
        <v>279</v>
      </c>
      <c r="B304" s="52">
        <f>IF(AND(INT('模拟-模拟计算'!B329)&lt;='模拟-模拟计算'!$C$2,'模拟-模拟计算'!B329&gt;0),'模拟-模拟计算'!B329," ")</f>
        <v>278.59500000000213</v>
      </c>
      <c r="C304" s="51" t="str">
        <f ca="1">IF(AND(INT('模拟-模拟计算'!B329)&lt;='模拟-模拟计算'!$C$2,'模拟-模拟计算'!B329&gt;0),'模拟-模拟计算'!C329," ")</f>
        <v>银月斩</v>
      </c>
      <c r="D304" s="104">
        <f ca="1">IF(AND(INT('模拟-模拟计算'!B329)&lt;='模拟-模拟计算'!$C$2,'模拟-模拟计算'!B329&gt;0),'模拟-模拟计算'!E329," ")</f>
        <v>20</v>
      </c>
      <c r="E304" s="104">
        <f ca="1">IF(AND(INT('模拟-模拟计算'!B329)&lt;='模拟-模拟计算'!$C$2,'模拟-模拟计算'!B329&gt;0),'模拟-模拟计算'!F329," ")</f>
        <v>65</v>
      </c>
      <c r="F304" s="51" t="str">
        <f ca="1">IF(AND(INT('模拟-模拟计算'!B329)&lt;='模拟-模拟计算'!$C$2,'模拟-模拟计算'!B329&gt;0),'模拟-模拟计算'!P329," ")</f>
        <v>命</v>
      </c>
      <c r="G304" s="52">
        <f ca="1">IF(AND(INT('模拟-模拟计算'!B329)&lt;='模拟-模拟计算'!$C$2,'模拟-模拟计算'!B329&gt;0),'模拟-模拟计算'!V329," ")</f>
        <v>22993.811102055657</v>
      </c>
      <c r="H304" s="52">
        <f ca="1">IF(AND(INT('模拟-模拟计算'!B329)&lt;='模拟-模拟计算'!$C$2,'模拟-模拟计算'!B329&gt;0),'模拟-模拟计算'!Y329," ")</f>
        <v>58073.846327849467</v>
      </c>
      <c r="I304" s="105">
        <f ca="1">IF(AND(INT('模拟-模拟计算'!B329)&lt;='模拟-模拟计算'!$C$2,'模拟-模拟计算'!B329&gt;0),'模拟-模拟计算'!AA329," ")</f>
        <v>113744.41626570428</v>
      </c>
    </row>
    <row r="305" spans="1:9" x14ac:dyDescent="0.2">
      <c r="A305" s="20">
        <f>INT('模拟-模拟计算'!B330+0.5)</f>
        <v>280</v>
      </c>
      <c r="B305" s="52">
        <f>IF(AND(INT('模拟-模拟计算'!B330)&lt;='模拟-模拟计算'!$C$2,'模拟-模拟计算'!B330&gt;0),'模拟-模拟计算'!B330," ")</f>
        <v>279.51750000000214</v>
      </c>
      <c r="C305" s="51" t="str">
        <f ca="1">IF(AND(INT('模拟-模拟计算'!B330)&lt;='模拟-模拟计算'!$C$2,'模拟-模拟计算'!B330&gt;0),'模拟-模拟计算'!C330," ")</f>
        <v>驱夜断愁</v>
      </c>
      <c r="D305" s="104">
        <f ca="1">IF(AND(INT('模拟-模拟计算'!B330)&lt;='模拟-模拟计算'!$C$2,'模拟-模拟计算'!B330&gt;0),'模拟-模拟计算'!E330," ")</f>
        <v>40</v>
      </c>
      <c r="E305" s="104">
        <f ca="1">IF(AND(INT('模拟-模拟计算'!B330)&lt;='模拟-模拟计算'!$C$2,'模拟-模拟计算'!B330&gt;0),'模拟-模拟计算'!F330," ")</f>
        <v>85</v>
      </c>
      <c r="F305" s="51" t="str">
        <f ca="1">IF(AND(INT('模拟-模拟计算'!B330)&lt;='模拟-模拟计算'!$C$2,'模拟-模拟计算'!B330&gt;0),'模拟-模拟计算'!P330," ")</f>
        <v>会</v>
      </c>
      <c r="G305" s="52">
        <f ca="1">IF(AND(INT('模拟-模拟计算'!B330)&lt;='模拟-模拟计算'!$C$2,'模拟-模拟计算'!B330&gt;0),'模拟-模拟计算'!V330," ")</f>
        <v>138916.16953986019</v>
      </c>
      <c r="H305" s="52">
        <f ca="1">IF(AND(INT('模拟-模拟计算'!B330)&lt;='模拟-模拟计算'!$C$2,'模拟-模拟计算'!B330&gt;0),'模拟-模拟计算'!Y330," ")</f>
        <v>139639.19082695429</v>
      </c>
      <c r="I305" s="105">
        <f ca="1">IF(AND(INT('模拟-模拟计算'!B330)&lt;='模拟-模拟计算'!$C$2,'模拟-模拟计算'!B330&gt;0),'模拟-模拟计算'!AA330," ")</f>
        <v>113868.59441849198</v>
      </c>
    </row>
    <row r="306" spans="1:9" x14ac:dyDescent="0.2">
      <c r="A306" s="20">
        <f>INT('模拟-模拟计算'!B331+0.5)</f>
        <v>280</v>
      </c>
      <c r="B306" s="52">
        <f>IF(AND(INT('模拟-模拟计算'!B331)&lt;='模拟-模拟计算'!$C$2,'模拟-模拟计算'!B331&gt;0),'模拟-模拟计算'!B331," ")</f>
        <v>280.44000000000216</v>
      </c>
      <c r="C306" s="51" t="str">
        <f ca="1">IF(AND(INT('模拟-模拟计算'!B331)&lt;='模拟-模拟计算'!$C$2,'模拟-模拟计算'!B331&gt;0),'模拟-模拟计算'!C331," ")</f>
        <v>烈日斩</v>
      </c>
      <c r="D306" s="104">
        <f ca="1">IF(AND(INT('模拟-模拟计算'!B331)&lt;='模拟-模拟计算'!$C$2,'模拟-模拟计算'!B331&gt;0),'模拟-模拟计算'!E331," ")</f>
        <v>80</v>
      </c>
      <c r="E306" s="104">
        <f ca="1">IF(AND(INT('模拟-模拟计算'!B331)&lt;='模拟-模拟计算'!$C$2,'模拟-模拟计算'!B331&gt;0),'模拟-模拟计算'!F331," ")</f>
        <v>85</v>
      </c>
      <c r="F306" s="51" t="str">
        <f ca="1">IF(AND(INT('模拟-模拟计算'!B331)&lt;='模拟-模拟计算'!$C$2,'模拟-模拟计算'!B331&gt;0),'模拟-模拟计算'!P331," ")</f>
        <v>会</v>
      </c>
      <c r="G306" s="52">
        <f ca="1">IF(AND(INT('模拟-模拟计算'!B331)&lt;='模拟-模拟计算'!$C$2,'模拟-模拟计算'!B331&gt;0),'模拟-模拟计算'!V331," ")</f>
        <v>114959.13666231967</v>
      </c>
      <c r="H306" s="52">
        <f ca="1">IF(AND(INT('模拟-模拟计算'!B331)&lt;='模拟-模拟计算'!$C$2,'模拟-模拟计算'!B331&gt;0),'模拟-模拟计算'!Y331," ")</f>
        <v>150039.17188811349</v>
      </c>
      <c r="I306" s="105">
        <f ca="1">IF(AND(INT('模拟-模拟计算'!B331)&lt;='模拟-模拟计算'!$C$2,'模拟-模拟计算'!B331&gt;0),'模拟-模拟计算'!AA331," ")</f>
        <v>114029.04012358774</v>
      </c>
    </row>
    <row r="307" spans="1:9" x14ac:dyDescent="0.2">
      <c r="A307" s="20">
        <f>INT('模拟-模拟计算'!B332+0.5)</f>
        <v>281</v>
      </c>
      <c r="B307" s="52">
        <f>IF(AND(INT('模拟-模拟计算'!B332)&lt;='模拟-模拟计算'!$C$2,'模拟-模拟计算'!B332&gt;0),'模拟-模拟计算'!B332," ")</f>
        <v>281.36250000000217</v>
      </c>
      <c r="C307" s="51" t="str">
        <f ca="1">IF(AND(INT('模拟-模拟计算'!B332)&lt;='模拟-模拟计算'!$C$2,'模拟-模拟计算'!B332&gt;0),'模拟-模拟计算'!C332," ")</f>
        <v>幽月轮1</v>
      </c>
      <c r="D307" s="104">
        <f ca="1">IF(AND(INT('模拟-模拟计算'!B332)&lt;='模拟-模拟计算'!$C$2,'模拟-模拟计算'!B332&gt;0),'模拟-模拟计算'!E332," ")</f>
        <v>80</v>
      </c>
      <c r="E307" s="104">
        <f ca="1">IF(AND(INT('模拟-模拟计算'!B332)&lt;='模拟-模拟计算'!$C$2,'模拟-模拟计算'!B332&gt;0),'模拟-模拟计算'!F332," ")</f>
        <v>100</v>
      </c>
      <c r="F307" s="51" t="str">
        <f ca="1">IF(AND(INT('模拟-模拟计算'!B332)&lt;='模拟-模拟计算'!$C$2,'模拟-模拟计算'!B332&gt;0),'模拟-模拟计算'!P332," ")</f>
        <v>会</v>
      </c>
      <c r="G307" s="52">
        <f ca="1">IF(AND(INT('模拟-模拟计算'!B332)&lt;='模拟-模拟计算'!$C$2,'模拟-模拟计算'!B332&gt;0),'模拟-模拟计算'!V332," ")</f>
        <v>38342.417102399864</v>
      </c>
      <c r="H307" s="52">
        <f ca="1">IF(AND(INT('模拟-模拟计算'!B332)&lt;='模拟-模拟计算'!$C$2,'模拟-模拟计算'!B332&gt;0),'模拟-模拟计算'!Y332," ")</f>
        <v>38703.927745946916</v>
      </c>
      <c r="I307" s="105">
        <f ca="1">IF(AND(INT('模拟-模拟计算'!B332)&lt;='模拟-模拟计算'!$C$2,'模拟-模拟计算'!B332&gt;0),'模拟-模拟计算'!AA332," ")</f>
        <v>113792.73336000671</v>
      </c>
    </row>
    <row r="308" spans="1:9" x14ac:dyDescent="0.2">
      <c r="A308" s="20">
        <f>INT('模拟-模拟计算'!B333+0.5)</f>
        <v>282</v>
      </c>
      <c r="B308" s="52">
        <f>IF(AND(INT('模拟-模拟计算'!B333)&lt;='模拟-模拟计算'!$C$2,'模拟-模拟计算'!B333&gt;0),'模拟-模拟计算'!B333," ")</f>
        <v>282.28500000000219</v>
      </c>
      <c r="C308" s="51" t="str">
        <f ca="1">IF(AND(INT('模拟-模拟计算'!B333)&lt;='模拟-模拟计算'!$C$2,'模拟-模拟计算'!B333&gt;0),'模拟-模拟计算'!C333," ")</f>
        <v>净世破魔击·月</v>
      </c>
      <c r="D308" s="104">
        <f ca="1">IF(AND(INT('模拟-模拟计算'!B333)&lt;='模拟-模拟计算'!$C$2,'模拟-模拟计算'!B333&gt;0),'模拟-模拟计算'!E333," ")</f>
        <v>100</v>
      </c>
      <c r="E308" s="104">
        <f ca="1">IF(AND(INT('模拟-模拟计算'!B333)&lt;='模拟-模拟计算'!$C$2,'模拟-模拟计算'!B333&gt;0),'模拟-模拟计算'!F333," ")</f>
        <v>20</v>
      </c>
      <c r="F308" s="51" t="str">
        <f ca="1">IF(AND(INT('模拟-模拟计算'!B333)&lt;='模拟-模拟计算'!$C$2,'模拟-模拟计算'!B333&gt;0),'模拟-模拟计算'!P333," ")</f>
        <v>会</v>
      </c>
      <c r="G308" s="52">
        <f ca="1">IF(AND(INT('模拟-模拟计算'!B333)&lt;='模拟-模拟计算'!$C$2,'模拟-模拟计算'!B333&gt;0),'模拟-模拟计算'!V333," ")</f>
        <v>182541.2211190153</v>
      </c>
      <c r="H308" s="52">
        <f ca="1">IF(AND(INT('模拟-模拟计算'!B333)&lt;='模拟-模拟计算'!$C$2,'模拟-模拟计算'!B333&gt;0),'模拟-模拟计算'!Y333," ")</f>
        <v>234826.42594105488</v>
      </c>
      <c r="I308" s="105">
        <f ca="1">IF(AND(INT('模拟-模拟计算'!B333)&lt;='模拟-模拟计算'!$C$2,'模拟-模拟计算'!B333&gt;0),'模拟-模拟计算'!AA333," ")</f>
        <v>114252.73877799365</v>
      </c>
    </row>
    <row r="309" spans="1:9" x14ac:dyDescent="0.2">
      <c r="A309" s="20">
        <f>INT('模拟-模拟计算'!B334+0.5)</f>
        <v>283</v>
      </c>
      <c r="B309" s="52">
        <f>IF(AND(INT('模拟-模拟计算'!B334)&lt;='模拟-模拟计算'!$C$2,'模拟-模拟计算'!B334&gt;0),'模拟-模拟计算'!B334," ")</f>
        <v>283.2075000000022</v>
      </c>
      <c r="C309" s="51" t="str">
        <f ca="1">IF(AND(INT('模拟-模拟计算'!B334)&lt;='模拟-模拟计算'!$C$2,'模拟-模拟计算'!B334&gt;0),'模拟-模拟计算'!C334," ")</f>
        <v>净世破魔击·日</v>
      </c>
      <c r="D309" s="104">
        <f ca="1">IF(AND(INT('模拟-模拟计算'!B334)&lt;='模拟-模拟计算'!$C$2,'模拟-模拟计算'!B334&gt;0),'模拟-模拟计算'!E334," ")</f>
        <v>0</v>
      </c>
      <c r="E309" s="104">
        <f ca="1">IF(AND(INT('模拟-模拟计算'!B334)&lt;='模拟-模拟计算'!$C$2,'模拟-模拟计算'!B334&gt;0),'模拟-模拟计算'!F334," ")</f>
        <v>20</v>
      </c>
      <c r="F309" s="51" t="str">
        <f ca="1">IF(AND(INT('模拟-模拟计算'!B334)&lt;='模拟-模拟计算'!$C$2,'模拟-模拟计算'!B334&gt;0),'模拟-模拟计算'!P334," ")</f>
        <v>命</v>
      </c>
      <c r="G309" s="52">
        <f ca="1">IF(AND(INT('模拟-模拟计算'!B334)&lt;='模拟-模拟计算'!$C$2,'模拟-模拟计算'!B334&gt;0),'模拟-模拟计算'!V334," ")</f>
        <v>90597.625627626709</v>
      </c>
      <c r="H309" s="52">
        <f ca="1">IF(AND(INT('模拟-模拟计算'!B334)&lt;='模拟-模拟计算'!$C$2,'模拟-模拟计算'!B334&gt;0),'模拟-模拟计算'!Y334," ")</f>
        <v>93442.716845861039</v>
      </c>
      <c r="I309" s="105">
        <f ca="1">IF(AND(INT('模拟-模拟计算'!B334)&lt;='模拟-模拟计算'!$C$2,'模拟-模拟计算'!B334&gt;0),'模拟-模拟计算'!AA334," ")</f>
        <v>114210.52437803306</v>
      </c>
    </row>
    <row r="310" spans="1:9" x14ac:dyDescent="0.2">
      <c r="A310" s="20">
        <f>INT('模拟-模拟计算'!B335+0.5)</f>
        <v>284</v>
      </c>
      <c r="B310" s="52">
        <f>IF(AND(INT('模拟-模拟计算'!B335)&lt;='模拟-模拟计算'!$C$2,'模拟-模拟计算'!B335&gt;0),'模拟-模拟计算'!B335," ")</f>
        <v>284.13000000000221</v>
      </c>
      <c r="C310" s="51" t="str">
        <f ca="1">IF(AND(INT('模拟-模拟计算'!B335)&lt;='模拟-模拟计算'!$C$2,'模拟-模拟计算'!B335&gt;0),'模拟-模拟计算'!C335," ")</f>
        <v>赤日轮1</v>
      </c>
      <c r="D310" s="104">
        <f ca="1">IF(AND(INT('模拟-模拟计算'!B335)&lt;='模拟-模拟计算'!$C$2,'模拟-模拟计算'!B335&gt;0),'模拟-模拟计算'!E335," ")</f>
        <v>20</v>
      </c>
      <c r="E310" s="104">
        <f ca="1">IF(AND(INT('模拟-模拟计算'!B335)&lt;='模拟-模拟计算'!$C$2,'模拟-模拟计算'!B335&gt;0),'模拟-模拟计算'!F335," ")</f>
        <v>20</v>
      </c>
      <c r="F310" s="51" t="str">
        <f ca="1">IF(AND(INT('模拟-模拟计算'!B335)&lt;='模拟-模拟计算'!$C$2,'模拟-模拟计算'!B335&gt;0),'模拟-模拟计算'!P335," ")</f>
        <v>命</v>
      </c>
      <c r="G310" s="52">
        <f ca="1">IF(AND(INT('模拟-模拟计算'!B335)&lt;='模拟-模拟计算'!$C$2,'模拟-模拟计算'!B335&gt;0),'模拟-模拟计算'!V335," ")</f>
        <v>25194.44799269021</v>
      </c>
      <c r="H310" s="52">
        <f ca="1">IF(AND(INT('模拟-模拟计算'!B335)&lt;='模拟-模拟计算'!$C$2,'模拟-模拟计算'!B335&gt;0),'模拟-模拟计算'!Y335," ")</f>
        <v>46290.969259571386</v>
      </c>
      <c r="I310" s="105">
        <f ca="1">IF(AND(INT('模拟-模拟计算'!B335)&lt;='模拟-模拟计算'!$C$2,'模拟-模拟计算'!B335&gt;0),'模拟-模拟计算'!AA335," ")</f>
        <v>114002.63278095017</v>
      </c>
    </row>
    <row r="311" spans="1:9" x14ac:dyDescent="0.2">
      <c r="A311" s="20">
        <f>INT('模拟-模拟计算'!B336+0.5)</f>
        <v>285</v>
      </c>
      <c r="B311" s="52">
        <f>IF(AND(INT('模拟-模拟计算'!B336)&lt;='模拟-模拟计算'!$C$2,'模拟-模拟计算'!B336&gt;0),'模拟-模拟计算'!B336," ")</f>
        <v>285.05250000000223</v>
      </c>
      <c r="C311" s="51" t="str">
        <f ca="1">IF(AND(INT('模拟-模拟计算'!B336)&lt;='模拟-模拟计算'!$C$2,'模拟-模拟计算'!B336&gt;0),'模拟-模拟计算'!C336," ")</f>
        <v>银月斩</v>
      </c>
      <c r="D311" s="104">
        <f ca="1">IF(AND(INT('模拟-模拟计算'!B336)&lt;='模拟-模拟计算'!$C$2,'模拟-模拟计算'!B336&gt;0),'模拟-模拟计算'!E336," ")</f>
        <v>20</v>
      </c>
      <c r="E311" s="104">
        <f ca="1">IF(AND(INT('模拟-模拟计算'!B336)&lt;='模拟-模拟计算'!$C$2,'模拟-模拟计算'!B336&gt;0),'模拟-模拟计算'!F336," ")</f>
        <v>65</v>
      </c>
      <c r="F311" s="51" t="str">
        <f ca="1">IF(AND(INT('模拟-模拟计算'!B336)&lt;='模拟-模拟计算'!$C$2,'模拟-模拟计算'!B336&gt;0),'模拟-模拟计算'!P336," ")</f>
        <v>命</v>
      </c>
      <c r="G311" s="52">
        <f ca="1">IF(AND(INT('模拟-模拟计算'!B336)&lt;='模拟-模拟计算'!$C$2,'模拟-模拟计算'!B336&gt;0),'模拟-模拟计算'!V336," ")</f>
        <v>18215.255972688272</v>
      </c>
      <c r="H311" s="52">
        <f ca="1">IF(AND(INT('模拟-模拟计算'!B336)&lt;='模拟-模拟计算'!$C$2,'模拟-模拟计算'!B336&gt;0),'模拟-模拟计算'!Y336," ")</f>
        <v>27139.513260366686</v>
      </c>
      <c r="I311" s="105">
        <f ca="1">IF(AND(INT('模拟-模拟计算'!B336)&lt;='模拟-模拟计算'!$C$2,'模拟-模拟计算'!B336&gt;0),'模拟-模拟计算'!AA336," ")</f>
        <v>113728.90104563803</v>
      </c>
    </row>
    <row r="312" spans="1:9" x14ac:dyDescent="0.2">
      <c r="A312" s="20">
        <f>INT('模拟-模拟计算'!B337+0.5)</f>
        <v>286</v>
      </c>
      <c r="B312" s="52">
        <f>IF(AND(INT('模拟-模拟计算'!B337)&lt;='模拟-模拟计算'!$C$2,'模拟-模拟计算'!B337&gt;0),'模拟-模拟计算'!B337," ")</f>
        <v>285.97500000000224</v>
      </c>
      <c r="C312" s="51" t="str">
        <f ca="1">IF(AND(INT('模拟-模拟计算'!B337)&lt;='模拟-模拟计算'!$C$2,'模拟-模拟计算'!B337&gt;0),'模拟-模拟计算'!C337," ")</f>
        <v>驱夜断愁</v>
      </c>
      <c r="D312" s="104">
        <f ca="1">IF(AND(INT('模拟-模拟计算'!B337)&lt;='模拟-模拟计算'!$C$2,'模拟-模拟计算'!B337&gt;0),'模拟-模拟计算'!E337," ")</f>
        <v>40</v>
      </c>
      <c r="E312" s="104">
        <f ca="1">IF(AND(INT('模拟-模拟计算'!B337)&lt;='模拟-模拟计算'!$C$2,'模拟-模拟计算'!B337&gt;0),'模拟-模拟计算'!F337," ")</f>
        <v>85</v>
      </c>
      <c r="F312" s="51" t="str">
        <f ca="1">IF(AND(INT('模拟-模拟计算'!B337)&lt;='模拟-模拟计算'!$C$2,'模拟-模拟计算'!B337&gt;0),'模拟-模拟计算'!P337," ")</f>
        <v>会</v>
      </c>
      <c r="G312" s="52">
        <f ca="1">IF(AND(INT('模拟-模拟计算'!B337)&lt;='模拟-模拟计算'!$C$2,'模拟-模拟计算'!B337&gt;0),'模拟-模拟计算'!V337," ")</f>
        <v>133079.35569364758</v>
      </c>
      <c r="H312" s="52">
        <f ca="1">IF(AND(INT('模拟-模拟计算'!B337)&lt;='模拟-模拟计算'!$C$2,'模拟-模拟计算'!B337&gt;0),'模拟-模拟计算'!Y337," ")</f>
        <v>154537.3876040758</v>
      </c>
      <c r="I312" s="105">
        <f ca="1">IF(AND(INT('模拟-模拟计算'!B337)&lt;='模拟-模拟计算'!$C$2,'模拟-模拟计算'!B337&gt;0),'模拟-模拟计算'!AA337," ")</f>
        <v>113902.42137570001</v>
      </c>
    </row>
    <row r="313" spans="1:9" x14ac:dyDescent="0.2">
      <c r="A313" s="20">
        <f>INT('模拟-模拟计算'!B338+0.5)</f>
        <v>287</v>
      </c>
      <c r="B313" s="52">
        <f>IF(AND(INT('模拟-模拟计算'!B338)&lt;='模拟-模拟计算'!$C$2,'模拟-模拟计算'!B338&gt;0),'模拟-模拟计算'!B338," ")</f>
        <v>286.89750000000225</v>
      </c>
      <c r="C313" s="51" t="str">
        <f ca="1">IF(AND(INT('模拟-模拟计算'!B338)&lt;='模拟-模拟计算'!$C$2,'模拟-模拟计算'!B338&gt;0),'模拟-模拟计算'!C338," ")</f>
        <v>烈日斩</v>
      </c>
      <c r="D313" s="104">
        <f ca="1">IF(AND(INT('模拟-模拟计算'!B338)&lt;='模拟-模拟计算'!$C$2,'模拟-模拟计算'!B338&gt;0),'模拟-模拟计算'!E338," ")</f>
        <v>80</v>
      </c>
      <c r="E313" s="104">
        <f ca="1">IF(AND(INT('模拟-模拟计算'!B338)&lt;='模拟-模拟计算'!$C$2,'模拟-模拟计算'!B338&gt;0),'模拟-模拟计算'!F338," ")</f>
        <v>85</v>
      </c>
      <c r="F313" s="51" t="str">
        <f ca="1">IF(AND(INT('模拟-模拟计算'!B338)&lt;='模拟-模拟计算'!$C$2,'模拟-模拟计算'!B338&gt;0),'模拟-模拟计算'!P338," ")</f>
        <v>会</v>
      </c>
      <c r="G313" s="52">
        <f ca="1">IF(AND(INT('模拟-模拟计算'!B338)&lt;='模拟-模拟计算'!$C$2,'模拟-模拟计算'!B338&gt;0),'模拟-模拟计算'!V338," ")</f>
        <v>110503.35617153208</v>
      </c>
      <c r="H313" s="52">
        <f ca="1">IF(AND(INT('模拟-模拟计算'!B338)&lt;='模拟-模拟计算'!$C$2,'模拟-模拟计算'!B338&gt;0),'模拟-模拟计算'!Y338," ")</f>
        <v>110864.86681507913</v>
      </c>
      <c r="I313" s="105">
        <f ca="1">IF(AND(INT('模拟-模拟计算'!B338)&lt;='模拟-模拟计算'!$C$2,'模拟-模拟计算'!B338&gt;0),'模拟-模拟计算'!AA338," ")</f>
        <v>113922.60239190265</v>
      </c>
    </row>
    <row r="314" spans="1:9" x14ac:dyDescent="0.2">
      <c r="A314" s="20">
        <f>INT('模拟-模拟计算'!B339+0.5)</f>
        <v>288</v>
      </c>
      <c r="B314" s="52">
        <f>IF(AND(INT('模拟-模拟计算'!B339)&lt;='模拟-模拟计算'!$C$2,'模拟-模拟计算'!B339&gt;0),'模拟-模拟计算'!B339," ")</f>
        <v>287.82000000000227</v>
      </c>
      <c r="C314" s="51" t="str">
        <f ca="1">IF(AND(INT('模拟-模拟计算'!B339)&lt;='模拟-模拟计算'!$C$2,'模拟-模拟计算'!B339&gt;0),'模拟-模拟计算'!C339," ")</f>
        <v>幽月轮1</v>
      </c>
      <c r="D314" s="104">
        <f ca="1">IF(AND(INT('模拟-模拟计算'!B339)&lt;='模拟-模拟计算'!$C$2,'模拟-模拟计算'!B339&gt;0),'模拟-模拟计算'!E339," ")</f>
        <v>80</v>
      </c>
      <c r="E314" s="104">
        <f ca="1">IF(AND(INT('模拟-模拟计算'!B339)&lt;='模拟-模拟计算'!$C$2,'模拟-模拟计算'!B339&gt;0),'模拟-模拟计算'!F339," ")</f>
        <v>100</v>
      </c>
      <c r="F314" s="51" t="str">
        <f ca="1">IF(AND(INT('模拟-模拟计算'!B339)&lt;='模拟-模拟计算'!$C$2,'模拟-模拟计算'!B339&gt;0),'模拟-模拟计算'!P339," ")</f>
        <v>命</v>
      </c>
      <c r="G314" s="52">
        <f ca="1">IF(AND(INT('模拟-模拟计算'!B339)&lt;='模拟-模拟计算'!$C$2,'模拟-模拟计算'!B339&gt;0),'模拟-模拟计算'!V339," ")</f>
        <v>16939.18703301924</v>
      </c>
      <c r="H314" s="52">
        <f ca="1">IF(AND(INT('模拟-模拟计算'!B339)&lt;='模拟-模拟计算'!$C$2,'模拟-模拟计算'!B339&gt;0),'模拟-模拟计算'!Y339," ")</f>
        <v>34440.743839759685</v>
      </c>
      <c r="I314" s="105">
        <f ca="1">IF(AND(INT('模拟-模拟计算'!B339)&lt;='模拟-模拟计算'!$C$2,'模拟-模拟计算'!B339&gt;0),'模拟-模拟计算'!AA339," ")</f>
        <v>113677.12654982506</v>
      </c>
    </row>
    <row r="315" spans="1:9" x14ac:dyDescent="0.2">
      <c r="A315" s="20">
        <f>INT('模拟-模拟计算'!B340+0.5)</f>
        <v>289</v>
      </c>
      <c r="B315" s="52">
        <f>IF(AND(INT('模拟-模拟计算'!B340)&lt;='模拟-模拟计算'!$C$2,'模拟-模拟计算'!B340&gt;0),'模拟-模拟计算'!B340," ")</f>
        <v>288.74250000000228</v>
      </c>
      <c r="C315" s="51" t="str">
        <f ca="1">IF(AND(INT('模拟-模拟计算'!B340)&lt;='模拟-模拟计算'!$C$2,'模拟-模拟计算'!B340&gt;0),'模拟-模拟计算'!C340," ")</f>
        <v>净世破魔击·月</v>
      </c>
      <c r="D315" s="104">
        <f ca="1">IF(AND(INT('模拟-模拟计算'!B340)&lt;='模拟-模拟计算'!$C$2,'模拟-模拟计算'!B340&gt;0),'模拟-模拟计算'!E340," ")</f>
        <v>100</v>
      </c>
      <c r="E315" s="104">
        <f ca="1">IF(AND(INT('模拟-模拟计算'!B340)&lt;='模拟-模拟计算'!$C$2,'模拟-模拟计算'!B340&gt;0),'模拟-模拟计算'!F340," ")</f>
        <v>20</v>
      </c>
      <c r="F315" s="51" t="str">
        <f ca="1">IF(AND(INT('模拟-模拟计算'!B340)&lt;='模拟-模拟计算'!$C$2,'模拟-模拟计算'!B340&gt;0),'模拟-模拟计算'!P340," ")</f>
        <v>会</v>
      </c>
      <c r="G315" s="52">
        <f ca="1">IF(AND(INT('模拟-模拟计算'!B340)&lt;='模拟-模拟计算'!$C$2,'模拟-模拟计算'!B340&gt;0),'模拟-模拟计算'!V340," ")</f>
        <v>182541.2211190153</v>
      </c>
      <c r="H315" s="52">
        <f ca="1">IF(AND(INT('模拟-模拟计算'!B340)&lt;='模拟-模拟计算'!$C$2,'模拟-模拟计算'!B340&gt;0),'模拟-模拟计算'!Y340," ")</f>
        <v>256525.7857291195</v>
      </c>
      <c r="I315" s="105">
        <f ca="1">IF(AND(INT('模拟-模拟计算'!B340)&lt;='模拟-模拟计算'!$C$2,'模拟-模拟计算'!B340&gt;0),'模拟-模拟计算'!AA340," ")</f>
        <v>114202.36490748596</v>
      </c>
    </row>
    <row r="316" spans="1:9" x14ac:dyDescent="0.2">
      <c r="A316" s="20">
        <f>INT('模拟-模拟计算'!B341+0.5)</f>
        <v>290</v>
      </c>
      <c r="B316" s="52">
        <f>IF(AND(INT('模拟-模拟计算'!B341)&lt;='模拟-模拟计算'!$C$2,'模拟-模拟计算'!B341&gt;0),'模拟-模拟计算'!B341," ")</f>
        <v>289.66500000000229</v>
      </c>
      <c r="C316" s="51" t="str">
        <f ca="1">IF(AND(INT('模拟-模拟计算'!B341)&lt;='模拟-模拟计算'!$C$2,'模拟-模拟计算'!B341&gt;0),'模拟-模拟计算'!C341," ")</f>
        <v>净世破魔击·日</v>
      </c>
      <c r="D316" s="104">
        <f ca="1">IF(AND(INT('模拟-模拟计算'!B341)&lt;='模拟-模拟计算'!$C$2,'模拟-模拟计算'!B341&gt;0),'模拟-模拟计算'!E341," ")</f>
        <v>0</v>
      </c>
      <c r="E316" s="104">
        <f ca="1">IF(AND(INT('模拟-模拟计算'!B341)&lt;='模拟-模拟计算'!$C$2,'模拟-模拟计算'!B341&gt;0),'模拟-模拟计算'!F341," ")</f>
        <v>20</v>
      </c>
      <c r="F316" s="51" t="str">
        <f ca="1">IF(AND(INT('模拟-模拟计算'!B341)&lt;='模拟-模拟计算'!$C$2,'模拟-模拟计算'!B341&gt;0),'模拟-模拟计算'!P341," ")</f>
        <v>命</v>
      </c>
      <c r="G316" s="52">
        <f ca="1">IF(AND(INT('模拟-模拟计算'!B341)&lt;='模拟-模拟计算'!$C$2,'模拟-模拟计算'!B341&gt;0),'模拟-模拟计算'!V341," ")</f>
        <v>94575.365106402023</v>
      </c>
      <c r="H316" s="52">
        <f ca="1">IF(AND(INT('模拟-模拟计算'!B341)&lt;='模拟-模拟计算'!$C$2,'模拟-模拟计算'!B341&gt;0),'模拟-模拟计算'!Y341," ")</f>
        <v>138857.14515060006</v>
      </c>
      <c r="I316" s="105">
        <f ca="1">IF(AND(INT('模拟-模拟计算'!B341)&lt;='模拟-模拟计算'!$C$2,'模拟-模拟计算'!B341&gt;0),'模拟-模拟计算'!AA341," ")</f>
        <v>114318.03460704732</v>
      </c>
    </row>
    <row r="317" spans="1:9" x14ac:dyDescent="0.2">
      <c r="A317" s="20">
        <f>INT('模拟-模拟计算'!B342+0.5)</f>
        <v>291</v>
      </c>
      <c r="B317" s="52">
        <f>IF(AND(INT('模拟-模拟计算'!B342)&lt;='模拟-模拟计算'!$C$2,'模拟-模拟计算'!B342&gt;0),'模拟-模拟计算'!B342," ")</f>
        <v>290.58750000000231</v>
      </c>
      <c r="C317" s="51" t="str">
        <f ca="1">IF(AND(INT('模拟-模拟计算'!B342)&lt;='模拟-模拟计算'!$C$2,'模拟-模拟计算'!B342&gt;0),'模拟-模拟计算'!C342," ")</f>
        <v>赤日轮1</v>
      </c>
      <c r="D317" s="104">
        <f ca="1">IF(AND(INT('模拟-模拟计算'!B342)&lt;='模拟-模拟计算'!$C$2,'模拟-模拟计算'!B342&gt;0),'模拟-模拟计算'!E342," ")</f>
        <v>20</v>
      </c>
      <c r="E317" s="104">
        <f ca="1">IF(AND(INT('模拟-模拟计算'!B342)&lt;='模拟-模拟计算'!$C$2,'模拟-模拟计算'!B342&gt;0),'模拟-模拟计算'!F342," ")</f>
        <v>20</v>
      </c>
      <c r="F317" s="51" t="str">
        <f ca="1">IF(AND(INT('模拟-模拟计算'!B342)&lt;='模拟-模拟计算'!$C$2,'模拟-模拟计算'!B342&gt;0),'模拟-模拟计算'!P342," ")</f>
        <v>会</v>
      </c>
      <c r="G317" s="52">
        <f ca="1">IF(AND(INT('模拟-模拟计算'!B342)&lt;='模拟-模拟计算'!$C$2,'模拟-模拟计算'!B342&gt;0),'模拟-模拟计算'!V342," ")</f>
        <v>56864.156113360666</v>
      </c>
      <c r="H317" s="52">
        <f ca="1">IF(AND(INT('模拟-模拟计算'!B342)&lt;='模拟-模拟计算'!$C$2,'模拟-模拟计算'!B342&gt;0),'模拟-模拟计算'!Y342," ")</f>
        <v>57225.666756907711</v>
      </c>
      <c r="I317" s="105">
        <f ca="1">IF(AND(INT('模拟-模拟计算'!B342)&lt;='模拟-模拟计算'!$C$2,'模拟-模拟计算'!B342&gt;0),'模拟-模拟计算'!AA342," ")</f>
        <v>114152.05114193581</v>
      </c>
    </row>
    <row r="318" spans="1:9" x14ac:dyDescent="0.2">
      <c r="A318" s="20">
        <f>INT('模拟-模拟计算'!B343+0.5)</f>
        <v>292</v>
      </c>
      <c r="B318" s="52">
        <f>IF(AND(INT('模拟-模拟计算'!B343)&lt;='模拟-模拟计算'!$C$2,'模拟-模拟计算'!B343&gt;0),'模拟-模拟计算'!B343," ")</f>
        <v>291.51000000000232</v>
      </c>
      <c r="C318" s="51" t="str">
        <f ca="1">IF(AND(INT('模拟-模拟计算'!B343)&lt;='模拟-模拟计算'!$C$2,'模拟-模拟计算'!B343&gt;0),'模拟-模拟计算'!C343," ")</f>
        <v>银月斩</v>
      </c>
      <c r="D318" s="104">
        <f ca="1">IF(AND(INT('模拟-模拟计算'!B343)&lt;='模拟-模拟计算'!$C$2,'模拟-模拟计算'!B343&gt;0),'模拟-模拟计算'!E343," ")</f>
        <v>20</v>
      </c>
      <c r="E318" s="104">
        <f ca="1">IF(AND(INT('模拟-模拟计算'!B343)&lt;='模拟-模拟计算'!$C$2,'模拟-模拟计算'!B343&gt;0),'模拟-模拟计算'!F343," ")</f>
        <v>65</v>
      </c>
      <c r="F318" s="51" t="str">
        <f ca="1">IF(AND(INT('模拟-模拟计算'!B343)&lt;='模拟-模拟计算'!$C$2,'模拟-模拟计算'!B343&gt;0),'模拟-模拟计算'!P343," ")</f>
        <v>会</v>
      </c>
      <c r="G318" s="52">
        <f ca="1">IF(AND(INT('模拟-模拟计算'!B343)&lt;='模拟-模拟计算'!$C$2,'模拟-模拟计算'!B343&gt;0),'模拟-模拟计算'!V343," ")</f>
        <v>41211.704893206668</v>
      </c>
      <c r="H318" s="52">
        <f ca="1">IF(AND(INT('模拟-模拟计算'!B343)&lt;='模拟-模拟计算'!$C$2,'模拟-模拟计算'!B343&gt;0),'模拟-模拟计算'!Y343," ")</f>
        <v>59117.925577968417</v>
      </c>
      <c r="I318" s="105">
        <f ca="1">IF(AND(INT('模拟-模拟计算'!B343)&lt;='模拟-模拟计算'!$C$2,'模拟-模拟计算'!B343&gt;0),'模拟-模拟计算'!AA343," ")</f>
        <v>113993.60943633234</v>
      </c>
    </row>
    <row r="319" spans="1:9" x14ac:dyDescent="0.2">
      <c r="A319" s="20">
        <f>INT('模拟-模拟计算'!B344+0.5)</f>
        <v>292</v>
      </c>
      <c r="B319" s="52">
        <f>IF(AND(INT('模拟-模拟计算'!B344)&lt;='模拟-模拟计算'!$C$2,'模拟-模拟计算'!B344&gt;0),'模拟-模拟计算'!B344," ")</f>
        <v>292.43250000000234</v>
      </c>
      <c r="C319" s="51" t="str">
        <f ca="1">IF(AND(INT('模拟-模拟计算'!B344)&lt;='模拟-模拟计算'!$C$2,'模拟-模拟计算'!B344&gt;0),'模拟-模拟计算'!C344," ")</f>
        <v>驱夜断愁</v>
      </c>
      <c r="D319" s="104">
        <f ca="1">IF(AND(INT('模拟-模拟计算'!B344)&lt;='模拟-模拟计算'!$C$2,'模拟-模拟计算'!B344&gt;0),'模拟-模拟计算'!E344," ")</f>
        <v>40</v>
      </c>
      <c r="E319" s="104">
        <f ca="1">IF(AND(INT('模拟-模拟计算'!B344)&lt;='模拟-模拟计算'!$C$2,'模拟-模拟计算'!B344&gt;0),'模拟-模拟计算'!F344," ")</f>
        <v>85</v>
      </c>
      <c r="F319" s="51" t="str">
        <f ca="1">IF(AND(INT('模拟-模拟计算'!B344)&lt;='模拟-模拟计算'!$C$2,'模拟-模拟计算'!B344&gt;0),'模拟-模拟计算'!P344," ")</f>
        <v>命</v>
      </c>
      <c r="G319" s="52">
        <f ca="1">IF(AND(INT('模拟-模拟计算'!B344)&lt;='模拟-模拟计算'!$C$2,'模拟-模拟计算'!B344&gt;0),'模拟-模拟计算'!V344," ")</f>
        <v>61540.073489592025</v>
      </c>
      <c r="H319" s="52">
        <f ca="1">IF(AND(INT('模拟-模拟计算'!B344)&lt;='模拟-模拟计算'!$C$2,'模拟-模拟计算'!B344&gt;0),'模拟-模拟计算'!Y344," ")</f>
        <v>62263.094776686121</v>
      </c>
      <c r="I319" s="105">
        <f ca="1">IF(AND(INT('模拟-模拟计算'!B344)&lt;='模拟-模拟计算'!$C$2,'模拟-模拟计算'!B344&gt;0),'模拟-模拟计算'!AA344," ")</f>
        <v>113846.92256011874</v>
      </c>
    </row>
    <row r="320" spans="1:9" x14ac:dyDescent="0.2">
      <c r="A320" s="20">
        <f>INT('模拟-模拟计算'!B345+0.5)</f>
        <v>293</v>
      </c>
      <c r="B320" s="52">
        <f>IF(AND(INT('模拟-模拟计算'!B345)&lt;='模拟-模拟计算'!$C$2,'模拟-模拟计算'!B345&gt;0),'模拟-模拟计算'!B345," ")</f>
        <v>293.35500000000235</v>
      </c>
      <c r="C320" s="51" t="str">
        <f ca="1">IF(AND(INT('模拟-模拟计算'!B345)&lt;='模拟-模拟计算'!$C$2,'模拟-模拟计算'!B345&gt;0),'模拟-模拟计算'!C345," ")</f>
        <v>烈日斩</v>
      </c>
      <c r="D320" s="104">
        <f ca="1">IF(AND(INT('模拟-模拟计算'!B345)&lt;='模拟-模拟计算'!$C$2,'模拟-模拟计算'!B345&gt;0),'模拟-模拟计算'!E345," ")</f>
        <v>80</v>
      </c>
      <c r="E320" s="104">
        <f ca="1">IF(AND(INT('模拟-模拟计算'!B345)&lt;='模拟-模拟计算'!$C$2,'模拟-模拟计算'!B345&gt;0),'模拟-模拟计算'!F345," ")</f>
        <v>85</v>
      </c>
      <c r="F320" s="51" t="str">
        <f ca="1">IF(AND(INT('模拟-模拟计算'!B345)&lt;='模拟-模拟计算'!$C$2,'模拟-模拟计算'!B345&gt;0),'模拟-模拟计算'!P345," ")</f>
        <v>识</v>
      </c>
      <c r="G320" s="52">
        <f ca="1">IF(AND(INT('模拟-模拟计算'!B345)&lt;='模拟-模拟计算'!$C$2,'模拟-模拟计算'!B345&gt;0),'模拟-模拟计算'!V345," ")</f>
        <v>12210.407963717831</v>
      </c>
      <c r="H320" s="52">
        <f ca="1">IF(AND(INT('模拟-模拟计算'!B345)&lt;='模拟-模拟计算'!$C$2,'模拟-模拟计算'!B345&gt;0),'模拟-模拟计算'!Y345," ")</f>
        <v>47290.443189511643</v>
      </c>
      <c r="I320" s="105">
        <f ca="1">IF(AND(INT('模拟-模拟计算'!B345)&lt;='模拟-模拟计算'!$C$2,'模拟-模拟计算'!B345&gt;0),'模拟-模拟计算'!AA345," ")</f>
        <v>113650.11888241698</v>
      </c>
    </row>
    <row r="321" spans="1:9" x14ac:dyDescent="0.2">
      <c r="A321" s="20">
        <f>INT('模拟-模拟计算'!B346+0.5)</f>
        <v>294</v>
      </c>
      <c r="B321" s="52">
        <f>IF(AND(INT('模拟-模拟计算'!B346)&lt;='模拟-模拟计算'!$C$2,'模拟-模拟计算'!B346&gt;0),'模拟-模拟计算'!B346," ")</f>
        <v>294.27750000000236</v>
      </c>
      <c r="C321" s="51" t="str">
        <f ca="1">IF(AND(INT('模拟-模拟计算'!B346)&lt;='模拟-模拟计算'!$C$2,'模拟-模拟计算'!B346&gt;0),'模拟-模拟计算'!C346," ")</f>
        <v>幽月轮1</v>
      </c>
      <c r="D321" s="104">
        <f ca="1">IF(AND(INT('模拟-模拟计算'!B346)&lt;='模拟-模拟计算'!$C$2,'模拟-模拟计算'!B346&gt;0),'模拟-模拟计算'!E346," ")</f>
        <v>80</v>
      </c>
      <c r="E321" s="104">
        <f ca="1">IF(AND(INT('模拟-模拟计算'!B346)&lt;='模拟-模拟计算'!$C$2,'模拟-模拟计算'!B346&gt;0),'模拟-模拟计算'!F346," ")</f>
        <v>100</v>
      </c>
      <c r="F321" s="51" t="str">
        <f ca="1">IF(AND(INT('模拟-模拟计算'!B346)&lt;='模拟-模拟计算'!$C$2,'模拟-模拟计算'!B346&gt;0),'模拟-模拟计算'!P346," ")</f>
        <v>识</v>
      </c>
      <c r="G321" s="52">
        <f ca="1">IF(AND(INT('模拟-模拟计算'!B346)&lt;='模拟-模拟计算'!$C$2,'模拟-模拟计算'!B346&gt;0),'模拟-模拟计算'!V346," ")</f>
        <v>4234.7967582548099</v>
      </c>
      <c r="H321" s="52">
        <f ca="1">IF(AND(INT('模拟-模拟计算'!B346)&lt;='模拟-模拟计算'!$C$2,'模拟-模拟计算'!B346&gt;0),'模拟-模拟计算'!Y346," ")</f>
        <v>4596.3074018018578</v>
      </c>
      <c r="I321" s="105">
        <f ca="1">IF(AND(INT('模拟-模拟计算'!B346)&lt;='模拟-模拟计算'!$C$2,'模拟-模拟计算'!B346&gt;0),'模拟-模拟计算'!AA346," ")</f>
        <v>113309.46787353174</v>
      </c>
    </row>
    <row r="322" spans="1:9" x14ac:dyDescent="0.2">
      <c r="A322" s="20">
        <f>INT('模拟-模拟计算'!B347+0.5)</f>
        <v>295</v>
      </c>
      <c r="B322" s="52">
        <f>IF(AND(INT('模拟-模拟计算'!B347)&lt;='模拟-模拟计算'!$C$2,'模拟-模拟计算'!B347&gt;0),'模拟-模拟计算'!B347," ")</f>
        <v>295.20000000000238</v>
      </c>
      <c r="C322" s="51" t="str">
        <f ca="1">IF(AND(INT('模拟-模拟计算'!B347)&lt;='模拟-模拟计算'!$C$2,'模拟-模拟计算'!B347&gt;0),'模拟-模拟计算'!C347," ")</f>
        <v>净世破魔击·月</v>
      </c>
      <c r="D322" s="104">
        <f ca="1">IF(AND(INT('模拟-模拟计算'!B347)&lt;='模拟-模拟计算'!$C$2,'模拟-模拟计算'!B347&gt;0),'模拟-模拟计算'!E347," ")</f>
        <v>100</v>
      </c>
      <c r="E322" s="104">
        <f ca="1">IF(AND(INT('模拟-模拟计算'!B347)&lt;='模拟-模拟计算'!$C$2,'模拟-模拟计算'!B347&gt;0),'模拟-模拟计算'!F347," ")</f>
        <v>20</v>
      </c>
      <c r="F322" s="51" t="str">
        <f ca="1">IF(AND(INT('模拟-模拟计算'!B347)&lt;='模拟-模拟计算'!$C$2,'模拟-模拟计算'!B347&gt;0),'模拟-模拟计算'!P347," ")</f>
        <v>命</v>
      </c>
      <c r="G322" s="52">
        <f ca="1">IF(AND(INT('模拟-模拟计算'!B347)&lt;='模拟-模拟计算'!$C$2,'模拟-模拟计算'!B347&gt;0),'模拟-模拟计算'!V347," ")</f>
        <v>84412.793434348554</v>
      </c>
      <c r="H322" s="52">
        <f ca="1">IF(AND(INT('模拟-模拟计算'!B347)&lt;='模拟-模拟计算'!$C$2,'模拟-模拟计算'!B347&gt;0),'模拟-模拟计算'!Y347," ")</f>
        <v>113955.06380230002</v>
      </c>
      <c r="I322" s="105">
        <f ca="1">IF(AND(INT('模拟-模拟计算'!B347)&lt;='模拟-模拟计算'!$C$2,'模拟-模拟计算'!B347&gt;0),'模拟-模拟计算'!AA347," ")</f>
        <v>113341.40242532363</v>
      </c>
    </row>
    <row r="323" spans="1:9" x14ac:dyDescent="0.2">
      <c r="A323" s="20">
        <f>INT('模拟-模拟计算'!B348+0.5)</f>
        <v>296</v>
      </c>
      <c r="B323" s="52">
        <f>IF(AND(INT('模拟-模拟计算'!B348)&lt;='模拟-模拟计算'!$C$2,'模拟-模拟计算'!B348&gt;0),'模拟-模拟计算'!B348," ")</f>
        <v>296.12250000000239</v>
      </c>
      <c r="C323" s="51" t="str">
        <f ca="1">IF(AND(INT('模拟-模拟计算'!B348)&lt;='模拟-模拟计算'!$C$2,'模拟-模拟计算'!B348&gt;0),'模拟-模拟计算'!C348," ")</f>
        <v>净世破魔击·日</v>
      </c>
      <c r="D323" s="104">
        <f ca="1">IF(AND(INT('模拟-模拟计算'!B348)&lt;='模拟-模拟计算'!$C$2,'模拟-模拟计算'!B348&gt;0),'模拟-模拟计算'!E348," ")</f>
        <v>0</v>
      </c>
      <c r="E323" s="104">
        <f ca="1">IF(AND(INT('模拟-模拟计算'!B348)&lt;='模拟-模拟计算'!$C$2,'模拟-模拟计算'!B348&gt;0),'模拟-模拟计算'!F348," ")</f>
        <v>20</v>
      </c>
      <c r="F323" s="51" t="str">
        <f ca="1">IF(AND(INT('模拟-模拟计算'!B348)&lt;='模拟-模拟计算'!$C$2,'模拟-模拟计算'!B348&gt;0),'模拟-模拟计算'!P348," ")</f>
        <v>会</v>
      </c>
      <c r="G323" s="52">
        <f ca="1">IF(AND(INT('模拟-模拟计算'!B348)&lt;='模拟-模拟计算'!$C$2,'模拟-模拟计算'!B348&gt;0),'模拟-模拟计算'!V348," ")</f>
        <v>204517.60843249681</v>
      </c>
      <c r="H323" s="52">
        <f ca="1">IF(AND(INT('模拟-模拟计算'!B348)&lt;='模拟-模拟计算'!$C$2,'模拟-模拟计算'!B348&gt;0),'模拟-模拟计算'!Y348," ")</f>
        <v>224357.48482653068</v>
      </c>
      <c r="I323" s="105">
        <f ca="1">IF(AND(INT('模拟-模拟计算'!B348)&lt;='模拟-模拟计算'!$C$2,'模拟-模拟计算'!B348&gt;0),'模拟-模拟计算'!AA348," ")</f>
        <v>113745.96486515566</v>
      </c>
    </row>
    <row r="324" spans="1:9" x14ac:dyDescent="0.2">
      <c r="A324" s="20">
        <f>INT('模拟-模拟计算'!B349+0.5)</f>
        <v>297</v>
      </c>
      <c r="B324" s="52">
        <f>IF(AND(INT('模拟-模拟计算'!B349)&lt;='模拟-模拟计算'!$C$2,'模拟-模拟计算'!B349&gt;0),'模拟-模拟计算'!B349," ")</f>
        <v>297.0450000000024</v>
      </c>
      <c r="C324" s="51" t="str">
        <f ca="1">IF(AND(INT('模拟-模拟计算'!B349)&lt;='模拟-模拟计算'!$C$2,'模拟-模拟计算'!B349&gt;0),'模拟-模拟计算'!C349," ")</f>
        <v>赤日轮1</v>
      </c>
      <c r="D324" s="104">
        <f ca="1">IF(AND(INT('模拟-模拟计算'!B349)&lt;='模拟-模拟计算'!$C$2,'模拟-模拟计算'!B349&gt;0),'模拟-模拟计算'!E349," ")</f>
        <v>20</v>
      </c>
      <c r="E324" s="104">
        <f ca="1">IF(AND(INT('模拟-模拟计算'!B349)&lt;='模拟-模拟计算'!$C$2,'模拟-模拟计算'!B349&gt;0),'模拟-模拟计算'!F349," ")</f>
        <v>20</v>
      </c>
      <c r="F324" s="51" t="str">
        <f ca="1">IF(AND(INT('模拟-模拟计算'!B349)&lt;='模拟-模拟计算'!$C$2,'模拟-模拟计算'!B349&gt;0),'模拟-模拟计算'!P349," ")</f>
        <v>会</v>
      </c>
      <c r="G324" s="52">
        <f ca="1">IF(AND(INT('模拟-模拟计算'!B349)&lt;='模拟-模拟计算'!$C$2,'模拟-模拟计算'!B349&gt;0),'模拟-模拟计算'!V349," ")</f>
        <v>54482.562593809358</v>
      </c>
      <c r="H324" s="52">
        <f ca="1">IF(AND(INT('模拟-模拟计算'!B349)&lt;='模拟-模拟计算'!$C$2,'模拟-模拟计算'!B349&gt;0),'模拟-模拟计算'!Y349," ")</f>
        <v>89562.597819603165</v>
      </c>
      <c r="I324" s="105">
        <f ca="1">IF(AND(INT('模拟-模拟计算'!B349)&lt;='模拟-模拟计算'!$C$2,'模拟-模拟计算'!B349&gt;0),'模拟-模拟计算'!AA349," ")</f>
        <v>113694.22841186238</v>
      </c>
    </row>
    <row r="325" spans="1:9" x14ac:dyDescent="0.2">
      <c r="A325" s="20">
        <f>INT('模拟-模拟计算'!B350+0.5)</f>
        <v>298</v>
      </c>
      <c r="B325" s="52">
        <f>IF(AND(INT('模拟-模拟计算'!B350)&lt;='模拟-模拟计算'!$C$2,'模拟-模拟计算'!B350&gt;0),'模拟-模拟计算'!B350," ")</f>
        <v>297.96750000000242</v>
      </c>
      <c r="C325" s="51" t="str">
        <f ca="1">IF(AND(INT('模拟-模拟计算'!B350)&lt;='模拟-模拟计算'!$C$2,'模拟-模拟计算'!B350&gt;0),'模拟-模拟计算'!C350," ")</f>
        <v>银月斩</v>
      </c>
      <c r="D325" s="104">
        <f ca="1">IF(AND(INT('模拟-模拟计算'!B350)&lt;='模拟-模拟计算'!$C$2,'模拟-模拟计算'!B350&gt;0),'模拟-模拟计算'!E350," ")</f>
        <v>20</v>
      </c>
      <c r="E325" s="104">
        <f ca="1">IF(AND(INT('模拟-模拟计算'!B350)&lt;='模拟-模拟计算'!$C$2,'模拟-模拟计算'!B350&gt;0),'模拟-模拟计算'!F350," ")</f>
        <v>65</v>
      </c>
      <c r="F325" s="51" t="str">
        <f ca="1">IF(AND(INT('模拟-模拟计算'!B350)&lt;='模拟-模拟计算'!$C$2,'模拟-模拟计算'!B350&gt;0),'模拟-模拟计算'!P350," ")</f>
        <v>命</v>
      </c>
      <c r="G325" s="52">
        <f ca="1">IF(AND(INT('模拟-模拟计算'!B350)&lt;='模拟-模拟计算'!$C$2,'模拟-模拟计算'!B350&gt;0),'模拟-模拟计算'!V350," ")</f>
        <v>18215.255972688272</v>
      </c>
      <c r="H325" s="52">
        <f ca="1">IF(AND(INT('模拟-模拟计算'!B350)&lt;='模拟-模拟计算'!$C$2,'模拟-模拟计算'!B350&gt;0),'模拟-模拟计算'!Y350," ")</f>
        <v>18576.76661623532</v>
      </c>
      <c r="I325" s="105">
        <f ca="1">IF(AND(INT('模拟-模拟计算'!B350)&lt;='模拟-模拟计算'!$C$2,'模拟-模拟计算'!B350&gt;0),'模拟-模拟计算'!AA350," ")</f>
        <v>113404.57883902738</v>
      </c>
    </row>
    <row r="326" spans="1:9" x14ac:dyDescent="0.2">
      <c r="A326" s="20">
        <f>INT('模拟-模拟计算'!B351+0.5)</f>
        <v>299</v>
      </c>
      <c r="B326" s="52">
        <f>IF(AND(INT('模拟-模拟计算'!B351)&lt;='模拟-模拟计算'!$C$2,'模拟-模拟计算'!B351&gt;0),'模拟-模拟计算'!B351," ")</f>
        <v>298.89000000000243</v>
      </c>
      <c r="C326" s="51" t="str">
        <f ca="1">IF(AND(INT('模拟-模拟计算'!B351)&lt;='模拟-模拟计算'!$C$2,'模拟-模拟计算'!B351&gt;0),'模拟-模拟计算'!C351," ")</f>
        <v>驱夜断愁</v>
      </c>
      <c r="D326" s="104">
        <f ca="1">IF(AND(INT('模拟-模拟计算'!B351)&lt;='模拟-模拟计算'!$C$2,'模拟-模拟计算'!B351&gt;0),'模拟-模拟计算'!E351," ")</f>
        <v>40</v>
      </c>
      <c r="E326" s="104">
        <f ca="1">IF(AND(INT('模拟-模拟计算'!B351)&lt;='模拟-模拟计算'!$C$2,'模拟-模拟计算'!B351&gt;0),'模拟-模拟计算'!F351," ")</f>
        <v>85</v>
      </c>
      <c r="F326" s="51" t="str">
        <f ca="1">IF(AND(INT('模拟-模拟计算'!B351)&lt;='模拟-模拟计算'!$C$2,'模拟-模拟计算'!B351&gt;0),'模拟-模拟计算'!P351," ")</f>
        <v>命</v>
      </c>
      <c r="G326" s="52">
        <f ca="1">IF(AND(INT('模拟-模拟计算'!B351)&lt;='模拟-模拟计算'!$C$2,'模拟-模拟计算'!B351&gt;0),'模拟-模拟计算'!V351," ")</f>
        <v>61540.073489592025</v>
      </c>
      <c r="H326" s="52">
        <f ca="1">IF(AND(INT('模拟-模拟计算'!B351)&lt;='模拟-模拟计算'!$C$2,'模拟-模拟计算'!B351&gt;0),'模拟-模拟计算'!Y351," ")</f>
        <v>91615.450580073186</v>
      </c>
      <c r="I326" s="105">
        <f ca="1">IF(AND(INT('模拟-模拟计算'!B351)&lt;='模拟-模拟计算'!$C$2,'模拟-模拟计算'!B351&gt;0),'模拟-模拟计算'!AA351," ")</f>
        <v>113361.08366221006</v>
      </c>
    </row>
    <row r="327" spans="1:9" x14ac:dyDescent="0.2">
      <c r="A327" s="20">
        <f>INT('模拟-模拟计算'!B352+0.5)</f>
        <v>300</v>
      </c>
      <c r="B327" s="52">
        <f>IF(AND(INT('模拟-模拟计算'!B352)&lt;='模拟-模拟计算'!$C$2,'模拟-模拟计算'!B352&gt;0),'模拟-模拟计算'!B352," ")</f>
        <v>299.81250000000244</v>
      </c>
      <c r="C327" s="51" t="str">
        <f ca="1">IF(AND(INT('模拟-模拟计算'!B352)&lt;='模拟-模拟计算'!$C$2,'模拟-模拟计算'!B352&gt;0),'模拟-模拟计算'!C352," ")</f>
        <v>烈日斩</v>
      </c>
      <c r="D327" s="104">
        <f ca="1">IF(AND(INT('模拟-模拟计算'!B352)&lt;='模拟-模拟计算'!$C$2,'模拟-模拟计算'!B352&gt;0),'模拟-模拟计算'!E352," ")</f>
        <v>80</v>
      </c>
      <c r="E327" s="104">
        <f ca="1">IF(AND(INT('模拟-模拟计算'!B352)&lt;='模拟-模拟计算'!$C$2,'模拟-模拟计算'!B352&gt;0),'模拟-模拟计算'!F352," ")</f>
        <v>85</v>
      </c>
      <c r="F327" s="51" t="str">
        <f ca="1">IF(AND(INT('模拟-模拟计算'!B352)&lt;='模拟-模拟计算'!$C$2,'模拟-模拟计算'!B352&gt;0),'模拟-模拟计算'!P352," ")</f>
        <v>会</v>
      </c>
      <c r="G327" s="52">
        <f ca="1">IF(AND(INT('模拟-模拟计算'!B352)&lt;='模拟-模拟计算'!$C$2,'模拟-模拟计算'!B352&gt;0),'模拟-模拟计算'!V352," ")</f>
        <v>110503.35617153208</v>
      </c>
      <c r="H327" s="52">
        <f ca="1">IF(AND(INT('模拟-模拟计算'!B352)&lt;='模拟-模拟计算'!$C$2,'模拟-模拟计算'!B352&gt;0),'模拟-模拟计算'!Y352," ")</f>
        <v>110864.86681507913</v>
      </c>
      <c r="I327" s="105">
        <f ca="1">IF(AND(INT('模拟-模拟计算'!B352)&lt;='模拟-模拟计算'!$C$2,'模拟-模拟计算'!B352&gt;0),'模拟-模拟计算'!AA352," ")</f>
        <v>113382.06099683318</v>
      </c>
    </row>
    <row r="328" spans="1:9" x14ac:dyDescent="0.2">
      <c r="A328" s="20">
        <f>INT('模拟-模拟计算'!B353+0.5)</f>
        <v>301</v>
      </c>
      <c r="B328" s="52">
        <f>IF(AND(INT('模拟-模拟计算'!B353)&lt;='模拟-模拟计算'!$C$2,'模拟-模拟计算'!B353&gt;0),'模拟-模拟计算'!B353," ")</f>
        <v>300.73500000000246</v>
      </c>
      <c r="C328" s="51" t="str">
        <f ca="1">IF(AND(INT('模拟-模拟计算'!B353)&lt;='模拟-模拟计算'!$C$2,'模拟-模拟计算'!B353&gt;0),'模拟-模拟计算'!C353," ")</f>
        <v>幽月轮1</v>
      </c>
      <c r="D328" s="104">
        <f ca="1">IF(AND(INT('模拟-模拟计算'!B353)&lt;='模拟-模拟计算'!$C$2,'模拟-模拟计算'!B353&gt;0),'模拟-模拟计算'!E353," ")</f>
        <v>80</v>
      </c>
      <c r="E328" s="104">
        <f ca="1">IF(AND(INT('模拟-模拟计算'!B353)&lt;='模拟-模拟计算'!$C$2,'模拟-模拟计算'!B353&gt;0),'模拟-模拟计算'!F353," ")</f>
        <v>100</v>
      </c>
      <c r="F328" s="51" t="str">
        <f ca="1">IF(AND(INT('模拟-模拟计算'!B353)&lt;='模拟-模拟计算'!$C$2,'模拟-模拟计算'!B353&gt;0),'模拟-模拟计算'!P353," ")</f>
        <v>会</v>
      </c>
      <c r="G328" s="52">
        <f ca="1">IF(AND(INT('模拟-模拟计算'!B353)&lt;='模拟-模拟计算'!$C$2,'模拟-模拟计算'!B353&gt;0),'模拟-模拟计算'!V353," ")</f>
        <v>36630.702053185581</v>
      </c>
      <c r="H328" s="52">
        <f ca="1">IF(AND(INT('模拟-模拟计算'!B353)&lt;='模拟-模拟计算'!$C$2,'模拟-模拟计算'!B353&gt;0),'模拟-模拟计算'!Y353," ")</f>
        <v>54536.92273794733</v>
      </c>
      <c r="I328" s="105">
        <f ca="1">IF(AND(INT('模拟-模拟计算'!B353)&lt;='模拟-模拟计算'!$C$2,'模拟-模拟计算'!B353&gt;0),'模拟-模拟计算'!AA353," ")</f>
        <v>113215.60870983089</v>
      </c>
    </row>
    <row r="329" spans="1:9" x14ac:dyDescent="0.2">
      <c r="A329" s="20">
        <f>INT('模拟-模拟计算'!B354+0.5)</f>
        <v>302</v>
      </c>
      <c r="B329" s="52">
        <f>IF(AND(INT('模拟-模拟计算'!B354)&lt;='模拟-模拟计算'!$C$2,'模拟-模拟计算'!B354&gt;0),'模拟-模拟计算'!B354," ")</f>
        <v>301.65750000000247</v>
      </c>
      <c r="C329" s="51" t="str">
        <f ca="1">IF(AND(INT('模拟-模拟计算'!B354)&lt;='模拟-模拟计算'!$C$2,'模拟-模拟计算'!B354&gt;0),'模拟-模拟计算'!C354," ")</f>
        <v>净世破魔击·月</v>
      </c>
      <c r="D329" s="104">
        <f ca="1">IF(AND(INT('模拟-模拟计算'!B354)&lt;='模拟-模拟计算'!$C$2,'模拟-模拟计算'!B354&gt;0),'模拟-模拟计算'!E354," ")</f>
        <v>100</v>
      </c>
      <c r="E329" s="104">
        <f ca="1">IF(AND(INT('模拟-模拟计算'!B354)&lt;='模拟-模拟计算'!$C$2,'模拟-模拟计算'!B354&gt;0),'模拟-模拟计算'!F354," ")</f>
        <v>20</v>
      </c>
      <c r="F329" s="51" t="str">
        <f ca="1">IF(AND(INT('模拟-模拟计算'!B354)&lt;='模拟-模拟计算'!$C$2,'模拟-模拟计算'!B354&gt;0),'模拟-模拟计算'!P354," ")</f>
        <v>命</v>
      </c>
      <c r="G329" s="52">
        <f ca="1">IF(AND(INT('模拟-模拟计算'!B354)&lt;='模拟-模拟计算'!$C$2,'模拟-模拟计算'!B354&gt;0),'模拟-模拟计算'!V354," ")</f>
        <v>98481.592340073315</v>
      </c>
      <c r="H329" s="52">
        <f ca="1">IF(AND(INT('模拟-模拟计算'!B354)&lt;='模拟-模拟计算'!$C$2,'模拟-模拟计算'!B354&gt;0),'模拟-模拟计算'!Y354," ")</f>
        <v>106799.31374099181</v>
      </c>
      <c r="I329" s="105">
        <f ca="1">IF(AND(INT('模拟-模拟计算'!B354)&lt;='模拟-模拟计算'!$C$2,'模拟-模拟计算'!B354&gt;0),'模拟-模拟计算'!AA354," ")</f>
        <v>113223.4252391934</v>
      </c>
    </row>
    <row r="330" spans="1:9" x14ac:dyDescent="0.2">
      <c r="A330" s="20">
        <f>INT('模拟-模拟计算'!B355+0.5)</f>
        <v>303</v>
      </c>
      <c r="B330" s="52">
        <f>IF(AND(INT('模拟-模拟计算'!B355)&lt;='模拟-模拟计算'!$C$2,'模拟-模拟计算'!B355&gt;0),'模拟-模拟计算'!B355," ")</f>
        <v>302.58000000000249</v>
      </c>
      <c r="C330" s="51" t="str">
        <f ca="1">IF(AND(INT('模拟-模拟计算'!B355)&lt;='模拟-模拟计算'!$C$2,'模拟-模拟计算'!B355&gt;0),'模拟-模拟计算'!C355," ")</f>
        <v>净世破魔击·日</v>
      </c>
      <c r="D330" s="104">
        <f ca="1">IF(AND(INT('模拟-模拟计算'!B355)&lt;='模拟-模拟计算'!$C$2,'模拟-模拟计算'!B355&gt;0),'模拟-模拟计算'!E355," ")</f>
        <v>0</v>
      </c>
      <c r="E330" s="104">
        <f ca="1">IF(AND(INT('模拟-模拟计算'!B355)&lt;='模拟-模拟计算'!$C$2,'模拟-模拟计算'!B355&gt;0),'模拟-模拟计算'!F355," ")</f>
        <v>100</v>
      </c>
      <c r="F330" s="51" t="str">
        <f ca="1">IF(AND(INT('模拟-模拟计算'!B355)&lt;='模拟-模拟计算'!$C$2,'模拟-模拟计算'!B355&gt;0),'模拟-模拟计算'!P355," ")</f>
        <v>命</v>
      </c>
      <c r="G330" s="52">
        <f ca="1">IF(AND(INT('模拟-模拟计算'!B355)&lt;='模拟-模拟计算'!$C$2,'模拟-模拟计算'!B355&gt;0),'模拟-模拟计算'!V355," ")</f>
        <v>110337.92595746904</v>
      </c>
      <c r="H330" s="52">
        <f ca="1">IF(AND(INT('模拟-模拟计算'!B355)&lt;='模拟-模拟计算'!$C$2,'模拟-模拟计算'!B355&gt;0),'模拟-模拟计算'!Y355," ")</f>
        <v>154619.70600166707</v>
      </c>
      <c r="I330" s="105">
        <f ca="1">IF(AND(INT('模拟-模拟计算'!B355)&lt;='模拟-模拟计算'!$C$2,'模拟-模拟计算'!B355&gt;0),'模拟-模拟计算'!AA355," ")</f>
        <v>113389.23625187934</v>
      </c>
    </row>
    <row r="331" spans="1:9" x14ac:dyDescent="0.2">
      <c r="A331" s="20">
        <f>INT('模拟-模拟计算'!B356+0.5)</f>
        <v>304</v>
      </c>
      <c r="B331" s="52">
        <f>IF(AND(INT('模拟-模拟计算'!B356)&lt;='模拟-模拟计算'!$C$2,'模拟-模拟计算'!B356&gt;0),'模拟-模拟计算'!B356," ")</f>
        <v>303.5025000000025</v>
      </c>
      <c r="C331" s="51" t="str">
        <f ca="1">IF(AND(INT('模拟-模拟计算'!B356)&lt;='模拟-模拟计算'!$C$2,'模拟-模拟计算'!B356&gt;0),'模拟-模拟计算'!C356," ")</f>
        <v>净世破魔击·月</v>
      </c>
      <c r="D331" s="104">
        <f ca="1">IF(AND(INT('模拟-模拟计算'!B356)&lt;='模拟-模拟计算'!$C$2,'模拟-模拟计算'!B356&gt;0),'模拟-模拟计算'!E356," ")</f>
        <v>100</v>
      </c>
      <c r="E331" s="104">
        <f ca="1">IF(AND(INT('模拟-模拟计算'!B356)&lt;='模拟-模拟计算'!$C$2,'模拟-模拟计算'!B356&gt;0),'模拟-模拟计算'!F356," ")</f>
        <v>20</v>
      </c>
      <c r="F331" s="51" t="str">
        <f ca="1">IF(AND(INT('模拟-模拟计算'!B356)&lt;='模拟-模拟计算'!$C$2,'模拟-模拟计算'!B356&gt;0),'模拟-模拟计算'!P356," ")</f>
        <v>会</v>
      </c>
      <c r="G331" s="52">
        <f ca="1">IF(AND(INT('模拟-模拟计算'!B356)&lt;='模拟-模拟计算'!$C$2,'模拟-模拟计算'!B356&gt;0),'模拟-模拟计算'!V356," ")</f>
        <v>121694.14741267689</v>
      </c>
      <c r="H331" s="52">
        <f ca="1">IF(AND(INT('模拟-模拟计算'!B356)&lt;='模拟-模拟计算'!$C$2,'模拟-模拟计算'!B356&gt;0),'模拟-模拟计算'!Y356," ")</f>
        <v>130011.86881359539</v>
      </c>
      <c r="I331" s="105">
        <f ca="1">IF(AND(INT('模拟-模拟计算'!B356)&lt;='模拟-模拟计算'!$C$2,'模拟-模拟计算'!B356&gt;0),'模拟-模拟计算'!AA356," ")</f>
        <v>113472.95977432557</v>
      </c>
    </row>
    <row r="332" spans="1:9" x14ac:dyDescent="0.2">
      <c r="A332" s="20">
        <f>INT('模拟-模拟计算'!B357+0.5)</f>
        <v>304</v>
      </c>
      <c r="B332" s="52">
        <f>IF(AND(INT('模拟-模拟计算'!B357)&lt;='模拟-模拟计算'!$C$2,'模拟-模拟计算'!B357&gt;0),'模拟-模拟计算'!B357," ")</f>
        <v>304.42500000000251</v>
      </c>
      <c r="C332" s="51" t="str">
        <f ca="1">IF(AND(INT('模拟-模拟计算'!B357)&lt;='模拟-模拟计算'!$C$2,'模拟-模拟计算'!B357&gt;0),'模拟-模拟计算'!C357," ")</f>
        <v>净世破魔击·日</v>
      </c>
      <c r="D332" s="104">
        <f ca="1">IF(AND(INT('模拟-模拟计算'!B357)&lt;='模拟-模拟计算'!$C$2,'模拟-模拟计算'!B357&gt;0),'模拟-模拟计算'!E357," ")</f>
        <v>0</v>
      </c>
      <c r="E332" s="104">
        <f ca="1">IF(AND(INT('模拟-模拟计算'!B357)&lt;='模拟-模拟计算'!$C$2,'模拟-模拟计算'!B357&gt;0),'模拟-模拟计算'!F357," ")</f>
        <v>100</v>
      </c>
      <c r="F332" s="51" t="str">
        <f ca="1">IF(AND(INT('模拟-模拟计算'!B357)&lt;='模拟-模拟计算'!$C$2,'模拟-模拟计算'!B357&gt;0),'模拟-模拟计算'!P357," ")</f>
        <v>命</v>
      </c>
      <c r="G332" s="52">
        <f ca="1">IF(AND(INT('模拟-模拟计算'!B357)&lt;='模拟-模拟计算'!$C$2,'模拟-模拟计算'!B357&gt;0),'模拟-模拟计算'!V357," ")</f>
        <v>60398.417085084453</v>
      </c>
      <c r="H332" s="52">
        <f ca="1">IF(AND(INT('模拟-模拟计算'!B357)&lt;='模拟-模拟计算'!$C$2,'模拟-模拟计算'!B357&gt;0),'模拟-模拟计算'!Y357," ")</f>
        <v>90344.728720073617</v>
      </c>
      <c r="I332" s="105">
        <f ca="1">IF(AND(INT('模拟-模拟计算'!B357)&lt;='模拟-模拟计算'!$C$2,'模拟-模拟计算'!B357&gt;0),'模拟-模拟计算'!AA357," ")</f>
        <v>113425.87403343129</v>
      </c>
    </row>
    <row r="333" spans="1:9" x14ac:dyDescent="0.2">
      <c r="A333" s="20">
        <f>INT('模拟-模拟计算'!B358+0.5)</f>
        <v>305</v>
      </c>
      <c r="B333" s="52">
        <f>IF(AND(INT('模拟-模拟计算'!B358)&lt;='模拟-模拟计算'!$C$2,'模拟-模拟计算'!B358&gt;0),'模拟-模拟计算'!B358," ")</f>
        <v>305.34750000000253</v>
      </c>
      <c r="C333" s="51" t="str">
        <f ca="1">IF(AND(INT('模拟-模拟计算'!B358)&lt;='模拟-模拟计算'!$C$2,'模拟-模拟计算'!B358&gt;0),'模拟-模拟计算'!C358," ")</f>
        <v>净世破魔击·月</v>
      </c>
      <c r="D333" s="104">
        <f ca="1">IF(AND(INT('模拟-模拟计算'!B358)&lt;='模拟-模拟计算'!$C$2,'模拟-模拟计算'!B358&gt;0),'模拟-模拟计算'!E358," ")</f>
        <v>100</v>
      </c>
      <c r="E333" s="104">
        <f ca="1">IF(AND(INT('模拟-模拟计算'!B358)&lt;='模拟-模拟计算'!$C$2,'模拟-模拟计算'!B358&gt;0),'模拟-模拟计算'!F358," ")</f>
        <v>20</v>
      </c>
      <c r="F333" s="51" t="str">
        <f ca="1">IF(AND(INT('模拟-模拟计算'!B358)&lt;='模拟-模拟计算'!$C$2,'模拟-模拟计算'!B358&gt;0),'模拟-模拟计算'!P358," ")</f>
        <v>命</v>
      </c>
      <c r="G333" s="52">
        <f ca="1">IF(AND(INT('模拟-模拟计算'!B358)&lt;='模拟-模拟计算'!$C$2,'模拟-模拟计算'!B358&gt;0),'模拟-模拟计算'!V358," ")</f>
        <v>54358.995603048825</v>
      </c>
      <c r="H333" s="52">
        <f ca="1">IF(AND(INT('模拟-模拟计算'!B358)&lt;='模拟-模拟计算'!$C$2,'模拟-模拟计算'!B358&gt;0),'模拟-模拟计算'!Y358," ")</f>
        <v>72279.758402792067</v>
      </c>
      <c r="I333" s="105">
        <f ca="1">IF(AND(INT('模拟-模拟计算'!B358)&lt;='模拟-模拟计算'!$C$2,'模拟-模拟计算'!B358&gt;0),'模拟-模拟计算'!AA358," ")</f>
        <v>113319.91079353889</v>
      </c>
    </row>
    <row r="334" spans="1:9" x14ac:dyDescent="0.2">
      <c r="A334" s="20">
        <f>INT('模拟-模拟计算'!B359+0.5)</f>
        <v>306</v>
      </c>
      <c r="B334" s="52">
        <f>IF(AND(INT('模拟-模拟计算'!B359)&lt;='模拟-模拟计算'!$C$2,'模拟-模拟计算'!B359&gt;0),'模拟-模拟计算'!B359," ")</f>
        <v>306.27000000000254</v>
      </c>
      <c r="C334" s="51" t="str">
        <f ca="1">IF(AND(INT('模拟-模拟计算'!B359)&lt;='模拟-模拟计算'!$C$2,'模拟-模拟计算'!B359&gt;0),'模拟-模拟计算'!C359," ")</f>
        <v>净世破魔击·日</v>
      </c>
      <c r="D334" s="104">
        <f ca="1">IF(AND(INT('模拟-模拟计算'!B359)&lt;='模拟-模拟计算'!$C$2,'模拟-模拟计算'!B359&gt;0),'模拟-模拟计算'!E359," ")</f>
        <v>0</v>
      </c>
      <c r="E334" s="104">
        <f ca="1">IF(AND(INT('模拟-模拟计算'!B359)&lt;='模拟-模拟计算'!$C$2,'模拟-模拟计算'!B359&gt;0),'模拟-模拟计算'!F359," ")</f>
        <v>100</v>
      </c>
      <c r="F334" s="51" t="str">
        <f ca="1">IF(AND(INT('模拟-模拟计算'!B359)&lt;='模拟-模拟计算'!$C$2,'模拟-模拟计算'!B359&gt;0),'模拟-模拟计算'!P359," ")</f>
        <v>会</v>
      </c>
      <c r="G334" s="52">
        <f ca="1">IF(AND(INT('模拟-模拟计算'!B359)&lt;='模拟-模拟计算'!$C$2,'模拟-模拟计算'!B359&gt;0),'模拟-模拟计算'!V359," ")</f>
        <v>131698.96445159343</v>
      </c>
      <c r="H334" s="52">
        <f ca="1">IF(AND(INT('模拟-模拟计算'!B359)&lt;='模拟-模拟计算'!$C$2,'模拟-模拟计算'!B359&gt;0),'模拟-模拟计算'!Y359," ")</f>
        <v>152028.61897200582</v>
      </c>
      <c r="I334" s="105">
        <f ca="1">IF(AND(INT('模拟-模拟计算'!B359)&lt;='模拟-模拟计算'!$C$2,'模拟-模拟计算'!B359&gt;0),'模拟-模拟计算'!AA359," ")</f>
        <v>113474.97332419798</v>
      </c>
    </row>
    <row r="335" spans="1:9" x14ac:dyDescent="0.2">
      <c r="A335" s="20">
        <f>INT('模拟-模拟计算'!B360+0.5)</f>
        <v>307</v>
      </c>
      <c r="B335" s="52">
        <f>IF(AND(INT('模拟-模拟计算'!B360)&lt;='模拟-模拟计算'!$C$2,'模拟-模拟计算'!B360&gt;0),'模拟-模拟计算'!B360," ")</f>
        <v>307.19250000000255</v>
      </c>
      <c r="C335" s="51" t="str">
        <f ca="1">IF(AND(INT('模拟-模拟计算'!B360)&lt;='模拟-模拟计算'!$C$2,'模拟-模拟计算'!B360&gt;0),'模拟-模拟计算'!C360," ")</f>
        <v>净世破魔击·月</v>
      </c>
      <c r="D335" s="104">
        <f ca="1">IF(AND(INT('模拟-模拟计算'!B360)&lt;='模拟-模拟计算'!$C$2,'模拟-模拟计算'!B360&gt;0),'模拟-模拟计算'!E360," ")</f>
        <v>20</v>
      </c>
      <c r="E335" s="104">
        <f ca="1">IF(AND(INT('模拟-模拟计算'!B360)&lt;='模拟-模拟计算'!$C$2,'模拟-模拟计算'!B360&gt;0),'模拟-模拟计算'!F360," ")</f>
        <v>20</v>
      </c>
      <c r="F335" s="51" t="str">
        <f ca="1">IF(AND(INT('模拟-模拟计算'!B360)&lt;='模拟-模拟计算'!$C$2,'模拟-模拟计算'!B360&gt;0),'模拟-模拟计算'!P360," ")</f>
        <v>会</v>
      </c>
      <c r="G335" s="52">
        <f ca="1">IF(AND(INT('模拟-模拟计算'!B360)&lt;='模拟-模拟计算'!$C$2,'模拟-模拟计算'!B360&gt;0),'模拟-模拟计算'!V360," ")</f>
        <v>117550.39766455625</v>
      </c>
      <c r="H335" s="52">
        <f ca="1">IF(AND(INT('模拟-模拟计算'!B360)&lt;='模拟-模拟计算'!$C$2,'模拟-模拟计算'!B360&gt;0),'模拟-模拟计算'!Y360," ")</f>
        <v>134432.0919766321</v>
      </c>
      <c r="I335" s="105">
        <f ca="1">IF(AND(INT('模拟-模拟计算'!B360)&lt;='模拟-模拟计算'!$C$2,'模拟-模拟计算'!B360&gt;0),'模拟-模拟计算'!AA360," ")</f>
        <v>113571.82278857313</v>
      </c>
    </row>
    <row r="336" spans="1:9" x14ac:dyDescent="0.2">
      <c r="A336" s="20">
        <f>INT('模拟-模拟计算'!B361+0.5)</f>
        <v>308</v>
      </c>
      <c r="B336" s="52">
        <f>IF(AND(INT('模拟-模拟计算'!B361)&lt;='模拟-模拟计算'!$C$2,'模拟-模拟计算'!B361&gt;0),'模拟-模拟计算'!B361," ")</f>
        <v>308.11500000000257</v>
      </c>
      <c r="C336" s="51" t="str">
        <f ca="1">IF(AND(INT('模拟-模拟计算'!B361)&lt;='模拟-模拟计算'!$C$2,'模拟-模拟计算'!B361&gt;0),'模拟-模拟计算'!C361," ")</f>
        <v>银月斩</v>
      </c>
      <c r="D336" s="104">
        <f ca="1">IF(AND(INT('模拟-模拟计算'!B361)&lt;='模拟-模拟计算'!$C$2,'模拟-模拟计算'!B361&gt;0),'模拟-模拟计算'!E361," ")</f>
        <v>20</v>
      </c>
      <c r="E336" s="104">
        <f ca="1">IF(AND(INT('模拟-模拟计算'!B361)&lt;='模拟-模拟计算'!$C$2,'模拟-模拟计算'!B361&gt;0),'模拟-模拟计算'!F361," ")</f>
        <v>65</v>
      </c>
      <c r="F336" s="51" t="str">
        <f ca="1">IF(AND(INT('模拟-模拟计算'!B361)&lt;='模拟-模拟计算'!$C$2,'模拟-模拟计算'!B361&gt;0),'模拟-模拟计算'!P361," ")</f>
        <v>会</v>
      </c>
      <c r="G336" s="52">
        <f ca="1">IF(AND(INT('模拟-模拟计算'!B361)&lt;='模拟-模拟计算'!$C$2,'模拟-模拟计算'!B361&gt;0),'模拟-模拟计算'!V361," ")</f>
        <v>50289.000621124105</v>
      </c>
      <c r="H336" s="52">
        <f ca="1">IF(AND(INT('模拟-模拟计算'!B361)&lt;='模拟-模拟计算'!$C$2,'模拟-模拟计算'!B361&gt;0),'模拟-模拟计算'!Y361," ")</f>
        <v>84310.417556873203</v>
      </c>
      <c r="I336" s="105">
        <f ca="1">IF(AND(INT('模拟-模拟计算'!B361)&lt;='模拟-模拟计算'!$C$2,'模拟-模拟计算'!B361&gt;0),'模拟-模拟计算'!AA361," ")</f>
        <v>113505.42034479212</v>
      </c>
    </row>
    <row r="337" spans="1:9" x14ac:dyDescent="0.2">
      <c r="A337" s="20">
        <f>INT('模拟-模拟计算'!B362+0.5)</f>
        <v>309</v>
      </c>
      <c r="B337" s="52">
        <f>IF(AND(INT('模拟-模拟计算'!B362)&lt;='模拟-模拟计算'!$C$2,'模拟-模拟计算'!B362&gt;0),'模拟-模拟计算'!B362," ")</f>
        <v>309.03750000000258</v>
      </c>
      <c r="C337" s="51" t="str">
        <f ca="1">IF(AND(INT('模拟-模拟计算'!B362)&lt;='模拟-模拟计算'!$C$2,'模拟-模拟计算'!B362&gt;0),'模拟-模拟计算'!C362," ")</f>
        <v>驱夜断愁</v>
      </c>
      <c r="D337" s="104">
        <f ca="1">IF(AND(INT('模拟-模拟计算'!B362)&lt;='模拟-模拟计算'!$C$2,'模拟-模拟计算'!B362&gt;0),'模拟-模拟计算'!E362," ")</f>
        <v>40</v>
      </c>
      <c r="E337" s="104">
        <f ca="1">IF(AND(INT('模拟-模拟计算'!B362)&lt;='模拟-模拟计算'!$C$2,'模拟-模拟计算'!B362&gt;0),'模拟-模拟计算'!F362," ")</f>
        <v>85</v>
      </c>
      <c r="F337" s="51" t="str">
        <f ca="1">IF(AND(INT('模拟-模拟计算'!B362)&lt;='模拟-模拟计算'!$C$2,'模拟-模拟计算'!B362&gt;0),'模拟-模拟计算'!P362," ")</f>
        <v>会</v>
      </c>
      <c r="G337" s="52">
        <f ca="1">IF(AND(INT('模拟-模拟计算'!B362)&lt;='模拟-模拟计算'!$C$2,'模拟-模拟计算'!B362&gt;0),'模拟-模拟计算'!V362," ")</f>
        <v>134246.71846289007</v>
      </c>
      <c r="H337" s="52">
        <f ca="1">IF(AND(INT('模拟-模拟计算'!B362)&lt;='模拟-模拟计算'!$C$2,'模拟-模拟计算'!B362&gt;0),'模拟-模拟计算'!Y362," ")</f>
        <v>134969.73974998418</v>
      </c>
      <c r="I337" s="105">
        <f ca="1">IF(AND(INT('模拟-模拟计算'!B362)&lt;='模拟-模拟计算'!$C$2,'模拟-模拟计算'!B362&gt;0),'模拟-模拟计算'!AA362," ")</f>
        <v>113603.34046607808</v>
      </c>
    </row>
    <row r="338" spans="1:9" x14ac:dyDescent="0.2">
      <c r="A338" s="20">
        <f>INT('模拟-模拟计算'!B363+0.5)</f>
        <v>310</v>
      </c>
      <c r="B338" s="52">
        <f>IF(AND(INT('模拟-模拟计算'!B363)&lt;='模拟-模拟计算'!$C$2,'模拟-模拟计算'!B363&gt;0),'模拟-模拟计算'!B363," ")</f>
        <v>309.96000000000259</v>
      </c>
      <c r="C338" s="51" t="str">
        <f ca="1">IF(AND(INT('模拟-模拟计算'!B363)&lt;='模拟-模拟计算'!$C$2,'模拟-模拟计算'!B363&gt;0),'模拟-模拟计算'!C363," ")</f>
        <v>烈日斩</v>
      </c>
      <c r="D338" s="104">
        <f ca="1">IF(AND(INT('模拟-模拟计算'!B363)&lt;='模拟-模拟计算'!$C$2,'模拟-模拟计算'!B363&gt;0),'模拟-模拟计算'!E363," ")</f>
        <v>80</v>
      </c>
      <c r="E338" s="104">
        <f ca="1">IF(AND(INT('模拟-模拟计算'!B363)&lt;='模拟-模拟计算'!$C$2,'模拟-模拟计算'!B363&gt;0),'模拟-模拟计算'!F363," ")</f>
        <v>85</v>
      </c>
      <c r="F338" s="51" t="str">
        <f ca="1">IF(AND(INT('模拟-模拟计算'!B363)&lt;='模拟-模拟计算'!$C$2,'模拟-模拟计算'!B363&gt;0),'模拟-模拟计算'!P363," ")</f>
        <v>会</v>
      </c>
      <c r="G338" s="52">
        <f ca="1">IF(AND(INT('模拟-模拟计算'!B363)&lt;='模拟-模拟计算'!$C$2,'模拟-模拟计算'!B363&gt;0),'模拟-模拟计算'!V363," ")</f>
        <v>111394.5122696896</v>
      </c>
      <c r="H338" s="52">
        <f ca="1">IF(AND(INT('模拟-模拟计算'!B363)&lt;='模拟-模拟计算'!$C$2,'模拟-模拟计算'!B363&gt;0),'模拟-模拟计算'!Y363," ")</f>
        <v>183542.74912802246</v>
      </c>
      <c r="I338" s="105">
        <f ca="1">IF(AND(INT('模拟-模拟计算'!B363)&lt;='模拟-模拟计算'!$C$2,'模拟-模拟计算'!B363&gt;0),'模拟-模拟计算'!AA363," ")</f>
        <v>113857.38507682805</v>
      </c>
    </row>
    <row r="339" spans="1:9" x14ac:dyDescent="0.2">
      <c r="A339" s="20">
        <f>INT('模拟-模拟计算'!B364+0.5)</f>
        <v>311</v>
      </c>
      <c r="B339" s="52">
        <f>IF(AND(INT('模拟-模拟计算'!B364)&lt;='模拟-模拟计算'!$C$2,'模拟-模拟计算'!B364&gt;0),'模拟-模拟计算'!B364," ")</f>
        <v>310.88250000000261</v>
      </c>
      <c r="C339" s="51" t="str">
        <f ca="1">IF(AND(INT('模拟-模拟计算'!B364)&lt;='模拟-模拟计算'!$C$2,'模拟-模拟计算'!B364&gt;0),'模拟-模拟计算'!C364," ")</f>
        <v>幽月轮1</v>
      </c>
      <c r="D339" s="104">
        <f ca="1">IF(AND(INT('模拟-模拟计算'!B364)&lt;='模拟-模拟计算'!$C$2,'模拟-模拟计算'!B364&gt;0),'模拟-模拟计算'!E364," ")</f>
        <v>80</v>
      </c>
      <c r="E339" s="104">
        <f ca="1">IF(AND(INT('模拟-模拟计算'!B364)&lt;='模拟-模拟计算'!$C$2,'模拟-模拟计算'!B364&gt;0),'模拟-模拟计算'!F364," ")</f>
        <v>100</v>
      </c>
      <c r="F339" s="51" t="str">
        <f ca="1">IF(AND(INT('模拟-模拟计算'!B364)&lt;='模拟-模拟计算'!$C$2,'模拟-模拟计算'!B364&gt;0),'模拟-模拟计算'!P364," ")</f>
        <v>会</v>
      </c>
      <c r="G339" s="52">
        <f ca="1">IF(AND(INT('模拟-模拟计算'!B364)&lt;='模拟-模拟计算'!$C$2,'模拟-模拟计算'!B364&gt;0),'模拟-模拟计算'!V364," ")</f>
        <v>36973.045063028439</v>
      </c>
      <c r="H339" s="52">
        <f ca="1">IF(AND(INT('模拟-模拟计算'!B364)&lt;='模拟-模拟计算'!$C$2,'模拟-模拟计算'!B364&gt;0),'模拟-模拟计算'!Y364," ")</f>
        <v>37334.555706575484</v>
      </c>
      <c r="I339" s="105">
        <f ca="1">IF(AND(INT('模拟-模拟计算'!B364)&lt;='模拟-模拟计算'!$C$2,'模拟-模拟计算'!B364&gt;0),'模拟-模拟计算'!AA364," ")</f>
        <v>113639.62151012103</v>
      </c>
    </row>
    <row r="340" spans="1:9" x14ac:dyDescent="0.2">
      <c r="A340" s="20">
        <f>INT('模拟-模拟计算'!B365+0.5)</f>
        <v>312</v>
      </c>
      <c r="B340" s="52">
        <f>IF(AND(INT('模拟-模拟计算'!B365)&lt;='模拟-模拟计算'!$C$2,'模拟-模拟计算'!B365&gt;0),'模拟-模拟计算'!B365," ")</f>
        <v>311.80500000000262</v>
      </c>
      <c r="C340" s="51" t="str">
        <f ca="1">IF(AND(INT('模拟-模拟计算'!B365)&lt;='模拟-模拟计算'!$C$2,'模拟-模拟计算'!B365&gt;0),'模拟-模拟计算'!C365," ")</f>
        <v>净世破魔击·月</v>
      </c>
      <c r="D340" s="104">
        <f ca="1">IF(AND(INT('模拟-模拟计算'!B365)&lt;='模拟-模拟计算'!$C$2,'模拟-模拟计算'!B365&gt;0),'模拟-模拟计算'!E365," ")</f>
        <v>100</v>
      </c>
      <c r="E340" s="104">
        <f ca="1">IF(AND(INT('模拟-模拟计算'!B365)&lt;='模拟-模拟计算'!$C$2,'模拟-模拟计算'!B365&gt;0),'模拟-模拟计算'!F365," ")</f>
        <v>20</v>
      </c>
      <c r="F340" s="51" t="str">
        <f ca="1">IF(AND(INT('模拟-模拟计算'!B365)&lt;='模拟-模拟计算'!$C$2,'模拟-模拟计算'!B365&gt;0),'模拟-模拟计算'!P365," ")</f>
        <v>命</v>
      </c>
      <c r="G340" s="52">
        <f ca="1">IF(AND(INT('模拟-模拟计算'!B365)&lt;='模拟-模拟计算'!$C$2,'模拟-模拟计算'!B365&gt;0),'模拟-模拟计算'!V365," ")</f>
        <v>84881.753397872701</v>
      </c>
      <c r="H340" s="52">
        <f ca="1">IF(AND(INT('模拟-模拟计算'!B365)&lt;='模拟-模拟计算'!$C$2,'模拟-模拟计算'!B365&gt;0),'模拟-模拟计算'!Y365," ")</f>
        <v>126859.38109099327</v>
      </c>
      <c r="I340" s="105">
        <f ca="1">IF(AND(INT('模拟-模拟计算'!B365)&lt;='模拟-模拟计算'!$C$2,'模拟-模拟计算'!B365&gt;0),'模拟-模拟计算'!AA365," ")</f>
        <v>113710.26447687237</v>
      </c>
    </row>
    <row r="341" spans="1:9" x14ac:dyDescent="0.2">
      <c r="A341" s="20">
        <f>INT('模拟-模拟计算'!B366+0.5)</f>
        <v>313</v>
      </c>
      <c r="B341" s="52">
        <f>IF(AND(INT('模拟-模拟计算'!B366)&lt;='模拟-模拟计算'!$C$2,'模拟-模拟计算'!B366&gt;0),'模拟-模拟计算'!B366," ")</f>
        <v>312.72750000000264</v>
      </c>
      <c r="C341" s="51" t="str">
        <f ca="1">IF(AND(INT('模拟-模拟计算'!B366)&lt;='模拟-模拟计算'!$C$2,'模拟-模拟计算'!B366&gt;0),'模拟-模拟计算'!C366," ")</f>
        <v>净世破魔击·日</v>
      </c>
      <c r="D341" s="104">
        <f ca="1">IF(AND(INT('模拟-模拟计算'!B366)&lt;='模拟-模拟计算'!$C$2,'模拟-模拟计算'!B366&gt;0),'模拟-模拟计算'!E366," ")</f>
        <v>0</v>
      </c>
      <c r="E341" s="104">
        <f ca="1">IF(AND(INT('模拟-模拟计算'!B366)&lt;='模拟-模拟计算'!$C$2,'模拟-模拟计算'!B366&gt;0),'模拟-模拟计算'!F366," ")</f>
        <v>20</v>
      </c>
      <c r="F341" s="51" t="str">
        <f ca="1">IF(AND(INT('模拟-模拟计算'!B366)&lt;='模拟-模拟计算'!$C$2,'模拟-模拟计算'!B366&gt;0),'模拟-模拟计算'!P366," ")</f>
        <v>会</v>
      </c>
      <c r="G341" s="52">
        <f ca="1">IF(AND(INT('模拟-模拟计算'!B366)&lt;='模拟-模拟计算'!$C$2,'模拟-模拟计算'!B366&gt;0),'模拟-模拟计算'!V366," ")</f>
        <v>204517.60843249681</v>
      </c>
      <c r="H341" s="52">
        <f ca="1">IF(AND(INT('模拟-模拟计算'!B366)&lt;='模拟-模拟计算'!$C$2,'模拟-模拟计算'!B366&gt;0),'模拟-模拟计算'!Y366," ")</f>
        <v>214080.86389444806</v>
      </c>
      <c r="I341" s="105">
        <f ca="1">IF(AND(INT('模拟-模拟计算'!B366)&lt;='模拟-模拟计算'!$C$2,'模拟-模拟计算'!B366&gt;0),'模拟-模拟计算'!AA366," ")</f>
        <v>114059.39637257879</v>
      </c>
    </row>
    <row r="342" spans="1:9" x14ac:dyDescent="0.2">
      <c r="A342" s="20">
        <f>INT('模拟-模拟计算'!B367+0.5)</f>
        <v>314</v>
      </c>
      <c r="B342" s="52">
        <f>IF(AND(INT('模拟-模拟计算'!B367)&lt;='模拟-模拟计算'!$C$2,'模拟-模拟计算'!B367&gt;0),'模拟-模拟计算'!B367," ")</f>
        <v>313.65000000000265</v>
      </c>
      <c r="C342" s="51" t="str">
        <f ca="1">IF(AND(INT('模拟-模拟计算'!B367)&lt;='模拟-模拟计算'!$C$2,'模拟-模拟计算'!B367&gt;0),'模拟-模拟计算'!C367," ")</f>
        <v>赤日轮1</v>
      </c>
      <c r="D342" s="104">
        <f ca="1">IF(AND(INT('模拟-模拟计算'!B367)&lt;='模拟-模拟计算'!$C$2,'模拟-模拟计算'!B367&gt;0),'模拟-模拟计算'!E367," ")</f>
        <v>20</v>
      </c>
      <c r="E342" s="104">
        <f ca="1">IF(AND(INT('模拟-模拟计算'!B367)&lt;='模拟-模拟计算'!$C$2,'模拟-模拟计算'!B367&gt;0),'模拟-模拟计算'!F367," ")</f>
        <v>20</v>
      </c>
      <c r="F342" s="51" t="str">
        <f ca="1">IF(AND(INT('模拟-模拟计算'!B367)&lt;='模拟-模拟计算'!$C$2,'模拟-模拟计算'!B367&gt;0),'模拟-模拟计算'!P367," ")</f>
        <v>会</v>
      </c>
      <c r="G342" s="52">
        <f ca="1">IF(AND(INT('模拟-模拟计算'!B367)&lt;='模拟-模拟计算'!$C$2,'模拟-模拟计算'!B367&gt;0),'模拟-模拟计算'!V367," ")</f>
        <v>56864.156113360666</v>
      </c>
      <c r="H342" s="52">
        <f ca="1">IF(AND(INT('模拟-模拟计算'!B367)&lt;='模拟-模拟计算'!$C$2,'模拟-模拟计算'!B367&gt;0),'模拟-模拟计算'!Y367," ")</f>
        <v>91944.191339154466</v>
      </c>
      <c r="I342" s="105">
        <f ca="1">IF(AND(INT('模拟-模拟计算'!B367)&lt;='模拟-模拟计算'!$C$2,'模拟-模拟计算'!B367&gt;0),'模拟-模拟计算'!AA367," ")</f>
        <v>114017.07020706133</v>
      </c>
    </row>
    <row r="343" spans="1:9" x14ac:dyDescent="0.2">
      <c r="A343" s="20">
        <f>INT('模拟-模拟计算'!B368+0.5)</f>
        <v>315</v>
      </c>
      <c r="B343" s="52">
        <f>IF(AND(INT('模拟-模拟计算'!B368)&lt;='模拟-模拟计算'!$C$2,'模拟-模拟计算'!B368&gt;0),'模拟-模拟计算'!B368," ")</f>
        <v>314.57250000000266</v>
      </c>
      <c r="C343" s="51" t="str">
        <f ca="1">IF(AND(INT('模拟-模拟计算'!B368)&lt;='模拟-模拟计算'!$C$2,'模拟-模拟计算'!B368&gt;0),'模拟-模拟计算'!C368," ")</f>
        <v>银月斩</v>
      </c>
      <c r="D343" s="104">
        <f ca="1">IF(AND(INT('模拟-模拟计算'!B368)&lt;='模拟-模拟计算'!$C$2,'模拟-模拟计算'!B368&gt;0),'模拟-模拟计算'!E368," ")</f>
        <v>20</v>
      </c>
      <c r="E343" s="104">
        <f ca="1">IF(AND(INT('模拟-模拟计算'!B368)&lt;='模拟-模拟计算'!$C$2,'模拟-模拟计算'!B368&gt;0),'模拟-模拟计算'!F368," ")</f>
        <v>65</v>
      </c>
      <c r="F343" s="51" t="str">
        <f ca="1">IF(AND(INT('模拟-模拟计算'!B368)&lt;='模拟-模拟计算'!$C$2,'模拟-模拟计算'!B368&gt;0),'模拟-模拟计算'!P368," ")</f>
        <v>会</v>
      </c>
      <c r="G343" s="52">
        <f ca="1">IF(AND(INT('模拟-模拟计算'!B368)&lt;='模拟-模拟计算'!$C$2,'模拟-模拟计算'!B368&gt;0),'模拟-模拟计算'!V368," ")</f>
        <v>41211.704893206668</v>
      </c>
      <c r="H343" s="52">
        <f ca="1">IF(AND(INT('模拟-模拟计算'!B368)&lt;='模拟-模拟计算'!$C$2,'模拟-模拟计算'!B368&gt;0),'模拟-模拟计算'!Y368," ")</f>
        <v>41573.21553675372</v>
      </c>
      <c r="I343" s="105">
        <f ca="1">IF(AND(INT('模拟-模拟计算'!B368)&lt;='模拟-模拟计算'!$C$2,'模拟-模拟计算'!B368&gt;0),'模拟-模拟计算'!AA368," ")</f>
        <v>113814.86711642479</v>
      </c>
    </row>
    <row r="344" spans="1:9" x14ac:dyDescent="0.2">
      <c r="A344" s="20">
        <f>INT('模拟-模拟计算'!B369+0.5)</f>
        <v>315</v>
      </c>
      <c r="B344" s="52">
        <f>IF(AND(INT('模拟-模拟计算'!B369)&lt;='模拟-模拟计算'!$C$2,'模拟-模拟计算'!B369&gt;0),'模拟-模拟计算'!B369," ")</f>
        <v>315.49500000000268</v>
      </c>
      <c r="C344" s="51" t="str">
        <f ca="1">IF(AND(INT('模拟-模拟计算'!B369)&lt;='模拟-模拟计算'!$C$2,'模拟-模拟计算'!B369&gt;0),'模拟-模拟计算'!C369," ")</f>
        <v>驱夜断愁</v>
      </c>
      <c r="D344" s="104">
        <f ca="1">IF(AND(INT('模拟-模拟计算'!B369)&lt;='模拟-模拟计算'!$C$2,'模拟-模拟计算'!B369&gt;0),'模拟-模拟计算'!E369," ")</f>
        <v>40</v>
      </c>
      <c r="E344" s="104">
        <f ca="1">IF(AND(INT('模拟-模拟计算'!B369)&lt;='模拟-模拟计算'!$C$2,'模拟-模拟计算'!B369&gt;0),'模拟-模拟计算'!F369," ")</f>
        <v>85</v>
      </c>
      <c r="F344" s="51" t="str">
        <f ca="1">IF(AND(INT('模拟-模拟计算'!B369)&lt;='模拟-模拟计算'!$C$2,'模拟-模拟计算'!B369&gt;0),'模拟-模拟计算'!P369," ")</f>
        <v>会</v>
      </c>
      <c r="G344" s="52">
        <f ca="1">IF(AND(INT('模拟-模拟计算'!B369)&lt;='模拟-模拟计算'!$C$2,'模拟-模拟计算'!B369&gt;0),'模拟-模拟计算'!V369," ")</f>
        <v>133079.35569364758</v>
      </c>
      <c r="H344" s="52">
        <f ca="1">IF(AND(INT('模拟-模拟计算'!B369)&lt;='模拟-模拟计算'!$C$2,'模拟-模拟计算'!B369&gt;0),'模拟-模拟计算'!Y369," ")</f>
        <v>149660.75716891495</v>
      </c>
      <c r="I344" s="105">
        <f ca="1">IF(AND(INT('模拟-模拟计算'!B369)&lt;='模拟-模拟计算'!$C$2,'模拟-模拟计算'!B369&gt;0),'模拟-模拟计算'!AA369," ")</f>
        <v>113956.44318658124</v>
      </c>
    </row>
    <row r="345" spans="1:9" x14ac:dyDescent="0.2">
      <c r="A345" s="20">
        <f>INT('模拟-模拟计算'!B370+0.5)</f>
        <v>316</v>
      </c>
      <c r="B345" s="52">
        <f>IF(AND(INT('模拟-模拟计算'!B370)&lt;='模拟-模拟计算'!$C$2,'模拟-模拟计算'!B370&gt;0),'模拟-模拟计算'!B370," ")</f>
        <v>316.41750000000269</v>
      </c>
      <c r="C345" s="51" t="str">
        <f ca="1">IF(AND(INT('模拟-模拟计算'!B370)&lt;='模拟-模拟计算'!$C$2,'模拟-模拟计算'!B370&gt;0),'模拟-模拟计算'!C370," ")</f>
        <v>烈日斩</v>
      </c>
      <c r="D345" s="104">
        <f ca="1">IF(AND(INT('模拟-模拟计算'!B370)&lt;='模拟-模拟计算'!$C$2,'模拟-模拟计算'!B370&gt;0),'模拟-模拟计算'!E370," ")</f>
        <v>80</v>
      </c>
      <c r="E345" s="104">
        <f ca="1">IF(AND(INT('模拟-模拟计算'!B370)&lt;='模拟-模拟计算'!$C$2,'模拟-模拟计算'!B370&gt;0),'模拟-模拟计算'!F370," ")</f>
        <v>85</v>
      </c>
      <c r="F345" s="51" t="str">
        <f ca="1">IF(AND(INT('模拟-模拟计算'!B370)&lt;='模拟-模拟计算'!$C$2,'模拟-模拟计算'!B370&gt;0),'模拟-模拟计算'!P370," ")</f>
        <v>命</v>
      </c>
      <c r="G345" s="52">
        <f ca="1">IF(AND(INT('模拟-模拟计算'!B370)&lt;='模拟-模拟计算'!$C$2,'模拟-模拟计算'!B370&gt;0),'模拟-模拟计算'!V370," ")</f>
        <v>48841.631854871324</v>
      </c>
      <c r="H345" s="52">
        <f ca="1">IF(AND(INT('模拟-模拟计算'!B370)&lt;='模拟-模拟计算'!$C$2,'模拟-模拟计算'!B370&gt;0),'模拟-模拟计算'!Y370," ")</f>
        <v>49203.142498418369</v>
      </c>
      <c r="I345" s="105">
        <f ca="1">IF(AND(INT('模拟-模拟计算'!B370)&lt;='模拟-模拟计算'!$C$2,'模拟-模拟计算'!B370&gt;0),'模拟-模拟计算'!AA370," ")</f>
        <v>113779.70935756987</v>
      </c>
    </row>
    <row r="346" spans="1:9" x14ac:dyDescent="0.2">
      <c r="A346" s="20">
        <f>INT('模拟-模拟计算'!B371+0.5)</f>
        <v>317</v>
      </c>
      <c r="B346" s="52">
        <f>IF(AND(INT('模拟-模拟计算'!B371)&lt;='模拟-模拟计算'!$C$2,'模拟-模拟计算'!B371&gt;0),'模拟-模拟计算'!B371," ")</f>
        <v>317.3400000000027</v>
      </c>
      <c r="C346" s="51" t="str">
        <f ca="1">IF(AND(INT('模拟-模拟计算'!B371)&lt;='模拟-模拟计算'!$C$2,'模拟-模拟计算'!B371&gt;0),'模拟-模拟计算'!C371," ")</f>
        <v>幽月轮1</v>
      </c>
      <c r="D346" s="104">
        <f ca="1">IF(AND(INT('模拟-模拟计算'!B371)&lt;='模拟-模拟计算'!$C$2,'模拟-模拟计算'!B371&gt;0),'模拟-模拟计算'!E371," ")</f>
        <v>80</v>
      </c>
      <c r="E346" s="104">
        <f ca="1">IF(AND(INT('模拟-模拟计算'!B371)&lt;='模拟-模拟计算'!$C$2,'模拟-模拟计算'!B371&gt;0),'模拟-模拟计算'!F371," ")</f>
        <v>100</v>
      </c>
      <c r="F346" s="51" t="str">
        <f ca="1">IF(AND(INT('模拟-模拟计算'!B371)&lt;='模拟-模拟计算'!$C$2,'模拟-模拟计算'!B371&gt;0),'模拟-模拟计算'!P371," ")</f>
        <v>会</v>
      </c>
      <c r="G346" s="52">
        <f ca="1">IF(AND(INT('模拟-模拟计算'!B371)&lt;='模拟-模拟计算'!$C$2,'模拟-模拟计算'!B371&gt;0),'模拟-模拟计算'!V371," ")</f>
        <v>36630.702053185581</v>
      </c>
      <c r="H346" s="52">
        <f ca="1">IF(AND(INT('模拟-模拟计算'!B371)&lt;='模拟-模拟计算'!$C$2,'模拟-模拟计算'!B371&gt;0),'模拟-模拟计算'!Y371," ")</f>
        <v>54536.92273794733</v>
      </c>
      <c r="I346" s="105">
        <f ca="1">IF(AND(INT('模拟-模拟计算'!B371)&lt;='模拟-模拟计算'!$C$2,'模拟-模拟计算'!B371&gt;0),'模拟-模拟计算'!AA371," ")</f>
        <v>113620.81082872255</v>
      </c>
    </row>
    <row r="347" spans="1:9" x14ac:dyDescent="0.2">
      <c r="A347" s="20">
        <f>INT('模拟-模拟计算'!B372+0.5)</f>
        <v>318</v>
      </c>
      <c r="B347" s="52">
        <f>IF(AND(INT('模拟-模拟计算'!B372)&lt;='模拟-模拟计算'!$C$2,'模拟-模拟计算'!B372&gt;0),'模拟-模拟计算'!B372," ")</f>
        <v>318.26250000000272</v>
      </c>
      <c r="C347" s="51" t="str">
        <f ca="1">IF(AND(INT('模拟-模拟计算'!B372)&lt;='模拟-模拟计算'!$C$2,'模拟-模拟计算'!B372&gt;0),'模拟-模拟计算'!C372," ")</f>
        <v>净世破魔击·月</v>
      </c>
      <c r="D347" s="104">
        <f ca="1">IF(AND(INT('模拟-模拟计算'!B372)&lt;='模拟-模拟计算'!$C$2,'模拟-模拟计算'!B372&gt;0),'模拟-模拟计算'!E372," ")</f>
        <v>100</v>
      </c>
      <c r="E347" s="104">
        <f ca="1">IF(AND(INT('模拟-模拟计算'!B372)&lt;='模拟-模拟计算'!$C$2,'模拟-模拟计算'!B372&gt;0),'模拟-模拟计算'!F372," ")</f>
        <v>20</v>
      </c>
      <c r="F347" s="51" t="str">
        <f ca="1">IF(AND(INT('模拟-模拟计算'!B372)&lt;='模拟-模拟计算'!$C$2,'模拟-模拟计算'!B372&gt;0),'模拟-模拟计算'!P372," ")</f>
        <v>命</v>
      </c>
      <c r="G347" s="52">
        <f ca="1">IF(AND(INT('模拟-模拟计算'!B372)&lt;='模拟-模拟计算'!$C$2,'模拟-模拟计算'!B372&gt;0),'模拟-模拟计算'!V372," ")</f>
        <v>84412.793434348554</v>
      </c>
      <c r="H347" s="52">
        <f ca="1">IF(AND(INT('模拟-模拟计算'!B372)&lt;='模拟-模拟计算'!$C$2,'模拟-模拟计算'!B372&gt;0),'模拟-模拟计算'!Y372," ")</f>
        <v>92730.514835267051</v>
      </c>
      <c r="I347" s="105">
        <f ca="1">IF(AND(INT('模拟-模拟计算'!B372)&lt;='模拟-模拟计算'!$C$2,'模拟-模拟计算'!B372&gt;0),'模拟-模拟计算'!AA372," ")</f>
        <v>113582.84002426323</v>
      </c>
    </row>
    <row r="348" spans="1:9" x14ac:dyDescent="0.2">
      <c r="A348" s="20">
        <f>INT('模拟-模拟计算'!B373+0.5)</f>
        <v>319</v>
      </c>
      <c r="B348" s="52">
        <f>IF(AND(INT('模拟-模拟计算'!B373)&lt;='模拟-模拟计算'!$C$2,'模拟-模拟计算'!B373&gt;0),'模拟-模拟计算'!B373," ")</f>
        <v>319.18500000000273</v>
      </c>
      <c r="C348" s="51" t="str">
        <f ca="1">IF(AND(INT('模拟-模拟计算'!B373)&lt;='模拟-模拟计算'!$C$2,'模拟-模拟计算'!B373&gt;0),'模拟-模拟计算'!C373," ")</f>
        <v>净世破魔击·日</v>
      </c>
      <c r="D348" s="104">
        <f ca="1">IF(AND(INT('模拟-模拟计算'!B373)&lt;='模拟-模拟计算'!$C$2,'模拟-模拟计算'!B373&gt;0),'模拟-模拟计算'!E373," ")</f>
        <v>0</v>
      </c>
      <c r="E348" s="104">
        <f ca="1">IF(AND(INT('模拟-模拟计算'!B373)&lt;='模拟-模拟计算'!$C$2,'模拟-模拟计算'!B373&gt;0),'模拟-模拟计算'!F373," ")</f>
        <v>20</v>
      </c>
      <c r="F348" s="51" t="str">
        <f ca="1">IF(AND(INT('模拟-模拟计算'!B373)&lt;='模拟-模拟计算'!$C$2,'模拟-模拟计算'!B373&gt;0),'模拟-模拟计算'!P373," ")</f>
        <v>命</v>
      </c>
      <c r="G348" s="52">
        <f ca="1">IF(AND(INT('模拟-模拟计算'!B373)&lt;='模拟-模拟计算'!$C$2,'模拟-模拟计算'!B373&gt;0),'模拟-模拟计算'!V373," ")</f>
        <v>94575.365106402023</v>
      </c>
      <c r="H348" s="52">
        <f ca="1">IF(AND(INT('模拟-模拟计算'!B373)&lt;='模拟-模拟计算'!$C$2,'模拟-模拟计算'!B373&gt;0),'模拟-模拟计算'!Y373," ")</f>
        <v>125363.16953538626</v>
      </c>
      <c r="I348" s="105">
        <f ca="1">IF(AND(INT('模拟-模拟计算'!B373)&lt;='模拟-模拟计算'!$C$2,'模拟-模拟计算'!B373&gt;0),'模拟-模拟计算'!AA373," ")</f>
        <v>113647.32613612</v>
      </c>
    </row>
    <row r="349" spans="1:9" x14ac:dyDescent="0.2">
      <c r="A349" s="20">
        <f>INT('模拟-模拟计算'!B374+0.5)</f>
        <v>320</v>
      </c>
      <c r="B349" s="52">
        <f>IF(AND(INT('模拟-模拟计算'!B374)&lt;='模拟-模拟计算'!$C$2,'模拟-模拟计算'!B374&gt;0),'模拟-模拟计算'!B374," ")</f>
        <v>320.10750000000274</v>
      </c>
      <c r="C349" s="51" t="str">
        <f ca="1">IF(AND(INT('模拟-模拟计算'!B374)&lt;='模拟-模拟计算'!$C$2,'模拟-模拟计算'!B374&gt;0),'模拟-模拟计算'!C374," ")</f>
        <v>赤日轮1</v>
      </c>
      <c r="D349" s="104">
        <f ca="1">IF(AND(INT('模拟-模拟计算'!B374)&lt;='模拟-模拟计算'!$C$2,'模拟-模拟计算'!B374&gt;0),'模拟-模拟计算'!E374," ")</f>
        <v>20</v>
      </c>
      <c r="E349" s="104">
        <f ca="1">IF(AND(INT('模拟-模拟计算'!B374)&lt;='模拟-模拟计算'!$C$2,'模拟-模拟计算'!B374&gt;0),'模拟-模拟计算'!F374," ")</f>
        <v>20</v>
      </c>
      <c r="F349" s="51" t="str">
        <f ca="1">IF(AND(INT('模拟-模拟计算'!B374)&lt;='模拟-模拟计算'!$C$2,'模拟-模拟计算'!B374&gt;0),'模拟-模拟计算'!P374," ")</f>
        <v>会</v>
      </c>
      <c r="G349" s="52">
        <f ca="1">IF(AND(INT('模拟-模拟计算'!B374)&lt;='模拟-模拟计算'!$C$2,'模拟-模拟计算'!B374&gt;0),'模拟-模拟计算'!V374," ")</f>
        <v>54482.562593809358</v>
      </c>
      <c r="H349" s="52">
        <f ca="1">IF(AND(INT('模拟-模拟计算'!B374)&lt;='模拟-模拟计算'!$C$2,'模拟-模拟计算'!B374&gt;0),'模拟-模拟计算'!Y374," ")</f>
        <v>54844.07323735641</v>
      </c>
      <c r="I349" s="105">
        <f ca="1">IF(AND(INT('模拟-模拟计算'!B374)&lt;='模拟-模拟计算'!$C$2,'模拟-模拟计算'!B374&gt;0),'模拟-模拟计算'!AA374," ")</f>
        <v>113491.14240058362</v>
      </c>
    </row>
    <row r="350" spans="1:9" x14ac:dyDescent="0.2">
      <c r="A350" s="20">
        <f>INT('模拟-模拟计算'!B375+0.5)</f>
        <v>321</v>
      </c>
      <c r="B350" s="52">
        <f>IF(AND(INT('模拟-模拟计算'!B375)&lt;='模拟-模拟计算'!$C$2,'模拟-模拟计算'!B375&gt;0),'模拟-模拟计算'!B375," ")</f>
        <v>321.03000000000276</v>
      </c>
      <c r="C350" s="51" t="str">
        <f ca="1">IF(AND(INT('模拟-模拟计算'!B375)&lt;='模拟-模拟计算'!$C$2,'模拟-模拟计算'!B375&gt;0),'模拟-模拟计算'!C375," ")</f>
        <v>银月斩</v>
      </c>
      <c r="D350" s="104">
        <f ca="1">IF(AND(INT('模拟-模拟计算'!B375)&lt;='模拟-模拟计算'!$C$2,'模拟-模拟计算'!B375&gt;0),'模拟-模拟计算'!E375," ")</f>
        <v>20</v>
      </c>
      <c r="E350" s="104">
        <f ca="1">IF(AND(INT('模拟-模拟计算'!B375)&lt;='模拟-模拟计算'!$C$2,'模拟-模拟计算'!B375&gt;0),'模拟-模拟计算'!F375," ")</f>
        <v>65</v>
      </c>
      <c r="F350" s="51" t="str">
        <f ca="1">IF(AND(INT('模拟-模拟计算'!B375)&lt;='模拟-模拟计算'!$C$2,'模拟-模拟计算'!B375&gt;0),'模拟-模拟计算'!P375," ")</f>
        <v>命</v>
      </c>
      <c r="G350" s="52">
        <f ca="1">IF(AND(INT('模拟-模拟计算'!B375)&lt;='模拟-模拟计算'!$C$2,'模拟-模拟计算'!B375&gt;0),'模拟-模拟计算'!V375," ")</f>
        <v>17450.434922549593</v>
      </c>
      <c r="H350" s="52">
        <f ca="1">IF(AND(INT('模拟-模拟计算'!B375)&lt;='模拟-模拟计算'!$C$2,'模拟-模拟计算'!B375&gt;0),'模拟-模拟计算'!Y375," ")</f>
        <v>41929.978995781014</v>
      </c>
      <c r="I350" s="105">
        <f ca="1">IF(AND(INT('模拟-模拟计算'!B375)&lt;='模拟-模拟计算'!$C$2,'模拟-模拟计算'!B375&gt;0),'模拟-模拟计算'!AA375," ")</f>
        <v>113295.62920907889</v>
      </c>
    </row>
    <row r="351" spans="1:9" x14ac:dyDescent="0.2">
      <c r="A351" s="20">
        <f>INT('模拟-模拟计算'!B376+0.5)</f>
        <v>322</v>
      </c>
      <c r="B351" s="52">
        <f>IF(AND(INT('模拟-模拟计算'!B376)&lt;='模拟-模拟计算'!$C$2,'模拟-模拟计算'!B376&gt;0),'模拟-模拟计算'!B376," ")</f>
        <v>321.95250000000277</v>
      </c>
      <c r="C351" s="51" t="str">
        <f ca="1">IF(AND(INT('模拟-模拟计算'!B376)&lt;='模拟-模拟计算'!$C$2,'模拟-模拟计算'!B376&gt;0),'模拟-模拟计算'!C376," ")</f>
        <v>驱夜断愁</v>
      </c>
      <c r="D351" s="104">
        <f ca="1">IF(AND(INT('模拟-模拟计算'!B376)&lt;='模拟-模拟计算'!$C$2,'模拟-模拟计算'!B376&gt;0),'模拟-模拟计算'!E376," ")</f>
        <v>40</v>
      </c>
      <c r="E351" s="104">
        <f ca="1">IF(AND(INT('模拟-模拟计算'!B376)&lt;='模拟-模拟计算'!$C$2,'模拟-模拟计算'!B376&gt;0),'模拟-模拟计算'!F376," ")</f>
        <v>85</v>
      </c>
      <c r="F351" s="51" t="str">
        <f ca="1">IF(AND(INT('模拟-模拟计算'!B376)&lt;='模拟-模拟计算'!$C$2,'模拟-模拟计算'!B376&gt;0),'模拟-模拟计算'!P376," ")</f>
        <v>命</v>
      </c>
      <c r="G351" s="52">
        <f ca="1">IF(AND(INT('模拟-模拟计算'!B376)&lt;='模拟-模拟计算'!$C$2,'模拟-模拟计算'!B376&gt;0),'模拟-模拟计算'!V376," ")</f>
        <v>58943.088028757353</v>
      </c>
      <c r="H351" s="52">
        <f ca="1">IF(AND(INT('模拟-模拟计算'!B376)&lt;='模拟-模拟计算'!$C$2,'模拟-模拟计算'!B376&gt;0),'模拟-模拟计算'!Y376," ")</f>
        <v>59666.109315851449</v>
      </c>
      <c r="I351" s="105">
        <f ca="1">IF(AND(INT('模拟-模拟计算'!B376)&lt;='模拟-模拟计算'!$C$2,'模拟-模拟计算'!B376&gt;0),'模拟-模拟计算'!AA376," ")</f>
        <v>113156.32571359578</v>
      </c>
    </row>
    <row r="352" spans="1:9" x14ac:dyDescent="0.2">
      <c r="A352" s="20">
        <f>INT('模拟-模拟计算'!B377+0.5)</f>
        <v>323</v>
      </c>
      <c r="B352" s="52">
        <f>IF(AND(INT('模拟-模拟计算'!B377)&lt;='模拟-模拟计算'!$C$2,'模拟-模拟计算'!B377&gt;0),'模拟-模拟计算'!B377," ")</f>
        <v>322.87500000000279</v>
      </c>
      <c r="C352" s="51" t="str">
        <f ca="1">IF(AND(INT('模拟-模拟计算'!B377)&lt;='模拟-模拟计算'!$C$2,'模拟-模拟计算'!B377&gt;0),'模拟-模拟计算'!C377," ")</f>
        <v>烈日斩</v>
      </c>
      <c r="D352" s="104">
        <f ca="1">IF(AND(INT('模拟-模拟计算'!B377)&lt;='模拟-模拟计算'!$C$2,'模拟-模拟计算'!B377&gt;0),'模拟-模拟计算'!E377," ")</f>
        <v>80</v>
      </c>
      <c r="E352" s="104">
        <f ca="1">IF(AND(INT('模拟-模拟计算'!B377)&lt;='模拟-模拟计算'!$C$2,'模拟-模拟计算'!B377&gt;0),'模拟-模拟计算'!F377," ")</f>
        <v>85</v>
      </c>
      <c r="F352" s="51" t="str">
        <f ca="1">IF(AND(INT('模拟-模拟计算'!B377)&lt;='模拟-模拟计算'!$C$2,'模拟-模拟计算'!B377&gt;0),'模拟-模拟计算'!P377," ")</f>
        <v>命</v>
      </c>
      <c r="G352" s="52">
        <f ca="1">IF(AND(INT('模拟-模拟计算'!B377)&lt;='模拟-模拟计算'!$C$2,'模拟-模拟计算'!B377&gt;0),'模拟-模拟计算'!V377," ")</f>
        <v>46789.769184608012</v>
      </c>
      <c r="H352" s="52">
        <f ca="1">IF(AND(INT('模拟-模拟计算'!B377)&lt;='模拟-模拟计算'!$C$2,'模拟-模拟计算'!B377&gt;0),'模拟-模拟计算'!Y377," ")</f>
        <v>67978.106219237627</v>
      </c>
      <c r="I352" s="105">
        <f ca="1">IF(AND(INT('模拟-模拟计算'!B377)&lt;='模拟-模拟计算'!$C$2,'模拟-模拟计算'!B377&gt;0),'模拟-模拟计算'!AA377," ")</f>
        <v>113043.56193736178</v>
      </c>
    </row>
    <row r="353" spans="1:9" x14ac:dyDescent="0.2">
      <c r="A353" s="20">
        <f>INT('模拟-模拟计算'!B378+0.5)</f>
        <v>324</v>
      </c>
      <c r="B353" s="52">
        <f>IF(AND(INT('模拟-模拟计算'!B378)&lt;='模拟-模拟计算'!$C$2,'模拟-模拟计算'!B378&gt;0),'模拟-模拟计算'!B378," ")</f>
        <v>323.7975000000028</v>
      </c>
      <c r="C353" s="51" t="str">
        <f ca="1">IF(AND(INT('模拟-模拟计算'!B378)&lt;='模拟-模拟计算'!$C$2,'模拟-模拟计算'!B378&gt;0),'模拟-模拟计算'!C378," ")</f>
        <v>幽月轮1</v>
      </c>
      <c r="D353" s="104">
        <f ca="1">IF(AND(INT('模拟-模拟计算'!B378)&lt;='模拟-模拟计算'!$C$2,'模拟-模拟计算'!B378&gt;0),'模拟-模拟计算'!E378," ")</f>
        <v>80</v>
      </c>
      <c r="E353" s="104">
        <f ca="1">IF(AND(INT('模拟-模拟计算'!B378)&lt;='模拟-模拟计算'!$C$2,'模拟-模拟计算'!B378&gt;0),'模拟-模拟计算'!F378," ")</f>
        <v>100</v>
      </c>
      <c r="F353" s="51" t="str">
        <f ca="1">IF(AND(INT('模拟-模拟计算'!B378)&lt;='模拟-模拟计算'!$C$2,'模拟-模拟计算'!B378&gt;0),'模拟-模拟计算'!P378," ")</f>
        <v>命</v>
      </c>
      <c r="G353" s="52">
        <f ca="1">IF(AND(INT('模拟-模拟计算'!B378)&lt;='模拟-模拟计算'!$C$2,'模拟-模拟计算'!B378&gt;0),'模拟-模拟计算'!V378," ")</f>
        <v>16226.218300318291</v>
      </c>
      <c r="H353" s="52">
        <f ca="1">IF(AND(INT('模拟-模拟计算'!B378)&lt;='模拟-模拟计算'!$C$2,'模拟-模拟计算'!B378&gt;0),'模拟-模拟计算'!Y378," ")</f>
        <v>16587.728943865339</v>
      </c>
      <c r="I353" s="105">
        <f ca="1">IF(AND(INT('模拟-模拟计算'!B378)&lt;='模拟-模拟计算'!$C$2,'模拟-模拟计算'!B378&gt;0),'模拟-模拟计算'!AA378," ")</f>
        <v>112772.72921955712</v>
      </c>
    </row>
    <row r="354" spans="1:9" x14ac:dyDescent="0.2">
      <c r="A354" s="20">
        <f>INT('模拟-模拟计算'!B379+0.5)</f>
        <v>325</v>
      </c>
      <c r="B354" s="52">
        <f>IF(AND(INT('模拟-模拟计算'!B379)&lt;='模拟-模拟计算'!$C$2,'模拟-模拟计算'!B379&gt;0),'模拟-模拟计算'!B379," ")</f>
        <v>324.72000000000281</v>
      </c>
      <c r="C354" s="51" t="str">
        <f ca="1">IF(AND(INT('模拟-模拟计算'!B379)&lt;='模拟-模拟计算'!$C$2,'模拟-模拟计算'!B379&gt;0),'模拟-模拟计算'!C379," ")</f>
        <v>净世破魔击·月</v>
      </c>
      <c r="D354" s="104">
        <f ca="1">IF(AND(INT('模拟-模拟计算'!B379)&lt;='模拟-模拟计算'!$C$2,'模拟-模拟计算'!B379&gt;0),'模拟-模拟计算'!E379," ")</f>
        <v>100</v>
      </c>
      <c r="E354" s="104">
        <f ca="1">IF(AND(INT('模拟-模拟计算'!B379)&lt;='模拟-模拟计算'!$C$2,'模拟-模拟计算'!B379&gt;0),'模拟-模拟计算'!F379," ")</f>
        <v>20</v>
      </c>
      <c r="F354" s="51" t="str">
        <f ca="1">IF(AND(INT('模拟-模拟计算'!B379)&lt;='模拟-模拟计算'!$C$2,'模拟-模拟计算'!B379&gt;0),'模拟-模拟计算'!P379," ")</f>
        <v>命</v>
      </c>
      <c r="G354" s="52">
        <f ca="1">IF(AND(INT('模拟-模拟计算'!B379)&lt;='模拟-模拟计算'!$C$2,'模拟-模拟计算'!B379&gt;0),'模拟-模拟计算'!V379," ")</f>
        <v>80864.621558254468</v>
      </c>
      <c r="H354" s="52">
        <f ca="1">IF(AND(INT('模拟-模拟计算'!B379)&lt;='模拟-模拟计算'!$C$2,'模拟-模拟计算'!B379&gt;0),'模拟-模拟计算'!Y379," ")</f>
        <v>113428.90574490635</v>
      </c>
      <c r="I354" s="105">
        <f ca="1">IF(AND(INT('模拟-模拟计算'!B379)&lt;='模拟-模拟计算'!$C$2,'模拟-模拟计算'!B379&gt;0),'模拟-模拟计算'!AA379," ")</f>
        <v>112801.66511214107</v>
      </c>
    </row>
    <row r="355" spans="1:9" x14ac:dyDescent="0.2">
      <c r="A355" s="20">
        <f>INT('模拟-模拟计算'!B380+0.5)</f>
        <v>326</v>
      </c>
      <c r="B355" s="52">
        <f>IF(AND(INT('模拟-模拟计算'!B380)&lt;='模拟-模拟计算'!$C$2,'模拟-模拟计算'!B380&gt;0),'模拟-模拟计算'!B380," ")</f>
        <v>325.64250000000283</v>
      </c>
      <c r="C355" s="51" t="str">
        <f ca="1">IF(AND(INT('模拟-模拟计算'!B380)&lt;='模拟-模拟计算'!$C$2,'模拟-模拟计算'!B380&gt;0),'模拟-模拟计算'!C380," ")</f>
        <v>净世破魔击·日</v>
      </c>
      <c r="D355" s="104">
        <f ca="1">IF(AND(INT('模拟-模拟计算'!B380)&lt;='模拟-模拟计算'!$C$2,'模拟-模拟计算'!B380&gt;0),'模拟-模拟计算'!E380," ")</f>
        <v>0</v>
      </c>
      <c r="E355" s="104">
        <f ca="1">IF(AND(INT('模拟-模拟计算'!B380)&lt;='模拟-模拟计算'!$C$2,'模拟-模拟计算'!B380&gt;0),'模拟-模拟计算'!F380," ")</f>
        <v>20</v>
      </c>
      <c r="F355" s="51" t="str">
        <f ca="1">IF(AND(INT('模拟-模拟计算'!B380)&lt;='模拟-模拟计算'!$C$2,'模拟-模拟计算'!B380&gt;0),'模拟-模拟计算'!P380," ")</f>
        <v>会</v>
      </c>
      <c r="G355" s="52">
        <f ca="1">IF(AND(INT('模拟-模拟计算'!B380)&lt;='模拟-模拟计算'!$C$2,'模拟-模拟计算'!B380&gt;0),'模拟-模拟计算'!V380," ")</f>
        <v>195915.814886668</v>
      </c>
      <c r="H355" s="52">
        <f ca="1">IF(AND(INT('模拟-模拟计算'!B380)&lt;='模拟-模拟计算'!$C$2,'模拟-模拟计算'!B380&gt;0),'模拟-模拟计算'!Y380," ")</f>
        <v>226578.51449974536</v>
      </c>
      <c r="I355" s="105">
        <f ca="1">IF(AND(INT('模拟-模拟计算'!B380)&lt;='模拟-模拟计算'!$C$2,'模拟-模拟计算'!B380&gt;0),'模拟-模拟计算'!AA380," ")</f>
        <v>113177.90279129472</v>
      </c>
    </row>
    <row r="356" spans="1:9" x14ac:dyDescent="0.2">
      <c r="A356" s="20">
        <f>INT('模拟-模拟计算'!B381+0.5)</f>
        <v>327</v>
      </c>
      <c r="B356" s="52">
        <f>IF(AND(INT('模拟-模拟计算'!B381)&lt;='模拟-模拟计算'!$C$2,'模拟-模拟计算'!B381&gt;0),'模拟-模拟计算'!B381," ")</f>
        <v>326.56500000000284</v>
      </c>
      <c r="C356" s="51" t="str">
        <f ca="1">IF(AND(INT('模拟-模拟计算'!B381)&lt;='模拟-模拟计算'!$C$2,'模拟-模拟计算'!B381&gt;0),'模拟-模拟计算'!C381," ")</f>
        <v>赤日轮1</v>
      </c>
      <c r="D356" s="104">
        <f ca="1">IF(AND(INT('模拟-模拟计算'!B381)&lt;='模拟-模拟计算'!$C$2,'模拟-模拟计算'!B381&gt;0),'模拟-模拟计算'!E381," ")</f>
        <v>20</v>
      </c>
      <c r="E356" s="104">
        <f ca="1">IF(AND(INT('模拟-模拟计算'!B381)&lt;='模拟-模拟计算'!$C$2,'模拟-模拟计算'!B381&gt;0),'模拟-模拟计算'!F381," ")</f>
        <v>20</v>
      </c>
      <c r="F356" s="51" t="str">
        <f ca="1">IF(AND(INT('模拟-模拟计算'!B381)&lt;='模拟-模拟计算'!$C$2,'模拟-模拟计算'!B381&gt;0),'模拟-模拟计算'!P381," ")</f>
        <v>会</v>
      </c>
      <c r="G356" s="52">
        <f ca="1">IF(AND(INT('模拟-模拟计算'!B381)&lt;='模拟-模拟计算'!$C$2,'模拟-模拟计算'!B381&gt;0),'模拟-模拟计算'!V381," ")</f>
        <v>56864.156113360666</v>
      </c>
      <c r="H356" s="52">
        <f ca="1">IF(AND(INT('模拟-模拟计算'!B381)&lt;='模拟-模拟计算'!$C$2,'模拟-模拟计算'!B381&gt;0),'模拟-模拟计算'!Y381," ")</f>
        <v>90487.850473159371</v>
      </c>
      <c r="I356" s="105">
        <f ca="1">IF(AND(INT('模拟-模拟计算'!B381)&lt;='模拟-模拟计算'!$C$2,'模拟-模拟计算'!B381&gt;0),'模拟-模拟计算'!AA381," ")</f>
        <v>113135.28106253684</v>
      </c>
    </row>
    <row r="357" spans="1:9" x14ac:dyDescent="0.2">
      <c r="A357" s="20">
        <f>INT('模拟-模拟计算'!B382+0.5)</f>
        <v>327</v>
      </c>
      <c r="B357" s="52">
        <f>IF(AND(INT('模拟-模拟计算'!B382)&lt;='模拟-模拟计算'!$C$2,'模拟-模拟计算'!B382&gt;0),'模拟-模拟计算'!B382," ")</f>
        <v>327.48750000000285</v>
      </c>
      <c r="C357" s="51" t="str">
        <f ca="1">IF(AND(INT('模拟-模拟计算'!B382)&lt;='模拟-模拟计算'!$C$2,'模拟-模拟计算'!B382&gt;0),'模拟-模拟计算'!C382," ")</f>
        <v>银月斩</v>
      </c>
      <c r="D357" s="104">
        <f ca="1">IF(AND(INT('模拟-模拟计算'!B382)&lt;='模拟-模拟计算'!$C$2,'模拟-模拟计算'!B382&gt;0),'模拟-模拟计算'!E382," ")</f>
        <v>20</v>
      </c>
      <c r="E357" s="104">
        <f ca="1">IF(AND(INT('模拟-模拟计算'!B382)&lt;='模拟-模拟计算'!$C$2,'模拟-模拟计算'!B382&gt;0),'模拟-模拟计算'!F382," ")</f>
        <v>65</v>
      </c>
      <c r="F357" s="51" t="str">
        <f ca="1">IF(AND(INT('模拟-模拟计算'!B382)&lt;='模拟-模拟计算'!$C$2,'模拟-模拟计算'!B382&gt;0),'模拟-模拟计算'!P382," ")</f>
        <v>会</v>
      </c>
      <c r="G357" s="52">
        <f ca="1">IF(AND(INT('模拟-模拟计算'!B382)&lt;='模拟-模拟计算'!$C$2,'模拟-模拟计算'!B382&gt;0),'模拟-模拟计算'!V382," ")</f>
        <v>41211.704893206668</v>
      </c>
      <c r="H357" s="52">
        <f ca="1">IF(AND(INT('模拟-模拟计算'!B382)&lt;='模拟-模拟计算'!$C$2,'模拟-模拟计算'!B382&gt;0),'模拟-模拟计算'!Y382," ")</f>
        <v>41573.21553675372</v>
      </c>
      <c r="I357" s="105">
        <f ca="1">IF(AND(INT('模拟-模拟计算'!B382)&lt;='模拟-模拟计算'!$C$2,'模拟-模拟计算'!B382&gt;0),'模拟-模拟计算'!AA382," ")</f>
        <v>112943.53609137477</v>
      </c>
    </row>
    <row r="358" spans="1:9" x14ac:dyDescent="0.2">
      <c r="A358" s="20">
        <f>INT('模拟-模拟计算'!B383+0.5)</f>
        <v>328</v>
      </c>
      <c r="B358" s="52">
        <f>IF(AND(INT('模拟-模拟计算'!B383)&lt;='模拟-模拟计算'!$C$2,'模拟-模拟计算'!B383&gt;0),'模拟-模拟计算'!B383," ")</f>
        <v>328.41000000000287</v>
      </c>
      <c r="C358" s="51" t="str">
        <f ca="1">IF(AND(INT('模拟-模拟计算'!B383)&lt;='模拟-模拟计算'!$C$2,'模拟-模拟计算'!B383&gt;0),'模拟-模拟计算'!C383," ")</f>
        <v>驱夜断愁</v>
      </c>
      <c r="D358" s="104">
        <f ca="1">IF(AND(INT('模拟-模拟计算'!B383)&lt;='模拟-模拟计算'!$C$2,'模拟-模拟计算'!B383&gt;0),'模拟-模拟计算'!E383," ")</f>
        <v>40</v>
      </c>
      <c r="E358" s="104">
        <f ca="1">IF(AND(INT('模拟-模拟计算'!B383)&lt;='模拟-模拟计算'!$C$2,'模拟-模拟计算'!B383&gt;0),'模拟-模拟计算'!F383," ")</f>
        <v>85</v>
      </c>
      <c r="F358" s="51" t="str">
        <f ca="1">IF(AND(INT('模拟-模拟计算'!B383)&lt;='模拟-模拟计算'!$C$2,'模拟-模拟计算'!B383&gt;0),'模拟-模拟计算'!P383," ")</f>
        <v>会</v>
      </c>
      <c r="G358" s="52">
        <f ca="1">IF(AND(INT('模拟-模拟计算'!B383)&lt;='模拟-模拟计算'!$C$2,'模拟-模拟计算'!B383&gt;0),'模拟-模拟计算'!V383," ")</f>
        <v>133079.35569364758</v>
      </c>
      <c r="H358" s="52">
        <f ca="1">IF(AND(INT('模拟-模拟计算'!B383)&lt;='模拟-模拟计算'!$C$2,'模拟-模拟计算'!B383&gt;0),'模拟-模拟计算'!Y383," ")</f>
        <v>149171.21882521611</v>
      </c>
      <c r="I358" s="105">
        <f ca="1">IF(AND(INT('模拟-模拟计算'!B383)&lt;='模拟-模拟计算'!$C$2,'模拟-模拟计算'!B383&gt;0),'模拟-模拟计算'!AA383," ")</f>
        <v>113080.50149066505</v>
      </c>
    </row>
    <row r="359" spans="1:9" x14ac:dyDescent="0.2">
      <c r="A359" s="20">
        <f>INT('模拟-模拟计算'!B384+0.5)</f>
        <v>329</v>
      </c>
      <c r="B359" s="52">
        <f>IF(AND(INT('模拟-模拟计算'!B384)&lt;='模拟-模拟计算'!$C$2,'模拟-模拟计算'!B384&gt;0),'模拟-模拟计算'!B384," ")</f>
        <v>329.33250000000288</v>
      </c>
      <c r="C359" s="51" t="str">
        <f ca="1">IF(AND(INT('模拟-模拟计算'!B384)&lt;='模拟-模拟计算'!$C$2,'模拟-模拟计算'!B384&gt;0),'模拟-模拟计算'!C384," ")</f>
        <v>烈日斩</v>
      </c>
      <c r="D359" s="104">
        <f ca="1">IF(AND(INT('模拟-模拟计算'!B384)&lt;='模拟-模拟计算'!$C$2,'模拟-模拟计算'!B384&gt;0),'模拟-模拟计算'!E384," ")</f>
        <v>80</v>
      </c>
      <c r="E359" s="104">
        <f ca="1">IF(AND(INT('模拟-模拟计算'!B384)&lt;='模拟-模拟计算'!$C$2,'模拟-模拟计算'!B384&gt;0),'模拟-模拟计算'!F384," ")</f>
        <v>85</v>
      </c>
      <c r="F359" s="51" t="str">
        <f ca="1">IF(AND(INT('模拟-模拟计算'!B384)&lt;='模拟-模拟计算'!$C$2,'模拟-模拟计算'!B384&gt;0),'模拟-模拟计算'!P384," ")</f>
        <v>命</v>
      </c>
      <c r="G359" s="52">
        <f ca="1">IF(AND(INT('模拟-模拟计算'!B384)&lt;='模拟-模拟计算'!$C$2,'模拟-模拟计算'!B384&gt;0),'模拟-模拟计算'!V384," ")</f>
        <v>48841.631854871324</v>
      </c>
      <c r="H359" s="52">
        <f ca="1">IF(AND(INT('模拟-模拟计算'!B384)&lt;='模拟-模拟计算'!$C$2,'模拟-模拟计算'!B384&gt;0),'模拟-模拟计算'!Y384," ")</f>
        <v>49203.142498418369</v>
      </c>
      <c r="I359" s="105">
        <f ca="1">IF(AND(INT('模拟-模拟计算'!B384)&lt;='模拟-模拟计算'!$C$2,'模拟-模拟计算'!B384&gt;0),'模拟-模拟计算'!AA384," ")</f>
        <v>112913.15201824212</v>
      </c>
    </row>
    <row r="360" spans="1:9" x14ac:dyDescent="0.2">
      <c r="A360" s="20">
        <f>INT('模拟-模拟计算'!B385+0.5)</f>
        <v>330</v>
      </c>
      <c r="B360" s="52">
        <f>IF(AND(INT('模拟-模拟计算'!B385)&lt;='模拟-模拟计算'!$C$2,'模拟-模拟计算'!B385&gt;0),'模拟-模拟计算'!B385," ")</f>
        <v>330.25500000000289</v>
      </c>
      <c r="C360" s="51" t="str">
        <f ca="1">IF(AND(INT('模拟-模拟计算'!B385)&lt;='模拟-模拟计算'!$C$2,'模拟-模拟计算'!B385&gt;0),'模拟-模拟计算'!C385," ")</f>
        <v>幽月轮1</v>
      </c>
      <c r="D360" s="104">
        <f ca="1">IF(AND(INT('模拟-模拟计算'!B385)&lt;='模拟-模拟计算'!$C$2,'模拟-模拟计算'!B385&gt;0),'模拟-模拟计算'!E385," ")</f>
        <v>80</v>
      </c>
      <c r="E360" s="104">
        <f ca="1">IF(AND(INT('模拟-模拟计算'!B385)&lt;='模拟-模拟计算'!$C$2,'模拟-模拟计算'!B385&gt;0),'模拟-模拟计算'!F385," ")</f>
        <v>100</v>
      </c>
      <c r="F360" s="51" t="str">
        <f ca="1">IF(AND(INT('模拟-模拟计算'!B385)&lt;='模拟-模拟计算'!$C$2,'模拟-模拟计算'!B385&gt;0),'模拟-模拟计算'!P385," ")</f>
        <v>会</v>
      </c>
      <c r="G360" s="52">
        <f ca="1">IF(AND(INT('模拟-模拟计算'!B385)&lt;='模拟-模拟计算'!$C$2,'模拟-模拟计算'!B385&gt;0),'模拟-模拟计算'!V385," ")</f>
        <v>36630.702053185581</v>
      </c>
      <c r="H360" s="52">
        <f ca="1">IF(AND(INT('模拟-模拟计算'!B385)&lt;='模拟-模拟计算'!$C$2,'模拟-模拟计算'!B385&gt;0),'模拟-模拟计算'!Y385," ")</f>
        <v>54132.258859926027</v>
      </c>
      <c r="I360" s="105">
        <f ca="1">IF(AND(INT('模拟-模拟计算'!B385)&lt;='模拟-模拟计算'!$C$2,'模拟-模拟计算'!B385&gt;0),'模拟-模拟计算'!AA385," ")</f>
        <v>112761.66264222389</v>
      </c>
    </row>
    <row r="361" spans="1:9" x14ac:dyDescent="0.2">
      <c r="A361" s="20">
        <f>INT('模拟-模拟计算'!B386+0.5)</f>
        <v>331</v>
      </c>
      <c r="B361" s="52">
        <f>IF(AND(INT('模拟-模拟计算'!B386)&lt;='模拟-模拟计算'!$C$2,'模拟-模拟计算'!B386&gt;0),'模拟-模拟计算'!B386," ")</f>
        <v>331.17750000000291</v>
      </c>
      <c r="C361" s="51" t="str">
        <f ca="1">IF(AND(INT('模拟-模拟计算'!B386)&lt;='模拟-模拟计算'!$C$2,'模拟-模拟计算'!B386&gt;0),'模拟-模拟计算'!C386," ")</f>
        <v>净世破魔击·月</v>
      </c>
      <c r="D361" s="104">
        <f ca="1">IF(AND(INT('模拟-模拟计算'!B386)&lt;='模拟-模拟计算'!$C$2,'模拟-模拟计算'!B386&gt;0),'模拟-模拟计算'!E386," ")</f>
        <v>100</v>
      </c>
      <c r="E361" s="104">
        <f ca="1">IF(AND(INT('模拟-模拟计算'!B386)&lt;='模拟-模拟计算'!$C$2,'模拟-模拟计算'!B386&gt;0),'模拟-模拟计算'!F386," ")</f>
        <v>20</v>
      </c>
      <c r="F361" s="51" t="str">
        <f ca="1">IF(AND(INT('模拟-模拟计算'!B386)&lt;='模拟-模拟计算'!$C$2,'模拟-模拟计算'!B386&gt;0),'模拟-模拟计算'!P386," ")</f>
        <v>会</v>
      </c>
      <c r="G361" s="52">
        <f ca="1">IF(AND(INT('模拟-模拟计算'!B386)&lt;='模拟-模拟计算'!$C$2,'模拟-模拟计算'!B386&gt;0),'模拟-模拟计算'!V386," ")</f>
        <v>212964.75797218451</v>
      </c>
      <c r="H361" s="52">
        <f ca="1">IF(AND(INT('模拟-模拟计算'!B386)&lt;='模拟-模拟计算'!$C$2,'模拟-模拟计算'!B386&gt;0),'模拟-模拟计算'!Y386," ")</f>
        <v>277700.3637434144</v>
      </c>
      <c r="I361" s="105">
        <f ca="1">IF(AND(INT('模拟-模拟计算'!B386)&lt;='模拟-模拟计算'!$C$2,'模拟-模拟计算'!B386&gt;0),'模拟-模拟计算'!AA386," ")</f>
        <v>113286.08755018401</v>
      </c>
    </row>
    <row r="362" spans="1:9" x14ac:dyDescent="0.2">
      <c r="A362" s="20">
        <f>INT('模拟-模拟计算'!B387+0.5)</f>
        <v>332</v>
      </c>
      <c r="B362" s="52">
        <f>IF(AND(INT('模拟-模拟计算'!B387)&lt;='模拟-模拟计算'!$C$2,'模拟-模拟计算'!B387&gt;0),'模拟-模拟计算'!B387," ")</f>
        <v>332.10000000000292</v>
      </c>
      <c r="C362" s="51" t="str">
        <f ca="1">IF(AND(INT('模拟-模拟计算'!B387)&lt;='模拟-模拟计算'!$C$2,'模拟-模拟计算'!B387&gt;0),'模拟-模拟计算'!C387," ")</f>
        <v>净世破魔击·日</v>
      </c>
      <c r="D362" s="104">
        <f ca="1">IF(AND(INT('模拟-模拟计算'!B387)&lt;='模拟-模拟计算'!$C$2,'模拟-模拟计算'!B387&gt;0),'模拟-模拟计算'!E387," ")</f>
        <v>0</v>
      </c>
      <c r="E362" s="104">
        <f ca="1">IF(AND(INT('模拟-模拟计算'!B387)&lt;='模拟-模拟计算'!$C$2,'模拟-模拟计算'!B387&gt;0),'模拟-模拟计算'!F387," ")</f>
        <v>100</v>
      </c>
      <c r="F362" s="51" t="str">
        <f ca="1">IF(AND(INT('模拟-模拟计算'!B387)&lt;='模拟-模拟计算'!$C$2,'模拟-模拟计算'!B387&gt;0),'模拟-模拟计算'!P387," ")</f>
        <v>命</v>
      </c>
      <c r="G362" s="52">
        <f ca="1">IF(AND(INT('模拟-模拟计算'!B387)&lt;='模拟-模拟计算'!$C$2,'模拟-模拟计算'!B387&gt;0),'模拟-模拟计算'!V387," ")</f>
        <v>110337.92595746904</v>
      </c>
      <c r="H362" s="52">
        <f ca="1">IF(AND(INT('模拟-模拟计算'!B387)&lt;='模拟-模拟计算'!$C$2,'模拟-模拟计算'!B387&gt;0),'模拟-模拟计算'!Y387," ")</f>
        <v>142848.31628788836</v>
      </c>
      <c r="I362" s="105">
        <f ca="1">IF(AND(INT('模拟-模拟计算'!B387)&lt;='模拟-模拟计算'!$C$2,'模拟-模拟计算'!B387&gt;0),'模拟-模拟计算'!AA387," ")</f>
        <v>113401.54042739823</v>
      </c>
    </row>
    <row r="363" spans="1:9" x14ac:dyDescent="0.2">
      <c r="A363" s="20">
        <f>INT('模拟-模拟计算'!B388+0.5)</f>
        <v>333</v>
      </c>
      <c r="B363" s="52">
        <f>IF(AND(INT('模拟-模拟计算'!B388)&lt;='模拟-模拟计算'!$C$2,'模拟-模拟计算'!B388&gt;0),'模拟-模拟计算'!B388," ")</f>
        <v>333.02250000000294</v>
      </c>
      <c r="C363" s="51" t="str">
        <f ca="1">IF(AND(INT('模拟-模拟计算'!B388)&lt;='模拟-模拟计算'!$C$2,'模拟-模拟计算'!B388&gt;0),'模拟-模拟计算'!C388," ")</f>
        <v>净世破魔击·月</v>
      </c>
      <c r="D363" s="104">
        <f ca="1">IF(AND(INT('模拟-模拟计算'!B388)&lt;='模拟-模拟计算'!$C$2,'模拟-模拟计算'!B388&gt;0),'模拟-模拟计算'!E388," ")</f>
        <v>20</v>
      </c>
      <c r="E363" s="104">
        <f ca="1">IF(AND(INT('模拟-模拟计算'!B388)&lt;='模拟-模拟计算'!$C$2,'模拟-模拟计算'!B388&gt;0),'模拟-模拟计算'!F388," ")</f>
        <v>20</v>
      </c>
      <c r="F363" s="51" t="str">
        <f ca="1">IF(AND(INT('模拟-模拟计算'!B388)&lt;='模拟-模拟计算'!$C$2,'模拟-模拟计算'!B388&gt;0),'模拟-模拟计算'!P388," ")</f>
        <v>会</v>
      </c>
      <c r="G363" s="52">
        <f ca="1">IF(AND(INT('模拟-模拟计算'!B388)&lt;='模拟-模拟计算'!$C$2,'模拟-模拟计算'!B388&gt;0),'模拟-模拟计算'!V388," ")</f>
        <v>121694.14741267689</v>
      </c>
      <c r="H363" s="52">
        <f ca="1">IF(AND(INT('模拟-模拟计算'!B388)&lt;='模拟-模拟计算'!$C$2,'模拟-模拟计算'!B388&gt;0),'模拟-模拟计算'!Y388," ")</f>
        <v>130011.86881359539</v>
      </c>
      <c r="I363" s="105">
        <f ca="1">IF(AND(INT('模拟-模拟计算'!B388)&lt;='模拟-模拟计算'!$C$2,'模拟-模拟计算'!B388&gt;0),'模拟-模拟计算'!AA388," ")</f>
        <v>113477.80839058185</v>
      </c>
    </row>
    <row r="364" spans="1:9" x14ac:dyDescent="0.2">
      <c r="A364" s="20">
        <f>INT('模拟-模拟计算'!B389+0.5)</f>
        <v>334</v>
      </c>
      <c r="B364" s="52">
        <f>IF(AND(INT('模拟-模拟计算'!B389)&lt;='模拟-模拟计算'!$C$2,'模拟-模拟计算'!B389&gt;0),'模拟-模拟计算'!B389," ")</f>
        <v>333.94500000000295</v>
      </c>
      <c r="C364" s="51" t="str">
        <f ca="1">IF(AND(INT('模拟-模拟计算'!B389)&lt;='模拟-模拟计算'!$C$2,'模拟-模拟计算'!B389&gt;0),'模拟-模拟计算'!C389," ")</f>
        <v>银月斩</v>
      </c>
      <c r="D364" s="104">
        <f ca="1">IF(AND(INT('模拟-模拟计算'!B389)&lt;='模拟-模拟计算'!$C$2,'模拟-模拟计算'!B389&gt;0),'模拟-模拟计算'!E389," ")</f>
        <v>20</v>
      </c>
      <c r="E364" s="104">
        <f ca="1">IF(AND(INT('模拟-模拟计算'!B389)&lt;='模拟-模拟计算'!$C$2,'模拟-模拟计算'!B389&gt;0),'模拟-模拟计算'!F389," ")</f>
        <v>65</v>
      </c>
      <c r="F364" s="51" t="str">
        <f ca="1">IF(AND(INT('模拟-模拟计算'!B389)&lt;='模拟-模拟计算'!$C$2,'模拟-模拟计算'!B389&gt;0),'模拟-模拟计算'!P389," ")</f>
        <v>命</v>
      </c>
      <c r="G364" s="52">
        <f ca="1">IF(AND(INT('模拟-模拟计算'!B389)&lt;='模拟-模拟计算'!$C$2,'模拟-模拟计算'!B389&gt;0),'模拟-模拟计算'!V389," ")</f>
        <v>22035.73563947</v>
      </c>
      <c r="H364" s="52">
        <f ca="1">IF(AND(INT('模拟-模拟计算'!B389)&lt;='模拟-模拟计算'!$C$2,'模拟-模拟计算'!B389&gt;0),'模拟-模拟计算'!Y389," ")</f>
        <v>57115.77086526381</v>
      </c>
      <c r="I364" s="105">
        <f ca="1">IF(AND(INT('模拟-模拟计算'!B389)&lt;='模拟-模拟计算'!$C$2,'模拟-模拟计算'!B389&gt;0),'模拟-模拟计算'!AA389," ")</f>
        <v>113335.36724795343</v>
      </c>
    </row>
    <row r="365" spans="1:9" x14ac:dyDescent="0.2">
      <c r="A365" s="20">
        <f>INT('模拟-模拟计算'!B390+0.5)</f>
        <v>335</v>
      </c>
      <c r="B365" s="52">
        <f>IF(AND(INT('模拟-模拟计算'!B390)&lt;='模拟-模拟计算'!$C$2,'模拟-模拟计算'!B390&gt;0),'模拟-模拟计算'!B390," ")</f>
        <v>334.86750000000296</v>
      </c>
      <c r="C365" s="51" t="str">
        <f ca="1">IF(AND(INT('模拟-模拟计算'!B390)&lt;='模拟-模拟计算'!$C$2,'模拟-模拟计算'!B390&gt;0),'模拟-模拟计算'!C390," ")</f>
        <v>驱夜断愁</v>
      </c>
      <c r="D365" s="104">
        <f ca="1">IF(AND(INT('模拟-模拟计算'!B390)&lt;='模拟-模拟计算'!$C$2,'模拟-模拟计算'!B390&gt;0),'模拟-模拟计算'!E390," ")</f>
        <v>40</v>
      </c>
      <c r="E365" s="104">
        <f ca="1">IF(AND(INT('模拟-模拟计算'!B390)&lt;='模拟-模拟计算'!$C$2,'模拟-模拟计算'!B390&gt;0),'模拟-模拟计算'!F390," ")</f>
        <v>85</v>
      </c>
      <c r="F365" s="51" t="str">
        <f ca="1">IF(AND(INT('模拟-模拟计算'!B390)&lt;='模拟-模拟计算'!$C$2,'模拟-模拟计算'!B390&gt;0),'模拟-模拟计算'!P390," ")</f>
        <v>会</v>
      </c>
      <c r="G365" s="52">
        <f ca="1">IF(AND(INT('模拟-模拟计算'!B390)&lt;='模拟-模拟计算'!$C$2,'模拟-模拟计算'!B390&gt;0),'模拟-模拟计算'!V390," ")</f>
        <v>133079.35569364758</v>
      </c>
      <c r="H365" s="52">
        <f ca="1">IF(AND(INT('模拟-模拟计算'!B390)&lt;='模拟-模拟计算'!$C$2,'模拟-模拟计算'!B390&gt;0),'模拟-模拟计算'!Y390," ")</f>
        <v>133802.37698074168</v>
      </c>
      <c r="I365" s="105">
        <f ca="1">IF(AND(INT('模拟-模拟计算'!B390)&lt;='模拟-模拟计算'!$C$2,'模拟-模拟计算'!B390&gt;0),'模拟-模拟计算'!AA390," ")</f>
        <v>113422.71672407311</v>
      </c>
    </row>
    <row r="366" spans="1:9" x14ac:dyDescent="0.2">
      <c r="A366" s="20">
        <f>INT('模拟-模拟计算'!B391+0.5)</f>
        <v>336</v>
      </c>
      <c r="B366" s="52">
        <f>IF(AND(INT('模拟-模拟计算'!B391)&lt;='模拟-模拟计算'!$C$2,'模拟-模拟计算'!B391&gt;0),'模拟-模拟计算'!B391," ")</f>
        <v>335.79000000000298</v>
      </c>
      <c r="C366" s="51" t="str">
        <f ca="1">IF(AND(INT('模拟-模拟计算'!B391)&lt;='模拟-模拟计算'!$C$2,'模拟-模拟计算'!B391&gt;0),'模拟-模拟计算'!C391," ")</f>
        <v>烈日斩</v>
      </c>
      <c r="D366" s="104">
        <f ca="1">IF(AND(INT('模拟-模拟计算'!B391)&lt;='模拟-模拟计算'!$C$2,'模拟-模拟计算'!B391&gt;0),'模拟-模拟计算'!E391," ")</f>
        <v>80</v>
      </c>
      <c r="E366" s="104">
        <f ca="1">IF(AND(INT('模拟-模拟计算'!B391)&lt;='模拟-模拟计算'!$C$2,'模拟-模拟计算'!B391&gt;0),'模拟-模拟计算'!F391," ")</f>
        <v>85</v>
      </c>
      <c r="F366" s="51" t="str">
        <f ca="1">IF(AND(INT('模拟-模拟计算'!B391)&lt;='模拟-模拟计算'!$C$2,'模拟-模拟计算'!B391&gt;0),'模拟-模拟计算'!P391," ")</f>
        <v>命</v>
      </c>
      <c r="G366" s="52">
        <f ca="1">IF(AND(INT('模拟-模拟计算'!B391)&lt;='模拟-模拟计算'!$C$2,'模拟-模拟计算'!B391&gt;0),'模拟-模拟计算'!V391," ")</f>
        <v>48841.631854871324</v>
      </c>
      <c r="H366" s="52">
        <f ca="1">IF(AND(INT('模拟-模拟计算'!B391)&lt;='模拟-模拟计算'!$C$2,'模拟-模拟计算'!B391&gt;0),'模拟-模拟计算'!Y391," ")</f>
        <v>70427.691465451338</v>
      </c>
      <c r="I366" s="105">
        <f ca="1">IF(AND(INT('模拟-模拟计算'!B391)&lt;='模拟-模拟计算'!$C$2,'模拟-模拟计算'!B391&gt;0),'模拟-模拟计算'!AA391," ")</f>
        <v>113320.85316437059</v>
      </c>
    </row>
    <row r="367" spans="1:9" x14ac:dyDescent="0.2">
      <c r="A367" s="20">
        <f>INT('模拟-模拟计算'!B392+0.5)</f>
        <v>337</v>
      </c>
      <c r="B367" s="52">
        <f>IF(AND(INT('模拟-模拟计算'!B392)&lt;='模拟-模拟计算'!$C$2,'模拟-模拟计算'!B392&gt;0),'模拟-模拟计算'!B392," ")</f>
        <v>336.71250000000299</v>
      </c>
      <c r="C367" s="51" t="str">
        <f ca="1">IF(AND(INT('模拟-模拟计算'!B392)&lt;='模拟-模拟计算'!$C$2,'模拟-模拟计算'!B392&gt;0),'模拟-模拟计算'!C392," ")</f>
        <v>幽月轮1</v>
      </c>
      <c r="D367" s="104">
        <f ca="1">IF(AND(INT('模拟-模拟计算'!B392)&lt;='模拟-模拟计算'!$C$2,'模拟-模拟计算'!B392&gt;0),'模拟-模拟计算'!E392," ")</f>
        <v>80</v>
      </c>
      <c r="E367" s="104">
        <f ca="1">IF(AND(INT('模拟-模拟计算'!B392)&lt;='模拟-模拟计算'!$C$2,'模拟-模拟计算'!B392&gt;0),'模拟-模拟计算'!F392," ")</f>
        <v>100</v>
      </c>
      <c r="F367" s="51" t="str">
        <f ca="1">IF(AND(INT('模拟-模拟计算'!B392)&lt;='模拟-模拟计算'!$C$2,'模拟-模拟计算'!B392&gt;0),'模拟-模拟计算'!P392," ")</f>
        <v>会</v>
      </c>
      <c r="G367" s="52">
        <f ca="1">IF(AND(INT('模拟-模拟计算'!B392)&lt;='模拟-模拟计算'!$C$2,'模拟-模拟计算'!B392&gt;0),'模拟-模拟计算'!V392," ")</f>
        <v>36630.702053185581</v>
      </c>
      <c r="H367" s="52">
        <f ca="1">IF(AND(INT('模拟-模拟计算'!B392)&lt;='模拟-模拟计算'!$C$2,'模拟-模拟计算'!B392&gt;0),'模拟-模拟计算'!Y392," ")</f>
        <v>36992.212696732633</v>
      </c>
      <c r="I367" s="105">
        <f ca="1">IF(AND(INT('模拟-模拟计算'!B392)&lt;='模拟-模拟计算'!$C$2,'模拟-模拟计算'!B392&gt;0),'模拟-模拟计算'!AA392," ")</f>
        <v>113120.24797642122</v>
      </c>
    </row>
    <row r="368" spans="1:9" x14ac:dyDescent="0.2">
      <c r="A368" s="20">
        <f>INT('模拟-模拟计算'!B393+0.5)</f>
        <v>338</v>
      </c>
      <c r="B368" s="52">
        <f>IF(AND(INT('模拟-模拟计算'!B393)&lt;='模拟-模拟计算'!$C$2,'模拟-模拟计算'!B393&gt;0),'模拟-模拟计算'!B393," ")</f>
        <v>337.635000000003</v>
      </c>
      <c r="C368" s="51" t="str">
        <f ca="1">IF(AND(INT('模拟-模拟计算'!B393)&lt;='模拟-模拟计算'!$C$2,'模拟-模拟计算'!B393&gt;0),'模拟-模拟计算'!C393," ")</f>
        <v>净世破魔击·月</v>
      </c>
      <c r="D368" s="104">
        <f ca="1">IF(AND(INT('模拟-模拟计算'!B393)&lt;='模拟-模拟计算'!$C$2,'模拟-模拟计算'!B393&gt;0),'模拟-模拟计算'!E393," ")</f>
        <v>100</v>
      </c>
      <c r="E368" s="104">
        <f ca="1">IF(AND(INT('模拟-模拟计算'!B393)&lt;='模拟-模拟计算'!$C$2,'模拟-模拟计算'!B393&gt;0),'模拟-模拟计算'!F393," ")</f>
        <v>20</v>
      </c>
      <c r="F368" s="51" t="str">
        <f ca="1">IF(AND(INT('模拟-模拟计算'!B393)&lt;='模拟-模拟计算'!$C$2,'模拟-模拟计算'!B393&gt;0),'模拟-模拟计算'!P393," ")</f>
        <v>会</v>
      </c>
      <c r="G368" s="52">
        <f ca="1">IF(AND(INT('模拟-模拟计算'!B393)&lt;='模拟-模拟计算'!$C$2,'模拟-模拟计算'!B393&gt;0),'模拟-模拟计算'!V393," ")</f>
        <v>174868.36016214982</v>
      </c>
      <c r="H368" s="52">
        <f ca="1">IF(AND(INT('模拟-模拟计算'!B393)&lt;='模拟-模拟计算'!$C$2,'模拟-模拟计算'!B393&gt;0),'模拟-模拟计算'!Y393," ")</f>
        <v>212974.60344125866</v>
      </c>
      <c r="I368" s="105">
        <f ca="1">IF(AND(INT('模拟-模拟计算'!B393)&lt;='模拟-模拟计算'!$C$2,'模拟-模拟计算'!B393&gt;0),'模拟-模拟计算'!AA393," ")</f>
        <v>113441.95980926737</v>
      </c>
    </row>
    <row r="369" spans="1:9" x14ac:dyDescent="0.2">
      <c r="A369" s="20">
        <f>INT('模拟-模拟计算'!B394+0.5)</f>
        <v>339</v>
      </c>
      <c r="B369" s="52">
        <f>IF(AND(INT('模拟-模拟计算'!B394)&lt;='模拟-模拟计算'!$C$2,'模拟-模拟计算'!B394&gt;0),'模拟-模拟计算'!B394," ")</f>
        <v>338.55750000000302</v>
      </c>
      <c r="C369" s="51" t="str">
        <f ca="1">IF(AND(INT('模拟-模拟计算'!B394)&lt;='模拟-模拟计算'!$C$2,'模拟-模拟计算'!B394&gt;0),'模拟-模拟计算'!C394," ")</f>
        <v>净世破魔击·日</v>
      </c>
      <c r="D369" s="104">
        <f ca="1">IF(AND(INT('模拟-模拟计算'!B394)&lt;='模拟-模拟计算'!$C$2,'模拟-模拟计算'!B394&gt;0),'模拟-模拟计算'!E394," ")</f>
        <v>0</v>
      </c>
      <c r="E369" s="104">
        <f ca="1">IF(AND(INT('模拟-模拟计算'!B394)&lt;='模拟-模拟计算'!$C$2,'模拟-模拟计算'!B394&gt;0),'模拟-模拟计算'!F394," ")</f>
        <v>20</v>
      </c>
      <c r="F369" s="51" t="str">
        <f ca="1">IF(AND(INT('模拟-模拟计算'!B394)&lt;='模拟-模拟计算'!$C$2,'模拟-模拟计算'!B394&gt;0),'模拟-模拟计算'!P394," ")</f>
        <v>命</v>
      </c>
      <c r="G369" s="52">
        <f ca="1">IF(AND(INT('模拟-模拟计算'!B394)&lt;='模拟-模拟计算'!$C$2,'模拟-模拟计算'!B394&gt;0),'模拟-模拟计算'!V394," ")</f>
        <v>90597.625627626709</v>
      </c>
      <c r="H369" s="52">
        <f ca="1">IF(AND(INT('模拟-模拟计算'!B394)&lt;='模拟-模拟计算'!$C$2,'模拟-模拟计算'!B394&gt;0),'模拟-模拟计算'!Y394," ")</f>
        <v>99808.926639281737</v>
      </c>
      <c r="I369" s="105">
        <f ca="1">IF(AND(INT('模拟-模拟计算'!B394)&lt;='模拟-模拟计算'!$C$2,'模拟-模拟计算'!B394&gt;0),'模拟-模拟计算'!AA394," ")</f>
        <v>113427.6600779521</v>
      </c>
    </row>
    <row r="370" spans="1:9" x14ac:dyDescent="0.2">
      <c r="A370" s="20">
        <f>INT('模拟-模拟计算'!B395+0.5)</f>
        <v>339</v>
      </c>
      <c r="B370" s="52">
        <f>IF(AND(INT('模拟-模拟计算'!B395)&lt;='模拟-模拟计算'!$C$2,'模拟-模拟计算'!B395&gt;0),'模拟-模拟计算'!B395," ")</f>
        <v>339.48000000000303</v>
      </c>
      <c r="C370" s="51" t="str">
        <f ca="1">IF(AND(INT('模拟-模拟计算'!B395)&lt;='模拟-模拟计算'!$C$2,'模拟-模拟计算'!B395&gt;0),'模拟-模拟计算'!C395," ")</f>
        <v>赤日轮1</v>
      </c>
      <c r="D370" s="104">
        <f ca="1">IF(AND(INT('模拟-模拟计算'!B395)&lt;='模拟-模拟计算'!$C$2,'模拟-模拟计算'!B395&gt;0),'模拟-模拟计算'!E395," ")</f>
        <v>20</v>
      </c>
      <c r="E370" s="104">
        <f ca="1">IF(AND(INT('模拟-模拟计算'!B395)&lt;='模拟-模拟计算'!$C$2,'模拟-模拟计算'!B395&gt;0),'模拟-模拟计算'!F395," ")</f>
        <v>20</v>
      </c>
      <c r="F370" s="51" t="str">
        <f ca="1">IF(AND(INT('模拟-模拟计算'!B395)&lt;='模拟-模拟计算'!$C$2,'模拟-模拟计算'!B395&gt;0),'模拟-模拟计算'!P395," ")</f>
        <v>会</v>
      </c>
      <c r="G370" s="52">
        <f ca="1">IF(AND(INT('模拟-模拟计算'!B395)&lt;='模拟-模拟计算'!$C$2,'模拟-模拟计算'!B395&gt;0),'模拟-模拟计算'!V395," ")</f>
        <v>54482.562593809358</v>
      </c>
      <c r="H370" s="52">
        <f ca="1">IF(AND(INT('模拟-模拟计算'!B395)&lt;='模拟-模拟计算'!$C$2,'模拟-模拟计算'!B395&gt;0),'模拟-模拟计算'!Y395," ")</f>
        <v>75579.083860690531</v>
      </c>
      <c r="I370" s="105">
        <f ca="1">IF(AND(INT('模拟-模拟计算'!B395)&lt;='模拟-模拟计算'!$C$2,'模拟-模拟计算'!B395&gt;0),'模拟-模拟计算'!AA395," ")</f>
        <v>113342.06465977953</v>
      </c>
    </row>
    <row r="371" spans="1:9" x14ac:dyDescent="0.2">
      <c r="A371" s="20">
        <f>INT('模拟-模拟计算'!B396+0.5)</f>
        <v>340</v>
      </c>
      <c r="B371" s="52">
        <f>IF(AND(INT('模拟-模拟计算'!B396)&lt;='模拟-模拟计算'!$C$2,'模拟-模拟计算'!B396&gt;0),'模拟-模拟计算'!B396," ")</f>
        <v>340.40250000000304</v>
      </c>
      <c r="C371" s="51" t="str">
        <f ca="1">IF(AND(INT('模拟-模拟计算'!B396)&lt;='模拟-模拟计算'!$C$2,'模拟-模拟计算'!B396&gt;0),'模拟-模拟计算'!C396," ")</f>
        <v>银月斩</v>
      </c>
      <c r="D371" s="104">
        <f ca="1">IF(AND(INT('模拟-模拟计算'!B396)&lt;='模拟-模拟计算'!$C$2,'模拟-模拟计算'!B396&gt;0),'模拟-模拟计算'!E396," ")</f>
        <v>20</v>
      </c>
      <c r="E371" s="104">
        <f ca="1">IF(AND(INT('模拟-模拟计算'!B396)&lt;='模拟-模拟计算'!$C$2,'模拟-模拟计算'!B396&gt;0),'模拟-模拟计算'!F396," ")</f>
        <v>65</v>
      </c>
      <c r="F371" s="51" t="str">
        <f ca="1">IF(AND(INT('模拟-模拟计算'!B396)&lt;='模拟-模拟计算'!$C$2,'模拟-模拟计算'!B396&gt;0),'模拟-模拟计算'!P396," ")</f>
        <v>会</v>
      </c>
      <c r="G371" s="52">
        <f ca="1">IF(AND(INT('模拟-模拟计算'!B396)&lt;='模拟-模拟计算'!$C$2,'模拟-模拟计算'!B396&gt;0),'模拟-模拟计算'!V396," ")</f>
        <v>39481.310356797861</v>
      </c>
      <c r="H371" s="52">
        <f ca="1">IF(AND(INT('模拟-模拟计算'!B396)&lt;='模拟-模拟计算'!$C$2,'模拟-模拟计算'!B396&gt;0),'模拟-模拟计算'!Y396," ")</f>
        <v>39842.821000344906</v>
      </c>
      <c r="I371" s="105">
        <f ca="1">IF(AND(INT('模拟-模拟计算'!B396)&lt;='模拟-模拟计算'!$C$2,'模拟-模拟计算'!B396&gt;0),'模拟-模拟计算'!AA396," ")</f>
        <v>113151.95079854672</v>
      </c>
    </row>
    <row r="372" spans="1:9" x14ac:dyDescent="0.2">
      <c r="A372" s="20">
        <f>INT('模拟-模拟计算'!B397+0.5)</f>
        <v>341</v>
      </c>
      <c r="B372" s="52">
        <f>IF(AND(INT('模拟-模拟计算'!B397)&lt;='模拟-模拟计算'!$C$2,'模拟-模拟计算'!B397&gt;0),'模拟-模拟计算'!B397," ")</f>
        <v>341.32500000000306</v>
      </c>
      <c r="C372" s="51" t="str">
        <f ca="1">IF(AND(INT('模拟-模拟计算'!B397)&lt;='模拟-模拟计算'!$C$2,'模拟-模拟计算'!B397&gt;0),'模拟-模拟计算'!C397," ")</f>
        <v>驱夜断愁</v>
      </c>
      <c r="D372" s="104">
        <f ca="1">IF(AND(INT('模拟-模拟计算'!B397)&lt;='模拟-模拟计算'!$C$2,'模拟-模拟计算'!B397&gt;0),'模拟-模拟计算'!E397," ")</f>
        <v>40</v>
      </c>
      <c r="E372" s="104">
        <f ca="1">IF(AND(INT('模拟-模拟计算'!B397)&lt;='模拟-模拟计算'!$C$2,'模拟-模拟计算'!B397&gt;0),'模拟-模拟计算'!F397," ")</f>
        <v>85</v>
      </c>
      <c r="F372" s="51" t="str">
        <f ca="1">IF(AND(INT('模拟-模拟计算'!B397)&lt;='模拟-模拟计算'!$C$2,'模拟-模拟计算'!B397&gt;0),'模拟-模拟计算'!P397," ")</f>
        <v>会</v>
      </c>
      <c r="G372" s="52">
        <f ca="1">IF(AND(INT('模拟-模拟计算'!B397)&lt;='模拟-模拟计算'!$C$2,'模拟-模拟计算'!B397&gt;0),'模拟-模拟计算'!V397," ")</f>
        <v>127463.41908070058</v>
      </c>
      <c r="H372" s="52">
        <f ca="1">IF(AND(INT('模拟-模拟计算'!B397)&lt;='模拟-模拟计算'!$C$2,'模拟-模拟计算'!B397&gt;0),'模拟-模拟计算'!Y397," ")</f>
        <v>161448.62408404634</v>
      </c>
      <c r="I372" s="105">
        <f ca="1">IF(AND(INT('模拟-模拟计算'!B397)&lt;='模拟-模拟计算'!$C$2,'模拟-模拟计算'!B397&gt;0),'模拟-模拟计算'!AA397," ")</f>
        <v>113319.14027916604</v>
      </c>
    </row>
    <row r="373" spans="1:9" x14ac:dyDescent="0.2">
      <c r="A373" s="20">
        <f>INT('模拟-模拟计算'!B398+0.5)</f>
        <v>342</v>
      </c>
      <c r="B373" s="52">
        <f>IF(AND(INT('模拟-模拟计算'!B398)&lt;='模拟-模拟计算'!$C$2,'模拟-模拟计算'!B398&gt;0),'模拟-模拟计算'!B398," ")</f>
        <v>342.24750000000307</v>
      </c>
      <c r="C373" s="51" t="str">
        <f ca="1">IF(AND(INT('模拟-模拟计算'!B398)&lt;='模拟-模拟计算'!$C$2,'模拟-模拟计算'!B398&gt;0),'模拟-模拟计算'!C398," ")</f>
        <v>烈日斩</v>
      </c>
      <c r="D373" s="104">
        <f ca="1">IF(AND(INT('模拟-模拟计算'!B398)&lt;='模拟-模拟计算'!$C$2,'模拟-模拟计算'!B398&gt;0),'模拟-模拟计算'!E398," ")</f>
        <v>80</v>
      </c>
      <c r="E373" s="104">
        <f ca="1">IF(AND(INT('模拟-模拟计算'!B398)&lt;='模拟-模拟计算'!$C$2,'模拟-模拟计算'!B398&gt;0),'模拟-模拟计算'!F398," ")</f>
        <v>85</v>
      </c>
      <c r="F373" s="51" t="str">
        <f ca="1">IF(AND(INT('模拟-模拟计算'!B398)&lt;='模拟-模拟计算'!$C$2,'模拟-模拟计算'!B398&gt;0),'模拟-模拟计算'!P398," ")</f>
        <v>会</v>
      </c>
      <c r="G373" s="52">
        <f ca="1">IF(AND(INT('模拟-模拟计算'!B398)&lt;='模拟-模拟计算'!$C$2,'模拟-模拟计算'!B398&gt;0),'模拟-模拟计算'!V398," ")</f>
        <v>110503.35617153208</v>
      </c>
      <c r="H373" s="52">
        <f ca="1">IF(AND(INT('模拟-模拟计算'!B398)&lt;='模拟-模拟计算'!$C$2,'模拟-模拟计算'!B398&gt;0),'模拟-模拟计算'!Y398," ")</f>
        <v>110864.86681507913</v>
      </c>
      <c r="I373" s="105">
        <f ca="1">IF(AND(INT('模拟-模拟计算'!B398)&lt;='模拟-模拟计算'!$C$2,'模拟-模拟计算'!B398&gt;0),'模拟-模拟计算'!AA398," ")</f>
        <v>113337.62970540742</v>
      </c>
    </row>
    <row r="374" spans="1:9" x14ac:dyDescent="0.2">
      <c r="A374" s="20">
        <f>INT('模拟-模拟计算'!B399+0.5)</f>
        <v>343</v>
      </c>
      <c r="B374" s="52">
        <f>IF(AND(INT('模拟-模拟计算'!B399)&lt;='模拟-模拟计算'!$C$2,'模拟-模拟计算'!B399&gt;0),'模拟-模拟计算'!B399," ")</f>
        <v>343.17000000000309</v>
      </c>
      <c r="C374" s="51" t="str">
        <f ca="1">IF(AND(INT('模拟-模拟计算'!B399)&lt;='模拟-模拟计算'!$C$2,'模拟-模拟计算'!B399&gt;0),'模拟-模拟计算'!C399," ")</f>
        <v>幽月轮1</v>
      </c>
      <c r="D374" s="104">
        <f ca="1">IF(AND(INT('模拟-模拟计算'!B399)&lt;='模拟-模拟计算'!$C$2,'模拟-模拟计算'!B399&gt;0),'模拟-模拟计算'!E399," ")</f>
        <v>80</v>
      </c>
      <c r="E374" s="104">
        <f ca="1">IF(AND(INT('模拟-模拟计算'!B399)&lt;='模拟-模拟计算'!$C$2,'模拟-模拟计算'!B399&gt;0),'模拟-模拟计算'!F399," ")</f>
        <v>100</v>
      </c>
      <c r="F374" s="51" t="str">
        <f ca="1">IF(AND(INT('模拟-模拟计算'!B399)&lt;='模拟-模拟计算'!$C$2,'模拟-模拟计算'!B399&gt;0),'模拟-模拟计算'!P399," ")</f>
        <v>会</v>
      </c>
      <c r="G374" s="52">
        <f ca="1">IF(AND(INT('模拟-模拟计算'!B399)&lt;='模拟-模拟计算'!$C$2,'模拟-模拟计算'!B399&gt;0),'模拟-模拟计算'!V399," ")</f>
        <v>38342.417102399864</v>
      </c>
      <c r="H374" s="52">
        <f ca="1">IF(AND(INT('模拟-模拟计算'!B399)&lt;='模拟-模拟计算'!$C$2,'模拟-模拟计算'!B399&gt;0),'模拟-模拟计算'!Y399," ")</f>
        <v>66199.229038129241</v>
      </c>
      <c r="I374" s="105">
        <f ca="1">IF(AND(INT('模拟-模拟计算'!B399)&lt;='模拟-模拟计算'!$C$2,'模拟-模拟计算'!B399&gt;0),'模拟-模拟计算'!AA399," ")</f>
        <v>113225.8637166406</v>
      </c>
    </row>
    <row r="375" spans="1:9" x14ac:dyDescent="0.2">
      <c r="A375" s="20">
        <f>INT('模拟-模拟计算'!B400+0.5)</f>
        <v>344</v>
      </c>
      <c r="B375" s="52">
        <f>IF(AND(INT('模拟-模拟计算'!B400)&lt;='模拟-模拟计算'!$C$2,'模拟-模拟计算'!B400&gt;0),'模拟-模拟计算'!B400," ")</f>
        <v>344.0925000000031</v>
      </c>
      <c r="C375" s="51" t="str">
        <f ca="1">IF(AND(INT('模拟-模拟计算'!B400)&lt;='模拟-模拟计算'!$C$2,'模拟-模拟计算'!B400&gt;0),'模拟-模拟计算'!C400," ")</f>
        <v>净世破魔击·月</v>
      </c>
      <c r="D375" s="104">
        <f ca="1">IF(AND(INT('模拟-模拟计算'!B400)&lt;='模拟-模拟计算'!$C$2,'模拟-模拟计算'!B400&gt;0),'模拟-模拟计算'!E400," ")</f>
        <v>100</v>
      </c>
      <c r="E375" s="104">
        <f ca="1">IF(AND(INT('模拟-模拟计算'!B400)&lt;='模拟-模拟计算'!$C$2,'模拟-模拟计算'!B400&gt;0),'模拟-模拟计算'!F400," ")</f>
        <v>20</v>
      </c>
      <c r="F375" s="51" t="str">
        <f ca="1">IF(AND(INT('模拟-模拟计算'!B400)&lt;='模拟-模拟计算'!$C$2,'模拟-模拟计算'!B400&gt;0),'模拟-模拟计算'!P400," ")</f>
        <v>命</v>
      </c>
      <c r="G375" s="52">
        <f ca="1">IF(AND(INT('模拟-模拟计算'!B400)&lt;='模拟-模拟计算'!$C$2,'模拟-模拟计算'!B400&gt;0),'模拟-模拟计算'!V400," ")</f>
        <v>86757.593251969345</v>
      </c>
      <c r="H375" s="52">
        <f ca="1">IF(AND(INT('模拟-模拟计算'!B400)&lt;='模拟-模拟计算'!$C$2,'模拟-模拟计算'!B400&gt;0),'模拟-模拟计算'!Y400," ")</f>
        <v>104324.27349176219</v>
      </c>
      <c r="I375" s="105">
        <f ca="1">IF(AND(INT('模拟-模拟计算'!B400)&lt;='模拟-模拟计算'!$C$2,'模拟-模拟计算'!B400&gt;0),'模拟-模拟计算'!AA400," ")</f>
        <v>113225.49583362414</v>
      </c>
    </row>
    <row r="376" spans="1:9" x14ac:dyDescent="0.2">
      <c r="A376" s="20">
        <f>INT('模拟-模拟计算'!B401+0.5)</f>
        <v>345</v>
      </c>
      <c r="B376" s="52">
        <f>IF(AND(INT('模拟-模拟计算'!B401)&lt;='模拟-模拟计算'!$C$2,'模拟-模拟计算'!B401&gt;0),'模拟-模拟计算'!B401," ")</f>
        <v>345.01500000000311</v>
      </c>
      <c r="C376" s="51" t="str">
        <f ca="1">IF(AND(INT('模拟-模拟计算'!B401)&lt;='模拟-模拟计算'!$C$2,'模拟-模拟计算'!B401&gt;0),'模拟-模拟计算'!C401," ")</f>
        <v>净世破魔击·日</v>
      </c>
      <c r="D376" s="104">
        <f ca="1">IF(AND(INT('模拟-模拟计算'!B401)&lt;='模拟-模拟计算'!$C$2,'模拟-模拟计算'!B401&gt;0),'模拟-模拟计算'!E401," ")</f>
        <v>0</v>
      </c>
      <c r="E376" s="104">
        <f ca="1">IF(AND(INT('模拟-模拟计算'!B401)&lt;='模拟-模拟计算'!$C$2,'模拟-模拟计算'!B401&gt;0),'模拟-模拟计算'!F401," ")</f>
        <v>20</v>
      </c>
      <c r="F376" s="51" t="str">
        <f ca="1">IF(AND(INT('模拟-模拟计算'!B401)&lt;='模拟-模拟计算'!$C$2,'模拟-模拟计算'!B401&gt;0),'模拟-模拟计算'!P401," ")</f>
        <v>会</v>
      </c>
      <c r="G376" s="52">
        <f ca="1">IF(AND(INT('模拟-模拟计算'!B401)&lt;='模拟-模拟计算'!$C$2,'模拟-模拟计算'!B401&gt;0),'模拟-模拟计算'!V401," ")</f>
        <v>210198.65311117729</v>
      </c>
      <c r="H376" s="52">
        <f ca="1">IF(AND(INT('模拟-模拟计算'!B401)&lt;='模拟-模拟计算'!$C$2,'模拟-模拟计算'!B401&gt;0),'模拟-模拟计算'!Y401," ")</f>
        <v>235444.49844770459</v>
      </c>
      <c r="I376" s="105">
        <f ca="1">IF(AND(INT('模拟-模拟计算'!B401)&lt;='模拟-模拟计算'!$C$2,'模拟-模拟计算'!B401&gt;0),'模拟-模拟计算'!AA401," ")</f>
        <v>113605.17201738768</v>
      </c>
    </row>
    <row r="377" spans="1:9" x14ac:dyDescent="0.2">
      <c r="A377" s="20">
        <f>INT('模拟-模拟计算'!B402+0.5)</f>
        <v>346</v>
      </c>
      <c r="B377" s="52">
        <f>IF(AND(INT('模拟-模拟计算'!B402)&lt;='模拟-模拟计算'!$C$2,'模拟-模拟计算'!B402&gt;0),'模拟-模拟计算'!B402," ")</f>
        <v>345.93750000000313</v>
      </c>
      <c r="C377" s="51" t="str">
        <f ca="1">IF(AND(INT('模拟-模拟计算'!B402)&lt;='模拟-模拟计算'!$C$2,'模拟-模拟计算'!B402&gt;0),'模拟-模拟计算'!C402," ")</f>
        <v>赤日轮1</v>
      </c>
      <c r="D377" s="104">
        <f ca="1">IF(AND(INT('模拟-模拟计算'!B402)&lt;='模拟-模拟计算'!$C$2,'模拟-模拟计算'!B402&gt;0),'模拟-模拟计算'!E402," ")</f>
        <v>20</v>
      </c>
      <c r="E377" s="104">
        <f ca="1">IF(AND(INT('模拟-模拟计算'!B402)&lt;='模拟-模拟计算'!$C$2,'模拟-模拟计算'!B402&gt;0),'模拟-模拟计算'!F402," ")</f>
        <v>100</v>
      </c>
      <c r="F377" s="51" t="str">
        <f ca="1">IF(AND(INT('模拟-模拟计算'!B402)&lt;='模拟-模拟计算'!$C$2,'模拟-模拟计算'!B402&gt;0),'模拟-模拟计算'!P402," ")</f>
        <v>会</v>
      </c>
      <c r="G377" s="52">
        <f ca="1">IF(AND(INT('模拟-模拟计算'!B402)&lt;='模拟-模拟计算'!$C$2,'模拟-模拟计算'!B402&gt;0),'模拟-模拟计算'!V402," ")</f>
        <v>59402.734511278548</v>
      </c>
      <c r="H377" s="52">
        <f ca="1">IF(AND(INT('模拟-模拟计算'!B402)&lt;='模拟-模拟计算'!$C$2,'模拟-模拟计算'!B402&gt;0),'模拟-模拟计算'!Y402," ")</f>
        <v>82164.76248001933</v>
      </c>
      <c r="I377" s="105">
        <f ca="1">IF(AND(INT('模拟-模拟计算'!B402)&lt;='模拟-模拟计算'!$C$2,'模拟-模拟计算'!B402&gt;0),'模拟-模拟计算'!AA402," ")</f>
        <v>113539.73820721671</v>
      </c>
    </row>
    <row r="378" spans="1:9" x14ac:dyDescent="0.2">
      <c r="A378" s="20">
        <f>INT('模拟-模拟计算'!B403+0.5)</f>
        <v>347</v>
      </c>
      <c r="B378" s="52">
        <f>IF(AND(INT('模拟-模拟计算'!B403)&lt;='模拟-模拟计算'!$C$2,'模拟-模拟计算'!B403&gt;0),'模拟-模拟计算'!B403," ")</f>
        <v>346.86000000000314</v>
      </c>
      <c r="C378" s="51" t="str">
        <f ca="1">IF(AND(INT('模拟-模拟计算'!B403)&lt;='模拟-模拟计算'!$C$2,'模拟-模拟计算'!B403&gt;0),'模拟-模拟计算'!C403," ")</f>
        <v>净世破魔击·月</v>
      </c>
      <c r="D378" s="104">
        <f ca="1">IF(AND(INT('模拟-模拟计算'!B403)&lt;='模拟-模拟计算'!$C$2,'模拟-模拟计算'!B403&gt;0),'模拟-模拟计算'!E403," ")</f>
        <v>100</v>
      </c>
      <c r="E378" s="104">
        <f ca="1">IF(AND(INT('模拟-模拟计算'!B403)&lt;='模拟-模拟计算'!$C$2,'模拟-模拟计算'!B403&gt;0),'模拟-模拟计算'!F403," ")</f>
        <v>20</v>
      </c>
      <c r="F378" s="51" t="str">
        <f ca="1">IF(AND(INT('模拟-模拟计算'!B403)&lt;='模拟-模拟计算'!$C$2,'模拟-模拟计算'!B403&gt;0),'模拟-模拟计算'!P403," ")</f>
        <v>命</v>
      </c>
      <c r="G378" s="52">
        <f ca="1">IF(AND(INT('模拟-模拟计算'!B403)&lt;='模拟-模拟计算'!$C$2,'模拟-模拟计算'!B403&gt;0),'模拟-模拟计算'!V403," ")</f>
        <v>58619.995440519822</v>
      </c>
      <c r="H378" s="52">
        <f ca="1">IF(AND(INT('模拟-模拟计算'!B403)&lt;='模拟-模拟计算'!$C$2,'模拟-模拟计算'!B403&gt;0),'模拟-模拟计算'!Y403," ")</f>
        <v>91869.265554888698</v>
      </c>
      <c r="I378" s="105">
        <f ca="1">IF(AND(INT('模拟-模拟计算'!B403)&lt;='模拟-模拟计算'!$C$2,'模拟-模拟计算'!B403&gt;0),'模拟-模拟计算'!AA403," ")</f>
        <v>113502.63060489511</v>
      </c>
    </row>
    <row r="379" spans="1:9" x14ac:dyDescent="0.2">
      <c r="A379" s="20">
        <f>INT('模拟-模拟计算'!B404+0.5)</f>
        <v>348</v>
      </c>
      <c r="B379" s="52">
        <f>IF(AND(INT('模拟-模拟计算'!B404)&lt;='模拟-模拟计算'!$C$2,'模拟-模拟计算'!B404&gt;0),'模拟-模拟计算'!B404," ")</f>
        <v>347.78250000000315</v>
      </c>
      <c r="C379" s="51" t="str">
        <f ca="1">IF(AND(INT('模拟-模拟计算'!B404)&lt;='模拟-模拟计算'!$C$2,'模拟-模拟计算'!B404&gt;0),'模拟-模拟计算'!C404," ")</f>
        <v>净世破魔击·日</v>
      </c>
      <c r="D379" s="104">
        <f ca="1">IF(AND(INT('模拟-模拟计算'!B404)&lt;='模拟-模拟计算'!$C$2,'模拟-模拟计算'!B404&gt;0),'模拟-模拟计算'!E404," ")</f>
        <v>0</v>
      </c>
      <c r="E379" s="104">
        <f ca="1">IF(AND(INT('模拟-模拟计算'!B404)&lt;='模拟-模拟计算'!$C$2,'模拟-模拟计算'!B404&gt;0),'模拟-模拟计算'!F404," ")</f>
        <v>100</v>
      </c>
      <c r="F379" s="51" t="str">
        <f ca="1">IF(AND(INT('模拟-模拟计算'!B404)&lt;='模拟-模拟计算'!$C$2,'模拟-模拟计算'!B404&gt;0),'模拟-模拟计算'!P404," ")</f>
        <v>命</v>
      </c>
      <c r="G379" s="52">
        <f ca="1">IF(AND(INT('模拟-模拟计算'!B404)&lt;='模拟-模拟计算'!$C$2,'模拟-模拟计算'!B404&gt;0),'模拟-模拟计算'!V404," ")</f>
        <v>65677.336879445851</v>
      </c>
      <c r="H379" s="52">
        <f ca="1">IF(AND(INT('模拟-模拟计算'!B404)&lt;='模拟-模拟计算'!$C$2,'模拟-模拟计算'!B404&gt;0),'模拟-模拟计算'!Y404," ")</f>
        <v>75240.592341397118</v>
      </c>
      <c r="I379" s="105">
        <f ca="1">IF(AND(INT('模拟-模拟计算'!B404)&lt;='模拟-模拟计算'!$C$2,'模拟-模拟计算'!B404&gt;0),'模拟-模拟计算'!AA404," ")</f>
        <v>113417.9064327714</v>
      </c>
    </row>
    <row r="380" spans="1:9" x14ac:dyDescent="0.2">
      <c r="A380" s="20">
        <f>INT('模拟-模拟计算'!B405+0.5)</f>
        <v>349</v>
      </c>
      <c r="B380" s="52">
        <f>IF(AND(INT('模拟-模拟计算'!B405)&lt;='模拟-模拟计算'!$C$2,'模拟-模拟计算'!B405&gt;0),'模拟-模拟计算'!B405," ")</f>
        <v>348.70500000000317</v>
      </c>
      <c r="C380" s="51" t="str">
        <f ca="1">IF(AND(INT('模拟-模拟计算'!B405)&lt;='模拟-模拟计算'!$C$2,'模拟-模拟计算'!B405&gt;0),'模拟-模拟计算'!C405," ")</f>
        <v>净世破魔击·月</v>
      </c>
      <c r="D380" s="104">
        <f ca="1">IF(AND(INT('模拟-模拟计算'!B405)&lt;='模拟-模拟计算'!$C$2,'模拟-模拟计算'!B405&gt;0),'模拟-模拟计算'!E405," ")</f>
        <v>100</v>
      </c>
      <c r="E380" s="104">
        <f ca="1">IF(AND(INT('模拟-模拟计算'!B405)&lt;='模拟-模拟计算'!$C$2,'模拟-模拟计算'!B405&gt;0),'模拟-模拟计算'!F405," ")</f>
        <v>20</v>
      </c>
      <c r="F380" s="51" t="str">
        <f ca="1">IF(AND(INT('模拟-模拟计算'!B405)&lt;='模拟-模拟计算'!$C$2,'模拟-模拟计算'!B405&gt;0),'模拟-模拟计算'!P405," ")</f>
        <v>命</v>
      </c>
      <c r="G380" s="52">
        <f ca="1">IF(AND(INT('模拟-模拟计算'!B405)&lt;='模拟-模拟计算'!$C$2,'模拟-模拟计算'!B405&gt;0),'模拟-模拟计算'!V405," ")</f>
        <v>58619.995440519822</v>
      </c>
      <c r="H380" s="52">
        <f ca="1">IF(AND(INT('模拟-模拟计算'!B405)&lt;='模拟-模拟计算'!$C$2,'模拟-模拟计算'!B405&gt;0),'模拟-模拟计算'!Y405," ")</f>
        <v>92039.584309108293</v>
      </c>
      <c r="I380" s="105">
        <f ca="1">IF(AND(INT('模拟-模拟计算'!B405)&lt;='模拟-模拟计算'!$C$2,'模拟-模拟计算'!B405&gt;0),'模拟-模拟计算'!AA405," ")</f>
        <v>113381.80590546285</v>
      </c>
    </row>
    <row r="381" spans="1:9" x14ac:dyDescent="0.2">
      <c r="A381" s="20">
        <f>INT('模拟-模拟计算'!B406+0.5)</f>
        <v>350</v>
      </c>
      <c r="B381" s="52">
        <f>IF(AND(INT('模拟-模拟计算'!B406)&lt;='模拟-模拟计算'!$C$2,'模拟-模拟计算'!B406&gt;0),'模拟-模拟计算'!B406," ")</f>
        <v>349.62750000000318</v>
      </c>
      <c r="C381" s="51" t="str">
        <f ca="1">IF(AND(INT('模拟-模拟计算'!B406)&lt;='模拟-模拟计算'!$C$2,'模拟-模拟计算'!B406&gt;0),'模拟-模拟计算'!C406," ")</f>
        <v>净世破魔击·日</v>
      </c>
      <c r="D381" s="104">
        <f ca="1">IF(AND(INT('模拟-模拟计算'!B406)&lt;='模拟-模拟计算'!$C$2,'模拟-模拟计算'!B406&gt;0),'模拟-模拟计算'!E406," ")</f>
        <v>0</v>
      </c>
      <c r="E381" s="104">
        <f ca="1">IF(AND(INT('模拟-模拟计算'!B406)&lt;='模拟-模拟计算'!$C$2,'模拟-模拟计算'!B406&gt;0),'模拟-模拟计算'!F406," ")</f>
        <v>100</v>
      </c>
      <c r="F381" s="51" t="str">
        <f ca="1">IF(AND(INT('模拟-模拟计算'!B406)&lt;='模拟-模拟计算'!$C$2,'模拟-模拟计算'!B406&gt;0),'模拟-模拟计算'!P406," ")</f>
        <v>命</v>
      </c>
      <c r="G381" s="52">
        <f ca="1">IF(AND(INT('模拟-模拟计算'!B406)&lt;='模拟-模拟计算'!$C$2,'模拟-模拟计算'!B406&gt;0),'模拟-模拟计算'!V406," ")</f>
        <v>65677.336879445851</v>
      </c>
      <c r="H381" s="52">
        <f ca="1">IF(AND(INT('模拟-模拟计算'!B406)&lt;='模拟-模拟计算'!$C$2,'模拟-模拟计算'!B406&gt;0),'模拟-模拟计算'!Y406," ")</f>
        <v>85517.21327347972</v>
      </c>
      <c r="I381" s="105">
        <f ca="1">IF(AND(INT('模拟-模拟计算'!B406)&lt;='模拟-模拟计算'!$C$2,'模拟-模拟计算'!B406&gt;0),'模拟-模拟计算'!AA406," ")</f>
        <v>113327.24068197698</v>
      </c>
    </row>
    <row r="382" spans="1:9" x14ac:dyDescent="0.2">
      <c r="A382" s="20">
        <f>INT('模拟-模拟计算'!B407+0.5)</f>
        <v>351</v>
      </c>
      <c r="B382" s="52">
        <f>IF(AND(INT('模拟-模拟计算'!B407)&lt;='模拟-模拟计算'!$C$2,'模拟-模拟计算'!B407&gt;0),'模拟-模拟计算'!B407," ")</f>
        <v>350.55000000000319</v>
      </c>
      <c r="C382" s="51" t="str">
        <f ca="1">IF(AND(INT('模拟-模拟计算'!B407)&lt;='模拟-模拟计算'!$C$2,'模拟-模拟计算'!B407&gt;0),'模拟-模拟计算'!C407," ")</f>
        <v>净世破魔击·月</v>
      </c>
      <c r="D382" s="104">
        <f ca="1">IF(AND(INT('模拟-模拟计算'!B407)&lt;='模拟-模拟计算'!$C$2,'模拟-模拟计算'!B407&gt;0),'模拟-模拟计算'!E407," ")</f>
        <v>100</v>
      </c>
      <c r="E382" s="104">
        <f ca="1">IF(AND(INT('模拟-模拟计算'!B407)&lt;='模拟-模拟计算'!$C$2,'模拟-模拟计算'!B407&gt;0),'模拟-模拟计算'!F407," ")</f>
        <v>20</v>
      </c>
      <c r="F382" s="51" t="str">
        <f ca="1">IF(AND(INT('模拟-模拟计算'!B407)&lt;='模拟-模拟计算'!$C$2,'模拟-模拟计算'!B407&gt;0),'模拟-模拟计算'!P407," ")</f>
        <v>命</v>
      </c>
      <c r="G382" s="52">
        <f ca="1">IF(AND(INT('模拟-模拟计算'!B407)&lt;='模拟-模拟计算'!$C$2,'模拟-模拟计算'!B407&gt;0),'模拟-模拟计算'!V407," ")</f>
        <v>56275.195622899046</v>
      </c>
      <c r="H382" s="52">
        <f ca="1">IF(AND(INT('模拟-模拟计算'!B407)&lt;='模拟-模拟计算'!$C$2,'模拟-模拟计算'!B407&gt;0),'模拟-模拟计算'!Y407," ")</f>
        <v>98913.719030113905</v>
      </c>
      <c r="I382" s="105">
        <f ca="1">IF(AND(INT('模拟-模拟计算'!B407)&lt;='模拟-模拟计算'!$C$2,'模拟-模拟计算'!B407&gt;0),'模拟-模拟计算'!AA407," ")</f>
        <v>113311.17832140355</v>
      </c>
    </row>
    <row r="383" spans="1:9" x14ac:dyDescent="0.2">
      <c r="A383" s="20">
        <f>INT('模拟-模拟计算'!B408+0.5)</f>
        <v>351</v>
      </c>
      <c r="B383" s="52">
        <f>IF(AND(INT('模拟-模拟计算'!B408)&lt;='模拟-模拟计算'!$C$2,'模拟-模拟计算'!B408&gt;0),'模拟-模拟计算'!B408," ")</f>
        <v>351.47250000000321</v>
      </c>
      <c r="C383" s="51" t="str">
        <f ca="1">IF(AND(INT('模拟-模拟计算'!B408)&lt;='模拟-模拟计算'!$C$2,'模拟-模拟计算'!B408&gt;0),'模拟-模拟计算'!C408," ")</f>
        <v>净世破魔击·日</v>
      </c>
      <c r="D383" s="104">
        <f ca="1">IF(AND(INT('模拟-模拟计算'!B408)&lt;='模拟-模拟计算'!$C$2,'模拟-模拟计算'!B408&gt;0),'模拟-模拟计算'!E408," ")</f>
        <v>0</v>
      </c>
      <c r="E383" s="104">
        <f ca="1">IF(AND(INT('模拟-模拟计算'!B408)&lt;='模拟-模拟计算'!$C$2,'模拟-模拟计算'!B408&gt;0),'模拟-模拟计算'!F408," ")</f>
        <v>20</v>
      </c>
      <c r="F383" s="51" t="str">
        <f ca="1">IF(AND(INT('模拟-模拟计算'!B408)&lt;='模拟-模拟计算'!$C$2,'模拟-模拟计算'!B408&gt;0),'模拟-模拟计算'!P408," ")</f>
        <v>会</v>
      </c>
      <c r="G383" s="52">
        <f ca="1">IF(AND(INT('模拟-模拟计算'!B408)&lt;='模拟-模拟计算'!$C$2,'模拟-模拟计算'!B408&gt;0),'模拟-模拟计算'!V408," ")</f>
        <v>136345.07228833123</v>
      </c>
      <c r="H383" s="52">
        <f ca="1">IF(AND(INT('模拟-模拟计算'!B408)&lt;='模拟-模拟计算'!$C$2,'模拟-模拟计算'!B408&gt;0),'模拟-模拟计算'!Y408," ")</f>
        <v>145908.32775028248</v>
      </c>
      <c r="I383" s="105">
        <f ca="1">IF(AND(INT('模拟-模拟计算'!B408)&lt;='模拟-模拟计算'!$C$2,'模拟-模拟计算'!B408&gt;0),'模拟-模拟计算'!AA408," ")</f>
        <v>113428.90806056888</v>
      </c>
    </row>
    <row r="384" spans="1:9" x14ac:dyDescent="0.2">
      <c r="A384" s="20">
        <f>INT('模拟-模拟计算'!B409+0.5)</f>
        <v>352</v>
      </c>
      <c r="B384" s="52">
        <f>IF(AND(INT('模拟-模拟计算'!B409)&lt;='模拟-模拟计算'!$C$2,'模拟-模拟计算'!B409&gt;0),'模拟-模拟计算'!B409," ")</f>
        <v>352.39500000000322</v>
      </c>
      <c r="C384" s="51" t="str">
        <f ca="1">IF(AND(INT('模拟-模拟计算'!B409)&lt;='模拟-模拟计算'!$C$2,'模拟-模拟计算'!B409&gt;0),'模拟-模拟计算'!C409," ")</f>
        <v>赤日轮1</v>
      </c>
      <c r="D384" s="104">
        <f ca="1">IF(AND(INT('模拟-模拟计算'!B409)&lt;='模拟-模拟计算'!$C$2,'模拟-模拟计算'!B409&gt;0),'模拟-模拟计算'!E409," ")</f>
        <v>20</v>
      </c>
      <c r="E384" s="104">
        <f ca="1">IF(AND(INT('模拟-模拟计算'!B409)&lt;='模拟-模拟计算'!$C$2,'模拟-模拟计算'!B409&gt;0),'模拟-模拟计算'!F409," ")</f>
        <v>20</v>
      </c>
      <c r="F384" s="51" t="str">
        <f ca="1">IF(AND(INT('模拟-模拟计算'!B409)&lt;='模拟-模拟计算'!$C$2,'模拟-模拟计算'!B409&gt;0),'模拟-模拟计算'!P409," ")</f>
        <v>识</v>
      </c>
      <c r="G384" s="52">
        <f ca="1">IF(AND(INT('模拟-模拟计算'!B409)&lt;='模拟-模拟计算'!$C$2,'模拟-模拟计算'!B409&gt;0),'模拟-模拟计算'!V409," ")</f>
        <v>6573.9429077858304</v>
      </c>
      <c r="H384" s="52">
        <f ca="1">IF(AND(INT('模拟-模拟计算'!B409)&lt;='模拟-模拟计算'!$C$2,'模拟-模拟计算'!B409&gt;0),'模拟-模拟计算'!Y409," ")</f>
        <v>18543.345403789059</v>
      </c>
      <c r="I384" s="105">
        <f ca="1">IF(AND(INT('模拟-模拟计算'!B409)&lt;='模拟-模拟计算'!$C$2,'模拟-模拟计算'!B409&gt;0),'模拟-模拟计算'!AA409," ")</f>
        <v>113184.59465577571</v>
      </c>
    </row>
    <row r="385" spans="1:9" x14ac:dyDescent="0.2">
      <c r="A385" s="20">
        <f>INT('模拟-模拟计算'!B410+0.5)</f>
        <v>353</v>
      </c>
      <c r="B385" s="52">
        <f>IF(AND(INT('模拟-模拟计算'!B410)&lt;='模拟-模拟计算'!$C$2,'模拟-模拟计算'!B410&gt;0),'模拟-模拟计算'!B410," ")</f>
        <v>353.31750000000324</v>
      </c>
      <c r="C385" s="51" t="str">
        <f ca="1">IF(AND(INT('模拟-模拟计算'!B410)&lt;='模拟-模拟计算'!$C$2,'模拟-模拟计算'!B410&gt;0),'模拟-模拟计算'!C410," ")</f>
        <v>银月斩</v>
      </c>
      <c r="D385" s="104">
        <f ca="1">IF(AND(INT('模拟-模拟计算'!B410)&lt;='模拟-模拟计算'!$C$2,'模拟-模拟计算'!B410&gt;0),'模拟-模拟计算'!E410," ")</f>
        <v>20</v>
      </c>
      <c r="E385" s="104">
        <f ca="1">IF(AND(INT('模拟-模拟计算'!B410)&lt;='模拟-模拟计算'!$C$2,'模拟-模拟计算'!B410&gt;0),'模拟-模拟计算'!F410," ")</f>
        <v>65</v>
      </c>
      <c r="F385" s="51" t="str">
        <f ca="1">IF(AND(INT('模拟-模拟计算'!B410)&lt;='模拟-模拟计算'!$C$2,'模拟-模拟计算'!B410&gt;0),'模拟-模拟计算'!P410," ")</f>
        <v>命</v>
      </c>
      <c r="G385" s="52">
        <f ca="1">IF(AND(INT('模拟-模拟计算'!B410)&lt;='模拟-模拟计算'!$C$2,'模拟-模拟计算'!B410&gt;0),'模拟-模拟计算'!V410," ")</f>
        <v>18215.255972688272</v>
      </c>
      <c r="H385" s="52">
        <f ca="1">IF(AND(INT('模拟-模拟计算'!B410)&lt;='模拟-模拟计算'!$C$2,'模拟-模拟计算'!B410&gt;0),'模拟-模拟计算'!Y410," ")</f>
        <v>22090.319978408203</v>
      </c>
      <c r="I385" s="105">
        <f ca="1">IF(AND(INT('模拟-模拟计算'!B410)&lt;='模拟-模拟计算'!$C$2,'模拟-模拟计算'!B410&gt;0),'模拟-模拟计算'!AA410," ")</f>
        <v>112951.59609614722</v>
      </c>
    </row>
    <row r="386" spans="1:9" x14ac:dyDescent="0.2">
      <c r="A386" s="20">
        <f>INT('模拟-模拟计算'!B411+0.5)</f>
        <v>354</v>
      </c>
      <c r="B386" s="52">
        <f>IF(AND(INT('模拟-模拟计算'!B411)&lt;='模拟-模拟计算'!$C$2,'模拟-模拟计算'!B411&gt;0),'模拟-模拟计算'!B411," ")</f>
        <v>354.24000000000325</v>
      </c>
      <c r="C386" s="51" t="str">
        <f ca="1">IF(AND(INT('模拟-模拟计算'!B411)&lt;='模拟-模拟计算'!$C$2,'模拟-模拟计算'!B411&gt;0),'模拟-模拟计算'!C411," ")</f>
        <v>驱夜断愁</v>
      </c>
      <c r="D386" s="104">
        <f ca="1">IF(AND(INT('模拟-模拟计算'!B411)&lt;='模拟-模拟计算'!$C$2,'模拟-模拟计算'!B411&gt;0),'模拟-模拟计算'!E411," ")</f>
        <v>40</v>
      </c>
      <c r="E386" s="104">
        <f ca="1">IF(AND(INT('模拟-模拟计算'!B411)&lt;='模拟-模拟计算'!$C$2,'模拟-模拟计算'!B411&gt;0),'模拟-模拟计算'!F411," ")</f>
        <v>85</v>
      </c>
      <c r="F386" s="51" t="str">
        <f ca="1">IF(AND(INT('模拟-模拟计算'!B411)&lt;='模拟-模拟计算'!$C$2,'模拟-模拟计算'!B411&gt;0),'模拟-模拟计算'!P411," ")</f>
        <v>会</v>
      </c>
      <c r="G386" s="52">
        <f ca="1">IF(AND(INT('模拟-模拟计算'!B411)&lt;='模拟-模拟计算'!$C$2,'模拟-模拟计算'!B411&gt;0),'模拟-模拟计算'!V411," ")</f>
        <v>133079.35569364758</v>
      </c>
      <c r="H386" s="52">
        <f ca="1">IF(AND(INT('模拟-模拟计算'!B411)&lt;='模拟-模拟计算'!$C$2,'模拟-模拟计算'!B411&gt;0),'模拟-模拟计算'!Y411," ")</f>
        <v>158904.24444841166</v>
      </c>
      <c r="I386" s="105">
        <f ca="1">IF(AND(INT('模拟-模拟计算'!B411)&lt;='模拟-模拟计算'!$C$2,'模拟-模拟计算'!B411&gt;0),'模拟-模拟计算'!AA411," ")</f>
        <v>113106.02924048356</v>
      </c>
    </row>
    <row r="387" spans="1:9" x14ac:dyDescent="0.2">
      <c r="A387" s="20">
        <f>INT('模拟-模拟计算'!B412+0.5)</f>
        <v>355</v>
      </c>
      <c r="B387" s="52">
        <f>IF(AND(INT('模拟-模拟计算'!B412)&lt;='模拟-模拟计算'!$C$2,'模拟-模拟计算'!B412&gt;0),'模拟-模拟计算'!B412," ")</f>
        <v>355.16250000000326</v>
      </c>
      <c r="C387" s="51" t="str">
        <f ca="1">IF(AND(INT('模拟-模拟计算'!B412)&lt;='模拟-模拟计算'!$C$2,'模拟-模拟计算'!B412&gt;0),'模拟-模拟计算'!C412," ")</f>
        <v>烈日斩</v>
      </c>
      <c r="D387" s="104">
        <f ca="1">IF(AND(INT('模拟-模拟计算'!B412)&lt;='模拟-模拟计算'!$C$2,'模拟-模拟计算'!B412&gt;0),'模拟-模拟计算'!E412," ")</f>
        <v>80</v>
      </c>
      <c r="E387" s="104">
        <f ca="1">IF(AND(INT('模拟-模拟计算'!B412)&lt;='模拟-模拟计算'!$C$2,'模拟-模拟计算'!B412&gt;0),'模拟-模拟计算'!F412," ")</f>
        <v>85</v>
      </c>
      <c r="F387" s="51" t="str">
        <f ca="1">IF(AND(INT('模拟-模拟计算'!B412)&lt;='模拟-模拟计算'!$C$2,'模拟-模拟计算'!B412&gt;0),'模拟-模拟计算'!P412," ")</f>
        <v>会</v>
      </c>
      <c r="G387" s="52">
        <f ca="1">IF(AND(INT('模拟-模拟计算'!B412)&lt;='模拟-模拟计算'!$C$2,'模拟-模拟计算'!B412&gt;0),'模拟-模拟计算'!V412," ")</f>
        <v>105861.05199666526</v>
      </c>
      <c r="H387" s="52">
        <f ca="1">IF(AND(INT('模拟-模拟计算'!B412)&lt;='模拟-模拟计算'!$C$2,'模拟-模拟计算'!B412&gt;0),'模拟-模拟计算'!Y412," ")</f>
        <v>169869.42566320862</v>
      </c>
      <c r="I387" s="105">
        <f ca="1">IF(AND(INT('模拟-模拟计算'!B412)&lt;='模拟-模拟计算'!$C$2,'模拟-模拟计算'!B412&gt;0),'模拟-模拟计算'!AA412," ")</f>
        <v>113290.53383679895</v>
      </c>
    </row>
    <row r="388" spans="1:9" x14ac:dyDescent="0.2">
      <c r="A388" s="20">
        <f>INT('模拟-模拟计算'!B413+0.5)</f>
        <v>356</v>
      </c>
      <c r="B388" s="52">
        <f>IF(AND(INT('模拟-模拟计算'!B413)&lt;='模拟-模拟计算'!$C$2,'模拟-模拟计算'!B413&gt;0),'模拟-模拟计算'!B413," ")</f>
        <v>356.08500000000328</v>
      </c>
      <c r="C388" s="51" t="str">
        <f ca="1">IF(AND(INT('模拟-模拟计算'!B413)&lt;='模拟-模拟计算'!$C$2,'模拟-模拟计算'!B413&gt;0),'模拟-模拟计算'!C413," ")</f>
        <v>幽月轮1</v>
      </c>
      <c r="D388" s="104">
        <f ca="1">IF(AND(INT('模拟-模拟计算'!B413)&lt;='模拟-模拟计算'!$C$2,'模拟-模拟计算'!B413&gt;0),'模拟-模拟计算'!E413," ")</f>
        <v>80</v>
      </c>
      <c r="E388" s="104">
        <f ca="1">IF(AND(INT('模拟-模拟计算'!B413)&lt;='模拟-模拟计算'!$C$2,'模拟-模拟计算'!B413&gt;0),'模拟-模拟计算'!F413," ")</f>
        <v>100</v>
      </c>
      <c r="F388" s="51" t="str">
        <f ca="1">IF(AND(INT('模拟-模拟计算'!B413)&lt;='模拟-模拟计算'!$C$2,'模拟-模拟计算'!B413&gt;0),'模拟-模拟计算'!P413," ")</f>
        <v>会</v>
      </c>
      <c r="G388" s="52">
        <f ca="1">IF(AND(INT('模拟-模拟计算'!B413)&lt;='模拟-模拟计算'!$C$2,'模拟-模拟计算'!B413&gt;0),'模拟-模拟计算'!V413," ")</f>
        <v>35088.919370823241</v>
      </c>
      <c r="H388" s="52">
        <f ca="1">IF(AND(INT('模拟-模拟计算'!B413)&lt;='模拟-模拟计算'!$C$2,'模拟-模拟计算'!B413&gt;0),'模拟-模拟计算'!Y413," ")</f>
        <v>56200.222478621421</v>
      </c>
      <c r="I388" s="105">
        <f ca="1">IF(AND(INT('模拟-模拟计算'!B413)&lt;='模拟-模拟计算'!$C$2,'模拟-模拟计算'!B413&gt;0),'模拟-模拟计算'!AA413," ")</f>
        <v>113154.863154277</v>
      </c>
    </row>
    <row r="389" spans="1:9" x14ac:dyDescent="0.2">
      <c r="A389" s="20">
        <f>INT('模拟-模拟计算'!B414+0.5)</f>
        <v>357</v>
      </c>
      <c r="B389" s="52">
        <f>IF(AND(INT('模拟-模拟计算'!B414)&lt;='模拟-模拟计算'!$C$2,'模拟-模拟计算'!B414&gt;0),'模拟-模拟计算'!B414," ")</f>
        <v>357.00750000000329</v>
      </c>
      <c r="C389" s="51" t="str">
        <f ca="1">IF(AND(INT('模拟-模拟计算'!B414)&lt;='模拟-模拟计算'!$C$2,'模拟-模拟计算'!B414&gt;0),'模拟-模拟计算'!C414," ")</f>
        <v>净世破魔击·月</v>
      </c>
      <c r="D389" s="104">
        <f ca="1">IF(AND(INT('模拟-模拟计算'!B414)&lt;='模拟-模拟计算'!$C$2,'模拟-模拟计算'!B414&gt;0),'模拟-模拟计算'!E414," ")</f>
        <v>100</v>
      </c>
      <c r="E389" s="104">
        <f ca="1">IF(AND(INT('模拟-模拟计算'!B414)&lt;='模拟-模拟计算'!$C$2,'模拟-模拟计算'!B414&gt;0),'模拟-模拟计算'!F414," ")</f>
        <v>20</v>
      </c>
      <c r="F389" s="51" t="str">
        <f ca="1">IF(AND(INT('模拟-模拟计算'!B414)&lt;='模拟-模拟计算'!$C$2,'模拟-模拟计算'!B414&gt;0),'模拟-模拟计算'!P414," ")</f>
        <v>命</v>
      </c>
      <c r="G389" s="52">
        <f ca="1">IF(AND(INT('模拟-模拟计算'!B414)&lt;='模拟-模拟计算'!$C$2,'模拟-模拟计算'!B414&gt;0),'模拟-模拟计算'!V414," ")</f>
        <v>94342.058484630208</v>
      </c>
      <c r="H389" s="52">
        <f ca="1">IF(AND(INT('模拟-模拟计算'!B414)&lt;='模拟-模拟计算'!$C$2,'模拟-模拟计算'!B414&gt;0),'模拟-模拟计算'!Y414," ")</f>
        <v>112286.37488063533</v>
      </c>
      <c r="I389" s="105">
        <f ca="1">IF(AND(INT('模拟-模拟计算'!B414)&lt;='模拟-模拟计算'!$C$2,'模拟-模拟计算'!B414&gt;0),'模拟-模拟计算'!AA414," ")</f>
        <v>113176.99438014987</v>
      </c>
    </row>
    <row r="390" spans="1:9" x14ac:dyDescent="0.2">
      <c r="A390" s="20">
        <f>INT('模拟-模拟计算'!B415+0.5)</f>
        <v>358</v>
      </c>
      <c r="B390" s="52">
        <f>IF(AND(INT('模拟-模拟计算'!B415)&lt;='模拟-模拟计算'!$C$2,'模拟-模拟计算'!B415&gt;0),'模拟-模拟计算'!B415," ")</f>
        <v>357.9300000000033</v>
      </c>
      <c r="C390" s="51" t="str">
        <f ca="1">IF(AND(INT('模拟-模拟计算'!B415)&lt;='模拟-模拟计算'!$C$2,'模拟-模拟计算'!B415&gt;0),'模拟-模拟计算'!C415," ")</f>
        <v>净世破魔击·日</v>
      </c>
      <c r="D390" s="104">
        <f ca="1">IF(AND(INT('模拟-模拟计算'!B415)&lt;='模拟-模拟计算'!$C$2,'模拟-模拟计算'!B415&gt;0),'模拟-模拟计算'!E415," ")</f>
        <v>0</v>
      </c>
      <c r="E390" s="104">
        <f ca="1">IF(AND(INT('模拟-模拟计算'!B415)&lt;='模拟-模拟计算'!$C$2,'模拟-模拟计算'!B415&gt;0),'模拟-模拟计算'!F415," ")</f>
        <v>100</v>
      </c>
      <c r="F390" s="51" t="str">
        <f ca="1">IF(AND(INT('模拟-模拟计算'!B415)&lt;='模拟-模拟计算'!$C$2,'模拟-模拟计算'!B415&gt;0),'模拟-模拟计算'!P415," ")</f>
        <v>命</v>
      </c>
      <c r="G390" s="52">
        <f ca="1">IF(AND(INT('模拟-模拟计算'!B415)&lt;='模拟-模拟计算'!$C$2,'模拟-模拟计算'!B415&gt;0),'模拟-模拟计算'!V415," ")</f>
        <v>105697.2298988978</v>
      </c>
      <c r="H390" s="52">
        <f ca="1">IF(AND(INT('模拟-模拟计算'!B415)&lt;='模拟-模拟计算'!$C$2,'模拟-模拟计算'!B415&gt;0),'模拟-模拟计算'!Y415," ")</f>
        <v>138951.78008817811</v>
      </c>
      <c r="I390" s="105">
        <f ca="1">IF(AND(INT('模拟-模拟计算'!B415)&lt;='模拟-模拟计算'!$C$2,'模拟-模拟计算'!B415&gt;0),'模拟-模拟计算'!AA415," ")</f>
        <v>113273.51046645863</v>
      </c>
    </row>
    <row r="391" spans="1:9" x14ac:dyDescent="0.2">
      <c r="A391" s="20">
        <f>INT('模拟-模拟计算'!B416+0.5)</f>
        <v>359</v>
      </c>
      <c r="B391" s="52">
        <f>IF(AND(INT('模拟-模拟计算'!B416)&lt;='模拟-模拟计算'!$C$2,'模拟-模拟计算'!B416&gt;0),'模拟-模拟计算'!B416," ")</f>
        <v>358.85250000000332</v>
      </c>
      <c r="C391" s="51" t="str">
        <f ca="1">IF(AND(INT('模拟-模拟计算'!B416)&lt;='模拟-模拟计算'!$C$2,'模拟-模拟计算'!B416&gt;0),'模拟-模拟计算'!C416," ")</f>
        <v>净世破魔击·月</v>
      </c>
      <c r="D391" s="104">
        <f ca="1">IF(AND(INT('模拟-模拟计算'!B416)&lt;='模拟-模拟计算'!$C$2,'模拟-模拟计算'!B416&gt;0),'模拟-模拟计算'!E416," ")</f>
        <v>20</v>
      </c>
      <c r="E391" s="104">
        <f ca="1">IF(AND(INT('模拟-模拟计算'!B416)&lt;='模拟-模拟计算'!$C$2,'模拟-模拟计算'!B416&gt;0),'模拟-模拟计算'!F416," ")</f>
        <v>20</v>
      </c>
      <c r="F391" s="51" t="str">
        <f ca="1">IF(AND(INT('模拟-模拟计算'!B416)&lt;='模拟-模拟计算'!$C$2,'模拟-模拟计算'!B416&gt;0),'模拟-模拟计算'!P416," ")</f>
        <v>会</v>
      </c>
      <c r="G391" s="52">
        <f ca="1">IF(AND(INT('模拟-模拟计算'!B416)&lt;='模拟-模拟计算'!$C$2,'模拟-模拟计算'!B416&gt;0),'模拟-模拟计算'!V416," ")</f>
        <v>121694.14741267689</v>
      </c>
      <c r="H391" s="52">
        <f ca="1">IF(AND(INT('模拟-模拟计算'!B416)&lt;='模拟-模拟计算'!$C$2,'模拟-模拟计算'!B416&gt;0),'模拟-模拟计算'!Y416," ")</f>
        <v>139628.52592817217</v>
      </c>
      <c r="I391" s="105">
        <f ca="1">IF(AND(INT('模拟-模拟计算'!B416)&lt;='模拟-模拟计算'!$C$2,'模拟-模拟计算'!B416&gt;0),'模拟-模拟计算'!AA416," ")</f>
        <v>113371.41618683917</v>
      </c>
    </row>
    <row r="392" spans="1:9" x14ac:dyDescent="0.2">
      <c r="A392" s="20">
        <f>INT('模拟-模拟计算'!B417+0.5)</f>
        <v>360</v>
      </c>
      <c r="B392" s="52">
        <f>IF(AND(INT('模拟-模拟计算'!B417)&lt;='模拟-模拟计算'!$C$2,'模拟-模拟计算'!B417&gt;0),'模拟-模拟计算'!B417," ")</f>
        <v>359.77500000000333</v>
      </c>
      <c r="C392" s="51" t="str">
        <f ca="1">IF(AND(INT('模拟-模拟计算'!B417)&lt;='模拟-模拟计算'!$C$2,'模拟-模拟计算'!B417&gt;0),'模拟-模拟计算'!C417," ")</f>
        <v>银月斩</v>
      </c>
      <c r="D392" s="104">
        <f ca="1">IF(AND(INT('模拟-模拟计算'!B417)&lt;='模拟-模拟计算'!$C$2,'模拟-模拟计算'!B417&gt;0),'模拟-模拟计算'!E417," ")</f>
        <v>20</v>
      </c>
      <c r="E392" s="104">
        <f ca="1">IF(AND(INT('模拟-模拟计算'!B417)&lt;='模拟-模拟计算'!$C$2,'模拟-模拟计算'!B417&gt;0),'模拟-模拟计算'!F417," ")</f>
        <v>65</v>
      </c>
      <c r="F392" s="51" t="str">
        <f ca="1">IF(AND(INT('模拟-模拟计算'!B417)&lt;='模拟-模拟计算'!$C$2,'模拟-模拟计算'!B417&gt;0),'模拟-模拟计算'!P417," ")</f>
        <v>会</v>
      </c>
      <c r="G392" s="52">
        <f ca="1">IF(AND(INT('模拟-模拟计算'!B417)&lt;='模拟-模拟计算'!$C$2,'模拟-模拟计算'!B417&gt;0),'模拟-模拟计算'!V417," ")</f>
        <v>49855.474753700611</v>
      </c>
      <c r="H392" s="52">
        <f ca="1">IF(AND(INT('模拟-模拟计算'!B417)&lt;='模拟-模拟计算'!$C$2,'模拟-模拟计算'!B417&gt;0),'模拟-模拟计算'!Y417," ")</f>
        <v>61335.338906004996</v>
      </c>
      <c r="I392" s="105">
        <f ca="1">IF(AND(INT('模拟-模拟计算'!B417)&lt;='模拟-模拟计算'!$C$2,'模拟-模拟计算'!B417&gt;0),'模拟-模拟计算'!AA417," ")</f>
        <v>113251.20274086222</v>
      </c>
    </row>
    <row r="393" spans="1:9" x14ac:dyDescent="0.2">
      <c r="A393" s="20">
        <f>INT('模拟-模拟计算'!B418+0.5)</f>
        <v>361</v>
      </c>
      <c r="B393" s="52">
        <f>IF(AND(INT('模拟-模拟计算'!B418)&lt;='模拟-模拟计算'!$C$2,'模拟-模拟计算'!B418&gt;0),'模拟-模拟计算'!B418," ")</f>
        <v>360.69750000000334</v>
      </c>
      <c r="C393" s="51" t="str">
        <f ca="1">IF(AND(INT('模拟-模拟计算'!B418)&lt;='模拟-模拟计算'!$C$2,'模拟-模拟计算'!B418&gt;0),'模拟-模拟计算'!C418," ")</f>
        <v>驱夜断愁</v>
      </c>
      <c r="D393" s="104">
        <f ca="1">IF(AND(INT('模拟-模拟计算'!B418)&lt;='模拟-模拟计算'!$C$2,'模拟-模拟计算'!B418&gt;0),'模拟-模拟计算'!E418," ")</f>
        <v>40</v>
      </c>
      <c r="E393" s="104">
        <f ca="1">IF(AND(INT('模拟-模拟计算'!B418)&lt;='模拟-模拟计算'!$C$2,'模拟-模拟计算'!B418&gt;0),'模拟-模拟计算'!F418," ")</f>
        <v>85</v>
      </c>
      <c r="F393" s="51" t="str">
        <f ca="1">IF(AND(INT('模拟-模拟计算'!B418)&lt;='模拟-模拟计算'!$C$2,'模拟-模拟计算'!B418&gt;0),'模拟-模拟计算'!P418," ")</f>
        <v>命</v>
      </c>
      <c r="G393" s="52">
        <f ca="1">IF(AND(INT('模拟-模拟计算'!B418)&lt;='模拟-模拟计算'!$C$2,'模拟-模拟计算'!B418&gt;0),'模拟-模拟计算'!V418," ")</f>
        <v>61540.073489592025</v>
      </c>
      <c r="H393" s="52">
        <f ca="1">IF(AND(INT('模拟-模拟计算'!B418)&lt;='模拟-模拟计算'!$C$2,'模拟-模拟计算'!B418&gt;0),'模拟-模拟计算'!Y418," ")</f>
        <v>66513.583112403212</v>
      </c>
      <c r="I393" s="105">
        <f ca="1">IF(AND(INT('模拟-模拟计算'!B418)&lt;='模拟-模拟计算'!$C$2,'模拟-模拟计算'!B418&gt;0),'模拟-模拟计算'!AA418," ")</f>
        <v>113145.96039397587</v>
      </c>
    </row>
    <row r="394" spans="1:9" x14ac:dyDescent="0.2">
      <c r="A394" s="20">
        <f>INT('模拟-模拟计算'!B419+0.5)</f>
        <v>362</v>
      </c>
      <c r="B394" s="52">
        <f>IF(AND(INT('模拟-模拟计算'!B419)&lt;='模拟-模拟计算'!$C$2,'模拟-模拟计算'!B419&gt;0),'模拟-模拟计算'!B419," ")</f>
        <v>361.62000000000336</v>
      </c>
      <c r="C394" s="51" t="str">
        <f ca="1">IF(AND(INT('模拟-模拟计算'!B419)&lt;='模拟-模拟计算'!$C$2,'模拟-模拟计算'!B419&gt;0),'模拟-模拟计算'!C419," ")</f>
        <v>烈日斩</v>
      </c>
      <c r="D394" s="104">
        <f ca="1">IF(AND(INT('模拟-模拟计算'!B419)&lt;='模拟-模拟计算'!$C$2,'模拟-模拟计算'!B419&gt;0),'模拟-模拟计算'!E419," ")</f>
        <v>80</v>
      </c>
      <c r="E394" s="104">
        <f ca="1">IF(AND(INT('模拟-模拟计算'!B419)&lt;='模拟-模拟计算'!$C$2,'模拟-模拟计算'!B419&gt;0),'模拟-模拟计算'!F419," ")</f>
        <v>85</v>
      </c>
      <c r="F394" s="51" t="str">
        <f ca="1">IF(AND(INT('模拟-模拟计算'!B419)&lt;='模拟-模拟计算'!$C$2,'模拟-模拟计算'!B419&gt;0),'模拟-模拟计算'!P419," ")</f>
        <v>命</v>
      </c>
      <c r="G394" s="52">
        <f ca="1">IF(AND(INT('模拟-模拟计算'!B419)&lt;='模拟-模拟计算'!$C$2,'模拟-模拟计算'!B419&gt;0),'模拟-模拟计算'!V419," ")</f>
        <v>48841.631854871324</v>
      </c>
      <c r="H394" s="52">
        <f ca="1">IF(AND(INT('模拟-模拟计算'!B419)&lt;='模拟-模拟计算'!$C$2,'模拟-模拟计算'!B419&gt;0),'模拟-模拟计算'!Y419," ")</f>
        <v>60321.496007175709</v>
      </c>
      <c r="I394" s="105">
        <f ca="1">IF(AND(INT('模拟-模拟计算'!B419)&lt;='模拟-模拟计算'!$C$2,'模拟-模拟计算'!B419&gt;0),'模拟-模拟计算'!AA419," ")</f>
        <v>113024.13181022422</v>
      </c>
    </row>
    <row r="395" spans="1:9" x14ac:dyDescent="0.2">
      <c r="A395" s="20">
        <f>INT('模拟-模拟计算'!B420+0.5)</f>
        <v>363</v>
      </c>
      <c r="B395" s="52">
        <f>IF(AND(INT('模拟-模拟计算'!B420)&lt;='模拟-模拟计算'!$C$2,'模拟-模拟计算'!B420&gt;0),'模拟-模拟计算'!B420," ")</f>
        <v>362.54250000000337</v>
      </c>
      <c r="C395" s="51" t="str">
        <f ca="1">IF(AND(INT('模拟-模拟计算'!B420)&lt;='模拟-模拟计算'!$C$2,'模拟-模拟计算'!B420&gt;0),'模拟-模拟计算'!C420," ")</f>
        <v>幽月轮1</v>
      </c>
      <c r="D395" s="104">
        <f ca="1">IF(AND(INT('模拟-模拟计算'!B420)&lt;='模拟-模拟计算'!$C$2,'模拟-模拟计算'!B420&gt;0),'模拟-模拟计算'!E420," ")</f>
        <v>80</v>
      </c>
      <c r="E395" s="104">
        <f ca="1">IF(AND(INT('模拟-模拟计算'!B420)&lt;='模拟-模拟计算'!$C$2,'模拟-模拟计算'!B420&gt;0),'模拟-模拟计算'!F420," ")</f>
        <v>100</v>
      </c>
      <c r="F395" s="51" t="str">
        <f ca="1">IF(AND(INT('模拟-模拟计算'!B420)&lt;='模拟-模拟计算'!$C$2,'模拟-模拟计算'!B420&gt;0),'模拟-模拟计算'!P420," ")</f>
        <v>命</v>
      </c>
      <c r="G395" s="52">
        <f ca="1">IF(AND(INT('模拟-模拟计算'!B420)&lt;='模拟-模拟计算'!$C$2,'模拟-模拟计算'!B420&gt;0),'模拟-模拟计算'!V420," ")</f>
        <v>16939.18703301924</v>
      </c>
      <c r="H395" s="52">
        <f ca="1">IF(AND(INT('模拟-模拟计算'!B420)&lt;='模拟-模拟计算'!$C$2,'模拟-模拟计算'!B420&gt;0),'模拟-模拟计算'!Y420," ")</f>
        <v>25250.052025772991</v>
      </c>
      <c r="I395" s="105">
        <f ca="1">IF(AND(INT('模拟-模拟计算'!B420)&lt;='模拟-模拟计算'!$C$2,'模拟-模拟计算'!B420&gt;0),'模拟-模拟计算'!AA420," ")</f>
        <v>112806.18574991636</v>
      </c>
    </row>
    <row r="396" spans="1:9" x14ac:dyDescent="0.2">
      <c r="A396" s="20">
        <f>INT('模拟-模拟计算'!B421+0.5)</f>
        <v>363</v>
      </c>
      <c r="B396" s="52">
        <f>IF(AND(INT('模拟-模拟计算'!B421)&lt;='模拟-模拟计算'!$C$2,'模拟-模拟计算'!B421&gt;0),'模拟-模拟计算'!B421," ")</f>
        <v>363.46500000000339</v>
      </c>
      <c r="C396" s="51" t="str">
        <f ca="1">IF(AND(INT('模拟-模拟计算'!B421)&lt;='模拟-模拟计算'!$C$2,'模拟-模拟计算'!B421&gt;0),'模拟-模拟计算'!C421," ")</f>
        <v>净世破魔击·月</v>
      </c>
      <c r="D396" s="104">
        <f ca="1">IF(AND(INT('模拟-模拟计算'!B421)&lt;='模拟-模拟计算'!$C$2,'模拟-模拟计算'!B421&gt;0),'模拟-模拟计算'!E421," ")</f>
        <v>100</v>
      </c>
      <c r="E396" s="104">
        <f ca="1">IF(AND(INT('模拟-模拟计算'!B421)&lt;='模拟-模拟计算'!$C$2,'模拟-模拟计算'!B421&gt;0),'模拟-模拟计算'!F421," ")</f>
        <v>20</v>
      </c>
      <c r="F396" s="51" t="str">
        <f ca="1">IF(AND(INT('模拟-模拟计算'!B421)&lt;='模拟-模拟计算'!$C$2,'模拟-模拟计算'!B421&gt;0),'模拟-模拟计算'!P421," ")</f>
        <v>命</v>
      </c>
      <c r="G396" s="52">
        <f ca="1">IF(AND(INT('模拟-模拟计算'!B421)&lt;='模拟-模拟计算'!$C$2,'模拟-模拟计算'!B421&gt;0),'模拟-模拟计算'!V421," ")</f>
        <v>84412.793434348554</v>
      </c>
      <c r="H396" s="52">
        <f ca="1">IF(AND(INT('模拟-模拟计算'!B421)&lt;='模拟-模拟计算'!$C$2,'模拟-模拟计算'!B421&gt;0),'模拟-模拟计算'!Y421," ")</f>
        <v>110806.60594486374</v>
      </c>
      <c r="I396" s="105">
        <f ca="1">IF(AND(INT('模拟-模拟计算'!B421)&lt;='模拟-模拟计算'!$C$2,'模拟-模拟计算'!B421&gt;0),'模拟-模拟计算'!AA421," ")</f>
        <v>112824.73746628677</v>
      </c>
    </row>
    <row r="397" spans="1:9" x14ac:dyDescent="0.2">
      <c r="A397" s="20">
        <f>INT('模拟-模拟计算'!B422+0.5)</f>
        <v>364</v>
      </c>
      <c r="B397" s="52">
        <f>IF(AND(INT('模拟-模拟计算'!B422)&lt;='模拟-模拟计算'!$C$2,'模拟-模拟计算'!B422&gt;0),'模拟-模拟计算'!B422," ")</f>
        <v>364.3875000000034</v>
      </c>
      <c r="C397" s="51" t="str">
        <f ca="1">IF(AND(INT('模拟-模拟计算'!B422)&lt;='模拟-模拟计算'!$C$2,'模拟-模拟计算'!B422&gt;0),'模拟-模拟计算'!C422," ")</f>
        <v>净世破魔击·日</v>
      </c>
      <c r="D397" s="104">
        <f ca="1">IF(AND(INT('模拟-模拟计算'!B422)&lt;='模拟-模拟计算'!$C$2,'模拟-模拟计算'!B422&gt;0),'模拟-模拟计算'!E422," ")</f>
        <v>0</v>
      </c>
      <c r="E397" s="104">
        <f ca="1">IF(AND(INT('模拟-模拟计算'!B422)&lt;='模拟-模拟计算'!$C$2,'模拟-模拟计算'!B422&gt;0),'模拟-模拟计算'!F422," ")</f>
        <v>20</v>
      </c>
      <c r="F397" s="51" t="str">
        <f ca="1">IF(AND(INT('模拟-模拟计算'!B422)&lt;='模拟-模拟计算'!$C$2,'模拟-模拟计算'!B422&gt;0),'模拟-模拟计算'!P422," ")</f>
        <v>会</v>
      </c>
      <c r="G397" s="52">
        <f ca="1">IF(AND(INT('模拟-模拟计算'!B422)&lt;='模拟-模拟计算'!$C$2,'模拟-模拟计算'!B422&gt;0),'模拟-模拟计算'!V422," ")</f>
        <v>204517.60843249681</v>
      </c>
      <c r="H397" s="52">
        <f ca="1">IF(AND(INT('模拟-模拟计算'!B422)&lt;='模拟-模拟计算'!$C$2,'模拟-模拟计算'!B422&gt;0),'模拟-模拟计算'!Y422," ")</f>
        <v>233974.14194110746</v>
      </c>
      <c r="I397" s="105">
        <f ca="1">IF(AND(INT('模拟-模拟计算'!B422)&lt;='模拟-模拟计算'!$C$2,'模拟-模拟计算'!B422&gt;0),'模拟-模拟计算'!AA422," ")</f>
        <v>113181.20776680051</v>
      </c>
    </row>
    <row r="398" spans="1:9" x14ac:dyDescent="0.2">
      <c r="A398" s="20">
        <f>INT('模拟-模拟计算'!B423+0.5)</f>
        <v>365</v>
      </c>
      <c r="B398" s="52">
        <f>IF(AND(INT('模拟-模拟计算'!B423)&lt;='模拟-模拟计算'!$C$2,'模拟-模拟计算'!B423&gt;0),'模拟-模拟计算'!B423," ")</f>
        <v>365.31000000000341</v>
      </c>
      <c r="C398" s="51" t="str">
        <f ca="1">IF(AND(INT('模拟-模拟计算'!B423)&lt;='模拟-模拟计算'!$C$2,'模拟-模拟计算'!B423&gt;0),'模拟-模拟计算'!C423," ")</f>
        <v>赤日轮1</v>
      </c>
      <c r="D398" s="104">
        <f ca="1">IF(AND(INT('模拟-模拟计算'!B423)&lt;='模拟-模拟计算'!$C$2,'模拟-模拟计算'!B423&gt;0),'模拟-模拟计算'!E423," ")</f>
        <v>20</v>
      </c>
      <c r="E398" s="104">
        <f ca="1">IF(AND(INT('模拟-模拟计算'!B423)&lt;='模拟-模拟计算'!$C$2,'模拟-模拟计算'!B423&gt;0),'模拟-模拟计算'!F423," ")</f>
        <v>20</v>
      </c>
      <c r="F398" s="51" t="str">
        <f ca="1">IF(AND(INT('模拟-模拟计算'!B423)&lt;='模拟-模拟计算'!$C$2,'模拟-模拟计算'!B423&gt;0),'模拟-模拟计算'!P423," ")</f>
        <v>命</v>
      </c>
      <c r="G398" s="52">
        <f ca="1">IF(AND(INT('模拟-模拟计算'!B423)&lt;='模拟-模拟计算'!$C$2,'模拟-模拟计算'!B423&gt;0),'模拟-模拟计算'!V423," ")</f>
        <v>25194.44799269021</v>
      </c>
      <c r="H398" s="52">
        <f ca="1">IF(AND(INT('模拟-模拟计算'!B423)&lt;='模拟-模拟计算'!$C$2,'模拟-模拟计算'!B423&gt;0),'模拟-模拟计算'!Y423," ")</f>
        <v>37163.850488693439</v>
      </c>
      <c r="I398" s="105">
        <f ca="1">IF(AND(INT('模拟-模拟计算'!B423)&lt;='模拟-模拟计算'!$C$2,'模拟-模拟计算'!B423&gt;0),'模拟-模拟计算'!AA423," ")</f>
        <v>112997.12900170735</v>
      </c>
    </row>
    <row r="399" spans="1:9" x14ac:dyDescent="0.2">
      <c r="A399" s="20">
        <f>INT('模拟-模拟计算'!B424+0.5)</f>
        <v>366</v>
      </c>
      <c r="B399" s="52">
        <f>IF(AND(INT('模拟-模拟计算'!B424)&lt;='模拟-模拟计算'!$C$2,'模拟-模拟计算'!B424&gt;0),'模拟-模拟计算'!B424," ")</f>
        <v>366.23250000000343</v>
      </c>
      <c r="C399" s="51" t="str">
        <f ca="1">IF(AND(INT('模拟-模拟计算'!B424)&lt;='模拟-模拟计算'!$C$2,'模拟-模拟计算'!B424&gt;0),'模拟-模拟计算'!C424," ")</f>
        <v>银月斩</v>
      </c>
      <c r="D399" s="104">
        <f ca="1">IF(AND(INT('模拟-模拟计算'!B424)&lt;='模拟-模拟计算'!$C$2,'模拟-模拟计算'!B424&gt;0),'模拟-模拟计算'!E424," ")</f>
        <v>20</v>
      </c>
      <c r="E399" s="104">
        <f ca="1">IF(AND(INT('模拟-模拟计算'!B424)&lt;='模拟-模拟计算'!$C$2,'模拟-模拟计算'!B424&gt;0),'模拟-模拟计算'!F424," ")</f>
        <v>65</v>
      </c>
      <c r="F399" s="51" t="str">
        <f ca="1">IF(AND(INT('模拟-模拟计算'!B424)&lt;='模拟-模拟计算'!$C$2,'模拟-模拟计算'!B424&gt;0),'模拟-模拟计算'!P424," ")</f>
        <v>会</v>
      </c>
      <c r="G399" s="52">
        <f ca="1">IF(AND(INT('模拟-模拟计算'!B424)&lt;='模拟-模拟计算'!$C$2,'模拟-模拟计算'!B424&gt;0),'模拟-模拟计算'!V424," ")</f>
        <v>39481.310356797861</v>
      </c>
      <c r="H399" s="52">
        <f ca="1">IF(AND(INT('模拟-模拟计算'!B424)&lt;='模拟-模拟计算'!$C$2,'模拟-模拟计算'!B424&gt;0),'模拟-模拟计算'!Y424," ")</f>
        <v>65195.637809098749</v>
      </c>
      <c r="I399" s="105">
        <f ca="1">IF(AND(INT('模拟-模拟计算'!B424)&lt;='模拟-模拟计算'!$C$2,'模拟-模拟计算'!B424&gt;0),'模拟-模拟计算'!AA424," ")</f>
        <v>112890.51854606789</v>
      </c>
    </row>
    <row r="400" spans="1:9" x14ac:dyDescent="0.2">
      <c r="A400" s="20">
        <f>INT('模拟-模拟计算'!B425+0.5)</f>
        <v>367</v>
      </c>
      <c r="B400" s="52">
        <f>IF(AND(INT('模拟-模拟计算'!B425)&lt;='模拟-模拟计算'!$C$2,'模拟-模拟计算'!B425&gt;0),'模拟-模拟计算'!B425," ")</f>
        <v>367.15500000000344</v>
      </c>
      <c r="C400" s="51" t="str">
        <f ca="1">IF(AND(INT('模拟-模拟计算'!B425)&lt;='模拟-模拟计算'!$C$2,'模拟-模拟计算'!B425&gt;0),'模拟-模拟计算'!C425," ")</f>
        <v>驱夜断愁</v>
      </c>
      <c r="D400" s="104">
        <f ca="1">IF(AND(INT('模拟-模拟计算'!B425)&lt;='模拟-模拟计算'!$C$2,'模拟-模拟计算'!B425&gt;0),'模拟-模拟计算'!E425," ")</f>
        <v>40</v>
      </c>
      <c r="E400" s="104">
        <f ca="1">IF(AND(INT('模拟-模拟计算'!B425)&lt;='模拟-模拟计算'!$C$2,'模拟-模拟计算'!B425&gt;0),'模拟-模拟计算'!F425," ")</f>
        <v>85</v>
      </c>
      <c r="F400" s="51" t="str">
        <f ca="1">IF(AND(INT('模拟-模拟计算'!B425)&lt;='模拟-模拟计算'!$C$2,'模拟-模拟计算'!B425&gt;0),'模拟-模拟计算'!P425," ")</f>
        <v>命</v>
      </c>
      <c r="G400" s="52">
        <f ca="1">IF(AND(INT('模拟-模拟计算'!B425)&lt;='模拟-模拟计算'!$C$2,'模拟-模拟计算'!B425&gt;0),'模拟-模拟计算'!V425," ")</f>
        <v>58943.088028757353</v>
      </c>
      <c r="H400" s="52">
        <f ca="1">IF(AND(INT('模拟-模拟计算'!B425)&lt;='模拟-模拟计算'!$C$2,'模拟-模拟计算'!B425&gt;0),'模拟-模拟计算'!Y425," ")</f>
        <v>84767.976783521415</v>
      </c>
      <c r="I400" s="105">
        <f ca="1">IF(AND(INT('模拟-模拟计算'!B425)&lt;='模拟-模拟计算'!$C$2,'模拟-模拟计算'!B425&gt;0),'模拟-模拟计算'!AA425," ")</f>
        <v>112837.7519309456</v>
      </c>
    </row>
    <row r="401" spans="1:9" x14ac:dyDescent="0.2">
      <c r="A401" s="20">
        <f>INT('模拟-模拟计算'!B426+0.5)</f>
        <v>368</v>
      </c>
      <c r="B401" s="52">
        <f>IF(AND(INT('模拟-模拟计算'!B426)&lt;='模拟-模拟计算'!$C$2,'模拟-模拟计算'!B426&gt;0),'模拟-模拟计算'!B426," ")</f>
        <v>368.07750000000345</v>
      </c>
      <c r="C401" s="51" t="str">
        <f ca="1">IF(AND(INT('模拟-模拟计算'!B426)&lt;='模拟-模拟计算'!$C$2,'模拟-模拟计算'!B426&gt;0),'模拟-模拟计算'!C426," ")</f>
        <v>烈日斩</v>
      </c>
      <c r="D401" s="104">
        <f ca="1">IF(AND(INT('模拟-模拟计算'!B426)&lt;='模拟-模拟计算'!$C$2,'模拟-模拟计算'!B426&gt;0),'模拟-模拟计算'!E426," ")</f>
        <v>80</v>
      </c>
      <c r="E401" s="104">
        <f ca="1">IF(AND(INT('模拟-模拟计算'!B426)&lt;='模拟-模拟计算'!$C$2,'模拟-模拟计算'!B426&gt;0),'模拟-模拟计算'!F426," ")</f>
        <v>85</v>
      </c>
      <c r="F401" s="51" t="str">
        <f ca="1">IF(AND(INT('模拟-模拟计算'!B426)&lt;='模拟-模拟计算'!$C$2,'模拟-模拟计算'!B426&gt;0),'模拟-模拟计算'!P426," ")</f>
        <v>会</v>
      </c>
      <c r="G401" s="52">
        <f ca="1">IF(AND(INT('模拟-模拟计算'!B426)&lt;='模拟-模拟计算'!$C$2,'模拟-模拟计算'!B426&gt;0),'模拟-模拟计算'!V426," ")</f>
        <v>105861.05199666526</v>
      </c>
      <c r="H401" s="52">
        <f ca="1">IF(AND(INT('模拟-模拟计算'!B426)&lt;='模拟-模拟计算'!$C$2,'模拟-模拟计算'!B426&gt;0),'模拟-模拟计算'!Y426," ")</f>
        <v>115441.4971788387</v>
      </c>
      <c r="I401" s="105">
        <f ca="1">IF(AND(INT('模拟-模拟计算'!B426)&lt;='模拟-模拟计算'!$C$2,'模拟-模拟计算'!B426&gt;0),'模拟-模拟计算'!AA426," ")</f>
        <v>112868.58421768558</v>
      </c>
    </row>
    <row r="402" spans="1:9" x14ac:dyDescent="0.2">
      <c r="A402" s="20">
        <f>INT('模拟-模拟计算'!B427+0.5)</f>
        <v>369</v>
      </c>
      <c r="B402" s="52">
        <f>IF(AND(INT('模拟-模拟计算'!B427)&lt;='模拟-模拟计算'!$C$2,'模拟-模拟计算'!B427&gt;0),'模拟-模拟计算'!B427," ")</f>
        <v>369.00000000000347</v>
      </c>
      <c r="C402" s="51" t="str">
        <f ca="1">IF(AND(INT('模拟-模拟计算'!B427)&lt;='模拟-模拟计算'!$C$2,'模拟-模拟计算'!B427&gt;0),'模拟-模拟计算'!C427," ")</f>
        <v>幽月轮1</v>
      </c>
      <c r="D402" s="104">
        <f ca="1">IF(AND(INT('模拟-模拟计算'!B427)&lt;='模拟-模拟计算'!$C$2,'模拟-模拟计算'!B427&gt;0),'模拟-模拟计算'!E427," ")</f>
        <v>80</v>
      </c>
      <c r="E402" s="104">
        <f ca="1">IF(AND(INT('模拟-模拟计算'!B427)&lt;='模拟-模拟计算'!$C$2,'模拟-模拟计算'!B427&gt;0),'模拟-模拟计算'!F427," ")</f>
        <v>100</v>
      </c>
      <c r="F402" s="51" t="str">
        <f ca="1">IF(AND(INT('模拟-模拟计算'!B427)&lt;='模拟-模拟计算'!$C$2,'模拟-模拟计算'!B427&gt;0),'模拟-模拟计算'!P427," ")</f>
        <v>会</v>
      </c>
      <c r="G402" s="52">
        <f ca="1">IF(AND(INT('模拟-模拟计算'!B427)&lt;='模拟-模拟计算'!$C$2,'模拟-模拟计算'!B427&gt;0),'模拟-模拟计算'!V427," ")</f>
        <v>35088.919370823241</v>
      </c>
      <c r="H402" s="52">
        <f ca="1">IF(AND(INT('模拟-模拟计算'!B427)&lt;='模拟-模拟计算'!$C$2,'模拟-模拟计算'!B427&gt;0),'模拟-模拟计算'!Y427," ")</f>
        <v>37849.268937372282</v>
      </c>
      <c r="I402" s="105">
        <f ca="1">IF(AND(INT('模拟-模拟计算'!B427)&lt;='模拟-模拟计算'!$C$2,'模拟-模拟计算'!B427&gt;0),'模拟-模拟计算'!AA427," ")</f>
        <v>112688.98530168709</v>
      </c>
    </row>
    <row r="403" spans="1:9" x14ac:dyDescent="0.2">
      <c r="A403" s="20">
        <f>INT('模拟-模拟计算'!B428+0.5)</f>
        <v>370</v>
      </c>
      <c r="B403" s="52">
        <f>IF(AND(INT('模拟-模拟计算'!B428)&lt;='模拟-模拟计算'!$C$2,'模拟-模拟计算'!B428&gt;0),'模拟-模拟计算'!B428," ")</f>
        <v>369.92250000000348</v>
      </c>
      <c r="C403" s="51" t="str">
        <f ca="1">IF(AND(INT('模拟-模拟计算'!B428)&lt;='模拟-模拟计算'!$C$2,'模拟-模拟计算'!B428&gt;0),'模拟-模拟计算'!C428," ")</f>
        <v>净世破魔击·月</v>
      </c>
      <c r="D403" s="104">
        <f ca="1">IF(AND(INT('模拟-模拟计算'!B428)&lt;='模拟-模拟计算'!$C$2,'模拟-模拟计算'!B428&gt;0),'模拟-模拟计算'!E428," ")</f>
        <v>100</v>
      </c>
      <c r="E403" s="104">
        <f ca="1">IF(AND(INT('模拟-模拟计算'!B428)&lt;='模拟-模拟计算'!$C$2,'模拟-模拟计算'!B428&gt;0),'模拟-模拟计算'!F428," ")</f>
        <v>20</v>
      </c>
      <c r="F403" s="51" t="str">
        <f ca="1">IF(AND(INT('模拟-模拟计算'!B428)&lt;='模拟-模拟计算'!$C$2,'模拟-模拟计算'!B428&gt;0),'模拟-模拟计算'!P428," ")</f>
        <v>命</v>
      </c>
      <c r="G403" s="52">
        <f ca="1">IF(AND(INT('模拟-模拟计算'!B428)&lt;='模拟-模拟计算'!$C$2,'模拟-模拟计算'!B428&gt;0),'模拟-模拟计算'!V428," ")</f>
        <v>80864.621558254468</v>
      </c>
      <c r="H403" s="52">
        <f ca="1">IF(AND(INT('模拟-模拟计算'!B428)&lt;='模拟-模拟计算'!$C$2,'模拟-模拟计算'!B428&gt;0),'模拟-模拟计算'!Y428," ")</f>
        <v>98084.518492532748</v>
      </c>
      <c r="I403" s="105">
        <f ca="1">IF(AND(INT('模拟-模拟计算'!B428)&lt;='模拟-模拟计算'!$C$2,'模拟-模拟计算'!B428&gt;0),'模拟-模拟计算'!AA428," ")</f>
        <v>112673.11421937046</v>
      </c>
    </row>
    <row r="404" spans="1:9" x14ac:dyDescent="0.2">
      <c r="A404" s="20">
        <f>INT('模拟-模拟计算'!B429+0.5)</f>
        <v>371</v>
      </c>
      <c r="B404" s="52">
        <f>IF(AND(INT('模拟-模拟计算'!B429)&lt;='模拟-模拟计算'!$C$2,'模拟-模拟计算'!B429&gt;0),'模拟-模拟计算'!B429," ")</f>
        <v>370.84500000000349</v>
      </c>
      <c r="C404" s="51" t="str">
        <f ca="1">IF(AND(INT('模拟-模拟计算'!B429)&lt;='模拟-模拟计算'!$C$2,'模拟-模拟计算'!B429&gt;0),'模拟-模拟计算'!C429," ")</f>
        <v>净世破魔击·日</v>
      </c>
      <c r="D404" s="104">
        <f ca="1">IF(AND(INT('模拟-模拟计算'!B429)&lt;='模拟-模拟计算'!$C$2,'模拟-模拟计算'!B429&gt;0),'模拟-模拟计算'!E429," ")</f>
        <v>0</v>
      </c>
      <c r="E404" s="104">
        <f ca="1">IF(AND(INT('模拟-模拟计算'!B429)&lt;='模拟-模拟计算'!$C$2,'模拟-模拟计算'!B429&gt;0),'模拟-模拟计算'!F429," ")</f>
        <v>20</v>
      </c>
      <c r="F404" s="51" t="str">
        <f ca="1">IF(AND(INT('模拟-模拟计算'!B429)&lt;='模拟-模拟计算'!$C$2,'模拟-模拟计算'!B429&gt;0),'模拟-模拟计算'!P429," ")</f>
        <v>命</v>
      </c>
      <c r="G404" s="52">
        <f ca="1">IF(AND(INT('模拟-模拟计算'!B429)&lt;='模拟-模拟计算'!$C$2,'模拟-模拟计算'!B429&gt;0),'模拟-模拟计算'!V429," ")</f>
        <v>90597.625627626709</v>
      </c>
      <c r="H404" s="52">
        <f ca="1">IF(AND(INT('模拟-模拟计算'!B429)&lt;='模拟-模拟计算'!$C$2,'模拟-模拟计算'!B429&gt;0),'模拟-模拟计算'!Y429," ")</f>
        <v>120794.7600551768</v>
      </c>
      <c r="I404" s="105">
        <f ca="1">IF(AND(INT('模拟-模拟计算'!B429)&lt;='模拟-模拟计算'!$C$2,'模拟-模拟计算'!B429&gt;0),'模拟-模拟计算'!AA429," ")</f>
        <v>112718.56127187975</v>
      </c>
    </row>
    <row r="405" spans="1:9" x14ac:dyDescent="0.2">
      <c r="A405" s="20">
        <f>INT('模拟-模拟计算'!B430+0.5)</f>
        <v>372</v>
      </c>
      <c r="B405" s="52">
        <f>IF(AND(INT('模拟-模拟计算'!B430)&lt;='模拟-模拟计算'!$C$2,'模拟-模拟计算'!B430&gt;0),'模拟-模拟计算'!B430," ")</f>
        <v>371.76750000000351</v>
      </c>
      <c r="C405" s="51" t="str">
        <f ca="1">IF(AND(INT('模拟-模拟计算'!B430)&lt;='模拟-模拟计算'!$C$2,'模拟-模拟计算'!B430&gt;0),'模拟-模拟计算'!C430," ")</f>
        <v>赤日轮1</v>
      </c>
      <c r="D405" s="104">
        <f ca="1">IF(AND(INT('模拟-模拟计算'!B430)&lt;='模拟-模拟计算'!$C$2,'模拟-模拟计算'!B430&gt;0),'模拟-模拟计算'!E430," ")</f>
        <v>20</v>
      </c>
      <c r="E405" s="104">
        <f ca="1">IF(AND(INT('模拟-模拟计算'!B430)&lt;='模拟-模拟计算'!$C$2,'模拟-模拟计算'!B430&gt;0),'模拟-模拟计算'!F430," ")</f>
        <v>20</v>
      </c>
      <c r="F405" s="51" t="str">
        <f ca="1">IF(AND(INT('模拟-模拟计算'!B430)&lt;='模拟-模拟计算'!$C$2,'模拟-模拟计算'!B430&gt;0),'模拟-模拟计算'!P430," ")</f>
        <v>命</v>
      </c>
      <c r="G405" s="52">
        <f ca="1">IF(AND(INT('模拟-模拟计算'!B430)&lt;='模拟-模拟计算'!$C$2,'模拟-模拟计算'!B430&gt;0),'模拟-模拟计算'!V430," ")</f>
        <v>25194.44799269021</v>
      </c>
      <c r="H405" s="52">
        <f ca="1">IF(AND(INT('模拟-模拟计算'!B430)&lt;='模拟-模拟计算'!$C$2,'模拟-模拟计算'!B430&gt;0),'模拟-模拟计算'!Y430," ")</f>
        <v>34774.893174863639</v>
      </c>
      <c r="I405" s="105">
        <f ca="1">IF(AND(INT('模拟-模拟计算'!B430)&lt;='模拟-模拟计算'!$C$2,'模拟-模拟计算'!B430&gt;0),'模拟-模拟计算'!AA430," ")</f>
        <v>112532.40196640402</v>
      </c>
    </row>
    <row r="406" spans="1:9" x14ac:dyDescent="0.2">
      <c r="A406" s="20">
        <f>INT('模拟-模拟计算'!B431+0.5)</f>
        <v>373</v>
      </c>
      <c r="B406" s="52">
        <f>IF(AND(INT('模拟-模拟计算'!B431)&lt;='模拟-模拟计算'!$C$2,'模拟-模拟计算'!B431&gt;0),'模拟-模拟计算'!B431," ")</f>
        <v>372.69000000000352</v>
      </c>
      <c r="C406" s="51" t="str">
        <f ca="1">IF(AND(INT('模拟-模拟计算'!B431)&lt;='模拟-模拟计算'!$C$2,'模拟-模拟计算'!B431&gt;0),'模拟-模拟计算'!C431," ")</f>
        <v>银月斩</v>
      </c>
      <c r="D406" s="104">
        <f ca="1">IF(AND(INT('模拟-模拟计算'!B431)&lt;='模拟-模拟计算'!$C$2,'模拟-模拟计算'!B431&gt;0),'模拟-模拟计算'!E431," ")</f>
        <v>20</v>
      </c>
      <c r="E406" s="104">
        <f ca="1">IF(AND(INT('模拟-模拟计算'!B431)&lt;='模拟-模拟计算'!$C$2,'模拟-模拟计算'!B431&gt;0),'模拟-模拟计算'!F431," ")</f>
        <v>65</v>
      </c>
      <c r="F406" s="51" t="str">
        <f ca="1">IF(AND(INT('模拟-模拟计算'!B431)&lt;='模拟-模拟计算'!$C$2,'模拟-模拟计算'!B431&gt;0),'模拟-模拟计算'!P431," ")</f>
        <v>会</v>
      </c>
      <c r="G406" s="52">
        <f ca="1">IF(AND(INT('模拟-模拟计算'!B431)&lt;='模拟-模拟计算'!$C$2,'模拟-模拟计算'!B431&gt;0),'模拟-模拟计算'!V431," ")</f>
        <v>39481.310356797861</v>
      </c>
      <c r="H406" s="52">
        <f ca="1">IF(AND(INT('模拟-模拟计算'!B431)&lt;='模拟-模拟计算'!$C$2,'模拟-模拟计算'!B431&gt;0),'模拟-模拟计算'!Y431," ")</f>
        <v>49033.512814331596</v>
      </c>
      <c r="I406" s="105">
        <f ca="1">IF(AND(INT('模拟-模拟计算'!B431)&lt;='模拟-模拟计算'!$C$2,'模拟-模拟计算'!B431&gt;0),'模拟-模拟计算'!AA431," ")</f>
        <v>112385.42290069343</v>
      </c>
    </row>
    <row r="407" spans="1:9" x14ac:dyDescent="0.2">
      <c r="A407" s="20">
        <f>INT('模拟-模拟计算'!B432+0.5)</f>
        <v>374</v>
      </c>
      <c r="B407" s="52">
        <f>IF(AND(INT('模拟-模拟计算'!B432)&lt;='模拟-模拟计算'!$C$2,'模拟-模拟计算'!B432&gt;0),'模拟-模拟计算'!B432," ")</f>
        <v>373.61250000000354</v>
      </c>
      <c r="C407" s="51" t="str">
        <f ca="1">IF(AND(INT('模拟-模拟计算'!B432)&lt;='模拟-模拟计算'!$C$2,'模拟-模拟计算'!B432&gt;0),'模拟-模拟计算'!C432," ")</f>
        <v>驱夜断愁</v>
      </c>
      <c r="D407" s="104">
        <f ca="1">IF(AND(INT('模拟-模拟计算'!B432)&lt;='模拟-模拟计算'!$C$2,'模拟-模拟计算'!B432&gt;0),'模拟-模拟计算'!E432," ")</f>
        <v>40</v>
      </c>
      <c r="E407" s="104">
        <f ca="1">IF(AND(INT('模拟-模拟计算'!B432)&lt;='模拟-模拟计算'!$C$2,'模拟-模拟计算'!B432&gt;0),'模拟-模拟计算'!F432," ")</f>
        <v>85</v>
      </c>
      <c r="F407" s="51" t="str">
        <f ca="1">IF(AND(INT('模拟-模拟计算'!B432)&lt;='模拟-模拟计算'!$C$2,'模拟-模拟计算'!B432&gt;0),'模拟-模拟计算'!P432," ")</f>
        <v>会</v>
      </c>
      <c r="G407" s="52">
        <f ca="1">IF(AND(INT('模拟-模拟计算'!B432)&lt;='模拟-模拟计算'!$C$2,'模拟-模拟计算'!B432&gt;0),'模拟-模拟计算'!V432," ")</f>
        <v>127463.41908070058</v>
      </c>
      <c r="H407" s="52">
        <f ca="1">IF(AND(INT('模拟-模拟计算'!B432)&lt;='模拟-模拟计算'!$C$2,'模拟-模拟计算'!B432&gt;0),'模拟-模拟计算'!Y432," ")</f>
        <v>137405.37490642106</v>
      </c>
      <c r="I407" s="105">
        <f ca="1">IF(AND(INT('模拟-模拟计算'!B432)&lt;='模拟-模拟计算'!$C$2,'模拟-模拟计算'!B432&gt;0),'模拟-模拟计算'!AA432," ")</f>
        <v>112475.70313029102</v>
      </c>
    </row>
    <row r="408" spans="1:9" x14ac:dyDescent="0.2">
      <c r="A408" s="20">
        <f>INT('模拟-模拟计算'!B433+0.5)</f>
        <v>375</v>
      </c>
      <c r="B408" s="52">
        <f>IF(AND(INT('模拟-模拟计算'!B433)&lt;='模拟-模拟计算'!$C$2,'模拟-模拟计算'!B433&gt;0),'模拟-模拟计算'!B433," ")</f>
        <v>374.53500000000355</v>
      </c>
      <c r="C408" s="51" t="str">
        <f ca="1">IF(AND(INT('模拟-模拟计算'!B433)&lt;='模拟-模拟计算'!$C$2,'模拟-模拟计算'!B433&gt;0),'模拟-模拟计算'!C433," ")</f>
        <v>烈日斩</v>
      </c>
      <c r="D408" s="104">
        <f ca="1">IF(AND(INT('模拟-模拟计算'!B433)&lt;='模拟-模拟计算'!$C$2,'模拟-模拟计算'!B433&gt;0),'模拟-模拟计算'!E433," ")</f>
        <v>80</v>
      </c>
      <c r="E408" s="104">
        <f ca="1">IF(AND(INT('模拟-模拟计算'!B433)&lt;='模拟-模拟计算'!$C$2,'模拟-模拟计算'!B433&gt;0),'模拟-模拟计算'!F433," ")</f>
        <v>85</v>
      </c>
      <c r="F408" s="51" t="str">
        <f ca="1">IF(AND(INT('模拟-模拟计算'!B433)&lt;='模拟-模拟计算'!$C$2,'模拟-模拟计算'!B433&gt;0),'模拟-模拟计算'!P433," ")</f>
        <v>识</v>
      </c>
      <c r="G408" s="52">
        <f ca="1">IF(AND(INT('模拟-模拟计算'!B433)&lt;='模拟-模拟计算'!$C$2,'模拟-模拟计算'!B433&gt;0),'模拟-模拟计算'!V433," ")</f>
        <v>11697.442296152003</v>
      </c>
      <c r="H408" s="52">
        <f ca="1">IF(AND(INT('模拟-模拟计算'!B433)&lt;='模拟-模拟计算'!$C$2,'模拟-模拟计算'!B433&gt;0),'模拟-模拟计算'!Y433," ")</f>
        <v>36102.202117324327</v>
      </c>
      <c r="I408" s="105">
        <f ca="1">IF(AND(INT('模拟-模拟计算'!B433)&lt;='模拟-模拟计算'!$C$2,'模拟-模拟计算'!B433&gt;0),'模拟-模拟计算'!AA433," ")</f>
        <v>112295.06144387889</v>
      </c>
    </row>
    <row r="409" spans="1:9" x14ac:dyDescent="0.2">
      <c r="A409" s="20">
        <f>INT('模拟-模拟计算'!B434+0.5)</f>
        <v>375</v>
      </c>
      <c r="B409" s="52">
        <f>IF(AND(INT('模拟-模拟计算'!B434)&lt;='模拟-模拟计算'!$C$2,'模拟-模拟计算'!B434&gt;0),'模拟-模拟计算'!B434," ")</f>
        <v>375.45750000000356</v>
      </c>
      <c r="C409" s="51" t="str">
        <f ca="1">IF(AND(INT('模拟-模拟计算'!B434)&lt;='模拟-模拟计算'!$C$2,'模拟-模拟计算'!B434&gt;0),'模拟-模拟计算'!C434," ")</f>
        <v>幽月轮1</v>
      </c>
      <c r="D409" s="104">
        <f ca="1">IF(AND(INT('模拟-模拟计算'!B434)&lt;='模拟-模拟计算'!$C$2,'模拟-模拟计算'!B434&gt;0),'模拟-模拟计算'!E434," ")</f>
        <v>80</v>
      </c>
      <c r="E409" s="104">
        <f ca="1">IF(AND(INT('模拟-模拟计算'!B434)&lt;='模拟-模拟计算'!$C$2,'模拟-模拟计算'!B434&gt;0),'模拟-模拟计算'!F434," ")</f>
        <v>100</v>
      </c>
      <c r="F409" s="51" t="str">
        <f ca="1">IF(AND(INT('模拟-模拟计算'!B434)&lt;='模拟-模拟计算'!$C$2,'模拟-模拟计算'!B434&gt;0),'模拟-模拟计算'!P434," ")</f>
        <v>命</v>
      </c>
      <c r="G409" s="52">
        <f ca="1">IF(AND(INT('模拟-模拟计算'!B434)&lt;='模拟-模拟计算'!$C$2,'模拟-模拟计算'!B434&gt;0),'模拟-模拟计算'!V434," ")</f>
        <v>16226.218300318291</v>
      </c>
      <c r="H409" s="52">
        <f ca="1">IF(AND(INT('模拟-模拟计算'!B434)&lt;='模拟-模拟计算'!$C$2,'模拟-模拟计算'!B434&gt;0),'模拟-模拟计算'!Y434," ")</f>
        <v>24208.316482397608</v>
      </c>
      <c r="I409" s="105">
        <f ca="1">IF(AND(INT('模拟-模拟计算'!B434)&lt;='模拟-模拟计算'!$C$2,'模拟-模拟计算'!B434&gt;0),'模拟-模拟计算'!AA434," ")</f>
        <v>112083.62905086613</v>
      </c>
    </row>
    <row r="410" spans="1:9" x14ac:dyDescent="0.2">
      <c r="A410" s="20">
        <f>INT('模拟-模拟计算'!B435+0.5)</f>
        <v>376</v>
      </c>
      <c r="B410" s="52">
        <f>IF(AND(INT('模拟-模拟计算'!B435)&lt;='模拟-模拟计算'!$C$2,'模拟-模拟计算'!B435&gt;0),'模拟-模拟计算'!B435," ")</f>
        <v>376.38000000000358</v>
      </c>
      <c r="C410" s="51" t="str">
        <f ca="1">IF(AND(INT('模拟-模拟计算'!B435)&lt;='模拟-模拟计算'!$C$2,'模拟-模拟计算'!B435&gt;0),'模拟-模拟计算'!C435," ")</f>
        <v>净世破魔击·月</v>
      </c>
      <c r="D410" s="104">
        <f ca="1">IF(AND(INT('模拟-模拟计算'!B435)&lt;='模拟-模拟计算'!$C$2,'模拟-模拟计算'!B435&gt;0),'模拟-模拟计算'!E435," ")</f>
        <v>100</v>
      </c>
      <c r="E410" s="104">
        <f ca="1">IF(AND(INT('模拟-模拟计算'!B435)&lt;='模拟-模拟计算'!$C$2,'模拟-模拟计算'!B435&gt;0),'模拟-模拟计算'!F435," ")</f>
        <v>20</v>
      </c>
      <c r="F410" s="51" t="str">
        <f ca="1">IF(AND(INT('模拟-模拟计算'!B435)&lt;='模拟-模拟计算'!$C$2,'模拟-模拟计算'!B435&gt;0),'模拟-模拟计算'!P435," ")</f>
        <v>会</v>
      </c>
      <c r="G410" s="52">
        <f ca="1">IF(AND(INT('模拟-模拟计算'!B435)&lt;='模拟-模拟计算'!$C$2,'模拟-模拟计算'!B435&gt;0),'模拟-模拟计算'!V435," ")</f>
        <v>191466.05731174714</v>
      </c>
      <c r="H410" s="52">
        <f ca="1">IF(AND(INT('模拟-模拟计算'!B435)&lt;='模拟-模拟计算'!$C$2,'模拟-模拟计算'!B435&gt;0),'模拟-模拟计算'!Y435," ")</f>
        <v>224235.37036394721</v>
      </c>
      <c r="I410" s="105">
        <f ca="1">IF(AND(INT('模拟-模拟计算'!B435)&lt;='模拟-模拟计算'!$C$2,'模拟-模拟计算'!B435&gt;0),'模拟-模拟计算'!AA435," ")</f>
        <v>112404.68283311951</v>
      </c>
    </row>
    <row r="411" spans="1:9" x14ac:dyDescent="0.2">
      <c r="A411" s="20">
        <f>INT('模拟-模拟计算'!B436+0.5)</f>
        <v>377</v>
      </c>
      <c r="B411" s="52">
        <f>IF(AND(INT('模拟-模拟计算'!B436)&lt;='模拟-模拟计算'!$C$2,'模拟-模拟计算'!B436&gt;0),'模拟-模拟计算'!B436," ")</f>
        <v>377.30250000000359</v>
      </c>
      <c r="C411" s="51" t="str">
        <f ca="1">IF(AND(INT('模拟-模拟计算'!B436)&lt;='模拟-模拟计算'!$C$2,'模拟-模拟计算'!B436&gt;0),'模拟-模拟计算'!C436," ")</f>
        <v>净世破魔击·日</v>
      </c>
      <c r="D411" s="104">
        <f ca="1">IF(AND(INT('模拟-模拟计算'!B436)&lt;='模拟-模拟计算'!$C$2,'模拟-模拟计算'!B436&gt;0),'模拟-模拟计算'!E436," ")</f>
        <v>0</v>
      </c>
      <c r="E411" s="104">
        <f ca="1">IF(AND(INT('模拟-模拟计算'!B436)&lt;='模拟-模拟计算'!$C$2,'模拟-模拟计算'!B436&gt;0),'模拟-模拟计算'!F436," ")</f>
        <v>20</v>
      </c>
      <c r="F411" s="51" t="str">
        <f ca="1">IF(AND(INT('模拟-模拟计算'!B436)&lt;='模拟-模拟计算'!$C$2,'模拟-模拟计算'!B436&gt;0),'模拟-模拟计算'!P436," ")</f>
        <v>命</v>
      </c>
      <c r="G411" s="52">
        <f ca="1">IF(AND(INT('模拟-模拟计算'!B436)&lt;='模拟-模拟计算'!$C$2,'模拟-模拟计算'!B436&gt;0),'模拟-模拟计算'!V436," ")</f>
        <v>103552.02198357004</v>
      </c>
      <c r="H411" s="52">
        <f ca="1">IF(AND(INT('模拟-模拟计算'!B436)&lt;='模拟-模拟计算'!$C$2,'模拟-模拟计算'!B436&gt;0),'模拟-模拟计算'!Y436," ")</f>
        <v>118029.04966854145</v>
      </c>
      <c r="I411" s="105">
        <f ca="1">IF(AND(INT('模拟-模拟计算'!B436)&lt;='模拟-模拟计算'!$C$2,'模拟-模拟计算'!B436&gt;0),'模拟-模拟计算'!AA436," ")</f>
        <v>112442.67815452605</v>
      </c>
    </row>
    <row r="412" spans="1:9" x14ac:dyDescent="0.2">
      <c r="A412" s="20">
        <f>INT('模拟-模拟计算'!B437+0.5)</f>
        <v>378</v>
      </c>
      <c r="B412" s="52">
        <f>IF(AND(INT('模拟-模拟计算'!B437)&lt;='模拟-模拟计算'!$C$2,'模拟-模拟计算'!B437&gt;0),'模拟-模拟计算'!B437," ")</f>
        <v>378.2250000000036</v>
      </c>
      <c r="C412" s="51" t="str">
        <f ca="1">IF(AND(INT('模拟-模拟计算'!B437)&lt;='模拟-模拟计算'!$C$2,'模拟-模拟计算'!B437&gt;0),'模拟-模拟计算'!C437," ")</f>
        <v>赤日轮1</v>
      </c>
      <c r="D412" s="104">
        <f ca="1">IF(AND(INT('模拟-模拟计算'!B437)&lt;='模拟-模拟计算'!$C$2,'模拟-模拟计算'!B437&gt;0),'模拟-模拟计算'!E437," ")</f>
        <v>20</v>
      </c>
      <c r="E412" s="104">
        <f ca="1">IF(AND(INT('模拟-模拟计算'!B437)&lt;='模拟-模拟计算'!$C$2,'模拟-模拟计算'!B437&gt;0),'模拟-模拟计算'!F437," ")</f>
        <v>20</v>
      </c>
      <c r="F412" s="51" t="str">
        <f ca="1">IF(AND(INT('模拟-模拟计算'!B437)&lt;='模拟-模拟计算'!$C$2,'模拟-模拟计算'!B437&gt;0),'模拟-模拟计算'!P437," ")</f>
        <v>会</v>
      </c>
      <c r="G412" s="52">
        <f ca="1">IF(AND(INT('模拟-模拟计算'!B437)&lt;='模拟-模拟计算'!$C$2,'模拟-模拟计算'!B437&gt;0),'模拟-模拟计算'!V437," ")</f>
        <v>62261.439195113235</v>
      </c>
      <c r="H412" s="52">
        <f ca="1">IF(AND(INT('模拟-模拟计算'!B437)&lt;='模拟-模拟计算'!$C$2,'模拟-模拟计算'!B437&gt;0),'模拟-模拟计算'!Y437," ")</f>
        <v>137105.41857609901</v>
      </c>
      <c r="I412" s="105">
        <f ca="1">IF(AND(INT('模拟-模拟计算'!B437)&lt;='模拟-模拟计算'!$C$2,'模拟-模拟计算'!B437&gt;0),'模拟-模拟计算'!AA437," ")</f>
        <v>112530.92469554937</v>
      </c>
    </row>
    <row r="413" spans="1:9" x14ac:dyDescent="0.2">
      <c r="A413" s="20">
        <f>INT('模拟-模拟计算'!B438+0.5)</f>
        <v>379</v>
      </c>
      <c r="B413" s="52">
        <f>IF(AND(INT('模拟-模拟计算'!B438)&lt;='模拟-模拟计算'!$C$2,'模拟-模拟计算'!B438&gt;0),'模拟-模拟计算'!B438," ")</f>
        <v>379.14750000000362</v>
      </c>
      <c r="C413" s="51" t="str">
        <f ca="1">IF(AND(INT('模拟-模拟计算'!B438)&lt;='模拟-模拟计算'!$C$2,'模拟-模拟计算'!B438&gt;0),'模拟-模拟计算'!C438," ")</f>
        <v>银月斩</v>
      </c>
      <c r="D413" s="104">
        <f ca="1">IF(AND(INT('模拟-模拟计算'!B438)&lt;='模拟-模拟计算'!$C$2,'模拟-模拟计算'!B438&gt;0),'模拟-模拟计算'!E438," ")</f>
        <v>20</v>
      </c>
      <c r="E413" s="104">
        <f ca="1">IF(AND(INT('模拟-模拟计算'!B438)&lt;='模拟-模拟计算'!$C$2,'模拟-模拟计算'!B438&gt;0),'模拟-模拟计算'!F438," ")</f>
        <v>65</v>
      </c>
      <c r="F413" s="51" t="str">
        <f ca="1">IF(AND(INT('模拟-模拟计算'!B438)&lt;='模拟-模拟计算'!$C$2,'模拟-模拟计算'!B438&gt;0),'模拟-模拟计算'!P438," ")</f>
        <v>会</v>
      </c>
      <c r="G413" s="52">
        <f ca="1">IF(AND(INT('模拟-模拟计算'!B438)&lt;='模拟-模拟计算'!$C$2,'模拟-模拟计算'!B438&gt;0),'模拟-模拟计算'!V438," ")</f>
        <v>45123.329593076625</v>
      </c>
      <c r="H413" s="52">
        <f ca="1">IF(AND(INT('模拟-模拟计算'!B438)&lt;='模拟-模拟计算'!$C$2,'模拟-模拟计算'!B438&gt;0),'模拟-模拟计算'!Y438," ")</f>
        <v>49331.883857241359</v>
      </c>
      <c r="I413" s="105">
        <f ca="1">IF(AND(INT('模拟-模拟计算'!B438)&lt;='模拟-模拟计算'!$C$2,'模拟-模拟计算'!B438&gt;0),'模拟-模拟计算'!AA438," ")</f>
        <v>112387.23946968238</v>
      </c>
    </row>
    <row r="414" spans="1:9" x14ac:dyDescent="0.2">
      <c r="A414" s="20">
        <f>INT('模拟-模拟计算'!B439+0.5)</f>
        <v>380</v>
      </c>
      <c r="B414" s="52">
        <f>IF(AND(INT('模拟-模拟计算'!B439)&lt;='模拟-模拟计算'!$C$2,'模拟-模拟计算'!B439&gt;0),'模拟-模拟计算'!B439," ")</f>
        <v>380.07000000000363</v>
      </c>
      <c r="C414" s="51" t="str">
        <f ca="1">IF(AND(INT('模拟-模拟计算'!B439)&lt;='模拟-模拟计算'!$C$2,'模拟-模拟计算'!B439&gt;0),'模拟-模拟计算'!C439," ")</f>
        <v>驱夜断愁</v>
      </c>
      <c r="D414" s="104">
        <f ca="1">IF(AND(INT('模拟-模拟计算'!B439)&lt;='模拟-模拟计算'!$C$2,'模拟-模拟计算'!B439&gt;0),'模拟-模拟计算'!E439," ")</f>
        <v>40</v>
      </c>
      <c r="E414" s="104">
        <f ca="1">IF(AND(INT('模拟-模拟计算'!B439)&lt;='模拟-模拟计算'!$C$2,'模拟-模拟计算'!B439&gt;0),'模拟-模拟计算'!F439," ")</f>
        <v>85</v>
      </c>
      <c r="F414" s="51" t="str">
        <f ca="1">IF(AND(INT('模拟-模拟计算'!B439)&lt;='模拟-模拟计算'!$C$2,'模拟-模拟计算'!B439&gt;0),'模拟-模拟计算'!P439," ")</f>
        <v>会</v>
      </c>
      <c r="G414" s="52">
        <f ca="1">IF(AND(INT('模拟-模拟计算'!B439)&lt;='模拟-模拟计算'!$C$2,'模拟-模拟计算'!B439&gt;0),'模拟-模拟计算'!V439," ")</f>
        <v>146988.79698588976</v>
      </c>
      <c r="H414" s="52">
        <f ca="1">IF(AND(INT('模拟-模拟计算'!B439)&lt;='模拟-模拟计算'!$C$2,'模拟-模拟计算'!B439&gt;0),'模拟-模拟计算'!Y439," ")</f>
        <v>160421.47761118587</v>
      </c>
      <c r="I414" s="105">
        <f ca="1">IF(AND(INT('模拟-模拟计算'!B439)&lt;='模拟-模拟计算'!$C$2,'模拟-模拟计算'!B439&gt;0),'模拟-模拟计算'!AA439," ")</f>
        <v>112536.53893872861</v>
      </c>
    </row>
    <row r="415" spans="1:9" x14ac:dyDescent="0.2">
      <c r="A415" s="20">
        <f>INT('模拟-模拟计算'!B440+0.5)</f>
        <v>381</v>
      </c>
      <c r="B415" s="52">
        <f>IF(AND(INT('模拟-模拟计算'!B440)&lt;='模拟-模拟计算'!$C$2,'模拟-模拟计算'!B440&gt;0),'模拟-模拟计算'!B440," ")</f>
        <v>380.99250000000364</v>
      </c>
      <c r="C415" s="51" t="str">
        <f ca="1">IF(AND(INT('模拟-模拟计算'!B440)&lt;='模拟-模拟计算'!$C$2,'模拟-模拟计算'!B440&gt;0),'模拟-模拟计算'!C440," ")</f>
        <v>烈日斩</v>
      </c>
      <c r="D415" s="104">
        <f ca="1">IF(AND(INT('模拟-模拟计算'!B440)&lt;='模拟-模拟计算'!$C$2,'模拟-模拟计算'!B440&gt;0),'模拟-模拟计算'!E440," ")</f>
        <v>80</v>
      </c>
      <c r="E415" s="104">
        <f ca="1">IF(AND(INT('模拟-模拟计算'!B440)&lt;='模拟-模拟计算'!$C$2,'模拟-模拟计算'!B440&gt;0),'模拟-模拟计算'!F440," ")</f>
        <v>85</v>
      </c>
      <c r="F415" s="51" t="str">
        <f ca="1">IF(AND(INT('模拟-模拟计算'!B440)&lt;='模拟-模拟计算'!$C$2,'模拟-模拟计算'!B440&gt;0),'模拟-模拟计算'!P440," ")</f>
        <v>命</v>
      </c>
      <c r="G415" s="52">
        <f ca="1">IF(AND(INT('模拟-模拟计算'!B440)&lt;='模拟-模拟计算'!$C$2,'模拟-模拟计算'!B440&gt;0),'模拟-模拟计算'!V440," ")</f>
        <v>53908.723774742022</v>
      </c>
      <c r="H415" s="52">
        <f ca="1">IF(AND(INT('模拟-模拟计算'!B440)&lt;='模拟-模拟计算'!$C$2,'模拟-模拟计算'!B440&gt;0),'模拟-模拟计算'!Y440," ")</f>
        <v>58924.159476742687</v>
      </c>
      <c r="I415" s="105">
        <f ca="1">IF(AND(INT('模拟-模拟计算'!B440)&lt;='模拟-模拟计算'!$C$2,'模拟-模拟计算'!B440&gt;0),'模拟-模拟计算'!AA440," ")</f>
        <v>112418.71300332506</v>
      </c>
    </row>
    <row r="416" spans="1:9" x14ac:dyDescent="0.2">
      <c r="A416" s="20">
        <f>INT('模拟-模拟计算'!B441+0.5)</f>
        <v>382</v>
      </c>
      <c r="B416" s="52">
        <f>IF(AND(INT('模拟-模拟计算'!B441)&lt;='模拟-模拟计算'!$C$2,'模拟-模拟计算'!B441&gt;0),'模拟-模拟计算'!B441," ")</f>
        <v>381.91500000000366</v>
      </c>
      <c r="C416" s="51" t="str">
        <f ca="1">IF(AND(INT('模拟-模拟计算'!B441)&lt;='模拟-模拟计算'!$C$2,'模拟-模拟计算'!B441&gt;0),'模拟-模拟计算'!C441," ")</f>
        <v>幽月轮1</v>
      </c>
      <c r="D416" s="104">
        <f ca="1">IF(AND(INT('模拟-模拟计算'!B441)&lt;='模拟-模拟计算'!$C$2,'模拟-模拟计算'!B441&gt;0),'模拟-模拟计算'!E441," ")</f>
        <v>80</v>
      </c>
      <c r="E416" s="104">
        <f ca="1">IF(AND(INT('模拟-模拟计算'!B441)&lt;='模拟-模拟计算'!$C$2,'模拟-模拟计算'!B441&gt;0),'模拟-模拟计算'!F441," ")</f>
        <v>100</v>
      </c>
      <c r="F416" s="51" t="str">
        <f ca="1">IF(AND(INT('模拟-模拟计算'!B441)&lt;='模拟-模拟计算'!$C$2,'模拟-模拟计算'!B441&gt;0),'模拟-模拟计算'!P441," ")</f>
        <v>会</v>
      </c>
      <c r="G416" s="52">
        <f ca="1">IF(AND(INT('模拟-模拟计算'!B441)&lt;='模拟-模拟计算'!$C$2,'模拟-模拟计算'!B441&gt;0),'模拟-模拟计算'!V441," ")</f>
        <v>40482.355747279864</v>
      </c>
      <c r="H416" s="52">
        <f ca="1">IF(AND(INT('模拟-模拟计算'!B441)&lt;='模拟-模拟计算'!$C$2,'模拟-模拟计算'!B441&gt;0),'模拟-模拟计算'!Y441," ")</f>
        <v>51349.968930754883</v>
      </c>
      <c r="I416" s="105">
        <f ca="1">IF(AND(INT('模拟-模拟计算'!B441)&lt;='模拟-模拟计算'!$C$2,'模拟-模拟计算'!B441&gt;0),'模拟-模拟计算'!AA441," ")</f>
        <v>112281.62413848653</v>
      </c>
    </row>
    <row r="417" spans="1:9" x14ac:dyDescent="0.2">
      <c r="A417" s="20">
        <f>INT('模拟-模拟计算'!B442+0.5)</f>
        <v>383</v>
      </c>
      <c r="B417" s="52">
        <f>IF(AND(INT('模拟-模拟计算'!B442)&lt;='模拟-模拟计算'!$C$2,'模拟-模拟计算'!B442&gt;0),'模拟-模拟计算'!B442," ")</f>
        <v>382.83750000000367</v>
      </c>
      <c r="C417" s="51" t="str">
        <f ca="1">IF(AND(INT('模拟-模拟计算'!B442)&lt;='模拟-模拟计算'!$C$2,'模拟-模拟计算'!B442&gt;0),'模拟-模拟计算'!C442," ")</f>
        <v>净世破魔击·月</v>
      </c>
      <c r="D417" s="104">
        <f ca="1">IF(AND(INT('模拟-模拟计算'!B442)&lt;='模拟-模拟计算'!$C$2,'模拟-模拟计算'!B442&gt;0),'模拟-模拟计算'!E442," ")</f>
        <v>100</v>
      </c>
      <c r="E417" s="104">
        <f ca="1">IF(AND(INT('模拟-模拟计算'!B442)&lt;='模拟-模拟计算'!$C$2,'模拟-模拟计算'!B442&gt;0),'模拟-模拟计算'!F442," ")</f>
        <v>20</v>
      </c>
      <c r="F417" s="51" t="str">
        <f ca="1">IF(AND(INT('模拟-模拟计算'!B442)&lt;='模拟-模拟计算'!$C$2,'模拟-模拟计算'!B442&gt;0),'模拟-模拟计算'!P442," ")</f>
        <v>会</v>
      </c>
      <c r="G417" s="52">
        <f ca="1">IF(AND(INT('模拟-模拟计算'!B442)&lt;='模拟-模拟计算'!$C$2,'模拟-模拟计算'!B442&gt;0),'模拟-模拟计算'!V442," ")</f>
        <v>234288.76254297764</v>
      </c>
      <c r="H417" s="52">
        <f ca="1">IF(AND(INT('模拟-模拟计算'!B442)&lt;='模拟-模拟计算'!$C$2,'模拟-模拟计算'!B442&gt;0),'模拟-模拟计算'!Y442," ")</f>
        <v>264017.90381712106</v>
      </c>
      <c r="I417" s="105">
        <f ca="1">IF(AND(INT('模拟-模拟计算'!B442)&lt;='模拟-模拟计算'!$C$2,'模拟-模拟计算'!B442&gt;0),'模拟-模拟计算'!AA442," ")</f>
        <v>112700.70039290091</v>
      </c>
    </row>
    <row r="418" spans="1:9" x14ac:dyDescent="0.2">
      <c r="A418" s="20">
        <f>INT('模拟-模拟计算'!B443+0.5)</f>
        <v>384</v>
      </c>
      <c r="B418" s="52">
        <f>IF(AND(INT('模拟-模拟计算'!B443)&lt;='模拟-模拟计算'!$C$2,'模拟-模拟计算'!B443&gt;0),'模拟-模拟计算'!B443," ")</f>
        <v>383.76000000000369</v>
      </c>
      <c r="C418" s="51" t="str">
        <f ca="1">IF(AND(INT('模拟-模拟计算'!B443)&lt;='模拟-模拟计算'!$C$2,'模拟-模拟计算'!B443&gt;0),'模拟-模拟计算'!C443," ")</f>
        <v>净世破魔击·日</v>
      </c>
      <c r="D418" s="104">
        <f ca="1">IF(AND(INT('模拟-模拟计算'!B443)&lt;='模拟-模拟计算'!$C$2,'模拟-模拟计算'!B443&gt;0),'模拟-模拟计算'!E443," ")</f>
        <v>0</v>
      </c>
      <c r="E418" s="104">
        <f ca="1">IF(AND(INT('模拟-模拟计算'!B443)&lt;='模拟-模拟计算'!$C$2,'模拟-模拟计算'!B443&gt;0),'模拟-模拟计算'!F443," ")</f>
        <v>100</v>
      </c>
      <c r="F418" s="51" t="str">
        <f ca="1">IF(AND(INT('模拟-模拟计算'!B443)&lt;='模拟-模拟计算'!$C$2,'模拟-模拟计算'!B443&gt;0),'模拟-模拟计算'!P443," ")</f>
        <v>会</v>
      </c>
      <c r="G418" s="52">
        <f ca="1">IF(AND(INT('模拟-模拟计算'!B443)&lt;='模拟-模拟计算'!$C$2,'模拟-模拟计算'!B443&gt;0),'模拟-模拟计算'!V443," ")</f>
        <v>251454.84154764985</v>
      </c>
      <c r="H418" s="52">
        <f ca="1">IF(AND(INT('模拟-模拟计算'!B443)&lt;='模拟-模拟计算'!$C$2,'模拟-模拟计算'!B443&gt;0),'模拟-模拟计算'!Y443," ")</f>
        <v>287797.13421951066</v>
      </c>
      <c r="I418" s="105">
        <f ca="1">IF(AND(INT('模拟-模拟计算'!B443)&lt;='模拟-模拟计算'!$C$2,'模拟-模拟计算'!B443&gt;0),'模拟-模拟计算'!AA443," ")</f>
        <v>113179.7256641826</v>
      </c>
    </row>
    <row r="419" spans="1:9" x14ac:dyDescent="0.2">
      <c r="A419" s="20">
        <f>INT('模拟-模拟计算'!B444+0.5)</f>
        <v>385</v>
      </c>
      <c r="B419" s="52">
        <f>IF(AND(INT('模拟-模拟计算'!B444)&lt;='模拟-模拟计算'!$C$2,'模拟-模拟计算'!B444&gt;0),'模拟-模拟计算'!B444," ")</f>
        <v>384.6825000000037</v>
      </c>
      <c r="C419" s="51" t="str">
        <f ca="1">IF(AND(INT('模拟-模拟计算'!B444)&lt;='模拟-模拟计算'!$C$2,'模拟-模拟计算'!B444&gt;0),'模拟-模拟计算'!C444," ")</f>
        <v>净世破魔击·月</v>
      </c>
      <c r="D419" s="104">
        <f ca="1">IF(AND(INT('模拟-模拟计算'!B444)&lt;='模拟-模拟计算'!$C$2,'模拟-模拟计算'!B444&gt;0),'模拟-模拟计算'!E444," ")</f>
        <v>20</v>
      </c>
      <c r="E419" s="104">
        <f ca="1">IF(AND(INT('模拟-模拟计算'!B444)&lt;='模拟-模拟计算'!$C$2,'模拟-模拟计算'!B444&gt;0),'模拟-模拟计算'!F444," ")</f>
        <v>20</v>
      </c>
      <c r="F419" s="51" t="str">
        <f ca="1">IF(AND(INT('模拟-模拟计算'!B444)&lt;='模拟-模拟计算'!$C$2,'模拟-模拟计算'!B444&gt;0),'模拟-模拟计算'!P444," ")</f>
        <v>会</v>
      </c>
      <c r="G419" s="52">
        <f ca="1">IF(AND(INT('模拟-模拟计算'!B444)&lt;='模拟-模拟计算'!$C$2,'模拟-模拟计算'!B444&gt;0),'模拟-模拟计算'!V444," ")</f>
        <v>134355.16714549903</v>
      </c>
      <c r="H419" s="52">
        <f ca="1">IF(AND(INT('模拟-模拟计算'!B444)&lt;='模拟-模拟计算'!$C$2,'模拟-模拟计算'!B444&gt;0),'模拟-模拟计算'!Y444," ")</f>
        <v>158208.80768294571</v>
      </c>
      <c r="I419" s="105">
        <f ca="1">IF(AND(INT('模拟-模拟计算'!B444)&lt;='模拟-模拟计算'!$C$2,'模拟-模拟计算'!B444&gt;0),'模拟-模拟计算'!AA444," ")</f>
        <v>113319.58258711966</v>
      </c>
    </row>
    <row r="420" spans="1:9" x14ac:dyDescent="0.2">
      <c r="A420" s="20">
        <f>INT('模拟-模拟计算'!B445+0.5)</f>
        <v>386</v>
      </c>
      <c r="B420" s="52">
        <f>IF(AND(INT('模拟-模拟计算'!B445)&lt;='模拟-模拟计算'!$C$2,'模拟-模拟计算'!B445&gt;0),'模拟-模拟计算'!B445," ")</f>
        <v>385.60500000000371</v>
      </c>
      <c r="C420" s="51" t="str">
        <f ca="1">IF(AND(INT('模拟-模拟计算'!B445)&lt;='模拟-模拟计算'!$C$2,'模拟-模拟计算'!B445&gt;0),'模拟-模拟计算'!C445," ")</f>
        <v>银月斩</v>
      </c>
      <c r="D420" s="104">
        <f ca="1">IF(AND(INT('模拟-模拟计算'!B445)&lt;='模拟-模拟计算'!$C$2,'模拟-模拟计算'!B445&gt;0),'模拟-模拟计算'!E445," ")</f>
        <v>20</v>
      </c>
      <c r="E420" s="104">
        <f ca="1">IF(AND(INT('模拟-模拟计算'!B445)&lt;='模拟-模拟计算'!$C$2,'模拟-模拟计算'!B445&gt;0),'模拟-模拟计算'!F445," ")</f>
        <v>65</v>
      </c>
      <c r="F420" s="51" t="str">
        <f ca="1">IF(AND(INT('模拟-模拟计算'!B445)&lt;='模拟-模拟计算'!$C$2,'模拟-模拟计算'!B445&gt;0),'模拟-模拟计算'!P445," ")</f>
        <v>会</v>
      </c>
      <c r="G420" s="52">
        <f ca="1">IF(AND(INT('模拟-模拟计算'!B445)&lt;='模拟-模拟计算'!$C$2,'模拟-模拟计算'!B445&gt;0),'模拟-模拟计算'!V445," ")</f>
        <v>55062.200309686144</v>
      </c>
      <c r="H420" s="52">
        <f ca="1">IF(AND(INT('模拟-模拟计算'!B445)&lt;='模拟-模拟计算'!$C$2,'模拟-模拟计算'!B445&gt;0),'模拟-模拟计算'!Y445," ")</f>
        <v>81749.034303524648</v>
      </c>
      <c r="I420" s="105">
        <f ca="1">IF(AND(INT('模拟-模拟计算'!B445)&lt;='模拟-模拟计算'!$C$2,'模拟-模拟计算'!B445&gt;0),'模拟-模拟计算'!AA445," ")</f>
        <v>113260.48511526868</v>
      </c>
    </row>
    <row r="421" spans="1:9" x14ac:dyDescent="0.2">
      <c r="A421" s="20">
        <f>INT('模拟-模拟计算'!B446+0.5)</f>
        <v>387</v>
      </c>
      <c r="B421" s="52">
        <f>IF(AND(INT('模拟-模拟计算'!B446)&lt;='模拟-模拟计算'!$C$2,'模拟-模拟计算'!B446&gt;0),'模拟-模拟计算'!B446," ")</f>
        <v>386.52750000000373</v>
      </c>
      <c r="C421" s="51" t="str">
        <f ca="1">IF(AND(INT('模拟-模拟计算'!B446)&lt;='模拟-模拟计算'!$C$2,'模拟-模拟计算'!B446&gt;0),'模拟-模拟计算'!C446," ")</f>
        <v>驱夜断愁</v>
      </c>
      <c r="D421" s="104">
        <f ca="1">IF(AND(INT('模拟-模拟计算'!B446)&lt;='模拟-模拟计算'!$C$2,'模拟-模拟计算'!B446&gt;0),'模拟-模拟计算'!E446," ")</f>
        <v>40</v>
      </c>
      <c r="E421" s="104">
        <f ca="1">IF(AND(INT('模拟-模拟计算'!B446)&lt;='模拟-模拟计算'!$C$2,'模拟-模拟计算'!B446&gt;0),'模拟-模拟计算'!F446," ")</f>
        <v>85</v>
      </c>
      <c r="F421" s="51" t="str">
        <f ca="1">IF(AND(INT('模拟-模拟计算'!B446)&lt;='模拟-模拟计算'!$C$2,'模拟-模拟计算'!B446&gt;0),'模拟-模拟计算'!P446," ")</f>
        <v>会</v>
      </c>
      <c r="G421" s="52">
        <f ca="1">IF(AND(INT('模拟-模拟计算'!B446)&lt;='模拟-模拟计算'!$C$2,'模拟-模拟计算'!B446&gt;0),'模拟-模拟计算'!V446," ")</f>
        <v>146988.79698588976</v>
      </c>
      <c r="H421" s="52">
        <f ca="1">IF(AND(INT('模拟-模拟计算'!B446)&lt;='模拟-模拟计算'!$C$2,'模拟-模拟计算'!B446&gt;0),'模拟-模拟计算'!Y446," ")</f>
        <v>176892.41430851608</v>
      </c>
      <c r="I421" s="105">
        <f ca="1">IF(AND(INT('模拟-模拟计算'!B446)&lt;='模拟-模拟计算'!$C$2,'模拟-模拟计算'!B446&gt;0),'模拟-模拟计算'!AA446," ")</f>
        <v>113447.8187895601</v>
      </c>
    </row>
    <row r="422" spans="1:9" x14ac:dyDescent="0.2">
      <c r="A422" s="20">
        <f>INT('模拟-模拟计算'!B447+0.5)</f>
        <v>387</v>
      </c>
      <c r="B422" s="52">
        <f>IF(AND(INT('模拟-模拟计算'!B447)&lt;='模拟-模拟计算'!$C$2,'模拟-模拟计算'!B447&gt;0),'模拟-模拟计算'!B447," ")</f>
        <v>387.45000000000374</v>
      </c>
      <c r="C422" s="51" t="str">
        <f ca="1">IF(AND(INT('模拟-模拟计算'!B447)&lt;='模拟-模拟计算'!$C$2,'模拟-模拟计算'!B447&gt;0),'模拟-模拟计算'!C447," ")</f>
        <v>烈日斩</v>
      </c>
      <c r="D422" s="104">
        <f ca="1">IF(AND(INT('模拟-模拟计算'!B447)&lt;='模拟-模拟计算'!$C$2,'模拟-模拟计算'!B447&gt;0),'模拟-模拟计算'!E447," ")</f>
        <v>80</v>
      </c>
      <c r="E422" s="104">
        <f ca="1">IF(AND(INT('模拟-模拟计算'!B447)&lt;='模拟-模拟计算'!$C$2,'模拟-模拟计算'!B447&gt;0),'模拟-模拟计算'!F447," ")</f>
        <v>85</v>
      </c>
      <c r="F422" s="51" t="str">
        <f ca="1">IF(AND(INT('模拟-模拟计算'!B447)&lt;='模拟-模拟计算'!$C$2,'模拟-模拟计算'!B447&gt;0),'模拟-模拟计算'!P447," ")</f>
        <v>命</v>
      </c>
      <c r="G422" s="52">
        <f ca="1">IF(AND(INT('模拟-模拟计算'!B447)&lt;='模拟-模拟计算'!$C$2,'模拟-模拟计算'!B447&gt;0),'模拟-模拟计算'!V447," ")</f>
        <v>53477.453984544081</v>
      </c>
      <c r="H422" s="52">
        <f ca="1">IF(AND(INT('模拟-模拟计算'!B447)&lt;='模拟-模拟计算'!$C$2,'模拟-模拟计算'!B447&gt;0),'模拟-模拟计算'!Y447," ")</f>
        <v>66012.620903852163</v>
      </c>
      <c r="I422" s="105">
        <f ca="1">IF(AND(INT('模拟-模拟计算'!B447)&lt;='模拟-模拟计算'!$C$2,'模拟-模拟计算'!B447&gt;0),'模拟-模拟计算'!AA447," ")</f>
        <v>113348.0820701653</v>
      </c>
    </row>
    <row r="423" spans="1:9" x14ac:dyDescent="0.2">
      <c r="A423" s="20">
        <f>INT('模拟-模拟计算'!B448+0.5)</f>
        <v>388</v>
      </c>
      <c r="B423" s="52">
        <f>IF(AND(INT('模拟-模拟计算'!B448)&lt;='模拟-模拟计算'!$C$2,'模拟-模拟计算'!B448&gt;0),'模拟-模拟计算'!B448," ")</f>
        <v>388.37250000000375</v>
      </c>
      <c r="C423" s="51" t="str">
        <f ca="1">IF(AND(INT('模拟-模拟计算'!B448)&lt;='模拟-模拟计算'!$C$2,'模拟-模拟计算'!B448&gt;0),'模拟-模拟计算'!C448," ")</f>
        <v>幽月轮1</v>
      </c>
      <c r="D423" s="104">
        <f ca="1">IF(AND(INT('模拟-模拟计算'!B448)&lt;='模拟-模拟计算'!$C$2,'模拟-模拟计算'!B448&gt;0),'模拟-模拟计算'!E448," ")</f>
        <v>80</v>
      </c>
      <c r="E423" s="104">
        <f ca="1">IF(AND(INT('模拟-模拟计算'!B448)&lt;='模拟-模拟计算'!$C$2,'模拟-模拟计算'!B448&gt;0),'模拟-模拟计算'!F448," ")</f>
        <v>100</v>
      </c>
      <c r="F423" s="51" t="str">
        <f ca="1">IF(AND(INT('模拟-模拟计算'!B448)&lt;='模拟-模拟计算'!$C$2,'模拟-模拟计算'!B448&gt;0),'模拟-模拟计算'!P448," ")</f>
        <v>会</v>
      </c>
      <c r="G423" s="52">
        <f ca="1">IF(AND(INT('模拟-模拟计算'!B448)&lt;='模拟-模拟计算'!$C$2,'模拟-模拟计算'!B448&gt;0),'模拟-模拟计算'!V448," ")</f>
        <v>40107.51911999024</v>
      </c>
      <c r="H423" s="52">
        <f ca="1">IF(AND(INT('模拟-模拟计算'!B448)&lt;='模拟-模拟计算'!$C$2,'模拟-模拟计算'!B448&gt;0),'模拟-模拟计算'!Y448," ")</f>
        <v>49172.900114956297</v>
      </c>
      <c r="I423" s="105">
        <f ca="1">IF(AND(INT('模拟-模拟计算'!B448)&lt;='模拟-模拟计算'!$C$2,'模拟-模拟计算'!B448&gt;0),'模拟-模拟计算'!AA448," ")</f>
        <v>113205.45944473539</v>
      </c>
    </row>
    <row r="424" spans="1:9" x14ac:dyDescent="0.2">
      <c r="A424" s="20">
        <f>INT('模拟-模拟计算'!B449+0.5)</f>
        <v>389</v>
      </c>
      <c r="B424" s="52">
        <f>IF(AND(INT('模拟-模拟计算'!B449)&lt;='模拟-模拟计算'!$C$2,'模拟-模拟计算'!B449&gt;0),'模拟-模拟计算'!B449," ")</f>
        <v>389.29500000000377</v>
      </c>
      <c r="C424" s="51" t="str">
        <f ca="1">IF(AND(INT('模拟-模拟计算'!B449)&lt;='模拟-模拟计算'!$C$2,'模拟-模拟计算'!B449&gt;0),'模拟-模拟计算'!C449," ")</f>
        <v>净世破魔击·月</v>
      </c>
      <c r="D424" s="104">
        <f ca="1">IF(AND(INT('模拟-模拟计算'!B449)&lt;='模拟-模拟计算'!$C$2,'模拟-模拟计算'!B449&gt;0),'模拟-模拟计算'!E449," ")</f>
        <v>100</v>
      </c>
      <c r="E424" s="104">
        <f ca="1">IF(AND(INT('模拟-模拟计算'!B449)&lt;='模拟-模拟计算'!$C$2,'模拟-模拟计算'!B449&gt;0),'模拟-模拟计算'!F449," ")</f>
        <v>20</v>
      </c>
      <c r="F424" s="51" t="str">
        <f ca="1">IF(AND(INT('模拟-模拟计算'!B449)&lt;='模拟-模拟计算'!$C$2,'模拟-模拟计算'!B449&gt;0),'模拟-模拟计算'!P449," ")</f>
        <v>会</v>
      </c>
      <c r="G424" s="52">
        <f ca="1">IF(AND(INT('模拟-模拟计算'!B449)&lt;='模拟-模拟计算'!$C$2,'模拟-模拟计算'!B449&gt;0),'模拟-模拟计算'!V449," ")</f>
        <v>199867.19079495722</v>
      </c>
      <c r="H424" s="52">
        <f ca="1">IF(AND(INT('模拟-模拟计算'!B449)&lt;='模拟-模拟计算'!$C$2,'模拟-模拟计算'!B449&gt;0),'模拟-模拟计算'!Y449," ")</f>
        <v>245392.22962424174</v>
      </c>
      <c r="I424" s="105">
        <f ca="1">IF(AND(INT('模拟-模拟计算'!B449)&lt;='模拟-模拟计算'!$C$2,'模拟-模拟计算'!B449&gt;0),'模拟-模拟计算'!AA449," ")</f>
        <v>113567.55038678825</v>
      </c>
    </row>
    <row r="425" spans="1:9" x14ac:dyDescent="0.2">
      <c r="A425" s="20">
        <f>INT('模拟-模拟计算'!B450+0.5)</f>
        <v>390</v>
      </c>
      <c r="B425" s="52">
        <f>IF(AND(INT('模拟-模拟计算'!B450)&lt;='模拟-模拟计算'!$C$2,'模拟-模拟计算'!B450&gt;0),'模拟-模拟计算'!B450," ")</f>
        <v>390.21750000000378</v>
      </c>
      <c r="C425" s="51" t="str">
        <f ca="1">IF(AND(INT('模拟-模拟计算'!B450)&lt;='模拟-模拟计算'!$C$2,'模拟-模拟计算'!B450&gt;0),'模拟-模拟计算'!C450," ")</f>
        <v>净世破魔击·日</v>
      </c>
      <c r="D425" s="104">
        <f ca="1">IF(AND(INT('模拟-模拟计算'!B450)&lt;='模拟-模拟计算'!$C$2,'模拟-模拟计算'!B450&gt;0),'模拟-模拟计算'!E450," ")</f>
        <v>0</v>
      </c>
      <c r="E425" s="104">
        <f ca="1">IF(AND(INT('模拟-模拟计算'!B450)&lt;='模拟-模拟计算'!$C$2,'模拟-模拟计算'!B450&gt;0),'模拟-模拟计算'!F450," ")</f>
        <v>20</v>
      </c>
      <c r="F425" s="51" t="str">
        <f ca="1">IF(AND(INT('模拟-模拟计算'!B450)&lt;='模拟-模拟计算'!$C$2,'模拟-模拟计算'!B450&gt;0),'模拟-模拟计算'!P450," ")</f>
        <v>会</v>
      </c>
      <c r="G425" s="52">
        <f ca="1">IF(AND(INT('模拟-模拟计算'!B450)&lt;='模拟-模拟计算'!$C$2,'模拟-模拟计算'!B450&gt;0),'模拟-模拟计算'!V450," ")</f>
        <v>223929.47529837745</v>
      </c>
      <c r="H425" s="52">
        <f ca="1">IF(AND(INT('模拟-模拟计算'!B450)&lt;='模拟-模拟计算'!$C$2,'模拟-模拟计算'!B450&gt;0),'模拟-模拟计算'!Y450," ")</f>
        <v>244861.23075637934</v>
      </c>
      <c r="I425" s="105">
        <f ca="1">IF(AND(INT('模拟-模拟计算'!B450)&lt;='模拟-模拟计算'!$C$2,'模拟-模拟计算'!B450&gt;0),'模拟-模拟计算'!AA450," ")</f>
        <v>113926.56853826676</v>
      </c>
    </row>
    <row r="426" spans="1:9" x14ac:dyDescent="0.2">
      <c r="A426" s="20">
        <f>INT('模拟-模拟计算'!B451+0.5)</f>
        <v>391</v>
      </c>
      <c r="B426" s="52">
        <f>IF(AND(INT('模拟-模拟计算'!B451)&lt;='模拟-模拟计算'!$C$2,'模拟-模拟计算'!B451&gt;0),'模拟-模拟计算'!B451," ")</f>
        <v>391.14000000000379</v>
      </c>
      <c r="C426" s="51" t="str">
        <f ca="1">IF(AND(INT('模拟-模拟计算'!B451)&lt;='模拟-模拟计算'!$C$2,'模拟-模拟计算'!B451&gt;0),'模拟-模拟计算'!C451," ")</f>
        <v>赤日轮1</v>
      </c>
      <c r="D426" s="104">
        <f ca="1">IF(AND(INT('模拟-模拟计算'!B451)&lt;='模拟-模拟计算'!$C$2,'模拟-模拟计算'!B451&gt;0),'模拟-模拟计算'!E451," ")</f>
        <v>20</v>
      </c>
      <c r="E426" s="104">
        <f ca="1">IF(AND(INT('模拟-模拟计算'!B451)&lt;='模拟-模拟计算'!$C$2,'模拟-模拟计算'!B451&gt;0),'模拟-模拟计算'!F451," ")</f>
        <v>20</v>
      </c>
      <c r="F426" s="51" t="str">
        <f ca="1">IF(AND(INT('模拟-模拟计算'!B451)&lt;='模拟-模拟计算'!$C$2,'模拟-模拟计算'!B451&gt;0),'模拟-模拟计算'!P451," ")</f>
        <v>命</v>
      </c>
      <c r="G426" s="52">
        <f ca="1">IF(AND(INT('模拟-模拟计算'!B451)&lt;='模拟-模拟计算'!$C$2,'模拟-模拟计算'!B451&gt;0),'模拟-模拟计算'!V451," ")</f>
        <v>26295.771631143321</v>
      </c>
      <c r="H426" s="52">
        <f ca="1">IF(AND(INT('模拟-模拟计算'!B451)&lt;='模拟-模拟计算'!$C$2,'模拟-模拟计算'!B451&gt;0),'模拟-模拟计算'!Y451," ")</f>
        <v>54141.703074085905</v>
      </c>
      <c r="I426" s="105">
        <f ca="1">IF(AND(INT('模拟-模拟计算'!B451)&lt;='模拟-模拟计算'!$C$2,'模拟-模拟计算'!B451&gt;0),'模拟-模拟计算'!AA451," ")</f>
        <v>113796.29406773839</v>
      </c>
    </row>
    <row r="427" spans="1:9" x14ac:dyDescent="0.2">
      <c r="A427" s="20">
        <f>INT('模拟-模拟计算'!B452+0.5)</f>
        <v>392</v>
      </c>
      <c r="B427" s="52">
        <f>IF(AND(INT('模拟-模拟计算'!B452)&lt;='模拟-模拟计算'!$C$2,'模拟-模拟计算'!B452&gt;0),'模拟-模拟计算'!B452," ")</f>
        <v>392.06250000000381</v>
      </c>
      <c r="C427" s="51" t="str">
        <f ca="1">IF(AND(INT('模拟-模拟计算'!B452)&lt;='模拟-模拟计算'!$C$2,'模拟-模拟计算'!B452&gt;0),'模拟-模拟计算'!C452," ")</f>
        <v>银月斩</v>
      </c>
      <c r="D427" s="104">
        <f ca="1">IF(AND(INT('模拟-模拟计算'!B452)&lt;='模拟-模拟计算'!$C$2,'模拟-模拟计算'!B452&gt;0),'模拟-模拟计算'!E452," ")</f>
        <v>20</v>
      </c>
      <c r="E427" s="104">
        <f ca="1">IF(AND(INT('模拟-模拟计算'!B452)&lt;='模拟-模拟计算'!$C$2,'模拟-模拟计算'!B452&gt;0),'模拟-模拟计算'!F452," ")</f>
        <v>65</v>
      </c>
      <c r="F427" s="51" t="str">
        <f ca="1">IF(AND(INT('模拟-模拟计算'!B452)&lt;='模拟-模拟计算'!$C$2,'模拟-模拟计算'!B452&gt;0),'模拟-模拟计算'!P452," ")</f>
        <v>会</v>
      </c>
      <c r="G427" s="52">
        <f ca="1">IF(AND(INT('模拟-模拟计算'!B452)&lt;='模拟-模拟计算'!$C$2,'模拟-模拟计算'!B452&gt;0),'模拟-模拟计算'!V452," ")</f>
        <v>39481.310356797861</v>
      </c>
      <c r="H427" s="52">
        <f ca="1">IF(AND(INT('模拟-模拟计算'!B452)&lt;='模拟-模拟计算'!$C$2,'模拟-模拟计算'!B452&gt;0),'模拟-模拟计算'!Y452," ")</f>
        <v>43211.061965778135</v>
      </c>
      <c r="I427" s="105">
        <f ca="1">IF(AND(INT('模拟-模拟计算'!B452)&lt;='模拟-模拟计算'!$C$2,'模拟-模拟计算'!B452&gt;0),'模拟-模拟计算'!AA452," ")</f>
        <v>113638.75281012841</v>
      </c>
    </row>
    <row r="428" spans="1:9" x14ac:dyDescent="0.2">
      <c r="A428" s="20">
        <f>INT('模拟-模拟计算'!B453+0.5)</f>
        <v>393</v>
      </c>
      <c r="B428" s="52">
        <f>IF(AND(INT('模拟-模拟计算'!B453)&lt;='模拟-模拟计算'!$C$2,'模拟-模拟计算'!B453&gt;0),'模拟-模拟计算'!B453," ")</f>
        <v>392.98500000000382</v>
      </c>
      <c r="C428" s="51" t="str">
        <f ca="1">IF(AND(INT('模拟-模拟计算'!B453)&lt;='模拟-模拟计算'!$C$2,'模拟-模拟计算'!B453&gt;0),'模拟-模拟计算'!C453," ")</f>
        <v>驱夜断愁</v>
      </c>
      <c r="D428" s="104">
        <f ca="1">IF(AND(INT('模拟-模拟计算'!B453)&lt;='模拟-模拟计算'!$C$2,'模拟-模拟计算'!B453&gt;0),'模拟-模拟计算'!E453," ")</f>
        <v>40</v>
      </c>
      <c r="E428" s="104">
        <f ca="1">IF(AND(INT('模拟-模拟计算'!B453)&lt;='模拟-模拟计算'!$C$2,'模拟-模拟计算'!B453&gt;0),'模拟-模拟计算'!F453," ")</f>
        <v>85</v>
      </c>
      <c r="F428" s="51" t="str">
        <f ca="1">IF(AND(INT('模拟-模拟计算'!B453)&lt;='模拟-模拟计算'!$C$2,'模拟-模拟计算'!B453&gt;0),'模拟-模拟计算'!P453," ")</f>
        <v>会</v>
      </c>
      <c r="G428" s="52">
        <f ca="1">IF(AND(INT('模拟-模拟计算'!B453)&lt;='模拟-模拟计算'!$C$2,'模拟-模拟计算'!B453&gt;0),'模拟-模拟计算'!V453," ")</f>
        <v>127463.41908070058</v>
      </c>
      <c r="H428" s="52">
        <f ca="1">IF(AND(INT('模拟-模拟计算'!B453)&lt;='模拟-模拟计算'!$C$2,'模拟-模拟计算'!B453&gt;0),'模拟-模拟计算'!Y453," ")</f>
        <v>155670.86116719022</v>
      </c>
      <c r="I428" s="105">
        <f ca="1">IF(AND(INT('模拟-模拟计算'!B453)&lt;='模拟-模拟计算'!$C$2,'模拟-模拟计算'!B453&gt;0),'模拟-模拟计算'!AA453," ")</f>
        <v>113768.11935516154</v>
      </c>
    </row>
    <row r="429" spans="1:9" x14ac:dyDescent="0.2">
      <c r="A429" s="20">
        <f>INT('模拟-模拟计算'!B454+0.5)</f>
        <v>394</v>
      </c>
      <c r="B429" s="52">
        <f>IF(AND(INT('模拟-模拟计算'!B454)&lt;='模拟-模拟计算'!$C$2,'模拟-模拟计算'!B454&gt;0),'模拟-模拟计算'!B454," ")</f>
        <v>393.90750000000384</v>
      </c>
      <c r="C429" s="51" t="str">
        <f ca="1">IF(AND(INT('模拟-模拟计算'!B454)&lt;='模拟-模拟计算'!$C$2,'模拟-模拟计算'!B454&gt;0),'模拟-模拟计算'!C454," ")</f>
        <v>烈日斩</v>
      </c>
      <c r="D429" s="104">
        <f ca="1">IF(AND(INT('模拟-模拟计算'!B454)&lt;='模拟-模拟计算'!$C$2,'模拟-模拟计算'!B454&gt;0),'模拟-模拟计算'!E454," ")</f>
        <v>80</v>
      </c>
      <c r="E429" s="104">
        <f ca="1">IF(AND(INT('模拟-模拟计算'!B454)&lt;='模拟-模拟计算'!$C$2,'模拟-模拟计算'!B454&gt;0),'模拟-模拟计算'!F454," ")</f>
        <v>85</v>
      </c>
      <c r="F429" s="51" t="str">
        <f ca="1">IF(AND(INT('模拟-模拟计算'!B454)&lt;='模拟-模拟计算'!$C$2,'模拟-模拟计算'!B454&gt;0),'模拟-模拟计算'!P454," ")</f>
        <v>会</v>
      </c>
      <c r="G429" s="52">
        <f ca="1">IF(AND(INT('模拟-模拟计算'!B454)&lt;='模拟-模拟计算'!$C$2,'模拟-模拟计算'!B454&gt;0),'模拟-模拟计算'!V454," ")</f>
        <v>105861.05199666526</v>
      </c>
      <c r="H429" s="52">
        <f ca="1">IF(AND(INT('模拟-模拟计算'!B454)&lt;='模拟-模拟计算'!$C$2,'模拟-模拟计算'!B454&gt;0),'模拟-模拟计算'!Y454," ")</f>
        <v>115441.4971788387</v>
      </c>
      <c r="I429" s="105">
        <f ca="1">IF(AND(INT('模拟-模拟计算'!B454)&lt;='模拟-模拟计算'!$C$2,'模拟-模拟计算'!B454&gt;0),'模拟-模拟计算'!AA454," ")</f>
        <v>113794.75100618038</v>
      </c>
    </row>
    <row r="430" spans="1:9" x14ac:dyDescent="0.2">
      <c r="A430" s="20">
        <f>INT('模拟-模拟计算'!B455+0.5)</f>
        <v>395</v>
      </c>
      <c r="B430" s="52">
        <f>IF(AND(INT('模拟-模拟计算'!B455)&lt;='模拟-模拟计算'!$C$2,'模拟-模拟计算'!B455&gt;0),'模拟-模拟计算'!B455," ")</f>
        <v>394.83000000000385</v>
      </c>
      <c r="C430" s="51" t="str">
        <f ca="1">IF(AND(INT('模拟-模拟计算'!B455)&lt;='模拟-模拟计算'!$C$2,'模拟-模拟计算'!B455&gt;0),'模拟-模拟计算'!C455," ")</f>
        <v>幽月轮1</v>
      </c>
      <c r="D430" s="104">
        <f ca="1">IF(AND(INT('模拟-模拟计算'!B455)&lt;='模拟-模拟计算'!$C$2,'模拟-模拟计算'!B455&gt;0),'模拟-模拟计算'!E455," ")</f>
        <v>80</v>
      </c>
      <c r="E430" s="104">
        <f ca="1">IF(AND(INT('模拟-模拟计算'!B455)&lt;='模拟-模拟计算'!$C$2,'模拟-模拟计算'!B455&gt;0),'模拟-模拟计算'!F455," ")</f>
        <v>100</v>
      </c>
      <c r="F430" s="51" t="str">
        <f ca="1">IF(AND(INT('模拟-模拟计算'!B455)&lt;='模拟-模拟计算'!$C$2,'模拟-模拟计算'!B455&gt;0),'模拟-模拟计算'!P455," ")</f>
        <v>识</v>
      </c>
      <c r="G430" s="52">
        <f ca="1">IF(AND(INT('模拟-模拟计算'!B455)&lt;='模拟-模拟计算'!$C$2,'模拟-模拟计算'!B455&gt;0),'模拟-模拟计算'!V455," ")</f>
        <v>4056.5545750795727</v>
      </c>
      <c r="H430" s="52">
        <f ca="1">IF(AND(INT('模拟-模拟计算'!B455)&lt;='模拟-模拟计算'!$C$2,'模拟-模拟计算'!B455&gt;0),'模拟-模拟计算'!Y455," ")</f>
        <v>27137.332154527674</v>
      </c>
      <c r="I430" s="105">
        <f ca="1">IF(AND(INT('模拟-模拟计算'!B455)&lt;='模拟-模拟计算'!$C$2,'模拟-模拟计算'!B455&gt;0),'模拟-模拟计算'!AA455," ")</f>
        <v>113597.6071071639</v>
      </c>
    </row>
    <row r="431" spans="1:9" x14ac:dyDescent="0.2">
      <c r="A431" s="20">
        <f>INT('模拟-模拟计算'!B456+0.5)</f>
        <v>396</v>
      </c>
      <c r="B431" s="52">
        <f>IF(AND(INT('模拟-模拟计算'!B456)&lt;='模拟-模拟计算'!$C$2,'模拟-模拟计算'!B456&gt;0),'模拟-模拟计算'!B456," ")</f>
        <v>395.75250000000386</v>
      </c>
      <c r="C431" s="51" t="str">
        <f ca="1">IF(AND(INT('模拟-模拟计算'!B456)&lt;='模拟-模拟计算'!$C$2,'模拟-模拟计算'!B456&gt;0),'模拟-模拟计算'!C456," ")</f>
        <v>净世破魔击·月</v>
      </c>
      <c r="D431" s="104">
        <f ca="1">IF(AND(INT('模拟-模拟计算'!B456)&lt;='模拟-模拟计算'!$C$2,'模拟-模拟计算'!B456&gt;0),'模拟-模拟计算'!E456," ")</f>
        <v>100</v>
      </c>
      <c r="E431" s="104">
        <f ca="1">IF(AND(INT('模拟-模拟计算'!B456)&lt;='模拟-模拟计算'!$C$2,'模拟-模拟计算'!B456&gt;0),'模拟-模拟计算'!F456," ")</f>
        <v>20</v>
      </c>
      <c r="F431" s="51" t="str">
        <f ca="1">IF(AND(INT('模拟-模拟计算'!B456)&lt;='模拟-模拟计算'!$C$2,'模拟-模拟计算'!B456&gt;0),'模拟-模拟计算'!P456," ")</f>
        <v>识</v>
      </c>
      <c r="G431" s="52">
        <f ca="1">IF(AND(INT('模拟-模拟计算'!B456)&lt;='模拟-模拟计算'!$C$2,'模拟-模拟计算'!B456&gt;0),'模拟-模拟计算'!V456," ")</f>
        <v>20216.155389563617</v>
      </c>
      <c r="H431" s="52">
        <f ca="1">IF(AND(INT('模拟-模拟计算'!B456)&lt;='模拟-模拟计算'!$C$2,'模拟-模拟计算'!B456&gt;0),'模拟-模拟计算'!Y456," ")</f>
        <v>37436.052323841897</v>
      </c>
      <c r="I431" s="105">
        <f ca="1">IF(AND(INT('模拟-模拟计算'!B456)&lt;='模拟-模拟计算'!$C$2,'模拟-模拟计算'!B456&gt;0),'模拟-模拟计算'!AA456," ")</f>
        <v>113427.40542749663</v>
      </c>
    </row>
    <row r="432" spans="1:9" x14ac:dyDescent="0.2">
      <c r="A432" s="20">
        <f>INT('模拟-模拟计算'!B457+0.5)</f>
        <v>397</v>
      </c>
      <c r="B432" s="52">
        <f>IF(AND(INT('模拟-模拟计算'!B457)&lt;='模拟-模拟计算'!$C$2,'模拟-模拟计算'!B457&gt;0),'模拟-模拟计算'!B457," ")</f>
        <v>396.67500000000388</v>
      </c>
      <c r="C432" s="51" t="str">
        <f ca="1">IF(AND(INT('模拟-模拟计算'!B457)&lt;='模拟-模拟计算'!$C$2,'模拟-模拟计算'!B457&gt;0),'模拟-模拟计算'!C457," ")</f>
        <v>净世破魔击·日</v>
      </c>
      <c r="D432" s="104">
        <f ca="1">IF(AND(INT('模拟-模拟计算'!B457)&lt;='模拟-模拟计算'!$C$2,'模拟-模拟计算'!B457&gt;0),'模拟-模拟计算'!E457," ")</f>
        <v>0</v>
      </c>
      <c r="E432" s="104">
        <f ca="1">IF(AND(INT('模拟-模拟计算'!B457)&lt;='模拟-模拟计算'!$C$2,'模拟-模拟计算'!B457&gt;0),'模拟-模拟计算'!F457," ")</f>
        <v>20</v>
      </c>
      <c r="F432" s="51" t="str">
        <f ca="1">IF(AND(INT('模拟-模拟计算'!B457)&lt;='模拟-模拟计算'!$C$2,'模拟-模拟计算'!B457&gt;0),'模拟-模拟计算'!P457," ")</f>
        <v>会</v>
      </c>
      <c r="G432" s="52">
        <f ca="1">IF(AND(INT('模拟-模拟计算'!B457)&lt;='模拟-模拟计算'!$C$2,'模拟-模拟计算'!B457&gt;0),'模拟-模拟计算'!V457," ")</f>
        <v>195915.814886668</v>
      </c>
      <c r="H432" s="52">
        <f ca="1">IF(AND(INT('模拟-模拟计算'!B457)&lt;='模拟-模拟计算'!$C$2,'模拟-模拟计算'!B457&gt;0),'模拟-模拟计算'!Y457," ")</f>
        <v>209879.25961365967</v>
      </c>
      <c r="I432" s="105">
        <f ca="1">IF(AND(INT('模拟-模拟计算'!B457)&lt;='模拟-模拟计算'!$C$2,'模拟-模拟计算'!B457&gt;0),'模拟-模拟计算'!AA457," ")</f>
        <v>113692.71702542137</v>
      </c>
    </row>
    <row r="433" spans="1:9" x14ac:dyDescent="0.2">
      <c r="A433" s="20">
        <f>INT('模拟-模拟计算'!B458+0.5)</f>
        <v>398</v>
      </c>
      <c r="B433" s="52">
        <f>IF(AND(INT('模拟-模拟计算'!B458)&lt;='模拟-模拟计算'!$C$2,'模拟-模拟计算'!B458&gt;0),'模拟-模拟计算'!B458," ")</f>
        <v>397.59750000000389</v>
      </c>
      <c r="C433" s="51" t="str">
        <f ca="1">IF(AND(INT('模拟-模拟计算'!B458)&lt;='模拟-模拟计算'!$C$2,'模拟-模拟计算'!B458&gt;0),'模拟-模拟计算'!C458," ")</f>
        <v>赤日轮1</v>
      </c>
      <c r="D433" s="104">
        <f ca="1">IF(AND(INT('模拟-模拟计算'!B458)&lt;='模拟-模拟计算'!$C$2,'模拟-模拟计算'!B458&gt;0),'模拟-模拟计算'!E458," ")</f>
        <v>20</v>
      </c>
      <c r="E433" s="104">
        <f ca="1">IF(AND(INT('模拟-模拟计算'!B458)&lt;='模拟-模拟计算'!$C$2,'模拟-模拟计算'!B458&gt;0),'模拟-模拟计算'!F458," ")</f>
        <v>20</v>
      </c>
      <c r="F433" s="51" t="str">
        <f ca="1">IF(AND(INT('模拟-模拟计算'!B458)&lt;='模拟-模拟计算'!$C$2,'模拟-模拟计算'!B458&gt;0),'模拟-模拟计算'!P458," ")</f>
        <v>命</v>
      </c>
      <c r="G433" s="52">
        <f ca="1">IF(AND(INT('模拟-模拟计算'!B458)&lt;='模拟-模拟计算'!$C$2,'模拟-模拟计算'!B458&gt;0),'模拟-模拟计算'!V458," ")</f>
        <v>25194.44799269021</v>
      </c>
      <c r="H433" s="52">
        <f ca="1">IF(AND(INT('模拟-模拟计算'!B458)&lt;='模拟-模拟计算'!$C$2,'模拟-模拟计算'!B458&gt;0),'模拟-模拟计算'!Y458," ")</f>
        <v>34774.893174863639</v>
      </c>
      <c r="I433" s="105">
        <f ca="1">IF(AND(INT('模拟-模拟计算'!B458)&lt;='模拟-模拟计算'!$C$2,'模拟-模拟计算'!B458&gt;0),'模拟-模拟计算'!AA458," ")</f>
        <v>113516.39137377344</v>
      </c>
    </row>
    <row r="434" spans="1:9" x14ac:dyDescent="0.2">
      <c r="A434" s="20">
        <f>INT('模拟-模拟计算'!B459+0.5)</f>
        <v>399</v>
      </c>
      <c r="B434" s="52">
        <f>IF(AND(INT('模拟-模拟计算'!B459)&lt;='模拟-模拟计算'!$C$2,'模拟-模拟计算'!B459&gt;0),'模拟-模拟计算'!B459," ")</f>
        <v>398.5200000000039</v>
      </c>
      <c r="C434" s="51" t="str">
        <f ca="1">IF(AND(INT('模拟-模拟计算'!B459)&lt;='模拟-模拟计算'!$C$2,'模拟-模拟计算'!B459&gt;0),'模拟-模拟计算'!C459," ")</f>
        <v>银月斩</v>
      </c>
      <c r="D434" s="104">
        <f ca="1">IF(AND(INT('模拟-模拟计算'!B459)&lt;='模拟-模拟计算'!$C$2,'模拟-模拟计算'!B459&gt;0),'模拟-模拟计算'!E459," ")</f>
        <v>20</v>
      </c>
      <c r="E434" s="104">
        <f ca="1">IF(AND(INT('模拟-模拟计算'!B459)&lt;='模拟-模拟计算'!$C$2,'模拟-模拟计算'!B459&gt;0),'模拟-模拟计算'!F459," ")</f>
        <v>65</v>
      </c>
      <c r="F434" s="51" t="str">
        <f ca="1">IF(AND(INT('模拟-模拟计算'!B459)&lt;='模拟-模拟计算'!$C$2,'模拟-模拟计算'!B459&gt;0),'模拟-模拟计算'!P459," ")</f>
        <v>命</v>
      </c>
      <c r="G434" s="52">
        <f ca="1">IF(AND(INT('模拟-模拟计算'!B459)&lt;='模拟-模拟计算'!$C$2,'模拟-模拟计算'!B459&gt;0),'模拟-模拟计算'!V459," ")</f>
        <v>17450.434922549593</v>
      </c>
      <c r="H434" s="52">
        <f ca="1">IF(AND(INT('模拟-模拟计算'!B459)&lt;='模拟-模拟计算'!$C$2,'模拟-模拟计算'!B459&gt;0),'模拟-模拟计算'!Y459," ")</f>
        <v>37686.659319746694</v>
      </c>
      <c r="I434" s="105">
        <f ca="1">IF(AND(INT('模拟-模拟计算'!B459)&lt;='模拟-模拟计算'!$C$2,'模拟-模拟计算'!B459&gt;0),'模拟-模拟计算'!AA459," ")</f>
        <v>113348.18849381118</v>
      </c>
    </row>
    <row r="435" spans="1:9" x14ac:dyDescent="0.2">
      <c r="A435" s="20">
        <f>INT('模拟-模拟计算'!B460+0.5)</f>
        <v>399</v>
      </c>
      <c r="B435" s="52">
        <f>IF(AND(INT('模拟-模拟计算'!B460)&lt;='模拟-模拟计算'!$C$2,'模拟-模拟计算'!B460&gt;0),'模拟-模拟计算'!B460," ")</f>
        <v>399.44250000000392</v>
      </c>
      <c r="C435" s="51" t="str">
        <f ca="1">IF(AND(INT('模拟-模拟计算'!B460)&lt;='模拟-模拟计算'!$C$2,'模拟-模拟计算'!B460&gt;0),'模拟-模拟计算'!C460," ")</f>
        <v>驱夜断愁</v>
      </c>
      <c r="D435" s="104">
        <f ca="1">IF(AND(INT('模拟-模拟计算'!B460)&lt;='模拟-模拟计算'!$C$2,'模拟-模拟计算'!B460&gt;0),'模拟-模拟计算'!E460," ")</f>
        <v>40</v>
      </c>
      <c r="E435" s="104">
        <f ca="1">IF(AND(INT('模拟-模拟计算'!B460)&lt;='模拟-模拟计算'!$C$2,'模拟-模拟计算'!B460&gt;0),'模拟-模拟计算'!F460," ")</f>
        <v>85</v>
      </c>
      <c r="F435" s="51" t="str">
        <f ca="1">IF(AND(INT('模拟-模拟计算'!B460)&lt;='模拟-模拟计算'!$C$2,'模拟-模拟计算'!B460&gt;0),'模拟-模拟计算'!P460," ")</f>
        <v>会</v>
      </c>
      <c r="G435" s="52">
        <f ca="1">IF(AND(INT('模拟-模拟计算'!B460)&lt;='模拟-模拟计算'!$C$2,'模拟-模拟计算'!B460&gt;0),'模拟-模拟计算'!V460," ")</f>
        <v>127463.41908070058</v>
      </c>
      <c r="H435" s="52">
        <f ca="1">IF(AND(INT('模拟-模拟计算'!B460)&lt;='模拟-模拟计算'!$C$2,'模拟-模拟计算'!B460&gt;0),'模拟-模拟计算'!Y460," ")</f>
        <v>137405.37490642106</v>
      </c>
      <c r="I435" s="105">
        <f ca="1">IF(AND(INT('模拟-模拟计算'!B460)&lt;='模拟-模拟计算'!$C$2,'模拟-模拟计算'!B460&gt;0),'模拟-模拟计算'!AA460," ")</f>
        <v>113430.407263774</v>
      </c>
    </row>
    <row r="436" spans="1:9" x14ac:dyDescent="0.2">
      <c r="A436" s="20">
        <f>INT('模拟-模拟计算'!B461+0.5)</f>
        <v>400</v>
      </c>
      <c r="B436" s="52">
        <f>IF(AND(INT('模拟-模拟计算'!B461)&lt;='模拟-模拟计算'!$C$2,'模拟-模拟计算'!B461&gt;0),'模拟-模拟计算'!B461," ")</f>
        <v>400.36500000000393</v>
      </c>
      <c r="C436" s="51" t="str">
        <f ca="1">IF(AND(INT('模拟-模拟计算'!B461)&lt;='模拟-模拟计算'!$C$2,'模拟-模拟计算'!B461&gt;0),'模拟-模拟计算'!C461," ")</f>
        <v>烈日斩</v>
      </c>
      <c r="D436" s="104">
        <f ca="1">IF(AND(INT('模拟-模拟计算'!B461)&lt;='模拟-模拟计算'!$C$2,'模拟-模拟计算'!B461&gt;0),'模拟-模拟计算'!E461," ")</f>
        <v>80</v>
      </c>
      <c r="E436" s="104">
        <f ca="1">IF(AND(INT('模拟-模拟计算'!B461)&lt;='模拟-模拟计算'!$C$2,'模拟-模拟计算'!B461&gt;0),'模拟-模拟计算'!F461," ")</f>
        <v>85</v>
      </c>
      <c r="F436" s="51" t="str">
        <f ca="1">IF(AND(INT('模拟-模拟计算'!B461)&lt;='模拟-模拟计算'!$C$2,'模拟-模拟计算'!B461&gt;0),'模拟-模拟计算'!P461," ")</f>
        <v>会</v>
      </c>
      <c r="G436" s="52">
        <f ca="1">IF(AND(INT('模拟-模拟计算'!B461)&lt;='模拟-模拟计算'!$C$2,'模拟-模拟计算'!B461&gt;0),'模拟-模拟计算'!V461," ")</f>
        <v>105861.05199666526</v>
      </c>
      <c r="H436" s="52">
        <f ca="1">IF(AND(INT('模拟-模拟计算'!B461)&lt;='模拟-模拟计算'!$C$2,'模拟-模拟计算'!B461&gt;0),'模拟-模拟计算'!Y461," ")</f>
        <v>130265.81181783759</v>
      </c>
      <c r="I436" s="105">
        <f ca="1">IF(AND(INT('模拟-模拟计算'!B461)&lt;='模拟-模拟计算'!$C$2,'模拟-模拟计算'!B461&gt;0),'模拟-模拟计算'!AA461," ")</f>
        <v>113494.41450995438</v>
      </c>
    </row>
    <row r="437" spans="1:9" x14ac:dyDescent="0.2">
      <c r="A437" s="20">
        <f>INT('模拟-模拟计算'!B462+0.5)</f>
        <v>401</v>
      </c>
      <c r="B437" s="52">
        <f>IF(AND(INT('模拟-模拟计算'!B462)&lt;='模拟-模拟计算'!$C$2,'模拟-模拟计算'!B462&gt;0),'模拟-模拟计算'!B462," ")</f>
        <v>401.28750000000394</v>
      </c>
      <c r="C437" s="51" t="str">
        <f ca="1">IF(AND(INT('模拟-模拟计算'!B462)&lt;='模拟-模拟计算'!$C$2,'模拟-模拟计算'!B462&gt;0),'模拟-模拟计算'!C462," ")</f>
        <v>幽月轮1</v>
      </c>
      <c r="D437" s="104">
        <f ca="1">IF(AND(INT('模拟-模拟计算'!B462)&lt;='模拟-模拟计算'!$C$2,'模拟-模拟计算'!B462&gt;0),'模拟-模拟计算'!E462," ")</f>
        <v>80</v>
      </c>
      <c r="E437" s="104">
        <f ca="1">IF(AND(INT('模拟-模拟计算'!B462)&lt;='模拟-模拟计算'!$C$2,'模拟-模拟计算'!B462&gt;0),'模拟-模拟计算'!F462," ")</f>
        <v>100</v>
      </c>
      <c r="F437" s="51" t="str">
        <f ca="1">IF(AND(INT('模拟-模拟计算'!B462)&lt;='模拟-模拟计算'!$C$2,'模拟-模拟计算'!B462&gt;0),'模拟-模拟计算'!P462," ")</f>
        <v>命</v>
      </c>
      <c r="G437" s="52">
        <f ca="1">IF(AND(INT('模拟-模拟计算'!B462)&lt;='模拟-模拟计算'!$C$2,'模拟-模拟计算'!B462&gt;0),'模拟-模拟计算'!V462," ")</f>
        <v>16226.218300318291</v>
      </c>
      <c r="H437" s="52">
        <f ca="1">IF(AND(INT('模拟-模拟计算'!B462)&lt;='模拟-模拟计算'!$C$2,'模拟-模拟计算'!B462&gt;0),'模拟-模拟计算'!Y462," ")</f>
        <v>24208.316482397608</v>
      </c>
      <c r="I437" s="105">
        <f ca="1">IF(AND(INT('模拟-模拟计算'!B462)&lt;='模拟-模拟计算'!$C$2,'模拟-模拟计算'!B462&gt;0),'模拟-模拟计算'!AA462," ")</f>
        <v>113293.83442484573</v>
      </c>
    </row>
    <row r="438" spans="1:9" x14ac:dyDescent="0.2">
      <c r="A438" s="20">
        <f>INT('模拟-模拟计算'!B463+0.5)</f>
        <v>402</v>
      </c>
      <c r="B438" s="52">
        <f>IF(AND(INT('模拟-模拟计算'!B463)&lt;='模拟-模拟计算'!$C$2,'模拟-模拟计算'!B463&gt;0),'模拟-模拟计算'!B463," ")</f>
        <v>402.21000000000396</v>
      </c>
      <c r="C438" s="51" t="str">
        <f ca="1">IF(AND(INT('模拟-模拟计算'!B463)&lt;='模拟-模拟计算'!$C$2,'模拟-模拟计算'!B463&gt;0),'模拟-模拟计算'!C463," ")</f>
        <v>净世破魔击·月</v>
      </c>
      <c r="D438" s="104">
        <f ca="1">IF(AND(INT('模拟-模拟计算'!B463)&lt;='模拟-模拟计算'!$C$2,'模拟-模拟计算'!B463&gt;0),'模拟-模拟计算'!E463," ")</f>
        <v>100</v>
      </c>
      <c r="E438" s="104">
        <f ca="1">IF(AND(INT('模拟-模拟计算'!B463)&lt;='模拟-模拟计算'!$C$2,'模拟-模拟计算'!B463&gt;0),'模拟-模拟计算'!F463," ")</f>
        <v>20</v>
      </c>
      <c r="F438" s="51" t="str">
        <f ca="1">IF(AND(INT('模拟-模拟计算'!B463)&lt;='模拟-模拟计算'!$C$2,'模拟-模拟计算'!B463&gt;0),'模拟-模拟计算'!P463," ")</f>
        <v>会</v>
      </c>
      <c r="G438" s="52">
        <f ca="1">IF(AND(INT('模拟-模拟计算'!B463)&lt;='模拟-模拟计算'!$C$2,'模拟-模拟计算'!B463&gt;0),'模拟-模拟计算'!V463," ")</f>
        <v>174868.36016214982</v>
      </c>
      <c r="H438" s="52">
        <f ca="1">IF(AND(INT('模拟-模拟计算'!B463)&lt;='模拟-模拟计算'!$C$2,'模拟-模拟计算'!B463&gt;0),'模拟-模拟计算'!Y463," ")</f>
        <v>206912.57173542699</v>
      </c>
      <c r="I438" s="105">
        <f ca="1">IF(AND(INT('模拟-模拟计算'!B463)&lt;='模拟-模拟计算'!$C$2,'模拟-模拟计算'!B463&gt;0),'模拟-模拟计算'!AA463," ")</f>
        <v>113548.42533377018</v>
      </c>
    </row>
    <row r="439" spans="1:9" x14ac:dyDescent="0.2">
      <c r="A439" s="20">
        <f>INT('模拟-模拟计算'!B464+0.5)</f>
        <v>403</v>
      </c>
      <c r="B439" s="52">
        <f>IF(AND(INT('模拟-模拟计算'!B464)&lt;='模拟-模拟计算'!$C$2,'模拟-模拟计算'!B464&gt;0),'模拟-模拟计算'!B464," ")</f>
        <v>403.13250000000397</v>
      </c>
      <c r="C439" s="51" t="str">
        <f ca="1">IF(AND(INT('模拟-模拟计算'!B464)&lt;='模拟-模拟计算'!$C$2,'模拟-模拟计算'!B464&gt;0),'模拟-模拟计算'!C464," ")</f>
        <v>净世破魔击·日</v>
      </c>
      <c r="D439" s="104">
        <f ca="1">IF(AND(INT('模拟-模拟计算'!B464)&lt;='模拟-模拟计算'!$C$2,'模拟-模拟计算'!B464&gt;0),'模拟-模拟计算'!E464," ")</f>
        <v>0</v>
      </c>
      <c r="E439" s="104">
        <f ca="1">IF(AND(INT('模拟-模拟计算'!B464)&lt;='模拟-模拟计算'!$C$2,'模拟-模拟计算'!B464&gt;0),'模拟-模拟计算'!F464," ")</f>
        <v>20</v>
      </c>
      <c r="F439" s="51" t="str">
        <f ca="1">IF(AND(INT('模拟-模拟计算'!B464)&lt;='模拟-模拟计算'!$C$2,'模拟-模拟计算'!B464&gt;0),'模拟-模拟计算'!P464," ")</f>
        <v>会</v>
      </c>
      <c r="G439" s="52">
        <f ca="1">IF(AND(INT('模拟-模拟计算'!B464)&lt;='模拟-模拟计算'!$C$2,'模拟-模拟计算'!B464&gt;0),'模拟-模拟计算'!V464," ")</f>
        <v>195915.814886668</v>
      </c>
      <c r="H439" s="52">
        <f ca="1">IF(AND(INT('模拟-模拟计算'!B464)&lt;='模拟-模拟计算'!$C$2,'模拟-模拟计算'!B464&gt;0),'模拟-模拟计算'!Y464," ")</f>
        <v>207979.84064352873</v>
      </c>
      <c r="I439" s="105">
        <f ca="1">IF(AND(INT('模拟-模拟计算'!B464)&lt;='模拟-模拟计算'!$C$2,'模拟-模拟计算'!B464&gt;0),'模拟-模拟计算'!AA464," ")</f>
        <v>113804.49850641967</v>
      </c>
    </row>
    <row r="440" spans="1:9" x14ac:dyDescent="0.2">
      <c r="A440" s="20">
        <f>INT('模拟-模拟计算'!B465+0.5)</f>
        <v>404</v>
      </c>
      <c r="B440" s="52">
        <f>IF(AND(INT('模拟-模拟计算'!B465)&lt;='模拟-模拟计算'!$C$2,'模拟-模拟计算'!B465&gt;0),'模拟-模拟计算'!B465," ")</f>
        <v>404.05500000000399</v>
      </c>
      <c r="C440" s="51" t="str">
        <f ca="1">IF(AND(INT('模拟-模拟计算'!B465)&lt;='模拟-模拟计算'!$C$2,'模拟-模拟计算'!B465&gt;0),'模拟-模拟计算'!C465," ")</f>
        <v>赤日轮1</v>
      </c>
      <c r="D440" s="104">
        <f ca="1">IF(AND(INT('模拟-模拟计算'!B465)&lt;='模拟-模拟计算'!$C$2,'模拟-模拟计算'!B465&gt;0),'模拟-模拟计算'!E465," ")</f>
        <v>20</v>
      </c>
      <c r="E440" s="104">
        <f ca="1">IF(AND(INT('模拟-模拟计算'!B465)&lt;='模拟-模拟计算'!$C$2,'模拟-模拟计算'!B465&gt;0),'模拟-模拟计算'!F465," ")</f>
        <v>20</v>
      </c>
      <c r="F440" s="51" t="str">
        <f ca="1">IF(AND(INT('模拟-模拟计算'!B465)&lt;='模拟-模拟计算'!$C$2,'模拟-模拟计算'!B465&gt;0),'模拟-模拟计算'!P465," ")</f>
        <v>会</v>
      </c>
      <c r="G440" s="52">
        <f ca="1">IF(AND(INT('模拟-模拟计算'!B465)&lt;='模拟-模拟计算'!$C$2,'模拟-模拟计算'!B465&gt;0),'模拟-模拟计算'!V465," ")</f>
        <v>54482.562593809358</v>
      </c>
      <c r="H440" s="52">
        <f ca="1">IF(AND(INT('模拟-模拟计算'!B465)&lt;='模拟-模拟计算'!$C$2,'模拟-模拟计算'!B465&gt;0),'模拟-模拟计算'!Y465," ")</f>
        <v>65962.42674611375</v>
      </c>
      <c r="I440" s="105">
        <f ca="1">IF(AND(INT('模拟-模拟计算'!B465)&lt;='模拟-模拟计算'!$C$2,'模拟-模拟计算'!B465&gt;0),'模拟-模拟计算'!AA465," ")</f>
        <v>113707.92199300922</v>
      </c>
    </row>
    <row r="441" spans="1:9" x14ac:dyDescent="0.2">
      <c r="A441" s="20">
        <f>INT('模拟-模拟计算'!B466+0.5)</f>
        <v>405</v>
      </c>
      <c r="B441" s="52">
        <f>IF(AND(INT('模拟-模拟计算'!B466)&lt;='模拟-模拟计算'!$C$2,'模拟-模拟计算'!B466&gt;0),'模拟-模拟计算'!B466," ")</f>
        <v>404.977500000004</v>
      </c>
      <c r="C441" s="51" t="str">
        <f ca="1">IF(AND(INT('模拟-模拟计算'!B466)&lt;='模拟-模拟计算'!$C$2,'模拟-模拟计算'!B466&gt;0),'模拟-模拟计算'!C466," ")</f>
        <v>银月斩</v>
      </c>
      <c r="D441" s="104">
        <f ca="1">IF(AND(INT('模拟-模拟计算'!B466)&lt;='模拟-模拟计算'!$C$2,'模拟-模拟计算'!B466&gt;0),'模拟-模拟计算'!E466," ")</f>
        <v>20</v>
      </c>
      <c r="E441" s="104">
        <f ca="1">IF(AND(INT('模拟-模拟计算'!B466)&lt;='模拟-模拟计算'!$C$2,'模拟-模拟计算'!B466&gt;0),'模拟-模拟计算'!F466," ")</f>
        <v>65</v>
      </c>
      <c r="F441" s="51" t="str">
        <f ca="1">IF(AND(INT('模拟-模拟计算'!B466)&lt;='模拟-模拟计算'!$C$2,'模拟-模拟计算'!B466&gt;0),'模拟-模拟计算'!P466," ")</f>
        <v>会</v>
      </c>
      <c r="G441" s="52">
        <f ca="1">IF(AND(INT('模拟-模拟计算'!B466)&lt;='模拟-模拟计算'!$C$2,'模拟-模拟计算'!B466&gt;0),'模拟-模拟计算'!V466," ")</f>
        <v>39481.310356797861</v>
      </c>
      <c r="H441" s="52">
        <f ca="1">IF(AND(INT('模拟-模拟计算'!B466)&lt;='模拟-模拟计算'!$C$2,'模拟-模拟计算'!B466&gt;0),'模拟-模拟计算'!Y466," ")</f>
        <v>43211.061965778135</v>
      </c>
      <c r="I441" s="105">
        <f ca="1">IF(AND(INT('模拟-模拟计算'!B466)&lt;='模拟-模拟计算'!$C$2,'模拟-模拟计算'!B466&gt;0),'模拟-模拟计算'!AA466," ")</f>
        <v>113555.60613330646</v>
      </c>
    </row>
    <row r="442" spans="1:9" x14ac:dyDescent="0.2">
      <c r="A442" s="20">
        <f>INT('模拟-模拟计算'!B467+0.5)</f>
        <v>406</v>
      </c>
      <c r="B442" s="52">
        <f>IF(AND(INT('模拟-模拟计算'!B467)&lt;='模拟-模拟计算'!$C$2,'模拟-模拟计算'!B467&gt;0),'模拟-模拟计算'!B467," ")</f>
        <v>405.90000000000401</v>
      </c>
      <c r="C442" s="51" t="str">
        <f ca="1">IF(AND(INT('模拟-模拟计算'!B467)&lt;='模拟-模拟计算'!$C$2,'模拟-模拟计算'!B467&gt;0),'模拟-模拟计算'!C467," ")</f>
        <v>驱夜断愁</v>
      </c>
      <c r="D442" s="104">
        <f ca="1">IF(AND(INT('模拟-模拟计算'!B467)&lt;='模拟-模拟计算'!$C$2,'模拟-模拟计算'!B467&gt;0),'模拟-模拟计算'!E467," ")</f>
        <v>40</v>
      </c>
      <c r="E442" s="104">
        <f ca="1">IF(AND(INT('模拟-模拟计算'!B467)&lt;='模拟-模拟计算'!$C$2,'模拟-模拟计算'!B467&gt;0),'模拟-模拟计算'!F467," ")</f>
        <v>85</v>
      </c>
      <c r="F442" s="51" t="str">
        <f ca="1">IF(AND(INT('模拟-模拟计算'!B467)&lt;='模拟-模拟计算'!$C$2,'模拟-模拟计算'!B467&gt;0),'模拟-模拟计算'!P467," ")</f>
        <v>命</v>
      </c>
      <c r="G442" s="52">
        <f ca="1">IF(AND(INT('模拟-模拟计算'!B467)&lt;='模拟-模拟计算'!$C$2,'模拟-模拟计算'!B467&gt;0),'模拟-模拟计算'!V467," ")</f>
        <v>58943.088028757353</v>
      </c>
      <c r="H442" s="52">
        <f ca="1">IF(AND(INT('模拟-模拟计算'!B467)&lt;='模拟-模拟计算'!$C$2,'模拟-模拟计算'!B467&gt;0),'模拟-模拟计算'!Y467," ")</f>
        <v>83709.358493476728</v>
      </c>
      <c r="I442" s="105">
        <f ca="1">IF(AND(INT('模拟-模拟计算'!B467)&lt;='模拟-模拟计算'!$C$2,'模拟-模拟计算'!B467&gt;0),'模拟-模拟计算'!AA467," ")</f>
        <v>113503.75669215224</v>
      </c>
    </row>
    <row r="443" spans="1:9" x14ac:dyDescent="0.2">
      <c r="A443" s="20">
        <f>INT('模拟-模拟计算'!B468+0.5)</f>
        <v>407</v>
      </c>
      <c r="B443" s="52">
        <f>IF(AND(INT('模拟-模拟计算'!B468)&lt;='模拟-模拟计算'!$C$2,'模拟-模拟计算'!B468&gt;0),'模拟-模拟计算'!B468," ")</f>
        <v>406.82250000000403</v>
      </c>
      <c r="C443" s="51" t="str">
        <f ca="1">IF(AND(INT('模拟-模拟计算'!B468)&lt;='模拟-模拟计算'!$C$2,'模拟-模拟计算'!B468&gt;0),'模拟-模拟计算'!C468," ")</f>
        <v>烈日斩</v>
      </c>
      <c r="D443" s="104">
        <f ca="1">IF(AND(INT('模拟-模拟计算'!B468)&lt;='模拟-模拟计算'!$C$2,'模拟-模拟计算'!B468&gt;0),'模拟-模拟计算'!E468," ")</f>
        <v>80</v>
      </c>
      <c r="E443" s="104">
        <f ca="1">IF(AND(INT('模拟-模拟计算'!B468)&lt;='模拟-模拟计算'!$C$2,'模拟-模拟计算'!B468&gt;0),'模拟-模拟计算'!F468," ")</f>
        <v>85</v>
      </c>
      <c r="F443" s="51" t="str">
        <f ca="1">IF(AND(INT('模拟-模拟计算'!B468)&lt;='模拟-模拟计算'!$C$2,'模拟-模拟计算'!B468&gt;0),'模拟-模拟计算'!P468," ")</f>
        <v>会</v>
      </c>
      <c r="G443" s="52">
        <f ca="1">IF(AND(INT('模拟-模拟计算'!B468)&lt;='模拟-模拟计算'!$C$2,'模拟-模拟计算'!B468&gt;0),'模拟-模拟计算'!V468," ")</f>
        <v>110503.35617153208</v>
      </c>
      <c r="H443" s="52">
        <f ca="1">IF(AND(INT('模拟-模拟计算'!B468)&lt;='模拟-模拟计算'!$C$2,'模拟-模拟计算'!B468&gt;0),'模拟-模拟计算'!Y468," ")</f>
        <v>137340.08216239273</v>
      </c>
      <c r="I443" s="105">
        <f ca="1">IF(AND(INT('模拟-模拟计算'!B468)&lt;='模拟-模拟计算'!$C$2,'模拟-模拟计算'!B468&gt;0),'模拟-模拟计算'!AA468," ")</f>
        <v>113583.97070837278</v>
      </c>
    </row>
    <row r="444" spans="1:9" x14ac:dyDescent="0.2">
      <c r="A444" s="20">
        <f>INT('模拟-模拟计算'!B469+0.5)</f>
        <v>408</v>
      </c>
      <c r="B444" s="52">
        <f>IF(AND(INT('模拟-模拟计算'!B469)&lt;='模拟-模拟计算'!$C$2,'模拟-模拟计算'!B469&gt;0),'模拟-模拟计算'!B469," ")</f>
        <v>407.74500000000404</v>
      </c>
      <c r="C444" s="51" t="str">
        <f ca="1">IF(AND(INT('模拟-模拟计算'!B469)&lt;='模拟-模拟计算'!$C$2,'模拟-模拟计算'!B469&gt;0),'模拟-模拟计算'!C469," ")</f>
        <v>幽月轮1</v>
      </c>
      <c r="D444" s="104">
        <f ca="1">IF(AND(INT('模拟-模拟计算'!B469)&lt;='模拟-模拟计算'!$C$2,'模拟-模拟计算'!B469&gt;0),'模拟-模拟计算'!E469," ")</f>
        <v>80</v>
      </c>
      <c r="E444" s="104">
        <f ca="1">IF(AND(INT('模拟-模拟计算'!B469)&lt;='模拟-模拟计算'!$C$2,'模拟-模拟计算'!B469&gt;0),'模拟-模拟计算'!F469," ")</f>
        <v>100</v>
      </c>
      <c r="F444" s="51" t="str">
        <f ca="1">IF(AND(INT('模拟-模拟计算'!B469)&lt;='模拟-模拟计算'!$C$2,'模拟-模拟计算'!B469&gt;0),'模拟-模拟计算'!P469," ")</f>
        <v>会</v>
      </c>
      <c r="G444" s="52">
        <f ca="1">IF(AND(INT('模拟-模拟计算'!B469)&lt;='模拟-模拟计算'!$C$2,'模拟-模拟计算'!B469&gt;0),'模拟-模拟计算'!V469," ")</f>
        <v>36630.702053185581</v>
      </c>
      <c r="H444" s="52">
        <f ca="1">IF(AND(INT('模拟-模拟计算'!B469)&lt;='模拟-模拟计算'!$C$2,'模拟-模拟计算'!B469&gt;0),'模拟-模拟计算'!Y469," ")</f>
        <v>56866.926450382685</v>
      </c>
      <c r="I444" s="105">
        <f ca="1">IF(AND(INT('模拟-模拟计算'!B469)&lt;='模拟-模拟计算'!$C$2,'模拟-模拟计算'!B469&gt;0),'模拟-模拟计算'!AA469," ")</f>
        <v>113466.46028757523</v>
      </c>
    </row>
    <row r="445" spans="1:9" x14ac:dyDescent="0.2">
      <c r="A445" s="20">
        <f>INT('模拟-模拟计算'!B470+0.5)</f>
        <v>409</v>
      </c>
      <c r="B445" s="52">
        <f>IF(AND(INT('模拟-模拟计算'!B470)&lt;='模拟-模拟计算'!$C$2,'模拟-模拟计算'!B470&gt;0),'模拟-模拟计算'!B470," ")</f>
        <v>408.66750000000405</v>
      </c>
      <c r="C445" s="51" t="str">
        <f ca="1">IF(AND(INT('模拟-模拟计算'!B470)&lt;='模拟-模拟计算'!$C$2,'模拟-模拟计算'!B470&gt;0),'模拟-模拟计算'!C470," ")</f>
        <v>净世破魔击·月</v>
      </c>
      <c r="D445" s="104">
        <f ca="1">IF(AND(INT('模拟-模拟计算'!B470)&lt;='模拟-模拟计算'!$C$2,'模拟-模拟计算'!B470&gt;0),'模拟-模拟计算'!E470," ")</f>
        <v>100</v>
      </c>
      <c r="E445" s="104">
        <f ca="1">IF(AND(INT('模拟-模拟计算'!B470)&lt;='模拟-模拟计算'!$C$2,'模拟-模拟计算'!B470&gt;0),'模拟-模拟计算'!F470," ")</f>
        <v>20</v>
      </c>
      <c r="F445" s="51" t="str">
        <f ca="1">IF(AND(INT('模拟-模拟计算'!B470)&lt;='模拟-模拟计算'!$C$2,'模拟-模拟计算'!B470&gt;0),'模拟-模拟计算'!P470," ")</f>
        <v>命</v>
      </c>
      <c r="G445" s="52">
        <f ca="1">IF(AND(INT('模拟-模拟计算'!B470)&lt;='模拟-模拟计算'!$C$2,'模拟-模拟计算'!B470&gt;0),'模拟-模拟计算'!V470," ")</f>
        <v>98481.592340073315</v>
      </c>
      <c r="H445" s="52">
        <f ca="1">IF(AND(INT('模拟-模拟计算'!B470)&lt;='模拟-模拟计算'!$C$2,'模拟-模拟计算'!B470&gt;0),'模拟-模拟计算'!Y470," ")</f>
        <v>125267.20711849254</v>
      </c>
      <c r="I445" s="105">
        <f ca="1">IF(AND(INT('模拟-模拟计算'!B470)&lt;='模拟-模拟计算'!$C$2,'模拟-模拟计算'!B470&gt;0),'模拟-模拟计算'!AA470," ")</f>
        <v>113516.85430594762</v>
      </c>
    </row>
    <row r="446" spans="1:9" x14ac:dyDescent="0.2">
      <c r="A446" s="20">
        <f>INT('模拟-模拟计算'!B471+0.5)</f>
        <v>410</v>
      </c>
      <c r="B446" s="52">
        <f>IF(AND(INT('模拟-模拟计算'!B471)&lt;='模拟-模拟计算'!$C$2,'模拟-模拟计算'!B471&gt;0),'模拟-模拟计算'!B471," ")</f>
        <v>409.59000000000407</v>
      </c>
      <c r="C446" s="51" t="str">
        <f ca="1">IF(AND(INT('模拟-模拟计算'!B471)&lt;='模拟-模拟计算'!$C$2,'模拟-模拟计算'!B471&gt;0),'模拟-模拟计算'!C471," ")</f>
        <v>净世破魔击·日</v>
      </c>
      <c r="D446" s="104">
        <f ca="1">IF(AND(INT('模拟-模拟计算'!B471)&lt;='模拟-模拟计算'!$C$2,'模拟-模拟计算'!B471&gt;0),'模拟-模拟计算'!E471," ")</f>
        <v>0</v>
      </c>
      <c r="E446" s="104">
        <f ca="1">IF(AND(INT('模拟-模拟计算'!B471)&lt;='模拟-模拟计算'!$C$2,'模拟-模拟计算'!B471&gt;0),'模拟-模拟计算'!F471," ")</f>
        <v>100</v>
      </c>
      <c r="F446" s="51" t="str">
        <f ca="1">IF(AND(INT('模拟-模拟计算'!B471)&lt;='模拟-模拟计算'!$C$2,'模拟-模拟计算'!B471&gt;0),'模拟-模拟计算'!P471," ")</f>
        <v>命</v>
      </c>
      <c r="G446" s="52">
        <f ca="1">IF(AND(INT('模拟-模拟计算'!B471)&lt;='模拟-模拟计算'!$C$2,'模拟-模拟计算'!B471&gt;0),'模拟-模拟计算'!V471," ")</f>
        <v>110337.92595746904</v>
      </c>
      <c r="H446" s="52">
        <f ca="1">IF(AND(INT('模拟-模拟计算'!B471)&lt;='模拟-模拟计算'!$C$2,'模拟-模拟计算'!B471&gt;0),'模拟-模拟计算'!Y471," ")</f>
        <v>131509.07327187649</v>
      </c>
      <c r="I446" s="105">
        <f ca="1">IF(AND(INT('模拟-模拟计算'!B471)&lt;='模拟-模拟计算'!$C$2,'模拟-模拟计算'!B471&gt;0),'模拟-模拟计算'!AA471," ")</f>
        <v>113582.2606273291</v>
      </c>
    </row>
    <row r="447" spans="1:9" x14ac:dyDescent="0.2">
      <c r="A447" s="20">
        <f>INT('模拟-模拟计算'!B472+0.5)</f>
        <v>411</v>
      </c>
      <c r="B447" s="52">
        <f>IF(AND(INT('模拟-模拟计算'!B472)&lt;='模拟-模拟计算'!$C$2,'模拟-模拟计算'!B472&gt;0),'模拟-模拟计算'!B472," ")</f>
        <v>410.51250000000408</v>
      </c>
      <c r="C447" s="51" t="str">
        <f ca="1">IF(AND(INT('模拟-模拟计算'!B472)&lt;='模拟-模拟计算'!$C$2,'模拟-模拟计算'!B472&gt;0),'模拟-模拟计算'!C472," ")</f>
        <v>净世破魔击·月</v>
      </c>
      <c r="D447" s="104">
        <f ca="1">IF(AND(INT('模拟-模拟计算'!B472)&lt;='模拟-模拟计算'!$C$2,'模拟-模拟计算'!B472&gt;0),'模拟-模拟计算'!E472," ")</f>
        <v>20</v>
      </c>
      <c r="E447" s="104">
        <f ca="1">IF(AND(INT('模拟-模拟计算'!B472)&lt;='模拟-模拟计算'!$C$2,'模拟-模拟计算'!B472&gt;0),'模拟-模拟计算'!F472," ")</f>
        <v>20</v>
      </c>
      <c r="F447" s="51" t="str">
        <f ca="1">IF(AND(INT('模拟-模拟计算'!B472)&lt;='模拟-模拟计算'!$C$2,'模拟-模拟计算'!B472&gt;0),'模拟-模拟计算'!P472," ")</f>
        <v>命</v>
      </c>
      <c r="G447" s="52">
        <f ca="1">IF(AND(INT('模拟-模拟计算'!B472)&lt;='模拟-模拟计算'!$C$2,'模拟-模拟计算'!B472&gt;0),'模拟-模拟计算'!V472," ")</f>
        <v>56275.195622899046</v>
      </c>
      <c r="H447" s="52">
        <f ca="1">IF(AND(INT('模拟-模拟计算'!B472)&lt;='模拟-模拟计算'!$C$2,'模拟-模拟计算'!B472&gt;0),'模拟-模拟计算'!Y472," ")</f>
        <v>77916.573884811747</v>
      </c>
      <c r="I447" s="105">
        <f ca="1">IF(AND(INT('模拟-模拟计算'!B472)&lt;='模拟-模拟计算'!$C$2,'模拟-模拟计算'!B472&gt;0),'模拟-模拟计算'!AA472," ")</f>
        <v>113516.82276235813</v>
      </c>
    </row>
    <row r="448" spans="1:9" x14ac:dyDescent="0.2">
      <c r="A448" s="20">
        <f>INT('模拟-模拟计算'!B473+0.5)</f>
        <v>411</v>
      </c>
      <c r="B448" s="52">
        <f>IF(AND(INT('模拟-模拟计算'!B473)&lt;='模拟-模拟计算'!$C$2,'模拟-模拟计算'!B473&gt;0),'模拟-模拟计算'!B473," ")</f>
        <v>411.43500000000409</v>
      </c>
      <c r="C448" s="51" t="str">
        <f ca="1">IF(AND(INT('模拟-模拟计算'!B473)&lt;='模拟-模拟计算'!$C$2,'模拟-模拟计算'!B473&gt;0),'模拟-模拟计算'!C473," ")</f>
        <v>银月斩</v>
      </c>
      <c r="D448" s="104">
        <f ca="1">IF(AND(INT('模拟-模拟计算'!B473)&lt;='模拟-模拟计算'!$C$2,'模拟-模拟计算'!B473&gt;0),'模拟-模拟计算'!E473," ")</f>
        <v>20</v>
      </c>
      <c r="E448" s="104">
        <f ca="1">IF(AND(INT('模拟-模拟计算'!B473)&lt;='模拟-模拟计算'!$C$2,'模拟-模拟计算'!B473&gt;0),'模拟-模拟计算'!F473," ")</f>
        <v>65</v>
      </c>
      <c r="F448" s="51" t="str">
        <f ca="1">IF(AND(INT('模拟-模拟计算'!B473)&lt;='模拟-模拟计算'!$C$2,'模拟-模拟计算'!B473&gt;0),'模拟-模拟计算'!P473," ")</f>
        <v>会</v>
      </c>
      <c r="G448" s="52">
        <f ca="1">IF(AND(INT('模拟-模拟计算'!B473)&lt;='模拟-模拟计算'!$C$2,'模拟-模拟计算'!B473&gt;0),'模拟-模拟计算'!V473," ")</f>
        <v>49855.474753700611</v>
      </c>
      <c r="H448" s="52">
        <f ca="1">IF(AND(INT('模拟-模拟计算'!B473)&lt;='模拟-模拟计算'!$C$2,'模拟-模拟计算'!B473&gt;0),'模拟-模拟计算'!Y473," ")</f>
        <v>61824.877249703837</v>
      </c>
      <c r="I448" s="105">
        <f ca="1">IF(AND(INT('模拟-模拟计算'!B473)&lt;='模拟-模拟计算'!$C$2,'模拟-模拟计算'!B473&gt;0),'模拟-模拟计算'!AA473," ")</f>
        <v>113412.56718918479</v>
      </c>
    </row>
    <row r="449" spans="1:9" x14ac:dyDescent="0.2">
      <c r="A449" s="20">
        <f>INT('模拟-模拟计算'!B474+0.5)</f>
        <v>412</v>
      </c>
      <c r="B449" s="52">
        <f>IF(AND(INT('模拟-模拟计算'!B474)&lt;='模拟-模拟计算'!$C$2,'模拟-模拟计算'!B474&gt;0),'模拟-模拟计算'!B474," ")</f>
        <v>412.35750000000411</v>
      </c>
      <c r="C449" s="51" t="str">
        <f ca="1">IF(AND(INT('模拟-模拟计算'!B474)&lt;='模拟-模拟计算'!$C$2,'模拟-模拟计算'!B474&gt;0),'模拟-模拟计算'!C474," ")</f>
        <v>驱夜断愁</v>
      </c>
      <c r="D449" s="104">
        <f ca="1">IF(AND(INT('模拟-模拟计算'!B474)&lt;='模拟-模拟计算'!$C$2,'模拟-模拟计算'!B474&gt;0),'模拟-模拟计算'!E474," ")</f>
        <v>40</v>
      </c>
      <c r="E449" s="104">
        <f ca="1">IF(AND(INT('模拟-模拟计算'!B474)&lt;='模拟-模拟计算'!$C$2,'模拟-模拟计算'!B474&gt;0),'模拟-模拟计算'!F474," ")</f>
        <v>85</v>
      </c>
      <c r="F449" s="51" t="str">
        <f ca="1">IF(AND(INT('模拟-模拟计算'!B474)&lt;='模拟-模拟计算'!$C$2,'模拟-模拟计算'!B474&gt;0),'模拟-模拟计算'!P474," ")</f>
        <v>命</v>
      </c>
      <c r="G449" s="52">
        <f ca="1">IF(AND(INT('模拟-模拟计算'!B474)&lt;='模拟-模拟计算'!$C$2,'模拟-模拟计算'!B474&gt;0),'模拟-模拟计算'!V474," ")</f>
        <v>61540.073489592025</v>
      </c>
      <c r="H449" s="52">
        <f ca="1">IF(AND(INT('模拟-模拟计算'!B474)&lt;='模拟-模拟计算'!$C$2,'模拟-模拟计算'!B474&gt;0),'模拟-模拟计算'!Y474," ")</f>
        <v>71879.751891262917</v>
      </c>
      <c r="I449" s="105">
        <f ca="1">IF(AND(INT('模拟-模拟计算'!B474)&lt;='模拟-模拟计算'!$C$2,'模拟-模拟计算'!B474&gt;0),'模拟-模拟计算'!AA474," ")</f>
        <v>113333.16196109809</v>
      </c>
    </row>
    <row r="450" spans="1:9" x14ac:dyDescent="0.2">
      <c r="A450" s="20">
        <f>INT('模拟-模拟计算'!B475+0.5)</f>
        <v>413</v>
      </c>
      <c r="B450" s="52">
        <f>IF(AND(INT('模拟-模拟计算'!B475)&lt;='模拟-模拟计算'!$C$2,'模拟-模拟计算'!B475&gt;0),'模拟-模拟计算'!B475," ")</f>
        <v>413.28000000000412</v>
      </c>
      <c r="C450" s="51" t="str">
        <f ca="1">IF(AND(INT('模拟-模拟计算'!B475)&lt;='模拟-模拟计算'!$C$2,'模拟-模拟计算'!B475&gt;0),'模拟-模拟计算'!C475," ")</f>
        <v>烈日斩</v>
      </c>
      <c r="D450" s="104">
        <f ca="1">IF(AND(INT('模拟-模拟计算'!B475)&lt;='模拟-模拟计算'!$C$2,'模拟-模拟计算'!B475&gt;0),'模拟-模拟计算'!E475," ")</f>
        <v>80</v>
      </c>
      <c r="E450" s="104">
        <f ca="1">IF(AND(INT('模拟-模拟计算'!B475)&lt;='模拟-模拟计算'!$C$2,'模拟-模拟计算'!B475&gt;0),'模拟-模拟计算'!F475," ")</f>
        <v>100</v>
      </c>
      <c r="F450" s="51" t="str">
        <f ca="1">IF(AND(INT('模拟-模拟计算'!B475)&lt;='模拟-模拟计算'!$C$2,'模拟-模拟计算'!B475&gt;0),'模拟-模拟计算'!P475," ")</f>
        <v>会</v>
      </c>
      <c r="G450" s="52">
        <f ca="1">IF(AND(INT('模拟-模拟计算'!B475)&lt;='模拟-模拟计算'!$C$2,'模拟-模拟计算'!B475&gt;0),'模拟-模拟计算'!V475," ")</f>
        <v>110503.35617153208</v>
      </c>
      <c r="H450" s="52">
        <f ca="1">IF(AND(INT('模拟-模拟计算'!B475)&lt;='模拟-模拟计算'!$C$2,'模拟-模拟计算'!B475&gt;0),'模拟-模拟计算'!Y475," ")</f>
        <v>135966.73428274912</v>
      </c>
      <c r="I450" s="105">
        <f ca="1">IF(AND(INT('模拟-模拟计算'!B475)&lt;='模拟-模拟计算'!$C$2,'模拟-模拟计算'!B475&gt;0),'模拟-模拟计算'!AA475," ")</f>
        <v>113409.18038050777</v>
      </c>
    </row>
    <row r="451" spans="1:9" x14ac:dyDescent="0.2">
      <c r="A451" s="20">
        <f>INT('模拟-模拟计算'!B476+0.5)</f>
        <v>414</v>
      </c>
      <c r="B451" s="52">
        <f>IF(AND(INT('模拟-模拟计算'!B476)&lt;='模拟-模拟计算'!$C$2,'模拟-模拟计算'!B476&gt;0),'模拟-模拟计算'!B476," ")</f>
        <v>414.20250000000414</v>
      </c>
      <c r="C451" s="51" t="str">
        <f ca="1">IF(AND(INT('模拟-模拟计算'!B476)&lt;='模拟-模拟计算'!$C$2,'模拟-模拟计算'!B476&gt;0),'模拟-模拟计算'!C476," ")</f>
        <v>净世破魔击·月</v>
      </c>
      <c r="D451" s="104">
        <f ca="1">IF(AND(INT('模拟-模拟计算'!B476)&lt;='模拟-模拟计算'!$C$2,'模拟-模拟计算'!B476&gt;0),'模拟-模拟计算'!E476," ")</f>
        <v>100</v>
      </c>
      <c r="E451" s="104">
        <f ca="1">IF(AND(INT('模拟-模拟计算'!B476)&lt;='模拟-模拟计算'!$C$2,'模拟-模拟计算'!B476&gt;0),'模拟-模拟计算'!F476," ")</f>
        <v>20</v>
      </c>
      <c r="F451" s="51" t="str">
        <f ca="1">IF(AND(INT('模拟-模拟计算'!B476)&lt;='模拟-模拟计算'!$C$2,'模拟-模拟计算'!B476&gt;0),'模拟-模拟计算'!P476," ")</f>
        <v>命</v>
      </c>
      <c r="G451" s="52">
        <f ca="1">IF(AND(INT('模拟-模拟计算'!B476)&lt;='模拟-模拟计算'!$C$2,'模拟-模拟计算'!B476&gt;0),'模拟-模拟计算'!V476," ")</f>
        <v>84412.793434348554</v>
      </c>
      <c r="H451" s="52">
        <f ca="1">IF(AND(INT('模拟-模拟计算'!B476)&lt;='模拟-模拟计算'!$C$2,'模拟-模拟计算'!B476&gt;0),'模拟-模拟计算'!Y476," ")</f>
        <v>103042.09575807066</v>
      </c>
      <c r="I451" s="105">
        <f ca="1">IF(AND(INT('模拟-模拟计算'!B476)&lt;='模拟-模拟计算'!$C$2,'模拟-模拟计算'!B476&gt;0),'模拟-模拟计算'!AA476," ")</f>
        <v>113405.37095602833</v>
      </c>
    </row>
    <row r="452" spans="1:9" x14ac:dyDescent="0.2">
      <c r="A452" s="20">
        <f>INT('模拟-模拟计算'!B477+0.5)</f>
        <v>415</v>
      </c>
      <c r="B452" s="52">
        <f>IF(AND(INT('模拟-模拟计算'!B477)&lt;='模拟-模拟计算'!$C$2,'模拟-模拟计算'!B477&gt;0),'模拟-模拟计算'!B477," ")</f>
        <v>415.12500000000415</v>
      </c>
      <c r="C452" s="51" t="str">
        <f ca="1">IF(AND(INT('模拟-模拟计算'!B477)&lt;='模拟-模拟计算'!$C$2,'模拟-模拟计算'!B477&gt;0),'模拟-模拟计算'!C477," ")</f>
        <v>净世破魔击·日</v>
      </c>
      <c r="D452" s="104">
        <f ca="1">IF(AND(INT('模拟-模拟计算'!B477)&lt;='模拟-模拟计算'!$C$2,'模拟-模拟计算'!B477&gt;0),'模拟-模拟计算'!E477," ")</f>
        <v>0</v>
      </c>
      <c r="E452" s="104">
        <f ca="1">IF(AND(INT('模拟-模拟计算'!B477)&lt;='模拟-模拟计算'!$C$2,'模拟-模拟计算'!B477&gt;0),'模拟-模拟计算'!F477," ")</f>
        <v>100</v>
      </c>
      <c r="F452" s="51" t="str">
        <f ca="1">IF(AND(INT('模拟-模拟计算'!B477)&lt;='模拟-模拟计算'!$C$2,'模拟-模拟计算'!B477&gt;0),'模拟-模拟计算'!P477," ")</f>
        <v>命</v>
      </c>
      <c r="G452" s="52">
        <f ca="1">IF(AND(INT('模拟-模拟计算'!B477)&lt;='模拟-模拟计算'!$C$2,'模拟-模拟计算'!B477&gt;0),'模拟-模拟计算'!V477," ")</f>
        <v>94575.365106402023</v>
      </c>
      <c r="H452" s="52">
        <f ca="1">IF(AND(INT('模拟-模拟计算'!B477)&lt;='模拟-模拟计算'!$C$2,'模拟-模拟计算'!B477&gt;0),'模拟-模拟计算'!Y477," ")</f>
        <v>126023.13335289207</v>
      </c>
      <c r="I452" s="105">
        <f ca="1">IF(AND(INT('模拟-模拟计算'!B477)&lt;='模拟-模拟计算'!$C$2,'模拟-模拟计算'!B477&gt;0),'模拟-模拟计算'!AA477," ")</f>
        <v>113456.93778203483</v>
      </c>
    </row>
    <row r="453" spans="1:9" x14ac:dyDescent="0.2">
      <c r="A453" s="20">
        <f>INT('模拟-模拟计算'!B478+0.5)</f>
        <v>416</v>
      </c>
      <c r="B453" s="52">
        <f>IF(AND(INT('模拟-模拟计算'!B478)&lt;='模拟-模拟计算'!$C$2,'模拟-模拟计算'!B478&gt;0),'模拟-模拟计算'!B478," ")</f>
        <v>416.04750000000416</v>
      </c>
      <c r="C453" s="51" t="str">
        <f ca="1">IF(AND(INT('模拟-模拟计算'!B478)&lt;='模拟-模拟计算'!$C$2,'模拟-模拟计算'!B478&gt;0),'模拟-模拟计算'!C478," ")</f>
        <v>净世破魔击·月</v>
      </c>
      <c r="D453" s="104">
        <f ca="1">IF(AND(INT('模拟-模拟计算'!B478)&lt;='模拟-模拟计算'!$C$2,'模拟-模拟计算'!B478&gt;0),'模拟-模拟计算'!E478," ")</f>
        <v>100</v>
      </c>
      <c r="E453" s="104">
        <f ca="1">IF(AND(INT('模拟-模拟计算'!B478)&lt;='模拟-模拟计算'!$C$2,'模拟-模拟计算'!B478&gt;0),'模拟-模拟计算'!F478," ")</f>
        <v>20</v>
      </c>
      <c r="F453" s="51" t="str">
        <f ca="1">IF(AND(INT('模拟-模拟计算'!B478)&lt;='模拟-模拟计算'!$C$2,'模拟-模拟计算'!B478&gt;0),'模拟-模拟计算'!P478," ")</f>
        <v>会</v>
      </c>
      <c r="G453" s="52">
        <f ca="1">IF(AND(INT('模拟-模拟计算'!B478)&lt;='模拟-模拟计算'!$C$2,'模拟-模拟计算'!B478&gt;0),'模拟-模拟计算'!V478," ")</f>
        <v>126764.73688820505</v>
      </c>
      <c r="H453" s="52">
        <f ca="1">IF(AND(INT('模拟-模拟计算'!B478)&lt;='模拟-模拟计算'!$C$2,'模拟-模拟计算'!B478&gt;0),'模拟-模拟计算'!Y478," ")</f>
        <v>153948.07424257469</v>
      </c>
      <c r="I453" s="105">
        <f ca="1">IF(AND(INT('模拟-模拟计算'!B478)&lt;='模拟-模拟计算'!$C$2,'模拟-模拟计算'!B478&gt;0),'模拟-模拟计算'!AA478," ")</f>
        <v>113575.39552817836</v>
      </c>
    </row>
    <row r="454" spans="1:9" x14ac:dyDescent="0.2">
      <c r="A454" s="20">
        <f>INT('模拟-模拟计算'!B479+0.5)</f>
        <v>417</v>
      </c>
      <c r="B454" s="52">
        <f>IF(AND(INT('模拟-模拟计算'!B479)&lt;='模拟-模拟计算'!$C$2,'模拟-模拟计算'!B479&gt;0),'模拟-模拟计算'!B479," ")</f>
        <v>416.97000000000418</v>
      </c>
      <c r="C454" s="51" t="str">
        <f ca="1">IF(AND(INT('模拟-模拟计算'!B479)&lt;='模拟-模拟计算'!$C$2,'模拟-模拟计算'!B479&gt;0),'模拟-模拟计算'!C479," ")</f>
        <v>净世破魔击·日</v>
      </c>
      <c r="D454" s="104">
        <f ca="1">IF(AND(INT('模拟-模拟计算'!B479)&lt;='模拟-模拟计算'!$C$2,'模拟-模拟计算'!B479&gt;0),'模拟-模拟计算'!E479," ")</f>
        <v>0</v>
      </c>
      <c r="E454" s="104">
        <f ca="1">IF(AND(INT('模拟-模拟计算'!B479)&lt;='模拟-模拟计算'!$C$2,'模拟-模拟计算'!B479&gt;0),'模拟-模拟计算'!F479," ")</f>
        <v>100</v>
      </c>
      <c r="F454" s="51" t="str">
        <f ca="1">IF(AND(INT('模拟-模拟计算'!B479)&lt;='模拟-模拟计算'!$C$2,'模拟-模拟计算'!B479&gt;0),'模拟-模拟计算'!P479," ")</f>
        <v>命</v>
      </c>
      <c r="G454" s="52">
        <f ca="1">IF(AND(INT('模拟-模拟计算'!B479)&lt;='模拟-模拟计算'!$C$2,'模拟-模拟计算'!B479&gt;0),'模拟-模拟计算'!V479," ")</f>
        <v>62915.01779696298</v>
      </c>
      <c r="H454" s="52">
        <f ca="1">IF(AND(INT('模拟-模拟计算'!B479)&lt;='模拟-模拟计算'!$C$2,'模拟-模拟计算'!B479&gt;0),'模拟-模拟计算'!Y479," ")</f>
        <v>76878.462523954644</v>
      </c>
      <c r="I454" s="105">
        <f ca="1">IF(AND(INT('模拟-模拟计算'!B479)&lt;='模拟-模拟计算'!$C$2,'模拟-模拟计算'!B479&gt;0),'模拟-模拟计算'!AA479," ")</f>
        <v>113508.49661494528</v>
      </c>
    </row>
    <row r="455" spans="1:9" x14ac:dyDescent="0.2">
      <c r="A455" s="20">
        <f>INT('模拟-模拟计算'!B480+0.5)</f>
        <v>418</v>
      </c>
      <c r="B455" s="52">
        <f>IF(AND(INT('模拟-模拟计算'!B480)&lt;='模拟-模拟计算'!$C$2,'模拟-模拟计算'!B480&gt;0),'模拟-模拟计算'!B480," ")</f>
        <v>417.89250000000419</v>
      </c>
      <c r="C455" s="51" t="str">
        <f ca="1">IF(AND(INT('模拟-模拟计算'!B480)&lt;='模拟-模拟计算'!$C$2,'模拟-模拟计算'!B480&gt;0),'模拟-模拟计算'!C480," ")</f>
        <v>净世破魔击·月</v>
      </c>
      <c r="D455" s="104">
        <f ca="1">IF(AND(INT('模拟-模拟计算'!B480)&lt;='模拟-模拟计算'!$C$2,'模拟-模拟计算'!B480&gt;0),'模拟-模拟计算'!E480," ")</f>
        <v>100</v>
      </c>
      <c r="E455" s="104">
        <f ca="1">IF(AND(INT('模拟-模拟计算'!B480)&lt;='模拟-模拟计算'!$C$2,'模拟-模拟计算'!B480&gt;0),'模拟-模拟计算'!F480," ")</f>
        <v>20</v>
      </c>
      <c r="F455" s="51" t="str">
        <f ca="1">IF(AND(INT('模拟-模拟计算'!B480)&lt;='模拟-模拟计算'!$C$2,'模拟-模拟计算'!B480&gt;0),'模拟-模拟计算'!P480," ")</f>
        <v>会</v>
      </c>
      <c r="G455" s="52">
        <f ca="1">IF(AND(INT('模拟-模拟计算'!B480)&lt;='模拟-模拟计算'!$C$2,'模拟-模拟计算'!B480&gt;0),'模拟-模拟计算'!V480," ")</f>
        <v>126764.73688820505</v>
      </c>
      <c r="H455" s="52">
        <f ca="1">IF(AND(INT('模拟-模拟计算'!B480)&lt;='模拟-模拟计算'!$C$2,'模拟-模拟计算'!B480&gt;0),'模拟-模拟计算'!Y480," ")</f>
        <v>204999.78983402636</v>
      </c>
      <c r="I455" s="105">
        <f ca="1">IF(AND(INT('模拟-模拟计算'!B480)&lt;='模拟-模拟计算'!$C$2,'模拟-模拟计算'!B480&gt;0),'模拟-模拟计算'!AA480," ")</f>
        <v>113748.48226126998</v>
      </c>
    </row>
    <row r="456" spans="1:9" x14ac:dyDescent="0.2">
      <c r="A456" s="20">
        <f>INT('模拟-模拟计算'!B481+0.5)</f>
        <v>419</v>
      </c>
      <c r="B456" s="52">
        <f>IF(AND(INT('模拟-模拟计算'!B481)&lt;='模拟-模拟计算'!$C$2,'模拟-模拟计算'!B481&gt;0),'模拟-模拟计算'!B481," ")</f>
        <v>418.8150000000042</v>
      </c>
      <c r="C456" s="51" t="str">
        <f ca="1">IF(AND(INT('模拟-模拟计算'!B481)&lt;='模拟-模拟计算'!$C$2,'模拟-模拟计算'!B481&gt;0),'模拟-模拟计算'!C481," ")</f>
        <v>净世破魔击·日</v>
      </c>
      <c r="D456" s="104">
        <f ca="1">IF(AND(INT('模拟-模拟计算'!B481)&lt;='模拟-模拟计算'!$C$2,'模拟-模拟计算'!B481&gt;0),'模拟-模拟计算'!E481," ")</f>
        <v>0</v>
      </c>
      <c r="E456" s="104">
        <f ca="1">IF(AND(INT('模拟-模拟计算'!B481)&lt;='模拟-模拟计算'!$C$2,'模拟-模拟计算'!B481&gt;0),'模拟-模拟计算'!F481," ")</f>
        <v>20</v>
      </c>
      <c r="F456" s="51" t="str">
        <f ca="1">IF(AND(INT('模拟-模拟计算'!B481)&lt;='模拟-模拟计算'!$C$2,'模拟-模拟计算'!B481&gt;0),'模拟-模拟计算'!P481," ")</f>
        <v>会</v>
      </c>
      <c r="G456" s="52">
        <f ca="1">IF(AND(INT('模拟-模拟计算'!B481)&lt;='模拟-模拟计算'!$C$2,'模拟-模拟计算'!B481&gt;0),'模拟-模拟计算'!V481," ")</f>
        <v>142026.11696701168</v>
      </c>
      <c r="H456" s="52">
        <f ca="1">IF(AND(INT('模拟-模拟计算'!B481)&lt;='模拟-模拟计算'!$C$2,'模拟-模拟计算'!B481&gt;0),'模拟-模拟计算'!Y481," ")</f>
        <v>176691.23989663291</v>
      </c>
      <c r="I456" s="105">
        <f ca="1">IF(AND(INT('模拟-模拟计算'!B481)&lt;='模拟-模拟计算'!$C$2,'模拟-模拟计算'!B481&gt;0),'模拟-模拟计算'!AA481," ")</f>
        <v>113919.81868668599</v>
      </c>
    </row>
    <row r="457" spans="1:9" x14ac:dyDescent="0.2">
      <c r="A457" s="20">
        <f>INT('模拟-模拟计算'!B482+0.5)</f>
        <v>420</v>
      </c>
      <c r="B457" s="52">
        <f>IF(AND(INT('模拟-模拟计算'!B482)&lt;='模拟-模拟计算'!$C$2,'模拟-模拟计算'!B482&gt;0),'模拟-模拟计算'!B482," ")</f>
        <v>419.73750000000422</v>
      </c>
      <c r="C457" s="51" t="str">
        <f ca="1">IF(AND(INT('模拟-模拟计算'!B482)&lt;='模拟-模拟计算'!$C$2,'模拟-模拟计算'!B482&gt;0),'模拟-模拟计算'!C482," ")</f>
        <v>赤日轮1</v>
      </c>
      <c r="D457" s="104">
        <f ca="1">IF(AND(INT('模拟-模拟计算'!B482)&lt;='模拟-模拟计算'!$C$2,'模拟-模拟计算'!B482&gt;0),'模拟-模拟计算'!E482," ")</f>
        <v>20</v>
      </c>
      <c r="E457" s="104">
        <f ca="1">IF(AND(INT('模拟-模拟计算'!B482)&lt;='模拟-模拟计算'!$C$2,'模拟-模拟计算'!B482&gt;0),'模拟-模拟计算'!F482," ")</f>
        <v>20</v>
      </c>
      <c r="F457" s="51" t="str">
        <f ca="1">IF(AND(INT('模拟-模拟计算'!B482)&lt;='模拟-模拟计算'!$C$2,'模拟-模拟计算'!B482&gt;0),'模拟-模拟计算'!P482," ")</f>
        <v>命</v>
      </c>
      <c r="G457" s="52">
        <f ca="1">IF(AND(INT('模拟-模拟计算'!B482)&lt;='模拟-模拟计算'!$C$2,'模拟-模拟计算'!B482&gt;0),'模拟-模拟计算'!V482," ")</f>
        <v>27469.690007533645</v>
      </c>
      <c r="H457" s="52">
        <f ca="1">IF(AND(INT('模拟-模拟计算'!B482)&lt;='模拟-模拟计算'!$C$2,'模拟-模拟计算'!B482&gt;0),'模拟-模拟计算'!Y482," ")</f>
        <v>27831.200651080693</v>
      </c>
      <c r="I457" s="105">
        <f ca="1">IF(AND(INT('模拟-模拟计算'!B482)&lt;='模拟-模拟计算'!$C$2,'模拟-模拟计算'!B482&gt;0),'模拟-模拟计算'!AA482," ")</f>
        <v>113735.75166363614</v>
      </c>
    </row>
    <row r="458" spans="1:9" x14ac:dyDescent="0.2">
      <c r="A458" s="20">
        <f>INT('模拟-模拟计算'!B483+0.5)</f>
        <v>421</v>
      </c>
      <c r="B458" s="52">
        <f>IF(AND(INT('模拟-模拟计算'!B483)&lt;='模拟-模拟计算'!$C$2,'模拟-模拟计算'!B483&gt;0),'模拟-模拟计算'!B483," ")</f>
        <v>420.66000000000423</v>
      </c>
      <c r="C458" s="51" t="str">
        <f ca="1">IF(AND(INT('模拟-模拟计算'!B483)&lt;='模拟-模拟计算'!$C$2,'模拟-模拟计算'!B483&gt;0),'模拟-模拟计算'!C483," ")</f>
        <v>银月斩</v>
      </c>
      <c r="D458" s="104">
        <f ca="1">IF(AND(INT('模拟-模拟计算'!B483)&lt;='模拟-模拟计算'!$C$2,'模拟-模拟计算'!B483&gt;0),'模拟-模拟计算'!E483," ")</f>
        <v>20</v>
      </c>
      <c r="E458" s="104">
        <f ca="1">IF(AND(INT('模拟-模拟计算'!B483)&lt;='模拟-模拟计算'!$C$2,'模拟-模拟计算'!B483&gt;0),'模拟-模拟计算'!F483," ")</f>
        <v>65</v>
      </c>
      <c r="F458" s="51" t="str">
        <f ca="1">IF(AND(INT('模拟-模拟计算'!B483)&lt;='模拟-模拟计算'!$C$2,'模拟-模拟计算'!B483&gt;0),'模拟-模拟计算'!P483," ")</f>
        <v>会</v>
      </c>
      <c r="G458" s="52">
        <f ca="1">IF(AND(INT('模拟-模拟计算'!B483)&lt;='模拟-模拟计算'!$C$2,'模拟-模拟计算'!B483&gt;0),'模拟-模拟计算'!V483," ")</f>
        <v>43003.518149433054</v>
      </c>
      <c r="H458" s="52">
        <f ca="1">IF(AND(INT('模拟-模拟计算'!B483)&lt;='模拟-模拟计算'!$C$2,'模拟-模拟计算'!B483&gt;0),'模拟-模拟计算'!Y483," ")</f>
        <v>64114.821257231233</v>
      </c>
      <c r="I458" s="105">
        <f ca="1">IF(AND(INT('模拟-模拟计算'!B483)&lt;='模拟-模拟计算'!$C$2,'模拟-模拟计算'!B483&gt;0),'模拟-模拟计算'!AA483," ")</f>
        <v>113638.74598291425</v>
      </c>
    </row>
    <row r="459" spans="1:9" x14ac:dyDescent="0.2">
      <c r="A459" s="20">
        <f>INT('模拟-模拟计算'!B484+0.5)</f>
        <v>422</v>
      </c>
      <c r="B459" s="52">
        <f>IF(AND(INT('模拟-模拟计算'!B484)&lt;='模拟-模拟计算'!$C$2,'模拟-模拟计算'!B484&gt;0),'模拟-模拟计算'!B484," ")</f>
        <v>421.58250000000425</v>
      </c>
      <c r="C459" s="51" t="str">
        <f ca="1">IF(AND(INT('模拟-模拟计算'!B484)&lt;='模拟-模拟计算'!$C$2,'模拟-模拟计算'!B484&gt;0),'模拟-模拟计算'!C484," ")</f>
        <v>驱夜断愁</v>
      </c>
      <c r="D459" s="104">
        <f ca="1">IF(AND(INT('模拟-模拟计算'!B484)&lt;='模拟-模拟计算'!$C$2,'模拟-模拟计算'!B484&gt;0),'模拟-模拟计算'!E484," ")</f>
        <v>40</v>
      </c>
      <c r="E459" s="104">
        <f ca="1">IF(AND(INT('模拟-模拟计算'!B484)&lt;='模拟-模拟计算'!$C$2,'模拟-模拟计算'!B484&gt;0),'模拟-模拟计算'!F484," ")</f>
        <v>85</v>
      </c>
      <c r="F459" s="51" t="str">
        <f ca="1">IF(AND(INT('模拟-模拟计算'!B484)&lt;='模拟-模拟计算'!$C$2,'模拟-模拟计算'!B484&gt;0),'模拟-模拟计算'!P484," ")</f>
        <v>命</v>
      </c>
      <c r="G459" s="52">
        <f ca="1">IF(AND(INT('模拟-模拟计算'!B484)&lt;='模拟-模拟计算'!$C$2,'模拟-模拟计算'!B484&gt;0),'模拟-模拟计算'!V484," ")</f>
        <v>64239.19951983729</v>
      </c>
      <c r="H459" s="52">
        <f ca="1">IF(AND(INT('模拟-模拟计算'!B484)&lt;='模拟-模拟计算'!$C$2,'模拟-模拟计算'!B484&gt;0),'模拟-模拟计算'!Y484," ")</f>
        <v>74578.877921508174</v>
      </c>
      <c r="I459" s="105">
        <f ca="1">IF(AND(INT('模拟-模拟计算'!B484)&lt;='模拟-模拟计算'!$C$2,'模拟-模拟计算'!B484&gt;0),'模拟-模拟计算'!AA484," ")</f>
        <v>113566.98573373945</v>
      </c>
    </row>
    <row r="460" spans="1:9" x14ac:dyDescent="0.2">
      <c r="A460" s="20">
        <f>INT('模拟-模拟计算'!B485+0.5)</f>
        <v>423</v>
      </c>
      <c r="B460" s="52">
        <f>IF(AND(INT('模拟-模拟计算'!B485)&lt;='模拟-模拟计算'!$C$2,'模拟-模拟计算'!B485&gt;0),'模拟-模拟计算'!B485," ")</f>
        <v>422.50500000000426</v>
      </c>
      <c r="C460" s="51" t="str">
        <f ca="1">IF(AND(INT('模拟-模拟计算'!B485)&lt;='模拟-模拟计算'!$C$2,'模拟-模拟计算'!B485&gt;0),'模拟-模拟计算'!C485," ")</f>
        <v>烈日斩</v>
      </c>
      <c r="D460" s="104">
        <f ca="1">IF(AND(INT('模拟-模拟计算'!B485)&lt;='模拟-模拟计算'!$C$2,'模拟-模拟计算'!B485&gt;0),'模拟-模拟计算'!E485," ")</f>
        <v>80</v>
      </c>
      <c r="E460" s="104">
        <f ca="1">IF(AND(INT('模拟-模拟计算'!B485)&lt;='模拟-模拟计算'!$C$2,'模拟-模拟计算'!B485&gt;0),'模拟-模拟计算'!F485," ")</f>
        <v>85</v>
      </c>
      <c r="F460" s="51" t="str">
        <f ca="1">IF(AND(INT('模拟-模拟计算'!B485)&lt;='模拟-模拟计算'!$C$2,'模拟-模拟计算'!B485&gt;0),'模拟-模拟计算'!P485," ")</f>
        <v>命</v>
      </c>
      <c r="G460" s="52">
        <f ca="1">IF(AND(INT('模拟-模拟计算'!B485)&lt;='模拟-模拟计算'!$C$2,'模拟-模拟计算'!B485&gt;0),'模拟-模拟计算'!V485," ")</f>
        <v>50811.052494180651</v>
      </c>
      <c r="H460" s="52">
        <f ca="1">IF(AND(INT('模拟-模拟计算'!B485)&lt;='模拟-模拟计算'!$C$2,'模拟-模拟计算'!B485&gt;0),'模拟-模拟计算'!Y485," ")</f>
        <v>54074.536100841746</v>
      </c>
      <c r="I460" s="105">
        <f ca="1">IF(AND(INT('模拟-模拟计算'!B485)&lt;='模拟-模拟计算'!$C$2,'模拟-模拟计算'!B485&gt;0),'模拟-模拟计算'!AA485," ")</f>
        <v>113447.00843586479</v>
      </c>
    </row>
    <row r="461" spans="1:9" x14ac:dyDescent="0.2">
      <c r="A461" s="20">
        <f>INT('模拟-模拟计算'!B486+0.5)</f>
        <v>423</v>
      </c>
      <c r="B461" s="52">
        <f>IF(AND(INT('模拟-模拟计算'!B486)&lt;='模拟-模拟计算'!$C$2,'模拟-模拟计算'!B486&gt;0),'模拟-模拟计算'!B486," ")</f>
        <v>423.42750000000427</v>
      </c>
      <c r="C461" s="51" t="str">
        <f ca="1">IF(AND(INT('模拟-模拟计算'!B486)&lt;='模拟-模拟计算'!$C$2,'模拟-模拟计算'!B486&gt;0),'模拟-模拟计算'!C486," ")</f>
        <v>幽月轮1</v>
      </c>
      <c r="D461" s="104">
        <f ca="1">IF(AND(INT('模拟-模拟计算'!B486)&lt;='模拟-模拟计算'!$C$2,'模拟-模拟计算'!B486&gt;0),'模拟-模拟计算'!E486," ")</f>
        <v>80</v>
      </c>
      <c r="E461" s="104">
        <f ca="1">IF(AND(INT('模拟-模拟计算'!B486)&lt;='模拟-模拟计算'!$C$2,'模拟-模拟计算'!B486&gt;0),'模拟-模拟计算'!F486," ")</f>
        <v>100</v>
      </c>
      <c r="F461" s="51" t="str">
        <f ca="1">IF(AND(INT('模拟-模拟计算'!B486)&lt;='模拟-模拟计算'!$C$2,'模拟-模拟计算'!B486&gt;0),'模拟-模拟计算'!P486," ")</f>
        <v>命</v>
      </c>
      <c r="G461" s="52">
        <f ca="1">IF(AND(INT('模拟-模拟计算'!B486)&lt;='模拟-模拟计算'!$C$2,'模拟-模拟计算'!B486&gt;0),'模拟-模拟计算'!V486," ")</f>
        <v>16939.18703301924</v>
      </c>
      <c r="H461" s="52">
        <f ca="1">IF(AND(INT('模拟-模拟计算'!B486)&lt;='模拟-模拟计算'!$C$2,'模拟-模拟计算'!B486&gt;0),'模拟-模拟计算'!Y486," ")</f>
        <v>25250.052025772991</v>
      </c>
      <c r="I461" s="105">
        <f ca="1">IF(AND(INT('模拟-模拟计算'!B486)&lt;='模拟-模拟计算'!$C$2,'模拟-模拟计算'!B486&gt;0),'模拟-模拟计算'!AA486," ")</f>
        <v>113259.47972491353</v>
      </c>
    </row>
    <row r="462" spans="1:9" x14ac:dyDescent="0.2">
      <c r="A462" s="20">
        <f>INT('模拟-模拟计算'!B487+0.5)</f>
        <v>424</v>
      </c>
      <c r="B462" s="52">
        <f>IF(AND(INT('模拟-模拟计算'!B487)&lt;='模拟-模拟计算'!$C$2,'模拟-模拟计算'!B487&gt;0),'模拟-模拟计算'!B487," ")</f>
        <v>424.35000000000429</v>
      </c>
      <c r="C462" s="51" t="str">
        <f ca="1">IF(AND(INT('模拟-模拟计算'!B487)&lt;='模拟-模拟计算'!$C$2,'模拟-模拟计算'!B487&gt;0),'模拟-模拟计算'!C487," ")</f>
        <v>净世破魔击·月</v>
      </c>
      <c r="D462" s="104">
        <f ca="1">IF(AND(INT('模拟-模拟计算'!B487)&lt;='模拟-模拟计算'!$C$2,'模拟-模拟计算'!B487&gt;0),'模拟-模拟计算'!E487," ")</f>
        <v>100</v>
      </c>
      <c r="E462" s="104">
        <f ca="1">IF(AND(INT('模拟-模拟计算'!B487)&lt;='模拟-模拟计算'!$C$2,'模拟-模拟计算'!B487&gt;0),'模拟-模拟计算'!F487," ")</f>
        <v>20</v>
      </c>
      <c r="F462" s="51" t="str">
        <f ca="1">IF(AND(INT('模拟-模拟计算'!B487)&lt;='模拟-模拟计算'!$C$2,'模拟-模拟计算'!B487&gt;0),'模拟-模拟计算'!P487," ")</f>
        <v>命</v>
      </c>
      <c r="G462" s="52">
        <f ca="1">IF(AND(INT('模拟-模拟计算'!B487)&lt;='模拟-模拟计算'!$C$2,'模拟-模拟计算'!B487&gt;0),'模拟-模拟计算'!V487," ")</f>
        <v>84412.793434348554</v>
      </c>
      <c r="H462" s="52">
        <f ca="1">IF(AND(INT('模拟-模拟计算'!B487)&lt;='模拟-模拟计算'!$C$2,'模拟-模拟计算'!B487&gt;0),'模拟-模拟计算'!Y487," ")</f>
        <v>113587.36552659757</v>
      </c>
      <c r="I462" s="105">
        <f ca="1">IF(AND(INT('模拟-模拟计算'!B487)&lt;='模拟-模拟计算'!$C$2,'模拟-模拟计算'!B487&gt;0),'模拟-模拟计算'!AA487," ")</f>
        <v>113280.93723753368</v>
      </c>
    </row>
    <row r="463" spans="1:9" x14ac:dyDescent="0.2">
      <c r="A463" s="20">
        <f>INT('模拟-模拟计算'!B488+0.5)</f>
        <v>425</v>
      </c>
      <c r="B463" s="52">
        <f>IF(AND(INT('模拟-模拟计算'!B488)&lt;='模拟-模拟计算'!$C$2,'模拟-模拟计算'!B488&gt;0),'模拟-模拟计算'!B488," ")</f>
        <v>425.2725000000043</v>
      </c>
      <c r="C463" s="51" t="str">
        <f ca="1">IF(AND(INT('模拟-模拟计算'!B488)&lt;='模拟-模拟计算'!$C$2,'模拟-模拟计算'!B488&gt;0),'模拟-模拟计算'!C488," ")</f>
        <v>净世破魔击·日</v>
      </c>
      <c r="D463" s="104">
        <f ca="1">IF(AND(INT('模拟-模拟计算'!B488)&lt;='模拟-模拟计算'!$C$2,'模拟-模拟计算'!B488&gt;0),'模拟-模拟计算'!E488," ")</f>
        <v>0</v>
      </c>
      <c r="E463" s="104">
        <f ca="1">IF(AND(INT('模拟-模拟计算'!B488)&lt;='模拟-模拟计算'!$C$2,'模拟-模拟计算'!B488&gt;0),'模拟-模拟计算'!F488," ")</f>
        <v>20</v>
      </c>
      <c r="F463" s="51" t="str">
        <f ca="1">IF(AND(INT('模拟-模拟计算'!B488)&lt;='模拟-模拟计算'!$C$2,'模拟-模拟计算'!B488&gt;0),'模拟-模拟计算'!P488," ")</f>
        <v>会</v>
      </c>
      <c r="G463" s="52">
        <f ca="1">IF(AND(INT('模拟-模拟计算'!B488)&lt;='模拟-模拟计算'!$C$2,'模拟-模拟计算'!B488&gt;0),'模拟-模拟计算'!V488," ")</f>
        <v>204517.60843249681</v>
      </c>
      <c r="H463" s="52">
        <f ca="1">IF(AND(INT('模拟-模拟计算'!B488)&lt;='模拟-模拟计算'!$C$2,'模拟-模拟计算'!B488&gt;0),'模拟-模拟计算'!Y488," ")</f>
        <v>228607.97316224777</v>
      </c>
      <c r="I463" s="105">
        <f ca="1">IF(AND(INT('模拟-模拟计算'!B488)&lt;='模拟-模拟计算'!$C$2,'模拟-模拟计算'!B488&gt;0),'模拟-模拟计算'!AA488," ")</f>
        <v>113572.76496813141</v>
      </c>
    </row>
    <row r="464" spans="1:9" x14ac:dyDescent="0.2">
      <c r="A464" s="20">
        <f>INT('模拟-模拟计算'!B489+0.5)</f>
        <v>426</v>
      </c>
      <c r="B464" s="52">
        <f>IF(AND(INT('模拟-模拟计算'!B489)&lt;='模拟-模拟计算'!$C$2,'模拟-模拟计算'!B489&gt;0),'模拟-模拟计算'!B489," ")</f>
        <v>426.19500000000431</v>
      </c>
      <c r="C464" s="51" t="str">
        <f ca="1">IF(AND(INT('模拟-模拟计算'!B489)&lt;='模拟-模拟计算'!$C$2,'模拟-模拟计算'!B489&gt;0),'模拟-模拟计算'!C489," ")</f>
        <v>赤日轮1</v>
      </c>
      <c r="D464" s="104">
        <f ca="1">IF(AND(INT('模拟-模拟计算'!B489)&lt;='模拟-模拟计算'!$C$2,'模拟-模拟计算'!B489&gt;0),'模拟-模拟计算'!E489," ")</f>
        <v>20</v>
      </c>
      <c r="E464" s="104">
        <f ca="1">IF(AND(INT('模拟-模拟计算'!B489)&lt;='模拟-模拟计算'!$C$2,'模拟-模拟计算'!B489&gt;0),'模拟-模拟计算'!F489," ")</f>
        <v>20</v>
      </c>
      <c r="F464" s="51" t="str">
        <f ca="1">IF(AND(INT('模拟-模拟计算'!B489)&lt;='模拟-模拟计算'!$C$2,'模拟-模拟计算'!B489&gt;0),'模拟-模拟计算'!P489," ")</f>
        <v>会</v>
      </c>
      <c r="G464" s="52">
        <f ca="1">IF(AND(INT('模拟-模拟计算'!B489)&lt;='模拟-模拟计算'!$C$2,'模拟-模拟计算'!B489&gt;0),'模拟-模拟计算'!V489," ")</f>
        <v>56864.156113360666</v>
      </c>
      <c r="H464" s="52">
        <f ca="1">IF(AND(INT('模拟-模拟计算'!B489)&lt;='模拟-模拟计算'!$C$2,'模拟-模拟计算'!B489&gt;0),'模拟-模拟计算'!Y489," ")</f>
        <v>82327.534224577685</v>
      </c>
      <c r="I464" s="105">
        <f ca="1">IF(AND(INT('模拟-模拟计算'!B489)&lt;='模拟-模拟计算'!$C$2,'模拟-模拟计算'!B489&gt;0),'模拟-模拟计算'!AA489," ")</f>
        <v>113520.10517282989</v>
      </c>
    </row>
    <row r="465" spans="1:9" x14ac:dyDescent="0.2">
      <c r="A465" s="20">
        <f>INT('模拟-模拟计算'!B490+0.5)</f>
        <v>427</v>
      </c>
      <c r="B465" s="52">
        <f>IF(AND(INT('模拟-模拟计算'!B490)&lt;='模拟-模拟计算'!$C$2,'模拟-模拟计算'!B490&gt;0),'模拟-模拟计算'!B490," ")</f>
        <v>427.11750000000433</v>
      </c>
      <c r="C465" s="51" t="str">
        <f ca="1">IF(AND(INT('模拟-模拟计算'!B490)&lt;='模拟-模拟计算'!$C$2,'模拟-模拟计算'!B490&gt;0),'模拟-模拟计算'!C490," ")</f>
        <v>银月斩</v>
      </c>
      <c r="D465" s="104">
        <f ca="1">IF(AND(INT('模拟-模拟计算'!B490)&lt;='模拟-模拟计算'!$C$2,'模拟-模拟计算'!B490&gt;0),'模拟-模拟计算'!E490," ")</f>
        <v>20</v>
      </c>
      <c r="E465" s="104">
        <f ca="1">IF(AND(INT('模拟-模拟计算'!B490)&lt;='模拟-模拟计算'!$C$2,'模拟-模拟计算'!B490&gt;0),'模拟-模拟计算'!F490," ")</f>
        <v>65</v>
      </c>
      <c r="F465" s="51" t="str">
        <f ca="1">IF(AND(INT('模拟-模拟计算'!B490)&lt;='模拟-模拟计算'!$C$2,'模拟-模拟计算'!B490&gt;0),'模拟-模拟计算'!P490," ")</f>
        <v>会</v>
      </c>
      <c r="G465" s="52">
        <f ca="1">IF(AND(INT('模拟-模拟计算'!B490)&lt;='模拟-模拟计算'!$C$2,'模拟-模拟计算'!B490&gt;0),'模拟-模拟计算'!V490," ")</f>
        <v>41211.704893206668</v>
      </c>
      <c r="H465" s="52">
        <f ca="1">IF(AND(INT('模拟-模拟计算'!B490)&lt;='模拟-模拟计算'!$C$2,'模拟-模拟计算'!B490&gt;0),'模拟-模拟计算'!Y490," ")</f>
        <v>68039.362956766039</v>
      </c>
      <c r="I465" s="105">
        <f ca="1">IF(AND(INT('模拟-模拟计算'!B490)&lt;='模拟-模拟计算'!$C$2,'模拟-模拟计算'!B490&gt;0),'模拟-模拟计算'!AA490," ")</f>
        <v>113434.22029556504</v>
      </c>
    </row>
    <row r="466" spans="1:9" x14ac:dyDescent="0.2">
      <c r="A466" s="20">
        <f>INT('模拟-模拟计算'!B491+0.5)</f>
        <v>428</v>
      </c>
      <c r="B466" s="52">
        <f>IF(AND(INT('模拟-模拟计算'!B491)&lt;='模拟-模拟计算'!$C$2,'模拟-模拟计算'!B491&gt;0),'模拟-模拟计算'!B491," ")</f>
        <v>428.04000000000434</v>
      </c>
      <c r="C466" s="51" t="str">
        <f ca="1">IF(AND(INT('模拟-模拟计算'!B491)&lt;='模拟-模拟计算'!$C$2,'模拟-模拟计算'!B491&gt;0),'模拟-模拟计算'!C491," ")</f>
        <v>驱夜断愁</v>
      </c>
      <c r="D466" s="104">
        <f ca="1">IF(AND(INT('模拟-模拟计算'!B491)&lt;='模拟-模拟计算'!$C$2,'模拟-模拟计算'!B491&gt;0),'模拟-模拟计算'!E491," ")</f>
        <v>40</v>
      </c>
      <c r="E466" s="104">
        <f ca="1">IF(AND(INT('模拟-模拟计算'!B491)&lt;='模拟-模拟计算'!$C$2,'模拟-模拟计算'!B491&gt;0),'模拟-模拟计算'!F491," ")</f>
        <v>85</v>
      </c>
      <c r="F466" s="51" t="str">
        <f ca="1">IF(AND(INT('模拟-模拟计算'!B491)&lt;='模拟-模拟计算'!$C$2,'模拟-模拟计算'!B491&gt;0),'模拟-模拟计算'!P491," ")</f>
        <v>会</v>
      </c>
      <c r="G466" s="52">
        <f ca="1">IF(AND(INT('模拟-模拟计算'!B491)&lt;='模拟-模拟计算'!$C$2,'模拟-模拟计算'!B491&gt;0),'模拟-模拟计算'!V491," ")</f>
        <v>133079.35569364758</v>
      </c>
      <c r="H466" s="52">
        <f ca="1">IF(AND(INT('模拟-模拟计算'!B491)&lt;='模拟-模拟计算'!$C$2,'模拟-模拟计算'!B491&gt;0),'模拟-模拟计算'!Y491," ")</f>
        <v>158904.24444841166</v>
      </c>
      <c r="I466" s="105">
        <f ca="1">IF(AND(INT('模拟-模拟计算'!B491)&lt;='模拟-模拟计算'!$C$2,'模拟-模拟计算'!B491&gt;0),'模拟-模拟计算'!AA491," ")</f>
        <v>113560.98689734466</v>
      </c>
    </row>
    <row r="467" spans="1:9" x14ac:dyDescent="0.2">
      <c r="A467" s="20">
        <f>INT('模拟-模拟计算'!B492+0.5)</f>
        <v>429</v>
      </c>
      <c r="B467" s="52">
        <f>IF(AND(INT('模拟-模拟计算'!B492)&lt;='模拟-模拟计算'!$C$2,'模拟-模拟计算'!B492&gt;0),'模拟-模拟计算'!B492," ")</f>
        <v>428.96250000000435</v>
      </c>
      <c r="C467" s="51" t="str">
        <f ca="1">IF(AND(INT('模拟-模拟计算'!B492)&lt;='模拟-模拟计算'!$C$2,'模拟-模拟计算'!B492&gt;0),'模拟-模拟计算'!C492," ")</f>
        <v>烈日斩</v>
      </c>
      <c r="D467" s="104">
        <f ca="1">IF(AND(INT('模拟-模拟计算'!B492)&lt;='模拟-模拟计算'!$C$2,'模拟-模拟计算'!B492&gt;0),'模拟-模拟计算'!E492," ")</f>
        <v>80</v>
      </c>
      <c r="E467" s="104">
        <f ca="1">IF(AND(INT('模拟-模拟计算'!B492)&lt;='模拟-模拟计算'!$C$2,'模拟-模拟计算'!B492&gt;0),'模拟-模拟计算'!F492," ")</f>
        <v>85</v>
      </c>
      <c r="F467" s="51" t="str">
        <f ca="1">IF(AND(INT('模拟-模拟计算'!B492)&lt;='模拟-模拟计算'!$C$2,'模拟-模拟计算'!B492&gt;0),'模拟-模拟计算'!P492," ")</f>
        <v>命</v>
      </c>
      <c r="G467" s="52">
        <f ca="1">IF(AND(INT('模拟-模拟计算'!B492)&lt;='模拟-模拟计算'!$C$2,'模拟-模拟计算'!B492&gt;0),'模拟-模拟计算'!V492," ")</f>
        <v>48841.631854871324</v>
      </c>
      <c r="H467" s="52">
        <f ca="1">IF(AND(INT('模拟-模拟计算'!B492)&lt;='模拟-模拟计算'!$C$2,'模拟-模拟计算'!B492&gt;0),'模拟-模拟计算'!Y492," ")</f>
        <v>58819.799612995157</v>
      </c>
      <c r="I467" s="105">
        <f ca="1">IF(AND(INT('模拟-模拟计算'!B492)&lt;='模拟-模拟计算'!$C$2,'模拟-模拟计算'!B492&gt;0),'模拟-模拟计算'!AA492," ")</f>
        <v>113453.89079733635</v>
      </c>
    </row>
    <row r="468" spans="1:9" x14ac:dyDescent="0.2">
      <c r="A468" s="20">
        <f>INT('模拟-模拟计算'!B493+0.5)</f>
        <v>430</v>
      </c>
      <c r="B468" s="52">
        <f>IF(AND(INT('模拟-模拟计算'!B493)&lt;='模拟-模拟计算'!$C$2,'模拟-模拟计算'!B493&gt;0),'模拟-模拟计算'!B493," ")</f>
        <v>429.88500000000437</v>
      </c>
      <c r="C468" s="51" t="str">
        <f ca="1">IF(AND(INT('模拟-模拟计算'!B493)&lt;='模拟-模拟计算'!$C$2,'模拟-模拟计算'!B493&gt;0),'模拟-模拟计算'!C493," ")</f>
        <v>幽月轮1</v>
      </c>
      <c r="D468" s="104">
        <f ca="1">IF(AND(INT('模拟-模拟计算'!B493)&lt;='模拟-模拟计算'!$C$2,'模拟-模拟计算'!B493&gt;0),'模拟-模拟计算'!E493," ")</f>
        <v>80</v>
      </c>
      <c r="E468" s="104">
        <f ca="1">IF(AND(INT('模拟-模拟计算'!B493)&lt;='模拟-模拟计算'!$C$2,'模拟-模拟计算'!B493&gt;0),'模拟-模拟计算'!F493," ")</f>
        <v>100</v>
      </c>
      <c r="F468" s="51" t="str">
        <f ca="1">IF(AND(INT('模拟-模拟计算'!B493)&lt;='模拟-模拟计算'!$C$2,'模拟-模拟计算'!B493&gt;0),'模拟-模拟计算'!P493," ")</f>
        <v>会</v>
      </c>
      <c r="G468" s="52">
        <f ca="1">IF(AND(INT('模拟-模拟计算'!B493)&lt;='模拟-模拟计算'!$C$2,'模拟-模拟计算'!B493&gt;0),'模拟-模拟计算'!V493," ")</f>
        <v>36630.702053185581</v>
      </c>
      <c r="H468" s="52">
        <f ca="1">IF(AND(INT('模拟-模拟计算'!B493)&lt;='模拟-模拟计算'!$C$2,'模拟-模拟计算'!B493&gt;0),'模拟-模拟计算'!Y493," ")</f>
        <v>57742.005160983768</v>
      </c>
      <c r="I468" s="105">
        <f ca="1">IF(AND(INT('模拟-模拟计算'!B493)&lt;='模拟-模拟计算'!$C$2,'模拟-模拟计算'!B493&gt;0),'模拟-模拟计算'!AA493," ")</f>
        <v>113344.74716799466</v>
      </c>
    </row>
    <row r="469" spans="1:9" x14ac:dyDescent="0.2">
      <c r="A469" s="20">
        <f>INT('模拟-模拟计算'!B494+0.5)</f>
        <v>431</v>
      </c>
      <c r="B469" s="52">
        <f>IF(AND(INT('模拟-模拟计算'!B494)&lt;='模拟-模拟计算'!$C$2,'模拟-模拟计算'!B494&gt;0),'模拟-模拟计算'!B494," ")</f>
        <v>430.80750000000438</v>
      </c>
      <c r="C469" s="51" t="str">
        <f ca="1">IF(AND(INT('模拟-模拟计算'!B494)&lt;='模拟-模拟计算'!$C$2,'模拟-模拟计算'!B494&gt;0),'模拟-模拟计算'!C494," ")</f>
        <v>净世破魔击·月</v>
      </c>
      <c r="D469" s="104">
        <f ca="1">IF(AND(INT('模拟-模拟计算'!B494)&lt;='模拟-模拟计算'!$C$2,'模拟-模拟计算'!B494&gt;0),'模拟-模拟计算'!E494," ")</f>
        <v>100</v>
      </c>
      <c r="E469" s="104">
        <f ca="1">IF(AND(INT('模拟-模拟计算'!B494)&lt;='模拟-模拟计算'!$C$2,'模拟-模拟计算'!B494&gt;0),'模拟-模拟计算'!F494," ")</f>
        <v>20</v>
      </c>
      <c r="F469" s="51" t="str">
        <f ca="1">IF(AND(INT('模拟-模拟计算'!B494)&lt;='模拟-模拟计算'!$C$2,'模拟-模拟计算'!B494&gt;0),'模拟-模拟计算'!P494," ")</f>
        <v>会</v>
      </c>
      <c r="G469" s="52">
        <f ca="1">IF(AND(INT('模拟-模拟计算'!B494)&lt;='模拟-模拟计算'!$C$2,'模拟-模拟计算'!B494&gt;0),'模拟-模拟计算'!V494," ")</f>
        <v>182541.2211190153</v>
      </c>
      <c r="H469" s="52">
        <f ca="1">IF(AND(INT('模拟-模拟计算'!B494)&lt;='模拟-模拟计算'!$C$2,'模拟-模拟计算'!B494&gt;0),'模拟-模拟计算'!Y494," ")</f>
        <v>200475.59963451058</v>
      </c>
      <c r="I469" s="105">
        <f ca="1">IF(AND(INT('模拟-模拟计算'!B494)&lt;='模拟-模拟计算'!$C$2,'模拟-模拟计算'!B494&gt;0),'模拟-模拟计算'!AA494," ")</f>
        <v>113567.38737359004</v>
      </c>
    </row>
    <row r="470" spans="1:9" x14ac:dyDescent="0.2">
      <c r="A470" s="20">
        <f>INT('模拟-模拟计算'!B495+0.5)</f>
        <v>432</v>
      </c>
      <c r="B470" s="52">
        <f>IF(AND(INT('模拟-模拟计算'!B495)&lt;='模拟-模拟计算'!$C$2,'模拟-模拟计算'!B495&gt;0),'模拟-模拟计算'!B495," ")</f>
        <v>431.7300000000044</v>
      </c>
      <c r="C470" s="51" t="str">
        <f ca="1">IF(AND(INT('模拟-模拟计算'!B495)&lt;='模拟-模拟计算'!$C$2,'模拟-模拟计算'!B495&gt;0),'模拟-模拟计算'!C495," ")</f>
        <v>净世破魔击·日</v>
      </c>
      <c r="D470" s="104">
        <f ca="1">IF(AND(INT('模拟-模拟计算'!B495)&lt;='模拟-模拟计算'!$C$2,'模拟-模拟计算'!B495&gt;0),'模拟-模拟计算'!E495," ")</f>
        <v>0</v>
      </c>
      <c r="E470" s="104">
        <f ca="1">IF(AND(INT('模拟-模拟计算'!B495)&lt;='模拟-模拟计算'!$C$2,'模拟-模拟计算'!B495&gt;0),'模拟-模拟计算'!F495," ")</f>
        <v>20</v>
      </c>
      <c r="F470" s="51" t="str">
        <f ca="1">IF(AND(INT('模拟-模拟计算'!B495)&lt;='模拟-模拟计算'!$C$2,'模拟-模拟计算'!B495&gt;0),'模拟-模拟计算'!P495," ")</f>
        <v>会</v>
      </c>
      <c r="G470" s="52">
        <f ca="1">IF(AND(INT('模拟-模拟计算'!B495)&lt;='模拟-模拟计算'!$C$2,'模拟-模拟计算'!B495&gt;0),'模拟-模拟计算'!V495," ")</f>
        <v>204517.60843249681</v>
      </c>
      <c r="H470" s="52">
        <f ca="1">IF(AND(INT('模拟-模拟计算'!B495)&lt;='模拟-模拟计算'!$C$2,'模拟-模拟计算'!B495&gt;0),'模拟-模拟计算'!Y495," ")</f>
        <v>225688.75574690427</v>
      </c>
      <c r="I470" s="105">
        <f ca="1">IF(AND(INT('模拟-模拟计算'!B495)&lt;='模拟-模拟计算'!$C$2,'模拟-模拟计算'!B495&gt;0),'模拟-模拟计算'!AA495," ")</f>
        <v>113847.47641279224</v>
      </c>
    </row>
    <row r="471" spans="1:9" x14ac:dyDescent="0.2">
      <c r="A471" s="20">
        <f>INT('模拟-模拟计算'!B496+0.5)</f>
        <v>433</v>
      </c>
      <c r="B471" s="52">
        <f>IF(AND(INT('模拟-模拟计算'!B496)&lt;='模拟-模拟计算'!$C$2,'模拟-模拟计算'!B496&gt;0),'模拟-模拟计算'!B496," ")</f>
        <v>432.65250000000441</v>
      </c>
      <c r="C471" s="51" t="str">
        <f ca="1">IF(AND(INT('模拟-模拟计算'!B496)&lt;='模拟-模拟计算'!$C$2,'模拟-模拟计算'!B496&gt;0),'模拟-模拟计算'!C496," ")</f>
        <v>赤日轮1</v>
      </c>
      <c r="D471" s="104">
        <f ca="1">IF(AND(INT('模拟-模拟计算'!B496)&lt;='模拟-模拟计算'!$C$2,'模拟-模拟计算'!B496&gt;0),'模拟-模拟计算'!E496," ")</f>
        <v>20</v>
      </c>
      <c r="E471" s="104">
        <f ca="1">IF(AND(INT('模拟-模拟计算'!B496)&lt;='模拟-模拟计算'!$C$2,'模拟-模拟计算'!B496&gt;0),'模拟-模拟计算'!F496," ")</f>
        <v>20</v>
      </c>
      <c r="F471" s="51" t="str">
        <f ca="1">IF(AND(INT('模拟-模拟计算'!B496)&lt;='模拟-模拟计算'!$C$2,'模拟-模拟计算'!B496&gt;0),'模拟-模拟计算'!P496," ")</f>
        <v>会</v>
      </c>
      <c r="G471" s="52">
        <f ca="1">IF(AND(INT('模拟-模拟计算'!B496)&lt;='模拟-模拟计算'!$C$2,'模拟-模拟计算'!B496&gt;0),'模拟-模拟计算'!V496," ")</f>
        <v>56864.156113360666</v>
      </c>
      <c r="H471" s="52">
        <f ca="1">IF(AND(INT('模拟-模拟计算'!B496)&lt;='模拟-模拟计算'!$C$2,'模拟-模拟计算'!B496&gt;0),'模拟-模拟计算'!Y496," ")</f>
        <v>61476.155092624802</v>
      </c>
      <c r="I471" s="105">
        <f ca="1">IF(AND(INT('模拟-模拟计算'!B496)&lt;='模拟-模拟计算'!$C$2,'模拟-模拟计算'!B496&gt;0),'模拟-模拟计算'!AA496," ")</f>
        <v>113746.82255802848</v>
      </c>
    </row>
    <row r="472" spans="1:9" x14ac:dyDescent="0.2">
      <c r="A472" s="20">
        <f>INT('模拟-模拟计算'!B497+0.5)</f>
        <v>434</v>
      </c>
      <c r="B472" s="52">
        <f>IF(AND(INT('模拟-模拟计算'!B497)&lt;='模拟-模拟计算'!$C$2,'模拟-模拟计算'!B497&gt;0),'模拟-模拟计算'!B497," ")</f>
        <v>433.57500000000442</v>
      </c>
      <c r="C472" s="51" t="str">
        <f ca="1">IF(AND(INT('模拟-模拟计算'!B497)&lt;='模拟-模拟计算'!$C$2,'模拟-模拟计算'!B497&gt;0),'模拟-模拟计算'!C497," ")</f>
        <v>银月斩</v>
      </c>
      <c r="D472" s="104">
        <f ca="1">IF(AND(INT('模拟-模拟计算'!B497)&lt;='模拟-模拟计算'!$C$2,'模拟-模拟计算'!B497&gt;0),'模拟-模拟计算'!E497," ")</f>
        <v>20</v>
      </c>
      <c r="E472" s="104">
        <f ca="1">IF(AND(INT('模拟-模拟计算'!B497)&lt;='模拟-模拟计算'!$C$2,'模拟-模拟计算'!B497&gt;0),'模拟-模拟计算'!F497," ")</f>
        <v>65</v>
      </c>
      <c r="F472" s="51" t="str">
        <f ca="1">IF(AND(INT('模拟-模拟计算'!B497)&lt;='模拟-模拟计算'!$C$2,'模拟-模拟计算'!B497&gt;0),'模拟-模拟计算'!P497," ")</f>
        <v>会</v>
      </c>
      <c r="G472" s="52">
        <f ca="1">IF(AND(INT('模拟-模拟计算'!B497)&lt;='模拟-模拟计算'!$C$2,'模拟-模拟计算'!B497&gt;0),'模拟-模拟计算'!V497," ")</f>
        <v>41211.704893206668</v>
      </c>
      <c r="H472" s="52">
        <f ca="1">IF(AND(INT('模拟-模拟计算'!B497)&lt;='模拟-模拟计算'!$C$2,'模拟-模拟计算'!B497&gt;0),'模拟-模拟计算'!Y497," ")</f>
        <v>51168.571228761721</v>
      </c>
      <c r="I472" s="105">
        <f ca="1">IF(AND(INT('模拟-模拟计算'!B497)&lt;='模拟-模拟计算'!$C$2,'模拟-模拟计算'!B497&gt;0),'模拟-模拟计算'!AA497," ")</f>
        <v>113622.82354383021</v>
      </c>
    </row>
    <row r="473" spans="1:9" x14ac:dyDescent="0.2">
      <c r="A473" s="20">
        <f>INT('模拟-模拟计算'!B498+0.5)</f>
        <v>434</v>
      </c>
      <c r="B473" s="52">
        <f>IF(AND(INT('模拟-模拟计算'!B498)&lt;='模拟-模拟计算'!$C$2,'模拟-模拟计算'!B498&gt;0),'模拟-模拟计算'!B498," ")</f>
        <v>434.49750000000444</v>
      </c>
      <c r="C473" s="51" t="str">
        <f ca="1">IF(AND(INT('模拟-模拟计算'!B498)&lt;='模拟-模拟计算'!$C$2,'模拟-模拟计算'!B498&gt;0),'模拟-模拟计算'!C498," ")</f>
        <v>驱夜断愁</v>
      </c>
      <c r="D473" s="104">
        <f ca="1">IF(AND(INT('模拟-模拟计算'!B498)&lt;='模拟-模拟计算'!$C$2,'模拟-模拟计算'!B498&gt;0),'模拟-模拟计算'!E498," ")</f>
        <v>40</v>
      </c>
      <c r="E473" s="104">
        <f ca="1">IF(AND(INT('模拟-模拟计算'!B498)&lt;='模拟-模拟计算'!$C$2,'模拟-模拟计算'!B498&gt;0),'模拟-模拟计算'!F498," ")</f>
        <v>85</v>
      </c>
      <c r="F473" s="51" t="str">
        <f ca="1">IF(AND(INT('模拟-模拟计算'!B498)&lt;='模拟-模拟计算'!$C$2,'模拟-模拟计算'!B498&gt;0),'模拟-模拟计算'!P498," ")</f>
        <v>识</v>
      </c>
      <c r="G473" s="52">
        <f ca="1">IF(AND(INT('模拟-模拟计算'!B498)&lt;='模拟-模拟计算'!$C$2,'模拟-模拟计算'!B498&gt;0),'模拟-模拟计算'!V498," ")</f>
        <v>15385.018372398006</v>
      </c>
      <c r="H473" s="52">
        <f ca="1">IF(AND(INT('模拟-模拟计算'!B498)&lt;='模拟-模拟计算'!$C$2,'模拟-模拟计算'!B498&gt;0),'模拟-模拟计算'!Y498," ")</f>
        <v>20358.527995209195</v>
      </c>
      <c r="I473" s="105">
        <f ca="1">IF(AND(INT('模拟-模拟计算'!B498)&lt;='模拟-模拟计算'!$C$2,'模拟-模拟计算'!B498&gt;0),'模拟-模拟计算'!AA498," ")</f>
        <v>113428.44146631773</v>
      </c>
    </row>
    <row r="474" spans="1:9" x14ac:dyDescent="0.2">
      <c r="A474" s="20">
        <f>INT('模拟-模拟计算'!B499+0.5)</f>
        <v>435</v>
      </c>
      <c r="B474" s="52">
        <f>IF(AND(INT('模拟-模拟计算'!B499)&lt;='模拟-模拟计算'!$C$2,'模拟-模拟计算'!B499&gt;0),'模拟-模拟计算'!B499," ")</f>
        <v>435.42000000000445</v>
      </c>
      <c r="C474" s="51" t="str">
        <f ca="1">IF(AND(INT('模拟-模拟计算'!B499)&lt;='模拟-模拟计算'!$C$2,'模拟-模拟计算'!B499&gt;0),'模拟-模拟计算'!C499," ")</f>
        <v>烈日斩</v>
      </c>
      <c r="D474" s="104">
        <f ca="1">IF(AND(INT('模拟-模拟计算'!B499)&lt;='模拟-模拟计算'!$C$2,'模拟-模拟计算'!B499&gt;0),'模拟-模拟计算'!E499," ")</f>
        <v>80</v>
      </c>
      <c r="E474" s="104">
        <f ca="1">IF(AND(INT('模拟-模拟计算'!B499)&lt;='模拟-模拟计算'!$C$2,'模拟-模拟计算'!B499&gt;0),'模拟-模拟计算'!F499," ")</f>
        <v>85</v>
      </c>
      <c r="F474" s="51" t="str">
        <f ca="1">IF(AND(INT('模拟-模拟计算'!B499)&lt;='模拟-模拟计算'!$C$2,'模拟-模拟计算'!B499&gt;0),'模拟-模拟计算'!P499," ")</f>
        <v>识</v>
      </c>
      <c r="G474" s="52">
        <f ca="1">IF(AND(INT('模拟-模拟计算'!B499)&lt;='模拟-模拟计算'!$C$2,'模拟-模拟计算'!B499&gt;0),'模拟-模拟计算'!V499," ")</f>
        <v>12210.407963717831</v>
      </c>
      <c r="H474" s="52">
        <f ca="1">IF(AND(INT('模拟-模拟计算'!B499)&lt;='模拟-模拟计算'!$C$2,'模拟-模拟计算'!B499&gt;0),'模拟-模拟计算'!Y499," ")</f>
        <v>24179.810459721059</v>
      </c>
      <c r="I474" s="105">
        <f ca="1">IF(AND(INT('模拟-模拟计算'!B499)&lt;='模拟-模拟计算'!$C$2,'模拟-模拟计算'!B499&gt;0),'模拟-模拟计算'!AA499," ")</f>
        <v>113243.65912560541</v>
      </c>
    </row>
    <row r="475" spans="1:9" x14ac:dyDescent="0.2">
      <c r="A475" s="20">
        <f>INT('模拟-模拟计算'!B500+0.5)</f>
        <v>436</v>
      </c>
      <c r="B475" s="52">
        <f>IF(AND(INT('模拟-模拟计算'!B500)&lt;='模拟-模拟计算'!$C$2,'模拟-模拟计算'!B500&gt;0),'模拟-模拟计算'!B500," ")</f>
        <v>436.34250000000446</v>
      </c>
      <c r="C475" s="51" t="str">
        <f ca="1">IF(AND(INT('模拟-模拟计算'!B500)&lt;='模拟-模拟计算'!$C$2,'模拟-模拟计算'!B500&gt;0),'模拟-模拟计算'!C500," ")</f>
        <v>幽月轮1</v>
      </c>
      <c r="D475" s="104">
        <f ca="1">IF(AND(INT('模拟-模拟计算'!B500)&lt;='模拟-模拟计算'!$C$2,'模拟-模拟计算'!B500&gt;0),'模拟-模拟计算'!E500," ")</f>
        <v>80</v>
      </c>
      <c r="E475" s="104">
        <f ca="1">IF(AND(INT('模拟-模拟计算'!B500)&lt;='模拟-模拟计算'!$C$2,'模拟-模拟计算'!B500&gt;0),'模拟-模拟计算'!F500," ")</f>
        <v>100</v>
      </c>
      <c r="F475" s="51" t="str">
        <f ca="1">IF(AND(INT('模拟-模拟计算'!B500)&lt;='模拟-模拟计算'!$C$2,'模拟-模拟计算'!B500&gt;0),'模拟-模拟计算'!P500," ")</f>
        <v>识</v>
      </c>
      <c r="G475" s="52">
        <f ca="1">IF(AND(INT('模拟-模拟计算'!B500)&lt;='模拟-模拟计算'!$C$2,'模拟-模拟计算'!B500&gt;0),'模拟-模拟计算'!V500," ")</f>
        <v>4234.7967582548099</v>
      </c>
      <c r="H475" s="52">
        <f ca="1">IF(AND(INT('模拟-模拟计算'!B500)&lt;='模拟-模拟计算'!$C$2,'模拟-模拟计算'!B500&gt;0),'模拟-模拟计算'!Y500," ")</f>
        <v>12545.661751008562</v>
      </c>
      <c r="I475" s="105">
        <f ca="1">IF(AND(INT('模拟-模拟计算'!B500)&lt;='模拟-模拟计算'!$C$2,'模拟-模拟计算'!B500&gt;0),'模拟-模拟计算'!AA500," ")</f>
        <v>113032.99522329847</v>
      </c>
    </row>
    <row r="476" spans="1:9" x14ac:dyDescent="0.2">
      <c r="A476" s="20">
        <f>INT('模拟-模拟计算'!B501+0.5)</f>
        <v>437</v>
      </c>
      <c r="B476" s="52">
        <f>IF(AND(INT('模拟-模拟计算'!B501)&lt;='模拟-模拟计算'!$C$2,'模拟-模拟计算'!B501&gt;0),'模拟-模拟计算'!B501," ")</f>
        <v>437.26500000000448</v>
      </c>
      <c r="C476" s="51" t="str">
        <f ca="1">IF(AND(INT('模拟-模拟计算'!B501)&lt;='模拟-模拟计算'!$C$2,'模拟-模拟计算'!B501&gt;0),'模拟-模拟计算'!C501," ")</f>
        <v>净世破魔击·月</v>
      </c>
      <c r="D476" s="104">
        <f ca="1">IF(AND(INT('模拟-模拟计算'!B501)&lt;='模拟-模拟计算'!$C$2,'模拟-模拟计算'!B501&gt;0),'模拟-模拟计算'!E501," ")</f>
        <v>100</v>
      </c>
      <c r="E476" s="104">
        <f ca="1">IF(AND(INT('模拟-模拟计算'!B501)&lt;='模拟-模拟计算'!$C$2,'模拟-模拟计算'!B501&gt;0),'模拟-模拟计算'!F501," ")</f>
        <v>20</v>
      </c>
      <c r="F476" s="51" t="str">
        <f ca="1">IF(AND(INT('模拟-模拟计算'!B501)&lt;='模拟-模拟计算'!$C$2,'模拟-模拟计算'!B501&gt;0),'模拟-模拟计算'!P501," ")</f>
        <v>会</v>
      </c>
      <c r="G476" s="52">
        <f ca="1">IF(AND(INT('模拟-模拟计算'!B501)&lt;='模拟-模拟计算'!$C$2,'模拟-模拟计算'!B501&gt;0),'模拟-模拟计算'!V501," ")</f>
        <v>212964.75797218451</v>
      </c>
      <c r="H476" s="52">
        <f ca="1">IF(AND(INT('模拟-模拟计算'!B501)&lt;='模拟-模拟计算'!$C$2,'模拟-模拟计算'!B501&gt;0),'模拟-模拟计算'!Y501," ")</f>
        <v>232890.37122555918</v>
      </c>
      <c r="I476" s="105">
        <f ca="1">IF(AND(INT('模拟-模拟计算'!B501)&lt;='模拟-模拟计算'!$C$2,'模拟-模拟计算'!B501&gt;0),'模拟-模拟计算'!AA501," ")</f>
        <v>113327.13592317626</v>
      </c>
    </row>
    <row r="477" spans="1:9" x14ac:dyDescent="0.2">
      <c r="A477" s="20">
        <f>INT('模拟-模拟计算'!B502+0.5)</f>
        <v>438</v>
      </c>
      <c r="B477" s="52">
        <f>IF(AND(INT('模拟-模拟计算'!B502)&lt;='模拟-模拟计算'!$C$2,'模拟-模拟计算'!B502&gt;0),'模拟-模拟计算'!B502," ")</f>
        <v>438.18750000000449</v>
      </c>
      <c r="C477" s="51" t="str">
        <f ca="1">IF(AND(INT('模拟-模拟计算'!B502)&lt;='模拟-模拟计算'!$C$2,'模拟-模拟计算'!B502&gt;0),'模拟-模拟计算'!C502," ")</f>
        <v>净世破魔击·日</v>
      </c>
      <c r="D477" s="104">
        <f ca="1">IF(AND(INT('模拟-模拟计算'!B502)&lt;='模拟-模拟计算'!$C$2,'模拟-模拟计算'!B502&gt;0),'模拟-模拟计算'!E502," ")</f>
        <v>0</v>
      </c>
      <c r="E477" s="104">
        <f ca="1">IF(AND(INT('模拟-模拟计算'!B502)&lt;='模拟-模拟计算'!$C$2,'模拟-模拟计算'!B502&gt;0),'模拟-模拟计算'!F502," ")</f>
        <v>100</v>
      </c>
      <c r="F477" s="51" t="str">
        <f ca="1">IF(AND(INT('模拟-模拟计算'!B502)&lt;='模拟-模拟计算'!$C$2,'模拟-模拟计算'!B502&gt;0),'模拟-模拟计算'!P502," ")</f>
        <v>会</v>
      </c>
      <c r="G477" s="52">
        <f ca="1">IF(AND(INT('模拟-模拟计算'!B502)&lt;='模拟-模拟计算'!$C$2,'模拟-模拟计算'!B502&gt;0),'模拟-模拟计算'!V502," ")</f>
        <v>228568.4507011126</v>
      </c>
      <c r="H477" s="52">
        <f ca="1">IF(AND(INT('模拟-模拟计算'!B502)&lt;='模拟-模拟计算'!$C$2,'模拟-模拟计算'!B502&gt;0),'模拟-模拟计算'!Y502," ")</f>
        <v>247396.40882734442</v>
      </c>
      <c r="I477" s="105">
        <f ca="1">IF(AND(INT('模拟-模拟计算'!B502)&lt;='模拟-模拟计算'!$C$2,'模拟-模拟计算'!B502&gt;0),'模拟-模拟计算'!AA502," ")</f>
        <v>113653.14277170163</v>
      </c>
    </row>
    <row r="478" spans="1:9" x14ac:dyDescent="0.2">
      <c r="A478" s="20">
        <f>INT('模拟-模拟计算'!B503+0.5)</f>
        <v>439</v>
      </c>
      <c r="B478" s="52">
        <f>IF(AND(INT('模拟-模拟计算'!B503)&lt;='模拟-模拟计算'!$C$2,'模拟-模拟计算'!B503&gt;0),'模拟-模拟计算'!B503," ")</f>
        <v>439.1100000000045</v>
      </c>
      <c r="C478" s="51" t="str">
        <f ca="1">IF(AND(INT('模拟-模拟计算'!B503)&lt;='模拟-模拟计算'!$C$2,'模拟-模拟计算'!B503&gt;0),'模拟-模拟计算'!C503," ")</f>
        <v>净世破魔击·月</v>
      </c>
      <c r="D478" s="104">
        <f ca="1">IF(AND(INT('模拟-模拟计算'!B503)&lt;='模拟-模拟计算'!$C$2,'模拟-模拟计算'!B503&gt;0),'模拟-模拟计算'!E503," ")</f>
        <v>20</v>
      </c>
      <c r="E478" s="104">
        <f ca="1">IF(AND(INT('模拟-模拟计算'!B503)&lt;='模拟-模拟计算'!$C$2,'模拟-模拟计算'!B503&gt;0),'模拟-模拟计算'!F503," ")</f>
        <v>20</v>
      </c>
      <c r="F478" s="51" t="str">
        <f ca="1">IF(AND(INT('模拟-模拟计算'!B503)&lt;='模拟-模拟计算'!$C$2,'模拟-模拟计算'!B503&gt;0),'模拟-模拟计算'!P503," ")</f>
        <v>会</v>
      </c>
      <c r="G478" s="52">
        <f ca="1">IF(AND(INT('模拟-模拟计算'!B503)&lt;='模拟-模拟计算'!$C$2,'模拟-模拟计算'!B503&gt;0),'模拟-模拟计算'!V503," ")</f>
        <v>116578.90677476654</v>
      </c>
      <c r="H478" s="52">
        <f ca="1">IF(AND(INT('模拟-模拟计算'!B503)&lt;='模拟-模拟计算'!$C$2,'模拟-模拟计算'!B503&gt;0),'模拟-模拟计算'!Y503," ")</f>
        <v>198609.16050401924</v>
      </c>
      <c r="I478" s="105">
        <f ca="1">IF(AND(INT('模拟-模拟计算'!B503)&lt;='模拟-模拟计算'!$C$2,'模拟-模拟计算'!B503&gt;0),'模拟-模拟计算'!AA503," ")</f>
        <v>113866.67499892744</v>
      </c>
    </row>
    <row r="479" spans="1:9" x14ac:dyDescent="0.2">
      <c r="A479" s="20">
        <f>INT('模拟-模拟计算'!B504+0.5)</f>
        <v>440</v>
      </c>
      <c r="B479" s="52">
        <f>IF(AND(INT('模拟-模拟计算'!B504)&lt;='模拟-模拟计算'!$C$2,'模拟-模拟计算'!B504&gt;0),'模拟-模拟计算'!B504," ")</f>
        <v>440.03250000000452</v>
      </c>
      <c r="C479" s="51" t="str">
        <f ca="1">IF(AND(INT('模拟-模拟计算'!B504)&lt;='模拟-模拟计算'!$C$2,'模拟-模拟计算'!B504&gt;0),'模拟-模拟计算'!C504," ")</f>
        <v>银月斩</v>
      </c>
      <c r="D479" s="104">
        <f ca="1">IF(AND(INT('模拟-模拟计算'!B504)&lt;='模拟-模拟计算'!$C$2,'模拟-模拟计算'!B504&gt;0),'模拟-模拟计算'!E504," ")</f>
        <v>20</v>
      </c>
      <c r="E479" s="104">
        <f ca="1">IF(AND(INT('模拟-模拟计算'!B504)&lt;='模拟-模拟计算'!$C$2,'模拟-模拟计算'!B504&gt;0),'模拟-模拟计算'!F504," ")</f>
        <v>65</v>
      </c>
      <c r="F479" s="51" t="str">
        <f ca="1">IF(AND(INT('模拟-模拟计算'!B504)&lt;='模拟-模拟计算'!$C$2,'模拟-模拟计算'!B504&gt;0),'模拟-模拟计算'!P504," ")</f>
        <v>会</v>
      </c>
      <c r="G479" s="52">
        <f ca="1">IF(AND(INT('模拟-模拟计算'!B504)&lt;='模拟-模拟计算'!$C$2,'模拟-模拟计算'!B504&gt;0),'模拟-模拟计算'!V504," ")</f>
        <v>47762.146138749486</v>
      </c>
      <c r="H479" s="52">
        <f ca="1">IF(AND(INT('模拟-模拟计算'!B504)&lt;='模拟-模拟计算'!$C$2,'模拟-模拟计算'!B504&gt;0),'模拟-模拟计算'!Y504," ")</f>
        <v>57342.591320922918</v>
      </c>
      <c r="I479" s="105">
        <f ca="1">IF(AND(INT('模拟-模拟计算'!B504)&lt;='模拟-模拟计算'!$C$2,'模拟-模拟计算'!B504&gt;0),'模拟-模拟计算'!AA504," ")</f>
        <v>113758.27524126048</v>
      </c>
    </row>
    <row r="480" spans="1:9" x14ac:dyDescent="0.2">
      <c r="A480" s="20">
        <f>INT('模拟-模拟计算'!B505+0.5)</f>
        <v>441</v>
      </c>
      <c r="B480" s="52">
        <f>IF(AND(INT('模拟-模拟计算'!B505)&lt;='模拟-模拟计算'!$C$2,'模拟-模拟计算'!B505&gt;0),'模拟-模拟计算'!B505," ")</f>
        <v>440.95500000000453</v>
      </c>
      <c r="C480" s="51" t="str">
        <f ca="1">IF(AND(INT('模拟-模拟计算'!B505)&lt;='模拟-模拟计算'!$C$2,'模拟-模拟计算'!B505&gt;0),'模拟-模拟计算'!C505," ")</f>
        <v>驱夜断愁</v>
      </c>
      <c r="D480" s="104">
        <f ca="1">IF(AND(INT('模拟-模拟计算'!B505)&lt;='模拟-模拟计算'!$C$2,'模拟-模拟计算'!B505&gt;0),'模拟-模拟计算'!E505," ")</f>
        <v>40</v>
      </c>
      <c r="E480" s="104">
        <f ca="1">IF(AND(INT('模拟-模拟计算'!B505)&lt;='模拟-模拟计算'!$C$2,'模拟-模拟计算'!B505&gt;0),'模拟-模拟计算'!F505," ")</f>
        <v>85</v>
      </c>
      <c r="F480" s="51" t="str">
        <f ca="1">IF(AND(INT('模拟-模拟计算'!B505)&lt;='模拟-模拟计算'!$C$2,'模拟-模拟计算'!B505&gt;0),'模拟-模拟计算'!P505," ")</f>
        <v>命</v>
      </c>
      <c r="G480" s="52">
        <f ca="1">IF(AND(INT('模拟-模拟计算'!B505)&lt;='模拟-模拟计算'!$C$2,'模拟-模拟计算'!B505&gt;0),'模拟-模拟计算'!V505," ")</f>
        <v>58943.088028757353</v>
      </c>
      <c r="H480" s="52">
        <f ca="1">IF(AND(INT('模拟-模拟计算'!B505)&lt;='模拟-模拟计算'!$C$2,'模拟-模拟计算'!B505&gt;0),'模拟-模拟计算'!Y505," ")</f>
        <v>70784.462824608781</v>
      </c>
      <c r="I480" s="105">
        <f ca="1">IF(AND(INT('模拟-模拟计算'!B505)&lt;='模拟-模拟计算'!$C$2,'模拟-模拟计算'!B505&gt;0),'模拟-模拟计算'!AA505," ")</f>
        <v>113680.81258387944</v>
      </c>
    </row>
    <row r="481" spans="1:9" x14ac:dyDescent="0.2">
      <c r="A481" s="20">
        <f>INT('模拟-模拟计算'!B506+0.5)</f>
        <v>442</v>
      </c>
      <c r="B481" s="52">
        <f>IF(AND(INT('模拟-模拟计算'!B506)&lt;='模拟-模拟计算'!$C$2,'模拟-模拟计算'!B506&gt;0),'模拟-模拟计算'!B506," ")</f>
        <v>441.87750000000455</v>
      </c>
      <c r="C481" s="51" t="str">
        <f ca="1">IF(AND(INT('模拟-模拟计算'!B506)&lt;='模拟-模拟计算'!$C$2,'模拟-模拟计算'!B506&gt;0),'模拟-模拟计算'!C506," ")</f>
        <v>烈日斩</v>
      </c>
      <c r="D481" s="104">
        <f ca="1">IF(AND(INT('模拟-模拟计算'!B506)&lt;='模拟-模拟计算'!$C$2,'模拟-模拟计算'!B506&gt;0),'模拟-模拟计算'!E506," ")</f>
        <v>80</v>
      </c>
      <c r="E481" s="104">
        <f ca="1">IF(AND(INT('模拟-模拟计算'!B506)&lt;='模拟-模拟计算'!$C$2,'模拟-模拟计算'!B506&gt;0),'模拟-模拟计算'!F506," ")</f>
        <v>85</v>
      </c>
      <c r="F481" s="51" t="str">
        <f ca="1">IF(AND(INT('模拟-模拟计算'!B506)&lt;='模拟-模拟计算'!$C$2,'模拟-模拟计算'!B506&gt;0),'模拟-模拟计算'!P506," ")</f>
        <v>会</v>
      </c>
      <c r="G481" s="52">
        <f ca="1">IF(AND(INT('模拟-模拟计算'!B506)&lt;='模拟-模拟计算'!$C$2,'模拟-模拟计算'!B506&gt;0),'模拟-模拟计算'!V506," ")</f>
        <v>105861.05199666526</v>
      </c>
      <c r="H481" s="52">
        <f ca="1">IF(AND(INT('模拟-模拟计算'!B506)&lt;='模拟-模拟计算'!$C$2,'模拟-模拟计算'!B506&gt;0),'模拟-模拟计算'!Y506," ")</f>
        <v>115441.4971788387</v>
      </c>
      <c r="I481" s="105">
        <f ca="1">IF(AND(INT('模拟-模拟计算'!B506)&lt;='模拟-模拟计算'!$C$2,'模拟-模拟计算'!B506&gt;0),'模拟-模拟计算'!AA506," ")</f>
        <v>113704.73538504085</v>
      </c>
    </row>
    <row r="482" spans="1:9" x14ac:dyDescent="0.2">
      <c r="A482" s="20">
        <f>INT('模拟-模拟计算'!B507+0.5)</f>
        <v>443</v>
      </c>
      <c r="B482" s="52">
        <f>IF(AND(INT('模拟-模拟计算'!B507)&lt;='模拟-模拟计算'!$C$2,'模拟-模拟计算'!B507&gt;0),'模拟-模拟计算'!B507," ")</f>
        <v>442.80000000000456</v>
      </c>
      <c r="C482" s="51" t="str">
        <f ca="1">IF(AND(INT('模拟-模拟计算'!B507)&lt;='模拟-模拟计算'!$C$2,'模拟-模拟计算'!B507&gt;0),'模拟-模拟计算'!C507," ")</f>
        <v>幽月轮1</v>
      </c>
      <c r="D482" s="104">
        <f ca="1">IF(AND(INT('模拟-模拟计算'!B507)&lt;='模拟-模拟计算'!$C$2,'模拟-模拟计算'!B507&gt;0),'模拟-模拟计算'!E507," ")</f>
        <v>80</v>
      </c>
      <c r="E482" s="104">
        <f ca="1">IF(AND(INT('模拟-模拟计算'!B507)&lt;='模拟-模拟计算'!$C$2,'模拟-模拟计算'!B507&gt;0),'模拟-模拟计算'!F507," ")</f>
        <v>100</v>
      </c>
      <c r="F482" s="51" t="str">
        <f ca="1">IF(AND(INT('模拟-模拟计算'!B507)&lt;='模拟-模拟计算'!$C$2,'模拟-模拟计算'!B507&gt;0),'模拟-模拟计算'!P507," ")</f>
        <v>会</v>
      </c>
      <c r="G482" s="52">
        <f ca="1">IF(AND(INT('模拟-模拟计算'!B507)&lt;='模拟-模拟计算'!$C$2,'模拟-模拟计算'!B507&gt;0),'模拟-模拟计算'!V507," ")</f>
        <v>35088.919370823241</v>
      </c>
      <c r="H482" s="52">
        <f ca="1">IF(AND(INT('模拟-模拟计算'!B507)&lt;='模拟-模拟计算'!$C$2,'模拟-模拟计算'!B507&gt;0),'模拟-模拟计算'!Y507," ")</f>
        <v>44641.121828356976</v>
      </c>
      <c r="I482" s="105">
        <f ca="1">IF(AND(INT('模拟-模拟计算'!B507)&lt;='模拟-模拟计算'!$C$2,'模拟-模拟计算'!B507&gt;0),'模拟-模拟计算'!AA507," ")</f>
        <v>113568.66606127314</v>
      </c>
    </row>
    <row r="483" spans="1:9" x14ac:dyDescent="0.2">
      <c r="A483" s="20">
        <f>INT('模拟-模拟计算'!B508+0.5)</f>
        <v>444</v>
      </c>
      <c r="B483" s="52">
        <f>IF(AND(INT('模拟-模拟计算'!B508)&lt;='模拟-模拟计算'!$C$2,'模拟-模拟计算'!B508&gt;0),'模拟-模拟计算'!B508," ")</f>
        <v>443.72250000000457</v>
      </c>
      <c r="C483" s="51" t="str">
        <f ca="1">IF(AND(INT('模拟-模拟计算'!B508)&lt;='模拟-模拟计算'!$C$2,'模拟-模拟计算'!B508&gt;0),'模拟-模拟计算'!C508," ")</f>
        <v>净世破魔击·月</v>
      </c>
      <c r="D483" s="104">
        <f ca="1">IF(AND(INT('模拟-模拟计算'!B508)&lt;='模拟-模拟计算'!$C$2,'模拟-模拟计算'!B508&gt;0),'模拟-模拟计算'!E508," ")</f>
        <v>100</v>
      </c>
      <c r="E483" s="104">
        <f ca="1">IF(AND(INT('模拟-模拟计算'!B508)&lt;='模拟-模拟计算'!$C$2,'模拟-模拟计算'!B508&gt;0),'模拟-模拟计算'!F508," ")</f>
        <v>20</v>
      </c>
      <c r="F483" s="51" t="str">
        <f ca="1">IF(AND(INT('模拟-模拟计算'!B508)&lt;='模拟-模拟计算'!$C$2,'模拟-模拟计算'!B508&gt;0),'模拟-模拟计算'!P508," ")</f>
        <v>命</v>
      </c>
      <c r="G483" s="52">
        <f ca="1">IF(AND(INT('模拟-模拟计算'!B508)&lt;='模拟-模拟计算'!$C$2,'模拟-模拟计算'!B508&gt;0),'模拟-模拟计算'!V508," ")</f>
        <v>80864.621558254468</v>
      </c>
      <c r="H483" s="52">
        <f ca="1">IF(AND(INT('模拟-模拟计算'!B508)&lt;='模拟-模拟计算'!$C$2,'模拟-模拟计算'!B508&gt;0),'模拟-模拟计算'!Y508," ")</f>
        <v>98084.518492532748</v>
      </c>
      <c r="I483" s="105">
        <f ca="1">IF(AND(INT('模拟-模拟计算'!B508)&lt;='模拟-模拟计算'!$C$2,'模拟-模拟计算'!B508&gt;0),'模拟-模拟计算'!AA508," ")</f>
        <v>113553.60580187905</v>
      </c>
    </row>
    <row r="484" spans="1:9" x14ac:dyDescent="0.2">
      <c r="A484" s="20">
        <f>INT('模拟-模拟计算'!B509+0.5)</f>
        <v>445</v>
      </c>
      <c r="B484" s="52">
        <f>IF(AND(INT('模拟-模拟计算'!B509)&lt;='模拟-模拟计算'!$C$2,'模拟-模拟计算'!B509&gt;0),'模拟-模拟计算'!B509," ")</f>
        <v>444.64500000000459</v>
      </c>
      <c r="C484" s="51" t="str">
        <f ca="1">IF(AND(INT('模拟-模拟计算'!B509)&lt;='模拟-模拟计算'!$C$2,'模拟-模拟计算'!B509&gt;0),'模拟-模拟计算'!C509," ")</f>
        <v>净世破魔击·日</v>
      </c>
      <c r="D484" s="104">
        <f ca="1">IF(AND(INT('模拟-模拟计算'!B509)&lt;='模拟-模拟计算'!$C$2,'模拟-模拟计算'!B509&gt;0),'模拟-模拟计算'!E509," ")</f>
        <v>0</v>
      </c>
      <c r="E484" s="104">
        <f ca="1">IF(AND(INT('模拟-模拟计算'!B509)&lt;='模拟-模拟计算'!$C$2,'模拟-模拟计算'!B509&gt;0),'模拟-模拟计算'!F509," ")</f>
        <v>20</v>
      </c>
      <c r="F484" s="51" t="str">
        <f ca="1">IF(AND(INT('模拟-模拟计算'!B509)&lt;='模拟-模拟计算'!$C$2,'模拟-模拟计算'!B509&gt;0),'模拟-模拟计算'!P509," ")</f>
        <v>会</v>
      </c>
      <c r="G484" s="52">
        <f ca="1">IF(AND(INT('模拟-模拟计算'!B509)&lt;='模拟-模拟计算'!$C$2,'模拟-模拟计算'!B509&gt;0),'模拟-模拟计算'!V509," ")</f>
        <v>195915.814886668</v>
      </c>
      <c r="H484" s="52">
        <f ca="1">IF(AND(INT('模拟-模拟计算'!B509)&lt;='模拟-模拟计算'!$C$2,'模拟-模拟计算'!B509&gt;0),'模拟-模拟计算'!Y509," ")</f>
        <v>216245.46940708038</v>
      </c>
      <c r="I484" s="105">
        <f ca="1">IF(AND(INT('模拟-模拟计算'!B509)&lt;='模拟-模拟计算'!$C$2,'模拟-模拟计算'!B509&gt;0),'模拟-模拟计算'!AA509," ")</f>
        <v>113804.35025656727</v>
      </c>
    </row>
    <row r="485" spans="1:9" x14ac:dyDescent="0.2">
      <c r="A485" s="20">
        <f>INT('模拟-模拟计算'!B510+0.5)</f>
        <v>446</v>
      </c>
      <c r="B485" s="52">
        <f>IF(AND(INT('模拟-模拟计算'!B510)&lt;='模拟-模拟计算'!$C$2,'模拟-模拟计算'!B510&gt;0),'模拟-模拟计算'!B510," ")</f>
        <v>445.5675000000046</v>
      </c>
      <c r="C485" s="51" t="str">
        <f ca="1">IF(AND(INT('模拟-模拟计算'!B510)&lt;='模拟-模拟计算'!$C$2,'模拟-模拟计算'!B510&gt;0),'模拟-模拟计算'!C510," ")</f>
        <v>赤日轮1</v>
      </c>
      <c r="D485" s="104">
        <f ca="1">IF(AND(INT('模拟-模拟计算'!B510)&lt;='模拟-模拟计算'!$C$2,'模拟-模拟计算'!B510&gt;0),'模拟-模拟计算'!E510," ")</f>
        <v>20</v>
      </c>
      <c r="E485" s="104">
        <f ca="1">IF(AND(INT('模拟-模拟计算'!B510)&lt;='模拟-模拟计算'!$C$2,'模拟-模拟计算'!B510&gt;0),'模拟-模拟计算'!F510," ")</f>
        <v>20</v>
      </c>
      <c r="F485" s="51" t="str">
        <f ca="1">IF(AND(INT('模拟-模拟计算'!B510)&lt;='模拟-模拟计算'!$C$2,'模拟-模拟计算'!B510&gt;0),'模拟-模拟计算'!P510," ")</f>
        <v>命</v>
      </c>
      <c r="G485" s="52">
        <f ca="1">IF(AND(INT('模拟-模拟计算'!B510)&lt;='模拟-模拟计算'!$C$2,'模拟-模拟计算'!B510&gt;0),'模拟-模拟计算'!V510," ")</f>
        <v>25194.44799269021</v>
      </c>
      <c r="H485" s="52">
        <f ca="1">IF(AND(INT('模拟-模拟计算'!B510)&lt;='模拟-模拟计算'!$C$2,'模拟-模拟计算'!B510&gt;0),'模拟-模拟计算'!Y510," ")</f>
        <v>29630.656658357115</v>
      </c>
      <c r="I485" s="105">
        <f ca="1">IF(AND(INT('模拟-模拟计算'!B510)&lt;='模拟-模拟计算'!$C$2,'模拟-模拟计算'!B510&gt;0),'模拟-模拟计算'!AA510," ")</f>
        <v>113635.23142170314</v>
      </c>
    </row>
    <row r="486" spans="1:9" x14ac:dyDescent="0.2">
      <c r="A486" s="20">
        <f>INT('模拟-模拟计算'!B511+0.5)</f>
        <v>446</v>
      </c>
      <c r="B486" s="52">
        <f>IF(AND(INT('模拟-模拟计算'!B511)&lt;='模拟-模拟计算'!$C$2,'模拟-模拟计算'!B511&gt;0),'模拟-模拟计算'!B511," ")</f>
        <v>446.49000000000461</v>
      </c>
      <c r="C486" s="51" t="str">
        <f ca="1">IF(AND(INT('模拟-模拟计算'!B511)&lt;='模拟-模拟计算'!$C$2,'模拟-模拟计算'!B511&gt;0),'模拟-模拟计算'!C511," ")</f>
        <v>银月斩</v>
      </c>
      <c r="D486" s="104">
        <f ca="1">IF(AND(INT('模拟-模拟计算'!B511)&lt;='模拟-模拟计算'!$C$2,'模拟-模拟计算'!B511&gt;0),'模拟-模拟计算'!E511," ")</f>
        <v>20</v>
      </c>
      <c r="E486" s="104">
        <f ca="1">IF(AND(INT('模拟-模拟计算'!B511)&lt;='模拟-模拟计算'!$C$2,'模拟-模拟计算'!B511&gt;0),'模拟-模拟计算'!F511," ")</f>
        <v>65</v>
      </c>
      <c r="F486" s="51" t="str">
        <f ca="1">IF(AND(INT('模拟-模拟计算'!B511)&lt;='模拟-模拟计算'!$C$2,'模拟-模拟计算'!B511&gt;0),'模拟-模拟计算'!P511," ")</f>
        <v>命</v>
      </c>
      <c r="G486" s="52">
        <f ca="1">IF(AND(INT('模拟-模拟计算'!B511)&lt;='模拟-模拟计算'!$C$2,'模拟-模拟计算'!B511&gt;0),'模拟-模拟计算'!V511," ")</f>
        <v>17450.434922549593</v>
      </c>
      <c r="H486" s="52">
        <f ca="1">IF(AND(INT('模拟-模拟计算'!B511)&lt;='模拟-模拟计算'!$C$2,'模拟-模拟计算'!B511&gt;0),'模拟-模拟计算'!Y511," ")</f>
        <v>37686.659319746694</v>
      </c>
      <c r="I486" s="105">
        <f ca="1">IF(AND(INT('模拟-模拟计算'!B511)&lt;='模拟-模拟计算'!$C$2,'模拟-模拟计算'!B511&gt;0),'模拟-模拟计算'!AA511," ")</f>
        <v>113484.85438824935</v>
      </c>
    </row>
    <row r="487" spans="1:9" x14ac:dyDescent="0.2">
      <c r="A487" s="20">
        <f>INT('模拟-模拟计算'!B512+0.5)</f>
        <v>447</v>
      </c>
      <c r="B487" s="52">
        <f>IF(AND(INT('模拟-模拟计算'!B512)&lt;='模拟-模拟计算'!$C$2,'模拟-模拟计算'!B512&gt;0),'模拟-模拟计算'!B512," ")</f>
        <v>447.41250000000463</v>
      </c>
      <c r="C487" s="51" t="str">
        <f ca="1">IF(AND(INT('模拟-模拟计算'!B512)&lt;='模拟-模拟计算'!$C$2,'模拟-模拟计算'!B512&gt;0),'模拟-模拟计算'!C512," ")</f>
        <v>驱夜断愁</v>
      </c>
      <c r="D487" s="104">
        <f ca="1">IF(AND(INT('模拟-模拟计算'!B512)&lt;='模拟-模拟计算'!$C$2,'模拟-模拟计算'!B512&gt;0),'模拟-模拟计算'!E512," ")</f>
        <v>40</v>
      </c>
      <c r="E487" s="104">
        <f ca="1">IF(AND(INT('模拟-模拟计算'!B512)&lt;='模拟-模拟计算'!$C$2,'模拟-模拟计算'!B512&gt;0),'模拟-模拟计算'!F512," ")</f>
        <v>85</v>
      </c>
      <c r="F487" s="51" t="str">
        <f ca="1">IF(AND(INT('模拟-模拟计算'!B512)&lt;='模拟-模拟计算'!$C$2,'模拟-模拟计算'!B512&gt;0),'模拟-模拟计算'!P512," ")</f>
        <v>识</v>
      </c>
      <c r="G487" s="52">
        <f ca="1">IF(AND(INT('模拟-模拟计算'!B512)&lt;='模拟-模拟计算'!$C$2,'模拟-模拟计算'!B512&gt;0),'模拟-模拟计算'!V512," ")</f>
        <v>15382.077796978341</v>
      </c>
      <c r="H487" s="52">
        <f ca="1">IF(AND(INT('模拟-模拟计算'!B512)&lt;='模拟-模拟计算'!$C$2,'模拟-模拟计算'!B512&gt;0),'模拟-模拟计算'!Y512," ")</f>
        <v>27803.983723721656</v>
      </c>
      <c r="I487" s="105">
        <f ca="1">IF(AND(INT('模拟-模拟计算'!B512)&lt;='模拟-模拟计算'!$C$2,'模拟-模拟计算'!B512&gt;0),'模拟-模拟计算'!AA512," ")</f>
        <v>113313.00895601526</v>
      </c>
    </row>
    <row r="488" spans="1:9" x14ac:dyDescent="0.2">
      <c r="A488" s="20">
        <f>INT('模拟-模拟计算'!B513+0.5)</f>
        <v>448</v>
      </c>
      <c r="B488" s="52">
        <f>IF(AND(INT('模拟-模拟计算'!B513)&lt;='模拟-模拟计算'!$C$2,'模拟-模拟计算'!B513&gt;0),'模拟-模拟计算'!B513," ")</f>
        <v>448.33500000000464</v>
      </c>
      <c r="C488" s="51" t="str">
        <f ca="1">IF(AND(INT('模拟-模拟计算'!B513)&lt;='模拟-模拟计算'!$C$2,'模拟-模拟计算'!B513&gt;0),'模拟-模拟计算'!C513," ")</f>
        <v>烈日斩</v>
      </c>
      <c r="D488" s="104">
        <f ca="1">IF(AND(INT('模拟-模拟计算'!B513)&lt;='模拟-模拟计算'!$C$2,'模拟-模拟计算'!B513&gt;0),'模拟-模拟计算'!E513," ")</f>
        <v>80</v>
      </c>
      <c r="E488" s="104">
        <f ca="1">IF(AND(INT('模拟-模拟计算'!B513)&lt;='模拟-模拟计算'!$C$2,'模拟-模拟计算'!B513&gt;0),'模拟-模拟计算'!F513," ")</f>
        <v>85</v>
      </c>
      <c r="F488" s="51" t="str">
        <f ca="1">IF(AND(INT('模拟-模拟计算'!B513)&lt;='模拟-模拟计算'!$C$2,'模拟-模拟计算'!B513&gt;0),'模拟-模拟计算'!P513," ")</f>
        <v>会</v>
      </c>
      <c r="G488" s="52">
        <f ca="1">IF(AND(INT('模拟-模拟计算'!B513)&lt;='模拟-模拟计算'!$C$2,'模拟-模拟计算'!B513&gt;0),'模拟-模拟计算'!V513," ")</f>
        <v>110129.64280298242</v>
      </c>
      <c r="H488" s="52">
        <f ca="1">IF(AND(INT('模拟-模拟计算'!B513)&lt;='模拟-模拟计算'!$C$2,'模拟-模拟计算'!B513&gt;0),'模拟-模拟计算'!Y513," ")</f>
        <v>121609.50695528681</v>
      </c>
      <c r="I488" s="105">
        <f ca="1">IF(AND(INT('模拟-模拟计算'!B513)&lt;='模拟-模拟计算'!$C$2,'模拟-模拟计算'!B513&gt;0),'模拟-模拟计算'!AA513," ")</f>
        <v>113351.10157915056</v>
      </c>
    </row>
    <row r="489" spans="1:9" x14ac:dyDescent="0.2">
      <c r="A489" s="20">
        <f>INT('模拟-模拟计算'!B514+0.5)</f>
        <v>449</v>
      </c>
      <c r="B489" s="52">
        <f>IF(AND(INT('模拟-模拟计算'!B514)&lt;='模拟-模拟计算'!$C$2,'模拟-模拟计算'!B514&gt;0),'模拟-模拟计算'!B514," ")</f>
        <v>449.25750000000465</v>
      </c>
      <c r="C489" s="51" t="str">
        <f ca="1">IF(AND(INT('模拟-模拟计算'!B514)&lt;='模拟-模拟计算'!$C$2,'模拟-模拟计算'!B514&gt;0),'模拟-模拟计算'!C514," ")</f>
        <v>幽月轮1</v>
      </c>
      <c r="D489" s="104">
        <f ca="1">IF(AND(INT('模拟-模拟计算'!B514)&lt;='模拟-模拟计算'!$C$2,'模拟-模拟计算'!B514&gt;0),'模拟-模拟计算'!E514," ")</f>
        <v>80</v>
      </c>
      <c r="E489" s="104">
        <f ca="1">IF(AND(INT('模拟-模拟计算'!B514)&lt;='模拟-模拟计算'!$C$2,'模拟-模拟计算'!B514&gt;0),'模拟-模拟计算'!F514," ")</f>
        <v>100</v>
      </c>
      <c r="F489" s="51" t="str">
        <f ca="1">IF(AND(INT('模拟-模拟计算'!B514)&lt;='模拟-模拟计算'!$C$2,'模拟-模拟计算'!B514&gt;0),'模拟-模拟计算'!P514," ")</f>
        <v>命</v>
      </c>
      <c r="G489" s="52">
        <f ca="1">IF(AND(INT('模拟-模拟计算'!B514)&lt;='模拟-模拟计算'!$C$2,'模拟-模拟计算'!B514&gt;0),'模拟-模拟计算'!V514," ")</f>
        <v>16984.452800333162</v>
      </c>
      <c r="H489" s="52">
        <f ca="1">IF(AND(INT('模拟-模拟计算'!B514)&lt;='模拟-模拟计算'!$C$2,'模拟-模拟计算'!B514&gt;0),'模拟-模拟计算'!Y514," ")</f>
        <v>24966.550982412478</v>
      </c>
      <c r="I489" s="105">
        <f ca="1">IF(AND(INT('模拟-模拟计算'!B514)&lt;='模拟-模拟计算'!$C$2,'模拟-模拟计算'!B514&gt;0),'模拟-模拟计算'!AA514," ")</f>
        <v>113173.92069686289</v>
      </c>
    </row>
    <row r="490" spans="1:9" x14ac:dyDescent="0.2">
      <c r="A490" s="20">
        <f>INT('模拟-模拟计算'!B515+0.5)</f>
        <v>450</v>
      </c>
      <c r="B490" s="52">
        <f>IF(AND(INT('模拟-模拟计算'!B515)&lt;='模拟-模拟计算'!$C$2,'模拟-模拟计算'!B515&gt;0),'模拟-模拟计算'!B515," ")</f>
        <v>450.18000000000467</v>
      </c>
      <c r="C490" s="51" t="str">
        <f ca="1">IF(AND(INT('模拟-模拟计算'!B515)&lt;='模拟-模拟计算'!$C$2,'模拟-模拟计算'!B515&gt;0),'模拟-模拟计算'!C515," ")</f>
        <v>净世破魔击·月</v>
      </c>
      <c r="D490" s="104">
        <f ca="1">IF(AND(INT('模拟-模拟计算'!B515)&lt;='模拟-模拟计算'!$C$2,'模拟-模拟计算'!B515&gt;0),'模拟-模拟计算'!E515," ")</f>
        <v>100</v>
      </c>
      <c r="E490" s="104">
        <f ca="1">IF(AND(INT('模拟-模拟计算'!B515)&lt;='模拟-模拟计算'!$C$2,'模拟-模拟计算'!B515&gt;0),'模拟-模拟计算'!F515," ")</f>
        <v>20</v>
      </c>
      <c r="F490" s="51" t="str">
        <f ca="1">IF(AND(INT('模拟-模拟计算'!B515)&lt;='模拟-模拟计算'!$C$2,'模拟-模拟计算'!B515&gt;0),'模拟-模拟计算'!P515," ")</f>
        <v>会</v>
      </c>
      <c r="G490" s="52">
        <f ca="1">IF(AND(INT('模拟-模拟计算'!B515)&lt;='模拟-模拟计算'!$C$2,'模拟-模拟计算'!B515&gt;0),'模拟-模拟计算'!V515," ")</f>
        <v>179725.81461109844</v>
      </c>
      <c r="H490" s="52">
        <f ca="1">IF(AND(INT('模拟-模拟计算'!B515)&lt;='模拟-模拟计算'!$C$2,'模拟-模拟计算'!B515&gt;0),'模拟-模拟计算'!Y515," ")</f>
        <v>190506.36538393967</v>
      </c>
      <c r="I490" s="105">
        <f ca="1">IF(AND(INT('模拟-模拟计算'!B515)&lt;='模拟-模拟计算'!$C$2,'模拟-模拟计算'!B515&gt;0),'模拟-模拟计算'!AA515," ")</f>
        <v>113365.18513229112</v>
      </c>
    </row>
    <row r="491" spans="1:9" x14ac:dyDescent="0.2">
      <c r="A491" s="20">
        <f>INT('模拟-模拟计算'!B516+0.5)</f>
        <v>451</v>
      </c>
      <c r="B491" s="52">
        <f>IF(AND(INT('模拟-模拟计算'!B516)&lt;='模拟-模拟计算'!$C$2,'模拟-模拟计算'!B516&gt;0),'模拟-模拟计算'!B516," ")</f>
        <v>451.10250000000468</v>
      </c>
      <c r="C491" s="51" t="str">
        <f ca="1">IF(AND(INT('模拟-模拟计算'!B516)&lt;='模拟-模拟计算'!$C$2,'模拟-模拟计算'!B516&gt;0),'模拟-模拟计算'!C516," ")</f>
        <v>净世破魔击·日</v>
      </c>
      <c r="D491" s="104">
        <f ca="1">IF(AND(INT('模拟-模拟计算'!B516)&lt;='模拟-模拟计算'!$C$2,'模拟-模拟计算'!B516&gt;0),'模拟-模拟计算'!E516," ")</f>
        <v>0</v>
      </c>
      <c r="E491" s="104">
        <f ca="1">IF(AND(INT('模拟-模拟计算'!B516)&lt;='模拟-模拟计算'!$C$2,'模拟-模拟计算'!B516&gt;0),'模拟-模拟计算'!F516," ")</f>
        <v>20</v>
      </c>
      <c r="F491" s="51" t="str">
        <f ca="1">IF(AND(INT('模拟-模拟计算'!B516)&lt;='模拟-模拟计算'!$C$2,'模拟-模拟计算'!B516&gt;0),'模拟-模拟计算'!P516," ")</f>
        <v>会</v>
      </c>
      <c r="G491" s="52">
        <f ca="1">IF(AND(INT('模拟-模拟计算'!B516)&lt;='模拟-模拟计算'!$C$2,'模拟-模拟计算'!B516&gt;0),'模拟-模拟计算'!V516," ")</f>
        <v>201357.92085574206</v>
      </c>
      <c r="H491" s="52">
        <f ca="1">IF(AND(INT('模拟-模拟计算'!B516)&lt;='模拟-模拟计算'!$C$2,'模拟-模拟计算'!B516&gt;0),'模拟-模拟计算'!Y516," ")</f>
        <v>229655.63631316123</v>
      </c>
      <c r="I491" s="105">
        <f ca="1">IF(AND(INT('模拟-模拟计算'!B516)&lt;='模拟-模拟计算'!$C$2,'模拟-模拟计算'!B516&gt;0),'模拟-模拟计算'!AA516," ")</f>
        <v>113642.45305483339</v>
      </c>
    </row>
    <row r="492" spans="1:9" x14ac:dyDescent="0.2">
      <c r="A492" s="20">
        <f>INT('模拟-模拟计算'!B517+0.5)</f>
        <v>452</v>
      </c>
      <c r="B492" s="52">
        <f>IF(AND(INT('模拟-模拟计算'!B517)&lt;='模拟-模拟计算'!$C$2,'模拟-模拟计算'!B517&gt;0),'模拟-模拟计算'!B517," ")</f>
        <v>452.0250000000047</v>
      </c>
      <c r="C492" s="51" t="str">
        <f ca="1">IF(AND(INT('模拟-模拟计算'!B517)&lt;='模拟-模拟计算'!$C$2,'模拟-模拟计算'!B517&gt;0),'模拟-模拟计算'!C517," ")</f>
        <v>赤日轮1</v>
      </c>
      <c r="D492" s="104">
        <f ca="1">IF(AND(INT('模拟-模拟计算'!B517)&lt;='模拟-模拟计算'!$C$2,'模拟-模拟计算'!B517&gt;0),'模拟-模拟计算'!E517," ")</f>
        <v>20</v>
      </c>
      <c r="E492" s="104">
        <f ca="1">IF(AND(INT('模拟-模拟计算'!B517)&lt;='模拟-模拟计算'!$C$2,'模拟-模拟计算'!B517&gt;0),'模拟-模拟计算'!F517," ")</f>
        <v>20</v>
      </c>
      <c r="F492" s="51" t="str">
        <f ca="1">IF(AND(INT('模拟-模拟计算'!B517)&lt;='模拟-模拟计算'!$C$2,'模拟-模拟计算'!B517&gt;0),'模拟-模拟计算'!P517," ")</f>
        <v>会</v>
      </c>
      <c r="G492" s="52">
        <f ca="1">IF(AND(INT('模拟-模拟计算'!B517)&lt;='模拟-模拟计算'!$C$2,'模拟-模拟计算'!B517&gt;0),'模拟-模拟计算'!V517," ")</f>
        <v>56914.819852461565</v>
      </c>
      <c r="H492" s="52">
        <f ca="1">IF(AND(INT('模拟-模拟计算'!B517)&lt;='模拟-模拟计算'!$C$2,'模拟-模拟计算'!B517&gt;0),'模拟-模拟计算'!Y517," ")</f>
        <v>68394.68400476595</v>
      </c>
      <c r="I492" s="105">
        <f ca="1">IF(AND(INT('模拟-模拟计算'!B517)&lt;='模拟-模拟计算'!$C$2,'模拟-模拟计算'!B517&gt;0),'模拟-模拟计算'!AA517," ")</f>
        <v>113561.83698506221</v>
      </c>
    </row>
    <row r="493" spans="1:9" x14ac:dyDescent="0.2">
      <c r="A493" s="20">
        <f>INT('模拟-模拟计算'!B518+0.5)</f>
        <v>453</v>
      </c>
      <c r="B493" s="52">
        <f>IF(AND(INT('模拟-模拟计算'!B518)&lt;='模拟-模拟计算'!$C$2,'模拟-模拟计算'!B518&gt;0),'模拟-模拟计算'!B518," ")</f>
        <v>452.94750000000471</v>
      </c>
      <c r="C493" s="51" t="str">
        <f ca="1">IF(AND(INT('模拟-模拟计算'!B518)&lt;='模拟-模拟计算'!$C$2,'模拟-模拟计算'!B518&gt;0),'模拟-模拟计算'!C518," ")</f>
        <v>银月斩</v>
      </c>
      <c r="D493" s="104">
        <f ca="1">IF(AND(INT('模拟-模拟计算'!B518)&lt;='模拟-模拟计算'!$C$2,'模拟-模拟计算'!B518&gt;0),'模拟-模拟计算'!E518," ")</f>
        <v>20</v>
      </c>
      <c r="E493" s="104">
        <f ca="1">IF(AND(INT('模拟-模拟计算'!B518)&lt;='模拟-模拟计算'!$C$2,'模拟-模拟计算'!B518&gt;0),'模拟-模拟计算'!F518," ")</f>
        <v>65</v>
      </c>
      <c r="F493" s="51" t="str">
        <f ca="1">IF(AND(INT('模拟-模拟计算'!B518)&lt;='模拟-模拟计算'!$C$2,'模拟-模拟计算'!B518&gt;0),'模拟-模拟计算'!P518," ")</f>
        <v>命</v>
      </c>
      <c r="G493" s="52">
        <f ca="1">IF(AND(INT('模拟-模拟计算'!B518)&lt;='模拟-模拟计算'!$C$2,'模拟-模拟计算'!B518&gt;0),'模拟-模拟计算'!V518," ")</f>
        <v>18209.149484399575</v>
      </c>
      <c r="H493" s="52">
        <f ca="1">IF(AND(INT('模拟-模拟计算'!B518)&lt;='模拟-模拟计算'!$C$2,'模拟-模拟计算'!B518&gt;0),'模拟-模拟计算'!Y518," ")</f>
        <v>26191.247666478892</v>
      </c>
      <c r="I493" s="105">
        <f ca="1">IF(AND(INT('模拟-模拟计算'!B518)&lt;='模拟-模拟计算'!$C$2,'模拟-模拟计算'!B518&gt;0),'模拟-模拟计算'!AA518," ")</f>
        <v>113388.37417325235</v>
      </c>
    </row>
    <row r="494" spans="1:9" x14ac:dyDescent="0.2">
      <c r="A494" s="20">
        <f>INT('模拟-模拟计算'!B519+0.5)</f>
        <v>454</v>
      </c>
      <c r="B494" s="52">
        <f>IF(AND(INT('模拟-模拟计算'!B519)&lt;='模拟-模拟计算'!$C$2,'模拟-模拟计算'!B519&gt;0),'模拟-模拟计算'!B519," ")</f>
        <v>453.87000000000472</v>
      </c>
      <c r="C494" s="51" t="str">
        <f ca="1">IF(AND(INT('模拟-模拟计算'!B519)&lt;='模拟-模拟计算'!$C$2,'模拟-模拟计算'!B519&gt;0),'模拟-模拟计算'!C519," ")</f>
        <v>驱夜断愁</v>
      </c>
      <c r="D494" s="104">
        <f ca="1">IF(AND(INT('模拟-模拟计算'!B519)&lt;='模拟-模拟计算'!$C$2,'模拟-模拟计算'!B519&gt;0),'模拟-模拟计算'!E519," ")</f>
        <v>40</v>
      </c>
      <c r="E494" s="104">
        <f ca="1">IF(AND(INT('模拟-模拟计算'!B519)&lt;='模拟-模拟计算'!$C$2,'模拟-模拟计算'!B519&gt;0),'模拟-模拟计算'!F519," ")</f>
        <v>85</v>
      </c>
      <c r="F494" s="51" t="str">
        <f ca="1">IF(AND(INT('模拟-模拟计算'!B519)&lt;='模拟-模拟计算'!$C$2,'模拟-模拟计算'!B519&gt;0),'模拟-模拟计算'!P519," ")</f>
        <v>会</v>
      </c>
      <c r="G494" s="52">
        <f ca="1">IF(AND(INT('模拟-模拟计算'!B519)&lt;='模拟-模拟计算'!$C$2,'模拟-模拟计算'!B519&gt;0),'模拟-模拟计算'!V519," ")</f>
        <v>133053.91991757337</v>
      </c>
      <c r="H494" s="52">
        <f ca="1">IF(AND(INT('模拟-模拟计算'!B519)&lt;='模拟-模拟计算'!$C$2,'模拟-模拟计算'!B519&gt;0),'模拟-模拟计算'!Y519," ")</f>
        <v>157820.19038229273</v>
      </c>
      <c r="I494" s="105">
        <f ca="1">IF(AND(INT('模拟-模拟计算'!B519)&lt;='模拟-模拟计算'!$C$2,'模拟-模拟计算'!B519&gt;0),'模拟-模拟计算'!AA519," ")</f>
        <v>113505.63113054732</v>
      </c>
    </row>
    <row r="495" spans="1:9" x14ac:dyDescent="0.2">
      <c r="A495" s="20">
        <f>INT('模拟-模拟计算'!B520+0.5)</f>
        <v>455</v>
      </c>
      <c r="B495" s="52">
        <f>IF(AND(INT('模拟-模拟计算'!B520)&lt;='模拟-模拟计算'!$C$2,'模拟-模拟计算'!B520&gt;0),'模拟-模拟计算'!B520," ")</f>
        <v>454.79250000000474</v>
      </c>
      <c r="C495" s="51" t="str">
        <f ca="1">IF(AND(INT('模拟-模拟计算'!B520)&lt;='模拟-模拟计算'!$C$2,'模拟-模拟计算'!B520&gt;0),'模拟-模拟计算'!C520," ")</f>
        <v>烈日斩</v>
      </c>
      <c r="D495" s="104">
        <f ca="1">IF(AND(INT('模拟-模拟计算'!B520)&lt;='模拟-模拟计算'!$C$2,'模拟-模拟计算'!B520&gt;0),'模拟-模拟计算'!E520," ")</f>
        <v>80</v>
      </c>
      <c r="E495" s="104">
        <f ca="1">IF(AND(INT('模拟-模拟计算'!B520)&lt;='模拟-模拟计算'!$C$2,'模拟-模拟计算'!B520&gt;0),'模拟-模拟计算'!F520," ")</f>
        <v>85</v>
      </c>
      <c r="F495" s="51" t="str">
        <f ca="1">IF(AND(INT('模拟-模拟计算'!B520)&lt;='模拟-模拟计算'!$C$2,'模拟-模拟计算'!B520&gt;0),'模拟-模拟计算'!P520," ")</f>
        <v>命</v>
      </c>
      <c r="G495" s="52">
        <f ca="1">IF(AND(INT('模拟-模拟计算'!B520)&lt;='模拟-模拟计算'!$C$2,'模拟-模拟计算'!B520&gt;0),'模拟-模拟计算'!V520," ")</f>
        <v>46789.769184608012</v>
      </c>
      <c r="H495" s="52">
        <f ca="1">IF(AND(INT('模拟-模拟计算'!B520)&lt;='模拟-模拟计算'!$C$2,'模拟-模拟计算'!B520&gt;0),'模拟-模拟计算'!Y520," ")</f>
        <v>56370.214366781453</v>
      </c>
      <c r="I495" s="105">
        <f ca="1">IF(AND(INT('模拟-模拟计算'!B520)&lt;='模拟-模拟计算'!$C$2,'模拟-模拟计算'!B520&gt;0),'模拟-模拟计算'!AA520," ")</f>
        <v>113399.34369099818</v>
      </c>
    </row>
    <row r="496" spans="1:9" x14ac:dyDescent="0.2">
      <c r="A496" s="20">
        <f>INT('模拟-模拟计算'!B521+0.5)</f>
        <v>456</v>
      </c>
      <c r="B496" s="52">
        <f>IF(AND(INT('模拟-模拟计算'!B521)&lt;='模拟-模拟计算'!$C$2,'模拟-模拟计算'!B521&gt;0),'模拟-模拟计算'!B521," ")</f>
        <v>455.71500000000475</v>
      </c>
      <c r="C496" s="51" t="str">
        <f ca="1">IF(AND(INT('模拟-模拟计算'!B521)&lt;='模拟-模拟计算'!$C$2,'模拟-模拟计算'!B521&gt;0),'模拟-模拟计算'!C521," ")</f>
        <v>幽月轮1</v>
      </c>
      <c r="D496" s="104">
        <f ca="1">IF(AND(INT('模拟-模拟计算'!B521)&lt;='模拟-模拟计算'!$C$2,'模拟-模拟计算'!B521&gt;0),'模拟-模拟计算'!E521," ")</f>
        <v>80</v>
      </c>
      <c r="E496" s="104">
        <f ca="1">IF(AND(INT('模拟-模拟计算'!B521)&lt;='模拟-模拟计算'!$C$2,'模拟-模拟计算'!B521&gt;0),'模拟-模拟计算'!F521," ")</f>
        <v>100</v>
      </c>
      <c r="F496" s="51" t="str">
        <f ca="1">IF(AND(INT('模拟-模拟计算'!B521)&lt;='模拟-模拟计算'!$C$2,'模拟-模拟计算'!B521&gt;0),'模拟-模拟计算'!P521," ")</f>
        <v>会</v>
      </c>
      <c r="G496" s="52">
        <f ca="1">IF(AND(INT('模拟-模拟计算'!B521)&lt;='模拟-模拟计算'!$C$2,'模拟-模拟计算'!B521&gt;0),'模拟-模拟计算'!V521," ")</f>
        <v>35088.919370823241</v>
      </c>
      <c r="H496" s="52">
        <f ca="1">IF(AND(INT('模拟-模拟计算'!B521)&lt;='模拟-模拟计算'!$C$2,'模拟-模拟计算'!B521&gt;0),'模拟-模拟计算'!Y521," ")</f>
        <v>55325.143768020338</v>
      </c>
      <c r="I496" s="105">
        <f ca="1">IF(AND(INT('模拟-模拟计算'!B521)&lt;='模拟-模拟计算'!$C$2,'模拟-模拟计算'!B521&gt;0),'模拟-模拟计算'!AA521," ")</f>
        <v>113291.19331019674</v>
      </c>
    </row>
    <row r="497" spans="1:9" x14ac:dyDescent="0.2">
      <c r="A497" s="20">
        <f>INT('模拟-模拟计算'!B522+0.5)</f>
        <v>457</v>
      </c>
      <c r="B497" s="52">
        <f>IF(AND(INT('模拟-模拟计算'!B522)&lt;='模拟-模拟计算'!$C$2,'模拟-模拟计算'!B522&gt;0),'模拟-模拟计算'!B522," ")</f>
        <v>456.63750000000476</v>
      </c>
      <c r="C497" s="51" t="str">
        <f ca="1">IF(AND(INT('模拟-模拟计算'!B522)&lt;='模拟-模拟计算'!$C$2,'模拟-模拟计算'!B522&gt;0),'模拟-模拟计算'!C522," ")</f>
        <v>净世破魔击·月</v>
      </c>
      <c r="D497" s="104">
        <f ca="1">IF(AND(INT('模拟-模拟计算'!B522)&lt;='模拟-模拟计算'!$C$2,'模拟-模拟计算'!B522&gt;0),'模拟-模拟计算'!E522," ")</f>
        <v>100</v>
      </c>
      <c r="E497" s="104">
        <f ca="1">IF(AND(INT('模拟-模拟计算'!B522)&lt;='模拟-模拟计算'!$C$2,'模拟-模拟计算'!B522&gt;0),'模拟-模拟计算'!F522," ")</f>
        <v>20</v>
      </c>
      <c r="F497" s="51" t="str">
        <f ca="1">IF(AND(INT('模拟-模拟计算'!B522)&lt;='模拟-模拟计算'!$C$2,'模拟-模拟计算'!B522&gt;0),'模拟-模拟计算'!P522," ")</f>
        <v>会</v>
      </c>
      <c r="G497" s="52">
        <f ca="1">IF(AND(INT('模拟-模拟计算'!B522)&lt;='模拟-模拟计算'!$C$2,'模拟-模拟计算'!B522&gt;0),'模拟-模拟计算'!V522," ")</f>
        <v>174868.36016214982</v>
      </c>
      <c r="H497" s="52">
        <f ca="1">IF(AND(INT('模拟-模拟计算'!B522)&lt;='模拟-模拟计算'!$C$2,'模拟-模拟计算'!B522&gt;0),'模拟-模拟计算'!Y522," ")</f>
        <v>192088.2570964281</v>
      </c>
      <c r="I497" s="105">
        <f ca="1">IF(AND(INT('模拟-模拟计算'!B522)&lt;='模拟-模拟计算'!$C$2,'模拟-模拟计算'!B522&gt;0),'模拟-模拟计算'!AA522," ")</f>
        <v>113482.98029936817</v>
      </c>
    </row>
    <row r="498" spans="1:9" x14ac:dyDescent="0.2">
      <c r="A498" s="20">
        <f>INT('模拟-模拟计算'!B523+0.5)</f>
        <v>458</v>
      </c>
      <c r="B498" s="52">
        <f>IF(AND(INT('模拟-模拟计算'!B523)&lt;='模拟-模拟计算'!$C$2,'模拟-模拟计算'!B523&gt;0),'模拟-模拟计算'!B523," ")</f>
        <v>457.56000000000478</v>
      </c>
      <c r="C498" s="51" t="str">
        <f ca="1">IF(AND(INT('模拟-模拟计算'!B523)&lt;='模拟-模拟计算'!$C$2,'模拟-模拟计算'!B523&gt;0),'模拟-模拟计算'!C523," ")</f>
        <v>净世破魔击·日</v>
      </c>
      <c r="D498" s="104">
        <f ca="1">IF(AND(INT('模拟-模拟计算'!B523)&lt;='模拟-模拟计算'!$C$2,'模拟-模拟计算'!B523&gt;0),'模拟-模拟计算'!E523," ")</f>
        <v>0</v>
      </c>
      <c r="E498" s="104">
        <f ca="1">IF(AND(INT('模拟-模拟计算'!B523)&lt;='模拟-模拟计算'!$C$2,'模拟-模拟计算'!B523&gt;0),'模拟-模拟计算'!F523," ")</f>
        <v>20</v>
      </c>
      <c r="F498" s="51" t="str">
        <f ca="1">IF(AND(INT('模拟-模拟计算'!B523)&lt;='模拟-模拟计算'!$C$2,'模拟-模拟计算'!B523&gt;0),'模拟-模拟计算'!P523," ")</f>
        <v>命</v>
      </c>
      <c r="G498" s="52">
        <f ca="1">IF(AND(INT('模拟-模拟计算'!B523)&lt;='模拟-模拟计算'!$C$2,'模拟-模拟计算'!B523&gt;0),'模拟-模拟计算'!V523," ")</f>
        <v>90597.625627626709</v>
      </c>
      <c r="H498" s="52">
        <f ca="1">IF(AND(INT('模拟-模拟计算'!B523)&lt;='模拟-模拟计算'!$C$2,'模拟-模拟计算'!B523&gt;0),'模拟-模拟计算'!Y523," ")</f>
        <v>133719.65572404474</v>
      </c>
      <c r="I498" s="105">
        <f ca="1">IF(AND(INT('模拟-模拟计算'!B523)&lt;='模拟-模拟计算'!$C$2,'模拟-模拟计算'!B523&gt;0),'模拟-模拟计算'!AA523," ")</f>
        <v>113546.42904138642</v>
      </c>
    </row>
    <row r="499" spans="1:9" x14ac:dyDescent="0.2">
      <c r="A499" s="20">
        <f>INT('模拟-模拟计算'!B524+0.5)</f>
        <v>458</v>
      </c>
      <c r="B499" s="52">
        <f>IF(AND(INT('模拟-模拟计算'!B524)&lt;='模拟-模拟计算'!$C$2,'模拟-模拟计算'!B524&gt;0),'模拟-模拟计算'!B524," ")</f>
        <v>458.48250000000479</v>
      </c>
      <c r="C499" s="51" t="str">
        <f ca="1">IF(AND(INT('模拟-模拟计算'!B524)&lt;='模拟-模拟计算'!$C$2,'模拟-模拟计算'!B524&gt;0),'模拟-模拟计算'!C524," ")</f>
        <v>赤日轮1</v>
      </c>
      <c r="D499" s="104">
        <f ca="1">IF(AND(INT('模拟-模拟计算'!B524)&lt;='模拟-模拟计算'!$C$2,'模拟-模拟计算'!B524&gt;0),'模拟-模拟计算'!E524," ")</f>
        <v>20</v>
      </c>
      <c r="E499" s="104">
        <f ca="1">IF(AND(INT('模拟-模拟计算'!B524)&lt;='模拟-模拟计算'!$C$2,'模拟-模拟计算'!B524&gt;0),'模拟-模拟计算'!F524," ")</f>
        <v>20</v>
      </c>
      <c r="F499" s="51" t="str">
        <f ca="1">IF(AND(INT('模拟-模拟计算'!B524)&lt;='模拟-模拟计算'!$C$2,'模拟-模拟计算'!B524&gt;0),'模拟-模拟计算'!P524," ")</f>
        <v>命</v>
      </c>
      <c r="G499" s="52">
        <f ca="1">IF(AND(INT('模拟-模拟计算'!B524)&lt;='模拟-模拟计算'!$C$2,'模拟-模拟计算'!B524&gt;0),'模拟-模拟计算'!V524," ")</f>
        <v>25194.44799269021</v>
      </c>
      <c r="H499" s="52">
        <f ca="1">IF(AND(INT('模拟-模拟计算'!B524)&lt;='模拟-模拟计算'!$C$2,'模拟-模拟计算'!B524&gt;0),'模拟-模拟计算'!Y524," ")</f>
        <v>34774.893174863639</v>
      </c>
      <c r="I499" s="105">
        <f ca="1">IF(AND(INT('模拟-模拟计算'!B524)&lt;='模拟-模拟计算'!$C$2,'模拟-模拟计算'!B524&gt;0),'模拟-模拟计算'!AA524," ")</f>
        <v>113393.81321064956</v>
      </c>
    </row>
    <row r="500" spans="1:9" x14ac:dyDescent="0.2">
      <c r="A500" s="20">
        <f>INT('模拟-模拟计算'!B525+0.5)</f>
        <v>459</v>
      </c>
      <c r="B500" s="52">
        <f>IF(AND(INT('模拟-模拟计算'!B525)&lt;='模拟-模拟计算'!$C$2,'模拟-模拟计算'!B525&gt;0),'模拟-模拟计算'!B525," ")</f>
        <v>459.4050000000048</v>
      </c>
      <c r="C500" s="51" t="str">
        <f ca="1">IF(AND(INT('模拟-模拟计算'!B525)&lt;='模拟-模拟计算'!$C$2,'模拟-模拟计算'!B525&gt;0),'模拟-模拟计算'!C525," ")</f>
        <v>银月斩</v>
      </c>
      <c r="D500" s="104">
        <f ca="1">IF(AND(INT('模拟-模拟计算'!B525)&lt;='模拟-模拟计算'!$C$2,'模拟-模拟计算'!B525&gt;0),'模拟-模拟计算'!E525," ")</f>
        <v>20</v>
      </c>
      <c r="E500" s="104">
        <f ca="1">IF(AND(INT('模拟-模拟计算'!B525)&lt;='模拟-模拟计算'!$C$2,'模拟-模拟计算'!B525&gt;0),'模拟-模拟计算'!F525," ")</f>
        <v>65</v>
      </c>
      <c r="F500" s="51" t="str">
        <f ca="1">IF(AND(INT('模拟-模拟计算'!B525)&lt;='模拟-模拟计算'!$C$2,'模拟-模拟计算'!B525&gt;0),'模拟-模拟计算'!P525," ")</f>
        <v>会</v>
      </c>
      <c r="G500" s="52">
        <f ca="1">IF(AND(INT('模拟-模拟计算'!B525)&lt;='模拟-模拟计算'!$C$2,'模拟-模拟计算'!B525&gt;0),'模拟-模拟计算'!V525," ")</f>
        <v>39481.310356797861</v>
      </c>
      <c r="H500" s="52">
        <f ca="1">IF(AND(INT('模拟-模拟计算'!B525)&lt;='模拟-模拟计算'!$C$2,'模拟-模拟计算'!B525&gt;0),'模拟-模拟计算'!Y525," ")</f>
        <v>49033.512814331596</v>
      </c>
      <c r="I500" s="105">
        <f ca="1">IF(AND(INT('模拟-模拟计算'!B525)&lt;='模拟-模拟计算'!$C$2,'模拟-模拟计算'!B525&gt;0),'模拟-模拟计算'!AA525," ")</f>
        <v>113272.84743998424</v>
      </c>
    </row>
    <row r="501" spans="1:9" x14ac:dyDescent="0.2">
      <c r="A501" s="20">
        <f>INT('模拟-模拟计算'!B526+0.5)</f>
        <v>460</v>
      </c>
      <c r="B501" s="52">
        <f>IF(AND(INT('模拟-模拟计算'!B526)&lt;='模拟-模拟计算'!$C$2,'模拟-模拟计算'!B526&gt;0),'模拟-模拟计算'!B526," ")</f>
        <v>460.32750000000482</v>
      </c>
      <c r="C501" s="51" t="str">
        <f ca="1">IF(AND(INT('模拟-模拟计算'!B526)&lt;='模拟-模拟计算'!$C$2,'模拟-模拟计算'!B526&gt;0),'模拟-模拟计算'!C526," ")</f>
        <v>驱夜断愁</v>
      </c>
      <c r="D501" s="104">
        <f ca="1">IF(AND(INT('模拟-模拟计算'!B526)&lt;='模拟-模拟计算'!$C$2,'模拟-模拟计算'!B526&gt;0),'模拟-模拟计算'!E526," ")</f>
        <v>40</v>
      </c>
      <c r="E501" s="104">
        <f ca="1">IF(AND(INT('模拟-模拟计算'!B526)&lt;='模拟-模拟计算'!$C$2,'模拟-模拟计算'!B526&gt;0),'模拟-模拟计算'!F526," ")</f>
        <v>85</v>
      </c>
      <c r="F501" s="51" t="str">
        <f ca="1">IF(AND(INT('模拟-模拟计算'!B526)&lt;='模拟-模拟计算'!$C$2,'模拟-模拟计算'!B526&gt;0),'模拟-模拟计算'!P526," ")</f>
        <v>命</v>
      </c>
      <c r="G501" s="52">
        <f ca="1">IF(AND(INT('模拟-模拟计算'!B526)&lt;='模拟-模拟计算'!$C$2,'模拟-模拟计算'!B526&gt;0),'模拟-模拟计算'!V526," ")</f>
        <v>61540.073489592025</v>
      </c>
      <c r="H501" s="52">
        <f ca="1">IF(AND(INT('模拟-模拟计算'!B526)&lt;='模拟-模拟计算'!$C$2,'模拟-模拟计算'!B526&gt;0),'模拟-模拟计算'!Y526," ")</f>
        <v>71482.029315312509</v>
      </c>
      <c r="I501" s="105">
        <f ca="1">IF(AND(INT('模拟-模拟计算'!B526)&lt;='模拟-模拟计算'!$C$2,'模拟-模拟计算'!B526&gt;0),'模拟-模拟计算'!AA526," ")</f>
        <v>113201.13290533648</v>
      </c>
    </row>
    <row r="502" spans="1:9" x14ac:dyDescent="0.2">
      <c r="A502" s="20">
        <f>INT('模拟-模拟计算'!B527+0.5)</f>
        <v>461</v>
      </c>
      <c r="B502" s="52">
        <f>IF(AND(INT('模拟-模拟计算'!B527)&lt;='模拟-模拟计算'!$C$2,'模拟-模拟计算'!B527&gt;0),'模拟-模拟计算'!B527," ")</f>
        <v>461.25000000000483</v>
      </c>
      <c r="C502" s="51" t="str">
        <f ca="1">IF(AND(INT('模拟-模拟计算'!B527)&lt;='模拟-模拟计算'!$C$2,'模拟-模拟计算'!B527&gt;0),'模拟-模拟计算'!C527," ")</f>
        <v>烈日斩</v>
      </c>
      <c r="D502" s="104">
        <f ca="1">IF(AND(INT('模拟-模拟计算'!B527)&lt;='模拟-模拟计算'!$C$2,'模拟-模拟计算'!B527&gt;0),'模拟-模拟计算'!E527," ")</f>
        <v>80</v>
      </c>
      <c r="E502" s="104">
        <f ca="1">IF(AND(INT('模拟-模拟计算'!B527)&lt;='模拟-模拟计算'!$C$2,'模拟-模拟计算'!B527&gt;0),'模拟-模拟计算'!F527," ")</f>
        <v>85</v>
      </c>
      <c r="F502" s="51" t="str">
        <f ca="1">IF(AND(INT('模拟-模拟计算'!B527)&lt;='模拟-模拟计算'!$C$2,'模拟-模拟计算'!B527&gt;0),'模拟-模拟计算'!P527," ")</f>
        <v>会</v>
      </c>
      <c r="G502" s="52">
        <f ca="1">IF(AND(INT('模拟-模拟计算'!B527)&lt;='模拟-模拟计算'!$C$2,'模拟-模拟计算'!B527&gt;0),'模拟-模拟计算'!V527," ")</f>
        <v>110503.35617153208</v>
      </c>
      <c r="H502" s="52">
        <f ca="1">IF(AND(INT('模拟-模拟计算'!B527)&lt;='模拟-模拟计算'!$C$2,'模拟-模拟计算'!B527&gt;0),'模拟-模拟计算'!Y527," ")</f>
        <v>121983.22032383647</v>
      </c>
      <c r="I502" s="105">
        <f ca="1">IF(AND(INT('模拟-模拟计算'!B527)&lt;='模拟-模拟计算'!$C$2,'模拟-模拟计算'!B527&gt;0),'模拟-模拟计算'!AA527," ")</f>
        <v>113239.19290581055</v>
      </c>
    </row>
    <row r="503" spans="1:9" x14ac:dyDescent="0.2">
      <c r="A503" s="20">
        <f>INT('模拟-模拟计算'!B528+0.5)</f>
        <v>462</v>
      </c>
      <c r="B503" s="52">
        <f>IF(AND(INT('模拟-模拟计算'!B528)&lt;='模拟-模拟计算'!$C$2,'模拟-模拟计算'!B528&gt;0),'模拟-模拟计算'!B528," ")</f>
        <v>462.17250000000485</v>
      </c>
      <c r="C503" s="51" t="str">
        <f ca="1">IF(AND(INT('模拟-模拟计算'!B528)&lt;='模拟-模拟计算'!$C$2,'模拟-模拟计算'!B528&gt;0),'模拟-模拟计算'!C528," ")</f>
        <v>幽月轮1</v>
      </c>
      <c r="D503" s="104">
        <f ca="1">IF(AND(INT('模拟-模拟计算'!B528)&lt;='模拟-模拟计算'!$C$2,'模拟-模拟计算'!B528&gt;0),'模拟-模拟计算'!E528," ")</f>
        <v>80</v>
      </c>
      <c r="E503" s="104">
        <f ca="1">IF(AND(INT('模拟-模拟计算'!B528)&lt;='模拟-模拟计算'!$C$2,'模拟-模拟计算'!B528&gt;0),'模拟-模拟计算'!F528," ")</f>
        <v>100</v>
      </c>
      <c r="F503" s="51" t="str">
        <f ca="1">IF(AND(INT('模拟-模拟计算'!B528)&lt;='模拟-模拟计算'!$C$2,'模拟-模拟计算'!B528&gt;0),'模拟-模拟计算'!P528," ")</f>
        <v>命</v>
      </c>
      <c r="G503" s="52">
        <f ca="1">IF(AND(INT('模拟-模拟计算'!B528)&lt;='模拟-模拟计算'!$C$2,'模拟-模拟计算'!B528&gt;0),'模拟-模拟计算'!V528," ")</f>
        <v>16939.18703301924</v>
      </c>
      <c r="H503" s="52">
        <f ca="1">IF(AND(INT('模拟-模拟计算'!B528)&lt;='模拟-模拟计算'!$C$2,'模拟-模拟计算'!B528&gt;0),'模拟-模拟计算'!Y528," ")</f>
        <v>20668.938641999517</v>
      </c>
      <c r="I503" s="105">
        <f ca="1">IF(AND(INT('模拟-模拟计算'!B528)&lt;='模拟-模拟计算'!$C$2,'模拟-模拟计算'!B528&gt;0),'模拟-模拟计算'!AA528," ")</f>
        <v>113057.88783721904</v>
      </c>
    </row>
    <row r="504" spans="1:9" x14ac:dyDescent="0.2">
      <c r="A504" s="20">
        <f>INT('模拟-模拟计算'!B529+0.5)</f>
        <v>463</v>
      </c>
      <c r="B504" s="52">
        <f>IF(AND(INT('模拟-模拟计算'!B529)&lt;='模拟-模拟计算'!$C$2,'模拟-模拟计算'!B529&gt;0),'模拟-模拟计算'!B529," ")</f>
        <v>463.09500000000486</v>
      </c>
      <c r="C504" s="51" t="str">
        <f ca="1">IF(AND(INT('模拟-模拟计算'!B529)&lt;='模拟-模拟计算'!$C$2,'模拟-模拟计算'!B529&gt;0),'模拟-模拟计算'!C529," ")</f>
        <v>净世破魔击·月</v>
      </c>
      <c r="D504" s="104">
        <f ca="1">IF(AND(INT('模拟-模拟计算'!B529)&lt;='模拟-模拟计算'!$C$2,'模拟-模拟计算'!B529&gt;0),'模拟-模拟计算'!E529," ")</f>
        <v>100</v>
      </c>
      <c r="E504" s="104">
        <f ca="1">IF(AND(INT('模拟-模拟计算'!B529)&lt;='模拟-模拟计算'!$C$2,'模拟-模拟计算'!B529&gt;0),'模拟-模拟计算'!F529," ")</f>
        <v>20</v>
      </c>
      <c r="F504" s="51" t="str">
        <f ca="1">IF(AND(INT('模拟-模拟计算'!B529)&lt;='模拟-模拟计算'!$C$2,'模拟-模拟计算'!B529&gt;0),'模拟-模拟计算'!P529," ")</f>
        <v>命</v>
      </c>
      <c r="G504" s="52">
        <f ca="1">IF(AND(INT('模拟-模拟计算'!B529)&lt;='模拟-模拟计算'!$C$2,'模拟-模拟计算'!B529&gt;0),'模拟-模拟计算'!V529," ")</f>
        <v>98481.592340073315</v>
      </c>
      <c r="H504" s="52">
        <f ca="1">IF(AND(INT('模拟-模拟计算'!B529)&lt;='模拟-模拟计算'!$C$2,'模拟-模拟计算'!B529&gt;0),'模拟-模拟计算'!Y529," ")</f>
        <v>130842.56291861708</v>
      </c>
      <c r="I504" s="105">
        <f ca="1">IF(AND(INT('模拟-模拟计算'!B529)&lt;='模拟-模拟计算'!$C$2,'模拟-模拟计算'!B529&gt;0),'模拟-模拟计算'!AA529," ")</f>
        <v>113115.2122768886</v>
      </c>
    </row>
    <row r="505" spans="1:9" x14ac:dyDescent="0.2">
      <c r="A505" s="20">
        <f>INT('模拟-模拟计算'!B530+0.5)</f>
        <v>464</v>
      </c>
      <c r="B505" s="52">
        <f>IF(AND(INT('模拟-模拟计算'!B530)&lt;='模拟-模拟计算'!$C$2,'模拟-模拟计算'!B530&gt;0),'模拟-模拟计算'!B530," ")</f>
        <v>464.01750000000487</v>
      </c>
      <c r="C505" s="51" t="str">
        <f ca="1">IF(AND(INT('模拟-模拟计算'!B530)&lt;='模拟-模拟计算'!$C$2,'模拟-模拟计算'!B530&gt;0),'模拟-模拟计算'!C530," ")</f>
        <v>净世破魔击·日</v>
      </c>
      <c r="D505" s="104">
        <f ca="1">IF(AND(INT('模拟-模拟计算'!B530)&lt;='模拟-模拟计算'!$C$2,'模拟-模拟计算'!B530&gt;0),'模拟-模拟计算'!E530," ")</f>
        <v>0</v>
      </c>
      <c r="E505" s="104">
        <f ca="1">IF(AND(INT('模拟-模拟计算'!B530)&lt;='模拟-模拟计算'!$C$2,'模拟-模拟计算'!B530&gt;0),'模拟-模拟计算'!F530," ")</f>
        <v>100</v>
      </c>
      <c r="F505" s="51" t="str">
        <f ca="1">IF(AND(INT('模拟-模拟计算'!B530)&lt;='模拟-模拟计算'!$C$2,'模拟-模拟计算'!B530&gt;0),'模拟-模拟计算'!P530," ")</f>
        <v>会</v>
      </c>
      <c r="G505" s="52">
        <f ca="1">IF(AND(INT('模拟-模拟计算'!B530)&lt;='模拟-模拟计算'!$C$2,'模拟-模拟计算'!B530&gt;0),'模拟-模拟计算'!V530," ")</f>
        <v>238603.87650457965</v>
      </c>
      <c r="H505" s="52">
        <f ca="1">IF(AND(INT('模拟-模拟计算'!B530)&lt;='模拟-模拟计算'!$C$2,'模拟-模拟计算'!B530&gt;0),'模拟-模拟计算'!Y530," ")</f>
        <v>257386.0665051573</v>
      </c>
      <c r="I505" s="105">
        <f ca="1">IF(AND(INT('模拟-模拟计算'!B530)&lt;='模拟-模拟计算'!$C$2,'模拟-模拟计算'!B530&gt;0),'模拟-模拟计算'!AA530," ")</f>
        <v>113445.02156895136</v>
      </c>
    </row>
    <row r="506" spans="1:9" x14ac:dyDescent="0.2">
      <c r="A506" s="20">
        <f>INT('模拟-模拟计算'!B531+0.5)</f>
        <v>465</v>
      </c>
      <c r="B506" s="52">
        <f>IF(AND(INT('模拟-模拟计算'!B531)&lt;='模拟-模拟计算'!$C$2,'模拟-模拟计算'!B531&gt;0),'模拟-模拟计算'!B531," ")</f>
        <v>464.94000000000489</v>
      </c>
      <c r="C506" s="51" t="str">
        <f ca="1">IF(AND(INT('模拟-模拟计算'!B531)&lt;='模拟-模拟计算'!$C$2,'模拟-模拟计算'!B531&gt;0),'模拟-模拟计算'!C531," ")</f>
        <v>净世破魔击·月</v>
      </c>
      <c r="D506" s="104">
        <f ca="1">IF(AND(INT('模拟-模拟计算'!B531)&lt;='模拟-模拟计算'!$C$2,'模拟-模拟计算'!B531&gt;0),'模拟-模拟计算'!E531," ")</f>
        <v>20</v>
      </c>
      <c r="E506" s="104">
        <f ca="1">IF(AND(INT('模拟-模拟计算'!B531)&lt;='模拟-模拟计算'!$C$2,'模拟-模拟计算'!B531&gt;0),'模拟-模拟计算'!F531," ")</f>
        <v>20</v>
      </c>
      <c r="F506" s="51" t="str">
        <f ca="1">IF(AND(INT('模拟-模拟计算'!B531)&lt;='模拟-模拟计算'!$C$2,'模拟-模拟计算'!B531&gt;0),'模拟-模拟计算'!P531," ")</f>
        <v>会</v>
      </c>
      <c r="G506" s="52">
        <f ca="1">IF(AND(INT('模拟-模拟计算'!B531)&lt;='模拟-模拟计算'!$C$2,'模拟-模拟计算'!B531&gt;0),'模拟-模拟计算'!V531," ")</f>
        <v>121694.14741267689</v>
      </c>
      <c r="H506" s="52">
        <f ca="1">IF(AND(INT('模拟-模拟计算'!B531)&lt;='模拟-模拟计算'!$C$2,'模拟-模拟计算'!B531&gt;0),'模拟-模拟计算'!Y531," ")</f>
        <v>141619.76066605156</v>
      </c>
      <c r="I506" s="105">
        <f ca="1">IF(AND(INT('模拟-模拟计算'!B531)&lt;='模拟-模拟计算'!$C$2,'模拟-模拟计算'!B531&gt;0),'模拟-模拟计算'!AA531," ")</f>
        <v>113524.53016848826</v>
      </c>
    </row>
    <row r="507" spans="1:9" x14ac:dyDescent="0.2">
      <c r="A507" s="20">
        <f>INT('模拟-模拟计算'!B532+0.5)</f>
        <v>466</v>
      </c>
      <c r="B507" s="52">
        <f>IF(AND(INT('模拟-模拟计算'!B532)&lt;='模拟-模拟计算'!$C$2,'模拟-模拟计算'!B532&gt;0),'模拟-模拟计算'!B532," ")</f>
        <v>465.8625000000049</v>
      </c>
      <c r="C507" s="51" t="str">
        <f ca="1">IF(AND(INT('模拟-模拟计算'!B532)&lt;='模拟-模拟计算'!$C$2,'模拟-模拟计算'!B532&gt;0),'模拟-模拟计算'!C532," ")</f>
        <v>银月斩</v>
      </c>
      <c r="D507" s="104">
        <f ca="1">IF(AND(INT('模拟-模拟计算'!B532)&lt;='模拟-模拟计算'!$C$2,'模拟-模拟计算'!B532&gt;0),'模拟-模拟计算'!E532," ")</f>
        <v>20</v>
      </c>
      <c r="E507" s="104">
        <f ca="1">IF(AND(INT('模拟-模拟计算'!B532)&lt;='模拟-模拟计算'!$C$2,'模拟-模拟计算'!B532&gt;0),'模拟-模拟计算'!F532," ")</f>
        <v>65</v>
      </c>
      <c r="F507" s="51" t="str">
        <f ca="1">IF(AND(INT('模拟-模拟计算'!B532)&lt;='模拟-模拟计算'!$C$2,'模拟-模拟计算'!B532&gt;0),'模拟-模拟计算'!P532," ")</f>
        <v>会</v>
      </c>
      <c r="G507" s="52">
        <f ca="1">IF(AND(INT('模拟-模拟计算'!B532)&lt;='模拟-模拟计算'!$C$2,'模拟-模拟计算'!B532&gt;0),'模拟-模拟计算'!V532," ")</f>
        <v>49855.474753700611</v>
      </c>
      <c r="H507" s="52">
        <f ca="1">IF(AND(INT('模拟-模拟计算'!B532)&lt;='模拟-模拟计算'!$C$2,'模拟-模拟计算'!B532&gt;0),'模拟-模拟计算'!Y532," ")</f>
        <v>59833.642511824444</v>
      </c>
      <c r="I507" s="105">
        <f ca="1">IF(AND(INT('模拟-模拟计算'!B532)&lt;='模拟-模拟计算'!$C$2,'模拟-模拟计算'!B532&gt;0),'模拟-模拟计算'!AA532," ")</f>
        <v>113428.16539010707</v>
      </c>
    </row>
    <row r="508" spans="1:9" x14ac:dyDescent="0.2">
      <c r="A508" s="20">
        <f>INT('模拟-模拟计算'!B533+0.5)</f>
        <v>467</v>
      </c>
      <c r="B508" s="52">
        <f>IF(AND(INT('模拟-模拟计算'!B533)&lt;='模拟-模拟计算'!$C$2,'模拟-模拟计算'!B533&gt;0),'模拟-模拟计算'!B533," ")</f>
        <v>466.78500000000491</v>
      </c>
      <c r="C508" s="51" t="str">
        <f ca="1">IF(AND(INT('模拟-模拟计算'!B533)&lt;='模拟-模拟计算'!$C$2,'模拟-模拟计算'!B533&gt;0),'模拟-模拟计算'!C533," ")</f>
        <v>驱夜断愁</v>
      </c>
      <c r="D508" s="104">
        <f ca="1">IF(AND(INT('模拟-模拟计算'!B533)&lt;='模拟-模拟计算'!$C$2,'模拟-模拟计算'!B533&gt;0),'模拟-模拟计算'!E533," ")</f>
        <v>40</v>
      </c>
      <c r="E508" s="104">
        <f ca="1">IF(AND(INT('模拟-模拟计算'!B533)&lt;='模拟-模拟计算'!$C$2,'模拟-模拟计算'!B533&gt;0),'模拟-模拟计算'!F533," ")</f>
        <v>85</v>
      </c>
      <c r="F508" s="51" t="str">
        <f ca="1">IF(AND(INT('模拟-模拟计算'!B533)&lt;='模拟-模拟计算'!$C$2,'模拟-模拟计算'!B533&gt;0),'模拟-模拟计算'!P533," ")</f>
        <v>会</v>
      </c>
      <c r="G508" s="52">
        <f ca="1">IF(AND(INT('模拟-模拟计算'!B533)&lt;='模拟-模拟计算'!$C$2,'模拟-模拟计算'!B533&gt;0),'模拟-模拟计算'!V533," ")</f>
        <v>127463.41908070058</v>
      </c>
      <c r="H508" s="52">
        <f ca="1">IF(AND(INT('模拟-模拟计算'!B533)&lt;='模拟-模拟计算'!$C$2,'模拟-模拟计算'!B533&gt;0),'模拟-模拟计算'!Y533," ")</f>
        <v>153288.30783546466</v>
      </c>
      <c r="I508" s="105">
        <f ca="1">IF(AND(INT('模拟-模拟计算'!B533)&lt;='模拟-模拟计算'!$C$2,'模拟-模拟计算'!B533&gt;0),'模拟-模拟计算'!AA533," ")</f>
        <v>113532.39072995966</v>
      </c>
    </row>
    <row r="509" spans="1:9" x14ac:dyDescent="0.2">
      <c r="A509" s="20">
        <f>INT('模拟-模拟计算'!B534+0.5)</f>
        <v>468</v>
      </c>
      <c r="B509" s="52">
        <f>IF(AND(INT('模拟-模拟计算'!B534)&lt;='模拟-模拟计算'!$C$2,'模拟-模拟计算'!B534&gt;0),'模拟-模拟计算'!B534," ")</f>
        <v>467.70750000000493</v>
      </c>
      <c r="C509" s="51" t="str">
        <f ca="1">IF(AND(INT('模拟-模拟计算'!B534)&lt;='模拟-模拟计算'!$C$2,'模拟-模拟计算'!B534&gt;0),'模拟-模拟计算'!C534," ")</f>
        <v>烈日斩</v>
      </c>
      <c r="D509" s="104">
        <f ca="1">IF(AND(INT('模拟-模拟计算'!B534)&lt;='模拟-模拟计算'!$C$2,'模拟-模拟计算'!B534&gt;0),'模拟-模拟计算'!E534," ")</f>
        <v>80</v>
      </c>
      <c r="E509" s="104">
        <f ca="1">IF(AND(INT('模拟-模拟计算'!B534)&lt;='模拟-模拟计算'!$C$2,'模拟-模拟计算'!B534&gt;0),'模拟-模拟计算'!F534," ")</f>
        <v>85</v>
      </c>
      <c r="F509" s="51" t="str">
        <f ca="1">IF(AND(INT('模拟-模拟计算'!B534)&lt;='模拟-模拟计算'!$C$2,'模拟-模拟计算'!B534&gt;0),'模拟-模拟计算'!P534," ")</f>
        <v>命</v>
      </c>
      <c r="G509" s="52">
        <f ca="1">IF(AND(INT('模拟-模拟计算'!B534)&lt;='模拟-模拟计算'!$C$2,'模拟-模拟计算'!B534&gt;0),'模拟-模拟计算'!V534," ")</f>
        <v>48841.631854871324</v>
      </c>
      <c r="H509" s="52">
        <f ca="1">IF(AND(INT('模拟-模拟计算'!B534)&lt;='模拟-模拟计算'!$C$2,'模拟-模拟计算'!B534&gt;0),'模拟-模拟计算'!Y534," ")</f>
        <v>69178.502322457585</v>
      </c>
      <c r="I509" s="105">
        <f ca="1">IF(AND(INT('模拟-模拟计算'!B534)&lt;='模拟-模拟计算'!$C$2,'模拟-模拟计算'!B534&gt;0),'模拟-模拟计算'!AA534," ")</f>
        <v>113456.37072145876</v>
      </c>
    </row>
    <row r="510" spans="1:9" x14ac:dyDescent="0.2">
      <c r="A510" s="20">
        <f>INT('模拟-模拟计算'!B535+0.5)</f>
        <v>469</v>
      </c>
      <c r="B510" s="52">
        <f>IF(AND(INT('模拟-模拟计算'!B535)&lt;='模拟-模拟计算'!$C$2,'模拟-模拟计算'!B535&gt;0),'模拟-模拟计算'!B535," ")</f>
        <v>468.63000000000494</v>
      </c>
      <c r="C510" s="51" t="str">
        <f ca="1">IF(AND(INT('模拟-模拟计算'!B535)&lt;='模拟-模拟计算'!$C$2,'模拟-模拟计算'!B535&gt;0),'模拟-模拟计算'!C535," ")</f>
        <v>幽月轮1</v>
      </c>
      <c r="D510" s="104">
        <f ca="1">IF(AND(INT('模拟-模拟计算'!B535)&lt;='模拟-模拟计算'!$C$2,'模拟-模拟计算'!B535&gt;0),'模拟-模拟计算'!E535," ")</f>
        <v>80</v>
      </c>
      <c r="E510" s="104">
        <f ca="1">IF(AND(INT('模拟-模拟计算'!B535)&lt;='模拟-模拟计算'!$C$2,'模拟-模拟计算'!B535&gt;0),'模拟-模拟计算'!F535," ")</f>
        <v>100</v>
      </c>
      <c r="F510" s="51" t="str">
        <f ca="1">IF(AND(INT('模拟-模拟计算'!B535)&lt;='模拟-模拟计算'!$C$2,'模拟-模拟计算'!B535&gt;0),'模拟-模拟计算'!P535," ")</f>
        <v>命</v>
      </c>
      <c r="G510" s="52">
        <f ca="1">IF(AND(INT('模拟-模拟计算'!B535)&lt;='模拟-模拟计算'!$C$2,'模拟-模拟计算'!B535&gt;0),'模拟-模拟计算'!V535," ")</f>
        <v>16939.18703301924</v>
      </c>
      <c r="H510" s="52">
        <f ca="1">IF(AND(INT('模拟-模拟计算'!B535)&lt;='模拟-模拟计算'!$C$2,'模拟-模拟计算'!B535&gt;0),'模拟-模拟计算'!Y535," ")</f>
        <v>26896.053368574285</v>
      </c>
      <c r="I510" s="105">
        <f ca="1">IF(AND(INT('模拟-模拟计算'!B535)&lt;='模拟-模拟计算'!$C$2,'模拟-模拟计算'!B535&gt;0),'模拟-模拟计算'!AA535," ")</f>
        <v>113290.42434879382</v>
      </c>
    </row>
    <row r="511" spans="1:9" x14ac:dyDescent="0.2">
      <c r="A511" s="20">
        <f>INT('模拟-模拟计算'!B536+0.5)</f>
        <v>470</v>
      </c>
      <c r="B511" s="52">
        <f>IF(AND(INT('模拟-模拟计算'!B536)&lt;='模拟-模拟计算'!$C$2,'模拟-模拟计算'!B536&gt;0),'模拟-模拟计算'!B536," ")</f>
        <v>469.55250000000495</v>
      </c>
      <c r="C511" s="51" t="str">
        <f ca="1">IF(AND(INT('模拟-模拟计算'!B536)&lt;='模拟-模拟计算'!$C$2,'模拟-模拟计算'!B536&gt;0),'模拟-模拟计算'!C536," ")</f>
        <v>净世破魔击·月</v>
      </c>
      <c r="D511" s="104">
        <f ca="1">IF(AND(INT('模拟-模拟计算'!B536)&lt;='模拟-模拟计算'!$C$2,'模拟-模拟计算'!B536&gt;0),'模拟-模拟计算'!E536," ")</f>
        <v>100</v>
      </c>
      <c r="E511" s="104">
        <f ca="1">IF(AND(INT('模拟-模拟计算'!B536)&lt;='模拟-模拟计算'!$C$2,'模拟-模拟计算'!B536&gt;0),'模拟-模拟计算'!F536," ")</f>
        <v>20</v>
      </c>
      <c r="F511" s="51" t="str">
        <f ca="1">IF(AND(INT('模拟-模拟计算'!B536)&lt;='模拟-模拟计算'!$C$2,'模拟-模拟计算'!B536&gt;0),'模拟-模拟计算'!P536," ")</f>
        <v>命</v>
      </c>
      <c r="G511" s="52">
        <f ca="1">IF(AND(INT('模拟-模拟计算'!B536)&lt;='模拟-模拟计算'!$C$2,'模拟-模拟计算'!B536&gt;0),'模拟-模拟计算'!V536," ")</f>
        <v>84412.793434348554</v>
      </c>
      <c r="H511" s="52">
        <f ca="1">IF(AND(INT('模拟-模拟计算'!B536)&lt;='模拟-模拟计算'!$C$2,'模拟-模拟计算'!B536&gt;0),'模拟-模拟计算'!Y536," ")</f>
        <v>111596.13078871818</v>
      </c>
      <c r="I511" s="105">
        <f ca="1">IF(AND(INT('模拟-模拟计算'!B536)&lt;='模拟-模拟计算'!$C$2,'模拟-模拟计算'!B536&gt;0),'模拟-模拟计算'!AA536," ")</f>
        <v>113305.51470466875</v>
      </c>
    </row>
    <row r="512" spans="1:9" x14ac:dyDescent="0.2">
      <c r="A512" s="20">
        <f>INT('模拟-模拟计算'!B537+0.5)</f>
        <v>470</v>
      </c>
      <c r="B512" s="52">
        <f>IF(AND(INT('模拟-模拟计算'!B537)&lt;='模拟-模拟计算'!$C$2,'模拟-模拟计算'!B537&gt;0),'模拟-模拟计算'!B537," ")</f>
        <v>470.47500000000497</v>
      </c>
      <c r="C512" s="51" t="str">
        <f ca="1">IF(AND(INT('模拟-模拟计算'!B537)&lt;='模拟-模拟计算'!$C$2,'模拟-模拟计算'!B537&gt;0),'模拟-模拟计算'!C537," ")</f>
        <v>净世破魔击·日</v>
      </c>
      <c r="D512" s="104">
        <f ca="1">IF(AND(INT('模拟-模拟计算'!B537)&lt;='模拟-模拟计算'!$C$2,'模拟-模拟计算'!B537&gt;0),'模拟-模拟计算'!E537," ")</f>
        <v>0</v>
      </c>
      <c r="E512" s="104">
        <f ca="1">IF(AND(INT('模拟-模拟计算'!B537)&lt;='模拟-模拟计算'!$C$2,'模拟-模拟计算'!B537&gt;0),'模拟-模拟计算'!F537," ")</f>
        <v>20</v>
      </c>
      <c r="F512" s="51" t="str">
        <f ca="1">IF(AND(INT('模拟-模拟计算'!B537)&lt;='模拟-模拟计算'!$C$2,'模拟-模拟计算'!B537&gt;0),'模拟-模拟计算'!P537," ")</f>
        <v>命</v>
      </c>
      <c r="G512" s="52">
        <f ca="1">IF(AND(INT('模拟-模拟计算'!B537)&lt;='模拟-模拟计算'!$C$2,'模拟-模拟计算'!B537&gt;0),'模拟-模拟计算'!V537," ")</f>
        <v>94575.365106402023</v>
      </c>
      <c r="H512" s="52">
        <f ca="1">IF(AND(INT('模拟-模拟计算'!B537)&lt;='模拟-模拟计算'!$C$2,'模拟-模拟计算'!B537&gt;0),'模拟-模拟计算'!Y537," ")</f>
        <v>115746.51242080946</v>
      </c>
      <c r="I512" s="105">
        <f ca="1">IF(AND(INT('模拟-模拟计算'!B537)&lt;='模拟-模拟计算'!$C$2,'模拟-模拟计算'!B537&gt;0),'模拟-模拟计算'!AA537," ")</f>
        <v>113329.3675663633</v>
      </c>
    </row>
    <row r="513" spans="1:9" x14ac:dyDescent="0.2">
      <c r="A513" s="20">
        <f>INT('模拟-模拟计算'!B538+0.5)</f>
        <v>471</v>
      </c>
      <c r="B513" s="52">
        <f>IF(AND(INT('模拟-模拟计算'!B538)&lt;='模拟-模拟计算'!$C$2,'模拟-模拟计算'!B538&gt;0),'模拟-模拟计算'!B538," ")</f>
        <v>471.39750000000498</v>
      </c>
      <c r="C513" s="51" t="str">
        <f ca="1">IF(AND(INT('模拟-模拟计算'!B538)&lt;='模拟-模拟计算'!$C$2,'模拟-模拟计算'!B538&gt;0),'模拟-模拟计算'!C538," ")</f>
        <v>赤日轮1</v>
      </c>
      <c r="D513" s="104">
        <f ca="1">IF(AND(INT('模拟-模拟计算'!B538)&lt;='模拟-模拟计算'!$C$2,'模拟-模拟计算'!B538&gt;0),'模拟-模拟计算'!E538," ")</f>
        <v>20</v>
      </c>
      <c r="E513" s="104">
        <f ca="1">IF(AND(INT('模拟-模拟计算'!B538)&lt;='模拟-模拟计算'!$C$2,'模拟-模拟计算'!B538&gt;0),'模拟-模拟计算'!F538," ")</f>
        <v>20</v>
      </c>
      <c r="F513" s="51" t="str">
        <f ca="1">IF(AND(INT('模拟-模拟计算'!B538)&lt;='模拟-模拟计算'!$C$2,'模拟-模拟计算'!B538&gt;0),'模拟-模拟计算'!P538," ")</f>
        <v>会</v>
      </c>
      <c r="G513" s="52">
        <f ca="1">IF(AND(INT('模拟-模拟计算'!B538)&lt;='模拟-模拟计算'!$C$2,'模拟-模拟计算'!B538&gt;0),'模拟-模拟计算'!V538," ")</f>
        <v>56864.156113360666</v>
      </c>
      <c r="H513" s="52">
        <f ca="1">IF(AND(INT('模拟-模拟计算'!B538)&lt;='模拟-模拟计算'!$C$2,'模拟-模拟计算'!B538&gt;0),'模拟-模拟计算'!Y538," ")</f>
        <v>66842.323871484492</v>
      </c>
      <c r="I513" s="105">
        <f ca="1">IF(AND(INT('模拟-模拟计算'!B538)&lt;='模拟-模拟计算'!$C$2,'模拟-模拟计算'!B538&gt;0),'模拟-模拟计算'!AA538," ")</f>
        <v>113249.38407534249</v>
      </c>
    </row>
    <row r="514" spans="1:9" x14ac:dyDescent="0.2">
      <c r="A514" s="20">
        <f>INT('模拟-模拟计算'!B539+0.5)</f>
        <v>472</v>
      </c>
      <c r="B514" s="52">
        <f>IF(AND(INT('模拟-模拟计算'!B539)&lt;='模拟-模拟计算'!$C$2,'模拟-模拟计算'!B539&gt;0),'模拟-模拟计算'!B539," ")</f>
        <v>472.320000000005</v>
      </c>
      <c r="C514" s="51" t="str">
        <f ca="1">IF(AND(INT('模拟-模拟计算'!B539)&lt;='模拟-模拟计算'!$C$2,'模拟-模拟计算'!B539&gt;0),'模拟-模拟计算'!C539," ")</f>
        <v>银月斩</v>
      </c>
      <c r="D514" s="104">
        <f ca="1">IF(AND(INT('模拟-模拟计算'!B539)&lt;='模拟-模拟计算'!$C$2,'模拟-模拟计算'!B539&gt;0),'模拟-模拟计算'!E539," ")</f>
        <v>20</v>
      </c>
      <c r="E514" s="104">
        <f ca="1">IF(AND(INT('模拟-模拟计算'!B539)&lt;='模拟-模拟计算'!$C$2,'模拟-模拟计算'!B539&gt;0),'模拟-模拟计算'!F539," ")</f>
        <v>65</v>
      </c>
      <c r="F514" s="51" t="str">
        <f ca="1">IF(AND(INT('模拟-模拟计算'!B539)&lt;='模拟-模拟计算'!$C$2,'模拟-模拟计算'!B539&gt;0),'模拟-模拟计算'!P539," ")</f>
        <v>会</v>
      </c>
      <c r="G514" s="52">
        <f ca="1">IF(AND(INT('模拟-模拟计算'!B539)&lt;='模拟-模拟计算'!$C$2,'模拟-模拟计算'!B539&gt;0),'模拟-模拟计算'!V539," ")</f>
        <v>41211.704893206668</v>
      </c>
      <c r="H514" s="52">
        <f ca="1">IF(AND(INT('模拟-模拟计算'!B539)&lt;='模拟-模拟计算'!$C$2,'模拟-模拟计算'!B539&gt;0),'模拟-模拟计算'!Y539," ")</f>
        <v>62323.008001004855</v>
      </c>
      <c r="I514" s="105">
        <f ca="1">IF(AND(INT('模拟-模拟计算'!B539)&lt;='模拟-模拟计算'!$C$2,'模拟-模拟计算'!B539&gt;0),'模拟-模拟计算'!AA539," ")</f>
        <v>113160.1446850806</v>
      </c>
    </row>
    <row r="515" spans="1:9" x14ac:dyDescent="0.2">
      <c r="A515" s="20">
        <f>INT('模拟-模拟计算'!B540+0.5)</f>
        <v>473</v>
      </c>
      <c r="B515" s="52">
        <f>IF(AND(INT('模拟-模拟计算'!B540)&lt;='模拟-模拟计算'!$C$2,'模拟-模拟计算'!B540&gt;0),'模拟-模拟计算'!B540," ")</f>
        <v>473.24250000000501</v>
      </c>
      <c r="C515" s="51" t="str">
        <f ca="1">IF(AND(INT('模拟-模拟计算'!B540)&lt;='模拟-模拟计算'!$C$2,'模拟-模拟计算'!B540&gt;0),'模拟-模拟计算'!C540," ")</f>
        <v>驱夜断愁</v>
      </c>
      <c r="D515" s="104">
        <f ca="1">IF(AND(INT('模拟-模拟计算'!B540)&lt;='模拟-模拟计算'!$C$2,'模拟-模拟计算'!B540&gt;0),'模拟-模拟计算'!E540," ")</f>
        <v>100</v>
      </c>
      <c r="E515" s="104">
        <f ca="1">IF(AND(INT('模拟-模拟计算'!B540)&lt;='模拟-模拟计算'!$C$2,'模拟-模拟计算'!B540&gt;0),'模拟-模拟计算'!F540," ")</f>
        <v>85</v>
      </c>
      <c r="F515" s="51" t="str">
        <f ca="1">IF(AND(INT('模拟-模拟计算'!B540)&lt;='模拟-模拟计算'!$C$2,'模拟-模拟计算'!B540&gt;0),'模拟-模拟计算'!P540," ")</f>
        <v>识</v>
      </c>
      <c r="G515" s="52">
        <f ca="1">IF(AND(INT('模拟-模拟计算'!B540)&lt;='模拟-模拟计算'!$C$2,'模拟-模拟计算'!B540&gt;0),'模拟-模拟计算'!V540," ")</f>
        <v>15385.018372398006</v>
      </c>
      <c r="H515" s="52">
        <f ca="1">IF(AND(INT('模拟-模拟计算'!B540)&lt;='模拟-模拟计算'!$C$2,'模拟-模拟计算'!B540&gt;0),'模拟-模拟计算'!Y540," ")</f>
        <v>25724.696774068892</v>
      </c>
      <c r="I515" s="105">
        <f ca="1">IF(AND(INT('模拟-模拟计算'!B540)&lt;='模拟-模拟计算'!$C$2,'模拟-模拟计算'!B540&gt;0),'模拟-模拟计算'!AA540," ")</f>
        <v>112993.91799010303</v>
      </c>
    </row>
    <row r="516" spans="1:9" x14ac:dyDescent="0.2">
      <c r="A516" s="20">
        <f>INT('模拟-模拟计算'!B541+0.5)</f>
        <v>474</v>
      </c>
      <c r="B516" s="52">
        <f>IF(AND(INT('模拟-模拟计算'!B541)&lt;='模拟-模拟计算'!$C$2,'模拟-模拟计算'!B541&gt;0),'模拟-模拟计算'!B541," ")</f>
        <v>474.16500000000502</v>
      </c>
      <c r="C516" s="51" t="str">
        <f ca="1">IF(AND(INT('模拟-模拟计算'!B541)&lt;='模拟-模拟计算'!$C$2,'模拟-模拟计算'!B541&gt;0),'模拟-模拟计算'!C541," ")</f>
        <v>净世破魔击·日</v>
      </c>
      <c r="D516" s="104">
        <f ca="1">IF(AND(INT('模拟-模拟计算'!B541)&lt;='模拟-模拟计算'!$C$2,'模拟-模拟计算'!B541&gt;0),'模拟-模拟计算'!E541," ")</f>
        <v>0</v>
      </c>
      <c r="E516" s="104">
        <f ca="1">IF(AND(INT('模拟-模拟计算'!B541)&lt;='模拟-模拟计算'!$C$2,'模拟-模拟计算'!B541&gt;0),'模拟-模拟计算'!F541," ")</f>
        <v>100</v>
      </c>
      <c r="F516" s="51" t="str">
        <f ca="1">IF(AND(INT('模拟-模拟计算'!B541)&lt;='模拟-模拟计算'!$C$2,'模拟-模拟计算'!B541&gt;0),'模拟-模拟计算'!P541," ")</f>
        <v>会</v>
      </c>
      <c r="G516" s="52">
        <f ca="1">IF(AND(INT('模拟-模拟计算'!B541)&lt;='模拟-模拟计算'!$C$2,'模拟-模拟计算'!B541&gt;0),'模拟-模拟计算'!V541," ")</f>
        <v>204517.60843249681</v>
      </c>
      <c r="H516" s="52">
        <f ca="1">IF(AND(INT('模拟-模拟计算'!B541)&lt;='模拟-模拟计算'!$C$2,'模拟-模拟计算'!B541&gt;0),'模拟-模拟计算'!Y541," ")</f>
        <v>275476.46448607277</v>
      </c>
      <c r="I516" s="105">
        <f ca="1">IF(AND(INT('模拟-模拟计算'!B541)&lt;='模拟-模拟计算'!$C$2,'模拟-模拟计算'!B541&gt;0),'模拟-模拟计算'!AA541," ")</f>
        <v>113355.0572035418</v>
      </c>
    </row>
    <row r="517" spans="1:9" x14ac:dyDescent="0.2">
      <c r="A517" s="20">
        <f>INT('模拟-模拟计算'!B542+0.5)</f>
        <v>475</v>
      </c>
      <c r="B517" s="52">
        <f>IF(AND(INT('模拟-模拟计算'!B542)&lt;='模拟-模拟计算'!$C$2,'模拟-模拟计算'!B542&gt;0),'模拟-模拟计算'!B542," ")</f>
        <v>475.08750000000504</v>
      </c>
      <c r="C517" s="51" t="str">
        <f ca="1">IF(AND(INT('模拟-模拟计算'!B542)&lt;='模拟-模拟计算'!$C$2,'模拟-模拟计算'!B542&gt;0),'模拟-模拟计算'!C542," ")</f>
        <v>净世破魔击·月</v>
      </c>
      <c r="D517" s="104">
        <f ca="1">IF(AND(INT('模拟-模拟计算'!B542)&lt;='模拟-模拟计算'!$C$2,'模拟-模拟计算'!B542&gt;0),'模拟-模拟计算'!E542," ")</f>
        <v>100</v>
      </c>
      <c r="E517" s="104">
        <f ca="1">IF(AND(INT('模拟-模拟计算'!B542)&lt;='模拟-模拟计算'!$C$2,'模拟-模拟计算'!B542&gt;0),'模拟-模拟计算'!F542," ")</f>
        <v>20</v>
      </c>
      <c r="F517" s="51" t="str">
        <f ca="1">IF(AND(INT('模拟-模拟计算'!B542)&lt;='模拟-模拟计算'!$C$2,'模拟-模拟计算'!B542&gt;0),'模拟-模拟计算'!P542," ")</f>
        <v>会</v>
      </c>
      <c r="G517" s="52">
        <f ca="1">IF(AND(INT('模拟-模拟计算'!B542)&lt;='模拟-模拟计算'!$C$2,'模拟-模拟计算'!B542&gt;0),'模拟-模拟计算'!V542," ")</f>
        <v>121694.14741267689</v>
      </c>
      <c r="H517" s="52">
        <f ca="1">IF(AND(INT('模拟-模拟计算'!B542)&lt;='模拟-模拟计算'!$C$2,'模拟-模拟计算'!B542&gt;0),'模拟-模拟计算'!Y542," ")</f>
        <v>128295.19908128389</v>
      </c>
      <c r="I517" s="105">
        <f ca="1">IF(AND(INT('模拟-模拟计算'!B542)&lt;='模拟-模拟计算'!$C$2,'模拟-模拟计算'!B542&gt;0),'模拟-模拟计算'!AA542," ")</f>
        <v>113404.99570710382</v>
      </c>
    </row>
    <row r="518" spans="1:9" x14ac:dyDescent="0.2">
      <c r="A518" s="20">
        <f>INT('模拟-模拟计算'!B543+0.5)</f>
        <v>476</v>
      </c>
      <c r="B518" s="52">
        <f>IF(AND(INT('模拟-模拟计算'!B543)&lt;='模拟-模拟计算'!$C$2,'模拟-模拟计算'!B543&gt;0),'模拟-模拟计算'!B543," ")</f>
        <v>476.01000000000505</v>
      </c>
      <c r="C518" s="51" t="str">
        <f ca="1">IF(AND(INT('模拟-模拟计算'!B543)&lt;='模拟-模拟计算'!$C$2,'模拟-模拟计算'!B543&gt;0),'模拟-模拟计算'!C543," ")</f>
        <v>净世破魔击·日</v>
      </c>
      <c r="D518" s="104">
        <f ca="1">IF(AND(INT('模拟-模拟计算'!B543)&lt;='模拟-模拟计算'!$C$2,'模拟-模拟计算'!B543&gt;0),'模拟-模拟计算'!E543," ")</f>
        <v>0</v>
      </c>
      <c r="E518" s="104">
        <f ca="1">IF(AND(INT('模拟-模拟计算'!B543)&lt;='模拟-模拟计算'!$C$2,'模拟-模拟计算'!B543&gt;0),'模拟-模拟计算'!F543," ")</f>
        <v>100</v>
      </c>
      <c r="F518" s="51" t="str">
        <f ca="1">IF(AND(INT('模拟-模拟计算'!B543)&lt;='模拟-模拟计算'!$C$2,'模拟-模拟计算'!B543&gt;0),'模拟-模拟计算'!P543," ")</f>
        <v>命</v>
      </c>
      <c r="G518" s="52">
        <f ca="1">IF(AND(INT('模拟-模拟计算'!B543)&lt;='模拟-模拟计算'!$C$2,'模拟-模拟计算'!B543&gt;0),'模拟-模拟计算'!V543," ")</f>
        <v>60398.417085084453</v>
      </c>
      <c r="H518" s="52">
        <f ca="1">IF(AND(INT('模拟-模拟计算'!B543)&lt;='模拟-模拟计算'!$C$2,'模拟-模拟计算'!B543&gt;0),'模拟-模拟计算'!Y543," ")</f>
        <v>93652.967274364753</v>
      </c>
      <c r="I518" s="105">
        <f ca="1">IF(AND(INT('模拟-模拟计算'!B543)&lt;='模拟-模拟计算'!$C$2,'模拟-模拟计算'!B543&gt;0),'模拟-模拟计算'!AA543," ")</f>
        <v>113381.96438157403</v>
      </c>
    </row>
    <row r="519" spans="1:9" x14ac:dyDescent="0.2">
      <c r="A519" s="20">
        <f>INT('模拟-模拟计算'!B544+0.5)</f>
        <v>477</v>
      </c>
      <c r="B519" s="52">
        <f>IF(AND(INT('模拟-模拟计算'!B544)&lt;='模拟-模拟计算'!$C$2,'模拟-模拟计算'!B544&gt;0),'模拟-模拟计算'!B544," ")</f>
        <v>476.93250000000506</v>
      </c>
      <c r="C519" s="51" t="str">
        <f ca="1">IF(AND(INT('模拟-模拟计算'!B544)&lt;='模拟-模拟计算'!$C$2,'模拟-模拟计算'!B544&gt;0),'模拟-模拟计算'!C544," ")</f>
        <v>净世破魔击·月</v>
      </c>
      <c r="D519" s="104">
        <f ca="1">IF(AND(INT('模拟-模拟计算'!B544)&lt;='模拟-模拟计算'!$C$2,'模拟-模拟计算'!B544&gt;0),'模拟-模拟计算'!E544," ")</f>
        <v>100</v>
      </c>
      <c r="E519" s="104">
        <f ca="1">IF(AND(INT('模拟-模拟计算'!B544)&lt;='模拟-模拟计算'!$C$2,'模拟-模拟计算'!B544&gt;0),'模拟-模拟计算'!F544," ")</f>
        <v>20</v>
      </c>
      <c r="F519" s="51" t="str">
        <f ca="1">IF(AND(INT('模拟-模拟计算'!B544)&lt;='模拟-模拟计算'!$C$2,'模拟-模拟计算'!B544&gt;0),'模拟-模拟计算'!P544," ")</f>
        <v>会</v>
      </c>
      <c r="G519" s="52">
        <f ca="1">IF(AND(INT('模拟-模拟计算'!B544)&lt;='模拟-模拟计算'!$C$2,'模拟-模拟计算'!B544&gt;0),'模拟-模拟计算'!V544," ")</f>
        <v>116578.90677476654</v>
      </c>
      <c r="H519" s="52">
        <f ca="1">IF(AND(INT('模拟-模拟计算'!B544)&lt;='模拟-模拟计算'!$C$2,'模拟-模拟计算'!B544&gt;0),'模拟-模拟计算'!Y544," ")</f>
        <v>143077.25820141917</v>
      </c>
      <c r="I519" s="105">
        <f ca="1">IF(AND(INT('模拟-模拟计算'!B544)&lt;='模拟-模拟计算'!$C$2,'模拟-模拟计算'!B544&gt;0),'模拟-模拟计算'!AA544," ")</f>
        <v>113462.65168231243</v>
      </c>
    </row>
    <row r="520" spans="1:9" x14ac:dyDescent="0.2">
      <c r="A520" s="20">
        <f>INT('模拟-模拟计算'!B545+0.5)</f>
        <v>478</v>
      </c>
      <c r="B520" s="52">
        <f>IF(AND(INT('模拟-模拟计算'!B545)&lt;='模拟-模拟计算'!$C$2,'模拟-模拟计算'!B545&gt;0),'模拟-模拟计算'!B545," ")</f>
        <v>477.85500000000508</v>
      </c>
      <c r="C520" s="51" t="str">
        <f ca="1">IF(AND(INT('模拟-模拟计算'!B545)&lt;='模拟-模拟计算'!$C$2,'模拟-模拟计算'!B545&gt;0),'模拟-模拟计算'!C545," ")</f>
        <v>净世破魔击·日</v>
      </c>
      <c r="D520" s="104">
        <f ca="1">IF(AND(INT('模拟-模拟计算'!B545)&lt;='模拟-模拟计算'!$C$2,'模拟-模拟计算'!B545&gt;0),'模拟-模拟计算'!E545," ")</f>
        <v>0</v>
      </c>
      <c r="E520" s="104">
        <f ca="1">IF(AND(INT('模拟-模拟计算'!B545)&lt;='模拟-模拟计算'!$C$2,'模拟-模拟计算'!B545&gt;0),'模拟-模拟计算'!F545," ")</f>
        <v>100</v>
      </c>
      <c r="F520" s="51" t="str">
        <f ca="1">IF(AND(INT('模拟-模拟计算'!B545)&lt;='模拟-模拟计算'!$C$2,'模拟-模拟计算'!B545&gt;0),'模拟-模拟计算'!P545," ")</f>
        <v>命</v>
      </c>
      <c r="G520" s="52">
        <f ca="1">IF(AND(INT('模拟-模拟计算'!B545)&lt;='模拟-模拟计算'!$C$2,'模拟-模拟计算'!B545&gt;0),'模拟-模拟计算'!V545," ")</f>
        <v>63575.662099303576</v>
      </c>
      <c r="H520" s="52">
        <f ca="1">IF(AND(INT('模拟-模拟计算'!B545)&lt;='模拟-模拟计算'!$C$2,'模拟-模拟计算'!B545&gt;0),'模拟-模拟计算'!Y545," ")</f>
        <v>98240.785028924816</v>
      </c>
      <c r="I520" s="105">
        <f ca="1">IF(AND(INT('模拟-模拟计算'!B545)&lt;='模拟-模拟计算'!$C$2,'模拟-模拟计算'!B545&gt;0),'模拟-模拟计算'!AA545," ")</f>
        <v>113449.19883333521</v>
      </c>
    </row>
    <row r="521" spans="1:9" x14ac:dyDescent="0.2">
      <c r="A521" s="20">
        <f>INT('模拟-模拟计算'!B546+0.5)</f>
        <v>479</v>
      </c>
      <c r="B521" s="52">
        <f>IF(AND(INT('模拟-模拟计算'!B546)&lt;='模拟-模拟计算'!$C$2,'模拟-模拟计算'!B546&gt;0),'模拟-模拟计算'!B546," ")</f>
        <v>478.77750000000509</v>
      </c>
      <c r="C521" s="51" t="str">
        <f ca="1">IF(AND(INT('模拟-模拟计算'!B546)&lt;='模拟-模拟计算'!$C$2,'模拟-模拟计算'!B546&gt;0),'模拟-模拟计算'!C546," ")</f>
        <v>净世破魔击·月</v>
      </c>
      <c r="D521" s="104">
        <f ca="1">IF(AND(INT('模拟-模拟计算'!B546)&lt;='模拟-模拟计算'!$C$2,'模拟-模拟计算'!B546&gt;0),'模拟-模拟计算'!E546," ")</f>
        <v>20</v>
      </c>
      <c r="E521" s="104">
        <f ca="1">IF(AND(INT('模拟-模拟计算'!B546)&lt;='模拟-模拟计算'!$C$2,'模拟-模拟计算'!B546&gt;0),'模拟-模拟计算'!F546," ")</f>
        <v>20</v>
      </c>
      <c r="F521" s="51" t="str">
        <f ca="1">IF(AND(INT('模拟-模拟计算'!B546)&lt;='模拟-模拟计算'!$C$2,'模拟-模拟计算'!B546&gt;0),'模拟-模拟计算'!P546," ")</f>
        <v>会</v>
      </c>
      <c r="G521" s="52">
        <f ca="1">IF(AND(INT('模拟-模拟计算'!B546)&lt;='模拟-模拟计算'!$C$2,'模拟-模拟计算'!B546&gt;0),'模拟-模拟计算'!V546," ")</f>
        <v>122708.26530778249</v>
      </c>
      <c r="H521" s="52">
        <f ca="1">IF(AND(INT('模拟-模拟计算'!B546)&lt;='模拟-模拟计算'!$C$2,'模拟-模拟计算'!B546&gt;0),'模拟-模拟计算'!Y546," ")</f>
        <v>144525.43388329243</v>
      </c>
      <c r="I521" s="105">
        <f ca="1">IF(AND(INT('模拟-模拟计算'!B546)&lt;='模拟-模拟计算'!$C$2,'模拟-模拟计算'!B546&gt;0),'模拟-模拟计算'!AA546," ")</f>
        <v>113532.47039049807</v>
      </c>
    </row>
    <row r="522" spans="1:9" x14ac:dyDescent="0.2">
      <c r="A522" s="20">
        <f>INT('模拟-模拟计算'!B547+0.5)</f>
        <v>480</v>
      </c>
      <c r="B522" s="52">
        <f>IF(AND(INT('模拟-模拟计算'!B547)&lt;='模拟-模拟计算'!$C$2,'模拟-模拟计算'!B547&gt;0),'模拟-模拟计算'!B547," ")</f>
        <v>479.7000000000051</v>
      </c>
      <c r="C522" s="51" t="str">
        <f ca="1">IF(AND(INT('模拟-模拟计算'!B547)&lt;='模拟-模拟计算'!$C$2,'模拟-模拟计算'!B547&gt;0),'模拟-模拟计算'!C547," ")</f>
        <v>银月斩</v>
      </c>
      <c r="D522" s="104">
        <f ca="1">IF(AND(INT('模拟-模拟计算'!B547)&lt;='模拟-模拟计算'!$C$2,'模拟-模拟计算'!B547&gt;0),'模拟-模拟计算'!E547," ")</f>
        <v>20</v>
      </c>
      <c r="E522" s="104">
        <f ca="1">IF(AND(INT('模拟-模拟计算'!B547)&lt;='模拟-模拟计算'!$C$2,'模拟-模拟计算'!B547&gt;0),'模拟-模拟计算'!F547," ")</f>
        <v>65</v>
      </c>
      <c r="F522" s="51" t="str">
        <f ca="1">IF(AND(INT('模拟-模拟计算'!B547)&lt;='模拟-模拟计算'!$C$2,'模拟-模拟计算'!B547&gt;0),'模拟-模拟计算'!P547," ")</f>
        <v>会</v>
      </c>
      <c r="G522" s="52">
        <f ca="1">IF(AND(INT('模拟-模拟计算'!B547)&lt;='模拟-模拟计算'!$C$2,'模拟-模拟计算'!B547&gt;0),'模拟-模拟计算'!V547," ")</f>
        <v>50289.000621124105</v>
      </c>
      <c r="H522" s="52">
        <f ca="1">IF(AND(INT('模拟-模拟计算'!B547)&lt;='模拟-模拟计算'!$C$2,'模拟-模拟计算'!B547&gt;0),'模拟-模拟计算'!Y547," ")</f>
        <v>75752.378732341123</v>
      </c>
      <c r="I522" s="105">
        <f ca="1">IF(AND(INT('模拟-模拟计算'!B547)&lt;='模拟-模拟计算'!$C$2,'模拟-模拟计算'!B547&gt;0),'模拟-模拟计算'!AA547," ")</f>
        <v>113472.05486995836</v>
      </c>
    </row>
    <row r="523" spans="1:9" x14ac:dyDescent="0.2">
      <c r="A523" s="20">
        <f>INT('模拟-模拟计算'!B548+0.5)</f>
        <v>481</v>
      </c>
      <c r="B523" s="52">
        <f>IF(AND(INT('模拟-模拟计算'!B548)&lt;='模拟-模拟计算'!$C$2,'模拟-模拟计算'!B548&gt;0),'模拟-模拟计算'!B548," ")</f>
        <v>480.62250000000512</v>
      </c>
      <c r="C523" s="51" t="str">
        <f ca="1">IF(AND(INT('模拟-模拟计算'!B548)&lt;='模拟-模拟计算'!$C$2,'模拟-模拟计算'!B548&gt;0),'模拟-模拟计算'!C548," ")</f>
        <v>驱夜断愁</v>
      </c>
      <c r="D523" s="104">
        <f ca="1">IF(AND(INT('模拟-模拟计算'!B548)&lt;='模拟-模拟计算'!$C$2,'模拟-模拟计算'!B548&gt;0),'模拟-模拟计算'!E548," ")</f>
        <v>40</v>
      </c>
      <c r="E523" s="104">
        <f ca="1">IF(AND(INT('模拟-模拟计算'!B548)&lt;='模拟-模拟计算'!$C$2,'模拟-模拟计算'!B548&gt;0),'模拟-模拟计算'!F548," ")</f>
        <v>85</v>
      </c>
      <c r="F523" s="51" t="str">
        <f ca="1">IF(AND(INT('模拟-模拟计算'!B548)&lt;='模拟-模拟计算'!$C$2,'模拟-模拟计算'!B548&gt;0),'模拟-模拟计算'!P548," ")</f>
        <v>会</v>
      </c>
      <c r="G523" s="52">
        <f ca="1">IF(AND(INT('模拟-模拟计算'!B548)&lt;='模拟-模拟计算'!$C$2,'模拟-模拟计算'!B548&gt;0),'模拟-模拟计算'!V548," ")</f>
        <v>134246.71846289007</v>
      </c>
      <c r="H523" s="52">
        <f ca="1">IF(AND(INT('模拟-模拟计算'!B548)&lt;='模拟-模拟计算'!$C$2,'模拟-模拟计算'!B548&gt;0),'模拟-模拟计算'!Y548," ")</f>
        <v>144586.39686456096</v>
      </c>
      <c r="I523" s="105">
        <f ca="1">IF(AND(INT('模拟-模拟计算'!B548)&lt;='模拟-模拟计算'!$C$2,'模拟-模拟计算'!B548&gt;0),'模拟-模拟计算'!AA548," ")</f>
        <v>113555.08973879414</v>
      </c>
    </row>
    <row r="524" spans="1:9" x14ac:dyDescent="0.2">
      <c r="A524" s="20">
        <f>INT('模拟-模拟计算'!B549+0.5)</f>
        <v>482</v>
      </c>
      <c r="B524" s="52">
        <f>IF(AND(INT('模拟-模拟计算'!B549)&lt;='模拟-模拟计算'!$C$2,'模拟-模拟计算'!B549&gt;0),'模拟-模拟计算'!B549," ")</f>
        <v>481.54500000000513</v>
      </c>
      <c r="C524" s="51" t="str">
        <f ca="1">IF(AND(INT('模拟-模拟计算'!B549)&lt;='模拟-模拟计算'!$C$2,'模拟-模拟计算'!B549&gt;0),'模拟-模拟计算'!C549," ")</f>
        <v>烈日斩</v>
      </c>
      <c r="D524" s="104">
        <f ca="1">IF(AND(INT('模拟-模拟计算'!B549)&lt;='模拟-模拟计算'!$C$2,'模拟-模拟计算'!B549&gt;0),'模拟-模拟计算'!E549," ")</f>
        <v>80</v>
      </c>
      <c r="E524" s="104">
        <f ca="1">IF(AND(INT('模拟-模拟计算'!B549)&lt;='模拟-模拟计算'!$C$2,'模拟-模拟计算'!B549&gt;0),'模拟-模拟计算'!F549," ")</f>
        <v>85</v>
      </c>
      <c r="F524" s="51" t="str">
        <f ca="1">IF(AND(INT('模拟-模拟计算'!B549)&lt;='模拟-模拟计算'!$C$2,'模拟-模拟计算'!B549&gt;0),'模拟-模拟计算'!P549," ")</f>
        <v>会</v>
      </c>
      <c r="G524" s="52">
        <f ca="1">IF(AND(INT('模拟-模拟计算'!B549)&lt;='模拟-模拟计算'!$C$2,'模拟-模拟计算'!B549&gt;0),'模拟-模拟计算'!V549," ")</f>
        <v>111394.5122696896</v>
      </c>
      <c r="H524" s="52">
        <f ca="1">IF(AND(INT('模拟-模拟计算'!B549)&lt;='模拟-模拟计算'!$C$2,'模拟-模拟计算'!B549&gt;0),'模拟-模拟计算'!Y549," ")</f>
        <v>136857.89038090664</v>
      </c>
      <c r="I524" s="105">
        <f ca="1">IF(AND(INT('模拟-模拟计算'!B549)&lt;='模拟-模拟计算'!$C$2,'模拟-模拟计算'!B549&gt;0),'模拟-模拟计算'!AA549," ")</f>
        <v>113621.75707018968</v>
      </c>
    </row>
    <row r="525" spans="1:9" x14ac:dyDescent="0.2">
      <c r="A525" s="20">
        <f>INT('模拟-模拟计算'!B550+0.5)</f>
        <v>482</v>
      </c>
      <c r="B525" s="52">
        <f>IF(AND(INT('模拟-模拟计算'!B550)&lt;='模拟-模拟计算'!$C$2,'模拟-模拟计算'!B550&gt;0),'模拟-模拟计算'!B550," ")</f>
        <v>482.46750000000515</v>
      </c>
      <c r="C525" s="51" t="str">
        <f ca="1">IF(AND(INT('模拟-模拟计算'!B550)&lt;='模拟-模拟计算'!$C$2,'模拟-模拟计算'!B550&gt;0),'模拟-模拟计算'!C550," ")</f>
        <v>幽月轮1</v>
      </c>
      <c r="D525" s="104">
        <f ca="1">IF(AND(INT('模拟-模拟计算'!B550)&lt;='模拟-模拟计算'!$C$2,'模拟-模拟计算'!B550&gt;0),'模拟-模拟计算'!E550," ")</f>
        <v>80</v>
      </c>
      <c r="E525" s="104">
        <f ca="1">IF(AND(INT('模拟-模拟计算'!B550)&lt;='模拟-模拟计算'!$C$2,'模拟-模拟计算'!B550&gt;0),'模拟-模拟计算'!F550," ")</f>
        <v>100</v>
      </c>
      <c r="F525" s="51" t="str">
        <f ca="1">IF(AND(INT('模拟-模拟计算'!B550)&lt;='模拟-模拟计算'!$C$2,'模拟-模拟计算'!B550&gt;0),'模拟-模拟计算'!P550," ")</f>
        <v>会</v>
      </c>
      <c r="G525" s="52">
        <f ca="1">IF(AND(INT('模拟-模拟计算'!B550)&lt;='模拟-模拟计算'!$C$2,'模拟-模拟计算'!B550&gt;0),'模拟-模拟计算'!V550," ")</f>
        <v>36973.045063028439</v>
      </c>
      <c r="H525" s="52">
        <f ca="1">IF(AND(INT('模拟-模拟计算'!B550)&lt;='模拟-模拟计算'!$C$2,'模拟-模拟计算'!B550&gt;0),'模拟-模拟计算'!Y550," ")</f>
        <v>45283.910055782188</v>
      </c>
      <c r="I525" s="105">
        <f ca="1">IF(AND(INT('模拟-模拟计算'!B550)&lt;='模拟-模拟计算'!$C$2,'模拟-模拟计算'!B550&gt;0),'模拟-模拟计算'!AA550," ")</f>
        <v>113498.36604210702</v>
      </c>
    </row>
    <row r="526" spans="1:9" x14ac:dyDescent="0.2">
      <c r="A526" s="20">
        <f>INT('模拟-模拟计算'!B551+0.5)</f>
        <v>483</v>
      </c>
      <c r="B526" s="52">
        <f>IF(AND(INT('模拟-模拟计算'!B551)&lt;='模拟-模拟计算'!$C$2,'模拟-模拟计算'!B551&gt;0),'模拟-模拟计算'!B551," ")</f>
        <v>483.39000000000516</v>
      </c>
      <c r="C526" s="51" t="str">
        <f ca="1">IF(AND(INT('模拟-模拟计算'!B551)&lt;='模拟-模拟计算'!$C$2,'模拟-模拟计算'!B551&gt;0),'模拟-模拟计算'!C551," ")</f>
        <v>净世破魔击·月</v>
      </c>
      <c r="D526" s="104">
        <f ca="1">IF(AND(INT('模拟-模拟计算'!B551)&lt;='模拟-模拟计算'!$C$2,'模拟-模拟计算'!B551&gt;0),'模拟-模拟计算'!E551," ")</f>
        <v>100</v>
      </c>
      <c r="E526" s="104">
        <f ca="1">IF(AND(INT('模拟-模拟计算'!B551)&lt;='模拟-模拟计算'!$C$2,'模拟-模拟计算'!B551&gt;0),'模拟-模拟计算'!F551," ")</f>
        <v>20</v>
      </c>
      <c r="F526" s="51" t="str">
        <f ca="1">IF(AND(INT('模拟-模拟计算'!B551)&lt;='模拟-模拟计算'!$C$2,'模拟-模拟计算'!B551&gt;0),'模拟-模拟计算'!P551," ")</f>
        <v>会</v>
      </c>
      <c r="G526" s="52">
        <f ca="1">IF(AND(INT('模拟-模拟计算'!B551)&lt;='模拟-模拟计算'!$C$2,'模拟-模拟计算'!B551&gt;0),'模拟-模拟计算'!V551," ")</f>
        <v>183555.33901412092</v>
      </c>
      <c r="H526" s="52">
        <f ca="1">IF(AND(INT('模拟-模拟计算'!B551)&lt;='模拟-模拟计算'!$C$2,'模拟-模拟计算'!B551&gt;0),'模拟-模拟计算'!Y551," ")</f>
        <v>203480.9522674956</v>
      </c>
      <c r="I526" s="105">
        <f ca="1">IF(AND(INT('模拟-模拟计算'!B551)&lt;='模拟-模拟计算'!$C$2,'模拟-模拟计算'!B551&gt;0),'模拟-模拟计算'!AA551," ")</f>
        <v>113702.71182831205</v>
      </c>
    </row>
    <row r="527" spans="1:9" x14ac:dyDescent="0.2">
      <c r="A527" s="20">
        <f>INT('模拟-模拟计算'!B552+0.5)</f>
        <v>484</v>
      </c>
      <c r="B527" s="52">
        <f>IF(AND(INT('模拟-模拟计算'!B552)&lt;='模拟-模拟计算'!$C$2,'模拟-模拟计算'!B552&gt;0),'模拟-模拟计算'!B552," ")</f>
        <v>484.31250000000517</v>
      </c>
      <c r="C527" s="51" t="str">
        <f ca="1">IF(AND(INT('模拟-模拟计算'!B552)&lt;='模拟-模拟计算'!$C$2,'模拟-模拟计算'!B552&gt;0),'模拟-模拟计算'!C552," ")</f>
        <v>净世破魔击·日</v>
      </c>
      <c r="D527" s="104">
        <f ca="1">IF(AND(INT('模拟-模拟计算'!B552)&lt;='模拟-模拟计算'!$C$2,'模拟-模拟计算'!B552&gt;0),'模拟-模拟计算'!E552," ")</f>
        <v>0</v>
      </c>
      <c r="E527" s="104">
        <f ca="1">IF(AND(INT('模拟-模拟计算'!B552)&lt;='模拟-模拟计算'!$C$2,'模拟-模拟计算'!B552&gt;0),'模拟-模拟计算'!F552," ")</f>
        <v>20</v>
      </c>
      <c r="F527" s="51" t="str">
        <f ca="1">IF(AND(INT('模拟-模拟计算'!B552)&lt;='模拟-模拟计算'!$C$2,'模拟-模拟计算'!B552&gt;0),'模拟-模拟计算'!P552," ")</f>
        <v>会</v>
      </c>
      <c r="G527" s="52">
        <f ca="1">IF(AND(INT('模拟-模拟计算'!B552)&lt;='模拟-模拟计算'!$C$2,'模拟-模拟计算'!B552&gt;0),'模拟-模拟计算'!V552," ")</f>
        <v>197004.23608048278</v>
      </c>
      <c r="H527" s="52">
        <f ca="1">IF(AND(INT('模拟-模拟计算'!B552)&lt;='模拟-模拟计算'!$C$2,'模拟-模拟计算'!B552&gt;0),'模拟-模拟计算'!Y552," ")</f>
        <v>225699.67411385232</v>
      </c>
      <c r="I527" s="105">
        <f ca="1">IF(AND(INT('模拟-模拟计算'!B552)&lt;='模拟-模拟计算'!$C$2,'模拟-模拟计算'!B552&gt;0),'模拟-模拟计算'!AA552," ")</f>
        <v>113952.15598358831</v>
      </c>
    </row>
    <row r="528" spans="1:9" x14ac:dyDescent="0.2">
      <c r="A528" s="20">
        <f>INT('模拟-模拟计算'!B553+0.5)</f>
        <v>485</v>
      </c>
      <c r="B528" s="52">
        <f>IF(AND(INT('模拟-模拟计算'!B553)&lt;='模拟-模拟计算'!$C$2,'模拟-模拟计算'!B553&gt;0),'模拟-模拟计算'!B553," ")</f>
        <v>485.23500000000519</v>
      </c>
      <c r="C528" s="51" t="str">
        <f ca="1">IF(AND(INT('模拟-模拟计算'!B553)&lt;='模拟-模拟计算'!$C$2,'模拟-模拟计算'!B553&gt;0),'模拟-模拟计算'!C553," ")</f>
        <v>赤日轮1</v>
      </c>
      <c r="D528" s="104">
        <f ca="1">IF(AND(INT('模拟-模拟计算'!B553)&lt;='模拟-模拟计算'!$C$2,'模拟-模拟计算'!B553&gt;0),'模拟-模拟计算'!E553," ")</f>
        <v>20</v>
      </c>
      <c r="E528" s="104">
        <f ca="1">IF(AND(INT('模拟-模拟计算'!B553)&lt;='模拟-模拟计算'!$C$2,'模拟-模拟计算'!B553&gt;0),'模拟-模拟计算'!F553," ")</f>
        <v>20</v>
      </c>
      <c r="F528" s="51" t="str">
        <f ca="1">IF(AND(INT('模拟-模拟计算'!B553)&lt;='模拟-模拟计算'!$C$2,'模拟-模拟计算'!B553&gt;0),'模拟-模拟计算'!P553," ")</f>
        <v>命</v>
      </c>
      <c r="G528" s="52">
        <f ca="1">IF(AND(INT('模拟-模拟计算'!B553)&lt;='模拟-模拟计算'!$C$2,'模拟-模拟计算'!B553&gt;0),'模拟-模拟计算'!V553," ")</f>
        <v>25194.44799269021</v>
      </c>
      <c r="H528" s="52">
        <f ca="1">IF(AND(INT('模拟-模拟计算'!B553)&lt;='模拟-模拟计算'!$C$2,'模拟-模拟计算'!B553&gt;0),'模拟-模拟计算'!Y553," ")</f>
        <v>36674.312144994597</v>
      </c>
      <c r="I528" s="105">
        <f ca="1">IF(AND(INT('模拟-模拟计算'!B553)&lt;='模拟-模拟计算'!$C$2,'模拟-模拟计算'!B553&gt;0),'模拟-模拟计算'!AA553," ")</f>
        <v>113811.0974207273</v>
      </c>
    </row>
    <row r="529" spans="1:9" x14ac:dyDescent="0.2">
      <c r="A529" s="20">
        <f>INT('模拟-模拟计算'!B554+0.5)</f>
        <v>486</v>
      </c>
      <c r="B529" s="52">
        <f>IF(AND(INT('模拟-模拟计算'!B554)&lt;='模拟-模拟计算'!$C$2,'模拟-模拟计算'!B554&gt;0),'模拟-模拟计算'!B554," ")</f>
        <v>486.1575000000052</v>
      </c>
      <c r="C529" s="51" t="str">
        <f ca="1">IF(AND(INT('模拟-模拟计算'!B554)&lt;='模拟-模拟计算'!$C$2,'模拟-模拟计算'!B554&gt;0),'模拟-模拟计算'!C554," ")</f>
        <v>银月斩</v>
      </c>
      <c r="D529" s="104">
        <f ca="1">IF(AND(INT('模拟-模拟计算'!B554)&lt;='模拟-模拟计算'!$C$2,'模拟-模拟计算'!B554&gt;0),'模拟-模拟计算'!E554," ")</f>
        <v>20</v>
      </c>
      <c r="E529" s="104">
        <f ca="1">IF(AND(INT('模拟-模拟计算'!B554)&lt;='模拟-模拟计算'!$C$2,'模拟-模拟计算'!B554&gt;0),'模拟-模拟计算'!F554," ")</f>
        <v>65</v>
      </c>
      <c r="F529" s="51" t="str">
        <f ca="1">IF(AND(INT('模拟-模拟计算'!B554)&lt;='模拟-模拟计算'!$C$2,'模拟-模拟计算'!B554&gt;0),'模拟-模拟计算'!P554," ")</f>
        <v>会</v>
      </c>
      <c r="G529" s="52">
        <f ca="1">IF(AND(INT('模拟-模拟计算'!B554)&lt;='模拟-模拟计算'!$C$2,'模拟-模拟计算'!B554&gt;0),'模拟-模拟计算'!V554," ")</f>
        <v>39481.310356797861</v>
      </c>
      <c r="H529" s="52">
        <f ca="1">IF(AND(INT('模拟-模拟计算'!B554)&lt;='模拟-模拟计算'!$C$2,'模拟-模拟计算'!B554&gt;0),'模拟-模拟计算'!Y554," ")</f>
        <v>47463.408538877171</v>
      </c>
      <c r="I529" s="105">
        <f ca="1">IF(AND(INT('模拟-模拟计算'!B554)&lt;='模拟-模拟计算'!$C$2,'模拟-模拟计算'!B554&gt;0),'模拟-模拟计算'!AA554," ")</f>
        <v>113692.76677925464</v>
      </c>
    </row>
    <row r="530" spans="1:9" x14ac:dyDescent="0.2">
      <c r="A530" s="20">
        <f>INT('模拟-模拟计算'!B555+0.5)</f>
        <v>487</v>
      </c>
      <c r="B530" s="52">
        <f>IF(AND(INT('模拟-模拟计算'!B555)&lt;='模拟-模拟计算'!$C$2,'模拟-模拟计算'!B555&gt;0),'模拟-模拟计算'!B555," ")</f>
        <v>487.08000000000521</v>
      </c>
      <c r="C530" s="51" t="str">
        <f ca="1">IF(AND(INT('模拟-模拟计算'!B555)&lt;='模拟-模拟计算'!$C$2,'模拟-模拟计算'!B555&gt;0),'模拟-模拟计算'!C555," ")</f>
        <v>驱夜断愁</v>
      </c>
      <c r="D530" s="104">
        <f ca="1">IF(AND(INT('模拟-模拟计算'!B555)&lt;='模拟-模拟计算'!$C$2,'模拟-模拟计算'!B555&gt;0),'模拟-模拟计算'!E555," ")</f>
        <v>40</v>
      </c>
      <c r="E530" s="104">
        <f ca="1">IF(AND(INT('模拟-模拟计算'!B555)&lt;='模拟-模拟计算'!$C$2,'模拟-模拟计算'!B555&gt;0),'模拟-模拟计算'!F555," ")</f>
        <v>85</v>
      </c>
      <c r="F530" s="51" t="str">
        <f ca="1">IF(AND(INT('模拟-模拟计算'!B555)&lt;='模拟-模拟计算'!$C$2,'模拟-模拟计算'!B555&gt;0),'模拟-模拟计算'!P555," ")</f>
        <v>命</v>
      </c>
      <c r="G530" s="52">
        <f ca="1">IF(AND(INT('模拟-模拟计算'!B555)&lt;='模拟-模拟计算'!$C$2,'模拟-模拟计算'!B555&gt;0),'模拟-模拟计算'!V555," ")</f>
        <v>58943.088028757353</v>
      </c>
      <c r="H530" s="52">
        <f ca="1">IF(AND(INT('模拟-模拟计算'!B555)&lt;='模拟-模拟计算'!$C$2,'模拟-模拟计算'!B555&gt;0),'模拟-模拟计算'!Y555," ")</f>
        <v>83709.358493476728</v>
      </c>
      <c r="I530" s="105">
        <f ca="1">IF(AND(INT('模拟-模拟计算'!B555)&lt;='模拟-模拟计算'!$C$2,'模拟-模拟计算'!B555&gt;0),'模拟-模拟计算'!AA555," ")</f>
        <v>113649.29913767545</v>
      </c>
    </row>
    <row r="531" spans="1:9" x14ac:dyDescent="0.2">
      <c r="A531" s="20">
        <f>INT('模拟-模拟计算'!B556+0.5)</f>
        <v>488</v>
      </c>
      <c r="B531" s="52">
        <f>IF(AND(INT('模拟-模拟计算'!B556)&lt;='模拟-模拟计算'!$C$2,'模拟-模拟计算'!B556&gt;0),'模拟-模拟计算'!B556," ")</f>
        <v>488.00250000000523</v>
      </c>
      <c r="C531" s="51" t="str">
        <f ca="1">IF(AND(INT('模拟-模拟计算'!B556)&lt;='模拟-模拟计算'!$C$2,'模拟-模拟计算'!B556&gt;0),'模拟-模拟计算'!C556," ")</f>
        <v>烈日斩</v>
      </c>
      <c r="D531" s="104">
        <f ca="1">IF(AND(INT('模拟-模拟计算'!B556)&lt;='模拟-模拟计算'!$C$2,'模拟-模拟计算'!B556&gt;0),'模拟-模拟计算'!E556," ")</f>
        <v>80</v>
      </c>
      <c r="E531" s="104">
        <f ca="1">IF(AND(INT('模拟-模拟计算'!B556)&lt;='模拟-模拟计算'!$C$2,'模拟-模拟计算'!B556&gt;0),'模拟-模拟计算'!F556," ")</f>
        <v>85</v>
      </c>
      <c r="F531" s="51" t="str">
        <f ca="1">IF(AND(INT('模拟-模拟计算'!B556)&lt;='模拟-模拟计算'!$C$2,'模拟-模拟计算'!B556&gt;0),'模拟-模拟计算'!P556," ")</f>
        <v>会</v>
      </c>
      <c r="G531" s="52">
        <f ca="1">IF(AND(INT('模拟-模拟计算'!B556)&lt;='模拟-模拟计算'!$C$2,'模拟-模拟计算'!B556&gt;0),'模拟-模拟计算'!V556," ")</f>
        <v>105861.05199666526</v>
      </c>
      <c r="H531" s="52">
        <f ca="1">IF(AND(INT('模拟-模拟计算'!B556)&lt;='模拟-模拟计算'!$C$2,'模拟-模拟计算'!B556&gt;0),'模拟-模拟计算'!Y556," ")</f>
        <v>131748.6592637545</v>
      </c>
      <c r="I531" s="105">
        <f ca="1">IF(AND(INT('模拟-模拟计算'!B556)&lt;='模拟-模拟计算'!$C$2,'模拟-模拟计算'!B556&gt;0),'模拟-模拟计算'!AA556," ")</f>
        <v>113704.43652080208</v>
      </c>
    </row>
    <row r="532" spans="1:9" x14ac:dyDescent="0.2">
      <c r="A532" s="20">
        <f>INT('模拟-模拟计算'!B557+0.5)</f>
        <v>489</v>
      </c>
      <c r="B532" s="52">
        <f>IF(AND(INT('模拟-模拟计算'!B557)&lt;='模拟-模拟计算'!$C$2,'模拟-模拟计算'!B557&gt;0),'模拟-模拟计算'!B557," ")</f>
        <v>488.92500000000524</v>
      </c>
      <c r="C532" s="51" t="str">
        <f ca="1">IF(AND(INT('模拟-模拟计算'!B557)&lt;='模拟-模拟计算'!$C$2,'模拟-模拟计算'!B557&gt;0),'模拟-模拟计算'!C557," ")</f>
        <v>幽月轮1</v>
      </c>
      <c r="D532" s="104">
        <f ca="1">IF(AND(INT('模拟-模拟计算'!B557)&lt;='模拟-模拟计算'!$C$2,'模拟-模拟计算'!B557&gt;0),'模拟-模拟计算'!E557," ")</f>
        <v>80</v>
      </c>
      <c r="E532" s="104">
        <f ca="1">IF(AND(INT('模拟-模拟计算'!B557)&lt;='模拟-模拟计算'!$C$2,'模拟-模拟计算'!B557&gt;0),'模拟-模拟计算'!F557," ")</f>
        <v>100</v>
      </c>
      <c r="F532" s="51" t="str">
        <f ca="1">IF(AND(INT('模拟-模拟计算'!B557)&lt;='模拟-模拟计算'!$C$2,'模拟-模拟计算'!B557&gt;0),'模拟-模拟计算'!P557," ")</f>
        <v>会</v>
      </c>
      <c r="G532" s="52">
        <f ca="1">IF(AND(INT('模拟-模拟计算'!B557)&lt;='模拟-模拟计算'!$C$2,'模拟-模拟计算'!B557&gt;0),'模拟-模拟计算'!V557," ")</f>
        <v>35088.919370823241</v>
      </c>
      <c r="H532" s="52">
        <f ca="1">IF(AND(INT('模拟-模拟计算'!B557)&lt;='模拟-模拟计算'!$C$2,'模拟-模拟计算'!B557&gt;0),'模拟-模拟计算'!Y557," ")</f>
        <v>55325.143768020338</v>
      </c>
      <c r="I532" s="105">
        <f ca="1">IF(AND(INT('模拟-模拟计算'!B557)&lt;='模拟-模拟计算'!$C$2,'模拟-模拟计算'!B557&gt;0),'模拟-模拟计算'!AA557," ")</f>
        <v>113603.05655675355</v>
      </c>
    </row>
    <row r="533" spans="1:9" x14ac:dyDescent="0.2">
      <c r="A533" s="20">
        <f>INT('模拟-模拟计算'!B558+0.5)</f>
        <v>490</v>
      </c>
      <c r="B533" s="52">
        <f>IF(AND(INT('模拟-模拟计算'!B558)&lt;='模拟-模拟计算'!$C$2,'模拟-模拟计算'!B558&gt;0),'模拟-模拟计算'!B558," ")</f>
        <v>489.84750000000525</v>
      </c>
      <c r="C533" s="51" t="str">
        <f ca="1">IF(AND(INT('模拟-模拟计算'!B558)&lt;='模拟-模拟计算'!$C$2,'模拟-模拟计算'!B558&gt;0),'模拟-模拟计算'!C558," ")</f>
        <v>净世破魔击·月</v>
      </c>
      <c r="D533" s="104">
        <f ca="1">IF(AND(INT('模拟-模拟计算'!B558)&lt;='模拟-模拟计算'!$C$2,'模拟-模拟计算'!B558&gt;0),'模拟-模拟计算'!E558," ")</f>
        <v>100</v>
      </c>
      <c r="E533" s="104">
        <f ca="1">IF(AND(INT('模拟-模拟计算'!B558)&lt;='模拟-模拟计算'!$C$2,'模拟-模拟计算'!B558&gt;0),'模拟-模拟计算'!F558," ")</f>
        <v>20</v>
      </c>
      <c r="F533" s="51" t="str">
        <f ca="1">IF(AND(INT('模拟-模拟计算'!B558)&lt;='模拟-模拟计算'!$C$2,'模拟-模拟计算'!B558&gt;0),'模拟-模拟计算'!P558," ")</f>
        <v>识</v>
      </c>
      <c r="G533" s="52">
        <f ca="1">IF(AND(INT('模拟-模拟计算'!B558)&lt;='模拟-模拟计算'!$C$2,'模拟-模拟计算'!B558&gt;0),'模拟-模拟计算'!V558," ")</f>
        <v>20216.155389563617</v>
      </c>
      <c r="H533" s="52">
        <f ca="1">IF(AND(INT('模拟-模拟计算'!B558)&lt;='模拟-模拟计算'!$C$2,'模拟-模拟计算'!B558&gt;0),'模拟-模拟计算'!Y558," ")</f>
        <v>37436.052323841897</v>
      </c>
      <c r="I533" s="105">
        <f ca="1">IF(AND(INT('模拟-模拟计算'!B558)&lt;='模拟-模拟计算'!$C$2,'模拟-模拟计算'!B558&gt;0),'模拟-模拟计算'!AA558," ")</f>
        <v>113465.53872242804</v>
      </c>
    </row>
    <row r="534" spans="1:9" x14ac:dyDescent="0.2">
      <c r="A534" s="20">
        <f>INT('模拟-模拟计算'!B559+0.5)</f>
        <v>491</v>
      </c>
      <c r="B534" s="52">
        <f>IF(AND(INT('模拟-模拟计算'!B559)&lt;='模拟-模拟计算'!$C$2,'模拟-模拟计算'!B559&gt;0),'模拟-模拟计算'!B559," ")</f>
        <v>490.77000000000527</v>
      </c>
      <c r="C534" s="51" t="str">
        <f ca="1">IF(AND(INT('模拟-模拟计算'!B559)&lt;='模拟-模拟计算'!$C$2,'模拟-模拟计算'!B559&gt;0),'模拟-模拟计算'!C559," ")</f>
        <v>净世破魔击·日</v>
      </c>
      <c r="D534" s="104">
        <f ca="1">IF(AND(INT('模拟-模拟计算'!B559)&lt;='模拟-模拟计算'!$C$2,'模拟-模拟计算'!B559&gt;0),'模拟-模拟计算'!E559," ")</f>
        <v>0</v>
      </c>
      <c r="E534" s="104">
        <f ca="1">IF(AND(INT('模拟-模拟计算'!B559)&lt;='模拟-模拟计算'!$C$2,'模拟-模拟计算'!B559&gt;0),'模拟-模拟计算'!F559," ")</f>
        <v>20</v>
      </c>
      <c r="F534" s="51" t="str">
        <f ca="1">IF(AND(INT('模拟-模拟计算'!B559)&lt;='模拟-模拟计算'!$C$2,'模拟-模拟计算'!B559&gt;0),'模拟-模拟计算'!P559," ")</f>
        <v>命</v>
      </c>
      <c r="G534" s="52">
        <f ca="1">IF(AND(INT('模拟-模拟计算'!B559)&lt;='模拟-模拟计算'!$C$2,'模拟-模拟计算'!B559&gt;0),'模拟-模拟计算'!V559," ")</f>
        <v>90597.625627626709</v>
      </c>
      <c r="H534" s="52">
        <f ca="1">IF(AND(INT('模拟-模拟计算'!B559)&lt;='模拟-模拟计算'!$C$2,'模拟-模拟计算'!B559&gt;0),'模拟-模拟计算'!Y559," ")</f>
        <v>110927.28014803908</v>
      </c>
      <c r="I534" s="105">
        <f ca="1">IF(AND(INT('模拟-模拟计算'!B559)&lt;='模拟-模拟计算'!$C$2,'模拟-模拟计算'!B559&gt;0),'模拟-模拟计算'!AA559," ")</f>
        <v>113478.284653672</v>
      </c>
    </row>
    <row r="535" spans="1:9" x14ac:dyDescent="0.2">
      <c r="A535" s="20">
        <f>INT('模拟-模拟计算'!B560+0.5)</f>
        <v>492</v>
      </c>
      <c r="B535" s="52">
        <f>IF(AND(INT('模拟-模拟计算'!B560)&lt;='模拟-模拟计算'!$C$2,'模拟-模拟计算'!B560&gt;0),'模拟-模拟计算'!B560," ")</f>
        <v>491.69250000000528</v>
      </c>
      <c r="C535" s="51" t="str">
        <f ca="1">IF(AND(INT('模拟-模拟计算'!B560)&lt;='模拟-模拟计算'!$C$2,'模拟-模拟计算'!B560&gt;0),'模拟-模拟计算'!C560," ")</f>
        <v>赤日轮1</v>
      </c>
      <c r="D535" s="104">
        <f ca="1">IF(AND(INT('模拟-模拟计算'!B560)&lt;='模拟-模拟计算'!$C$2,'模拟-模拟计算'!B560&gt;0),'模拟-模拟计算'!E560," ")</f>
        <v>20</v>
      </c>
      <c r="E535" s="104">
        <f ca="1">IF(AND(INT('模拟-模拟计算'!B560)&lt;='模拟-模拟计算'!$C$2,'模拟-模拟计算'!B560&gt;0),'模拟-模拟计算'!F560," ")</f>
        <v>20</v>
      </c>
      <c r="F535" s="51" t="str">
        <f ca="1">IF(AND(INT('模拟-模拟计算'!B560)&lt;='模拟-模拟计算'!$C$2,'模拟-模拟计算'!B560&gt;0),'模拟-模拟计算'!P560," ")</f>
        <v>会</v>
      </c>
      <c r="G535" s="52">
        <f ca="1">IF(AND(INT('模拟-模拟计算'!B560)&lt;='模拟-模拟计算'!$C$2,'模拟-模拟计算'!B560&gt;0),'模拟-模拟计算'!V560," ")</f>
        <v>54482.562593809358</v>
      </c>
      <c r="H535" s="52">
        <f ca="1">IF(AND(INT('模拟-模拟计算'!B560)&lt;='模拟-模拟计算'!$C$2,'模拟-模拟计算'!B560&gt;0),'模拟-模拟计算'!Y560," ")</f>
        <v>58918.771259476271</v>
      </c>
      <c r="I535" s="105">
        <f ca="1">IF(AND(INT('模拟-模拟计算'!B560)&lt;='模拟-模拟计算'!$C$2,'模拟-模拟计算'!B560&gt;0),'模拟-模拟计算'!AA560," ")</f>
        <v>113385.20829734455</v>
      </c>
    </row>
    <row r="536" spans="1:9" x14ac:dyDescent="0.2">
      <c r="A536" s="20">
        <f>INT('模拟-模拟计算'!B561+0.5)</f>
        <v>493</v>
      </c>
      <c r="B536" s="52">
        <f>IF(AND(INT('模拟-模拟计算'!B561)&lt;='模拟-模拟计算'!$C$2,'模拟-模拟计算'!B561&gt;0),'模拟-模拟计算'!B561," ")</f>
        <v>492.6150000000053</v>
      </c>
      <c r="C536" s="51" t="str">
        <f ca="1">IF(AND(INT('模拟-模拟计算'!B561)&lt;='模拟-模拟计算'!$C$2,'模拟-模拟计算'!B561&gt;0),'模拟-模拟计算'!C561," ")</f>
        <v>银月斩</v>
      </c>
      <c r="D536" s="104">
        <f ca="1">IF(AND(INT('模拟-模拟计算'!B561)&lt;='模拟-模拟计算'!$C$2,'模拟-模拟计算'!B561&gt;0),'模拟-模拟计算'!E561," ")</f>
        <v>20</v>
      </c>
      <c r="E536" s="104">
        <f ca="1">IF(AND(INT('模拟-模拟计算'!B561)&lt;='模拟-模拟计算'!$C$2,'模拟-模拟计算'!B561&gt;0),'模拟-模拟计算'!F561," ")</f>
        <v>65</v>
      </c>
      <c r="F536" s="51" t="str">
        <f ca="1">IF(AND(INT('模拟-模拟计算'!B561)&lt;='模拟-模拟计算'!$C$2,'模拟-模拟计算'!B561&gt;0),'模拟-模拟计算'!P561," ")</f>
        <v>命</v>
      </c>
      <c r="G536" s="52">
        <f ca="1">IF(AND(INT('模拟-模拟计算'!B561)&lt;='模拟-模拟计算'!$C$2,'模拟-模拟计算'!B561&gt;0),'模拟-模拟计算'!V561," ")</f>
        <v>17450.434922549593</v>
      </c>
      <c r="H536" s="52">
        <f ca="1">IF(AND(INT('模拟-模拟计算'!B561)&lt;='模拟-模拟计算'!$C$2,'模拟-模拟计算'!B561&gt;0),'模拟-模拟计算'!Y561," ")</f>
        <v>37686.659319746694</v>
      </c>
      <c r="I536" s="105">
        <f ca="1">IF(AND(INT('模拟-模拟计算'!B561)&lt;='模拟-模拟计算'!$C$2,'模拟-模拟计算'!B561&gt;0),'模拟-模拟计算'!AA561," ")</f>
        <v>113249.37971856688</v>
      </c>
    </row>
    <row r="537" spans="1:9" x14ac:dyDescent="0.2">
      <c r="A537" s="20">
        <f>INT('模拟-模拟计算'!B562+0.5)</f>
        <v>494</v>
      </c>
      <c r="B537" s="52">
        <f>IF(AND(INT('模拟-模拟计算'!B562)&lt;='模拟-模拟计算'!$C$2,'模拟-模拟计算'!B562&gt;0),'模拟-模拟计算'!B562," ")</f>
        <v>493.53750000000531</v>
      </c>
      <c r="C537" s="51" t="str">
        <f ca="1">IF(AND(INT('模拟-模拟计算'!B562)&lt;='模拟-模拟计算'!$C$2,'模拟-模拟计算'!B562&gt;0),'模拟-模拟计算'!C562," ")</f>
        <v>驱夜断愁</v>
      </c>
      <c r="D537" s="104">
        <f ca="1">IF(AND(INT('模拟-模拟计算'!B562)&lt;='模拟-模拟计算'!$C$2,'模拟-模拟计算'!B562&gt;0),'模拟-模拟计算'!E562," ")</f>
        <v>40</v>
      </c>
      <c r="E537" s="104">
        <f ca="1">IF(AND(INT('模拟-模拟计算'!B562)&lt;='模拟-模拟计算'!$C$2,'模拟-模拟计算'!B562&gt;0),'模拟-模拟计算'!F562," ")</f>
        <v>85</v>
      </c>
      <c r="F537" s="51" t="str">
        <f ca="1">IF(AND(INT('模拟-模拟计算'!B562)&lt;='模拟-模拟计算'!$C$2,'模拟-模拟计算'!B562&gt;0),'模拟-模拟计算'!P562," ")</f>
        <v>命</v>
      </c>
      <c r="G537" s="52">
        <f ca="1">IF(AND(INT('模拟-模拟计算'!B562)&lt;='模拟-模拟计算'!$C$2,'模拟-模拟计算'!B562&gt;0),'模拟-模拟计算'!V562," ")</f>
        <v>58943.088028757353</v>
      </c>
      <c r="H537" s="52">
        <f ca="1">IF(AND(INT('模拟-模拟计算'!B562)&lt;='模拟-模拟计算'!$C$2,'模拟-模拟计算'!B562&gt;0),'模拟-模拟计算'!Y562," ")</f>
        <v>68885.04385447783</v>
      </c>
      <c r="I537" s="105">
        <f ca="1">IF(AND(INT('模拟-模拟计算'!B562)&lt;='模拟-模拟计算'!$C$2,'模拟-模拟计算'!B562&gt;0),'模拟-模拟计算'!AA562," ")</f>
        <v>113177.27271770898</v>
      </c>
    </row>
    <row r="538" spans="1:9" x14ac:dyDescent="0.2">
      <c r="A538" s="20">
        <f>INT('模拟-模拟计算'!B563+0.5)</f>
        <v>494</v>
      </c>
      <c r="B538" s="52">
        <f>IF(AND(INT('模拟-模拟计算'!B563)&lt;='模拟-模拟计算'!$C$2,'模拟-模拟计算'!B563&gt;0),'模拟-模拟计算'!B563," ")</f>
        <v>494.46000000000532</v>
      </c>
      <c r="C538" s="51" t="str">
        <f ca="1">IF(AND(INT('模拟-模拟计算'!B563)&lt;='模拟-模拟计算'!$C$2,'模拟-模拟计算'!B563&gt;0),'模拟-模拟计算'!C563," ")</f>
        <v>烈日斩</v>
      </c>
      <c r="D538" s="104">
        <f ca="1">IF(AND(INT('模拟-模拟计算'!B563)&lt;='模拟-模拟计算'!$C$2,'模拟-模拟计算'!B563&gt;0),'模拟-模拟计算'!E563," ")</f>
        <v>80</v>
      </c>
      <c r="E538" s="104">
        <f ca="1">IF(AND(INT('模拟-模拟计算'!B563)&lt;='模拟-模拟计算'!$C$2,'模拟-模拟计算'!B563&gt;0),'模拟-模拟计算'!F563," ")</f>
        <v>85</v>
      </c>
      <c r="F538" s="51" t="str">
        <f ca="1">IF(AND(INT('模拟-模拟计算'!B563)&lt;='模拟-模拟计算'!$C$2,'模拟-模拟计算'!B563&gt;0),'模拟-模拟计算'!P563," ")</f>
        <v>会</v>
      </c>
      <c r="G538" s="52">
        <f ca="1">IF(AND(INT('模拟-模拟计算'!B563)&lt;='模拟-模拟计算'!$C$2,'模拟-模拟计算'!B563&gt;0),'模拟-模拟计算'!V563," ")</f>
        <v>105861.05199666526</v>
      </c>
      <c r="H538" s="52">
        <f ca="1">IF(AND(INT('模拟-模拟计算'!B563)&lt;='模拟-模拟计算'!$C$2,'模拟-模拟计算'!B563&gt;0),'模拟-模拟计算'!Y563," ")</f>
        <v>117340.91614896966</v>
      </c>
      <c r="I538" s="105">
        <f ca="1">IF(AND(INT('模拟-模拟计算'!B563)&lt;='模拟-模拟计算'!$C$2,'模拟-模拟计算'!B563&gt;0),'模拟-模拟计算'!AA563," ")</f>
        <v>113203.43233035081</v>
      </c>
    </row>
    <row r="539" spans="1:9" x14ac:dyDescent="0.2">
      <c r="A539" s="20">
        <f>INT('模拟-模拟计算'!B564+0.5)</f>
        <v>495</v>
      </c>
      <c r="B539" s="52">
        <f>IF(AND(INT('模拟-模拟计算'!B564)&lt;='模拟-模拟计算'!$C$2,'模拟-模拟计算'!B564&gt;0),'模拟-模拟计算'!B564," ")</f>
        <v>495.38250000000534</v>
      </c>
      <c r="C539" s="51" t="str">
        <f ca="1">IF(AND(INT('模拟-模拟计算'!B564)&lt;='模拟-模拟计算'!$C$2,'模拟-模拟计算'!B564&gt;0),'模拟-模拟计算'!C564," ")</f>
        <v>幽月轮1</v>
      </c>
      <c r="D539" s="104">
        <f ca="1">IF(AND(INT('模拟-模拟计算'!B564)&lt;='模拟-模拟计算'!$C$2,'模拟-模拟计算'!B564&gt;0),'模拟-模拟计算'!E564," ")</f>
        <v>80</v>
      </c>
      <c r="E539" s="104">
        <f ca="1">IF(AND(INT('模拟-模拟计算'!B564)&lt;='模拟-模拟计算'!$C$2,'模拟-模拟计算'!B564&gt;0),'模拟-模拟计算'!F564," ")</f>
        <v>100</v>
      </c>
      <c r="F539" s="51" t="str">
        <f ca="1">IF(AND(INT('模拟-模拟计算'!B564)&lt;='模拟-模拟计算'!$C$2,'模拟-模拟计算'!B564&gt;0),'模拟-模拟计算'!P564," ")</f>
        <v>会</v>
      </c>
      <c r="G539" s="52">
        <f ca="1">IF(AND(INT('模拟-模拟计算'!B564)&lt;='模拟-模拟计算'!$C$2,'模拟-模拟计算'!B564&gt;0),'模拟-模拟计算'!V564," ")</f>
        <v>35088.919370823241</v>
      </c>
      <c r="H539" s="52">
        <f ca="1">IF(AND(INT('模拟-模拟计算'!B564)&lt;='模拟-模拟计算'!$C$2,'模拟-模拟计算'!B564&gt;0),'模拟-模拟计算'!Y564," ")</f>
        <v>43071.017552902551</v>
      </c>
      <c r="I539" s="105">
        <f ca="1">IF(AND(INT('模拟-模拟计算'!B564)&lt;='模拟-模拟计算'!$C$2,'模拟-模拟计算'!B564&gt;0),'模拟-模拟计算'!AA564," ")</f>
        <v>113079.57016571674</v>
      </c>
    </row>
    <row r="540" spans="1:9" x14ac:dyDescent="0.2">
      <c r="A540" s="20">
        <f>INT('模拟-模拟计算'!B565+0.5)</f>
        <v>496</v>
      </c>
      <c r="B540" s="52">
        <f>IF(AND(INT('模拟-模拟计算'!B565)&lt;='模拟-模拟计算'!$C$2,'模拟-模拟计算'!B565&gt;0),'模拟-模拟计算'!B565," ")</f>
        <v>496.30500000000535</v>
      </c>
      <c r="C540" s="51" t="str">
        <f ca="1">IF(AND(INT('模拟-模拟计算'!B565)&lt;='模拟-模拟计算'!$C$2,'模拟-模拟计算'!B565&gt;0),'模拟-模拟计算'!C565," ")</f>
        <v>净世破魔击·月</v>
      </c>
      <c r="D540" s="104">
        <f ca="1">IF(AND(INT('模拟-模拟计算'!B565)&lt;='模拟-模拟计算'!$C$2,'模拟-模拟计算'!B565&gt;0),'模拟-模拟计算'!E565," ")</f>
        <v>100</v>
      </c>
      <c r="E540" s="104">
        <f ca="1">IF(AND(INT('模拟-模拟计算'!B565)&lt;='模拟-模拟计算'!$C$2,'模拟-模拟计算'!B565&gt;0),'模拟-模拟计算'!F565," ")</f>
        <v>20</v>
      </c>
      <c r="F540" s="51" t="str">
        <f ca="1">IF(AND(INT('模拟-模拟计算'!B565)&lt;='模拟-模拟计算'!$C$2,'模拟-模拟计算'!B565&gt;0),'模拟-模拟计算'!P565," ")</f>
        <v>命</v>
      </c>
      <c r="G540" s="52">
        <f ca="1">IF(AND(INT('模拟-模拟计算'!B565)&lt;='模拟-模拟计算'!$C$2,'模拟-模拟计算'!B565&gt;0),'模拟-模拟计算'!V565," ")</f>
        <v>98481.592340073315</v>
      </c>
      <c r="H540" s="52">
        <f ca="1">IF(AND(INT('模拟-模拟计算'!B565)&lt;='模拟-模拟计算'!$C$2,'模拟-模拟计算'!B565&gt;0),'模拟-模拟计算'!Y565," ")</f>
        <v>138039.91074351367</v>
      </c>
      <c r="I540" s="105">
        <f ca="1">IF(AND(INT('模拟-模拟计算'!B565)&lt;='模拟-模拟计算'!$C$2,'模拟-模拟计算'!B565&gt;0),'模拟-模拟计算'!AA565," ")</f>
        <v>113147.52033197667</v>
      </c>
    </row>
    <row r="541" spans="1:9" x14ac:dyDescent="0.2">
      <c r="A541" s="20">
        <f>INT('模拟-模拟计算'!B566+0.5)</f>
        <v>497</v>
      </c>
      <c r="B541" s="52">
        <f>IF(AND(INT('模拟-模拟计算'!B566)&lt;='模拟-模拟计算'!$C$2,'模拟-模拟计算'!B566&gt;0),'模拟-模拟计算'!B566," ")</f>
        <v>497.22750000000536</v>
      </c>
      <c r="C541" s="51" t="str">
        <f ca="1">IF(AND(INT('模拟-模拟计算'!B566)&lt;='模拟-模拟计算'!$C$2,'模拟-模拟计算'!B566&gt;0),'模拟-模拟计算'!C566," ")</f>
        <v>净世破魔击·日</v>
      </c>
      <c r="D541" s="104">
        <f ca="1">IF(AND(INT('模拟-模拟计算'!B566)&lt;='模拟-模拟计算'!$C$2,'模拟-模拟计算'!B566&gt;0),'模拟-模拟计算'!E566," ")</f>
        <v>0</v>
      </c>
      <c r="E541" s="104">
        <f ca="1">IF(AND(INT('模拟-模拟计算'!B566)&lt;='模拟-模拟计算'!$C$2,'模拟-模拟计算'!B566&gt;0),'模拟-模拟计算'!F566," ")</f>
        <v>100</v>
      </c>
      <c r="F541" s="51" t="str">
        <f ca="1">IF(AND(INT('模拟-模拟计算'!B566)&lt;='模拟-模拟计算'!$C$2,'模拟-模拟计算'!B566&gt;0),'模拟-模拟计算'!P566," ")</f>
        <v>命</v>
      </c>
      <c r="G541" s="52">
        <f ca="1">IF(AND(INT('模拟-模拟计算'!B566)&lt;='模拟-模拟计算'!$C$2,'模拟-模拟计算'!B566&gt;0),'模拟-模拟计算'!V566," ")</f>
        <v>110337.92595746904</v>
      </c>
      <c r="H541" s="52">
        <f ca="1">IF(AND(INT('模拟-模拟计算'!B566)&lt;='模拟-模拟计算'!$C$2,'模拟-模拟计算'!B566&gt;0),'模拟-模拟计算'!Y566," ")</f>
        <v>139396.73689012928</v>
      </c>
      <c r="I541" s="105">
        <f ca="1">IF(AND(INT('模拟-模拟计算'!B566)&lt;='模拟-模拟计算'!$C$2,'模拟-模拟计算'!B566&gt;0),'模拟-模拟计算'!AA566," ")</f>
        <v>113217.94714743615</v>
      </c>
    </row>
    <row r="542" spans="1:9" x14ac:dyDescent="0.2">
      <c r="A542" s="20">
        <f>INT('模拟-模拟计算'!B567+0.5)</f>
        <v>498</v>
      </c>
      <c r="B542" s="52">
        <f>IF(AND(INT('模拟-模拟计算'!B567)&lt;='模拟-模拟计算'!$C$2,'模拟-模拟计算'!B567&gt;0),'模拟-模拟计算'!B567," ")</f>
        <v>498.15000000000538</v>
      </c>
      <c r="C542" s="51" t="str">
        <f ca="1">IF(AND(INT('模拟-模拟计算'!B567)&lt;='模拟-模拟计算'!$C$2,'模拟-模拟计算'!B567&gt;0),'模拟-模拟计算'!C567," ")</f>
        <v>净世破魔击·月</v>
      </c>
      <c r="D542" s="104">
        <f ca="1">IF(AND(INT('模拟-模拟计算'!B567)&lt;='模拟-模拟计算'!$C$2,'模拟-模拟计算'!B567&gt;0),'模拟-模拟计算'!E567," ")</f>
        <v>20</v>
      </c>
      <c r="E542" s="104">
        <f ca="1">IF(AND(INT('模拟-模拟计算'!B567)&lt;='模拟-模拟计算'!$C$2,'模拟-模拟计算'!B567&gt;0),'模拟-模拟计算'!F567," ")</f>
        <v>20</v>
      </c>
      <c r="F542" s="51" t="str">
        <f ca="1">IF(AND(INT('模拟-模拟计算'!B567)&lt;='模拟-模拟计算'!$C$2,'模拟-模拟计算'!B567&gt;0),'模拟-模拟计算'!P567," ")</f>
        <v>识</v>
      </c>
      <c r="G542" s="52">
        <f ca="1">IF(AND(INT('模拟-模拟计算'!B567)&lt;='模拟-模拟计算'!$C$2,'模拟-模拟计算'!B567&gt;0),'模拟-模拟计算'!V567," ")</f>
        <v>14068.798905724761</v>
      </c>
      <c r="H542" s="52">
        <f ca="1">IF(AND(INT('模拟-模拟计算'!B567)&lt;='模拟-模拟计算'!$C$2,'模拟-模拟计算'!B567&gt;0),'模拟-模拟计算'!Y567," ")</f>
        <v>33994.412159099433</v>
      </c>
      <c r="I542" s="105">
        <f ca="1">IF(AND(INT('模拟-模拟计算'!B567)&lt;='模拟-模拟计算'!$C$2,'模拟-模拟计算'!B567&gt;0),'模拟-模拟计算'!AA567," ")</f>
        <v>113076.52559954011</v>
      </c>
    </row>
    <row r="543" spans="1:9" x14ac:dyDescent="0.2">
      <c r="A543" s="20">
        <f>INT('模拟-模拟计算'!B568+0.5)</f>
        <v>499</v>
      </c>
      <c r="B543" s="52">
        <f>IF(AND(INT('模拟-模拟计算'!B568)&lt;='模拟-模拟计算'!$C$2,'模拟-模拟计算'!B568&gt;0),'模拟-模拟计算'!B568," ")</f>
        <v>499.07250000000539</v>
      </c>
      <c r="C543" s="51" t="str">
        <f ca="1">IF(AND(INT('模拟-模拟计算'!B568)&lt;='模拟-模拟计算'!$C$2,'模拟-模拟计算'!B568&gt;0),'模拟-模拟计算'!C568," ")</f>
        <v>银月斩</v>
      </c>
      <c r="D543" s="104">
        <f ca="1">IF(AND(INT('模拟-模拟计算'!B568)&lt;='模拟-模拟计算'!$C$2,'模拟-模拟计算'!B568&gt;0),'模拟-模拟计算'!E568," ")</f>
        <v>20</v>
      </c>
      <c r="E543" s="104">
        <f ca="1">IF(AND(INT('模拟-模拟计算'!B568)&lt;='模拟-模拟计算'!$C$2,'模拟-模拟计算'!B568&gt;0),'模拟-模拟计算'!F568," ")</f>
        <v>65</v>
      </c>
      <c r="F543" s="51" t="str">
        <f ca="1">IF(AND(INT('模拟-模拟计算'!B568)&lt;='模拟-模拟计算'!$C$2,'模拟-模拟计算'!B568&gt;0),'模拟-模拟计算'!P568," ")</f>
        <v>命</v>
      </c>
      <c r="G543" s="52">
        <f ca="1">IF(AND(INT('模拟-模拟计算'!B568)&lt;='模拟-模拟计算'!$C$2,'模拟-模拟计算'!B568&gt;0),'模拟-模拟计算'!V568," ")</f>
        <v>22035.73563947</v>
      </c>
      <c r="H543" s="52">
        <f ca="1">IF(AND(INT('模拟-模拟计算'!B568)&lt;='模拟-模拟计算'!$C$2,'模拟-模拟计算'!B568&gt;0),'模拟-模拟计算'!Y568," ")</f>
        <v>32013.903397593836</v>
      </c>
      <c r="I543" s="105">
        <f ca="1">IF(AND(INT('模拟-模拟计算'!B568)&lt;='模拟-模拟计算'!$C$2,'模拟-模拟计算'!B568&gt;0),'模拟-模拟计算'!AA568," ")</f>
        <v>112931.65848811246</v>
      </c>
    </row>
    <row r="544" spans="1:9" x14ac:dyDescent="0.2">
      <c r="A544" s="20">
        <f>INT('模拟-模拟计算'!B569+0.5)</f>
        <v>500</v>
      </c>
      <c r="B544" s="52">
        <f>IF(AND(INT('模拟-模拟计算'!B569)&lt;='模拟-模拟计算'!$C$2,'模拟-模拟计算'!B569&gt;0),'模拟-模拟计算'!B569," ")</f>
        <v>499.9950000000054</v>
      </c>
      <c r="C544" s="51" t="str">
        <f ca="1">IF(AND(INT('模拟-模拟计算'!B569)&lt;='模拟-模拟计算'!$C$2,'模拟-模拟计算'!B569&gt;0),'模拟-模拟计算'!C569," ")</f>
        <v>驱夜断愁</v>
      </c>
      <c r="D544" s="104">
        <f ca="1">IF(AND(INT('模拟-模拟计算'!B569)&lt;='模拟-模拟计算'!$C$2,'模拟-模拟计算'!B569&gt;0),'模拟-模拟计算'!E569," ")</f>
        <v>40</v>
      </c>
      <c r="E544" s="104">
        <f ca="1">IF(AND(INT('模拟-模拟计算'!B569)&lt;='模拟-模拟计算'!$C$2,'模拟-模拟计算'!B569&gt;0),'模拟-模拟计算'!F569," ")</f>
        <v>85</v>
      </c>
      <c r="F544" s="51" t="str">
        <f ca="1">IF(AND(INT('模拟-模拟计算'!B569)&lt;='模拟-模拟计算'!$C$2,'模拟-模拟计算'!B569&gt;0),'模拟-模拟计算'!P569," ")</f>
        <v>命</v>
      </c>
      <c r="G544" s="52">
        <f ca="1">IF(AND(INT('模拟-模拟计算'!B569)&lt;='模拟-模拟计算'!$C$2,'模拟-模拟计算'!B569&gt;0),'模拟-模拟计算'!V569," ")</f>
        <v>61540.073489592025</v>
      </c>
      <c r="H544" s="52">
        <f ca="1">IF(AND(INT('模拟-模拟计算'!B569)&lt;='模拟-模拟计算'!$C$2,'模拟-模拟计算'!B569&gt;0),'模拟-模拟计算'!Y569," ")</f>
        <v>87364.962244356095</v>
      </c>
      <c r="I544" s="105">
        <f ca="1">IF(AND(INT('模拟-模拟计算'!B569)&lt;='模拟-模拟计算'!$C$2,'模拟-模拟计算'!B569&gt;0),'模拟-模拟计算'!AA569," ")</f>
        <v>112898.02916639738</v>
      </c>
    </row>
    <row r="545" spans="1:9" x14ac:dyDescent="0.2">
      <c r="A545" s="20">
        <f>INT('模拟-模拟计算'!B570+0.5)</f>
        <v>501</v>
      </c>
      <c r="B545" s="52">
        <f>IF(AND(INT('模拟-模拟计算'!B570)&lt;='模拟-模拟计算'!$C$2,'模拟-模拟计算'!B570&gt;0),'模拟-模拟计算'!B570," ")</f>
        <v>500.91750000000542</v>
      </c>
      <c r="C545" s="51" t="str">
        <f ca="1">IF(AND(INT('模拟-模拟计算'!B570)&lt;='模拟-模拟计算'!$C$2,'模拟-模拟计算'!B570&gt;0),'模拟-模拟计算'!C570," ")</f>
        <v>烈日斩</v>
      </c>
      <c r="D545" s="104">
        <f ca="1">IF(AND(INT('模拟-模拟计算'!B570)&lt;='模拟-模拟计算'!$C$2,'模拟-模拟计算'!B570&gt;0),'模拟-模拟计算'!E570," ")</f>
        <v>80</v>
      </c>
      <c r="E545" s="104">
        <f ca="1">IF(AND(INT('模拟-模拟计算'!B570)&lt;='模拟-模拟计算'!$C$2,'模拟-模拟计算'!B570&gt;0),'模拟-模拟计算'!F570," ")</f>
        <v>85</v>
      </c>
      <c r="F545" s="51" t="str">
        <f ca="1">IF(AND(INT('模拟-模拟计算'!B570)&lt;='模拟-模拟计算'!$C$2,'模拟-模拟计算'!B570&gt;0),'模拟-模拟计算'!P570," ")</f>
        <v>会</v>
      </c>
      <c r="G545" s="52">
        <f ca="1">IF(AND(INT('模拟-模拟计算'!B570)&lt;='模拟-模拟计算'!$C$2,'模拟-模拟计算'!B570&gt;0),'模拟-模拟计算'!V570," ")</f>
        <v>110503.35617153208</v>
      </c>
      <c r="H545" s="52">
        <f ca="1">IF(AND(INT('模拟-模拟计算'!B570)&lt;='模拟-模拟计算'!$C$2,'模拟-模拟计算'!B570&gt;0),'模拟-模拟计算'!Y570," ")</f>
        <v>120481.52392965593</v>
      </c>
      <c r="I545" s="105">
        <f ca="1">IF(AND(INT('模拟-模拟计算'!B570)&lt;='模拟-模拟计算'!$C$2,'模拟-模拟计算'!B570&gt;0),'模拟-模拟计算'!AA570," ")</f>
        <v>112930.63551778988</v>
      </c>
    </row>
    <row r="546" spans="1:9" x14ac:dyDescent="0.2">
      <c r="A546" s="20">
        <f>INT('模拟-模拟计算'!B571+0.5)</f>
        <v>502</v>
      </c>
      <c r="B546" s="52" t="str">
        <f>IF(AND(INT('模拟-模拟计算'!B571)&lt;='模拟-模拟计算'!$C$2,'模拟-模拟计算'!B571&gt;0),'模拟-模拟计算'!B571," ")</f>
        <v xml:space="preserve"> </v>
      </c>
      <c r="C546" s="51" t="str">
        <f>IF(AND(INT('模拟-模拟计算'!B571)&lt;='模拟-模拟计算'!$C$2,'模拟-模拟计算'!B571&gt;0),'模拟-模拟计算'!C571," ")</f>
        <v xml:space="preserve"> </v>
      </c>
      <c r="D546" s="104" t="str">
        <f>IF(AND(INT('模拟-模拟计算'!B571)&lt;='模拟-模拟计算'!$C$2,'模拟-模拟计算'!B571&gt;0),'模拟-模拟计算'!E571," ")</f>
        <v xml:space="preserve"> </v>
      </c>
      <c r="E546" s="104" t="str">
        <f>IF(AND(INT('模拟-模拟计算'!B571)&lt;='模拟-模拟计算'!$C$2,'模拟-模拟计算'!B571&gt;0),'模拟-模拟计算'!F571," ")</f>
        <v xml:space="preserve"> </v>
      </c>
      <c r="F546" s="51" t="str">
        <f>IF(AND(INT('模拟-模拟计算'!B571)&lt;='模拟-模拟计算'!$C$2,'模拟-模拟计算'!B571&gt;0),'模拟-模拟计算'!P571," ")</f>
        <v xml:space="preserve"> </v>
      </c>
      <c r="G546" s="52" t="str">
        <f>IF(AND(INT('模拟-模拟计算'!B571)&lt;='模拟-模拟计算'!$C$2,'模拟-模拟计算'!B571&gt;0),'模拟-模拟计算'!V571," ")</f>
        <v xml:space="preserve"> </v>
      </c>
      <c r="H546" s="52" t="str">
        <f>IF(AND(INT('模拟-模拟计算'!B571)&lt;='模拟-模拟计算'!$C$2,'模拟-模拟计算'!B571&gt;0),'模拟-模拟计算'!Y571," ")</f>
        <v xml:space="preserve"> </v>
      </c>
      <c r="I546" s="105" t="str">
        <f>IF(AND(INT('模拟-模拟计算'!B571)&lt;='模拟-模拟计算'!$C$2,'模拟-模拟计算'!B571&gt;0),'模拟-模拟计算'!AA571," ")</f>
        <v xml:space="preserve"> </v>
      </c>
    </row>
    <row r="547" spans="1:9" x14ac:dyDescent="0.2">
      <c r="A547" s="20">
        <f>INT('模拟-模拟计算'!B572+0.5)</f>
        <v>503</v>
      </c>
      <c r="B547" s="52" t="str">
        <f>IF(AND(INT('模拟-模拟计算'!B572)&lt;='模拟-模拟计算'!$C$2,'模拟-模拟计算'!B572&gt;0),'模拟-模拟计算'!B572," ")</f>
        <v xml:space="preserve"> </v>
      </c>
      <c r="C547" s="51" t="str">
        <f>IF(AND(INT('模拟-模拟计算'!B572)&lt;='模拟-模拟计算'!$C$2,'模拟-模拟计算'!B572&gt;0),'模拟-模拟计算'!C572," ")</f>
        <v xml:space="preserve"> </v>
      </c>
      <c r="D547" s="104" t="str">
        <f>IF(AND(INT('模拟-模拟计算'!B572)&lt;='模拟-模拟计算'!$C$2,'模拟-模拟计算'!B572&gt;0),'模拟-模拟计算'!E572," ")</f>
        <v xml:space="preserve"> </v>
      </c>
      <c r="E547" s="104" t="str">
        <f>IF(AND(INT('模拟-模拟计算'!B572)&lt;='模拟-模拟计算'!$C$2,'模拟-模拟计算'!B572&gt;0),'模拟-模拟计算'!F572," ")</f>
        <v xml:space="preserve"> </v>
      </c>
      <c r="F547" s="51" t="str">
        <f>IF(AND(INT('模拟-模拟计算'!B572)&lt;='模拟-模拟计算'!$C$2,'模拟-模拟计算'!B572&gt;0),'模拟-模拟计算'!P572," ")</f>
        <v xml:space="preserve"> </v>
      </c>
      <c r="G547" s="52" t="str">
        <f>IF(AND(INT('模拟-模拟计算'!B572)&lt;='模拟-模拟计算'!$C$2,'模拟-模拟计算'!B572&gt;0),'模拟-模拟计算'!V572," ")</f>
        <v xml:space="preserve"> </v>
      </c>
      <c r="H547" s="52" t="str">
        <f>IF(AND(INT('模拟-模拟计算'!B572)&lt;='模拟-模拟计算'!$C$2,'模拟-模拟计算'!B572&gt;0),'模拟-模拟计算'!Y572," ")</f>
        <v xml:space="preserve"> </v>
      </c>
      <c r="I547" s="105" t="str">
        <f>IF(AND(INT('模拟-模拟计算'!B572)&lt;='模拟-模拟计算'!$C$2,'模拟-模拟计算'!B572&gt;0),'模拟-模拟计算'!AA572," ")</f>
        <v xml:space="preserve"> </v>
      </c>
    </row>
    <row r="548" spans="1:9" x14ac:dyDescent="0.2">
      <c r="A548" s="20">
        <f>INT('模拟-模拟计算'!B573+0.5)</f>
        <v>504</v>
      </c>
      <c r="B548" s="52" t="str">
        <f>IF(AND(INT('模拟-模拟计算'!B573)&lt;='模拟-模拟计算'!$C$2,'模拟-模拟计算'!B573&gt;0),'模拟-模拟计算'!B573," ")</f>
        <v xml:space="preserve"> </v>
      </c>
      <c r="C548" s="51" t="str">
        <f>IF(AND(INT('模拟-模拟计算'!B573)&lt;='模拟-模拟计算'!$C$2,'模拟-模拟计算'!B573&gt;0),'模拟-模拟计算'!C573," ")</f>
        <v xml:space="preserve"> </v>
      </c>
      <c r="D548" s="104" t="str">
        <f>IF(AND(INT('模拟-模拟计算'!B573)&lt;='模拟-模拟计算'!$C$2,'模拟-模拟计算'!B573&gt;0),'模拟-模拟计算'!E573," ")</f>
        <v xml:space="preserve"> </v>
      </c>
      <c r="E548" s="104" t="str">
        <f>IF(AND(INT('模拟-模拟计算'!B573)&lt;='模拟-模拟计算'!$C$2,'模拟-模拟计算'!B573&gt;0),'模拟-模拟计算'!F573," ")</f>
        <v xml:space="preserve"> </v>
      </c>
      <c r="F548" s="51" t="str">
        <f>IF(AND(INT('模拟-模拟计算'!B573)&lt;='模拟-模拟计算'!$C$2,'模拟-模拟计算'!B573&gt;0),'模拟-模拟计算'!P573," ")</f>
        <v xml:space="preserve"> </v>
      </c>
      <c r="G548" s="52" t="str">
        <f>IF(AND(INT('模拟-模拟计算'!B573)&lt;='模拟-模拟计算'!$C$2,'模拟-模拟计算'!B573&gt;0),'模拟-模拟计算'!V573," ")</f>
        <v xml:space="preserve"> </v>
      </c>
      <c r="H548" s="52" t="str">
        <f>IF(AND(INT('模拟-模拟计算'!B573)&lt;='模拟-模拟计算'!$C$2,'模拟-模拟计算'!B573&gt;0),'模拟-模拟计算'!Y573," ")</f>
        <v xml:space="preserve"> </v>
      </c>
      <c r="I548" s="105" t="str">
        <f>IF(AND(INT('模拟-模拟计算'!B573)&lt;='模拟-模拟计算'!$C$2,'模拟-模拟计算'!B573&gt;0),'模拟-模拟计算'!AA573," ")</f>
        <v xml:space="preserve"> </v>
      </c>
    </row>
    <row r="549" spans="1:9" x14ac:dyDescent="0.2">
      <c r="A549" s="20">
        <f>INT('模拟-模拟计算'!B574+0.5)</f>
        <v>505</v>
      </c>
      <c r="B549" s="52" t="str">
        <f>IF(AND(INT('模拟-模拟计算'!B574)&lt;='模拟-模拟计算'!$C$2,'模拟-模拟计算'!B574&gt;0),'模拟-模拟计算'!B574," ")</f>
        <v xml:space="preserve"> </v>
      </c>
      <c r="C549" s="51" t="str">
        <f>IF(AND(INT('模拟-模拟计算'!B574)&lt;='模拟-模拟计算'!$C$2,'模拟-模拟计算'!B574&gt;0),'模拟-模拟计算'!C574," ")</f>
        <v xml:space="preserve"> </v>
      </c>
      <c r="D549" s="104" t="str">
        <f>IF(AND(INT('模拟-模拟计算'!B574)&lt;='模拟-模拟计算'!$C$2,'模拟-模拟计算'!B574&gt;0),'模拟-模拟计算'!E574," ")</f>
        <v xml:space="preserve"> </v>
      </c>
      <c r="E549" s="104" t="str">
        <f>IF(AND(INT('模拟-模拟计算'!B574)&lt;='模拟-模拟计算'!$C$2,'模拟-模拟计算'!B574&gt;0),'模拟-模拟计算'!F574," ")</f>
        <v xml:space="preserve"> </v>
      </c>
      <c r="F549" s="51" t="str">
        <f>IF(AND(INT('模拟-模拟计算'!B574)&lt;='模拟-模拟计算'!$C$2,'模拟-模拟计算'!B574&gt;0),'模拟-模拟计算'!P574," ")</f>
        <v xml:space="preserve"> </v>
      </c>
      <c r="G549" s="52" t="str">
        <f>IF(AND(INT('模拟-模拟计算'!B574)&lt;='模拟-模拟计算'!$C$2,'模拟-模拟计算'!B574&gt;0),'模拟-模拟计算'!V574," ")</f>
        <v xml:space="preserve"> </v>
      </c>
      <c r="H549" s="52" t="str">
        <f>IF(AND(INT('模拟-模拟计算'!B574)&lt;='模拟-模拟计算'!$C$2,'模拟-模拟计算'!B574&gt;0),'模拟-模拟计算'!Y574," ")</f>
        <v xml:space="preserve"> </v>
      </c>
      <c r="I549" s="105" t="str">
        <f>IF(AND(INT('模拟-模拟计算'!B574)&lt;='模拟-模拟计算'!$C$2,'模拟-模拟计算'!B574&gt;0),'模拟-模拟计算'!AA574," ")</f>
        <v xml:space="preserve"> </v>
      </c>
    </row>
    <row r="550" spans="1:9" x14ac:dyDescent="0.2">
      <c r="A550" s="20">
        <f>INT('模拟-模拟计算'!B575+0.5)</f>
        <v>506</v>
      </c>
      <c r="B550" s="52" t="str">
        <f>IF(AND(INT('模拟-模拟计算'!B575)&lt;='模拟-模拟计算'!$C$2,'模拟-模拟计算'!B575&gt;0),'模拟-模拟计算'!B575," ")</f>
        <v xml:space="preserve"> </v>
      </c>
      <c r="C550" s="51" t="str">
        <f>IF(AND(INT('模拟-模拟计算'!B575)&lt;='模拟-模拟计算'!$C$2,'模拟-模拟计算'!B575&gt;0),'模拟-模拟计算'!C575," ")</f>
        <v xml:space="preserve"> </v>
      </c>
      <c r="D550" s="104" t="str">
        <f>IF(AND(INT('模拟-模拟计算'!B575)&lt;='模拟-模拟计算'!$C$2,'模拟-模拟计算'!B575&gt;0),'模拟-模拟计算'!E575," ")</f>
        <v xml:space="preserve"> </v>
      </c>
      <c r="E550" s="104" t="str">
        <f>IF(AND(INT('模拟-模拟计算'!B575)&lt;='模拟-模拟计算'!$C$2,'模拟-模拟计算'!B575&gt;0),'模拟-模拟计算'!F575," ")</f>
        <v xml:space="preserve"> </v>
      </c>
      <c r="F550" s="51" t="str">
        <f>IF(AND(INT('模拟-模拟计算'!B575)&lt;='模拟-模拟计算'!$C$2,'模拟-模拟计算'!B575&gt;0),'模拟-模拟计算'!P575," ")</f>
        <v xml:space="preserve"> </v>
      </c>
      <c r="G550" s="52" t="str">
        <f>IF(AND(INT('模拟-模拟计算'!B575)&lt;='模拟-模拟计算'!$C$2,'模拟-模拟计算'!B575&gt;0),'模拟-模拟计算'!V575," ")</f>
        <v xml:space="preserve"> </v>
      </c>
      <c r="H550" s="52" t="str">
        <f>IF(AND(INT('模拟-模拟计算'!B575)&lt;='模拟-模拟计算'!$C$2,'模拟-模拟计算'!B575&gt;0),'模拟-模拟计算'!Y575," ")</f>
        <v xml:space="preserve"> </v>
      </c>
      <c r="I550" s="105" t="str">
        <f>IF(AND(INT('模拟-模拟计算'!B575)&lt;='模拟-模拟计算'!$C$2,'模拟-模拟计算'!B575&gt;0),'模拟-模拟计算'!AA575," ")</f>
        <v xml:space="preserve"> </v>
      </c>
    </row>
    <row r="551" spans="1:9" x14ac:dyDescent="0.2">
      <c r="A551" s="20">
        <f>INT('模拟-模拟计算'!B576+0.5)</f>
        <v>506</v>
      </c>
      <c r="B551" s="52" t="str">
        <f>IF(AND(INT('模拟-模拟计算'!B576)&lt;='模拟-模拟计算'!$C$2,'模拟-模拟计算'!B576&gt;0),'模拟-模拟计算'!B576," ")</f>
        <v xml:space="preserve"> </v>
      </c>
      <c r="C551" s="51" t="str">
        <f>IF(AND(INT('模拟-模拟计算'!B576)&lt;='模拟-模拟计算'!$C$2,'模拟-模拟计算'!B576&gt;0),'模拟-模拟计算'!C576," ")</f>
        <v xml:space="preserve"> </v>
      </c>
      <c r="D551" s="104" t="str">
        <f>IF(AND(INT('模拟-模拟计算'!B576)&lt;='模拟-模拟计算'!$C$2,'模拟-模拟计算'!B576&gt;0),'模拟-模拟计算'!E576," ")</f>
        <v xml:space="preserve"> </v>
      </c>
      <c r="E551" s="104" t="str">
        <f>IF(AND(INT('模拟-模拟计算'!B576)&lt;='模拟-模拟计算'!$C$2,'模拟-模拟计算'!B576&gt;0),'模拟-模拟计算'!F576," ")</f>
        <v xml:space="preserve"> </v>
      </c>
      <c r="F551" s="51" t="str">
        <f>IF(AND(INT('模拟-模拟计算'!B576)&lt;='模拟-模拟计算'!$C$2,'模拟-模拟计算'!B576&gt;0),'模拟-模拟计算'!P576," ")</f>
        <v xml:space="preserve"> </v>
      </c>
      <c r="G551" s="52" t="str">
        <f>IF(AND(INT('模拟-模拟计算'!B576)&lt;='模拟-模拟计算'!$C$2,'模拟-模拟计算'!B576&gt;0),'模拟-模拟计算'!V576," ")</f>
        <v xml:space="preserve"> </v>
      </c>
      <c r="H551" s="52" t="str">
        <f>IF(AND(INT('模拟-模拟计算'!B576)&lt;='模拟-模拟计算'!$C$2,'模拟-模拟计算'!B576&gt;0),'模拟-模拟计算'!Y576," ")</f>
        <v xml:space="preserve"> </v>
      </c>
      <c r="I551" s="105" t="str">
        <f>IF(AND(INT('模拟-模拟计算'!B576)&lt;='模拟-模拟计算'!$C$2,'模拟-模拟计算'!B576&gt;0),'模拟-模拟计算'!AA576," ")</f>
        <v xml:space="preserve"> </v>
      </c>
    </row>
    <row r="552" spans="1:9" x14ac:dyDescent="0.2">
      <c r="A552" s="20">
        <f>INT('模拟-模拟计算'!B577+0.5)</f>
        <v>507</v>
      </c>
      <c r="B552" s="52" t="str">
        <f>IF(AND(INT('模拟-模拟计算'!B577)&lt;='模拟-模拟计算'!$C$2,'模拟-模拟计算'!B577&gt;0),'模拟-模拟计算'!B577," ")</f>
        <v xml:space="preserve"> </v>
      </c>
      <c r="C552" s="51" t="str">
        <f>IF(AND(INT('模拟-模拟计算'!B577)&lt;='模拟-模拟计算'!$C$2,'模拟-模拟计算'!B577&gt;0),'模拟-模拟计算'!C577," ")</f>
        <v xml:space="preserve"> </v>
      </c>
      <c r="D552" s="104" t="str">
        <f>IF(AND(INT('模拟-模拟计算'!B577)&lt;='模拟-模拟计算'!$C$2,'模拟-模拟计算'!B577&gt;0),'模拟-模拟计算'!E577," ")</f>
        <v xml:space="preserve"> </v>
      </c>
      <c r="E552" s="104" t="str">
        <f>IF(AND(INT('模拟-模拟计算'!B577)&lt;='模拟-模拟计算'!$C$2,'模拟-模拟计算'!B577&gt;0),'模拟-模拟计算'!F577," ")</f>
        <v xml:space="preserve"> </v>
      </c>
      <c r="F552" s="51" t="str">
        <f>IF(AND(INT('模拟-模拟计算'!B577)&lt;='模拟-模拟计算'!$C$2,'模拟-模拟计算'!B577&gt;0),'模拟-模拟计算'!P577," ")</f>
        <v xml:space="preserve"> </v>
      </c>
      <c r="G552" s="52" t="str">
        <f>IF(AND(INT('模拟-模拟计算'!B577)&lt;='模拟-模拟计算'!$C$2,'模拟-模拟计算'!B577&gt;0),'模拟-模拟计算'!V577," ")</f>
        <v xml:space="preserve"> </v>
      </c>
      <c r="H552" s="52" t="str">
        <f>IF(AND(INT('模拟-模拟计算'!B577)&lt;='模拟-模拟计算'!$C$2,'模拟-模拟计算'!B577&gt;0),'模拟-模拟计算'!Y577," ")</f>
        <v xml:space="preserve"> </v>
      </c>
      <c r="I552" s="105" t="str">
        <f>IF(AND(INT('模拟-模拟计算'!B577)&lt;='模拟-模拟计算'!$C$2,'模拟-模拟计算'!B577&gt;0),'模拟-模拟计算'!AA577," ")</f>
        <v xml:space="preserve"> </v>
      </c>
    </row>
    <row r="553" spans="1:9" x14ac:dyDescent="0.2">
      <c r="A553" s="20">
        <f>INT('模拟-模拟计算'!B578+0.5)</f>
        <v>508</v>
      </c>
      <c r="B553" s="52" t="str">
        <f>IF(AND(INT('模拟-模拟计算'!B578)&lt;='模拟-模拟计算'!$C$2,'模拟-模拟计算'!B578&gt;0),'模拟-模拟计算'!B578," ")</f>
        <v xml:space="preserve"> </v>
      </c>
      <c r="C553" s="51" t="str">
        <f>IF(AND(INT('模拟-模拟计算'!B578)&lt;='模拟-模拟计算'!$C$2,'模拟-模拟计算'!B578&gt;0),'模拟-模拟计算'!C578," ")</f>
        <v xml:space="preserve"> </v>
      </c>
      <c r="D553" s="104" t="str">
        <f>IF(AND(INT('模拟-模拟计算'!B578)&lt;='模拟-模拟计算'!$C$2,'模拟-模拟计算'!B578&gt;0),'模拟-模拟计算'!E578," ")</f>
        <v xml:space="preserve"> </v>
      </c>
      <c r="E553" s="104" t="str">
        <f>IF(AND(INT('模拟-模拟计算'!B578)&lt;='模拟-模拟计算'!$C$2,'模拟-模拟计算'!B578&gt;0),'模拟-模拟计算'!F578," ")</f>
        <v xml:space="preserve"> </v>
      </c>
      <c r="F553" s="51" t="str">
        <f>IF(AND(INT('模拟-模拟计算'!B578)&lt;='模拟-模拟计算'!$C$2,'模拟-模拟计算'!B578&gt;0),'模拟-模拟计算'!P578," ")</f>
        <v xml:space="preserve"> </v>
      </c>
      <c r="G553" s="52" t="str">
        <f>IF(AND(INT('模拟-模拟计算'!B578)&lt;='模拟-模拟计算'!$C$2,'模拟-模拟计算'!B578&gt;0),'模拟-模拟计算'!V578," ")</f>
        <v xml:space="preserve"> </v>
      </c>
      <c r="H553" s="52" t="str">
        <f>IF(AND(INT('模拟-模拟计算'!B578)&lt;='模拟-模拟计算'!$C$2,'模拟-模拟计算'!B578&gt;0),'模拟-模拟计算'!Y578," ")</f>
        <v xml:space="preserve"> </v>
      </c>
      <c r="I553" s="105" t="str">
        <f>IF(AND(INT('模拟-模拟计算'!B578)&lt;='模拟-模拟计算'!$C$2,'模拟-模拟计算'!B578&gt;0),'模拟-模拟计算'!AA578," ")</f>
        <v xml:space="preserve"> </v>
      </c>
    </row>
    <row r="554" spans="1:9" x14ac:dyDescent="0.2">
      <c r="A554" s="20">
        <f>INT('模拟-模拟计算'!B579+0.5)</f>
        <v>509</v>
      </c>
      <c r="B554" s="52" t="str">
        <f>IF(AND(INT('模拟-模拟计算'!B579)&lt;='模拟-模拟计算'!$C$2,'模拟-模拟计算'!B579&gt;0),'模拟-模拟计算'!B579," ")</f>
        <v xml:space="preserve"> </v>
      </c>
      <c r="C554" s="51" t="str">
        <f>IF(AND(INT('模拟-模拟计算'!B579)&lt;='模拟-模拟计算'!$C$2,'模拟-模拟计算'!B579&gt;0),'模拟-模拟计算'!C579," ")</f>
        <v xml:space="preserve"> </v>
      </c>
      <c r="D554" s="104" t="str">
        <f>IF(AND(INT('模拟-模拟计算'!B579)&lt;='模拟-模拟计算'!$C$2,'模拟-模拟计算'!B579&gt;0),'模拟-模拟计算'!E579," ")</f>
        <v xml:space="preserve"> </v>
      </c>
      <c r="E554" s="104" t="str">
        <f>IF(AND(INT('模拟-模拟计算'!B579)&lt;='模拟-模拟计算'!$C$2,'模拟-模拟计算'!B579&gt;0),'模拟-模拟计算'!F579," ")</f>
        <v xml:space="preserve"> </v>
      </c>
      <c r="F554" s="51" t="str">
        <f>IF(AND(INT('模拟-模拟计算'!B579)&lt;='模拟-模拟计算'!$C$2,'模拟-模拟计算'!B579&gt;0),'模拟-模拟计算'!P579," ")</f>
        <v xml:space="preserve"> </v>
      </c>
      <c r="G554" s="52" t="str">
        <f>IF(AND(INT('模拟-模拟计算'!B579)&lt;='模拟-模拟计算'!$C$2,'模拟-模拟计算'!B579&gt;0),'模拟-模拟计算'!V579," ")</f>
        <v xml:space="preserve"> </v>
      </c>
      <c r="H554" s="52" t="str">
        <f>IF(AND(INT('模拟-模拟计算'!B579)&lt;='模拟-模拟计算'!$C$2,'模拟-模拟计算'!B579&gt;0),'模拟-模拟计算'!Y579," ")</f>
        <v xml:space="preserve"> </v>
      </c>
      <c r="I554" s="105" t="str">
        <f>IF(AND(INT('模拟-模拟计算'!B579)&lt;='模拟-模拟计算'!$C$2,'模拟-模拟计算'!B579&gt;0),'模拟-模拟计算'!AA579," ")</f>
        <v xml:space="preserve"> </v>
      </c>
    </row>
    <row r="555" spans="1:9" x14ac:dyDescent="0.2">
      <c r="A555" s="20">
        <f>INT('模拟-模拟计算'!B580+0.5)</f>
        <v>510</v>
      </c>
      <c r="B555" s="52" t="str">
        <f>IF(AND(INT('模拟-模拟计算'!B580)&lt;='模拟-模拟计算'!$C$2,'模拟-模拟计算'!B580&gt;0),'模拟-模拟计算'!B580," ")</f>
        <v xml:space="preserve"> </v>
      </c>
      <c r="C555" s="51" t="str">
        <f>IF(AND(INT('模拟-模拟计算'!B580)&lt;='模拟-模拟计算'!$C$2,'模拟-模拟计算'!B580&gt;0),'模拟-模拟计算'!C580," ")</f>
        <v xml:space="preserve"> </v>
      </c>
      <c r="D555" s="104" t="str">
        <f>IF(AND(INT('模拟-模拟计算'!B580)&lt;='模拟-模拟计算'!$C$2,'模拟-模拟计算'!B580&gt;0),'模拟-模拟计算'!E580," ")</f>
        <v xml:space="preserve"> </v>
      </c>
      <c r="E555" s="104" t="str">
        <f>IF(AND(INT('模拟-模拟计算'!B580)&lt;='模拟-模拟计算'!$C$2,'模拟-模拟计算'!B580&gt;0),'模拟-模拟计算'!F580," ")</f>
        <v xml:space="preserve"> </v>
      </c>
      <c r="F555" s="51" t="str">
        <f>IF(AND(INT('模拟-模拟计算'!B580)&lt;='模拟-模拟计算'!$C$2,'模拟-模拟计算'!B580&gt;0),'模拟-模拟计算'!P580," ")</f>
        <v xml:space="preserve"> </v>
      </c>
      <c r="G555" s="52" t="str">
        <f>IF(AND(INT('模拟-模拟计算'!B580)&lt;='模拟-模拟计算'!$C$2,'模拟-模拟计算'!B580&gt;0),'模拟-模拟计算'!V580," ")</f>
        <v xml:space="preserve"> </v>
      </c>
      <c r="H555" s="52" t="str">
        <f>IF(AND(INT('模拟-模拟计算'!B580)&lt;='模拟-模拟计算'!$C$2,'模拟-模拟计算'!B580&gt;0),'模拟-模拟计算'!Y580," ")</f>
        <v xml:space="preserve"> </v>
      </c>
      <c r="I555" s="105" t="str">
        <f>IF(AND(INT('模拟-模拟计算'!B580)&lt;='模拟-模拟计算'!$C$2,'模拟-模拟计算'!B580&gt;0),'模拟-模拟计算'!AA580," ")</f>
        <v xml:space="preserve"> </v>
      </c>
    </row>
    <row r="556" spans="1:9" x14ac:dyDescent="0.2">
      <c r="A556" s="20">
        <f>INT('模拟-模拟计算'!B581+0.5)</f>
        <v>511</v>
      </c>
      <c r="B556" s="52" t="str">
        <f>IF(AND(INT('模拟-模拟计算'!B581)&lt;='模拟-模拟计算'!$C$2,'模拟-模拟计算'!B581&gt;0),'模拟-模拟计算'!B581," ")</f>
        <v xml:space="preserve"> </v>
      </c>
      <c r="C556" s="51" t="str">
        <f>IF(AND(INT('模拟-模拟计算'!B581)&lt;='模拟-模拟计算'!$C$2,'模拟-模拟计算'!B581&gt;0),'模拟-模拟计算'!C581," ")</f>
        <v xml:space="preserve"> </v>
      </c>
      <c r="D556" s="104" t="str">
        <f>IF(AND(INT('模拟-模拟计算'!B581)&lt;='模拟-模拟计算'!$C$2,'模拟-模拟计算'!B581&gt;0),'模拟-模拟计算'!E581," ")</f>
        <v xml:space="preserve"> </v>
      </c>
      <c r="E556" s="104" t="str">
        <f>IF(AND(INT('模拟-模拟计算'!B581)&lt;='模拟-模拟计算'!$C$2,'模拟-模拟计算'!B581&gt;0),'模拟-模拟计算'!F581," ")</f>
        <v xml:space="preserve"> </v>
      </c>
      <c r="F556" s="51" t="str">
        <f>IF(AND(INT('模拟-模拟计算'!B581)&lt;='模拟-模拟计算'!$C$2,'模拟-模拟计算'!B581&gt;0),'模拟-模拟计算'!P581," ")</f>
        <v xml:space="preserve"> </v>
      </c>
      <c r="G556" s="52" t="str">
        <f>IF(AND(INT('模拟-模拟计算'!B581)&lt;='模拟-模拟计算'!$C$2,'模拟-模拟计算'!B581&gt;0),'模拟-模拟计算'!V581," ")</f>
        <v xml:space="preserve"> </v>
      </c>
      <c r="H556" s="52" t="str">
        <f>IF(AND(INT('模拟-模拟计算'!B581)&lt;='模拟-模拟计算'!$C$2,'模拟-模拟计算'!B581&gt;0),'模拟-模拟计算'!Y581," ")</f>
        <v xml:space="preserve"> </v>
      </c>
      <c r="I556" s="105" t="str">
        <f>IF(AND(INT('模拟-模拟计算'!B581)&lt;='模拟-模拟计算'!$C$2,'模拟-模拟计算'!B581&gt;0),'模拟-模拟计算'!AA581," ")</f>
        <v xml:space="preserve"> </v>
      </c>
    </row>
    <row r="557" spans="1:9" x14ac:dyDescent="0.2">
      <c r="A557" s="20">
        <f>INT('模拟-模拟计算'!B582+0.5)</f>
        <v>512</v>
      </c>
      <c r="B557" s="52" t="str">
        <f>IF(AND(INT('模拟-模拟计算'!B582)&lt;='模拟-模拟计算'!$C$2,'模拟-模拟计算'!B582&gt;0),'模拟-模拟计算'!B582," ")</f>
        <v xml:space="preserve"> </v>
      </c>
      <c r="C557" s="51" t="str">
        <f>IF(AND(INT('模拟-模拟计算'!B582)&lt;='模拟-模拟计算'!$C$2,'模拟-模拟计算'!B582&gt;0),'模拟-模拟计算'!C582," ")</f>
        <v xml:space="preserve"> </v>
      </c>
      <c r="D557" s="104" t="str">
        <f>IF(AND(INT('模拟-模拟计算'!B582)&lt;='模拟-模拟计算'!$C$2,'模拟-模拟计算'!B582&gt;0),'模拟-模拟计算'!E582," ")</f>
        <v xml:space="preserve"> </v>
      </c>
      <c r="E557" s="104" t="str">
        <f>IF(AND(INT('模拟-模拟计算'!B582)&lt;='模拟-模拟计算'!$C$2,'模拟-模拟计算'!B582&gt;0),'模拟-模拟计算'!F582," ")</f>
        <v xml:space="preserve"> </v>
      </c>
      <c r="F557" s="51" t="str">
        <f>IF(AND(INT('模拟-模拟计算'!B582)&lt;='模拟-模拟计算'!$C$2,'模拟-模拟计算'!B582&gt;0),'模拟-模拟计算'!P582," ")</f>
        <v xml:space="preserve"> </v>
      </c>
      <c r="G557" s="52" t="str">
        <f>IF(AND(INT('模拟-模拟计算'!B582)&lt;='模拟-模拟计算'!$C$2,'模拟-模拟计算'!B582&gt;0),'模拟-模拟计算'!V582," ")</f>
        <v xml:space="preserve"> </v>
      </c>
      <c r="H557" s="52" t="str">
        <f>IF(AND(INT('模拟-模拟计算'!B582)&lt;='模拟-模拟计算'!$C$2,'模拟-模拟计算'!B582&gt;0),'模拟-模拟计算'!Y582," ")</f>
        <v xml:space="preserve"> </v>
      </c>
      <c r="I557" s="105" t="str">
        <f>IF(AND(INT('模拟-模拟计算'!B582)&lt;='模拟-模拟计算'!$C$2,'模拟-模拟计算'!B582&gt;0),'模拟-模拟计算'!AA582," ")</f>
        <v xml:space="preserve"> </v>
      </c>
    </row>
    <row r="558" spans="1:9" x14ac:dyDescent="0.2">
      <c r="A558" s="20">
        <f>INT('模拟-模拟计算'!B583+0.5)</f>
        <v>513</v>
      </c>
      <c r="B558" s="52" t="str">
        <f>IF(AND(INT('模拟-模拟计算'!B583)&lt;='模拟-模拟计算'!$C$2,'模拟-模拟计算'!B583&gt;0),'模拟-模拟计算'!B583," ")</f>
        <v xml:space="preserve"> </v>
      </c>
      <c r="C558" s="51" t="str">
        <f>IF(AND(INT('模拟-模拟计算'!B583)&lt;='模拟-模拟计算'!$C$2,'模拟-模拟计算'!B583&gt;0),'模拟-模拟计算'!C583," ")</f>
        <v xml:space="preserve"> </v>
      </c>
      <c r="D558" s="104" t="str">
        <f>IF(AND(INT('模拟-模拟计算'!B583)&lt;='模拟-模拟计算'!$C$2,'模拟-模拟计算'!B583&gt;0),'模拟-模拟计算'!E583," ")</f>
        <v xml:space="preserve"> </v>
      </c>
      <c r="E558" s="104" t="str">
        <f>IF(AND(INT('模拟-模拟计算'!B583)&lt;='模拟-模拟计算'!$C$2,'模拟-模拟计算'!B583&gt;0),'模拟-模拟计算'!F583," ")</f>
        <v xml:space="preserve"> </v>
      </c>
      <c r="F558" s="51" t="str">
        <f>IF(AND(INT('模拟-模拟计算'!B583)&lt;='模拟-模拟计算'!$C$2,'模拟-模拟计算'!B583&gt;0),'模拟-模拟计算'!P583," ")</f>
        <v xml:space="preserve"> </v>
      </c>
      <c r="G558" s="52" t="str">
        <f>IF(AND(INT('模拟-模拟计算'!B583)&lt;='模拟-模拟计算'!$C$2,'模拟-模拟计算'!B583&gt;0),'模拟-模拟计算'!V583," ")</f>
        <v xml:space="preserve"> </v>
      </c>
      <c r="H558" s="52" t="str">
        <f>IF(AND(INT('模拟-模拟计算'!B583)&lt;='模拟-模拟计算'!$C$2,'模拟-模拟计算'!B583&gt;0),'模拟-模拟计算'!Y583," ")</f>
        <v xml:space="preserve"> </v>
      </c>
      <c r="I558" s="105" t="str">
        <f>IF(AND(INT('模拟-模拟计算'!B583)&lt;='模拟-模拟计算'!$C$2,'模拟-模拟计算'!B583&gt;0),'模拟-模拟计算'!AA583," ")</f>
        <v xml:space="preserve"> </v>
      </c>
    </row>
    <row r="559" spans="1:9" x14ac:dyDescent="0.2">
      <c r="A559" s="20">
        <f>INT('模拟-模拟计算'!B584+0.5)</f>
        <v>514</v>
      </c>
      <c r="B559" s="52" t="str">
        <f>IF(AND(INT('模拟-模拟计算'!B584)&lt;='模拟-模拟计算'!$C$2,'模拟-模拟计算'!B584&gt;0),'模拟-模拟计算'!B584," ")</f>
        <v xml:space="preserve"> </v>
      </c>
      <c r="C559" s="51" t="str">
        <f>IF(AND(INT('模拟-模拟计算'!B584)&lt;='模拟-模拟计算'!$C$2,'模拟-模拟计算'!B584&gt;0),'模拟-模拟计算'!C584," ")</f>
        <v xml:space="preserve"> </v>
      </c>
      <c r="D559" s="104" t="str">
        <f>IF(AND(INT('模拟-模拟计算'!B584)&lt;='模拟-模拟计算'!$C$2,'模拟-模拟计算'!B584&gt;0),'模拟-模拟计算'!E584," ")</f>
        <v xml:space="preserve"> </v>
      </c>
      <c r="E559" s="104" t="str">
        <f>IF(AND(INT('模拟-模拟计算'!B584)&lt;='模拟-模拟计算'!$C$2,'模拟-模拟计算'!B584&gt;0),'模拟-模拟计算'!F584," ")</f>
        <v xml:space="preserve"> </v>
      </c>
      <c r="F559" s="51" t="str">
        <f>IF(AND(INT('模拟-模拟计算'!B584)&lt;='模拟-模拟计算'!$C$2,'模拟-模拟计算'!B584&gt;0),'模拟-模拟计算'!P584," ")</f>
        <v xml:space="preserve"> </v>
      </c>
      <c r="G559" s="52" t="str">
        <f>IF(AND(INT('模拟-模拟计算'!B584)&lt;='模拟-模拟计算'!$C$2,'模拟-模拟计算'!B584&gt;0),'模拟-模拟计算'!V584," ")</f>
        <v xml:space="preserve"> </v>
      </c>
      <c r="H559" s="52" t="str">
        <f>IF(AND(INT('模拟-模拟计算'!B584)&lt;='模拟-模拟计算'!$C$2,'模拟-模拟计算'!B584&gt;0),'模拟-模拟计算'!Y584," ")</f>
        <v xml:space="preserve"> </v>
      </c>
      <c r="I559" s="105" t="str">
        <f>IF(AND(INT('模拟-模拟计算'!B584)&lt;='模拟-模拟计算'!$C$2,'模拟-模拟计算'!B584&gt;0),'模拟-模拟计算'!AA584," ")</f>
        <v xml:space="preserve"> </v>
      </c>
    </row>
    <row r="560" spans="1:9" x14ac:dyDescent="0.2">
      <c r="A560" s="20">
        <f>INT('模拟-模拟计算'!B585+0.5)</f>
        <v>515</v>
      </c>
      <c r="B560" s="52" t="str">
        <f>IF(AND(INT('模拟-模拟计算'!B585)&lt;='模拟-模拟计算'!$C$2,'模拟-模拟计算'!B585&gt;0),'模拟-模拟计算'!B585," ")</f>
        <v xml:space="preserve"> </v>
      </c>
      <c r="C560" s="51" t="str">
        <f>IF(AND(INT('模拟-模拟计算'!B585)&lt;='模拟-模拟计算'!$C$2,'模拟-模拟计算'!B585&gt;0),'模拟-模拟计算'!C585," ")</f>
        <v xml:space="preserve"> </v>
      </c>
      <c r="D560" s="104" t="str">
        <f>IF(AND(INT('模拟-模拟计算'!B585)&lt;='模拟-模拟计算'!$C$2,'模拟-模拟计算'!B585&gt;0),'模拟-模拟计算'!E585," ")</f>
        <v xml:space="preserve"> </v>
      </c>
      <c r="E560" s="104" t="str">
        <f>IF(AND(INT('模拟-模拟计算'!B585)&lt;='模拟-模拟计算'!$C$2,'模拟-模拟计算'!B585&gt;0),'模拟-模拟计算'!F585," ")</f>
        <v xml:space="preserve"> </v>
      </c>
      <c r="F560" s="51" t="str">
        <f>IF(AND(INT('模拟-模拟计算'!B585)&lt;='模拟-模拟计算'!$C$2,'模拟-模拟计算'!B585&gt;0),'模拟-模拟计算'!P585," ")</f>
        <v xml:space="preserve"> </v>
      </c>
      <c r="G560" s="52" t="str">
        <f>IF(AND(INT('模拟-模拟计算'!B585)&lt;='模拟-模拟计算'!$C$2,'模拟-模拟计算'!B585&gt;0),'模拟-模拟计算'!V585," ")</f>
        <v xml:space="preserve"> </v>
      </c>
      <c r="H560" s="52" t="str">
        <f>IF(AND(INT('模拟-模拟计算'!B585)&lt;='模拟-模拟计算'!$C$2,'模拟-模拟计算'!B585&gt;0),'模拟-模拟计算'!Y585," ")</f>
        <v xml:space="preserve"> </v>
      </c>
      <c r="I560" s="105" t="str">
        <f>IF(AND(INT('模拟-模拟计算'!B585)&lt;='模拟-模拟计算'!$C$2,'模拟-模拟计算'!B585&gt;0),'模拟-模拟计算'!AA585," ")</f>
        <v xml:space="preserve"> </v>
      </c>
    </row>
    <row r="561" spans="1:9" x14ac:dyDescent="0.2">
      <c r="A561" s="20">
        <f>INT('模拟-模拟计算'!B586+0.5)</f>
        <v>516</v>
      </c>
      <c r="B561" s="52" t="str">
        <f>IF(AND(INT('模拟-模拟计算'!B586)&lt;='模拟-模拟计算'!$C$2,'模拟-模拟计算'!B586&gt;0),'模拟-模拟计算'!B586," ")</f>
        <v xml:space="preserve"> </v>
      </c>
      <c r="C561" s="51" t="str">
        <f>IF(AND(INT('模拟-模拟计算'!B586)&lt;='模拟-模拟计算'!$C$2,'模拟-模拟计算'!B586&gt;0),'模拟-模拟计算'!C586," ")</f>
        <v xml:space="preserve"> </v>
      </c>
      <c r="D561" s="104" t="str">
        <f>IF(AND(INT('模拟-模拟计算'!B586)&lt;='模拟-模拟计算'!$C$2,'模拟-模拟计算'!B586&gt;0),'模拟-模拟计算'!E586," ")</f>
        <v xml:space="preserve"> </v>
      </c>
      <c r="E561" s="104" t="str">
        <f>IF(AND(INT('模拟-模拟计算'!B586)&lt;='模拟-模拟计算'!$C$2,'模拟-模拟计算'!B586&gt;0),'模拟-模拟计算'!F586," ")</f>
        <v xml:space="preserve"> </v>
      </c>
      <c r="F561" s="51" t="str">
        <f>IF(AND(INT('模拟-模拟计算'!B586)&lt;='模拟-模拟计算'!$C$2,'模拟-模拟计算'!B586&gt;0),'模拟-模拟计算'!P586," ")</f>
        <v xml:space="preserve"> </v>
      </c>
      <c r="G561" s="52" t="str">
        <f>IF(AND(INT('模拟-模拟计算'!B586)&lt;='模拟-模拟计算'!$C$2,'模拟-模拟计算'!B586&gt;0),'模拟-模拟计算'!V586," ")</f>
        <v xml:space="preserve"> </v>
      </c>
      <c r="H561" s="52" t="str">
        <f>IF(AND(INT('模拟-模拟计算'!B586)&lt;='模拟-模拟计算'!$C$2,'模拟-模拟计算'!B586&gt;0),'模拟-模拟计算'!Y586," ")</f>
        <v xml:space="preserve"> </v>
      </c>
      <c r="I561" s="105" t="str">
        <f>IF(AND(INT('模拟-模拟计算'!B586)&lt;='模拟-模拟计算'!$C$2,'模拟-模拟计算'!B586&gt;0),'模拟-模拟计算'!AA586," ")</f>
        <v xml:space="preserve"> </v>
      </c>
    </row>
    <row r="562" spans="1:9" x14ac:dyDescent="0.2">
      <c r="A562" s="20">
        <f>INT('模拟-模拟计算'!B587+0.5)</f>
        <v>517</v>
      </c>
      <c r="B562" s="52" t="str">
        <f>IF(AND(INT('模拟-模拟计算'!B587)&lt;='模拟-模拟计算'!$C$2,'模拟-模拟计算'!B587&gt;0),'模拟-模拟计算'!B587," ")</f>
        <v xml:space="preserve"> </v>
      </c>
      <c r="C562" s="51" t="str">
        <f>IF(AND(INT('模拟-模拟计算'!B587)&lt;='模拟-模拟计算'!$C$2,'模拟-模拟计算'!B587&gt;0),'模拟-模拟计算'!C587," ")</f>
        <v xml:space="preserve"> </v>
      </c>
      <c r="D562" s="104" t="str">
        <f>IF(AND(INT('模拟-模拟计算'!B587)&lt;='模拟-模拟计算'!$C$2,'模拟-模拟计算'!B587&gt;0),'模拟-模拟计算'!E587," ")</f>
        <v xml:space="preserve"> </v>
      </c>
      <c r="E562" s="104" t="str">
        <f>IF(AND(INT('模拟-模拟计算'!B587)&lt;='模拟-模拟计算'!$C$2,'模拟-模拟计算'!B587&gt;0),'模拟-模拟计算'!F587," ")</f>
        <v xml:space="preserve"> </v>
      </c>
      <c r="F562" s="51" t="str">
        <f>IF(AND(INT('模拟-模拟计算'!B587)&lt;='模拟-模拟计算'!$C$2,'模拟-模拟计算'!B587&gt;0),'模拟-模拟计算'!P587," ")</f>
        <v xml:space="preserve"> </v>
      </c>
      <c r="G562" s="52" t="str">
        <f>IF(AND(INT('模拟-模拟计算'!B587)&lt;='模拟-模拟计算'!$C$2,'模拟-模拟计算'!B587&gt;0),'模拟-模拟计算'!V587," ")</f>
        <v xml:space="preserve"> </v>
      </c>
      <c r="H562" s="52" t="str">
        <f>IF(AND(INT('模拟-模拟计算'!B587)&lt;='模拟-模拟计算'!$C$2,'模拟-模拟计算'!B587&gt;0),'模拟-模拟计算'!Y587," ")</f>
        <v xml:space="preserve"> </v>
      </c>
      <c r="I562" s="105" t="str">
        <f>IF(AND(INT('模拟-模拟计算'!B587)&lt;='模拟-模拟计算'!$C$2,'模拟-模拟计算'!B587&gt;0),'模拟-模拟计算'!AA587," ")</f>
        <v xml:space="preserve"> </v>
      </c>
    </row>
    <row r="563" spans="1:9" x14ac:dyDescent="0.2">
      <c r="A563" s="20">
        <f>INT('模拟-模拟计算'!B588+0.5)</f>
        <v>518</v>
      </c>
      <c r="B563" s="52" t="str">
        <f>IF(AND(INT('模拟-模拟计算'!B588)&lt;='模拟-模拟计算'!$C$2,'模拟-模拟计算'!B588&gt;0),'模拟-模拟计算'!B588," ")</f>
        <v xml:space="preserve"> </v>
      </c>
      <c r="C563" s="51" t="str">
        <f>IF(AND(INT('模拟-模拟计算'!B588)&lt;='模拟-模拟计算'!$C$2,'模拟-模拟计算'!B588&gt;0),'模拟-模拟计算'!C588," ")</f>
        <v xml:space="preserve"> </v>
      </c>
      <c r="D563" s="104" t="str">
        <f>IF(AND(INT('模拟-模拟计算'!B588)&lt;='模拟-模拟计算'!$C$2,'模拟-模拟计算'!B588&gt;0),'模拟-模拟计算'!E588," ")</f>
        <v xml:space="preserve"> </v>
      </c>
      <c r="E563" s="104" t="str">
        <f>IF(AND(INT('模拟-模拟计算'!B588)&lt;='模拟-模拟计算'!$C$2,'模拟-模拟计算'!B588&gt;0),'模拟-模拟计算'!F588," ")</f>
        <v xml:space="preserve"> </v>
      </c>
      <c r="F563" s="51" t="str">
        <f>IF(AND(INT('模拟-模拟计算'!B588)&lt;='模拟-模拟计算'!$C$2,'模拟-模拟计算'!B588&gt;0),'模拟-模拟计算'!P588," ")</f>
        <v xml:space="preserve"> </v>
      </c>
      <c r="G563" s="52" t="str">
        <f>IF(AND(INT('模拟-模拟计算'!B588)&lt;='模拟-模拟计算'!$C$2,'模拟-模拟计算'!B588&gt;0),'模拟-模拟计算'!V588," ")</f>
        <v xml:space="preserve"> </v>
      </c>
      <c r="H563" s="52" t="str">
        <f>IF(AND(INT('模拟-模拟计算'!B588)&lt;='模拟-模拟计算'!$C$2,'模拟-模拟计算'!B588&gt;0),'模拟-模拟计算'!Y588," ")</f>
        <v xml:space="preserve"> </v>
      </c>
      <c r="I563" s="105" t="str">
        <f>IF(AND(INT('模拟-模拟计算'!B588)&lt;='模拟-模拟计算'!$C$2,'模拟-模拟计算'!B588&gt;0),'模拟-模拟计算'!AA588," ")</f>
        <v xml:space="preserve"> </v>
      </c>
    </row>
    <row r="564" spans="1:9" x14ac:dyDescent="0.2">
      <c r="A564" s="20">
        <f>INT('模拟-模拟计算'!B589+0.5)</f>
        <v>518</v>
      </c>
      <c r="B564" s="52" t="str">
        <f>IF(AND(INT('模拟-模拟计算'!B589)&lt;='模拟-模拟计算'!$C$2,'模拟-模拟计算'!B589&gt;0),'模拟-模拟计算'!B589," ")</f>
        <v xml:space="preserve"> </v>
      </c>
      <c r="C564" s="51" t="str">
        <f>IF(AND(INT('模拟-模拟计算'!B589)&lt;='模拟-模拟计算'!$C$2,'模拟-模拟计算'!B589&gt;0),'模拟-模拟计算'!C589," ")</f>
        <v xml:space="preserve"> </v>
      </c>
      <c r="D564" s="104" t="str">
        <f>IF(AND(INT('模拟-模拟计算'!B589)&lt;='模拟-模拟计算'!$C$2,'模拟-模拟计算'!B589&gt;0),'模拟-模拟计算'!E589," ")</f>
        <v xml:space="preserve"> </v>
      </c>
      <c r="E564" s="104" t="str">
        <f>IF(AND(INT('模拟-模拟计算'!B589)&lt;='模拟-模拟计算'!$C$2,'模拟-模拟计算'!B589&gt;0),'模拟-模拟计算'!F589," ")</f>
        <v xml:space="preserve"> </v>
      </c>
      <c r="F564" s="51" t="str">
        <f>IF(AND(INT('模拟-模拟计算'!B589)&lt;='模拟-模拟计算'!$C$2,'模拟-模拟计算'!B589&gt;0),'模拟-模拟计算'!P589," ")</f>
        <v xml:space="preserve"> </v>
      </c>
      <c r="G564" s="52" t="str">
        <f>IF(AND(INT('模拟-模拟计算'!B589)&lt;='模拟-模拟计算'!$C$2,'模拟-模拟计算'!B589&gt;0),'模拟-模拟计算'!V589," ")</f>
        <v xml:space="preserve"> </v>
      </c>
      <c r="H564" s="52" t="str">
        <f>IF(AND(INT('模拟-模拟计算'!B589)&lt;='模拟-模拟计算'!$C$2,'模拟-模拟计算'!B589&gt;0),'模拟-模拟计算'!Y589," ")</f>
        <v xml:space="preserve"> </v>
      </c>
      <c r="I564" s="105" t="str">
        <f>IF(AND(INT('模拟-模拟计算'!B589)&lt;='模拟-模拟计算'!$C$2,'模拟-模拟计算'!B589&gt;0),'模拟-模拟计算'!AA589," ")</f>
        <v xml:space="preserve"> </v>
      </c>
    </row>
    <row r="565" spans="1:9" x14ac:dyDescent="0.2">
      <c r="A565" s="20">
        <f>INT('模拟-模拟计算'!B590+0.5)</f>
        <v>519</v>
      </c>
      <c r="B565" s="52" t="str">
        <f>IF(AND(INT('模拟-模拟计算'!B590)&lt;='模拟-模拟计算'!$C$2,'模拟-模拟计算'!B590&gt;0),'模拟-模拟计算'!B590," ")</f>
        <v xml:space="preserve"> </v>
      </c>
      <c r="C565" s="51" t="str">
        <f>IF(AND(INT('模拟-模拟计算'!B590)&lt;='模拟-模拟计算'!$C$2,'模拟-模拟计算'!B590&gt;0),'模拟-模拟计算'!C590," ")</f>
        <v xml:space="preserve"> </v>
      </c>
      <c r="D565" s="104" t="str">
        <f>IF(AND(INT('模拟-模拟计算'!B590)&lt;='模拟-模拟计算'!$C$2,'模拟-模拟计算'!B590&gt;0),'模拟-模拟计算'!E590," ")</f>
        <v xml:space="preserve"> </v>
      </c>
      <c r="E565" s="104" t="str">
        <f>IF(AND(INT('模拟-模拟计算'!B590)&lt;='模拟-模拟计算'!$C$2,'模拟-模拟计算'!B590&gt;0),'模拟-模拟计算'!F590," ")</f>
        <v xml:space="preserve"> </v>
      </c>
      <c r="F565" s="51" t="str">
        <f>IF(AND(INT('模拟-模拟计算'!B590)&lt;='模拟-模拟计算'!$C$2,'模拟-模拟计算'!B590&gt;0),'模拟-模拟计算'!P590," ")</f>
        <v xml:space="preserve"> </v>
      </c>
      <c r="G565" s="52" t="str">
        <f>IF(AND(INT('模拟-模拟计算'!B590)&lt;='模拟-模拟计算'!$C$2,'模拟-模拟计算'!B590&gt;0),'模拟-模拟计算'!V590," ")</f>
        <v xml:space="preserve"> </v>
      </c>
      <c r="H565" s="52" t="str">
        <f>IF(AND(INT('模拟-模拟计算'!B590)&lt;='模拟-模拟计算'!$C$2,'模拟-模拟计算'!B590&gt;0),'模拟-模拟计算'!Y590," ")</f>
        <v xml:space="preserve"> </v>
      </c>
      <c r="I565" s="105" t="str">
        <f>IF(AND(INT('模拟-模拟计算'!B590)&lt;='模拟-模拟计算'!$C$2,'模拟-模拟计算'!B590&gt;0),'模拟-模拟计算'!AA590," ")</f>
        <v xml:space="preserve"> </v>
      </c>
    </row>
    <row r="566" spans="1:9" x14ac:dyDescent="0.2">
      <c r="A566" s="20">
        <f>INT('模拟-模拟计算'!B591+0.5)</f>
        <v>520</v>
      </c>
      <c r="B566" s="52" t="str">
        <f>IF(AND(INT('模拟-模拟计算'!B591)&lt;='模拟-模拟计算'!$C$2,'模拟-模拟计算'!B591&gt;0),'模拟-模拟计算'!B591," ")</f>
        <v xml:space="preserve"> </v>
      </c>
      <c r="C566" s="51" t="str">
        <f>IF(AND(INT('模拟-模拟计算'!B591)&lt;='模拟-模拟计算'!$C$2,'模拟-模拟计算'!B591&gt;0),'模拟-模拟计算'!C591," ")</f>
        <v xml:space="preserve"> </v>
      </c>
      <c r="D566" s="104" t="str">
        <f>IF(AND(INT('模拟-模拟计算'!B591)&lt;='模拟-模拟计算'!$C$2,'模拟-模拟计算'!B591&gt;0),'模拟-模拟计算'!E591," ")</f>
        <v xml:space="preserve"> </v>
      </c>
      <c r="E566" s="104" t="str">
        <f>IF(AND(INT('模拟-模拟计算'!B591)&lt;='模拟-模拟计算'!$C$2,'模拟-模拟计算'!B591&gt;0),'模拟-模拟计算'!F591," ")</f>
        <v xml:space="preserve"> </v>
      </c>
      <c r="F566" s="51" t="str">
        <f>IF(AND(INT('模拟-模拟计算'!B591)&lt;='模拟-模拟计算'!$C$2,'模拟-模拟计算'!B591&gt;0),'模拟-模拟计算'!P591," ")</f>
        <v xml:space="preserve"> </v>
      </c>
      <c r="G566" s="52" t="str">
        <f>IF(AND(INT('模拟-模拟计算'!B591)&lt;='模拟-模拟计算'!$C$2,'模拟-模拟计算'!B591&gt;0),'模拟-模拟计算'!V591," ")</f>
        <v xml:space="preserve"> </v>
      </c>
      <c r="H566" s="52" t="str">
        <f>IF(AND(INT('模拟-模拟计算'!B591)&lt;='模拟-模拟计算'!$C$2,'模拟-模拟计算'!B591&gt;0),'模拟-模拟计算'!Y591," ")</f>
        <v xml:space="preserve"> </v>
      </c>
      <c r="I566" s="105" t="str">
        <f>IF(AND(INT('模拟-模拟计算'!B591)&lt;='模拟-模拟计算'!$C$2,'模拟-模拟计算'!B591&gt;0),'模拟-模拟计算'!AA591," ")</f>
        <v xml:space="preserve"> </v>
      </c>
    </row>
    <row r="567" spans="1:9" x14ac:dyDescent="0.2">
      <c r="A567" s="20">
        <f>INT('模拟-模拟计算'!B592+0.5)</f>
        <v>521</v>
      </c>
      <c r="B567" s="52" t="str">
        <f>IF(AND(INT('模拟-模拟计算'!B592)&lt;='模拟-模拟计算'!$C$2,'模拟-模拟计算'!B592&gt;0),'模拟-模拟计算'!B592," ")</f>
        <v xml:space="preserve"> </v>
      </c>
      <c r="C567" s="51" t="str">
        <f>IF(AND(INT('模拟-模拟计算'!B592)&lt;='模拟-模拟计算'!$C$2,'模拟-模拟计算'!B592&gt;0),'模拟-模拟计算'!C592," ")</f>
        <v xml:space="preserve"> </v>
      </c>
      <c r="D567" s="104" t="str">
        <f>IF(AND(INT('模拟-模拟计算'!B592)&lt;='模拟-模拟计算'!$C$2,'模拟-模拟计算'!B592&gt;0),'模拟-模拟计算'!E592," ")</f>
        <v xml:space="preserve"> </v>
      </c>
      <c r="E567" s="104" t="str">
        <f>IF(AND(INT('模拟-模拟计算'!B592)&lt;='模拟-模拟计算'!$C$2,'模拟-模拟计算'!B592&gt;0),'模拟-模拟计算'!F592," ")</f>
        <v xml:space="preserve"> </v>
      </c>
      <c r="F567" s="51" t="str">
        <f>IF(AND(INT('模拟-模拟计算'!B592)&lt;='模拟-模拟计算'!$C$2,'模拟-模拟计算'!B592&gt;0),'模拟-模拟计算'!P592," ")</f>
        <v xml:space="preserve"> </v>
      </c>
      <c r="G567" s="52" t="str">
        <f>IF(AND(INT('模拟-模拟计算'!B592)&lt;='模拟-模拟计算'!$C$2,'模拟-模拟计算'!B592&gt;0),'模拟-模拟计算'!V592," ")</f>
        <v xml:space="preserve"> </v>
      </c>
      <c r="H567" s="52" t="str">
        <f>IF(AND(INT('模拟-模拟计算'!B592)&lt;='模拟-模拟计算'!$C$2,'模拟-模拟计算'!B592&gt;0),'模拟-模拟计算'!Y592," ")</f>
        <v xml:space="preserve"> </v>
      </c>
      <c r="I567" s="105" t="str">
        <f>IF(AND(INT('模拟-模拟计算'!B592)&lt;='模拟-模拟计算'!$C$2,'模拟-模拟计算'!B592&gt;0),'模拟-模拟计算'!AA592," ")</f>
        <v xml:space="preserve"> </v>
      </c>
    </row>
    <row r="568" spans="1:9" x14ac:dyDescent="0.2">
      <c r="A568" s="20">
        <f>INT('模拟-模拟计算'!B593+0.5)</f>
        <v>522</v>
      </c>
      <c r="B568" s="52" t="str">
        <f>IF(AND(INT('模拟-模拟计算'!B593)&lt;='模拟-模拟计算'!$C$2,'模拟-模拟计算'!B593&gt;0),'模拟-模拟计算'!B593," ")</f>
        <v xml:space="preserve"> </v>
      </c>
      <c r="C568" s="51" t="str">
        <f>IF(AND(INT('模拟-模拟计算'!B593)&lt;='模拟-模拟计算'!$C$2,'模拟-模拟计算'!B593&gt;0),'模拟-模拟计算'!C593," ")</f>
        <v xml:space="preserve"> </v>
      </c>
      <c r="D568" s="104" t="str">
        <f>IF(AND(INT('模拟-模拟计算'!B593)&lt;='模拟-模拟计算'!$C$2,'模拟-模拟计算'!B593&gt;0),'模拟-模拟计算'!E593," ")</f>
        <v xml:space="preserve"> </v>
      </c>
      <c r="E568" s="104" t="str">
        <f>IF(AND(INT('模拟-模拟计算'!B593)&lt;='模拟-模拟计算'!$C$2,'模拟-模拟计算'!B593&gt;0),'模拟-模拟计算'!F593," ")</f>
        <v xml:space="preserve"> </v>
      </c>
      <c r="F568" s="51" t="str">
        <f>IF(AND(INT('模拟-模拟计算'!B593)&lt;='模拟-模拟计算'!$C$2,'模拟-模拟计算'!B593&gt;0),'模拟-模拟计算'!P593," ")</f>
        <v xml:space="preserve"> </v>
      </c>
      <c r="G568" s="52" t="str">
        <f>IF(AND(INT('模拟-模拟计算'!B593)&lt;='模拟-模拟计算'!$C$2,'模拟-模拟计算'!B593&gt;0),'模拟-模拟计算'!V593," ")</f>
        <v xml:space="preserve"> </v>
      </c>
      <c r="H568" s="52" t="str">
        <f>IF(AND(INT('模拟-模拟计算'!B593)&lt;='模拟-模拟计算'!$C$2,'模拟-模拟计算'!B593&gt;0),'模拟-模拟计算'!Y593," ")</f>
        <v xml:space="preserve"> </v>
      </c>
      <c r="I568" s="105" t="str">
        <f>IF(AND(INT('模拟-模拟计算'!B593)&lt;='模拟-模拟计算'!$C$2,'模拟-模拟计算'!B593&gt;0),'模拟-模拟计算'!AA593," ")</f>
        <v xml:space="preserve"> </v>
      </c>
    </row>
    <row r="569" spans="1:9" x14ac:dyDescent="0.2">
      <c r="A569" s="20">
        <f>INT('模拟-模拟计算'!B594+0.5)</f>
        <v>523</v>
      </c>
      <c r="B569" s="52" t="str">
        <f>IF(AND(INT('模拟-模拟计算'!B594)&lt;='模拟-模拟计算'!$C$2,'模拟-模拟计算'!B594&gt;0),'模拟-模拟计算'!B594," ")</f>
        <v xml:space="preserve"> </v>
      </c>
      <c r="C569" s="51" t="str">
        <f>IF(AND(INT('模拟-模拟计算'!B594)&lt;='模拟-模拟计算'!$C$2,'模拟-模拟计算'!B594&gt;0),'模拟-模拟计算'!C594," ")</f>
        <v xml:space="preserve"> </v>
      </c>
      <c r="D569" s="104" t="str">
        <f>IF(AND(INT('模拟-模拟计算'!B594)&lt;='模拟-模拟计算'!$C$2,'模拟-模拟计算'!B594&gt;0),'模拟-模拟计算'!E594," ")</f>
        <v xml:space="preserve"> </v>
      </c>
      <c r="E569" s="104" t="str">
        <f>IF(AND(INT('模拟-模拟计算'!B594)&lt;='模拟-模拟计算'!$C$2,'模拟-模拟计算'!B594&gt;0),'模拟-模拟计算'!F594," ")</f>
        <v xml:space="preserve"> </v>
      </c>
      <c r="F569" s="51" t="str">
        <f>IF(AND(INT('模拟-模拟计算'!B594)&lt;='模拟-模拟计算'!$C$2,'模拟-模拟计算'!B594&gt;0),'模拟-模拟计算'!P594," ")</f>
        <v xml:space="preserve"> </v>
      </c>
      <c r="G569" s="52" t="str">
        <f>IF(AND(INT('模拟-模拟计算'!B594)&lt;='模拟-模拟计算'!$C$2,'模拟-模拟计算'!B594&gt;0),'模拟-模拟计算'!V594," ")</f>
        <v xml:space="preserve"> </v>
      </c>
      <c r="H569" s="52" t="str">
        <f>IF(AND(INT('模拟-模拟计算'!B594)&lt;='模拟-模拟计算'!$C$2,'模拟-模拟计算'!B594&gt;0),'模拟-模拟计算'!Y594," ")</f>
        <v xml:space="preserve"> </v>
      </c>
      <c r="I569" s="105" t="str">
        <f>IF(AND(INT('模拟-模拟计算'!B594)&lt;='模拟-模拟计算'!$C$2,'模拟-模拟计算'!B594&gt;0),'模拟-模拟计算'!AA594," ")</f>
        <v xml:space="preserve"> </v>
      </c>
    </row>
    <row r="570" spans="1:9" x14ac:dyDescent="0.2">
      <c r="A570" s="20">
        <f>INT('模拟-模拟计算'!B595+0.5)</f>
        <v>524</v>
      </c>
      <c r="B570" s="52" t="str">
        <f>IF(AND(INT('模拟-模拟计算'!B595)&lt;='模拟-模拟计算'!$C$2,'模拟-模拟计算'!B595&gt;0),'模拟-模拟计算'!B595," ")</f>
        <v xml:space="preserve"> </v>
      </c>
      <c r="C570" s="51" t="str">
        <f>IF(AND(INT('模拟-模拟计算'!B595)&lt;='模拟-模拟计算'!$C$2,'模拟-模拟计算'!B595&gt;0),'模拟-模拟计算'!C595," ")</f>
        <v xml:space="preserve"> </v>
      </c>
      <c r="D570" s="104" t="str">
        <f>IF(AND(INT('模拟-模拟计算'!B595)&lt;='模拟-模拟计算'!$C$2,'模拟-模拟计算'!B595&gt;0),'模拟-模拟计算'!E595," ")</f>
        <v xml:space="preserve"> </v>
      </c>
      <c r="E570" s="104" t="str">
        <f>IF(AND(INT('模拟-模拟计算'!B595)&lt;='模拟-模拟计算'!$C$2,'模拟-模拟计算'!B595&gt;0),'模拟-模拟计算'!F595," ")</f>
        <v xml:space="preserve"> </v>
      </c>
      <c r="F570" s="51" t="str">
        <f>IF(AND(INT('模拟-模拟计算'!B595)&lt;='模拟-模拟计算'!$C$2,'模拟-模拟计算'!B595&gt;0),'模拟-模拟计算'!P595," ")</f>
        <v xml:space="preserve"> </v>
      </c>
      <c r="G570" s="52" t="str">
        <f>IF(AND(INT('模拟-模拟计算'!B595)&lt;='模拟-模拟计算'!$C$2,'模拟-模拟计算'!B595&gt;0),'模拟-模拟计算'!V595," ")</f>
        <v xml:space="preserve"> </v>
      </c>
      <c r="H570" s="52" t="str">
        <f>IF(AND(INT('模拟-模拟计算'!B595)&lt;='模拟-模拟计算'!$C$2,'模拟-模拟计算'!B595&gt;0),'模拟-模拟计算'!Y595," ")</f>
        <v xml:space="preserve"> </v>
      </c>
      <c r="I570" s="105" t="str">
        <f>IF(AND(INT('模拟-模拟计算'!B595)&lt;='模拟-模拟计算'!$C$2,'模拟-模拟计算'!B595&gt;0),'模拟-模拟计算'!AA595," ")</f>
        <v xml:space="preserve"> </v>
      </c>
    </row>
    <row r="571" spans="1:9" x14ac:dyDescent="0.2">
      <c r="A571" s="20">
        <f>INT('模拟-模拟计算'!B596+0.5)</f>
        <v>525</v>
      </c>
      <c r="B571" s="52" t="str">
        <f>IF(AND(INT('模拟-模拟计算'!B596)&lt;='模拟-模拟计算'!$C$2,'模拟-模拟计算'!B596&gt;0),'模拟-模拟计算'!B596," ")</f>
        <v xml:space="preserve"> </v>
      </c>
      <c r="C571" s="51" t="str">
        <f>IF(AND(INT('模拟-模拟计算'!B596)&lt;='模拟-模拟计算'!$C$2,'模拟-模拟计算'!B596&gt;0),'模拟-模拟计算'!C596," ")</f>
        <v xml:space="preserve"> </v>
      </c>
      <c r="D571" s="104" t="str">
        <f>IF(AND(INT('模拟-模拟计算'!B596)&lt;='模拟-模拟计算'!$C$2,'模拟-模拟计算'!B596&gt;0),'模拟-模拟计算'!E596," ")</f>
        <v xml:space="preserve"> </v>
      </c>
      <c r="E571" s="104" t="str">
        <f>IF(AND(INT('模拟-模拟计算'!B596)&lt;='模拟-模拟计算'!$C$2,'模拟-模拟计算'!B596&gt;0),'模拟-模拟计算'!F596," ")</f>
        <v xml:space="preserve"> </v>
      </c>
      <c r="F571" s="51" t="str">
        <f>IF(AND(INT('模拟-模拟计算'!B596)&lt;='模拟-模拟计算'!$C$2,'模拟-模拟计算'!B596&gt;0),'模拟-模拟计算'!P596," ")</f>
        <v xml:space="preserve"> </v>
      </c>
      <c r="G571" s="52" t="str">
        <f>IF(AND(INT('模拟-模拟计算'!B596)&lt;='模拟-模拟计算'!$C$2,'模拟-模拟计算'!B596&gt;0),'模拟-模拟计算'!V596," ")</f>
        <v xml:space="preserve"> </v>
      </c>
      <c r="H571" s="52" t="str">
        <f>IF(AND(INT('模拟-模拟计算'!B596)&lt;='模拟-模拟计算'!$C$2,'模拟-模拟计算'!B596&gt;0),'模拟-模拟计算'!Y596," ")</f>
        <v xml:space="preserve"> </v>
      </c>
      <c r="I571" s="105" t="str">
        <f>IF(AND(INT('模拟-模拟计算'!B596)&lt;='模拟-模拟计算'!$C$2,'模拟-模拟计算'!B596&gt;0),'模拟-模拟计算'!AA596," ")</f>
        <v xml:space="preserve"> </v>
      </c>
    </row>
    <row r="572" spans="1:9" x14ac:dyDescent="0.2">
      <c r="A572" s="20">
        <f>INT('模拟-模拟计算'!B597+0.5)</f>
        <v>526</v>
      </c>
      <c r="B572" s="52" t="str">
        <f>IF(AND(INT('模拟-模拟计算'!B597)&lt;='模拟-模拟计算'!$C$2,'模拟-模拟计算'!B597&gt;0),'模拟-模拟计算'!B597," ")</f>
        <v xml:space="preserve"> </v>
      </c>
      <c r="C572" s="51" t="str">
        <f>IF(AND(INT('模拟-模拟计算'!B597)&lt;='模拟-模拟计算'!$C$2,'模拟-模拟计算'!B597&gt;0),'模拟-模拟计算'!C597," ")</f>
        <v xml:space="preserve"> </v>
      </c>
      <c r="D572" s="104" t="str">
        <f>IF(AND(INT('模拟-模拟计算'!B597)&lt;='模拟-模拟计算'!$C$2,'模拟-模拟计算'!B597&gt;0),'模拟-模拟计算'!E597," ")</f>
        <v xml:space="preserve"> </v>
      </c>
      <c r="E572" s="104" t="str">
        <f>IF(AND(INT('模拟-模拟计算'!B597)&lt;='模拟-模拟计算'!$C$2,'模拟-模拟计算'!B597&gt;0),'模拟-模拟计算'!F597," ")</f>
        <v xml:space="preserve"> </v>
      </c>
      <c r="F572" s="51" t="str">
        <f>IF(AND(INT('模拟-模拟计算'!B597)&lt;='模拟-模拟计算'!$C$2,'模拟-模拟计算'!B597&gt;0),'模拟-模拟计算'!P597," ")</f>
        <v xml:space="preserve"> </v>
      </c>
      <c r="G572" s="52" t="str">
        <f>IF(AND(INT('模拟-模拟计算'!B597)&lt;='模拟-模拟计算'!$C$2,'模拟-模拟计算'!B597&gt;0),'模拟-模拟计算'!V597," ")</f>
        <v xml:space="preserve"> </v>
      </c>
      <c r="H572" s="52" t="str">
        <f>IF(AND(INT('模拟-模拟计算'!B597)&lt;='模拟-模拟计算'!$C$2,'模拟-模拟计算'!B597&gt;0),'模拟-模拟计算'!Y597," ")</f>
        <v xml:space="preserve"> </v>
      </c>
      <c r="I572" s="105" t="str">
        <f>IF(AND(INT('模拟-模拟计算'!B597)&lt;='模拟-模拟计算'!$C$2,'模拟-模拟计算'!B597&gt;0),'模拟-模拟计算'!AA597," ")</f>
        <v xml:space="preserve"> </v>
      </c>
    </row>
    <row r="573" spans="1:9" x14ac:dyDescent="0.2">
      <c r="A573" s="20">
        <f>INT('模拟-模拟计算'!B598+0.5)</f>
        <v>527</v>
      </c>
      <c r="B573" s="52" t="str">
        <f>IF(AND(INT('模拟-模拟计算'!B598)&lt;='模拟-模拟计算'!$C$2,'模拟-模拟计算'!B598&gt;0),'模拟-模拟计算'!B598," ")</f>
        <v xml:space="preserve"> </v>
      </c>
      <c r="C573" s="51" t="str">
        <f>IF(AND(INT('模拟-模拟计算'!B598)&lt;='模拟-模拟计算'!$C$2,'模拟-模拟计算'!B598&gt;0),'模拟-模拟计算'!C598," ")</f>
        <v xml:space="preserve"> </v>
      </c>
      <c r="D573" s="104" t="str">
        <f>IF(AND(INT('模拟-模拟计算'!B598)&lt;='模拟-模拟计算'!$C$2,'模拟-模拟计算'!B598&gt;0),'模拟-模拟计算'!E598," ")</f>
        <v xml:space="preserve"> </v>
      </c>
      <c r="E573" s="104" t="str">
        <f>IF(AND(INT('模拟-模拟计算'!B598)&lt;='模拟-模拟计算'!$C$2,'模拟-模拟计算'!B598&gt;0),'模拟-模拟计算'!F598," ")</f>
        <v xml:space="preserve"> </v>
      </c>
      <c r="F573" s="51" t="str">
        <f>IF(AND(INT('模拟-模拟计算'!B598)&lt;='模拟-模拟计算'!$C$2,'模拟-模拟计算'!B598&gt;0),'模拟-模拟计算'!P598," ")</f>
        <v xml:space="preserve"> </v>
      </c>
      <c r="G573" s="52" t="str">
        <f>IF(AND(INT('模拟-模拟计算'!B598)&lt;='模拟-模拟计算'!$C$2,'模拟-模拟计算'!B598&gt;0),'模拟-模拟计算'!V598," ")</f>
        <v xml:space="preserve"> </v>
      </c>
      <c r="H573" s="52" t="str">
        <f>IF(AND(INT('模拟-模拟计算'!B598)&lt;='模拟-模拟计算'!$C$2,'模拟-模拟计算'!B598&gt;0),'模拟-模拟计算'!Y598," ")</f>
        <v xml:space="preserve"> </v>
      </c>
      <c r="I573" s="105" t="str">
        <f>IF(AND(INT('模拟-模拟计算'!B598)&lt;='模拟-模拟计算'!$C$2,'模拟-模拟计算'!B598&gt;0),'模拟-模拟计算'!AA598," ")</f>
        <v xml:space="preserve"> </v>
      </c>
    </row>
    <row r="574" spans="1:9" x14ac:dyDescent="0.2">
      <c r="A574" s="20">
        <f>INT('模拟-模拟计算'!B599+0.5)</f>
        <v>528</v>
      </c>
      <c r="B574" s="52" t="str">
        <f>IF(AND(INT('模拟-模拟计算'!B599)&lt;='模拟-模拟计算'!$C$2,'模拟-模拟计算'!B599&gt;0),'模拟-模拟计算'!B599," ")</f>
        <v xml:space="preserve"> </v>
      </c>
      <c r="C574" s="51" t="str">
        <f>IF(AND(INT('模拟-模拟计算'!B599)&lt;='模拟-模拟计算'!$C$2,'模拟-模拟计算'!B599&gt;0),'模拟-模拟计算'!C599," ")</f>
        <v xml:space="preserve"> </v>
      </c>
      <c r="D574" s="104" t="str">
        <f>IF(AND(INT('模拟-模拟计算'!B599)&lt;='模拟-模拟计算'!$C$2,'模拟-模拟计算'!B599&gt;0),'模拟-模拟计算'!E599," ")</f>
        <v xml:space="preserve"> </v>
      </c>
      <c r="E574" s="104" t="str">
        <f>IF(AND(INT('模拟-模拟计算'!B599)&lt;='模拟-模拟计算'!$C$2,'模拟-模拟计算'!B599&gt;0),'模拟-模拟计算'!F599," ")</f>
        <v xml:space="preserve"> </v>
      </c>
      <c r="F574" s="51" t="str">
        <f>IF(AND(INT('模拟-模拟计算'!B599)&lt;='模拟-模拟计算'!$C$2,'模拟-模拟计算'!B599&gt;0),'模拟-模拟计算'!P599," ")</f>
        <v xml:space="preserve"> </v>
      </c>
      <c r="G574" s="52" t="str">
        <f>IF(AND(INT('模拟-模拟计算'!B599)&lt;='模拟-模拟计算'!$C$2,'模拟-模拟计算'!B599&gt;0),'模拟-模拟计算'!V599," ")</f>
        <v xml:space="preserve"> </v>
      </c>
      <c r="H574" s="52" t="str">
        <f>IF(AND(INT('模拟-模拟计算'!B599)&lt;='模拟-模拟计算'!$C$2,'模拟-模拟计算'!B599&gt;0),'模拟-模拟计算'!Y599," ")</f>
        <v xml:space="preserve"> </v>
      </c>
      <c r="I574" s="105" t="str">
        <f>IF(AND(INT('模拟-模拟计算'!B599)&lt;='模拟-模拟计算'!$C$2,'模拟-模拟计算'!B599&gt;0),'模拟-模拟计算'!AA599," ")</f>
        <v xml:space="preserve"> </v>
      </c>
    </row>
    <row r="575" spans="1:9" x14ac:dyDescent="0.2">
      <c r="A575" s="20">
        <f>INT('模拟-模拟计算'!B600+0.5)</f>
        <v>529</v>
      </c>
      <c r="B575" s="52" t="str">
        <f>IF(AND(INT('模拟-模拟计算'!B600)&lt;='模拟-模拟计算'!$C$2,'模拟-模拟计算'!B600&gt;0),'模拟-模拟计算'!B600," ")</f>
        <v xml:space="preserve"> </v>
      </c>
      <c r="C575" s="51" t="str">
        <f>IF(AND(INT('模拟-模拟计算'!B600)&lt;='模拟-模拟计算'!$C$2,'模拟-模拟计算'!B600&gt;0),'模拟-模拟计算'!C600," ")</f>
        <v xml:space="preserve"> </v>
      </c>
      <c r="D575" s="104" t="str">
        <f>IF(AND(INT('模拟-模拟计算'!B600)&lt;='模拟-模拟计算'!$C$2,'模拟-模拟计算'!B600&gt;0),'模拟-模拟计算'!E600," ")</f>
        <v xml:space="preserve"> </v>
      </c>
      <c r="E575" s="104" t="str">
        <f>IF(AND(INT('模拟-模拟计算'!B600)&lt;='模拟-模拟计算'!$C$2,'模拟-模拟计算'!B600&gt;0),'模拟-模拟计算'!F600," ")</f>
        <v xml:space="preserve"> </v>
      </c>
      <c r="F575" s="51" t="str">
        <f>IF(AND(INT('模拟-模拟计算'!B600)&lt;='模拟-模拟计算'!$C$2,'模拟-模拟计算'!B600&gt;0),'模拟-模拟计算'!P600," ")</f>
        <v xml:space="preserve"> </v>
      </c>
      <c r="G575" s="52" t="str">
        <f>IF(AND(INT('模拟-模拟计算'!B600)&lt;='模拟-模拟计算'!$C$2,'模拟-模拟计算'!B600&gt;0),'模拟-模拟计算'!V600," ")</f>
        <v xml:space="preserve"> </v>
      </c>
      <c r="H575" s="52" t="str">
        <f>IF(AND(INT('模拟-模拟计算'!B600)&lt;='模拟-模拟计算'!$C$2,'模拟-模拟计算'!B600&gt;0),'模拟-模拟计算'!Y600," ")</f>
        <v xml:space="preserve"> </v>
      </c>
      <c r="I575" s="105" t="str">
        <f>IF(AND(INT('模拟-模拟计算'!B600)&lt;='模拟-模拟计算'!$C$2,'模拟-模拟计算'!B600&gt;0),'模拟-模拟计算'!AA600," ")</f>
        <v xml:space="preserve"> </v>
      </c>
    </row>
    <row r="576" spans="1:9" x14ac:dyDescent="0.2">
      <c r="A576" s="20">
        <f>INT('模拟-模拟计算'!B601+0.5)</f>
        <v>530</v>
      </c>
      <c r="B576" s="52" t="str">
        <f>IF(AND(INT('模拟-模拟计算'!B601)&lt;='模拟-模拟计算'!$C$2,'模拟-模拟计算'!B601&gt;0),'模拟-模拟计算'!B601," ")</f>
        <v xml:space="preserve"> </v>
      </c>
      <c r="C576" s="51" t="str">
        <f>IF(AND(INT('模拟-模拟计算'!B601)&lt;='模拟-模拟计算'!$C$2,'模拟-模拟计算'!B601&gt;0),'模拟-模拟计算'!C601," ")</f>
        <v xml:space="preserve"> </v>
      </c>
      <c r="D576" s="104" t="str">
        <f>IF(AND(INT('模拟-模拟计算'!B601)&lt;='模拟-模拟计算'!$C$2,'模拟-模拟计算'!B601&gt;0),'模拟-模拟计算'!E601," ")</f>
        <v xml:space="preserve"> </v>
      </c>
      <c r="E576" s="104" t="str">
        <f>IF(AND(INT('模拟-模拟计算'!B601)&lt;='模拟-模拟计算'!$C$2,'模拟-模拟计算'!B601&gt;0),'模拟-模拟计算'!F601," ")</f>
        <v xml:space="preserve"> </v>
      </c>
      <c r="F576" s="51" t="str">
        <f>IF(AND(INT('模拟-模拟计算'!B601)&lt;='模拟-模拟计算'!$C$2,'模拟-模拟计算'!B601&gt;0),'模拟-模拟计算'!P601," ")</f>
        <v xml:space="preserve"> </v>
      </c>
      <c r="G576" s="52" t="str">
        <f>IF(AND(INT('模拟-模拟计算'!B601)&lt;='模拟-模拟计算'!$C$2,'模拟-模拟计算'!B601&gt;0),'模拟-模拟计算'!V601," ")</f>
        <v xml:space="preserve"> </v>
      </c>
      <c r="H576" s="52" t="str">
        <f>IF(AND(INT('模拟-模拟计算'!B601)&lt;='模拟-模拟计算'!$C$2,'模拟-模拟计算'!B601&gt;0),'模拟-模拟计算'!Y601," ")</f>
        <v xml:space="preserve"> </v>
      </c>
      <c r="I576" s="105" t="str">
        <f>IF(AND(INT('模拟-模拟计算'!B601)&lt;='模拟-模拟计算'!$C$2,'模拟-模拟计算'!B601&gt;0),'模拟-模拟计算'!AA601," ")</f>
        <v xml:space="preserve"> </v>
      </c>
    </row>
    <row r="577" spans="1:9" x14ac:dyDescent="0.2">
      <c r="A577" s="20">
        <f>INT('模拟-模拟计算'!B602+0.5)</f>
        <v>530</v>
      </c>
      <c r="B577" s="52" t="str">
        <f>IF(AND(INT('模拟-模拟计算'!B602)&lt;='模拟-模拟计算'!$C$2,'模拟-模拟计算'!B602&gt;0),'模拟-模拟计算'!B602," ")</f>
        <v xml:space="preserve"> </v>
      </c>
      <c r="C577" s="51" t="str">
        <f>IF(AND(INT('模拟-模拟计算'!B602)&lt;='模拟-模拟计算'!$C$2,'模拟-模拟计算'!B602&gt;0),'模拟-模拟计算'!C602," ")</f>
        <v xml:space="preserve"> </v>
      </c>
      <c r="D577" s="104" t="str">
        <f>IF(AND(INT('模拟-模拟计算'!B602)&lt;='模拟-模拟计算'!$C$2,'模拟-模拟计算'!B602&gt;0),'模拟-模拟计算'!E602," ")</f>
        <v xml:space="preserve"> </v>
      </c>
      <c r="E577" s="104" t="str">
        <f>IF(AND(INT('模拟-模拟计算'!B602)&lt;='模拟-模拟计算'!$C$2,'模拟-模拟计算'!B602&gt;0),'模拟-模拟计算'!F602," ")</f>
        <v xml:space="preserve"> </v>
      </c>
      <c r="F577" s="51" t="str">
        <f>IF(AND(INT('模拟-模拟计算'!B602)&lt;='模拟-模拟计算'!$C$2,'模拟-模拟计算'!B602&gt;0),'模拟-模拟计算'!P602," ")</f>
        <v xml:space="preserve"> </v>
      </c>
      <c r="G577" s="52" t="str">
        <f>IF(AND(INT('模拟-模拟计算'!B602)&lt;='模拟-模拟计算'!$C$2,'模拟-模拟计算'!B602&gt;0),'模拟-模拟计算'!V602," ")</f>
        <v xml:space="preserve"> </v>
      </c>
      <c r="H577" s="52" t="str">
        <f>IF(AND(INT('模拟-模拟计算'!B602)&lt;='模拟-模拟计算'!$C$2,'模拟-模拟计算'!B602&gt;0),'模拟-模拟计算'!Y602," ")</f>
        <v xml:space="preserve"> </v>
      </c>
      <c r="I577" s="105" t="str">
        <f>IF(AND(INT('模拟-模拟计算'!B602)&lt;='模拟-模拟计算'!$C$2,'模拟-模拟计算'!B602&gt;0),'模拟-模拟计算'!AA602," ")</f>
        <v xml:space="preserve"> </v>
      </c>
    </row>
    <row r="578" spans="1:9" x14ac:dyDescent="0.2">
      <c r="A578" s="20">
        <f>INT('模拟-模拟计算'!B603+0.5)</f>
        <v>531</v>
      </c>
      <c r="B578" s="52" t="str">
        <f>IF(AND(INT('模拟-模拟计算'!B603)&lt;='模拟-模拟计算'!$C$2,'模拟-模拟计算'!B603&gt;0),'模拟-模拟计算'!B603," ")</f>
        <v xml:space="preserve"> </v>
      </c>
      <c r="C578" s="51" t="str">
        <f>IF(AND(INT('模拟-模拟计算'!B603)&lt;='模拟-模拟计算'!$C$2,'模拟-模拟计算'!B603&gt;0),'模拟-模拟计算'!C603," ")</f>
        <v xml:space="preserve"> </v>
      </c>
      <c r="D578" s="104" t="str">
        <f>IF(AND(INT('模拟-模拟计算'!B603)&lt;='模拟-模拟计算'!$C$2,'模拟-模拟计算'!B603&gt;0),'模拟-模拟计算'!E603," ")</f>
        <v xml:space="preserve"> </v>
      </c>
      <c r="E578" s="104" t="str">
        <f>IF(AND(INT('模拟-模拟计算'!B603)&lt;='模拟-模拟计算'!$C$2,'模拟-模拟计算'!B603&gt;0),'模拟-模拟计算'!F603," ")</f>
        <v xml:space="preserve"> </v>
      </c>
      <c r="F578" s="51" t="str">
        <f>IF(AND(INT('模拟-模拟计算'!B603)&lt;='模拟-模拟计算'!$C$2,'模拟-模拟计算'!B603&gt;0),'模拟-模拟计算'!P603," ")</f>
        <v xml:space="preserve"> </v>
      </c>
      <c r="G578" s="52" t="str">
        <f>IF(AND(INT('模拟-模拟计算'!B603)&lt;='模拟-模拟计算'!$C$2,'模拟-模拟计算'!B603&gt;0),'模拟-模拟计算'!V603," ")</f>
        <v xml:space="preserve"> </v>
      </c>
      <c r="H578" s="52" t="str">
        <f>IF(AND(INT('模拟-模拟计算'!B603)&lt;='模拟-模拟计算'!$C$2,'模拟-模拟计算'!B603&gt;0),'模拟-模拟计算'!Y603," ")</f>
        <v xml:space="preserve"> </v>
      </c>
      <c r="I578" s="105" t="str">
        <f>IF(AND(INT('模拟-模拟计算'!B603)&lt;='模拟-模拟计算'!$C$2,'模拟-模拟计算'!B603&gt;0),'模拟-模拟计算'!AA603," ")</f>
        <v xml:space="preserve"> </v>
      </c>
    </row>
    <row r="579" spans="1:9" x14ac:dyDescent="0.2">
      <c r="A579" s="20">
        <f>INT('模拟-模拟计算'!B604+0.5)</f>
        <v>532</v>
      </c>
      <c r="B579" s="52" t="str">
        <f>IF(AND(INT('模拟-模拟计算'!B604)&lt;='模拟-模拟计算'!$C$2,'模拟-模拟计算'!B604&gt;0),'模拟-模拟计算'!B604," ")</f>
        <v xml:space="preserve"> </v>
      </c>
      <c r="C579" s="51" t="str">
        <f>IF(AND(INT('模拟-模拟计算'!B604)&lt;='模拟-模拟计算'!$C$2,'模拟-模拟计算'!B604&gt;0),'模拟-模拟计算'!C604," ")</f>
        <v xml:space="preserve"> </v>
      </c>
      <c r="D579" s="104" t="str">
        <f>IF(AND(INT('模拟-模拟计算'!B604)&lt;='模拟-模拟计算'!$C$2,'模拟-模拟计算'!B604&gt;0),'模拟-模拟计算'!E604," ")</f>
        <v xml:space="preserve"> </v>
      </c>
      <c r="E579" s="104" t="str">
        <f>IF(AND(INT('模拟-模拟计算'!B604)&lt;='模拟-模拟计算'!$C$2,'模拟-模拟计算'!B604&gt;0),'模拟-模拟计算'!F604," ")</f>
        <v xml:space="preserve"> </v>
      </c>
      <c r="F579" s="51" t="str">
        <f>IF(AND(INT('模拟-模拟计算'!B604)&lt;='模拟-模拟计算'!$C$2,'模拟-模拟计算'!B604&gt;0),'模拟-模拟计算'!P604," ")</f>
        <v xml:space="preserve"> </v>
      </c>
      <c r="G579" s="52" t="str">
        <f>IF(AND(INT('模拟-模拟计算'!B604)&lt;='模拟-模拟计算'!$C$2,'模拟-模拟计算'!B604&gt;0),'模拟-模拟计算'!V604," ")</f>
        <v xml:space="preserve"> </v>
      </c>
      <c r="H579" s="52" t="str">
        <f>IF(AND(INT('模拟-模拟计算'!B604)&lt;='模拟-模拟计算'!$C$2,'模拟-模拟计算'!B604&gt;0),'模拟-模拟计算'!Y604," ")</f>
        <v xml:space="preserve"> </v>
      </c>
      <c r="I579" s="105" t="str">
        <f>IF(AND(INT('模拟-模拟计算'!B604)&lt;='模拟-模拟计算'!$C$2,'模拟-模拟计算'!B604&gt;0),'模拟-模拟计算'!AA604," ")</f>
        <v xml:space="preserve"> </v>
      </c>
    </row>
    <row r="580" spans="1:9" x14ac:dyDescent="0.2">
      <c r="A580" s="20">
        <f>INT('模拟-模拟计算'!B605+0.5)</f>
        <v>533</v>
      </c>
      <c r="B580" s="52" t="str">
        <f>IF(AND(INT('模拟-模拟计算'!B605)&lt;='模拟-模拟计算'!$C$2,'模拟-模拟计算'!B605&gt;0),'模拟-模拟计算'!B605," ")</f>
        <v xml:space="preserve"> </v>
      </c>
      <c r="C580" s="51" t="str">
        <f>IF(AND(INT('模拟-模拟计算'!B605)&lt;='模拟-模拟计算'!$C$2,'模拟-模拟计算'!B605&gt;0),'模拟-模拟计算'!C605," ")</f>
        <v xml:space="preserve"> </v>
      </c>
      <c r="D580" s="104" t="str">
        <f>IF(AND(INT('模拟-模拟计算'!B605)&lt;='模拟-模拟计算'!$C$2,'模拟-模拟计算'!B605&gt;0),'模拟-模拟计算'!E605," ")</f>
        <v xml:space="preserve"> </v>
      </c>
      <c r="E580" s="104" t="str">
        <f>IF(AND(INT('模拟-模拟计算'!B605)&lt;='模拟-模拟计算'!$C$2,'模拟-模拟计算'!B605&gt;0),'模拟-模拟计算'!F605," ")</f>
        <v xml:space="preserve"> </v>
      </c>
      <c r="F580" s="51" t="str">
        <f>IF(AND(INT('模拟-模拟计算'!B605)&lt;='模拟-模拟计算'!$C$2,'模拟-模拟计算'!B605&gt;0),'模拟-模拟计算'!P605," ")</f>
        <v xml:space="preserve"> </v>
      </c>
      <c r="G580" s="52" t="str">
        <f>IF(AND(INT('模拟-模拟计算'!B605)&lt;='模拟-模拟计算'!$C$2,'模拟-模拟计算'!B605&gt;0),'模拟-模拟计算'!V605," ")</f>
        <v xml:space="preserve"> </v>
      </c>
      <c r="H580" s="52" t="str">
        <f>IF(AND(INT('模拟-模拟计算'!B605)&lt;='模拟-模拟计算'!$C$2,'模拟-模拟计算'!B605&gt;0),'模拟-模拟计算'!Y605," ")</f>
        <v xml:space="preserve"> </v>
      </c>
      <c r="I580" s="105" t="str">
        <f>IF(AND(INT('模拟-模拟计算'!B605)&lt;='模拟-模拟计算'!$C$2,'模拟-模拟计算'!B605&gt;0),'模拟-模拟计算'!AA605," ")</f>
        <v xml:space="preserve"> </v>
      </c>
    </row>
    <row r="581" spans="1:9" x14ac:dyDescent="0.2">
      <c r="A581" s="20">
        <f>INT('模拟-模拟计算'!B606+0.5)</f>
        <v>534</v>
      </c>
      <c r="B581" s="52" t="str">
        <f>IF(AND(INT('模拟-模拟计算'!B606)&lt;='模拟-模拟计算'!$C$2,'模拟-模拟计算'!B606&gt;0),'模拟-模拟计算'!B606," ")</f>
        <v xml:space="preserve"> </v>
      </c>
      <c r="C581" s="51" t="str">
        <f>IF(AND(INT('模拟-模拟计算'!B606)&lt;='模拟-模拟计算'!$C$2,'模拟-模拟计算'!B606&gt;0),'模拟-模拟计算'!C606," ")</f>
        <v xml:space="preserve"> </v>
      </c>
      <c r="D581" s="104" t="str">
        <f>IF(AND(INT('模拟-模拟计算'!B606)&lt;='模拟-模拟计算'!$C$2,'模拟-模拟计算'!B606&gt;0),'模拟-模拟计算'!E606," ")</f>
        <v xml:space="preserve"> </v>
      </c>
      <c r="E581" s="104" t="str">
        <f>IF(AND(INT('模拟-模拟计算'!B606)&lt;='模拟-模拟计算'!$C$2,'模拟-模拟计算'!B606&gt;0),'模拟-模拟计算'!F606," ")</f>
        <v xml:space="preserve"> </v>
      </c>
      <c r="F581" s="51" t="str">
        <f>IF(AND(INT('模拟-模拟计算'!B606)&lt;='模拟-模拟计算'!$C$2,'模拟-模拟计算'!B606&gt;0),'模拟-模拟计算'!P606," ")</f>
        <v xml:space="preserve"> </v>
      </c>
      <c r="G581" s="52" t="str">
        <f>IF(AND(INT('模拟-模拟计算'!B606)&lt;='模拟-模拟计算'!$C$2,'模拟-模拟计算'!B606&gt;0),'模拟-模拟计算'!V606," ")</f>
        <v xml:space="preserve"> </v>
      </c>
      <c r="H581" s="52" t="str">
        <f>IF(AND(INT('模拟-模拟计算'!B606)&lt;='模拟-模拟计算'!$C$2,'模拟-模拟计算'!B606&gt;0),'模拟-模拟计算'!Y606," ")</f>
        <v xml:space="preserve"> </v>
      </c>
      <c r="I581" s="105" t="str">
        <f>IF(AND(INT('模拟-模拟计算'!B606)&lt;='模拟-模拟计算'!$C$2,'模拟-模拟计算'!B606&gt;0),'模拟-模拟计算'!AA606," ")</f>
        <v xml:space="preserve"> </v>
      </c>
    </row>
    <row r="582" spans="1:9" x14ac:dyDescent="0.2">
      <c r="A582" s="20">
        <f>INT('模拟-模拟计算'!B607+0.5)</f>
        <v>535</v>
      </c>
      <c r="B582" s="52" t="str">
        <f>IF(AND(INT('模拟-模拟计算'!B607)&lt;='模拟-模拟计算'!$C$2,'模拟-模拟计算'!B607&gt;0),'模拟-模拟计算'!B607," ")</f>
        <v xml:space="preserve"> </v>
      </c>
      <c r="C582" s="51" t="str">
        <f>IF(AND(INT('模拟-模拟计算'!B607)&lt;='模拟-模拟计算'!$C$2,'模拟-模拟计算'!B607&gt;0),'模拟-模拟计算'!C607," ")</f>
        <v xml:space="preserve"> </v>
      </c>
      <c r="D582" s="104" t="str">
        <f>IF(AND(INT('模拟-模拟计算'!B607)&lt;='模拟-模拟计算'!$C$2,'模拟-模拟计算'!B607&gt;0),'模拟-模拟计算'!E607," ")</f>
        <v xml:space="preserve"> </v>
      </c>
      <c r="E582" s="104" t="str">
        <f>IF(AND(INT('模拟-模拟计算'!B607)&lt;='模拟-模拟计算'!$C$2,'模拟-模拟计算'!B607&gt;0),'模拟-模拟计算'!F607," ")</f>
        <v xml:space="preserve"> </v>
      </c>
      <c r="F582" s="51" t="str">
        <f>IF(AND(INT('模拟-模拟计算'!B607)&lt;='模拟-模拟计算'!$C$2,'模拟-模拟计算'!B607&gt;0),'模拟-模拟计算'!P607," ")</f>
        <v xml:space="preserve"> </v>
      </c>
      <c r="G582" s="52" t="str">
        <f>IF(AND(INT('模拟-模拟计算'!B607)&lt;='模拟-模拟计算'!$C$2,'模拟-模拟计算'!B607&gt;0),'模拟-模拟计算'!V607," ")</f>
        <v xml:space="preserve"> </v>
      </c>
      <c r="H582" s="52" t="str">
        <f>IF(AND(INT('模拟-模拟计算'!B607)&lt;='模拟-模拟计算'!$C$2,'模拟-模拟计算'!B607&gt;0),'模拟-模拟计算'!Y607," ")</f>
        <v xml:space="preserve"> </v>
      </c>
      <c r="I582" s="105" t="str">
        <f>IF(AND(INT('模拟-模拟计算'!B607)&lt;='模拟-模拟计算'!$C$2,'模拟-模拟计算'!B607&gt;0),'模拟-模拟计算'!AA607," ")</f>
        <v xml:space="preserve"> </v>
      </c>
    </row>
    <row r="583" spans="1:9" x14ac:dyDescent="0.2">
      <c r="A583" s="20">
        <f>INT('模拟-模拟计算'!B608+0.5)</f>
        <v>536</v>
      </c>
      <c r="B583" s="52" t="str">
        <f>IF(AND(INT('模拟-模拟计算'!B608)&lt;='模拟-模拟计算'!$C$2,'模拟-模拟计算'!B608&gt;0),'模拟-模拟计算'!B608," ")</f>
        <v xml:space="preserve"> </v>
      </c>
      <c r="C583" s="51" t="str">
        <f>IF(AND(INT('模拟-模拟计算'!B608)&lt;='模拟-模拟计算'!$C$2,'模拟-模拟计算'!B608&gt;0),'模拟-模拟计算'!C608," ")</f>
        <v xml:space="preserve"> </v>
      </c>
      <c r="D583" s="104" t="str">
        <f>IF(AND(INT('模拟-模拟计算'!B608)&lt;='模拟-模拟计算'!$C$2,'模拟-模拟计算'!B608&gt;0),'模拟-模拟计算'!E608," ")</f>
        <v xml:space="preserve"> </v>
      </c>
      <c r="E583" s="104" t="str">
        <f>IF(AND(INT('模拟-模拟计算'!B608)&lt;='模拟-模拟计算'!$C$2,'模拟-模拟计算'!B608&gt;0),'模拟-模拟计算'!F608," ")</f>
        <v xml:space="preserve"> </v>
      </c>
      <c r="F583" s="51" t="str">
        <f>IF(AND(INT('模拟-模拟计算'!B608)&lt;='模拟-模拟计算'!$C$2,'模拟-模拟计算'!B608&gt;0),'模拟-模拟计算'!P608," ")</f>
        <v xml:space="preserve"> </v>
      </c>
      <c r="G583" s="52" t="str">
        <f>IF(AND(INT('模拟-模拟计算'!B608)&lt;='模拟-模拟计算'!$C$2,'模拟-模拟计算'!B608&gt;0),'模拟-模拟计算'!V608," ")</f>
        <v xml:space="preserve"> </v>
      </c>
      <c r="H583" s="52" t="str">
        <f>IF(AND(INT('模拟-模拟计算'!B608)&lt;='模拟-模拟计算'!$C$2,'模拟-模拟计算'!B608&gt;0),'模拟-模拟计算'!Y608," ")</f>
        <v xml:space="preserve"> </v>
      </c>
      <c r="I583" s="105" t="str">
        <f>IF(AND(INT('模拟-模拟计算'!B608)&lt;='模拟-模拟计算'!$C$2,'模拟-模拟计算'!B608&gt;0),'模拟-模拟计算'!AA608," ")</f>
        <v xml:space="preserve"> </v>
      </c>
    </row>
    <row r="584" spans="1:9" x14ac:dyDescent="0.2">
      <c r="A584" s="20">
        <f>INT('模拟-模拟计算'!B609+0.5)</f>
        <v>537</v>
      </c>
      <c r="B584" s="52" t="str">
        <f>IF(AND(INT('模拟-模拟计算'!B609)&lt;='模拟-模拟计算'!$C$2,'模拟-模拟计算'!B609&gt;0),'模拟-模拟计算'!B609," ")</f>
        <v xml:space="preserve"> </v>
      </c>
      <c r="C584" s="51" t="str">
        <f>IF(AND(INT('模拟-模拟计算'!B609)&lt;='模拟-模拟计算'!$C$2,'模拟-模拟计算'!B609&gt;0),'模拟-模拟计算'!C609," ")</f>
        <v xml:space="preserve"> </v>
      </c>
      <c r="D584" s="104" t="str">
        <f>IF(AND(INT('模拟-模拟计算'!B609)&lt;='模拟-模拟计算'!$C$2,'模拟-模拟计算'!B609&gt;0),'模拟-模拟计算'!E609," ")</f>
        <v xml:space="preserve"> </v>
      </c>
      <c r="E584" s="104" t="str">
        <f>IF(AND(INT('模拟-模拟计算'!B609)&lt;='模拟-模拟计算'!$C$2,'模拟-模拟计算'!B609&gt;0),'模拟-模拟计算'!F609," ")</f>
        <v xml:space="preserve"> </v>
      </c>
      <c r="F584" s="51" t="str">
        <f>IF(AND(INT('模拟-模拟计算'!B609)&lt;='模拟-模拟计算'!$C$2,'模拟-模拟计算'!B609&gt;0),'模拟-模拟计算'!P609," ")</f>
        <v xml:space="preserve"> </v>
      </c>
      <c r="G584" s="52" t="str">
        <f>IF(AND(INT('模拟-模拟计算'!B609)&lt;='模拟-模拟计算'!$C$2,'模拟-模拟计算'!B609&gt;0),'模拟-模拟计算'!V609," ")</f>
        <v xml:space="preserve"> </v>
      </c>
      <c r="H584" s="52" t="str">
        <f>IF(AND(INT('模拟-模拟计算'!B609)&lt;='模拟-模拟计算'!$C$2,'模拟-模拟计算'!B609&gt;0),'模拟-模拟计算'!Y609," ")</f>
        <v xml:space="preserve"> </v>
      </c>
      <c r="I584" s="105" t="str">
        <f>IF(AND(INT('模拟-模拟计算'!B609)&lt;='模拟-模拟计算'!$C$2,'模拟-模拟计算'!B609&gt;0),'模拟-模拟计算'!AA609," ")</f>
        <v xml:space="preserve"> </v>
      </c>
    </row>
    <row r="585" spans="1:9" x14ac:dyDescent="0.2">
      <c r="A585" s="20">
        <f>INT('模拟-模拟计算'!B610+0.5)</f>
        <v>538</v>
      </c>
      <c r="B585" s="52" t="str">
        <f>IF(AND(INT('模拟-模拟计算'!B610)&lt;='模拟-模拟计算'!$C$2,'模拟-模拟计算'!B610&gt;0),'模拟-模拟计算'!B610," ")</f>
        <v xml:space="preserve"> </v>
      </c>
      <c r="C585" s="51" t="str">
        <f>IF(AND(INT('模拟-模拟计算'!B610)&lt;='模拟-模拟计算'!$C$2,'模拟-模拟计算'!B610&gt;0),'模拟-模拟计算'!C610," ")</f>
        <v xml:space="preserve"> </v>
      </c>
      <c r="D585" s="104" t="str">
        <f>IF(AND(INT('模拟-模拟计算'!B610)&lt;='模拟-模拟计算'!$C$2,'模拟-模拟计算'!B610&gt;0),'模拟-模拟计算'!E610," ")</f>
        <v xml:space="preserve"> </v>
      </c>
      <c r="E585" s="104" t="str">
        <f>IF(AND(INT('模拟-模拟计算'!B610)&lt;='模拟-模拟计算'!$C$2,'模拟-模拟计算'!B610&gt;0),'模拟-模拟计算'!F610," ")</f>
        <v xml:space="preserve"> </v>
      </c>
      <c r="F585" s="51" t="str">
        <f>IF(AND(INT('模拟-模拟计算'!B610)&lt;='模拟-模拟计算'!$C$2,'模拟-模拟计算'!B610&gt;0),'模拟-模拟计算'!P610," ")</f>
        <v xml:space="preserve"> </v>
      </c>
      <c r="G585" s="52" t="str">
        <f>IF(AND(INT('模拟-模拟计算'!B610)&lt;='模拟-模拟计算'!$C$2,'模拟-模拟计算'!B610&gt;0),'模拟-模拟计算'!V610," ")</f>
        <v xml:space="preserve"> </v>
      </c>
      <c r="H585" s="52" t="str">
        <f>IF(AND(INT('模拟-模拟计算'!B610)&lt;='模拟-模拟计算'!$C$2,'模拟-模拟计算'!B610&gt;0),'模拟-模拟计算'!Y610," ")</f>
        <v xml:space="preserve"> </v>
      </c>
      <c r="I585" s="105" t="str">
        <f>IF(AND(INT('模拟-模拟计算'!B610)&lt;='模拟-模拟计算'!$C$2,'模拟-模拟计算'!B610&gt;0),'模拟-模拟计算'!AA610," ")</f>
        <v xml:space="preserve"> </v>
      </c>
    </row>
    <row r="586" spans="1:9" x14ac:dyDescent="0.2">
      <c r="A586" s="20">
        <f>INT('模拟-模拟计算'!B611+0.5)</f>
        <v>539</v>
      </c>
      <c r="B586" s="52" t="str">
        <f>IF(AND(INT('模拟-模拟计算'!B611)&lt;='模拟-模拟计算'!$C$2,'模拟-模拟计算'!B611&gt;0),'模拟-模拟计算'!B611," ")</f>
        <v xml:space="preserve"> </v>
      </c>
      <c r="C586" s="51" t="str">
        <f>IF(AND(INT('模拟-模拟计算'!B611)&lt;='模拟-模拟计算'!$C$2,'模拟-模拟计算'!B611&gt;0),'模拟-模拟计算'!C611," ")</f>
        <v xml:space="preserve"> </v>
      </c>
      <c r="D586" s="104" t="str">
        <f>IF(AND(INT('模拟-模拟计算'!B611)&lt;='模拟-模拟计算'!$C$2,'模拟-模拟计算'!B611&gt;0),'模拟-模拟计算'!E611," ")</f>
        <v xml:space="preserve"> </v>
      </c>
      <c r="E586" s="104" t="str">
        <f>IF(AND(INT('模拟-模拟计算'!B611)&lt;='模拟-模拟计算'!$C$2,'模拟-模拟计算'!B611&gt;0),'模拟-模拟计算'!F611," ")</f>
        <v xml:space="preserve"> </v>
      </c>
      <c r="F586" s="51" t="str">
        <f>IF(AND(INT('模拟-模拟计算'!B611)&lt;='模拟-模拟计算'!$C$2,'模拟-模拟计算'!B611&gt;0),'模拟-模拟计算'!P611," ")</f>
        <v xml:space="preserve"> </v>
      </c>
      <c r="G586" s="52" t="str">
        <f>IF(AND(INT('模拟-模拟计算'!B611)&lt;='模拟-模拟计算'!$C$2,'模拟-模拟计算'!B611&gt;0),'模拟-模拟计算'!V611," ")</f>
        <v xml:space="preserve"> </v>
      </c>
      <c r="H586" s="52" t="str">
        <f>IF(AND(INT('模拟-模拟计算'!B611)&lt;='模拟-模拟计算'!$C$2,'模拟-模拟计算'!B611&gt;0),'模拟-模拟计算'!Y611," ")</f>
        <v xml:space="preserve"> </v>
      </c>
      <c r="I586" s="105" t="str">
        <f>IF(AND(INT('模拟-模拟计算'!B611)&lt;='模拟-模拟计算'!$C$2,'模拟-模拟计算'!B611&gt;0),'模拟-模拟计算'!AA611," ")</f>
        <v xml:space="preserve"> </v>
      </c>
    </row>
    <row r="587" spans="1:9" x14ac:dyDescent="0.2">
      <c r="A587" s="20">
        <f>INT('模拟-模拟计算'!B612+0.5)</f>
        <v>540</v>
      </c>
      <c r="B587" s="52" t="str">
        <f>IF(AND(INT('模拟-模拟计算'!B612)&lt;='模拟-模拟计算'!$C$2,'模拟-模拟计算'!B612&gt;0),'模拟-模拟计算'!B612," ")</f>
        <v xml:space="preserve"> </v>
      </c>
      <c r="C587" s="51" t="str">
        <f>IF(AND(INT('模拟-模拟计算'!B612)&lt;='模拟-模拟计算'!$C$2,'模拟-模拟计算'!B612&gt;0),'模拟-模拟计算'!C612," ")</f>
        <v xml:space="preserve"> </v>
      </c>
      <c r="D587" s="104" t="str">
        <f>IF(AND(INT('模拟-模拟计算'!B612)&lt;='模拟-模拟计算'!$C$2,'模拟-模拟计算'!B612&gt;0),'模拟-模拟计算'!E612," ")</f>
        <v xml:space="preserve"> </v>
      </c>
      <c r="E587" s="104" t="str">
        <f>IF(AND(INT('模拟-模拟计算'!B612)&lt;='模拟-模拟计算'!$C$2,'模拟-模拟计算'!B612&gt;0),'模拟-模拟计算'!F612," ")</f>
        <v xml:space="preserve"> </v>
      </c>
      <c r="F587" s="51" t="str">
        <f>IF(AND(INT('模拟-模拟计算'!B612)&lt;='模拟-模拟计算'!$C$2,'模拟-模拟计算'!B612&gt;0),'模拟-模拟计算'!P612," ")</f>
        <v xml:space="preserve"> </v>
      </c>
      <c r="G587" s="52" t="str">
        <f>IF(AND(INT('模拟-模拟计算'!B612)&lt;='模拟-模拟计算'!$C$2,'模拟-模拟计算'!B612&gt;0),'模拟-模拟计算'!V612," ")</f>
        <v xml:space="preserve"> </v>
      </c>
      <c r="H587" s="52" t="str">
        <f>IF(AND(INT('模拟-模拟计算'!B612)&lt;='模拟-模拟计算'!$C$2,'模拟-模拟计算'!B612&gt;0),'模拟-模拟计算'!Y612," ")</f>
        <v xml:space="preserve"> </v>
      </c>
      <c r="I587" s="105" t="str">
        <f>IF(AND(INT('模拟-模拟计算'!B612)&lt;='模拟-模拟计算'!$C$2,'模拟-模拟计算'!B612&gt;0),'模拟-模拟计算'!AA612," ")</f>
        <v xml:space="preserve"> </v>
      </c>
    </row>
    <row r="588" spans="1:9" x14ac:dyDescent="0.2">
      <c r="A588" s="20">
        <f>INT('模拟-模拟计算'!B613+0.5)</f>
        <v>541</v>
      </c>
      <c r="B588" s="52" t="str">
        <f>IF(AND(INT('模拟-模拟计算'!B613)&lt;='模拟-模拟计算'!$C$2,'模拟-模拟计算'!B613&gt;0),'模拟-模拟计算'!B613," ")</f>
        <v xml:space="preserve"> </v>
      </c>
      <c r="C588" s="51" t="str">
        <f>IF(AND(INT('模拟-模拟计算'!B613)&lt;='模拟-模拟计算'!$C$2,'模拟-模拟计算'!B613&gt;0),'模拟-模拟计算'!C613," ")</f>
        <v xml:space="preserve"> </v>
      </c>
      <c r="D588" s="104" t="str">
        <f>IF(AND(INT('模拟-模拟计算'!B613)&lt;='模拟-模拟计算'!$C$2,'模拟-模拟计算'!B613&gt;0),'模拟-模拟计算'!E613," ")</f>
        <v xml:space="preserve"> </v>
      </c>
      <c r="E588" s="104" t="str">
        <f>IF(AND(INT('模拟-模拟计算'!B613)&lt;='模拟-模拟计算'!$C$2,'模拟-模拟计算'!B613&gt;0),'模拟-模拟计算'!F613," ")</f>
        <v xml:space="preserve"> </v>
      </c>
      <c r="F588" s="51" t="str">
        <f>IF(AND(INT('模拟-模拟计算'!B613)&lt;='模拟-模拟计算'!$C$2,'模拟-模拟计算'!B613&gt;0),'模拟-模拟计算'!P613," ")</f>
        <v xml:space="preserve"> </v>
      </c>
      <c r="G588" s="52" t="str">
        <f>IF(AND(INT('模拟-模拟计算'!B613)&lt;='模拟-模拟计算'!$C$2,'模拟-模拟计算'!B613&gt;0),'模拟-模拟计算'!V613," ")</f>
        <v xml:space="preserve"> </v>
      </c>
      <c r="H588" s="52" t="str">
        <f>IF(AND(INT('模拟-模拟计算'!B613)&lt;='模拟-模拟计算'!$C$2,'模拟-模拟计算'!B613&gt;0),'模拟-模拟计算'!Y613," ")</f>
        <v xml:space="preserve"> </v>
      </c>
      <c r="I588" s="105" t="str">
        <f>IF(AND(INT('模拟-模拟计算'!B613)&lt;='模拟-模拟计算'!$C$2,'模拟-模拟计算'!B613&gt;0),'模拟-模拟计算'!AA613," ")</f>
        <v xml:space="preserve"> </v>
      </c>
    </row>
    <row r="589" spans="1:9" x14ac:dyDescent="0.2">
      <c r="A589" s="20">
        <f>INT('模拟-模拟计算'!B614+0.5)</f>
        <v>542</v>
      </c>
      <c r="B589" s="52" t="str">
        <f>IF(AND(INT('模拟-模拟计算'!B614)&lt;='模拟-模拟计算'!$C$2,'模拟-模拟计算'!B614&gt;0),'模拟-模拟计算'!B614," ")</f>
        <v xml:space="preserve"> </v>
      </c>
      <c r="C589" s="51" t="str">
        <f>IF(AND(INT('模拟-模拟计算'!B614)&lt;='模拟-模拟计算'!$C$2,'模拟-模拟计算'!B614&gt;0),'模拟-模拟计算'!C614," ")</f>
        <v xml:space="preserve"> </v>
      </c>
      <c r="D589" s="104" t="str">
        <f>IF(AND(INT('模拟-模拟计算'!B614)&lt;='模拟-模拟计算'!$C$2,'模拟-模拟计算'!B614&gt;0),'模拟-模拟计算'!E614," ")</f>
        <v xml:space="preserve"> </v>
      </c>
      <c r="E589" s="104" t="str">
        <f>IF(AND(INT('模拟-模拟计算'!B614)&lt;='模拟-模拟计算'!$C$2,'模拟-模拟计算'!B614&gt;0),'模拟-模拟计算'!F614," ")</f>
        <v xml:space="preserve"> </v>
      </c>
      <c r="F589" s="51" t="str">
        <f>IF(AND(INT('模拟-模拟计算'!B614)&lt;='模拟-模拟计算'!$C$2,'模拟-模拟计算'!B614&gt;0),'模拟-模拟计算'!P614," ")</f>
        <v xml:space="preserve"> </v>
      </c>
      <c r="G589" s="52" t="str">
        <f>IF(AND(INT('模拟-模拟计算'!B614)&lt;='模拟-模拟计算'!$C$2,'模拟-模拟计算'!B614&gt;0),'模拟-模拟计算'!V614," ")</f>
        <v xml:space="preserve"> </v>
      </c>
      <c r="H589" s="52" t="str">
        <f>IF(AND(INT('模拟-模拟计算'!B614)&lt;='模拟-模拟计算'!$C$2,'模拟-模拟计算'!B614&gt;0),'模拟-模拟计算'!Y614," ")</f>
        <v xml:space="preserve"> </v>
      </c>
      <c r="I589" s="105" t="str">
        <f>IF(AND(INT('模拟-模拟计算'!B614)&lt;='模拟-模拟计算'!$C$2,'模拟-模拟计算'!B614&gt;0),'模拟-模拟计算'!AA614," ")</f>
        <v xml:space="preserve"> </v>
      </c>
    </row>
    <row r="590" spans="1:9" x14ac:dyDescent="0.2">
      <c r="A590" s="20">
        <f>INT('模拟-模拟计算'!B615+0.5)</f>
        <v>542</v>
      </c>
      <c r="B590" s="52" t="str">
        <f>IF(AND(INT('模拟-模拟计算'!B615)&lt;='模拟-模拟计算'!$C$2,'模拟-模拟计算'!B615&gt;0),'模拟-模拟计算'!B615," ")</f>
        <v xml:space="preserve"> </v>
      </c>
      <c r="C590" s="51" t="str">
        <f>IF(AND(INT('模拟-模拟计算'!B615)&lt;='模拟-模拟计算'!$C$2,'模拟-模拟计算'!B615&gt;0),'模拟-模拟计算'!C615," ")</f>
        <v xml:space="preserve"> </v>
      </c>
      <c r="D590" s="104" t="str">
        <f>IF(AND(INT('模拟-模拟计算'!B615)&lt;='模拟-模拟计算'!$C$2,'模拟-模拟计算'!B615&gt;0),'模拟-模拟计算'!E615," ")</f>
        <v xml:space="preserve"> </v>
      </c>
      <c r="E590" s="104" t="str">
        <f>IF(AND(INT('模拟-模拟计算'!B615)&lt;='模拟-模拟计算'!$C$2,'模拟-模拟计算'!B615&gt;0),'模拟-模拟计算'!F615," ")</f>
        <v xml:space="preserve"> </v>
      </c>
      <c r="F590" s="51" t="str">
        <f>IF(AND(INT('模拟-模拟计算'!B615)&lt;='模拟-模拟计算'!$C$2,'模拟-模拟计算'!B615&gt;0),'模拟-模拟计算'!P615," ")</f>
        <v xml:space="preserve"> </v>
      </c>
      <c r="G590" s="52" t="str">
        <f>IF(AND(INT('模拟-模拟计算'!B615)&lt;='模拟-模拟计算'!$C$2,'模拟-模拟计算'!B615&gt;0),'模拟-模拟计算'!V615," ")</f>
        <v xml:space="preserve"> </v>
      </c>
      <c r="H590" s="52" t="str">
        <f>IF(AND(INT('模拟-模拟计算'!B615)&lt;='模拟-模拟计算'!$C$2,'模拟-模拟计算'!B615&gt;0),'模拟-模拟计算'!Y615," ")</f>
        <v xml:space="preserve"> </v>
      </c>
      <c r="I590" s="105" t="str">
        <f>IF(AND(INT('模拟-模拟计算'!B615)&lt;='模拟-模拟计算'!$C$2,'模拟-模拟计算'!B615&gt;0),'模拟-模拟计算'!AA615," ")</f>
        <v xml:space="preserve"> </v>
      </c>
    </row>
    <row r="591" spans="1:9" x14ac:dyDescent="0.2">
      <c r="A591" s="20">
        <f>INT('模拟-模拟计算'!B616+0.5)</f>
        <v>543</v>
      </c>
      <c r="B591" s="52" t="str">
        <f>IF(AND(INT('模拟-模拟计算'!B616)&lt;='模拟-模拟计算'!$C$2,'模拟-模拟计算'!B616&gt;0),'模拟-模拟计算'!B616," ")</f>
        <v xml:space="preserve"> </v>
      </c>
      <c r="C591" s="51" t="str">
        <f>IF(AND(INT('模拟-模拟计算'!B616)&lt;='模拟-模拟计算'!$C$2,'模拟-模拟计算'!B616&gt;0),'模拟-模拟计算'!C616," ")</f>
        <v xml:space="preserve"> </v>
      </c>
      <c r="D591" s="104" t="str">
        <f>IF(AND(INT('模拟-模拟计算'!B616)&lt;='模拟-模拟计算'!$C$2,'模拟-模拟计算'!B616&gt;0),'模拟-模拟计算'!E616," ")</f>
        <v xml:space="preserve"> </v>
      </c>
      <c r="E591" s="104" t="str">
        <f>IF(AND(INT('模拟-模拟计算'!B616)&lt;='模拟-模拟计算'!$C$2,'模拟-模拟计算'!B616&gt;0),'模拟-模拟计算'!F616," ")</f>
        <v xml:space="preserve"> </v>
      </c>
      <c r="F591" s="51" t="str">
        <f>IF(AND(INT('模拟-模拟计算'!B616)&lt;='模拟-模拟计算'!$C$2,'模拟-模拟计算'!B616&gt;0),'模拟-模拟计算'!P616," ")</f>
        <v xml:space="preserve"> </v>
      </c>
      <c r="G591" s="52" t="str">
        <f>IF(AND(INT('模拟-模拟计算'!B616)&lt;='模拟-模拟计算'!$C$2,'模拟-模拟计算'!B616&gt;0),'模拟-模拟计算'!V616," ")</f>
        <v xml:space="preserve"> </v>
      </c>
      <c r="H591" s="52" t="str">
        <f>IF(AND(INT('模拟-模拟计算'!B616)&lt;='模拟-模拟计算'!$C$2,'模拟-模拟计算'!B616&gt;0),'模拟-模拟计算'!Y616," ")</f>
        <v xml:space="preserve"> </v>
      </c>
      <c r="I591" s="105" t="str">
        <f>IF(AND(INT('模拟-模拟计算'!B616)&lt;='模拟-模拟计算'!$C$2,'模拟-模拟计算'!B616&gt;0),'模拟-模拟计算'!AA616," ")</f>
        <v xml:space="preserve"> </v>
      </c>
    </row>
    <row r="592" spans="1:9" x14ac:dyDescent="0.2">
      <c r="A592" s="20">
        <f>INT('模拟-模拟计算'!B617+0.5)</f>
        <v>544</v>
      </c>
      <c r="B592" s="52" t="str">
        <f>IF(AND(INT('模拟-模拟计算'!B617)&lt;='模拟-模拟计算'!$C$2,'模拟-模拟计算'!B617&gt;0),'模拟-模拟计算'!B617," ")</f>
        <v xml:space="preserve"> </v>
      </c>
      <c r="C592" s="51" t="str">
        <f>IF(AND(INT('模拟-模拟计算'!B617)&lt;='模拟-模拟计算'!$C$2,'模拟-模拟计算'!B617&gt;0),'模拟-模拟计算'!C617," ")</f>
        <v xml:space="preserve"> </v>
      </c>
      <c r="D592" s="104" t="str">
        <f>IF(AND(INT('模拟-模拟计算'!B617)&lt;='模拟-模拟计算'!$C$2,'模拟-模拟计算'!B617&gt;0),'模拟-模拟计算'!E617," ")</f>
        <v xml:space="preserve"> </v>
      </c>
      <c r="E592" s="104" t="str">
        <f>IF(AND(INT('模拟-模拟计算'!B617)&lt;='模拟-模拟计算'!$C$2,'模拟-模拟计算'!B617&gt;0),'模拟-模拟计算'!F617," ")</f>
        <v xml:space="preserve"> </v>
      </c>
      <c r="F592" s="51" t="str">
        <f>IF(AND(INT('模拟-模拟计算'!B617)&lt;='模拟-模拟计算'!$C$2,'模拟-模拟计算'!B617&gt;0),'模拟-模拟计算'!P617," ")</f>
        <v xml:space="preserve"> </v>
      </c>
      <c r="G592" s="52" t="str">
        <f>IF(AND(INT('模拟-模拟计算'!B617)&lt;='模拟-模拟计算'!$C$2,'模拟-模拟计算'!B617&gt;0),'模拟-模拟计算'!V617," ")</f>
        <v xml:space="preserve"> </v>
      </c>
      <c r="H592" s="52" t="str">
        <f>IF(AND(INT('模拟-模拟计算'!B617)&lt;='模拟-模拟计算'!$C$2,'模拟-模拟计算'!B617&gt;0),'模拟-模拟计算'!Y617," ")</f>
        <v xml:space="preserve"> </v>
      </c>
      <c r="I592" s="105" t="str">
        <f>IF(AND(INT('模拟-模拟计算'!B617)&lt;='模拟-模拟计算'!$C$2,'模拟-模拟计算'!B617&gt;0),'模拟-模拟计算'!AA617," ")</f>
        <v xml:space="preserve"> </v>
      </c>
    </row>
    <row r="593" spans="1:9" x14ac:dyDescent="0.2">
      <c r="A593" s="20">
        <f>INT('模拟-模拟计算'!B618+0.5)</f>
        <v>545</v>
      </c>
      <c r="B593" s="52" t="str">
        <f>IF(AND(INT('模拟-模拟计算'!B618)&lt;='模拟-模拟计算'!$C$2,'模拟-模拟计算'!B618&gt;0),'模拟-模拟计算'!B618," ")</f>
        <v xml:space="preserve"> </v>
      </c>
      <c r="C593" s="51" t="str">
        <f>IF(AND(INT('模拟-模拟计算'!B618)&lt;='模拟-模拟计算'!$C$2,'模拟-模拟计算'!B618&gt;0),'模拟-模拟计算'!C618," ")</f>
        <v xml:space="preserve"> </v>
      </c>
      <c r="D593" s="104" t="str">
        <f>IF(AND(INT('模拟-模拟计算'!B618)&lt;='模拟-模拟计算'!$C$2,'模拟-模拟计算'!B618&gt;0),'模拟-模拟计算'!E618," ")</f>
        <v xml:space="preserve"> </v>
      </c>
      <c r="E593" s="104" t="str">
        <f>IF(AND(INT('模拟-模拟计算'!B618)&lt;='模拟-模拟计算'!$C$2,'模拟-模拟计算'!B618&gt;0),'模拟-模拟计算'!F618," ")</f>
        <v xml:space="preserve"> </v>
      </c>
      <c r="F593" s="51" t="str">
        <f>IF(AND(INT('模拟-模拟计算'!B618)&lt;='模拟-模拟计算'!$C$2,'模拟-模拟计算'!B618&gt;0),'模拟-模拟计算'!P618," ")</f>
        <v xml:space="preserve"> </v>
      </c>
      <c r="G593" s="52" t="str">
        <f>IF(AND(INT('模拟-模拟计算'!B618)&lt;='模拟-模拟计算'!$C$2,'模拟-模拟计算'!B618&gt;0),'模拟-模拟计算'!V618," ")</f>
        <v xml:space="preserve"> </v>
      </c>
      <c r="H593" s="52" t="str">
        <f>IF(AND(INT('模拟-模拟计算'!B618)&lt;='模拟-模拟计算'!$C$2,'模拟-模拟计算'!B618&gt;0),'模拟-模拟计算'!Y618," ")</f>
        <v xml:space="preserve"> </v>
      </c>
      <c r="I593" s="105" t="str">
        <f>IF(AND(INT('模拟-模拟计算'!B618)&lt;='模拟-模拟计算'!$C$2,'模拟-模拟计算'!B618&gt;0),'模拟-模拟计算'!AA618," ")</f>
        <v xml:space="preserve"> </v>
      </c>
    </row>
    <row r="594" spans="1:9" x14ac:dyDescent="0.2">
      <c r="A594" s="20">
        <f>INT('模拟-模拟计算'!B619+0.5)</f>
        <v>546</v>
      </c>
      <c r="B594" s="52" t="str">
        <f>IF(AND(INT('模拟-模拟计算'!B619)&lt;='模拟-模拟计算'!$C$2,'模拟-模拟计算'!B619&gt;0),'模拟-模拟计算'!B619," ")</f>
        <v xml:space="preserve"> </v>
      </c>
      <c r="C594" s="51" t="str">
        <f>IF(AND(INT('模拟-模拟计算'!B619)&lt;='模拟-模拟计算'!$C$2,'模拟-模拟计算'!B619&gt;0),'模拟-模拟计算'!C619," ")</f>
        <v xml:space="preserve"> </v>
      </c>
      <c r="D594" s="104" t="str">
        <f>IF(AND(INT('模拟-模拟计算'!B619)&lt;='模拟-模拟计算'!$C$2,'模拟-模拟计算'!B619&gt;0),'模拟-模拟计算'!E619," ")</f>
        <v xml:space="preserve"> </v>
      </c>
      <c r="E594" s="104" t="str">
        <f>IF(AND(INT('模拟-模拟计算'!B619)&lt;='模拟-模拟计算'!$C$2,'模拟-模拟计算'!B619&gt;0),'模拟-模拟计算'!F619," ")</f>
        <v xml:space="preserve"> </v>
      </c>
      <c r="F594" s="51" t="str">
        <f>IF(AND(INT('模拟-模拟计算'!B619)&lt;='模拟-模拟计算'!$C$2,'模拟-模拟计算'!B619&gt;0),'模拟-模拟计算'!P619," ")</f>
        <v xml:space="preserve"> </v>
      </c>
      <c r="G594" s="52" t="str">
        <f>IF(AND(INT('模拟-模拟计算'!B619)&lt;='模拟-模拟计算'!$C$2,'模拟-模拟计算'!B619&gt;0),'模拟-模拟计算'!V619," ")</f>
        <v xml:space="preserve"> </v>
      </c>
      <c r="H594" s="52" t="str">
        <f>IF(AND(INT('模拟-模拟计算'!B619)&lt;='模拟-模拟计算'!$C$2,'模拟-模拟计算'!B619&gt;0),'模拟-模拟计算'!Y619," ")</f>
        <v xml:space="preserve"> </v>
      </c>
      <c r="I594" s="105" t="str">
        <f>IF(AND(INT('模拟-模拟计算'!B619)&lt;='模拟-模拟计算'!$C$2,'模拟-模拟计算'!B619&gt;0),'模拟-模拟计算'!AA619," ")</f>
        <v xml:space="preserve"> </v>
      </c>
    </row>
    <row r="595" spans="1:9" x14ac:dyDescent="0.2">
      <c r="A595" s="20">
        <f>INT('模拟-模拟计算'!B620+0.5)</f>
        <v>547</v>
      </c>
      <c r="B595" s="52" t="str">
        <f>IF(AND(INT('模拟-模拟计算'!B620)&lt;='模拟-模拟计算'!$C$2,'模拟-模拟计算'!B620&gt;0),'模拟-模拟计算'!B620," ")</f>
        <v xml:space="preserve"> </v>
      </c>
      <c r="C595" s="51" t="str">
        <f>IF(AND(INT('模拟-模拟计算'!B620)&lt;='模拟-模拟计算'!$C$2,'模拟-模拟计算'!B620&gt;0),'模拟-模拟计算'!C620," ")</f>
        <v xml:space="preserve"> </v>
      </c>
      <c r="D595" s="104" t="str">
        <f>IF(AND(INT('模拟-模拟计算'!B620)&lt;='模拟-模拟计算'!$C$2,'模拟-模拟计算'!B620&gt;0),'模拟-模拟计算'!E620," ")</f>
        <v xml:space="preserve"> </v>
      </c>
      <c r="E595" s="104" t="str">
        <f>IF(AND(INT('模拟-模拟计算'!B620)&lt;='模拟-模拟计算'!$C$2,'模拟-模拟计算'!B620&gt;0),'模拟-模拟计算'!F620," ")</f>
        <v xml:space="preserve"> </v>
      </c>
      <c r="F595" s="51" t="str">
        <f>IF(AND(INT('模拟-模拟计算'!B620)&lt;='模拟-模拟计算'!$C$2,'模拟-模拟计算'!B620&gt;0),'模拟-模拟计算'!P620," ")</f>
        <v xml:space="preserve"> </v>
      </c>
      <c r="G595" s="52" t="str">
        <f>IF(AND(INT('模拟-模拟计算'!B620)&lt;='模拟-模拟计算'!$C$2,'模拟-模拟计算'!B620&gt;0),'模拟-模拟计算'!V620," ")</f>
        <v xml:space="preserve"> </v>
      </c>
      <c r="H595" s="52" t="str">
        <f>IF(AND(INT('模拟-模拟计算'!B620)&lt;='模拟-模拟计算'!$C$2,'模拟-模拟计算'!B620&gt;0),'模拟-模拟计算'!Y620," ")</f>
        <v xml:space="preserve"> </v>
      </c>
      <c r="I595" s="105" t="str">
        <f>IF(AND(INT('模拟-模拟计算'!B620)&lt;='模拟-模拟计算'!$C$2,'模拟-模拟计算'!B620&gt;0),'模拟-模拟计算'!AA620," ")</f>
        <v xml:space="preserve"> </v>
      </c>
    </row>
    <row r="596" spans="1:9" x14ac:dyDescent="0.2">
      <c r="A596" s="20">
        <f>INT('模拟-模拟计算'!B621+0.5)</f>
        <v>548</v>
      </c>
      <c r="B596" s="52" t="str">
        <f>IF(AND(INT('模拟-模拟计算'!B621)&lt;='模拟-模拟计算'!$C$2,'模拟-模拟计算'!B621&gt;0),'模拟-模拟计算'!B621," ")</f>
        <v xml:space="preserve"> </v>
      </c>
      <c r="C596" s="51" t="str">
        <f>IF(AND(INT('模拟-模拟计算'!B621)&lt;='模拟-模拟计算'!$C$2,'模拟-模拟计算'!B621&gt;0),'模拟-模拟计算'!C621," ")</f>
        <v xml:space="preserve"> </v>
      </c>
      <c r="D596" s="104" t="str">
        <f>IF(AND(INT('模拟-模拟计算'!B621)&lt;='模拟-模拟计算'!$C$2,'模拟-模拟计算'!B621&gt;0),'模拟-模拟计算'!E621," ")</f>
        <v xml:space="preserve"> </v>
      </c>
      <c r="E596" s="104" t="str">
        <f>IF(AND(INT('模拟-模拟计算'!B621)&lt;='模拟-模拟计算'!$C$2,'模拟-模拟计算'!B621&gt;0),'模拟-模拟计算'!F621," ")</f>
        <v xml:space="preserve"> </v>
      </c>
      <c r="F596" s="51" t="str">
        <f>IF(AND(INT('模拟-模拟计算'!B621)&lt;='模拟-模拟计算'!$C$2,'模拟-模拟计算'!B621&gt;0),'模拟-模拟计算'!P621," ")</f>
        <v xml:space="preserve"> </v>
      </c>
      <c r="G596" s="52" t="str">
        <f>IF(AND(INT('模拟-模拟计算'!B621)&lt;='模拟-模拟计算'!$C$2,'模拟-模拟计算'!B621&gt;0),'模拟-模拟计算'!V621," ")</f>
        <v xml:space="preserve"> </v>
      </c>
      <c r="H596" s="52" t="str">
        <f>IF(AND(INT('模拟-模拟计算'!B621)&lt;='模拟-模拟计算'!$C$2,'模拟-模拟计算'!B621&gt;0),'模拟-模拟计算'!Y621," ")</f>
        <v xml:space="preserve"> </v>
      </c>
      <c r="I596" s="105" t="str">
        <f>IF(AND(INT('模拟-模拟计算'!B621)&lt;='模拟-模拟计算'!$C$2,'模拟-模拟计算'!B621&gt;0),'模拟-模拟计算'!AA621," ")</f>
        <v xml:space="preserve"> </v>
      </c>
    </row>
    <row r="597" spans="1:9" x14ac:dyDescent="0.2">
      <c r="A597" s="20">
        <f>INT('模拟-模拟计算'!B622+0.5)</f>
        <v>549</v>
      </c>
      <c r="B597" s="52" t="str">
        <f>IF(AND(INT('模拟-模拟计算'!B622)&lt;='模拟-模拟计算'!$C$2,'模拟-模拟计算'!B622&gt;0),'模拟-模拟计算'!B622," ")</f>
        <v xml:space="preserve"> </v>
      </c>
      <c r="C597" s="51" t="str">
        <f>IF(AND(INT('模拟-模拟计算'!B622)&lt;='模拟-模拟计算'!$C$2,'模拟-模拟计算'!B622&gt;0),'模拟-模拟计算'!C622," ")</f>
        <v xml:space="preserve"> </v>
      </c>
      <c r="D597" s="104" t="str">
        <f>IF(AND(INT('模拟-模拟计算'!B622)&lt;='模拟-模拟计算'!$C$2,'模拟-模拟计算'!B622&gt;0),'模拟-模拟计算'!E622," ")</f>
        <v xml:space="preserve"> </v>
      </c>
      <c r="E597" s="104" t="str">
        <f>IF(AND(INT('模拟-模拟计算'!B622)&lt;='模拟-模拟计算'!$C$2,'模拟-模拟计算'!B622&gt;0),'模拟-模拟计算'!F622," ")</f>
        <v xml:space="preserve"> </v>
      </c>
      <c r="F597" s="51" t="str">
        <f>IF(AND(INT('模拟-模拟计算'!B622)&lt;='模拟-模拟计算'!$C$2,'模拟-模拟计算'!B622&gt;0),'模拟-模拟计算'!P622," ")</f>
        <v xml:space="preserve"> </v>
      </c>
      <c r="G597" s="52" t="str">
        <f>IF(AND(INT('模拟-模拟计算'!B622)&lt;='模拟-模拟计算'!$C$2,'模拟-模拟计算'!B622&gt;0),'模拟-模拟计算'!V622," ")</f>
        <v xml:space="preserve"> </v>
      </c>
      <c r="H597" s="52" t="str">
        <f>IF(AND(INT('模拟-模拟计算'!B622)&lt;='模拟-模拟计算'!$C$2,'模拟-模拟计算'!B622&gt;0),'模拟-模拟计算'!Y622," ")</f>
        <v xml:space="preserve"> </v>
      </c>
      <c r="I597" s="105" t="str">
        <f>IF(AND(INT('模拟-模拟计算'!B622)&lt;='模拟-模拟计算'!$C$2,'模拟-模拟计算'!B622&gt;0),'模拟-模拟计算'!AA622," ")</f>
        <v xml:space="preserve"> </v>
      </c>
    </row>
    <row r="598" spans="1:9" x14ac:dyDescent="0.2">
      <c r="A598" s="20">
        <f>INT('模拟-模拟计算'!B623+0.5)</f>
        <v>550</v>
      </c>
      <c r="B598" s="52" t="str">
        <f>IF(AND(INT('模拟-模拟计算'!B623)&lt;='模拟-模拟计算'!$C$2,'模拟-模拟计算'!B623&gt;0),'模拟-模拟计算'!B623," ")</f>
        <v xml:space="preserve"> </v>
      </c>
      <c r="C598" s="51" t="str">
        <f>IF(AND(INT('模拟-模拟计算'!B623)&lt;='模拟-模拟计算'!$C$2,'模拟-模拟计算'!B623&gt;0),'模拟-模拟计算'!C623," ")</f>
        <v xml:space="preserve"> </v>
      </c>
      <c r="D598" s="104" t="str">
        <f>IF(AND(INT('模拟-模拟计算'!B623)&lt;='模拟-模拟计算'!$C$2,'模拟-模拟计算'!B623&gt;0),'模拟-模拟计算'!E623," ")</f>
        <v xml:space="preserve"> </v>
      </c>
      <c r="E598" s="104" t="str">
        <f>IF(AND(INT('模拟-模拟计算'!B623)&lt;='模拟-模拟计算'!$C$2,'模拟-模拟计算'!B623&gt;0),'模拟-模拟计算'!F623," ")</f>
        <v xml:space="preserve"> </v>
      </c>
      <c r="F598" s="51" t="str">
        <f>IF(AND(INT('模拟-模拟计算'!B623)&lt;='模拟-模拟计算'!$C$2,'模拟-模拟计算'!B623&gt;0),'模拟-模拟计算'!P623," ")</f>
        <v xml:space="preserve"> </v>
      </c>
      <c r="G598" s="52" t="str">
        <f>IF(AND(INT('模拟-模拟计算'!B623)&lt;='模拟-模拟计算'!$C$2,'模拟-模拟计算'!B623&gt;0),'模拟-模拟计算'!V623," ")</f>
        <v xml:space="preserve"> </v>
      </c>
      <c r="H598" s="52" t="str">
        <f>IF(AND(INT('模拟-模拟计算'!B623)&lt;='模拟-模拟计算'!$C$2,'模拟-模拟计算'!B623&gt;0),'模拟-模拟计算'!Y623," ")</f>
        <v xml:space="preserve"> </v>
      </c>
      <c r="I598" s="105" t="str">
        <f>IF(AND(INT('模拟-模拟计算'!B623)&lt;='模拟-模拟计算'!$C$2,'模拟-模拟计算'!B623&gt;0),'模拟-模拟计算'!AA623," ")</f>
        <v xml:space="preserve"> </v>
      </c>
    </row>
    <row r="599" spans="1:9" x14ac:dyDescent="0.2">
      <c r="A599" s="20">
        <f>INT('模拟-模拟计算'!B624+0.5)</f>
        <v>551</v>
      </c>
      <c r="B599" s="52" t="str">
        <f>IF(AND(INT('模拟-模拟计算'!B624)&lt;='模拟-模拟计算'!$C$2,'模拟-模拟计算'!B624&gt;0),'模拟-模拟计算'!B624," ")</f>
        <v xml:space="preserve"> </v>
      </c>
      <c r="C599" s="51" t="str">
        <f>IF(AND(INT('模拟-模拟计算'!B624)&lt;='模拟-模拟计算'!$C$2,'模拟-模拟计算'!B624&gt;0),'模拟-模拟计算'!C624," ")</f>
        <v xml:space="preserve"> </v>
      </c>
      <c r="D599" s="104" t="str">
        <f>IF(AND(INT('模拟-模拟计算'!B624)&lt;='模拟-模拟计算'!$C$2,'模拟-模拟计算'!B624&gt;0),'模拟-模拟计算'!E624," ")</f>
        <v xml:space="preserve"> </v>
      </c>
      <c r="E599" s="104" t="str">
        <f>IF(AND(INT('模拟-模拟计算'!B624)&lt;='模拟-模拟计算'!$C$2,'模拟-模拟计算'!B624&gt;0),'模拟-模拟计算'!F624," ")</f>
        <v xml:space="preserve"> </v>
      </c>
      <c r="F599" s="51" t="str">
        <f>IF(AND(INT('模拟-模拟计算'!B624)&lt;='模拟-模拟计算'!$C$2,'模拟-模拟计算'!B624&gt;0),'模拟-模拟计算'!P624," ")</f>
        <v xml:space="preserve"> </v>
      </c>
      <c r="G599" s="52" t="str">
        <f>IF(AND(INT('模拟-模拟计算'!B624)&lt;='模拟-模拟计算'!$C$2,'模拟-模拟计算'!B624&gt;0),'模拟-模拟计算'!V624," ")</f>
        <v xml:space="preserve"> </v>
      </c>
      <c r="H599" s="52" t="str">
        <f>IF(AND(INT('模拟-模拟计算'!B624)&lt;='模拟-模拟计算'!$C$2,'模拟-模拟计算'!B624&gt;0),'模拟-模拟计算'!Y624," ")</f>
        <v xml:space="preserve"> </v>
      </c>
      <c r="I599" s="105" t="str">
        <f>IF(AND(INT('模拟-模拟计算'!B624)&lt;='模拟-模拟计算'!$C$2,'模拟-模拟计算'!B624&gt;0),'模拟-模拟计算'!AA624," ")</f>
        <v xml:space="preserve"> </v>
      </c>
    </row>
    <row r="600" spans="1:9" x14ac:dyDescent="0.2">
      <c r="A600" s="20">
        <f>INT('模拟-模拟计算'!B625+0.5)</f>
        <v>552</v>
      </c>
      <c r="B600" s="52" t="str">
        <f>IF(AND(INT('模拟-模拟计算'!B625)&lt;='模拟-模拟计算'!$C$2,'模拟-模拟计算'!B625&gt;0),'模拟-模拟计算'!B625," ")</f>
        <v xml:space="preserve"> </v>
      </c>
      <c r="C600" s="51" t="str">
        <f>IF(AND(INT('模拟-模拟计算'!B625)&lt;='模拟-模拟计算'!$C$2,'模拟-模拟计算'!B625&gt;0),'模拟-模拟计算'!C625," ")</f>
        <v xml:space="preserve"> </v>
      </c>
      <c r="D600" s="104" t="str">
        <f>IF(AND(INT('模拟-模拟计算'!B625)&lt;='模拟-模拟计算'!$C$2,'模拟-模拟计算'!B625&gt;0),'模拟-模拟计算'!E625," ")</f>
        <v xml:space="preserve"> </v>
      </c>
      <c r="E600" s="104" t="str">
        <f>IF(AND(INT('模拟-模拟计算'!B625)&lt;='模拟-模拟计算'!$C$2,'模拟-模拟计算'!B625&gt;0),'模拟-模拟计算'!F625," ")</f>
        <v xml:space="preserve"> </v>
      </c>
      <c r="F600" s="51" t="str">
        <f>IF(AND(INT('模拟-模拟计算'!B625)&lt;='模拟-模拟计算'!$C$2,'模拟-模拟计算'!B625&gt;0),'模拟-模拟计算'!P625," ")</f>
        <v xml:space="preserve"> </v>
      </c>
      <c r="G600" s="52" t="str">
        <f>IF(AND(INT('模拟-模拟计算'!B625)&lt;='模拟-模拟计算'!$C$2,'模拟-模拟计算'!B625&gt;0),'模拟-模拟计算'!V625," ")</f>
        <v xml:space="preserve"> </v>
      </c>
      <c r="H600" s="52" t="str">
        <f>IF(AND(INT('模拟-模拟计算'!B625)&lt;='模拟-模拟计算'!$C$2,'模拟-模拟计算'!B625&gt;0),'模拟-模拟计算'!Y625," ")</f>
        <v xml:space="preserve"> </v>
      </c>
      <c r="I600" s="105" t="str">
        <f>IF(AND(INT('模拟-模拟计算'!B625)&lt;='模拟-模拟计算'!$C$2,'模拟-模拟计算'!B625&gt;0),'模拟-模拟计算'!AA625," ")</f>
        <v xml:space="preserve"> </v>
      </c>
    </row>
    <row r="601" spans="1:9" x14ac:dyDescent="0.2">
      <c r="A601" s="20">
        <f>INT('模拟-模拟计算'!B626+0.5)</f>
        <v>553</v>
      </c>
      <c r="B601" s="52" t="str">
        <f>IF(AND(INT('模拟-模拟计算'!B626)&lt;='模拟-模拟计算'!$C$2,'模拟-模拟计算'!B626&gt;0),'模拟-模拟计算'!B626," ")</f>
        <v xml:space="preserve"> </v>
      </c>
      <c r="C601" s="51" t="str">
        <f>IF(AND(INT('模拟-模拟计算'!B626)&lt;='模拟-模拟计算'!$C$2,'模拟-模拟计算'!B626&gt;0),'模拟-模拟计算'!C626," ")</f>
        <v xml:space="preserve"> </v>
      </c>
      <c r="D601" s="104" t="str">
        <f>IF(AND(INT('模拟-模拟计算'!B626)&lt;='模拟-模拟计算'!$C$2,'模拟-模拟计算'!B626&gt;0),'模拟-模拟计算'!E626," ")</f>
        <v xml:space="preserve"> </v>
      </c>
      <c r="E601" s="104" t="str">
        <f>IF(AND(INT('模拟-模拟计算'!B626)&lt;='模拟-模拟计算'!$C$2,'模拟-模拟计算'!B626&gt;0),'模拟-模拟计算'!F626," ")</f>
        <v xml:space="preserve"> </v>
      </c>
      <c r="F601" s="51" t="str">
        <f>IF(AND(INT('模拟-模拟计算'!B626)&lt;='模拟-模拟计算'!$C$2,'模拟-模拟计算'!B626&gt;0),'模拟-模拟计算'!P626," ")</f>
        <v xml:space="preserve"> </v>
      </c>
      <c r="G601" s="52" t="str">
        <f>IF(AND(INT('模拟-模拟计算'!B626)&lt;='模拟-模拟计算'!$C$2,'模拟-模拟计算'!B626&gt;0),'模拟-模拟计算'!V626," ")</f>
        <v xml:space="preserve"> </v>
      </c>
      <c r="H601" s="52" t="str">
        <f>IF(AND(INT('模拟-模拟计算'!B626)&lt;='模拟-模拟计算'!$C$2,'模拟-模拟计算'!B626&gt;0),'模拟-模拟计算'!Y626," ")</f>
        <v xml:space="preserve"> </v>
      </c>
      <c r="I601" s="105" t="str">
        <f>IF(AND(INT('模拟-模拟计算'!B626)&lt;='模拟-模拟计算'!$C$2,'模拟-模拟计算'!B626&gt;0),'模拟-模拟计算'!AA626," ")</f>
        <v xml:space="preserve"> </v>
      </c>
    </row>
    <row r="602" spans="1:9" x14ac:dyDescent="0.2">
      <c r="A602" s="20">
        <f>INT('模拟-模拟计算'!B627+0.5)</f>
        <v>554</v>
      </c>
      <c r="B602" s="52" t="str">
        <f>IF(AND(INT('模拟-模拟计算'!B627)&lt;='模拟-模拟计算'!$C$2,'模拟-模拟计算'!B627&gt;0),'模拟-模拟计算'!B627," ")</f>
        <v xml:space="preserve"> </v>
      </c>
      <c r="C602" s="51" t="str">
        <f>IF(AND(INT('模拟-模拟计算'!B627)&lt;='模拟-模拟计算'!$C$2,'模拟-模拟计算'!B627&gt;0),'模拟-模拟计算'!C627," ")</f>
        <v xml:space="preserve"> </v>
      </c>
      <c r="D602" s="104" t="str">
        <f>IF(AND(INT('模拟-模拟计算'!B627)&lt;='模拟-模拟计算'!$C$2,'模拟-模拟计算'!B627&gt;0),'模拟-模拟计算'!E627," ")</f>
        <v xml:space="preserve"> </v>
      </c>
      <c r="E602" s="104" t="str">
        <f>IF(AND(INT('模拟-模拟计算'!B627)&lt;='模拟-模拟计算'!$C$2,'模拟-模拟计算'!B627&gt;0),'模拟-模拟计算'!F627," ")</f>
        <v xml:space="preserve"> </v>
      </c>
      <c r="F602" s="51" t="str">
        <f>IF(AND(INT('模拟-模拟计算'!B627)&lt;='模拟-模拟计算'!$C$2,'模拟-模拟计算'!B627&gt;0),'模拟-模拟计算'!P627," ")</f>
        <v xml:space="preserve"> </v>
      </c>
      <c r="G602" s="52" t="str">
        <f>IF(AND(INT('模拟-模拟计算'!B627)&lt;='模拟-模拟计算'!$C$2,'模拟-模拟计算'!B627&gt;0),'模拟-模拟计算'!V627," ")</f>
        <v xml:space="preserve"> </v>
      </c>
      <c r="H602" s="52" t="str">
        <f>IF(AND(INT('模拟-模拟计算'!B627)&lt;='模拟-模拟计算'!$C$2,'模拟-模拟计算'!B627&gt;0),'模拟-模拟计算'!Y627," ")</f>
        <v xml:space="preserve"> </v>
      </c>
      <c r="I602" s="105" t="str">
        <f>IF(AND(INT('模拟-模拟计算'!B627)&lt;='模拟-模拟计算'!$C$2,'模拟-模拟计算'!B627&gt;0),'模拟-模拟计算'!AA627," ")</f>
        <v xml:space="preserve"> </v>
      </c>
    </row>
    <row r="603" spans="1:9" x14ac:dyDescent="0.2">
      <c r="A603" s="20">
        <f>INT('模拟-模拟计算'!B628+0.5)</f>
        <v>554</v>
      </c>
      <c r="B603" s="52" t="str">
        <f>IF(AND(INT('模拟-模拟计算'!B628)&lt;='模拟-模拟计算'!$C$2,'模拟-模拟计算'!B628&gt;0),'模拟-模拟计算'!B628," ")</f>
        <v xml:space="preserve"> </v>
      </c>
      <c r="C603" s="51" t="str">
        <f>IF(AND(INT('模拟-模拟计算'!B628)&lt;='模拟-模拟计算'!$C$2,'模拟-模拟计算'!B628&gt;0),'模拟-模拟计算'!C628," ")</f>
        <v xml:space="preserve"> </v>
      </c>
      <c r="D603" s="104" t="str">
        <f>IF(AND(INT('模拟-模拟计算'!B628)&lt;='模拟-模拟计算'!$C$2,'模拟-模拟计算'!B628&gt;0),'模拟-模拟计算'!E628," ")</f>
        <v xml:space="preserve"> </v>
      </c>
      <c r="E603" s="104" t="str">
        <f>IF(AND(INT('模拟-模拟计算'!B628)&lt;='模拟-模拟计算'!$C$2,'模拟-模拟计算'!B628&gt;0),'模拟-模拟计算'!F628," ")</f>
        <v xml:space="preserve"> </v>
      </c>
      <c r="F603" s="51" t="str">
        <f>IF(AND(INT('模拟-模拟计算'!B628)&lt;='模拟-模拟计算'!$C$2,'模拟-模拟计算'!B628&gt;0),'模拟-模拟计算'!P628," ")</f>
        <v xml:space="preserve"> </v>
      </c>
      <c r="G603" s="52" t="str">
        <f>IF(AND(INT('模拟-模拟计算'!B628)&lt;='模拟-模拟计算'!$C$2,'模拟-模拟计算'!B628&gt;0),'模拟-模拟计算'!V628," ")</f>
        <v xml:space="preserve"> </v>
      </c>
      <c r="H603" s="52" t="str">
        <f>IF(AND(INT('模拟-模拟计算'!B628)&lt;='模拟-模拟计算'!$C$2,'模拟-模拟计算'!B628&gt;0),'模拟-模拟计算'!Y628," ")</f>
        <v xml:space="preserve"> </v>
      </c>
      <c r="I603" s="105" t="str">
        <f>IF(AND(INT('模拟-模拟计算'!B628)&lt;='模拟-模拟计算'!$C$2,'模拟-模拟计算'!B628&gt;0),'模拟-模拟计算'!AA628," ")</f>
        <v xml:space="preserve"> </v>
      </c>
    </row>
    <row r="604" spans="1:9" x14ac:dyDescent="0.2">
      <c r="A604" s="20">
        <f>INT('模拟-模拟计算'!B629+0.5)</f>
        <v>555</v>
      </c>
      <c r="B604" s="52" t="str">
        <f>IF(AND(INT('模拟-模拟计算'!B629)&lt;='模拟-模拟计算'!$C$2,'模拟-模拟计算'!B629&gt;0),'模拟-模拟计算'!B629," ")</f>
        <v xml:space="preserve"> </v>
      </c>
      <c r="C604" s="51" t="str">
        <f>IF(AND(INT('模拟-模拟计算'!B629)&lt;='模拟-模拟计算'!$C$2,'模拟-模拟计算'!B629&gt;0),'模拟-模拟计算'!C629," ")</f>
        <v xml:space="preserve"> </v>
      </c>
      <c r="D604" s="104" t="str">
        <f>IF(AND(INT('模拟-模拟计算'!B629)&lt;='模拟-模拟计算'!$C$2,'模拟-模拟计算'!B629&gt;0),'模拟-模拟计算'!E629," ")</f>
        <v xml:space="preserve"> </v>
      </c>
      <c r="E604" s="104" t="str">
        <f>IF(AND(INT('模拟-模拟计算'!B629)&lt;='模拟-模拟计算'!$C$2,'模拟-模拟计算'!B629&gt;0),'模拟-模拟计算'!F629," ")</f>
        <v xml:space="preserve"> </v>
      </c>
      <c r="F604" s="51" t="str">
        <f>IF(AND(INT('模拟-模拟计算'!B629)&lt;='模拟-模拟计算'!$C$2,'模拟-模拟计算'!B629&gt;0),'模拟-模拟计算'!P629," ")</f>
        <v xml:space="preserve"> </v>
      </c>
      <c r="G604" s="52" t="str">
        <f>IF(AND(INT('模拟-模拟计算'!B629)&lt;='模拟-模拟计算'!$C$2,'模拟-模拟计算'!B629&gt;0),'模拟-模拟计算'!V629," ")</f>
        <v xml:space="preserve"> </v>
      </c>
      <c r="H604" s="52" t="str">
        <f>IF(AND(INT('模拟-模拟计算'!B629)&lt;='模拟-模拟计算'!$C$2,'模拟-模拟计算'!B629&gt;0),'模拟-模拟计算'!Y629," ")</f>
        <v xml:space="preserve"> </v>
      </c>
      <c r="I604" s="105" t="str">
        <f>IF(AND(INT('模拟-模拟计算'!B629)&lt;='模拟-模拟计算'!$C$2,'模拟-模拟计算'!B629&gt;0),'模拟-模拟计算'!AA629," ")</f>
        <v xml:space="preserve"> </v>
      </c>
    </row>
    <row r="605" spans="1:9" x14ac:dyDescent="0.2">
      <c r="A605" s="20">
        <f>INT('模拟-模拟计算'!B630+0.5)</f>
        <v>556</v>
      </c>
      <c r="B605" s="52" t="str">
        <f>IF(AND(INT('模拟-模拟计算'!B630)&lt;='模拟-模拟计算'!$C$2,'模拟-模拟计算'!B630&gt;0),'模拟-模拟计算'!B630," ")</f>
        <v xml:space="preserve"> </v>
      </c>
      <c r="C605" s="51" t="str">
        <f>IF(AND(INT('模拟-模拟计算'!B630)&lt;='模拟-模拟计算'!$C$2,'模拟-模拟计算'!B630&gt;0),'模拟-模拟计算'!C630," ")</f>
        <v xml:space="preserve"> </v>
      </c>
      <c r="D605" s="104" t="str">
        <f>IF(AND(INT('模拟-模拟计算'!B630)&lt;='模拟-模拟计算'!$C$2,'模拟-模拟计算'!B630&gt;0),'模拟-模拟计算'!E630," ")</f>
        <v xml:space="preserve"> </v>
      </c>
      <c r="E605" s="104" t="str">
        <f>IF(AND(INT('模拟-模拟计算'!B630)&lt;='模拟-模拟计算'!$C$2,'模拟-模拟计算'!B630&gt;0),'模拟-模拟计算'!F630," ")</f>
        <v xml:space="preserve"> </v>
      </c>
      <c r="F605" s="51" t="str">
        <f>IF(AND(INT('模拟-模拟计算'!B630)&lt;='模拟-模拟计算'!$C$2,'模拟-模拟计算'!B630&gt;0),'模拟-模拟计算'!P630," ")</f>
        <v xml:space="preserve"> </v>
      </c>
      <c r="G605" s="52" t="str">
        <f>IF(AND(INT('模拟-模拟计算'!B630)&lt;='模拟-模拟计算'!$C$2,'模拟-模拟计算'!B630&gt;0),'模拟-模拟计算'!V630," ")</f>
        <v xml:space="preserve"> </v>
      </c>
      <c r="H605" s="52" t="str">
        <f>IF(AND(INT('模拟-模拟计算'!B630)&lt;='模拟-模拟计算'!$C$2,'模拟-模拟计算'!B630&gt;0),'模拟-模拟计算'!Y630," ")</f>
        <v xml:space="preserve"> </v>
      </c>
      <c r="I605" s="105" t="str">
        <f>IF(AND(INT('模拟-模拟计算'!B630)&lt;='模拟-模拟计算'!$C$2,'模拟-模拟计算'!B630&gt;0),'模拟-模拟计算'!AA630," ")</f>
        <v xml:space="preserve"> </v>
      </c>
    </row>
    <row r="606" spans="1:9" x14ac:dyDescent="0.2">
      <c r="A606" s="20">
        <f>INT('模拟-模拟计算'!B631+0.5)</f>
        <v>557</v>
      </c>
      <c r="B606" s="52" t="str">
        <f>IF(AND(INT('模拟-模拟计算'!B631)&lt;='模拟-模拟计算'!$C$2,'模拟-模拟计算'!B631&gt;0),'模拟-模拟计算'!B631," ")</f>
        <v xml:space="preserve"> </v>
      </c>
      <c r="C606" s="51" t="str">
        <f>IF(AND(INT('模拟-模拟计算'!B631)&lt;='模拟-模拟计算'!$C$2,'模拟-模拟计算'!B631&gt;0),'模拟-模拟计算'!C631," ")</f>
        <v xml:space="preserve"> </v>
      </c>
      <c r="D606" s="104" t="str">
        <f>IF(AND(INT('模拟-模拟计算'!B631)&lt;='模拟-模拟计算'!$C$2,'模拟-模拟计算'!B631&gt;0),'模拟-模拟计算'!E631," ")</f>
        <v xml:space="preserve"> </v>
      </c>
      <c r="E606" s="104" t="str">
        <f>IF(AND(INT('模拟-模拟计算'!B631)&lt;='模拟-模拟计算'!$C$2,'模拟-模拟计算'!B631&gt;0),'模拟-模拟计算'!F631," ")</f>
        <v xml:space="preserve"> </v>
      </c>
      <c r="F606" s="51" t="str">
        <f>IF(AND(INT('模拟-模拟计算'!B631)&lt;='模拟-模拟计算'!$C$2,'模拟-模拟计算'!B631&gt;0),'模拟-模拟计算'!P631," ")</f>
        <v xml:space="preserve"> </v>
      </c>
      <c r="G606" s="52" t="str">
        <f>IF(AND(INT('模拟-模拟计算'!B631)&lt;='模拟-模拟计算'!$C$2,'模拟-模拟计算'!B631&gt;0),'模拟-模拟计算'!V631," ")</f>
        <v xml:space="preserve"> </v>
      </c>
      <c r="H606" s="52" t="str">
        <f>IF(AND(INT('模拟-模拟计算'!B631)&lt;='模拟-模拟计算'!$C$2,'模拟-模拟计算'!B631&gt;0),'模拟-模拟计算'!Y631," ")</f>
        <v xml:space="preserve"> </v>
      </c>
      <c r="I606" s="105" t="str">
        <f>IF(AND(INT('模拟-模拟计算'!B631)&lt;='模拟-模拟计算'!$C$2,'模拟-模拟计算'!B631&gt;0),'模拟-模拟计算'!AA631," ")</f>
        <v xml:space="preserve"> </v>
      </c>
    </row>
    <row r="607" spans="1:9" x14ac:dyDescent="0.2">
      <c r="A607" s="20">
        <f>INT('模拟-模拟计算'!B632+0.5)</f>
        <v>558</v>
      </c>
      <c r="B607" s="52" t="str">
        <f>IF(AND(INT('模拟-模拟计算'!B632)&lt;='模拟-模拟计算'!$C$2,'模拟-模拟计算'!B632&gt;0),'模拟-模拟计算'!B632," ")</f>
        <v xml:space="preserve"> </v>
      </c>
      <c r="C607" s="51" t="str">
        <f>IF(AND(INT('模拟-模拟计算'!B632)&lt;='模拟-模拟计算'!$C$2,'模拟-模拟计算'!B632&gt;0),'模拟-模拟计算'!C632," ")</f>
        <v xml:space="preserve"> </v>
      </c>
      <c r="D607" s="104" t="str">
        <f>IF(AND(INT('模拟-模拟计算'!B632)&lt;='模拟-模拟计算'!$C$2,'模拟-模拟计算'!B632&gt;0),'模拟-模拟计算'!E632," ")</f>
        <v xml:space="preserve"> </v>
      </c>
      <c r="E607" s="104" t="str">
        <f>IF(AND(INT('模拟-模拟计算'!B632)&lt;='模拟-模拟计算'!$C$2,'模拟-模拟计算'!B632&gt;0),'模拟-模拟计算'!F632," ")</f>
        <v xml:space="preserve"> </v>
      </c>
      <c r="F607" s="51" t="str">
        <f>IF(AND(INT('模拟-模拟计算'!B632)&lt;='模拟-模拟计算'!$C$2,'模拟-模拟计算'!B632&gt;0),'模拟-模拟计算'!P632," ")</f>
        <v xml:space="preserve"> </v>
      </c>
      <c r="G607" s="52" t="str">
        <f>IF(AND(INT('模拟-模拟计算'!B632)&lt;='模拟-模拟计算'!$C$2,'模拟-模拟计算'!B632&gt;0),'模拟-模拟计算'!V632," ")</f>
        <v xml:space="preserve"> </v>
      </c>
      <c r="H607" s="52" t="str">
        <f>IF(AND(INT('模拟-模拟计算'!B632)&lt;='模拟-模拟计算'!$C$2,'模拟-模拟计算'!B632&gt;0),'模拟-模拟计算'!Y632," ")</f>
        <v xml:space="preserve"> </v>
      </c>
      <c r="I607" s="105" t="str">
        <f>IF(AND(INT('模拟-模拟计算'!B632)&lt;='模拟-模拟计算'!$C$2,'模拟-模拟计算'!B632&gt;0),'模拟-模拟计算'!AA632," ")</f>
        <v xml:space="preserve"> </v>
      </c>
    </row>
    <row r="608" spans="1:9" x14ac:dyDescent="0.2">
      <c r="A608" s="20">
        <f>INT('模拟-模拟计算'!B633+0.5)</f>
        <v>559</v>
      </c>
      <c r="B608" s="52" t="str">
        <f>IF(AND(INT('模拟-模拟计算'!B633)&lt;='模拟-模拟计算'!$C$2,'模拟-模拟计算'!B633&gt;0),'模拟-模拟计算'!B633," ")</f>
        <v xml:space="preserve"> </v>
      </c>
      <c r="C608" s="51" t="str">
        <f>IF(AND(INT('模拟-模拟计算'!B633)&lt;='模拟-模拟计算'!$C$2,'模拟-模拟计算'!B633&gt;0),'模拟-模拟计算'!C633," ")</f>
        <v xml:space="preserve"> </v>
      </c>
      <c r="D608" s="104" t="str">
        <f>IF(AND(INT('模拟-模拟计算'!B633)&lt;='模拟-模拟计算'!$C$2,'模拟-模拟计算'!B633&gt;0),'模拟-模拟计算'!E633," ")</f>
        <v xml:space="preserve"> </v>
      </c>
      <c r="E608" s="104" t="str">
        <f>IF(AND(INT('模拟-模拟计算'!B633)&lt;='模拟-模拟计算'!$C$2,'模拟-模拟计算'!B633&gt;0),'模拟-模拟计算'!F633," ")</f>
        <v xml:space="preserve"> </v>
      </c>
      <c r="F608" s="51" t="str">
        <f>IF(AND(INT('模拟-模拟计算'!B633)&lt;='模拟-模拟计算'!$C$2,'模拟-模拟计算'!B633&gt;0),'模拟-模拟计算'!P633," ")</f>
        <v xml:space="preserve"> </v>
      </c>
      <c r="G608" s="52" t="str">
        <f>IF(AND(INT('模拟-模拟计算'!B633)&lt;='模拟-模拟计算'!$C$2,'模拟-模拟计算'!B633&gt;0),'模拟-模拟计算'!V633," ")</f>
        <v xml:space="preserve"> </v>
      </c>
      <c r="H608" s="52" t="str">
        <f>IF(AND(INT('模拟-模拟计算'!B633)&lt;='模拟-模拟计算'!$C$2,'模拟-模拟计算'!B633&gt;0),'模拟-模拟计算'!Y633," ")</f>
        <v xml:space="preserve"> </v>
      </c>
      <c r="I608" s="105" t="str">
        <f>IF(AND(INT('模拟-模拟计算'!B633)&lt;='模拟-模拟计算'!$C$2,'模拟-模拟计算'!B633&gt;0),'模拟-模拟计算'!AA633," ")</f>
        <v xml:space="preserve"> </v>
      </c>
    </row>
    <row r="609" spans="1:9" x14ac:dyDescent="0.2">
      <c r="A609" s="20">
        <f>INT('模拟-模拟计算'!B634+0.5)</f>
        <v>560</v>
      </c>
      <c r="B609" s="52" t="str">
        <f>IF(AND(INT('模拟-模拟计算'!B634)&lt;='模拟-模拟计算'!$C$2,'模拟-模拟计算'!B634&gt;0),'模拟-模拟计算'!B634," ")</f>
        <v xml:space="preserve"> </v>
      </c>
      <c r="C609" s="51" t="str">
        <f>IF(AND(INT('模拟-模拟计算'!B634)&lt;='模拟-模拟计算'!$C$2,'模拟-模拟计算'!B634&gt;0),'模拟-模拟计算'!C634," ")</f>
        <v xml:space="preserve"> </v>
      </c>
      <c r="D609" s="104" t="str">
        <f>IF(AND(INT('模拟-模拟计算'!B634)&lt;='模拟-模拟计算'!$C$2,'模拟-模拟计算'!B634&gt;0),'模拟-模拟计算'!E634," ")</f>
        <v xml:space="preserve"> </v>
      </c>
      <c r="E609" s="104" t="str">
        <f>IF(AND(INT('模拟-模拟计算'!B634)&lt;='模拟-模拟计算'!$C$2,'模拟-模拟计算'!B634&gt;0),'模拟-模拟计算'!F634," ")</f>
        <v xml:space="preserve"> </v>
      </c>
      <c r="F609" s="51" t="str">
        <f>IF(AND(INT('模拟-模拟计算'!B634)&lt;='模拟-模拟计算'!$C$2,'模拟-模拟计算'!B634&gt;0),'模拟-模拟计算'!P634," ")</f>
        <v xml:space="preserve"> </v>
      </c>
      <c r="G609" s="52" t="str">
        <f>IF(AND(INT('模拟-模拟计算'!B634)&lt;='模拟-模拟计算'!$C$2,'模拟-模拟计算'!B634&gt;0),'模拟-模拟计算'!V634," ")</f>
        <v xml:space="preserve"> </v>
      </c>
      <c r="H609" s="52" t="str">
        <f>IF(AND(INT('模拟-模拟计算'!B634)&lt;='模拟-模拟计算'!$C$2,'模拟-模拟计算'!B634&gt;0),'模拟-模拟计算'!Y634," ")</f>
        <v xml:space="preserve"> </v>
      </c>
      <c r="I609" s="105" t="str">
        <f>IF(AND(INT('模拟-模拟计算'!B634)&lt;='模拟-模拟计算'!$C$2,'模拟-模拟计算'!B634&gt;0),'模拟-模拟计算'!AA634," ")</f>
        <v xml:space="preserve"> </v>
      </c>
    </row>
    <row r="610" spans="1:9" x14ac:dyDescent="0.2">
      <c r="A610" s="20">
        <f>INT('模拟-模拟计算'!B635+0.5)</f>
        <v>561</v>
      </c>
      <c r="B610" s="52" t="str">
        <f>IF(AND(INT('模拟-模拟计算'!B635)&lt;='模拟-模拟计算'!$C$2,'模拟-模拟计算'!B635&gt;0),'模拟-模拟计算'!B635," ")</f>
        <v xml:space="preserve"> </v>
      </c>
      <c r="C610" s="51" t="str">
        <f>IF(AND(INT('模拟-模拟计算'!B635)&lt;='模拟-模拟计算'!$C$2,'模拟-模拟计算'!B635&gt;0),'模拟-模拟计算'!C635," ")</f>
        <v xml:space="preserve"> </v>
      </c>
      <c r="D610" s="104" t="str">
        <f>IF(AND(INT('模拟-模拟计算'!B635)&lt;='模拟-模拟计算'!$C$2,'模拟-模拟计算'!B635&gt;0),'模拟-模拟计算'!E635," ")</f>
        <v xml:space="preserve"> </v>
      </c>
      <c r="E610" s="104" t="str">
        <f>IF(AND(INT('模拟-模拟计算'!B635)&lt;='模拟-模拟计算'!$C$2,'模拟-模拟计算'!B635&gt;0),'模拟-模拟计算'!F635," ")</f>
        <v xml:space="preserve"> </v>
      </c>
      <c r="F610" s="51" t="str">
        <f>IF(AND(INT('模拟-模拟计算'!B635)&lt;='模拟-模拟计算'!$C$2,'模拟-模拟计算'!B635&gt;0),'模拟-模拟计算'!P635," ")</f>
        <v xml:space="preserve"> </v>
      </c>
      <c r="G610" s="52" t="str">
        <f>IF(AND(INT('模拟-模拟计算'!B635)&lt;='模拟-模拟计算'!$C$2,'模拟-模拟计算'!B635&gt;0),'模拟-模拟计算'!V635," ")</f>
        <v xml:space="preserve"> </v>
      </c>
      <c r="H610" s="52" t="str">
        <f>IF(AND(INT('模拟-模拟计算'!B635)&lt;='模拟-模拟计算'!$C$2,'模拟-模拟计算'!B635&gt;0),'模拟-模拟计算'!Y635," ")</f>
        <v xml:space="preserve"> </v>
      </c>
      <c r="I610" s="105" t="str">
        <f>IF(AND(INT('模拟-模拟计算'!B635)&lt;='模拟-模拟计算'!$C$2,'模拟-模拟计算'!B635&gt;0),'模拟-模拟计算'!AA635," ")</f>
        <v xml:space="preserve"> </v>
      </c>
    </row>
    <row r="611" spans="1:9" x14ac:dyDescent="0.2">
      <c r="A611" s="20">
        <f>INT('模拟-模拟计算'!B636+0.5)</f>
        <v>562</v>
      </c>
      <c r="B611" s="52" t="str">
        <f>IF(AND(INT('模拟-模拟计算'!B636)&lt;='模拟-模拟计算'!$C$2,'模拟-模拟计算'!B636&gt;0),'模拟-模拟计算'!B636," ")</f>
        <v xml:space="preserve"> </v>
      </c>
      <c r="C611" s="51" t="str">
        <f>IF(AND(INT('模拟-模拟计算'!B636)&lt;='模拟-模拟计算'!$C$2,'模拟-模拟计算'!B636&gt;0),'模拟-模拟计算'!C636," ")</f>
        <v xml:space="preserve"> </v>
      </c>
      <c r="D611" s="104" t="str">
        <f>IF(AND(INT('模拟-模拟计算'!B636)&lt;='模拟-模拟计算'!$C$2,'模拟-模拟计算'!B636&gt;0),'模拟-模拟计算'!E636," ")</f>
        <v xml:space="preserve"> </v>
      </c>
      <c r="E611" s="104" t="str">
        <f>IF(AND(INT('模拟-模拟计算'!B636)&lt;='模拟-模拟计算'!$C$2,'模拟-模拟计算'!B636&gt;0),'模拟-模拟计算'!F636," ")</f>
        <v xml:space="preserve"> </v>
      </c>
      <c r="F611" s="51" t="str">
        <f>IF(AND(INT('模拟-模拟计算'!B636)&lt;='模拟-模拟计算'!$C$2,'模拟-模拟计算'!B636&gt;0),'模拟-模拟计算'!P636," ")</f>
        <v xml:space="preserve"> </v>
      </c>
      <c r="G611" s="52" t="str">
        <f>IF(AND(INT('模拟-模拟计算'!B636)&lt;='模拟-模拟计算'!$C$2,'模拟-模拟计算'!B636&gt;0),'模拟-模拟计算'!V636," ")</f>
        <v xml:space="preserve"> </v>
      </c>
      <c r="H611" s="52" t="str">
        <f>IF(AND(INT('模拟-模拟计算'!B636)&lt;='模拟-模拟计算'!$C$2,'模拟-模拟计算'!B636&gt;0),'模拟-模拟计算'!Y636," ")</f>
        <v xml:space="preserve"> </v>
      </c>
      <c r="I611" s="105" t="str">
        <f>IF(AND(INT('模拟-模拟计算'!B636)&lt;='模拟-模拟计算'!$C$2,'模拟-模拟计算'!B636&gt;0),'模拟-模拟计算'!AA636," ")</f>
        <v xml:space="preserve"> </v>
      </c>
    </row>
    <row r="612" spans="1:9" x14ac:dyDescent="0.2">
      <c r="A612" s="20">
        <f>INT('模拟-模拟计算'!B637+0.5)</f>
        <v>563</v>
      </c>
      <c r="B612" s="52" t="str">
        <f>IF(AND(INT('模拟-模拟计算'!B637)&lt;='模拟-模拟计算'!$C$2,'模拟-模拟计算'!B637&gt;0),'模拟-模拟计算'!B637," ")</f>
        <v xml:space="preserve"> </v>
      </c>
      <c r="C612" s="51" t="str">
        <f>IF(AND(INT('模拟-模拟计算'!B637)&lt;='模拟-模拟计算'!$C$2,'模拟-模拟计算'!B637&gt;0),'模拟-模拟计算'!C637," ")</f>
        <v xml:space="preserve"> </v>
      </c>
      <c r="D612" s="104" t="str">
        <f>IF(AND(INT('模拟-模拟计算'!B637)&lt;='模拟-模拟计算'!$C$2,'模拟-模拟计算'!B637&gt;0),'模拟-模拟计算'!E637," ")</f>
        <v xml:space="preserve"> </v>
      </c>
      <c r="E612" s="104" t="str">
        <f>IF(AND(INT('模拟-模拟计算'!B637)&lt;='模拟-模拟计算'!$C$2,'模拟-模拟计算'!B637&gt;0),'模拟-模拟计算'!F637," ")</f>
        <v xml:space="preserve"> </v>
      </c>
      <c r="F612" s="51" t="str">
        <f>IF(AND(INT('模拟-模拟计算'!B637)&lt;='模拟-模拟计算'!$C$2,'模拟-模拟计算'!B637&gt;0),'模拟-模拟计算'!P637," ")</f>
        <v xml:space="preserve"> </v>
      </c>
      <c r="G612" s="52" t="str">
        <f>IF(AND(INT('模拟-模拟计算'!B637)&lt;='模拟-模拟计算'!$C$2,'模拟-模拟计算'!B637&gt;0),'模拟-模拟计算'!V637," ")</f>
        <v xml:space="preserve"> </v>
      </c>
      <c r="H612" s="52" t="str">
        <f>IF(AND(INT('模拟-模拟计算'!B637)&lt;='模拟-模拟计算'!$C$2,'模拟-模拟计算'!B637&gt;0),'模拟-模拟计算'!Y637," ")</f>
        <v xml:space="preserve"> </v>
      </c>
      <c r="I612" s="105" t="str">
        <f>IF(AND(INT('模拟-模拟计算'!B637)&lt;='模拟-模拟计算'!$C$2,'模拟-模拟计算'!B637&gt;0),'模拟-模拟计算'!AA637," ")</f>
        <v xml:space="preserve"> </v>
      </c>
    </row>
    <row r="613" spans="1:9" x14ac:dyDescent="0.2">
      <c r="A613" s="20">
        <f>INT('模拟-模拟计算'!B638+0.5)</f>
        <v>564</v>
      </c>
      <c r="B613" s="52" t="str">
        <f>IF(AND(INT('模拟-模拟计算'!B638)&lt;='模拟-模拟计算'!$C$2,'模拟-模拟计算'!B638&gt;0),'模拟-模拟计算'!B638," ")</f>
        <v xml:space="preserve"> </v>
      </c>
      <c r="C613" s="51" t="str">
        <f>IF(AND(INT('模拟-模拟计算'!B638)&lt;='模拟-模拟计算'!$C$2,'模拟-模拟计算'!B638&gt;0),'模拟-模拟计算'!C638," ")</f>
        <v xml:space="preserve"> </v>
      </c>
      <c r="D613" s="104" t="str">
        <f>IF(AND(INT('模拟-模拟计算'!B638)&lt;='模拟-模拟计算'!$C$2,'模拟-模拟计算'!B638&gt;0),'模拟-模拟计算'!E638," ")</f>
        <v xml:space="preserve"> </v>
      </c>
      <c r="E613" s="104" t="str">
        <f>IF(AND(INT('模拟-模拟计算'!B638)&lt;='模拟-模拟计算'!$C$2,'模拟-模拟计算'!B638&gt;0),'模拟-模拟计算'!F638," ")</f>
        <v xml:space="preserve"> </v>
      </c>
      <c r="F613" s="51" t="str">
        <f>IF(AND(INT('模拟-模拟计算'!B638)&lt;='模拟-模拟计算'!$C$2,'模拟-模拟计算'!B638&gt;0),'模拟-模拟计算'!P638," ")</f>
        <v xml:space="preserve"> </v>
      </c>
      <c r="G613" s="52" t="str">
        <f>IF(AND(INT('模拟-模拟计算'!B638)&lt;='模拟-模拟计算'!$C$2,'模拟-模拟计算'!B638&gt;0),'模拟-模拟计算'!V638," ")</f>
        <v xml:space="preserve"> </v>
      </c>
      <c r="H613" s="52" t="str">
        <f>IF(AND(INT('模拟-模拟计算'!B638)&lt;='模拟-模拟计算'!$C$2,'模拟-模拟计算'!B638&gt;0),'模拟-模拟计算'!Y638," ")</f>
        <v xml:space="preserve"> </v>
      </c>
      <c r="I613" s="105" t="str">
        <f>IF(AND(INT('模拟-模拟计算'!B638)&lt;='模拟-模拟计算'!$C$2,'模拟-模拟计算'!B638&gt;0),'模拟-模拟计算'!AA638," ")</f>
        <v xml:space="preserve"> </v>
      </c>
    </row>
    <row r="614" spans="1:9" x14ac:dyDescent="0.2">
      <c r="A614" s="20">
        <f>INT('模拟-模拟计算'!B639+0.5)</f>
        <v>565</v>
      </c>
      <c r="B614" s="52" t="str">
        <f>IF(AND(INT('模拟-模拟计算'!B639)&lt;='模拟-模拟计算'!$C$2,'模拟-模拟计算'!B639&gt;0),'模拟-模拟计算'!B639," ")</f>
        <v xml:space="preserve"> </v>
      </c>
      <c r="C614" s="51" t="str">
        <f>IF(AND(INT('模拟-模拟计算'!B639)&lt;='模拟-模拟计算'!$C$2,'模拟-模拟计算'!B639&gt;0),'模拟-模拟计算'!C639," ")</f>
        <v xml:space="preserve"> </v>
      </c>
      <c r="D614" s="104" t="str">
        <f>IF(AND(INT('模拟-模拟计算'!B639)&lt;='模拟-模拟计算'!$C$2,'模拟-模拟计算'!B639&gt;0),'模拟-模拟计算'!E639," ")</f>
        <v xml:space="preserve"> </v>
      </c>
      <c r="E614" s="104" t="str">
        <f>IF(AND(INT('模拟-模拟计算'!B639)&lt;='模拟-模拟计算'!$C$2,'模拟-模拟计算'!B639&gt;0),'模拟-模拟计算'!F639," ")</f>
        <v xml:space="preserve"> </v>
      </c>
      <c r="F614" s="51" t="str">
        <f>IF(AND(INT('模拟-模拟计算'!B639)&lt;='模拟-模拟计算'!$C$2,'模拟-模拟计算'!B639&gt;0),'模拟-模拟计算'!P639," ")</f>
        <v xml:space="preserve"> </v>
      </c>
      <c r="G614" s="52" t="str">
        <f>IF(AND(INT('模拟-模拟计算'!B639)&lt;='模拟-模拟计算'!$C$2,'模拟-模拟计算'!B639&gt;0),'模拟-模拟计算'!V639," ")</f>
        <v xml:space="preserve"> </v>
      </c>
      <c r="H614" s="52" t="str">
        <f>IF(AND(INT('模拟-模拟计算'!B639)&lt;='模拟-模拟计算'!$C$2,'模拟-模拟计算'!B639&gt;0),'模拟-模拟计算'!Y639," ")</f>
        <v xml:space="preserve"> </v>
      </c>
      <c r="I614" s="105" t="str">
        <f>IF(AND(INT('模拟-模拟计算'!B639)&lt;='模拟-模拟计算'!$C$2,'模拟-模拟计算'!B639&gt;0),'模拟-模拟计算'!AA639," ")</f>
        <v xml:space="preserve"> </v>
      </c>
    </row>
    <row r="615" spans="1:9" x14ac:dyDescent="0.2">
      <c r="A615" s="20">
        <f>INT('模拟-模拟计算'!B640+0.5)</f>
        <v>565</v>
      </c>
      <c r="B615" s="52" t="str">
        <f>IF(AND(INT('模拟-模拟计算'!B640)&lt;='模拟-模拟计算'!$C$2,'模拟-模拟计算'!B640&gt;0),'模拟-模拟计算'!B640," ")</f>
        <v xml:space="preserve"> </v>
      </c>
      <c r="C615" s="51" t="str">
        <f>IF(AND(INT('模拟-模拟计算'!B640)&lt;='模拟-模拟计算'!$C$2,'模拟-模拟计算'!B640&gt;0),'模拟-模拟计算'!C640," ")</f>
        <v xml:space="preserve"> </v>
      </c>
      <c r="D615" s="104" t="str">
        <f>IF(AND(INT('模拟-模拟计算'!B640)&lt;='模拟-模拟计算'!$C$2,'模拟-模拟计算'!B640&gt;0),'模拟-模拟计算'!E640," ")</f>
        <v xml:space="preserve"> </v>
      </c>
      <c r="E615" s="104" t="str">
        <f>IF(AND(INT('模拟-模拟计算'!B640)&lt;='模拟-模拟计算'!$C$2,'模拟-模拟计算'!B640&gt;0),'模拟-模拟计算'!F640," ")</f>
        <v xml:space="preserve"> </v>
      </c>
      <c r="F615" s="51" t="str">
        <f>IF(AND(INT('模拟-模拟计算'!B640)&lt;='模拟-模拟计算'!$C$2,'模拟-模拟计算'!B640&gt;0),'模拟-模拟计算'!P640," ")</f>
        <v xml:space="preserve"> </v>
      </c>
      <c r="G615" s="52" t="str">
        <f>IF(AND(INT('模拟-模拟计算'!B640)&lt;='模拟-模拟计算'!$C$2,'模拟-模拟计算'!B640&gt;0),'模拟-模拟计算'!V640," ")</f>
        <v xml:space="preserve"> </v>
      </c>
      <c r="H615" s="52" t="str">
        <f>IF(AND(INT('模拟-模拟计算'!B640)&lt;='模拟-模拟计算'!$C$2,'模拟-模拟计算'!B640&gt;0),'模拟-模拟计算'!Y640," ")</f>
        <v xml:space="preserve"> </v>
      </c>
      <c r="I615" s="105" t="str">
        <f>IF(AND(INT('模拟-模拟计算'!B640)&lt;='模拟-模拟计算'!$C$2,'模拟-模拟计算'!B640&gt;0),'模拟-模拟计算'!AA640," ")</f>
        <v xml:space="preserve"> </v>
      </c>
    </row>
    <row r="616" spans="1:9" x14ac:dyDescent="0.2">
      <c r="A616" s="20">
        <f>INT('模拟-模拟计算'!B641+0.5)</f>
        <v>566</v>
      </c>
      <c r="B616" s="52" t="str">
        <f>IF(AND(INT('模拟-模拟计算'!B641)&lt;='模拟-模拟计算'!$C$2,'模拟-模拟计算'!B641&gt;0),'模拟-模拟计算'!B641," ")</f>
        <v xml:space="preserve"> </v>
      </c>
      <c r="C616" s="51" t="str">
        <f>IF(AND(INT('模拟-模拟计算'!B641)&lt;='模拟-模拟计算'!$C$2,'模拟-模拟计算'!B641&gt;0),'模拟-模拟计算'!C641," ")</f>
        <v xml:space="preserve"> </v>
      </c>
      <c r="D616" s="104" t="str">
        <f>IF(AND(INT('模拟-模拟计算'!B641)&lt;='模拟-模拟计算'!$C$2,'模拟-模拟计算'!B641&gt;0),'模拟-模拟计算'!E641," ")</f>
        <v xml:space="preserve"> </v>
      </c>
      <c r="E616" s="104" t="str">
        <f>IF(AND(INT('模拟-模拟计算'!B641)&lt;='模拟-模拟计算'!$C$2,'模拟-模拟计算'!B641&gt;0),'模拟-模拟计算'!F641," ")</f>
        <v xml:space="preserve"> </v>
      </c>
      <c r="F616" s="51" t="str">
        <f>IF(AND(INT('模拟-模拟计算'!B641)&lt;='模拟-模拟计算'!$C$2,'模拟-模拟计算'!B641&gt;0),'模拟-模拟计算'!P641," ")</f>
        <v xml:space="preserve"> </v>
      </c>
      <c r="G616" s="52" t="str">
        <f>IF(AND(INT('模拟-模拟计算'!B641)&lt;='模拟-模拟计算'!$C$2,'模拟-模拟计算'!B641&gt;0),'模拟-模拟计算'!V641," ")</f>
        <v xml:space="preserve"> </v>
      </c>
      <c r="H616" s="52" t="str">
        <f>IF(AND(INT('模拟-模拟计算'!B641)&lt;='模拟-模拟计算'!$C$2,'模拟-模拟计算'!B641&gt;0),'模拟-模拟计算'!Y641," ")</f>
        <v xml:space="preserve"> </v>
      </c>
      <c r="I616" s="105" t="str">
        <f>IF(AND(INT('模拟-模拟计算'!B641)&lt;='模拟-模拟计算'!$C$2,'模拟-模拟计算'!B641&gt;0),'模拟-模拟计算'!AA641," ")</f>
        <v xml:space="preserve"> </v>
      </c>
    </row>
    <row r="617" spans="1:9" x14ac:dyDescent="0.2">
      <c r="A617" s="20">
        <f>INT('模拟-模拟计算'!B642+0.5)</f>
        <v>567</v>
      </c>
      <c r="B617" s="52" t="str">
        <f>IF(AND(INT('模拟-模拟计算'!B642)&lt;='模拟-模拟计算'!$C$2,'模拟-模拟计算'!B642&gt;0),'模拟-模拟计算'!B642," ")</f>
        <v xml:space="preserve"> </v>
      </c>
      <c r="C617" s="51" t="str">
        <f>IF(AND(INT('模拟-模拟计算'!B642)&lt;='模拟-模拟计算'!$C$2,'模拟-模拟计算'!B642&gt;0),'模拟-模拟计算'!C642," ")</f>
        <v xml:space="preserve"> </v>
      </c>
      <c r="D617" s="104" t="str">
        <f>IF(AND(INT('模拟-模拟计算'!B642)&lt;='模拟-模拟计算'!$C$2,'模拟-模拟计算'!B642&gt;0),'模拟-模拟计算'!E642," ")</f>
        <v xml:space="preserve"> </v>
      </c>
      <c r="E617" s="104" t="str">
        <f>IF(AND(INT('模拟-模拟计算'!B642)&lt;='模拟-模拟计算'!$C$2,'模拟-模拟计算'!B642&gt;0),'模拟-模拟计算'!F642," ")</f>
        <v xml:space="preserve"> </v>
      </c>
      <c r="F617" s="51" t="str">
        <f>IF(AND(INT('模拟-模拟计算'!B642)&lt;='模拟-模拟计算'!$C$2,'模拟-模拟计算'!B642&gt;0),'模拟-模拟计算'!P642," ")</f>
        <v xml:space="preserve"> </v>
      </c>
      <c r="G617" s="52" t="str">
        <f>IF(AND(INT('模拟-模拟计算'!B642)&lt;='模拟-模拟计算'!$C$2,'模拟-模拟计算'!B642&gt;0),'模拟-模拟计算'!V642," ")</f>
        <v xml:space="preserve"> </v>
      </c>
      <c r="H617" s="52" t="str">
        <f>IF(AND(INT('模拟-模拟计算'!B642)&lt;='模拟-模拟计算'!$C$2,'模拟-模拟计算'!B642&gt;0),'模拟-模拟计算'!Y642," ")</f>
        <v xml:space="preserve"> </v>
      </c>
      <c r="I617" s="105" t="str">
        <f>IF(AND(INT('模拟-模拟计算'!B642)&lt;='模拟-模拟计算'!$C$2,'模拟-模拟计算'!B642&gt;0),'模拟-模拟计算'!AA642," ")</f>
        <v xml:space="preserve"> </v>
      </c>
    </row>
    <row r="618" spans="1:9" x14ac:dyDescent="0.2">
      <c r="A618" s="20">
        <f>INT('模拟-模拟计算'!B643+0.5)</f>
        <v>568</v>
      </c>
      <c r="B618" s="52" t="str">
        <f>IF(AND(INT('模拟-模拟计算'!B643)&lt;='模拟-模拟计算'!$C$2,'模拟-模拟计算'!B643&gt;0),'模拟-模拟计算'!B643," ")</f>
        <v xml:space="preserve"> </v>
      </c>
      <c r="C618" s="51" t="str">
        <f>IF(AND(INT('模拟-模拟计算'!B643)&lt;='模拟-模拟计算'!$C$2,'模拟-模拟计算'!B643&gt;0),'模拟-模拟计算'!C643," ")</f>
        <v xml:space="preserve"> </v>
      </c>
      <c r="D618" s="104" t="str">
        <f>IF(AND(INT('模拟-模拟计算'!B643)&lt;='模拟-模拟计算'!$C$2,'模拟-模拟计算'!B643&gt;0),'模拟-模拟计算'!E643," ")</f>
        <v xml:space="preserve"> </v>
      </c>
      <c r="E618" s="104" t="str">
        <f>IF(AND(INT('模拟-模拟计算'!B643)&lt;='模拟-模拟计算'!$C$2,'模拟-模拟计算'!B643&gt;0),'模拟-模拟计算'!F643," ")</f>
        <v xml:space="preserve"> </v>
      </c>
      <c r="F618" s="51" t="str">
        <f>IF(AND(INT('模拟-模拟计算'!B643)&lt;='模拟-模拟计算'!$C$2,'模拟-模拟计算'!B643&gt;0),'模拟-模拟计算'!P643," ")</f>
        <v xml:space="preserve"> </v>
      </c>
      <c r="G618" s="52" t="str">
        <f>IF(AND(INT('模拟-模拟计算'!B643)&lt;='模拟-模拟计算'!$C$2,'模拟-模拟计算'!B643&gt;0),'模拟-模拟计算'!V643," ")</f>
        <v xml:space="preserve"> </v>
      </c>
      <c r="H618" s="52" t="str">
        <f>IF(AND(INT('模拟-模拟计算'!B643)&lt;='模拟-模拟计算'!$C$2,'模拟-模拟计算'!B643&gt;0),'模拟-模拟计算'!Y643," ")</f>
        <v xml:space="preserve"> </v>
      </c>
      <c r="I618" s="105" t="str">
        <f>IF(AND(INT('模拟-模拟计算'!B643)&lt;='模拟-模拟计算'!$C$2,'模拟-模拟计算'!B643&gt;0),'模拟-模拟计算'!AA643," ")</f>
        <v xml:space="preserve"> </v>
      </c>
    </row>
    <row r="619" spans="1:9" x14ac:dyDescent="0.2">
      <c r="A619" s="20">
        <f>INT('模拟-模拟计算'!B644+0.5)</f>
        <v>569</v>
      </c>
      <c r="B619" s="52" t="str">
        <f>IF(AND(INT('模拟-模拟计算'!B644)&lt;='模拟-模拟计算'!$C$2,'模拟-模拟计算'!B644&gt;0),'模拟-模拟计算'!B644," ")</f>
        <v xml:space="preserve"> </v>
      </c>
      <c r="C619" s="51" t="str">
        <f>IF(AND(INT('模拟-模拟计算'!B644)&lt;='模拟-模拟计算'!$C$2,'模拟-模拟计算'!B644&gt;0),'模拟-模拟计算'!C644," ")</f>
        <v xml:space="preserve"> </v>
      </c>
      <c r="D619" s="104" t="str">
        <f>IF(AND(INT('模拟-模拟计算'!B644)&lt;='模拟-模拟计算'!$C$2,'模拟-模拟计算'!B644&gt;0),'模拟-模拟计算'!E644," ")</f>
        <v xml:space="preserve"> </v>
      </c>
      <c r="E619" s="104" t="str">
        <f>IF(AND(INT('模拟-模拟计算'!B644)&lt;='模拟-模拟计算'!$C$2,'模拟-模拟计算'!B644&gt;0),'模拟-模拟计算'!F644," ")</f>
        <v xml:space="preserve"> </v>
      </c>
      <c r="F619" s="51" t="str">
        <f>IF(AND(INT('模拟-模拟计算'!B644)&lt;='模拟-模拟计算'!$C$2,'模拟-模拟计算'!B644&gt;0),'模拟-模拟计算'!P644," ")</f>
        <v xml:space="preserve"> </v>
      </c>
      <c r="G619" s="52" t="str">
        <f>IF(AND(INT('模拟-模拟计算'!B644)&lt;='模拟-模拟计算'!$C$2,'模拟-模拟计算'!B644&gt;0),'模拟-模拟计算'!V644," ")</f>
        <v xml:space="preserve"> </v>
      </c>
      <c r="H619" s="52" t="str">
        <f>IF(AND(INT('模拟-模拟计算'!B644)&lt;='模拟-模拟计算'!$C$2,'模拟-模拟计算'!B644&gt;0),'模拟-模拟计算'!Y644," ")</f>
        <v xml:space="preserve"> </v>
      </c>
      <c r="I619" s="105" t="str">
        <f>IF(AND(INT('模拟-模拟计算'!B644)&lt;='模拟-模拟计算'!$C$2,'模拟-模拟计算'!B644&gt;0),'模拟-模拟计算'!AA644," ")</f>
        <v xml:space="preserve"> </v>
      </c>
    </row>
    <row r="620" spans="1:9" x14ac:dyDescent="0.2">
      <c r="A620" s="20">
        <f>INT('模拟-模拟计算'!B645+0.5)</f>
        <v>570</v>
      </c>
      <c r="B620" s="52" t="str">
        <f>IF(AND(INT('模拟-模拟计算'!B645)&lt;='模拟-模拟计算'!$C$2,'模拟-模拟计算'!B645&gt;0),'模拟-模拟计算'!B645," ")</f>
        <v xml:space="preserve"> </v>
      </c>
      <c r="C620" s="51" t="str">
        <f>IF(AND(INT('模拟-模拟计算'!B645)&lt;='模拟-模拟计算'!$C$2,'模拟-模拟计算'!B645&gt;0),'模拟-模拟计算'!C645," ")</f>
        <v xml:space="preserve"> </v>
      </c>
      <c r="D620" s="104" t="str">
        <f>IF(AND(INT('模拟-模拟计算'!B645)&lt;='模拟-模拟计算'!$C$2,'模拟-模拟计算'!B645&gt;0),'模拟-模拟计算'!E645," ")</f>
        <v xml:space="preserve"> </v>
      </c>
      <c r="E620" s="104" t="str">
        <f>IF(AND(INT('模拟-模拟计算'!B645)&lt;='模拟-模拟计算'!$C$2,'模拟-模拟计算'!B645&gt;0),'模拟-模拟计算'!F645," ")</f>
        <v xml:space="preserve"> </v>
      </c>
      <c r="F620" s="51" t="str">
        <f>IF(AND(INT('模拟-模拟计算'!B645)&lt;='模拟-模拟计算'!$C$2,'模拟-模拟计算'!B645&gt;0),'模拟-模拟计算'!P645," ")</f>
        <v xml:space="preserve"> </v>
      </c>
      <c r="G620" s="52" t="str">
        <f>IF(AND(INT('模拟-模拟计算'!B645)&lt;='模拟-模拟计算'!$C$2,'模拟-模拟计算'!B645&gt;0),'模拟-模拟计算'!V645," ")</f>
        <v xml:space="preserve"> </v>
      </c>
      <c r="H620" s="52" t="str">
        <f>IF(AND(INT('模拟-模拟计算'!B645)&lt;='模拟-模拟计算'!$C$2,'模拟-模拟计算'!B645&gt;0),'模拟-模拟计算'!Y645," ")</f>
        <v xml:space="preserve"> </v>
      </c>
      <c r="I620" s="105" t="str">
        <f>IF(AND(INT('模拟-模拟计算'!B645)&lt;='模拟-模拟计算'!$C$2,'模拟-模拟计算'!B645&gt;0),'模拟-模拟计算'!AA645," ")</f>
        <v xml:space="preserve"> </v>
      </c>
    </row>
    <row r="621" spans="1:9" x14ac:dyDescent="0.2">
      <c r="A621" s="20">
        <f>INT('模拟-模拟计算'!B646+0.5)</f>
        <v>571</v>
      </c>
      <c r="B621" s="52" t="str">
        <f>IF(AND(INT('模拟-模拟计算'!B646)&lt;='模拟-模拟计算'!$C$2,'模拟-模拟计算'!B646&gt;0),'模拟-模拟计算'!B646," ")</f>
        <v xml:space="preserve"> </v>
      </c>
      <c r="C621" s="51" t="str">
        <f>IF(AND(INT('模拟-模拟计算'!B646)&lt;='模拟-模拟计算'!$C$2,'模拟-模拟计算'!B646&gt;0),'模拟-模拟计算'!C646," ")</f>
        <v xml:space="preserve"> </v>
      </c>
      <c r="D621" s="104" t="str">
        <f>IF(AND(INT('模拟-模拟计算'!B646)&lt;='模拟-模拟计算'!$C$2,'模拟-模拟计算'!B646&gt;0),'模拟-模拟计算'!E646," ")</f>
        <v xml:space="preserve"> </v>
      </c>
      <c r="E621" s="104" t="str">
        <f>IF(AND(INT('模拟-模拟计算'!B646)&lt;='模拟-模拟计算'!$C$2,'模拟-模拟计算'!B646&gt;0),'模拟-模拟计算'!F646," ")</f>
        <v xml:space="preserve"> </v>
      </c>
      <c r="F621" s="51" t="str">
        <f>IF(AND(INT('模拟-模拟计算'!B646)&lt;='模拟-模拟计算'!$C$2,'模拟-模拟计算'!B646&gt;0),'模拟-模拟计算'!P646," ")</f>
        <v xml:space="preserve"> </v>
      </c>
      <c r="G621" s="52" t="str">
        <f>IF(AND(INT('模拟-模拟计算'!B646)&lt;='模拟-模拟计算'!$C$2,'模拟-模拟计算'!B646&gt;0),'模拟-模拟计算'!V646," ")</f>
        <v xml:space="preserve"> </v>
      </c>
      <c r="H621" s="52" t="str">
        <f>IF(AND(INT('模拟-模拟计算'!B646)&lt;='模拟-模拟计算'!$C$2,'模拟-模拟计算'!B646&gt;0),'模拟-模拟计算'!Y646," ")</f>
        <v xml:space="preserve"> </v>
      </c>
      <c r="I621" s="105" t="str">
        <f>IF(AND(INT('模拟-模拟计算'!B646)&lt;='模拟-模拟计算'!$C$2,'模拟-模拟计算'!B646&gt;0),'模拟-模拟计算'!AA646," ")</f>
        <v xml:space="preserve"> </v>
      </c>
    </row>
    <row r="622" spans="1:9" x14ac:dyDescent="0.2">
      <c r="A622" s="20">
        <f>INT('模拟-模拟计算'!B647+0.5)</f>
        <v>572</v>
      </c>
      <c r="B622" s="52" t="str">
        <f>IF(AND(INT('模拟-模拟计算'!B647)&lt;='模拟-模拟计算'!$C$2,'模拟-模拟计算'!B647&gt;0),'模拟-模拟计算'!B647," ")</f>
        <v xml:space="preserve"> </v>
      </c>
      <c r="C622" s="51" t="str">
        <f>IF(AND(INT('模拟-模拟计算'!B647)&lt;='模拟-模拟计算'!$C$2,'模拟-模拟计算'!B647&gt;0),'模拟-模拟计算'!C647," ")</f>
        <v xml:space="preserve"> </v>
      </c>
      <c r="D622" s="104" t="str">
        <f>IF(AND(INT('模拟-模拟计算'!B647)&lt;='模拟-模拟计算'!$C$2,'模拟-模拟计算'!B647&gt;0),'模拟-模拟计算'!E647," ")</f>
        <v xml:space="preserve"> </v>
      </c>
      <c r="E622" s="104" t="str">
        <f>IF(AND(INT('模拟-模拟计算'!B647)&lt;='模拟-模拟计算'!$C$2,'模拟-模拟计算'!B647&gt;0),'模拟-模拟计算'!F647," ")</f>
        <v xml:space="preserve"> </v>
      </c>
      <c r="F622" s="51" t="str">
        <f>IF(AND(INT('模拟-模拟计算'!B647)&lt;='模拟-模拟计算'!$C$2,'模拟-模拟计算'!B647&gt;0),'模拟-模拟计算'!P647," ")</f>
        <v xml:space="preserve"> </v>
      </c>
      <c r="G622" s="52" t="str">
        <f>IF(AND(INT('模拟-模拟计算'!B647)&lt;='模拟-模拟计算'!$C$2,'模拟-模拟计算'!B647&gt;0),'模拟-模拟计算'!V647," ")</f>
        <v xml:space="preserve"> </v>
      </c>
      <c r="H622" s="52" t="str">
        <f>IF(AND(INT('模拟-模拟计算'!B647)&lt;='模拟-模拟计算'!$C$2,'模拟-模拟计算'!B647&gt;0),'模拟-模拟计算'!Y647," ")</f>
        <v xml:space="preserve"> </v>
      </c>
      <c r="I622" s="105" t="str">
        <f>IF(AND(INT('模拟-模拟计算'!B647)&lt;='模拟-模拟计算'!$C$2,'模拟-模拟计算'!B647&gt;0),'模拟-模拟计算'!AA647," ")</f>
        <v xml:space="preserve"> </v>
      </c>
    </row>
    <row r="623" spans="1:9" x14ac:dyDescent="0.2">
      <c r="A623" s="20">
        <f>INT('模拟-模拟计算'!B648+0.5)</f>
        <v>573</v>
      </c>
      <c r="B623" s="52" t="str">
        <f>IF(AND(INT('模拟-模拟计算'!B648)&lt;='模拟-模拟计算'!$C$2,'模拟-模拟计算'!B648&gt;0),'模拟-模拟计算'!B648," ")</f>
        <v xml:space="preserve"> </v>
      </c>
      <c r="C623" s="51" t="str">
        <f>IF(AND(INT('模拟-模拟计算'!B648)&lt;='模拟-模拟计算'!$C$2,'模拟-模拟计算'!B648&gt;0),'模拟-模拟计算'!C648," ")</f>
        <v xml:space="preserve"> </v>
      </c>
      <c r="D623" s="104" t="str">
        <f>IF(AND(INT('模拟-模拟计算'!B648)&lt;='模拟-模拟计算'!$C$2,'模拟-模拟计算'!B648&gt;0),'模拟-模拟计算'!E648," ")</f>
        <v xml:space="preserve"> </v>
      </c>
      <c r="E623" s="104" t="str">
        <f>IF(AND(INT('模拟-模拟计算'!B648)&lt;='模拟-模拟计算'!$C$2,'模拟-模拟计算'!B648&gt;0),'模拟-模拟计算'!F648," ")</f>
        <v xml:space="preserve"> </v>
      </c>
      <c r="F623" s="51" t="str">
        <f>IF(AND(INT('模拟-模拟计算'!B648)&lt;='模拟-模拟计算'!$C$2,'模拟-模拟计算'!B648&gt;0),'模拟-模拟计算'!P648," ")</f>
        <v xml:space="preserve"> </v>
      </c>
      <c r="G623" s="52" t="str">
        <f>IF(AND(INT('模拟-模拟计算'!B648)&lt;='模拟-模拟计算'!$C$2,'模拟-模拟计算'!B648&gt;0),'模拟-模拟计算'!V648," ")</f>
        <v xml:space="preserve"> </v>
      </c>
      <c r="H623" s="52" t="str">
        <f>IF(AND(INT('模拟-模拟计算'!B648)&lt;='模拟-模拟计算'!$C$2,'模拟-模拟计算'!B648&gt;0),'模拟-模拟计算'!Y648," ")</f>
        <v xml:space="preserve"> </v>
      </c>
      <c r="I623" s="105" t="str">
        <f>IF(AND(INT('模拟-模拟计算'!B648)&lt;='模拟-模拟计算'!$C$2,'模拟-模拟计算'!B648&gt;0),'模拟-模拟计算'!AA648," ")</f>
        <v xml:space="preserve"> </v>
      </c>
    </row>
    <row r="624" spans="1:9" x14ac:dyDescent="0.2">
      <c r="A624" s="20">
        <f>INT('模拟-模拟计算'!B649+0.5)</f>
        <v>574</v>
      </c>
      <c r="B624" s="52" t="str">
        <f>IF(AND(INT('模拟-模拟计算'!B649)&lt;='模拟-模拟计算'!$C$2,'模拟-模拟计算'!B649&gt;0),'模拟-模拟计算'!B649," ")</f>
        <v xml:space="preserve"> </v>
      </c>
      <c r="C624" s="51" t="str">
        <f>IF(AND(INT('模拟-模拟计算'!B649)&lt;='模拟-模拟计算'!$C$2,'模拟-模拟计算'!B649&gt;0),'模拟-模拟计算'!C649," ")</f>
        <v xml:space="preserve"> </v>
      </c>
      <c r="D624" s="104" t="str">
        <f>IF(AND(INT('模拟-模拟计算'!B649)&lt;='模拟-模拟计算'!$C$2,'模拟-模拟计算'!B649&gt;0),'模拟-模拟计算'!E649," ")</f>
        <v xml:space="preserve"> </v>
      </c>
      <c r="E624" s="104" t="str">
        <f>IF(AND(INT('模拟-模拟计算'!B649)&lt;='模拟-模拟计算'!$C$2,'模拟-模拟计算'!B649&gt;0),'模拟-模拟计算'!F649," ")</f>
        <v xml:space="preserve"> </v>
      </c>
      <c r="F624" s="51" t="str">
        <f>IF(AND(INT('模拟-模拟计算'!B649)&lt;='模拟-模拟计算'!$C$2,'模拟-模拟计算'!B649&gt;0),'模拟-模拟计算'!P649," ")</f>
        <v xml:space="preserve"> </v>
      </c>
      <c r="G624" s="52" t="str">
        <f>IF(AND(INT('模拟-模拟计算'!B649)&lt;='模拟-模拟计算'!$C$2,'模拟-模拟计算'!B649&gt;0),'模拟-模拟计算'!V649," ")</f>
        <v xml:space="preserve"> </v>
      </c>
      <c r="H624" s="52" t="str">
        <f>IF(AND(INT('模拟-模拟计算'!B649)&lt;='模拟-模拟计算'!$C$2,'模拟-模拟计算'!B649&gt;0),'模拟-模拟计算'!Y649," ")</f>
        <v xml:space="preserve"> </v>
      </c>
      <c r="I624" s="105" t="str">
        <f>IF(AND(INT('模拟-模拟计算'!B649)&lt;='模拟-模拟计算'!$C$2,'模拟-模拟计算'!B649&gt;0),'模拟-模拟计算'!AA649," ")</f>
        <v xml:space="preserve"> </v>
      </c>
    </row>
    <row r="625" spans="1:9" x14ac:dyDescent="0.2">
      <c r="A625" s="20">
        <f>INT('模拟-模拟计算'!B650+0.5)</f>
        <v>575</v>
      </c>
      <c r="B625" s="52" t="str">
        <f>IF(AND(INT('模拟-模拟计算'!B650)&lt;='模拟-模拟计算'!$C$2,'模拟-模拟计算'!B650&gt;0),'模拟-模拟计算'!B650," ")</f>
        <v xml:space="preserve"> </v>
      </c>
      <c r="C625" s="51" t="str">
        <f>IF(AND(INT('模拟-模拟计算'!B650)&lt;='模拟-模拟计算'!$C$2,'模拟-模拟计算'!B650&gt;0),'模拟-模拟计算'!C650," ")</f>
        <v xml:space="preserve"> </v>
      </c>
      <c r="D625" s="104" t="str">
        <f>IF(AND(INT('模拟-模拟计算'!B650)&lt;='模拟-模拟计算'!$C$2,'模拟-模拟计算'!B650&gt;0),'模拟-模拟计算'!E650," ")</f>
        <v xml:space="preserve"> </v>
      </c>
      <c r="E625" s="104" t="str">
        <f>IF(AND(INT('模拟-模拟计算'!B650)&lt;='模拟-模拟计算'!$C$2,'模拟-模拟计算'!B650&gt;0),'模拟-模拟计算'!F650," ")</f>
        <v xml:space="preserve"> </v>
      </c>
      <c r="F625" s="51" t="str">
        <f>IF(AND(INT('模拟-模拟计算'!B650)&lt;='模拟-模拟计算'!$C$2,'模拟-模拟计算'!B650&gt;0),'模拟-模拟计算'!P650," ")</f>
        <v xml:space="preserve"> </v>
      </c>
      <c r="G625" s="52" t="str">
        <f>IF(AND(INT('模拟-模拟计算'!B650)&lt;='模拟-模拟计算'!$C$2,'模拟-模拟计算'!B650&gt;0),'模拟-模拟计算'!V650," ")</f>
        <v xml:space="preserve"> </v>
      </c>
      <c r="H625" s="52" t="str">
        <f>IF(AND(INT('模拟-模拟计算'!B650)&lt;='模拟-模拟计算'!$C$2,'模拟-模拟计算'!B650&gt;0),'模拟-模拟计算'!Y650," ")</f>
        <v xml:space="preserve"> </v>
      </c>
      <c r="I625" s="105" t="str">
        <f>IF(AND(INT('模拟-模拟计算'!B650)&lt;='模拟-模拟计算'!$C$2,'模拟-模拟计算'!B650&gt;0),'模拟-模拟计算'!AA650," ")</f>
        <v xml:space="preserve"> </v>
      </c>
    </row>
    <row r="626" spans="1:9" x14ac:dyDescent="0.2">
      <c r="A626" s="20">
        <f>INT('模拟-模拟计算'!B651+0.5)</f>
        <v>576</v>
      </c>
      <c r="B626" s="52" t="str">
        <f>IF(AND(INT('模拟-模拟计算'!B651)&lt;='模拟-模拟计算'!$C$2,'模拟-模拟计算'!B651&gt;0),'模拟-模拟计算'!B651," ")</f>
        <v xml:space="preserve"> </v>
      </c>
      <c r="C626" s="51" t="str">
        <f>IF(AND(INT('模拟-模拟计算'!B651)&lt;='模拟-模拟计算'!$C$2,'模拟-模拟计算'!B651&gt;0),'模拟-模拟计算'!C651," ")</f>
        <v xml:space="preserve"> </v>
      </c>
      <c r="D626" s="104" t="str">
        <f>IF(AND(INT('模拟-模拟计算'!B651)&lt;='模拟-模拟计算'!$C$2,'模拟-模拟计算'!B651&gt;0),'模拟-模拟计算'!E651," ")</f>
        <v xml:space="preserve"> </v>
      </c>
      <c r="E626" s="104" t="str">
        <f>IF(AND(INT('模拟-模拟计算'!B651)&lt;='模拟-模拟计算'!$C$2,'模拟-模拟计算'!B651&gt;0),'模拟-模拟计算'!F651," ")</f>
        <v xml:space="preserve"> </v>
      </c>
      <c r="F626" s="51" t="str">
        <f>IF(AND(INT('模拟-模拟计算'!B651)&lt;='模拟-模拟计算'!$C$2,'模拟-模拟计算'!B651&gt;0),'模拟-模拟计算'!P651," ")</f>
        <v xml:space="preserve"> </v>
      </c>
      <c r="G626" s="52" t="str">
        <f>IF(AND(INT('模拟-模拟计算'!B651)&lt;='模拟-模拟计算'!$C$2,'模拟-模拟计算'!B651&gt;0),'模拟-模拟计算'!V651," ")</f>
        <v xml:space="preserve"> </v>
      </c>
      <c r="H626" s="52" t="str">
        <f>IF(AND(INT('模拟-模拟计算'!B651)&lt;='模拟-模拟计算'!$C$2,'模拟-模拟计算'!B651&gt;0),'模拟-模拟计算'!Y651," ")</f>
        <v xml:space="preserve"> </v>
      </c>
      <c r="I626" s="105" t="str">
        <f>IF(AND(INT('模拟-模拟计算'!B651)&lt;='模拟-模拟计算'!$C$2,'模拟-模拟计算'!B651&gt;0),'模拟-模拟计算'!AA651," ")</f>
        <v xml:space="preserve"> </v>
      </c>
    </row>
    <row r="627" spans="1:9" x14ac:dyDescent="0.2">
      <c r="A627" s="20">
        <f>INT('模拟-模拟计算'!B652+0.5)</f>
        <v>577</v>
      </c>
      <c r="B627" s="52" t="str">
        <f>IF(AND(INT('模拟-模拟计算'!B652)&lt;='模拟-模拟计算'!$C$2,'模拟-模拟计算'!B652&gt;0),'模拟-模拟计算'!B652," ")</f>
        <v xml:space="preserve"> </v>
      </c>
      <c r="C627" s="51" t="str">
        <f>IF(AND(INT('模拟-模拟计算'!B652)&lt;='模拟-模拟计算'!$C$2,'模拟-模拟计算'!B652&gt;0),'模拟-模拟计算'!C652," ")</f>
        <v xml:space="preserve"> </v>
      </c>
      <c r="D627" s="104" t="str">
        <f>IF(AND(INT('模拟-模拟计算'!B652)&lt;='模拟-模拟计算'!$C$2,'模拟-模拟计算'!B652&gt;0),'模拟-模拟计算'!E652," ")</f>
        <v xml:space="preserve"> </v>
      </c>
      <c r="E627" s="104" t="str">
        <f>IF(AND(INT('模拟-模拟计算'!B652)&lt;='模拟-模拟计算'!$C$2,'模拟-模拟计算'!B652&gt;0),'模拟-模拟计算'!F652," ")</f>
        <v xml:space="preserve"> </v>
      </c>
      <c r="F627" s="51" t="str">
        <f>IF(AND(INT('模拟-模拟计算'!B652)&lt;='模拟-模拟计算'!$C$2,'模拟-模拟计算'!B652&gt;0),'模拟-模拟计算'!P652," ")</f>
        <v xml:space="preserve"> </v>
      </c>
      <c r="G627" s="52" t="str">
        <f>IF(AND(INT('模拟-模拟计算'!B652)&lt;='模拟-模拟计算'!$C$2,'模拟-模拟计算'!B652&gt;0),'模拟-模拟计算'!V652," ")</f>
        <v xml:space="preserve"> </v>
      </c>
      <c r="H627" s="52" t="str">
        <f>IF(AND(INT('模拟-模拟计算'!B652)&lt;='模拟-模拟计算'!$C$2,'模拟-模拟计算'!B652&gt;0),'模拟-模拟计算'!Y652," ")</f>
        <v xml:space="preserve"> </v>
      </c>
      <c r="I627" s="105" t="str">
        <f>IF(AND(INT('模拟-模拟计算'!B652)&lt;='模拟-模拟计算'!$C$2,'模拟-模拟计算'!B652&gt;0),'模拟-模拟计算'!AA652," ")</f>
        <v xml:space="preserve"> </v>
      </c>
    </row>
    <row r="628" spans="1:9" x14ac:dyDescent="0.2">
      <c r="A628" s="20">
        <f>INT('模拟-模拟计算'!B653+0.5)</f>
        <v>577</v>
      </c>
      <c r="B628" s="52" t="str">
        <f>IF(AND(INT('模拟-模拟计算'!B653)&lt;='模拟-模拟计算'!$C$2,'模拟-模拟计算'!B653&gt;0),'模拟-模拟计算'!B653," ")</f>
        <v xml:space="preserve"> </v>
      </c>
      <c r="C628" s="51" t="str">
        <f>IF(AND(INT('模拟-模拟计算'!B653)&lt;='模拟-模拟计算'!$C$2,'模拟-模拟计算'!B653&gt;0),'模拟-模拟计算'!C653," ")</f>
        <v xml:space="preserve"> </v>
      </c>
      <c r="D628" s="104" t="str">
        <f>IF(AND(INT('模拟-模拟计算'!B653)&lt;='模拟-模拟计算'!$C$2,'模拟-模拟计算'!B653&gt;0),'模拟-模拟计算'!E653," ")</f>
        <v xml:space="preserve"> </v>
      </c>
      <c r="E628" s="104" t="str">
        <f>IF(AND(INT('模拟-模拟计算'!B653)&lt;='模拟-模拟计算'!$C$2,'模拟-模拟计算'!B653&gt;0),'模拟-模拟计算'!F653," ")</f>
        <v xml:space="preserve"> </v>
      </c>
      <c r="F628" s="51" t="str">
        <f>IF(AND(INT('模拟-模拟计算'!B653)&lt;='模拟-模拟计算'!$C$2,'模拟-模拟计算'!B653&gt;0),'模拟-模拟计算'!P653," ")</f>
        <v xml:space="preserve"> </v>
      </c>
      <c r="G628" s="52" t="str">
        <f>IF(AND(INT('模拟-模拟计算'!B653)&lt;='模拟-模拟计算'!$C$2,'模拟-模拟计算'!B653&gt;0),'模拟-模拟计算'!V653," ")</f>
        <v xml:space="preserve"> </v>
      </c>
      <c r="H628" s="52" t="str">
        <f>IF(AND(INT('模拟-模拟计算'!B653)&lt;='模拟-模拟计算'!$C$2,'模拟-模拟计算'!B653&gt;0),'模拟-模拟计算'!Y653," ")</f>
        <v xml:space="preserve"> </v>
      </c>
      <c r="I628" s="105" t="str">
        <f>IF(AND(INT('模拟-模拟计算'!B653)&lt;='模拟-模拟计算'!$C$2,'模拟-模拟计算'!B653&gt;0),'模拟-模拟计算'!AA653," ")</f>
        <v xml:space="preserve"> </v>
      </c>
    </row>
    <row r="629" spans="1:9" x14ac:dyDescent="0.2">
      <c r="A629" s="20">
        <f>INT('模拟-模拟计算'!B654+0.5)</f>
        <v>578</v>
      </c>
      <c r="B629" s="52" t="str">
        <f>IF(AND(INT('模拟-模拟计算'!B654)&lt;='模拟-模拟计算'!$C$2,'模拟-模拟计算'!B654&gt;0),'模拟-模拟计算'!B654," ")</f>
        <v xml:space="preserve"> </v>
      </c>
      <c r="C629" s="51" t="str">
        <f>IF(AND(INT('模拟-模拟计算'!B654)&lt;='模拟-模拟计算'!$C$2,'模拟-模拟计算'!B654&gt;0),'模拟-模拟计算'!C654," ")</f>
        <v xml:space="preserve"> </v>
      </c>
      <c r="D629" s="104" t="str">
        <f>IF(AND(INT('模拟-模拟计算'!B654)&lt;='模拟-模拟计算'!$C$2,'模拟-模拟计算'!B654&gt;0),'模拟-模拟计算'!E654," ")</f>
        <v xml:space="preserve"> </v>
      </c>
      <c r="E629" s="104" t="str">
        <f>IF(AND(INT('模拟-模拟计算'!B654)&lt;='模拟-模拟计算'!$C$2,'模拟-模拟计算'!B654&gt;0),'模拟-模拟计算'!F654," ")</f>
        <v xml:space="preserve"> </v>
      </c>
      <c r="F629" s="51" t="str">
        <f>IF(AND(INT('模拟-模拟计算'!B654)&lt;='模拟-模拟计算'!$C$2,'模拟-模拟计算'!B654&gt;0),'模拟-模拟计算'!P654," ")</f>
        <v xml:space="preserve"> </v>
      </c>
      <c r="G629" s="52" t="str">
        <f>IF(AND(INT('模拟-模拟计算'!B654)&lt;='模拟-模拟计算'!$C$2,'模拟-模拟计算'!B654&gt;0),'模拟-模拟计算'!V654," ")</f>
        <v xml:space="preserve"> </v>
      </c>
      <c r="H629" s="52" t="str">
        <f>IF(AND(INT('模拟-模拟计算'!B654)&lt;='模拟-模拟计算'!$C$2,'模拟-模拟计算'!B654&gt;0),'模拟-模拟计算'!Y654," ")</f>
        <v xml:space="preserve"> </v>
      </c>
      <c r="I629" s="105" t="str">
        <f>IF(AND(INT('模拟-模拟计算'!B654)&lt;='模拟-模拟计算'!$C$2,'模拟-模拟计算'!B654&gt;0),'模拟-模拟计算'!AA654," ")</f>
        <v xml:space="preserve"> </v>
      </c>
    </row>
    <row r="630" spans="1:9" x14ac:dyDescent="0.2">
      <c r="A630" s="20">
        <f>INT('模拟-模拟计算'!B655+0.5)</f>
        <v>579</v>
      </c>
      <c r="B630" s="52" t="str">
        <f>IF(AND(INT('模拟-模拟计算'!B655)&lt;='模拟-模拟计算'!$C$2,'模拟-模拟计算'!B655&gt;0),'模拟-模拟计算'!B655," ")</f>
        <v xml:space="preserve"> </v>
      </c>
      <c r="C630" s="51" t="str">
        <f>IF(AND(INT('模拟-模拟计算'!B655)&lt;='模拟-模拟计算'!$C$2,'模拟-模拟计算'!B655&gt;0),'模拟-模拟计算'!C655," ")</f>
        <v xml:space="preserve"> </v>
      </c>
      <c r="D630" s="104" t="str">
        <f>IF(AND(INT('模拟-模拟计算'!B655)&lt;='模拟-模拟计算'!$C$2,'模拟-模拟计算'!B655&gt;0),'模拟-模拟计算'!E655," ")</f>
        <v xml:space="preserve"> </v>
      </c>
      <c r="E630" s="104" t="str">
        <f>IF(AND(INT('模拟-模拟计算'!B655)&lt;='模拟-模拟计算'!$C$2,'模拟-模拟计算'!B655&gt;0),'模拟-模拟计算'!F655," ")</f>
        <v xml:space="preserve"> </v>
      </c>
      <c r="F630" s="51" t="str">
        <f>IF(AND(INT('模拟-模拟计算'!B655)&lt;='模拟-模拟计算'!$C$2,'模拟-模拟计算'!B655&gt;0),'模拟-模拟计算'!P655," ")</f>
        <v xml:space="preserve"> </v>
      </c>
      <c r="G630" s="52" t="str">
        <f>IF(AND(INT('模拟-模拟计算'!B655)&lt;='模拟-模拟计算'!$C$2,'模拟-模拟计算'!B655&gt;0),'模拟-模拟计算'!V655," ")</f>
        <v xml:space="preserve"> </v>
      </c>
      <c r="H630" s="52" t="str">
        <f>IF(AND(INT('模拟-模拟计算'!B655)&lt;='模拟-模拟计算'!$C$2,'模拟-模拟计算'!B655&gt;0),'模拟-模拟计算'!Y655," ")</f>
        <v xml:space="preserve"> </v>
      </c>
      <c r="I630" s="105" t="str">
        <f>IF(AND(INT('模拟-模拟计算'!B655)&lt;='模拟-模拟计算'!$C$2,'模拟-模拟计算'!B655&gt;0),'模拟-模拟计算'!AA655," ")</f>
        <v xml:space="preserve"> </v>
      </c>
    </row>
    <row r="631" spans="1:9" x14ac:dyDescent="0.2">
      <c r="A631" s="20">
        <f>INT('模拟-模拟计算'!B656+0.5)</f>
        <v>580</v>
      </c>
      <c r="B631" s="52" t="str">
        <f>IF(AND(INT('模拟-模拟计算'!B656)&lt;='模拟-模拟计算'!$C$2,'模拟-模拟计算'!B656&gt;0),'模拟-模拟计算'!B656," ")</f>
        <v xml:space="preserve"> </v>
      </c>
      <c r="C631" s="51" t="str">
        <f>IF(AND(INT('模拟-模拟计算'!B656)&lt;='模拟-模拟计算'!$C$2,'模拟-模拟计算'!B656&gt;0),'模拟-模拟计算'!C656," ")</f>
        <v xml:space="preserve"> </v>
      </c>
      <c r="D631" s="104" t="str">
        <f>IF(AND(INT('模拟-模拟计算'!B656)&lt;='模拟-模拟计算'!$C$2,'模拟-模拟计算'!B656&gt;0),'模拟-模拟计算'!E656," ")</f>
        <v xml:space="preserve"> </v>
      </c>
      <c r="E631" s="104" t="str">
        <f>IF(AND(INT('模拟-模拟计算'!B656)&lt;='模拟-模拟计算'!$C$2,'模拟-模拟计算'!B656&gt;0),'模拟-模拟计算'!F656," ")</f>
        <v xml:space="preserve"> </v>
      </c>
      <c r="F631" s="51" t="str">
        <f>IF(AND(INT('模拟-模拟计算'!B656)&lt;='模拟-模拟计算'!$C$2,'模拟-模拟计算'!B656&gt;0),'模拟-模拟计算'!P656," ")</f>
        <v xml:space="preserve"> </v>
      </c>
      <c r="G631" s="52" t="str">
        <f>IF(AND(INT('模拟-模拟计算'!B656)&lt;='模拟-模拟计算'!$C$2,'模拟-模拟计算'!B656&gt;0),'模拟-模拟计算'!V656," ")</f>
        <v xml:space="preserve"> </v>
      </c>
      <c r="H631" s="52" t="str">
        <f>IF(AND(INT('模拟-模拟计算'!B656)&lt;='模拟-模拟计算'!$C$2,'模拟-模拟计算'!B656&gt;0),'模拟-模拟计算'!Y656," ")</f>
        <v xml:space="preserve"> </v>
      </c>
      <c r="I631" s="105" t="str">
        <f>IF(AND(INT('模拟-模拟计算'!B656)&lt;='模拟-模拟计算'!$C$2,'模拟-模拟计算'!B656&gt;0),'模拟-模拟计算'!AA656," ")</f>
        <v xml:space="preserve"> </v>
      </c>
    </row>
    <row r="632" spans="1:9" x14ac:dyDescent="0.2">
      <c r="A632" s="20">
        <f>INT('模拟-模拟计算'!B657+0.5)</f>
        <v>581</v>
      </c>
      <c r="B632" s="52" t="str">
        <f>IF(AND(INT('模拟-模拟计算'!B657)&lt;='模拟-模拟计算'!$C$2,'模拟-模拟计算'!B657&gt;0),'模拟-模拟计算'!B657," ")</f>
        <v xml:space="preserve"> </v>
      </c>
      <c r="C632" s="51" t="str">
        <f>IF(AND(INT('模拟-模拟计算'!B657)&lt;='模拟-模拟计算'!$C$2,'模拟-模拟计算'!B657&gt;0),'模拟-模拟计算'!C657," ")</f>
        <v xml:space="preserve"> </v>
      </c>
      <c r="D632" s="104" t="str">
        <f>IF(AND(INT('模拟-模拟计算'!B657)&lt;='模拟-模拟计算'!$C$2,'模拟-模拟计算'!B657&gt;0),'模拟-模拟计算'!E657," ")</f>
        <v xml:space="preserve"> </v>
      </c>
      <c r="E632" s="104" t="str">
        <f>IF(AND(INT('模拟-模拟计算'!B657)&lt;='模拟-模拟计算'!$C$2,'模拟-模拟计算'!B657&gt;0),'模拟-模拟计算'!F657," ")</f>
        <v xml:space="preserve"> </v>
      </c>
      <c r="F632" s="51" t="str">
        <f>IF(AND(INT('模拟-模拟计算'!B657)&lt;='模拟-模拟计算'!$C$2,'模拟-模拟计算'!B657&gt;0),'模拟-模拟计算'!P657," ")</f>
        <v xml:space="preserve"> </v>
      </c>
      <c r="G632" s="52" t="str">
        <f>IF(AND(INT('模拟-模拟计算'!B657)&lt;='模拟-模拟计算'!$C$2,'模拟-模拟计算'!B657&gt;0),'模拟-模拟计算'!V657," ")</f>
        <v xml:space="preserve"> </v>
      </c>
      <c r="H632" s="52" t="str">
        <f>IF(AND(INT('模拟-模拟计算'!B657)&lt;='模拟-模拟计算'!$C$2,'模拟-模拟计算'!B657&gt;0),'模拟-模拟计算'!Y657," ")</f>
        <v xml:space="preserve"> </v>
      </c>
      <c r="I632" s="105" t="str">
        <f>IF(AND(INT('模拟-模拟计算'!B657)&lt;='模拟-模拟计算'!$C$2,'模拟-模拟计算'!B657&gt;0),'模拟-模拟计算'!AA657," ")</f>
        <v xml:space="preserve"> </v>
      </c>
    </row>
    <row r="633" spans="1:9" x14ac:dyDescent="0.2">
      <c r="A633" s="20">
        <f>INT('模拟-模拟计算'!B658+0.5)</f>
        <v>582</v>
      </c>
      <c r="B633" s="52" t="str">
        <f>IF(AND(INT('模拟-模拟计算'!B658)&lt;='模拟-模拟计算'!$C$2,'模拟-模拟计算'!B658&gt;0),'模拟-模拟计算'!B658," ")</f>
        <v xml:space="preserve"> </v>
      </c>
      <c r="C633" s="51" t="str">
        <f>IF(AND(INT('模拟-模拟计算'!B658)&lt;='模拟-模拟计算'!$C$2,'模拟-模拟计算'!B658&gt;0),'模拟-模拟计算'!C658," ")</f>
        <v xml:space="preserve"> </v>
      </c>
      <c r="D633" s="104" t="str">
        <f>IF(AND(INT('模拟-模拟计算'!B658)&lt;='模拟-模拟计算'!$C$2,'模拟-模拟计算'!B658&gt;0),'模拟-模拟计算'!E658," ")</f>
        <v xml:space="preserve"> </v>
      </c>
      <c r="E633" s="104" t="str">
        <f>IF(AND(INT('模拟-模拟计算'!B658)&lt;='模拟-模拟计算'!$C$2,'模拟-模拟计算'!B658&gt;0),'模拟-模拟计算'!F658," ")</f>
        <v xml:space="preserve"> </v>
      </c>
      <c r="F633" s="51" t="str">
        <f>IF(AND(INT('模拟-模拟计算'!B658)&lt;='模拟-模拟计算'!$C$2,'模拟-模拟计算'!B658&gt;0),'模拟-模拟计算'!P658," ")</f>
        <v xml:space="preserve"> </v>
      </c>
      <c r="G633" s="52" t="str">
        <f>IF(AND(INT('模拟-模拟计算'!B658)&lt;='模拟-模拟计算'!$C$2,'模拟-模拟计算'!B658&gt;0),'模拟-模拟计算'!V658," ")</f>
        <v xml:space="preserve"> </v>
      </c>
      <c r="H633" s="52" t="str">
        <f>IF(AND(INT('模拟-模拟计算'!B658)&lt;='模拟-模拟计算'!$C$2,'模拟-模拟计算'!B658&gt;0),'模拟-模拟计算'!Y658," ")</f>
        <v xml:space="preserve"> </v>
      </c>
      <c r="I633" s="105" t="str">
        <f>IF(AND(INT('模拟-模拟计算'!B658)&lt;='模拟-模拟计算'!$C$2,'模拟-模拟计算'!B658&gt;0),'模拟-模拟计算'!AA658," ")</f>
        <v xml:space="preserve"> </v>
      </c>
    </row>
    <row r="634" spans="1:9" x14ac:dyDescent="0.2">
      <c r="A634" s="20">
        <f>INT('模拟-模拟计算'!B659+0.5)</f>
        <v>583</v>
      </c>
      <c r="B634" s="52" t="str">
        <f>IF(AND(INT('模拟-模拟计算'!B659)&lt;='模拟-模拟计算'!$C$2,'模拟-模拟计算'!B659&gt;0),'模拟-模拟计算'!B659," ")</f>
        <v xml:space="preserve"> </v>
      </c>
      <c r="C634" s="51" t="str">
        <f>IF(AND(INT('模拟-模拟计算'!B659)&lt;='模拟-模拟计算'!$C$2,'模拟-模拟计算'!B659&gt;0),'模拟-模拟计算'!C659," ")</f>
        <v xml:space="preserve"> </v>
      </c>
      <c r="D634" s="104" t="str">
        <f>IF(AND(INT('模拟-模拟计算'!B659)&lt;='模拟-模拟计算'!$C$2,'模拟-模拟计算'!B659&gt;0),'模拟-模拟计算'!E659," ")</f>
        <v xml:space="preserve"> </v>
      </c>
      <c r="E634" s="104" t="str">
        <f>IF(AND(INT('模拟-模拟计算'!B659)&lt;='模拟-模拟计算'!$C$2,'模拟-模拟计算'!B659&gt;0),'模拟-模拟计算'!F659," ")</f>
        <v xml:space="preserve"> </v>
      </c>
      <c r="F634" s="51" t="str">
        <f>IF(AND(INT('模拟-模拟计算'!B659)&lt;='模拟-模拟计算'!$C$2,'模拟-模拟计算'!B659&gt;0),'模拟-模拟计算'!P659," ")</f>
        <v xml:space="preserve"> </v>
      </c>
      <c r="G634" s="52" t="str">
        <f>IF(AND(INT('模拟-模拟计算'!B659)&lt;='模拟-模拟计算'!$C$2,'模拟-模拟计算'!B659&gt;0),'模拟-模拟计算'!V659," ")</f>
        <v xml:space="preserve"> </v>
      </c>
      <c r="H634" s="52" t="str">
        <f>IF(AND(INT('模拟-模拟计算'!B659)&lt;='模拟-模拟计算'!$C$2,'模拟-模拟计算'!B659&gt;0),'模拟-模拟计算'!Y659," ")</f>
        <v xml:space="preserve"> </v>
      </c>
      <c r="I634" s="105" t="str">
        <f>IF(AND(INT('模拟-模拟计算'!B659)&lt;='模拟-模拟计算'!$C$2,'模拟-模拟计算'!B659&gt;0),'模拟-模拟计算'!AA659," ")</f>
        <v xml:space="preserve"> </v>
      </c>
    </row>
    <row r="635" spans="1:9" x14ac:dyDescent="0.2">
      <c r="A635" s="20">
        <f>INT('模拟-模拟计算'!B660+0.5)</f>
        <v>584</v>
      </c>
      <c r="B635" s="52" t="str">
        <f>IF(AND(INT('模拟-模拟计算'!B660)&lt;='模拟-模拟计算'!$C$2,'模拟-模拟计算'!B660&gt;0),'模拟-模拟计算'!B660," ")</f>
        <v xml:space="preserve"> </v>
      </c>
      <c r="C635" s="51" t="str">
        <f>IF(AND(INT('模拟-模拟计算'!B660)&lt;='模拟-模拟计算'!$C$2,'模拟-模拟计算'!B660&gt;0),'模拟-模拟计算'!C660," ")</f>
        <v xml:space="preserve"> </v>
      </c>
      <c r="D635" s="104" t="str">
        <f>IF(AND(INT('模拟-模拟计算'!B660)&lt;='模拟-模拟计算'!$C$2,'模拟-模拟计算'!B660&gt;0),'模拟-模拟计算'!E660," ")</f>
        <v xml:space="preserve"> </v>
      </c>
      <c r="E635" s="104" t="str">
        <f>IF(AND(INT('模拟-模拟计算'!B660)&lt;='模拟-模拟计算'!$C$2,'模拟-模拟计算'!B660&gt;0),'模拟-模拟计算'!F660," ")</f>
        <v xml:space="preserve"> </v>
      </c>
      <c r="F635" s="51" t="str">
        <f>IF(AND(INT('模拟-模拟计算'!B660)&lt;='模拟-模拟计算'!$C$2,'模拟-模拟计算'!B660&gt;0),'模拟-模拟计算'!P660," ")</f>
        <v xml:space="preserve"> </v>
      </c>
      <c r="G635" s="52" t="str">
        <f>IF(AND(INT('模拟-模拟计算'!B660)&lt;='模拟-模拟计算'!$C$2,'模拟-模拟计算'!B660&gt;0),'模拟-模拟计算'!V660," ")</f>
        <v xml:space="preserve"> </v>
      </c>
      <c r="H635" s="52" t="str">
        <f>IF(AND(INT('模拟-模拟计算'!B660)&lt;='模拟-模拟计算'!$C$2,'模拟-模拟计算'!B660&gt;0),'模拟-模拟计算'!Y660," ")</f>
        <v xml:space="preserve"> </v>
      </c>
      <c r="I635" s="105" t="str">
        <f>IF(AND(INT('模拟-模拟计算'!B660)&lt;='模拟-模拟计算'!$C$2,'模拟-模拟计算'!B660&gt;0),'模拟-模拟计算'!AA660," ")</f>
        <v xml:space="preserve"> </v>
      </c>
    </row>
    <row r="636" spans="1:9" x14ac:dyDescent="0.2">
      <c r="A636" s="20">
        <f>INT('模拟-模拟计算'!B661+0.5)</f>
        <v>585</v>
      </c>
      <c r="B636" s="52" t="str">
        <f>IF(AND(INT('模拟-模拟计算'!B661)&lt;='模拟-模拟计算'!$C$2,'模拟-模拟计算'!B661&gt;0),'模拟-模拟计算'!B661," ")</f>
        <v xml:space="preserve"> </v>
      </c>
      <c r="C636" s="51" t="str">
        <f>IF(AND(INT('模拟-模拟计算'!B661)&lt;='模拟-模拟计算'!$C$2,'模拟-模拟计算'!B661&gt;0),'模拟-模拟计算'!C661," ")</f>
        <v xml:space="preserve"> </v>
      </c>
      <c r="D636" s="104" t="str">
        <f>IF(AND(INT('模拟-模拟计算'!B661)&lt;='模拟-模拟计算'!$C$2,'模拟-模拟计算'!B661&gt;0),'模拟-模拟计算'!E661," ")</f>
        <v xml:space="preserve"> </v>
      </c>
      <c r="E636" s="104" t="str">
        <f>IF(AND(INT('模拟-模拟计算'!B661)&lt;='模拟-模拟计算'!$C$2,'模拟-模拟计算'!B661&gt;0),'模拟-模拟计算'!F661," ")</f>
        <v xml:space="preserve"> </v>
      </c>
      <c r="F636" s="51" t="str">
        <f>IF(AND(INT('模拟-模拟计算'!B661)&lt;='模拟-模拟计算'!$C$2,'模拟-模拟计算'!B661&gt;0),'模拟-模拟计算'!P661," ")</f>
        <v xml:space="preserve"> </v>
      </c>
      <c r="G636" s="52" t="str">
        <f>IF(AND(INT('模拟-模拟计算'!B661)&lt;='模拟-模拟计算'!$C$2,'模拟-模拟计算'!B661&gt;0),'模拟-模拟计算'!V661," ")</f>
        <v xml:space="preserve"> </v>
      </c>
      <c r="H636" s="52" t="str">
        <f>IF(AND(INT('模拟-模拟计算'!B661)&lt;='模拟-模拟计算'!$C$2,'模拟-模拟计算'!B661&gt;0),'模拟-模拟计算'!Y661," ")</f>
        <v xml:space="preserve"> </v>
      </c>
      <c r="I636" s="105" t="str">
        <f>IF(AND(INT('模拟-模拟计算'!B661)&lt;='模拟-模拟计算'!$C$2,'模拟-模拟计算'!B661&gt;0),'模拟-模拟计算'!AA661," ")</f>
        <v xml:space="preserve"> </v>
      </c>
    </row>
    <row r="637" spans="1:9" x14ac:dyDescent="0.2">
      <c r="A637" s="20">
        <f>INT('模拟-模拟计算'!B662+0.5)</f>
        <v>586</v>
      </c>
      <c r="B637" s="52" t="str">
        <f>IF(AND(INT('模拟-模拟计算'!B662)&lt;='模拟-模拟计算'!$C$2,'模拟-模拟计算'!B662&gt;0),'模拟-模拟计算'!B662," ")</f>
        <v xml:space="preserve"> </v>
      </c>
      <c r="C637" s="51" t="str">
        <f>IF(AND(INT('模拟-模拟计算'!B662)&lt;='模拟-模拟计算'!$C$2,'模拟-模拟计算'!B662&gt;0),'模拟-模拟计算'!C662," ")</f>
        <v xml:space="preserve"> </v>
      </c>
      <c r="D637" s="104" t="str">
        <f>IF(AND(INT('模拟-模拟计算'!B662)&lt;='模拟-模拟计算'!$C$2,'模拟-模拟计算'!B662&gt;0),'模拟-模拟计算'!E662," ")</f>
        <v xml:space="preserve"> </v>
      </c>
      <c r="E637" s="104" t="str">
        <f>IF(AND(INT('模拟-模拟计算'!B662)&lt;='模拟-模拟计算'!$C$2,'模拟-模拟计算'!B662&gt;0),'模拟-模拟计算'!F662," ")</f>
        <v xml:space="preserve"> </v>
      </c>
      <c r="F637" s="51" t="str">
        <f>IF(AND(INT('模拟-模拟计算'!B662)&lt;='模拟-模拟计算'!$C$2,'模拟-模拟计算'!B662&gt;0),'模拟-模拟计算'!P662," ")</f>
        <v xml:space="preserve"> </v>
      </c>
      <c r="G637" s="52" t="str">
        <f>IF(AND(INT('模拟-模拟计算'!B662)&lt;='模拟-模拟计算'!$C$2,'模拟-模拟计算'!B662&gt;0),'模拟-模拟计算'!V662," ")</f>
        <v xml:space="preserve"> </v>
      </c>
      <c r="H637" s="52" t="str">
        <f>IF(AND(INT('模拟-模拟计算'!B662)&lt;='模拟-模拟计算'!$C$2,'模拟-模拟计算'!B662&gt;0),'模拟-模拟计算'!Y662," ")</f>
        <v xml:space="preserve"> </v>
      </c>
      <c r="I637" s="105" t="str">
        <f>IF(AND(INT('模拟-模拟计算'!B662)&lt;='模拟-模拟计算'!$C$2,'模拟-模拟计算'!B662&gt;0),'模拟-模拟计算'!AA662," ")</f>
        <v xml:space="preserve"> </v>
      </c>
    </row>
    <row r="638" spans="1:9" x14ac:dyDescent="0.2">
      <c r="A638" s="20">
        <f>INT('模拟-模拟计算'!B663+0.5)</f>
        <v>587</v>
      </c>
      <c r="B638" s="52" t="str">
        <f>IF(AND(INT('模拟-模拟计算'!B663)&lt;='模拟-模拟计算'!$C$2,'模拟-模拟计算'!B663&gt;0),'模拟-模拟计算'!B663," ")</f>
        <v xml:space="preserve"> </v>
      </c>
      <c r="C638" s="51" t="str">
        <f>IF(AND(INT('模拟-模拟计算'!B663)&lt;='模拟-模拟计算'!$C$2,'模拟-模拟计算'!B663&gt;0),'模拟-模拟计算'!C663," ")</f>
        <v xml:space="preserve"> </v>
      </c>
      <c r="D638" s="104" t="str">
        <f>IF(AND(INT('模拟-模拟计算'!B663)&lt;='模拟-模拟计算'!$C$2,'模拟-模拟计算'!B663&gt;0),'模拟-模拟计算'!E663," ")</f>
        <v xml:space="preserve"> </v>
      </c>
      <c r="E638" s="104" t="str">
        <f>IF(AND(INT('模拟-模拟计算'!B663)&lt;='模拟-模拟计算'!$C$2,'模拟-模拟计算'!B663&gt;0),'模拟-模拟计算'!F663," ")</f>
        <v xml:space="preserve"> </v>
      </c>
      <c r="F638" s="51" t="str">
        <f>IF(AND(INT('模拟-模拟计算'!B663)&lt;='模拟-模拟计算'!$C$2,'模拟-模拟计算'!B663&gt;0),'模拟-模拟计算'!P663," ")</f>
        <v xml:space="preserve"> </v>
      </c>
      <c r="G638" s="52" t="str">
        <f>IF(AND(INT('模拟-模拟计算'!B663)&lt;='模拟-模拟计算'!$C$2,'模拟-模拟计算'!B663&gt;0),'模拟-模拟计算'!V663," ")</f>
        <v xml:space="preserve"> </v>
      </c>
      <c r="H638" s="52" t="str">
        <f>IF(AND(INT('模拟-模拟计算'!B663)&lt;='模拟-模拟计算'!$C$2,'模拟-模拟计算'!B663&gt;0),'模拟-模拟计算'!Y663," ")</f>
        <v xml:space="preserve"> </v>
      </c>
      <c r="I638" s="105" t="str">
        <f>IF(AND(INT('模拟-模拟计算'!B663)&lt;='模拟-模拟计算'!$C$2,'模拟-模拟计算'!B663&gt;0),'模拟-模拟计算'!AA663," ")</f>
        <v xml:space="preserve"> </v>
      </c>
    </row>
    <row r="639" spans="1:9" x14ac:dyDescent="0.2">
      <c r="A639" s="20">
        <f>INT('模拟-模拟计算'!B664+0.5)</f>
        <v>588</v>
      </c>
      <c r="B639" s="52" t="str">
        <f>IF(AND(INT('模拟-模拟计算'!B664)&lt;='模拟-模拟计算'!$C$2,'模拟-模拟计算'!B664&gt;0),'模拟-模拟计算'!B664," ")</f>
        <v xml:space="preserve"> </v>
      </c>
      <c r="C639" s="51" t="str">
        <f>IF(AND(INT('模拟-模拟计算'!B664)&lt;='模拟-模拟计算'!$C$2,'模拟-模拟计算'!B664&gt;0),'模拟-模拟计算'!C664," ")</f>
        <v xml:space="preserve"> </v>
      </c>
      <c r="D639" s="104" t="str">
        <f>IF(AND(INT('模拟-模拟计算'!B664)&lt;='模拟-模拟计算'!$C$2,'模拟-模拟计算'!B664&gt;0),'模拟-模拟计算'!E664," ")</f>
        <v xml:space="preserve"> </v>
      </c>
      <c r="E639" s="104" t="str">
        <f>IF(AND(INT('模拟-模拟计算'!B664)&lt;='模拟-模拟计算'!$C$2,'模拟-模拟计算'!B664&gt;0),'模拟-模拟计算'!F664," ")</f>
        <v xml:space="preserve"> </v>
      </c>
      <c r="F639" s="51" t="str">
        <f>IF(AND(INT('模拟-模拟计算'!B664)&lt;='模拟-模拟计算'!$C$2,'模拟-模拟计算'!B664&gt;0),'模拟-模拟计算'!P664," ")</f>
        <v xml:space="preserve"> </v>
      </c>
      <c r="G639" s="52" t="str">
        <f>IF(AND(INT('模拟-模拟计算'!B664)&lt;='模拟-模拟计算'!$C$2,'模拟-模拟计算'!B664&gt;0),'模拟-模拟计算'!V664," ")</f>
        <v xml:space="preserve"> </v>
      </c>
      <c r="H639" s="52" t="str">
        <f>IF(AND(INT('模拟-模拟计算'!B664)&lt;='模拟-模拟计算'!$C$2,'模拟-模拟计算'!B664&gt;0),'模拟-模拟计算'!Y664," ")</f>
        <v xml:space="preserve"> </v>
      </c>
      <c r="I639" s="105" t="str">
        <f>IF(AND(INT('模拟-模拟计算'!B664)&lt;='模拟-模拟计算'!$C$2,'模拟-模拟计算'!B664&gt;0),'模拟-模拟计算'!AA664," ")</f>
        <v xml:space="preserve"> </v>
      </c>
    </row>
    <row r="640" spans="1:9" x14ac:dyDescent="0.2">
      <c r="A640" s="20">
        <f>INT('模拟-模拟计算'!B665+0.5)</f>
        <v>589</v>
      </c>
      <c r="B640" s="52" t="str">
        <f>IF(AND(INT('模拟-模拟计算'!B665)&lt;='模拟-模拟计算'!$C$2,'模拟-模拟计算'!B665&gt;0),'模拟-模拟计算'!B665," ")</f>
        <v xml:space="preserve"> </v>
      </c>
      <c r="C640" s="51" t="str">
        <f>IF(AND(INT('模拟-模拟计算'!B665)&lt;='模拟-模拟计算'!$C$2,'模拟-模拟计算'!B665&gt;0),'模拟-模拟计算'!C665," ")</f>
        <v xml:space="preserve"> </v>
      </c>
      <c r="D640" s="104" t="str">
        <f>IF(AND(INT('模拟-模拟计算'!B665)&lt;='模拟-模拟计算'!$C$2,'模拟-模拟计算'!B665&gt;0),'模拟-模拟计算'!E665," ")</f>
        <v xml:space="preserve"> </v>
      </c>
      <c r="E640" s="104" t="str">
        <f>IF(AND(INT('模拟-模拟计算'!B665)&lt;='模拟-模拟计算'!$C$2,'模拟-模拟计算'!B665&gt;0),'模拟-模拟计算'!F665," ")</f>
        <v xml:space="preserve"> </v>
      </c>
      <c r="F640" s="51" t="str">
        <f>IF(AND(INT('模拟-模拟计算'!B665)&lt;='模拟-模拟计算'!$C$2,'模拟-模拟计算'!B665&gt;0),'模拟-模拟计算'!P665," ")</f>
        <v xml:space="preserve"> </v>
      </c>
      <c r="G640" s="52" t="str">
        <f>IF(AND(INT('模拟-模拟计算'!B665)&lt;='模拟-模拟计算'!$C$2,'模拟-模拟计算'!B665&gt;0),'模拟-模拟计算'!V665," ")</f>
        <v xml:space="preserve"> </v>
      </c>
      <c r="H640" s="52" t="str">
        <f>IF(AND(INT('模拟-模拟计算'!B665)&lt;='模拟-模拟计算'!$C$2,'模拟-模拟计算'!B665&gt;0),'模拟-模拟计算'!Y665," ")</f>
        <v xml:space="preserve"> </v>
      </c>
      <c r="I640" s="105" t="str">
        <f>IF(AND(INT('模拟-模拟计算'!B665)&lt;='模拟-模拟计算'!$C$2,'模拟-模拟计算'!B665&gt;0),'模拟-模拟计算'!AA665," ")</f>
        <v xml:space="preserve"> </v>
      </c>
    </row>
    <row r="641" spans="1:9" x14ac:dyDescent="0.2">
      <c r="A641" s="20">
        <f>INT('模拟-模拟计算'!B666+0.5)</f>
        <v>589</v>
      </c>
      <c r="B641" s="52" t="str">
        <f>IF(AND(INT('模拟-模拟计算'!B666)&lt;='模拟-模拟计算'!$C$2,'模拟-模拟计算'!B666&gt;0),'模拟-模拟计算'!B666," ")</f>
        <v xml:space="preserve"> </v>
      </c>
      <c r="C641" s="51" t="str">
        <f>IF(AND(INT('模拟-模拟计算'!B666)&lt;='模拟-模拟计算'!$C$2,'模拟-模拟计算'!B666&gt;0),'模拟-模拟计算'!C666," ")</f>
        <v xml:space="preserve"> </v>
      </c>
      <c r="D641" s="104" t="str">
        <f>IF(AND(INT('模拟-模拟计算'!B666)&lt;='模拟-模拟计算'!$C$2,'模拟-模拟计算'!B666&gt;0),'模拟-模拟计算'!E666," ")</f>
        <v xml:space="preserve"> </v>
      </c>
      <c r="E641" s="104" t="str">
        <f>IF(AND(INT('模拟-模拟计算'!B666)&lt;='模拟-模拟计算'!$C$2,'模拟-模拟计算'!B666&gt;0),'模拟-模拟计算'!F666," ")</f>
        <v xml:space="preserve"> </v>
      </c>
      <c r="F641" s="51" t="str">
        <f>IF(AND(INT('模拟-模拟计算'!B666)&lt;='模拟-模拟计算'!$C$2,'模拟-模拟计算'!B666&gt;0),'模拟-模拟计算'!P666," ")</f>
        <v xml:space="preserve"> </v>
      </c>
      <c r="G641" s="52" t="str">
        <f>IF(AND(INT('模拟-模拟计算'!B666)&lt;='模拟-模拟计算'!$C$2,'模拟-模拟计算'!B666&gt;0),'模拟-模拟计算'!V666," ")</f>
        <v xml:space="preserve"> </v>
      </c>
      <c r="H641" s="52" t="str">
        <f>IF(AND(INT('模拟-模拟计算'!B666)&lt;='模拟-模拟计算'!$C$2,'模拟-模拟计算'!B666&gt;0),'模拟-模拟计算'!Y666," ")</f>
        <v xml:space="preserve"> </v>
      </c>
      <c r="I641" s="105" t="str">
        <f>IF(AND(INT('模拟-模拟计算'!B666)&lt;='模拟-模拟计算'!$C$2,'模拟-模拟计算'!B666&gt;0),'模拟-模拟计算'!AA666," ")</f>
        <v xml:space="preserve"> </v>
      </c>
    </row>
    <row r="642" spans="1:9" x14ac:dyDescent="0.2">
      <c r="A642" s="20">
        <f>INT('模拟-模拟计算'!B667+0.5)</f>
        <v>590</v>
      </c>
      <c r="B642" s="52" t="str">
        <f>IF(AND(INT('模拟-模拟计算'!B667)&lt;='模拟-模拟计算'!$C$2,'模拟-模拟计算'!B667&gt;0),'模拟-模拟计算'!B667," ")</f>
        <v xml:space="preserve"> </v>
      </c>
      <c r="C642" s="51" t="str">
        <f>IF(AND(INT('模拟-模拟计算'!B667)&lt;='模拟-模拟计算'!$C$2,'模拟-模拟计算'!B667&gt;0),'模拟-模拟计算'!C667," ")</f>
        <v xml:space="preserve"> </v>
      </c>
      <c r="D642" s="104" t="str">
        <f>IF(AND(INT('模拟-模拟计算'!B667)&lt;='模拟-模拟计算'!$C$2,'模拟-模拟计算'!B667&gt;0),'模拟-模拟计算'!E667," ")</f>
        <v xml:space="preserve"> </v>
      </c>
      <c r="E642" s="104" t="str">
        <f>IF(AND(INT('模拟-模拟计算'!B667)&lt;='模拟-模拟计算'!$C$2,'模拟-模拟计算'!B667&gt;0),'模拟-模拟计算'!F667," ")</f>
        <v xml:space="preserve"> </v>
      </c>
      <c r="F642" s="51" t="str">
        <f>IF(AND(INT('模拟-模拟计算'!B667)&lt;='模拟-模拟计算'!$C$2,'模拟-模拟计算'!B667&gt;0),'模拟-模拟计算'!P667," ")</f>
        <v xml:space="preserve"> </v>
      </c>
      <c r="G642" s="52" t="str">
        <f>IF(AND(INT('模拟-模拟计算'!B667)&lt;='模拟-模拟计算'!$C$2,'模拟-模拟计算'!B667&gt;0),'模拟-模拟计算'!V667," ")</f>
        <v xml:space="preserve"> </v>
      </c>
      <c r="H642" s="52" t="str">
        <f>IF(AND(INT('模拟-模拟计算'!B667)&lt;='模拟-模拟计算'!$C$2,'模拟-模拟计算'!B667&gt;0),'模拟-模拟计算'!Y667," ")</f>
        <v xml:space="preserve"> </v>
      </c>
      <c r="I642" s="105" t="str">
        <f>IF(AND(INT('模拟-模拟计算'!B667)&lt;='模拟-模拟计算'!$C$2,'模拟-模拟计算'!B667&gt;0),'模拟-模拟计算'!AA667," ")</f>
        <v xml:space="preserve"> </v>
      </c>
    </row>
    <row r="643" spans="1:9" x14ac:dyDescent="0.2">
      <c r="A643" s="20">
        <f>INT('模拟-模拟计算'!B668+0.5)</f>
        <v>591</v>
      </c>
      <c r="B643" s="52" t="str">
        <f>IF(AND(INT('模拟-模拟计算'!B668)&lt;='模拟-模拟计算'!$C$2,'模拟-模拟计算'!B668&gt;0),'模拟-模拟计算'!B668," ")</f>
        <v xml:space="preserve"> </v>
      </c>
      <c r="C643" s="51" t="str">
        <f>IF(AND(INT('模拟-模拟计算'!B668)&lt;='模拟-模拟计算'!$C$2,'模拟-模拟计算'!B668&gt;0),'模拟-模拟计算'!C668," ")</f>
        <v xml:space="preserve"> </v>
      </c>
      <c r="D643" s="104" t="str">
        <f>IF(AND(INT('模拟-模拟计算'!B668)&lt;='模拟-模拟计算'!$C$2,'模拟-模拟计算'!B668&gt;0),'模拟-模拟计算'!E668," ")</f>
        <v xml:space="preserve"> </v>
      </c>
      <c r="E643" s="104" t="str">
        <f>IF(AND(INT('模拟-模拟计算'!B668)&lt;='模拟-模拟计算'!$C$2,'模拟-模拟计算'!B668&gt;0),'模拟-模拟计算'!F668," ")</f>
        <v xml:space="preserve"> </v>
      </c>
      <c r="F643" s="51" t="str">
        <f>IF(AND(INT('模拟-模拟计算'!B668)&lt;='模拟-模拟计算'!$C$2,'模拟-模拟计算'!B668&gt;0),'模拟-模拟计算'!P668," ")</f>
        <v xml:space="preserve"> </v>
      </c>
      <c r="G643" s="52" t="str">
        <f>IF(AND(INT('模拟-模拟计算'!B668)&lt;='模拟-模拟计算'!$C$2,'模拟-模拟计算'!B668&gt;0),'模拟-模拟计算'!V668," ")</f>
        <v xml:space="preserve"> </v>
      </c>
      <c r="H643" s="52" t="str">
        <f>IF(AND(INT('模拟-模拟计算'!B668)&lt;='模拟-模拟计算'!$C$2,'模拟-模拟计算'!B668&gt;0),'模拟-模拟计算'!Y668," ")</f>
        <v xml:space="preserve"> </v>
      </c>
      <c r="I643" s="105" t="str">
        <f>IF(AND(INT('模拟-模拟计算'!B668)&lt;='模拟-模拟计算'!$C$2,'模拟-模拟计算'!B668&gt;0),'模拟-模拟计算'!AA668," ")</f>
        <v xml:space="preserve"> </v>
      </c>
    </row>
    <row r="644" spans="1:9" x14ac:dyDescent="0.2">
      <c r="A644" s="20">
        <f>INT('模拟-模拟计算'!B669+0.5)</f>
        <v>592</v>
      </c>
      <c r="B644" s="52" t="str">
        <f>IF(AND(INT('模拟-模拟计算'!B669)&lt;='模拟-模拟计算'!$C$2,'模拟-模拟计算'!B669&gt;0),'模拟-模拟计算'!B669," ")</f>
        <v xml:space="preserve"> </v>
      </c>
      <c r="C644" s="51" t="str">
        <f>IF(AND(INT('模拟-模拟计算'!B669)&lt;='模拟-模拟计算'!$C$2,'模拟-模拟计算'!B669&gt;0),'模拟-模拟计算'!C669," ")</f>
        <v xml:space="preserve"> </v>
      </c>
      <c r="D644" s="104" t="str">
        <f>IF(AND(INT('模拟-模拟计算'!B669)&lt;='模拟-模拟计算'!$C$2,'模拟-模拟计算'!B669&gt;0),'模拟-模拟计算'!E669," ")</f>
        <v xml:space="preserve"> </v>
      </c>
      <c r="E644" s="104" t="str">
        <f>IF(AND(INT('模拟-模拟计算'!B669)&lt;='模拟-模拟计算'!$C$2,'模拟-模拟计算'!B669&gt;0),'模拟-模拟计算'!F669," ")</f>
        <v xml:space="preserve"> </v>
      </c>
      <c r="F644" s="51" t="str">
        <f>IF(AND(INT('模拟-模拟计算'!B669)&lt;='模拟-模拟计算'!$C$2,'模拟-模拟计算'!B669&gt;0),'模拟-模拟计算'!P669," ")</f>
        <v xml:space="preserve"> </v>
      </c>
      <c r="G644" s="52" t="str">
        <f>IF(AND(INT('模拟-模拟计算'!B669)&lt;='模拟-模拟计算'!$C$2,'模拟-模拟计算'!B669&gt;0),'模拟-模拟计算'!V669," ")</f>
        <v xml:space="preserve"> </v>
      </c>
      <c r="H644" s="52" t="str">
        <f>IF(AND(INT('模拟-模拟计算'!B669)&lt;='模拟-模拟计算'!$C$2,'模拟-模拟计算'!B669&gt;0),'模拟-模拟计算'!Y669," ")</f>
        <v xml:space="preserve"> </v>
      </c>
      <c r="I644" s="105" t="str">
        <f>IF(AND(INT('模拟-模拟计算'!B669)&lt;='模拟-模拟计算'!$C$2,'模拟-模拟计算'!B669&gt;0),'模拟-模拟计算'!AA669," ")</f>
        <v xml:space="preserve"> </v>
      </c>
    </row>
    <row r="645" spans="1:9" x14ac:dyDescent="0.2">
      <c r="A645" s="20">
        <f>INT('模拟-模拟计算'!B670+0.5)</f>
        <v>593</v>
      </c>
      <c r="B645" s="52" t="str">
        <f>IF(AND(INT('模拟-模拟计算'!B670)&lt;='模拟-模拟计算'!$C$2,'模拟-模拟计算'!B670&gt;0),'模拟-模拟计算'!B670," ")</f>
        <v xml:space="preserve"> </v>
      </c>
      <c r="C645" s="51" t="str">
        <f>IF(AND(INT('模拟-模拟计算'!B670)&lt;='模拟-模拟计算'!$C$2,'模拟-模拟计算'!B670&gt;0),'模拟-模拟计算'!C670," ")</f>
        <v xml:space="preserve"> </v>
      </c>
      <c r="D645" s="104" t="str">
        <f>IF(AND(INT('模拟-模拟计算'!B670)&lt;='模拟-模拟计算'!$C$2,'模拟-模拟计算'!B670&gt;0),'模拟-模拟计算'!E670," ")</f>
        <v xml:space="preserve"> </v>
      </c>
      <c r="E645" s="104" t="str">
        <f>IF(AND(INT('模拟-模拟计算'!B670)&lt;='模拟-模拟计算'!$C$2,'模拟-模拟计算'!B670&gt;0),'模拟-模拟计算'!F670," ")</f>
        <v xml:space="preserve"> </v>
      </c>
      <c r="F645" s="51" t="str">
        <f>IF(AND(INT('模拟-模拟计算'!B670)&lt;='模拟-模拟计算'!$C$2,'模拟-模拟计算'!B670&gt;0),'模拟-模拟计算'!P670," ")</f>
        <v xml:space="preserve"> </v>
      </c>
      <c r="G645" s="52" t="str">
        <f>IF(AND(INT('模拟-模拟计算'!B670)&lt;='模拟-模拟计算'!$C$2,'模拟-模拟计算'!B670&gt;0),'模拟-模拟计算'!V670," ")</f>
        <v xml:space="preserve"> </v>
      </c>
      <c r="H645" s="52" t="str">
        <f>IF(AND(INT('模拟-模拟计算'!B670)&lt;='模拟-模拟计算'!$C$2,'模拟-模拟计算'!B670&gt;0),'模拟-模拟计算'!Y670," ")</f>
        <v xml:space="preserve"> </v>
      </c>
      <c r="I645" s="105" t="str">
        <f>IF(AND(INT('模拟-模拟计算'!B670)&lt;='模拟-模拟计算'!$C$2,'模拟-模拟计算'!B670&gt;0),'模拟-模拟计算'!AA670," ")</f>
        <v xml:space="preserve"> </v>
      </c>
    </row>
    <row r="646" spans="1:9" x14ac:dyDescent="0.2">
      <c r="A646" s="20">
        <f>INT('模拟-模拟计算'!B671+0.5)</f>
        <v>594</v>
      </c>
      <c r="B646" s="52" t="str">
        <f>IF(AND(INT('模拟-模拟计算'!B671)&lt;='模拟-模拟计算'!$C$2,'模拟-模拟计算'!B671&gt;0),'模拟-模拟计算'!B671," ")</f>
        <v xml:space="preserve"> </v>
      </c>
      <c r="C646" s="51" t="str">
        <f>IF(AND(INT('模拟-模拟计算'!B671)&lt;='模拟-模拟计算'!$C$2,'模拟-模拟计算'!B671&gt;0),'模拟-模拟计算'!C671," ")</f>
        <v xml:space="preserve"> </v>
      </c>
      <c r="D646" s="104" t="str">
        <f>IF(AND(INT('模拟-模拟计算'!B671)&lt;='模拟-模拟计算'!$C$2,'模拟-模拟计算'!B671&gt;0),'模拟-模拟计算'!E671," ")</f>
        <v xml:space="preserve"> </v>
      </c>
      <c r="E646" s="104" t="str">
        <f>IF(AND(INT('模拟-模拟计算'!B671)&lt;='模拟-模拟计算'!$C$2,'模拟-模拟计算'!B671&gt;0),'模拟-模拟计算'!F671," ")</f>
        <v xml:space="preserve"> </v>
      </c>
      <c r="F646" s="51" t="str">
        <f>IF(AND(INT('模拟-模拟计算'!B671)&lt;='模拟-模拟计算'!$C$2,'模拟-模拟计算'!B671&gt;0),'模拟-模拟计算'!P671," ")</f>
        <v xml:space="preserve"> </v>
      </c>
      <c r="G646" s="52" t="str">
        <f>IF(AND(INT('模拟-模拟计算'!B671)&lt;='模拟-模拟计算'!$C$2,'模拟-模拟计算'!B671&gt;0),'模拟-模拟计算'!V671," ")</f>
        <v xml:space="preserve"> </v>
      </c>
      <c r="H646" s="52" t="str">
        <f>IF(AND(INT('模拟-模拟计算'!B671)&lt;='模拟-模拟计算'!$C$2,'模拟-模拟计算'!B671&gt;0),'模拟-模拟计算'!Y671," ")</f>
        <v xml:space="preserve"> </v>
      </c>
      <c r="I646" s="105" t="str">
        <f>IF(AND(INT('模拟-模拟计算'!B671)&lt;='模拟-模拟计算'!$C$2,'模拟-模拟计算'!B671&gt;0),'模拟-模拟计算'!AA671," ")</f>
        <v xml:space="preserve"> </v>
      </c>
    </row>
    <row r="647" spans="1:9" x14ac:dyDescent="0.2">
      <c r="A647" s="20">
        <f>INT('模拟-模拟计算'!B672+0.5)</f>
        <v>595</v>
      </c>
      <c r="B647" s="52" t="str">
        <f>IF(AND(INT('模拟-模拟计算'!B672)&lt;='模拟-模拟计算'!$C$2,'模拟-模拟计算'!B672&gt;0),'模拟-模拟计算'!B672," ")</f>
        <v xml:space="preserve"> </v>
      </c>
      <c r="C647" s="51" t="str">
        <f>IF(AND(INT('模拟-模拟计算'!B672)&lt;='模拟-模拟计算'!$C$2,'模拟-模拟计算'!B672&gt;0),'模拟-模拟计算'!C672," ")</f>
        <v xml:space="preserve"> </v>
      </c>
      <c r="D647" s="104" t="str">
        <f>IF(AND(INT('模拟-模拟计算'!B672)&lt;='模拟-模拟计算'!$C$2,'模拟-模拟计算'!B672&gt;0),'模拟-模拟计算'!E672," ")</f>
        <v xml:space="preserve"> </v>
      </c>
      <c r="E647" s="104" t="str">
        <f>IF(AND(INT('模拟-模拟计算'!B672)&lt;='模拟-模拟计算'!$C$2,'模拟-模拟计算'!B672&gt;0),'模拟-模拟计算'!F672," ")</f>
        <v xml:space="preserve"> </v>
      </c>
      <c r="F647" s="51" t="str">
        <f>IF(AND(INT('模拟-模拟计算'!B672)&lt;='模拟-模拟计算'!$C$2,'模拟-模拟计算'!B672&gt;0),'模拟-模拟计算'!P672," ")</f>
        <v xml:space="preserve"> </v>
      </c>
      <c r="G647" s="52" t="str">
        <f>IF(AND(INT('模拟-模拟计算'!B672)&lt;='模拟-模拟计算'!$C$2,'模拟-模拟计算'!B672&gt;0),'模拟-模拟计算'!V672," ")</f>
        <v xml:space="preserve"> </v>
      </c>
      <c r="H647" s="52" t="str">
        <f>IF(AND(INT('模拟-模拟计算'!B672)&lt;='模拟-模拟计算'!$C$2,'模拟-模拟计算'!B672&gt;0),'模拟-模拟计算'!Y672," ")</f>
        <v xml:space="preserve"> </v>
      </c>
      <c r="I647" s="105" t="str">
        <f>IF(AND(INT('模拟-模拟计算'!B672)&lt;='模拟-模拟计算'!$C$2,'模拟-模拟计算'!B672&gt;0),'模拟-模拟计算'!AA672," ")</f>
        <v xml:space="preserve"> </v>
      </c>
    </row>
    <row r="648" spans="1:9" x14ac:dyDescent="0.2">
      <c r="A648" s="20">
        <f>INT('模拟-模拟计算'!B673+0.5)</f>
        <v>596</v>
      </c>
      <c r="B648" s="52" t="str">
        <f>IF(AND(INT('模拟-模拟计算'!B673)&lt;='模拟-模拟计算'!$C$2,'模拟-模拟计算'!B673&gt;0),'模拟-模拟计算'!B673," ")</f>
        <v xml:space="preserve"> </v>
      </c>
      <c r="C648" s="51" t="str">
        <f>IF(AND(INT('模拟-模拟计算'!B673)&lt;='模拟-模拟计算'!$C$2,'模拟-模拟计算'!B673&gt;0),'模拟-模拟计算'!C673," ")</f>
        <v xml:space="preserve"> </v>
      </c>
      <c r="D648" s="104" t="str">
        <f>IF(AND(INT('模拟-模拟计算'!B673)&lt;='模拟-模拟计算'!$C$2,'模拟-模拟计算'!B673&gt;0),'模拟-模拟计算'!E673," ")</f>
        <v xml:space="preserve"> </v>
      </c>
      <c r="E648" s="104" t="str">
        <f>IF(AND(INT('模拟-模拟计算'!B673)&lt;='模拟-模拟计算'!$C$2,'模拟-模拟计算'!B673&gt;0),'模拟-模拟计算'!F673," ")</f>
        <v xml:space="preserve"> </v>
      </c>
      <c r="F648" s="51" t="str">
        <f>IF(AND(INT('模拟-模拟计算'!B673)&lt;='模拟-模拟计算'!$C$2,'模拟-模拟计算'!B673&gt;0),'模拟-模拟计算'!P673," ")</f>
        <v xml:space="preserve"> </v>
      </c>
      <c r="G648" s="52" t="str">
        <f>IF(AND(INT('模拟-模拟计算'!B673)&lt;='模拟-模拟计算'!$C$2,'模拟-模拟计算'!B673&gt;0),'模拟-模拟计算'!V673," ")</f>
        <v xml:space="preserve"> </v>
      </c>
      <c r="H648" s="52" t="str">
        <f>IF(AND(INT('模拟-模拟计算'!B673)&lt;='模拟-模拟计算'!$C$2,'模拟-模拟计算'!B673&gt;0),'模拟-模拟计算'!Y673," ")</f>
        <v xml:space="preserve"> </v>
      </c>
      <c r="I648" s="105" t="str">
        <f>IF(AND(INT('模拟-模拟计算'!B673)&lt;='模拟-模拟计算'!$C$2,'模拟-模拟计算'!B673&gt;0),'模拟-模拟计算'!AA673," ")</f>
        <v xml:space="preserve"> </v>
      </c>
    </row>
    <row r="649" spans="1:9" x14ac:dyDescent="0.2">
      <c r="A649" s="20">
        <f>INT('模拟-模拟计算'!B674+0.5)</f>
        <v>597</v>
      </c>
      <c r="B649" s="52" t="str">
        <f>IF(AND(INT('模拟-模拟计算'!B674)&lt;='模拟-模拟计算'!$C$2,'模拟-模拟计算'!B674&gt;0),'模拟-模拟计算'!B674," ")</f>
        <v xml:space="preserve"> </v>
      </c>
      <c r="C649" s="51" t="str">
        <f>IF(AND(INT('模拟-模拟计算'!B674)&lt;='模拟-模拟计算'!$C$2,'模拟-模拟计算'!B674&gt;0),'模拟-模拟计算'!C674," ")</f>
        <v xml:space="preserve"> </v>
      </c>
      <c r="D649" s="104" t="str">
        <f>IF(AND(INT('模拟-模拟计算'!B674)&lt;='模拟-模拟计算'!$C$2,'模拟-模拟计算'!B674&gt;0),'模拟-模拟计算'!E674," ")</f>
        <v xml:space="preserve"> </v>
      </c>
      <c r="E649" s="104" t="str">
        <f>IF(AND(INT('模拟-模拟计算'!B674)&lt;='模拟-模拟计算'!$C$2,'模拟-模拟计算'!B674&gt;0),'模拟-模拟计算'!F674," ")</f>
        <v xml:space="preserve"> </v>
      </c>
      <c r="F649" s="51" t="str">
        <f>IF(AND(INT('模拟-模拟计算'!B674)&lt;='模拟-模拟计算'!$C$2,'模拟-模拟计算'!B674&gt;0),'模拟-模拟计算'!P674," ")</f>
        <v xml:space="preserve"> </v>
      </c>
      <c r="G649" s="52" t="str">
        <f>IF(AND(INT('模拟-模拟计算'!B674)&lt;='模拟-模拟计算'!$C$2,'模拟-模拟计算'!B674&gt;0),'模拟-模拟计算'!V674," ")</f>
        <v xml:space="preserve"> </v>
      </c>
      <c r="H649" s="52" t="str">
        <f>IF(AND(INT('模拟-模拟计算'!B674)&lt;='模拟-模拟计算'!$C$2,'模拟-模拟计算'!B674&gt;0),'模拟-模拟计算'!Y674," ")</f>
        <v xml:space="preserve"> </v>
      </c>
      <c r="I649" s="105" t="str">
        <f>IF(AND(INT('模拟-模拟计算'!B674)&lt;='模拟-模拟计算'!$C$2,'模拟-模拟计算'!B674&gt;0),'模拟-模拟计算'!AA674," ")</f>
        <v xml:space="preserve"> </v>
      </c>
    </row>
    <row r="650" spans="1:9" x14ac:dyDescent="0.2">
      <c r="A650" s="20">
        <f>INT('模拟-模拟计算'!B675+0.5)</f>
        <v>598</v>
      </c>
      <c r="B650" s="52" t="str">
        <f>IF(AND(INT('模拟-模拟计算'!B675)&lt;='模拟-模拟计算'!$C$2,'模拟-模拟计算'!B675&gt;0),'模拟-模拟计算'!B675," ")</f>
        <v xml:space="preserve"> </v>
      </c>
      <c r="C650" s="51" t="str">
        <f>IF(AND(INT('模拟-模拟计算'!B675)&lt;='模拟-模拟计算'!$C$2,'模拟-模拟计算'!B675&gt;0),'模拟-模拟计算'!C675," ")</f>
        <v xml:space="preserve"> </v>
      </c>
      <c r="D650" s="104" t="str">
        <f>IF(AND(INT('模拟-模拟计算'!B675)&lt;='模拟-模拟计算'!$C$2,'模拟-模拟计算'!B675&gt;0),'模拟-模拟计算'!E675," ")</f>
        <v xml:space="preserve"> </v>
      </c>
      <c r="E650" s="104" t="str">
        <f>IF(AND(INT('模拟-模拟计算'!B675)&lt;='模拟-模拟计算'!$C$2,'模拟-模拟计算'!B675&gt;0),'模拟-模拟计算'!F675," ")</f>
        <v xml:space="preserve"> </v>
      </c>
      <c r="F650" s="51" t="str">
        <f>IF(AND(INT('模拟-模拟计算'!B675)&lt;='模拟-模拟计算'!$C$2,'模拟-模拟计算'!B675&gt;0),'模拟-模拟计算'!P675," ")</f>
        <v xml:space="preserve"> </v>
      </c>
      <c r="G650" s="52" t="str">
        <f>IF(AND(INT('模拟-模拟计算'!B675)&lt;='模拟-模拟计算'!$C$2,'模拟-模拟计算'!B675&gt;0),'模拟-模拟计算'!V675," ")</f>
        <v xml:space="preserve"> </v>
      </c>
      <c r="H650" s="52" t="str">
        <f>IF(AND(INT('模拟-模拟计算'!B675)&lt;='模拟-模拟计算'!$C$2,'模拟-模拟计算'!B675&gt;0),'模拟-模拟计算'!Y675," ")</f>
        <v xml:space="preserve"> </v>
      </c>
      <c r="I650" s="105" t="str">
        <f>IF(AND(INT('模拟-模拟计算'!B675)&lt;='模拟-模拟计算'!$C$2,'模拟-模拟计算'!B675&gt;0),'模拟-模拟计算'!AA675," ")</f>
        <v xml:space="preserve"> </v>
      </c>
    </row>
    <row r="651" spans="1:9" x14ac:dyDescent="0.2">
      <c r="A651" s="20">
        <f>INT('模拟-模拟计算'!B676+0.5)</f>
        <v>599</v>
      </c>
      <c r="B651" s="52" t="str">
        <f>IF(AND(INT('模拟-模拟计算'!B676)&lt;='模拟-模拟计算'!$C$2,'模拟-模拟计算'!B676&gt;0),'模拟-模拟计算'!B676," ")</f>
        <v xml:space="preserve"> </v>
      </c>
      <c r="C651" s="51" t="str">
        <f>IF(AND(INT('模拟-模拟计算'!B676)&lt;='模拟-模拟计算'!$C$2,'模拟-模拟计算'!B676&gt;0),'模拟-模拟计算'!C676," ")</f>
        <v xml:space="preserve"> </v>
      </c>
      <c r="D651" s="104" t="str">
        <f>IF(AND(INT('模拟-模拟计算'!B676)&lt;='模拟-模拟计算'!$C$2,'模拟-模拟计算'!B676&gt;0),'模拟-模拟计算'!E676," ")</f>
        <v xml:space="preserve"> </v>
      </c>
      <c r="E651" s="104" t="str">
        <f>IF(AND(INT('模拟-模拟计算'!B676)&lt;='模拟-模拟计算'!$C$2,'模拟-模拟计算'!B676&gt;0),'模拟-模拟计算'!F676," ")</f>
        <v xml:space="preserve"> </v>
      </c>
      <c r="F651" s="51" t="str">
        <f>IF(AND(INT('模拟-模拟计算'!B676)&lt;='模拟-模拟计算'!$C$2,'模拟-模拟计算'!B676&gt;0),'模拟-模拟计算'!P676," ")</f>
        <v xml:space="preserve"> </v>
      </c>
      <c r="G651" s="52" t="str">
        <f>IF(AND(INT('模拟-模拟计算'!B676)&lt;='模拟-模拟计算'!$C$2,'模拟-模拟计算'!B676&gt;0),'模拟-模拟计算'!V676," ")</f>
        <v xml:space="preserve"> </v>
      </c>
      <c r="H651" s="52" t="str">
        <f>IF(AND(INT('模拟-模拟计算'!B676)&lt;='模拟-模拟计算'!$C$2,'模拟-模拟计算'!B676&gt;0),'模拟-模拟计算'!Y676," ")</f>
        <v xml:space="preserve"> </v>
      </c>
      <c r="I651" s="105" t="str">
        <f>IF(AND(INT('模拟-模拟计算'!B676)&lt;='模拟-模拟计算'!$C$2,'模拟-模拟计算'!B676&gt;0),'模拟-模拟计算'!AA676," ")</f>
        <v xml:space="preserve"> </v>
      </c>
    </row>
    <row r="652" spans="1:9" x14ac:dyDescent="0.2">
      <c r="A652" s="20">
        <f>INT('模拟-模拟计算'!B677+0.5)</f>
        <v>600</v>
      </c>
      <c r="B652" s="52" t="str">
        <f>IF(AND(INT('模拟-模拟计算'!B677)&lt;='模拟-模拟计算'!$C$2,'模拟-模拟计算'!B677&gt;0),'模拟-模拟计算'!B677," ")</f>
        <v xml:space="preserve"> </v>
      </c>
      <c r="C652" s="51" t="str">
        <f>IF(AND(INT('模拟-模拟计算'!B677)&lt;='模拟-模拟计算'!$C$2,'模拟-模拟计算'!B677&gt;0),'模拟-模拟计算'!C677," ")</f>
        <v xml:space="preserve"> </v>
      </c>
      <c r="D652" s="104" t="str">
        <f>IF(AND(INT('模拟-模拟计算'!B677)&lt;='模拟-模拟计算'!$C$2,'模拟-模拟计算'!B677&gt;0),'模拟-模拟计算'!E677," ")</f>
        <v xml:space="preserve"> </v>
      </c>
      <c r="E652" s="104" t="str">
        <f>IF(AND(INT('模拟-模拟计算'!B677)&lt;='模拟-模拟计算'!$C$2,'模拟-模拟计算'!B677&gt;0),'模拟-模拟计算'!F677," ")</f>
        <v xml:space="preserve"> </v>
      </c>
      <c r="F652" s="51" t="str">
        <f>IF(AND(INT('模拟-模拟计算'!B677)&lt;='模拟-模拟计算'!$C$2,'模拟-模拟计算'!B677&gt;0),'模拟-模拟计算'!P677," ")</f>
        <v xml:space="preserve"> </v>
      </c>
      <c r="G652" s="52" t="str">
        <f>IF(AND(INT('模拟-模拟计算'!B677)&lt;='模拟-模拟计算'!$C$2,'模拟-模拟计算'!B677&gt;0),'模拟-模拟计算'!V677," ")</f>
        <v xml:space="preserve"> </v>
      </c>
      <c r="H652" s="52" t="str">
        <f>IF(AND(INT('模拟-模拟计算'!B677)&lt;='模拟-模拟计算'!$C$2,'模拟-模拟计算'!B677&gt;0),'模拟-模拟计算'!Y677," ")</f>
        <v xml:space="preserve"> </v>
      </c>
      <c r="I652" s="105" t="str">
        <f>IF(AND(INT('模拟-模拟计算'!B677)&lt;='模拟-模拟计算'!$C$2,'模拟-模拟计算'!B677&gt;0),'模拟-模拟计算'!AA677," ")</f>
        <v xml:space="preserve"> </v>
      </c>
    </row>
    <row r="653" spans="1:9" x14ac:dyDescent="0.2">
      <c r="A653" s="20">
        <f>INT('模拟-模拟计算'!B678+0.5)</f>
        <v>601</v>
      </c>
      <c r="B653" s="52" t="str">
        <f>IF(AND(INT('模拟-模拟计算'!B678)&lt;='模拟-模拟计算'!$C$2,'模拟-模拟计算'!B678&gt;0),'模拟-模拟计算'!B678," ")</f>
        <v xml:space="preserve"> </v>
      </c>
      <c r="C653" s="51" t="str">
        <f>IF(AND(INT('模拟-模拟计算'!B678)&lt;='模拟-模拟计算'!$C$2,'模拟-模拟计算'!B678&gt;0),'模拟-模拟计算'!C678," ")</f>
        <v xml:space="preserve"> </v>
      </c>
      <c r="D653" s="104" t="str">
        <f>IF(AND(INT('模拟-模拟计算'!B678)&lt;='模拟-模拟计算'!$C$2,'模拟-模拟计算'!B678&gt;0),'模拟-模拟计算'!E678," ")</f>
        <v xml:space="preserve"> </v>
      </c>
      <c r="E653" s="104" t="str">
        <f>IF(AND(INT('模拟-模拟计算'!B678)&lt;='模拟-模拟计算'!$C$2,'模拟-模拟计算'!B678&gt;0),'模拟-模拟计算'!F678," ")</f>
        <v xml:space="preserve"> </v>
      </c>
      <c r="F653" s="51" t="str">
        <f>IF(AND(INT('模拟-模拟计算'!B678)&lt;='模拟-模拟计算'!$C$2,'模拟-模拟计算'!B678&gt;0),'模拟-模拟计算'!P678," ")</f>
        <v xml:space="preserve"> </v>
      </c>
      <c r="G653" s="52" t="str">
        <f>IF(AND(INT('模拟-模拟计算'!B678)&lt;='模拟-模拟计算'!$C$2,'模拟-模拟计算'!B678&gt;0),'模拟-模拟计算'!V678," ")</f>
        <v xml:space="preserve"> </v>
      </c>
      <c r="H653" s="52" t="str">
        <f>IF(AND(INT('模拟-模拟计算'!B678)&lt;='模拟-模拟计算'!$C$2,'模拟-模拟计算'!B678&gt;0),'模拟-模拟计算'!Y678," ")</f>
        <v xml:space="preserve"> </v>
      </c>
      <c r="I653" s="105" t="str">
        <f>IF(AND(INT('模拟-模拟计算'!B678)&lt;='模拟-模拟计算'!$C$2,'模拟-模拟计算'!B678&gt;0),'模拟-模拟计算'!AA678," ")</f>
        <v xml:space="preserve"> </v>
      </c>
    </row>
    <row r="654" spans="1:9" x14ac:dyDescent="0.2">
      <c r="A654" s="20">
        <f>INT('模拟-模拟计算'!B679+0.5)</f>
        <v>601</v>
      </c>
      <c r="B654" s="52" t="str">
        <f>IF(AND(INT('模拟-模拟计算'!B679)&lt;='模拟-模拟计算'!$C$2,'模拟-模拟计算'!B679&gt;0),'模拟-模拟计算'!B679," ")</f>
        <v xml:space="preserve"> </v>
      </c>
      <c r="C654" s="51" t="str">
        <f>IF(AND(INT('模拟-模拟计算'!B679)&lt;='模拟-模拟计算'!$C$2,'模拟-模拟计算'!B679&gt;0),'模拟-模拟计算'!C679," ")</f>
        <v xml:space="preserve"> </v>
      </c>
      <c r="D654" s="104" t="str">
        <f>IF(AND(INT('模拟-模拟计算'!B679)&lt;='模拟-模拟计算'!$C$2,'模拟-模拟计算'!B679&gt;0),'模拟-模拟计算'!E679," ")</f>
        <v xml:space="preserve"> </v>
      </c>
      <c r="E654" s="104" t="str">
        <f>IF(AND(INT('模拟-模拟计算'!B679)&lt;='模拟-模拟计算'!$C$2,'模拟-模拟计算'!B679&gt;0),'模拟-模拟计算'!F679," ")</f>
        <v xml:space="preserve"> </v>
      </c>
      <c r="F654" s="51" t="str">
        <f>IF(AND(INT('模拟-模拟计算'!B679)&lt;='模拟-模拟计算'!$C$2,'模拟-模拟计算'!B679&gt;0),'模拟-模拟计算'!P679," ")</f>
        <v xml:space="preserve"> </v>
      </c>
      <c r="G654" s="52" t="str">
        <f>IF(AND(INT('模拟-模拟计算'!B679)&lt;='模拟-模拟计算'!$C$2,'模拟-模拟计算'!B679&gt;0),'模拟-模拟计算'!V679," ")</f>
        <v xml:space="preserve"> </v>
      </c>
      <c r="H654" s="52" t="str">
        <f>IF(AND(INT('模拟-模拟计算'!B679)&lt;='模拟-模拟计算'!$C$2,'模拟-模拟计算'!B679&gt;0),'模拟-模拟计算'!Y679," ")</f>
        <v xml:space="preserve"> </v>
      </c>
      <c r="I654" s="105" t="str">
        <f>IF(AND(INT('模拟-模拟计算'!B679)&lt;='模拟-模拟计算'!$C$2,'模拟-模拟计算'!B679&gt;0),'模拟-模拟计算'!AA679," ")</f>
        <v xml:space="preserve"> </v>
      </c>
    </row>
    <row r="655" spans="1:9" x14ac:dyDescent="0.2">
      <c r="A655" s="20">
        <f>INT('模拟-模拟计算'!B680+0.5)</f>
        <v>602</v>
      </c>
      <c r="B655" s="52" t="str">
        <f>IF(AND(INT('模拟-模拟计算'!B680)&lt;='模拟-模拟计算'!$C$2,'模拟-模拟计算'!B680&gt;0),'模拟-模拟计算'!B680," ")</f>
        <v xml:space="preserve"> </v>
      </c>
      <c r="C655" s="51" t="str">
        <f>IF(AND(INT('模拟-模拟计算'!B680)&lt;='模拟-模拟计算'!$C$2,'模拟-模拟计算'!B680&gt;0),'模拟-模拟计算'!C680," ")</f>
        <v xml:space="preserve"> </v>
      </c>
      <c r="D655" s="104" t="str">
        <f>IF(AND(INT('模拟-模拟计算'!B680)&lt;='模拟-模拟计算'!$C$2,'模拟-模拟计算'!B680&gt;0),'模拟-模拟计算'!E680," ")</f>
        <v xml:space="preserve"> </v>
      </c>
      <c r="E655" s="104" t="str">
        <f>IF(AND(INT('模拟-模拟计算'!B680)&lt;='模拟-模拟计算'!$C$2,'模拟-模拟计算'!B680&gt;0),'模拟-模拟计算'!F680," ")</f>
        <v xml:space="preserve"> </v>
      </c>
      <c r="F655" s="51" t="str">
        <f>IF(AND(INT('模拟-模拟计算'!B680)&lt;='模拟-模拟计算'!$C$2,'模拟-模拟计算'!B680&gt;0),'模拟-模拟计算'!P680," ")</f>
        <v xml:space="preserve"> </v>
      </c>
      <c r="G655" s="52" t="str">
        <f>IF(AND(INT('模拟-模拟计算'!B680)&lt;='模拟-模拟计算'!$C$2,'模拟-模拟计算'!B680&gt;0),'模拟-模拟计算'!V680," ")</f>
        <v xml:space="preserve"> </v>
      </c>
      <c r="H655" s="52" t="str">
        <f>IF(AND(INT('模拟-模拟计算'!B680)&lt;='模拟-模拟计算'!$C$2,'模拟-模拟计算'!B680&gt;0),'模拟-模拟计算'!Y680," ")</f>
        <v xml:space="preserve"> </v>
      </c>
      <c r="I655" s="105" t="str">
        <f>IF(AND(INT('模拟-模拟计算'!B680)&lt;='模拟-模拟计算'!$C$2,'模拟-模拟计算'!B680&gt;0),'模拟-模拟计算'!AA680," ")</f>
        <v xml:space="preserve"> </v>
      </c>
    </row>
    <row r="656" spans="1:9" x14ac:dyDescent="0.2">
      <c r="A656" s="20">
        <f>INT('模拟-模拟计算'!B681+0.5)</f>
        <v>603</v>
      </c>
      <c r="B656" s="52" t="str">
        <f>IF(AND(INT('模拟-模拟计算'!B681)&lt;='模拟-模拟计算'!$C$2,'模拟-模拟计算'!B681&gt;0),'模拟-模拟计算'!B681," ")</f>
        <v xml:space="preserve"> </v>
      </c>
      <c r="C656" s="51" t="str">
        <f>IF(AND(INT('模拟-模拟计算'!B681)&lt;='模拟-模拟计算'!$C$2,'模拟-模拟计算'!B681&gt;0),'模拟-模拟计算'!C681," ")</f>
        <v xml:space="preserve"> </v>
      </c>
      <c r="D656" s="104" t="str">
        <f>IF(AND(INT('模拟-模拟计算'!B681)&lt;='模拟-模拟计算'!$C$2,'模拟-模拟计算'!B681&gt;0),'模拟-模拟计算'!E681," ")</f>
        <v xml:space="preserve"> </v>
      </c>
      <c r="E656" s="104" t="str">
        <f>IF(AND(INT('模拟-模拟计算'!B681)&lt;='模拟-模拟计算'!$C$2,'模拟-模拟计算'!B681&gt;0),'模拟-模拟计算'!F681," ")</f>
        <v xml:space="preserve"> </v>
      </c>
      <c r="F656" s="51" t="str">
        <f>IF(AND(INT('模拟-模拟计算'!B681)&lt;='模拟-模拟计算'!$C$2,'模拟-模拟计算'!B681&gt;0),'模拟-模拟计算'!P681," ")</f>
        <v xml:space="preserve"> </v>
      </c>
      <c r="G656" s="52" t="str">
        <f>IF(AND(INT('模拟-模拟计算'!B681)&lt;='模拟-模拟计算'!$C$2,'模拟-模拟计算'!B681&gt;0),'模拟-模拟计算'!V681," ")</f>
        <v xml:space="preserve"> </v>
      </c>
      <c r="H656" s="52" t="str">
        <f>IF(AND(INT('模拟-模拟计算'!B681)&lt;='模拟-模拟计算'!$C$2,'模拟-模拟计算'!B681&gt;0),'模拟-模拟计算'!Y681," ")</f>
        <v xml:space="preserve"> </v>
      </c>
      <c r="I656" s="105" t="str">
        <f>IF(AND(INT('模拟-模拟计算'!B681)&lt;='模拟-模拟计算'!$C$2,'模拟-模拟计算'!B681&gt;0),'模拟-模拟计算'!AA681," ")</f>
        <v xml:space="preserve"> </v>
      </c>
    </row>
    <row r="657" spans="1:9" x14ac:dyDescent="0.2">
      <c r="A657" s="20">
        <f>INT('模拟-模拟计算'!B682+0.5)</f>
        <v>604</v>
      </c>
      <c r="B657" s="52" t="str">
        <f>IF(AND(INT('模拟-模拟计算'!B682)&lt;='模拟-模拟计算'!$C$2,'模拟-模拟计算'!B682&gt;0),'模拟-模拟计算'!B682," ")</f>
        <v xml:space="preserve"> </v>
      </c>
      <c r="C657" s="51" t="str">
        <f>IF(AND(INT('模拟-模拟计算'!B682)&lt;='模拟-模拟计算'!$C$2,'模拟-模拟计算'!B682&gt;0),'模拟-模拟计算'!C682," ")</f>
        <v xml:space="preserve"> </v>
      </c>
      <c r="D657" s="104" t="str">
        <f>IF(AND(INT('模拟-模拟计算'!B682)&lt;='模拟-模拟计算'!$C$2,'模拟-模拟计算'!B682&gt;0),'模拟-模拟计算'!E682," ")</f>
        <v xml:space="preserve"> </v>
      </c>
      <c r="E657" s="104" t="str">
        <f>IF(AND(INT('模拟-模拟计算'!B682)&lt;='模拟-模拟计算'!$C$2,'模拟-模拟计算'!B682&gt;0),'模拟-模拟计算'!F682," ")</f>
        <v xml:space="preserve"> </v>
      </c>
      <c r="F657" s="51" t="str">
        <f>IF(AND(INT('模拟-模拟计算'!B682)&lt;='模拟-模拟计算'!$C$2,'模拟-模拟计算'!B682&gt;0),'模拟-模拟计算'!P682," ")</f>
        <v xml:space="preserve"> </v>
      </c>
      <c r="G657" s="52" t="str">
        <f>IF(AND(INT('模拟-模拟计算'!B682)&lt;='模拟-模拟计算'!$C$2,'模拟-模拟计算'!B682&gt;0),'模拟-模拟计算'!V682," ")</f>
        <v xml:space="preserve"> </v>
      </c>
      <c r="H657" s="52" t="str">
        <f>IF(AND(INT('模拟-模拟计算'!B682)&lt;='模拟-模拟计算'!$C$2,'模拟-模拟计算'!B682&gt;0),'模拟-模拟计算'!Y682," ")</f>
        <v xml:space="preserve"> </v>
      </c>
      <c r="I657" s="105" t="str">
        <f>IF(AND(INT('模拟-模拟计算'!B682)&lt;='模拟-模拟计算'!$C$2,'模拟-模拟计算'!B682&gt;0),'模拟-模拟计算'!AA682," ")</f>
        <v xml:space="preserve"> </v>
      </c>
    </row>
    <row r="658" spans="1:9" x14ac:dyDescent="0.2">
      <c r="A658" s="20">
        <f>INT('模拟-模拟计算'!B683+0.5)</f>
        <v>605</v>
      </c>
      <c r="B658" s="52" t="str">
        <f>IF(AND(INT('模拟-模拟计算'!B683)&lt;='模拟-模拟计算'!$C$2,'模拟-模拟计算'!B683&gt;0),'模拟-模拟计算'!B683," ")</f>
        <v xml:space="preserve"> </v>
      </c>
      <c r="C658" s="51" t="str">
        <f>IF(AND(INT('模拟-模拟计算'!B683)&lt;='模拟-模拟计算'!$C$2,'模拟-模拟计算'!B683&gt;0),'模拟-模拟计算'!C683," ")</f>
        <v xml:space="preserve"> </v>
      </c>
      <c r="D658" s="104" t="str">
        <f>IF(AND(INT('模拟-模拟计算'!B683)&lt;='模拟-模拟计算'!$C$2,'模拟-模拟计算'!B683&gt;0),'模拟-模拟计算'!E683," ")</f>
        <v xml:space="preserve"> </v>
      </c>
      <c r="E658" s="104" t="str">
        <f>IF(AND(INT('模拟-模拟计算'!B683)&lt;='模拟-模拟计算'!$C$2,'模拟-模拟计算'!B683&gt;0),'模拟-模拟计算'!F683," ")</f>
        <v xml:space="preserve"> </v>
      </c>
      <c r="F658" s="51" t="str">
        <f>IF(AND(INT('模拟-模拟计算'!B683)&lt;='模拟-模拟计算'!$C$2,'模拟-模拟计算'!B683&gt;0),'模拟-模拟计算'!P683," ")</f>
        <v xml:space="preserve"> </v>
      </c>
      <c r="G658" s="52" t="str">
        <f>IF(AND(INT('模拟-模拟计算'!B683)&lt;='模拟-模拟计算'!$C$2,'模拟-模拟计算'!B683&gt;0),'模拟-模拟计算'!V683," ")</f>
        <v xml:space="preserve"> </v>
      </c>
      <c r="H658" s="52" t="str">
        <f>IF(AND(INT('模拟-模拟计算'!B683)&lt;='模拟-模拟计算'!$C$2,'模拟-模拟计算'!B683&gt;0),'模拟-模拟计算'!Y683," ")</f>
        <v xml:space="preserve"> </v>
      </c>
      <c r="I658" s="105" t="str">
        <f>IF(AND(INT('模拟-模拟计算'!B683)&lt;='模拟-模拟计算'!$C$2,'模拟-模拟计算'!B683&gt;0),'模拟-模拟计算'!AA683," ")</f>
        <v xml:space="preserve"> </v>
      </c>
    </row>
    <row r="659" spans="1:9" x14ac:dyDescent="0.2">
      <c r="A659" s="20">
        <f>INT('模拟-模拟计算'!B684+0.5)</f>
        <v>606</v>
      </c>
      <c r="B659" s="52" t="str">
        <f>IF(AND(INT('模拟-模拟计算'!B684)&lt;='模拟-模拟计算'!$C$2,'模拟-模拟计算'!B684&gt;0),'模拟-模拟计算'!B684," ")</f>
        <v xml:space="preserve"> </v>
      </c>
      <c r="C659" s="51" t="str">
        <f>IF(AND(INT('模拟-模拟计算'!B684)&lt;='模拟-模拟计算'!$C$2,'模拟-模拟计算'!B684&gt;0),'模拟-模拟计算'!C684," ")</f>
        <v xml:space="preserve"> </v>
      </c>
      <c r="D659" s="104" t="str">
        <f>IF(AND(INT('模拟-模拟计算'!B684)&lt;='模拟-模拟计算'!$C$2,'模拟-模拟计算'!B684&gt;0),'模拟-模拟计算'!E684," ")</f>
        <v xml:space="preserve"> </v>
      </c>
      <c r="E659" s="104" t="str">
        <f>IF(AND(INT('模拟-模拟计算'!B684)&lt;='模拟-模拟计算'!$C$2,'模拟-模拟计算'!B684&gt;0),'模拟-模拟计算'!F684," ")</f>
        <v xml:space="preserve"> </v>
      </c>
      <c r="F659" s="51" t="str">
        <f>IF(AND(INT('模拟-模拟计算'!B684)&lt;='模拟-模拟计算'!$C$2,'模拟-模拟计算'!B684&gt;0),'模拟-模拟计算'!P684," ")</f>
        <v xml:space="preserve"> </v>
      </c>
      <c r="G659" s="52" t="str">
        <f>IF(AND(INT('模拟-模拟计算'!B684)&lt;='模拟-模拟计算'!$C$2,'模拟-模拟计算'!B684&gt;0),'模拟-模拟计算'!V684," ")</f>
        <v xml:space="preserve"> </v>
      </c>
      <c r="H659" s="52" t="str">
        <f>IF(AND(INT('模拟-模拟计算'!B684)&lt;='模拟-模拟计算'!$C$2,'模拟-模拟计算'!B684&gt;0),'模拟-模拟计算'!Y684," ")</f>
        <v xml:space="preserve"> </v>
      </c>
      <c r="I659" s="105" t="str">
        <f>IF(AND(INT('模拟-模拟计算'!B684)&lt;='模拟-模拟计算'!$C$2,'模拟-模拟计算'!B684&gt;0),'模拟-模拟计算'!AA684," ")</f>
        <v xml:space="preserve"> </v>
      </c>
    </row>
    <row r="660" spans="1:9" x14ac:dyDescent="0.2">
      <c r="A660" s="20">
        <f>INT('模拟-模拟计算'!B685+0.5)</f>
        <v>607</v>
      </c>
      <c r="B660" s="52" t="str">
        <f>IF(AND(INT('模拟-模拟计算'!B685)&lt;='模拟-模拟计算'!$C$2,'模拟-模拟计算'!B685&gt;0),'模拟-模拟计算'!B685," ")</f>
        <v xml:space="preserve"> </v>
      </c>
      <c r="C660" s="51" t="str">
        <f>IF(AND(INT('模拟-模拟计算'!B685)&lt;='模拟-模拟计算'!$C$2,'模拟-模拟计算'!B685&gt;0),'模拟-模拟计算'!C685," ")</f>
        <v xml:space="preserve"> </v>
      </c>
      <c r="D660" s="104" t="str">
        <f>IF(AND(INT('模拟-模拟计算'!B685)&lt;='模拟-模拟计算'!$C$2,'模拟-模拟计算'!B685&gt;0),'模拟-模拟计算'!E685," ")</f>
        <v xml:space="preserve"> </v>
      </c>
      <c r="E660" s="104" t="str">
        <f>IF(AND(INT('模拟-模拟计算'!B685)&lt;='模拟-模拟计算'!$C$2,'模拟-模拟计算'!B685&gt;0),'模拟-模拟计算'!F685," ")</f>
        <v xml:space="preserve"> </v>
      </c>
      <c r="F660" s="51" t="str">
        <f>IF(AND(INT('模拟-模拟计算'!B685)&lt;='模拟-模拟计算'!$C$2,'模拟-模拟计算'!B685&gt;0),'模拟-模拟计算'!P685," ")</f>
        <v xml:space="preserve"> </v>
      </c>
      <c r="G660" s="52" t="str">
        <f>IF(AND(INT('模拟-模拟计算'!B685)&lt;='模拟-模拟计算'!$C$2,'模拟-模拟计算'!B685&gt;0),'模拟-模拟计算'!V685," ")</f>
        <v xml:space="preserve"> </v>
      </c>
      <c r="H660" s="52" t="str">
        <f>IF(AND(INT('模拟-模拟计算'!B685)&lt;='模拟-模拟计算'!$C$2,'模拟-模拟计算'!B685&gt;0),'模拟-模拟计算'!Y685," ")</f>
        <v xml:space="preserve"> </v>
      </c>
      <c r="I660" s="105" t="str">
        <f>IF(AND(INT('模拟-模拟计算'!B685)&lt;='模拟-模拟计算'!$C$2,'模拟-模拟计算'!B685&gt;0),'模拟-模拟计算'!AA685," ")</f>
        <v xml:space="preserve"> </v>
      </c>
    </row>
    <row r="661" spans="1:9" x14ac:dyDescent="0.2">
      <c r="A661" s="20">
        <f>INT('模拟-模拟计算'!B686+0.5)</f>
        <v>608</v>
      </c>
      <c r="B661" s="52" t="str">
        <f>IF(AND(INT('模拟-模拟计算'!B686)&lt;='模拟-模拟计算'!$C$2,'模拟-模拟计算'!B686&gt;0),'模拟-模拟计算'!B686," ")</f>
        <v xml:space="preserve"> </v>
      </c>
      <c r="C661" s="51" t="str">
        <f>IF(AND(INT('模拟-模拟计算'!B686)&lt;='模拟-模拟计算'!$C$2,'模拟-模拟计算'!B686&gt;0),'模拟-模拟计算'!C686," ")</f>
        <v xml:space="preserve"> </v>
      </c>
      <c r="D661" s="104" t="str">
        <f>IF(AND(INT('模拟-模拟计算'!B686)&lt;='模拟-模拟计算'!$C$2,'模拟-模拟计算'!B686&gt;0),'模拟-模拟计算'!E686," ")</f>
        <v xml:space="preserve"> </v>
      </c>
      <c r="E661" s="104" t="str">
        <f>IF(AND(INT('模拟-模拟计算'!B686)&lt;='模拟-模拟计算'!$C$2,'模拟-模拟计算'!B686&gt;0),'模拟-模拟计算'!F686," ")</f>
        <v xml:space="preserve"> </v>
      </c>
      <c r="F661" s="51" t="str">
        <f>IF(AND(INT('模拟-模拟计算'!B686)&lt;='模拟-模拟计算'!$C$2,'模拟-模拟计算'!B686&gt;0),'模拟-模拟计算'!P686," ")</f>
        <v xml:space="preserve"> </v>
      </c>
      <c r="G661" s="52" t="str">
        <f>IF(AND(INT('模拟-模拟计算'!B686)&lt;='模拟-模拟计算'!$C$2,'模拟-模拟计算'!B686&gt;0),'模拟-模拟计算'!V686," ")</f>
        <v xml:space="preserve"> </v>
      </c>
      <c r="H661" s="52" t="str">
        <f>IF(AND(INT('模拟-模拟计算'!B686)&lt;='模拟-模拟计算'!$C$2,'模拟-模拟计算'!B686&gt;0),'模拟-模拟计算'!Y686," ")</f>
        <v xml:space="preserve"> </v>
      </c>
      <c r="I661" s="105" t="str">
        <f>IF(AND(INT('模拟-模拟计算'!B686)&lt;='模拟-模拟计算'!$C$2,'模拟-模拟计算'!B686&gt;0),'模拟-模拟计算'!AA686," ")</f>
        <v xml:space="preserve"> </v>
      </c>
    </row>
    <row r="662" spans="1:9" x14ac:dyDescent="0.2">
      <c r="A662" s="20">
        <f>INT('模拟-模拟计算'!B687+0.5)</f>
        <v>609</v>
      </c>
      <c r="B662" s="52" t="str">
        <f>IF(AND(INT('模拟-模拟计算'!B687)&lt;='模拟-模拟计算'!$C$2,'模拟-模拟计算'!B687&gt;0),'模拟-模拟计算'!B687," ")</f>
        <v xml:space="preserve"> </v>
      </c>
      <c r="C662" s="51" t="str">
        <f>IF(AND(INT('模拟-模拟计算'!B687)&lt;='模拟-模拟计算'!$C$2,'模拟-模拟计算'!B687&gt;0),'模拟-模拟计算'!C687," ")</f>
        <v xml:space="preserve"> </v>
      </c>
      <c r="D662" s="104" t="str">
        <f>IF(AND(INT('模拟-模拟计算'!B687)&lt;='模拟-模拟计算'!$C$2,'模拟-模拟计算'!B687&gt;0),'模拟-模拟计算'!E687," ")</f>
        <v xml:space="preserve"> </v>
      </c>
      <c r="E662" s="104" t="str">
        <f>IF(AND(INT('模拟-模拟计算'!B687)&lt;='模拟-模拟计算'!$C$2,'模拟-模拟计算'!B687&gt;0),'模拟-模拟计算'!F687," ")</f>
        <v xml:space="preserve"> </v>
      </c>
      <c r="F662" s="51" t="str">
        <f>IF(AND(INT('模拟-模拟计算'!B687)&lt;='模拟-模拟计算'!$C$2,'模拟-模拟计算'!B687&gt;0),'模拟-模拟计算'!P687," ")</f>
        <v xml:space="preserve"> </v>
      </c>
      <c r="G662" s="52" t="str">
        <f>IF(AND(INT('模拟-模拟计算'!B687)&lt;='模拟-模拟计算'!$C$2,'模拟-模拟计算'!B687&gt;0),'模拟-模拟计算'!V687," ")</f>
        <v xml:space="preserve"> </v>
      </c>
      <c r="H662" s="52" t="str">
        <f>IF(AND(INT('模拟-模拟计算'!B687)&lt;='模拟-模拟计算'!$C$2,'模拟-模拟计算'!B687&gt;0),'模拟-模拟计算'!Y687," ")</f>
        <v xml:space="preserve"> </v>
      </c>
      <c r="I662" s="105" t="str">
        <f>IF(AND(INT('模拟-模拟计算'!B687)&lt;='模拟-模拟计算'!$C$2,'模拟-模拟计算'!B687&gt;0),'模拟-模拟计算'!AA687," ")</f>
        <v xml:space="preserve"> </v>
      </c>
    </row>
    <row r="663" spans="1:9" x14ac:dyDescent="0.2">
      <c r="A663" s="20">
        <f>INT('模拟-模拟计算'!B688+0.5)</f>
        <v>610</v>
      </c>
      <c r="B663" s="52" t="str">
        <f>IF(AND(INT('模拟-模拟计算'!B688)&lt;='模拟-模拟计算'!$C$2,'模拟-模拟计算'!B688&gt;0),'模拟-模拟计算'!B688," ")</f>
        <v xml:space="preserve"> </v>
      </c>
      <c r="C663" s="51" t="str">
        <f>IF(AND(INT('模拟-模拟计算'!B688)&lt;='模拟-模拟计算'!$C$2,'模拟-模拟计算'!B688&gt;0),'模拟-模拟计算'!C688," ")</f>
        <v xml:space="preserve"> </v>
      </c>
      <c r="D663" s="104" t="str">
        <f>IF(AND(INT('模拟-模拟计算'!B688)&lt;='模拟-模拟计算'!$C$2,'模拟-模拟计算'!B688&gt;0),'模拟-模拟计算'!E688," ")</f>
        <v xml:space="preserve"> </v>
      </c>
      <c r="E663" s="104" t="str">
        <f>IF(AND(INT('模拟-模拟计算'!B688)&lt;='模拟-模拟计算'!$C$2,'模拟-模拟计算'!B688&gt;0),'模拟-模拟计算'!F688," ")</f>
        <v xml:space="preserve"> </v>
      </c>
      <c r="F663" s="51" t="str">
        <f>IF(AND(INT('模拟-模拟计算'!B688)&lt;='模拟-模拟计算'!$C$2,'模拟-模拟计算'!B688&gt;0),'模拟-模拟计算'!P688," ")</f>
        <v xml:space="preserve"> </v>
      </c>
      <c r="G663" s="52" t="str">
        <f>IF(AND(INT('模拟-模拟计算'!B688)&lt;='模拟-模拟计算'!$C$2,'模拟-模拟计算'!B688&gt;0),'模拟-模拟计算'!V688," ")</f>
        <v xml:space="preserve"> </v>
      </c>
      <c r="H663" s="52" t="str">
        <f>IF(AND(INT('模拟-模拟计算'!B688)&lt;='模拟-模拟计算'!$C$2,'模拟-模拟计算'!B688&gt;0),'模拟-模拟计算'!Y688," ")</f>
        <v xml:space="preserve"> </v>
      </c>
      <c r="I663" s="105" t="str">
        <f>IF(AND(INT('模拟-模拟计算'!B688)&lt;='模拟-模拟计算'!$C$2,'模拟-模拟计算'!B688&gt;0),'模拟-模拟计算'!AA688," ")</f>
        <v xml:space="preserve"> </v>
      </c>
    </row>
    <row r="664" spans="1:9" x14ac:dyDescent="0.2">
      <c r="A664" s="20">
        <f>INT('模拟-模拟计算'!B689+0.5)</f>
        <v>611</v>
      </c>
      <c r="B664" s="52" t="str">
        <f>IF(AND(INT('模拟-模拟计算'!B689)&lt;='模拟-模拟计算'!$C$2,'模拟-模拟计算'!B689&gt;0),'模拟-模拟计算'!B689," ")</f>
        <v xml:space="preserve"> </v>
      </c>
      <c r="C664" s="51" t="str">
        <f>IF(AND(INT('模拟-模拟计算'!B689)&lt;='模拟-模拟计算'!$C$2,'模拟-模拟计算'!B689&gt;0),'模拟-模拟计算'!C689," ")</f>
        <v xml:space="preserve"> </v>
      </c>
      <c r="D664" s="104" t="str">
        <f>IF(AND(INT('模拟-模拟计算'!B689)&lt;='模拟-模拟计算'!$C$2,'模拟-模拟计算'!B689&gt;0),'模拟-模拟计算'!E689," ")</f>
        <v xml:space="preserve"> </v>
      </c>
      <c r="E664" s="104" t="str">
        <f>IF(AND(INT('模拟-模拟计算'!B689)&lt;='模拟-模拟计算'!$C$2,'模拟-模拟计算'!B689&gt;0),'模拟-模拟计算'!F689," ")</f>
        <v xml:space="preserve"> </v>
      </c>
      <c r="F664" s="51" t="str">
        <f>IF(AND(INT('模拟-模拟计算'!B689)&lt;='模拟-模拟计算'!$C$2,'模拟-模拟计算'!B689&gt;0),'模拟-模拟计算'!P689," ")</f>
        <v xml:space="preserve"> </v>
      </c>
      <c r="G664" s="52" t="str">
        <f>IF(AND(INT('模拟-模拟计算'!B689)&lt;='模拟-模拟计算'!$C$2,'模拟-模拟计算'!B689&gt;0),'模拟-模拟计算'!V689," ")</f>
        <v xml:space="preserve"> </v>
      </c>
      <c r="H664" s="52" t="str">
        <f>IF(AND(INT('模拟-模拟计算'!B689)&lt;='模拟-模拟计算'!$C$2,'模拟-模拟计算'!B689&gt;0),'模拟-模拟计算'!Y689," ")</f>
        <v xml:space="preserve"> </v>
      </c>
      <c r="I664" s="105" t="str">
        <f>IF(AND(INT('模拟-模拟计算'!B689)&lt;='模拟-模拟计算'!$C$2,'模拟-模拟计算'!B689&gt;0),'模拟-模拟计算'!AA689," ")</f>
        <v xml:space="preserve"> </v>
      </c>
    </row>
    <row r="665" spans="1:9" x14ac:dyDescent="0.2">
      <c r="A665" s="20">
        <f>INT('模拟-模拟计算'!B690+0.5)</f>
        <v>612</v>
      </c>
      <c r="B665" s="52" t="str">
        <f>IF(AND(INT('模拟-模拟计算'!B690)&lt;='模拟-模拟计算'!$C$2,'模拟-模拟计算'!B690&gt;0),'模拟-模拟计算'!B690," ")</f>
        <v xml:space="preserve"> </v>
      </c>
      <c r="C665" s="51" t="str">
        <f>IF(AND(INT('模拟-模拟计算'!B690)&lt;='模拟-模拟计算'!$C$2,'模拟-模拟计算'!B690&gt;0),'模拟-模拟计算'!C690," ")</f>
        <v xml:space="preserve"> </v>
      </c>
      <c r="D665" s="104" t="str">
        <f>IF(AND(INT('模拟-模拟计算'!B690)&lt;='模拟-模拟计算'!$C$2,'模拟-模拟计算'!B690&gt;0),'模拟-模拟计算'!E690," ")</f>
        <v xml:space="preserve"> </v>
      </c>
      <c r="E665" s="104" t="str">
        <f>IF(AND(INT('模拟-模拟计算'!B690)&lt;='模拟-模拟计算'!$C$2,'模拟-模拟计算'!B690&gt;0),'模拟-模拟计算'!F690," ")</f>
        <v xml:space="preserve"> </v>
      </c>
      <c r="F665" s="51" t="str">
        <f>IF(AND(INT('模拟-模拟计算'!B690)&lt;='模拟-模拟计算'!$C$2,'模拟-模拟计算'!B690&gt;0),'模拟-模拟计算'!P690," ")</f>
        <v xml:space="preserve"> </v>
      </c>
      <c r="G665" s="52" t="str">
        <f>IF(AND(INT('模拟-模拟计算'!B690)&lt;='模拟-模拟计算'!$C$2,'模拟-模拟计算'!B690&gt;0),'模拟-模拟计算'!V690," ")</f>
        <v xml:space="preserve"> </v>
      </c>
      <c r="H665" s="52" t="str">
        <f>IF(AND(INT('模拟-模拟计算'!B690)&lt;='模拟-模拟计算'!$C$2,'模拟-模拟计算'!B690&gt;0),'模拟-模拟计算'!Y690," ")</f>
        <v xml:space="preserve"> </v>
      </c>
      <c r="I665" s="105" t="str">
        <f>IF(AND(INT('模拟-模拟计算'!B690)&lt;='模拟-模拟计算'!$C$2,'模拟-模拟计算'!B690&gt;0),'模拟-模拟计算'!AA690," ")</f>
        <v xml:space="preserve"> </v>
      </c>
    </row>
    <row r="666" spans="1:9" x14ac:dyDescent="0.2">
      <c r="A666" s="20">
        <f>INT('模拟-模拟计算'!B691+0.5)</f>
        <v>613</v>
      </c>
      <c r="B666" s="52" t="str">
        <f>IF(AND(INT('模拟-模拟计算'!B691)&lt;='模拟-模拟计算'!$C$2,'模拟-模拟计算'!B691&gt;0),'模拟-模拟计算'!B691," ")</f>
        <v xml:space="preserve"> </v>
      </c>
      <c r="C666" s="51" t="str">
        <f>IF(AND(INT('模拟-模拟计算'!B691)&lt;='模拟-模拟计算'!$C$2,'模拟-模拟计算'!B691&gt;0),'模拟-模拟计算'!C691," ")</f>
        <v xml:space="preserve"> </v>
      </c>
      <c r="D666" s="104" t="str">
        <f>IF(AND(INT('模拟-模拟计算'!B691)&lt;='模拟-模拟计算'!$C$2,'模拟-模拟计算'!B691&gt;0),'模拟-模拟计算'!E691," ")</f>
        <v xml:space="preserve"> </v>
      </c>
      <c r="E666" s="104" t="str">
        <f>IF(AND(INT('模拟-模拟计算'!B691)&lt;='模拟-模拟计算'!$C$2,'模拟-模拟计算'!B691&gt;0),'模拟-模拟计算'!F691," ")</f>
        <v xml:space="preserve"> </v>
      </c>
      <c r="F666" s="51" t="str">
        <f>IF(AND(INT('模拟-模拟计算'!B691)&lt;='模拟-模拟计算'!$C$2,'模拟-模拟计算'!B691&gt;0),'模拟-模拟计算'!P691," ")</f>
        <v xml:space="preserve"> </v>
      </c>
      <c r="G666" s="52" t="str">
        <f>IF(AND(INT('模拟-模拟计算'!B691)&lt;='模拟-模拟计算'!$C$2,'模拟-模拟计算'!B691&gt;0),'模拟-模拟计算'!V691," ")</f>
        <v xml:space="preserve"> </v>
      </c>
      <c r="H666" s="52" t="str">
        <f>IF(AND(INT('模拟-模拟计算'!B691)&lt;='模拟-模拟计算'!$C$2,'模拟-模拟计算'!B691&gt;0),'模拟-模拟计算'!Y691," ")</f>
        <v xml:space="preserve"> </v>
      </c>
      <c r="I666" s="105" t="str">
        <f>IF(AND(INT('模拟-模拟计算'!B691)&lt;='模拟-模拟计算'!$C$2,'模拟-模拟计算'!B691&gt;0),'模拟-模拟计算'!AA691," ")</f>
        <v xml:space="preserve"> </v>
      </c>
    </row>
    <row r="667" spans="1:9" x14ac:dyDescent="0.2">
      <c r="A667" s="20">
        <f>INT('模拟-模拟计算'!B692+0.5)</f>
        <v>613</v>
      </c>
      <c r="B667" s="52" t="str">
        <f>IF(AND(INT('模拟-模拟计算'!B692)&lt;='模拟-模拟计算'!$C$2,'模拟-模拟计算'!B692&gt;0),'模拟-模拟计算'!B692," ")</f>
        <v xml:space="preserve"> </v>
      </c>
      <c r="C667" s="51" t="str">
        <f>IF(AND(INT('模拟-模拟计算'!B692)&lt;='模拟-模拟计算'!$C$2,'模拟-模拟计算'!B692&gt;0),'模拟-模拟计算'!C692," ")</f>
        <v xml:space="preserve"> </v>
      </c>
      <c r="D667" s="104" t="str">
        <f>IF(AND(INT('模拟-模拟计算'!B692)&lt;='模拟-模拟计算'!$C$2,'模拟-模拟计算'!B692&gt;0),'模拟-模拟计算'!E692," ")</f>
        <v xml:space="preserve"> </v>
      </c>
      <c r="E667" s="104" t="str">
        <f>IF(AND(INT('模拟-模拟计算'!B692)&lt;='模拟-模拟计算'!$C$2,'模拟-模拟计算'!B692&gt;0),'模拟-模拟计算'!F692," ")</f>
        <v xml:space="preserve"> </v>
      </c>
      <c r="F667" s="51" t="str">
        <f>IF(AND(INT('模拟-模拟计算'!B692)&lt;='模拟-模拟计算'!$C$2,'模拟-模拟计算'!B692&gt;0),'模拟-模拟计算'!P692," ")</f>
        <v xml:space="preserve"> </v>
      </c>
      <c r="G667" s="52" t="str">
        <f>IF(AND(INT('模拟-模拟计算'!B692)&lt;='模拟-模拟计算'!$C$2,'模拟-模拟计算'!B692&gt;0),'模拟-模拟计算'!V692," ")</f>
        <v xml:space="preserve"> </v>
      </c>
      <c r="H667" s="52" t="str">
        <f>IF(AND(INT('模拟-模拟计算'!B692)&lt;='模拟-模拟计算'!$C$2,'模拟-模拟计算'!B692&gt;0),'模拟-模拟计算'!Y692," ")</f>
        <v xml:space="preserve"> </v>
      </c>
      <c r="I667" s="105" t="str">
        <f>IF(AND(INT('模拟-模拟计算'!B692)&lt;='模拟-模拟计算'!$C$2,'模拟-模拟计算'!B692&gt;0),'模拟-模拟计算'!AA692," ")</f>
        <v xml:space="preserve"> </v>
      </c>
    </row>
    <row r="668" spans="1:9" x14ac:dyDescent="0.2">
      <c r="A668" s="20">
        <f>INT('模拟-模拟计算'!B693+0.5)</f>
        <v>614</v>
      </c>
      <c r="B668" s="52" t="str">
        <f>IF(AND(INT('模拟-模拟计算'!B693)&lt;='模拟-模拟计算'!$C$2,'模拟-模拟计算'!B693&gt;0),'模拟-模拟计算'!B693," ")</f>
        <v xml:space="preserve"> </v>
      </c>
      <c r="C668" s="51" t="str">
        <f>IF(AND(INT('模拟-模拟计算'!B693)&lt;='模拟-模拟计算'!$C$2,'模拟-模拟计算'!B693&gt;0),'模拟-模拟计算'!C693," ")</f>
        <v xml:space="preserve"> </v>
      </c>
      <c r="D668" s="104" t="str">
        <f>IF(AND(INT('模拟-模拟计算'!B693)&lt;='模拟-模拟计算'!$C$2,'模拟-模拟计算'!B693&gt;0),'模拟-模拟计算'!E693," ")</f>
        <v xml:space="preserve"> </v>
      </c>
      <c r="E668" s="104" t="str">
        <f>IF(AND(INT('模拟-模拟计算'!B693)&lt;='模拟-模拟计算'!$C$2,'模拟-模拟计算'!B693&gt;0),'模拟-模拟计算'!F693," ")</f>
        <v xml:space="preserve"> </v>
      </c>
      <c r="F668" s="51" t="str">
        <f>IF(AND(INT('模拟-模拟计算'!B693)&lt;='模拟-模拟计算'!$C$2,'模拟-模拟计算'!B693&gt;0),'模拟-模拟计算'!P693," ")</f>
        <v xml:space="preserve"> </v>
      </c>
      <c r="G668" s="52" t="str">
        <f>IF(AND(INT('模拟-模拟计算'!B693)&lt;='模拟-模拟计算'!$C$2,'模拟-模拟计算'!B693&gt;0),'模拟-模拟计算'!V693," ")</f>
        <v xml:space="preserve"> </v>
      </c>
      <c r="H668" s="52" t="str">
        <f>IF(AND(INT('模拟-模拟计算'!B693)&lt;='模拟-模拟计算'!$C$2,'模拟-模拟计算'!B693&gt;0),'模拟-模拟计算'!Y693," ")</f>
        <v xml:space="preserve"> </v>
      </c>
      <c r="I668" s="105" t="str">
        <f>IF(AND(INT('模拟-模拟计算'!B693)&lt;='模拟-模拟计算'!$C$2,'模拟-模拟计算'!B693&gt;0),'模拟-模拟计算'!AA693," ")</f>
        <v xml:space="preserve"> </v>
      </c>
    </row>
    <row r="669" spans="1:9" x14ac:dyDescent="0.2">
      <c r="A669" s="20">
        <f>INT('模拟-模拟计算'!B694+0.5)</f>
        <v>615</v>
      </c>
      <c r="B669" s="52" t="str">
        <f>IF(AND(INT('模拟-模拟计算'!B694)&lt;='模拟-模拟计算'!$C$2,'模拟-模拟计算'!B694&gt;0),'模拟-模拟计算'!B694," ")</f>
        <v xml:space="preserve"> </v>
      </c>
      <c r="C669" s="51" t="str">
        <f>IF(AND(INT('模拟-模拟计算'!B694)&lt;='模拟-模拟计算'!$C$2,'模拟-模拟计算'!B694&gt;0),'模拟-模拟计算'!C694," ")</f>
        <v xml:space="preserve"> </v>
      </c>
      <c r="D669" s="104" t="str">
        <f>IF(AND(INT('模拟-模拟计算'!B694)&lt;='模拟-模拟计算'!$C$2,'模拟-模拟计算'!B694&gt;0),'模拟-模拟计算'!E694," ")</f>
        <v xml:space="preserve"> </v>
      </c>
      <c r="E669" s="104" t="str">
        <f>IF(AND(INT('模拟-模拟计算'!B694)&lt;='模拟-模拟计算'!$C$2,'模拟-模拟计算'!B694&gt;0),'模拟-模拟计算'!F694," ")</f>
        <v xml:space="preserve"> </v>
      </c>
      <c r="F669" s="51" t="str">
        <f>IF(AND(INT('模拟-模拟计算'!B694)&lt;='模拟-模拟计算'!$C$2,'模拟-模拟计算'!B694&gt;0),'模拟-模拟计算'!P694," ")</f>
        <v xml:space="preserve"> </v>
      </c>
      <c r="G669" s="52" t="str">
        <f>IF(AND(INT('模拟-模拟计算'!B694)&lt;='模拟-模拟计算'!$C$2,'模拟-模拟计算'!B694&gt;0),'模拟-模拟计算'!V694," ")</f>
        <v xml:space="preserve"> </v>
      </c>
      <c r="H669" s="52" t="str">
        <f>IF(AND(INT('模拟-模拟计算'!B694)&lt;='模拟-模拟计算'!$C$2,'模拟-模拟计算'!B694&gt;0),'模拟-模拟计算'!Y694," ")</f>
        <v xml:space="preserve"> </v>
      </c>
      <c r="I669" s="105" t="str">
        <f>IF(AND(INT('模拟-模拟计算'!B694)&lt;='模拟-模拟计算'!$C$2,'模拟-模拟计算'!B694&gt;0),'模拟-模拟计算'!AA694," ")</f>
        <v xml:space="preserve"> </v>
      </c>
    </row>
    <row r="670" spans="1:9" x14ac:dyDescent="0.2">
      <c r="A670" s="20">
        <f>INT('模拟-模拟计算'!B695+0.5)</f>
        <v>616</v>
      </c>
      <c r="B670" s="52" t="str">
        <f>IF(AND(INT('模拟-模拟计算'!B695)&lt;='模拟-模拟计算'!$C$2,'模拟-模拟计算'!B695&gt;0),'模拟-模拟计算'!B695," ")</f>
        <v xml:space="preserve"> </v>
      </c>
      <c r="C670" s="51" t="str">
        <f>IF(AND(INT('模拟-模拟计算'!B695)&lt;='模拟-模拟计算'!$C$2,'模拟-模拟计算'!B695&gt;0),'模拟-模拟计算'!C695," ")</f>
        <v xml:space="preserve"> </v>
      </c>
      <c r="D670" s="104" t="str">
        <f>IF(AND(INT('模拟-模拟计算'!B695)&lt;='模拟-模拟计算'!$C$2,'模拟-模拟计算'!B695&gt;0),'模拟-模拟计算'!E695," ")</f>
        <v xml:space="preserve"> </v>
      </c>
      <c r="E670" s="104" t="str">
        <f>IF(AND(INT('模拟-模拟计算'!B695)&lt;='模拟-模拟计算'!$C$2,'模拟-模拟计算'!B695&gt;0),'模拟-模拟计算'!F695," ")</f>
        <v xml:space="preserve"> </v>
      </c>
      <c r="F670" s="51" t="str">
        <f>IF(AND(INT('模拟-模拟计算'!B695)&lt;='模拟-模拟计算'!$C$2,'模拟-模拟计算'!B695&gt;0),'模拟-模拟计算'!P695," ")</f>
        <v xml:space="preserve"> </v>
      </c>
      <c r="G670" s="52" t="str">
        <f>IF(AND(INT('模拟-模拟计算'!B695)&lt;='模拟-模拟计算'!$C$2,'模拟-模拟计算'!B695&gt;0),'模拟-模拟计算'!V695," ")</f>
        <v xml:space="preserve"> </v>
      </c>
      <c r="H670" s="52" t="str">
        <f>IF(AND(INT('模拟-模拟计算'!B695)&lt;='模拟-模拟计算'!$C$2,'模拟-模拟计算'!B695&gt;0),'模拟-模拟计算'!Y695," ")</f>
        <v xml:space="preserve"> </v>
      </c>
      <c r="I670" s="105" t="str">
        <f>IF(AND(INT('模拟-模拟计算'!B695)&lt;='模拟-模拟计算'!$C$2,'模拟-模拟计算'!B695&gt;0),'模拟-模拟计算'!AA695," ")</f>
        <v xml:space="preserve"> </v>
      </c>
    </row>
    <row r="671" spans="1:9" x14ac:dyDescent="0.2">
      <c r="A671" s="20">
        <f>INT('模拟-模拟计算'!B696+0.5)</f>
        <v>617</v>
      </c>
      <c r="B671" s="52" t="str">
        <f>IF(AND(INT('模拟-模拟计算'!B696)&lt;='模拟-模拟计算'!$C$2,'模拟-模拟计算'!B696&gt;0),'模拟-模拟计算'!B696," ")</f>
        <v xml:space="preserve"> </v>
      </c>
      <c r="C671" s="51" t="str">
        <f>IF(AND(INT('模拟-模拟计算'!B696)&lt;='模拟-模拟计算'!$C$2,'模拟-模拟计算'!B696&gt;0),'模拟-模拟计算'!C696," ")</f>
        <v xml:space="preserve"> </v>
      </c>
      <c r="D671" s="104" t="str">
        <f>IF(AND(INT('模拟-模拟计算'!B696)&lt;='模拟-模拟计算'!$C$2,'模拟-模拟计算'!B696&gt;0),'模拟-模拟计算'!E696," ")</f>
        <v xml:space="preserve"> </v>
      </c>
      <c r="E671" s="104" t="str">
        <f>IF(AND(INT('模拟-模拟计算'!B696)&lt;='模拟-模拟计算'!$C$2,'模拟-模拟计算'!B696&gt;0),'模拟-模拟计算'!F696," ")</f>
        <v xml:space="preserve"> </v>
      </c>
      <c r="F671" s="51" t="str">
        <f>IF(AND(INT('模拟-模拟计算'!B696)&lt;='模拟-模拟计算'!$C$2,'模拟-模拟计算'!B696&gt;0),'模拟-模拟计算'!P696," ")</f>
        <v xml:space="preserve"> </v>
      </c>
      <c r="G671" s="52" t="str">
        <f>IF(AND(INT('模拟-模拟计算'!B696)&lt;='模拟-模拟计算'!$C$2,'模拟-模拟计算'!B696&gt;0),'模拟-模拟计算'!V696," ")</f>
        <v xml:space="preserve"> </v>
      </c>
      <c r="H671" s="52" t="str">
        <f>IF(AND(INT('模拟-模拟计算'!B696)&lt;='模拟-模拟计算'!$C$2,'模拟-模拟计算'!B696&gt;0),'模拟-模拟计算'!Y696," ")</f>
        <v xml:space="preserve"> </v>
      </c>
      <c r="I671" s="105" t="str">
        <f>IF(AND(INT('模拟-模拟计算'!B696)&lt;='模拟-模拟计算'!$C$2,'模拟-模拟计算'!B696&gt;0),'模拟-模拟计算'!AA696," ")</f>
        <v xml:space="preserve"> </v>
      </c>
    </row>
    <row r="672" spans="1:9" x14ac:dyDescent="0.2">
      <c r="A672" s="20">
        <f>INT('模拟-模拟计算'!B697+0.5)</f>
        <v>618</v>
      </c>
      <c r="B672" s="52" t="str">
        <f>IF(AND(INT('模拟-模拟计算'!B697)&lt;='模拟-模拟计算'!$C$2,'模拟-模拟计算'!B697&gt;0),'模拟-模拟计算'!B697," ")</f>
        <v xml:space="preserve"> </v>
      </c>
      <c r="C672" s="51" t="str">
        <f>IF(AND(INT('模拟-模拟计算'!B697)&lt;='模拟-模拟计算'!$C$2,'模拟-模拟计算'!B697&gt;0),'模拟-模拟计算'!C697," ")</f>
        <v xml:space="preserve"> </v>
      </c>
      <c r="D672" s="104" t="str">
        <f>IF(AND(INT('模拟-模拟计算'!B697)&lt;='模拟-模拟计算'!$C$2,'模拟-模拟计算'!B697&gt;0),'模拟-模拟计算'!E697," ")</f>
        <v xml:space="preserve"> </v>
      </c>
      <c r="E672" s="104" t="str">
        <f>IF(AND(INT('模拟-模拟计算'!B697)&lt;='模拟-模拟计算'!$C$2,'模拟-模拟计算'!B697&gt;0),'模拟-模拟计算'!F697," ")</f>
        <v xml:space="preserve"> </v>
      </c>
      <c r="F672" s="51" t="str">
        <f>IF(AND(INT('模拟-模拟计算'!B697)&lt;='模拟-模拟计算'!$C$2,'模拟-模拟计算'!B697&gt;0),'模拟-模拟计算'!P697," ")</f>
        <v xml:space="preserve"> </v>
      </c>
      <c r="G672" s="52" t="str">
        <f>IF(AND(INT('模拟-模拟计算'!B697)&lt;='模拟-模拟计算'!$C$2,'模拟-模拟计算'!B697&gt;0),'模拟-模拟计算'!V697," ")</f>
        <v xml:space="preserve"> </v>
      </c>
      <c r="H672" s="52" t="str">
        <f>IF(AND(INT('模拟-模拟计算'!B697)&lt;='模拟-模拟计算'!$C$2,'模拟-模拟计算'!B697&gt;0),'模拟-模拟计算'!Y697," ")</f>
        <v xml:space="preserve"> </v>
      </c>
      <c r="I672" s="105" t="str">
        <f>IF(AND(INT('模拟-模拟计算'!B697)&lt;='模拟-模拟计算'!$C$2,'模拟-模拟计算'!B697&gt;0),'模拟-模拟计算'!AA697," ")</f>
        <v xml:space="preserve"> </v>
      </c>
    </row>
    <row r="673" spans="1:9" x14ac:dyDescent="0.2">
      <c r="A673" s="20">
        <f>INT('模拟-模拟计算'!B698+0.5)</f>
        <v>619</v>
      </c>
      <c r="B673" s="52" t="str">
        <f>IF(AND(INT('模拟-模拟计算'!B698)&lt;='模拟-模拟计算'!$C$2,'模拟-模拟计算'!B698&gt;0),'模拟-模拟计算'!B698," ")</f>
        <v xml:space="preserve"> </v>
      </c>
      <c r="C673" s="51" t="str">
        <f>IF(AND(INT('模拟-模拟计算'!B698)&lt;='模拟-模拟计算'!$C$2,'模拟-模拟计算'!B698&gt;0),'模拟-模拟计算'!C698," ")</f>
        <v xml:space="preserve"> </v>
      </c>
      <c r="D673" s="104" t="str">
        <f>IF(AND(INT('模拟-模拟计算'!B698)&lt;='模拟-模拟计算'!$C$2,'模拟-模拟计算'!B698&gt;0),'模拟-模拟计算'!E698," ")</f>
        <v xml:space="preserve"> </v>
      </c>
      <c r="E673" s="104" t="str">
        <f>IF(AND(INT('模拟-模拟计算'!B698)&lt;='模拟-模拟计算'!$C$2,'模拟-模拟计算'!B698&gt;0),'模拟-模拟计算'!F698," ")</f>
        <v xml:space="preserve"> </v>
      </c>
      <c r="F673" s="51" t="str">
        <f>IF(AND(INT('模拟-模拟计算'!B698)&lt;='模拟-模拟计算'!$C$2,'模拟-模拟计算'!B698&gt;0),'模拟-模拟计算'!P698," ")</f>
        <v xml:space="preserve"> </v>
      </c>
      <c r="G673" s="52" t="str">
        <f>IF(AND(INT('模拟-模拟计算'!B698)&lt;='模拟-模拟计算'!$C$2,'模拟-模拟计算'!B698&gt;0),'模拟-模拟计算'!V698," ")</f>
        <v xml:space="preserve"> </v>
      </c>
      <c r="H673" s="52" t="str">
        <f>IF(AND(INT('模拟-模拟计算'!B698)&lt;='模拟-模拟计算'!$C$2,'模拟-模拟计算'!B698&gt;0),'模拟-模拟计算'!Y698," ")</f>
        <v xml:space="preserve"> </v>
      </c>
      <c r="I673" s="105" t="str">
        <f>IF(AND(INT('模拟-模拟计算'!B698)&lt;='模拟-模拟计算'!$C$2,'模拟-模拟计算'!B698&gt;0),'模拟-模拟计算'!AA698," ")</f>
        <v xml:space="preserve"> </v>
      </c>
    </row>
    <row r="674" spans="1:9" x14ac:dyDescent="0.2">
      <c r="A674" s="20">
        <f>INT('模拟-模拟计算'!B699+0.5)</f>
        <v>620</v>
      </c>
      <c r="B674" s="52" t="str">
        <f>IF(AND(INT('模拟-模拟计算'!B699)&lt;='模拟-模拟计算'!$C$2,'模拟-模拟计算'!B699&gt;0),'模拟-模拟计算'!B699," ")</f>
        <v xml:space="preserve"> </v>
      </c>
      <c r="C674" s="51" t="str">
        <f>IF(AND(INT('模拟-模拟计算'!B699)&lt;='模拟-模拟计算'!$C$2,'模拟-模拟计算'!B699&gt;0),'模拟-模拟计算'!C699," ")</f>
        <v xml:space="preserve"> </v>
      </c>
      <c r="D674" s="104" t="str">
        <f>IF(AND(INT('模拟-模拟计算'!B699)&lt;='模拟-模拟计算'!$C$2,'模拟-模拟计算'!B699&gt;0),'模拟-模拟计算'!E699," ")</f>
        <v xml:space="preserve"> </v>
      </c>
      <c r="E674" s="104" t="str">
        <f>IF(AND(INT('模拟-模拟计算'!B699)&lt;='模拟-模拟计算'!$C$2,'模拟-模拟计算'!B699&gt;0),'模拟-模拟计算'!F699," ")</f>
        <v xml:space="preserve"> </v>
      </c>
      <c r="F674" s="51" t="str">
        <f>IF(AND(INT('模拟-模拟计算'!B699)&lt;='模拟-模拟计算'!$C$2,'模拟-模拟计算'!B699&gt;0),'模拟-模拟计算'!P699," ")</f>
        <v xml:space="preserve"> </v>
      </c>
      <c r="G674" s="52" t="str">
        <f>IF(AND(INT('模拟-模拟计算'!B699)&lt;='模拟-模拟计算'!$C$2,'模拟-模拟计算'!B699&gt;0),'模拟-模拟计算'!V699," ")</f>
        <v xml:space="preserve"> </v>
      </c>
      <c r="H674" s="52" t="str">
        <f>IF(AND(INT('模拟-模拟计算'!B699)&lt;='模拟-模拟计算'!$C$2,'模拟-模拟计算'!B699&gt;0),'模拟-模拟计算'!Y699," ")</f>
        <v xml:space="preserve"> </v>
      </c>
      <c r="I674" s="105" t="str">
        <f>IF(AND(INT('模拟-模拟计算'!B699)&lt;='模拟-模拟计算'!$C$2,'模拟-模拟计算'!B699&gt;0),'模拟-模拟计算'!AA699," ")</f>
        <v xml:space="preserve"> </v>
      </c>
    </row>
    <row r="675" spans="1:9" x14ac:dyDescent="0.2">
      <c r="A675" s="20">
        <f>INT('模拟-模拟计算'!B700+0.5)</f>
        <v>621</v>
      </c>
      <c r="B675" s="52" t="str">
        <f>IF(AND(INT('模拟-模拟计算'!B700)&lt;='模拟-模拟计算'!$C$2,'模拟-模拟计算'!B700&gt;0),'模拟-模拟计算'!B700," ")</f>
        <v xml:space="preserve"> </v>
      </c>
      <c r="C675" s="51" t="str">
        <f>IF(AND(INT('模拟-模拟计算'!B700)&lt;='模拟-模拟计算'!$C$2,'模拟-模拟计算'!B700&gt;0),'模拟-模拟计算'!C700," ")</f>
        <v xml:space="preserve"> </v>
      </c>
      <c r="D675" s="104" t="str">
        <f>IF(AND(INT('模拟-模拟计算'!B700)&lt;='模拟-模拟计算'!$C$2,'模拟-模拟计算'!B700&gt;0),'模拟-模拟计算'!E700," ")</f>
        <v xml:space="preserve"> </v>
      </c>
      <c r="E675" s="104" t="str">
        <f>IF(AND(INT('模拟-模拟计算'!B700)&lt;='模拟-模拟计算'!$C$2,'模拟-模拟计算'!B700&gt;0),'模拟-模拟计算'!F700," ")</f>
        <v xml:space="preserve"> </v>
      </c>
      <c r="F675" s="51" t="str">
        <f>IF(AND(INT('模拟-模拟计算'!B700)&lt;='模拟-模拟计算'!$C$2,'模拟-模拟计算'!B700&gt;0),'模拟-模拟计算'!P700," ")</f>
        <v xml:space="preserve"> </v>
      </c>
      <c r="G675" s="52" t="str">
        <f>IF(AND(INT('模拟-模拟计算'!B700)&lt;='模拟-模拟计算'!$C$2,'模拟-模拟计算'!B700&gt;0),'模拟-模拟计算'!V700," ")</f>
        <v xml:space="preserve"> </v>
      </c>
      <c r="H675" s="52" t="str">
        <f>IF(AND(INT('模拟-模拟计算'!B700)&lt;='模拟-模拟计算'!$C$2,'模拟-模拟计算'!B700&gt;0),'模拟-模拟计算'!Y700," ")</f>
        <v xml:space="preserve"> </v>
      </c>
      <c r="I675" s="105" t="str">
        <f>IF(AND(INT('模拟-模拟计算'!B700)&lt;='模拟-模拟计算'!$C$2,'模拟-模拟计算'!B700&gt;0),'模拟-模拟计算'!AA700," ")</f>
        <v xml:space="preserve"> </v>
      </c>
    </row>
    <row r="676" spans="1:9" x14ac:dyDescent="0.2">
      <c r="A676" s="20">
        <f>INT('模拟-模拟计算'!B701+0.5)</f>
        <v>622</v>
      </c>
      <c r="B676" s="52" t="str">
        <f>IF(AND(INT('模拟-模拟计算'!B701)&lt;='模拟-模拟计算'!$C$2,'模拟-模拟计算'!B701&gt;0),'模拟-模拟计算'!B701," ")</f>
        <v xml:space="preserve"> </v>
      </c>
      <c r="C676" s="51" t="str">
        <f>IF(AND(INT('模拟-模拟计算'!B701)&lt;='模拟-模拟计算'!$C$2,'模拟-模拟计算'!B701&gt;0),'模拟-模拟计算'!C701," ")</f>
        <v xml:space="preserve"> </v>
      </c>
      <c r="D676" s="104" t="str">
        <f>IF(AND(INT('模拟-模拟计算'!B701)&lt;='模拟-模拟计算'!$C$2,'模拟-模拟计算'!B701&gt;0),'模拟-模拟计算'!E701," ")</f>
        <v xml:space="preserve"> </v>
      </c>
      <c r="E676" s="104" t="str">
        <f>IF(AND(INT('模拟-模拟计算'!B701)&lt;='模拟-模拟计算'!$C$2,'模拟-模拟计算'!B701&gt;0),'模拟-模拟计算'!F701," ")</f>
        <v xml:space="preserve"> </v>
      </c>
      <c r="F676" s="51" t="str">
        <f>IF(AND(INT('模拟-模拟计算'!B701)&lt;='模拟-模拟计算'!$C$2,'模拟-模拟计算'!B701&gt;0),'模拟-模拟计算'!P701," ")</f>
        <v xml:space="preserve"> </v>
      </c>
      <c r="G676" s="52" t="str">
        <f>IF(AND(INT('模拟-模拟计算'!B701)&lt;='模拟-模拟计算'!$C$2,'模拟-模拟计算'!B701&gt;0),'模拟-模拟计算'!V701," ")</f>
        <v xml:space="preserve"> </v>
      </c>
      <c r="H676" s="52" t="str">
        <f>IF(AND(INT('模拟-模拟计算'!B701)&lt;='模拟-模拟计算'!$C$2,'模拟-模拟计算'!B701&gt;0),'模拟-模拟计算'!Y701," ")</f>
        <v xml:space="preserve"> </v>
      </c>
      <c r="I676" s="105" t="str">
        <f>IF(AND(INT('模拟-模拟计算'!B701)&lt;='模拟-模拟计算'!$C$2,'模拟-模拟计算'!B701&gt;0),'模拟-模拟计算'!AA701," ")</f>
        <v xml:space="preserve"> </v>
      </c>
    </row>
    <row r="677" spans="1:9" x14ac:dyDescent="0.2">
      <c r="A677" s="20">
        <f>INT('模拟-模拟计算'!B702+0.5)</f>
        <v>623</v>
      </c>
      <c r="B677" s="52" t="str">
        <f>IF(AND(INT('模拟-模拟计算'!B702)&lt;='模拟-模拟计算'!$C$2,'模拟-模拟计算'!B702&gt;0),'模拟-模拟计算'!B702," ")</f>
        <v xml:space="preserve"> </v>
      </c>
      <c r="C677" s="51" t="str">
        <f>IF(AND(INT('模拟-模拟计算'!B702)&lt;='模拟-模拟计算'!$C$2,'模拟-模拟计算'!B702&gt;0),'模拟-模拟计算'!C702," ")</f>
        <v xml:space="preserve"> </v>
      </c>
      <c r="D677" s="104" t="str">
        <f>IF(AND(INT('模拟-模拟计算'!B702)&lt;='模拟-模拟计算'!$C$2,'模拟-模拟计算'!B702&gt;0),'模拟-模拟计算'!E702," ")</f>
        <v xml:space="preserve"> </v>
      </c>
      <c r="E677" s="104" t="str">
        <f>IF(AND(INT('模拟-模拟计算'!B702)&lt;='模拟-模拟计算'!$C$2,'模拟-模拟计算'!B702&gt;0),'模拟-模拟计算'!F702," ")</f>
        <v xml:space="preserve"> </v>
      </c>
      <c r="F677" s="51" t="str">
        <f>IF(AND(INT('模拟-模拟计算'!B702)&lt;='模拟-模拟计算'!$C$2,'模拟-模拟计算'!B702&gt;0),'模拟-模拟计算'!P702," ")</f>
        <v xml:space="preserve"> </v>
      </c>
      <c r="G677" s="52" t="str">
        <f>IF(AND(INT('模拟-模拟计算'!B702)&lt;='模拟-模拟计算'!$C$2,'模拟-模拟计算'!B702&gt;0),'模拟-模拟计算'!V702," ")</f>
        <v xml:space="preserve"> </v>
      </c>
      <c r="H677" s="52" t="str">
        <f>IF(AND(INT('模拟-模拟计算'!B702)&lt;='模拟-模拟计算'!$C$2,'模拟-模拟计算'!B702&gt;0),'模拟-模拟计算'!Y702," ")</f>
        <v xml:space="preserve"> </v>
      </c>
      <c r="I677" s="105" t="str">
        <f>IF(AND(INT('模拟-模拟计算'!B702)&lt;='模拟-模拟计算'!$C$2,'模拟-模拟计算'!B702&gt;0),'模拟-模拟计算'!AA702," ")</f>
        <v xml:space="preserve"> </v>
      </c>
    </row>
    <row r="678" spans="1:9" x14ac:dyDescent="0.2">
      <c r="A678" s="20">
        <f>INT('模拟-模拟计算'!B703+0.5)</f>
        <v>624</v>
      </c>
      <c r="B678" s="52" t="str">
        <f>IF(AND(INT('模拟-模拟计算'!B703)&lt;='模拟-模拟计算'!$C$2,'模拟-模拟计算'!B703&gt;0),'模拟-模拟计算'!B703," ")</f>
        <v xml:space="preserve"> </v>
      </c>
      <c r="C678" s="51" t="str">
        <f>IF(AND(INT('模拟-模拟计算'!B703)&lt;='模拟-模拟计算'!$C$2,'模拟-模拟计算'!B703&gt;0),'模拟-模拟计算'!C703," ")</f>
        <v xml:space="preserve"> </v>
      </c>
      <c r="D678" s="104" t="str">
        <f>IF(AND(INT('模拟-模拟计算'!B703)&lt;='模拟-模拟计算'!$C$2,'模拟-模拟计算'!B703&gt;0),'模拟-模拟计算'!E703," ")</f>
        <v xml:space="preserve"> </v>
      </c>
      <c r="E678" s="104" t="str">
        <f>IF(AND(INT('模拟-模拟计算'!B703)&lt;='模拟-模拟计算'!$C$2,'模拟-模拟计算'!B703&gt;0),'模拟-模拟计算'!F703," ")</f>
        <v xml:space="preserve"> </v>
      </c>
      <c r="F678" s="51" t="str">
        <f>IF(AND(INT('模拟-模拟计算'!B703)&lt;='模拟-模拟计算'!$C$2,'模拟-模拟计算'!B703&gt;0),'模拟-模拟计算'!P703," ")</f>
        <v xml:space="preserve"> </v>
      </c>
      <c r="G678" s="52" t="str">
        <f>IF(AND(INT('模拟-模拟计算'!B703)&lt;='模拟-模拟计算'!$C$2,'模拟-模拟计算'!B703&gt;0),'模拟-模拟计算'!V703," ")</f>
        <v xml:space="preserve"> </v>
      </c>
      <c r="H678" s="52" t="str">
        <f>IF(AND(INT('模拟-模拟计算'!B703)&lt;='模拟-模拟计算'!$C$2,'模拟-模拟计算'!B703&gt;0),'模拟-模拟计算'!Y703," ")</f>
        <v xml:space="preserve"> </v>
      </c>
      <c r="I678" s="105" t="str">
        <f>IF(AND(INT('模拟-模拟计算'!B703)&lt;='模拟-模拟计算'!$C$2,'模拟-模拟计算'!B703&gt;0),'模拟-模拟计算'!AA703," ")</f>
        <v xml:space="preserve"> </v>
      </c>
    </row>
    <row r="679" spans="1:9" x14ac:dyDescent="0.2">
      <c r="A679" s="20">
        <f>INT('模拟-模拟计算'!B704+0.5)</f>
        <v>625</v>
      </c>
      <c r="B679" s="52" t="str">
        <f>IF(AND(INT('模拟-模拟计算'!B704)&lt;='模拟-模拟计算'!$C$2,'模拟-模拟计算'!B704&gt;0),'模拟-模拟计算'!B704," ")</f>
        <v xml:space="preserve"> </v>
      </c>
      <c r="C679" s="51" t="str">
        <f>IF(AND(INT('模拟-模拟计算'!B704)&lt;='模拟-模拟计算'!$C$2,'模拟-模拟计算'!B704&gt;0),'模拟-模拟计算'!C704," ")</f>
        <v xml:space="preserve"> </v>
      </c>
      <c r="D679" s="104" t="str">
        <f>IF(AND(INT('模拟-模拟计算'!B704)&lt;='模拟-模拟计算'!$C$2,'模拟-模拟计算'!B704&gt;0),'模拟-模拟计算'!E704," ")</f>
        <v xml:space="preserve"> </v>
      </c>
      <c r="E679" s="104" t="str">
        <f>IF(AND(INT('模拟-模拟计算'!B704)&lt;='模拟-模拟计算'!$C$2,'模拟-模拟计算'!B704&gt;0),'模拟-模拟计算'!F704," ")</f>
        <v xml:space="preserve"> </v>
      </c>
      <c r="F679" s="51" t="str">
        <f>IF(AND(INT('模拟-模拟计算'!B704)&lt;='模拟-模拟计算'!$C$2,'模拟-模拟计算'!B704&gt;0),'模拟-模拟计算'!P704," ")</f>
        <v xml:space="preserve"> </v>
      </c>
      <c r="G679" s="52" t="str">
        <f>IF(AND(INT('模拟-模拟计算'!B704)&lt;='模拟-模拟计算'!$C$2,'模拟-模拟计算'!B704&gt;0),'模拟-模拟计算'!V704," ")</f>
        <v xml:space="preserve"> </v>
      </c>
      <c r="H679" s="52" t="str">
        <f>IF(AND(INT('模拟-模拟计算'!B704)&lt;='模拟-模拟计算'!$C$2,'模拟-模拟计算'!B704&gt;0),'模拟-模拟计算'!Y704," ")</f>
        <v xml:space="preserve"> </v>
      </c>
      <c r="I679" s="105" t="str">
        <f>IF(AND(INT('模拟-模拟计算'!B704)&lt;='模拟-模拟计算'!$C$2,'模拟-模拟计算'!B704&gt;0),'模拟-模拟计算'!AA704," ")</f>
        <v xml:space="preserve"> </v>
      </c>
    </row>
    <row r="680" spans="1:9" x14ac:dyDescent="0.2">
      <c r="A680" s="20">
        <f>INT('模拟-模拟计算'!B705+0.5)</f>
        <v>625</v>
      </c>
      <c r="B680" s="52" t="str">
        <f>IF(AND(INT('模拟-模拟计算'!B705)&lt;='模拟-模拟计算'!$C$2,'模拟-模拟计算'!B705&gt;0),'模拟-模拟计算'!B705," ")</f>
        <v xml:space="preserve"> </v>
      </c>
      <c r="C680" s="51" t="str">
        <f>IF(AND(INT('模拟-模拟计算'!B705)&lt;='模拟-模拟计算'!$C$2,'模拟-模拟计算'!B705&gt;0),'模拟-模拟计算'!C705," ")</f>
        <v xml:space="preserve"> </v>
      </c>
      <c r="D680" s="104" t="str">
        <f>IF(AND(INT('模拟-模拟计算'!B705)&lt;='模拟-模拟计算'!$C$2,'模拟-模拟计算'!B705&gt;0),'模拟-模拟计算'!E705," ")</f>
        <v xml:space="preserve"> </v>
      </c>
      <c r="E680" s="104" t="str">
        <f>IF(AND(INT('模拟-模拟计算'!B705)&lt;='模拟-模拟计算'!$C$2,'模拟-模拟计算'!B705&gt;0),'模拟-模拟计算'!F705," ")</f>
        <v xml:space="preserve"> </v>
      </c>
      <c r="F680" s="51" t="str">
        <f>IF(AND(INT('模拟-模拟计算'!B705)&lt;='模拟-模拟计算'!$C$2,'模拟-模拟计算'!B705&gt;0),'模拟-模拟计算'!P705," ")</f>
        <v xml:space="preserve"> </v>
      </c>
      <c r="G680" s="52" t="str">
        <f>IF(AND(INT('模拟-模拟计算'!B705)&lt;='模拟-模拟计算'!$C$2,'模拟-模拟计算'!B705&gt;0),'模拟-模拟计算'!V705," ")</f>
        <v xml:space="preserve"> </v>
      </c>
      <c r="H680" s="52" t="str">
        <f>IF(AND(INT('模拟-模拟计算'!B705)&lt;='模拟-模拟计算'!$C$2,'模拟-模拟计算'!B705&gt;0),'模拟-模拟计算'!Y705," ")</f>
        <v xml:space="preserve"> </v>
      </c>
      <c r="I680" s="105" t="str">
        <f>IF(AND(INT('模拟-模拟计算'!B705)&lt;='模拟-模拟计算'!$C$2,'模拟-模拟计算'!B705&gt;0),'模拟-模拟计算'!AA705," ")</f>
        <v xml:space="preserve"> </v>
      </c>
    </row>
    <row r="681" spans="1:9" x14ac:dyDescent="0.2">
      <c r="A681" s="20">
        <f>INT('模拟-模拟计算'!B706+0.5)</f>
        <v>626</v>
      </c>
      <c r="B681" s="52" t="str">
        <f>IF(AND(INT('模拟-模拟计算'!B706)&lt;='模拟-模拟计算'!$C$2,'模拟-模拟计算'!B706&gt;0),'模拟-模拟计算'!B706," ")</f>
        <v xml:space="preserve"> </v>
      </c>
      <c r="C681" s="51" t="str">
        <f>IF(AND(INT('模拟-模拟计算'!B706)&lt;='模拟-模拟计算'!$C$2,'模拟-模拟计算'!B706&gt;0),'模拟-模拟计算'!C706," ")</f>
        <v xml:space="preserve"> </v>
      </c>
      <c r="D681" s="104" t="str">
        <f>IF(AND(INT('模拟-模拟计算'!B706)&lt;='模拟-模拟计算'!$C$2,'模拟-模拟计算'!B706&gt;0),'模拟-模拟计算'!E706," ")</f>
        <v xml:space="preserve"> </v>
      </c>
      <c r="E681" s="104" t="str">
        <f>IF(AND(INT('模拟-模拟计算'!B706)&lt;='模拟-模拟计算'!$C$2,'模拟-模拟计算'!B706&gt;0),'模拟-模拟计算'!F706," ")</f>
        <v xml:space="preserve"> </v>
      </c>
      <c r="F681" s="51" t="str">
        <f>IF(AND(INT('模拟-模拟计算'!B706)&lt;='模拟-模拟计算'!$C$2,'模拟-模拟计算'!B706&gt;0),'模拟-模拟计算'!P706," ")</f>
        <v xml:space="preserve"> </v>
      </c>
      <c r="G681" s="52" t="str">
        <f>IF(AND(INT('模拟-模拟计算'!B706)&lt;='模拟-模拟计算'!$C$2,'模拟-模拟计算'!B706&gt;0),'模拟-模拟计算'!V706," ")</f>
        <v xml:space="preserve"> </v>
      </c>
      <c r="H681" s="52" t="str">
        <f>IF(AND(INT('模拟-模拟计算'!B706)&lt;='模拟-模拟计算'!$C$2,'模拟-模拟计算'!B706&gt;0),'模拟-模拟计算'!Y706," ")</f>
        <v xml:space="preserve"> </v>
      </c>
      <c r="I681" s="105" t="str">
        <f>IF(AND(INT('模拟-模拟计算'!B706)&lt;='模拟-模拟计算'!$C$2,'模拟-模拟计算'!B706&gt;0),'模拟-模拟计算'!AA706," ")</f>
        <v xml:space="preserve"> </v>
      </c>
    </row>
    <row r="682" spans="1:9" x14ac:dyDescent="0.2">
      <c r="A682" s="20">
        <f>INT('模拟-模拟计算'!B707+0.5)</f>
        <v>627</v>
      </c>
      <c r="B682" s="52" t="str">
        <f>IF(AND(INT('模拟-模拟计算'!B707)&lt;='模拟-模拟计算'!$C$2,'模拟-模拟计算'!B707&gt;0),'模拟-模拟计算'!B707," ")</f>
        <v xml:space="preserve"> </v>
      </c>
      <c r="C682" s="51" t="str">
        <f>IF(AND(INT('模拟-模拟计算'!B707)&lt;='模拟-模拟计算'!$C$2,'模拟-模拟计算'!B707&gt;0),'模拟-模拟计算'!C707," ")</f>
        <v xml:space="preserve"> </v>
      </c>
      <c r="D682" s="104" t="str">
        <f>IF(AND(INT('模拟-模拟计算'!B707)&lt;='模拟-模拟计算'!$C$2,'模拟-模拟计算'!B707&gt;0),'模拟-模拟计算'!E707," ")</f>
        <v xml:space="preserve"> </v>
      </c>
      <c r="E682" s="104" t="str">
        <f>IF(AND(INT('模拟-模拟计算'!B707)&lt;='模拟-模拟计算'!$C$2,'模拟-模拟计算'!B707&gt;0),'模拟-模拟计算'!F707," ")</f>
        <v xml:space="preserve"> </v>
      </c>
      <c r="F682" s="51" t="str">
        <f>IF(AND(INT('模拟-模拟计算'!B707)&lt;='模拟-模拟计算'!$C$2,'模拟-模拟计算'!B707&gt;0),'模拟-模拟计算'!P707," ")</f>
        <v xml:space="preserve"> </v>
      </c>
      <c r="G682" s="52" t="str">
        <f>IF(AND(INT('模拟-模拟计算'!B707)&lt;='模拟-模拟计算'!$C$2,'模拟-模拟计算'!B707&gt;0),'模拟-模拟计算'!V707," ")</f>
        <v xml:space="preserve"> </v>
      </c>
      <c r="H682" s="52" t="str">
        <f>IF(AND(INT('模拟-模拟计算'!B707)&lt;='模拟-模拟计算'!$C$2,'模拟-模拟计算'!B707&gt;0),'模拟-模拟计算'!Y707," ")</f>
        <v xml:space="preserve"> </v>
      </c>
      <c r="I682" s="105" t="str">
        <f>IF(AND(INT('模拟-模拟计算'!B707)&lt;='模拟-模拟计算'!$C$2,'模拟-模拟计算'!B707&gt;0),'模拟-模拟计算'!AA707," ")</f>
        <v xml:space="preserve"> </v>
      </c>
    </row>
    <row r="683" spans="1:9" x14ac:dyDescent="0.2">
      <c r="A683" s="20">
        <f>INT('模拟-模拟计算'!B708+0.5)</f>
        <v>628</v>
      </c>
      <c r="B683" s="52" t="str">
        <f>IF(AND(INT('模拟-模拟计算'!B708)&lt;='模拟-模拟计算'!$C$2,'模拟-模拟计算'!B708&gt;0),'模拟-模拟计算'!B708," ")</f>
        <v xml:space="preserve"> </v>
      </c>
      <c r="C683" s="51" t="str">
        <f>IF(AND(INT('模拟-模拟计算'!B708)&lt;='模拟-模拟计算'!$C$2,'模拟-模拟计算'!B708&gt;0),'模拟-模拟计算'!C708," ")</f>
        <v xml:space="preserve"> </v>
      </c>
      <c r="D683" s="104" t="str">
        <f>IF(AND(INT('模拟-模拟计算'!B708)&lt;='模拟-模拟计算'!$C$2,'模拟-模拟计算'!B708&gt;0),'模拟-模拟计算'!E708," ")</f>
        <v xml:space="preserve"> </v>
      </c>
      <c r="E683" s="104" t="str">
        <f>IF(AND(INT('模拟-模拟计算'!B708)&lt;='模拟-模拟计算'!$C$2,'模拟-模拟计算'!B708&gt;0),'模拟-模拟计算'!F708," ")</f>
        <v xml:space="preserve"> </v>
      </c>
      <c r="F683" s="51" t="str">
        <f>IF(AND(INT('模拟-模拟计算'!B708)&lt;='模拟-模拟计算'!$C$2,'模拟-模拟计算'!B708&gt;0),'模拟-模拟计算'!P708," ")</f>
        <v xml:space="preserve"> </v>
      </c>
      <c r="G683" s="52" t="str">
        <f>IF(AND(INT('模拟-模拟计算'!B708)&lt;='模拟-模拟计算'!$C$2,'模拟-模拟计算'!B708&gt;0),'模拟-模拟计算'!V708," ")</f>
        <v xml:space="preserve"> </v>
      </c>
      <c r="H683" s="52" t="str">
        <f>IF(AND(INT('模拟-模拟计算'!B708)&lt;='模拟-模拟计算'!$C$2,'模拟-模拟计算'!B708&gt;0),'模拟-模拟计算'!Y708," ")</f>
        <v xml:space="preserve"> </v>
      </c>
      <c r="I683" s="105" t="str">
        <f>IF(AND(INT('模拟-模拟计算'!B708)&lt;='模拟-模拟计算'!$C$2,'模拟-模拟计算'!B708&gt;0),'模拟-模拟计算'!AA708," ")</f>
        <v xml:space="preserve"> </v>
      </c>
    </row>
    <row r="684" spans="1:9" x14ac:dyDescent="0.2">
      <c r="A684" s="20">
        <f>INT('模拟-模拟计算'!B709+0.5)</f>
        <v>629</v>
      </c>
      <c r="B684" s="52" t="str">
        <f>IF(AND(INT('模拟-模拟计算'!B709)&lt;='模拟-模拟计算'!$C$2,'模拟-模拟计算'!B709&gt;0),'模拟-模拟计算'!B709," ")</f>
        <v xml:space="preserve"> </v>
      </c>
      <c r="C684" s="51" t="str">
        <f>IF(AND(INT('模拟-模拟计算'!B709)&lt;='模拟-模拟计算'!$C$2,'模拟-模拟计算'!B709&gt;0),'模拟-模拟计算'!C709," ")</f>
        <v xml:space="preserve"> </v>
      </c>
      <c r="D684" s="104" t="str">
        <f>IF(AND(INT('模拟-模拟计算'!B709)&lt;='模拟-模拟计算'!$C$2,'模拟-模拟计算'!B709&gt;0),'模拟-模拟计算'!E709," ")</f>
        <v xml:space="preserve"> </v>
      </c>
      <c r="E684" s="104" t="str">
        <f>IF(AND(INT('模拟-模拟计算'!B709)&lt;='模拟-模拟计算'!$C$2,'模拟-模拟计算'!B709&gt;0),'模拟-模拟计算'!F709," ")</f>
        <v xml:space="preserve"> </v>
      </c>
      <c r="F684" s="51" t="str">
        <f>IF(AND(INT('模拟-模拟计算'!B709)&lt;='模拟-模拟计算'!$C$2,'模拟-模拟计算'!B709&gt;0),'模拟-模拟计算'!P709," ")</f>
        <v xml:space="preserve"> </v>
      </c>
      <c r="G684" s="52" t="str">
        <f>IF(AND(INT('模拟-模拟计算'!B709)&lt;='模拟-模拟计算'!$C$2,'模拟-模拟计算'!B709&gt;0),'模拟-模拟计算'!V709," ")</f>
        <v xml:space="preserve"> </v>
      </c>
      <c r="H684" s="52" t="str">
        <f>IF(AND(INT('模拟-模拟计算'!B709)&lt;='模拟-模拟计算'!$C$2,'模拟-模拟计算'!B709&gt;0),'模拟-模拟计算'!Y709," ")</f>
        <v xml:space="preserve"> </v>
      </c>
      <c r="I684" s="105" t="str">
        <f>IF(AND(INT('模拟-模拟计算'!B709)&lt;='模拟-模拟计算'!$C$2,'模拟-模拟计算'!B709&gt;0),'模拟-模拟计算'!AA709," ")</f>
        <v xml:space="preserve"> </v>
      </c>
    </row>
    <row r="685" spans="1:9" x14ac:dyDescent="0.2">
      <c r="A685" s="20">
        <f>INT('模拟-模拟计算'!B710+0.5)</f>
        <v>630</v>
      </c>
      <c r="B685" s="52" t="str">
        <f>IF(AND(INT('模拟-模拟计算'!B710)&lt;='模拟-模拟计算'!$C$2,'模拟-模拟计算'!B710&gt;0),'模拟-模拟计算'!B710," ")</f>
        <v xml:space="preserve"> </v>
      </c>
      <c r="C685" s="51" t="str">
        <f>IF(AND(INT('模拟-模拟计算'!B710)&lt;='模拟-模拟计算'!$C$2,'模拟-模拟计算'!B710&gt;0),'模拟-模拟计算'!C710," ")</f>
        <v xml:space="preserve"> </v>
      </c>
      <c r="D685" s="104" t="str">
        <f>IF(AND(INT('模拟-模拟计算'!B710)&lt;='模拟-模拟计算'!$C$2,'模拟-模拟计算'!B710&gt;0),'模拟-模拟计算'!E710," ")</f>
        <v xml:space="preserve"> </v>
      </c>
      <c r="E685" s="104" t="str">
        <f>IF(AND(INT('模拟-模拟计算'!B710)&lt;='模拟-模拟计算'!$C$2,'模拟-模拟计算'!B710&gt;0),'模拟-模拟计算'!F710," ")</f>
        <v xml:space="preserve"> </v>
      </c>
      <c r="F685" s="51" t="str">
        <f>IF(AND(INT('模拟-模拟计算'!B710)&lt;='模拟-模拟计算'!$C$2,'模拟-模拟计算'!B710&gt;0),'模拟-模拟计算'!P710," ")</f>
        <v xml:space="preserve"> </v>
      </c>
      <c r="G685" s="52" t="str">
        <f>IF(AND(INT('模拟-模拟计算'!B710)&lt;='模拟-模拟计算'!$C$2,'模拟-模拟计算'!B710&gt;0),'模拟-模拟计算'!V710," ")</f>
        <v xml:space="preserve"> </v>
      </c>
      <c r="H685" s="52" t="str">
        <f>IF(AND(INT('模拟-模拟计算'!B710)&lt;='模拟-模拟计算'!$C$2,'模拟-模拟计算'!B710&gt;0),'模拟-模拟计算'!Y710," ")</f>
        <v xml:space="preserve"> </v>
      </c>
      <c r="I685" s="105" t="str">
        <f>IF(AND(INT('模拟-模拟计算'!B710)&lt;='模拟-模拟计算'!$C$2,'模拟-模拟计算'!B710&gt;0),'模拟-模拟计算'!AA710," ")</f>
        <v xml:space="preserve"> </v>
      </c>
    </row>
    <row r="686" spans="1:9" x14ac:dyDescent="0.2">
      <c r="A686" s="20">
        <f>INT('模拟-模拟计算'!B711+0.5)</f>
        <v>631</v>
      </c>
      <c r="B686" s="52" t="str">
        <f>IF(AND(INT('模拟-模拟计算'!B711)&lt;='模拟-模拟计算'!$C$2,'模拟-模拟计算'!B711&gt;0),'模拟-模拟计算'!B711," ")</f>
        <v xml:space="preserve"> </v>
      </c>
      <c r="C686" s="51" t="str">
        <f>IF(AND(INT('模拟-模拟计算'!B711)&lt;='模拟-模拟计算'!$C$2,'模拟-模拟计算'!B711&gt;0),'模拟-模拟计算'!C711," ")</f>
        <v xml:space="preserve"> </v>
      </c>
      <c r="D686" s="104" t="str">
        <f>IF(AND(INT('模拟-模拟计算'!B711)&lt;='模拟-模拟计算'!$C$2,'模拟-模拟计算'!B711&gt;0),'模拟-模拟计算'!E711," ")</f>
        <v xml:space="preserve"> </v>
      </c>
      <c r="E686" s="104" t="str">
        <f>IF(AND(INT('模拟-模拟计算'!B711)&lt;='模拟-模拟计算'!$C$2,'模拟-模拟计算'!B711&gt;0),'模拟-模拟计算'!F711," ")</f>
        <v xml:space="preserve"> </v>
      </c>
      <c r="F686" s="51" t="str">
        <f>IF(AND(INT('模拟-模拟计算'!B711)&lt;='模拟-模拟计算'!$C$2,'模拟-模拟计算'!B711&gt;0),'模拟-模拟计算'!P711," ")</f>
        <v xml:space="preserve"> </v>
      </c>
      <c r="G686" s="52" t="str">
        <f>IF(AND(INT('模拟-模拟计算'!B711)&lt;='模拟-模拟计算'!$C$2,'模拟-模拟计算'!B711&gt;0),'模拟-模拟计算'!V711," ")</f>
        <v xml:space="preserve"> </v>
      </c>
      <c r="H686" s="52" t="str">
        <f>IF(AND(INT('模拟-模拟计算'!B711)&lt;='模拟-模拟计算'!$C$2,'模拟-模拟计算'!B711&gt;0),'模拟-模拟计算'!Y711," ")</f>
        <v xml:space="preserve"> </v>
      </c>
      <c r="I686" s="105" t="str">
        <f>IF(AND(INT('模拟-模拟计算'!B711)&lt;='模拟-模拟计算'!$C$2,'模拟-模拟计算'!B711&gt;0),'模拟-模拟计算'!AA711," ")</f>
        <v xml:space="preserve"> </v>
      </c>
    </row>
    <row r="687" spans="1:9" x14ac:dyDescent="0.2">
      <c r="A687" s="20">
        <f>INT('模拟-模拟计算'!B712+0.5)</f>
        <v>632</v>
      </c>
      <c r="B687" s="52" t="str">
        <f>IF(AND(INT('模拟-模拟计算'!B712)&lt;='模拟-模拟计算'!$C$2,'模拟-模拟计算'!B712&gt;0),'模拟-模拟计算'!B712," ")</f>
        <v xml:space="preserve"> </v>
      </c>
      <c r="C687" s="51" t="str">
        <f>IF(AND(INT('模拟-模拟计算'!B712)&lt;='模拟-模拟计算'!$C$2,'模拟-模拟计算'!B712&gt;0),'模拟-模拟计算'!C712," ")</f>
        <v xml:space="preserve"> </v>
      </c>
      <c r="D687" s="104" t="str">
        <f>IF(AND(INT('模拟-模拟计算'!B712)&lt;='模拟-模拟计算'!$C$2,'模拟-模拟计算'!B712&gt;0),'模拟-模拟计算'!E712," ")</f>
        <v xml:space="preserve"> </v>
      </c>
      <c r="E687" s="104" t="str">
        <f>IF(AND(INT('模拟-模拟计算'!B712)&lt;='模拟-模拟计算'!$C$2,'模拟-模拟计算'!B712&gt;0),'模拟-模拟计算'!F712," ")</f>
        <v xml:space="preserve"> </v>
      </c>
      <c r="F687" s="51" t="str">
        <f>IF(AND(INT('模拟-模拟计算'!B712)&lt;='模拟-模拟计算'!$C$2,'模拟-模拟计算'!B712&gt;0),'模拟-模拟计算'!P712," ")</f>
        <v xml:space="preserve"> </v>
      </c>
      <c r="G687" s="52" t="str">
        <f>IF(AND(INT('模拟-模拟计算'!B712)&lt;='模拟-模拟计算'!$C$2,'模拟-模拟计算'!B712&gt;0),'模拟-模拟计算'!V712," ")</f>
        <v xml:space="preserve"> </v>
      </c>
      <c r="H687" s="52" t="str">
        <f>IF(AND(INT('模拟-模拟计算'!B712)&lt;='模拟-模拟计算'!$C$2,'模拟-模拟计算'!B712&gt;0),'模拟-模拟计算'!Y712," ")</f>
        <v xml:space="preserve"> </v>
      </c>
      <c r="I687" s="105" t="str">
        <f>IF(AND(INT('模拟-模拟计算'!B712)&lt;='模拟-模拟计算'!$C$2,'模拟-模拟计算'!B712&gt;0),'模拟-模拟计算'!AA712," ")</f>
        <v xml:space="preserve"> </v>
      </c>
    </row>
    <row r="688" spans="1:9" x14ac:dyDescent="0.2">
      <c r="A688" s="20">
        <f>INT('模拟-模拟计算'!B713+0.5)</f>
        <v>633</v>
      </c>
      <c r="B688" s="52" t="str">
        <f>IF(AND(INT('模拟-模拟计算'!B713)&lt;='模拟-模拟计算'!$C$2,'模拟-模拟计算'!B713&gt;0),'模拟-模拟计算'!B713," ")</f>
        <v xml:space="preserve"> </v>
      </c>
      <c r="C688" s="51" t="str">
        <f>IF(AND(INT('模拟-模拟计算'!B713)&lt;='模拟-模拟计算'!$C$2,'模拟-模拟计算'!B713&gt;0),'模拟-模拟计算'!C713," ")</f>
        <v xml:space="preserve"> </v>
      </c>
      <c r="D688" s="104" t="str">
        <f>IF(AND(INT('模拟-模拟计算'!B713)&lt;='模拟-模拟计算'!$C$2,'模拟-模拟计算'!B713&gt;0),'模拟-模拟计算'!E713," ")</f>
        <v xml:space="preserve"> </v>
      </c>
      <c r="E688" s="104" t="str">
        <f>IF(AND(INT('模拟-模拟计算'!B713)&lt;='模拟-模拟计算'!$C$2,'模拟-模拟计算'!B713&gt;0),'模拟-模拟计算'!F713," ")</f>
        <v xml:space="preserve"> </v>
      </c>
      <c r="F688" s="51" t="str">
        <f>IF(AND(INT('模拟-模拟计算'!B713)&lt;='模拟-模拟计算'!$C$2,'模拟-模拟计算'!B713&gt;0),'模拟-模拟计算'!P713," ")</f>
        <v xml:space="preserve"> </v>
      </c>
      <c r="G688" s="52" t="str">
        <f>IF(AND(INT('模拟-模拟计算'!B713)&lt;='模拟-模拟计算'!$C$2,'模拟-模拟计算'!B713&gt;0),'模拟-模拟计算'!V713," ")</f>
        <v xml:space="preserve"> </v>
      </c>
      <c r="H688" s="52" t="str">
        <f>IF(AND(INT('模拟-模拟计算'!B713)&lt;='模拟-模拟计算'!$C$2,'模拟-模拟计算'!B713&gt;0),'模拟-模拟计算'!Y713," ")</f>
        <v xml:space="preserve"> </v>
      </c>
      <c r="I688" s="105" t="str">
        <f>IF(AND(INT('模拟-模拟计算'!B713)&lt;='模拟-模拟计算'!$C$2,'模拟-模拟计算'!B713&gt;0),'模拟-模拟计算'!AA713," ")</f>
        <v xml:space="preserve"> </v>
      </c>
    </row>
    <row r="689" spans="1:9" x14ac:dyDescent="0.2">
      <c r="A689" s="20">
        <f>INT('模拟-模拟计算'!B714+0.5)</f>
        <v>634</v>
      </c>
      <c r="B689" s="52" t="str">
        <f>IF(AND(INT('模拟-模拟计算'!B714)&lt;='模拟-模拟计算'!$C$2,'模拟-模拟计算'!B714&gt;0),'模拟-模拟计算'!B714," ")</f>
        <v xml:space="preserve"> </v>
      </c>
      <c r="C689" s="51" t="str">
        <f>IF(AND(INT('模拟-模拟计算'!B714)&lt;='模拟-模拟计算'!$C$2,'模拟-模拟计算'!B714&gt;0),'模拟-模拟计算'!C714," ")</f>
        <v xml:space="preserve"> </v>
      </c>
      <c r="D689" s="104" t="str">
        <f>IF(AND(INT('模拟-模拟计算'!B714)&lt;='模拟-模拟计算'!$C$2,'模拟-模拟计算'!B714&gt;0),'模拟-模拟计算'!E714," ")</f>
        <v xml:space="preserve"> </v>
      </c>
      <c r="E689" s="104" t="str">
        <f>IF(AND(INT('模拟-模拟计算'!B714)&lt;='模拟-模拟计算'!$C$2,'模拟-模拟计算'!B714&gt;0),'模拟-模拟计算'!F714," ")</f>
        <v xml:space="preserve"> </v>
      </c>
      <c r="F689" s="51" t="str">
        <f>IF(AND(INT('模拟-模拟计算'!B714)&lt;='模拟-模拟计算'!$C$2,'模拟-模拟计算'!B714&gt;0),'模拟-模拟计算'!P714," ")</f>
        <v xml:space="preserve"> </v>
      </c>
      <c r="G689" s="52" t="str">
        <f>IF(AND(INT('模拟-模拟计算'!B714)&lt;='模拟-模拟计算'!$C$2,'模拟-模拟计算'!B714&gt;0),'模拟-模拟计算'!V714," ")</f>
        <v xml:space="preserve"> </v>
      </c>
      <c r="H689" s="52" t="str">
        <f>IF(AND(INT('模拟-模拟计算'!B714)&lt;='模拟-模拟计算'!$C$2,'模拟-模拟计算'!B714&gt;0),'模拟-模拟计算'!Y714," ")</f>
        <v xml:space="preserve"> </v>
      </c>
      <c r="I689" s="105" t="str">
        <f>IF(AND(INT('模拟-模拟计算'!B714)&lt;='模拟-模拟计算'!$C$2,'模拟-模拟计算'!B714&gt;0),'模拟-模拟计算'!AA714," ")</f>
        <v xml:space="preserve"> </v>
      </c>
    </row>
    <row r="690" spans="1:9" x14ac:dyDescent="0.2">
      <c r="A690" s="20">
        <f>INT('模拟-模拟计算'!B715+0.5)</f>
        <v>635</v>
      </c>
      <c r="B690" s="52" t="str">
        <f>IF(AND(INT('模拟-模拟计算'!B715)&lt;='模拟-模拟计算'!$C$2,'模拟-模拟计算'!B715&gt;0),'模拟-模拟计算'!B715," ")</f>
        <v xml:space="preserve"> </v>
      </c>
      <c r="C690" s="51" t="str">
        <f>IF(AND(INT('模拟-模拟计算'!B715)&lt;='模拟-模拟计算'!$C$2,'模拟-模拟计算'!B715&gt;0),'模拟-模拟计算'!C715," ")</f>
        <v xml:space="preserve"> </v>
      </c>
      <c r="D690" s="104" t="str">
        <f>IF(AND(INT('模拟-模拟计算'!B715)&lt;='模拟-模拟计算'!$C$2,'模拟-模拟计算'!B715&gt;0),'模拟-模拟计算'!E715," ")</f>
        <v xml:space="preserve"> </v>
      </c>
      <c r="E690" s="104" t="str">
        <f>IF(AND(INT('模拟-模拟计算'!B715)&lt;='模拟-模拟计算'!$C$2,'模拟-模拟计算'!B715&gt;0),'模拟-模拟计算'!F715," ")</f>
        <v xml:space="preserve"> </v>
      </c>
      <c r="F690" s="51" t="str">
        <f>IF(AND(INT('模拟-模拟计算'!B715)&lt;='模拟-模拟计算'!$C$2,'模拟-模拟计算'!B715&gt;0),'模拟-模拟计算'!P715," ")</f>
        <v xml:space="preserve"> </v>
      </c>
      <c r="G690" s="52" t="str">
        <f>IF(AND(INT('模拟-模拟计算'!B715)&lt;='模拟-模拟计算'!$C$2,'模拟-模拟计算'!B715&gt;0),'模拟-模拟计算'!V715," ")</f>
        <v xml:space="preserve"> </v>
      </c>
      <c r="H690" s="52" t="str">
        <f>IF(AND(INT('模拟-模拟计算'!B715)&lt;='模拟-模拟计算'!$C$2,'模拟-模拟计算'!B715&gt;0),'模拟-模拟计算'!Y715," ")</f>
        <v xml:space="preserve"> </v>
      </c>
      <c r="I690" s="105" t="str">
        <f>IF(AND(INT('模拟-模拟计算'!B715)&lt;='模拟-模拟计算'!$C$2,'模拟-模拟计算'!B715&gt;0),'模拟-模拟计算'!AA715," ")</f>
        <v xml:space="preserve"> </v>
      </c>
    </row>
    <row r="691" spans="1:9" x14ac:dyDescent="0.2">
      <c r="A691" s="20">
        <f>INT('模拟-模拟计算'!B716+0.5)</f>
        <v>636</v>
      </c>
      <c r="B691" s="52" t="str">
        <f>IF(AND(INT('模拟-模拟计算'!B716)&lt;='模拟-模拟计算'!$C$2,'模拟-模拟计算'!B716&gt;0),'模拟-模拟计算'!B716," ")</f>
        <v xml:space="preserve"> </v>
      </c>
      <c r="C691" s="51" t="str">
        <f>IF(AND(INT('模拟-模拟计算'!B716)&lt;='模拟-模拟计算'!$C$2,'模拟-模拟计算'!B716&gt;0),'模拟-模拟计算'!C716," ")</f>
        <v xml:space="preserve"> </v>
      </c>
      <c r="D691" s="104" t="str">
        <f>IF(AND(INT('模拟-模拟计算'!B716)&lt;='模拟-模拟计算'!$C$2,'模拟-模拟计算'!B716&gt;0),'模拟-模拟计算'!E716," ")</f>
        <v xml:space="preserve"> </v>
      </c>
      <c r="E691" s="104" t="str">
        <f>IF(AND(INT('模拟-模拟计算'!B716)&lt;='模拟-模拟计算'!$C$2,'模拟-模拟计算'!B716&gt;0),'模拟-模拟计算'!F716," ")</f>
        <v xml:space="preserve"> </v>
      </c>
      <c r="F691" s="51" t="str">
        <f>IF(AND(INT('模拟-模拟计算'!B716)&lt;='模拟-模拟计算'!$C$2,'模拟-模拟计算'!B716&gt;0),'模拟-模拟计算'!P716," ")</f>
        <v xml:space="preserve"> </v>
      </c>
      <c r="G691" s="52" t="str">
        <f>IF(AND(INT('模拟-模拟计算'!B716)&lt;='模拟-模拟计算'!$C$2,'模拟-模拟计算'!B716&gt;0),'模拟-模拟计算'!V716," ")</f>
        <v xml:space="preserve"> </v>
      </c>
      <c r="H691" s="52" t="str">
        <f>IF(AND(INT('模拟-模拟计算'!B716)&lt;='模拟-模拟计算'!$C$2,'模拟-模拟计算'!B716&gt;0),'模拟-模拟计算'!Y716," ")</f>
        <v xml:space="preserve"> </v>
      </c>
      <c r="I691" s="105" t="str">
        <f>IF(AND(INT('模拟-模拟计算'!B716)&lt;='模拟-模拟计算'!$C$2,'模拟-模拟计算'!B716&gt;0),'模拟-模拟计算'!AA716," ")</f>
        <v xml:space="preserve"> </v>
      </c>
    </row>
    <row r="692" spans="1:9" x14ac:dyDescent="0.2">
      <c r="A692" s="20">
        <f>INT('模拟-模拟计算'!B717+0.5)</f>
        <v>637</v>
      </c>
      <c r="B692" s="52" t="str">
        <f>IF(AND(INT('模拟-模拟计算'!B717)&lt;='模拟-模拟计算'!$C$2,'模拟-模拟计算'!B717&gt;0),'模拟-模拟计算'!B717," ")</f>
        <v xml:space="preserve"> </v>
      </c>
      <c r="C692" s="51" t="str">
        <f>IF(AND(INT('模拟-模拟计算'!B717)&lt;='模拟-模拟计算'!$C$2,'模拟-模拟计算'!B717&gt;0),'模拟-模拟计算'!C717," ")</f>
        <v xml:space="preserve"> </v>
      </c>
      <c r="D692" s="104" t="str">
        <f>IF(AND(INT('模拟-模拟计算'!B717)&lt;='模拟-模拟计算'!$C$2,'模拟-模拟计算'!B717&gt;0),'模拟-模拟计算'!E717," ")</f>
        <v xml:space="preserve"> </v>
      </c>
      <c r="E692" s="104" t="str">
        <f>IF(AND(INT('模拟-模拟计算'!B717)&lt;='模拟-模拟计算'!$C$2,'模拟-模拟计算'!B717&gt;0),'模拟-模拟计算'!F717," ")</f>
        <v xml:space="preserve"> </v>
      </c>
      <c r="F692" s="51" t="str">
        <f>IF(AND(INT('模拟-模拟计算'!B717)&lt;='模拟-模拟计算'!$C$2,'模拟-模拟计算'!B717&gt;0),'模拟-模拟计算'!P717," ")</f>
        <v xml:space="preserve"> </v>
      </c>
      <c r="G692" s="52" t="str">
        <f>IF(AND(INT('模拟-模拟计算'!B717)&lt;='模拟-模拟计算'!$C$2,'模拟-模拟计算'!B717&gt;0),'模拟-模拟计算'!V717," ")</f>
        <v xml:space="preserve"> </v>
      </c>
      <c r="H692" s="52" t="str">
        <f>IF(AND(INT('模拟-模拟计算'!B717)&lt;='模拟-模拟计算'!$C$2,'模拟-模拟计算'!B717&gt;0),'模拟-模拟计算'!Y717," ")</f>
        <v xml:space="preserve"> </v>
      </c>
      <c r="I692" s="105" t="str">
        <f>IF(AND(INT('模拟-模拟计算'!B717)&lt;='模拟-模拟计算'!$C$2,'模拟-模拟计算'!B717&gt;0),'模拟-模拟计算'!AA717," ")</f>
        <v xml:space="preserve"> </v>
      </c>
    </row>
    <row r="693" spans="1:9" x14ac:dyDescent="0.2">
      <c r="A693" s="20">
        <f>INT('模拟-模拟计算'!B718+0.5)</f>
        <v>637</v>
      </c>
      <c r="B693" s="52" t="str">
        <f>IF(AND(INT('模拟-模拟计算'!B718)&lt;='模拟-模拟计算'!$C$2,'模拟-模拟计算'!B718&gt;0),'模拟-模拟计算'!B718," ")</f>
        <v xml:space="preserve"> </v>
      </c>
      <c r="C693" s="51" t="str">
        <f>IF(AND(INT('模拟-模拟计算'!B718)&lt;='模拟-模拟计算'!$C$2,'模拟-模拟计算'!B718&gt;0),'模拟-模拟计算'!C718," ")</f>
        <v xml:space="preserve"> </v>
      </c>
      <c r="D693" s="104" t="str">
        <f>IF(AND(INT('模拟-模拟计算'!B718)&lt;='模拟-模拟计算'!$C$2,'模拟-模拟计算'!B718&gt;0),'模拟-模拟计算'!E718," ")</f>
        <v xml:space="preserve"> </v>
      </c>
      <c r="E693" s="104" t="str">
        <f>IF(AND(INT('模拟-模拟计算'!B718)&lt;='模拟-模拟计算'!$C$2,'模拟-模拟计算'!B718&gt;0),'模拟-模拟计算'!F718," ")</f>
        <v xml:space="preserve"> </v>
      </c>
      <c r="F693" s="51" t="str">
        <f>IF(AND(INT('模拟-模拟计算'!B718)&lt;='模拟-模拟计算'!$C$2,'模拟-模拟计算'!B718&gt;0),'模拟-模拟计算'!P718," ")</f>
        <v xml:space="preserve"> </v>
      </c>
      <c r="G693" s="52" t="str">
        <f>IF(AND(INT('模拟-模拟计算'!B718)&lt;='模拟-模拟计算'!$C$2,'模拟-模拟计算'!B718&gt;0),'模拟-模拟计算'!V718," ")</f>
        <v xml:space="preserve"> </v>
      </c>
      <c r="H693" s="52" t="str">
        <f>IF(AND(INT('模拟-模拟计算'!B718)&lt;='模拟-模拟计算'!$C$2,'模拟-模拟计算'!B718&gt;0),'模拟-模拟计算'!Y718," ")</f>
        <v xml:space="preserve"> </v>
      </c>
      <c r="I693" s="105" t="str">
        <f>IF(AND(INT('模拟-模拟计算'!B718)&lt;='模拟-模拟计算'!$C$2,'模拟-模拟计算'!B718&gt;0),'模拟-模拟计算'!AA718," ")</f>
        <v xml:space="preserve"> </v>
      </c>
    </row>
    <row r="694" spans="1:9" x14ac:dyDescent="0.2">
      <c r="A694" s="20">
        <f>INT('模拟-模拟计算'!B719+0.5)</f>
        <v>638</v>
      </c>
      <c r="B694" s="52" t="str">
        <f>IF(AND(INT('模拟-模拟计算'!B719)&lt;='模拟-模拟计算'!$C$2,'模拟-模拟计算'!B719&gt;0),'模拟-模拟计算'!B719," ")</f>
        <v xml:space="preserve"> </v>
      </c>
      <c r="C694" s="51" t="str">
        <f>IF(AND(INT('模拟-模拟计算'!B719)&lt;='模拟-模拟计算'!$C$2,'模拟-模拟计算'!B719&gt;0),'模拟-模拟计算'!C719," ")</f>
        <v xml:space="preserve"> </v>
      </c>
      <c r="D694" s="104" t="str">
        <f>IF(AND(INT('模拟-模拟计算'!B719)&lt;='模拟-模拟计算'!$C$2,'模拟-模拟计算'!B719&gt;0),'模拟-模拟计算'!E719," ")</f>
        <v xml:space="preserve"> </v>
      </c>
      <c r="E694" s="104" t="str">
        <f>IF(AND(INT('模拟-模拟计算'!B719)&lt;='模拟-模拟计算'!$C$2,'模拟-模拟计算'!B719&gt;0),'模拟-模拟计算'!F719," ")</f>
        <v xml:space="preserve"> </v>
      </c>
      <c r="F694" s="51" t="str">
        <f>IF(AND(INT('模拟-模拟计算'!B719)&lt;='模拟-模拟计算'!$C$2,'模拟-模拟计算'!B719&gt;0),'模拟-模拟计算'!P719," ")</f>
        <v xml:space="preserve"> </v>
      </c>
      <c r="G694" s="52" t="str">
        <f>IF(AND(INT('模拟-模拟计算'!B719)&lt;='模拟-模拟计算'!$C$2,'模拟-模拟计算'!B719&gt;0),'模拟-模拟计算'!V719," ")</f>
        <v xml:space="preserve"> </v>
      </c>
      <c r="H694" s="52" t="str">
        <f>IF(AND(INT('模拟-模拟计算'!B719)&lt;='模拟-模拟计算'!$C$2,'模拟-模拟计算'!B719&gt;0),'模拟-模拟计算'!Y719," ")</f>
        <v xml:space="preserve"> </v>
      </c>
      <c r="I694" s="105" t="str">
        <f>IF(AND(INT('模拟-模拟计算'!B719)&lt;='模拟-模拟计算'!$C$2,'模拟-模拟计算'!B719&gt;0),'模拟-模拟计算'!AA719," ")</f>
        <v xml:space="preserve"> </v>
      </c>
    </row>
    <row r="695" spans="1:9" x14ac:dyDescent="0.2">
      <c r="A695" s="20">
        <f>INT('模拟-模拟计算'!B720+0.5)</f>
        <v>639</v>
      </c>
      <c r="B695" s="52" t="str">
        <f>IF(AND(INT('模拟-模拟计算'!B720)&lt;='模拟-模拟计算'!$C$2,'模拟-模拟计算'!B720&gt;0),'模拟-模拟计算'!B720," ")</f>
        <v xml:space="preserve"> </v>
      </c>
      <c r="C695" s="51" t="str">
        <f>IF(AND(INT('模拟-模拟计算'!B720)&lt;='模拟-模拟计算'!$C$2,'模拟-模拟计算'!B720&gt;0),'模拟-模拟计算'!C720," ")</f>
        <v xml:space="preserve"> </v>
      </c>
      <c r="D695" s="104" t="str">
        <f>IF(AND(INT('模拟-模拟计算'!B720)&lt;='模拟-模拟计算'!$C$2,'模拟-模拟计算'!B720&gt;0),'模拟-模拟计算'!E720," ")</f>
        <v xml:space="preserve"> </v>
      </c>
      <c r="E695" s="104" t="str">
        <f>IF(AND(INT('模拟-模拟计算'!B720)&lt;='模拟-模拟计算'!$C$2,'模拟-模拟计算'!B720&gt;0),'模拟-模拟计算'!F720," ")</f>
        <v xml:space="preserve"> </v>
      </c>
      <c r="F695" s="51" t="str">
        <f>IF(AND(INT('模拟-模拟计算'!B720)&lt;='模拟-模拟计算'!$C$2,'模拟-模拟计算'!B720&gt;0),'模拟-模拟计算'!P720," ")</f>
        <v xml:space="preserve"> </v>
      </c>
      <c r="G695" s="52" t="str">
        <f>IF(AND(INT('模拟-模拟计算'!B720)&lt;='模拟-模拟计算'!$C$2,'模拟-模拟计算'!B720&gt;0),'模拟-模拟计算'!V720," ")</f>
        <v xml:space="preserve"> </v>
      </c>
      <c r="H695" s="52" t="str">
        <f>IF(AND(INT('模拟-模拟计算'!B720)&lt;='模拟-模拟计算'!$C$2,'模拟-模拟计算'!B720&gt;0),'模拟-模拟计算'!Y720," ")</f>
        <v xml:space="preserve"> </v>
      </c>
      <c r="I695" s="105" t="str">
        <f>IF(AND(INT('模拟-模拟计算'!B720)&lt;='模拟-模拟计算'!$C$2,'模拟-模拟计算'!B720&gt;0),'模拟-模拟计算'!AA720," ")</f>
        <v xml:space="preserve"> </v>
      </c>
    </row>
    <row r="696" spans="1:9" x14ac:dyDescent="0.2">
      <c r="A696" s="20">
        <f>INT('模拟-模拟计算'!B721+0.5)</f>
        <v>640</v>
      </c>
      <c r="B696" s="52" t="str">
        <f>IF(AND(INT('模拟-模拟计算'!B721)&lt;='模拟-模拟计算'!$C$2,'模拟-模拟计算'!B721&gt;0),'模拟-模拟计算'!B721," ")</f>
        <v xml:space="preserve"> </v>
      </c>
      <c r="C696" s="51" t="str">
        <f>IF(AND(INT('模拟-模拟计算'!B721)&lt;='模拟-模拟计算'!$C$2,'模拟-模拟计算'!B721&gt;0),'模拟-模拟计算'!C721," ")</f>
        <v xml:space="preserve"> </v>
      </c>
      <c r="D696" s="104" t="str">
        <f>IF(AND(INT('模拟-模拟计算'!B721)&lt;='模拟-模拟计算'!$C$2,'模拟-模拟计算'!B721&gt;0),'模拟-模拟计算'!E721," ")</f>
        <v xml:space="preserve"> </v>
      </c>
      <c r="E696" s="104" t="str">
        <f>IF(AND(INT('模拟-模拟计算'!B721)&lt;='模拟-模拟计算'!$C$2,'模拟-模拟计算'!B721&gt;0),'模拟-模拟计算'!F721," ")</f>
        <v xml:space="preserve"> </v>
      </c>
      <c r="F696" s="51" t="str">
        <f>IF(AND(INT('模拟-模拟计算'!B721)&lt;='模拟-模拟计算'!$C$2,'模拟-模拟计算'!B721&gt;0),'模拟-模拟计算'!P721," ")</f>
        <v xml:space="preserve"> </v>
      </c>
      <c r="G696" s="52" t="str">
        <f>IF(AND(INT('模拟-模拟计算'!B721)&lt;='模拟-模拟计算'!$C$2,'模拟-模拟计算'!B721&gt;0),'模拟-模拟计算'!V721," ")</f>
        <v xml:space="preserve"> </v>
      </c>
      <c r="H696" s="52" t="str">
        <f>IF(AND(INT('模拟-模拟计算'!B721)&lt;='模拟-模拟计算'!$C$2,'模拟-模拟计算'!B721&gt;0),'模拟-模拟计算'!Y721," ")</f>
        <v xml:space="preserve"> </v>
      </c>
      <c r="I696" s="105" t="str">
        <f>IF(AND(INT('模拟-模拟计算'!B721)&lt;='模拟-模拟计算'!$C$2,'模拟-模拟计算'!B721&gt;0),'模拟-模拟计算'!AA721," ")</f>
        <v xml:space="preserve"> </v>
      </c>
    </row>
    <row r="697" spans="1:9" x14ac:dyDescent="0.2">
      <c r="A697" s="20">
        <f>INT('模拟-模拟计算'!B722+0.5)</f>
        <v>641</v>
      </c>
      <c r="B697" s="52" t="str">
        <f>IF(AND(INT('模拟-模拟计算'!B722)&lt;='模拟-模拟计算'!$C$2,'模拟-模拟计算'!B722&gt;0),'模拟-模拟计算'!B722," ")</f>
        <v xml:space="preserve"> </v>
      </c>
      <c r="C697" s="51" t="str">
        <f>IF(AND(INT('模拟-模拟计算'!B722)&lt;='模拟-模拟计算'!$C$2,'模拟-模拟计算'!B722&gt;0),'模拟-模拟计算'!C722," ")</f>
        <v xml:space="preserve"> </v>
      </c>
      <c r="D697" s="104" t="str">
        <f>IF(AND(INT('模拟-模拟计算'!B722)&lt;='模拟-模拟计算'!$C$2,'模拟-模拟计算'!B722&gt;0),'模拟-模拟计算'!E722," ")</f>
        <v xml:space="preserve"> </v>
      </c>
      <c r="E697" s="104" t="str">
        <f>IF(AND(INT('模拟-模拟计算'!B722)&lt;='模拟-模拟计算'!$C$2,'模拟-模拟计算'!B722&gt;0),'模拟-模拟计算'!F722," ")</f>
        <v xml:space="preserve"> </v>
      </c>
      <c r="F697" s="51" t="str">
        <f>IF(AND(INT('模拟-模拟计算'!B722)&lt;='模拟-模拟计算'!$C$2,'模拟-模拟计算'!B722&gt;0),'模拟-模拟计算'!P722," ")</f>
        <v xml:space="preserve"> </v>
      </c>
      <c r="G697" s="52" t="str">
        <f>IF(AND(INT('模拟-模拟计算'!B722)&lt;='模拟-模拟计算'!$C$2,'模拟-模拟计算'!B722&gt;0),'模拟-模拟计算'!V722," ")</f>
        <v xml:space="preserve"> </v>
      </c>
      <c r="H697" s="52" t="str">
        <f>IF(AND(INT('模拟-模拟计算'!B722)&lt;='模拟-模拟计算'!$C$2,'模拟-模拟计算'!B722&gt;0),'模拟-模拟计算'!Y722," ")</f>
        <v xml:space="preserve"> </v>
      </c>
      <c r="I697" s="105" t="str">
        <f>IF(AND(INT('模拟-模拟计算'!B722)&lt;='模拟-模拟计算'!$C$2,'模拟-模拟计算'!B722&gt;0),'模拟-模拟计算'!AA722," ")</f>
        <v xml:space="preserve"> </v>
      </c>
    </row>
    <row r="698" spans="1:9" x14ac:dyDescent="0.2">
      <c r="A698" s="20">
        <f>INT('模拟-模拟计算'!B723+0.5)</f>
        <v>642</v>
      </c>
      <c r="B698" s="52" t="str">
        <f>IF(AND(INT('模拟-模拟计算'!B723)&lt;='模拟-模拟计算'!$C$2,'模拟-模拟计算'!B723&gt;0),'模拟-模拟计算'!B723," ")</f>
        <v xml:space="preserve"> </v>
      </c>
      <c r="C698" s="51" t="str">
        <f>IF(AND(INT('模拟-模拟计算'!B723)&lt;='模拟-模拟计算'!$C$2,'模拟-模拟计算'!B723&gt;0),'模拟-模拟计算'!C723," ")</f>
        <v xml:space="preserve"> </v>
      </c>
      <c r="D698" s="104" t="str">
        <f>IF(AND(INT('模拟-模拟计算'!B723)&lt;='模拟-模拟计算'!$C$2,'模拟-模拟计算'!B723&gt;0),'模拟-模拟计算'!E723," ")</f>
        <v xml:space="preserve"> </v>
      </c>
      <c r="E698" s="104" t="str">
        <f>IF(AND(INT('模拟-模拟计算'!B723)&lt;='模拟-模拟计算'!$C$2,'模拟-模拟计算'!B723&gt;0),'模拟-模拟计算'!F723," ")</f>
        <v xml:space="preserve"> </v>
      </c>
      <c r="F698" s="51" t="str">
        <f>IF(AND(INT('模拟-模拟计算'!B723)&lt;='模拟-模拟计算'!$C$2,'模拟-模拟计算'!B723&gt;0),'模拟-模拟计算'!P723," ")</f>
        <v xml:space="preserve"> </v>
      </c>
      <c r="G698" s="52" t="str">
        <f>IF(AND(INT('模拟-模拟计算'!B723)&lt;='模拟-模拟计算'!$C$2,'模拟-模拟计算'!B723&gt;0),'模拟-模拟计算'!V723," ")</f>
        <v xml:space="preserve"> </v>
      </c>
      <c r="H698" s="52" t="str">
        <f>IF(AND(INT('模拟-模拟计算'!B723)&lt;='模拟-模拟计算'!$C$2,'模拟-模拟计算'!B723&gt;0),'模拟-模拟计算'!Y723," ")</f>
        <v xml:space="preserve"> </v>
      </c>
      <c r="I698" s="105" t="str">
        <f>IF(AND(INT('模拟-模拟计算'!B723)&lt;='模拟-模拟计算'!$C$2,'模拟-模拟计算'!B723&gt;0),'模拟-模拟计算'!AA723," ")</f>
        <v xml:space="preserve"> </v>
      </c>
    </row>
    <row r="699" spans="1:9" x14ac:dyDescent="0.2">
      <c r="A699" s="20">
        <f>INT('模拟-模拟计算'!B724+0.5)</f>
        <v>643</v>
      </c>
      <c r="B699" s="52" t="str">
        <f>IF(AND(INT('模拟-模拟计算'!B724)&lt;='模拟-模拟计算'!$C$2,'模拟-模拟计算'!B724&gt;0),'模拟-模拟计算'!B724," ")</f>
        <v xml:space="preserve"> </v>
      </c>
      <c r="C699" s="51" t="str">
        <f>IF(AND(INT('模拟-模拟计算'!B724)&lt;='模拟-模拟计算'!$C$2,'模拟-模拟计算'!B724&gt;0),'模拟-模拟计算'!C724," ")</f>
        <v xml:space="preserve"> </v>
      </c>
      <c r="D699" s="104" t="str">
        <f>IF(AND(INT('模拟-模拟计算'!B724)&lt;='模拟-模拟计算'!$C$2,'模拟-模拟计算'!B724&gt;0),'模拟-模拟计算'!E724," ")</f>
        <v xml:space="preserve"> </v>
      </c>
      <c r="E699" s="104" t="str">
        <f>IF(AND(INT('模拟-模拟计算'!B724)&lt;='模拟-模拟计算'!$C$2,'模拟-模拟计算'!B724&gt;0),'模拟-模拟计算'!F724," ")</f>
        <v xml:space="preserve"> </v>
      </c>
      <c r="F699" s="51" t="str">
        <f>IF(AND(INT('模拟-模拟计算'!B724)&lt;='模拟-模拟计算'!$C$2,'模拟-模拟计算'!B724&gt;0),'模拟-模拟计算'!P724," ")</f>
        <v xml:space="preserve"> </v>
      </c>
      <c r="G699" s="52" t="str">
        <f>IF(AND(INT('模拟-模拟计算'!B724)&lt;='模拟-模拟计算'!$C$2,'模拟-模拟计算'!B724&gt;0),'模拟-模拟计算'!V724," ")</f>
        <v xml:space="preserve"> </v>
      </c>
      <c r="H699" s="52" t="str">
        <f>IF(AND(INT('模拟-模拟计算'!B724)&lt;='模拟-模拟计算'!$C$2,'模拟-模拟计算'!B724&gt;0),'模拟-模拟计算'!Y724," ")</f>
        <v xml:space="preserve"> </v>
      </c>
      <c r="I699" s="105" t="str">
        <f>IF(AND(INT('模拟-模拟计算'!B724)&lt;='模拟-模拟计算'!$C$2,'模拟-模拟计算'!B724&gt;0),'模拟-模拟计算'!AA724," ")</f>
        <v xml:space="preserve"> </v>
      </c>
    </row>
    <row r="700" spans="1:9" x14ac:dyDescent="0.2">
      <c r="A700" s="20">
        <f>INT('模拟-模拟计算'!B725+0.5)</f>
        <v>644</v>
      </c>
      <c r="B700" s="52" t="str">
        <f>IF(AND(INT('模拟-模拟计算'!B725)&lt;='模拟-模拟计算'!$C$2,'模拟-模拟计算'!B725&gt;0),'模拟-模拟计算'!B725," ")</f>
        <v xml:space="preserve"> </v>
      </c>
      <c r="C700" s="51" t="str">
        <f>IF(AND(INT('模拟-模拟计算'!B725)&lt;='模拟-模拟计算'!$C$2,'模拟-模拟计算'!B725&gt;0),'模拟-模拟计算'!C725," ")</f>
        <v xml:space="preserve"> </v>
      </c>
      <c r="D700" s="104" t="str">
        <f>IF(AND(INT('模拟-模拟计算'!B725)&lt;='模拟-模拟计算'!$C$2,'模拟-模拟计算'!B725&gt;0),'模拟-模拟计算'!E725," ")</f>
        <v xml:space="preserve"> </v>
      </c>
      <c r="E700" s="104" t="str">
        <f>IF(AND(INT('模拟-模拟计算'!B725)&lt;='模拟-模拟计算'!$C$2,'模拟-模拟计算'!B725&gt;0),'模拟-模拟计算'!F725," ")</f>
        <v xml:space="preserve"> </v>
      </c>
      <c r="F700" s="51" t="str">
        <f>IF(AND(INT('模拟-模拟计算'!B725)&lt;='模拟-模拟计算'!$C$2,'模拟-模拟计算'!B725&gt;0),'模拟-模拟计算'!P725," ")</f>
        <v xml:space="preserve"> </v>
      </c>
      <c r="G700" s="52" t="str">
        <f>IF(AND(INT('模拟-模拟计算'!B725)&lt;='模拟-模拟计算'!$C$2,'模拟-模拟计算'!B725&gt;0),'模拟-模拟计算'!V725," ")</f>
        <v xml:space="preserve"> </v>
      </c>
      <c r="H700" s="52" t="str">
        <f>IF(AND(INT('模拟-模拟计算'!B725)&lt;='模拟-模拟计算'!$C$2,'模拟-模拟计算'!B725&gt;0),'模拟-模拟计算'!Y725," ")</f>
        <v xml:space="preserve"> </v>
      </c>
      <c r="I700" s="105" t="str">
        <f>IF(AND(INT('模拟-模拟计算'!B725)&lt;='模拟-模拟计算'!$C$2,'模拟-模拟计算'!B725&gt;0),'模拟-模拟计算'!AA725," ")</f>
        <v xml:space="preserve"> </v>
      </c>
    </row>
  </sheetData>
  <sheetProtection algorithmName="SHA-512" hashValue="ovVauB4VZLK9ahloMn7WsJfKWXPsLCAm1PIADSOn20cYEDiKhdRjFjWJ9e4giSg30kEQk9RbqKQaZClBnAbtvQ==" saltValue="X7mimCh9WkyjBajOO9jPfg==" spinCount="100000" sheet="1" objects="1" selectLockedCells="1"/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48790-7821-4788-8E20-EE2CEFA1CC70}">
  <sheetPr codeName="Sheet10"/>
  <dimension ref="A1:B13"/>
  <sheetViews>
    <sheetView workbookViewId="0"/>
  </sheetViews>
  <sheetFormatPr defaultRowHeight="14.25" x14ac:dyDescent="0.2"/>
  <cols>
    <col min="1" max="1" width="14.125" style="19" bestFit="1" customWidth="1"/>
    <col min="2" max="16384" width="9" style="19"/>
  </cols>
  <sheetData>
    <row r="1" spans="1:2" x14ac:dyDescent="0.2">
      <c r="A1" s="19" t="s">
        <v>265</v>
      </c>
    </row>
    <row r="3" spans="1:2" x14ac:dyDescent="0.2">
      <c r="A3" s="19" t="s">
        <v>2</v>
      </c>
      <c r="B3" s="19">
        <v>15344.2</v>
      </c>
    </row>
    <row r="4" spans="1:2" x14ac:dyDescent="0.2">
      <c r="A4" s="19" t="s">
        <v>194</v>
      </c>
      <c r="B4" s="19">
        <v>5370.3</v>
      </c>
    </row>
    <row r="5" spans="1:2" x14ac:dyDescent="0.2">
      <c r="A5" s="19" t="s">
        <v>4</v>
      </c>
      <c r="B5" s="19">
        <v>15344.2</v>
      </c>
    </row>
    <row r="6" spans="1:2" x14ac:dyDescent="0.2">
      <c r="A6" s="19" t="s">
        <v>5</v>
      </c>
      <c r="B6" s="19">
        <v>13948.5</v>
      </c>
    </row>
    <row r="7" spans="1:2" x14ac:dyDescent="0.2">
      <c r="A7" s="19" t="s">
        <v>6</v>
      </c>
      <c r="B7" s="19">
        <v>8717.6</v>
      </c>
    </row>
    <row r="9" spans="1:2" x14ac:dyDescent="0.2">
      <c r="A9" s="19" t="s">
        <v>195</v>
      </c>
      <c r="B9" s="19">
        <v>0.18</v>
      </c>
    </row>
    <row r="10" spans="1:2" x14ac:dyDescent="0.2">
      <c r="A10" s="19" t="s">
        <v>196</v>
      </c>
      <c r="B10" s="19">
        <v>0.3</v>
      </c>
    </row>
    <row r="12" spans="1:2" x14ac:dyDescent="0.2">
      <c r="A12" s="19" t="s">
        <v>202</v>
      </c>
      <c r="B12" s="19">
        <v>1.9</v>
      </c>
    </row>
    <row r="13" spans="1:2" x14ac:dyDescent="0.2">
      <c r="A13" s="19" t="s">
        <v>203</v>
      </c>
      <c r="B13" s="19">
        <v>0.1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C957-5C9A-4D84-9A26-9F821A0E840C}">
  <sheetPr codeName="Sheet11"/>
  <dimension ref="A1:A6"/>
  <sheetViews>
    <sheetView workbookViewId="0"/>
  </sheetViews>
  <sheetFormatPr defaultRowHeight="14.25" x14ac:dyDescent="0.2"/>
  <cols>
    <col min="1" max="16384" width="9" style="19"/>
  </cols>
  <sheetData>
    <row r="1" spans="1:1" x14ac:dyDescent="0.2">
      <c r="A1" s="19" t="s">
        <v>452</v>
      </c>
    </row>
    <row r="2" spans="1:1" x14ac:dyDescent="0.2">
      <c r="A2" s="19" t="s">
        <v>453</v>
      </c>
    </row>
    <row r="3" spans="1:1" x14ac:dyDescent="0.2">
      <c r="A3" s="19" t="s">
        <v>451</v>
      </c>
    </row>
    <row r="4" spans="1:1" x14ac:dyDescent="0.2">
      <c r="A4" s="19" t="s">
        <v>454</v>
      </c>
    </row>
    <row r="5" spans="1:1" x14ac:dyDescent="0.2">
      <c r="A5" s="19" t="s">
        <v>455</v>
      </c>
    </row>
    <row r="6" spans="1:1" x14ac:dyDescent="0.2">
      <c r="A6" s="19" t="s">
        <v>503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9FE7D-7734-44B9-8271-12C59C68594C}">
  <sheetPr codeName="Sheet12"/>
  <dimension ref="A1:C34"/>
  <sheetViews>
    <sheetView tabSelected="1" workbookViewId="0"/>
  </sheetViews>
  <sheetFormatPr defaultRowHeight="14.25" x14ac:dyDescent="0.2"/>
  <cols>
    <col min="1" max="1" width="9" style="19"/>
    <col min="2" max="2" width="11.125" style="72" bestFit="1" customWidth="1"/>
    <col min="3" max="16384" width="9" style="19"/>
  </cols>
  <sheetData>
    <row r="1" spans="1:3" x14ac:dyDescent="0.2">
      <c r="A1" s="19" t="s">
        <v>493</v>
      </c>
      <c r="B1" s="106">
        <v>43644</v>
      </c>
      <c r="C1" s="19" t="s">
        <v>497</v>
      </c>
    </row>
    <row r="2" spans="1:3" x14ac:dyDescent="0.2">
      <c r="B2" s="106"/>
      <c r="C2" s="19" t="s">
        <v>494</v>
      </c>
    </row>
    <row r="3" spans="1:3" x14ac:dyDescent="0.2">
      <c r="B3" s="106"/>
      <c r="C3" s="19" t="s">
        <v>495</v>
      </c>
    </row>
    <row r="4" spans="1:3" x14ac:dyDescent="0.2">
      <c r="B4" s="106"/>
      <c r="C4" s="19" t="s">
        <v>496</v>
      </c>
    </row>
    <row r="5" spans="1:3" x14ac:dyDescent="0.2">
      <c r="A5" s="19" t="s">
        <v>502</v>
      </c>
      <c r="B5" s="106">
        <v>43664</v>
      </c>
      <c r="C5" s="19" t="s">
        <v>535</v>
      </c>
    </row>
    <row r="6" spans="1:3" x14ac:dyDescent="0.2">
      <c r="A6" s="19" t="s">
        <v>513</v>
      </c>
      <c r="B6" s="106">
        <v>43696</v>
      </c>
      <c r="C6" s="19" t="s">
        <v>514</v>
      </c>
    </row>
    <row r="7" spans="1:3" x14ac:dyDescent="0.2">
      <c r="B7" s="106"/>
      <c r="C7" s="19" t="s">
        <v>515</v>
      </c>
    </row>
    <row r="8" spans="1:3" x14ac:dyDescent="0.2">
      <c r="B8" s="106"/>
      <c r="C8" s="19" t="s">
        <v>529</v>
      </c>
    </row>
    <row r="9" spans="1:3" x14ac:dyDescent="0.2">
      <c r="B9" s="106"/>
      <c r="C9" s="19" t="s">
        <v>544</v>
      </c>
    </row>
    <row r="10" spans="1:3" x14ac:dyDescent="0.2">
      <c r="B10" s="106"/>
      <c r="C10" s="19" t="s">
        <v>536</v>
      </c>
    </row>
    <row r="11" spans="1:3" x14ac:dyDescent="0.2">
      <c r="C11" s="19" t="s">
        <v>547</v>
      </c>
    </row>
    <row r="12" spans="1:3" x14ac:dyDescent="0.2">
      <c r="C12" s="19" t="s">
        <v>516</v>
      </c>
    </row>
    <row r="13" spans="1:3" x14ac:dyDescent="0.2">
      <c r="A13" s="19" t="s">
        <v>550</v>
      </c>
      <c r="B13" s="106">
        <v>43702</v>
      </c>
      <c r="C13" s="19" t="s">
        <v>551</v>
      </c>
    </row>
    <row r="17" spans="2:2" x14ac:dyDescent="0.2">
      <c r="B17" s="106"/>
    </row>
    <row r="18" spans="2:2" x14ac:dyDescent="0.2">
      <c r="B18" s="106"/>
    </row>
    <row r="22" spans="2:2" x14ac:dyDescent="0.2">
      <c r="B22" s="106"/>
    </row>
    <row r="24" spans="2:2" x14ac:dyDescent="0.2">
      <c r="B24" s="106"/>
    </row>
    <row r="25" spans="2:2" x14ac:dyDescent="0.2">
      <c r="B25" s="106"/>
    </row>
    <row r="26" spans="2:2" x14ac:dyDescent="0.2">
      <c r="B26" s="106"/>
    </row>
    <row r="29" spans="2:2" x14ac:dyDescent="0.2">
      <c r="B29" s="106"/>
    </row>
    <row r="31" spans="2:2" x14ac:dyDescent="0.2">
      <c r="B31" s="106"/>
    </row>
    <row r="34" spans="2:2" x14ac:dyDescent="0.2">
      <c r="B34" s="106"/>
    </row>
  </sheetData>
  <sheetProtection algorithmName="SHA-512" hashValue="t0/04uMHSMTe5E6m1AhPkdfVZbVVin/DqUcmnfZevjNgX1zHMZVgHh+SZY7ClpmWwUCaoFaeI2ygEmpNuSu4oQ==" saltValue="S1f8kUenoJRIWu4RY8EXMg==" spinCount="100000" sheet="1" objects="1" selectLockedCell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首页</vt:lpstr>
      <vt:lpstr>属性导入</vt:lpstr>
      <vt:lpstr>分析模式</vt:lpstr>
      <vt:lpstr>分析-属性加成</vt:lpstr>
      <vt:lpstr>分析-单技能数据</vt:lpstr>
      <vt:lpstr>分析-循环与收益</vt:lpstr>
      <vt:lpstr>模拟模式</vt:lpstr>
      <vt:lpstr>模拟-单技能数据</vt:lpstr>
      <vt:lpstr>模拟-全程加成</vt:lpstr>
      <vt:lpstr>模拟-模拟计算</vt:lpstr>
      <vt:lpstr>模拟-模拟结果</vt:lpstr>
      <vt:lpstr>系数</vt:lpstr>
      <vt:lpstr>数据记录</vt:lpstr>
      <vt:lpstr>日志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2019-08-24T15:53:49Z</dcterms:modified>
</cp:coreProperties>
</file>